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tables/table1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codeName="ThisWorkbook" defaultThemeVersion="124226"/>
  <mc:AlternateContent xmlns:mc="http://schemas.openxmlformats.org/markup-compatibility/2006">
    <mc:Choice Requires="x15">
      <x15ac:absPath xmlns:x15ac="http://schemas.microsoft.com/office/spreadsheetml/2010/11/ac" url="C:\Users\Mauricio\Dropbox\Projeto Mestrado\NodeXL\6- Co-Hashtags\"/>
    </mc:Choice>
  </mc:AlternateContent>
  <xr:revisionPtr revIDLastSave="0" documentId="8_{A65B3DE1-D5AF-4A41-A51C-499602E5E0F0}" xr6:coauthVersionLast="47" xr6:coauthVersionMax="47" xr10:uidLastSave="{00000000-0000-0000-0000-000000000000}"/>
  <bookViews>
    <workbookView xWindow="-120" yWindow="-120" windowWidth="24240" windowHeight="13020" activeTab="5" xr2:uid="{00000000-000D-0000-FFFF-FFFF00000000}"/>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 name="Export Options" sheetId="8" r:id="rId8"/>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O3" i="3" l="1"/>
  <c r="BO4" i="3"/>
  <c r="BO5" i="3"/>
  <c r="BO6" i="3"/>
  <c r="BO7" i="3"/>
  <c r="BO8" i="3"/>
  <c r="BO9" i="3"/>
  <c r="BO10" i="3"/>
  <c r="BO11" i="3"/>
  <c r="BO12" i="3"/>
  <c r="BO13" i="3"/>
  <c r="BO14" i="3"/>
  <c r="BO15" i="3"/>
  <c r="BO16" i="3"/>
  <c r="BO17" i="3"/>
  <c r="BO18" i="3"/>
  <c r="BO19" i="3"/>
  <c r="BO20" i="3"/>
  <c r="BO21" i="3"/>
  <c r="BO22" i="3"/>
  <c r="BO23" i="3"/>
  <c r="BO24" i="3"/>
  <c r="BO25" i="3"/>
  <c r="BO26" i="3"/>
  <c r="BO27" i="3"/>
  <c r="BO28" i="3"/>
  <c r="BO29" i="3"/>
  <c r="BO30" i="3"/>
  <c r="BO31" i="3"/>
  <c r="BO32" i="3"/>
  <c r="BO33" i="3"/>
  <c r="BO34" i="3"/>
  <c r="BO35"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2"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BH3" i="3"/>
  <c r="BH4" i="3"/>
  <c r="BH5" i="3"/>
  <c r="BH8" i="3"/>
  <c r="BH9" i="3"/>
  <c r="BH10" i="3"/>
  <c r="BH17" i="3"/>
  <c r="BH18" i="3"/>
  <c r="BH19" i="3"/>
  <c r="BH20" i="3"/>
  <c r="BH21" i="3"/>
  <c r="BH22" i="3"/>
  <c r="BH24" i="3"/>
  <c r="BH25" i="3"/>
  <c r="BH26" i="3"/>
  <c r="BH27" i="3"/>
  <c r="BH28" i="3"/>
  <c r="BH29" i="3"/>
  <c r="BH30" i="3"/>
  <c r="BH33" i="3"/>
  <c r="BH34" i="3"/>
  <c r="BH35" i="3"/>
  <c r="BH37" i="3"/>
  <c r="BH38" i="3"/>
  <c r="BH39" i="3"/>
  <c r="BH40" i="3"/>
  <c r="BH41" i="3"/>
  <c r="BH42" i="3"/>
  <c r="BH43" i="3"/>
  <c r="BH44" i="3"/>
  <c r="BH47" i="3"/>
  <c r="BH48" i="3"/>
  <c r="BH49" i="3"/>
  <c r="BH50" i="3"/>
  <c r="BH53" i="3"/>
  <c r="BH55" i="3"/>
  <c r="BH56" i="3"/>
  <c r="BH57" i="3"/>
  <c r="BH58" i="3"/>
  <c r="BH60" i="3"/>
  <c r="BH61" i="3"/>
  <c r="BH63" i="3"/>
  <c r="BH64" i="3"/>
  <c r="BH65" i="3"/>
  <c r="BH66" i="3"/>
  <c r="BH67" i="3"/>
  <c r="BH68" i="3"/>
  <c r="BH71" i="3"/>
  <c r="BH72" i="3"/>
  <c r="BH73" i="3"/>
  <c r="BH74" i="3"/>
  <c r="BH75" i="3"/>
  <c r="BH76" i="3"/>
  <c r="BH77" i="3"/>
  <c r="BH79" i="3"/>
  <c r="BH80" i="3"/>
  <c r="BH81" i="3"/>
  <c r="BH82" i="3"/>
  <c r="BH83" i="3"/>
  <c r="BH85" i="3"/>
  <c r="BH86" i="3"/>
  <c r="BH88" i="3"/>
  <c r="BH89" i="3"/>
  <c r="BH90" i="3"/>
  <c r="BH91" i="3"/>
  <c r="BH92" i="3"/>
  <c r="BH93" i="3"/>
  <c r="BH94" i="3"/>
  <c r="BH95" i="3"/>
  <c r="BH97" i="3"/>
  <c r="BH99" i="3"/>
  <c r="BH100" i="3"/>
  <c r="BH103" i="3"/>
  <c r="BH104" i="3"/>
  <c r="BH105" i="3"/>
  <c r="BH106" i="3"/>
  <c r="BH107" i="3"/>
  <c r="BH108" i="3"/>
  <c r="BH111" i="3"/>
  <c r="BH112" i="3"/>
  <c r="BH113" i="3"/>
  <c r="BH114" i="3"/>
  <c r="BH115" i="3"/>
  <c r="BH116" i="3"/>
  <c r="BH117" i="3"/>
  <c r="BH118" i="3"/>
  <c r="BH120" i="3"/>
  <c r="BH122" i="3"/>
  <c r="BH123" i="3"/>
  <c r="BH125" i="3"/>
  <c r="BH126" i="3"/>
  <c r="BH127" i="3"/>
  <c r="BH129" i="3"/>
  <c r="BH130" i="3"/>
  <c r="BH131" i="3"/>
  <c r="BH132" i="3"/>
  <c r="BH136" i="3"/>
  <c r="BH138" i="3"/>
  <c r="BH139" i="3"/>
  <c r="BH140" i="3"/>
  <c r="BH142" i="3"/>
  <c r="BH143" i="3"/>
  <c r="BH144" i="3"/>
  <c r="BH145" i="3"/>
  <c r="BH146" i="3"/>
  <c r="BH147" i="3"/>
  <c r="BH148" i="3"/>
  <c r="BH149" i="3"/>
  <c r="BH150" i="3"/>
  <c r="BH151" i="3"/>
  <c r="BH154" i="3"/>
  <c r="BH155" i="3"/>
  <c r="BH156" i="3"/>
  <c r="BH157" i="3"/>
  <c r="BH158" i="3"/>
  <c r="BH160" i="3"/>
  <c r="BH161" i="3"/>
  <c r="BH162" i="3"/>
  <c r="BH163" i="3"/>
  <c r="BH164" i="3"/>
  <c r="BH165" i="3"/>
  <c r="BH166" i="3"/>
  <c r="BH168" i="3"/>
  <c r="BH169" i="3"/>
  <c r="BH170" i="3"/>
  <c r="BH171" i="3"/>
  <c r="BH172" i="3"/>
  <c r="BH174" i="3"/>
  <c r="BH175" i="3"/>
  <c r="BH176" i="3"/>
  <c r="BH177" i="3"/>
  <c r="BH178" i="3"/>
  <c r="BH180" i="3"/>
  <c r="BH181" i="3"/>
  <c r="BH183" i="3"/>
  <c r="BH184" i="3"/>
  <c r="BH185" i="3"/>
  <c r="BH187" i="3"/>
  <c r="BH188" i="3"/>
  <c r="BH189" i="3"/>
  <c r="BH190" i="3"/>
  <c r="BH191" i="3"/>
  <c r="BH192" i="3"/>
  <c r="BH194" i="3"/>
  <c r="BH195" i="3"/>
  <c r="BH196" i="3"/>
  <c r="BH197" i="3"/>
  <c r="BH198" i="3"/>
  <c r="BH201" i="3"/>
  <c r="BH202" i="3"/>
  <c r="BH203" i="3"/>
  <c r="BH204" i="3"/>
  <c r="BH205" i="3"/>
  <c r="BH206" i="3"/>
  <c r="BH208" i="3"/>
  <c r="BH209" i="3"/>
  <c r="BH210" i="3"/>
  <c r="BH211" i="3"/>
  <c r="BH212" i="3"/>
  <c r="BH213" i="3"/>
  <c r="BH215" i="3"/>
  <c r="BH216" i="3"/>
  <c r="BH217" i="3"/>
  <c r="BH218" i="3"/>
  <c r="BH219" i="3"/>
  <c r="BH220" i="3"/>
  <c r="BH222" i="3"/>
  <c r="BH223" i="3"/>
  <c r="BH228" i="3"/>
  <c r="BH230" i="3"/>
  <c r="BH231" i="3"/>
  <c r="BH232" i="3"/>
  <c r="BH233" i="3"/>
  <c r="BH234" i="3"/>
  <c r="BH235" i="3"/>
  <c r="BH237" i="3"/>
  <c r="BH238" i="3"/>
  <c r="BH239" i="3"/>
  <c r="BH240" i="3"/>
  <c r="BH241" i="3"/>
  <c r="BH242" i="3"/>
  <c r="BH244" i="3"/>
  <c r="BH245" i="3"/>
  <c r="BH246" i="3"/>
  <c r="BH247" i="3"/>
  <c r="BH248" i="3"/>
  <c r="BH250" i="3"/>
  <c r="BH251" i="3"/>
  <c r="BH252" i="3"/>
  <c r="BH253" i="3"/>
  <c r="BH254" i="3"/>
  <c r="BH255" i="3"/>
  <c r="BH256" i="3"/>
  <c r="BH257" i="3"/>
  <c r="BH258" i="3"/>
  <c r="BH259" i="3"/>
  <c r="BH260" i="3"/>
  <c r="BH261" i="3"/>
  <c r="BH264" i="3"/>
  <c r="BH265" i="3"/>
  <c r="BH267" i="3"/>
  <c r="BH268" i="3"/>
  <c r="BH269" i="3"/>
  <c r="BH270" i="3"/>
  <c r="BH273" i="3"/>
  <c r="BH274" i="3"/>
  <c r="BH275" i="3"/>
  <c r="BH277" i="3"/>
  <c r="BH279" i="3"/>
  <c r="BH280" i="3"/>
  <c r="BH282" i="3"/>
  <c r="BH283" i="3"/>
  <c r="BH284" i="3"/>
  <c r="BH285" i="3"/>
  <c r="BH286" i="3"/>
  <c r="BH287" i="3"/>
  <c r="BH288" i="3"/>
  <c r="BH289" i="3"/>
  <c r="BH291" i="3"/>
  <c r="BH292" i="3"/>
  <c r="BH293" i="3"/>
  <c r="BH294" i="3"/>
  <c r="BH295" i="3"/>
  <c r="BH297" i="3"/>
  <c r="BH301" i="3"/>
  <c r="BH302" i="3"/>
  <c r="BH303" i="3"/>
  <c r="BH304" i="3"/>
  <c r="BH305" i="3"/>
  <c r="BH306" i="3"/>
  <c r="BH307" i="3"/>
  <c r="BH308" i="3"/>
  <c r="BH309" i="3"/>
  <c r="BH311" i="3"/>
  <c r="BH312" i="3"/>
  <c r="BH313" i="3"/>
  <c r="BH314" i="3"/>
  <c r="BH315" i="3"/>
  <c r="BH316" i="3"/>
  <c r="BH317" i="3"/>
  <c r="BH318" i="3"/>
  <c r="BH319" i="3"/>
  <c r="BH320" i="3"/>
  <c r="BH322" i="3"/>
  <c r="BH324" i="3"/>
  <c r="BH325" i="3"/>
  <c r="BH326" i="3"/>
  <c r="BH327" i="3"/>
  <c r="BH328" i="3"/>
  <c r="BH329" i="3"/>
  <c r="BH330" i="3"/>
  <c r="BH331" i="3"/>
  <c r="BH332" i="3"/>
  <c r="BH333" i="3"/>
  <c r="BH334" i="3"/>
  <c r="BH335" i="3"/>
  <c r="BH337" i="3"/>
  <c r="BH338" i="3"/>
  <c r="BH340" i="3"/>
  <c r="BH342" i="3"/>
  <c r="BH343" i="3"/>
  <c r="BH345" i="3"/>
  <c r="BH346" i="3"/>
  <c r="BH347" i="3"/>
  <c r="BH348" i="3"/>
  <c r="BH349" i="3"/>
  <c r="BH350" i="3"/>
  <c r="BH351" i="3"/>
  <c r="BH352" i="3"/>
  <c r="BH353" i="3"/>
  <c r="BH354" i="3"/>
  <c r="BH355" i="3"/>
  <c r="BH356" i="3"/>
  <c r="BH358" i="3"/>
  <c r="BH360" i="3"/>
  <c r="BH361" i="3"/>
  <c r="BH362" i="3"/>
  <c r="BH365" i="3"/>
  <c r="BH366" i="3"/>
  <c r="BH367" i="3"/>
  <c r="BH368" i="3"/>
  <c r="BH369" i="3"/>
  <c r="BH370" i="3"/>
  <c r="BH371" i="3"/>
  <c r="BH372" i="3"/>
  <c r="BH373" i="3"/>
  <c r="BH374" i="3"/>
  <c r="BH375" i="3"/>
  <c r="BH376" i="3"/>
  <c r="BH377" i="3"/>
  <c r="BH379" i="3"/>
  <c r="BH381" i="3"/>
  <c r="BH382" i="3"/>
  <c r="BH383" i="3"/>
  <c r="BH384" i="3"/>
  <c r="BH386" i="3"/>
  <c r="BH387" i="3"/>
  <c r="BH389" i="3"/>
  <c r="BH391" i="3"/>
  <c r="BH394" i="3"/>
  <c r="BH395" i="3"/>
  <c r="BH396" i="3"/>
  <c r="BH397" i="3"/>
  <c r="BH398" i="3"/>
  <c r="BH399" i="3"/>
  <c r="BH400" i="3"/>
  <c r="BH402" i="3"/>
  <c r="BH403" i="3"/>
  <c r="BH404" i="3"/>
  <c r="BH405" i="3"/>
  <c r="BH406" i="3"/>
  <c r="BH408" i="3"/>
  <c r="BH409" i="3"/>
  <c r="BH410" i="3"/>
  <c r="BH411" i="3"/>
  <c r="BH412" i="3"/>
  <c r="BH413" i="3"/>
  <c r="BH414" i="3"/>
  <c r="BH415" i="3"/>
  <c r="BH416" i="3"/>
  <c r="BH418" i="3"/>
  <c r="BH419" i="3"/>
  <c r="BH420" i="3"/>
  <c r="BH421" i="3"/>
  <c r="BH422" i="3"/>
  <c r="BH423" i="3"/>
  <c r="BH424" i="3"/>
  <c r="BH425" i="3"/>
  <c r="BH427" i="3"/>
  <c r="BH428" i="3"/>
  <c r="BH432" i="3"/>
  <c r="BH433" i="3"/>
  <c r="BH434" i="3"/>
  <c r="BH435" i="3"/>
  <c r="BH436" i="3"/>
  <c r="BH437" i="3"/>
  <c r="BH439" i="3"/>
  <c r="BH440" i="3"/>
  <c r="BH442" i="3"/>
  <c r="BH443" i="3"/>
  <c r="BH444" i="3"/>
  <c r="BH445" i="3"/>
  <c r="BH446" i="3"/>
  <c r="BH447" i="3"/>
  <c r="BH448" i="3"/>
  <c r="BH449" i="3"/>
  <c r="BH450" i="3"/>
  <c r="BH452" i="3"/>
  <c r="BH453" i="3"/>
  <c r="BH454" i="3"/>
  <c r="BH455" i="3"/>
  <c r="BH457" i="3"/>
  <c r="BH458" i="3"/>
  <c r="BH459" i="3"/>
  <c r="BH460" i="3"/>
  <c r="BH462" i="3"/>
  <c r="BH463" i="3"/>
  <c r="BH465" i="3"/>
  <c r="BH467" i="3"/>
  <c r="BH469" i="3"/>
  <c r="BH470" i="3"/>
  <c r="BH471" i="3"/>
  <c r="BH472" i="3"/>
  <c r="BH473" i="3"/>
  <c r="BH474" i="3"/>
  <c r="BH479" i="3"/>
  <c r="BH481" i="3"/>
  <c r="BH482" i="3"/>
  <c r="BH483" i="3"/>
  <c r="BH484" i="3"/>
  <c r="BH485" i="3"/>
  <c r="BH486" i="3"/>
  <c r="BH487" i="3"/>
  <c r="BH489" i="3"/>
  <c r="BH490" i="3"/>
  <c r="BH492" i="3"/>
  <c r="BH493" i="3"/>
  <c r="BH494" i="3"/>
  <c r="BH495" i="3"/>
  <c r="BH496" i="3"/>
  <c r="BH497" i="3"/>
  <c r="BH498" i="3"/>
  <c r="BH499" i="3"/>
  <c r="BH500" i="3"/>
  <c r="BH501" i="3"/>
  <c r="BH502" i="3"/>
  <c r="BH503" i="3"/>
  <c r="BH506" i="3"/>
  <c r="BH508" i="3"/>
  <c r="BH509" i="3"/>
  <c r="BH510" i="3"/>
  <c r="BH511" i="3"/>
  <c r="BH512" i="3"/>
  <c r="BH513" i="3"/>
  <c r="BH514" i="3"/>
  <c r="BH515" i="3"/>
  <c r="BH516" i="3"/>
  <c r="BH517" i="3"/>
  <c r="BH518" i="3"/>
  <c r="BH519" i="3"/>
  <c r="BH520" i="3"/>
  <c r="BH523" i="3"/>
  <c r="BH524" i="3"/>
  <c r="BH525" i="3"/>
  <c r="BH526" i="3"/>
  <c r="BH527" i="3"/>
  <c r="BH528" i="3"/>
  <c r="BH529" i="3"/>
  <c r="BH530" i="3"/>
  <c r="BH532" i="3"/>
  <c r="BH533" i="3"/>
  <c r="BH534" i="3"/>
  <c r="BH535" i="3"/>
  <c r="BH536" i="3"/>
  <c r="BH537" i="3"/>
  <c r="BH538" i="3"/>
  <c r="BH539" i="3"/>
  <c r="BH540" i="3"/>
  <c r="BH541" i="3"/>
  <c r="BH542" i="3"/>
  <c r="BH543" i="3"/>
  <c r="BH544" i="3"/>
  <c r="BH545" i="3"/>
  <c r="BH547" i="3"/>
  <c r="BH549" i="3"/>
  <c r="BH550" i="3"/>
  <c r="BH552" i="3"/>
  <c r="BH553" i="3"/>
  <c r="BH554" i="3"/>
  <c r="BH555" i="3"/>
  <c r="BH556" i="3"/>
  <c r="BH558" i="3"/>
  <c r="BH559" i="3"/>
  <c r="BH560" i="3"/>
  <c r="BH561" i="3"/>
  <c r="BH562" i="3"/>
  <c r="BH565" i="3"/>
  <c r="BH566" i="3"/>
  <c r="BH567" i="3"/>
  <c r="BH569" i="3"/>
  <c r="BH570" i="3"/>
  <c r="BH571" i="3"/>
  <c r="BH573" i="3"/>
  <c r="BH574" i="3"/>
  <c r="BH575" i="3"/>
  <c r="BH576" i="3"/>
  <c r="BH577" i="3"/>
  <c r="BH579" i="3"/>
  <c r="BH581" i="3"/>
  <c r="BH582" i="3"/>
  <c r="BH583" i="3"/>
  <c r="BH584" i="3"/>
  <c r="BH585" i="3"/>
  <c r="BH586" i="3"/>
  <c r="BH587" i="3"/>
  <c r="BH588" i="3"/>
  <c r="BH590" i="3"/>
  <c r="BH591" i="3"/>
  <c r="BH592" i="3"/>
  <c r="BH593" i="3"/>
  <c r="BH594" i="3"/>
  <c r="BH596" i="3"/>
  <c r="BH598" i="3"/>
  <c r="BH600" i="3"/>
  <c r="BH602" i="3"/>
  <c r="BH603" i="3"/>
  <c r="BH604" i="3"/>
  <c r="BH605" i="3"/>
  <c r="BH606" i="3"/>
  <c r="BH607" i="3"/>
  <c r="BH608" i="3"/>
  <c r="BH609" i="3"/>
  <c r="BH610" i="3"/>
  <c r="BH611" i="3"/>
  <c r="BH612" i="3"/>
  <c r="BH613" i="3"/>
  <c r="BH614" i="3"/>
  <c r="BH615" i="3"/>
  <c r="BH617" i="3"/>
  <c r="BH618" i="3"/>
  <c r="BH620" i="3"/>
  <c r="BH622" i="3"/>
  <c r="BH624" i="3"/>
  <c r="BH625" i="3"/>
  <c r="BH628" i="3"/>
  <c r="BH630" i="3"/>
  <c r="BH632" i="3"/>
  <c r="BH633" i="3"/>
  <c r="BH634" i="3"/>
  <c r="BH635" i="3"/>
  <c r="BH636" i="3"/>
  <c r="BH637" i="3"/>
  <c r="BH638" i="3"/>
  <c r="BH642" i="3"/>
  <c r="BH644" i="3"/>
  <c r="BH645" i="3"/>
  <c r="BH646" i="3"/>
  <c r="BH647" i="3"/>
  <c r="BH649" i="3"/>
  <c r="BH650" i="3"/>
  <c r="BH651" i="3"/>
  <c r="BH653" i="3"/>
  <c r="BH655" i="3"/>
  <c r="BH656" i="3"/>
  <c r="BH658" i="3"/>
  <c r="BH659" i="3"/>
  <c r="BH660" i="3"/>
  <c r="BH662" i="3"/>
  <c r="BH663" i="3"/>
  <c r="BH664" i="3"/>
  <c r="BH665" i="3"/>
  <c r="BH667" i="3"/>
  <c r="BH668" i="3"/>
  <c r="BH669" i="3"/>
  <c r="BH670" i="3"/>
  <c r="BH671" i="3"/>
  <c r="BH672" i="3"/>
  <c r="BH673" i="3"/>
  <c r="BH675" i="3"/>
  <c r="BH676" i="3"/>
  <c r="BH677" i="3"/>
  <c r="BH678" i="3"/>
  <c r="BH679" i="3"/>
  <c r="BH680" i="3"/>
  <c r="BH681" i="3"/>
  <c r="BH682" i="3"/>
  <c r="BH684" i="3"/>
  <c r="BH685" i="3"/>
  <c r="BH686" i="3"/>
  <c r="BH687" i="3"/>
  <c r="BH688" i="3"/>
  <c r="BH689" i="3"/>
  <c r="BH690" i="3"/>
  <c r="BH691" i="3"/>
  <c r="BH692" i="3"/>
  <c r="BH693" i="3"/>
  <c r="BH694" i="3"/>
  <c r="BH697" i="3"/>
  <c r="BH698" i="3"/>
  <c r="BH699" i="3"/>
  <c r="BH700" i="3"/>
  <c r="BH701" i="3"/>
  <c r="BH703" i="3"/>
  <c r="BH704" i="3"/>
  <c r="BH705" i="3"/>
  <c r="BH708" i="3"/>
  <c r="BH709" i="3"/>
  <c r="BH710" i="3"/>
  <c r="BH711" i="3"/>
  <c r="BH712" i="3"/>
  <c r="BH713" i="3"/>
  <c r="BH714" i="3"/>
  <c r="BH715" i="3"/>
  <c r="BH716" i="3"/>
  <c r="BH717" i="3"/>
  <c r="BH719" i="3"/>
  <c r="BH720" i="3"/>
  <c r="BH721" i="3"/>
  <c r="BH722" i="3"/>
  <c r="BH723" i="3"/>
  <c r="BH726" i="3"/>
  <c r="BH727" i="3"/>
  <c r="BH730" i="3"/>
  <c r="BH731" i="3"/>
  <c r="BH732" i="3"/>
  <c r="BH733" i="3"/>
  <c r="BH734" i="3"/>
  <c r="BH735" i="3"/>
  <c r="BH736" i="3"/>
  <c r="BH737" i="3"/>
  <c r="BH738" i="3"/>
  <c r="BH739" i="3"/>
  <c r="BH740" i="3"/>
  <c r="BH741" i="3"/>
  <c r="BH744" i="3"/>
  <c r="BH745" i="3"/>
  <c r="BH746" i="3"/>
  <c r="BH747" i="3"/>
  <c r="BH752" i="3"/>
  <c r="BH753" i="3"/>
  <c r="BH754" i="3"/>
  <c r="BH755" i="3"/>
  <c r="BH757" i="3"/>
  <c r="BH758" i="3"/>
  <c r="BH760" i="3"/>
  <c r="BH761" i="3"/>
  <c r="BH762" i="3"/>
  <c r="BH763" i="3"/>
  <c r="BH764" i="3"/>
  <c r="BH765" i="3"/>
  <c r="BH766" i="3"/>
  <c r="BH767" i="3"/>
  <c r="BH769" i="3"/>
  <c r="BH771" i="3"/>
  <c r="BH772" i="3"/>
  <c r="BH773" i="3"/>
  <c r="BH774" i="3"/>
  <c r="BH775" i="3"/>
  <c r="BH777" i="3"/>
  <c r="BH778" i="3"/>
  <c r="BH779" i="3"/>
  <c r="BH780" i="3"/>
  <c r="BH781" i="3"/>
  <c r="BH783" i="3"/>
  <c r="BH785" i="3"/>
  <c r="BH786" i="3"/>
  <c r="BH788" i="3"/>
  <c r="BH789" i="3"/>
  <c r="BH790" i="3"/>
  <c r="BH792" i="3"/>
  <c r="BH793" i="3"/>
  <c r="BH795" i="3"/>
  <c r="BH796" i="3"/>
  <c r="BH797" i="3"/>
  <c r="BH798" i="3"/>
  <c r="BH799" i="3"/>
  <c r="BH800" i="3"/>
  <c r="BH801" i="3"/>
  <c r="BH802" i="3"/>
  <c r="BH803" i="3"/>
  <c r="BH804" i="3"/>
  <c r="BH806" i="3"/>
  <c r="BH807" i="3"/>
  <c r="BH808" i="3"/>
  <c r="BH810" i="3"/>
  <c r="BH811" i="3"/>
  <c r="BH813" i="3"/>
  <c r="BH814" i="3"/>
  <c r="BH817" i="3"/>
  <c r="BH818" i="3"/>
  <c r="BH819" i="3"/>
  <c r="BH820" i="3"/>
  <c r="BH822" i="3"/>
  <c r="BH823" i="3"/>
  <c r="BH824" i="3"/>
  <c r="BH825" i="3"/>
  <c r="BH828" i="3"/>
  <c r="BH830" i="3"/>
  <c r="BH831" i="3"/>
  <c r="BH832" i="3"/>
  <c r="BH835" i="3"/>
  <c r="BH836" i="3"/>
  <c r="BH837" i="3"/>
  <c r="BH838" i="3"/>
  <c r="BH839" i="3"/>
  <c r="BH840" i="3"/>
  <c r="BH841" i="3"/>
  <c r="BH842" i="3"/>
  <c r="BH843" i="3"/>
  <c r="BH844" i="3"/>
  <c r="BH846" i="3"/>
  <c r="BH847" i="3"/>
  <c r="BH848" i="3"/>
  <c r="BH849" i="3"/>
  <c r="BH852" i="3"/>
  <c r="BH853" i="3"/>
  <c r="BH854" i="3"/>
  <c r="BH855" i="3"/>
  <c r="BH856" i="3"/>
  <c r="BH857" i="3"/>
  <c r="BH858" i="3"/>
  <c r="BH859" i="3"/>
  <c r="BH860" i="3"/>
  <c r="BH861" i="3"/>
  <c r="BH862" i="3"/>
  <c r="BH863" i="3"/>
  <c r="BH865" i="3"/>
  <c r="BH867" i="3"/>
  <c r="BH868" i="3"/>
  <c r="BH869" i="3"/>
  <c r="BH870" i="3"/>
  <c r="BH871" i="3"/>
  <c r="BH872" i="3"/>
  <c r="BH873" i="3"/>
  <c r="BH874" i="3"/>
  <c r="BH875" i="3"/>
  <c r="BH876" i="3"/>
  <c r="BH877" i="3"/>
  <c r="BH880" i="3"/>
  <c r="BH881" i="3"/>
  <c r="BH885" i="3"/>
  <c r="BH886" i="3"/>
  <c r="BH890" i="3"/>
  <c r="BH891" i="3"/>
  <c r="BH892" i="3"/>
  <c r="BH893" i="3"/>
  <c r="BH896" i="3"/>
  <c r="BH897" i="3"/>
  <c r="BH899" i="3"/>
  <c r="BH900" i="3"/>
  <c r="BH901" i="3"/>
  <c r="BH902" i="3"/>
  <c r="BH903" i="3"/>
  <c r="BH904" i="3"/>
  <c r="BH905" i="3"/>
  <c r="BH907" i="3"/>
  <c r="BH908" i="3"/>
  <c r="BH909" i="3"/>
  <c r="BH912" i="3"/>
  <c r="BH913" i="3"/>
  <c r="BH914" i="3"/>
  <c r="BH916" i="3"/>
  <c r="BH917" i="3"/>
  <c r="BH918" i="3"/>
  <c r="BH919" i="3"/>
  <c r="BH921" i="3"/>
  <c r="BH922" i="3"/>
  <c r="BH923" i="3"/>
  <c r="BH924" i="3"/>
  <c r="BH925" i="3"/>
  <c r="BH926" i="3"/>
  <c r="BH927" i="3"/>
  <c r="BH929" i="3"/>
  <c r="BH930" i="3"/>
  <c r="BH932" i="3"/>
  <c r="BH933" i="3"/>
  <c r="BH934" i="3"/>
  <c r="BH935" i="3"/>
  <c r="BH936" i="3"/>
  <c r="BH937" i="3"/>
  <c r="BH938" i="3"/>
  <c r="BH939" i="3"/>
  <c r="BH940" i="3"/>
  <c r="BH941" i="3"/>
  <c r="BH942" i="3"/>
  <c r="BH943" i="3"/>
  <c r="BH944" i="3"/>
  <c r="BH946" i="3"/>
  <c r="BH947" i="3"/>
  <c r="BH948" i="3"/>
  <c r="BH949" i="3"/>
  <c r="BH950" i="3"/>
  <c r="BH954" i="3"/>
  <c r="BH957" i="3"/>
  <c r="BH959" i="3"/>
  <c r="BH960" i="3"/>
  <c r="BH962" i="3"/>
  <c r="BH963" i="3"/>
  <c r="BH964" i="3"/>
  <c r="BH965" i="3"/>
  <c r="BH966" i="3"/>
  <c r="BH967" i="3"/>
  <c r="BH968" i="3"/>
  <c r="BH969" i="3"/>
  <c r="BH970" i="3"/>
  <c r="BH972" i="3"/>
  <c r="BH976" i="3"/>
  <c r="BH978" i="3"/>
  <c r="BH980" i="3"/>
  <c r="BH982" i="3"/>
  <c r="BH984" i="3"/>
  <c r="BH985" i="3"/>
  <c r="BH986" i="3"/>
  <c r="BH987" i="3"/>
  <c r="BH988" i="3"/>
  <c r="BH989" i="3"/>
  <c r="BH990" i="3"/>
  <c r="BH992" i="3"/>
  <c r="BH993" i="3"/>
  <c r="BH995" i="3"/>
  <c r="BH996" i="3"/>
  <c r="BH1002" i="3"/>
  <c r="BH1003" i="3"/>
  <c r="BH1005" i="3"/>
  <c r="BH1006" i="3"/>
  <c r="BH1007" i="3"/>
  <c r="BH1008" i="3"/>
  <c r="BH1011" i="3"/>
  <c r="BH1014" i="3"/>
  <c r="BH1015" i="3"/>
  <c r="BH1017" i="3"/>
  <c r="BH1019" i="3"/>
  <c r="BH1020" i="3"/>
  <c r="BH1021" i="3"/>
  <c r="BH1022" i="3"/>
  <c r="BH1023" i="3"/>
  <c r="BH1025" i="3"/>
  <c r="BH1026" i="3"/>
  <c r="BH1027" i="3"/>
  <c r="BH1028" i="3"/>
  <c r="BH1030" i="3"/>
  <c r="BH1031" i="3"/>
  <c r="BH1033" i="3"/>
  <c r="BH1034" i="3"/>
  <c r="BH1035" i="3"/>
  <c r="BH1036" i="3"/>
  <c r="BH1037" i="3"/>
  <c r="BH1038" i="3"/>
  <c r="BH1040" i="3"/>
  <c r="BH1041" i="3"/>
  <c r="BH1042" i="3"/>
  <c r="BH1043" i="3"/>
  <c r="BH1044" i="3"/>
  <c r="BH1045" i="3"/>
  <c r="BH1046" i="3"/>
  <c r="BH1047" i="3"/>
  <c r="BH1048" i="3"/>
  <c r="BH1050" i="3"/>
  <c r="BH1051" i="3"/>
  <c r="BH1053" i="3"/>
  <c r="BH1054" i="3"/>
  <c r="BH1055" i="3"/>
  <c r="BH1056" i="3"/>
  <c r="BH1057" i="3"/>
  <c r="BH1058" i="3"/>
  <c r="BH1059" i="3"/>
  <c r="BH1060" i="3"/>
  <c r="BH1061" i="3"/>
  <c r="BH1062" i="3"/>
  <c r="AW3" i="3"/>
  <c r="AW4" i="3"/>
  <c r="AW5" i="3"/>
  <c r="AW7" i="3"/>
  <c r="AW10" i="3"/>
  <c r="AW11" i="3"/>
  <c r="AW16" i="3"/>
  <c r="AW17" i="3"/>
  <c r="AW18" i="3"/>
  <c r="AW20" i="3"/>
  <c r="AW22" i="3"/>
  <c r="AW23" i="3"/>
  <c r="AW24" i="3"/>
  <c r="AW25" i="3"/>
  <c r="AW27" i="3"/>
  <c r="AW28" i="3"/>
  <c r="AW29" i="3"/>
  <c r="AW30" i="3"/>
  <c r="AW31" i="3"/>
  <c r="AW36" i="3"/>
  <c r="AW37" i="3"/>
  <c r="AW40" i="3"/>
  <c r="AW41" i="3"/>
  <c r="AW42" i="3"/>
  <c r="AW43" i="3"/>
  <c r="AW48" i="3"/>
  <c r="AW50" i="3"/>
  <c r="AW53" i="3"/>
  <c r="AW54" i="3"/>
  <c r="AW55" i="3"/>
  <c r="AW56" i="3"/>
  <c r="AW58" i="3"/>
  <c r="AW59" i="3"/>
  <c r="AW61" i="3"/>
  <c r="AW62" i="3"/>
  <c r="AW65" i="3"/>
  <c r="AW66" i="3"/>
  <c r="AW67" i="3"/>
  <c r="AW68" i="3"/>
  <c r="AW71" i="3"/>
  <c r="AW73" i="3"/>
  <c r="AW74" i="3"/>
  <c r="AW82" i="3"/>
  <c r="AW83" i="3"/>
  <c r="AW86" i="3"/>
  <c r="AW88" i="3"/>
  <c r="AW89" i="3"/>
  <c r="AW90" i="3"/>
  <c r="AW91" i="3"/>
  <c r="AW93" i="3"/>
  <c r="AW94" i="3"/>
  <c r="AW96" i="3"/>
  <c r="AW97" i="3"/>
  <c r="AW103" i="3"/>
  <c r="AW105" i="3"/>
  <c r="AW106" i="3"/>
  <c r="AW107" i="3"/>
  <c r="AW110" i="3"/>
  <c r="AW111" i="3"/>
  <c r="AW112" i="3"/>
  <c r="AW113" i="3"/>
  <c r="AW114" i="3"/>
  <c r="AW115" i="3"/>
  <c r="AW116" i="3"/>
  <c r="AW117" i="3"/>
  <c r="AW120" i="3"/>
  <c r="AW123" i="3"/>
  <c r="AW124" i="3"/>
  <c r="AW125" i="3"/>
  <c r="AW126" i="3"/>
  <c r="AW127" i="3"/>
  <c r="AW129" i="3"/>
  <c r="AW135" i="3"/>
  <c r="AW138" i="3"/>
  <c r="AW139" i="3"/>
  <c r="AW140" i="3"/>
  <c r="AW141" i="3"/>
  <c r="AW142" i="3"/>
  <c r="AW143" i="3"/>
  <c r="AW148" i="3"/>
  <c r="AW149" i="3"/>
  <c r="AW151" i="3"/>
  <c r="AW154" i="3"/>
  <c r="AW157" i="3"/>
  <c r="AW161" i="3"/>
  <c r="AW165" i="3"/>
  <c r="AW166" i="3"/>
  <c r="AW168" i="3"/>
  <c r="AW169" i="3"/>
  <c r="AW171" i="3"/>
  <c r="AW175" i="3"/>
  <c r="AW176" i="3"/>
  <c r="AW177" i="3"/>
  <c r="AW178" i="3"/>
  <c r="AW179" i="3"/>
  <c r="AW180" i="3"/>
  <c r="AW181" i="3"/>
  <c r="AW182" i="3"/>
  <c r="AW183" i="3"/>
  <c r="AW185" i="3"/>
  <c r="AW187" i="3"/>
  <c r="AW189" i="3"/>
  <c r="AW190" i="3"/>
  <c r="AW191" i="3"/>
  <c r="AW194" i="3"/>
  <c r="AW195" i="3"/>
  <c r="AW198" i="3"/>
  <c r="AW201" i="3"/>
  <c r="AW202" i="3"/>
  <c r="AW203" i="3"/>
  <c r="AW204" i="3"/>
  <c r="AW206" i="3"/>
  <c r="AW208" i="3"/>
  <c r="AW209" i="3"/>
  <c r="AW210" i="3"/>
  <c r="AW212" i="3"/>
  <c r="AW213" i="3"/>
  <c r="AW215" i="3"/>
  <c r="AW216" i="3"/>
  <c r="AW219" i="3"/>
  <c r="AW222" i="3"/>
  <c r="AW223" i="3"/>
  <c r="AW224" i="3"/>
  <c r="AW225" i="3"/>
  <c r="AW226" i="3"/>
  <c r="AW228" i="3"/>
  <c r="AW229" i="3"/>
  <c r="AW230" i="3"/>
  <c r="AW231" i="3"/>
  <c r="AW232" i="3"/>
  <c r="AW234" i="3"/>
  <c r="AW235" i="3"/>
  <c r="AW237" i="3"/>
  <c r="AW238" i="3"/>
  <c r="AW240" i="3"/>
  <c r="AW241" i="3"/>
  <c r="AW242" i="3"/>
  <c r="AW243" i="3"/>
  <c r="AW244" i="3"/>
  <c r="AW246" i="3"/>
  <c r="AW247" i="3"/>
  <c r="AW250" i="3"/>
  <c r="AW253" i="3"/>
  <c r="AW254" i="3"/>
  <c r="AW255" i="3"/>
  <c r="AW256" i="3"/>
  <c r="AW257" i="3"/>
  <c r="AW258" i="3"/>
  <c r="AW260" i="3"/>
  <c r="AW261" i="3"/>
  <c r="AW262" i="3"/>
  <c r="AW264" i="3"/>
  <c r="AW265" i="3"/>
  <c r="AW267" i="3"/>
  <c r="AW268" i="3"/>
  <c r="AW269" i="3"/>
  <c r="AW272" i="3"/>
  <c r="AW273" i="3"/>
  <c r="AW274" i="3"/>
  <c r="AW275" i="3"/>
  <c r="AW277" i="3"/>
  <c r="AW278" i="3"/>
  <c r="AW280" i="3"/>
  <c r="AW283" i="3"/>
  <c r="AW284" i="3"/>
  <c r="AW286" i="3"/>
  <c r="AW288" i="3"/>
  <c r="AW292" i="3"/>
  <c r="AW293" i="3"/>
  <c r="AW294" i="3"/>
  <c r="AW295" i="3"/>
  <c r="AW296" i="3"/>
  <c r="AW297" i="3"/>
  <c r="AW298" i="3"/>
  <c r="AW301" i="3"/>
  <c r="AW307" i="3"/>
  <c r="AW308" i="3"/>
  <c r="AW311" i="3"/>
  <c r="AW312" i="3"/>
  <c r="AW313" i="3"/>
  <c r="AW314" i="3"/>
  <c r="AW317" i="3"/>
  <c r="AW318" i="3"/>
  <c r="AW321" i="3"/>
  <c r="AW323" i="3"/>
  <c r="AW324" i="3"/>
  <c r="AW325" i="3"/>
  <c r="AW326" i="3"/>
  <c r="AW328" i="3"/>
  <c r="AW329" i="3"/>
  <c r="AW330" i="3"/>
  <c r="AW332" i="3"/>
  <c r="AW334" i="3"/>
  <c r="AW335" i="3"/>
  <c r="AW336" i="3"/>
  <c r="AW338" i="3"/>
  <c r="AW345" i="3"/>
  <c r="AW347" i="3"/>
  <c r="AW348" i="3"/>
  <c r="AW349" i="3"/>
  <c r="AW350" i="3"/>
  <c r="AW351" i="3"/>
  <c r="AW353" i="3"/>
  <c r="AW354" i="3"/>
  <c r="AW355" i="3"/>
  <c r="AW356" i="3"/>
  <c r="AW358" i="3"/>
  <c r="AW362" i="3"/>
  <c r="AW365" i="3"/>
  <c r="AW367" i="3"/>
  <c r="AW369" i="3"/>
  <c r="AW371" i="3"/>
  <c r="AW372" i="3"/>
  <c r="AW373" i="3"/>
  <c r="AW374" i="3"/>
  <c r="AW375" i="3"/>
  <c r="AW376" i="3"/>
  <c r="AW377" i="3"/>
  <c r="AW379" i="3"/>
  <c r="AW380" i="3"/>
  <c r="AW381" i="3"/>
  <c r="AW383" i="3"/>
  <c r="AW386" i="3"/>
  <c r="AW387" i="3"/>
  <c r="AW389" i="3"/>
  <c r="AW390" i="3"/>
  <c r="AW395" i="3"/>
  <c r="AW398" i="3"/>
  <c r="AW403" i="3"/>
  <c r="AW404" i="3"/>
  <c r="AW408" i="3"/>
  <c r="AW410" i="3"/>
  <c r="AW411" i="3"/>
  <c r="AW412" i="3"/>
  <c r="AW413" i="3"/>
  <c r="AW414" i="3"/>
  <c r="AW415" i="3"/>
  <c r="AW417" i="3"/>
  <c r="AW418" i="3"/>
  <c r="AW421" i="3"/>
  <c r="AW423" i="3"/>
  <c r="AW424" i="3"/>
  <c r="AW425" i="3"/>
  <c r="AW426" i="3"/>
  <c r="AW427" i="3"/>
  <c r="AW428" i="3"/>
  <c r="AW432" i="3"/>
  <c r="AW433" i="3"/>
  <c r="AW434" i="3"/>
  <c r="AW437" i="3"/>
  <c r="AW438" i="3"/>
  <c r="AW440" i="3"/>
  <c r="AW441" i="3"/>
  <c r="AW443" i="3"/>
  <c r="AW444" i="3"/>
  <c r="AW445" i="3"/>
  <c r="AW446" i="3"/>
  <c r="AW449" i="3"/>
  <c r="AW454" i="3"/>
  <c r="AW455" i="3"/>
  <c r="AW456" i="3"/>
  <c r="AW458" i="3"/>
  <c r="AW459" i="3"/>
  <c r="AW460" i="3"/>
  <c r="AW464" i="3"/>
  <c r="AW465" i="3"/>
  <c r="AW466" i="3"/>
  <c r="AW470" i="3"/>
  <c r="AW472" i="3"/>
  <c r="AW473" i="3"/>
  <c r="AW475" i="3"/>
  <c r="AW477" i="3"/>
  <c r="AW479" i="3"/>
  <c r="AW482" i="3"/>
  <c r="AW484" i="3"/>
  <c r="AW485" i="3"/>
  <c r="AW487" i="3"/>
  <c r="AW488" i="3"/>
  <c r="AW489" i="3"/>
  <c r="AW490" i="3"/>
  <c r="AW491" i="3"/>
  <c r="AW492" i="3"/>
  <c r="AW494" i="3"/>
  <c r="AW495" i="3"/>
  <c r="AW497" i="3"/>
  <c r="AW498" i="3"/>
  <c r="AW499" i="3"/>
  <c r="AW501" i="3"/>
  <c r="AW502" i="3"/>
  <c r="AW503" i="3"/>
  <c r="AW505" i="3"/>
  <c r="AW506" i="3"/>
  <c r="AW507" i="3"/>
  <c r="AW508" i="3"/>
  <c r="AW510" i="3"/>
  <c r="AW511" i="3"/>
  <c r="AW512" i="3"/>
  <c r="AW513" i="3"/>
  <c r="AW514" i="3"/>
  <c r="AW515" i="3"/>
  <c r="AW516" i="3"/>
  <c r="AW517" i="3"/>
  <c r="AW518" i="3"/>
  <c r="AW519" i="3"/>
  <c r="AW520" i="3"/>
  <c r="AW523" i="3"/>
  <c r="AW524" i="3"/>
  <c r="AW525" i="3"/>
  <c r="AW528" i="3"/>
  <c r="AW529" i="3"/>
  <c r="AW530" i="3"/>
  <c r="AW532" i="3"/>
  <c r="AW533" i="3"/>
  <c r="AW534" i="3"/>
  <c r="AW535" i="3"/>
  <c r="AW536" i="3"/>
  <c r="AW537" i="3"/>
  <c r="AW540" i="3"/>
  <c r="AW542" i="3"/>
  <c r="AW543" i="3"/>
  <c r="AW544" i="3"/>
  <c r="AW545" i="3"/>
  <c r="AW547" i="3"/>
  <c r="AW548" i="3"/>
  <c r="AW550" i="3"/>
  <c r="AW552" i="3"/>
  <c r="AW555" i="3"/>
  <c r="AW556" i="3"/>
  <c r="AW558" i="3"/>
  <c r="AW559" i="3"/>
  <c r="AW561" i="3"/>
  <c r="AW564" i="3"/>
  <c r="AW566" i="3"/>
  <c r="AW569" i="3"/>
  <c r="AW570" i="3"/>
  <c r="AW573" i="3"/>
  <c r="AW574" i="3"/>
  <c r="AW575" i="3"/>
  <c r="AW576" i="3"/>
  <c r="AW577" i="3"/>
  <c r="AW578" i="3"/>
  <c r="AW579" i="3"/>
  <c r="AW583" i="3"/>
  <c r="AW584" i="3"/>
  <c r="AW585" i="3"/>
  <c r="AW588" i="3"/>
  <c r="AW590" i="3"/>
  <c r="AW592" i="3"/>
  <c r="AW593" i="3"/>
  <c r="AW597" i="3"/>
  <c r="AW598" i="3"/>
  <c r="AW600" i="3"/>
  <c r="AW605" i="3"/>
  <c r="AW606" i="3"/>
  <c r="AW607" i="3"/>
  <c r="AW609" i="3"/>
  <c r="AW610" i="3"/>
  <c r="AW611" i="3"/>
  <c r="AW612" i="3"/>
  <c r="AW613" i="3"/>
  <c r="AW615" i="3"/>
  <c r="AW617" i="3"/>
  <c r="AW618" i="3"/>
  <c r="AW622" i="3"/>
  <c r="AW630" i="3"/>
  <c r="AW632" i="3"/>
  <c r="AW633" i="3"/>
  <c r="AW634" i="3"/>
  <c r="AW636" i="3"/>
  <c r="AW637" i="3"/>
  <c r="AW638" i="3"/>
  <c r="AW640" i="3"/>
  <c r="AW643" i="3"/>
  <c r="AW644" i="3"/>
  <c r="AW645" i="3"/>
  <c r="AW647" i="3"/>
  <c r="AW649" i="3"/>
  <c r="AW654" i="3"/>
  <c r="AW655" i="3"/>
  <c r="AW656" i="3"/>
  <c r="AW658" i="3"/>
  <c r="AW660" i="3"/>
  <c r="AW662" i="3"/>
  <c r="AW665" i="3"/>
  <c r="AW666" i="3"/>
  <c r="AW667" i="3"/>
  <c r="AW669" i="3"/>
  <c r="AW670" i="3"/>
  <c r="AW674" i="3"/>
  <c r="AW675" i="3"/>
  <c r="AW676" i="3"/>
  <c r="AW678" i="3"/>
  <c r="AW681" i="3"/>
  <c r="AW688" i="3"/>
  <c r="AW689" i="3"/>
  <c r="AW690" i="3"/>
  <c r="AW691" i="3"/>
  <c r="AW696" i="3"/>
  <c r="AW697" i="3"/>
  <c r="AW698" i="3"/>
  <c r="AW699" i="3"/>
  <c r="AW700" i="3"/>
  <c r="AW703" i="3"/>
  <c r="AW704" i="3"/>
  <c r="AW705" i="3"/>
  <c r="AW709" i="3"/>
  <c r="AW710" i="3"/>
  <c r="AW711" i="3"/>
  <c r="AW712" i="3"/>
  <c r="AW713" i="3"/>
  <c r="AW714" i="3"/>
  <c r="AW715" i="3"/>
  <c r="AW716" i="3"/>
  <c r="AW720" i="3"/>
  <c r="AW723" i="3"/>
  <c r="AW726" i="3"/>
  <c r="AW728" i="3"/>
  <c r="AW730" i="3"/>
  <c r="AW732" i="3"/>
  <c r="AW733" i="3"/>
  <c r="AW734" i="3"/>
  <c r="AW735" i="3"/>
  <c r="AW736" i="3"/>
  <c r="AW737" i="3"/>
  <c r="AW739" i="3"/>
  <c r="AW740" i="3"/>
  <c r="AW742" i="3"/>
  <c r="AW744" i="3"/>
  <c r="AW746" i="3"/>
  <c r="AW747" i="3"/>
  <c r="AW752" i="3"/>
  <c r="AW753" i="3"/>
  <c r="AW754" i="3"/>
  <c r="AW755" i="3"/>
  <c r="AW758" i="3"/>
  <c r="AW760" i="3"/>
  <c r="AW761" i="3"/>
  <c r="AW763" i="3"/>
  <c r="AW765" i="3"/>
  <c r="AW767" i="3"/>
  <c r="AW769" i="3"/>
  <c r="AW772" i="3"/>
  <c r="AW773" i="3"/>
  <c r="AW775" i="3"/>
  <c r="AW777" i="3"/>
  <c r="AW778" i="3"/>
  <c r="AW779" i="3"/>
  <c r="AW780" i="3"/>
  <c r="AW781" i="3"/>
  <c r="AW784" i="3"/>
  <c r="AW785" i="3"/>
  <c r="AW786" i="3"/>
  <c r="AW788" i="3"/>
  <c r="AW789" i="3"/>
  <c r="AW790" i="3"/>
  <c r="AW792" i="3"/>
  <c r="AW793" i="3"/>
  <c r="AW795" i="3"/>
  <c r="AW796" i="3"/>
  <c r="AW797" i="3"/>
  <c r="AW798" i="3"/>
  <c r="AW799" i="3"/>
  <c r="AW800" i="3"/>
  <c r="AW801" i="3"/>
  <c r="AW802" i="3"/>
  <c r="AW803" i="3"/>
  <c r="AW804" i="3"/>
  <c r="AW806" i="3"/>
  <c r="AW807" i="3"/>
  <c r="AW810" i="3"/>
  <c r="AW812" i="3"/>
  <c r="AW814" i="3"/>
  <c r="AW818" i="3"/>
  <c r="AW820" i="3"/>
  <c r="AW823" i="3"/>
  <c r="AW825" i="3"/>
  <c r="AW826" i="3"/>
  <c r="AW828" i="3"/>
  <c r="AW830" i="3"/>
  <c r="AW832" i="3"/>
  <c r="AW834" i="3"/>
  <c r="AW835" i="3"/>
  <c r="AW836" i="3"/>
  <c r="AW837" i="3"/>
  <c r="AW838" i="3"/>
  <c r="AW839" i="3"/>
  <c r="AW841" i="3"/>
  <c r="AW843" i="3"/>
  <c r="AW846" i="3"/>
  <c r="AW847" i="3"/>
  <c r="AW848" i="3"/>
  <c r="AW852" i="3"/>
  <c r="AW853" i="3"/>
  <c r="AW855" i="3"/>
  <c r="AW857" i="3"/>
  <c r="AW858" i="3"/>
  <c r="AW859" i="3"/>
  <c r="AW860" i="3"/>
  <c r="AW862" i="3"/>
  <c r="AW867" i="3"/>
  <c r="AW868" i="3"/>
  <c r="AW869" i="3"/>
  <c r="AW870" i="3"/>
  <c r="AW871" i="3"/>
  <c r="AW874" i="3"/>
  <c r="AW875" i="3"/>
  <c r="AW876" i="3"/>
  <c r="AW877" i="3"/>
  <c r="AW879" i="3"/>
  <c r="AW881" i="3"/>
  <c r="AW884" i="3"/>
  <c r="AW885" i="3"/>
  <c r="AW888" i="3"/>
  <c r="AW889" i="3"/>
  <c r="AW890" i="3"/>
  <c r="AW891" i="3"/>
  <c r="AW892" i="3"/>
  <c r="AW900" i="3"/>
  <c r="AW901" i="3"/>
  <c r="AW902" i="3"/>
  <c r="AW903" i="3"/>
  <c r="AW904" i="3"/>
  <c r="AW906" i="3"/>
  <c r="AW907" i="3"/>
  <c r="AW909" i="3"/>
  <c r="AW912" i="3"/>
  <c r="AW913" i="3"/>
  <c r="AW916" i="3"/>
  <c r="AW918" i="3"/>
  <c r="AW919" i="3"/>
  <c r="AW922" i="3"/>
  <c r="AW924" i="3"/>
  <c r="AW925" i="3"/>
  <c r="AW927" i="3"/>
  <c r="AW929" i="3"/>
  <c r="AW930" i="3"/>
  <c r="AW931" i="3"/>
  <c r="AW932" i="3"/>
  <c r="AW934" i="3"/>
  <c r="AW937" i="3"/>
  <c r="AW938" i="3"/>
  <c r="AW940" i="3"/>
  <c r="AW941" i="3"/>
  <c r="AW942" i="3"/>
  <c r="AW944" i="3"/>
  <c r="AW946" i="3"/>
  <c r="AW947" i="3"/>
  <c r="AW949" i="3"/>
  <c r="AW950" i="3"/>
  <c r="AW955" i="3"/>
  <c r="AW957" i="3"/>
  <c r="AW959" i="3"/>
  <c r="AW960" i="3"/>
  <c r="AW961" i="3"/>
  <c r="AW962" i="3"/>
  <c r="AW964" i="3"/>
  <c r="AW965" i="3"/>
  <c r="AW966" i="3"/>
  <c r="AW967" i="3"/>
  <c r="AW968" i="3"/>
  <c r="AW969" i="3"/>
  <c r="AW972" i="3"/>
  <c r="AW976" i="3"/>
  <c r="AW978" i="3"/>
  <c r="AW980" i="3"/>
  <c r="AW981" i="3"/>
  <c r="AW982" i="3"/>
  <c r="AW984" i="3"/>
  <c r="AW985" i="3"/>
  <c r="AW986" i="3"/>
  <c r="AW987" i="3"/>
  <c r="AW989" i="3"/>
  <c r="AW990" i="3"/>
  <c r="AW992" i="3"/>
  <c r="AW996" i="3"/>
  <c r="AW1000" i="3"/>
  <c r="AW1002" i="3"/>
  <c r="AW1006" i="3"/>
  <c r="AW1007" i="3"/>
  <c r="AW1008" i="3"/>
  <c r="AW1009" i="3"/>
  <c r="AW1011" i="3"/>
  <c r="AW1014" i="3"/>
  <c r="AW1015" i="3"/>
  <c r="AW1021" i="3"/>
  <c r="AW1023" i="3"/>
  <c r="AW1025" i="3"/>
  <c r="AW1028" i="3"/>
  <c r="AW1030" i="3"/>
  <c r="AW1035" i="3"/>
  <c r="AW1036" i="3"/>
  <c r="AW1037" i="3"/>
  <c r="AW1038" i="3"/>
  <c r="AW1043" i="3"/>
  <c r="AW1045" i="3"/>
  <c r="AW1046" i="3"/>
  <c r="AW1048" i="3"/>
  <c r="AW1050" i="3"/>
  <c r="AW1052" i="3"/>
  <c r="AW1053" i="3"/>
  <c r="AW1054" i="3"/>
  <c r="AW1055" i="3"/>
  <c r="AW1059" i="3"/>
  <c r="AW1060" i="3"/>
  <c r="AW1061" i="3"/>
  <c r="AT10" i="3"/>
  <c r="AT15" i="3"/>
  <c r="AT26" i="3"/>
  <c r="AT62" i="3"/>
  <c r="AT73" i="3"/>
  <c r="AT94" i="3"/>
  <c r="AT103" i="3"/>
  <c r="AT145" i="3"/>
  <c r="AT149" i="3"/>
  <c r="AT170" i="3"/>
  <c r="AT171" i="3"/>
  <c r="AT182" i="3"/>
  <c r="AT191" i="3"/>
  <c r="AT194" i="3"/>
  <c r="AT198" i="3"/>
  <c r="AT206" i="3"/>
  <c r="AT207" i="3"/>
  <c r="AT243" i="3"/>
  <c r="AT252" i="3"/>
  <c r="AT264" i="3"/>
  <c r="AT267" i="3"/>
  <c r="AT283" i="3"/>
  <c r="AT308" i="3"/>
  <c r="AT315" i="3"/>
  <c r="AT351" i="3"/>
  <c r="AT365" i="3"/>
  <c r="AT369" i="3"/>
  <c r="AT393" i="3"/>
  <c r="AT402" i="3"/>
  <c r="AT443" i="3"/>
  <c r="AT484" i="3"/>
  <c r="AT489" i="3"/>
  <c r="AT509" i="3"/>
  <c r="AT512" i="3"/>
  <c r="AT515" i="3"/>
  <c r="AT533" i="3"/>
  <c r="AT539" i="3"/>
  <c r="AT562" i="3"/>
  <c r="AT563" i="3"/>
  <c r="AT576" i="3"/>
  <c r="AT584" i="3"/>
  <c r="AT601" i="3"/>
  <c r="AT608" i="3"/>
  <c r="AT617" i="3"/>
  <c r="AT620" i="3"/>
  <c r="AT628" i="3"/>
  <c r="AT639" i="3"/>
  <c r="AT648" i="3"/>
  <c r="AT664" i="3"/>
  <c r="AT668" i="3"/>
  <c r="AT706" i="3"/>
  <c r="AT713" i="3"/>
  <c r="AT718" i="3"/>
  <c r="AT730" i="3"/>
  <c r="AT743" i="3"/>
  <c r="AT745" i="3"/>
  <c r="AT752" i="3"/>
  <c r="AT754" i="3"/>
  <c r="AT766" i="3"/>
  <c r="AT789" i="3"/>
  <c r="AT794" i="3"/>
  <c r="AT811" i="3"/>
  <c r="AT835" i="3"/>
  <c r="AT840" i="3"/>
  <c r="AT869" i="3"/>
  <c r="AT875" i="3"/>
  <c r="AT909" i="3"/>
  <c r="AT918" i="3"/>
  <c r="AT927" i="3"/>
  <c r="AT937" i="3"/>
  <c r="AT944" i="3"/>
  <c r="AT951" i="3"/>
  <c r="AT961" i="3"/>
  <c r="AT962" i="3"/>
  <c r="AT975" i="3"/>
  <c r="AT978" i="3"/>
  <c r="AT981" i="3"/>
  <c r="AT1006" i="3"/>
  <c r="AT1028" i="3"/>
  <c r="AT1035" i="3"/>
  <c r="AT1040" i="3"/>
  <c r="AT1061" i="3"/>
  <c r="AS10" i="3"/>
  <c r="AS15" i="3"/>
  <c r="AS26" i="3"/>
  <c r="AS62" i="3"/>
  <c r="AS73" i="3"/>
  <c r="AS94" i="3"/>
  <c r="AS103" i="3"/>
  <c r="AS145" i="3"/>
  <c r="AS149" i="3"/>
  <c r="AS170" i="3"/>
  <c r="AS171" i="3"/>
  <c r="AS182" i="3"/>
  <c r="AS191" i="3"/>
  <c r="AS194" i="3"/>
  <c r="AS198" i="3"/>
  <c r="AS206" i="3"/>
  <c r="AS207" i="3"/>
  <c r="AS243" i="3"/>
  <c r="AS252" i="3"/>
  <c r="AS264" i="3"/>
  <c r="AS267" i="3"/>
  <c r="AS283" i="3"/>
  <c r="AS308" i="3"/>
  <c r="AS315" i="3"/>
  <c r="AS351" i="3"/>
  <c r="AS365" i="3"/>
  <c r="AS369" i="3"/>
  <c r="AS393" i="3"/>
  <c r="AS402" i="3"/>
  <c r="AS443" i="3"/>
  <c r="AS484" i="3"/>
  <c r="AS489" i="3"/>
  <c r="AS509" i="3"/>
  <c r="AS512" i="3"/>
  <c r="AS515" i="3"/>
  <c r="AS533" i="3"/>
  <c r="AS539" i="3"/>
  <c r="AS562" i="3"/>
  <c r="AS563" i="3"/>
  <c r="AS576" i="3"/>
  <c r="AS584" i="3"/>
  <c r="AS601" i="3"/>
  <c r="AS608" i="3"/>
  <c r="AS617" i="3"/>
  <c r="AS620" i="3"/>
  <c r="AS628" i="3"/>
  <c r="AS639" i="3"/>
  <c r="AS648" i="3"/>
  <c r="AS664" i="3"/>
  <c r="AS668" i="3"/>
  <c r="AS706" i="3"/>
  <c r="AS713" i="3"/>
  <c r="AS718" i="3"/>
  <c r="AS730" i="3"/>
  <c r="AS743" i="3"/>
  <c r="AS745" i="3"/>
  <c r="AS752" i="3"/>
  <c r="AS754" i="3"/>
  <c r="AS766" i="3"/>
  <c r="AS789" i="3"/>
  <c r="AS794" i="3"/>
  <c r="AS811" i="3"/>
  <c r="AS835" i="3"/>
  <c r="AS840" i="3"/>
  <c r="AS869" i="3"/>
  <c r="AS875" i="3"/>
  <c r="AS909" i="3"/>
  <c r="AS918" i="3"/>
  <c r="AS927" i="3"/>
  <c r="AS937" i="3"/>
  <c r="AS944" i="3"/>
  <c r="AS951" i="3"/>
  <c r="AS961" i="3"/>
  <c r="AS962" i="3"/>
  <c r="AS975" i="3"/>
  <c r="AS978" i="3"/>
  <c r="AS981" i="3"/>
  <c r="AS1006" i="3"/>
  <c r="AS1028" i="3"/>
  <c r="AS1035" i="3"/>
  <c r="AS1040" i="3"/>
  <c r="AS1061" i="3"/>
  <c r="AQ3" i="3"/>
  <c r="AQ4" i="3"/>
  <c r="AQ5" i="3"/>
  <c r="AQ7" i="3"/>
  <c r="AQ10" i="3"/>
  <c r="AQ11" i="3"/>
  <c r="AQ16" i="3"/>
  <c r="AQ17" i="3"/>
  <c r="AQ18" i="3"/>
  <c r="AQ20" i="3"/>
  <c r="AQ22" i="3"/>
  <c r="AQ23" i="3"/>
  <c r="AQ24" i="3"/>
  <c r="AQ25" i="3"/>
  <c r="AQ27" i="3"/>
  <c r="AQ28" i="3"/>
  <c r="AQ29" i="3"/>
  <c r="AQ30" i="3"/>
  <c r="AQ31" i="3"/>
  <c r="AQ36" i="3"/>
  <c r="AQ37" i="3"/>
  <c r="AQ40" i="3"/>
  <c r="AQ41" i="3"/>
  <c r="AQ42" i="3"/>
  <c r="AQ43" i="3"/>
  <c r="AQ48" i="3"/>
  <c r="AQ50" i="3"/>
  <c r="AQ53" i="3"/>
  <c r="AQ54" i="3"/>
  <c r="AQ55" i="3"/>
  <c r="AQ56" i="3"/>
  <c r="AQ58" i="3"/>
  <c r="AQ59" i="3"/>
  <c r="AQ61" i="3"/>
  <c r="AQ62" i="3"/>
  <c r="AQ65" i="3"/>
  <c r="AQ66" i="3"/>
  <c r="AQ67" i="3"/>
  <c r="AQ68" i="3"/>
  <c r="AQ71" i="3"/>
  <c r="AQ73" i="3"/>
  <c r="AQ74" i="3"/>
  <c r="AQ82" i="3"/>
  <c r="AQ83" i="3"/>
  <c r="AQ86" i="3"/>
  <c r="AQ88" i="3"/>
  <c r="AQ89" i="3"/>
  <c r="AQ90" i="3"/>
  <c r="AQ91" i="3"/>
  <c r="AQ93" i="3"/>
  <c r="AQ94" i="3"/>
  <c r="AQ96" i="3"/>
  <c r="AQ97" i="3"/>
  <c r="AQ103" i="3"/>
  <c r="AQ105" i="3"/>
  <c r="AQ106" i="3"/>
  <c r="AQ107" i="3"/>
  <c r="AQ110" i="3"/>
  <c r="AQ111" i="3"/>
  <c r="AQ112" i="3"/>
  <c r="AQ113" i="3"/>
  <c r="AQ114" i="3"/>
  <c r="AQ115" i="3"/>
  <c r="AQ116" i="3"/>
  <c r="AQ117" i="3"/>
  <c r="AQ120" i="3"/>
  <c r="AQ123" i="3"/>
  <c r="AQ124" i="3"/>
  <c r="AQ125" i="3"/>
  <c r="AQ126" i="3"/>
  <c r="AQ127" i="3"/>
  <c r="AQ129" i="3"/>
  <c r="AQ135" i="3"/>
  <c r="AQ138" i="3"/>
  <c r="AQ139" i="3"/>
  <c r="AQ140" i="3"/>
  <c r="AQ141" i="3"/>
  <c r="AQ142" i="3"/>
  <c r="AQ143" i="3"/>
  <c r="AQ148" i="3"/>
  <c r="AQ149" i="3"/>
  <c r="AQ151" i="3"/>
  <c r="AQ154" i="3"/>
  <c r="AQ157" i="3"/>
  <c r="AQ161" i="3"/>
  <c r="AQ165" i="3"/>
  <c r="AQ166" i="3"/>
  <c r="AQ168" i="3"/>
  <c r="AQ169" i="3"/>
  <c r="AQ171" i="3"/>
  <c r="AQ175" i="3"/>
  <c r="AQ176" i="3"/>
  <c r="AQ177" i="3"/>
  <c r="AQ178" i="3"/>
  <c r="AQ179" i="3"/>
  <c r="AQ180" i="3"/>
  <c r="AQ181" i="3"/>
  <c r="AQ182" i="3"/>
  <c r="AQ183" i="3"/>
  <c r="AQ185" i="3"/>
  <c r="AQ187" i="3"/>
  <c r="AQ189" i="3"/>
  <c r="AQ190" i="3"/>
  <c r="AQ191" i="3"/>
  <c r="AQ194" i="3"/>
  <c r="AQ195" i="3"/>
  <c r="AQ198" i="3"/>
  <c r="AQ201" i="3"/>
  <c r="AQ202" i="3"/>
  <c r="AQ203" i="3"/>
  <c r="AQ204" i="3"/>
  <c r="AQ206" i="3"/>
  <c r="AQ208" i="3"/>
  <c r="AQ209" i="3"/>
  <c r="AQ210" i="3"/>
  <c r="AQ212" i="3"/>
  <c r="AQ213" i="3"/>
  <c r="AQ215" i="3"/>
  <c r="AQ216" i="3"/>
  <c r="AQ219" i="3"/>
  <c r="AQ222" i="3"/>
  <c r="AQ223" i="3"/>
  <c r="AQ224" i="3"/>
  <c r="AQ225" i="3"/>
  <c r="AQ226" i="3"/>
  <c r="AQ228" i="3"/>
  <c r="AQ229" i="3"/>
  <c r="AQ230" i="3"/>
  <c r="AQ231" i="3"/>
  <c r="AQ232" i="3"/>
  <c r="AQ234" i="3"/>
  <c r="AQ235" i="3"/>
  <c r="AQ237" i="3"/>
  <c r="AQ238" i="3"/>
  <c r="AQ240" i="3"/>
  <c r="AQ241" i="3"/>
  <c r="AQ242" i="3"/>
  <c r="AQ243" i="3"/>
  <c r="AQ244" i="3"/>
  <c r="AQ246" i="3"/>
  <c r="AQ247" i="3"/>
  <c r="AQ250" i="3"/>
  <c r="AQ253" i="3"/>
  <c r="AQ254" i="3"/>
  <c r="AQ255" i="3"/>
  <c r="AQ256" i="3"/>
  <c r="AQ257" i="3"/>
  <c r="AQ258" i="3"/>
  <c r="AQ260" i="3"/>
  <c r="AQ261" i="3"/>
  <c r="AQ262" i="3"/>
  <c r="AQ264" i="3"/>
  <c r="AQ265" i="3"/>
  <c r="AQ267" i="3"/>
  <c r="AQ268" i="3"/>
  <c r="AQ269" i="3"/>
  <c r="AQ272" i="3"/>
  <c r="AQ273" i="3"/>
  <c r="AQ274" i="3"/>
  <c r="AQ275" i="3"/>
  <c r="AQ277" i="3"/>
  <c r="AQ278" i="3"/>
  <c r="AQ280" i="3"/>
  <c r="AQ283" i="3"/>
  <c r="AQ284" i="3"/>
  <c r="AQ286" i="3"/>
  <c r="AQ288" i="3"/>
  <c r="AQ292" i="3"/>
  <c r="AQ293" i="3"/>
  <c r="AQ294" i="3"/>
  <c r="AQ295" i="3"/>
  <c r="AQ296" i="3"/>
  <c r="AQ297" i="3"/>
  <c r="AQ298" i="3"/>
  <c r="AQ301" i="3"/>
  <c r="AQ307" i="3"/>
  <c r="AQ308" i="3"/>
  <c r="AQ311" i="3"/>
  <c r="AQ312" i="3"/>
  <c r="AQ313" i="3"/>
  <c r="AQ314" i="3"/>
  <c r="AQ317" i="3"/>
  <c r="AQ318" i="3"/>
  <c r="AQ321" i="3"/>
  <c r="AQ323" i="3"/>
  <c r="AQ324" i="3"/>
  <c r="AQ325" i="3"/>
  <c r="AQ326" i="3"/>
  <c r="AQ328" i="3"/>
  <c r="AQ329" i="3"/>
  <c r="AQ330" i="3"/>
  <c r="AQ332" i="3"/>
  <c r="AQ334" i="3"/>
  <c r="AQ335" i="3"/>
  <c r="AQ336" i="3"/>
  <c r="AQ338" i="3"/>
  <c r="AQ345" i="3"/>
  <c r="AQ347" i="3"/>
  <c r="AQ348" i="3"/>
  <c r="AQ349" i="3"/>
  <c r="AQ350" i="3"/>
  <c r="AQ351" i="3"/>
  <c r="AQ353" i="3"/>
  <c r="AQ354" i="3"/>
  <c r="AQ355" i="3"/>
  <c r="AQ356" i="3"/>
  <c r="AQ358" i="3"/>
  <c r="AQ362" i="3"/>
  <c r="AQ365" i="3"/>
  <c r="AQ367" i="3"/>
  <c r="AQ369" i="3"/>
  <c r="AQ371" i="3"/>
  <c r="AQ372" i="3"/>
  <c r="AQ373" i="3"/>
  <c r="AQ374" i="3"/>
  <c r="AQ375" i="3"/>
  <c r="AQ376" i="3"/>
  <c r="AQ377" i="3"/>
  <c r="AQ379" i="3"/>
  <c r="AQ380" i="3"/>
  <c r="AQ381" i="3"/>
  <c r="AQ383" i="3"/>
  <c r="AQ386" i="3"/>
  <c r="AQ387" i="3"/>
  <c r="AQ389" i="3"/>
  <c r="AQ390" i="3"/>
  <c r="AQ395" i="3"/>
  <c r="AQ398" i="3"/>
  <c r="AQ403" i="3"/>
  <c r="AQ404" i="3"/>
  <c r="AQ408" i="3"/>
  <c r="AQ410" i="3"/>
  <c r="AQ411" i="3"/>
  <c r="AQ412" i="3"/>
  <c r="AQ413" i="3"/>
  <c r="AQ414" i="3"/>
  <c r="AQ415" i="3"/>
  <c r="AQ417" i="3"/>
  <c r="AQ418" i="3"/>
  <c r="AQ421" i="3"/>
  <c r="AQ423" i="3"/>
  <c r="AQ424" i="3"/>
  <c r="AQ425" i="3"/>
  <c r="AQ426" i="3"/>
  <c r="AQ427" i="3"/>
  <c r="AQ428" i="3"/>
  <c r="AQ432" i="3"/>
  <c r="AQ433" i="3"/>
  <c r="AQ434" i="3"/>
  <c r="AQ437" i="3"/>
  <c r="AQ438" i="3"/>
  <c r="AQ440" i="3"/>
  <c r="AQ441" i="3"/>
  <c r="AQ443" i="3"/>
  <c r="AQ444" i="3"/>
  <c r="AQ445" i="3"/>
  <c r="AQ446" i="3"/>
  <c r="AQ449" i="3"/>
  <c r="AQ454" i="3"/>
  <c r="AQ455" i="3"/>
  <c r="AQ456" i="3"/>
  <c r="AQ458" i="3"/>
  <c r="AQ459" i="3"/>
  <c r="AQ460" i="3"/>
  <c r="AQ464" i="3"/>
  <c r="AQ465" i="3"/>
  <c r="AQ466" i="3"/>
  <c r="AQ470" i="3"/>
  <c r="AQ472" i="3"/>
  <c r="AQ473" i="3"/>
  <c r="AQ475" i="3"/>
  <c r="AQ477" i="3"/>
  <c r="AQ479" i="3"/>
  <c r="AQ482" i="3"/>
  <c r="AQ484" i="3"/>
  <c r="AQ485" i="3"/>
  <c r="AQ487" i="3"/>
  <c r="AQ488" i="3"/>
  <c r="AQ489" i="3"/>
  <c r="AQ490" i="3"/>
  <c r="AQ491" i="3"/>
  <c r="AQ492" i="3"/>
  <c r="AQ494" i="3"/>
  <c r="AQ495" i="3"/>
  <c r="AQ497" i="3"/>
  <c r="AQ498" i="3"/>
  <c r="AQ499" i="3"/>
  <c r="AQ501" i="3"/>
  <c r="AQ502" i="3"/>
  <c r="AQ503" i="3"/>
  <c r="AQ505" i="3"/>
  <c r="AQ506" i="3"/>
  <c r="AQ507" i="3"/>
  <c r="AQ508" i="3"/>
  <c r="AQ510" i="3"/>
  <c r="AQ511" i="3"/>
  <c r="AQ512" i="3"/>
  <c r="AQ513" i="3"/>
  <c r="AQ514" i="3"/>
  <c r="AQ515" i="3"/>
  <c r="AQ516" i="3"/>
  <c r="AQ517" i="3"/>
  <c r="AQ518" i="3"/>
  <c r="AQ519" i="3"/>
  <c r="AQ520" i="3"/>
  <c r="AQ523" i="3"/>
  <c r="AQ524" i="3"/>
  <c r="AQ525" i="3"/>
  <c r="AQ528" i="3"/>
  <c r="AQ529" i="3"/>
  <c r="AQ530" i="3"/>
  <c r="AQ532" i="3"/>
  <c r="AQ533" i="3"/>
  <c r="AQ534" i="3"/>
  <c r="AQ535" i="3"/>
  <c r="AQ536" i="3"/>
  <c r="AQ537" i="3"/>
  <c r="AQ540" i="3"/>
  <c r="AQ542" i="3"/>
  <c r="AQ543" i="3"/>
  <c r="AQ544" i="3"/>
  <c r="AQ545" i="3"/>
  <c r="AQ547" i="3"/>
  <c r="AQ548" i="3"/>
  <c r="AQ550" i="3"/>
  <c r="AQ552" i="3"/>
  <c r="AQ555" i="3"/>
  <c r="AQ556" i="3"/>
  <c r="AQ558" i="3"/>
  <c r="AQ559" i="3"/>
  <c r="AQ561" i="3"/>
  <c r="AQ564" i="3"/>
  <c r="AQ566" i="3"/>
  <c r="AQ569" i="3"/>
  <c r="AQ570" i="3"/>
  <c r="AQ573" i="3"/>
  <c r="AQ574" i="3"/>
  <c r="AQ575" i="3"/>
  <c r="AQ576" i="3"/>
  <c r="AQ577" i="3"/>
  <c r="AQ578" i="3"/>
  <c r="AQ579" i="3"/>
  <c r="AQ583" i="3"/>
  <c r="AQ584" i="3"/>
  <c r="AQ585" i="3"/>
  <c r="AQ588" i="3"/>
  <c r="AQ590" i="3"/>
  <c r="AQ592" i="3"/>
  <c r="AQ593" i="3"/>
  <c r="AQ597" i="3"/>
  <c r="AQ598" i="3"/>
  <c r="AQ600" i="3"/>
  <c r="AQ605" i="3"/>
  <c r="AQ606" i="3"/>
  <c r="AQ607" i="3"/>
  <c r="AQ609" i="3"/>
  <c r="AQ610" i="3"/>
  <c r="AQ611" i="3"/>
  <c r="AQ612" i="3"/>
  <c r="AQ613" i="3"/>
  <c r="AQ615" i="3"/>
  <c r="AQ617" i="3"/>
  <c r="AQ618" i="3"/>
  <c r="AQ622" i="3"/>
  <c r="AQ630" i="3"/>
  <c r="AQ632" i="3"/>
  <c r="AQ633" i="3"/>
  <c r="AQ634" i="3"/>
  <c r="AQ636" i="3"/>
  <c r="AQ637" i="3"/>
  <c r="AQ638" i="3"/>
  <c r="AQ640" i="3"/>
  <c r="AQ643" i="3"/>
  <c r="AQ644" i="3"/>
  <c r="AQ645" i="3"/>
  <c r="AQ647" i="3"/>
  <c r="AQ649" i="3"/>
  <c r="AQ654" i="3"/>
  <c r="AQ655" i="3"/>
  <c r="AQ656" i="3"/>
  <c r="AQ658" i="3"/>
  <c r="AQ660" i="3"/>
  <c r="AQ662" i="3"/>
  <c r="AQ665" i="3"/>
  <c r="AQ666" i="3"/>
  <c r="AQ667" i="3"/>
  <c r="AQ669" i="3"/>
  <c r="AQ670" i="3"/>
  <c r="AQ674" i="3"/>
  <c r="AQ675" i="3"/>
  <c r="AQ676" i="3"/>
  <c r="AQ678" i="3"/>
  <c r="AQ681" i="3"/>
  <c r="AQ688" i="3"/>
  <c r="AQ689" i="3"/>
  <c r="AQ690" i="3"/>
  <c r="AQ691" i="3"/>
  <c r="AQ696" i="3"/>
  <c r="AQ697" i="3"/>
  <c r="AQ698" i="3"/>
  <c r="AQ699" i="3"/>
  <c r="AQ700" i="3"/>
  <c r="AQ703" i="3"/>
  <c r="AQ704" i="3"/>
  <c r="AQ705" i="3"/>
  <c r="AQ709" i="3"/>
  <c r="AQ710" i="3"/>
  <c r="AQ711" i="3"/>
  <c r="AQ712" i="3"/>
  <c r="AQ713" i="3"/>
  <c r="AQ714" i="3"/>
  <c r="AQ715" i="3"/>
  <c r="AQ716" i="3"/>
  <c r="AQ720" i="3"/>
  <c r="AQ723" i="3"/>
  <c r="AQ726" i="3"/>
  <c r="AQ728" i="3"/>
  <c r="AQ730" i="3"/>
  <c r="AQ732" i="3"/>
  <c r="AQ733" i="3"/>
  <c r="AQ734" i="3"/>
  <c r="AQ735" i="3"/>
  <c r="AQ736" i="3"/>
  <c r="AQ737" i="3"/>
  <c r="AQ739" i="3"/>
  <c r="AQ740" i="3"/>
  <c r="AQ742" i="3"/>
  <c r="AQ744" i="3"/>
  <c r="AQ746" i="3"/>
  <c r="AQ747" i="3"/>
  <c r="AQ752" i="3"/>
  <c r="AQ753" i="3"/>
  <c r="AQ754" i="3"/>
  <c r="AQ755" i="3"/>
  <c r="AQ758" i="3"/>
  <c r="AQ760" i="3"/>
  <c r="AQ761" i="3"/>
  <c r="AQ763" i="3"/>
  <c r="AQ765" i="3"/>
  <c r="AQ767" i="3"/>
  <c r="AQ769" i="3"/>
  <c r="AQ772" i="3"/>
  <c r="AQ773" i="3"/>
  <c r="AQ775" i="3"/>
  <c r="AQ777" i="3"/>
  <c r="AQ778" i="3"/>
  <c r="AQ779" i="3"/>
  <c r="AQ780" i="3"/>
  <c r="AQ781" i="3"/>
  <c r="AQ784" i="3"/>
  <c r="AQ785" i="3"/>
  <c r="AQ786" i="3"/>
  <c r="AQ788" i="3"/>
  <c r="AQ789" i="3"/>
  <c r="AQ790" i="3"/>
  <c r="AQ792" i="3"/>
  <c r="AQ793" i="3"/>
  <c r="AQ795" i="3"/>
  <c r="AQ796" i="3"/>
  <c r="AQ797" i="3"/>
  <c r="AQ798" i="3"/>
  <c r="AQ799" i="3"/>
  <c r="AQ800" i="3"/>
  <c r="AQ801" i="3"/>
  <c r="AQ802" i="3"/>
  <c r="AQ803" i="3"/>
  <c r="AQ804" i="3"/>
  <c r="AQ806" i="3"/>
  <c r="AQ807" i="3"/>
  <c r="AQ810" i="3"/>
  <c r="AQ812" i="3"/>
  <c r="AQ814" i="3"/>
  <c r="AQ818" i="3"/>
  <c r="AQ820" i="3"/>
  <c r="AQ823" i="3"/>
  <c r="AQ825" i="3"/>
  <c r="AQ826" i="3"/>
  <c r="AQ828" i="3"/>
  <c r="AQ830" i="3"/>
  <c r="AQ832" i="3"/>
  <c r="AQ834" i="3"/>
  <c r="AQ835" i="3"/>
  <c r="AQ836" i="3"/>
  <c r="AQ837" i="3"/>
  <c r="AQ838" i="3"/>
  <c r="AQ839" i="3"/>
  <c r="AQ841" i="3"/>
  <c r="AQ843" i="3"/>
  <c r="AQ846" i="3"/>
  <c r="AQ847" i="3"/>
  <c r="AQ848" i="3"/>
  <c r="AQ852" i="3"/>
  <c r="AQ853" i="3"/>
  <c r="AQ855" i="3"/>
  <c r="AQ857" i="3"/>
  <c r="AQ858" i="3"/>
  <c r="AQ859" i="3"/>
  <c r="AQ860" i="3"/>
  <c r="AQ862" i="3"/>
  <c r="AQ867" i="3"/>
  <c r="AQ868" i="3"/>
  <c r="AQ869" i="3"/>
  <c r="AQ870" i="3"/>
  <c r="AQ871" i="3"/>
  <c r="AQ874" i="3"/>
  <c r="AQ875" i="3"/>
  <c r="AQ876" i="3"/>
  <c r="AQ877" i="3"/>
  <c r="AQ879" i="3"/>
  <c r="AQ881" i="3"/>
  <c r="AQ884" i="3"/>
  <c r="AQ885" i="3"/>
  <c r="AQ888" i="3"/>
  <c r="AQ889" i="3"/>
  <c r="AQ890" i="3"/>
  <c r="AQ891" i="3"/>
  <c r="AQ892" i="3"/>
  <c r="AQ900" i="3"/>
  <c r="AQ901" i="3"/>
  <c r="AQ902" i="3"/>
  <c r="AQ903" i="3"/>
  <c r="AQ904" i="3"/>
  <c r="AQ906" i="3"/>
  <c r="AQ907" i="3"/>
  <c r="AQ909" i="3"/>
  <c r="AQ912" i="3"/>
  <c r="AQ913" i="3"/>
  <c r="AQ916" i="3"/>
  <c r="AQ918" i="3"/>
  <c r="AQ919" i="3"/>
  <c r="AQ922" i="3"/>
  <c r="AQ924" i="3"/>
  <c r="AQ925" i="3"/>
  <c r="AQ927" i="3"/>
  <c r="AQ929" i="3"/>
  <c r="AQ930" i="3"/>
  <c r="AQ931" i="3"/>
  <c r="AQ932" i="3"/>
  <c r="AQ934" i="3"/>
  <c r="AQ937" i="3"/>
  <c r="AQ938" i="3"/>
  <c r="AQ940" i="3"/>
  <c r="AQ941" i="3"/>
  <c r="AQ942" i="3"/>
  <c r="AQ944" i="3"/>
  <c r="AQ946" i="3"/>
  <c r="AQ947" i="3"/>
  <c r="AQ949" i="3"/>
  <c r="AQ950" i="3"/>
  <c r="AQ955" i="3"/>
  <c r="AQ957" i="3"/>
  <c r="AQ959" i="3"/>
  <c r="AQ960" i="3"/>
  <c r="AQ961" i="3"/>
  <c r="AQ962" i="3"/>
  <c r="AQ964" i="3"/>
  <c r="AQ965" i="3"/>
  <c r="AQ966" i="3"/>
  <c r="AQ967" i="3"/>
  <c r="AQ968" i="3"/>
  <c r="AQ969" i="3"/>
  <c r="AQ972" i="3"/>
  <c r="AQ976" i="3"/>
  <c r="AQ978" i="3"/>
  <c r="AQ980" i="3"/>
  <c r="AQ981" i="3"/>
  <c r="AQ982" i="3"/>
  <c r="AQ984" i="3"/>
  <c r="AQ985" i="3"/>
  <c r="AQ986" i="3"/>
  <c r="AQ987" i="3"/>
  <c r="AQ989" i="3"/>
  <c r="AQ990" i="3"/>
  <c r="AQ992" i="3"/>
  <c r="AQ996" i="3"/>
  <c r="AQ1000" i="3"/>
  <c r="AQ1002" i="3"/>
  <c r="AQ1006" i="3"/>
  <c r="AQ1007" i="3"/>
  <c r="AQ1008" i="3"/>
  <c r="AQ1009" i="3"/>
  <c r="AQ1011" i="3"/>
  <c r="AQ1014" i="3"/>
  <c r="AQ1015" i="3"/>
  <c r="AQ1021" i="3"/>
  <c r="AQ1023" i="3"/>
  <c r="AQ1025" i="3"/>
  <c r="AQ1028" i="3"/>
  <c r="AQ1030" i="3"/>
  <c r="AQ1035" i="3"/>
  <c r="AQ1036" i="3"/>
  <c r="AQ1037" i="3"/>
  <c r="AQ1038" i="3"/>
  <c r="AQ1043" i="3"/>
  <c r="AQ1045" i="3"/>
  <c r="AQ1046" i="3"/>
  <c r="AQ1048" i="3"/>
  <c r="AQ1050" i="3"/>
  <c r="AQ1052" i="3"/>
  <c r="AQ1053" i="3"/>
  <c r="AQ1054" i="3"/>
  <c r="AQ1055" i="3"/>
  <c r="AQ1059" i="3"/>
  <c r="AQ1060" i="3"/>
  <c r="AQ1061" i="3"/>
  <c r="AP3" i="3"/>
  <c r="AP4" i="3"/>
  <c r="AP5" i="3"/>
  <c r="AP7" i="3"/>
  <c r="AP10" i="3"/>
  <c r="AP11" i="3"/>
  <c r="AP16" i="3"/>
  <c r="AP17" i="3"/>
  <c r="AP18" i="3"/>
  <c r="AP20" i="3"/>
  <c r="AP22" i="3"/>
  <c r="AP23" i="3"/>
  <c r="AP24" i="3"/>
  <c r="AP25" i="3"/>
  <c r="AP27" i="3"/>
  <c r="AP28" i="3"/>
  <c r="AP29" i="3"/>
  <c r="AP30" i="3"/>
  <c r="AP31" i="3"/>
  <c r="AP36" i="3"/>
  <c r="AP37" i="3"/>
  <c r="AP40" i="3"/>
  <c r="AP41" i="3"/>
  <c r="AP42" i="3"/>
  <c r="AP43" i="3"/>
  <c r="AP48" i="3"/>
  <c r="AP50" i="3"/>
  <c r="AP53" i="3"/>
  <c r="AP54" i="3"/>
  <c r="AP55" i="3"/>
  <c r="AP56" i="3"/>
  <c r="AP58" i="3"/>
  <c r="AP59" i="3"/>
  <c r="AP61" i="3"/>
  <c r="AP62" i="3"/>
  <c r="AP65" i="3"/>
  <c r="AP66" i="3"/>
  <c r="AP67" i="3"/>
  <c r="AP68" i="3"/>
  <c r="AP71" i="3"/>
  <c r="AP73" i="3"/>
  <c r="AP74" i="3"/>
  <c r="AP82" i="3"/>
  <c r="AP83" i="3"/>
  <c r="AP86" i="3"/>
  <c r="AP88" i="3"/>
  <c r="AP89" i="3"/>
  <c r="AP90" i="3"/>
  <c r="AP91" i="3"/>
  <c r="AP93" i="3"/>
  <c r="AP94" i="3"/>
  <c r="AP96" i="3"/>
  <c r="AP97" i="3"/>
  <c r="AP103" i="3"/>
  <c r="AP105" i="3"/>
  <c r="AP106" i="3"/>
  <c r="AP107" i="3"/>
  <c r="AP110" i="3"/>
  <c r="AP111" i="3"/>
  <c r="AP112" i="3"/>
  <c r="AP113" i="3"/>
  <c r="AP114" i="3"/>
  <c r="AP115" i="3"/>
  <c r="AP116" i="3"/>
  <c r="AP117" i="3"/>
  <c r="AP120" i="3"/>
  <c r="AP123" i="3"/>
  <c r="AP124" i="3"/>
  <c r="AP125" i="3"/>
  <c r="AP126" i="3"/>
  <c r="AP127" i="3"/>
  <c r="AP129" i="3"/>
  <c r="AP135" i="3"/>
  <c r="AP138" i="3"/>
  <c r="AP139" i="3"/>
  <c r="AP140" i="3"/>
  <c r="AP141" i="3"/>
  <c r="AP142" i="3"/>
  <c r="AP143" i="3"/>
  <c r="AP148" i="3"/>
  <c r="AP149" i="3"/>
  <c r="AP151" i="3"/>
  <c r="AP154" i="3"/>
  <c r="AP157" i="3"/>
  <c r="AP161" i="3"/>
  <c r="AP165" i="3"/>
  <c r="AP166" i="3"/>
  <c r="AP168" i="3"/>
  <c r="AP169" i="3"/>
  <c r="AP171" i="3"/>
  <c r="AP175" i="3"/>
  <c r="AP176" i="3"/>
  <c r="AP177" i="3"/>
  <c r="AP178" i="3"/>
  <c r="AP179" i="3"/>
  <c r="AP180" i="3"/>
  <c r="AP181" i="3"/>
  <c r="AP182" i="3"/>
  <c r="AP183" i="3"/>
  <c r="AP185" i="3"/>
  <c r="AP187" i="3"/>
  <c r="AP189" i="3"/>
  <c r="AP190" i="3"/>
  <c r="AP191" i="3"/>
  <c r="AP194" i="3"/>
  <c r="AP195" i="3"/>
  <c r="AP198" i="3"/>
  <c r="AP201" i="3"/>
  <c r="AP202" i="3"/>
  <c r="AP203" i="3"/>
  <c r="AP204" i="3"/>
  <c r="AP206" i="3"/>
  <c r="AP208" i="3"/>
  <c r="AP209" i="3"/>
  <c r="AP210" i="3"/>
  <c r="AP212" i="3"/>
  <c r="AP213" i="3"/>
  <c r="AP215" i="3"/>
  <c r="AP216" i="3"/>
  <c r="AP219" i="3"/>
  <c r="AP222" i="3"/>
  <c r="AP223" i="3"/>
  <c r="AP224" i="3"/>
  <c r="AP225" i="3"/>
  <c r="AP226" i="3"/>
  <c r="AP228" i="3"/>
  <c r="AP229" i="3"/>
  <c r="AP230" i="3"/>
  <c r="AP231" i="3"/>
  <c r="AP232" i="3"/>
  <c r="AP234" i="3"/>
  <c r="AP235" i="3"/>
  <c r="AP237" i="3"/>
  <c r="AP238" i="3"/>
  <c r="AP240" i="3"/>
  <c r="AP241" i="3"/>
  <c r="AP242" i="3"/>
  <c r="AP243" i="3"/>
  <c r="AP244" i="3"/>
  <c r="AP246" i="3"/>
  <c r="AP247" i="3"/>
  <c r="AP250" i="3"/>
  <c r="AP253" i="3"/>
  <c r="AP254" i="3"/>
  <c r="AP255" i="3"/>
  <c r="AP256" i="3"/>
  <c r="AP257" i="3"/>
  <c r="AP258" i="3"/>
  <c r="AP260" i="3"/>
  <c r="AP261" i="3"/>
  <c r="AP262" i="3"/>
  <c r="AP264" i="3"/>
  <c r="AP265" i="3"/>
  <c r="AP267" i="3"/>
  <c r="AP268" i="3"/>
  <c r="AP269" i="3"/>
  <c r="AP272" i="3"/>
  <c r="AP273" i="3"/>
  <c r="AP274" i="3"/>
  <c r="AP275" i="3"/>
  <c r="AP277" i="3"/>
  <c r="AP278" i="3"/>
  <c r="AP280" i="3"/>
  <c r="AP283" i="3"/>
  <c r="AP284" i="3"/>
  <c r="AP286" i="3"/>
  <c r="AP288" i="3"/>
  <c r="AP292" i="3"/>
  <c r="AP293" i="3"/>
  <c r="AP294" i="3"/>
  <c r="AP295" i="3"/>
  <c r="AP296" i="3"/>
  <c r="AP297" i="3"/>
  <c r="AP298" i="3"/>
  <c r="AP301" i="3"/>
  <c r="AP307" i="3"/>
  <c r="AP308" i="3"/>
  <c r="AP311" i="3"/>
  <c r="AP312" i="3"/>
  <c r="AP313" i="3"/>
  <c r="AP314" i="3"/>
  <c r="AP317" i="3"/>
  <c r="AP318" i="3"/>
  <c r="AP321" i="3"/>
  <c r="AP323" i="3"/>
  <c r="AP324" i="3"/>
  <c r="AP325" i="3"/>
  <c r="AP326" i="3"/>
  <c r="AP328" i="3"/>
  <c r="AP329" i="3"/>
  <c r="AP330" i="3"/>
  <c r="AP332" i="3"/>
  <c r="AP334" i="3"/>
  <c r="AP335" i="3"/>
  <c r="AP336" i="3"/>
  <c r="AP338" i="3"/>
  <c r="AP345" i="3"/>
  <c r="AP347" i="3"/>
  <c r="AP348" i="3"/>
  <c r="AP349" i="3"/>
  <c r="AP350" i="3"/>
  <c r="AP351" i="3"/>
  <c r="AP353" i="3"/>
  <c r="AP354" i="3"/>
  <c r="AP355" i="3"/>
  <c r="AP356" i="3"/>
  <c r="AP358" i="3"/>
  <c r="AP362" i="3"/>
  <c r="AP365" i="3"/>
  <c r="AP367" i="3"/>
  <c r="AP369" i="3"/>
  <c r="AP371" i="3"/>
  <c r="AP372" i="3"/>
  <c r="AP373" i="3"/>
  <c r="AP374" i="3"/>
  <c r="AP375" i="3"/>
  <c r="AP376" i="3"/>
  <c r="AP377" i="3"/>
  <c r="AP379" i="3"/>
  <c r="AP380" i="3"/>
  <c r="AP381" i="3"/>
  <c r="AP383" i="3"/>
  <c r="AP386" i="3"/>
  <c r="AP387" i="3"/>
  <c r="AP389" i="3"/>
  <c r="AP390" i="3"/>
  <c r="AP395" i="3"/>
  <c r="AP398" i="3"/>
  <c r="AP403" i="3"/>
  <c r="AP404" i="3"/>
  <c r="AP408" i="3"/>
  <c r="AP410" i="3"/>
  <c r="AP411" i="3"/>
  <c r="AP412" i="3"/>
  <c r="AP413" i="3"/>
  <c r="AP414" i="3"/>
  <c r="AP415" i="3"/>
  <c r="AP417" i="3"/>
  <c r="AP418" i="3"/>
  <c r="AP421" i="3"/>
  <c r="AP423" i="3"/>
  <c r="AP424" i="3"/>
  <c r="AP425" i="3"/>
  <c r="AP426" i="3"/>
  <c r="AP427" i="3"/>
  <c r="AP428" i="3"/>
  <c r="AP432" i="3"/>
  <c r="AP433" i="3"/>
  <c r="AP434" i="3"/>
  <c r="AP437" i="3"/>
  <c r="AP438" i="3"/>
  <c r="AP440" i="3"/>
  <c r="AP441" i="3"/>
  <c r="AP443" i="3"/>
  <c r="AP444" i="3"/>
  <c r="AP445" i="3"/>
  <c r="AP446" i="3"/>
  <c r="AP449" i="3"/>
  <c r="AP454" i="3"/>
  <c r="AP455" i="3"/>
  <c r="AP456" i="3"/>
  <c r="AP458" i="3"/>
  <c r="AP459" i="3"/>
  <c r="AP460" i="3"/>
  <c r="AP464" i="3"/>
  <c r="AP465" i="3"/>
  <c r="AP466" i="3"/>
  <c r="AP470" i="3"/>
  <c r="AP472" i="3"/>
  <c r="AP473" i="3"/>
  <c r="AP475" i="3"/>
  <c r="AP477" i="3"/>
  <c r="AP479" i="3"/>
  <c r="AP482" i="3"/>
  <c r="AP484" i="3"/>
  <c r="AP485" i="3"/>
  <c r="AP487" i="3"/>
  <c r="AP488" i="3"/>
  <c r="AP489" i="3"/>
  <c r="AP490" i="3"/>
  <c r="AP491" i="3"/>
  <c r="AP492" i="3"/>
  <c r="AP494" i="3"/>
  <c r="AP495" i="3"/>
  <c r="AP497" i="3"/>
  <c r="AP498" i="3"/>
  <c r="AP499" i="3"/>
  <c r="AP501" i="3"/>
  <c r="AP502" i="3"/>
  <c r="AP503" i="3"/>
  <c r="AP505" i="3"/>
  <c r="AP506" i="3"/>
  <c r="AP507" i="3"/>
  <c r="AP508" i="3"/>
  <c r="AP510" i="3"/>
  <c r="AP511" i="3"/>
  <c r="AP512" i="3"/>
  <c r="AP513" i="3"/>
  <c r="AP514" i="3"/>
  <c r="AP515" i="3"/>
  <c r="AP516" i="3"/>
  <c r="AP517" i="3"/>
  <c r="AP518" i="3"/>
  <c r="AP519" i="3"/>
  <c r="AP520" i="3"/>
  <c r="AP523" i="3"/>
  <c r="AP524" i="3"/>
  <c r="AP525" i="3"/>
  <c r="AP528" i="3"/>
  <c r="AP529" i="3"/>
  <c r="AP530" i="3"/>
  <c r="AP532" i="3"/>
  <c r="AP533" i="3"/>
  <c r="AP534" i="3"/>
  <c r="AP535" i="3"/>
  <c r="AP536" i="3"/>
  <c r="AP537" i="3"/>
  <c r="AP540" i="3"/>
  <c r="AP542" i="3"/>
  <c r="AP543" i="3"/>
  <c r="AP544" i="3"/>
  <c r="AP545" i="3"/>
  <c r="AP547" i="3"/>
  <c r="AP548" i="3"/>
  <c r="AP550" i="3"/>
  <c r="AP552" i="3"/>
  <c r="AP555" i="3"/>
  <c r="AP556" i="3"/>
  <c r="AP558" i="3"/>
  <c r="AP559" i="3"/>
  <c r="AP561" i="3"/>
  <c r="AP564" i="3"/>
  <c r="AP566" i="3"/>
  <c r="AP569" i="3"/>
  <c r="AP570" i="3"/>
  <c r="AP573" i="3"/>
  <c r="AP574" i="3"/>
  <c r="AP575" i="3"/>
  <c r="AP576" i="3"/>
  <c r="AP577" i="3"/>
  <c r="AP578" i="3"/>
  <c r="AP579" i="3"/>
  <c r="AP583" i="3"/>
  <c r="AP584" i="3"/>
  <c r="AP585" i="3"/>
  <c r="AP588" i="3"/>
  <c r="AP590" i="3"/>
  <c r="AP592" i="3"/>
  <c r="AP593" i="3"/>
  <c r="AP597" i="3"/>
  <c r="AP598" i="3"/>
  <c r="AP600" i="3"/>
  <c r="AP605" i="3"/>
  <c r="AP606" i="3"/>
  <c r="AP607" i="3"/>
  <c r="AP609" i="3"/>
  <c r="AP610" i="3"/>
  <c r="AP611" i="3"/>
  <c r="AP612" i="3"/>
  <c r="AP613" i="3"/>
  <c r="AP615" i="3"/>
  <c r="AP617" i="3"/>
  <c r="AP618" i="3"/>
  <c r="AP622" i="3"/>
  <c r="AP630" i="3"/>
  <c r="AP632" i="3"/>
  <c r="AP633" i="3"/>
  <c r="AP634" i="3"/>
  <c r="AP636" i="3"/>
  <c r="AP637" i="3"/>
  <c r="AP638" i="3"/>
  <c r="AP640" i="3"/>
  <c r="AP643" i="3"/>
  <c r="AP644" i="3"/>
  <c r="AP645" i="3"/>
  <c r="AP647" i="3"/>
  <c r="AP649" i="3"/>
  <c r="AP654" i="3"/>
  <c r="AP655" i="3"/>
  <c r="AP656" i="3"/>
  <c r="AP658" i="3"/>
  <c r="AP660" i="3"/>
  <c r="AP662" i="3"/>
  <c r="AP665" i="3"/>
  <c r="AP666" i="3"/>
  <c r="AP667" i="3"/>
  <c r="AP669" i="3"/>
  <c r="AP670" i="3"/>
  <c r="AP674" i="3"/>
  <c r="AP675" i="3"/>
  <c r="AP676" i="3"/>
  <c r="AP678" i="3"/>
  <c r="AP681" i="3"/>
  <c r="AP688" i="3"/>
  <c r="AP689" i="3"/>
  <c r="AP690" i="3"/>
  <c r="AP691" i="3"/>
  <c r="AP696" i="3"/>
  <c r="AP697" i="3"/>
  <c r="AP698" i="3"/>
  <c r="AP699" i="3"/>
  <c r="AP700" i="3"/>
  <c r="AP703" i="3"/>
  <c r="AP704" i="3"/>
  <c r="AP705" i="3"/>
  <c r="AP709" i="3"/>
  <c r="AP710" i="3"/>
  <c r="AP711" i="3"/>
  <c r="AP712" i="3"/>
  <c r="AP713" i="3"/>
  <c r="AP714" i="3"/>
  <c r="AP715" i="3"/>
  <c r="AP716" i="3"/>
  <c r="AP720" i="3"/>
  <c r="AP723" i="3"/>
  <c r="AP726" i="3"/>
  <c r="AP728" i="3"/>
  <c r="AP730" i="3"/>
  <c r="AP732" i="3"/>
  <c r="AP733" i="3"/>
  <c r="AP734" i="3"/>
  <c r="AP735" i="3"/>
  <c r="AP736" i="3"/>
  <c r="AP737" i="3"/>
  <c r="AP739" i="3"/>
  <c r="AP740" i="3"/>
  <c r="AP742" i="3"/>
  <c r="AP744" i="3"/>
  <c r="AP746" i="3"/>
  <c r="AP747" i="3"/>
  <c r="AP752" i="3"/>
  <c r="AP753" i="3"/>
  <c r="AP754" i="3"/>
  <c r="AP755" i="3"/>
  <c r="AP758" i="3"/>
  <c r="AP760" i="3"/>
  <c r="AP761" i="3"/>
  <c r="AP763" i="3"/>
  <c r="AP765" i="3"/>
  <c r="AP767" i="3"/>
  <c r="AP769" i="3"/>
  <c r="AP772" i="3"/>
  <c r="AP773" i="3"/>
  <c r="AP775" i="3"/>
  <c r="AP777" i="3"/>
  <c r="AP778" i="3"/>
  <c r="AP779" i="3"/>
  <c r="AP780" i="3"/>
  <c r="AP781" i="3"/>
  <c r="AP784" i="3"/>
  <c r="AP785" i="3"/>
  <c r="AP786" i="3"/>
  <c r="AP788" i="3"/>
  <c r="AP789" i="3"/>
  <c r="AP790" i="3"/>
  <c r="AP792" i="3"/>
  <c r="AP793" i="3"/>
  <c r="AP795" i="3"/>
  <c r="AP796" i="3"/>
  <c r="AP797" i="3"/>
  <c r="AP798" i="3"/>
  <c r="AP799" i="3"/>
  <c r="AP800" i="3"/>
  <c r="AP801" i="3"/>
  <c r="AP802" i="3"/>
  <c r="AP803" i="3"/>
  <c r="AP804" i="3"/>
  <c r="AP806" i="3"/>
  <c r="AP807" i="3"/>
  <c r="AP810" i="3"/>
  <c r="AP812" i="3"/>
  <c r="AP814" i="3"/>
  <c r="AP818" i="3"/>
  <c r="AP820" i="3"/>
  <c r="AP823" i="3"/>
  <c r="AP825" i="3"/>
  <c r="AP826" i="3"/>
  <c r="AP828" i="3"/>
  <c r="AP830" i="3"/>
  <c r="AP832" i="3"/>
  <c r="AP834" i="3"/>
  <c r="AP835" i="3"/>
  <c r="AP836" i="3"/>
  <c r="AP837" i="3"/>
  <c r="AP838" i="3"/>
  <c r="AP839" i="3"/>
  <c r="AP841" i="3"/>
  <c r="AP843" i="3"/>
  <c r="AP846" i="3"/>
  <c r="AP847" i="3"/>
  <c r="AP848" i="3"/>
  <c r="AP852" i="3"/>
  <c r="AP853" i="3"/>
  <c r="AP855" i="3"/>
  <c r="AP857" i="3"/>
  <c r="AP858" i="3"/>
  <c r="AP859" i="3"/>
  <c r="AP860" i="3"/>
  <c r="AP862" i="3"/>
  <c r="AP867" i="3"/>
  <c r="AP868" i="3"/>
  <c r="AP869" i="3"/>
  <c r="AP870" i="3"/>
  <c r="AP871" i="3"/>
  <c r="AP874" i="3"/>
  <c r="AP875" i="3"/>
  <c r="AP876" i="3"/>
  <c r="AP877" i="3"/>
  <c r="AP879" i="3"/>
  <c r="AP881" i="3"/>
  <c r="AP884" i="3"/>
  <c r="AP885" i="3"/>
  <c r="AP888" i="3"/>
  <c r="AP889" i="3"/>
  <c r="AP890" i="3"/>
  <c r="AP891" i="3"/>
  <c r="AP892" i="3"/>
  <c r="AP900" i="3"/>
  <c r="AP901" i="3"/>
  <c r="AP902" i="3"/>
  <c r="AP903" i="3"/>
  <c r="AP904" i="3"/>
  <c r="AP906" i="3"/>
  <c r="AP907" i="3"/>
  <c r="AP909" i="3"/>
  <c r="AP912" i="3"/>
  <c r="AP913" i="3"/>
  <c r="AP916" i="3"/>
  <c r="AP918" i="3"/>
  <c r="AP919" i="3"/>
  <c r="AP922" i="3"/>
  <c r="AP924" i="3"/>
  <c r="AP925" i="3"/>
  <c r="AP927" i="3"/>
  <c r="AP929" i="3"/>
  <c r="AP930" i="3"/>
  <c r="AP931" i="3"/>
  <c r="AP932" i="3"/>
  <c r="AP934" i="3"/>
  <c r="AP937" i="3"/>
  <c r="AP938" i="3"/>
  <c r="AP940" i="3"/>
  <c r="AP941" i="3"/>
  <c r="AP942" i="3"/>
  <c r="AP944" i="3"/>
  <c r="AP946" i="3"/>
  <c r="AP947" i="3"/>
  <c r="AP949" i="3"/>
  <c r="AP950" i="3"/>
  <c r="AP955" i="3"/>
  <c r="AP957" i="3"/>
  <c r="AP959" i="3"/>
  <c r="AP960" i="3"/>
  <c r="AP961" i="3"/>
  <c r="AP962" i="3"/>
  <c r="AP964" i="3"/>
  <c r="AP965" i="3"/>
  <c r="AP966" i="3"/>
  <c r="AP967" i="3"/>
  <c r="AP968" i="3"/>
  <c r="AP969" i="3"/>
  <c r="AP972" i="3"/>
  <c r="AP976" i="3"/>
  <c r="AP978" i="3"/>
  <c r="AP980" i="3"/>
  <c r="AP981" i="3"/>
  <c r="AP982" i="3"/>
  <c r="AP984" i="3"/>
  <c r="AP985" i="3"/>
  <c r="AP986" i="3"/>
  <c r="AP987" i="3"/>
  <c r="AP989" i="3"/>
  <c r="AP990" i="3"/>
  <c r="AP992" i="3"/>
  <c r="AP996" i="3"/>
  <c r="AP1000" i="3"/>
  <c r="AP1002" i="3"/>
  <c r="AP1006" i="3"/>
  <c r="AP1007" i="3"/>
  <c r="AP1008" i="3"/>
  <c r="AP1009" i="3"/>
  <c r="AP1011" i="3"/>
  <c r="AP1014" i="3"/>
  <c r="AP1015" i="3"/>
  <c r="AP1021" i="3"/>
  <c r="AP1023" i="3"/>
  <c r="AP1025" i="3"/>
  <c r="AP1028" i="3"/>
  <c r="AP1030" i="3"/>
  <c r="AP1035" i="3"/>
  <c r="AP1036" i="3"/>
  <c r="AP1037" i="3"/>
  <c r="AP1038" i="3"/>
  <c r="AP1043" i="3"/>
  <c r="AP1045" i="3"/>
  <c r="AP1046" i="3"/>
  <c r="AP1048" i="3"/>
  <c r="AP1050" i="3"/>
  <c r="AP1052" i="3"/>
  <c r="AP1053" i="3"/>
  <c r="AP1054" i="3"/>
  <c r="AP1055" i="3"/>
  <c r="AP1059" i="3"/>
  <c r="AP1060" i="3"/>
  <c r="AP1061" i="3"/>
  <c r="AO10" i="3"/>
  <c r="AO73" i="3"/>
  <c r="AO145" i="3"/>
  <c r="AO315" i="3"/>
  <c r="AO393" i="3"/>
  <c r="AO443" i="3"/>
  <c r="AO706" i="3"/>
  <c r="AO743" i="3"/>
  <c r="AO909" i="3"/>
  <c r="AN674" i="3"/>
  <c r="AV3" i="1"/>
  <c r="AV4" i="1"/>
  <c r="AV5" i="1"/>
  <c r="AV6" i="1"/>
  <c r="AV7" i="1"/>
  <c r="AV8" i="1"/>
  <c r="AV9" i="1"/>
  <c r="AV10"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0" i="1"/>
  <c r="AV121" i="1"/>
  <c r="AV122"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198" i="1"/>
  <c r="AV199" i="1"/>
  <c r="AV200" i="1"/>
  <c r="AV201" i="1"/>
  <c r="AV202" i="1"/>
  <c r="AV203" i="1"/>
  <c r="AV204" i="1"/>
  <c r="AV205" i="1"/>
  <c r="AV206" i="1"/>
  <c r="AV207" i="1"/>
  <c r="AV208" i="1"/>
  <c r="AV209" i="1"/>
  <c r="AV210" i="1"/>
  <c r="AV211" i="1"/>
  <c r="AV212" i="1"/>
  <c r="AV213" i="1"/>
  <c r="AV214" i="1"/>
  <c r="AV215" i="1"/>
  <c r="AV216" i="1"/>
  <c r="AV217" i="1"/>
  <c r="AV218" i="1"/>
  <c r="AV219" i="1"/>
  <c r="AV220" i="1"/>
  <c r="AV221" i="1"/>
  <c r="AV222" i="1"/>
  <c r="AV223" i="1"/>
  <c r="AV224" i="1"/>
  <c r="AV225" i="1"/>
  <c r="AV226" i="1"/>
  <c r="AV227" i="1"/>
  <c r="AV228" i="1"/>
  <c r="AV229" i="1"/>
  <c r="AV230" i="1"/>
  <c r="AV231" i="1"/>
  <c r="AV232" i="1"/>
  <c r="AV233" i="1"/>
  <c r="AV234" i="1"/>
  <c r="AV235" i="1"/>
  <c r="AV236" i="1"/>
  <c r="AV237" i="1"/>
  <c r="AV238" i="1"/>
  <c r="AV239" i="1"/>
  <c r="AV240" i="1"/>
  <c r="AV241" i="1"/>
  <c r="AV242" i="1"/>
  <c r="AV243" i="1"/>
  <c r="AV244" i="1"/>
  <c r="AV245" i="1"/>
  <c r="AV246" i="1"/>
  <c r="AV247" i="1"/>
  <c r="AV248" i="1"/>
  <c r="AV249" i="1"/>
  <c r="AV250" i="1"/>
  <c r="AV251" i="1"/>
  <c r="AV252" i="1"/>
  <c r="AV253" i="1"/>
  <c r="AV254" i="1"/>
  <c r="AV255" i="1"/>
  <c r="AV256" i="1"/>
  <c r="AV257" i="1"/>
  <c r="AV258" i="1"/>
  <c r="AV259" i="1"/>
  <c r="AV260" i="1"/>
  <c r="AV261" i="1"/>
  <c r="AV262" i="1"/>
  <c r="AV263" i="1"/>
  <c r="AV264" i="1"/>
  <c r="AV265" i="1"/>
  <c r="AV266" i="1"/>
  <c r="AV267" i="1"/>
  <c r="AV268" i="1"/>
  <c r="AV269" i="1"/>
  <c r="AV270" i="1"/>
  <c r="AV271" i="1"/>
  <c r="AV272" i="1"/>
  <c r="AV273" i="1"/>
  <c r="AV274" i="1"/>
  <c r="AV275" i="1"/>
  <c r="AV276" i="1"/>
  <c r="AV277" i="1"/>
  <c r="AV278" i="1"/>
  <c r="AV279" i="1"/>
  <c r="AV280" i="1"/>
  <c r="AV281" i="1"/>
  <c r="AV282" i="1"/>
  <c r="AV283" i="1"/>
  <c r="AV284" i="1"/>
  <c r="AV285" i="1"/>
  <c r="AV286" i="1"/>
  <c r="AV287" i="1"/>
  <c r="AV288" i="1"/>
  <c r="AV289" i="1"/>
  <c r="AV290" i="1"/>
  <c r="AV291" i="1"/>
  <c r="AV292" i="1"/>
  <c r="AV293" i="1"/>
  <c r="AV294" i="1"/>
  <c r="AV295" i="1"/>
  <c r="AV296" i="1"/>
  <c r="AV297" i="1"/>
  <c r="AV298" i="1"/>
  <c r="AV299" i="1"/>
  <c r="AV300" i="1"/>
  <c r="AV301" i="1"/>
  <c r="AV302" i="1"/>
  <c r="AV303" i="1"/>
  <c r="AV304" i="1"/>
  <c r="AV305" i="1"/>
  <c r="AV306" i="1"/>
  <c r="AV307" i="1"/>
  <c r="AV308" i="1"/>
  <c r="AV309" i="1"/>
  <c r="AV310" i="1"/>
  <c r="AV311" i="1"/>
  <c r="AV312" i="1"/>
  <c r="AV313" i="1"/>
  <c r="AV314" i="1"/>
  <c r="AV315" i="1"/>
  <c r="AV316" i="1"/>
  <c r="AV317" i="1"/>
  <c r="AV318" i="1"/>
  <c r="AV319" i="1"/>
  <c r="AV320" i="1"/>
  <c r="AV321" i="1"/>
  <c r="AV322" i="1"/>
  <c r="AV323" i="1"/>
  <c r="AV324" i="1"/>
  <c r="AV325" i="1"/>
  <c r="AV326" i="1"/>
  <c r="AV327" i="1"/>
  <c r="AV328" i="1"/>
  <c r="AV329" i="1"/>
  <c r="AV330" i="1"/>
  <c r="AV331" i="1"/>
  <c r="AV332" i="1"/>
  <c r="AV333" i="1"/>
  <c r="AV334" i="1"/>
  <c r="AV335" i="1"/>
  <c r="AV336" i="1"/>
  <c r="AV337" i="1"/>
  <c r="AV338" i="1"/>
  <c r="AV339" i="1"/>
  <c r="AV340" i="1"/>
  <c r="AV341" i="1"/>
  <c r="AV342" i="1"/>
  <c r="AV343" i="1"/>
  <c r="AV344" i="1"/>
  <c r="AV345" i="1"/>
  <c r="AV346" i="1"/>
  <c r="AV347" i="1"/>
  <c r="AV348" i="1"/>
  <c r="AV349" i="1"/>
  <c r="AV350" i="1"/>
  <c r="AV351" i="1"/>
  <c r="AV352" i="1"/>
  <c r="AV353" i="1"/>
  <c r="AV354" i="1"/>
  <c r="AV355" i="1"/>
  <c r="AV356" i="1"/>
  <c r="AV357" i="1"/>
  <c r="AV358" i="1"/>
  <c r="AV359" i="1"/>
  <c r="AV360" i="1"/>
  <c r="AV361" i="1"/>
  <c r="AV362" i="1"/>
  <c r="AV363" i="1"/>
  <c r="AV364" i="1"/>
  <c r="AV365" i="1"/>
  <c r="AV366" i="1"/>
  <c r="AV367" i="1"/>
  <c r="AV368" i="1"/>
  <c r="AV369" i="1"/>
  <c r="AV370" i="1"/>
  <c r="AV371" i="1"/>
  <c r="AV372" i="1"/>
  <c r="AV373" i="1"/>
  <c r="AV374" i="1"/>
  <c r="AV375" i="1"/>
  <c r="AV376" i="1"/>
  <c r="AV377" i="1"/>
  <c r="AV378" i="1"/>
  <c r="AV379" i="1"/>
  <c r="AV380" i="1"/>
  <c r="AV381" i="1"/>
  <c r="AV382" i="1"/>
  <c r="AV383" i="1"/>
  <c r="AV384" i="1"/>
  <c r="AV385" i="1"/>
  <c r="AV386" i="1"/>
  <c r="AV387" i="1"/>
  <c r="AV388" i="1"/>
  <c r="AV389" i="1"/>
  <c r="AV390" i="1"/>
  <c r="AV391" i="1"/>
  <c r="AV392" i="1"/>
  <c r="AV393" i="1"/>
  <c r="AV394" i="1"/>
  <c r="AV395" i="1"/>
  <c r="AV396" i="1"/>
  <c r="AV397" i="1"/>
  <c r="AV398" i="1"/>
  <c r="AV399" i="1"/>
  <c r="AV400" i="1"/>
  <c r="AV401" i="1"/>
  <c r="AV402" i="1"/>
  <c r="AV403" i="1"/>
  <c r="AV404" i="1"/>
  <c r="AV405" i="1"/>
  <c r="AV406" i="1"/>
  <c r="AV407" i="1"/>
  <c r="AV408" i="1"/>
  <c r="AV409" i="1"/>
  <c r="AV410" i="1"/>
  <c r="AV411" i="1"/>
  <c r="AV412" i="1"/>
  <c r="AV413" i="1"/>
  <c r="AV414" i="1"/>
  <c r="AV415" i="1"/>
  <c r="AV416" i="1"/>
  <c r="AV417" i="1"/>
  <c r="AV418" i="1"/>
  <c r="AV419" i="1"/>
  <c r="AV420" i="1"/>
  <c r="AV421" i="1"/>
  <c r="AV422" i="1"/>
  <c r="AV423" i="1"/>
  <c r="AV424" i="1"/>
  <c r="AV425" i="1"/>
  <c r="AV426" i="1"/>
  <c r="AV427" i="1"/>
  <c r="AV428" i="1"/>
  <c r="AV429" i="1"/>
  <c r="AV430" i="1"/>
  <c r="AV431" i="1"/>
  <c r="AV432" i="1"/>
  <c r="AV433" i="1"/>
  <c r="AV434" i="1"/>
  <c r="AV435" i="1"/>
  <c r="AV436" i="1"/>
  <c r="AV437" i="1"/>
  <c r="AV438" i="1"/>
  <c r="AV439" i="1"/>
  <c r="AV440" i="1"/>
  <c r="AV441" i="1"/>
  <c r="AV442" i="1"/>
  <c r="AV443" i="1"/>
  <c r="AV444" i="1"/>
  <c r="AV445" i="1"/>
  <c r="AV446" i="1"/>
  <c r="AV447" i="1"/>
  <c r="AV448" i="1"/>
  <c r="AV449" i="1"/>
  <c r="AV450" i="1"/>
  <c r="AV451" i="1"/>
  <c r="AV452" i="1"/>
  <c r="AV453" i="1"/>
  <c r="AV454" i="1"/>
  <c r="AV455" i="1"/>
  <c r="AV456" i="1"/>
  <c r="AV457" i="1"/>
  <c r="AV458" i="1"/>
  <c r="AV459" i="1"/>
  <c r="AV460" i="1"/>
  <c r="AV461" i="1"/>
  <c r="AV462" i="1"/>
  <c r="AV463" i="1"/>
  <c r="AV464" i="1"/>
  <c r="AV465" i="1"/>
  <c r="AV466" i="1"/>
  <c r="AV467" i="1"/>
  <c r="AV468" i="1"/>
  <c r="AV469" i="1"/>
  <c r="AV470" i="1"/>
  <c r="AV471" i="1"/>
  <c r="AV472" i="1"/>
  <c r="AV473" i="1"/>
  <c r="AV474" i="1"/>
  <c r="AV475" i="1"/>
  <c r="AV476" i="1"/>
  <c r="AV477" i="1"/>
  <c r="AV478" i="1"/>
  <c r="AV479" i="1"/>
  <c r="AV480" i="1"/>
  <c r="AV481" i="1"/>
  <c r="AV482" i="1"/>
  <c r="AV483" i="1"/>
  <c r="AV484" i="1"/>
  <c r="AV485" i="1"/>
  <c r="AV486" i="1"/>
  <c r="AV487" i="1"/>
  <c r="AV488" i="1"/>
  <c r="AV489" i="1"/>
  <c r="AV490" i="1"/>
  <c r="AV491" i="1"/>
  <c r="AV492" i="1"/>
  <c r="AV493" i="1"/>
  <c r="AV494" i="1"/>
  <c r="AV495" i="1"/>
  <c r="AV496" i="1"/>
  <c r="AV497" i="1"/>
  <c r="AV498" i="1"/>
  <c r="AV499" i="1"/>
  <c r="AV500" i="1"/>
  <c r="AV501" i="1"/>
  <c r="AV502" i="1"/>
  <c r="AV503" i="1"/>
  <c r="AV504" i="1"/>
  <c r="AV505" i="1"/>
  <c r="AV506" i="1"/>
  <c r="AV507" i="1"/>
  <c r="AV508" i="1"/>
  <c r="AV509" i="1"/>
  <c r="AV510" i="1"/>
  <c r="AV511" i="1"/>
  <c r="AV512" i="1"/>
  <c r="AV513" i="1"/>
  <c r="AV514" i="1"/>
  <c r="AV515" i="1"/>
  <c r="AV516" i="1"/>
  <c r="AV517" i="1"/>
  <c r="AV518" i="1"/>
  <c r="AV519" i="1"/>
  <c r="AV520" i="1"/>
  <c r="AV521" i="1"/>
  <c r="AV522" i="1"/>
  <c r="AV523" i="1"/>
  <c r="AV524" i="1"/>
  <c r="AV525" i="1"/>
  <c r="AV526" i="1"/>
  <c r="AV527" i="1"/>
  <c r="AV528" i="1"/>
  <c r="AV529" i="1"/>
  <c r="AV530" i="1"/>
  <c r="AV531" i="1"/>
  <c r="AV532" i="1"/>
  <c r="AV533" i="1"/>
  <c r="AV534" i="1"/>
  <c r="AV535" i="1"/>
  <c r="AV536" i="1"/>
  <c r="AV537" i="1"/>
  <c r="AV538" i="1"/>
  <c r="AV539" i="1"/>
  <c r="AV540" i="1"/>
  <c r="AV541" i="1"/>
  <c r="AV542" i="1"/>
  <c r="AV543" i="1"/>
  <c r="AV544" i="1"/>
  <c r="AV545" i="1"/>
  <c r="AV546" i="1"/>
  <c r="AV547" i="1"/>
  <c r="AV548" i="1"/>
  <c r="AV549" i="1"/>
  <c r="AV550" i="1"/>
  <c r="AV551" i="1"/>
  <c r="AV552" i="1"/>
  <c r="AV553" i="1"/>
  <c r="AV554" i="1"/>
  <c r="AV555" i="1"/>
  <c r="AV556" i="1"/>
  <c r="AV557" i="1"/>
  <c r="AV558" i="1"/>
  <c r="AV559" i="1"/>
  <c r="AV560" i="1"/>
  <c r="AV561" i="1"/>
  <c r="AV562" i="1"/>
  <c r="AV563" i="1"/>
  <c r="AV564" i="1"/>
  <c r="AV565" i="1"/>
  <c r="AV566" i="1"/>
  <c r="AV567" i="1"/>
  <c r="AV568" i="1"/>
  <c r="AV569" i="1"/>
  <c r="AV570" i="1"/>
  <c r="AV571" i="1"/>
  <c r="AV572" i="1"/>
  <c r="AV573" i="1"/>
  <c r="AV574" i="1"/>
  <c r="AV575" i="1"/>
  <c r="AV576" i="1"/>
  <c r="AV577" i="1"/>
  <c r="AV578" i="1"/>
  <c r="AV579" i="1"/>
  <c r="AV580" i="1"/>
  <c r="AV581" i="1"/>
  <c r="AV582" i="1"/>
  <c r="AV583" i="1"/>
  <c r="AV584" i="1"/>
  <c r="AV585" i="1"/>
  <c r="AV586" i="1"/>
  <c r="AV587" i="1"/>
  <c r="AV588" i="1"/>
  <c r="AV589" i="1"/>
  <c r="AV590" i="1"/>
  <c r="AV591" i="1"/>
  <c r="AV592" i="1"/>
  <c r="AV593" i="1"/>
  <c r="AV594" i="1"/>
  <c r="AV595" i="1"/>
  <c r="AV596" i="1"/>
  <c r="AV597" i="1"/>
  <c r="AV598" i="1"/>
  <c r="AV599" i="1"/>
  <c r="AV600" i="1"/>
  <c r="AV601" i="1"/>
  <c r="AV602" i="1"/>
  <c r="AV603" i="1"/>
  <c r="AV604" i="1"/>
  <c r="AV605" i="1"/>
  <c r="AV606" i="1"/>
  <c r="AV607" i="1"/>
  <c r="AV608" i="1"/>
  <c r="AV609" i="1"/>
  <c r="AV610" i="1"/>
  <c r="AV611" i="1"/>
  <c r="AV612" i="1"/>
  <c r="AV613" i="1"/>
  <c r="AV614" i="1"/>
  <c r="AV615" i="1"/>
  <c r="AV616" i="1"/>
  <c r="AV617" i="1"/>
  <c r="AV618" i="1"/>
  <c r="AV619" i="1"/>
  <c r="AV620" i="1"/>
  <c r="AV621" i="1"/>
  <c r="AV622" i="1"/>
  <c r="AV623" i="1"/>
  <c r="AV624" i="1"/>
  <c r="AV625" i="1"/>
  <c r="AV626" i="1"/>
  <c r="AV627" i="1"/>
  <c r="AV628" i="1"/>
  <c r="AV629" i="1"/>
  <c r="AV630" i="1"/>
  <c r="AV631" i="1"/>
  <c r="AV632" i="1"/>
  <c r="AV633" i="1"/>
  <c r="AV634" i="1"/>
  <c r="AV635" i="1"/>
  <c r="AV636" i="1"/>
  <c r="AV637" i="1"/>
  <c r="AV638" i="1"/>
  <c r="AV639" i="1"/>
  <c r="AV640" i="1"/>
  <c r="AV641" i="1"/>
  <c r="AV642" i="1"/>
  <c r="AV643" i="1"/>
  <c r="AV644" i="1"/>
  <c r="AV645" i="1"/>
  <c r="AV646" i="1"/>
  <c r="AV647" i="1"/>
  <c r="AV648" i="1"/>
  <c r="AV649" i="1"/>
  <c r="AV650" i="1"/>
  <c r="AV651" i="1"/>
  <c r="AV652" i="1"/>
  <c r="AV653" i="1"/>
  <c r="AV654" i="1"/>
  <c r="AV655" i="1"/>
  <c r="AV656" i="1"/>
  <c r="AV657" i="1"/>
  <c r="AV658" i="1"/>
  <c r="AV659" i="1"/>
  <c r="AV660" i="1"/>
  <c r="AV661" i="1"/>
  <c r="AV662" i="1"/>
  <c r="AV663" i="1"/>
  <c r="AV664" i="1"/>
  <c r="AV665" i="1"/>
  <c r="AV666" i="1"/>
  <c r="AV667" i="1"/>
  <c r="AV668" i="1"/>
  <c r="AV669" i="1"/>
  <c r="AV670" i="1"/>
  <c r="AV671" i="1"/>
  <c r="AV672" i="1"/>
  <c r="AV673" i="1"/>
  <c r="AV674" i="1"/>
  <c r="AV675" i="1"/>
  <c r="AV676" i="1"/>
  <c r="AV677" i="1"/>
  <c r="AV678" i="1"/>
  <c r="AV679" i="1"/>
  <c r="AV680" i="1"/>
  <c r="AV681" i="1"/>
  <c r="AV682" i="1"/>
  <c r="AV683" i="1"/>
  <c r="AV684" i="1"/>
  <c r="AV685" i="1"/>
  <c r="AV686" i="1"/>
  <c r="AV687" i="1"/>
  <c r="AV688" i="1"/>
  <c r="AV689" i="1"/>
  <c r="AV690" i="1"/>
  <c r="AV691" i="1"/>
  <c r="AV692" i="1"/>
  <c r="AV693" i="1"/>
  <c r="AV694" i="1"/>
  <c r="AV695" i="1"/>
  <c r="AV696" i="1"/>
  <c r="AV697" i="1"/>
  <c r="AV698" i="1"/>
  <c r="AV699" i="1"/>
  <c r="AV700" i="1"/>
  <c r="AV701" i="1"/>
  <c r="AV702" i="1"/>
  <c r="AV703" i="1"/>
  <c r="AV704" i="1"/>
  <c r="AV705" i="1"/>
  <c r="AV706" i="1"/>
  <c r="AV707" i="1"/>
  <c r="AV708" i="1"/>
  <c r="AV709" i="1"/>
  <c r="AV710" i="1"/>
  <c r="AV711" i="1"/>
  <c r="AV712" i="1"/>
  <c r="AV713" i="1"/>
  <c r="AV714" i="1"/>
  <c r="AV715" i="1"/>
  <c r="AV716" i="1"/>
  <c r="AV717" i="1"/>
  <c r="AV718" i="1"/>
  <c r="AV719" i="1"/>
  <c r="AV720" i="1"/>
  <c r="AV721" i="1"/>
  <c r="AV722" i="1"/>
  <c r="AV723" i="1"/>
  <c r="AV724" i="1"/>
  <c r="AV725" i="1"/>
  <c r="AV726" i="1"/>
  <c r="AV727" i="1"/>
  <c r="AV728" i="1"/>
  <c r="AV729" i="1"/>
  <c r="AV730" i="1"/>
  <c r="AV731" i="1"/>
  <c r="AV732" i="1"/>
  <c r="AV733" i="1"/>
  <c r="AV734" i="1"/>
  <c r="AV735" i="1"/>
  <c r="AV736" i="1"/>
  <c r="AV737" i="1"/>
  <c r="AV738" i="1"/>
  <c r="AV739" i="1"/>
  <c r="AV740" i="1"/>
  <c r="AV741" i="1"/>
  <c r="AV742" i="1"/>
  <c r="AV743" i="1"/>
  <c r="AV744" i="1"/>
  <c r="AV745" i="1"/>
  <c r="AV746" i="1"/>
  <c r="AV747" i="1"/>
  <c r="AV748" i="1"/>
  <c r="AV749" i="1"/>
  <c r="AV750" i="1"/>
  <c r="AV751" i="1"/>
  <c r="AV752" i="1"/>
  <c r="AV753" i="1"/>
  <c r="AV754" i="1"/>
  <c r="AV755" i="1"/>
  <c r="AV756" i="1"/>
  <c r="AV757" i="1"/>
  <c r="AV758" i="1"/>
  <c r="AV759" i="1"/>
  <c r="AV760" i="1"/>
  <c r="AV761" i="1"/>
  <c r="AV762" i="1"/>
  <c r="AV763" i="1"/>
  <c r="AV764" i="1"/>
  <c r="AV765" i="1"/>
  <c r="AV766" i="1"/>
  <c r="AV767" i="1"/>
  <c r="AV768" i="1"/>
  <c r="AV769" i="1"/>
  <c r="AV770" i="1"/>
  <c r="AV771" i="1"/>
  <c r="AV772" i="1"/>
  <c r="AV773" i="1"/>
  <c r="AV774" i="1"/>
  <c r="AV775" i="1"/>
  <c r="AV776" i="1"/>
  <c r="AV777" i="1"/>
  <c r="AV778" i="1"/>
  <c r="AV779" i="1"/>
  <c r="AV780" i="1"/>
  <c r="AV781" i="1"/>
  <c r="AV782" i="1"/>
  <c r="AV783" i="1"/>
  <c r="AV784" i="1"/>
  <c r="AV785" i="1"/>
  <c r="AV786" i="1"/>
  <c r="AV787" i="1"/>
  <c r="AV788" i="1"/>
  <c r="AV789" i="1"/>
  <c r="AV790" i="1"/>
  <c r="AV791" i="1"/>
  <c r="AV792" i="1"/>
  <c r="AV793" i="1"/>
  <c r="AV794" i="1"/>
  <c r="AV795" i="1"/>
  <c r="AV796" i="1"/>
  <c r="AV797" i="1"/>
  <c r="AV798" i="1"/>
  <c r="AV799" i="1"/>
  <c r="AV800" i="1"/>
  <c r="AV801" i="1"/>
  <c r="AV802" i="1"/>
  <c r="AV803" i="1"/>
  <c r="AV804" i="1"/>
  <c r="AV805" i="1"/>
  <c r="AV806" i="1"/>
  <c r="AV807" i="1"/>
  <c r="AV808" i="1"/>
  <c r="AV809" i="1"/>
  <c r="AV810" i="1"/>
  <c r="AV811" i="1"/>
  <c r="AV812" i="1"/>
  <c r="AV813" i="1"/>
  <c r="AV814" i="1"/>
  <c r="AV815" i="1"/>
  <c r="AV816" i="1"/>
  <c r="AV817" i="1"/>
  <c r="AV818" i="1"/>
  <c r="AV819" i="1"/>
  <c r="AV820" i="1"/>
  <c r="AV821" i="1"/>
  <c r="AV822" i="1"/>
  <c r="AV823" i="1"/>
  <c r="AV824" i="1"/>
  <c r="AV825" i="1"/>
  <c r="AV826" i="1"/>
  <c r="AV827" i="1"/>
  <c r="AV828" i="1"/>
  <c r="AV829" i="1"/>
  <c r="AV830" i="1"/>
  <c r="AV831" i="1"/>
  <c r="AV832" i="1"/>
  <c r="AV833" i="1"/>
  <c r="AV834" i="1"/>
  <c r="AV835" i="1"/>
  <c r="AV836" i="1"/>
  <c r="AV837" i="1"/>
  <c r="AV838" i="1"/>
  <c r="AV839" i="1"/>
  <c r="AV840" i="1"/>
  <c r="AV841" i="1"/>
  <c r="AV842" i="1"/>
  <c r="AV843" i="1"/>
  <c r="AV844" i="1"/>
  <c r="AV845" i="1"/>
  <c r="AV846" i="1"/>
  <c r="AV847" i="1"/>
  <c r="AV848" i="1"/>
  <c r="AV849" i="1"/>
  <c r="AV850" i="1"/>
  <c r="AV851" i="1"/>
  <c r="AV852" i="1"/>
  <c r="AV853" i="1"/>
  <c r="AV854" i="1"/>
  <c r="AV855" i="1"/>
  <c r="AV856" i="1"/>
  <c r="AV857" i="1"/>
  <c r="AV858" i="1"/>
  <c r="AV859" i="1"/>
  <c r="AV860" i="1"/>
  <c r="AV861" i="1"/>
  <c r="AV862" i="1"/>
  <c r="AV863" i="1"/>
  <c r="AV864" i="1"/>
  <c r="AV865" i="1"/>
  <c r="AV866" i="1"/>
  <c r="AV867" i="1"/>
  <c r="AV868" i="1"/>
  <c r="AV869" i="1"/>
  <c r="AV870" i="1"/>
  <c r="AV871" i="1"/>
  <c r="AV872" i="1"/>
  <c r="AV873" i="1"/>
  <c r="AV874" i="1"/>
  <c r="AV875" i="1"/>
  <c r="AV876" i="1"/>
  <c r="AV877" i="1"/>
  <c r="AV878" i="1"/>
  <c r="AV879" i="1"/>
  <c r="AV880" i="1"/>
  <c r="AV881" i="1"/>
  <c r="AV882" i="1"/>
  <c r="AV883" i="1"/>
  <c r="AV884" i="1"/>
  <c r="AV885" i="1"/>
  <c r="AV886" i="1"/>
  <c r="AV887" i="1"/>
  <c r="AV888" i="1"/>
  <c r="AV889" i="1"/>
  <c r="AV890" i="1"/>
  <c r="AV891" i="1"/>
  <c r="AV892" i="1"/>
  <c r="AV893" i="1"/>
  <c r="AV894" i="1"/>
  <c r="AV895" i="1"/>
  <c r="AV896" i="1"/>
  <c r="AV897" i="1"/>
  <c r="AV898" i="1"/>
  <c r="AV899" i="1"/>
  <c r="AV900" i="1"/>
  <c r="AV901" i="1"/>
  <c r="AV902" i="1"/>
  <c r="AV903" i="1"/>
  <c r="AV904" i="1"/>
  <c r="AV905" i="1"/>
  <c r="AV906" i="1"/>
  <c r="AV907" i="1"/>
  <c r="AV908" i="1"/>
  <c r="AV909" i="1"/>
  <c r="AV910" i="1"/>
  <c r="AV911" i="1"/>
  <c r="AV912" i="1"/>
  <c r="AV913" i="1"/>
  <c r="AV914" i="1"/>
  <c r="AV915" i="1"/>
  <c r="AV916" i="1"/>
  <c r="AV917" i="1"/>
  <c r="AV918" i="1"/>
  <c r="AV919" i="1"/>
  <c r="AV920" i="1"/>
  <c r="AV921" i="1"/>
  <c r="AV922" i="1"/>
  <c r="AV923" i="1"/>
  <c r="AV924" i="1"/>
  <c r="AV925" i="1"/>
  <c r="AV926" i="1"/>
  <c r="AV927" i="1"/>
  <c r="AV928" i="1"/>
  <c r="AV929" i="1"/>
  <c r="AV930" i="1"/>
  <c r="AV931" i="1"/>
  <c r="AV932" i="1"/>
  <c r="AV933" i="1"/>
  <c r="AV934" i="1"/>
  <c r="AV935" i="1"/>
  <c r="AV936" i="1"/>
  <c r="AV937" i="1"/>
  <c r="AV938" i="1"/>
  <c r="AV939" i="1"/>
  <c r="AV940" i="1"/>
  <c r="AV941" i="1"/>
  <c r="AV942" i="1"/>
  <c r="AV943" i="1"/>
  <c r="AV944" i="1"/>
  <c r="AV945" i="1"/>
  <c r="AV946" i="1"/>
  <c r="AV947" i="1"/>
  <c r="AV948" i="1"/>
  <c r="AV949" i="1"/>
  <c r="AV950" i="1"/>
  <c r="AV951" i="1"/>
  <c r="AV952" i="1"/>
  <c r="AV953" i="1"/>
  <c r="AV954" i="1"/>
  <c r="AV955" i="1"/>
  <c r="AV956" i="1"/>
  <c r="AV957" i="1"/>
  <c r="AV958" i="1"/>
  <c r="AV959" i="1"/>
  <c r="AV960" i="1"/>
  <c r="AV961" i="1"/>
  <c r="AV962" i="1"/>
  <c r="AV963" i="1"/>
  <c r="AV964" i="1"/>
  <c r="AV965" i="1"/>
  <c r="AV966" i="1"/>
  <c r="AV967" i="1"/>
  <c r="AV968" i="1"/>
  <c r="AV969" i="1"/>
  <c r="AV970" i="1"/>
  <c r="AV971" i="1"/>
  <c r="AV972" i="1"/>
  <c r="AV973" i="1"/>
  <c r="AV974" i="1"/>
  <c r="AV975" i="1"/>
  <c r="AV976" i="1"/>
  <c r="AV977" i="1"/>
  <c r="AV978" i="1"/>
  <c r="AV979" i="1"/>
  <c r="AV980" i="1"/>
  <c r="AV981" i="1"/>
  <c r="AV982" i="1"/>
  <c r="AV983" i="1"/>
  <c r="AV984" i="1"/>
  <c r="AV985" i="1"/>
  <c r="AV986" i="1"/>
  <c r="AV987" i="1"/>
  <c r="AV988" i="1"/>
  <c r="AV989" i="1"/>
  <c r="AV990" i="1"/>
  <c r="AV991" i="1"/>
  <c r="AV992" i="1"/>
  <c r="AV993" i="1"/>
  <c r="AV994" i="1"/>
  <c r="AV995" i="1"/>
  <c r="AV996" i="1"/>
  <c r="AV997" i="1"/>
  <c r="AV998" i="1"/>
  <c r="AV999" i="1"/>
  <c r="AV1000" i="1"/>
  <c r="AV1001" i="1"/>
  <c r="AV1002" i="1"/>
  <c r="AV1003" i="1"/>
  <c r="AV1004" i="1"/>
  <c r="AV1005" i="1"/>
  <c r="AV1006" i="1"/>
  <c r="AV1007" i="1"/>
  <c r="AV1008" i="1"/>
  <c r="AV1009" i="1"/>
  <c r="AV1010" i="1"/>
  <c r="AV1011" i="1"/>
  <c r="AV1012" i="1"/>
  <c r="AV1013" i="1"/>
  <c r="AV1014" i="1"/>
  <c r="AV1015" i="1"/>
  <c r="AV1016" i="1"/>
  <c r="AV1017" i="1"/>
  <c r="AV1018" i="1"/>
  <c r="AV1019" i="1"/>
  <c r="AV1020" i="1"/>
  <c r="AV1021" i="1"/>
  <c r="AV1022" i="1"/>
  <c r="AV1023" i="1"/>
  <c r="AV1024" i="1"/>
  <c r="AV1025" i="1"/>
  <c r="AV1026" i="1"/>
  <c r="AV1027" i="1"/>
  <c r="AV1028" i="1"/>
  <c r="AV1029" i="1"/>
  <c r="AV1030" i="1"/>
  <c r="AV1031" i="1"/>
  <c r="AV1032" i="1"/>
  <c r="AV1033" i="1"/>
  <c r="AV1034" i="1"/>
  <c r="AV1035" i="1"/>
  <c r="AV1036" i="1"/>
  <c r="AV1037" i="1"/>
  <c r="AV1038" i="1"/>
  <c r="AV1039" i="1"/>
  <c r="AV1040" i="1"/>
  <c r="AV1041" i="1"/>
  <c r="AV1042" i="1"/>
  <c r="AV1043" i="1"/>
  <c r="AV1044" i="1"/>
  <c r="AV1045" i="1"/>
  <c r="AV1046" i="1"/>
  <c r="AV1047" i="1"/>
  <c r="AV1048" i="1"/>
  <c r="AV1049" i="1"/>
  <c r="AV1050" i="1"/>
  <c r="AV1051" i="1"/>
  <c r="AV1052" i="1"/>
  <c r="AV1053" i="1"/>
  <c r="AV1054" i="1"/>
  <c r="AV1055" i="1"/>
  <c r="AV1056" i="1"/>
  <c r="AV1057" i="1"/>
  <c r="AV1058" i="1"/>
  <c r="AV1059" i="1"/>
  <c r="AV1060" i="1"/>
  <c r="AV1061" i="1"/>
  <c r="AV1062" i="1"/>
  <c r="AV1063" i="1"/>
  <c r="AV1064" i="1"/>
  <c r="AV1065" i="1"/>
  <c r="AV1066" i="1"/>
  <c r="AV1067" i="1"/>
  <c r="AV1068" i="1"/>
  <c r="AV1069" i="1"/>
  <c r="AV1070" i="1"/>
  <c r="AV1071" i="1"/>
  <c r="AV1072" i="1"/>
  <c r="AV1073" i="1"/>
  <c r="AV1074" i="1"/>
  <c r="AV1075" i="1"/>
  <c r="AV1076" i="1"/>
  <c r="AV1077" i="1"/>
  <c r="AV1078" i="1"/>
  <c r="AV1079" i="1"/>
  <c r="AV1080" i="1"/>
  <c r="AV1081" i="1"/>
  <c r="AV1082" i="1"/>
  <c r="AV1083" i="1"/>
  <c r="AV1084" i="1"/>
  <c r="AV1085" i="1"/>
  <c r="AV1086" i="1"/>
  <c r="AV1087" i="1"/>
  <c r="AV1088" i="1"/>
  <c r="AV1089" i="1"/>
  <c r="AV1090" i="1"/>
  <c r="AV1091" i="1"/>
  <c r="AV1092" i="1"/>
  <c r="AV1093" i="1"/>
  <c r="AV1094" i="1"/>
  <c r="AV1095" i="1"/>
  <c r="AV1096" i="1"/>
  <c r="AV1097" i="1"/>
  <c r="AV1098" i="1"/>
  <c r="AV1099" i="1"/>
  <c r="AV1100" i="1"/>
  <c r="AV1101" i="1"/>
  <c r="AV1102" i="1"/>
  <c r="AV1103" i="1"/>
  <c r="AV1104" i="1"/>
  <c r="AV1105" i="1"/>
  <c r="AV1106" i="1"/>
  <c r="AV1107" i="1"/>
  <c r="AV1108" i="1"/>
  <c r="AV1109" i="1"/>
  <c r="AV1110" i="1"/>
  <c r="AV1111" i="1"/>
  <c r="AV1112" i="1"/>
  <c r="AV1113" i="1"/>
  <c r="AV1114" i="1"/>
  <c r="AV1115" i="1"/>
  <c r="AV1116" i="1"/>
  <c r="AV1117" i="1"/>
  <c r="AV1118" i="1"/>
  <c r="AV1119" i="1"/>
  <c r="AV1120" i="1"/>
  <c r="AV1121" i="1"/>
  <c r="AV1122" i="1"/>
  <c r="AV1123" i="1"/>
  <c r="AV1124" i="1"/>
  <c r="AV1125" i="1"/>
  <c r="AV1126" i="1"/>
  <c r="AV1127" i="1"/>
  <c r="AV1128" i="1"/>
  <c r="AV1129" i="1"/>
  <c r="AV1130" i="1"/>
  <c r="AV1131" i="1"/>
  <c r="AV1132" i="1"/>
  <c r="AV1133" i="1"/>
  <c r="AV1134" i="1"/>
  <c r="AV1135" i="1"/>
  <c r="AV1136" i="1"/>
  <c r="AV1137" i="1"/>
  <c r="AV1138" i="1"/>
  <c r="AV1139" i="1"/>
  <c r="AV1140" i="1"/>
  <c r="AV1141" i="1"/>
  <c r="AV1142" i="1"/>
  <c r="AV1143" i="1"/>
  <c r="AV1144" i="1"/>
  <c r="AV1145" i="1"/>
  <c r="AV1146" i="1"/>
  <c r="AV1147" i="1"/>
  <c r="AV1148" i="1"/>
  <c r="AV1149" i="1"/>
  <c r="AV1150" i="1"/>
  <c r="AV1151" i="1"/>
  <c r="AV1152" i="1"/>
  <c r="AV1153" i="1"/>
  <c r="AV1154" i="1"/>
  <c r="AV1155" i="1"/>
  <c r="AV1156" i="1"/>
  <c r="AV1157" i="1"/>
  <c r="AV1158" i="1"/>
  <c r="AV1159" i="1"/>
  <c r="AV1160" i="1"/>
  <c r="AV1161" i="1"/>
  <c r="AV1162" i="1"/>
  <c r="AV1163" i="1"/>
  <c r="AV1164" i="1"/>
  <c r="AV1165" i="1"/>
  <c r="AV1166" i="1"/>
  <c r="AV1167" i="1"/>
  <c r="AV1168" i="1"/>
  <c r="AV1169" i="1"/>
  <c r="AV1170" i="1"/>
  <c r="AV1171" i="1"/>
  <c r="AV1172" i="1"/>
  <c r="AV1173" i="1"/>
  <c r="AV1174" i="1"/>
  <c r="AV1175" i="1"/>
  <c r="AV1176" i="1"/>
  <c r="AV1177" i="1"/>
  <c r="AV1178" i="1"/>
  <c r="AV1179" i="1"/>
  <c r="AV1180" i="1"/>
  <c r="AV1181" i="1"/>
  <c r="AV1182" i="1"/>
  <c r="AV1183" i="1"/>
  <c r="AV1184" i="1"/>
  <c r="AV1185" i="1"/>
  <c r="AV1186" i="1"/>
  <c r="AV1187" i="1"/>
  <c r="AV1188" i="1"/>
  <c r="AV1189" i="1"/>
  <c r="AV1190" i="1"/>
  <c r="AV1191" i="1"/>
  <c r="AV1192" i="1"/>
  <c r="AV1193" i="1"/>
  <c r="AV1194" i="1"/>
  <c r="AV1195" i="1"/>
  <c r="AV1196" i="1"/>
  <c r="AV1197" i="1"/>
  <c r="AV1198" i="1"/>
  <c r="AV1199" i="1"/>
  <c r="AV1200" i="1"/>
  <c r="AV1201" i="1"/>
  <c r="AV1202" i="1"/>
  <c r="AV1203" i="1"/>
  <c r="AV1204" i="1"/>
  <c r="AV1205" i="1"/>
  <c r="AV1206" i="1"/>
  <c r="AV1207" i="1"/>
  <c r="AV1208" i="1"/>
  <c r="AV1209" i="1"/>
  <c r="AV1210" i="1"/>
  <c r="AV1211" i="1"/>
  <c r="AV1212" i="1"/>
  <c r="AV1213" i="1"/>
  <c r="AV1214" i="1"/>
  <c r="AV1215" i="1"/>
  <c r="AV1216" i="1"/>
  <c r="AV1217" i="1"/>
  <c r="AV1218" i="1"/>
  <c r="AV1219" i="1"/>
  <c r="AV1220" i="1"/>
  <c r="AV1221" i="1"/>
  <c r="AV1222" i="1"/>
  <c r="AV1223" i="1"/>
  <c r="AV1224" i="1"/>
  <c r="AV1225" i="1"/>
  <c r="AV1226" i="1"/>
  <c r="AV1227" i="1"/>
  <c r="AV1228" i="1"/>
  <c r="AV1229" i="1"/>
  <c r="AV1230" i="1"/>
  <c r="AV1231" i="1"/>
  <c r="AV1232" i="1"/>
  <c r="AV1233" i="1"/>
  <c r="AV1234" i="1"/>
  <c r="AV1235" i="1"/>
  <c r="AV1236" i="1"/>
  <c r="AV1237" i="1"/>
  <c r="AV1238" i="1"/>
  <c r="AV1239" i="1"/>
  <c r="AV1240" i="1"/>
  <c r="AV1241" i="1"/>
  <c r="AV1242" i="1"/>
  <c r="AV1243" i="1"/>
  <c r="AV1244" i="1"/>
  <c r="AV1245" i="1"/>
  <c r="AV1246" i="1"/>
  <c r="AV1247" i="1"/>
  <c r="AV1248" i="1"/>
  <c r="AV1249" i="1"/>
  <c r="AV1250" i="1"/>
  <c r="AV1251" i="1"/>
  <c r="AV1252" i="1"/>
  <c r="AV1253" i="1"/>
  <c r="AV1254" i="1"/>
  <c r="AV1255" i="1"/>
  <c r="AV1256" i="1"/>
  <c r="AV1257" i="1"/>
  <c r="AV1258" i="1"/>
  <c r="AV1259" i="1"/>
  <c r="AV1260" i="1"/>
  <c r="AV1261" i="1"/>
  <c r="AV1262" i="1"/>
  <c r="AV1263" i="1"/>
  <c r="AV1264" i="1"/>
  <c r="AV1265" i="1"/>
  <c r="AV1266" i="1"/>
  <c r="AV1267" i="1"/>
  <c r="AV1268" i="1"/>
  <c r="AV1269" i="1"/>
  <c r="AV1270" i="1"/>
  <c r="AV1271" i="1"/>
  <c r="AV1272" i="1"/>
  <c r="AV1273" i="1"/>
  <c r="AV1274" i="1"/>
  <c r="AV1275" i="1"/>
  <c r="AV1276" i="1"/>
  <c r="AV1277" i="1"/>
  <c r="AV1278" i="1"/>
  <c r="AV1279" i="1"/>
  <c r="AV1280" i="1"/>
  <c r="AV1281" i="1"/>
  <c r="AV1282" i="1"/>
  <c r="AV1283" i="1"/>
  <c r="AV1284" i="1"/>
  <c r="AV1285" i="1"/>
  <c r="AV1286" i="1"/>
  <c r="AV1287" i="1"/>
  <c r="AV1288" i="1"/>
  <c r="AV1289" i="1"/>
  <c r="AV1290" i="1"/>
  <c r="AV1291" i="1"/>
  <c r="AV1292" i="1"/>
  <c r="AV1293" i="1"/>
  <c r="AV1294" i="1"/>
  <c r="AV1295" i="1"/>
  <c r="AV1296" i="1"/>
  <c r="AV1297" i="1"/>
  <c r="AV1298" i="1"/>
  <c r="AV1299" i="1"/>
  <c r="AV1300" i="1"/>
  <c r="AV1301" i="1"/>
  <c r="AV1302" i="1"/>
  <c r="AV1303" i="1"/>
  <c r="AV1304" i="1"/>
  <c r="AV1305" i="1"/>
  <c r="AV1306" i="1"/>
  <c r="AV1307" i="1"/>
  <c r="AV1308" i="1"/>
  <c r="AV1309" i="1"/>
  <c r="AV1310" i="1"/>
  <c r="AV1311" i="1"/>
  <c r="AV1312" i="1"/>
  <c r="AV1313" i="1"/>
  <c r="AV1314" i="1"/>
  <c r="AV1315" i="1"/>
  <c r="AV1316" i="1"/>
  <c r="AV1317" i="1"/>
  <c r="AV1318" i="1"/>
  <c r="AV1319" i="1"/>
  <c r="AV1320" i="1"/>
  <c r="AV1321" i="1"/>
  <c r="AV1322" i="1"/>
  <c r="AV1323" i="1"/>
  <c r="AV1324" i="1"/>
  <c r="AV1325" i="1"/>
  <c r="AV1326" i="1"/>
  <c r="AV1327" i="1"/>
  <c r="AV1328" i="1"/>
  <c r="AV1329" i="1"/>
  <c r="AV1330" i="1"/>
  <c r="AV1331" i="1"/>
  <c r="AV1332" i="1"/>
  <c r="AV1333" i="1"/>
  <c r="AV1334" i="1"/>
  <c r="AV1335" i="1"/>
  <c r="AV1336" i="1"/>
  <c r="AV1337" i="1"/>
  <c r="AV1338" i="1"/>
  <c r="AV1339" i="1"/>
  <c r="AV1340" i="1"/>
  <c r="AV1341" i="1"/>
  <c r="AV1342" i="1"/>
  <c r="AV1343" i="1"/>
  <c r="AV1344" i="1"/>
  <c r="AV1345" i="1"/>
  <c r="AV1346" i="1"/>
  <c r="AV1347" i="1"/>
  <c r="AV1348" i="1"/>
  <c r="AV1349" i="1"/>
  <c r="AV1350" i="1"/>
  <c r="AV1351" i="1"/>
  <c r="AV1352" i="1"/>
  <c r="AV1353" i="1"/>
  <c r="AV1354" i="1"/>
  <c r="AV1355" i="1"/>
  <c r="AV1356" i="1"/>
  <c r="AV1357" i="1"/>
  <c r="AV1358" i="1"/>
  <c r="AV1359" i="1"/>
  <c r="AV1360" i="1"/>
  <c r="AV1361" i="1"/>
  <c r="AV1362" i="1"/>
  <c r="AV1363" i="1"/>
  <c r="AV1364" i="1"/>
  <c r="AV1365" i="1"/>
  <c r="AV1366" i="1"/>
  <c r="AV1367" i="1"/>
  <c r="AV1368" i="1"/>
  <c r="AV1369" i="1"/>
  <c r="AV1370" i="1"/>
  <c r="AV1371" i="1"/>
  <c r="AV1372" i="1"/>
  <c r="AV1373" i="1"/>
  <c r="AV1374" i="1"/>
  <c r="AV1375" i="1"/>
  <c r="AV1376" i="1"/>
  <c r="AV1377" i="1"/>
  <c r="AV1378" i="1"/>
  <c r="AV1379" i="1"/>
  <c r="AV1380" i="1"/>
  <c r="AV1381" i="1"/>
  <c r="AV1382" i="1"/>
  <c r="AV1383" i="1"/>
  <c r="AV1384" i="1"/>
  <c r="AV1385" i="1"/>
  <c r="AV1386" i="1"/>
  <c r="AV1387" i="1"/>
  <c r="AV1388" i="1"/>
  <c r="AV1389" i="1"/>
  <c r="AV1390" i="1"/>
  <c r="AV1391" i="1"/>
  <c r="AV1392" i="1"/>
  <c r="AV1393" i="1"/>
  <c r="AV1394" i="1"/>
  <c r="AV1395" i="1"/>
  <c r="AV1396" i="1"/>
  <c r="AV1397" i="1"/>
  <c r="AV1398" i="1"/>
  <c r="AV1399" i="1"/>
  <c r="AV1400" i="1"/>
  <c r="AV1401" i="1"/>
  <c r="AV1402" i="1"/>
  <c r="AV1403" i="1"/>
  <c r="AV1404" i="1"/>
  <c r="AV1405" i="1"/>
  <c r="AV1406" i="1"/>
  <c r="AV1407" i="1"/>
  <c r="AV1408" i="1"/>
  <c r="AV1409" i="1"/>
  <c r="AV1410" i="1"/>
  <c r="AV1411" i="1"/>
  <c r="AV1412" i="1"/>
  <c r="AV1413" i="1"/>
  <c r="AV1414" i="1"/>
  <c r="AV1415" i="1"/>
  <c r="AV1416" i="1"/>
  <c r="AV1417" i="1"/>
  <c r="AV1418" i="1"/>
  <c r="AV1419" i="1"/>
  <c r="AV1420" i="1"/>
  <c r="AV1421" i="1"/>
  <c r="AV1422" i="1"/>
  <c r="AV1423" i="1"/>
  <c r="AV1424" i="1"/>
  <c r="AV1425" i="1"/>
  <c r="AV1426" i="1"/>
  <c r="AV1427" i="1"/>
  <c r="AV1428" i="1"/>
  <c r="AV1429" i="1"/>
  <c r="AV1430" i="1"/>
  <c r="AV1431" i="1"/>
  <c r="AV1432" i="1"/>
  <c r="AV1433" i="1"/>
  <c r="AV1434" i="1"/>
  <c r="AV1435" i="1"/>
  <c r="AV1436" i="1"/>
  <c r="AV1437" i="1"/>
  <c r="AV1438" i="1"/>
  <c r="AV1439" i="1"/>
  <c r="AV1440" i="1"/>
  <c r="AV1441" i="1"/>
  <c r="AV1442" i="1"/>
  <c r="AV1443" i="1"/>
  <c r="AV1444" i="1"/>
  <c r="AV1445" i="1"/>
  <c r="AV1446" i="1"/>
  <c r="AV1447" i="1"/>
  <c r="AV1448" i="1"/>
  <c r="AV1449" i="1"/>
  <c r="AV1450" i="1"/>
  <c r="AV1451" i="1"/>
  <c r="AV1452" i="1"/>
  <c r="AV1453" i="1"/>
  <c r="AV1454" i="1"/>
  <c r="AV1455" i="1"/>
  <c r="AV1456" i="1"/>
  <c r="AV1457" i="1"/>
  <c r="AV1458" i="1"/>
  <c r="AV1459" i="1"/>
  <c r="AV1460" i="1"/>
  <c r="AV1461" i="1"/>
  <c r="AV1462" i="1"/>
  <c r="AV1463" i="1"/>
  <c r="AV1464" i="1"/>
  <c r="AV1465" i="1"/>
  <c r="AV1466" i="1"/>
  <c r="AV1467" i="1"/>
  <c r="AV1468" i="1"/>
  <c r="AV1469" i="1"/>
  <c r="AV1470" i="1"/>
  <c r="AV1471" i="1"/>
  <c r="AV1472" i="1"/>
  <c r="AV1473" i="1"/>
  <c r="AV1474" i="1"/>
  <c r="AV1475" i="1"/>
  <c r="AV1476" i="1"/>
  <c r="AV1477" i="1"/>
  <c r="AV1478" i="1"/>
  <c r="AV1479" i="1"/>
  <c r="AV1480" i="1"/>
  <c r="AV1481" i="1"/>
  <c r="AV1482" i="1"/>
  <c r="AV1483" i="1"/>
  <c r="AV1484" i="1"/>
  <c r="AV1485" i="1"/>
  <c r="AV1486" i="1"/>
  <c r="AV1487" i="1"/>
  <c r="AV1488" i="1"/>
  <c r="AV1489" i="1"/>
  <c r="AV1490" i="1"/>
  <c r="AV1491" i="1"/>
  <c r="AV1492" i="1"/>
  <c r="AV1493" i="1"/>
  <c r="AV1494" i="1"/>
  <c r="AV1495" i="1"/>
  <c r="AV1496" i="1"/>
  <c r="AV1497" i="1"/>
  <c r="AV1498" i="1"/>
  <c r="AV1499" i="1"/>
  <c r="AV1500" i="1"/>
  <c r="AV1501" i="1"/>
  <c r="AV1502" i="1"/>
  <c r="AV1503" i="1"/>
  <c r="AV1504" i="1"/>
  <c r="AV1505" i="1"/>
  <c r="AV1506" i="1"/>
  <c r="AV1507" i="1"/>
  <c r="AV1508" i="1"/>
  <c r="AV1509" i="1"/>
  <c r="AV1510" i="1"/>
  <c r="AV1511" i="1"/>
  <c r="AV1512" i="1"/>
  <c r="AV1513" i="1"/>
  <c r="AV1514" i="1"/>
  <c r="AV1515" i="1"/>
  <c r="AV1516" i="1"/>
  <c r="AV1517" i="1"/>
  <c r="AV1518" i="1"/>
  <c r="AV1519" i="1"/>
  <c r="AV1520" i="1"/>
  <c r="AV1521" i="1"/>
  <c r="AV1522" i="1"/>
  <c r="AV1523" i="1"/>
  <c r="AV1524" i="1"/>
  <c r="AV1525" i="1"/>
  <c r="AV1526" i="1"/>
  <c r="AV1527" i="1"/>
  <c r="AV1528" i="1"/>
  <c r="AV1529" i="1"/>
  <c r="AV1530" i="1"/>
  <c r="AV1531" i="1"/>
  <c r="AV1532" i="1"/>
  <c r="AV1533" i="1"/>
  <c r="AV1534" i="1"/>
  <c r="AV1535" i="1"/>
  <c r="AV1536" i="1"/>
  <c r="AV1537" i="1"/>
  <c r="AV1538" i="1"/>
  <c r="AV1539" i="1"/>
  <c r="AV1540" i="1"/>
  <c r="AV1541" i="1"/>
  <c r="AV1542" i="1"/>
  <c r="AV1543" i="1"/>
  <c r="AV1544" i="1"/>
  <c r="AV1545" i="1"/>
  <c r="AV1546" i="1"/>
  <c r="AV1547" i="1"/>
  <c r="AV1548" i="1"/>
  <c r="AV1549" i="1"/>
  <c r="AV1550" i="1"/>
  <c r="AV1551" i="1"/>
  <c r="AV1552" i="1"/>
  <c r="AV1553" i="1"/>
  <c r="AV1554" i="1"/>
  <c r="AV1555" i="1"/>
  <c r="AV1556" i="1"/>
  <c r="AV1557" i="1"/>
  <c r="AV1558" i="1"/>
  <c r="AV1559" i="1"/>
  <c r="AV1560" i="1"/>
  <c r="AV1561" i="1"/>
  <c r="AV1562" i="1"/>
  <c r="AV1563" i="1"/>
  <c r="AV1564" i="1"/>
  <c r="AV1565" i="1"/>
  <c r="AV1566" i="1"/>
  <c r="AV1567" i="1"/>
  <c r="AV1568" i="1"/>
  <c r="AV1569" i="1"/>
  <c r="AV1570" i="1"/>
  <c r="AV1571" i="1"/>
  <c r="AV1572" i="1"/>
  <c r="AV1573" i="1"/>
  <c r="AV1574" i="1"/>
  <c r="AV1575" i="1"/>
  <c r="AV1576" i="1"/>
  <c r="AV1577" i="1"/>
  <c r="AV1578" i="1"/>
  <c r="AV1579" i="1"/>
  <c r="AV1580" i="1"/>
  <c r="AV1581" i="1"/>
  <c r="AV1582" i="1"/>
  <c r="AV1583" i="1"/>
  <c r="AV1584" i="1"/>
  <c r="AV1585" i="1"/>
  <c r="AV1586" i="1"/>
  <c r="AV1587" i="1"/>
  <c r="AV1588" i="1"/>
  <c r="AV1589" i="1"/>
  <c r="AV1590" i="1"/>
  <c r="AV1591" i="1"/>
  <c r="AV1592" i="1"/>
  <c r="AV1593" i="1"/>
  <c r="AV1594" i="1"/>
  <c r="AV1595" i="1"/>
  <c r="AV1596" i="1"/>
  <c r="AV1597" i="1"/>
  <c r="AV1598" i="1"/>
  <c r="AV1599" i="1"/>
  <c r="AV1600" i="1"/>
  <c r="AV1601" i="1"/>
  <c r="AV1602" i="1"/>
  <c r="AV1603" i="1"/>
  <c r="AV1604" i="1"/>
  <c r="AV1605" i="1"/>
  <c r="AV1606" i="1"/>
  <c r="AV1607" i="1"/>
  <c r="AV1608" i="1"/>
  <c r="AV1609" i="1"/>
  <c r="AV1610" i="1"/>
  <c r="AV1611" i="1"/>
  <c r="AV1612" i="1"/>
  <c r="AV1613" i="1"/>
  <c r="AV1614" i="1"/>
  <c r="AV1615" i="1"/>
  <c r="AV1616" i="1"/>
  <c r="AV1617" i="1"/>
  <c r="AV1618" i="1"/>
  <c r="AV1619" i="1"/>
  <c r="AV1620" i="1"/>
  <c r="AV1621" i="1"/>
  <c r="AV1622" i="1"/>
  <c r="AV1623" i="1"/>
  <c r="AV1624" i="1"/>
  <c r="AV1625" i="1"/>
  <c r="AV1626" i="1"/>
  <c r="AV1627" i="1"/>
  <c r="AV1628" i="1"/>
  <c r="AV1629" i="1"/>
  <c r="AV1630" i="1"/>
  <c r="AV1631" i="1"/>
  <c r="AV1632" i="1"/>
  <c r="AV1633" i="1"/>
  <c r="AV1634" i="1"/>
  <c r="AV1635" i="1"/>
  <c r="AV1636" i="1"/>
  <c r="AV1637" i="1"/>
  <c r="AV1638" i="1"/>
  <c r="AV1639" i="1"/>
  <c r="AV1640" i="1"/>
  <c r="AV1641" i="1"/>
  <c r="AV1642" i="1"/>
  <c r="AV1643" i="1"/>
  <c r="AV1644" i="1"/>
  <c r="AV1645" i="1"/>
  <c r="AV1646" i="1"/>
  <c r="AV1647" i="1"/>
  <c r="AV1648" i="1"/>
  <c r="AV1649" i="1"/>
  <c r="AV1650" i="1"/>
  <c r="AV1651" i="1"/>
  <c r="AV1652" i="1"/>
  <c r="AV1653" i="1"/>
  <c r="AV1654" i="1"/>
  <c r="AV1655" i="1"/>
  <c r="AV1656" i="1"/>
  <c r="AV1657" i="1"/>
  <c r="AV1658" i="1"/>
  <c r="AV1659" i="1"/>
  <c r="AV1660" i="1"/>
  <c r="AV1661" i="1"/>
  <c r="AV1662" i="1"/>
  <c r="AV1663" i="1"/>
  <c r="AV1664" i="1"/>
  <c r="AV1665" i="1"/>
  <c r="AV1666" i="1"/>
  <c r="AV1667" i="1"/>
  <c r="AV1668" i="1"/>
  <c r="AV1669" i="1"/>
  <c r="AV1670" i="1"/>
  <c r="AV1671" i="1"/>
  <c r="AV1672" i="1"/>
  <c r="AV1673" i="1"/>
  <c r="AV1674" i="1"/>
  <c r="AV1675" i="1"/>
  <c r="AV1676" i="1"/>
  <c r="AV1677" i="1"/>
  <c r="AV1678" i="1"/>
  <c r="AV1679" i="1"/>
  <c r="AV1680" i="1"/>
  <c r="AV1681" i="1"/>
  <c r="AV1682" i="1"/>
  <c r="AV1683" i="1"/>
  <c r="AV1684" i="1"/>
  <c r="AV1685" i="1"/>
  <c r="AV1686" i="1"/>
  <c r="AV1687" i="1"/>
  <c r="AV1688" i="1"/>
  <c r="AV1689" i="1"/>
  <c r="AV1690" i="1"/>
  <c r="AV1691" i="1"/>
  <c r="AV1692" i="1"/>
  <c r="AV1693" i="1"/>
  <c r="AV1694" i="1"/>
  <c r="AV1695" i="1"/>
  <c r="AV1696" i="1"/>
  <c r="AV1697" i="1"/>
  <c r="AV1698" i="1"/>
  <c r="AV1699" i="1"/>
  <c r="AV1700" i="1"/>
  <c r="AV1701" i="1"/>
  <c r="AV1702" i="1"/>
  <c r="AV1703" i="1"/>
  <c r="AV1704" i="1"/>
  <c r="AV1705" i="1"/>
  <c r="AV1706" i="1"/>
  <c r="AV1707" i="1"/>
  <c r="AV1708" i="1"/>
  <c r="AV1709" i="1"/>
  <c r="AV1710" i="1"/>
  <c r="AV1711" i="1"/>
  <c r="AV1712" i="1"/>
  <c r="AV1713" i="1"/>
  <c r="AV1714" i="1"/>
  <c r="AV1715" i="1"/>
  <c r="AV1716" i="1"/>
  <c r="AV1717" i="1"/>
  <c r="AV1718" i="1"/>
  <c r="AV1719" i="1"/>
  <c r="AV1720" i="1"/>
  <c r="AV1721" i="1"/>
  <c r="AV1722" i="1"/>
  <c r="AV1723" i="1"/>
  <c r="AV1724" i="1"/>
  <c r="AV1725" i="1"/>
  <c r="AV1726" i="1"/>
  <c r="AV1727" i="1"/>
  <c r="AV1728" i="1"/>
  <c r="AV1729" i="1"/>
  <c r="AV1730" i="1"/>
  <c r="AV1731" i="1"/>
  <c r="AV1732" i="1"/>
  <c r="AV1733" i="1"/>
  <c r="AV1734" i="1"/>
  <c r="AV1735" i="1"/>
  <c r="AV1736" i="1"/>
  <c r="AV1737" i="1"/>
  <c r="AV1738" i="1"/>
  <c r="AV1739" i="1"/>
  <c r="AV1740" i="1"/>
  <c r="AV1741" i="1"/>
  <c r="AV1742" i="1"/>
  <c r="AV1743" i="1"/>
  <c r="AV1744" i="1"/>
  <c r="AV1745" i="1"/>
  <c r="AV1746" i="1"/>
  <c r="AV1747" i="1"/>
  <c r="AV1748" i="1"/>
  <c r="AV1749" i="1"/>
  <c r="AV1750" i="1"/>
  <c r="AV1751" i="1"/>
  <c r="AV1752" i="1"/>
  <c r="AV1753" i="1"/>
  <c r="AV1754" i="1"/>
  <c r="AV1755" i="1"/>
  <c r="AV1756" i="1"/>
  <c r="AV1757" i="1"/>
  <c r="AV1758" i="1"/>
  <c r="AV1759" i="1"/>
  <c r="AV1760" i="1"/>
  <c r="AV1761" i="1"/>
  <c r="AV1762" i="1"/>
  <c r="AV1763" i="1"/>
  <c r="AV1764" i="1"/>
  <c r="AV1765" i="1"/>
  <c r="AV1766" i="1"/>
  <c r="AV1767" i="1"/>
  <c r="AV1768" i="1"/>
  <c r="AV1769" i="1"/>
  <c r="AV1770" i="1"/>
  <c r="AV1771" i="1"/>
  <c r="AV1772" i="1"/>
  <c r="AV1773" i="1"/>
  <c r="AV1774" i="1"/>
  <c r="AV1775" i="1"/>
  <c r="AV1776" i="1"/>
  <c r="AV1777" i="1"/>
  <c r="AV1778" i="1"/>
  <c r="AV1779" i="1"/>
  <c r="AV1780" i="1"/>
  <c r="AV1781" i="1"/>
  <c r="AV1782" i="1"/>
  <c r="AV1783" i="1"/>
  <c r="AV1784" i="1"/>
  <c r="AV1785" i="1"/>
  <c r="AV1786" i="1"/>
  <c r="AV1787" i="1"/>
  <c r="AV1788" i="1"/>
  <c r="AV1789" i="1"/>
  <c r="AV1790" i="1"/>
  <c r="AV1791" i="1"/>
  <c r="AV1792" i="1"/>
  <c r="AV1793" i="1"/>
  <c r="AV1794" i="1"/>
  <c r="AV1795" i="1"/>
  <c r="AV1796" i="1"/>
  <c r="AV1797" i="1"/>
  <c r="AV1798" i="1"/>
  <c r="AV1799" i="1"/>
  <c r="AV1800" i="1"/>
  <c r="AV1801" i="1"/>
  <c r="AV1802" i="1"/>
  <c r="AV1803" i="1"/>
  <c r="AV1804" i="1"/>
  <c r="AV1805" i="1"/>
  <c r="AV1806" i="1"/>
  <c r="AV1807" i="1"/>
  <c r="AV1808" i="1"/>
  <c r="AV1809" i="1"/>
  <c r="AV1810" i="1"/>
  <c r="AV1811" i="1"/>
  <c r="AV1812" i="1"/>
  <c r="AV1813" i="1"/>
  <c r="AV1814" i="1"/>
  <c r="AV1815" i="1"/>
  <c r="AV1816" i="1"/>
  <c r="AV1817" i="1"/>
  <c r="AV1818" i="1"/>
  <c r="AV1819" i="1"/>
  <c r="AV1820" i="1"/>
  <c r="AV1821" i="1"/>
  <c r="AV1822" i="1"/>
  <c r="AV1823" i="1"/>
  <c r="AV1824" i="1"/>
  <c r="AV1825" i="1"/>
  <c r="AV1826" i="1"/>
  <c r="AV1827" i="1"/>
  <c r="AV1828" i="1"/>
  <c r="AV1829" i="1"/>
  <c r="AV1830" i="1"/>
  <c r="AV1831" i="1"/>
  <c r="AV1832" i="1"/>
  <c r="AV1833" i="1"/>
  <c r="AV1834" i="1"/>
  <c r="AV1835" i="1"/>
  <c r="AV1836" i="1"/>
  <c r="AV1837" i="1"/>
  <c r="AV1838" i="1"/>
  <c r="AV1839" i="1"/>
  <c r="AV1840" i="1"/>
  <c r="AV1841" i="1"/>
  <c r="AV1842" i="1"/>
  <c r="AV1843" i="1"/>
  <c r="AV1844" i="1"/>
  <c r="AV1845" i="1"/>
  <c r="AV1846" i="1"/>
  <c r="AV1847" i="1"/>
  <c r="AV1848" i="1"/>
  <c r="AV1849" i="1"/>
  <c r="AV1850" i="1"/>
  <c r="AV1851" i="1"/>
  <c r="AV1852" i="1"/>
  <c r="AV1853" i="1"/>
  <c r="AV1854" i="1"/>
  <c r="AV1855" i="1"/>
  <c r="AV1856" i="1"/>
  <c r="AV1857" i="1"/>
  <c r="AV1858" i="1"/>
  <c r="AV1859" i="1"/>
  <c r="AV1860" i="1"/>
  <c r="AV1861" i="1"/>
  <c r="AV1862" i="1"/>
  <c r="AV1863" i="1"/>
  <c r="AV1864" i="1"/>
  <c r="AV1865" i="1"/>
  <c r="AV1866" i="1"/>
  <c r="AV1867" i="1"/>
  <c r="AV1868" i="1"/>
  <c r="AV1869" i="1"/>
  <c r="AV1870" i="1"/>
  <c r="AV1871" i="1"/>
  <c r="AV1872" i="1"/>
  <c r="AV1873" i="1"/>
  <c r="AV1874" i="1"/>
  <c r="AV1875" i="1"/>
  <c r="AV1876" i="1"/>
  <c r="AV1877" i="1"/>
  <c r="AV1878" i="1"/>
  <c r="AV1879" i="1"/>
  <c r="AV1880" i="1"/>
  <c r="AV1881" i="1"/>
  <c r="AV1882" i="1"/>
  <c r="AV1883" i="1"/>
  <c r="AV1884" i="1"/>
  <c r="AV1885" i="1"/>
  <c r="AV1886" i="1"/>
  <c r="AV1887" i="1"/>
  <c r="AV1888" i="1"/>
  <c r="AV1889" i="1"/>
  <c r="AV1890" i="1"/>
  <c r="AV1891" i="1"/>
  <c r="AV1892" i="1"/>
  <c r="AV1893" i="1"/>
  <c r="AV1894" i="1"/>
  <c r="AV1895" i="1"/>
  <c r="AV1896" i="1"/>
  <c r="AV1897" i="1"/>
  <c r="AV1898" i="1"/>
  <c r="AV1899" i="1"/>
  <c r="AV1900" i="1"/>
  <c r="AV1901" i="1"/>
  <c r="AV1902" i="1"/>
  <c r="AV1903" i="1"/>
  <c r="AV1904" i="1"/>
  <c r="AV1905" i="1"/>
  <c r="AV1906" i="1"/>
  <c r="AV1907" i="1"/>
  <c r="AV1908" i="1"/>
  <c r="AV1909" i="1"/>
  <c r="AV1910" i="1"/>
  <c r="AV1911" i="1"/>
  <c r="AV1912" i="1"/>
  <c r="AV1913" i="1"/>
  <c r="AV1914" i="1"/>
  <c r="AV1915" i="1"/>
  <c r="AV1916" i="1"/>
  <c r="AV1917" i="1"/>
  <c r="AV1918" i="1"/>
  <c r="AV1919" i="1"/>
  <c r="AV1920" i="1"/>
  <c r="AV1921" i="1"/>
  <c r="AV1922" i="1"/>
  <c r="AV1923" i="1"/>
  <c r="AV1924" i="1"/>
  <c r="AV1925" i="1"/>
  <c r="AV1926" i="1"/>
  <c r="AV1927" i="1"/>
  <c r="AV1928" i="1"/>
  <c r="AV1929" i="1"/>
  <c r="AV1930" i="1"/>
  <c r="AV1931" i="1"/>
  <c r="AV1932" i="1"/>
  <c r="AV1933" i="1"/>
  <c r="AV1934" i="1"/>
  <c r="AV1935" i="1"/>
  <c r="AV1936" i="1"/>
  <c r="AV1937" i="1"/>
  <c r="AV1938" i="1"/>
  <c r="AV1939" i="1"/>
  <c r="AV1940" i="1"/>
  <c r="AV1941" i="1"/>
  <c r="AV1942" i="1"/>
  <c r="AV1943" i="1"/>
  <c r="AV1944" i="1"/>
  <c r="AV1945" i="1"/>
  <c r="AV1946" i="1"/>
  <c r="AV1947" i="1"/>
  <c r="AV1948" i="1"/>
  <c r="AV1949" i="1"/>
  <c r="AV1950" i="1"/>
  <c r="AV1951" i="1"/>
  <c r="AV1952" i="1"/>
  <c r="AV1953" i="1"/>
  <c r="AV1954" i="1"/>
  <c r="AV1955" i="1"/>
  <c r="AV1956" i="1"/>
  <c r="AV1957" i="1"/>
  <c r="AV1958" i="1"/>
  <c r="AV1959" i="1"/>
  <c r="AV1960" i="1"/>
  <c r="AV1961" i="1"/>
  <c r="AV1962" i="1"/>
  <c r="AV1963" i="1"/>
  <c r="AV1964" i="1"/>
  <c r="AV1965" i="1"/>
  <c r="AV1966" i="1"/>
  <c r="AV1967" i="1"/>
  <c r="AV1968" i="1"/>
  <c r="AV1969" i="1"/>
  <c r="AV1970" i="1"/>
  <c r="AV1971" i="1"/>
  <c r="AV1972" i="1"/>
  <c r="AV1973" i="1"/>
  <c r="AV1974" i="1"/>
  <c r="AV1975" i="1"/>
  <c r="AV1976" i="1"/>
  <c r="AV1977" i="1"/>
  <c r="AV1978" i="1"/>
  <c r="AV1979" i="1"/>
  <c r="AV1980" i="1"/>
  <c r="AV1981" i="1"/>
  <c r="AV1982" i="1"/>
  <c r="AV1983" i="1"/>
  <c r="AV1984" i="1"/>
  <c r="AV1985" i="1"/>
  <c r="AV1986" i="1"/>
  <c r="AV1987" i="1"/>
  <c r="AV1988" i="1"/>
  <c r="AV1989" i="1"/>
  <c r="AV1990" i="1"/>
  <c r="AV1991" i="1"/>
  <c r="AV1992" i="1"/>
  <c r="AV1993" i="1"/>
  <c r="AV1994" i="1"/>
  <c r="AV1995" i="1"/>
  <c r="AV1996" i="1"/>
  <c r="AV1997" i="1"/>
  <c r="AV1998" i="1"/>
  <c r="AV1999" i="1"/>
  <c r="AV2000" i="1"/>
  <c r="AV2001" i="1"/>
  <c r="AV2002" i="1"/>
  <c r="AV2003" i="1"/>
  <c r="AV2004" i="1"/>
  <c r="AV2005" i="1"/>
  <c r="AV2006" i="1"/>
  <c r="AV2007" i="1"/>
  <c r="AV2008" i="1"/>
  <c r="AV2009" i="1"/>
  <c r="AV2010" i="1"/>
  <c r="AV2011" i="1"/>
  <c r="AV2012" i="1"/>
  <c r="AV2013" i="1"/>
  <c r="AV2014" i="1"/>
  <c r="AV2015" i="1"/>
  <c r="AV2016" i="1"/>
  <c r="AV2017" i="1"/>
  <c r="AV2018" i="1"/>
  <c r="AV2019" i="1"/>
  <c r="AV2020" i="1"/>
  <c r="AV2021" i="1"/>
  <c r="AV2022" i="1"/>
  <c r="AV2023" i="1"/>
  <c r="AV2024" i="1"/>
  <c r="AV2025" i="1"/>
  <c r="AV2026" i="1"/>
  <c r="AV2027" i="1"/>
  <c r="AV2028" i="1"/>
  <c r="AV2029" i="1"/>
  <c r="AV2030" i="1"/>
  <c r="AV2031" i="1"/>
  <c r="AV2032" i="1"/>
  <c r="AV2033" i="1"/>
  <c r="AV2034" i="1"/>
  <c r="AV2035" i="1"/>
  <c r="AV2036" i="1"/>
  <c r="AV2037" i="1"/>
  <c r="AV2038" i="1"/>
  <c r="AV2039" i="1"/>
  <c r="AV2040" i="1"/>
  <c r="AV2041" i="1"/>
  <c r="AV2042" i="1"/>
  <c r="AV2043" i="1"/>
  <c r="AV2044" i="1"/>
  <c r="AV2045" i="1"/>
  <c r="AV2046" i="1"/>
  <c r="AV2047" i="1"/>
  <c r="AV2048" i="1"/>
  <c r="AV2049" i="1"/>
  <c r="AV2050" i="1"/>
  <c r="AV2051" i="1"/>
  <c r="AV2052" i="1"/>
  <c r="AV2053" i="1"/>
  <c r="AV2054" i="1"/>
  <c r="AV2055" i="1"/>
  <c r="AV2056" i="1"/>
  <c r="AV2057" i="1"/>
  <c r="AV2058" i="1"/>
  <c r="AV2059" i="1"/>
  <c r="AV2060" i="1"/>
  <c r="AV2061" i="1"/>
  <c r="AV2062" i="1"/>
  <c r="AV2063" i="1"/>
  <c r="AV2064" i="1"/>
  <c r="AV2065" i="1"/>
  <c r="AV2066" i="1"/>
  <c r="AV2067" i="1"/>
  <c r="AV2068" i="1"/>
  <c r="AV2069" i="1"/>
  <c r="AV2070" i="1"/>
  <c r="AV2071" i="1"/>
  <c r="AV2072" i="1"/>
  <c r="AV2073" i="1"/>
  <c r="AV2074" i="1"/>
  <c r="AV2075" i="1"/>
  <c r="AV2076" i="1"/>
  <c r="AV2077" i="1"/>
  <c r="AV2078" i="1"/>
  <c r="AV2079" i="1"/>
  <c r="AV2080" i="1"/>
  <c r="AV2081" i="1"/>
  <c r="AV2082" i="1"/>
  <c r="AV2083" i="1"/>
  <c r="AV2084" i="1"/>
  <c r="AV2085" i="1"/>
  <c r="AV2086" i="1"/>
  <c r="AV2087" i="1"/>
  <c r="AV2088" i="1"/>
  <c r="AV2089" i="1"/>
  <c r="AV2090" i="1"/>
  <c r="AV2091" i="1"/>
  <c r="AV2092" i="1"/>
  <c r="AV2093" i="1"/>
  <c r="AV2094" i="1"/>
  <c r="AV2095" i="1"/>
  <c r="AV2096" i="1"/>
  <c r="AV2097" i="1"/>
  <c r="AV2098" i="1"/>
  <c r="AV2099" i="1"/>
  <c r="AV2100" i="1"/>
  <c r="AV2101" i="1"/>
  <c r="AV2102" i="1"/>
  <c r="AV2103" i="1"/>
  <c r="AV2104" i="1"/>
  <c r="AV2105" i="1"/>
  <c r="AV2106" i="1"/>
  <c r="AV2107" i="1"/>
  <c r="AV2108" i="1"/>
  <c r="AV2109" i="1"/>
  <c r="AV2110" i="1"/>
  <c r="AV2111" i="1"/>
  <c r="AV2112" i="1"/>
  <c r="AV2113" i="1"/>
  <c r="AV2114" i="1"/>
  <c r="AV2115" i="1"/>
  <c r="AV2116" i="1"/>
  <c r="AV2117" i="1"/>
  <c r="AV2118" i="1"/>
  <c r="AV2119" i="1"/>
  <c r="AV2120" i="1"/>
  <c r="AV2121" i="1"/>
  <c r="AV2122" i="1"/>
  <c r="AV2123" i="1"/>
  <c r="AV2124" i="1"/>
  <c r="AV2125" i="1"/>
  <c r="AV2126" i="1"/>
  <c r="AV2127" i="1"/>
  <c r="AV2128" i="1"/>
  <c r="AV2129" i="1"/>
  <c r="AV2130" i="1"/>
  <c r="AV2131" i="1"/>
  <c r="AV2132" i="1"/>
  <c r="AV2133" i="1"/>
  <c r="AV2134" i="1"/>
  <c r="AV2135" i="1"/>
  <c r="AV2136" i="1"/>
  <c r="AV2137" i="1"/>
  <c r="AV2138" i="1"/>
  <c r="AV2139" i="1"/>
  <c r="AV2140" i="1"/>
  <c r="AV2141" i="1"/>
  <c r="AV2142" i="1"/>
  <c r="AV2143" i="1"/>
  <c r="AV2144" i="1"/>
  <c r="AV2145" i="1"/>
  <c r="AV2146" i="1"/>
  <c r="AV2147" i="1"/>
  <c r="AV2148" i="1"/>
  <c r="AV2149" i="1"/>
  <c r="AV2150" i="1"/>
  <c r="AV2151" i="1"/>
  <c r="AV2152" i="1"/>
  <c r="AV2153" i="1"/>
  <c r="AV2154" i="1"/>
  <c r="AV2155" i="1"/>
  <c r="AV2156" i="1"/>
  <c r="AV2157" i="1"/>
  <c r="AV2158" i="1"/>
  <c r="AV2159" i="1"/>
  <c r="AV2160" i="1"/>
  <c r="AV2161" i="1"/>
  <c r="AV2162" i="1"/>
  <c r="AV2163" i="1"/>
  <c r="AV2164" i="1"/>
  <c r="AV2165" i="1"/>
  <c r="AV2166" i="1"/>
  <c r="AV2167" i="1"/>
  <c r="AV2168" i="1"/>
  <c r="AV2169" i="1"/>
  <c r="AV2170" i="1"/>
  <c r="AV2171" i="1"/>
  <c r="AV2172" i="1"/>
  <c r="AV2173" i="1"/>
  <c r="AV2174" i="1"/>
  <c r="AV2175" i="1"/>
  <c r="AV2176" i="1"/>
  <c r="AV2177" i="1"/>
  <c r="AV2178" i="1"/>
  <c r="AV2179" i="1"/>
  <c r="AV2180" i="1"/>
  <c r="AV2181" i="1"/>
  <c r="AV2182" i="1"/>
  <c r="AV2183" i="1"/>
  <c r="AV2184" i="1"/>
  <c r="AV2185" i="1"/>
  <c r="AV2186" i="1"/>
  <c r="AV2187" i="1"/>
  <c r="AV2188" i="1"/>
  <c r="AV2189" i="1"/>
  <c r="AV2190" i="1"/>
  <c r="AV2191" i="1"/>
  <c r="AV2192" i="1"/>
  <c r="AV2193" i="1"/>
  <c r="AV2194" i="1"/>
  <c r="AV2195" i="1"/>
  <c r="AV2196" i="1"/>
  <c r="AV2197" i="1"/>
  <c r="AV2198" i="1"/>
  <c r="AV2199" i="1"/>
  <c r="AV2200" i="1"/>
  <c r="AV2201" i="1"/>
  <c r="AV2202" i="1"/>
  <c r="AV2203" i="1"/>
  <c r="AV2204" i="1"/>
  <c r="AV2205" i="1"/>
  <c r="AV2206" i="1"/>
  <c r="AV2207" i="1"/>
  <c r="AV2208" i="1"/>
  <c r="AV2209" i="1"/>
  <c r="AV2210" i="1"/>
  <c r="AV2211" i="1"/>
  <c r="AV2212" i="1"/>
  <c r="AV2213" i="1"/>
  <c r="AV2214" i="1"/>
  <c r="AV2215" i="1"/>
  <c r="AV2216" i="1"/>
  <c r="AV2217" i="1"/>
  <c r="AV2218" i="1"/>
  <c r="AV2219" i="1"/>
  <c r="AV2220" i="1"/>
  <c r="AV2221" i="1"/>
  <c r="AV2222" i="1"/>
  <c r="AV2223" i="1"/>
  <c r="AV2224" i="1"/>
  <c r="AV2225" i="1"/>
  <c r="AV2226" i="1"/>
  <c r="AV2227" i="1"/>
  <c r="AV2228" i="1"/>
  <c r="AV2229" i="1"/>
  <c r="AV2230" i="1"/>
  <c r="AV2231" i="1"/>
  <c r="AV2232" i="1"/>
  <c r="AV2233" i="1"/>
  <c r="AV2234" i="1"/>
  <c r="AV2235" i="1"/>
  <c r="AV2236" i="1"/>
  <c r="AV2237" i="1"/>
  <c r="AV2238" i="1"/>
  <c r="AV2239" i="1"/>
  <c r="AV2240" i="1"/>
  <c r="AV2241" i="1"/>
  <c r="AV2242" i="1"/>
  <c r="AV2243" i="1"/>
  <c r="AV2244" i="1"/>
  <c r="AV2245" i="1"/>
  <c r="AV2246" i="1"/>
  <c r="AV2247" i="1"/>
  <c r="AV2248" i="1"/>
  <c r="AV2249" i="1"/>
  <c r="AV2250" i="1"/>
  <c r="AV2251" i="1"/>
  <c r="AV2252" i="1"/>
  <c r="AV2253" i="1"/>
  <c r="AV2254" i="1"/>
  <c r="AV2255" i="1"/>
  <c r="AV2256" i="1"/>
  <c r="AV2257" i="1"/>
  <c r="AV2258" i="1"/>
  <c r="AV2259" i="1"/>
  <c r="AV2260" i="1"/>
  <c r="AV2261" i="1"/>
  <c r="AV2262" i="1"/>
  <c r="AV2263" i="1"/>
  <c r="AV2264" i="1"/>
  <c r="AV2265" i="1"/>
  <c r="AV2266" i="1"/>
  <c r="AV2267" i="1"/>
  <c r="AV2268" i="1"/>
  <c r="AV2269" i="1"/>
  <c r="AV2270" i="1"/>
  <c r="AV2271" i="1"/>
  <c r="AV2272" i="1"/>
  <c r="AV2273" i="1"/>
  <c r="AV2274" i="1"/>
  <c r="AV2275" i="1"/>
  <c r="AV2276" i="1"/>
  <c r="AV2277" i="1"/>
  <c r="AV2278" i="1"/>
  <c r="AV2279" i="1"/>
  <c r="AV2280" i="1"/>
  <c r="AV2281" i="1"/>
  <c r="AV2282" i="1"/>
  <c r="AV2283" i="1"/>
  <c r="AV2284" i="1"/>
  <c r="AV2285" i="1"/>
  <c r="AV2286" i="1"/>
  <c r="AV2287" i="1"/>
  <c r="AV2288" i="1"/>
  <c r="AV2289" i="1"/>
  <c r="AV2290" i="1"/>
  <c r="AV2291" i="1"/>
  <c r="AV2292" i="1"/>
  <c r="AV2293" i="1"/>
  <c r="AV2294" i="1"/>
  <c r="AV2295" i="1"/>
  <c r="AV2296" i="1"/>
  <c r="AV2297" i="1"/>
  <c r="AV2298" i="1"/>
  <c r="AV2299" i="1"/>
  <c r="AV2300" i="1"/>
  <c r="AV2301" i="1"/>
  <c r="AV2302" i="1"/>
  <c r="AV2303" i="1"/>
  <c r="AV2304" i="1"/>
  <c r="AV2305" i="1"/>
  <c r="AV2306" i="1"/>
  <c r="AV2307" i="1"/>
  <c r="AV2308" i="1"/>
  <c r="AV2309" i="1"/>
  <c r="AV2310" i="1"/>
  <c r="AV2311" i="1"/>
  <c r="AV2312" i="1"/>
  <c r="AV2313" i="1"/>
  <c r="AV2314" i="1"/>
  <c r="AV2315" i="1"/>
  <c r="AV2316" i="1"/>
  <c r="AV2317" i="1"/>
  <c r="AV2318" i="1"/>
  <c r="AV2319" i="1"/>
  <c r="AV2320" i="1"/>
  <c r="AV2321" i="1"/>
  <c r="AV2322" i="1"/>
  <c r="AV2323" i="1"/>
  <c r="AV2324" i="1"/>
  <c r="AV2325" i="1"/>
  <c r="AV2326" i="1"/>
  <c r="AV2327" i="1"/>
  <c r="AV2328" i="1"/>
  <c r="AV2329" i="1"/>
  <c r="AV2330" i="1"/>
  <c r="AV2331" i="1"/>
  <c r="AV2332" i="1"/>
  <c r="AV2333" i="1"/>
  <c r="AV2334" i="1"/>
  <c r="AV2335" i="1"/>
  <c r="AV2336" i="1"/>
  <c r="AV2337" i="1"/>
  <c r="AV2338" i="1"/>
  <c r="AV2339" i="1"/>
  <c r="AV2340" i="1"/>
  <c r="AV2341" i="1"/>
  <c r="AV2342" i="1"/>
  <c r="AV2343" i="1"/>
  <c r="AV2344" i="1"/>
  <c r="AV2345" i="1"/>
  <c r="AV2346" i="1"/>
  <c r="AV2347" i="1"/>
  <c r="AV2348" i="1"/>
  <c r="AV2349" i="1"/>
  <c r="AV2350" i="1"/>
  <c r="AV2351" i="1"/>
  <c r="AV2352" i="1"/>
  <c r="AV2353" i="1"/>
  <c r="AV2354" i="1"/>
  <c r="AV2355" i="1"/>
  <c r="AV2356" i="1"/>
  <c r="AV2357" i="1"/>
  <c r="AV2358" i="1"/>
  <c r="AV2359" i="1"/>
  <c r="AV2360" i="1"/>
  <c r="AV2361" i="1"/>
  <c r="AV2362" i="1"/>
  <c r="AV2363" i="1"/>
  <c r="AV2364" i="1"/>
  <c r="AV2365" i="1"/>
  <c r="AV2366" i="1"/>
  <c r="AV2367" i="1"/>
  <c r="AV2368" i="1"/>
  <c r="AV2369" i="1"/>
  <c r="AV2370" i="1"/>
  <c r="AV2371" i="1"/>
  <c r="AV2372" i="1"/>
  <c r="AV2373" i="1"/>
  <c r="AV2374" i="1"/>
  <c r="AV2375" i="1"/>
  <c r="AV2376" i="1"/>
  <c r="AV2377" i="1"/>
  <c r="AV2378" i="1"/>
  <c r="AV2379" i="1"/>
  <c r="AV2380" i="1"/>
  <c r="AV2381" i="1"/>
  <c r="AV2382" i="1"/>
  <c r="AV2383" i="1"/>
  <c r="AV2384" i="1"/>
  <c r="AV2385" i="1"/>
  <c r="AV2386" i="1"/>
  <c r="AV2387" i="1"/>
  <c r="AV2388" i="1"/>
  <c r="AV2389" i="1"/>
  <c r="AV2390" i="1"/>
  <c r="AV2391" i="1"/>
  <c r="AV2392" i="1"/>
  <c r="AV2393" i="1"/>
  <c r="AV2394" i="1"/>
  <c r="AV2395" i="1"/>
  <c r="AV2396" i="1"/>
  <c r="AV2397" i="1"/>
  <c r="AV2398" i="1"/>
  <c r="AV2399" i="1"/>
  <c r="AV2400" i="1"/>
  <c r="AV2401" i="1"/>
  <c r="AV2402" i="1"/>
  <c r="AV2403" i="1"/>
  <c r="AV2404" i="1"/>
  <c r="AV2405" i="1"/>
  <c r="AV2406" i="1"/>
  <c r="AV2407" i="1"/>
  <c r="AV2408" i="1"/>
  <c r="AV2409" i="1"/>
  <c r="AV2410" i="1"/>
  <c r="AV2411" i="1"/>
  <c r="AV2412" i="1"/>
  <c r="AV2413" i="1"/>
  <c r="AV2414" i="1"/>
  <c r="AV2415" i="1"/>
  <c r="AV2416" i="1"/>
  <c r="AV2417" i="1"/>
  <c r="AV2418" i="1"/>
  <c r="AV2419" i="1"/>
  <c r="AV2420" i="1"/>
  <c r="AV2421" i="1"/>
  <c r="AV2422" i="1"/>
  <c r="AV2423" i="1"/>
  <c r="AV2424" i="1"/>
  <c r="AV2425" i="1"/>
  <c r="AV2426" i="1"/>
  <c r="AV2427" i="1"/>
  <c r="AV2428" i="1"/>
  <c r="AV2429" i="1"/>
  <c r="AV2430" i="1"/>
  <c r="AV2431" i="1"/>
  <c r="AV2432" i="1"/>
  <c r="AV2433" i="1"/>
  <c r="AV2434" i="1"/>
  <c r="AV2435" i="1"/>
  <c r="AV2436" i="1"/>
  <c r="AV2437" i="1"/>
  <c r="AV2438" i="1"/>
  <c r="AV2439" i="1"/>
  <c r="AV2440" i="1"/>
  <c r="AV2441" i="1"/>
  <c r="AV2442" i="1"/>
  <c r="AV2443" i="1"/>
  <c r="AV2444" i="1"/>
  <c r="AV2445" i="1"/>
  <c r="AV2446" i="1"/>
  <c r="AV2447" i="1"/>
  <c r="AV2448" i="1"/>
  <c r="AV2449" i="1"/>
  <c r="AV2450" i="1"/>
  <c r="AV2451" i="1"/>
  <c r="AV2452" i="1"/>
  <c r="AV2453" i="1"/>
  <c r="AV2454" i="1"/>
  <c r="AV2455" i="1"/>
  <c r="AV2456" i="1"/>
  <c r="AV2457" i="1"/>
  <c r="AV2458" i="1"/>
  <c r="AV2459" i="1"/>
  <c r="AV2460" i="1"/>
  <c r="AV2461" i="1"/>
  <c r="AV2462" i="1"/>
  <c r="AV2463" i="1"/>
  <c r="AV2464" i="1"/>
  <c r="AV2465" i="1"/>
  <c r="AV2466" i="1"/>
  <c r="AV2467" i="1"/>
  <c r="AV2468" i="1"/>
  <c r="AV2469" i="1"/>
  <c r="AV2470" i="1"/>
  <c r="AV2471" i="1"/>
  <c r="AV2472" i="1"/>
  <c r="AV2473" i="1"/>
  <c r="AV2474" i="1"/>
  <c r="AV2475" i="1"/>
  <c r="AV2476" i="1"/>
  <c r="AV2477" i="1"/>
  <c r="AV2478" i="1"/>
  <c r="AV2479" i="1"/>
  <c r="AV2480" i="1"/>
  <c r="AV2481" i="1"/>
  <c r="AV2482" i="1"/>
  <c r="AV2483" i="1"/>
  <c r="AV2484" i="1"/>
  <c r="AV2485" i="1"/>
  <c r="AV2486" i="1"/>
  <c r="AV2487" i="1"/>
  <c r="AV2488" i="1"/>
  <c r="AV2489" i="1"/>
  <c r="AV2490" i="1"/>
  <c r="AV2491" i="1"/>
  <c r="AV2492" i="1"/>
  <c r="AV2493" i="1"/>
  <c r="AV2494" i="1"/>
  <c r="AV2495" i="1"/>
  <c r="AV2496" i="1"/>
  <c r="AV2497" i="1"/>
  <c r="AV2498" i="1"/>
  <c r="AV2499" i="1"/>
  <c r="AV2500" i="1"/>
  <c r="AV2501" i="1"/>
  <c r="AV2502" i="1"/>
  <c r="AV2503" i="1"/>
  <c r="AV2504" i="1"/>
  <c r="AV2505" i="1"/>
  <c r="AV2506" i="1"/>
  <c r="AV2507" i="1"/>
  <c r="AV2508" i="1"/>
  <c r="AV2509" i="1"/>
  <c r="AV2510" i="1"/>
  <c r="AV2511" i="1"/>
  <c r="AV2512" i="1"/>
  <c r="AV2513" i="1"/>
  <c r="AV2514" i="1"/>
  <c r="AV2515" i="1"/>
  <c r="AV2516" i="1"/>
  <c r="AV2517" i="1"/>
  <c r="AV2518" i="1"/>
  <c r="AV2519" i="1"/>
  <c r="AV2520" i="1"/>
  <c r="AV2521" i="1"/>
  <c r="AV2522" i="1"/>
  <c r="AV2523" i="1"/>
  <c r="AV2524" i="1"/>
  <c r="AV2525" i="1"/>
  <c r="AV2526" i="1"/>
  <c r="AV2527" i="1"/>
  <c r="AV2528" i="1"/>
  <c r="AV2529" i="1"/>
  <c r="AV2530" i="1"/>
  <c r="AV2531" i="1"/>
  <c r="AV2532" i="1"/>
  <c r="AV2533" i="1"/>
  <c r="AV2534" i="1"/>
  <c r="AV2535" i="1"/>
  <c r="AV2536" i="1"/>
  <c r="AV2537" i="1"/>
  <c r="AV2538" i="1"/>
  <c r="AV2539" i="1"/>
  <c r="AV2540" i="1"/>
  <c r="AV2541" i="1"/>
  <c r="AV2542" i="1"/>
  <c r="AV2543" i="1"/>
  <c r="AV2544" i="1"/>
  <c r="AV2545" i="1"/>
  <c r="AV2546" i="1"/>
  <c r="AV2547" i="1"/>
  <c r="AV2548" i="1"/>
  <c r="AV2549" i="1"/>
  <c r="AV2550" i="1"/>
  <c r="AV2551" i="1"/>
  <c r="AV2552" i="1"/>
  <c r="AV2553" i="1"/>
  <c r="AV2554" i="1"/>
  <c r="AV2555" i="1"/>
  <c r="AV2556" i="1"/>
  <c r="AV2557" i="1"/>
  <c r="AV2558" i="1"/>
  <c r="AV2559" i="1"/>
  <c r="AV2560" i="1"/>
  <c r="AV2561" i="1"/>
  <c r="AV2562" i="1"/>
  <c r="AV2563" i="1"/>
  <c r="AV2564" i="1"/>
  <c r="AV2565" i="1"/>
  <c r="AV2566" i="1"/>
  <c r="AV2567" i="1"/>
  <c r="AV2568" i="1"/>
  <c r="AV2569" i="1"/>
  <c r="AV2570" i="1"/>
  <c r="AV2571" i="1"/>
  <c r="AV2572" i="1"/>
  <c r="AV2573" i="1"/>
  <c r="AV2574" i="1"/>
  <c r="AV2575" i="1"/>
  <c r="AV2576" i="1"/>
  <c r="AV2577" i="1"/>
  <c r="AV2578" i="1"/>
  <c r="AV2579" i="1"/>
  <c r="AV2580" i="1"/>
  <c r="AV2581" i="1"/>
  <c r="AV2582" i="1"/>
  <c r="AV2583" i="1"/>
  <c r="AV2584" i="1"/>
  <c r="AV2585" i="1"/>
  <c r="AV2586" i="1"/>
  <c r="AV2587" i="1"/>
  <c r="AV2588" i="1"/>
  <c r="AV2589" i="1"/>
  <c r="AV2590" i="1"/>
  <c r="AV2591" i="1"/>
  <c r="AV2592" i="1"/>
  <c r="AV2593" i="1"/>
  <c r="AV2594" i="1"/>
  <c r="AV2595" i="1"/>
  <c r="AV2596" i="1"/>
  <c r="AV2597" i="1"/>
  <c r="AV2598" i="1"/>
  <c r="AV2599" i="1"/>
  <c r="AV2600" i="1"/>
  <c r="AV2601" i="1"/>
  <c r="AV2602" i="1"/>
  <c r="AV2603" i="1"/>
  <c r="AV2604" i="1"/>
  <c r="AV2605" i="1"/>
  <c r="AV2606" i="1"/>
  <c r="AV2607" i="1"/>
  <c r="AV2608" i="1"/>
  <c r="AV2609" i="1"/>
  <c r="AV2610" i="1"/>
  <c r="AV2611" i="1"/>
  <c r="AV2612" i="1"/>
  <c r="AV2613" i="1"/>
  <c r="AV2614" i="1"/>
  <c r="AV2615" i="1"/>
  <c r="AV2616" i="1"/>
  <c r="AV2617" i="1"/>
  <c r="AV2618" i="1"/>
  <c r="AV2619" i="1"/>
  <c r="AV2620" i="1"/>
  <c r="AV2621" i="1"/>
  <c r="AV2622" i="1"/>
  <c r="AV2623" i="1"/>
  <c r="AV2624" i="1"/>
  <c r="AV2625" i="1"/>
  <c r="AV2626" i="1"/>
  <c r="AV2627" i="1"/>
  <c r="AV2628" i="1"/>
  <c r="AV2629" i="1"/>
  <c r="AV2630" i="1"/>
  <c r="AV2631" i="1"/>
  <c r="AV2632" i="1"/>
  <c r="AV2633" i="1"/>
  <c r="AV2634" i="1"/>
  <c r="AV2635" i="1"/>
  <c r="AV2636" i="1"/>
  <c r="AV2637" i="1"/>
  <c r="AV2638" i="1"/>
  <c r="AV2639" i="1"/>
  <c r="AV2640" i="1"/>
  <c r="AV2641" i="1"/>
  <c r="AV2642" i="1"/>
  <c r="AV2643" i="1"/>
  <c r="AV2644" i="1"/>
  <c r="AV2645" i="1"/>
  <c r="AV2646" i="1"/>
  <c r="AV2647" i="1"/>
  <c r="AV2648" i="1"/>
  <c r="AV2649" i="1"/>
  <c r="AV2650" i="1"/>
  <c r="AV2651" i="1"/>
  <c r="AV2652" i="1"/>
  <c r="AV2653" i="1"/>
  <c r="AV2654" i="1"/>
  <c r="AV2655" i="1"/>
  <c r="AV2656" i="1"/>
  <c r="AV2657" i="1"/>
  <c r="AV2658" i="1"/>
  <c r="AV2659" i="1"/>
  <c r="AV2660" i="1"/>
  <c r="AV2661" i="1"/>
  <c r="AV2662" i="1"/>
  <c r="AV2663" i="1"/>
  <c r="AV2664" i="1"/>
  <c r="AV2665" i="1"/>
  <c r="AV2666" i="1"/>
  <c r="AV2667" i="1"/>
  <c r="AV2668" i="1"/>
  <c r="AV2669" i="1"/>
  <c r="AV2670" i="1"/>
  <c r="AV2671" i="1"/>
  <c r="AV2672" i="1"/>
  <c r="AV2673" i="1"/>
  <c r="AV2674" i="1"/>
  <c r="AV2675" i="1"/>
  <c r="AV2676" i="1"/>
  <c r="AV2677" i="1"/>
  <c r="AV2678" i="1"/>
  <c r="AV2679" i="1"/>
  <c r="AV2680" i="1"/>
  <c r="AV2681" i="1"/>
  <c r="AV2682" i="1"/>
  <c r="AV2683" i="1"/>
  <c r="AV2684" i="1"/>
  <c r="AV2685" i="1"/>
  <c r="AV2686" i="1"/>
  <c r="AV2687" i="1"/>
  <c r="AV2688" i="1"/>
  <c r="AV2689" i="1"/>
  <c r="AV2690" i="1"/>
  <c r="AV2691" i="1"/>
  <c r="AV2692" i="1"/>
  <c r="AV2693" i="1"/>
  <c r="AV2694" i="1"/>
  <c r="AV2695" i="1"/>
  <c r="AV2696" i="1"/>
  <c r="AV2697" i="1"/>
  <c r="AV2698" i="1"/>
  <c r="AV2699" i="1"/>
  <c r="AV2700" i="1"/>
  <c r="AV2701" i="1"/>
  <c r="AV2702" i="1"/>
  <c r="AV2703" i="1"/>
  <c r="AV2704" i="1"/>
  <c r="AV2705" i="1"/>
  <c r="AV2706" i="1"/>
  <c r="AV2707" i="1"/>
  <c r="AV2708" i="1"/>
  <c r="AV2709" i="1"/>
  <c r="AV2710" i="1"/>
  <c r="AV2711" i="1"/>
  <c r="AV2712" i="1"/>
  <c r="AV2713" i="1"/>
  <c r="AV2714" i="1"/>
  <c r="AV2715" i="1"/>
  <c r="AV2716" i="1"/>
  <c r="AV2717" i="1"/>
  <c r="AV2718" i="1"/>
  <c r="AV2719" i="1"/>
  <c r="AV2720" i="1"/>
  <c r="AV2721" i="1"/>
  <c r="AV2722" i="1"/>
  <c r="AV2723" i="1"/>
  <c r="AV2724" i="1"/>
  <c r="AV2725" i="1"/>
  <c r="AV2726" i="1"/>
  <c r="AV2727" i="1"/>
  <c r="AV2728" i="1"/>
  <c r="AV2729" i="1"/>
  <c r="AV2730" i="1"/>
  <c r="AV2731" i="1"/>
  <c r="AV2732" i="1"/>
  <c r="AV2733" i="1"/>
  <c r="AV2734" i="1"/>
  <c r="AV2735" i="1"/>
  <c r="AV2736" i="1"/>
  <c r="AV2737" i="1"/>
  <c r="AV2738" i="1"/>
  <c r="AV2739" i="1"/>
  <c r="AV2740" i="1"/>
  <c r="AV2741" i="1"/>
  <c r="AV2742" i="1"/>
  <c r="AV2743" i="1"/>
  <c r="AV2744" i="1"/>
  <c r="AV2745" i="1"/>
  <c r="AV2746" i="1"/>
  <c r="AV2747" i="1"/>
  <c r="AV2748" i="1"/>
  <c r="AV2749" i="1"/>
  <c r="AV2750" i="1"/>
  <c r="AV2751" i="1"/>
  <c r="AV2752" i="1"/>
  <c r="AV2753" i="1"/>
  <c r="AV2754" i="1"/>
  <c r="AV2755" i="1"/>
  <c r="AV2756" i="1"/>
  <c r="AV2757" i="1"/>
  <c r="AV2758" i="1"/>
  <c r="AV2759" i="1"/>
  <c r="AV2760" i="1"/>
  <c r="AV2761" i="1"/>
  <c r="AV2762" i="1"/>
  <c r="AV2763" i="1"/>
  <c r="AV2764" i="1"/>
  <c r="AV2765" i="1"/>
  <c r="AV2766" i="1"/>
  <c r="AV2767" i="1"/>
  <c r="AV2768" i="1"/>
  <c r="AV2769" i="1"/>
  <c r="AV2770" i="1"/>
  <c r="AV2771" i="1"/>
  <c r="AV2772" i="1"/>
  <c r="AV2773" i="1"/>
  <c r="AV2774" i="1"/>
  <c r="AV2775" i="1"/>
  <c r="AV2776" i="1"/>
  <c r="AV2777" i="1"/>
  <c r="AV2778" i="1"/>
  <c r="AV2779" i="1"/>
  <c r="AV2780" i="1"/>
  <c r="AV2781" i="1"/>
  <c r="AV2782" i="1"/>
  <c r="AV2783" i="1"/>
  <c r="AV2784" i="1"/>
  <c r="AV2785" i="1"/>
  <c r="AV2786" i="1"/>
  <c r="AV2787" i="1"/>
  <c r="AV2788" i="1"/>
  <c r="AV2789" i="1"/>
  <c r="AV2790" i="1"/>
  <c r="AV2791" i="1"/>
  <c r="AV2792" i="1"/>
  <c r="AV2793" i="1"/>
  <c r="AV2794" i="1"/>
  <c r="AV2795" i="1"/>
  <c r="AV2796" i="1"/>
  <c r="AV2797" i="1"/>
  <c r="AV2798" i="1"/>
  <c r="AV2799" i="1"/>
  <c r="AV2800" i="1"/>
  <c r="AV2801" i="1"/>
  <c r="AV2802" i="1"/>
  <c r="AV2803" i="1"/>
  <c r="AV2804" i="1"/>
  <c r="AV2805" i="1"/>
  <c r="AV2806" i="1"/>
  <c r="AV2807" i="1"/>
  <c r="AV2808" i="1"/>
  <c r="AV2809" i="1"/>
  <c r="AV2810" i="1"/>
  <c r="AV2811" i="1"/>
  <c r="AV2812" i="1"/>
  <c r="AV2813" i="1"/>
  <c r="AV2814" i="1"/>
  <c r="AV2815" i="1"/>
  <c r="AV2816" i="1"/>
  <c r="AV2817" i="1"/>
  <c r="AV2818" i="1"/>
  <c r="AV2819" i="1"/>
  <c r="AV2820" i="1"/>
  <c r="AV2821" i="1"/>
  <c r="AV2822" i="1"/>
  <c r="AV2823" i="1"/>
  <c r="AV2824" i="1"/>
  <c r="AV2825" i="1"/>
  <c r="AV2826" i="1"/>
  <c r="AV2827" i="1"/>
  <c r="AV2828" i="1"/>
  <c r="AV2829" i="1"/>
  <c r="AV2830" i="1"/>
  <c r="AV2831" i="1"/>
  <c r="AV2832" i="1"/>
  <c r="AV2833" i="1"/>
  <c r="AV2834" i="1"/>
  <c r="AV2835" i="1"/>
  <c r="AV2836" i="1"/>
  <c r="AV2837" i="1"/>
  <c r="AV2838" i="1"/>
  <c r="AV2839" i="1"/>
  <c r="AV2840" i="1"/>
  <c r="AV2841" i="1"/>
  <c r="AV2842" i="1"/>
  <c r="AV2843" i="1"/>
  <c r="AV2844" i="1"/>
  <c r="AV2845" i="1"/>
  <c r="AV2846" i="1"/>
  <c r="AV2847" i="1"/>
  <c r="AV2848" i="1"/>
  <c r="AV2849" i="1"/>
  <c r="AV2850" i="1"/>
  <c r="AV2851" i="1"/>
  <c r="AV2852" i="1"/>
  <c r="AV2853" i="1"/>
  <c r="AV2854" i="1"/>
  <c r="AV2855" i="1"/>
  <c r="AV2856" i="1"/>
  <c r="AV2857" i="1"/>
  <c r="AV2858" i="1"/>
  <c r="AV2859" i="1"/>
  <c r="AV2860" i="1"/>
  <c r="AV2861" i="1"/>
  <c r="AV2862" i="1"/>
  <c r="AV2863" i="1"/>
  <c r="AV2864" i="1"/>
  <c r="AV2865" i="1"/>
  <c r="AV2866" i="1"/>
  <c r="AV2867" i="1"/>
  <c r="AV2868" i="1"/>
  <c r="AV2869" i="1"/>
  <c r="AV2870" i="1"/>
  <c r="AV2871" i="1"/>
  <c r="AV2872" i="1"/>
  <c r="AV2873" i="1"/>
  <c r="AV2874" i="1"/>
  <c r="AV2875" i="1"/>
  <c r="AV2876" i="1"/>
  <c r="AV2877" i="1"/>
  <c r="AV2878" i="1"/>
  <c r="AV2879" i="1"/>
  <c r="AV2880" i="1"/>
  <c r="AV2881" i="1"/>
  <c r="AV2882" i="1"/>
  <c r="AV2883" i="1"/>
  <c r="AV2884" i="1"/>
  <c r="AV2885" i="1"/>
  <c r="AV2886" i="1"/>
  <c r="AV2887" i="1"/>
  <c r="AV2888" i="1"/>
  <c r="AV2889" i="1"/>
  <c r="AV2890" i="1"/>
  <c r="AV2891" i="1"/>
  <c r="AV2892" i="1"/>
  <c r="AV2893" i="1"/>
  <c r="AV2894" i="1"/>
  <c r="AV2895" i="1"/>
  <c r="AV2896" i="1"/>
  <c r="AV2897" i="1"/>
  <c r="AV2898" i="1"/>
  <c r="AV2899" i="1"/>
  <c r="AV2900" i="1"/>
  <c r="AV2901" i="1"/>
  <c r="AV2902" i="1"/>
  <c r="AV2903" i="1"/>
  <c r="AV2904" i="1"/>
  <c r="AV2905" i="1"/>
  <c r="AV2906" i="1"/>
  <c r="AV2907" i="1"/>
  <c r="AV2908" i="1"/>
  <c r="AV2909" i="1"/>
  <c r="AV2910" i="1"/>
  <c r="AV2911" i="1"/>
  <c r="AV2912" i="1"/>
  <c r="AV2913" i="1"/>
  <c r="AV2914" i="1"/>
  <c r="AV2915" i="1"/>
  <c r="AV2916" i="1"/>
  <c r="AV2917" i="1"/>
  <c r="AV2918" i="1"/>
  <c r="AV2919" i="1"/>
  <c r="AV2920" i="1"/>
  <c r="AV2921" i="1"/>
  <c r="AV2922" i="1"/>
  <c r="AV2923" i="1"/>
  <c r="AV2924" i="1"/>
  <c r="AV2925" i="1"/>
  <c r="AV2926" i="1"/>
  <c r="AV2927" i="1"/>
  <c r="AV2928" i="1"/>
  <c r="AV2929" i="1"/>
  <c r="AV2930" i="1"/>
  <c r="AV2931" i="1"/>
  <c r="AV2932" i="1"/>
  <c r="AV2933" i="1"/>
  <c r="AV2934" i="1"/>
  <c r="AV2935" i="1"/>
  <c r="AV2936" i="1"/>
  <c r="AV2937" i="1"/>
  <c r="AV2938" i="1"/>
  <c r="AV2939" i="1"/>
  <c r="AV2940" i="1"/>
  <c r="AV2941" i="1"/>
  <c r="AV2942" i="1"/>
  <c r="AV2943" i="1"/>
  <c r="AV2944" i="1"/>
  <c r="AV2945" i="1"/>
  <c r="AV2946" i="1"/>
  <c r="AV2947" i="1"/>
  <c r="AV2948" i="1"/>
  <c r="AV2949" i="1"/>
  <c r="AV2950" i="1"/>
  <c r="AV2951" i="1"/>
  <c r="AV2952" i="1"/>
  <c r="AV2953" i="1"/>
  <c r="AV2954" i="1"/>
  <c r="AV2955" i="1"/>
  <c r="AV2956" i="1"/>
  <c r="AV2957" i="1"/>
  <c r="AV2958" i="1"/>
  <c r="AV2959" i="1"/>
  <c r="AV2960" i="1"/>
  <c r="AV2961" i="1"/>
  <c r="AV2962" i="1"/>
  <c r="AV2963" i="1"/>
  <c r="AV2964" i="1"/>
  <c r="AV2965" i="1"/>
  <c r="AV2966" i="1"/>
  <c r="AV2967" i="1"/>
  <c r="AV2968" i="1"/>
  <c r="AV2969" i="1"/>
  <c r="AV2970" i="1"/>
  <c r="AV2971" i="1"/>
  <c r="AV2972" i="1"/>
  <c r="AV2973" i="1"/>
  <c r="AV2974" i="1"/>
  <c r="AV2975" i="1"/>
  <c r="AV2976" i="1"/>
  <c r="AV2977" i="1"/>
  <c r="AV2978" i="1"/>
  <c r="AV2979" i="1"/>
  <c r="AV2980" i="1"/>
  <c r="AV2981" i="1"/>
  <c r="AV2982" i="1"/>
  <c r="AV2983" i="1"/>
  <c r="AV2984" i="1"/>
  <c r="AV2985" i="1"/>
  <c r="AV2986" i="1"/>
  <c r="AV2987" i="1"/>
  <c r="AV2988" i="1"/>
  <c r="AV2989" i="1"/>
  <c r="AV2990" i="1"/>
  <c r="AV2991" i="1"/>
  <c r="AV2992" i="1"/>
  <c r="AV2993" i="1"/>
  <c r="AV2994" i="1"/>
  <c r="AV2995" i="1"/>
  <c r="AV2996" i="1"/>
  <c r="AV2997" i="1"/>
  <c r="AV2998" i="1"/>
  <c r="AV2999" i="1"/>
  <c r="AV3000" i="1"/>
  <c r="AV3001" i="1"/>
  <c r="AV3002" i="1"/>
  <c r="AV3003" i="1"/>
  <c r="AV3004" i="1"/>
  <c r="AV3005" i="1"/>
  <c r="AV3006" i="1"/>
  <c r="AV3007" i="1"/>
  <c r="AV3008" i="1"/>
  <c r="AV3009" i="1"/>
  <c r="AV3010" i="1"/>
  <c r="AV3011" i="1"/>
  <c r="AV3012" i="1"/>
  <c r="AV3013" i="1"/>
  <c r="AV3014" i="1"/>
  <c r="AV3015" i="1"/>
  <c r="AV3016" i="1"/>
  <c r="AV3017" i="1"/>
  <c r="AV3018" i="1"/>
  <c r="AV3019" i="1"/>
  <c r="AV3020" i="1"/>
  <c r="AV3021" i="1"/>
  <c r="AV3022" i="1"/>
  <c r="AV3023" i="1"/>
  <c r="AV3024" i="1"/>
  <c r="AV3025" i="1"/>
  <c r="AV3026" i="1"/>
  <c r="AV3027" i="1"/>
  <c r="AV3028" i="1"/>
  <c r="AV3029" i="1"/>
  <c r="AV3030" i="1"/>
  <c r="AV3031" i="1"/>
  <c r="AV3032" i="1"/>
  <c r="AV3033" i="1"/>
  <c r="AV3034" i="1"/>
  <c r="AV3035" i="1"/>
  <c r="AV3036" i="1"/>
  <c r="AV3037" i="1"/>
  <c r="AV3038" i="1"/>
  <c r="AV3039" i="1"/>
  <c r="AV3040" i="1"/>
  <c r="AV3041" i="1"/>
  <c r="AV3042" i="1"/>
  <c r="AV3043" i="1"/>
  <c r="AV3044" i="1"/>
  <c r="AV3045" i="1"/>
  <c r="AV3046" i="1"/>
  <c r="AV3047" i="1"/>
  <c r="AV3048" i="1"/>
  <c r="AV3049" i="1"/>
  <c r="AV3050" i="1"/>
  <c r="AV3051" i="1"/>
  <c r="AV3052" i="1"/>
  <c r="AV3053" i="1"/>
  <c r="AV3054" i="1"/>
  <c r="AV3055" i="1"/>
  <c r="AV3056" i="1"/>
  <c r="AV3057" i="1"/>
  <c r="AV3058" i="1"/>
  <c r="AV3059" i="1"/>
  <c r="AV3060" i="1"/>
  <c r="AV3061" i="1"/>
  <c r="AV3062" i="1"/>
  <c r="AV3063" i="1"/>
  <c r="AV3064" i="1"/>
  <c r="AV3065" i="1"/>
  <c r="AV3066" i="1"/>
  <c r="AV3067" i="1"/>
  <c r="AV3068" i="1"/>
  <c r="AV3069" i="1"/>
  <c r="AV3070" i="1"/>
  <c r="AV3071" i="1"/>
  <c r="AV3072" i="1"/>
  <c r="AV3073" i="1"/>
  <c r="AV3074" i="1"/>
  <c r="AV3075" i="1"/>
  <c r="AV3076" i="1"/>
  <c r="AV3077" i="1"/>
  <c r="AV3078" i="1"/>
  <c r="AV3079" i="1"/>
  <c r="AV3080" i="1"/>
  <c r="AV3081" i="1"/>
  <c r="AV3082" i="1"/>
  <c r="AV3083" i="1"/>
  <c r="AV3084" i="1"/>
  <c r="AV3085" i="1"/>
  <c r="AV3086" i="1"/>
  <c r="AV3087" i="1"/>
  <c r="AV3088" i="1"/>
  <c r="AV3089" i="1"/>
  <c r="AV3090" i="1"/>
  <c r="AV3091" i="1"/>
  <c r="AV3092" i="1"/>
  <c r="AV3093" i="1"/>
  <c r="AV3094" i="1"/>
  <c r="AV3095" i="1"/>
  <c r="AV3096" i="1"/>
  <c r="AV3097" i="1"/>
  <c r="AV3098" i="1"/>
  <c r="AV3099" i="1"/>
  <c r="AV3100" i="1"/>
  <c r="AV3101" i="1"/>
  <c r="AV3102" i="1"/>
  <c r="AV3103" i="1"/>
  <c r="AV3104" i="1"/>
  <c r="AV3105" i="1"/>
  <c r="AV3106" i="1"/>
  <c r="AV3107" i="1"/>
  <c r="AV3108" i="1"/>
  <c r="AV3109" i="1"/>
  <c r="AV3110" i="1"/>
  <c r="AV3111" i="1"/>
  <c r="AV3112" i="1"/>
  <c r="AV3113" i="1"/>
  <c r="AV3114" i="1"/>
  <c r="AV3115" i="1"/>
  <c r="AV3116" i="1"/>
  <c r="AV3117" i="1"/>
  <c r="AV3118" i="1"/>
  <c r="AV3119" i="1"/>
  <c r="AV3120" i="1"/>
  <c r="AV3121" i="1"/>
  <c r="AV3122" i="1"/>
  <c r="AV3123" i="1"/>
  <c r="AV3124" i="1"/>
  <c r="AV3125" i="1"/>
  <c r="AV3126" i="1"/>
  <c r="AV3127" i="1"/>
  <c r="AV3128" i="1"/>
  <c r="AV3129" i="1"/>
  <c r="AV3130" i="1"/>
  <c r="AV3131" i="1"/>
  <c r="AV3132" i="1"/>
  <c r="AV3133" i="1"/>
  <c r="AV3134" i="1"/>
  <c r="AV3135" i="1"/>
  <c r="AV3136" i="1"/>
  <c r="AV3137" i="1"/>
  <c r="AV3138" i="1"/>
  <c r="AV3139" i="1"/>
  <c r="AV3140" i="1"/>
  <c r="AV3141" i="1"/>
  <c r="AV3142" i="1"/>
  <c r="AV3143" i="1"/>
  <c r="AV3144" i="1"/>
  <c r="AV3145" i="1"/>
  <c r="AV3146" i="1"/>
  <c r="AV3147" i="1"/>
  <c r="AV3148" i="1"/>
  <c r="AV3149" i="1"/>
  <c r="AV3150" i="1"/>
  <c r="AV3151" i="1"/>
  <c r="AV3152" i="1"/>
  <c r="AV3153" i="1"/>
  <c r="AV3154" i="1"/>
  <c r="AV3155" i="1"/>
  <c r="AV3156" i="1"/>
  <c r="AV3157" i="1"/>
  <c r="AV3158" i="1"/>
  <c r="AV3159" i="1"/>
  <c r="AV3160" i="1"/>
  <c r="AV3161" i="1"/>
  <c r="AV3162" i="1"/>
  <c r="AV3163" i="1"/>
  <c r="AV3164" i="1"/>
  <c r="AV3165" i="1"/>
  <c r="AV3166" i="1"/>
  <c r="AV3167" i="1"/>
  <c r="AV3168" i="1"/>
  <c r="AV3169" i="1"/>
  <c r="AV3170" i="1"/>
  <c r="AV3171" i="1"/>
  <c r="AV3172" i="1"/>
  <c r="AV3173" i="1"/>
  <c r="AV3174" i="1"/>
  <c r="AV3175" i="1"/>
  <c r="AV3176" i="1"/>
  <c r="AV3177" i="1"/>
  <c r="AV3178" i="1"/>
  <c r="AV3179" i="1"/>
  <c r="AV3180" i="1"/>
  <c r="AV3181" i="1"/>
  <c r="AV3182" i="1"/>
  <c r="AV3183" i="1"/>
  <c r="AV3184" i="1"/>
  <c r="AV3185" i="1"/>
  <c r="AV3186" i="1"/>
  <c r="AV3187" i="1"/>
  <c r="AV3188" i="1"/>
  <c r="AV3189" i="1"/>
  <c r="AV3190" i="1"/>
  <c r="AV3191" i="1"/>
  <c r="AV3192" i="1"/>
  <c r="AV3193" i="1"/>
  <c r="AV3194" i="1"/>
  <c r="AV3195" i="1"/>
  <c r="AV3196" i="1"/>
  <c r="AV3197" i="1"/>
  <c r="AV3198" i="1"/>
  <c r="AV3199" i="1"/>
  <c r="AV3200" i="1"/>
  <c r="AV3201" i="1"/>
  <c r="AV3202" i="1"/>
  <c r="AV3203" i="1"/>
  <c r="AV3204" i="1"/>
  <c r="AV3205" i="1"/>
  <c r="AV3206" i="1"/>
  <c r="AV3207" i="1"/>
  <c r="AV3208" i="1"/>
  <c r="AV3209" i="1"/>
  <c r="AV3210" i="1"/>
  <c r="AV3211" i="1"/>
  <c r="AV3212" i="1"/>
  <c r="AV3213" i="1"/>
  <c r="AV3214" i="1"/>
  <c r="AV3215" i="1"/>
  <c r="AV3216" i="1"/>
  <c r="AV3217" i="1"/>
  <c r="AV3218" i="1"/>
  <c r="AV3219" i="1"/>
  <c r="AV3220" i="1"/>
  <c r="AV3221" i="1"/>
  <c r="AV3222" i="1"/>
  <c r="AV3223" i="1"/>
  <c r="AV3224" i="1"/>
  <c r="AV3225" i="1"/>
  <c r="AV3226" i="1"/>
  <c r="AV3227" i="1"/>
  <c r="AV3228" i="1"/>
  <c r="AV3229" i="1"/>
  <c r="AV3230" i="1"/>
  <c r="AV3231" i="1"/>
  <c r="AV3232" i="1"/>
  <c r="AV3233" i="1"/>
  <c r="AV3234" i="1"/>
  <c r="AV3235" i="1"/>
  <c r="AV3236" i="1"/>
  <c r="AV3237" i="1"/>
  <c r="AV3238" i="1"/>
  <c r="AV3239" i="1"/>
  <c r="AV3240" i="1"/>
  <c r="AV3241" i="1"/>
  <c r="AV3242" i="1"/>
  <c r="AV3243" i="1"/>
  <c r="AV3244" i="1"/>
  <c r="AV3245" i="1"/>
  <c r="AV3246" i="1"/>
  <c r="AV3247" i="1"/>
  <c r="AV3248" i="1"/>
  <c r="AV3249" i="1"/>
  <c r="AV3250" i="1"/>
  <c r="AV3251" i="1"/>
  <c r="AV3252" i="1"/>
  <c r="AV3253" i="1"/>
  <c r="AV3254" i="1"/>
  <c r="AV3255" i="1"/>
  <c r="AV3256" i="1"/>
  <c r="AV3257" i="1"/>
  <c r="AV3258" i="1"/>
  <c r="AV3259" i="1"/>
  <c r="AV3260" i="1"/>
  <c r="AV3261" i="1"/>
  <c r="AV3262" i="1"/>
  <c r="AV3263" i="1"/>
  <c r="AV3264" i="1"/>
  <c r="AV3265" i="1"/>
  <c r="AV3266" i="1"/>
  <c r="AV3267" i="1"/>
  <c r="AV3268" i="1"/>
  <c r="AV3269" i="1"/>
  <c r="AV3270" i="1"/>
  <c r="AV3271" i="1"/>
  <c r="AV3272" i="1"/>
  <c r="AV3273" i="1"/>
  <c r="AV3274" i="1"/>
  <c r="AV3275" i="1"/>
  <c r="AV3276" i="1"/>
  <c r="AV3277" i="1"/>
  <c r="AV3278" i="1"/>
  <c r="AV3279" i="1"/>
  <c r="AV3280" i="1"/>
  <c r="AV3281" i="1"/>
  <c r="AV3282" i="1"/>
  <c r="AV3283" i="1"/>
  <c r="AV3284" i="1"/>
  <c r="AV3285" i="1"/>
  <c r="AV3286" i="1"/>
  <c r="AV3287" i="1"/>
  <c r="AV3288" i="1"/>
  <c r="AV3289" i="1"/>
  <c r="AV3290" i="1"/>
  <c r="AV3291" i="1"/>
  <c r="AV3292" i="1"/>
  <c r="AV3293" i="1"/>
  <c r="AV3294" i="1"/>
  <c r="AV3295" i="1"/>
  <c r="AV3296" i="1"/>
  <c r="AV3297" i="1"/>
  <c r="AV3298" i="1"/>
  <c r="AV3299" i="1"/>
  <c r="AV3300" i="1"/>
  <c r="AV3301" i="1"/>
  <c r="AV3302" i="1"/>
  <c r="AV3303" i="1"/>
  <c r="AV3304" i="1"/>
  <c r="AV3305" i="1"/>
  <c r="AV3306" i="1"/>
  <c r="AV3307" i="1"/>
  <c r="AV3308" i="1"/>
  <c r="AV3309" i="1"/>
  <c r="AV3310" i="1"/>
  <c r="AV3311" i="1"/>
  <c r="AV3312" i="1"/>
  <c r="AV3313" i="1"/>
  <c r="AV3314" i="1"/>
  <c r="AV3315" i="1"/>
  <c r="AV3316" i="1"/>
  <c r="AV3317" i="1"/>
  <c r="AV3318" i="1"/>
  <c r="AV3319" i="1"/>
  <c r="AV3320" i="1"/>
  <c r="AV3321" i="1"/>
  <c r="AV3322" i="1"/>
  <c r="AV3323" i="1"/>
  <c r="AV3324" i="1"/>
  <c r="AV3325" i="1"/>
  <c r="AV3326" i="1"/>
  <c r="AV3327" i="1"/>
  <c r="AV3328" i="1"/>
  <c r="AV3329" i="1"/>
  <c r="AV3330" i="1"/>
  <c r="AV3331" i="1"/>
  <c r="AV3332" i="1"/>
  <c r="AV3333" i="1"/>
  <c r="AV3334" i="1"/>
  <c r="AV3335" i="1"/>
  <c r="AV3336" i="1"/>
  <c r="AV3337" i="1"/>
  <c r="AV3338" i="1"/>
  <c r="AV3339" i="1"/>
  <c r="AV3340" i="1"/>
  <c r="AV3341" i="1"/>
  <c r="AV3342" i="1"/>
  <c r="AV3343" i="1"/>
  <c r="AV3344" i="1"/>
  <c r="AV3345" i="1"/>
  <c r="AV3346" i="1"/>
  <c r="AV3347" i="1"/>
  <c r="AV3348" i="1"/>
  <c r="AV3349" i="1"/>
  <c r="AV3350" i="1"/>
  <c r="AV3351" i="1"/>
  <c r="AV3352" i="1"/>
  <c r="AV3353" i="1"/>
  <c r="AV3354" i="1"/>
  <c r="AV3355" i="1"/>
  <c r="AV3356" i="1"/>
  <c r="AV3357" i="1"/>
  <c r="AV3358" i="1"/>
  <c r="AV3359" i="1"/>
  <c r="AV3360" i="1"/>
  <c r="AV3361" i="1"/>
  <c r="AV3362" i="1"/>
  <c r="AV3363" i="1"/>
  <c r="AV3364" i="1"/>
  <c r="AV3365" i="1"/>
  <c r="AV3366" i="1"/>
  <c r="AV3367" i="1"/>
  <c r="AV3368" i="1"/>
  <c r="AV3369" i="1"/>
  <c r="AV3370" i="1"/>
  <c r="AV3371" i="1"/>
  <c r="AV3372" i="1"/>
  <c r="AV3373" i="1"/>
  <c r="AV3374" i="1"/>
  <c r="AV3375" i="1"/>
  <c r="AV3376" i="1"/>
  <c r="AV3377" i="1"/>
  <c r="AV3378" i="1"/>
  <c r="AV3379" i="1"/>
  <c r="AV3380" i="1"/>
  <c r="AV3381" i="1"/>
  <c r="AV3382" i="1"/>
  <c r="AV3383" i="1"/>
  <c r="AV3384" i="1"/>
  <c r="AV3385" i="1"/>
  <c r="AV3386" i="1"/>
  <c r="AV3387" i="1"/>
  <c r="AV3388" i="1"/>
  <c r="AV3389" i="1"/>
  <c r="AV3390" i="1"/>
  <c r="AV3391" i="1"/>
  <c r="AV3392" i="1"/>
  <c r="AV3393" i="1"/>
  <c r="AV3394" i="1"/>
  <c r="AV3395" i="1"/>
  <c r="AV3396" i="1"/>
  <c r="AV3397" i="1"/>
  <c r="AV3398" i="1"/>
  <c r="AV3399" i="1"/>
  <c r="AV3400" i="1"/>
  <c r="AV3401" i="1"/>
  <c r="AV3402" i="1"/>
  <c r="AV3403" i="1"/>
  <c r="AV3404" i="1"/>
  <c r="AV3405" i="1"/>
  <c r="AV3406" i="1"/>
  <c r="AV3407" i="1"/>
  <c r="AV3408" i="1"/>
  <c r="AV3409" i="1"/>
  <c r="AV3410" i="1"/>
  <c r="AV3411" i="1"/>
  <c r="AV3412" i="1"/>
  <c r="AV3413" i="1"/>
  <c r="AV3414" i="1"/>
  <c r="AV3415" i="1"/>
  <c r="AV3416" i="1"/>
  <c r="AV3417" i="1"/>
  <c r="AV3418" i="1"/>
  <c r="AV3419" i="1"/>
  <c r="AV3420" i="1"/>
  <c r="AV3421" i="1"/>
  <c r="AV3422" i="1"/>
  <c r="AV3423" i="1"/>
  <c r="AV3424" i="1"/>
  <c r="AV3425" i="1"/>
  <c r="AV3426" i="1"/>
  <c r="AV3427" i="1"/>
  <c r="AV3428" i="1"/>
  <c r="AV3429" i="1"/>
  <c r="AV3430" i="1"/>
  <c r="AV3431" i="1"/>
  <c r="AV3432" i="1"/>
  <c r="AV3433" i="1"/>
  <c r="AV3434" i="1"/>
  <c r="AV3435" i="1"/>
  <c r="AV3436" i="1"/>
  <c r="AV3437" i="1"/>
  <c r="AV3438" i="1"/>
  <c r="AV3439" i="1"/>
  <c r="AV3440" i="1"/>
  <c r="AV3441" i="1"/>
  <c r="AV3442" i="1"/>
  <c r="AV3443" i="1"/>
  <c r="AV3444" i="1"/>
  <c r="AV3445" i="1"/>
  <c r="AV3446" i="1"/>
  <c r="AV3447" i="1"/>
  <c r="AV3448" i="1"/>
  <c r="AV3449" i="1"/>
  <c r="AV3450" i="1"/>
  <c r="AV3451" i="1"/>
  <c r="AV3452" i="1"/>
  <c r="AV3453" i="1"/>
  <c r="AV3454" i="1"/>
  <c r="AV3455" i="1"/>
  <c r="AV3456" i="1"/>
  <c r="AV3457" i="1"/>
  <c r="AV3458" i="1"/>
  <c r="AV3459" i="1"/>
  <c r="AV3460" i="1"/>
  <c r="AV3461" i="1"/>
  <c r="AV3462" i="1"/>
  <c r="AV3463" i="1"/>
  <c r="AV3464" i="1"/>
  <c r="AV3465" i="1"/>
  <c r="AV3466" i="1"/>
  <c r="AV3467" i="1"/>
  <c r="AV3468" i="1"/>
  <c r="AV3469" i="1"/>
  <c r="AV3470" i="1"/>
  <c r="AV3471" i="1"/>
  <c r="AV3472" i="1"/>
  <c r="AV3473" i="1"/>
  <c r="AV3474" i="1"/>
  <c r="AV3475" i="1"/>
  <c r="AV3476" i="1"/>
  <c r="AV3477" i="1"/>
  <c r="AV3478" i="1"/>
  <c r="AV3479" i="1"/>
  <c r="AV3480" i="1"/>
  <c r="AV3481" i="1"/>
  <c r="AV3482" i="1"/>
  <c r="AV3483" i="1"/>
  <c r="AV3484" i="1"/>
  <c r="AV3485" i="1"/>
  <c r="AV3486" i="1"/>
  <c r="AV3487" i="1"/>
  <c r="AV3488" i="1"/>
  <c r="AV3489" i="1"/>
  <c r="AV3490" i="1"/>
  <c r="AV3491" i="1"/>
  <c r="AV3492" i="1"/>
  <c r="AV3493" i="1"/>
  <c r="AV3494" i="1"/>
  <c r="AV3495" i="1"/>
  <c r="AV3496" i="1"/>
  <c r="AV3497" i="1"/>
  <c r="AV3498" i="1"/>
  <c r="AV3499" i="1"/>
  <c r="AV3500" i="1"/>
  <c r="AV3501" i="1"/>
  <c r="AV3502" i="1"/>
  <c r="AV3503" i="1"/>
  <c r="AV3504" i="1"/>
  <c r="AV3505" i="1"/>
  <c r="AV3506" i="1"/>
  <c r="AV3507" i="1"/>
  <c r="AV3508" i="1"/>
  <c r="AV3509" i="1"/>
  <c r="AV3510" i="1"/>
  <c r="AV3511" i="1"/>
  <c r="AV3512" i="1"/>
  <c r="AV3513" i="1"/>
  <c r="AV3514" i="1"/>
  <c r="AV3515" i="1"/>
  <c r="AV3516" i="1"/>
  <c r="AV3517" i="1"/>
  <c r="AV3518" i="1"/>
  <c r="AV3519" i="1"/>
  <c r="AV3520" i="1"/>
  <c r="AV3521" i="1"/>
  <c r="AV3522" i="1"/>
  <c r="AV3523" i="1"/>
  <c r="AV3524" i="1"/>
  <c r="AV3525" i="1"/>
  <c r="AV3526" i="1"/>
  <c r="AV3527" i="1"/>
  <c r="AV3528" i="1"/>
  <c r="AV3529" i="1"/>
  <c r="AV3530" i="1"/>
  <c r="AV3531" i="1"/>
  <c r="AV3532" i="1"/>
  <c r="AV3533" i="1"/>
  <c r="AV3534" i="1"/>
  <c r="AV3535" i="1"/>
  <c r="AV3536" i="1"/>
  <c r="AV3537" i="1"/>
  <c r="AV3538" i="1"/>
  <c r="AV3539" i="1"/>
  <c r="AV3540" i="1"/>
  <c r="AV3541" i="1"/>
  <c r="AV3542" i="1"/>
  <c r="AV3543" i="1"/>
  <c r="AV3544" i="1"/>
  <c r="AV3545" i="1"/>
  <c r="AV3546" i="1"/>
  <c r="AV3547" i="1"/>
  <c r="AV3548" i="1"/>
  <c r="AV3549" i="1"/>
  <c r="AV3550" i="1"/>
  <c r="AV3551" i="1"/>
  <c r="AV3552" i="1"/>
  <c r="AV3553" i="1"/>
  <c r="AV3554" i="1"/>
  <c r="AV3555" i="1"/>
  <c r="AV3556" i="1"/>
  <c r="AV3557" i="1"/>
  <c r="AV3558" i="1"/>
  <c r="AV3559" i="1"/>
  <c r="AV3560" i="1"/>
  <c r="AV3561" i="1"/>
  <c r="AV3562" i="1"/>
  <c r="AV3563" i="1"/>
  <c r="AV3564" i="1"/>
  <c r="AV3565" i="1"/>
  <c r="AV3566" i="1"/>
  <c r="AV3567" i="1"/>
  <c r="AV3568" i="1"/>
  <c r="AV3569" i="1"/>
  <c r="AV3570" i="1"/>
  <c r="AV3571" i="1"/>
  <c r="AV3572" i="1"/>
  <c r="AV3573" i="1"/>
  <c r="AV3574" i="1"/>
  <c r="AV3575" i="1"/>
  <c r="AV3576" i="1"/>
  <c r="AV3577" i="1"/>
  <c r="AV3578" i="1"/>
  <c r="AV3579" i="1"/>
  <c r="AV3580" i="1"/>
  <c r="AV3581" i="1"/>
  <c r="AV3582" i="1"/>
  <c r="AV3583" i="1"/>
  <c r="AV3584" i="1"/>
  <c r="AV3585" i="1"/>
  <c r="AV3586" i="1"/>
  <c r="AV3587" i="1"/>
  <c r="AV3588" i="1"/>
  <c r="AV3589" i="1"/>
  <c r="AV3590" i="1"/>
  <c r="AV3591" i="1"/>
  <c r="AV3592" i="1"/>
  <c r="AV3593" i="1"/>
  <c r="AV3594" i="1"/>
  <c r="AV3595" i="1"/>
  <c r="AV3596" i="1"/>
  <c r="AV3597" i="1"/>
  <c r="AV3598" i="1"/>
  <c r="AV3599" i="1"/>
  <c r="AV3600" i="1"/>
  <c r="AV3601" i="1"/>
  <c r="AV3602" i="1"/>
  <c r="AV3603" i="1"/>
  <c r="AV3604" i="1"/>
  <c r="AV3605" i="1"/>
  <c r="AV3606" i="1"/>
  <c r="AV3607" i="1"/>
  <c r="AV3608" i="1"/>
  <c r="AV3609" i="1"/>
  <c r="AV3610" i="1"/>
  <c r="AV3611" i="1"/>
  <c r="AV3612" i="1"/>
  <c r="AV3613" i="1"/>
  <c r="AV3614" i="1"/>
  <c r="AV3615" i="1"/>
  <c r="AV3616" i="1"/>
  <c r="AV3617" i="1"/>
  <c r="AV3618" i="1"/>
  <c r="AV3619" i="1"/>
  <c r="AV3620" i="1"/>
  <c r="AV3621" i="1"/>
  <c r="AV3622" i="1"/>
  <c r="AV3623" i="1"/>
  <c r="AV3624" i="1"/>
  <c r="AV3625" i="1"/>
  <c r="AV3626" i="1"/>
  <c r="AV3627" i="1"/>
  <c r="AV3628" i="1"/>
  <c r="AV3629" i="1"/>
  <c r="AV3630" i="1"/>
  <c r="AV3631" i="1"/>
  <c r="AV3632" i="1"/>
  <c r="AV3633" i="1"/>
  <c r="AV3634" i="1"/>
  <c r="AV3635" i="1"/>
  <c r="AV3636" i="1"/>
  <c r="AV3637" i="1"/>
  <c r="AV3638" i="1"/>
  <c r="AV3639" i="1"/>
  <c r="AV3640" i="1"/>
  <c r="AV3641" i="1"/>
  <c r="AV3642" i="1"/>
  <c r="AV3643" i="1"/>
  <c r="AV3644" i="1"/>
  <c r="AV3645" i="1"/>
  <c r="AV3646" i="1"/>
  <c r="AV3647" i="1"/>
  <c r="AV3648" i="1"/>
  <c r="AV3649" i="1"/>
  <c r="AV3650" i="1"/>
  <c r="AV3651" i="1"/>
  <c r="AV3652" i="1"/>
  <c r="AV3653" i="1"/>
  <c r="AV3654" i="1"/>
  <c r="AV3655" i="1"/>
  <c r="AV3656" i="1"/>
  <c r="AV3657" i="1"/>
  <c r="AV3658" i="1"/>
  <c r="AV3659" i="1"/>
  <c r="AV3660" i="1"/>
  <c r="AV3661" i="1"/>
  <c r="AV3662" i="1"/>
  <c r="AV3663" i="1"/>
  <c r="AV3664" i="1"/>
  <c r="AV3665" i="1"/>
  <c r="AV3666" i="1"/>
  <c r="AV3667" i="1"/>
  <c r="AV3668" i="1"/>
  <c r="AV3669" i="1"/>
  <c r="AV3670" i="1"/>
  <c r="AV3671" i="1"/>
  <c r="AV3672" i="1"/>
  <c r="AV3673" i="1"/>
  <c r="AV3674" i="1"/>
  <c r="AV3675" i="1"/>
  <c r="AV3676" i="1"/>
  <c r="AV3677" i="1"/>
  <c r="AV3678" i="1"/>
  <c r="AV3679" i="1"/>
  <c r="AV3680" i="1"/>
  <c r="AV3681" i="1"/>
  <c r="AV3682" i="1"/>
  <c r="AV3683" i="1"/>
  <c r="AV3684" i="1"/>
  <c r="AV3685" i="1"/>
  <c r="AV3686" i="1"/>
  <c r="AV3687" i="1"/>
  <c r="AV3688" i="1"/>
  <c r="AV3689" i="1"/>
  <c r="AV3690" i="1"/>
  <c r="AV3691" i="1"/>
  <c r="AV3692" i="1"/>
  <c r="AV3693" i="1"/>
  <c r="AV3694" i="1"/>
  <c r="AV3695" i="1"/>
  <c r="AV3696" i="1"/>
  <c r="AV3697" i="1"/>
  <c r="AV3698" i="1"/>
  <c r="AV3699" i="1"/>
  <c r="AV3700" i="1"/>
  <c r="AV3701" i="1"/>
  <c r="AV3702" i="1"/>
  <c r="AV3703" i="1"/>
  <c r="AV3704" i="1"/>
  <c r="AV3705" i="1"/>
  <c r="AV3706" i="1"/>
  <c r="AV3707" i="1"/>
  <c r="AV3708" i="1"/>
  <c r="AV3709" i="1"/>
  <c r="AV3710" i="1"/>
  <c r="AV3711" i="1"/>
  <c r="AV3712" i="1"/>
  <c r="AV3713" i="1"/>
  <c r="AV3714" i="1"/>
  <c r="AV3715" i="1"/>
  <c r="AV3716" i="1"/>
  <c r="AV3717" i="1"/>
  <c r="AV3718" i="1"/>
  <c r="AV3719" i="1"/>
  <c r="AV3720" i="1"/>
  <c r="AV3721" i="1"/>
  <c r="AV3722" i="1"/>
  <c r="AV3723" i="1"/>
  <c r="AV3724" i="1"/>
  <c r="AV3725" i="1"/>
  <c r="AV3726" i="1"/>
  <c r="AV3727" i="1"/>
  <c r="AV3728" i="1"/>
  <c r="AV3729" i="1"/>
  <c r="AV3730" i="1"/>
  <c r="AV3731" i="1"/>
  <c r="AV3732" i="1"/>
  <c r="AV3733" i="1"/>
  <c r="AV3734" i="1"/>
  <c r="AV3735" i="1"/>
  <c r="AV3736" i="1"/>
  <c r="AV3737" i="1"/>
  <c r="AV3738" i="1"/>
  <c r="AV3739" i="1"/>
  <c r="AV3740" i="1"/>
  <c r="AV3741" i="1"/>
  <c r="AV3742" i="1"/>
  <c r="AV3743" i="1"/>
  <c r="AV3744" i="1"/>
  <c r="AV3745" i="1"/>
  <c r="AV3746" i="1"/>
  <c r="AV3747" i="1"/>
  <c r="AV3748" i="1"/>
  <c r="AV3749" i="1"/>
  <c r="AV3750" i="1"/>
  <c r="AV3751" i="1"/>
  <c r="AV3752" i="1"/>
  <c r="AV3753" i="1"/>
  <c r="AV3754" i="1"/>
  <c r="AV3755" i="1"/>
  <c r="AV3756" i="1"/>
  <c r="AV3757" i="1"/>
  <c r="AV3758" i="1"/>
  <c r="AV3759" i="1"/>
  <c r="AV3760" i="1"/>
  <c r="AV3761" i="1"/>
  <c r="AV3762" i="1"/>
  <c r="AV3763" i="1"/>
  <c r="AV3764" i="1"/>
  <c r="AV3765" i="1"/>
  <c r="AV3766" i="1"/>
  <c r="AV3767" i="1"/>
  <c r="AV3768" i="1"/>
  <c r="AV3769" i="1"/>
  <c r="AV3770" i="1"/>
  <c r="AV3771" i="1"/>
  <c r="AV3772" i="1"/>
  <c r="AV3773" i="1"/>
  <c r="AV3774" i="1"/>
  <c r="AV3775" i="1"/>
  <c r="AV3776" i="1"/>
  <c r="AV3777" i="1"/>
  <c r="AV3778" i="1"/>
  <c r="AV3779" i="1"/>
  <c r="AV3780" i="1"/>
  <c r="AV3781" i="1"/>
  <c r="AV3782" i="1"/>
  <c r="AV3783" i="1"/>
  <c r="AV3784" i="1"/>
  <c r="AV3785" i="1"/>
  <c r="AV3786" i="1"/>
  <c r="AV3787" i="1"/>
  <c r="AV3788" i="1"/>
  <c r="AV3789" i="1"/>
  <c r="AV3790" i="1"/>
  <c r="AV3791" i="1"/>
  <c r="AV3792" i="1"/>
  <c r="AV3793" i="1"/>
  <c r="AV3794" i="1"/>
  <c r="AV3795" i="1"/>
  <c r="AV3796" i="1"/>
  <c r="AV3797" i="1"/>
  <c r="AV3798" i="1"/>
  <c r="AV3799" i="1"/>
  <c r="AV3800" i="1"/>
  <c r="AV3801" i="1"/>
  <c r="AV3802" i="1"/>
  <c r="AV3803" i="1"/>
  <c r="AV3804" i="1"/>
  <c r="AV3805" i="1"/>
  <c r="AV3806" i="1"/>
  <c r="AV3807" i="1"/>
  <c r="AV3808" i="1"/>
  <c r="AV3809" i="1"/>
  <c r="AV3810" i="1"/>
  <c r="AV3811" i="1"/>
  <c r="AV3812" i="1"/>
  <c r="AV3813" i="1"/>
  <c r="AV3814" i="1"/>
  <c r="AV3815" i="1"/>
  <c r="AV3816" i="1"/>
  <c r="AV3817" i="1"/>
  <c r="AV3818" i="1"/>
  <c r="AV3819" i="1"/>
  <c r="AV3820" i="1"/>
  <c r="AV3821" i="1"/>
  <c r="AV3822" i="1"/>
  <c r="AV3823" i="1"/>
  <c r="AV3824" i="1"/>
  <c r="AV3825" i="1"/>
  <c r="AV3826" i="1"/>
  <c r="AV3827" i="1"/>
  <c r="AV3828" i="1"/>
  <c r="AV3829" i="1"/>
  <c r="AV3830" i="1"/>
  <c r="AV3831" i="1"/>
  <c r="AV3832" i="1"/>
  <c r="AV3833" i="1"/>
  <c r="AV3834" i="1"/>
  <c r="AV3835" i="1"/>
  <c r="AV3836" i="1"/>
  <c r="AV3837" i="1"/>
  <c r="AV3838" i="1"/>
  <c r="AV3839" i="1"/>
  <c r="AV3840" i="1"/>
  <c r="AV3841" i="1"/>
  <c r="AV3842" i="1"/>
  <c r="AV3843" i="1"/>
  <c r="AV3844" i="1"/>
  <c r="AV3845" i="1"/>
  <c r="AV3846" i="1"/>
  <c r="AV3847" i="1"/>
  <c r="AV3848" i="1"/>
  <c r="AV3849" i="1"/>
  <c r="AV3850" i="1"/>
  <c r="AV3851" i="1"/>
  <c r="AV3852" i="1"/>
  <c r="AV3853" i="1"/>
  <c r="AV3854" i="1"/>
  <c r="AV3855" i="1"/>
  <c r="AV3856" i="1"/>
  <c r="AV3857" i="1"/>
  <c r="AV3858" i="1"/>
  <c r="AV3859" i="1"/>
  <c r="AV3860" i="1"/>
  <c r="AV3861" i="1"/>
  <c r="AV3862" i="1"/>
  <c r="AV3863" i="1"/>
  <c r="AV3864" i="1"/>
  <c r="AV3865" i="1"/>
  <c r="AV3866" i="1"/>
  <c r="AV3867" i="1"/>
  <c r="AV3868" i="1"/>
  <c r="AV3869" i="1"/>
  <c r="AV3870" i="1"/>
  <c r="AV3871" i="1"/>
  <c r="AV3872" i="1"/>
  <c r="AV3873" i="1"/>
  <c r="AV3874" i="1"/>
  <c r="AV3875" i="1"/>
  <c r="AV3876" i="1"/>
  <c r="AV3877" i="1"/>
  <c r="AV3878" i="1"/>
  <c r="AV3879" i="1"/>
  <c r="AV3880" i="1"/>
  <c r="AV3881" i="1"/>
  <c r="AV3882" i="1"/>
  <c r="AV3883" i="1"/>
  <c r="AV3884" i="1"/>
  <c r="AV3885" i="1"/>
  <c r="AV3886" i="1"/>
  <c r="AV3887" i="1"/>
  <c r="AV3888" i="1"/>
  <c r="AV3889" i="1"/>
  <c r="AV3890" i="1"/>
  <c r="AV3891" i="1"/>
  <c r="AV3892" i="1"/>
  <c r="AV3893" i="1"/>
  <c r="AV3894" i="1"/>
  <c r="AV3895" i="1"/>
  <c r="AV3896" i="1"/>
  <c r="AV3897" i="1"/>
  <c r="AV3898" i="1"/>
  <c r="AV3899" i="1"/>
  <c r="AV3900" i="1"/>
  <c r="AV3901" i="1"/>
  <c r="AV3902" i="1"/>
  <c r="AV3903" i="1"/>
  <c r="AV3904" i="1"/>
  <c r="AV3905" i="1"/>
  <c r="AV3906" i="1"/>
  <c r="AV3907" i="1"/>
  <c r="AV3908" i="1"/>
  <c r="AV3909" i="1"/>
  <c r="AV3910" i="1"/>
  <c r="AV3911" i="1"/>
  <c r="AV3912" i="1"/>
  <c r="AV3913" i="1"/>
  <c r="AV3914" i="1"/>
  <c r="AV3915" i="1"/>
  <c r="AV3916" i="1"/>
  <c r="AV3917" i="1"/>
  <c r="AV3918" i="1"/>
  <c r="AV3919" i="1"/>
  <c r="AV3920" i="1"/>
  <c r="AV3921" i="1"/>
  <c r="AV3922" i="1"/>
  <c r="AV3923" i="1"/>
  <c r="AV3924" i="1"/>
  <c r="AV3925" i="1"/>
  <c r="AV3926" i="1"/>
  <c r="AV3927" i="1"/>
  <c r="AV3928" i="1"/>
  <c r="AV3929" i="1"/>
  <c r="AV3930" i="1"/>
  <c r="AV3931" i="1"/>
  <c r="AV3932" i="1"/>
  <c r="AV3933" i="1"/>
  <c r="AV3934" i="1"/>
  <c r="AV3935" i="1"/>
  <c r="AV3936" i="1"/>
  <c r="AV3937" i="1"/>
  <c r="AV3938" i="1"/>
  <c r="AV3939" i="1"/>
  <c r="AV3940" i="1"/>
  <c r="AV3941" i="1"/>
  <c r="AV3942" i="1"/>
  <c r="AV3943" i="1"/>
  <c r="AV3944" i="1"/>
  <c r="AV3945" i="1"/>
  <c r="AV3946" i="1"/>
  <c r="AV3947" i="1"/>
  <c r="AV3948" i="1"/>
  <c r="AV3949" i="1"/>
  <c r="AV3950" i="1"/>
  <c r="AV3951" i="1"/>
  <c r="AV3952" i="1"/>
  <c r="AV3953" i="1"/>
  <c r="AV3954" i="1"/>
  <c r="AV3955" i="1"/>
  <c r="AV3956" i="1"/>
  <c r="AV3957" i="1"/>
  <c r="AV3958" i="1"/>
  <c r="AV3959" i="1"/>
  <c r="AV3960" i="1"/>
  <c r="AV3961" i="1"/>
  <c r="AV3962" i="1"/>
  <c r="AV3963" i="1"/>
  <c r="AV3964" i="1"/>
  <c r="AV3965" i="1"/>
  <c r="AV3966" i="1"/>
  <c r="AV3967" i="1"/>
  <c r="AV3968" i="1"/>
  <c r="AV3969" i="1"/>
  <c r="AV3970" i="1"/>
  <c r="AV3971" i="1"/>
  <c r="AV3972" i="1"/>
  <c r="AV3973" i="1"/>
  <c r="AV3974" i="1"/>
  <c r="AV3975" i="1"/>
  <c r="AV3976" i="1"/>
  <c r="AV3977" i="1"/>
  <c r="AV3978" i="1"/>
  <c r="AV3979" i="1"/>
  <c r="AV3980" i="1"/>
  <c r="AV3981" i="1"/>
  <c r="AV3982" i="1"/>
  <c r="AV3983" i="1"/>
  <c r="AV3984" i="1"/>
  <c r="AV3985" i="1"/>
  <c r="AV3986" i="1"/>
  <c r="AV3987" i="1"/>
  <c r="AV3988" i="1"/>
  <c r="AV3989" i="1"/>
  <c r="AV3990" i="1"/>
  <c r="AV3991" i="1"/>
  <c r="AV3992" i="1"/>
  <c r="AV3993" i="1"/>
  <c r="AV3994" i="1"/>
  <c r="AV3995" i="1"/>
  <c r="AV3996" i="1"/>
  <c r="AV3997" i="1"/>
  <c r="AV3998" i="1"/>
  <c r="AV3999" i="1"/>
  <c r="AV4000" i="1"/>
  <c r="AV4001" i="1"/>
  <c r="AV4002" i="1"/>
  <c r="AV4003" i="1"/>
  <c r="AV4004" i="1"/>
  <c r="AV4005" i="1"/>
  <c r="AV4006" i="1"/>
  <c r="AV4007" i="1"/>
  <c r="AV4008" i="1"/>
  <c r="AV4009" i="1"/>
  <c r="AV4010" i="1"/>
  <c r="AV4011" i="1"/>
  <c r="AV4012" i="1"/>
  <c r="AV4013" i="1"/>
  <c r="AV4014" i="1"/>
  <c r="AV4015" i="1"/>
  <c r="AV4016" i="1"/>
  <c r="AV4017" i="1"/>
  <c r="AV4018" i="1"/>
  <c r="AV4019" i="1"/>
  <c r="AV4020" i="1"/>
  <c r="AV4021" i="1"/>
  <c r="AV4022" i="1"/>
  <c r="AV4023"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2" i="1"/>
  <c r="AE3513" i="1"/>
  <c r="AE3514" i="1"/>
  <c r="AE3515" i="1"/>
  <c r="AE3516" i="1"/>
  <c r="AE3517" i="1"/>
  <c r="AE3518" i="1"/>
  <c r="AE3519" i="1"/>
  <c r="AE3520" i="1"/>
  <c r="AE3521" i="1"/>
  <c r="AE3522" i="1"/>
  <c r="AE3523" i="1"/>
  <c r="AE3524" i="1"/>
  <c r="AE3525" i="1"/>
  <c r="AE3526" i="1"/>
  <c r="AE3527" i="1"/>
  <c r="AE3528" i="1"/>
  <c r="AE3529" i="1"/>
  <c r="AE3530"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1"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3"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X3" i="1"/>
  <c r="X4" i="1"/>
  <c r="X6" i="1"/>
  <c r="X7" i="1"/>
  <c r="X8" i="1"/>
  <c r="X9" i="1"/>
  <c r="X11" i="1"/>
  <c r="X12" i="1"/>
  <c r="X13" i="1"/>
  <c r="X17" i="1"/>
  <c r="X20" i="1"/>
  <c r="X21" i="1"/>
  <c r="X22" i="1"/>
  <c r="X23" i="1"/>
  <c r="X24" i="1"/>
  <c r="X25" i="1"/>
  <c r="X26" i="1"/>
  <c r="X28" i="1"/>
  <c r="X30" i="1"/>
  <c r="X32" i="1"/>
  <c r="X33" i="1"/>
  <c r="X34" i="1"/>
  <c r="X35" i="1"/>
  <c r="X37" i="1"/>
  <c r="X38" i="1"/>
  <c r="X39" i="1"/>
  <c r="X40" i="1"/>
  <c r="X41" i="1"/>
  <c r="X42" i="1"/>
  <c r="X45" i="1"/>
  <c r="X46" i="1"/>
  <c r="X50" i="1"/>
  <c r="X51" i="1"/>
  <c r="X53" i="1"/>
  <c r="X54" i="1"/>
  <c r="X55" i="1"/>
  <c r="X56" i="1"/>
  <c r="X62" i="1"/>
  <c r="X64" i="1"/>
  <c r="X65" i="1"/>
  <c r="X66" i="1"/>
  <c r="X69" i="1"/>
  <c r="X70" i="1"/>
  <c r="X71" i="1"/>
  <c r="X72" i="1"/>
  <c r="X73" i="1"/>
  <c r="X74" i="1"/>
  <c r="X76" i="1"/>
  <c r="X77" i="1"/>
  <c r="X78" i="1"/>
  <c r="X80" i="1"/>
  <c r="X81" i="1"/>
  <c r="X82" i="1"/>
  <c r="X84" i="1"/>
  <c r="X85" i="1"/>
  <c r="X87" i="1"/>
  <c r="X88" i="1"/>
  <c r="X89" i="1"/>
  <c r="X90" i="1"/>
  <c r="X95" i="1"/>
  <c r="X96" i="1"/>
  <c r="X97" i="1"/>
  <c r="X101" i="1"/>
  <c r="X103" i="1"/>
  <c r="X104" i="1"/>
  <c r="X105" i="1"/>
  <c r="X106" i="1"/>
  <c r="X107" i="1"/>
  <c r="X108" i="1"/>
  <c r="X109" i="1"/>
  <c r="X110" i="1"/>
  <c r="X111" i="1"/>
  <c r="X112" i="1"/>
  <c r="X113" i="1"/>
  <c r="X114" i="1"/>
  <c r="X115" i="1"/>
  <c r="X116" i="1"/>
  <c r="X118" i="1"/>
  <c r="X119" i="1"/>
  <c r="X123" i="1"/>
  <c r="X124" i="1"/>
  <c r="X125" i="1"/>
  <c r="X126" i="1"/>
  <c r="X129" i="1"/>
  <c r="X133" i="1"/>
  <c r="X134" i="1"/>
  <c r="X135" i="1"/>
  <c r="X136" i="1"/>
  <c r="X137" i="1"/>
  <c r="X138" i="1"/>
  <c r="X140" i="1"/>
  <c r="X141" i="1"/>
  <c r="X142" i="1"/>
  <c r="X148" i="1"/>
  <c r="X151" i="1"/>
  <c r="X152" i="1"/>
  <c r="X153" i="1"/>
  <c r="X157" i="1"/>
  <c r="X158" i="1"/>
  <c r="X159" i="1"/>
  <c r="X161" i="1"/>
  <c r="X162" i="1"/>
  <c r="X163" i="1"/>
  <c r="X164" i="1"/>
  <c r="X166" i="1"/>
  <c r="X169" i="1"/>
  <c r="X171" i="1"/>
  <c r="X173" i="1"/>
  <c r="X178" i="1"/>
  <c r="X179" i="1"/>
  <c r="X180" i="1"/>
  <c r="X182" i="1"/>
  <c r="X184" i="1"/>
  <c r="X185" i="1"/>
  <c r="X190" i="1"/>
  <c r="X191" i="1"/>
  <c r="X195" i="1"/>
  <c r="X196" i="1"/>
  <c r="X197" i="1"/>
  <c r="X198" i="1"/>
  <c r="X199" i="1"/>
  <c r="X201" i="1"/>
  <c r="X202" i="1"/>
  <c r="X207" i="1"/>
  <c r="X211" i="1"/>
  <c r="X214" i="1"/>
  <c r="X215" i="1"/>
  <c r="X216" i="1"/>
  <c r="X217" i="1"/>
  <c r="X218" i="1"/>
  <c r="X219" i="1"/>
  <c r="X220" i="1"/>
  <c r="X222" i="1"/>
  <c r="X223" i="1"/>
  <c r="X262" i="1"/>
  <c r="X267" i="1"/>
  <c r="X268" i="1"/>
  <c r="X269" i="1"/>
  <c r="X271" i="1"/>
  <c r="X273" i="1"/>
  <c r="X274" i="1"/>
  <c r="X276" i="1"/>
  <c r="X279" i="1"/>
  <c r="X280" i="1"/>
  <c r="X281" i="1"/>
  <c r="X282" i="1"/>
  <c r="X283" i="1"/>
  <c r="X284" i="1"/>
  <c r="X285" i="1"/>
  <c r="X293" i="1"/>
  <c r="X294" i="1"/>
  <c r="X295" i="1"/>
  <c r="X296" i="1"/>
  <c r="X297" i="1"/>
  <c r="X298" i="1"/>
  <c r="X309" i="1"/>
  <c r="X310" i="1"/>
  <c r="X311" i="1"/>
  <c r="X312" i="1"/>
  <c r="X313" i="1"/>
  <c r="X314" i="1"/>
  <c r="X315" i="1"/>
  <c r="X316" i="1"/>
  <c r="X317" i="1"/>
  <c r="X318" i="1"/>
  <c r="X319" i="1"/>
  <c r="X320" i="1"/>
  <c r="X321" i="1"/>
  <c r="X323" i="1"/>
  <c r="X325" i="1"/>
  <c r="X326" i="1"/>
  <c r="X327" i="1"/>
  <c r="X328" i="1"/>
  <c r="X329" i="1"/>
  <c r="X330" i="1"/>
  <c r="X331" i="1"/>
  <c r="X334" i="1"/>
  <c r="X336" i="1"/>
  <c r="X337" i="1"/>
  <c r="X341" i="1"/>
  <c r="X343" i="1"/>
  <c r="X345" i="1"/>
  <c r="X346" i="1"/>
  <c r="X353" i="1"/>
  <c r="X354" i="1"/>
  <c r="X355" i="1"/>
  <c r="X429" i="1"/>
  <c r="X430" i="1"/>
  <c r="X432" i="1"/>
  <c r="X433" i="1"/>
  <c r="X434" i="1"/>
  <c r="X518" i="1"/>
  <c r="X520" i="1"/>
  <c r="X521" i="1"/>
  <c r="X526" i="1"/>
  <c r="X531" i="1"/>
  <c r="X532" i="1"/>
  <c r="X533" i="1"/>
  <c r="X534" i="1"/>
  <c r="X535" i="1"/>
  <c r="X536" i="1"/>
  <c r="X537" i="1"/>
  <c r="X539" i="1"/>
  <c r="X540"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4" i="1"/>
  <c r="X1149" i="1"/>
  <c r="X1150" i="1"/>
  <c r="X1153" i="1"/>
  <c r="X1154" i="1"/>
  <c r="X1155" i="1"/>
  <c r="X1156" i="1"/>
  <c r="X1157" i="1"/>
  <c r="X1158" i="1"/>
  <c r="X1159" i="1"/>
  <c r="X1162" i="1"/>
  <c r="X1166" i="1"/>
  <c r="X1167" i="1"/>
  <c r="X1168" i="1"/>
  <c r="X1169" i="1"/>
  <c r="X1171" i="1"/>
  <c r="X1172" i="1"/>
  <c r="X1174" i="1"/>
  <c r="X1177" i="1"/>
  <c r="X1179" i="1"/>
  <c r="X1180" i="1"/>
  <c r="X1185" i="1"/>
  <c r="X1188" i="1"/>
  <c r="X1189" i="1"/>
  <c r="X1190" i="1"/>
  <c r="X1191" i="1"/>
  <c r="X1192" i="1"/>
  <c r="X1193" i="1"/>
  <c r="X1194" i="1"/>
  <c r="X1195" i="1"/>
  <c r="X1196" i="1"/>
  <c r="X1197" i="1"/>
  <c r="X1198" i="1"/>
  <c r="X1199" i="1"/>
  <c r="X1200" i="1"/>
  <c r="X1201" i="1"/>
  <c r="X1202" i="1"/>
  <c r="X1203" i="1"/>
  <c r="X1204" i="1"/>
  <c r="X1205" i="1"/>
  <c r="X1206" i="1"/>
  <c r="X1207" i="1"/>
  <c r="X1208" i="1"/>
  <c r="X1210" i="1"/>
  <c r="X1219" i="1"/>
  <c r="X1220" i="1"/>
  <c r="X1223" i="1"/>
  <c r="X1224" i="1"/>
  <c r="X1225" i="1"/>
  <c r="X1226" i="1"/>
  <c r="X1227" i="1"/>
  <c r="X1228" i="1"/>
  <c r="X1232" i="1"/>
  <c r="X1233" i="1"/>
  <c r="X1234" i="1"/>
  <c r="X1235" i="1"/>
  <c r="X1236" i="1"/>
  <c r="X1239"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71" i="1"/>
  <c r="X1278" i="1"/>
  <c r="X1279" i="1"/>
  <c r="X1280" i="1"/>
  <c r="X1281" i="1"/>
  <c r="X1282" i="1"/>
  <c r="X1283" i="1"/>
  <c r="X1284" i="1"/>
  <c r="X1285" i="1"/>
  <c r="X1286" i="1"/>
  <c r="X1287" i="1"/>
  <c r="X1288" i="1"/>
  <c r="X1289" i="1"/>
  <c r="X1290" i="1"/>
  <c r="X1291" i="1"/>
  <c r="X1292" i="1"/>
  <c r="X1293" i="1"/>
  <c r="X1294" i="1"/>
  <c r="X1296" i="1"/>
  <c r="X1297" i="1"/>
  <c r="X1298" i="1"/>
  <c r="X1299" i="1"/>
  <c r="X1300" i="1"/>
  <c r="X1302" i="1"/>
  <c r="X1303" i="1"/>
  <c r="X1306" i="1"/>
  <c r="X1308" i="1"/>
  <c r="X1310" i="1"/>
  <c r="X1314" i="1"/>
  <c r="X1315" i="1"/>
  <c r="X1316" i="1"/>
  <c r="X1317" i="1"/>
  <c r="X1318" i="1"/>
  <c r="X1319" i="1"/>
  <c r="X1321" i="1"/>
  <c r="X1322" i="1"/>
  <c r="X1323" i="1"/>
  <c r="X1324" i="1"/>
  <c r="X1325" i="1"/>
  <c r="X1326" i="1"/>
  <c r="X1327" i="1"/>
  <c r="X1328" i="1"/>
  <c r="X1330" i="1"/>
  <c r="X1333" i="1"/>
  <c r="X1336" i="1"/>
  <c r="X1337" i="1"/>
  <c r="X1341" i="1"/>
  <c r="X1345" i="1"/>
  <c r="X1347" i="1"/>
  <c r="X1355" i="1"/>
  <c r="X1356" i="1"/>
  <c r="X1359" i="1"/>
  <c r="X1360" i="1"/>
  <c r="X1361" i="1"/>
  <c r="X1362" i="1"/>
  <c r="X1363" i="1"/>
  <c r="X1364" i="1"/>
  <c r="X1365" i="1"/>
  <c r="X1366" i="1"/>
  <c r="X1367" i="1"/>
  <c r="X1368" i="1"/>
  <c r="X1369" i="1"/>
  <c r="X1370" i="1"/>
  <c r="X1371" i="1"/>
  <c r="X1372" i="1"/>
  <c r="X1373" i="1"/>
  <c r="X1374" i="1"/>
  <c r="X1376" i="1"/>
  <c r="X1377" i="1"/>
  <c r="X1380" i="1"/>
  <c r="X1381" i="1"/>
  <c r="X1382" i="1"/>
  <c r="X1383" i="1"/>
  <c r="X1384" i="1"/>
  <c r="X1385" i="1"/>
  <c r="X1386" i="1"/>
  <c r="X1387" i="1"/>
  <c r="X1388" i="1"/>
  <c r="X1389" i="1"/>
  <c r="X1390" i="1"/>
  <c r="X1391" i="1"/>
  <c r="X1392" i="1"/>
  <c r="X1393" i="1"/>
  <c r="X1394" i="1"/>
  <c r="X1395" i="1"/>
  <c r="X1396" i="1"/>
  <c r="X1397" i="1"/>
  <c r="X1398" i="1"/>
  <c r="X1401" i="1"/>
  <c r="X1402" i="1"/>
  <c r="X1406" i="1"/>
  <c r="X1407" i="1"/>
  <c r="X1409" i="1"/>
  <c r="X1410" i="1"/>
  <c r="X1411" i="1"/>
  <c r="X1412" i="1"/>
  <c r="X1417" i="1"/>
  <c r="X1418" i="1"/>
  <c r="X1420" i="1"/>
  <c r="X1422" i="1"/>
  <c r="X1423" i="1"/>
  <c r="X1424" i="1"/>
  <c r="X1427" i="1"/>
  <c r="X1430" i="1"/>
  <c r="X1431" i="1"/>
  <c r="X1451" i="1"/>
  <c r="X1452" i="1"/>
  <c r="X1453" i="1"/>
  <c r="X1454" i="1"/>
  <c r="X1455" i="1"/>
  <c r="X1457" i="1"/>
  <c r="X1461" i="1"/>
  <c r="X1463" i="1"/>
  <c r="X1469" i="1"/>
  <c r="X1471" i="1"/>
  <c r="X1473" i="1"/>
  <c r="X1476" i="1"/>
  <c r="X1477" i="1"/>
  <c r="X1478" i="1"/>
  <c r="X1479" i="1"/>
  <c r="X1496" i="1"/>
  <c r="X1497" i="1"/>
  <c r="X1505" i="1"/>
  <c r="X1587" i="1"/>
  <c r="X1588" i="1"/>
  <c r="X1593" i="1"/>
  <c r="X1596" i="1"/>
  <c r="X1598" i="1"/>
  <c r="X1599" i="1"/>
  <c r="X1602" i="1"/>
  <c r="X1606" i="1"/>
  <c r="X1608" i="1"/>
  <c r="X1609" i="1"/>
  <c r="X1614" i="1"/>
  <c r="X1615" i="1"/>
  <c r="X1619" i="1"/>
  <c r="X1620" i="1"/>
  <c r="X1627" i="1"/>
  <c r="X1628" i="1"/>
  <c r="X1629"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5" i="1"/>
  <c r="X1676" i="1"/>
  <c r="X1677" i="1"/>
  <c r="X1679" i="1"/>
  <c r="X1681" i="1"/>
  <c r="X1682" i="1"/>
  <c r="X1683" i="1"/>
  <c r="X1684" i="1"/>
  <c r="X1685" i="1"/>
  <c r="X1686" i="1"/>
  <c r="X1687"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5" i="1"/>
  <c r="X1716" i="1"/>
  <c r="X1718" i="1"/>
  <c r="X1721" i="1"/>
  <c r="X1725" i="1"/>
  <c r="X1727" i="1"/>
  <c r="X1729" i="1"/>
  <c r="X1730" i="1"/>
  <c r="X1736" i="1"/>
  <c r="X1737" i="1"/>
  <c r="X1741" i="1"/>
  <c r="X1745" i="1"/>
  <c r="X1746" i="1"/>
  <c r="X1747" i="1"/>
  <c r="X1748" i="1"/>
  <c r="X1752" i="1"/>
  <c r="X1754" i="1"/>
  <c r="X1763" i="1"/>
  <c r="X1764" i="1"/>
  <c r="X1769" i="1"/>
  <c r="X1772" i="1"/>
  <c r="X1773" i="1"/>
  <c r="X1774" i="1"/>
  <c r="X1775" i="1"/>
  <c r="X1777" i="1"/>
  <c r="X1780" i="1"/>
  <c r="X1781" i="1"/>
  <c r="X1784" i="1"/>
  <c r="X1788" i="1"/>
  <c r="X1790" i="1"/>
  <c r="X1791" i="1"/>
  <c r="X1794" i="1"/>
  <c r="X1795" i="1"/>
  <c r="X1796" i="1"/>
  <c r="X1797" i="1"/>
  <c r="X1798" i="1"/>
  <c r="X1799" i="1"/>
  <c r="X1800" i="1"/>
  <c r="X1801" i="1"/>
  <c r="X1803" i="1"/>
  <c r="X1804" i="1"/>
  <c r="X1805" i="1"/>
  <c r="X1806" i="1"/>
  <c r="X1809" i="1"/>
  <c r="X1810" i="1"/>
  <c r="X1811" i="1"/>
  <c r="X1812" i="1"/>
  <c r="X1813" i="1"/>
  <c r="X1814" i="1"/>
  <c r="X1816" i="1"/>
  <c r="X1817" i="1"/>
  <c r="X1818" i="1"/>
  <c r="X1819" i="1"/>
  <c r="X1820" i="1"/>
  <c r="X1821" i="1"/>
  <c r="X1822" i="1"/>
  <c r="X1824" i="1"/>
  <c r="X1828" i="1"/>
  <c r="X1829" i="1"/>
  <c r="X1831" i="1"/>
  <c r="X1832" i="1"/>
  <c r="X1833" i="1"/>
  <c r="X1834" i="1"/>
  <c r="X1837" i="1"/>
  <c r="X1838" i="1"/>
  <c r="X1841" i="1"/>
  <c r="X1843" i="1"/>
  <c r="X1844" i="1"/>
  <c r="X1845" i="1"/>
  <c r="X1846" i="1"/>
  <c r="X1847" i="1"/>
  <c r="X1848" i="1"/>
  <c r="X1849" i="1"/>
  <c r="X1850" i="1"/>
  <c r="X1853" i="1"/>
  <c r="X1856" i="1"/>
  <c r="X1859" i="1"/>
  <c r="X1860" i="1"/>
  <c r="X1862" i="1"/>
  <c r="X1864" i="1"/>
  <c r="X1866" i="1"/>
  <c r="X1867" i="1"/>
  <c r="X1868" i="1"/>
  <c r="X1869" i="1"/>
  <c r="X1870" i="1"/>
  <c r="X1871" i="1"/>
  <c r="X1872" i="1"/>
  <c r="X1873" i="1"/>
  <c r="X1875" i="1"/>
  <c r="X1878" i="1"/>
  <c r="X1880" i="1"/>
  <c r="X1883" i="1"/>
  <c r="X1886" i="1"/>
  <c r="X1887" i="1"/>
  <c r="X1893" i="1"/>
  <c r="X1894" i="1"/>
  <c r="X1895" i="1"/>
  <c r="X1897" i="1"/>
  <c r="X1898" i="1"/>
  <c r="X1899" i="1"/>
  <c r="X1900" i="1"/>
  <c r="X1902" i="1"/>
  <c r="X1904" i="1"/>
  <c r="X1905" i="1"/>
  <c r="X1906" i="1"/>
  <c r="X1907" i="1"/>
  <c r="X1908" i="1"/>
  <c r="X1909" i="1"/>
  <c r="X1910" i="1"/>
  <c r="X1915" i="1"/>
  <c r="X1920" i="1"/>
  <c r="X1923" i="1"/>
  <c r="X1924" i="1"/>
  <c r="X1930" i="1"/>
  <c r="X1931" i="1"/>
  <c r="X1932" i="1"/>
  <c r="X1935" i="1"/>
  <c r="X1939" i="1"/>
  <c r="X1940" i="1"/>
  <c r="X1941" i="1"/>
  <c r="X1942" i="1"/>
  <c r="X1946" i="1"/>
  <c r="X1947" i="1"/>
  <c r="X1948" i="1"/>
  <c r="X1949" i="1"/>
  <c r="X1950" i="1"/>
  <c r="X1951" i="1"/>
  <c r="X1953" i="1"/>
  <c r="X1954" i="1"/>
  <c r="X1957" i="1"/>
  <c r="X1958" i="1"/>
  <c r="X1959" i="1"/>
  <c r="X1962" i="1"/>
  <c r="X1964" i="1"/>
  <c r="X1965" i="1"/>
  <c r="X1967" i="1"/>
  <c r="X1969" i="1"/>
  <c r="X1970" i="1"/>
  <c r="X1972" i="1"/>
  <c r="X1973" i="1"/>
  <c r="X1974" i="1"/>
  <c r="X1977" i="1"/>
  <c r="X1979" i="1"/>
  <c r="X1980" i="1"/>
  <c r="X1981" i="1"/>
  <c r="X1982" i="1"/>
  <c r="X1984" i="1"/>
  <c r="X1985" i="1"/>
  <c r="X1986" i="1"/>
  <c r="X1987" i="1"/>
  <c r="X1988" i="1"/>
  <c r="X1989" i="1"/>
  <c r="X1990" i="1"/>
  <c r="X1999" i="1"/>
  <c r="X2000" i="1"/>
  <c r="X2003" i="1"/>
  <c r="X2012" i="1"/>
  <c r="X2013" i="1"/>
  <c r="X2014" i="1"/>
  <c r="X2015" i="1"/>
  <c r="X2016" i="1"/>
  <c r="X2017"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1" i="1"/>
  <c r="X2062" i="1"/>
  <c r="X2063" i="1"/>
  <c r="X2064" i="1"/>
  <c r="X2065" i="1"/>
  <c r="X2066" i="1"/>
  <c r="X2067" i="1"/>
  <c r="X2069" i="1"/>
  <c r="X2071" i="1"/>
  <c r="X2072" i="1"/>
  <c r="X2073" i="1"/>
  <c r="X2074" i="1"/>
  <c r="X2076" i="1"/>
  <c r="X2077" i="1"/>
  <c r="X2079" i="1"/>
  <c r="X2080" i="1"/>
  <c r="X2081" i="1"/>
  <c r="X2082" i="1"/>
  <c r="X2083" i="1"/>
  <c r="X2088" i="1"/>
  <c r="X2095" i="1"/>
  <c r="X2096" i="1"/>
  <c r="X2099" i="1"/>
  <c r="X2101" i="1"/>
  <c r="X2103" i="1"/>
  <c r="X2107" i="1"/>
  <c r="X2112" i="1"/>
  <c r="X2113" i="1"/>
  <c r="X2114" i="1"/>
  <c r="X2116" i="1"/>
  <c r="X2117" i="1"/>
  <c r="X2118" i="1"/>
  <c r="X2119" i="1"/>
  <c r="X2120" i="1"/>
  <c r="X2121" i="1"/>
  <c r="X2125" i="1"/>
  <c r="X2126" i="1"/>
  <c r="X2127" i="1"/>
  <c r="X2128" i="1"/>
  <c r="X2130" i="1"/>
  <c r="X2131" i="1"/>
  <c r="X2134" i="1"/>
  <c r="X2136" i="1"/>
  <c r="X2141" i="1"/>
  <c r="X2142" i="1"/>
  <c r="X2144" i="1"/>
  <c r="X2149" i="1"/>
  <c r="X2150" i="1"/>
  <c r="X2152" i="1"/>
  <c r="X2153" i="1"/>
  <c r="X2154" i="1"/>
  <c r="X2156" i="1"/>
  <c r="X2157" i="1"/>
  <c r="X2158" i="1"/>
  <c r="X2159" i="1"/>
  <c r="X2160" i="1"/>
  <c r="X2161" i="1"/>
  <c r="X2162" i="1"/>
  <c r="X2163" i="1"/>
  <c r="X2164" i="1"/>
  <c r="X2165" i="1"/>
  <c r="X2166" i="1"/>
  <c r="X2167" i="1"/>
  <c r="X2168" i="1"/>
  <c r="X2169" i="1"/>
  <c r="X2171" i="1"/>
  <c r="X2172" i="1"/>
  <c r="X2173" i="1"/>
  <c r="X2174" i="1"/>
  <c r="X2198" i="1"/>
  <c r="X2202" i="1"/>
  <c r="X2210" i="1"/>
  <c r="X2230" i="1"/>
  <c r="X2231" i="1"/>
  <c r="X2232" i="1"/>
  <c r="X2233" i="1"/>
  <c r="X2238" i="1"/>
  <c r="X2239" i="1"/>
  <c r="X2241" i="1"/>
  <c r="X2242" i="1"/>
  <c r="X2243" i="1"/>
  <c r="X2244" i="1"/>
  <c r="X2245" i="1"/>
  <c r="X2247" i="1"/>
  <c r="X2248" i="1"/>
  <c r="X2249" i="1"/>
  <c r="X2250" i="1"/>
  <c r="X2251" i="1"/>
  <c r="X2252" i="1"/>
  <c r="X2253" i="1"/>
  <c r="X2255" i="1"/>
  <c r="X2258" i="1"/>
  <c r="X2262" i="1"/>
  <c r="X2263" i="1"/>
  <c r="X2264" i="1"/>
  <c r="X2266" i="1"/>
  <c r="X2267" i="1"/>
  <c r="X2268" i="1"/>
  <c r="X2269" i="1"/>
  <c r="X2272" i="1"/>
  <c r="X2273" i="1"/>
  <c r="X2276" i="1"/>
  <c r="X2277" i="1"/>
  <c r="X2278" i="1"/>
  <c r="X2279" i="1"/>
  <c r="X2280" i="1"/>
  <c r="X2281" i="1"/>
  <c r="X2282" i="1"/>
  <c r="X2283" i="1"/>
  <c r="X2284" i="1"/>
  <c r="X2285" i="1"/>
  <c r="X2286" i="1"/>
  <c r="X2288" i="1"/>
  <c r="X2289" i="1"/>
  <c r="X2290" i="1"/>
  <c r="X2291" i="1"/>
  <c r="X2294" i="1"/>
  <c r="X2295" i="1"/>
  <c r="X2296" i="1"/>
  <c r="X2297" i="1"/>
  <c r="X2298" i="1"/>
  <c r="X2299" i="1"/>
  <c r="X2300" i="1"/>
  <c r="X2301" i="1"/>
  <c r="X2302" i="1"/>
  <c r="X2303" i="1"/>
  <c r="X2304" i="1"/>
  <c r="X2305" i="1"/>
  <c r="X2306" i="1"/>
  <c r="X2307" i="1"/>
  <c r="X2308" i="1"/>
  <c r="X2309" i="1"/>
  <c r="X2314" i="1"/>
  <c r="X2315" i="1"/>
  <c r="X2316" i="1"/>
  <c r="X2324" i="1"/>
  <c r="X2326" i="1"/>
  <c r="X2330" i="1"/>
  <c r="X2332" i="1"/>
  <c r="X2333" i="1"/>
  <c r="X2337" i="1"/>
  <c r="X2338" i="1"/>
  <c r="X2339" i="1"/>
  <c r="X2340" i="1"/>
  <c r="X2341" i="1"/>
  <c r="X2342" i="1"/>
  <c r="X2343" i="1"/>
  <c r="X2345" i="1"/>
  <c r="X2346" i="1"/>
  <c r="X2347" i="1"/>
  <c r="X2352" i="1"/>
  <c r="X2354" i="1"/>
  <c r="X2355" i="1"/>
  <c r="X2356" i="1"/>
  <c r="X2357" i="1"/>
  <c r="X2360" i="1"/>
  <c r="X2361"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91" i="1"/>
  <c r="X2392" i="1"/>
  <c r="X2393" i="1"/>
  <c r="X2394" i="1"/>
  <c r="X2396" i="1"/>
  <c r="X2401" i="1"/>
  <c r="X2404" i="1"/>
  <c r="X2406" i="1"/>
  <c r="X2407" i="1"/>
  <c r="X2411" i="1"/>
  <c r="X2412"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8" i="1"/>
  <c r="X2460" i="1"/>
  <c r="X2461" i="1"/>
  <c r="X2462" i="1"/>
  <c r="X2463" i="1"/>
  <c r="X2464" i="1"/>
  <c r="X2469" i="1"/>
  <c r="X2470" i="1"/>
  <c r="X2471" i="1"/>
  <c r="X2479" i="1"/>
  <c r="X2480" i="1"/>
  <c r="X2481" i="1"/>
  <c r="X2482" i="1"/>
  <c r="X2483" i="1"/>
  <c r="X2484" i="1"/>
  <c r="X2485" i="1"/>
  <c r="X2486" i="1"/>
  <c r="X2487" i="1"/>
  <c r="X2488" i="1"/>
  <c r="X2489" i="1"/>
  <c r="X2490" i="1"/>
  <c r="X2491" i="1"/>
  <c r="X2492" i="1"/>
  <c r="X2494" i="1"/>
  <c r="X2495" i="1"/>
  <c r="X2496" i="1"/>
  <c r="X2497" i="1"/>
  <c r="X2498" i="1"/>
  <c r="X2499" i="1"/>
  <c r="X2500" i="1"/>
  <c r="X2501" i="1"/>
  <c r="X2502" i="1"/>
  <c r="X2519" i="1"/>
  <c r="X2521" i="1"/>
  <c r="X2522" i="1"/>
  <c r="X2523" i="1"/>
  <c r="X2524" i="1"/>
  <c r="X2525" i="1"/>
  <c r="X2526" i="1"/>
  <c r="X2527" i="1"/>
  <c r="X2528" i="1"/>
  <c r="X2529" i="1"/>
  <c r="X2530" i="1"/>
  <c r="X2531" i="1"/>
  <c r="X2532" i="1"/>
  <c r="X2533" i="1"/>
  <c r="X2538" i="1"/>
  <c r="X2539" i="1"/>
  <c r="X2541" i="1"/>
  <c r="X2542" i="1"/>
  <c r="X2570" i="1"/>
  <c r="X2578" i="1"/>
  <c r="X2579" i="1"/>
  <c r="X2580" i="1"/>
  <c r="X2581" i="1"/>
  <c r="X2586" i="1"/>
  <c r="X2587" i="1"/>
  <c r="X2588" i="1"/>
  <c r="X2596" i="1"/>
  <c r="X2597" i="1"/>
  <c r="X2598" i="1"/>
  <c r="X2599" i="1"/>
  <c r="X2600" i="1"/>
  <c r="X2603" i="1"/>
  <c r="X2604" i="1"/>
  <c r="X2605" i="1"/>
  <c r="X2606" i="1"/>
  <c r="X2607" i="1"/>
  <c r="X2608" i="1"/>
  <c r="X2609" i="1"/>
  <c r="X2615" i="1"/>
  <c r="X2616" i="1"/>
  <c r="X2617" i="1"/>
  <c r="X2618" i="1"/>
  <c r="X2619" i="1"/>
  <c r="X2620" i="1"/>
  <c r="X2621" i="1"/>
  <c r="X2622" i="1"/>
  <c r="X2623" i="1"/>
  <c r="X2624" i="1"/>
  <c r="X2625" i="1"/>
  <c r="X2626" i="1"/>
  <c r="X2627" i="1"/>
  <c r="X2631" i="1"/>
  <c r="X2633"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4" i="1"/>
  <c r="X2717" i="1"/>
  <c r="X2720" i="1"/>
  <c r="X2722" i="1"/>
  <c r="X2723" i="1"/>
  <c r="X2724" i="1"/>
  <c r="X2725" i="1"/>
  <c r="X2726" i="1"/>
  <c r="X2727" i="1"/>
  <c r="X2728" i="1"/>
  <c r="X2729" i="1"/>
  <c r="X2730" i="1"/>
  <c r="X2731" i="1"/>
  <c r="X2734" i="1"/>
  <c r="X2735" i="1"/>
  <c r="X2736" i="1"/>
  <c r="X2737" i="1"/>
  <c r="X2740" i="1"/>
  <c r="X2743" i="1"/>
  <c r="X2745" i="1"/>
  <c r="X2746" i="1"/>
  <c r="X2747" i="1"/>
  <c r="X2755" i="1"/>
  <c r="X2756" i="1"/>
  <c r="X2757" i="1"/>
  <c r="X2758" i="1"/>
  <c r="X2759" i="1"/>
  <c r="X2760" i="1"/>
  <c r="X2761" i="1"/>
  <c r="X2762" i="1"/>
  <c r="X2763" i="1"/>
  <c r="X2764" i="1"/>
  <c r="X2765" i="1"/>
  <c r="X2766" i="1"/>
  <c r="X2767" i="1"/>
  <c r="X2768" i="1"/>
  <c r="X2769" i="1"/>
  <c r="X2770" i="1"/>
  <c r="X2771" i="1"/>
  <c r="X2772" i="1"/>
  <c r="X2773" i="1"/>
  <c r="X2774" i="1"/>
  <c r="X2775" i="1"/>
  <c r="X2777" i="1"/>
  <c r="X2778" i="1"/>
  <c r="X2781" i="1"/>
  <c r="X2782" i="1"/>
  <c r="X2784" i="1"/>
  <c r="X2785" i="1"/>
  <c r="X2786" i="1"/>
  <c r="X2787" i="1"/>
  <c r="X2788" i="1"/>
  <c r="X2790" i="1"/>
  <c r="X2791" i="1"/>
  <c r="X2792" i="1"/>
  <c r="X2793" i="1"/>
  <c r="X2794" i="1"/>
  <c r="X2795" i="1"/>
  <c r="X2796" i="1"/>
  <c r="X2797"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67" i="1"/>
  <c r="X2871" i="1"/>
  <c r="X2872" i="1"/>
  <c r="X2873" i="1"/>
  <c r="X2874" i="1"/>
  <c r="X2875" i="1"/>
  <c r="X2876" i="1"/>
  <c r="X2877" i="1"/>
  <c r="X2878" i="1"/>
  <c r="X2879" i="1"/>
  <c r="X2880" i="1"/>
  <c r="X2881" i="1"/>
  <c r="X2882" i="1"/>
  <c r="X2885" i="1"/>
  <c r="X2886" i="1"/>
  <c r="X2890" i="1"/>
  <c r="X2892" i="1"/>
  <c r="X2895" i="1"/>
  <c r="X2897" i="1"/>
  <c r="X2899" i="1"/>
  <c r="X2900" i="1"/>
  <c r="X2907" i="1"/>
  <c r="X2909"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86" i="1"/>
  <c r="X2987" i="1"/>
  <c r="X2991" i="1"/>
  <c r="X2994" i="1"/>
  <c r="X2995" i="1"/>
  <c r="X2996" i="1"/>
  <c r="X2997" i="1"/>
  <c r="X2998" i="1"/>
  <c r="X2999" i="1"/>
  <c r="X3000" i="1"/>
  <c r="X3001" i="1"/>
  <c r="X3002" i="1"/>
  <c r="X3003" i="1"/>
  <c r="X3004" i="1"/>
  <c r="X3005" i="1"/>
  <c r="X3006" i="1"/>
  <c r="X3007" i="1"/>
  <c r="X3008" i="1"/>
  <c r="X3010" i="1"/>
  <c r="X3011" i="1"/>
  <c r="X3013" i="1"/>
  <c r="X3014" i="1"/>
  <c r="X3016" i="1"/>
  <c r="X3017" i="1"/>
  <c r="X3018" i="1"/>
  <c r="X3019" i="1"/>
  <c r="X3020" i="1"/>
  <c r="X3021" i="1"/>
  <c r="X3022" i="1"/>
  <c r="X3024" i="1"/>
  <c r="X3025" i="1"/>
  <c r="X3026" i="1"/>
  <c r="X3027" i="1"/>
  <c r="X3300" i="1"/>
  <c r="X3301" i="1"/>
  <c r="X3368" i="1"/>
  <c r="X3466" i="1"/>
  <c r="X3468" i="1"/>
  <c r="X3469" i="1"/>
  <c r="X3470" i="1"/>
  <c r="X3471" i="1"/>
  <c r="X3473" i="1"/>
  <c r="X3474" i="1"/>
  <c r="X3475" i="1"/>
  <c r="X3476" i="1"/>
  <c r="X3477" i="1"/>
  <c r="X3478" i="1"/>
  <c r="X3479" i="1"/>
  <c r="X3480" i="1"/>
  <c r="X3481" i="1"/>
  <c r="X3482" i="1"/>
  <c r="X3483" i="1"/>
  <c r="X3484" i="1"/>
  <c r="X3487" i="1"/>
  <c r="X3488" i="1"/>
  <c r="X3489" i="1"/>
  <c r="X3491" i="1"/>
  <c r="X3492" i="1"/>
  <c r="X3493" i="1"/>
  <c r="X3495" i="1"/>
  <c r="X3496" i="1"/>
  <c r="X3497" i="1"/>
  <c r="X3498" i="1"/>
  <c r="X3499" i="1"/>
  <c r="X3504" i="1"/>
  <c r="X3506" i="1"/>
  <c r="X3512" i="1"/>
  <c r="X3513" i="1"/>
  <c r="X3522" i="1"/>
  <c r="X3539" i="1"/>
  <c r="X3540" i="1"/>
  <c r="X3543" i="1"/>
  <c r="X3544"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7" i="1"/>
  <c r="X3601" i="1"/>
  <c r="X3606" i="1"/>
  <c r="X3607" i="1"/>
  <c r="X3610" i="1"/>
  <c r="X3611" i="1"/>
  <c r="X3612" i="1"/>
  <c r="X3613" i="1"/>
  <c r="X3615" i="1"/>
  <c r="X3616" i="1"/>
  <c r="X3618" i="1"/>
  <c r="X3620" i="1"/>
  <c r="X3632" i="1"/>
  <c r="X3633" i="1"/>
  <c r="X3634" i="1"/>
  <c r="X3636" i="1"/>
  <c r="X3637" i="1"/>
  <c r="X3641" i="1"/>
  <c r="X3642" i="1"/>
  <c r="X3643" i="1"/>
  <c r="X3650" i="1"/>
  <c r="X3651" i="1"/>
  <c r="X3653" i="1"/>
  <c r="X3657" i="1"/>
  <c r="X3658" i="1"/>
  <c r="X3659" i="1"/>
  <c r="X3660" i="1"/>
  <c r="X3661" i="1"/>
  <c r="X3663" i="1"/>
  <c r="X3664" i="1"/>
  <c r="X3665" i="1"/>
  <c r="X3674" i="1"/>
  <c r="X3675" i="1"/>
  <c r="X3676" i="1"/>
  <c r="X3677" i="1"/>
  <c r="X3678" i="1"/>
  <c r="X3679" i="1"/>
  <c r="X3680" i="1"/>
  <c r="X3681" i="1"/>
  <c r="X3682" i="1"/>
  <c r="X3683" i="1"/>
  <c r="X3684" i="1"/>
  <c r="X3685" i="1"/>
  <c r="X3686" i="1"/>
  <c r="X3687" i="1"/>
  <c r="X3688" i="1"/>
  <c r="X3689" i="1"/>
  <c r="X3690" i="1"/>
  <c r="X3691" i="1"/>
  <c r="X3692" i="1"/>
  <c r="X3693" i="1"/>
  <c r="X3694" i="1"/>
  <c r="X3697"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1" i="1"/>
  <c r="X3733" i="1"/>
  <c r="X3735" i="1"/>
  <c r="X3736" i="1"/>
  <c r="X3737" i="1"/>
  <c r="X3740" i="1"/>
  <c r="X3741" i="1"/>
  <c r="X3752" i="1"/>
  <c r="X3753" i="1"/>
  <c r="X3755" i="1"/>
  <c r="X3760" i="1"/>
  <c r="X3761" i="1"/>
  <c r="X3763" i="1"/>
  <c r="X3764" i="1"/>
  <c r="X3765" i="1"/>
  <c r="X3768" i="1"/>
  <c r="X3769" i="1"/>
  <c r="X3771" i="1"/>
  <c r="X3772" i="1"/>
  <c r="X3773" i="1"/>
  <c r="X3774" i="1"/>
  <c r="X3775" i="1"/>
  <c r="X3779" i="1"/>
  <c r="X3780" i="1"/>
  <c r="X3782" i="1"/>
  <c r="X3783" i="1"/>
  <c r="X3784" i="1"/>
  <c r="X3785" i="1"/>
  <c r="X3789" i="1"/>
  <c r="X3796" i="1"/>
  <c r="X3801" i="1"/>
  <c r="X3803" i="1"/>
  <c r="X3811" i="1"/>
  <c r="X3813" i="1"/>
  <c r="X3814" i="1"/>
  <c r="X3815" i="1"/>
  <c r="X3816" i="1"/>
  <c r="X3817" i="1"/>
  <c r="X3818" i="1"/>
  <c r="X3819" i="1"/>
  <c r="X3820" i="1"/>
  <c r="X3821" i="1"/>
  <c r="X3823" i="1"/>
  <c r="X3824" i="1"/>
  <c r="X3825" i="1"/>
  <c r="X3828" i="1"/>
  <c r="X3831" i="1"/>
  <c r="X3832" i="1"/>
  <c r="X3833" i="1"/>
  <c r="X3835" i="1"/>
  <c r="X3836" i="1"/>
  <c r="X3837" i="1"/>
  <c r="X3838" i="1"/>
  <c r="X3839" i="1"/>
  <c r="X3841" i="1"/>
  <c r="X3842" i="1"/>
  <c r="X3843" i="1"/>
  <c r="X3844" i="1"/>
  <c r="X3846" i="1"/>
  <c r="X3847" i="1"/>
  <c r="X3848" i="1"/>
  <c r="X3850" i="1"/>
  <c r="X3851" i="1"/>
  <c r="X3853" i="1"/>
  <c r="X3859" i="1"/>
  <c r="X3860" i="1"/>
  <c r="X3863" i="1"/>
  <c r="X3864" i="1"/>
  <c r="X3866" i="1"/>
  <c r="X3867" i="1"/>
  <c r="X3868" i="1"/>
  <c r="X3869" i="1"/>
  <c r="X3870" i="1"/>
  <c r="X3871" i="1"/>
  <c r="X3872" i="1"/>
  <c r="X3873" i="1"/>
  <c r="X3874" i="1"/>
  <c r="X3875" i="1"/>
  <c r="X3876" i="1"/>
  <c r="X3877" i="1"/>
  <c r="X3878" i="1"/>
  <c r="X3879" i="1"/>
  <c r="X3880" i="1"/>
  <c r="X3881" i="1"/>
  <c r="X3882" i="1"/>
  <c r="X3883" i="1"/>
  <c r="X3884" i="1"/>
  <c r="X3885" i="1"/>
  <c r="X3886" i="1"/>
  <c r="X3887" i="1"/>
  <c r="X3896" i="1"/>
  <c r="X3897" i="1"/>
  <c r="X3898" i="1"/>
  <c r="X3899" i="1"/>
  <c r="X3900" i="1"/>
  <c r="X3903" i="1"/>
  <c r="X3904" i="1"/>
  <c r="X3906" i="1"/>
  <c r="X3908" i="1"/>
  <c r="X3909" i="1"/>
  <c r="X3910" i="1"/>
  <c r="X3911" i="1"/>
  <c r="X3912" i="1"/>
  <c r="X3919" i="1"/>
  <c r="X3920" i="1"/>
  <c r="X3921" i="1"/>
  <c r="X3922" i="1"/>
  <c r="X3923" i="1"/>
  <c r="X3924" i="1"/>
  <c r="X3925" i="1"/>
  <c r="X3945" i="1"/>
  <c r="X3946" i="1"/>
  <c r="X3947" i="1"/>
  <c r="X3948" i="1"/>
  <c r="X3954" i="1"/>
  <c r="X3956" i="1"/>
  <c r="X3957" i="1"/>
  <c r="X3960" i="1"/>
  <c r="X3961" i="1"/>
  <c r="X3962" i="1"/>
  <c r="X3963" i="1"/>
  <c r="X3964" i="1"/>
  <c r="X3966" i="1"/>
  <c r="X3967" i="1"/>
  <c r="X3971"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4000" i="1"/>
  <c r="X4001" i="1"/>
  <c r="X4002" i="1"/>
  <c r="X4003" i="1"/>
  <c r="X4005" i="1"/>
  <c r="X4006" i="1"/>
  <c r="X4007" i="1"/>
  <c r="X4008" i="1"/>
  <c r="X4009" i="1"/>
  <c r="X4011" i="1"/>
  <c r="X4012" i="1"/>
  <c r="X4013" i="1"/>
  <c r="X4017" i="1"/>
  <c r="X4018" i="1"/>
  <c r="X4019" i="1"/>
  <c r="X4020" i="1"/>
  <c r="X4021" i="1"/>
  <c r="X4022" i="1"/>
  <c r="Q64" i="1"/>
  <c r="Q2251" i="1"/>
  <c r="B159" i="7" l="1"/>
  <c r="B158" i="7"/>
  <c r="B161" i="7"/>
  <c r="B160" i="7"/>
  <c r="P36" i="7"/>
  <c r="Q36" i="7" s="1"/>
  <c r="P2" i="7"/>
  <c r="B173" i="7"/>
  <c r="B172" i="7"/>
  <c r="B175" i="7"/>
  <c r="B174" i="7"/>
  <c r="R36" i="7"/>
  <c r="S36" i="7" s="1"/>
  <c r="R2" i="7"/>
  <c r="B145" i="7"/>
  <c r="B144" i="7"/>
  <c r="B147" i="7"/>
  <c r="B146" i="7"/>
  <c r="N36" i="7"/>
  <c r="O36" i="7" s="1"/>
  <c r="N2" i="7"/>
  <c r="B131" i="7"/>
  <c r="B130" i="7"/>
  <c r="B117" i="7"/>
  <c r="B116" i="7"/>
  <c r="B133" i="7"/>
  <c r="B132" i="7"/>
  <c r="L36" i="7"/>
  <c r="M36" i="7" s="1"/>
  <c r="L2" i="7"/>
  <c r="B103" i="7"/>
  <c r="B102" i="7"/>
  <c r="B89" i="7"/>
  <c r="B88" i="7"/>
  <c r="B119" i="7"/>
  <c r="B118" i="7"/>
  <c r="J36" i="7"/>
  <c r="K36" i="7" s="1"/>
  <c r="J2" i="7"/>
  <c r="B105" i="7"/>
  <c r="B104" i="7"/>
  <c r="H36" i="7"/>
  <c r="I36" i="7" s="1"/>
  <c r="H2" i="7"/>
  <c r="B91" i="7"/>
  <c r="B90" i="7"/>
  <c r="F36" i="7"/>
  <c r="G36" i="7" s="1"/>
  <c r="F2" i="7"/>
  <c r="B75" i="7"/>
  <c r="B74" i="7"/>
  <c r="B77" i="7"/>
  <c r="B76" i="7"/>
  <c r="T36" i="7"/>
  <c r="T2" i="7"/>
  <c r="X2" i="7" l="1"/>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7" i="7" s="1"/>
  <c r="D36" i="7"/>
  <c r="E36" i="7" s="1"/>
  <c r="D2" i="7"/>
  <c r="U36" i="7"/>
  <c r="P28" i="7" l="1"/>
  <c r="Q3" i="7"/>
  <c r="Q2" i="7"/>
  <c r="R3" i="7"/>
  <c r="R4" i="7" s="1"/>
  <c r="S3" i="7" s="1"/>
  <c r="T3" i="7"/>
  <c r="L3" i="7"/>
  <c r="M2" i="7" s="1"/>
  <c r="N3" i="7"/>
  <c r="H3" i="7"/>
  <c r="J3" i="7"/>
  <c r="D3" i="7"/>
  <c r="D4" i="7" s="1"/>
  <c r="E3" i="7" s="1"/>
  <c r="F3" i="7"/>
  <c r="U2" i="7"/>
  <c r="P29" i="7" l="1"/>
  <c r="P30" i="7" s="1"/>
  <c r="P31" i="7" s="1"/>
  <c r="P32" i="7" s="1"/>
  <c r="P33" i="7" s="1"/>
  <c r="P34" i="7" s="1"/>
  <c r="P35" i="7" s="1"/>
  <c r="Q35" i="7" s="1"/>
  <c r="Q5" i="7"/>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I2" i="7"/>
  <c r="J4" i="7"/>
  <c r="K2" i="7"/>
  <c r="H4" i="7"/>
  <c r="H5" i="7" s="1"/>
  <c r="E2" i="7"/>
  <c r="F4" i="7"/>
  <c r="G2" i="7"/>
  <c r="D5" i="7"/>
  <c r="E4" i="7" s="1"/>
  <c r="U3" i="7"/>
  <c r="L28" i="7" l="1"/>
  <c r="Q6" i="7"/>
  <c r="T5" i="7"/>
  <c r="M3" i="7"/>
  <c r="R6" i="7"/>
  <c r="S5" i="7" s="1"/>
  <c r="I3" i="7"/>
  <c r="N5" i="7"/>
  <c r="O3" i="7"/>
  <c r="M4" i="7"/>
  <c r="M5" i="7"/>
  <c r="M6" i="7"/>
  <c r="J5" i="7"/>
  <c r="K3" i="7"/>
  <c r="H6" i="7"/>
  <c r="I5" i="7" s="1"/>
  <c r="I4" i="7"/>
  <c r="F5" i="7"/>
  <c r="G3" i="7"/>
  <c r="D6" i="7"/>
  <c r="E5" i="7" s="1"/>
  <c r="U4" i="7"/>
  <c r="L29" i="7" l="1"/>
  <c r="L30" i="7" s="1"/>
  <c r="L31" i="7" s="1"/>
  <c r="L32" i="7" s="1"/>
  <c r="L33" i="7" s="1"/>
  <c r="L34" i="7" s="1"/>
  <c r="L35" i="7" s="1"/>
  <c r="M35" i="7" s="1"/>
  <c r="Q7" i="7"/>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7" i="7"/>
  <c r="N26" i="7"/>
  <c r="O25" i="7" s="1"/>
  <c r="M27" i="7"/>
  <c r="J26" i="7"/>
  <c r="K25" i="7" s="1"/>
  <c r="H27" i="7"/>
  <c r="F26" i="7"/>
  <c r="G25" i="7" s="1"/>
  <c r="D27" i="7"/>
  <c r="U25" i="7"/>
  <c r="I26" i="7" l="1"/>
  <c r="S26" i="7"/>
  <c r="E26" i="7"/>
  <c r="Q27" i="7"/>
  <c r="T27" i="7"/>
  <c r="R28" i="7"/>
  <c r="N27" i="7"/>
  <c r="M28" i="7"/>
  <c r="J27" i="7"/>
  <c r="H28" i="7"/>
  <c r="F27" i="7"/>
  <c r="D28" i="7"/>
  <c r="I27" i="7" l="1"/>
  <c r="E27" i="7"/>
  <c r="S27" i="7"/>
  <c r="K26" i="7"/>
  <c r="G26" i="7"/>
  <c r="O26" i="7"/>
  <c r="Q28" i="7"/>
  <c r="T28" i="7"/>
  <c r="R29" i="7"/>
  <c r="S28" i="7" s="1"/>
  <c r="N28" i="7"/>
  <c r="M29" i="7"/>
  <c r="J28" i="7"/>
  <c r="H29" i="7"/>
  <c r="I28" i="7" s="1"/>
  <c r="F28" i="7"/>
  <c r="D29" i="7"/>
  <c r="E28" i="7" s="1"/>
  <c r="U26" i="7"/>
  <c r="K27" i="7" l="1"/>
  <c r="G27" i="7"/>
  <c r="O27" i="7"/>
  <c r="Q29" i="7"/>
  <c r="T29" i="7"/>
  <c r="R30" i="7"/>
  <c r="N29" i="7"/>
  <c r="O28" i="7" s="1"/>
  <c r="M30" i="7"/>
  <c r="J29" i="7"/>
  <c r="K28" i="7" s="1"/>
  <c r="H30" i="7"/>
  <c r="I29" i="7" s="1"/>
  <c r="F29" i="7"/>
  <c r="G28" i="7" s="1"/>
  <c r="D30" i="7"/>
  <c r="E29" i="7" s="1"/>
  <c r="U27" i="7"/>
  <c r="Q30" i="7" l="1"/>
  <c r="T30" i="7"/>
  <c r="R31" i="7"/>
  <c r="S30" i="7" s="1"/>
  <c r="S29" i="7"/>
  <c r="N30" i="7"/>
  <c r="O29" i="7" s="1"/>
  <c r="M31" i="7"/>
  <c r="J30" i="7"/>
  <c r="K29" i="7" s="1"/>
  <c r="H31" i="7"/>
  <c r="I30" i="7" s="1"/>
  <c r="F30" i="7"/>
  <c r="G29" i="7" s="1"/>
  <c r="D31" i="7"/>
  <c r="E30" i="7" s="1"/>
  <c r="U29" i="7"/>
  <c r="U28" i="7"/>
  <c r="Q31" i="7" l="1"/>
  <c r="T31" i="7"/>
  <c r="R32" i="7"/>
  <c r="S31" i="7" s="1"/>
  <c r="N31" i="7"/>
  <c r="O30" i="7" s="1"/>
  <c r="M32" i="7"/>
  <c r="J31" i="7"/>
  <c r="K30" i="7" s="1"/>
  <c r="H32" i="7"/>
  <c r="I31" i="7" s="1"/>
  <c r="F31" i="7"/>
  <c r="G30" i="7" s="1"/>
  <c r="D32" i="7"/>
  <c r="E31" i="7" s="1"/>
  <c r="U30" i="7"/>
  <c r="Q32" i="7" l="1"/>
  <c r="T32" i="7"/>
  <c r="R33" i="7"/>
  <c r="N32" i="7"/>
  <c r="O31" i="7" s="1"/>
  <c r="M33" i="7"/>
  <c r="J32" i="7"/>
  <c r="K31" i="7" s="1"/>
  <c r="H33" i="7"/>
  <c r="I32" i="7" s="1"/>
  <c r="F32" i="7"/>
  <c r="G31" i="7" s="1"/>
  <c r="D33" i="7"/>
  <c r="E32" i="7" s="1"/>
  <c r="U31" i="7"/>
  <c r="Q33" i="7" l="1"/>
  <c r="T33" i="7"/>
  <c r="R34" i="7"/>
  <c r="S33" i="7" s="1"/>
  <c r="S32" i="7"/>
  <c r="N33" i="7"/>
  <c r="O32" i="7" s="1"/>
  <c r="M34" i="7"/>
  <c r="J33" i="7"/>
  <c r="K32" i="7" s="1"/>
  <c r="H34" i="7"/>
  <c r="I33" i="7" s="1"/>
  <c r="F33" i="7"/>
  <c r="G32" i="7" s="1"/>
  <c r="D34" i="7"/>
  <c r="E33" i="7" s="1"/>
  <c r="U32" i="7"/>
  <c r="Q34" i="7" l="1"/>
  <c r="T34" i="7"/>
  <c r="R35" i="7"/>
  <c r="N34" i="7"/>
  <c r="O33" i="7" s="1"/>
  <c r="J34" i="7"/>
  <c r="K33" i="7" s="1"/>
  <c r="H35" i="7"/>
  <c r="F34" i="7"/>
  <c r="G33" i="7" s="1"/>
  <c r="D35" i="7"/>
  <c r="U33" i="7"/>
  <c r="E34" i="7" l="1"/>
  <c r="E35" i="7"/>
  <c r="I34" i="7"/>
  <c r="I35" i="7"/>
  <c r="S34" i="7"/>
  <c r="S35" i="7"/>
  <c r="T35" i="7"/>
  <c r="N35" i="7"/>
  <c r="J35" i="7"/>
  <c r="F35" i="7"/>
  <c r="U35" i="7"/>
  <c r="U34" i="7"/>
  <c r="O34" i="7" l="1"/>
  <c r="O35" i="7"/>
  <c r="G34" i="7"/>
  <c r="G35" i="7"/>
  <c r="K34" i="7"/>
  <c r="K35"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Tony C.</author>
  </authors>
  <commentList>
    <comment ref="A2" authorId="0" shapeId="0" xr:uid="{00000000-0006-0000-0000-00000100000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xr:uid="{00000000-0006-0000-0000-00000200000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xr:uid="{00000000-0006-0000-0000-00000300000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xr:uid="{00000000-0006-0000-0000-00000400000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xr:uid="{00000000-0006-0000-0000-00000500000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xr:uid="{00000000-0006-0000-0000-00000600000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xr:uid="{00000000-0006-0000-0000-00000700000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xr:uid="{00000000-0006-0000-0000-00000800000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xr:uid="{00000000-0006-0000-0000-00000900000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000-00000A00000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xr:uid="{00000000-0006-0000-0000-00000B00000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xr:uid="{00000000-0006-0000-0000-00000C00000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xr:uid="{00000000-0006-0000-0000-00000D00000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TonyAdmin</author>
    <author>Tony C.</author>
    <author>Tony</author>
  </authors>
  <commentList>
    <comment ref="A2" authorId="0" shapeId="0" xr:uid="{00000000-0006-0000-0100-00000100000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xr:uid="{00000000-0006-0000-0100-00000200000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xr:uid="{00000000-0006-0000-0100-00000300000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xr:uid="{00000000-0006-0000-0100-00000400000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xr:uid="{00000000-0006-0000-0100-00000500000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xr:uid="{00000000-0006-0000-0100-00000600000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xr:uid="{00000000-0006-0000-0100-00000700000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xr:uid="{00000000-0006-0000-0100-00000800000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xr:uid="{00000000-0006-0000-0100-00000900000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100-00000A00000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xr:uid="{00000000-0006-0000-0100-00000B00000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xr:uid="{00000000-0006-0000-0100-00000C00000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xr:uid="{00000000-0006-0000-0100-00000D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xr:uid="{00000000-0006-0000-0100-00000E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xr:uid="{00000000-0006-0000-0100-00000F00000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xr:uid="{00000000-0006-0000-0100-00001000000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xr:uid="{00000000-0006-0000-0100-00001100000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xr:uid="{00000000-0006-0000-0100-00001200000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xr:uid="{00000000-0006-0000-0100-00001300000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xr:uid="{00000000-0006-0000-0100-00001400000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xr:uid="{00000000-0006-0000-0100-00001500000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xr:uid="{00000000-0006-0000-0100-00001600000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xr:uid="{00000000-0006-0000-0100-00001700000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xr:uid="{00000000-0006-0000-0100-00001800000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xr:uid="{00000000-0006-0000-0100-00001900000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xr:uid="{00000000-0006-0000-0100-00001A00000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xr:uid="{00000000-0006-0000-0100-00001B00000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xr:uid="{00000000-0006-0000-0100-00001C00000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2" authorId="0" shapeId="0" xr:uid="{00000000-0006-0000-03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xr:uid="{00000000-0006-0000-0300-00000200000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xr:uid="{00000000-0006-0000-0300-00000300000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xr:uid="{00000000-0006-0000-0300-00000400000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xr:uid="{00000000-0006-0000-0300-00000500000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xr:uid="{00000000-0006-0000-0300-00000600000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shapeId="0" xr:uid="{00000000-0006-0000-0300-00000700000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xr:uid="{00000000-0006-0000-0300-00000800000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xr:uid="{00000000-0006-0000-0300-00000900000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shapeId="0" xr:uid="{00000000-0006-0000-0300-00000A00000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xr:uid="{00000000-0006-0000-0300-00000B00000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xr:uid="{00000000-0006-0000-0300-00000C00000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xr:uid="{00000000-0006-0000-0300-00000D00000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xr:uid="{00000000-0006-0000-0300-00000E00000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xr:uid="{00000000-0006-0000-0300-00000F00000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xr:uid="{00000000-0006-0000-0300-00001000000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xr:uid="{00000000-0006-0000-0300-00001100000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xr:uid="{00000000-0006-0000-0300-00001200000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xr:uid="{00000000-0006-0000-0300-00001300000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xr:uid="{00000000-0006-0000-0300-00001400000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xr:uid="{00000000-0006-0000-0300-00001500000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xr:uid="{00000000-0006-0000-0300-00001600000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1" authorId="0" shapeId="0" xr:uid="{00000000-0006-0000-04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xr:uid="{00000000-0006-0000-0400-00000200000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xr:uid="{00000000-0006-0000-0400-00000300000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TonyAdmin</author>
  </authors>
  <commentList>
    <comment ref="A1" authorId="0" shapeId="0" xr:uid="{00000000-0006-0000-0500-00000100000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<sst xmlns="http://schemas.openxmlformats.org/spreadsheetml/2006/main" count="80756" uniqueCount="26029">
  <si>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</si>
  <si>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</si>
  <si>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</si>
  <si>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</si>
  <si>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</si>
  <si>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</si>
  <si>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</si>
  <si>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</si>
  <si>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</si>
  <si>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</si>
  <si>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</si>
  <si>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</si>
  <si>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</si>
  <si>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</si>
  <si>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</si>
  <si>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</si>
  <si>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</si>
  <si>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</si>
  <si>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</si>
  <si>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</si>
  <si>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</si>
  <si>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</si>
  <si>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</si>
  <si>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</si>
  <si>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</si>
  <si>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</si>
  <si>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</si>
  <si>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</si>
  <si>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</si>
  <si>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</si>
  <si>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</si>
  <si>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</si>
  <si>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</si>
  <si>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</si>
  <si>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</si>
  <si>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</si>
  <si>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</si>
  <si>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</si>
  <si>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</si>
  <si>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</si>
  <si>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</si>
  <si>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</si>
  <si>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</si>
  <si>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</si>
  <si>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</si>
  <si>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</si>
  <si>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</si>
  <si>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</si>
  <si>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</si>
  <si>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</si>
  <si>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</si>
  <si>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</si>
  <si>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</si>
  <si>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</si>
  <si>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</si>
  <si>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</si>
  <si>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</si>
  <si>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</si>
  <si>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</si>
  <si>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</si>
  <si>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</si>
  <si>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</si>
  <si>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</si>
  <si>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</si>
  <si>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</si>
  <si>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</si>
  <si>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</si>
  <si>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</si>
  <si>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</si>
  <si>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</si>
  <si>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</si>
  <si>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</si>
  <si>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</si>
  <si>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</si>
  <si>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</si>
  <si>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</si>
  <si>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</si>
  <si>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</si>
  <si>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</si>
  <si>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</si>
  <si>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</si>
  <si>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</si>
  <si>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</si>
  <si>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</si>
  <si>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</si>
  <si>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</si>
  <si>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</si>
  <si>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</si>
  <si>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</si>
  <si>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</si>
  <si>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</si>
  <si>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</si>
  <si>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</si>
  <si>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</si>
  <si>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</si>
  <si>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</si>
  <si>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</si>
  <si>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</si>
  <si>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</si>
  <si>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</si>
  <si>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</si>
  <si>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</si>
  <si>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</si>
  <si>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</si>
  <si>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</si>
  <si>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</si>
  <si>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</si>
  <si>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</si>
  <si>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</si>
  <si>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</si>
  <si>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</si>
  <si>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</si>
  <si>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</si>
  <si>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</si>
  <si>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</si>
  <si>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</si>
  <si>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</si>
  <si>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</si>
  <si>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</si>
  <si>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</si>
  <si>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</si>
  <si>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</si>
  <si>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</si>
  <si>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</si>
  <si>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</si>
  <si>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</si>
  <si>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</si>
  <si>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</si>
  <si>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TableName[ColumnName]</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</si>
  <si>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</si>
  <si>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</si>
  <si>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</si>
  <si>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</si>
  <si>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</si>
  <si>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</si>
  <si>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</si>
  <si>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</si>
  <si>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</si>
  <si>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</si>
  <si>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</si>
  <si>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</si>
  <si>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</si>
  <si>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</si>
  <si>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</si>
  <si>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</si>
  <si>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</si>
  <si>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</si>
  <si>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</si>
  <si>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</si>
  <si>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</si>
  <si>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</si>
  <si>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</si>
  <si>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</si>
  <si>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</si>
  <si>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</si>
  <si>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</si>
  <si>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</si>
  <si>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</si>
  <si>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</si>
  <si>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</si>
  <si>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</si>
  <si>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</si>
  <si>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</si>
  <si>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</si>
  <si>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</si>
  <si>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</si>
  <si>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</si>
  <si>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</si>
  <si>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</si>
  <si>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</si>
  <si>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</si>
  <si>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</si>
  <si>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</si>
  <si>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</si>
  <si>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Autofill Workbook Results</t>
  </si>
  <si>
    <t>▓0▓0▓0▓True▓Black▓Black▓▓▓0▓0▓0▓0▓0▓False▓▓0▓0▓0▓0▓0▓False▓▓0▓0▓0▓True▓Black▓Black▓▓▓0▓0▓0▓0▓0▓False▓▓0▓0▓0▓0▓0▓False▓▓0▓0▓0▓0▓0▓False▓▓0▓0▓0▓0▓0▓False</t>
  </si>
  <si>
    <t>Graph History</t>
  </si>
  <si>
    <t>Relationship</t>
  </si>
  <si>
    <t>Relationship Date (UTC)</t>
  </si>
  <si>
    <t>Tweet</t>
  </si>
  <si>
    <t>Retweet Count</t>
  </si>
  <si>
    <t>Favorite Count</t>
  </si>
  <si>
    <t>Reply Count</t>
  </si>
  <si>
    <t>Quote Count</t>
  </si>
  <si>
    <t>Impression Count</t>
  </si>
  <si>
    <t>Hashtags in Tweet</t>
  </si>
  <si>
    <t>URLs in Tweet</t>
  </si>
  <si>
    <t>Domains in Tweet</t>
  </si>
  <si>
    <t>Mentions in Tweet</t>
  </si>
  <si>
    <t>Media in Tweet</t>
  </si>
  <si>
    <t>Media Type</t>
  </si>
  <si>
    <t>Source</t>
  </si>
  <si>
    <t>Language</t>
  </si>
  <si>
    <t>Twitter Page for Tweet</t>
  </si>
  <si>
    <t>Tweet Date (UTC)</t>
  </si>
  <si>
    <t>Date</t>
  </si>
  <si>
    <t>Time</t>
  </si>
  <si>
    <t>Possibly Sensitive</t>
  </si>
  <si>
    <t>Place Bounding Box</t>
  </si>
  <si>
    <t>Place Country</t>
  </si>
  <si>
    <t>Place Country Code</t>
  </si>
  <si>
    <t>Place Full Name</t>
  </si>
  <si>
    <t>Place ID</t>
  </si>
  <si>
    <t>Place Name</t>
  </si>
  <si>
    <t>Place Type</t>
  </si>
  <si>
    <t>Media Key</t>
  </si>
  <si>
    <t>Media Duration (ms)</t>
  </si>
  <si>
    <t>Media Height</t>
  </si>
  <si>
    <t>Media Width</t>
  </si>
  <si>
    <t>Media View Count</t>
  </si>
  <si>
    <t>Tweet Image File</t>
  </si>
  <si>
    <t>Imported ID</t>
  </si>
  <si>
    <t>Conversation ID</t>
  </si>
  <si>
    <t>In Reply To User ID</t>
  </si>
  <si>
    <t>In Reply To Tweet ID</t>
  </si>
  <si>
    <t>Quoted Status ID</t>
  </si>
  <si>
    <t>Retweet ID</t>
  </si>
  <si>
    <t>Unified Twitter ID</t>
  </si>
  <si>
    <t>Author ID</t>
  </si>
  <si>
    <t>Poll ID</t>
  </si>
  <si>
    <t>Poll Options</t>
  </si>
  <si>
    <t>Poll Duration</t>
  </si>
  <si>
    <t>Poll End Date</t>
  </si>
  <si>
    <t>Poll Voting Status</t>
  </si>
  <si>
    <t>rafaeltradercwb</t>
  </si>
  <si>
    <t>adm_santos</t>
  </si>
  <si>
    <t>daiy_ofiicial</t>
  </si>
  <si>
    <t>djiani11</t>
  </si>
  <si>
    <t>awkangelo</t>
  </si>
  <si>
    <t>cochichou1</t>
  </si>
  <si>
    <t>lmichelleduarte</t>
  </si>
  <si>
    <t>acoesimportam</t>
  </si>
  <si>
    <t>rendasemvender</t>
  </si>
  <si>
    <t>ganharajud61276</t>
  </si>
  <si>
    <t>matheus_sais</t>
  </si>
  <si>
    <t>leidicorteze</t>
  </si>
  <si>
    <t>jcmotoristauber</t>
  </si>
  <si>
    <t>digitalboost_67</t>
  </si>
  <si>
    <t>apenasnegocioss</t>
  </si>
  <si>
    <t>studidiamond</t>
  </si>
  <si>
    <t>bitcoinecashbr</t>
  </si>
  <si>
    <t>eduaraujoadv</t>
  </si>
  <si>
    <t>tvcultura</t>
  </si>
  <si>
    <t>guidottisilva</t>
  </si>
  <si>
    <t>leilaodescompli</t>
  </si>
  <si>
    <t>fadadry</t>
  </si>
  <si>
    <t>daniellecardon5</t>
  </si>
  <si>
    <t>tessymartins</t>
  </si>
  <si>
    <t>edycdf</t>
  </si>
  <si>
    <t>raiamsabetudo</t>
  </si>
  <si>
    <t>pamela_val01</t>
  </si>
  <si>
    <t>criptomonof</t>
  </si>
  <si>
    <t>vanessacunha381</t>
  </si>
  <si>
    <t>zannynhamaria</t>
  </si>
  <si>
    <t>vvgualberto</t>
  </si>
  <si>
    <t>rendaextraslots</t>
  </si>
  <si>
    <t>wesleybezerr12</t>
  </si>
  <si>
    <t>vldmrhz</t>
  </si>
  <si>
    <t>domuusaurea</t>
  </si>
  <si>
    <t>onetaptips</t>
  </si>
  <si>
    <t>apercristao</t>
  </si>
  <si>
    <t>anderso62493250</t>
  </si>
  <si>
    <t>claytonmoraes__</t>
  </si>
  <si>
    <t>avena_bruno</t>
  </si>
  <si>
    <t>le0nardo_sousa</t>
  </si>
  <si>
    <t>amandavi80</t>
  </si>
  <si>
    <t>lisabnelson7885</t>
  </si>
  <si>
    <t>slotsbrasil</t>
  </si>
  <si>
    <t>gabicvieiras</t>
  </si>
  <si>
    <t>topbets_live</t>
  </si>
  <si>
    <t>claricecvargas</t>
  </si>
  <si>
    <t>af_liberdade</t>
  </si>
  <si>
    <t>luciane00547445</t>
  </si>
  <si>
    <t>evelinsoares_</t>
  </si>
  <si>
    <t>paratudoumhack</t>
  </si>
  <si>
    <t>calilecalil</t>
  </si>
  <si>
    <t>tudoeraldo</t>
  </si>
  <si>
    <t>vemnemim0600</t>
  </si>
  <si>
    <t>mluh69452</t>
  </si>
  <si>
    <t>allandennis18</t>
  </si>
  <si>
    <t>vsmolina3</t>
  </si>
  <si>
    <t>insightsratao</t>
  </si>
  <si>
    <t>milcoisas__</t>
  </si>
  <si>
    <t>purple_mkt</t>
  </si>
  <si>
    <t>mj_empreendedor</t>
  </si>
  <si>
    <t>dionatanwill</t>
  </si>
  <si>
    <t>fabiosantanacs</t>
  </si>
  <si>
    <t>jzdverystress</t>
  </si>
  <si>
    <t>siilvaa_09</t>
  </si>
  <si>
    <t>elianmateuss_</t>
  </si>
  <si>
    <t>tonpecoraro</t>
  </si>
  <si>
    <t>jornalcontabil_</t>
  </si>
  <si>
    <t>jroliveirasm</t>
  </si>
  <si>
    <t>fernaandfranca</t>
  </si>
  <si>
    <t>applucrando</t>
  </si>
  <si>
    <t>sidyromero</t>
  </si>
  <si>
    <t>elisetepetriw</t>
  </si>
  <si>
    <t>simeiaveloso</t>
  </si>
  <si>
    <t>wann4cryexe</t>
  </si>
  <si>
    <t>geckocripto</t>
  </si>
  <si>
    <t>karina_duarte17</t>
  </si>
  <si>
    <t>eliasbarouh</t>
  </si>
  <si>
    <t>maikeffagundes</t>
  </si>
  <si>
    <t>empreended0r_</t>
  </si>
  <si>
    <t>thebaron___</t>
  </si>
  <si>
    <t>jftips10</t>
  </si>
  <si>
    <t>wesleycosta1972</t>
  </si>
  <si>
    <t>suelenmaededois</t>
  </si>
  <si>
    <t>vamosweb</t>
  </si>
  <si>
    <t>angra2reiscombr</t>
  </si>
  <si>
    <t>jonasfershut</t>
  </si>
  <si>
    <t>esquecebr</t>
  </si>
  <si>
    <t>an80968quaresma</t>
  </si>
  <si>
    <t>confrariacurios</t>
  </si>
  <si>
    <t>giovaniaandre</t>
  </si>
  <si>
    <t>emerson51318371</t>
  </si>
  <si>
    <t>packs_plr_grati</t>
  </si>
  <si>
    <t>cz_nogueira</t>
  </si>
  <si>
    <t>danniolliveira_</t>
  </si>
  <si>
    <t>maria_alves_72</t>
  </si>
  <si>
    <t>nethinhoba</t>
  </si>
  <si>
    <t>sempreganha1</t>
  </si>
  <si>
    <t>camillaraem</t>
  </si>
  <si>
    <t>manropy</t>
  </si>
  <si>
    <t>_gusta_mkt</t>
  </si>
  <si>
    <t>franciscoplay11</t>
  </si>
  <si>
    <t>dayane_mk_</t>
  </si>
  <si>
    <t>mocadocroche</t>
  </si>
  <si>
    <t>elciogomes41</t>
  </si>
  <si>
    <t>fronteira_livre</t>
  </si>
  <si>
    <t>eid_manu</t>
  </si>
  <si>
    <t>wjbetbr777</t>
  </si>
  <si>
    <t>o_unboxing</t>
  </si>
  <si>
    <t>recuperabrasil_</t>
  </si>
  <si>
    <t>romario67984003</t>
  </si>
  <si>
    <t>pl_rendasextras</t>
  </si>
  <si>
    <t>eshoerd</t>
  </si>
  <si>
    <t>demetriusjoseda</t>
  </si>
  <si>
    <t>danielacar2217</t>
  </si>
  <si>
    <t>montssx</t>
  </si>
  <si>
    <t>rodrigoxguima</t>
  </si>
  <si>
    <t>tempodenegocio</t>
  </si>
  <si>
    <t>anaempreen69261</t>
  </si>
  <si>
    <t>sucessopossivel</t>
  </si>
  <si>
    <t>papoproar88</t>
  </si>
  <si>
    <t>outropatamar200</t>
  </si>
  <si>
    <t>seutempoemrenda</t>
  </si>
  <si>
    <t>bzslots</t>
  </si>
  <si>
    <t>nicolyboss</t>
  </si>
  <si>
    <t>jorgestolfihbl</t>
  </si>
  <si>
    <t>iamclaraslots</t>
  </si>
  <si>
    <t>mairiju</t>
  </si>
  <si>
    <t>joh_smoke_weed</t>
  </si>
  <si>
    <t>mdgtips</t>
  </si>
  <si>
    <t>khalebbueno</t>
  </si>
  <si>
    <t>atimopayoficial</t>
  </si>
  <si>
    <t>vibescia</t>
  </si>
  <si>
    <t>faturandomilhoe</t>
  </si>
  <si>
    <t>emanuelsummers_</t>
  </si>
  <si>
    <t>dtcwbbr</t>
  </si>
  <si>
    <t>hugocos00279853</t>
  </si>
  <si>
    <t>paulaminadeouro</t>
  </si>
  <si>
    <t>milenabucatte</t>
  </si>
  <si>
    <t>brunohenri1989</t>
  </si>
  <si>
    <t>tradewebbrasil</t>
  </si>
  <si>
    <t>natisoares66</t>
  </si>
  <si>
    <t>funnybetbrasil</t>
  </si>
  <si>
    <t>juliettefreer</t>
  </si>
  <si>
    <t>flor_de_lis_dis</t>
  </si>
  <si>
    <t>danieleanile_</t>
  </si>
  <si>
    <t>wilsonsoaresnu1</t>
  </si>
  <si>
    <t>maryap44615347</t>
  </si>
  <si>
    <t>andrenegociosbr</t>
  </si>
  <si>
    <t>rickwareoficial</t>
  </si>
  <si>
    <t>ildefon24325870</t>
  </si>
  <si>
    <t>rafacotton</t>
  </si>
  <si>
    <t>rendadolar</t>
  </si>
  <si>
    <t>nixinmarketing</t>
  </si>
  <si>
    <t>omarcelopassos</t>
  </si>
  <si>
    <t>ionarlinda</t>
  </si>
  <si>
    <t>cons1erika</t>
  </si>
  <si>
    <t>ophandrade</t>
  </si>
  <si>
    <t>negralho2</t>
  </si>
  <si>
    <t>edudias007</t>
  </si>
  <si>
    <t>cantorparafesta</t>
  </si>
  <si>
    <t>mktdigital2023</t>
  </si>
  <si>
    <t>smashupbrazil</t>
  </si>
  <si>
    <t>mariaap84148514</t>
  </si>
  <si>
    <t>fabriciane_20</t>
  </si>
  <si>
    <t>leidimaia_</t>
  </si>
  <si>
    <t>dicasdeumadm</t>
  </si>
  <si>
    <t>beasikeira</t>
  </si>
  <si>
    <t>laerciolobanco</t>
  </si>
  <si>
    <t>mobygo_rp</t>
  </si>
  <si>
    <t>anadagrana</t>
  </si>
  <si>
    <t>mixeusol</t>
  </si>
  <si>
    <t>lrnevesofficial</t>
  </si>
  <si>
    <t>onlinevieira</t>
  </si>
  <si>
    <t>rainhadosjogoss</t>
  </si>
  <si>
    <t>victormaceio</t>
  </si>
  <si>
    <t>lucrarcomreceit</t>
  </si>
  <si>
    <t>sarita19amt</t>
  </si>
  <si>
    <t>slotsdalua</t>
  </si>
  <si>
    <t>hebbermasc</t>
  </si>
  <si>
    <t>tradersaed</t>
  </si>
  <si>
    <t>beyourscompany</t>
  </si>
  <si>
    <t>canalqb</t>
  </si>
  <si>
    <t>diogofcastilho1</t>
  </si>
  <si>
    <t>alleph</t>
  </si>
  <si>
    <t>financasecia</t>
  </si>
  <si>
    <t>victorsarro</t>
  </si>
  <si>
    <t>granaextra3</t>
  </si>
  <si>
    <t>5tradewithjr</t>
  </si>
  <si>
    <t>gatosabidotv</t>
  </si>
  <si>
    <t>lojavirtualdo0</t>
  </si>
  <si>
    <t>matteo007z</t>
  </si>
  <si>
    <t>l_universe020</t>
  </si>
  <si>
    <t>irineubere</t>
  </si>
  <si>
    <t>freeclassific</t>
  </si>
  <si>
    <t>denis0ncardoso</t>
  </si>
  <si>
    <t>advbuda</t>
  </si>
  <si>
    <t>joaoabn</t>
  </si>
  <si>
    <t>daianybr291</t>
  </si>
  <si>
    <t>tv_regi</t>
  </si>
  <si>
    <t>lsh144</t>
  </si>
  <si>
    <t>greens_bets</t>
  </si>
  <si>
    <t>js_treinamentos</t>
  </si>
  <si>
    <t>paratytvbr</t>
  </si>
  <si>
    <t>andrecrv7</t>
  </si>
  <si>
    <t>primeiravenda07</t>
  </si>
  <si>
    <t>elosduvale</t>
  </si>
  <si>
    <t>junior82827720</t>
  </si>
  <si>
    <t>willcesarpro</t>
  </si>
  <si>
    <t>jessy_lene</t>
  </si>
  <si>
    <t>sabrina74445433</t>
  </si>
  <si>
    <t>arielyaari44402</t>
  </si>
  <si>
    <t>acelsio</t>
  </si>
  <si>
    <t>oincrivelsite</t>
  </si>
  <si>
    <t>pvendasofc47707</t>
  </si>
  <si>
    <t>gihsleine</t>
  </si>
  <si>
    <t>ben_dicas</t>
  </si>
  <si>
    <t>maraduba</t>
  </si>
  <si>
    <t>mariste2412891</t>
  </si>
  <si>
    <t>portalr7</t>
  </si>
  <si>
    <t>afiliadomax</t>
  </si>
  <si>
    <t>vivi75ofertas</t>
  </si>
  <si>
    <t>bialover1d</t>
  </si>
  <si>
    <t>betexpooficial</t>
  </si>
  <si>
    <t>vivianne2121</t>
  </si>
  <si>
    <t>guilher12740356</t>
  </si>
  <si>
    <t>1emperorhero</t>
  </si>
  <si>
    <t>descentralizapt</t>
  </si>
  <si>
    <t>lourivalmagalh6</t>
  </si>
  <si>
    <t>comunidadealyra</t>
  </si>
  <si>
    <t>ronaldo191920</t>
  </si>
  <si>
    <t>xtudooficiaal</t>
  </si>
  <si>
    <t>domesticasdicas</t>
  </si>
  <si>
    <t>reidosartigos</t>
  </si>
  <si>
    <t>wiskton</t>
  </si>
  <si>
    <t>listdaminacdm</t>
  </si>
  <si>
    <t>eduardahelenad5</t>
  </si>
  <si>
    <t>veravilela04</t>
  </si>
  <si>
    <t>stakemasterr</t>
  </si>
  <si>
    <t>gabsbluez</t>
  </si>
  <si>
    <t>denilso01603502</t>
  </si>
  <si>
    <t>70scars</t>
  </si>
  <si>
    <t>rauniramosyt</t>
  </si>
  <si>
    <t>insightinbound</t>
  </si>
  <si>
    <t>kubeta_cursos</t>
  </si>
  <si>
    <t>realsegviagem</t>
  </si>
  <si>
    <t>lojafelixcat</t>
  </si>
  <si>
    <t>renatoney04</t>
  </si>
  <si>
    <t>hjaloto</t>
  </si>
  <si>
    <t>pontes_adao</t>
  </si>
  <si>
    <t>lopeseconomista</t>
  </si>
  <si>
    <t>yutomas64</t>
  </si>
  <si>
    <t>noitepaladino</t>
  </si>
  <si>
    <t>topviplgbt</t>
  </si>
  <si>
    <t>dodavizao</t>
  </si>
  <si>
    <t>ceufragmentos</t>
  </si>
  <si>
    <t>informa_bc</t>
  </si>
  <si>
    <t>jaquesantosluiz</t>
  </si>
  <si>
    <t>pelearrepiada</t>
  </si>
  <si>
    <t>megapromosdalo</t>
  </si>
  <si>
    <t>fortunetigerbot</t>
  </si>
  <si>
    <t>tipster_gabriel</t>
  </si>
  <si>
    <t>diogo86azevedo</t>
  </si>
  <si>
    <t>digital_online_</t>
  </si>
  <si>
    <t>yunre02</t>
  </si>
  <si>
    <t>fredyherreraag</t>
  </si>
  <si>
    <t>eugully</t>
  </si>
  <si>
    <t>simplesopinions</t>
  </si>
  <si>
    <t>orestesleal1</t>
  </si>
  <si>
    <t>cassiasantosa</t>
  </si>
  <si>
    <t>_l4chimolala</t>
  </si>
  <si>
    <t>flashliteappbr</t>
  </si>
  <si>
    <t>mateusd09524565</t>
  </si>
  <si>
    <t>shyolvr</t>
  </si>
  <si>
    <t>marciogroove</t>
  </si>
  <si>
    <t>dolarizando_</t>
  </si>
  <si>
    <t>fellipepinheiro</t>
  </si>
  <si>
    <t>beicadaskkkkj</t>
  </si>
  <si>
    <t>eulima_eu</t>
  </si>
  <si>
    <t>jovemmilion1</t>
  </si>
  <si>
    <t>prefcatanduva</t>
  </si>
  <si>
    <t>mateada_oficial</t>
  </si>
  <si>
    <t>iludidokkkkk</t>
  </si>
  <si>
    <t>degmellos</t>
  </si>
  <si>
    <t>rloretti</t>
  </si>
  <si>
    <t>kleber_bsbdf</t>
  </si>
  <si>
    <t>juliana72640554</t>
  </si>
  <si>
    <t>eushaman</t>
  </si>
  <si>
    <t>nahildasuprema</t>
  </si>
  <si>
    <t>juliana17293036</t>
  </si>
  <si>
    <t>buzzbytebr</t>
  </si>
  <si>
    <t>thcfreeky</t>
  </si>
  <si>
    <t>sucessostartup</t>
  </si>
  <si>
    <t>bartorei</t>
  </si>
  <si>
    <t>silvatiago87295</t>
  </si>
  <si>
    <t>leticia_pa99972</t>
  </si>
  <si>
    <t>caiiohenriquetv</t>
  </si>
  <si>
    <t>carinagchagas</t>
  </si>
  <si>
    <t>paradisebeache2</t>
  </si>
  <si>
    <t>agathac79501121</t>
  </si>
  <si>
    <t>flanoticiashoje</t>
  </si>
  <si>
    <t>linknacional</t>
  </si>
  <si>
    <t>talentosrizom</t>
  </si>
  <si>
    <t>jeff_barrada</t>
  </si>
  <si>
    <t>marcelo03272356</t>
  </si>
  <si>
    <t>matiasmendes2</t>
  </si>
  <si>
    <t>rafaelg91275867</t>
  </si>
  <si>
    <t>suelenm56533946</t>
  </si>
  <si>
    <t>rei_do_money</t>
  </si>
  <si>
    <t>jhonny_luz</t>
  </si>
  <si>
    <t>agathaleeharper</t>
  </si>
  <si>
    <t>joseguilhermeft</t>
  </si>
  <si>
    <t>carolinabouvie</t>
  </si>
  <si>
    <t>yt_100limits</t>
  </si>
  <si>
    <t>dsb_negocios</t>
  </si>
  <si>
    <t>phygitalasset</t>
  </si>
  <si>
    <t>joamot30</t>
  </si>
  <si>
    <t>vigaraniemanuel</t>
  </si>
  <si>
    <t>rogeriomottam</t>
  </si>
  <si>
    <t>edineia_penido</t>
  </si>
  <si>
    <t>empre_sabedoria</t>
  </si>
  <si>
    <t>adadiz</t>
  </si>
  <si>
    <t>roseane33499832</t>
  </si>
  <si>
    <t>raymarasousa17</t>
  </si>
  <si>
    <t>alissonrodney02</t>
  </si>
  <si>
    <t>mypixbr</t>
  </si>
  <si>
    <t>beatrizvahl</t>
  </si>
  <si>
    <t>shelby_hype_</t>
  </si>
  <si>
    <t>alamin42213</t>
  </si>
  <si>
    <t>val_salmeida</t>
  </si>
  <si>
    <t>folheadosana</t>
  </si>
  <si>
    <t>poulannaguima22</t>
  </si>
  <si>
    <t>official_gtex</t>
  </si>
  <si>
    <t>compras_black</t>
  </si>
  <si>
    <t>seushopnaweb</t>
  </si>
  <si>
    <t>rendaextra_duda</t>
  </si>
  <si>
    <t>cammilatorres91</t>
  </si>
  <si>
    <t>papodemilhao022</t>
  </si>
  <si>
    <t>supermundo5</t>
  </si>
  <si>
    <t>lendasbet</t>
  </si>
  <si>
    <t>jpasabrina</t>
  </si>
  <si>
    <t>laizdocarmosou1</t>
  </si>
  <si>
    <t>cartianuel1725</t>
  </si>
  <si>
    <t>lifegoldroyal</t>
  </si>
  <si>
    <t>jaineddalmeida</t>
  </si>
  <si>
    <t>sowercrypto</t>
  </si>
  <si>
    <t>millye131</t>
  </si>
  <si>
    <t>eggertcamila</t>
  </si>
  <si>
    <t>leftbankbrasil</t>
  </si>
  <si>
    <t>gatinhosinceroz</t>
  </si>
  <si>
    <t>ruyter_poebel</t>
  </si>
  <si>
    <t>eusougiuseppe</t>
  </si>
  <si>
    <t>plimbetparana</t>
  </si>
  <si>
    <t>flynnorfinn</t>
  </si>
  <si>
    <t>workshopdantas</t>
  </si>
  <si>
    <t>jornal_cultura</t>
  </si>
  <si>
    <t>cs_gameplayyt</t>
  </si>
  <si>
    <t>gustavo08303601</t>
  </si>
  <si>
    <t>leandromunizmkt</t>
  </si>
  <si>
    <t>booksirs</t>
  </si>
  <si>
    <t>carlosvicenti7</t>
  </si>
  <si>
    <t>wellingtonc4280</t>
  </si>
  <si>
    <t>dicas_tay</t>
  </si>
  <si>
    <t>dinheiro2023_</t>
  </si>
  <si>
    <t>sofiasth41</t>
  </si>
  <si>
    <t>linomgomes</t>
  </si>
  <si>
    <t>o_mundo_filiado</t>
  </si>
  <si>
    <t>edmilso19739527</t>
  </si>
  <si>
    <t>nascadarkyt</t>
  </si>
  <si>
    <t>pulseplaytv</t>
  </si>
  <si>
    <t>arianad08683588</t>
  </si>
  <si>
    <t>leryvaldor</t>
  </si>
  <si>
    <t>andrjunior57678</t>
  </si>
  <si>
    <t>sandrinnis38247</t>
  </si>
  <si>
    <t>karemdias</t>
  </si>
  <si>
    <t>valdilene_psic</t>
  </si>
  <si>
    <t>amandheihen13</t>
  </si>
  <si>
    <t>cruchseu_</t>
  </si>
  <si>
    <t>tailinemariav</t>
  </si>
  <si>
    <t>gustavod22980</t>
  </si>
  <si>
    <t>pablo_da_empada</t>
  </si>
  <si>
    <t>infinitgo</t>
  </si>
  <si>
    <t>pandapinck</t>
  </si>
  <si>
    <t>valinotejoao</t>
  </si>
  <si>
    <t>eduardo53980987</t>
  </si>
  <si>
    <t>87dieguinho</t>
  </si>
  <si>
    <t>tradespaces1</t>
  </si>
  <si>
    <t>nandascriptos</t>
  </si>
  <si>
    <t>folhageral</t>
  </si>
  <si>
    <t>fazer_aprenda</t>
  </si>
  <si>
    <t>kellycristhinee</t>
  </si>
  <si>
    <t>wendgsilva</t>
  </si>
  <si>
    <t>carlamiccaela</t>
  </si>
  <si>
    <t>ramonbarros</t>
  </si>
  <si>
    <t>afiliadolisboa</t>
  </si>
  <si>
    <t>ysmael_gomesz</t>
  </si>
  <si>
    <t>leormoraess</t>
  </si>
  <si>
    <t>emersonguerrei7</t>
  </si>
  <si>
    <t>lenkelma</t>
  </si>
  <si>
    <t>lena_patty</t>
  </si>
  <si>
    <t>assistindo_vid</t>
  </si>
  <si>
    <t>weberede</t>
  </si>
  <si>
    <t>magazinechennig</t>
  </si>
  <si>
    <t>jaydenmiranda18</t>
  </si>
  <si>
    <t>nperseguido</t>
  </si>
  <si>
    <t>ksouzzs81082</t>
  </si>
  <si>
    <t>mariofehomeoff</t>
  </si>
  <si>
    <t>aprendareceita1</t>
  </si>
  <si>
    <t>a_donnaire</t>
  </si>
  <si>
    <t>urzekeofc</t>
  </si>
  <si>
    <t>ias_homeoffice</t>
  </si>
  <si>
    <t>marcelogagarin</t>
  </si>
  <si>
    <t>amandamorim5</t>
  </si>
  <si>
    <t>starbetsrj</t>
  </si>
  <si>
    <t>sparklythi</t>
  </si>
  <si>
    <t>seuclienteocult</t>
  </si>
  <si>
    <t>carlosrobe50033</t>
  </si>
  <si>
    <t>fabiolaellenmkt</t>
  </si>
  <si>
    <t>slotspagantes_</t>
  </si>
  <si>
    <t>kpkkprasanth</t>
  </si>
  <si>
    <t>anacarolina_nbr</t>
  </si>
  <si>
    <t>bellatraderteam</t>
  </si>
  <si>
    <t>antonellampaiva</t>
  </si>
  <si>
    <t>7aef0ddc85994bd</t>
  </si>
  <si>
    <t>gotasesaude_</t>
  </si>
  <si>
    <t>outliermaster</t>
  </si>
  <si>
    <t>camilagoes18</t>
  </si>
  <si>
    <t>the_nomadship</t>
  </si>
  <si>
    <t>anefern13090671</t>
  </si>
  <si>
    <t>jonaasalmeida</t>
  </si>
  <si>
    <t>aposentandonovo</t>
  </si>
  <si>
    <t>anselmoeduard18</t>
  </si>
  <si>
    <t>argentsbitch</t>
  </si>
  <si>
    <t>lebronff2</t>
  </si>
  <si>
    <t>seu_dinheiro_br</t>
  </si>
  <si>
    <t>diogo_andreia32</t>
  </si>
  <si>
    <t>euclienteoculto</t>
  </si>
  <si>
    <t>maixtv</t>
  </si>
  <si>
    <t>ellenreissa</t>
  </si>
  <si>
    <t>petterrafael</t>
  </si>
  <si>
    <t>missao_renda</t>
  </si>
  <si>
    <t>alexcardosomkt</t>
  </si>
  <si>
    <t>jonclipe</t>
  </si>
  <si>
    <t>thebobsworldd</t>
  </si>
  <si>
    <t>crf_miguell_</t>
  </si>
  <si>
    <t>arasolution</t>
  </si>
  <si>
    <t>rei_slot</t>
  </si>
  <si>
    <t>leiaflj</t>
  </si>
  <si>
    <t>loree_cassia</t>
  </si>
  <si>
    <t>klebbmultiverso</t>
  </si>
  <si>
    <t>maiarasanttoos</t>
  </si>
  <si>
    <t>letciasilva68</t>
  </si>
  <si>
    <t>elioliv39989039</t>
  </si>
  <si>
    <t>fernand87494012</t>
  </si>
  <si>
    <t>negocioemvendas</t>
  </si>
  <si>
    <t>achadotudopouco</t>
  </si>
  <si>
    <t>focablaze</t>
  </si>
  <si>
    <t>schwassssss</t>
  </si>
  <si>
    <t>games_light2004</t>
  </si>
  <si>
    <t>havertzkayan</t>
  </si>
  <si>
    <t>hisndkidj</t>
  </si>
  <si>
    <t>admsupremo01</t>
  </si>
  <si>
    <t>exnessportugues</t>
  </si>
  <si>
    <t>ganharcerto</t>
  </si>
  <si>
    <t>biailluminati</t>
  </si>
  <si>
    <t>jonathanprobr</t>
  </si>
  <si>
    <t>paulansbeauty</t>
  </si>
  <si>
    <t>raisaingred</t>
  </si>
  <si>
    <t>oastrowi</t>
  </si>
  <si>
    <t>deivid01dh</t>
  </si>
  <si>
    <t>designpet1</t>
  </si>
  <si>
    <t>dominvestidor</t>
  </si>
  <si>
    <t>rebeliaocryptos</t>
  </si>
  <si>
    <t>se_empreendedor</t>
  </si>
  <si>
    <t>diariodarendaex</t>
  </si>
  <si>
    <t>mepoupenaweb</t>
  </si>
  <si>
    <t>ederlorenzo</t>
  </si>
  <si>
    <t>ellegrazi_elle</t>
  </si>
  <si>
    <t>empreendedor1sm</t>
  </si>
  <si>
    <t>edu_oficialmj</t>
  </si>
  <si>
    <t>futuromm</t>
  </si>
  <si>
    <t>marmitafit23</t>
  </si>
  <si>
    <t>alyneaguiar5</t>
  </si>
  <si>
    <t>leoamachado</t>
  </si>
  <si>
    <t>6de6_palpites</t>
  </si>
  <si>
    <t>dekowins</t>
  </si>
  <si>
    <t>luisfcs</t>
  </si>
  <si>
    <t>vagasdesalvador</t>
  </si>
  <si>
    <t>santoscancio</t>
  </si>
  <si>
    <t>alx2002</t>
  </si>
  <si>
    <t>showmetech</t>
  </si>
  <si>
    <t>qzapbr</t>
  </si>
  <si>
    <t>luamedeiross</t>
  </si>
  <si>
    <t>lucarere1</t>
  </si>
  <si>
    <t>alessan87651124</t>
  </si>
  <si>
    <t>paullosergioz7</t>
  </si>
  <si>
    <t>joorico534650</t>
  </si>
  <si>
    <t>alanis_matos10</t>
  </si>
  <si>
    <t>bisolitary</t>
  </si>
  <si>
    <t>faby59240435</t>
  </si>
  <si>
    <t>thiagofeli12411</t>
  </si>
  <si>
    <t>mulhermmilhoes</t>
  </si>
  <si>
    <t>juliaalvess0</t>
  </si>
  <si>
    <t>monalisabach</t>
  </si>
  <si>
    <t>jogajuntobet</t>
  </si>
  <si>
    <t>kingofplrs</t>
  </si>
  <si>
    <t>meindica87</t>
  </si>
  <si>
    <t>milhasnews</t>
  </si>
  <si>
    <t>raphael_tesla</t>
  </si>
  <si>
    <t>realmidiacenter</t>
  </si>
  <si>
    <t>gcmreis</t>
  </si>
  <si>
    <t>willian_evangel</t>
  </si>
  <si>
    <t>misticozen</t>
  </si>
  <si>
    <t>inkproducoes</t>
  </si>
  <si>
    <t>btclucrox</t>
  </si>
  <si>
    <t>cortesreiratao</t>
  </si>
  <si>
    <t>doceslucrativos</t>
  </si>
  <si>
    <t>nr_novocaminho</t>
  </si>
  <si>
    <t>oronhaleticia</t>
  </si>
  <si>
    <t>nfts_dp</t>
  </si>
  <si>
    <t>brunoberanko</t>
  </si>
  <si>
    <t>sandras50213490</t>
  </si>
  <si>
    <t>lialollirbd</t>
  </si>
  <si>
    <t>guig_cbf</t>
  </si>
  <si>
    <t>franmarcolino7</t>
  </si>
  <si>
    <t>eddyesteinford</t>
  </si>
  <si>
    <t>aleffaugustov</t>
  </si>
  <si>
    <t>nilsongarciar</t>
  </si>
  <si>
    <t>vasosplantas</t>
  </si>
  <si>
    <t>gcf_brasil</t>
  </si>
  <si>
    <t>semchefe_</t>
  </si>
  <si>
    <t>vihcaldas</t>
  </si>
  <si>
    <t>itaboraisantos</t>
  </si>
  <si>
    <t>joao_gorreis</t>
  </si>
  <si>
    <t>meryen1234</t>
  </si>
  <si>
    <t>maholliver13</t>
  </si>
  <si>
    <t>vendas_onup</t>
  </si>
  <si>
    <t>gessica72692130</t>
  </si>
  <si>
    <t>isabelc13652223</t>
  </si>
  <si>
    <t>brbabeto77</t>
  </si>
  <si>
    <t>vinnyvads</t>
  </si>
  <si>
    <t>premiosganhe1</t>
  </si>
  <si>
    <t>afiliadoboss</t>
  </si>
  <si>
    <t>israelpinveste</t>
  </si>
  <si>
    <t>falaipesquisas</t>
  </si>
  <si>
    <t>marcia23403</t>
  </si>
  <si>
    <t>ildacristina8</t>
  </si>
  <si>
    <t>concursos_publ</t>
  </si>
  <si>
    <t>samuk889</t>
  </si>
  <si>
    <t>rvazstudio</t>
  </si>
  <si>
    <t>antoniocsa10761</t>
  </si>
  <si>
    <t>informa_rio</t>
  </si>
  <si>
    <t>jefinhoboratti</t>
  </si>
  <si>
    <t>loja_dinka</t>
  </si>
  <si>
    <t>aviatorautomate</t>
  </si>
  <si>
    <t>imetway_</t>
  </si>
  <si>
    <t>thaina_rocha21</t>
  </si>
  <si>
    <t>ederlorenzobr</t>
  </si>
  <si>
    <t>luisalvescoach</t>
  </si>
  <si>
    <t>milintops</t>
  </si>
  <si>
    <t>leoprioficial</t>
  </si>
  <si>
    <t>riicknho01</t>
  </si>
  <si>
    <t>carvalho_rafael</t>
  </si>
  <si>
    <t>cvendas011</t>
  </si>
  <si>
    <t>qqcleber</t>
  </si>
  <si>
    <t>joaoeva11725348</t>
  </si>
  <si>
    <t>mentemilionar23</t>
  </si>
  <si>
    <t>ric_darkland</t>
  </si>
  <si>
    <t>sandriellysan20</t>
  </si>
  <si>
    <t>miltonsantana21</t>
  </si>
  <si>
    <t>alessandro39941</t>
  </si>
  <si>
    <t>bebelli_chris</t>
  </si>
  <si>
    <t>emooff_</t>
  </si>
  <si>
    <t>apazvidas21</t>
  </si>
  <si>
    <t>delanjos75</t>
  </si>
  <si>
    <t>plantao10</t>
  </si>
  <si>
    <t>afun_to_earn</t>
  </si>
  <si>
    <t>thassou44121865</t>
  </si>
  <si>
    <t>shopmultverso</t>
  </si>
  <si>
    <t>gabrielviolaa</t>
  </si>
  <si>
    <t>mamaedopablo</t>
  </si>
  <si>
    <t>marcinho_029</t>
  </si>
  <si>
    <t>essencias_ss</t>
  </si>
  <si>
    <t>diaaass_</t>
  </si>
  <si>
    <t>vitordblack092</t>
  </si>
  <si>
    <t>ci_da_gow</t>
  </si>
  <si>
    <t>ozkar_ulloa</t>
  </si>
  <si>
    <t>digitalblack_</t>
  </si>
  <si>
    <t>wgslots</t>
  </si>
  <si>
    <t>snatan1928</t>
  </si>
  <si>
    <t>zapplus</t>
  </si>
  <si>
    <t>anarcocomunist6</t>
  </si>
  <si>
    <t>politicabr5</t>
  </si>
  <si>
    <t>douradogamer2</t>
  </si>
  <si>
    <t>pantera_tips365</t>
  </si>
  <si>
    <t>abraaocbscripto</t>
  </si>
  <si>
    <t>renatarabachim</t>
  </si>
  <si>
    <t>felinodelia</t>
  </si>
  <si>
    <t>ayeskacarriao1</t>
  </si>
  <si>
    <t>sales_marketi</t>
  </si>
  <si>
    <t>joaoclashroyal2</t>
  </si>
  <si>
    <t>top_achadinhos_</t>
  </si>
  <si>
    <t>abner_ramos01</t>
  </si>
  <si>
    <t>prin_milionaria</t>
  </si>
  <si>
    <t>jogodotigre</t>
  </si>
  <si>
    <t>santiagorosant</t>
  </si>
  <si>
    <t>rickyszin</t>
  </si>
  <si>
    <t>derek2870</t>
  </si>
  <si>
    <t>michaelsan86890</t>
  </si>
  <si>
    <t>fravenrike</t>
  </si>
  <si>
    <t>paulinorsantos</t>
  </si>
  <si>
    <t>danielmeneses_</t>
  </si>
  <si>
    <t>s_g_s5</t>
  </si>
  <si>
    <t>adriano7santtos</t>
  </si>
  <si>
    <t>35a15c3879a9482</t>
  </si>
  <si>
    <t>joaoinvictor</t>
  </si>
  <si>
    <t>tudoon22</t>
  </si>
  <si>
    <t>kakaa1323</t>
  </si>
  <si>
    <t>95_jnd</t>
  </si>
  <si>
    <t>sabioempreende1</t>
  </si>
  <si>
    <t>claudiocgalvao</t>
  </si>
  <si>
    <t>chatguruoficial</t>
  </si>
  <si>
    <t>dasortebet</t>
  </si>
  <si>
    <t>indieplay339201</t>
  </si>
  <si>
    <t>catanduvananet</t>
  </si>
  <si>
    <t>madeirajunior20</t>
  </si>
  <si>
    <t>emagrec31840511</t>
  </si>
  <si>
    <t>paulacampos09</t>
  </si>
  <si>
    <t>slopesedgar</t>
  </si>
  <si>
    <t>redaviqui</t>
  </si>
  <si>
    <t>ellenro72178468</t>
  </si>
  <si>
    <t>blogfinplus</t>
  </si>
  <si>
    <t>juu_rolim</t>
  </si>
  <si>
    <t>predo08</t>
  </si>
  <si>
    <t>the_souza80</t>
  </si>
  <si>
    <t>_patrickv7</t>
  </si>
  <si>
    <t>viktorvenddetta</t>
  </si>
  <si>
    <t>eimigra</t>
  </si>
  <si>
    <t>cludiamarq69376</t>
  </si>
  <si>
    <t>rodrigodorje</t>
  </si>
  <si>
    <t>gabinetedarma</t>
  </si>
  <si>
    <t>trapos_chi</t>
  </si>
  <si>
    <t>ilariasouza</t>
  </si>
  <si>
    <t>agenciamoodel</t>
  </si>
  <si>
    <t>danielgcn23</t>
  </si>
  <si>
    <t>_knizy</t>
  </si>
  <si>
    <t>anju25pal</t>
  </si>
  <si>
    <t>ocuolimite3</t>
  </si>
  <si>
    <t>elisnunes1</t>
  </si>
  <si>
    <t>danielgarciabs_</t>
  </si>
  <si>
    <t>diagnosecattus</t>
  </si>
  <si>
    <t>brubsyet</t>
  </si>
  <si>
    <t>rayfariaa</t>
  </si>
  <si>
    <t>oincrivelblog</t>
  </si>
  <si>
    <t>n4kim_tae</t>
  </si>
  <si>
    <t>simoneafiliada</t>
  </si>
  <si>
    <t>rayanneadran</t>
  </si>
  <si>
    <t>juancarlostips</t>
  </si>
  <si>
    <t>emanuelcorban_</t>
  </si>
  <si>
    <t>vagner_caldas</t>
  </si>
  <si>
    <t>m4rv1_</t>
  </si>
  <si>
    <t>roletadozeq</t>
  </si>
  <si>
    <t>rafaelamorimofc</t>
  </si>
  <si>
    <t>caroljsjsantos</t>
  </si>
  <si>
    <t>incriptomoedas</t>
  </si>
  <si>
    <t>oelberdomingos</t>
  </si>
  <si>
    <t>hailsonmkt37825</t>
  </si>
  <si>
    <t>dielgo1</t>
  </si>
  <si>
    <t>biomedestetta</t>
  </si>
  <si>
    <t>thiagorh2</t>
  </si>
  <si>
    <t>peekedoficial</t>
  </si>
  <si>
    <t>maayaa665629</t>
  </si>
  <si>
    <t>silashenrique23</t>
  </si>
  <si>
    <t>info_joinville</t>
  </si>
  <si>
    <t>top_dmais75</t>
  </si>
  <si>
    <t>luisbumba5</t>
  </si>
  <si>
    <t>gutgot</t>
  </si>
  <si>
    <t>solu_credito</t>
  </si>
  <si>
    <t>newsxablau</t>
  </si>
  <si>
    <t>metaversoinfo</t>
  </si>
  <si>
    <t>hhabilidosos</t>
  </si>
  <si>
    <t>geisa046</t>
  </si>
  <si>
    <t>laudelinoperei2</t>
  </si>
  <si>
    <t>rendaextradigit</t>
  </si>
  <si>
    <t>brenosantz</t>
  </si>
  <si>
    <t>ricardojalesbh</t>
  </si>
  <si>
    <t>erickssonfer</t>
  </si>
  <si>
    <t>souapenasv</t>
  </si>
  <si>
    <t>rodrigo_itaya</t>
  </si>
  <si>
    <t>promodaduda</t>
  </si>
  <si>
    <t>tidomundo</t>
  </si>
  <si>
    <t>cozinhandoemdd</t>
  </si>
  <si>
    <t>devmichelly</t>
  </si>
  <si>
    <t>lunaticasz51690</t>
  </si>
  <si>
    <t>juliocesar12shp</t>
  </si>
  <si>
    <t>adriano0406038</t>
  </si>
  <si>
    <t>cartoesmilhas</t>
  </si>
  <si>
    <t>clubefii</t>
  </si>
  <si>
    <t>souplatina</t>
  </si>
  <si>
    <t>r2premiumnegoci</t>
  </si>
  <si>
    <t>forumdefesa</t>
  </si>
  <si>
    <t>0neightwo</t>
  </si>
  <si>
    <t>famainfoco</t>
  </si>
  <si>
    <t>demetriusbrasil</t>
  </si>
  <si>
    <t>zeafonsosamurai</t>
  </si>
  <si>
    <t>zahrah_br</t>
  </si>
  <si>
    <t>bruno_n23</t>
  </si>
  <si>
    <t>afbv2020</t>
  </si>
  <si>
    <t>ofertazinhas</t>
  </si>
  <si>
    <t>elainebelicia</t>
  </si>
  <si>
    <t>magridtonini</t>
  </si>
  <si>
    <t>gigdoll24</t>
  </si>
  <si>
    <t>lucaspereira_ef</t>
  </si>
  <si>
    <t>fsouza2545</t>
  </si>
  <si>
    <t>sjcley</t>
  </si>
  <si>
    <t>maestriariqueza</t>
  </si>
  <si>
    <t>alexsandracms</t>
  </si>
  <si>
    <t>ia_double_pro</t>
  </si>
  <si>
    <t>yvedeoliveira</t>
  </si>
  <si>
    <t>ocapitaldigital</t>
  </si>
  <si>
    <t>extrafluxo</t>
  </si>
  <si>
    <t>home_office26</t>
  </si>
  <si>
    <t>correiodeminas</t>
  </si>
  <si>
    <t>matheuspradode4</t>
  </si>
  <si>
    <t>lipeinveste</t>
  </si>
  <si>
    <t>eddie_poker</t>
  </si>
  <si>
    <t>discoverrecipes</t>
  </si>
  <si>
    <t>ricardofabrizio</t>
  </si>
  <si>
    <t>matheus55233118</t>
  </si>
  <si>
    <t>bunnieshole</t>
  </si>
  <si>
    <t>lucasmkd701</t>
  </si>
  <si>
    <t>b1_bet</t>
  </si>
  <si>
    <t>ex_terior</t>
  </si>
  <si>
    <t>tribunapr</t>
  </si>
  <si>
    <t>fpribeiro8383</t>
  </si>
  <si>
    <t>edsonbatista205</t>
  </si>
  <si>
    <t>xcxalessandra</t>
  </si>
  <si>
    <t>samuelzaim</t>
  </si>
  <si>
    <t>juliana46402600</t>
  </si>
  <si>
    <t>bbspremios</t>
  </si>
  <si>
    <t>ahawblocfarm4</t>
  </si>
  <si>
    <t>livinhoo_01</t>
  </si>
  <si>
    <t>naildesucesso</t>
  </si>
  <si>
    <t>nogueiradioxote</t>
  </si>
  <si>
    <t>aline_avon</t>
  </si>
  <si>
    <t>onlinedealmaker</t>
  </si>
  <si>
    <t>rafael97393</t>
  </si>
  <si>
    <t>geracaogm</t>
  </si>
  <si>
    <t>campossecrett</t>
  </si>
  <si>
    <t>jittudesign01</t>
  </si>
  <si>
    <t>murilo_business</t>
  </si>
  <si>
    <t>wsleyslva</t>
  </si>
  <si>
    <t>eudrpimenta</t>
  </si>
  <si>
    <t>pense_rico</t>
  </si>
  <si>
    <t>ogabreu_</t>
  </si>
  <si>
    <t>wendell56720540</t>
  </si>
  <si>
    <t>milionaria_br</t>
  </si>
  <si>
    <t>cortescomestilo</t>
  </si>
  <si>
    <t>paulasouza48562</t>
  </si>
  <si>
    <t>coreanasfrases_</t>
  </si>
  <si>
    <t>cempreende</t>
  </si>
  <si>
    <t>sobrancelhas_id</t>
  </si>
  <si>
    <t>eu_danieleanile</t>
  </si>
  <si>
    <t>ardennessi93834</t>
  </si>
  <si>
    <t>telegrupos</t>
  </si>
  <si>
    <t>olhargreen</t>
  </si>
  <si>
    <t>canal7ag</t>
  </si>
  <si>
    <t>jfugice</t>
  </si>
  <si>
    <t>tamiscosta_</t>
  </si>
  <si>
    <t>tchoyasilva1</t>
  </si>
  <si>
    <t>slotsdazuzu</t>
  </si>
  <si>
    <t>loohcarolline</t>
  </si>
  <si>
    <t>jobsonpacheco</t>
  </si>
  <si>
    <t>renatamontezz</t>
  </si>
  <si>
    <t>prateleirao</t>
  </si>
  <si>
    <t>patriciafini</t>
  </si>
  <si>
    <t>engdaniloarruda</t>
  </si>
  <si>
    <t>mtalham2019</t>
  </si>
  <si>
    <t>trajano85</t>
  </si>
  <si>
    <t>produtosdivulg2</t>
  </si>
  <si>
    <t>fdcabral14</t>
  </si>
  <si>
    <t>sabrina63789572</t>
  </si>
  <si>
    <t>imdasmilhas</t>
  </si>
  <si>
    <t>glauvendramini</t>
  </si>
  <si>
    <t>dolarbusinesia</t>
  </si>
  <si>
    <t>p23matheus</t>
  </si>
  <si>
    <t>tamires89333921</t>
  </si>
  <si>
    <t>patriciacunha70</t>
  </si>
  <si>
    <t>lelouch_sincero</t>
  </si>
  <si>
    <t>kapituka</t>
  </si>
  <si>
    <t>marmatstore</t>
  </si>
  <si>
    <t>sandrinnis19082</t>
  </si>
  <si>
    <t>reviewautocon</t>
  </si>
  <si>
    <t>atacadodes31049</t>
  </si>
  <si>
    <t>juninhobraguim</t>
  </si>
  <si>
    <t>diegoskda</t>
  </si>
  <si>
    <t>flavmartiins</t>
  </si>
  <si>
    <t>tbccrypto</t>
  </si>
  <si>
    <t>shaderman_</t>
  </si>
  <si>
    <t>taniacsilvaa07</t>
  </si>
  <si>
    <t>migxs</t>
  </si>
  <si>
    <t>folhacondominio</t>
  </si>
  <si>
    <t>marciapapf</t>
  </si>
  <si>
    <t>bladedaquebrada</t>
  </si>
  <si>
    <t>cortesmillion</t>
  </si>
  <si>
    <t>danicl81776310</t>
  </si>
  <si>
    <t>badjuh_</t>
  </si>
  <si>
    <t>thaiacosveganos</t>
  </si>
  <si>
    <t>kelitamuniz</t>
  </si>
  <si>
    <t>tiojuniorgames1</t>
  </si>
  <si>
    <t>rendaextra_a</t>
  </si>
  <si>
    <t>lineleals76936</t>
  </si>
  <si>
    <t>suporteebook</t>
  </si>
  <si>
    <t>cabanadesalem</t>
  </si>
  <si>
    <t>dicasdeslots</t>
  </si>
  <si>
    <t>giomendes628</t>
  </si>
  <si>
    <t>leobevilaqua10</t>
  </si>
  <si>
    <t>marcelofayh</t>
  </si>
  <si>
    <t>gamenft18</t>
  </si>
  <si>
    <t>airton19711</t>
  </si>
  <si>
    <t>jonthebestt</t>
  </si>
  <si>
    <t>homeprofissao</t>
  </si>
  <si>
    <t>aprendaavencer_</t>
  </si>
  <si>
    <t>marye_sena</t>
  </si>
  <si>
    <t>vivalocal</t>
  </si>
  <si>
    <t>grm88765974grm</t>
  </si>
  <si>
    <t>ghenifer1</t>
  </si>
  <si>
    <t>andrluiznunes14</t>
  </si>
  <si>
    <t>raissaalves0987</t>
  </si>
  <si>
    <t>meusfii</t>
  </si>
  <si>
    <t>ocarapuca</t>
  </si>
  <si>
    <t>tudonodigital23</t>
  </si>
  <si>
    <t>joacytrajano</t>
  </si>
  <si>
    <t>criptoicobr</t>
  </si>
  <si>
    <t>receitas3145191</t>
  </si>
  <si>
    <t>robert52770</t>
  </si>
  <si>
    <t>elivansantos_18</t>
  </si>
  <si>
    <t>gabisjesse</t>
  </si>
  <si>
    <t>iasdmedinheiro</t>
  </si>
  <si>
    <t>duarteafo</t>
  </si>
  <si>
    <t>paulladaudt5</t>
  </si>
  <si>
    <t>taroguiando</t>
  </si>
  <si>
    <t>mah_munis79513</t>
  </si>
  <si>
    <t>daycosta31</t>
  </si>
  <si>
    <t>peidarnamao</t>
  </si>
  <si>
    <t>otimoassim</t>
  </si>
  <si>
    <t>mundogebe</t>
  </si>
  <si>
    <t>amiljoelson</t>
  </si>
  <si>
    <t>expertdigitalms</t>
  </si>
  <si>
    <t>fabiooliveira18</t>
  </si>
  <si>
    <t>aline_ta_on</t>
  </si>
  <si>
    <t>viniciusgpro</t>
  </si>
  <si>
    <t>jonpadilha</t>
  </si>
  <si>
    <t>mi32395</t>
  </si>
  <si>
    <t>pfeufferalpha7</t>
  </si>
  <si>
    <t>harujiggly</t>
  </si>
  <si>
    <t>brun0__0</t>
  </si>
  <si>
    <t>amorim_divino</t>
  </si>
  <si>
    <t>tainara04763621</t>
  </si>
  <si>
    <t>dicadehoje7</t>
  </si>
  <si>
    <t>si_luna_</t>
  </si>
  <si>
    <t>arthurceo</t>
  </si>
  <si>
    <t>aliuwayu</t>
  </si>
  <si>
    <t>filipeveiga1992</t>
  </si>
  <si>
    <t>divulgabasicos</t>
  </si>
  <si>
    <t>michaelgodoy</t>
  </si>
  <si>
    <t>air_rocha</t>
  </si>
  <si>
    <t>zanettijeff</t>
  </si>
  <si>
    <t>binx_0101</t>
  </si>
  <si>
    <t>sendascontato</t>
  </si>
  <si>
    <t>gunscenter</t>
  </si>
  <si>
    <t>ana_rica2</t>
  </si>
  <si>
    <t>henriquer2020</t>
  </si>
  <si>
    <t>marcosmano63653</t>
  </si>
  <si>
    <t>mariana01790550</t>
  </si>
  <si>
    <t>leticialeite023</t>
  </si>
  <si>
    <t>eliasisi</t>
  </si>
  <si>
    <t>murilodahmer</t>
  </si>
  <si>
    <t>cgo_cursos</t>
  </si>
  <si>
    <t>50niggazsergio</t>
  </si>
  <si>
    <t>atilalemos10</t>
  </si>
  <si>
    <t>joerdson</t>
  </si>
  <si>
    <t>gustavoo_eu</t>
  </si>
  <si>
    <t>tubeyoutrends</t>
  </si>
  <si>
    <t>brunova56701023</t>
  </si>
  <si>
    <t>inimigodonft5</t>
  </si>
  <si>
    <t>sanches92512</t>
  </si>
  <si>
    <t>bytresloucado</t>
  </si>
  <si>
    <t>alanvictormato1</t>
  </si>
  <si>
    <t>henriquebenede3</t>
  </si>
  <si>
    <t>newsshd</t>
  </si>
  <si>
    <t>afalcao93</t>
  </si>
  <si>
    <t>jardelanjos75</t>
  </si>
  <si>
    <t>anonima_asz</t>
  </si>
  <si>
    <t>minumenergia</t>
  </si>
  <si>
    <t>notproudm</t>
  </si>
  <si>
    <t>marcosmentoria</t>
  </si>
  <si>
    <t>donuts4brazil</t>
  </si>
  <si>
    <t>saberdigitall</t>
  </si>
  <si>
    <t>talagadabruta</t>
  </si>
  <si>
    <t>betrebels_bra</t>
  </si>
  <si>
    <t>graca_duarte_</t>
  </si>
  <si>
    <t>andersonpmt</t>
  </si>
  <si>
    <t>ratinhamilgrau</t>
  </si>
  <si>
    <t>jtr0nline</t>
  </si>
  <si>
    <t>anabeatrizfoll8</t>
  </si>
  <si>
    <t>bisbatsantfeliu</t>
  </si>
  <si>
    <t>fs_karoliny</t>
  </si>
  <si>
    <t>fabim_felix</t>
  </si>
  <si>
    <t>cleonilsonofc</t>
  </si>
  <si>
    <t>cosmi0c</t>
  </si>
  <si>
    <t>clarice_1122</t>
  </si>
  <si>
    <t>clicksh11623271</t>
  </si>
  <si>
    <t>renan_11fla</t>
  </si>
  <si>
    <t>saul_invest</t>
  </si>
  <si>
    <t>plrs_sora</t>
  </si>
  <si>
    <t>carolin86516164</t>
  </si>
  <si>
    <t>tijiomo</t>
  </si>
  <si>
    <t>meguilhermem</t>
  </si>
  <si>
    <t>cryptobotsniper</t>
  </si>
  <si>
    <t>apenasdanmendes</t>
  </si>
  <si>
    <t>decorando_ld</t>
  </si>
  <si>
    <t>jovememprendedo</t>
  </si>
  <si>
    <t>camaradaeduh</t>
  </si>
  <si>
    <t>tamylima89</t>
  </si>
  <si>
    <t>rosana_alfaro</t>
  </si>
  <si>
    <t>xscavuzzi</t>
  </si>
  <si>
    <t>mentoriajurosa</t>
  </si>
  <si>
    <t>iniccolaz</t>
  </si>
  <si>
    <t>portalimoveisij</t>
  </si>
  <si>
    <t>livrodigital1</t>
  </si>
  <si>
    <t>marcos_s_goes</t>
  </si>
  <si>
    <t>cleitonfinancas</t>
  </si>
  <si>
    <t>wellington271</t>
  </si>
  <si>
    <t>fortunewolf88</t>
  </si>
  <si>
    <t>mesadinhaextra</t>
  </si>
  <si>
    <t>rivelyfuchs</t>
  </si>
  <si>
    <t>kash777official</t>
  </si>
  <si>
    <t>financas</t>
  </si>
  <si>
    <t>sistemafaemg</t>
  </si>
  <si>
    <t>naterciamanuel1</t>
  </si>
  <si>
    <t>ecoengenheiro</t>
  </si>
  <si>
    <t>vitorsantosvag1</t>
  </si>
  <si>
    <t>luisper26600465</t>
  </si>
  <si>
    <t>caxavil</t>
  </si>
  <si>
    <t>guillergs007</t>
  </si>
  <si>
    <t>braip_afil73309</t>
  </si>
  <si>
    <t>comentandotret1</t>
  </si>
  <si>
    <t>bitprofit2</t>
  </si>
  <si>
    <t>kbcaxxx</t>
  </si>
  <si>
    <t>limahanelio</t>
  </si>
  <si>
    <t>alexselhorst</t>
  </si>
  <si>
    <t>adriana44006527</t>
  </si>
  <si>
    <t>taufagundes</t>
  </si>
  <si>
    <t>marirecrutarora</t>
  </si>
  <si>
    <t>dennerramo86286</t>
  </si>
  <si>
    <t>karra_opire</t>
  </si>
  <si>
    <t>janaynna_js</t>
  </si>
  <si>
    <t>raquelkayllanny</t>
  </si>
  <si>
    <t>lucastrndd_</t>
  </si>
  <si>
    <t>nataniellemelo</t>
  </si>
  <si>
    <t>rcelcoin</t>
  </si>
  <si>
    <t>victorcartie</t>
  </si>
  <si>
    <t>achadinhosdaall</t>
  </si>
  <si>
    <t>recrutatalento2</t>
  </si>
  <si>
    <t>abzimports</t>
  </si>
  <si>
    <t>weverton202</t>
  </si>
  <si>
    <t>maviipereiira</t>
  </si>
  <si>
    <t>techlife_inc</t>
  </si>
  <si>
    <t>kellyzinhanasci</t>
  </si>
  <si>
    <t>paulinhasi39902</t>
  </si>
  <si>
    <t>javiunej</t>
  </si>
  <si>
    <t>rafael__costa__</t>
  </si>
  <si>
    <t>jupaimrohers</t>
  </si>
  <si>
    <t>online24horass</t>
  </si>
  <si>
    <t>mah4ever</t>
  </si>
  <si>
    <t>julioce09076006</t>
  </si>
  <si>
    <t>taniapaula_</t>
  </si>
  <si>
    <t>bianobk1bianobk</t>
  </si>
  <si>
    <t>jamilyec</t>
  </si>
  <si>
    <t>csdinheiro</t>
  </si>
  <si>
    <t>caesgatos</t>
  </si>
  <si>
    <t>marcusv12385740</t>
  </si>
  <si>
    <t>edutiipster</t>
  </si>
  <si>
    <t>mthsoa</t>
  </si>
  <si>
    <t>naybh</t>
  </si>
  <si>
    <t>simpatiasgaucha</t>
  </si>
  <si>
    <t>negocproflucrat</t>
  </si>
  <si>
    <t>karladvogados</t>
  </si>
  <si>
    <t>estantevirtuall</t>
  </si>
  <si>
    <t>qgdatecnologia2</t>
  </si>
  <si>
    <t>ozieljonatas</t>
  </si>
  <si>
    <t>linzp09</t>
  </si>
  <si>
    <t>programapanico</t>
  </si>
  <si>
    <t>panico_jp</t>
  </si>
  <si>
    <t>chatgpt_brasil</t>
  </si>
  <si>
    <t>midimashup</t>
  </si>
  <si>
    <t>stive_oficial</t>
  </si>
  <si>
    <t>oespacodigital</t>
  </si>
  <si>
    <t>ofertasdomes</t>
  </si>
  <si>
    <t>willamysousa15</t>
  </si>
  <si>
    <t>emoneybrasil</t>
  </si>
  <si>
    <t>offer36836</t>
  </si>
  <si>
    <t>vida_low_carb</t>
  </si>
  <si>
    <t>dangerkillerxd</t>
  </si>
  <si>
    <t>camgirllivu</t>
  </si>
  <si>
    <t>bbarbaraasantos</t>
  </si>
  <si>
    <t>pinkfirebr</t>
  </si>
  <si>
    <t>acerto_negocie</t>
  </si>
  <si>
    <t>eugenionunes</t>
  </si>
  <si>
    <t>limpetasa</t>
  </si>
  <si>
    <t>deixaqueeuteco1</t>
  </si>
  <si>
    <t>financeone_br</t>
  </si>
  <si>
    <t>foconasapostas</t>
  </si>
  <si>
    <t>jaquecostareal</t>
  </si>
  <si>
    <t>lealbeatrizz</t>
  </si>
  <si>
    <t>felipeneto</t>
  </si>
  <si>
    <t>youtube</t>
  </si>
  <si>
    <t>naanda0li</t>
  </si>
  <si>
    <t>maribissx</t>
  </si>
  <si>
    <t>rjrealidadedorj</t>
  </si>
  <si>
    <t>comedyzin</t>
  </si>
  <si>
    <t>hotmart</t>
  </si>
  <si>
    <t>explicacritica</t>
  </si>
  <si>
    <t>joven</t>
  </si>
  <si>
    <t>mvmc__</t>
  </si>
  <si>
    <t>freecashcom</t>
  </si>
  <si>
    <t>kwaibrasil</t>
  </si>
  <si>
    <t>damadeferroofic</t>
  </si>
  <si>
    <t>lulaoficial</t>
  </si>
  <si>
    <t>roxmo</t>
  </si>
  <si>
    <t>rmotta2</t>
  </si>
  <si>
    <t>mariesteine2022</t>
  </si>
  <si>
    <t>adelaidededs</t>
  </si>
  <si>
    <t>ficoudegraca</t>
  </si>
  <si>
    <t>edraposo_</t>
  </si>
  <si>
    <t>lilvinicinho</t>
  </si>
  <si>
    <t>paparazzorn</t>
  </si>
  <si>
    <t>cascagrossareal</t>
  </si>
  <si>
    <t>robosvip</t>
  </si>
  <si>
    <t>jonvlog</t>
  </si>
  <si>
    <t>magalzaoshow</t>
  </si>
  <si>
    <t>metropoles</t>
  </si>
  <si>
    <t>endozinho</t>
  </si>
  <si>
    <t>choquei</t>
  </si>
  <si>
    <t>startupdareal</t>
  </si>
  <si>
    <t>spreaker</t>
  </si>
  <si>
    <t>legadaodamassa</t>
  </si>
  <si>
    <t>tio_gin</t>
  </si>
  <si>
    <t>gpbbeloti</t>
  </si>
  <si>
    <t>gatasovietica</t>
  </si>
  <si>
    <t>felipetitto</t>
  </si>
  <si>
    <t>broxadasinistra</t>
  </si>
  <si>
    <t>blazecombr</t>
  </si>
  <si>
    <t>crimesreais</t>
  </si>
  <si>
    <t>storyhorror_ak</t>
  </si>
  <si>
    <t>mercadopago</t>
  </si>
  <si>
    <t>mercadolivre</t>
  </si>
  <si>
    <t>gamblecitybrl</t>
  </si>
  <si>
    <t>ibgecomunica</t>
  </si>
  <si>
    <t>Replies to</t>
  </si>
  <si>
    <t>Mentions</t>
  </si>
  <si>
    <t>Quote</t>
  </si>
  <si>
    <t>Retweet</t>
  </si>
  <si>
    <t>MentionsInReplyTo</t>
  </si>
  <si>
    <t>#rendaextra #earthquake
#Maroc #NCT_NATION_ToTheWorld_OSAKA
https://t.co/77ydSGXr3D</t>
  </si>
  <si>
    <t>Na Hinode com um simples cadastro vc tem acesso a um mundo de possibilidades, podendo alcançar apenas com a venda direta ganhos líquidos de 3 a 4 mil reais.
MANDA UM DIRECT E SAIBA COMO FAZER PARTE DO NOSSO TIME. ABRAÇOS!
#empreendedorismo 
#rendaextra 
#oportunidadedenegocio https://t.co/uwloZURt66</t>
  </si>
  <si>
    <t>#rendaextra 
#comecehoje
#comeceporvoce
#ondecompro
#escondido
#trabalheemcasa
#dinheiro 
https://t.co/Dz3a9Uh4Ju https://t.co/pzNzUhNtoj</t>
  </si>
  <si>
    <t>Surpreenda-se com a história de Jair  Messias Bolsonaro. 
Um E-book inesquecível!
Garanta o seu!
Link na Bio!
https://t.co/Dz3a9Uh4Ju
#jair #jairbolsonaro #presidente #direitaconservadora #ebook #rendaextra #hotmart #homeoffice #work #euquero https://t.co/DIqdInjMnF</t>
  </si>
  <si>
    <t>Eu sei o que você precisa! 
O Marketing Digital é pra todos! 
Esse E-book GRATUITO irá abrir sua mente sobre como começar essas jornada na sua vida! 
https://t.co/Dz3a9Uh4Ju
Comente EU QUERO que envio o link pra você!
#rendaextra #marketingdigital #ebook  #euquero https://t.co/aWCf5RYwND</t>
  </si>
  <si>
    <t>#euquero
#ondecompro 
#rendaextra
#papelaria 
#arquivosdigitais
Acesse: https://t.co/ly6G1PCJLE https://t.co/Dsf0qY8KOj</t>
  </si>
  <si>
    <t>Para "SABER MAIS" clique no LINK 
https://t.co/OjG2OEJMxl
👉 Não deixe passar as oportunidades!!
APROVEITE,  por tempo limitado apenas 12 x de R$28,94 😱😱
#rendaextra #marketingdigital #mudardevida
https://t.co/rRlRddgYdD</t>
  </si>
  <si>
    <t>EU GANHO DE 3MIL A 5MIL P/MÊS, VENHA GANHAR TAMBÉM! ESTOU DISPONIBILIZANO UM MINI CURSO GRATUITO. ENTÃO NÃO PERCA ESSA CHANCE! POIS É A ÚNICA.
              👇 LINK ABAIXO👇
       https://t.co/Oygu6U2Jis
#emprender #empreendedorismo #rendaextra #MarketingDigital #dinheiro</t>
  </si>
  <si>
    <t>Sabia que eu tenho feito uma renda extra, sem ter que investir nada? Faço parte da Vendah, é um aplicativo super fácil de revender produtos e ganhar comissão em 2 dias úteis! Cadastre-se pelo meu link que você ganha um prêmio quando vender!!
#Rendaextra
https://t.co/S5KQFKb50r</t>
  </si>
  <si>
    <t>Dica de Renda extra : Dependemos do mercado digital e isso é mais real do que imaginamos !
#oportunidade #rendaextra #mudedevida #Coachella 
https://t.co/fUj5OJPj9P https://t.co/nJ7RVoiXmE</t>
  </si>
  <si>
    <t>VÍDEO NOVO
Falamos um pouco sobre o aporte do mês de fevereiro, onde aumentamos algumas posições. 
Link do vídeo: https://t.co/CzfgRJXhl5
🔴 SE INSCREVA NO CANAL: https://t.co/Ae2b5sDVXU
#acoesimportam #aporte2023 #aportefevereiro #investimento #rendaextra https://t.co/6HQNaRLAaK</t>
  </si>
  <si>
    <t>Mais um Freelancer sacando seu pagamento. Vem pro time e seja o próximo!! 🚀🚀
#rendaextra
#ganhardinheiro
#homeoffice
#maternidade https://t.co/hfYiIlxLbl</t>
  </si>
  <si>
    <t>#rendaextra https://t.co/GfyNbvCTrM</t>
  </si>
  <si>
    <t>#rendaextra #ganhardinheiro #comoganhardinheiro #jogandodinheiro
https://t.co/OkpbVkqc2D https://t.co/WDdxOTdIxn</t>
  </si>
  <si>
    <t>Melhor sistema de análise que eu já comprei, 
Vou esta deixando o link aqui em baixo, caso alguém queira testar e lucra assim como eu estou fazendo #VideoViral #Twitter #rendaextra https://t.co/G7hX4kfwx4</t>
  </si>
  <si>
    <t>Passando para avisar que…
Um novo ciclo, repleto de novidades e ofertas, começou! 🥳
Seja bem-vindo ciclo 5! 
Quer ter mais informações sobre? É só mandar a sua dúvida no direct. 🥰
#natura #vendas #vendasonline #negócios #setorilía #rendaextra #beleza https://t.co/t9i1Xmpa1D</t>
  </si>
  <si>
    <t>Saiba mais 🤳👇💥💥👇💥
https://t.co/nYVUeAPGXH
#rendaextra 
#ganhardinheiropelainternet
#peterjordan https://t.co/TcEMYelMsO</t>
  </si>
  <si>
    <t>Conquiste uma renda extra incrível com PLRs de alto impacto. Maximize seus lucros, expanda seus horizontes e transforme sua realidade financeira. A hora de mudar sua vida é agora! 💰💥
Descubra o caminho para o sucesso. Clique aqui
https://t.co/OS6udnalEC
#RendaExtra #PLRs https://t.co/RtojuhVwiY</t>
  </si>
  <si>
    <t>Você já conhece os principais investimentos quando falamos em investimentos prefixados? 
Conheça!
#rendafixa #investidor #investimentos #investir #dinheiro #rendaextra https://t.co/AoJaJi5Izz</t>
  </si>
  <si>
    <t>Quando falamos em renda fixa, temos duas principais taxas em que os investimentos são atrelados. 
São elas: Selic &amp;amp; CDI.
#taxaselic #taxa #rendafixa #investimentos #investidor #dinheiro #rendaextra https://t.co/SKGaqjPhcp</t>
  </si>
  <si>
    <t>Você sabe o que é uma ação?
#investimento #dinheiro #ação #rendaextra #apenasnegocios #negocios https://t.co/ncm0S2zOR9</t>
  </si>
  <si>
    <t>Você sabe o que é o mercado de renda variável? Conheça uma de suas principais características que o diferenciam do mercado de renda fixa.
#investir #ações #dinheiro #rendaextra #negocios #apenasnegocios https://t.co/T9ph3Dg8gC</t>
  </si>
  <si>
    <t>No mercado de ações as empresas podem ser divididas em classes, com base em sua taxa de crescimento no período.
#ações #investimento #rendaextra #apenasnegocios #dinheiro https://t.co/ZaDuaU47U0</t>
  </si>
  <si>
    <t>2023 começou e vc ainda não realizou seus antigos sonhos? 
Podemos ajudar! Recrutamos homens e mulheres para ganhos extras. Não precisa vender ou comprar nada #rendaextra #ganheemcasa #ganhepelainternet</t>
  </si>
  <si>
    <t>Fortune Tiger - Horário das Cartas 10X &amp;gt;&amp;gt;&amp;gt; https://t.co/MEHoo7iGm8 &amp;lt;&amp;lt;&amp;lt;
#rendaextra
#dinheiro
#ganhardinheiro
#negócios
#oportunidade
#afiliado
#influenciador
#youtuber
#blogueiro
#trabalhoemcasa
#rendanainternet https://t.co/HJ1xvnAijd</t>
  </si>
  <si>
    <t>@felipeneto Ah, não seria mais um caso de renda extra para essas pessoas que fazem esses cursos?
#blaze #rendaextra https://t.co/LhSpENtyfk</t>
  </si>
  <si>
    <t>O levantamento em questão é formulado pelo Instituto Cidades Sustentáveis em parceria com o Ipec. #RendaExtra #Contas #TVCultura
https://t.co/7Qrdu4K9PZ</t>
  </si>
  <si>
    <t>Qual é o seu negócio ?!? https://t.co/F7gyObOjju via @YouTube 
me siga nas redes sociais: - https://t.co/daVCzQUZMp...  https://t.co/lWLW1FKUnN... 
#bolsadevalores #ações #b3 #rendaextra #rendavariavel #dinheiro #educaçãofinanceira</t>
  </si>
  <si>
    <t>Santana Astra, Montana, Focus, Carros A Partir de R$ 1.000 no Leilão do Ministério da Justiça, Veja Como Participar https://t.co/pq2CaXgRDH
.
 #santana #astra #leilao #rendaextra #montana #veiculos https://t.co/EwRUTO6PDn</t>
  </si>
  <si>
    <t>Santana R$ 1.7 mil, Parati R$ 2.2 mil no Leilão de Viaturas do Governo Estadual,  Veja Como Participar https://t.co/pq2CaXgRDH
.
#santana #gol #rendaextra #veiculos #leilao https://t.co/HtH4zx7Ww9</t>
  </si>
  <si>
    <t>Suzuki Bandit, Bros e Drag Star a Partir de R$ 3 mil, Yamaha XT 660R R$ 7 mil Leilão de Viaturas Governo Estadual, Veja Como Participar https://t.co/pq2CaXgRDH
.
#bandit #dragstar #suzuki  #xt660 #xt660r #moto #motos #supermoto #superbike #rendaextra https://t.co/0MZSzw6QYZ</t>
  </si>
  <si>
    <t>Leilão do Ministério da Justiça com carros e motos a partir de 500 Reais, Veja Como Participar https://t.co/pq2CaXgRDH
.
#rendaextra #leilao #veiculos #oportunidade https://t.co/XgXfHwTTrT</t>
  </si>
  <si>
    <t>Motos Barato e Baixa Quilometragem e Financiadas em Até 60x na Vip Leilões, deixa motos nos comentários que vou tem mostrar como comprar!
.
.
#moto #motoboy #cg #biz #motos #leilao #rendaextra https://t.co/u9eGOMqOJK</t>
  </si>
  <si>
    <t>Leilão de Carro Popular Barato A Partir de R$ 300 em 12X no Cartão de Credito, Veja Como Participar https://t.co/pq2CaXgRDH
.
  #uno #veiculos #leilao #carrobarato #rendaextra #oportunidade https://t.co/3OB5uSL7mV</t>
  </si>
  <si>
    <t>29 Uno Mille, 23 Fita Palio, 18 Fiat Siena, Gol, Classic Fiesta e Outros Carro Popular no Leilão do Governo Estadual, Veja Como Participar https://t.co/pq2CaXgRDH
.
 #palio #unomille #siena #fiat #veiculos #rendaextra #leilao https://t.co/9vvIwWS4BC</t>
  </si>
  <si>
    <t>Saveiro Cross, Uno Mille, Micro-ônibus, Tratores e Mais no Leilão de Prefeitura, Veja Como Participar https://t.co/PLms1niDny
.
Entre os Veículos Tem:
VOLKSWAGEN SAVEIRO 1.6 CE ANO 2011/2011 Valor inicial: R$ 23.90
.
 #saveirocross #onibus #van #utilitario #rendaextra #leilao https://t.co/4EntvUx5x3</t>
  </si>
  <si>
    <t>16 Uno Mille, Classic, Gol A Partir de Mil Reais no leilão de prefeitura, Veja Como Participar https://t.co/pq2CaXgRDH
.
 #uno #mille #carropopular #rendaextra #oportunidade #leilao https://t.co/iyGf390NfC</t>
  </si>
  <si>
    <t>Caminhões Mercedes, Ford, Volkswagen, Fiat Strada, Montana e Outros Veículos no Leilão de Companhia Energética, Veja Como Participar https://t.co/pq2CaXgRDH
.
Entre os Veículos Tem:
.
 #caminhao #caminhoneiro #fazenda #rendaextra #leilao #oportunidade https://t.co/tbrQ1ro5XK</t>
  </si>
  <si>
    <t>73 Smartphones, Tem Iphone 13, 12 e 11, Galaxys S21 e Outros no Leilão de Logística Reversa, Veja Como Participar https://t.co/pq2CaXgRDH
.
 #smartphone #iphone11 #iphone13 #celular #galaxy #rendaextra #Apple https://t.co/pBl6NYO43Y</t>
  </si>
  <si>
    <t>Várias Motos no pátio da VIP Leilões fincadas em 60X, são Motos para você trabalhar no como motoboy ou para você rodar no dia dia!
.
.
#moto #motos #telentrega #motoboy  #rendaextra https://t.co/YJxecaHNVu</t>
  </si>
  <si>
    <t>Carro popular barato na Vip Leilões, ótimos veículos para você fazer um dinheiro rápido na compra e revenda, trabahando como motorista de aplicativo ou presentear seu filho ou esposa com um carro novo!
.
.
#carropopular #veiculos #leilao #rendaextra #oportunidade https://t.co/0AgvU5Qs6V</t>
  </si>
  <si>
    <t>Veículos populares com lance inicial de R$ 300,00 em São Paulo, Veja Como Participar https://t.co/PLms1niDny
.
Entre os Veículos tem:
VW CROSSFOX 1.6 FLEX 4P ANO 
.
 #veiculos #rendaextra #carronovo #carropopular #leilao #oportunidade #novidades https://t.co/Jn1VFjqI6D</t>
  </si>
  <si>
    <t>12 Empilhadeira Apartir de R$ 4 Mil, 8 Onibus e Micro-Ônibus A Apratir de R$ 6 Mil no Leilão, Veja Como Participar https://t.co/pq2CaXgRDH
 #rendaextra #empresa #trabalho #oportunidade #leilao #onibus #microonibus https://t.co/FdRtUQamKf</t>
  </si>
  <si>
    <t>Citroen Aircross e Volkswagen Gol no leilão da próxima Sexta-feira da, São vários carros Seminovos para você que está buscando comprar um veículo com valor abaixo do mercado!
 .
.
#seminovos #veiculos #rendaextra #leilao #opoutunidade https://t.co/k0XrsdlBg3</t>
  </si>
  <si>
    <t>Motos Seminovas e com baixa quilometragem no leilão de veículos retomados de financiamento!
.
.
#moto #motos #motoboy #honda #rendaextra https://t.co/UXJs4EeW4d</t>
  </si>
  <si>
    <t>Chassi de Caminhão blindado no Leilão de, ótima oportunidade investimento ou para o seu projeto!
.
.
#caminhao #motorhome #rendaextra #leilao https://t.co/oE10jlhelS</t>
  </si>
  <si>
    <t>Leilão da Embaixada Australiana Tem Máquina de Lavar, Geladeira e Outros Mobiliários A Partir de R$ 100, Veja Como Participar https://t.co/pq2CaXgRDH
.
Entre os Veículos Tem
GELADEIRA DUPLEX MARCA ELECTROLU
.
 #geladeira #fogao #maquinadelavar #eletronicos #rendaextra #novidades https://t.co/NVb1lZNpvD</t>
  </si>
  <si>
    <t>Hornet A Partir de R$ 4 Mil, e Outras Motos A Partir de R$ 500 no Leilão do Detran, Veja Como Participar https://t.co/PLms1niDny
.
 #hornet #hornetão #grauderua #graudemoto #moto #motos #motoboy #rendaextra https://t.co/EMYCzYnzkq</t>
  </si>
  <si>
    <t>Mercedes Benz Sprinter e Fiat Ducato no leilão de Viaturas do Governo Estadual de Santa Catarina no próximo dia 25!
.
.
#van #sprinter #utilitarios #rendaextra #motorhome https://t.co/7ymvCdMR0e</t>
  </si>
  <si>
    <t>Kombi a Partir de R$ 12 mil, Gol 1.6 R$ 3 mil Leilão de Veículos do Tribunal de Justiça, Veja Como Participar https://t.co/pq2CaXgRDH
.
 #kombi #gol #voyage #seminovos #Justiça #oportunidade #rendaextra https://t.co/gk7zyXgS8I</t>
  </si>
  <si>
    <t>Com o Realizando Sonhos Online, você terá acesso a um método comprovado e passo a passo para construir sua renda extra de forma consistente. Diga adeus às dívidas e à falta de conhecimento financeiro.
#rendaextra #trabalharemcasa
https://t.co/qHxGykLtaC</t>
  </si>
  <si>
    <t>Se você curte esse tipo de dica e quer mais conteúdos como esse, nos segue no Instagram https://t.co/hp5QBsi4Hg para saber mais! #DicasFinanceiras #RendaExtra #Investimentos #carreira #profissao #crescimentopessoal #crescimentoprofissional https://t.co/unvRGl3ha1</t>
  </si>
  <si>
    <t>Gente, esse app é maravilhoso! Sério! Tem várias formas de monetizar e ganhar em dólar… acesse: https://t.co/jkDBgVt6Y2 #rendaextra  #monetizacao #gotchosen https://t.co/9c530JLDOP</t>
  </si>
  <si>
    <t>Valor recebido por uma entrega feita em um #aplicativo de #entregas quer saber mais? Meu código está disponível para novos cadastros, vamos faturar, #rendaextra #dinheiro #aplicativos #entregas #rj #sp #entregadores #brasil #loggi #motoboy #anjodoasfalto13 https://t.co/YCx5SLrYWC</t>
  </si>
  <si>
    <t>Como ficar RICO antes dos 30 anos #rico #programador #dinheiro #rendaextra https://t.co/VVKizpHEWz</t>
  </si>
  <si>
    <t>E vamos para mais uma prova...
Ser multifacetas: servidora, concurseira e ainda afiliada..
E sua desculpa é não ter tempo né? 
AHAM! 
#rendaextra #multifacetas</t>
  </si>
  <si>
    <t>Uma dúvida ...
Os meses estão ficando mais longos ou o dinheiro está ficando mais curto?
É nessas horas que uma renda extra ajuda muito. 
Você já tem uma renda extra? Me diz qual nos comentários!!! 😉💸
#rendaextra #dinheiro #Abril2023</t>
  </si>
  <si>
    <t>Pessoas compram de pessoas... 
Nunca esqueça que é com pessoas que você conversa e negocia. 
#rendaextra #tempoextra #trabalhepravoce</t>
  </si>
  <si>
    <t>I just published URGENTE [CADASTROU GANHOU] GANHE DE R$20 ATÉ R$2000 REAIS NO MERCADO PAGO https://t.co/Xx7K3N4jVT 
#rendaextra #ganhardinheiro</t>
  </si>
  <si>
    <t>Se você tem interesse em aprender como se ganha dinheiro na Internet, apenas com seu celular, só me chamar na DM que eu te explico com detalhes...
#MarketingDigital #dinheiro #Online #OnlineMarketing #rendaextra</t>
  </si>
  <si>
    <t>Já pensou em ganhar um PIX de R$ 1.000,00 ? Ajudaria? Adquira sua rifa agora por apenas R$ 5,67 no link: https://t.co/IuqWsGF43s                        #rifa #rendaextra #GoogleIO #QuintaDetremuraSDV #SORTEIO #FelizDiaDeLasMadres https://t.co/8sWqtKA2JK</t>
  </si>
  <si>
    <t>Alguns dos meus melhores ganhos na POP. 
🔴 Bônus de R$ 10,00 para cadastro e depósito. 
🔴 Grupo de dicas, sinais e muito mais.
Link: 
 https://t.co/oEwP4CPPI2
A MELHOR, NA MINHA OPINIÃO, ATÉ O MOMENTO!
#rendaextra
#slots https://t.co/dULntOIoOm</t>
  </si>
  <si>
    <t>✍🚀💰🥂📊Siga @wesleybezerr12 _para evoluir.
•
🔥 Aprenda a trabalhar no Marketing Digital,
Me chama direct ou link da Bio🥂
•
Siga a nossa página para evoluir 💸💎
•
Motivando Futuros Milionários 👤📊💰
•
#resiliencia #mercadodigital #fé #fy #god #rendaextra #Marketing https://t.co/0YnPX3RH1P</t>
  </si>
  <si>
    <t>É verdade que a blaze é uma forma de fazer renda extra?
#blaze
#felipeneto
#rendaextra</t>
  </si>
  <si>
    <t>FÓMULA NEGÓCIO ONLINE é o Treinamento completo, com estratégias simples, para CRIAR Negócios de Sucesso na Internet 100% do Zero.
#ganhardinheironainternet #trabalharemcasa #rendaextra
⬇️⬇️⬇️
https://t.co/xOA45xRJb9 https://t.co/xZVgJI60pC</t>
  </si>
  <si>
    <t>APROVEITE A ÉPOCA MAIS LUCRATIVA DO ANO PARA FATURAR MUITO VENDENDO OVOS DE PÁSCOA.
#rendaextra #rendaextraencasa #trabalharemcasa #ovosdepascoa
⬇️⬇️⬇️
https://t.co/pBo3Fe4qJS https://t.co/9VsAa0ZUt8</t>
  </si>
  <si>
    <t>Treinamento completo para fazer RENDA EXTRA:
FÓRMULA NEGÓCIO ONLINE
#rendaextra #trabalharemcasa #ganhardinheiroonline #MarketingDigital #afiliado #rendaextraonline #ganhardinheiro
⬇️⬇️⬇️
https://t.co/xOA45xRblB https://t.co/U1PUnV3ksL</t>
  </si>
  <si>
    <t>TREINAMENTO COMPLETO PARA COMEÇAR SEU NEGÓCIO ONLINE DO ZERO.
#rendaextra #trabalharemcasa #ganhardinheiro #ganhardinheironainternet #ganhardinheiroonline
⬇️⬇️⬇️
https://t.co/xOA45xRblB https://t.co/9w6x2qewpE</t>
  </si>
  <si>
    <t>Conheça o Treinamento Que Vai Te Ajudar a Montar a Estrutura do Seu Negócio na Internet... Começando do Zero... É o Treinamento Mais Completo do Brasil.
#rendaextra #ganhardinheironainternet #trabalharemcasa
⬇️⬇️⬇️
https://t.co/xOA45xRblB https://t.co/F5Yy4xnOep</t>
  </si>
  <si>
    <t>DESCURA COMO O MARKETING DIGITAL PODE TRANSFORMAR SUA VIDA!!!
#MarketingDigital #rendaextra #ganhardinheiro #trabalharemcasa
⬇️⬇️⬇️
https://t.co/xOA45xRblB https://t.co/HMmz91C3WO</t>
  </si>
  <si>
    <t>#UFCFightNight #RafaeldosAnjos #Aposta #Apostador #RendaExtra #Dinheiro</t>
  </si>
  <si>
    <t>Aprenda absolutamente tudo sobre Cookies Gourmet! Curso 100% em vídeo com aulas práticas e detalhadas. Certificado incluso. Do básico ao avançado
#rendaextra
https://t.co/sCjGBIoiWv https://t.co/I5GR6phHWx</t>
  </si>
  <si>
    <t>10 Ideias de Trabalhos Online para Ganhar uma Renda Extra https://t.co/IMlxrIANHI 
#rendaextra</t>
  </si>
  <si>
    <t>Renda Extra na Internet: Descubra Como Ganhar Dinheiro Online https://t.co/GgsxXpmOwt 
#afiliado #rendaextra</t>
  </si>
  <si>
    <t>Está perdendo tempo e dinheiro
Vem comigo, eu te explico ajudo nessa
#rendaextra
#MarketingDigital https://t.co/E6fTJWC17J</t>
  </si>
  <si>
    <t>Ganhe dinheiro em dólar só usando o fluxo de Internet do seu computador ou seu celular com Honeygain. Clique no link abaixo e se cadastre!
https://t.co/Vm1cu5D8st
#dinheiroextra #dolar #rendaextra #Honeygain #dinheiro</t>
  </si>
  <si>
    <t>#rendaextra #dolar #honeygain 
Ganhe 💵 usando apenas o fluxo de internet do seu celular e/ou computador. Instale o Honeygain e ganhe colmeias pelo fluxo da internet. Depois converta as colmeias em dinheiro. Clique no link e faça o download!
https://t.co/K4pff5980C</t>
  </si>
  <si>
    <t>Ganhe dinheiro em dólar só usando o fluxo de Internet do seu computador ou seu celular com Honeygain. Clique no link abaixo e se cadastre!
https://t.co/K4pff5980C
#dinheiroextra #dolar #rendaextra #Honeygain #dinheiro</t>
  </si>
  <si>
    <t>comente "eu quero" para receber os plr!!!
#ficarmilionario #kiwify #plr #riconainternet #marketingsigital #vendasonline #rendaextra https://t.co/9ZDdl5qMEo</t>
  </si>
  <si>
    <t>https://t.co/0IlWr0hgiA
Plataforma pagando
#slots
#rendaextra
#fortune
#dinheiro
#viral https://t.co/XvWrOD6jCC</t>
  </si>
  <si>
    <t>https://t.co/0IlWr0hgiA
Plataforma nova acabou de lançar!
#Dinheiro
#jogos
#rendaextra
#Fortunetiger https://t.co/LVjflWHqZZ</t>
  </si>
  <si>
    <t>Wednesday, 28 June
Excellent work, how we started the week
Accomplished goals
Time to clear the mind off the monitors 
#goptionbrasil #binaryoptions #maedesucesso #rendaextra 
#bitcoin #Binance #mercadofinanceiro
#forex #trader #lifestyle #liberdadefinanceira
#investing https://t.co/uQ39WlOdHx</t>
  </si>
  <si>
    <t>Esse slot está mudando minha vida só  tenho a agradecer 🙏🙏🙏 
Link👇👇
https://t.co/40I1FT6bNX
#Twitter #fortunetiger #jogospg #slots #rendaextra #GoodNightTwitterWorld #oportunidadefinanceira #viralizou https://t.co/iFqamgxLxw</t>
  </si>
  <si>
    <t>Slot do momento pagando super bem 
Link👇👇👇👇 
https://t.co/gfbDhf4sVJ
#Twitter  #slots #fortunetiger #viralvideo 
#rendaextra https://t.co/hVdazW1PzS</t>
  </si>
  <si>
    <t>Clica no link 👇🏼
https://t.co/EgFLzTVJpQ
Esta é a melhor época do ano para você ganhar dinheiro com chocolate 🍫🐰
Além de aprender a METODOLOGIA OVOS DE OURO, você aprenderá receitas para lucrar com chocolate em toda 
época do ano 🗓️🍫💰
#ovodepascoa #rendaextra #confeitaria https://t.co/8npzLJSIj9</t>
  </si>
  <si>
    <t>Conheça o nosso Spaceman, ou joguinho do robô para os mais íntimos 😉
Faça o seu cadastro: https://t.co/jpaoKIDOAa 🚀💚
#spaceman #jogodorobozinho #robozinhospaceman #rendaextraemcasa https://t.co/i5Ds904kmG</t>
  </si>
  <si>
    <t>O que seria de mim sem Deus e se eu não tivesse aproveitado a oportunidade.
hoje muitas vidas sendo transformadas e em 2023 muitas coisas estão para acontecer, começando agora no dia 08/03, tenho uma grande oportunidade para você.
#marketingdigital  #rendaextra #rendaextraemcasa https://t.co/akwrEEuknu</t>
  </si>
  <si>
    <t>O Marketing Digital oferece meios pagos e orgânicos de divulgar a sua empresa e se relacionar com os clientes. Entre os orgânicos, estão a otimização para buscadores (SEO) e o Marketing de Conteúdo que, entre outros benefícios, oferecem resultados duradouros.
#rendaextra https://t.co/AD5FEyloNa</t>
  </si>
  <si>
    <t>Dicas básicas para redes socais. 
#Twitter 
#dinheiro 
#rendaextra https://t.co/mcFK2Bi29B</t>
  </si>
  <si>
    <t>As 5 principais dicas para você ganhar dinheiro todos os dias ! Que tal ganhar R$400,00 todos os dias ? Com apenas alguns segundos do seu tempo você pode faturar e muito !! 
#dinheiro 
#rendaextra 
#liberdadefinanceira https://t.co/CclJV57t2Z</t>
  </si>
  <si>
    <t>Você consegue ✨
#AppleVisionPro #TheErasTourArgentina #LaCasaDeLosFamososMx #idolyfepanaroma #Marketing #marketplace #MarketingDigital #rendaextra #rendaemcasa 
https://t.co/1qWBXrKybr https://t.co/bvjWFoogwX</t>
  </si>
  <si>
    <t>Você merece ser feliz 😍... método milionária para ser sua própria chefe 😉✨
#AppleVisionPro #rendaextra
#TheErasTourArgentina
#LaCasaDeLosFamososMx
https://t.co/1qWBXrKybr https://t.co/zo8Rvp2EIV</t>
  </si>
  <si>
    <t>Quer saber o que cerca de 147.500 pessoas estão fazendo pra ganhar aproximadamente R$2.040,00 apenas com o celular? Detalhe, SEM COMPRAR NENHUM CURSO.
Clica no link para saber como:
https://t.co/d3ZqEsbaJt
#rendaextra #trabalharemcasa</t>
  </si>
  <si>
    <t>Funil de vendas simples para venda de infoproduto low ticket.
//Thread//
#MarketingDigital #afiliado #rendaextra</t>
  </si>
  <si>
    <t>Se você entende a urgência de ter um plano de enriquecimento, já salva este post, curte e encaminha para a pessoa que vai seguir contigo.
#MetasFinanceiras #EnriquecimentoFinanceiro #PlanejamentoFinanceiro #ReservaFinanceira #RendaExtra #IndependênciaFinanceira #Aposentadoria https://t.co/VwTArcLt6m</t>
  </si>
  <si>
    <t>#RendaExtra</t>
  </si>
  <si>
    <t>Com esse Robô você vai ganhar na mega toda semana, Conheça o Robô - 
ASSISTA O VIDEO 👇
                      https://t.co/5VV0f6hCfE
.
.
#Faustão #brasileira #Aposta #RendaExtra #LoveIsBlind #OnePieceNetflix #OnePieceLiveAction #TikTok #Twitter #fypviraltwitter #viral https://t.co/sF4imgQnwK</t>
  </si>
  <si>
    <t>Saiba como ganhar uma renda extra , trabalhando em casa ! #rendaextra https://t.co/zM8kERLyiY</t>
  </si>
  <si>
    <t>Viva de internet sem trabalhar exaustivamente! Ganhe dinheiro até enquanto dorme com nosso curso. #viverdeinternet #independenciafinanceira #trabalharemcasa #negócioonline #rendaextra #empreendedorismo
https://t.co/BBjpPxrGyG</t>
  </si>
  <si>
    <t>Como lucrar R$ 60.000,00 em 12 meses com cartões, pontos e milhas aéreas! Estratégias simples e práticas para aumentar seus ganhos. Compre o curso agora e receba um ebook de imposto de renda para milhas aéreas #milhasaereas #cartoesdecredito #rendaextra"
https://t.co/5j0yhdJxmB https://t.co/qsRRgr9EvB</t>
  </si>
  <si>
    <t>Qualquer pessoa pode conseguir uma aposentadoria digna, basta conhecimento. 
Nesse vídeo mostro de forma simples e objetiva que é possível investir R$97,50 e se aposentar com um patrimônio de mais de R$500mil!!!
#mxrf11 #dividendos #rendaextra 
https://t.co/alhOsfrzgS</t>
  </si>
  <si>
    <t>Fala pessoal, tudo bom? Vídeo Novo com atualização da carteira publica do canal.
#rendaextra 
https://t.co/FuizfP7vSd</t>
  </si>
  <si>
    <t>No vídeo de hoje explico de forma rápida e clara a queda desses fundos.
#hctr11 #fundosimobiliarios #rendaextra 
https://t.co/J8NnZyLJsP</t>
  </si>
  <si>
    <t>Vídeo novo na área analisando 2 bons fundos imobiliários e sua capacidade de gerar uma ótima renda extra mensal.
#mxrf11 #rendaextra
https://t.co/E8zWXDCr7S</t>
  </si>
  <si>
    <t>Fala pessoal, segue TOP Fundos Imobiliários para Junho!!
https://t.co/rW7mjw2z2Y
#rendaextra #dividendos #mxrf11</t>
  </si>
  <si>
    <t>Fala pessoal, no vídeo de hoje mostro uma maneira simples e objetiva de calcular o preço teto dos ativos.
https://t.co/ROvZx6nDxf
#rendaextra #FinancialFreedom</t>
  </si>
  <si>
    <t>Fala pessoal, o vídeo de hoje é sobre mentalidade vencedora para você conquistar a sua liberdade financeira. #rendaextra #FundosImobiliários #Petrobras 
https://t.co/ZRojETR6nY</t>
  </si>
  <si>
    <t>Pessoal, segue analise dos Fundos Imobiliários referente a Maio:
https://t.co/dMLHqghEk4
#fundosimobiliarios #rendaextra #rendapassiva</t>
  </si>
  <si>
    <t>Fala pessoal, tudo bom? Nesse vídeo eu ensino sobre subscrição e uma forma simples de calcular preço teto de um ativo.  Espero que gostem.  #rendaextra #mxrf11
https://t.co/oGjGgAXTcg</t>
  </si>
  <si>
    <t>Eae vai participar?
https://t.co/s4MSUE8iM6
#fundosimobiliarios
#mxrf11
#rendaextra</t>
  </si>
  <si>
    <t>Não sabe como montar uma carteira para receber dividendos de ações todos os meses?
Esse vídeo pode te ajudar:
https://t.co/b5dBtiTuqv
#viverderenda #dividendos #rendaextra</t>
  </si>
  <si>
    <t>https://t.co/mkkcSOVpr8
Quanto rende R$41 Mil em Fundos Imobiliários?
#mxrf11 #fundosimobiliarios #rendaextra</t>
  </si>
  <si>
    <t>Pare de Cair em papo de Guru🤣🧠
#markentingdigital #blackrat #rendaextra https://t.co/KuzrYb3zzT</t>
  </si>
  <si>
    <t>Venha aprender comigo como fazer seu primeiro milhão! 
https://t.co/L6GhHxWYnj
.
.
.
.
#milionario 
#milhao 
#bilhonarios 
#dinheiroextra 
#rendaextra 
#trilhonario https://t.co/Kd9OOmi0nd</t>
  </si>
  <si>
    <t>Venha aprender comigo como fazer seu primeiro milhão!
 https://t.co/cDXU81ctFT
.
.
.
.
#milionario 
#milhao 
#bilhonarios 
#dinheiroextra 
#rendaextra 
#trilhonario https://t.co/6Bwd9yEvM0</t>
  </si>
  <si>
    <t>Investir em conhecimento aumenta suas possibilidades de inserção e crescimento no mercado de trabalho que está cada vez mais competitivo.
Vem com a gente!
#desenvolvimento #conhecimento #rendaextra #trabalho #homeoffice #cursos #dinheiro #crescimento #marketingdigital https://t.co/VqUpdq2MHm</t>
  </si>
  <si>
    <t>1 - Mais tempo com a família
2 - Não precisa gastar tempo nem dinheiro com deslocamento
3 - Pode descansar mais
4 - Mais tempo livre
5 - Consegue se alimentar melhor
6 - Tem mais qualidade de vida
#desenvolvimento #conhecimento #rendaextra #trabalho #homeoffice #cursos #dinheiro https://t.co/1z95LLcWJP</t>
  </si>
  <si>
    <t>Venho aqui te apresentar um Ótimo  Curso,com uma Ótima OFERTA,por R$14,90.Você Ganhar acesso Ilimitado um Exelente curso de #MarketingDigital que vai te Garantir uma #RendaExtra Online e podendo até mesmo fazer Você atingir sua Liberdade Financeira!
-🟢Acesse o Link na Bio! https://t.co/CJOG3sIw5d</t>
  </si>
  <si>
    <t>https://t.co/N7smkKujfM
.
+8000 PLRs para você baixar e vender onde quiser. Método totalmente lucrativo😎
.
Discord
Mercosul
Israel
Profissionalismo gente
Jesus
#storm 
#NCTDREAMinBRAZIL 
#rendaextra https://t.co/4Aqqi3KYTq</t>
  </si>
  <si>
    <t>+8000 PLRs para você baixar e vender onde quiser.
Seja produtor digital sem criar nada!👇
https://t.co/N7smkKujfM
.
#RolandoNoSpotify
Harry Potter
Botafogo
Jair
Flamengo
#rendaextra https://t.co/CllvHnJ0IT</t>
  </si>
  <si>
    <t>https://t.co/N7smkKujfM
.
Ganhe $ como produtor digital sem precisar criar nada. Saiba mais em nosso site. Link acima ou na Bio.
.
Choquei
É hoje
Juliette
Oppenheimer 
Jesus
#RendaExtra
#CopaDoBrasil https://t.co/J53s1aETG5</t>
  </si>
  <si>
    <t>Você quer ficar na base ou vai fazer oque precisa ser feito ✔️ 
#feliz #brasil🇧🇷 #rendaextra 
#liberdadefinanceira #salário https://t.co/iHezNBZYH8</t>
  </si>
  <si>
    <t>#rendaextra chama pv tropa https://t.co/dTa2OBZu71</t>
  </si>
  <si>
    <t>VENDO MÉTODO DO FORTUNE TIGER, (melhores horários pagantes, grupo vip com calls, como pegar o bônus, e como forrar, só chamar no privado) #rendaextra #fortunetiger #dinheiro #fortuna https://t.co/pXD9H0Pnkv</t>
  </si>
  <si>
    <t>Aumente a sua renda e Conquiste Independência Financeira. 🤑💸
https://t.co/zrc8sKECJd
#rendaextra #ondecomprar</t>
  </si>
  <si>
    <t>Tags
.
.
#rendaextra #plr #vendas #metodoseficazes</t>
  </si>
  <si>
    <t>Bom dia lindões. Até que estou gostando dessa plataforma 😌 irei usar ela para ajudar aqueles que trabalham no marketing digital a realizar suas primeiras vendas. Me chama aqui e bora conversar #rendaextra #plr #estrategiasdevenda</t>
  </si>
  <si>
    <t>650 vídeos plr como esse. Link na bio📲🍷 #sejaummilionario #rendaextra https://t.co/T6gBEKiYUX</t>
  </si>
  <si>
    <t>SAIBA TUDO NESSE VÍDEO ANTES DE COMEÇAR A INVESTIR!! https://t.co/L49pEnnKCc via @YouTube 
#CDB #rendafixa #Rendaextra #oscar #Aliens #ministros #TAEHYUN https://t.co/i3aZBuzrQA</t>
  </si>
  <si>
    <t>Leia a matéria completa no site Jornal Contábil clicando no link: https://t.co/X0OP9caMHL
#rendaextra #empreededorismo #sucessoprofissional https://t.co/WoIopHkeee</t>
  </si>
  <si>
    <t>Fiz um vídeo sobre o melhor produto para se vender na internet. Se for do interesse de alguém... tá aí. 
#marketingdigital #rendaextra #vendernainternet
https://t.co/qhpXGoOxnH</t>
  </si>
  <si>
    <t>Já penso em ter uma renda extra apenas jogando ? 
Com apenas 12 reais voc consegue fazer diversos valores ! Acesse o link Deposite 12 e vem joga !!
https://t.co/Zx8Wi3zMwC
#cassino #rendaextra https://t.co/DfPYR2XL0b</t>
  </si>
  <si>
    <t>Corre aqui Brasil que o tigre tá doidaooo.
Olha o tanto que fature só agora,AHHH QUEM JOGA SABE QUE PAGA! Recarregue 20 ganhe muitooooo! 
https://t.co/0z1S2KvKIm
#BarbieTheMovie #Barbie #BarbiePelicula #rendaextra #FortUNe https://t.co/MvecHuQMU1</t>
  </si>
  <si>
    <t>Melhor que o YouTube porque é criptografado não tem como derrubar. Vc ganha por publicar vídeos, curtir, compartilhar e até por entra na plataforma todos dias, cadastre https://t.co/vQYXtDjKG7
#redesocial #politicos #Brasil #Bolsonaro  #pobre #Brazil #rendaextra #dinheiro</t>
  </si>
  <si>
    <t>#ondeacho #aondecompro #rendaextra
Alguém precisando de renda extra??</t>
  </si>
  <si>
    <t>#rendaextra #promo #ondecompro
RECOMENDO:
Pra quem quer fazer uma renda extra (ou trabalhar em casa) eu vim recomendar este curso que eu estou fazendo!
Tem MUITO conteúdo, aulas curtas e objetivas direto ao ponto. Clica aqui 👇
https://t.co/vgXZ5HhZn3</t>
  </si>
  <si>
    <t>#aondecompro #ondeacho #rendaextra
Faria sentido para você ter uma RENDA EXTRA?
Descubra assistindo aula gratuita 👇
https://t.co/vgXZ5HixcB https://t.co/40hTs15SsT</t>
  </si>
  <si>
    <t>#ondeacho #ondecompro #rendaextra
Faria sentido para você ter RENDA EXTRA sem sair de casa?
Desculbra como fazer de 1000 a3000 reais de extra por semana, trabalhando como Afiliado clica aqui e aprenda 👇
https://t.co/vgXZ5HhZn3</t>
  </si>
  <si>
    <t>#MarketingDigital #rendaextra</t>
  </si>
  <si>
    <t>Finalmente, nosso guerreiro conseguindo a fama que ele merece 🥰🥰🥰🥰🥰 
#FelipeNeto 
#Blaze
#RendaExtra https://t.co/j4KoJBG597</t>
  </si>
  <si>
    <t>Como conquistar mais de 20 mil reais de lucro mesmo em tempos de mercado em queda! 💰💼#Investimentos #MercadoFinanceiro #Lucratividade #Estratégia #Oportunidades #RendaExtra #SucessoFinanceiro #AltaPerformance #Diversificação #PlanejamentoFinanceiro #InvestirComInteligência https://t.co/njWht7Em0M</t>
  </si>
  <si>
    <t>O poder da Launchpad e como multiplicar seu capital em mais de 100x!💥💰
 #Launchpad #Criptomoedas #Investimento #Oportunidade #Ganhos #AltoRendimento #TwitterBrasil #DicasTwitter #RendaExtra #Negócios #Empreendedorismo #Inovação #Tecnologia #TwitterApp #Diversão #GanheDinheiro https://t.co/Xz0TGOSoXK</t>
  </si>
  <si>
    <t>Eu tenho certeza que você já comprou em alguns desses sites, mas creio que poucos sabiam que dá pra ganhar um extra com elas. Quer saber como ? Já me segue 👉
#rendaextra #trabalhoemcasa #markentingdigital #Amazon #Shopee #shein #aliexpress #MagaLu #eduzz #hotmart #braip https://t.co/zyJDyTCcLk</t>
  </si>
  <si>
    <t>Já imaginou conquistar uma renda extra de R$ 2.000,00 mensais utilizando apenas o seu celular e Internet ? Clique no link  abaixo e conheça o método que está mudando a realidade de milhares de brasileiros 👇🏼👇🏼👇🏼
https://t.co/U2iqPGRdMW
#marketingdigital #mktdigital #rendaextra</t>
  </si>
  <si>
    <t>Milhas Aéreas já ouviu falar? Como acumular milhas de maneira rápida sem mudar sua rotina!
#MilhasAereas #Milhas #Viagens #RendaExtra https://t.co/J0zNhXi77A</t>
  </si>
  <si>
    <t>05 maneiras de acumular Milhas Aéreas!
01° Cartão de Crédito;
02° Programa de Fidelidade;
03° Abastecimento em Posto de Gasolina;
04° Pesquisas Online;
05° Compra de Pontos e Milhas nas promoções;
Sempre notar que pontos virão milhas.
#MilhasAereas #RendaExtra #Dicas</t>
  </si>
  <si>
    <t>Semana do Fabricante de Milhas.
Se cadastre https://t.co/GloUN72TpN
#Viajar #Disney #Milhas #MilhasAereas #RendaExtra https://t.co/21U8Ul5exd</t>
  </si>
  <si>
    <t>Amanhã começa a semana do Fabricante de Milhas.
Vem aprender uma das mais de 07 formas de acumular milhas e viajar de graça ou fazer renda extra.
Link abaixo e se cadastre: https://t.co/GloUN72TpN
#Milhas #Viajar #RendaExtra #Dinheiro</t>
  </si>
  <si>
    <t>É possível quando você aprende e executa as estratégias do mundo das milhas, quer aprender mais com 4 aulas dinâmicas, faça sua inscrição gratuita 
https://t.co/GloUN72TpN
#RendaExtra #Viagens #Lazer #MilhasAereas #Viagem #SalaVIP #RodrigoGoes #FabricaDeMilhas https://t.co/unVR37CHoT</t>
  </si>
  <si>
    <t>"Busque a prosperidade não apenas como um fim, mas como o meio para realizar seus objetivos, impactar vidas e criar oportunidades. O dinheiro é uma ferramenta que amplifica seu potencial de fazer o bem no mundo."
.
.
.
#rendaextra #renda #empreendedorismo #empreender https://t.co/IVd7uKc0ZU</t>
  </si>
  <si>
    <t>#codigo #kwai #ganhardinheiro #rendaextra https://t.co/E4tiKIBgxz</t>
  </si>
  <si>
    <t>Salatiel colocando dinheiro no bolso do nosso vip
#apostaesportiva #bingo #rendaextra https://t.co/8eCxDr2aVM</t>
  </si>
  <si>
    <t>Quer ganhar 3 mil por mês?
Veja essas dicas.
#business #3mil #dinheiro #rendaextra #empreendedorismo #rj #brasil https://t.co/s8uqF3yqlk</t>
  </si>
  <si>
    <t>INSISTIR, PERSISTIR, RESISTIR E NUNCA DESISTIR. #business #negocios #empreendedorismo #startup #lisboa #rj #brasil #dinheiro #rendaextra https://t.co/EepJVdVk6K</t>
  </si>
  <si>
    <t>INSISTIR, PERSISTIR, RESISTIR E NUNCA DESISTIR. #business #negocios #empreendedorismo #startup #lisboa #rj #brasil #dinheiro #rendaextra https://t.co/wvwotgyvGB</t>
  </si>
  <si>
    <t>Profissões que pode te deixar milionário ⤵️⤵️⤵️
#rendaextra
#afiliados
#donadecasaempreendedora
#trabalhoremcasa
#negociosonline
#ganhardinheiroonline
#oportunidadedetrabalho
#trabalhosimples https://t.co/cqkwoFlyKk</t>
  </si>
  <si>
    <t>Novo aplicativo pra ganhar dinheiro extra com suas notinhas. O pagamento é via Pix:
https://t.co/8KmletstS3
#brazil #rendaextra</t>
  </si>
  <si>
    <t>Buenas! Plataforma pagando no PayPal, em gift card ou Bitcoin. #rendaextra #PayPay
https://t.co/HPupQKLm4g</t>
  </si>
  <si>
    <t>Saiba quais são os melhores provedores de hospedagem de sites e comece seu negócio online para lucrar! #rendaextra 
https://t.co/7HxR5ytYJY</t>
  </si>
  <si>
    <t>Agora ao invés de 50 reais, estamos conseguindo pagar R$100,00 por cada indicação sua que fechar qualquer anúncio na Rede Indoor de Televisão, corre pra disparar nas suas redes sociais e faturar com seu CUPOM EXCLUSIVO. https://t.co/8GS5qMcdAO #dinheiro #rendaextra #comissão #rio https://t.co/U7OrWrzSGk</t>
  </si>
  <si>
    <t>Indique um amigo e ganhe $ 40 agora! Bônus de Indicação! Convide &amp;amp; Ganhe Ilimitado! E não perca a chance de ganhar um enorme prêmio de $1,200,000 milhão de dólares no https://t.co/8bYb7nAxUN Carnaval. https://t.co/64pZINIWnG 
  #rendaextra #bonusindicação  #bbb23</t>
  </si>
  <si>
    <t>Cadastra e ganha na hora 10,00 livre pra sacar 
ganha tambem 10,00 por cada indicado 
#rendaextra #indiqueeganhe #BBB23 
https://t.co/L9lIpOUTsb</t>
  </si>
  <si>
    <t>É normal ter medo de vender, mas é necessário vencer esse medo para alcançar o sucesso. 
Nosso trabalho é que consiga alcançar seus objetivos de vendas e se tornar um profissional bem-sucedido em nossa plataforma.
#desapego #rendaextra #vendasonline #esquece #anunciograti https://t.co/0b2MtvXtJr</t>
  </si>
  <si>
    <t>Um conjunto de garantias e facilidades.
Seu produto pode ser parcelado em até 12x e pode ser enviado para qualquer lugar do brasil. 
Desapegue com segurança e facilidade!
#desapego #rendaextra #vendas #vendasonline #esquece #anunciogratis https://t.co/bGb5Hbne0I</t>
  </si>
  <si>
    <t>Já conhece nossos produtos e serviços? Aqui na Esquece você encontra de tudo e mais um pouco. 
Venha nos conhecer!!  
https://t.co/M4srLrBzog
#marketplace #vendasonline #produtos #servicosenegocios #rendaextra #anunciogratis https://t.co/KQnoTbncdm</t>
  </si>
  <si>
    <t>Faça da vida um carnaval diário e seja feliz! Carnaval ou não, espalhe alegria!
Nós da Esquece desejamos boas festas e muita alegria para todos!! 
#desapego #rendaextra #vendas #vendasonline #esquece #anunciogratis https://t.co/7q9P2hQkHG</t>
  </si>
  <si>
    <t>Hoje é o Dia Mundial do Consumidor! 
Parabenizamos todos os consumidores pelo seu dia e convidamos a todos para conhecer nossa plataforma de compra e vendas. 
Acesse agora mesmo https://t.co/HhfyetecfQ e confira! 
#diadoconsumidor #rendaextra #vendas #vendasonline #anunciogratis https://t.co/RVQiKG9pMy</t>
  </si>
  <si>
    <t>Venha ter uma renda extra com simplicidade e segurança! 
Aqui no Esquece é possível ganhar um dinheiro a mais sem complicações!
Chegou o Esquece. Mais simplicidade e segurança na hora de comprar e vender o seu produto.
#rendaextra #empreendedorismo #vendasonline #anunciogratis https://t.co/hTQlH0ZnGj</t>
  </si>
  <si>
    <t>Aqui na Esquece, você encontrará uma variedade de produtos à venda, de diferentes categorias. Poderá realizar compras e vendas de forma rápida, segura e com total confiança.
Venha conhecer! https://t.co/HhfyetecfQ 
 #rendaextra #marketplace #vendasonline #anunciogratis https://t.co/lnMO6Atu7N</t>
  </si>
  <si>
    <t>Você sabia que o desapego material é uma ótima forma de libertar a mente e o corpo? Então comece hoje mesmo a desapegar de suas coisas que estão paradas ai.
Liberte-se! ESQUECE! 
#desapego #rendaextra #vendas #vendasonline #esquece #anunciogratis https://t.co/uTRKrTbnFq</t>
  </si>
  <si>
    <t>Descubra como obter uma renda extra entrando para o Esquece! 
Seja para poder complementar a renda familiar ou para realizar seus sonhos.
Venha para o Esquece e faça isso de forma fácil e rápida!
#rendaextra #vendas #vendasonline #esquece #anunciogratis https://t.co/GSDRFZGZtm</t>
  </si>
  <si>
    <t>😘Mulher empreendedora
 #empreendedorismofeminino #rendaextra https://t.co/UbTmtNDNBf</t>
  </si>
  <si>
    <t>Commit 02: Decio Bazin
• Há duas coisas que incomodam na Bolsa: os prejuízos da gente e os lucros dos outros.
• O futuro recompensa os que têm paciência com ele.
Muito bom para refletir.
#Investimentos #finanças #rendaextra</t>
  </si>
  <si>
    <t>PLR PREMIUM, é uma loja de venda de infoprodutos de alto padrão. Estrutura profissional para vender seus produtos na internet como Produtor, lucrando 100% em suas vendas. Clique no link abaixo
https://t.co/mZMtZh82cA
#rendaextra #plrprofissional #ganhedinheiro https://t.co/BMxXqu5dCj</t>
  </si>
  <si>
    <t>Índice opera em alta, após forte queda na semana passada, Dólar recua. #rendaextra #dolar #ibovespa #b3 #funny #viral
https://t.co/50rZpso5X7</t>
  </si>
  <si>
    <t>Novo produto rodando e pagando muito 😈📈
Meu contato: https://t.co/Z3EF1SEsIz
#rendaextra #dinheiro #plr #MarketingDigital #DigitalMarketing #kiwify #hotmart #ebook #DiadelOrgullo #SDM #plr #empreendedorismo #socio #livre https://t.co/OyB6dVpcOa</t>
  </si>
  <si>
    <t>ganhar dinheiro com a internet método inovador já testado formalmente nas redes sociais😱💰💡
Comenta "EU QUERO" te explicarei tudo!!!
#dinheiro #MarketingDigital #rendaextra #Rihanna #inovador #método</t>
  </si>
  <si>
    <t>Plataforma pagando bem 🤑🤑🤑
#dinheiro #money #rendaextra 
https://t.co/xfTgKPMTfA</t>
  </si>
  <si>
    <t>#rendaextra #trabalhodecasa =Ganharemdolar. Comente eu quero e eu lhe dou gratuito 3 mini cursos. https://t.co/dgu8vvsnPu</t>
  </si>
  <si>
    <t>Elaborado para atender desde pessoas que nunca tiveram contato com extensão de cílios a profissionais que queiram se especializar.
Aprenda todas as técnicas de extensão de cílios e aumente sua renda.
https://t.co/mFhty86NHC
#rendaextra #cursodecilios</t>
  </si>
  <si>
    <t>Curso Design de Sobrancelha é o ponto de partida perfeito. Com aulas práticas e teóricas, aprenderá técnicas essenciais para criar Sobrancelhas Perfeitas, realçando a beleza de cada cliente.
https://t.co/TiuNVC09Zm
#cursosobrancelhasperfeitas
#cursojessicasoares 
#rendaextra https://t.co/ju0RFsFvdo</t>
  </si>
  <si>
    <t>Minutos pagantes. Link na bio 🤑
#sempreganha
#slots
#slotsgame
#fortunetiger
#slotsgames
#cassinoonline
#cassino
#apostasonline
#jogos 
#jogosonline
#rendaextra
#jogosdeaposta https://t.co/X3wj7X9MDr</t>
  </si>
  <si>
    <t>Você conhece o Fortune Tiger? 
Com ele é possível fazer sua renda extra de forma simples e rápida, com multiplicador de 10x e pode ganhar até 2.500x.
#sempreganha
#slots
#slotsgame
#fortunetiger
#slotsgames
#cassinoonline
#cassino
#apostasonline
#jogos 
#jogosonline
#rendaextra https://t.co/GBsHh9uVp2</t>
  </si>
  <si>
    <t>Vem se divertir e jogar na plataforma sempre ganha! Só os melhores jogos🔥
#sempreganha
#slots
#slotsgame
#fortunetiger
#slotsgames
#cassinoonline
#cassino
#apostasonline
#jogos 
#jogosonline
#rendaextra
#jogosdeaposta https://t.co/yuZ3Yjyjt4</t>
  </si>
  <si>
    <t>Renda extra com cartão de crédito/débito do banco C6.
Átomos são pontos que não expiram. 
#rendaextra 
#rendacomcartaodecredito 
#bancoc6 https://t.co/ohZLeCXhBC</t>
  </si>
  <si>
    <t>🐍 Aprenda a programar em Python, uma das linguagens mais populares do mundo, e ainda ganhe dinheiro com nosso programa de afiliados! Comece agora mesmo: 
➡️https://t.co/2MFMdLBNMu
#python #programação #afiliados #rendaextra</t>
  </si>
  <si>
    <t>🚀 Aprender a programar em Python é fácil e divertido! Venha fazer parte do nosso programa de afiliados e transforme sua paixão em renda extra. Saiba mais: 
➡️https://t.co/2MFMdLBfWW
#python #programação #afiliados #rendaextra</t>
  </si>
  <si>
    <t>enquanto muitos trabalham pesado o dia todo pra no fim do mês, receber um salário mínimo, eu trabalho em casa 4 horas por dia e ganho o triplo. marketing mudou minha vida🚀💸
#marketing #rendaextra</t>
  </si>
  <si>
    <t>Continuem dizendo que o marketing é golpe KKKKKKKK enquanto eu vou fazendo meu dinheiro sem nem sair de casa, sem pegar peso... continuem KKKKK
#Marketing #rendaextra #Motivation #dinheiro https://t.co/S0928QCipj</t>
  </si>
  <si>
    <t>ouvir a notificação da #kiwify já faz parte do meu cotidiano 🚀💸
#marketing #dinheiro #rendaextra</t>
  </si>
  <si>
    <t>#RENDAEXTRA
GANHE DINHEIRO SOMENTE AVALIANDO PRODUTOS
DE GRAÇA
MINIMO DE SAQUE $80 MAXIMO $100
https://t.co/3RivLf0m2C</t>
  </si>
  <si>
    <t>@naanda0li PLATAFORMA DE RENDA EXTRA PAGANDO!!!
https://t.co/Wveg0m5TJd
#rendaextra #etatdurgence #ticketek https://t.co/7imyCsHNZ2</t>
  </si>
  <si>
    <t>Link: https://t.co/t6sJA8QMVf
Venham conhecer a metodologia de vendas, aprenda a vender qualquer produto utilizando apenas um celular ou qualquer dispositivo conectado a internet. #rendaextra #monetize #vendasonline #afiliados</t>
  </si>
  <si>
    <t>Olá boa tarde, tudo bem? Se você tá afim de ganhar uma #rendaextra ou até mesmo viver de um trabalho pela internet acista o vídeo e clique no link a seguir e saiba mais sobre o assunto.
👇 https://t.co/ux5ZKxH4VY https://t.co/2tR8iHB91Q</t>
  </si>
  <si>
    <t>ESTÁGIOS I A Lei de Estágio é um incentivo para as empresas
#estágios #emprego #rendaextra
https://t.co/iP6A5s4Y6k</t>
  </si>
  <si>
    <t>#RendaExtra
#Apps
#payment</t>
  </si>
  <si>
    <t>Você já pensou em garantir uma renda extra sem sair de casa? Só a WJbet proporciona para você um incrível bônus de indicação🥰
Visite agora https://t.co/6qeHFiXGPn e garanta sá a sua renda, estamos esperando por você!
#indica #renda #wjbet #rendaextra https://t.co/YTup76jqi5</t>
  </si>
  <si>
    <t>O SOM DO UNBOXING volta às raízes!!!!!Vamos com tudo em apresentar contatos de empresas de todo o Brasil!!!!!
#networking #networkmarketing #emprego #empregos #rendaextra #franquiasbrasil
https://t.co/e6rkTDsjWG</t>
  </si>
  <si>
    <t>Se você está em busca de novas oportunidades para aumentar sua renda, nós temos uma proposta para você! Junte-se a nós e faça parte de um time que valoriza sua determinação e oferece possibilidades de crescimento.
#oportunidades #rendaextra #crescimento #time #fy https://t.co/D5M5QCsnLS</t>
  </si>
  <si>
    <t>Você está em busca de novas oportunidades para aumentar seus ganhos? O Grupo Recupera Brasil oferece uma chance única de fazer parte da nossa equipe e impulsionar sua renda.🚀✨
#oportunidade #rendaextra #equipe #limpanome #fy https://t.co/xGg9Xc2tTM</t>
  </si>
  <si>
    <t>Você tem o desejo de empreender, mas também valoriza a segurança do seu emprego atual? Com o Grupo Recupera Brasil, você pode conciliar as duas coisas e alcançar o melhor dos dois mundos.
#empreender #benefícios #rendaextra #parceiro #fy https://t.co/rE2Dfx2oUD</t>
  </si>
  <si>
    <t>Alguns sites estão pagando pessoas para divulgar/vender seus Produtos e ganhar comissões com isso. De 50$ a 150$ p/ dia.
-Renner, iFood, C&amp;amp;A, Mercado Livre, Pinterest, Shein, Shopee e mais outras 300 por aí...
Aprenda hoje mesmo como iniciar e faça uma Ótima Renda #RENDAEXTRA https://t.co/8vw7TITqjx</t>
  </si>
  <si>
    <t>Cash Tube pagando no Pagbank e no Pix para assistir vídeo e fazer tarefas pagando certinho, ganhe até R$150,00. É só clicar no link abaixo. 👇
#ganhedinheiro #cashtube #rendaextra #homeoffice #aplicativosquepagam 
 https://t.co/f4UJQK3f9O https://t.co/ErS8oo6aq4</t>
  </si>
  <si>
    <t>Vem para rainha do bac bo.
#rendaextra https://t.co/qLWPKoxOm5</t>
  </si>
  <si>
    <t>Paga mais um no bac bo.
#bacbo #rendaextra https://t.co/K3eOCP8g8k</t>
  </si>
  <si>
    <t>Quer fazer uma lucro gostosinho assim também? E só vim CMG, que te mostro como...  #ganhardinheiro #MarketingDigital #twitch #TwitterDown #rendaextra https://t.co/GGjP2f6Lid</t>
  </si>
  <si>
    <t>#Finance #rendaextra #DigitalMarketing 
https://t.co/GRMetZ25Vs https://t.co/QkFCMXteuj</t>
  </si>
  <si>
    <t>@maribissx Os betas não entendem o significado de jogar para vencer.
#rendaextra</t>
  </si>
  <si>
    <t>Marins, tenho 2 mesas pagas e estou abrindo uma extra. Tenho uma mesa 0800 também aos domingos. A meta é 1k mês de RPG #rendaextra #rpg</t>
  </si>
  <si>
    <t>🤑Como ganhar $100 por dia  Parte 7   
Saiba Mais📷https://t.co/hn2523Ac00 
#tempodenegocios #Rendaextra #viral #fypシ #empreendedorismo #MONEY https://t.co/glYXjKEz0w</t>
  </si>
  <si>
    <t>🤑Como ganhar $100 por dia  Parte 6
 Saiba Mais📷https://t.co/hn2523Ac00 
#tempodenegocios #Rendaextra #viral #fypシ #empreendedorismo #MONEY https://t.co/MnmpJOWiuN</t>
  </si>
  <si>
    <t>🤑Como ganhar $100 por dia  Parte 5
 Saiba Mais📷https://t.co/hn2523Ac00
#tempodenegocios #Rendaextra #viral #fypシ #empreendedorismo #MONEY https://t.co/ZZR50nK4U6</t>
  </si>
  <si>
    <t>🤑Como ganhar $100 por dia  Parte 4
Saiba Mais📷https://t.co/hn2523Ac00 
#rendaextra #ganhardinheiro #comoganhardinheiro https://t.co/8f5COsTToX</t>
  </si>
  <si>
    <t>🤑Como ganhar $100 por dia 
Saiba Mais👉https://t.co/hn2523AJPy
#rendaextra #ganhardinheiro #comoganhardinheiro https://t.co/2YJaeW6BUs</t>
  </si>
  <si>
    <t>🤑Como ganhar $100 por dia Parte2 
🤑Pronavenda: https://t.co/hn2523Ac00
.
.
.
#rendaextra #ganhardinheiro #fypシ #Marketing https://t.co/n0Hfyl1EOC</t>
  </si>
  <si>
    <t>🤑Como ganhar $100 por dia Final
Saiba Mais📷https://t.co/hn2523Ac00 
#rendaextra #foryou #milionario https://t.co/5oOLBwg1pB</t>
  </si>
  <si>
    <t>Sabe o que é ser forte?
E você ter que aguentar 
Tudo dando errado
Na sua vida e ainda sorrir.
#mulherdenegócios #rendaextra #motivacao #palavra #mulheresempreendedoras #mulheresfortes💪 https://t.co/2Ke3OKNS3j</t>
  </si>
  <si>
    <t>Sucessos Possíveis : Dicas Para Melhorar sua Produtividade https://t.co/rFSVyATRGI 
#empreendedorismo #sucesso #liderança #liberdade #mentemilionaria #mentedesucesso #empreendedorismo #sucesso #lideranca #motivacao #riqueza #mentalidade #dinheiro #rendaextra #marketingdigital</t>
  </si>
  <si>
    <t>Sucessos Possíveis : Como Lidar Com o Medo do Fracasso https://t.co/81B2MhOnWa 
#empreendedorismo #sucesso #liderança #liberdade #mentemilionaria #mentedesucesso #empreendedorismo #sucesso #lideranca #motivacao #riqueza #mentalidade #dinheiro #rendaextra #marketingdigital</t>
  </si>
  <si>
    <t>💡 Explore fontes adicionais de renda, como freelancers, trabalho temporário ou vender itens não utilizados. Cada renda extra pode ajudar a cobrir despesas mensais. #RendaExtra #Economia</t>
  </si>
  <si>
    <t>50 segredos p/ ganhar dinheiro rápido! 💰💪 Descubra melhores formas de renda extra. Siga-me para dicas valiosas. #GanharDinheiro #RendaExtra #forYou https://t.co/jsAYanqvTj</t>
  </si>
  <si>
    <t>50 segredos p/ ganhar dinheiro rápido! 💰💪 Descubra melhores formas de renda extra. Siga-me para dicas valiosas. #GanharDinheiro #RendaExtra #forYou https://t.co/7uEA3XRtPT</t>
  </si>
  <si>
    <t>50 segredos p/ ganhar dinheiro rápido! 💰💪 Descubra melhores formas de renda extra. Siga-me para dicas valiosas. #GanharDinheiro #RendaExtra #forYou https://t.co/2TU7696iZ3</t>
  </si>
  <si>
    <t>50 segredos p/ ganhar dinheiro rápido! 💰💪 Descubra melhores formas de renda extra. Siga-me para dicas valiosas. #GanharDinheiro #RendaExtra #forYou https://t.co/2NOgwVwYgh</t>
  </si>
  <si>
    <t>50 segredos p/ ganhar dinheiro rápido! 💰💪 Descubra melhores formas de renda extra. Siga-me para dicas valiosas. #GanharDinheiro #RendaExtra #forYou https://t.co/YIaJ5ksbYj</t>
  </si>
  <si>
    <t>50 segredos p/ ganhar dinheiro rápido! 💰💪 Descubra melhores formas de renda extra. Siga-me para dicas valiosas. #GanharDinheiro #RendaExtra #forYou https://t.co/RlBj0vUxJA</t>
  </si>
  <si>
    <t>50 segredos p/ ganhar dinheiro rápido! 💰💪 Descubra melhores formas de renda extra. Siga-me para dicas valiosas. #GanharDinheiro #RendaExtra #forYou https://t.co/FiP4BI2jF5</t>
  </si>
  <si>
    <t>50 segredos p/ ganhar dinheiro rápido! 💰💪 Descubra melhores formas de renda extra. Siga-me para dicas valiosas. #GanharDinheiro #RendaExtra #forYou https://t.co/3Mc8qtd3sJ</t>
  </si>
  <si>
    <t>50 segredos p/ ganhar dinheiro rápido! 💰💪 Descubra melhores formas de renda extra. Siga-me para dicas valiosas. #GanharDinheiro #RendaExtra #forYou https://t.co/FVHy6NnKfR</t>
  </si>
  <si>
    <t>50 segredos p/ ganhar dinheiro rápido! 💰💪 Descubra melhores formas de renda extra. Siga-me para dicas valiosas. #GanharDinheiro #RendaExtra #forYou https://t.co/dMeM1Edmio</t>
  </si>
  <si>
    <t>50 segredos p/ ganhar dinheiro rápido! 💰💪 Descubra melhores formas de renda extra. Siga-me para dicas valiosas. #GanharDinheiro #RendaExtra #forYou https://t.co/9dH2GdFqdq</t>
  </si>
  <si>
    <t>50 segredos p/ ganhar dinheiro rápido! 💰💪 Descubra melhores formas de renda extra. Siga-me para dicas valiosas. #GanharDinheiro #RendaExtra #forYou https://t.co/bR63fGakhb</t>
  </si>
  <si>
    <t>50 segredos p/ ganhar dinheiro rápido! 💰💪 Descubra melhores formas de renda extra. Siga-me para dicas valiosas. #GanharDinheiro #RendaExtra #forYou https://t.co/aYdEzbEbX5</t>
  </si>
  <si>
    <t>50 segredos p/ ganhar dinheiro rápido! 💰💪 Descubra melhores formas de renda extra. Siga-me para dicas valiosas. #GanharDinheiro #RendaExtra #forYou https://t.co/2DInSPmqoF</t>
  </si>
  <si>
    <t>50 segredos p/ ganhar dinheiro rápido! 💰💪 Descubra melhores formas de renda extra. Siga-me para dicas valiosas. #GanharDinheiro #RendaExtra #forYou https://t.co/yfydvt5Wyy</t>
  </si>
  <si>
    <t>50 segredos p/ ganhar dinheiro rápido! 💰💪 Descubra melhores formas de renda extra. Siga-me para dicas valiosas. #GanharDinheiro #RendaExtra #forYou https://t.co/1jb6Tlmkgi</t>
  </si>
  <si>
    <t>50 segredos p/ ganhar dinheiro rápido! 💰💪 Descubra melhores formas de renda extra. Siga-me para dicas valiosas. #GanharDinheiro #RendaExtra #forYou https://t.co/4Qb6dmYpZd</t>
  </si>
  <si>
    <t>50 segredos p/ ganhar dinheiro rápido! 💰💪 Descubra melhores formas de renda extra. Siga-me para dicas valiosas. #GanharDinheiro #RendaExtra #forYou https://t.co/zr608qkRme</t>
  </si>
  <si>
    <t>50 segredos p/ ganhar dinheiro rápido! 💰💪 Descubra melhores formas de renda extra. Siga-me para dicas valiosas. #GanharDinheiro #RendaExtra #forYou https://t.co/fHXcHLGFOI</t>
  </si>
  <si>
    <t>50 segredos p/ ganhar dinheiro rápido! 💰💪 Descubra melhores formas de renda extra. Siga-me para dicas valiosas. #GanharDinheiro #RendaExtra #forYou https://t.co/H1DzZrWig3</t>
  </si>
  <si>
    <t>50 segredos p/ ganhar dinheiro rápido! 💰💪 Descubra melhores formas de renda extra. Siga-me para dicas valiosas. #GanharDinheiro #RendaExtra #forYou https://t.co/6kgbO3UOMx</t>
  </si>
  <si>
    <t>50 segredos p/ ganhar dinheiro rápido! 💰💪 Descubra melhores formas de renda extra. Siga-me para dicas valiosas. #GanharDinheiro #RendaExtra #forYou https://t.co/yhlPykS7ES</t>
  </si>
  <si>
    <t>50 segredos p/ ganhar dinheiro rápido! 💰💪 Descubra melhores formas de renda extra. Siga-me para dicas valiosas. #GanharDinheiro #RendaExtra #forYou https://t.co/FqWxV9YhVq</t>
  </si>
  <si>
    <t>50 segredos p/ ganhar dinheiro rápido! 💰💪 Descubra melhores formas de renda extra. Siga-me para dicas valiosas. #GanharDinheiro #RendaExtra #forYou https://t.co/VwOjZoLWeE</t>
  </si>
  <si>
    <t>50 segredos p/ ganhar dinheiro rápido! 💰💪 Descubra melhores formas de renda extra. Siga-me para dicas valiosas. #GanharDinheiro #RendaExtra #forYou https://t.co/jR8LFTtNwF</t>
  </si>
  <si>
    <t>50 segredos p/ ganhar dinheiro rápido! 💰💪 Descubra melhores formas de renda extra. Siga-me para dicas valiosas. #GanharDinheiro #RendaExtra #forYou https://t.co/FL9dU9d9jY</t>
  </si>
  <si>
    <t>50 segredos p/ ganhar dinheiro rápido! 💰💪 Descubra melhores formas de renda extra. Siga-me para dicas valiosas. #GanharDinheiro #RendaExtra #forYou https://t.co/rcvhh0na1E</t>
  </si>
  <si>
    <t>50 segredos para ganhar dinheiro rápido! 💰💪 Não perca tempo e descubra as melhores formas de renda extra. Siga-me para mais dicas valiosas. #GanharDinheiro #RendaExtra #forYou https://t.co/ganhsq2V3h</t>
  </si>
  <si>
    <t>50 segredos p/ ganhar dinheiro rápido! 💰💪 Descubra melhores formas de renda extra. Siga-me para dicas valiosas. #GanharDinheiro #RendaExtra #forYou https://t.co/QFA0SZ7ZtV</t>
  </si>
  <si>
    <t>50 segredos p/ ganhar dinheiro rápido! 💰💪 Descubra melhores formas de renda extra. Siga-me para dicas valiosas. #GanharDinheiro #RendaExtra #forYou https://t.co/xtBRSK783k</t>
  </si>
  <si>
    <t>Dicas para ter sucesso no dropshipping #rendaextra #dinheiroonline #dropshipping https://t.co/SbzwzYp4T1</t>
  </si>
  <si>
    <t>Dropshipping #rendaextra #dinheiroonline https://t.co/NiSWb1AUjt</t>
  </si>
  <si>
    <t>Marketing digital é um erro!
#marketingdigital #rendaextra https://t.co/ui9LG98rBK</t>
  </si>
  <si>
    <t>Dropshipping Vale a Pena?
#marketing #dinheiroonline #rendaextra https://t.co/lmYpIylgTq</t>
  </si>
  <si>
    <t>Três Gatilhos Mentais #Marketing #rendaextra #dinheiroonline https://t.co/iImshAC2AK</t>
  </si>
  <si>
    <t>Marketing Digital após pandemia 
#ganhardinheiro #rendaextra #MarketingDigital https://t.co/nAnUbJmXtk</t>
  </si>
  <si>
    <t>Como vender sem estoque 
#rendaextra #dropshiping https://t.co/bP8whgBRBD</t>
  </si>
  <si>
    <t>FORTUNE RABBIT - MEGA GANHO R$160
#slots #fortunerabbit #ganhadinheiroonline
#lucroreal #jogosonline #rendaextra #pgslot 
🤩🤩🤩A sorte está aqui —&amp;gt; https://t.co/627gl3V4d7 https://t.co/fiVYnf6be1</t>
  </si>
  <si>
    <t>#dinheiro #rendaextra</t>
  </si>
  <si>
    <t>A geração futura de coach de saúde, bem estar e nutrição esportiva está nascendo agora. Que seja por trabalho ou por paixão, junte-se hoje ao time que mais cresce na maior empresa do mundo. #saude #bemestar #nutricaoesportiva #rendaextra https://t.co/4GtjZTooqF</t>
  </si>
  <si>
    <t>A geração futura de coach de saúde, bem estar e nutrição esportiva está nascendo agora. Que seja por trabalho ou por paixão, junte-se hoje ao time que mais cresce na maior empresa do mundo. info whats (84)994254114 #saude #bemestar #nutricaoesportiva #rendaextra https://t.co/s28fFMJvaj</t>
  </si>
  <si>
    <t>Só ganha quem joga🤑
#gogowin #slotonline #rendaextra #Trump #Chelsea #Brasil https://t.co/zHgaGkN8zp</t>
  </si>
  <si>
    <t>#bbb23 #QuintaDetremuraSdv
#afiliadosedduz #edduz #rendaextra #Pinterest
O passo a passo completo e sem enrolação para você aprender a monetizar e vender sem aparecer através do Pinterest.
https://t.co/LHwCYaXSkQ https://t.co/B0rejRI1NU</t>
  </si>
  <si>
    <t>#bbb23 #QuintaDetremuraSdv
#afiliadosedduz #edduz #rendaextra #Pinterest
O passo a passo completo e sem enrolação para você aprender a monetizar e vender sem aparecer através do Pinterest.
https://t.co/LHwCYaYqao</t>
  </si>
  <si>
    <t>Tá afim de ganhar em dólar respondendo perguntas?
#dinheiro #rendaextra #mone
https://t.co/YWDRlr3cFt</t>
  </si>
  <si>
    <t>Bora pra mais um dia, só vem com essa pré.
#bet365 #ChampionsLeague #rendaextra #foco #dedicacao #aposta https://t.co/5digAhYQOL</t>
  </si>
  <si>
    <t>Precisando de uma Renda Extra
Venha fazer parte dos Afiliados Rv Khaleb Bueno
Ganhe de 400 a 4.000 mensal 
Indicou 💻
Fechou 🎯
Ganhou 💰
Rv Khaleb Bueno
#weddingofficiantdobrasil 
19 996475907 
#rendaextra #rendamultipla #dinheiroextra #afiliados
https://t.co/N3hoR6Wvf3</t>
  </si>
  <si>
    <t>Já pensou em ganhar dinheiro jogando ?? 🤑💻 
Neste post, preparamos algumas dicas e sugestões que podem ajudá-lo a transformar seu hobby em uma fonte de renda extra! 
#ganhedinheiro #games #rendaextra #dicasdegames #compartilhesuadica https://t.co/WybqqwlNY4</t>
  </si>
  <si>
    <t>Gerando grana com seu PC 😃👋 Algumas idéias! https://t.co/7tsHLxwK6i via #WordPress #Brasil #blog #rendaextra</t>
  </si>
  <si>
    <t>stou usando e curtindo muito. Além de ganhar um dinheirinho extra com tarefas simples e interessantes. Vem conhecer esta Rede Social de #videos se ainda nã?o conhece📷 https://t.co/54B5GPntqj #kwai #Vídeos #Noticias #rendaextra https://t.co/5eGlKaVJIt</t>
  </si>
  <si>
    <t>#kwai #Vídeos #Noticias #rendaextra</t>
  </si>
  <si>
    <t>Estou usando e curtindo muito. Além de ganhar um dinheirinho extra com tarefas simples e interessantes. Vem conhecer esta Rede Social de #videos se ainda não conhece. 😊👋Acesse https://t.co/54B5GPntqj 
#kwai #Vídeos #Noticias #rendaextra https://t.co/7j03tfqmBl</t>
  </si>
  <si>
    <t>#kwai #Vídeos #Noticias #rendaextra #Brasil</t>
  </si>
  <si>
    <t>Participe da atividade comigo para ganhar R$650. Os usuários inativos também podem participar e ganhar dinheiro!🤗 https://t.co/7uDnR3uBCw
#kwai #Vídeos #Cash #rendaextra</t>
  </si>
  <si>
    <t>Estou usando e curtindo muito. Além de ganhar um dinheirinho extra com tarefas simples e interessantes. Vem conhecer esta Rede Social de #videos se ainda nã?o conhece📷 https://t.co/54B5GPntqj 
#kwai #Vídeos #Noticias #rendaextra https://t.co/3QTCUu9Vex</t>
  </si>
  <si>
    <t>Estou usando e curtindo muito. Além de ganhar um dinheirinho extra com tarefas simples e interessantes. Vem conhecer este aplicativo 😊🤗
https://t.co/54B5GPntqj
#kwai #Vídeos #Noticias #rendaextra</t>
  </si>
  <si>
    <t>Não perca tempo sua chance de ter a vida que sempre sonhou.
https://t.co/QflrejquOt
#rendaextra #plr #kiwify #sucesso #marktingdital #emprendedor https://t.co/JvOAmv9wS8</t>
  </si>
  <si>
    <t>GANHE DINHEIRO ASSISTINDO VÍDEOS NO CELULAR 
#rendaextra #rendaextraemcasa #rendaextraonline #rendaextraagora #ganhedinheironainternet #ganhardinheiroassistindovideos #lucrandocomvideos #videolucrativo #metodovideolucrativo 
https://t.co/9I02K85K1n</t>
  </si>
  <si>
    <t>"Quer ganhar dinheiro sem sair de casa? A internet é o lugar certo! Com um pouco de dedicação e boa estratégia, você pode transformar seu tempo livre em renda extra 💰💻 #ganhardinheiro #internet #rendaextra" https://t.co/yHE87OuIK2</t>
  </si>
  <si>
    <t>Sinais automáticos com rendimento médio de 1% ao dia. 
Cadastro grátis, mínimo de US$250,00 (+ ou - uns R$1.300,00)
De banca para iniciar. 
E já começa a ganhar 1% ao dia:
https://t.co/Ess87M9MpD…
@RjRealidadedorj #rendaextra #Binance #OptionsTrading #isola #dinheiro #forex https://t.co/0g2HjhQvqj</t>
  </si>
  <si>
    <t>5- Participação em pesquisas online: Algumas empresas pagam para que você participe de pesquisas online para ajudá-las a entender melhor seus consumidores e melhorar seus produtos e serviços. #renda #rendaextra #dinheiro #trabalho</t>
  </si>
  <si>
    <t>4- Publicidade online: Você pode monetizar seu blog, site ou canal do YouTube exibindo anúncios de empresas em troca de uma taxa, ou a venda direta de espaço publicitário. #renda #rendaextra #dinheiro #trabalho</t>
  </si>
  <si>
    <t>3- Venda de produtos físicos: Você pode vender produtos físicos por meio de plataformas digitais, criar sua própria loja virtual. Você pode vender produtos que você já possui ou investir em estoque para revender. #dinheiro #rendaextra #trabalho #renda</t>
  </si>
  <si>
    <t>2- Criador de conteúdo, você pode ganhar dinheiro criando cursos online. Há uma grande demanda por cursos de idiomas, cursos de habilidades técnicas e muito mais! #rendaextra #dinheiro #trablho #homeoffice</t>
  </si>
  <si>
    <t>1- Afiliados, mercado onde você pode vender produtos/serviços de terceiros e ganhar por cada venda. Ótimo para trabalhar em casa pelo celular ou computador onde tenha acesso a internet!  #rendaextra #dinheiro #trabalho</t>
  </si>
  <si>
    <t>Está procurando por uma renda extra? Confira essas 5 maneiras de ganhar dinheiro online! #trabalho 
#rendaextra #dinheiro</t>
  </si>
  <si>
    <t>Mães, somos especialistas em encontrar soluções para as necessidades de nossos filhos. Então, por que não transformar essa habilidade em uma fonte de renda extra?  #marketingdeafiliados #trabalharemcasa #rendaextra #mãesempreendedoras https://t.co/EIPTAfnT4W</t>
  </si>
  <si>
    <t>MINICURSO GRATUITO
TRILHA DE MILHÕES
O PASSO A PASSO DEFINITIVO PARA GANHAR DINHEIRO NA INTERNET USANDO APENAS O CELULAR
#RENDAEXTRA 
https://t.co/Cr9Khfqy68</t>
  </si>
  <si>
    <t>Aprenda tudo que precisa sobre Design de Sobrancelhas e se destaque na sua região!
https://t.co/kRI5UKo4q5
#rendaextra https://t.co/Fc9i1y0UVM</t>
  </si>
  <si>
    <t>Venha conhecer a CLUBEWIM 
PLATAFORMA DA SORTE 🍀💚👏
https://t.co/4K6pI5873X
Código de convite 3TR7XW
#CLUBEWIN #slots
#esportesdasorte
#MetGala2023 
#ganhardinheiro #pgslotofficial #pgslot #joguinhosdasorte #rendaextra #AGrandeConquista</t>
  </si>
  <si>
    <t>9 IDEIAS PARA GANHAR DINHEIRO TRABALHANDO POR CONTA PRÓPRIA https://t.co/WfiwsoStcO via @YouTube 
#ganhardinheiro #ideiasparaganhardinheiro #rendaextra #ganhardinheironainternet #trabalharemcasa #homeoffice #marketingdigital #marketingdigitalbrasil #empreender #empreendedorismo</t>
  </si>
  <si>
    <t>Quer começar na vida digital ganhando dinheiro somente usando teu celular e não sabe como?? Eu te ajudo!! Clica aqui e conhece esse mini curso com todas as dicas de ouro para esse mercado!!
#MarketingDigital
#iniciação
#rendaextra
https://t.co/Bk5uxMNOew</t>
  </si>
  <si>
    <t>Para quem gostar de aposta... Esse eu indico...
https://t.co/n9duqcAmVD
#jogos #online #rendaextra https://t.co/6NjEwTF9Cv</t>
  </si>
  <si>
    <t>#rendaextra
#ondecomprar
#dinheiro
#cursodeinvestimentos</t>
  </si>
  <si>
    <t>Tá esperando até quando cair do céu a tua renda extra??
#vemcomigo #rendaextra #empreendedorismo https://t.co/qiuX65SLuR</t>
  </si>
  <si>
    <t>Funnybet-Spaceman
Desfrute de diferentes emoções
#funnybet #funnybetbrasil #bet #brasil #slots #jogo #win #bigwin #chellenge #aces #casino #casinoonline #betting #lucros #casinò #rendaextra #jogosonline #palpites #brasil #independenciafinanceira #ações #rendafixa #dinheiro https://t.co/MX38TwoGUI</t>
  </si>
  <si>
    <t>Experimente uma experiência de jogo diferente no Funnybet
#funnybet #funnybetbrasil #bet #brasil #slots #jogo #win #bigwin #chellenge #aces #casino #casinoonline #betting #lucros #casinò #rendaextra #jogosonline #palpites #brasil #independenciafinanceira #ações #rendafixa https://t.co/uPdRHxpYzW</t>
  </si>
  <si>
    <t>Fortune tiger --Desfrute de uma experiência de jogo diferente no Funnybet
Vamos, o tigre está esperando por você!
#funnybet #funnybetbrasil #bet #brasil #slots #jogo #win #bigwin #chellenge #aces #casino #casinoonline #betting #lucros #casinò #rendaextra #jogosonline #palpites https://t.co/GbbFiWTMLv</t>
  </si>
  <si>
    <t>#funnybet #funnybetbrasil #bet #brasil #slots #jogo #win #bigwin #chellenge #aces #casino #casinoonline #betting #lucros #casinò #rendaextra #jogosonline #palpites #brasil #independenciafinanceira #ações #rendafixa #dinheiro #milionário #aposta #roboinvestidor #dinheiroextra https://t.co/TMsjm8ufzI</t>
  </si>
  <si>
    <t>#funnybet #funnybetbrasil #bet #brasil #slots #jogo #win #bigwin #chellenge #aces #casino #casinoonline #betting #lucros #casinò #rendaextra #jogosonline #palpites #brasil #independenciafinanceira #ações #rendafixa #dinheiro #milionário #aposta #roboinvestidor #dinheiroextra https://t.co/0aGkhpGaaK</t>
  </si>
  <si>
    <t>Double da FunnyBet está pagando bem demais🤑🔥
#funnybet #funnybetbrasil #bet #brasil #slots #jogo #win #bigwin #chellenge #aces #casino #casinoonline #betting #lucros #casinò #rendaextra #jogosonline #palpites #brasil #independenciafinanceira #ações #rendafixa #dinheiro https://t.co/DHGN6dbyCv</t>
  </si>
  <si>
    <t>Mostrei meu amigo como foi fácil ganhar e fazer o dinheiro da pizza rápido na FunnyBet🙅🔥
#funnybet #funnybetbrasil #bet #brasil #slots #jogo #win #bigwin #chellenge #aces #casino #casinoonline #betting #lucros #casinò #rendaextra #jogosonline #palpites #brasil https://t.co/rJBbJlm5z7</t>
  </si>
  <si>
    <t>Ele GANHOU mais +R$5.000 reais no crash da Funnybet muitooo FÁCIL!!! VEM PRA Funnybet
#funnybet #funnybetbrasil #bet #brasil #slots #jogo #win #bigwin #chellenge #aces #casino #casinoonline #betting #lucros #casinò #rendaextra #jogosonline #palpites #brasil https://t.co/tSKKigORoM</t>
  </si>
  <si>
    <t>Aplicativo pagando R$30,00 no cadastro 
✅️R$30,00 para se cadastrar 
✅️R$20,00 na roleta 
✅R$1,50 por dia ️
✅️R$4,00 por convite 
Saca sem investir 💃💃
https://t.co/6nLhvJAW9X
#rendaextra</t>
  </si>
  <si>
    <t>Já ganhou os r$500 do kwai? Só dando impulso? 
Pois cuida, falta pouco 
Te envio um aviãozinho de cédula no valor de R$ 500, adquira agora~ https://t.co/sCQZBh8vCo
#rendaextra</t>
  </si>
  <si>
    <t>Natura 
Um dos catálogos mais populares do país. Desconto de 20%
#catalogos #trabalheconosco #rendaextra
https://t.co/cm9fpyhFcN</t>
  </si>
  <si>
    <t>Luzon 
Folheados, cosméticos e lingeries. Descontos de 25 ou 30%
#catalogos #trabalheconosco #rendaextra
https://t.co/cm9fpyhFcN</t>
  </si>
  <si>
    <t>🔴Trabalho de casa com #marketingdigital com produtos físicos! 
E o melhor sem precisar aparecer!E aprendi todas as estratégias aqui,vender no Oculto! MPO ✅️ https://t.co/F2UII8Rzzc  #afiliados #podcast #foryou #bbb23 #alexvargas #vendas #rendaextra #dinheiroonline #ondecompra https://t.co/JaMYINUiJg</t>
  </si>
  <si>
    <t>Você está precisando ganhar uma #rendaextra ? 
Ou até abrir seu negócio próprio do Zero ? 
Aqui você tem mais 15 estratégias de vendas na INTERNET sem aparecer ! #CupomDeDesconto DE 65%OFF ✅https://t.co/F2UII8Rzzc  #afiliados  #vendasnainternet #ondecompro #aondecompra #BBB23 https://t.co/4r1pLeCFtm</t>
  </si>
  <si>
    <t>Viva essa liberdade através do Marketing Digital ⭕️
Comece agora mesmo a faturar na Internet com estratégias sem precisar aparecer em redes sociais! 
✅️https://t.co/F2UII8Rzzc #marketingdigital #afiliados #eduzz #hotmart #bbb23 #news #foryou #rendaextra #ondecomprar #alexvargas https://t.co/69VAU61Se2</t>
  </si>
  <si>
    <t>🔴Você sabia que você vender produtos e infoprodutos na Internet e receber até 80% de comissão? Clica nesse link e saiba mais !🔗https://t.co/5LBNLuuJCb 
#MarketingDigital #primeiravenda #bbb23 #foryou #marketing #ceo #vendasonline #rendaextra #empreender #hotmart #eduzz #comprar https://t.co/nOTRD1XYOI</t>
  </si>
  <si>
    <t>🔴Aprenda a vender na Internet sem aparecer e investimento!
E conquistar através do seu trabalho digno os seus sonhos 🥰Seu acesso com 60%OFF🔥https://t.co/i8MBbJQBRv
De $499 por 12×$16,99 #MarketingDigital #primeiravenda #afiliados #bbb23 #rendaextra #ondecompro #dinheiro #viral https://t.co/5Md3d5uhMl</t>
  </si>
  <si>
    <t>🔴Você já imaginou aprender como trabalhar com a Internet e ter uma #rendaextra de no mínimo $5 Mil por mês, trabalhando de casa ,sem estoque ,sem chefe ,sem horários fixos ! Clique no link e saiba mais🔗https://t.co/qVtL99TXsU #marketingdigital #promo #ondecomprar #bbb23 #viral https://t.co/2ocNkWvkgj</t>
  </si>
  <si>
    <t>🔴Um treinamento que te pega pela mão e te conduz ao caminho do sucesso e das vendas automáticas !O que fez a minha vida mudar! Hoje com desconto de 65%OFF DIA DAS MULHERES🌹✨️🔗https://t.co/ZkjEZm3wU2 🚀
#marketingdigital #rendaextra #maney #promo #ondecomprar #8DeMarzo #bbb23 https://t.co/3kD59yIPrs</t>
  </si>
  <si>
    <t>Você tem medo de começar no #MarketingDigital? 
É super normal ... porém , precisa ir além, do medo !
Adquire conhecimento que vai fazer teu medo ir embora !!! 
🔗 https://t.co/5LBNLuuJCb
#afiliados #dinheiro #rendaextra #trabalharemcasa #vendasonline #money #bbb233 #ondecomprar https://t.co/vqF6Os5V5o</t>
  </si>
  <si>
    <t>🔴Trabalhar de qualquer lugar , e ainda receber comissões como essa com produtos físicos! 
Acesse agora 🔗https://t.co/yDHO1yBuZm
#marketingdigital #Marketing #bbb23 #foryou #ondecomprar #vendas #vendasonline #CEO #mães #rendaextra #podcast https://t.co/21FjJTOzSj</t>
  </si>
  <si>
    <t>Bom dia Ambiosos ! Dia incrível pra você! 🌹✨️
#felizdiadasmulheres 
#bomdia #cafe #sucesso #marketingdigital #trabalhoemcasa #rendaextra #vemaprender https://t.co/UExWT56fC8</t>
  </si>
  <si>
    <t>🔴 Nunca imaginei viver isso !!
Trabalhar da minha casa , com minhas filhas e ainda ser bem remunerada pelo meu trabalho!
Isso é Marketing Digital - Quer aprender ? 🔗https://t.co/FpSd4AWdZO
#marketingdigital
#rendaextra
#empreender
#trabalharemcasa
#afiliados
#marketingafiliados https://t.co/dwv1DE1L85</t>
  </si>
  <si>
    <t>✨️ Dia de lutas , dias de glória! 🤌
.
#choraoeterno #marketingdigital #emprender #afiliados #mercadodigital #boss #vendas #dinheiro #rendaextra https://t.co/D2DCtTM5lt</t>
  </si>
  <si>
    <t>💜 Carol , conquistou sua liberdade através das vendas no Mercado Digital 
E você também pode ! Clica aqui 👇
https://t.co/w2dy4OTygn
#marketingdigital #Digital #ceo #vendas #mulheres #mães #ondecomprar #aondecomprar #rendaextra #homeoffice #trabalhoemcasa https://t.co/6PNhpKWPRR</t>
  </si>
  <si>
    <t>💜 É possível! A Internet te traz várias oportunidades,  aprenda tudo do zero a trabalhar só com produtos físicos!  Não... é $300 pra aprender , só $87 👊😉
🔗https://t.co/w2dy4OTygn
#marketing #marketingdigital #CEO #viral #foryou #vendas #rendaextra #WTCFinal2023 https://t.co/gsjQxoHKJo</t>
  </si>
  <si>
    <t>Lívia vende produtos físicos na Internet,  com estratégias que ensinamos no mentoria MPO ! 
Saiba mais aqui 👇
💸https://t.co/F2UII8Rzzc
#vendas #matketingonline #viral #ondecomprar #rendaextra #aondecomprar #foryou https://t.co/Taon73voDM</t>
  </si>
  <si>
    <t>🔴Mães no Marketing Digital faturam muito todos os dias✨️
Se você precisa de uma renda- extra 👇🔥
 Faturar todos os dias🔗https://t.co/yDHO1yBuZm
#marketingdigital #marketing #Digital #bbb23 #foryou #viral #rendaextra #mães #mulheres #dinheiro #vendasonline #vendas #ondecompra https://t.co/pHOmyJABK3</t>
  </si>
  <si>
    <t>🎯💰Ganhe até R$150.000 TOTALMENTE GRÁTIS, esse evento é Oficial e totalmente exclusivo. Pra participar é muito fácil. 💰
1 - Curta esta publicação 
2 - Marque 3 amigos nos comentários 
3 - Link do Evento https://t.co/2GaDPgL8DZ 
#rendaextra #criptomoedas #dinheiroonline #NFT https://t.co/CpQUE9RGgF</t>
  </si>
  <si>
    <t>⛔️✅Ganhe até R$148.000 TOTALMENTE GRÁTIS, esse evento é Oficial e totalmente exclusivo. Para participar é muito fácil. 
1 - Curta esta publicação 
2 - Marque 3 amigos nos comentários   
3 - Link do Evento https://t.co/CYYlHzVMij 
#rendaextra #criptomoedas #dinheiroonline #NFT https://t.co/S3HuZzFm3M</t>
  </si>
  <si>
    <t>Ganhar Dinheiro online : As frases do Sonhador da Internet https://t.co/bOngEjwj9y #rendaextra #dinheiroextra</t>
  </si>
  <si>
    <t>💼 Considere diversificar suas fontes de renda. Ter uma única fonte de renda pode ser arriscado. Busque oportunidades para ganhar dinheiro extra, como trabalhos freelancer ou negócios online. #RendaExtra #Diversificação</t>
  </si>
  <si>
    <t>"💻💰 Já está diversificando seus ganhos online? Atualmente, existem diversas oportunidades para obter uma renda extra! Aproveite o potencial da internet para lucrar e adquirir conhecimento. Invista em si mesmo(a) e proteja seu patrimônio! 💪💸 #RendaExtra #OportunidadesOnline" https://t.co/kK7iafkDu2</t>
  </si>
  <si>
    <t>Esta notícia me deixa triste!
Cuidado com golpes de renda extra
#rendaextra
#dinheiro
#CadizValencia
#GlazersOut
https://t.co/1c5TeusB2Q</t>
  </si>
  <si>
    <t>@felipeneto Pq cê tá de Blazer, Felipinho? #fandom #blaze #rendaExtra</t>
  </si>
  <si>
    <t>Gente já  pensou em ter uma renda em dólar.
Abaixo  tá  resultados  de alunos  que fazem  esse curso, se tiver interesse clique no link abaixo. 
https://t.co/bwuQ98sbwL
#rendaextra #shein
#Marketing
#marketplace https://t.co/meSfwf0hLB</t>
  </si>
  <si>
    <t>Já, imagino ter liberdade de tempo, liberdade financeira, poder  ter uma renda extra e ainda ganhar  em dolar. 
Essas pessoas faz isso.
Clique  no link abaixo e conheça esse treinamento. 
https://t.co/bwuQ98rDHd
#rendaextra #Marketing #marketingafiliados https://t.co/WHCMIFlu4O</t>
  </si>
  <si>
    <t>O que é marketing de afiliados?
Você não precisa ter os produtos na mão, não vai se preocupar com envio ou ter burocracia.
#rendaextra #rendaextraemdolar
#MarketingDigital
#Marketing https://t.co/hQ69z1hTye</t>
  </si>
  <si>
    <t>🚀 Descubra como ganhar uma renda extra com a Nixin Marketing. Não perca essa oportunidade de impulsionar sua carreira e aumentar sua renda! Chama no direct para saber mais!
#trabalhoemcasa  #vendaonline #dinheiroextra #rendaextra #internet #dinheiroonline #empreendedorismo https://t.co/oygc4q4Glq</t>
  </si>
  <si>
    <t>Descubra como ganhar uma renda extra de forma simples e fácil!
Não perca a oportunidade de garantir um dinheiro a mais no fim do mês e realizar seus objetivos financeiros. Vem conferir!
#rendaextra #trabalhoemcasa #vendaonline #dinheiroextra #rendaextra #dinheiroonline https://t.co/f4o5SHKpXc</t>
  </si>
  <si>
    <t>Nesse vídeo trago 3 formas de fazer renda extra em 2023. A primeira é a MAIS RÁPIDA e a terceira é a MELHOR!
https://t.co/iPNoNzBM7j
#rendaextra https://t.co/VintaJziMc</t>
  </si>
  <si>
    <t>Preciso ganhar dinheiro na internet, mas sem comprar cursos mirabolantes, de verdade mesmo coisa real?? Me indiquem por favor!!
#rendaextra
#Internet 
#Reel 
#Oscars</t>
  </si>
  <si>
    <t>👉 Faça isso em seus posts e ganhe a confiança de sua audiência!
⚠️ Bora fazer acontecer?
✅️ Adquira já o nosso curso na plataforma 👉 https://t.co/rdo2nFD7eB
#rendaextra #cursosonline #cursodesemijoias #viverdesemijoias #empreendedorismo #eduzz #erikanatalconsultoria https://t.co/YXl57Yh1MO</t>
  </si>
  <si>
    <t>Apaixonado nesse TD.
Game NFT para tirar uma grana extra.
Para mais informações é só chamar no direct.
#gamenft #nft #crypto #rendaextra https://t.co/4vecHN2T0x</t>
  </si>
  <si>
    <t>#apostas #ondecompra #ondecompro #rendaextra #websites Faça parte do mais novo grupo da Bot Mines Pro que promete te ensinar a ter altos níveis de assertividade de 98%
forma fácil e inteligente. Tenha uma renda extra. 
https://t.co/43PMwgny2D https://t.co/0h7PHtyBCX</t>
  </si>
  <si>
    <t>✳️Torne-se um Barbeiro Proficional!!!    
💯Consegui uma aula gratuita para vc esperimentar: https://t.co/1U7FCVZVMr   
🤏 Mas são poucas vagas nessa aula, então corre!      
 Dúvidas me chama!!
.
.
.
.
#barbearia #barbeiro #cortesdecabelo #corte #rendaextraemcasa https://t.co/VPUlfkiQpN</t>
  </si>
  <si>
    <t>"Todos os seus sonhos podem se tornar realidade se você tem coragem para persegui-los" – Walt Disney, 
#empreendedor #rendaextra #ganhardinheiro #empreendedorismo #bbb2020 #oportunidade #trabalharemcasa #negocioonline #realizacao #gratidao https://t.co/ZiCpj8JaW0</t>
  </si>
  <si>
    <t>"Coragem é a capacidade de agir apropriadamente mesmo quando morrendo de medo."💪💰
#motivação #rendaextra #motivaçao #ficarrico #ganhardinheiro #trabalharemcasa https://t.co/1mE3lRm2aj</t>
  </si>
  <si>
    <t>"Coragem é a capacidade de agir apropriadamente mesmo quando morrendo de medo."💪💰
#motivação #rendaextra #motivaçao #ficarrico #ganhardinheiro #trabalharemcasa https://t.co/vRnaF18U8a</t>
  </si>
  <si>
    <t>"Todos os seus sonhos podem se tornar realidade se você tem coragem para persegui-los" – Walt Disney, 
#empreendedor #rendaextra #ganhardinheiro #empreendedorismo #bbb2020 #oportunidade #trabalharemcasa #negocioonline #realizacao #gratidao https://t.co/GD4Plb0KPF</t>
  </si>
  <si>
    <t>"Coragem é a capacidade de agir apropriadamente mesmo quando morrendo de medo."💪💰
#motivação #rendaextra #motivaçao #ficarrico #ganhardinheiro #trabalharemcasa https://t.co/fxcVrsVFxh</t>
  </si>
  <si>
    <t>SUA INSCRIÇÃO LEVA ÁGUA PARA A ÁFRICA!
5% de todo o faturamento desse treinamento vai para a construção de cisternas na África.
Ao adquirir o Meta Dólar você também está contribuindo com esta ação solidária.
#dolar 
#rendaextra
#MarketingDigital 
#Sucesso
#tralharemcasa
#foco</t>
  </si>
  <si>
    <t>Já pensou em ter a LIBERDADE que todos sonham? Sendo elas: FINANCEIRA, GEOGRÁFICA E TEMPO. Pois com nosso curso ensinaremos você a ter essa liberdade e o melhor fazendo dólar na internet. Se interessou? Dê uma olhada https://t.co/W2FzIxY1lU
#dolar 
#MarketingDigital 
#Rendaextra https://t.co/1JFKQMBjMe</t>
  </si>
  <si>
    <t>Hoje venho mostrar um depoimento de um aluno que faz o treinamento pra mostrar que isso é sério e não enganação, venha você também entrar para o time e mudar sua vida!!! Acesse 👉https://t.co/ONEGllzgIt 👈
#dolar 
#MarketingSuccess 
#trabalharemCasa
#RendaExtra
#sucesso https://t.co/SBud51OxMQ</t>
  </si>
  <si>
    <t>GANHE EM DÓLAR SEM PRECISAR FALAR INGLÊS!!! Acha isso improvável? Com nosso treinamento eu mostro pra você que é possível SIM!! Clique  https://t.co/W2FzIxYzbs e veja todo o material que você terá acesso!! Não perca essa oportunidade!! Te espero lá.
#MarketingDigital 
#RendaExtra https://t.co/K4bAeRoNZ3</t>
  </si>
  <si>
    <t>Fique tranquilo, Jasmine Dreams™ está repleto de vitórias selvagens.
#smashup #smashupbrasil #smashupbet #smash #bet #brasil #slots #jogo #win #bigwin #chellenge #aces #casino #casinoonline #betting #lucros #casinò #rendaextra #jogosonline #palpites #brasil https://t.co/vbx4PEgMV0</t>
  </si>
  <si>
    <t>Padrões selvagens chamam a savana de lar em African Elephant™.
#smashup #smashupbrasil #smashupbet #smash #bet #brasil #slots #jogo #win #bigwin #chellenge #aces #casino #casinoonline #betting #lucros #casinò #rendaextra #jogosonline #palpites #brasil #independenciafinanceira https://t.co/wo7UsIv8hM</t>
  </si>
  <si>
    <t>Descubra as relíquias escondidas das tumbas astecas em Jane Hunter and the Mask of Montezuma™.
#smashup #smashupbrasil #smashupbet #smash #bet #brasil #slots #jogo #win #bigwin #chellenge #aces #casino #casinoonline #betting #lucros #casinò #rendaextra #jogosonline #palpites https://t.co/C0AkCuLh70</t>
  </si>
  <si>
    <t>#smashup #smashupbrasil #smashupbet #smash #bet #brasil #slots #jogo #win #bigwin #chellenge #aces #casino #casinoonline #betting #lucros #casinò #rendaextra #jogosonline #palpites #brasil #independenciafinanceira #ações #rendafixa #dinheiro #milionário #aposta #roboinvestidor https://t.co/uTHI7IkajJ</t>
  </si>
  <si>
    <t>Jogo Original Smashup
#mines
Quando o pequeno fogo é frito no céu, tudo é possível!
#smashup #smashupbrasil #smashupbet #smash #bet #brasil #slots #jogo #win #bigwin #chellenge #aces #casino #casinoonline #betting #lucros #casinò #rendaextra #jogosonline #palpites #brasil https://t.co/13dsqBG10c</t>
  </si>
  <si>
    <t>Jogo Original Smashup
#double
Quando o pequeno fogo é frito no céu, tudo é possível!
#smashup #smashupbrasil #smashupbet #smash #bet #brasil #slots #jogo #win #bigwin #chellenge #aces #casino #casinoonline #betting #lucros #casinò #rendaextra #jogosonline #palpites #brasil https://t.co/Bbsl8WJlrQ</t>
  </si>
  <si>
    <t>Jogo Original Smashup
#crash
Quando o pequeno fogo é frito no céu, tudo é possível!
#smashup #smashupbrasil #smashupbet #smash #bet #brasil #slots #jogo #win #bigwin #chellenge #aces #casino #casinoonline #betting #lucros #casinò #rendaextra #jogosonline #palpites #brasil https://t.co/N5LTyusze1</t>
  </si>
  <si>
    <t>Um gostinho do Oriente aguarda os jogadores em Dragon Hero™.
#smashup #smashupbrasil #smashupbet #smash #bet #brasil #slots #jogo #win #bigwin #chellenge #aces #casino #casinoonline #betting #lucros #casinò #rendaextra #jogosonline #palpites #brasil #independenciafinanceira https://t.co/HrHd4qFrdn</t>
  </si>
  <si>
    <t>Entre em uma versão atualizada de um clássico com Sweet Bonanza Dice™.
#smashup #smashupbrasil #smashupbet #smash #bet #brasil #slots #jogo #win #bigwin #chellenge #aces #casino #casinoonline #betting #lucros #casinò #rendaextra #jogosonline #palpites #brasil https://t.co/yEFGjUIpMD</t>
  </si>
  <si>
    <t>#smashup #smashupbrasil #smashupbet #smash #bet #brasil #slots #jogo #win #bigwin #chellenge #aces #casino #casinoonline #betting #lucros #casinò #rendaextra #jogosonline #palpites #brasil #independenciafinanceira #ações #rendafixa #dinheiro #milionário #aposta #roboinvestidor https://t.co/K0SelcXrQi</t>
  </si>
  <si>
    <t>#smashup #smashupbrasil #smashupbet #smash #bet #brasil #slots #jogo #win #bigwin #chellenge #aces #casino #casinoonline #betting #lucros #casinò #rendaextra #jogosonline #palpites #brasil #independenciafinanceira #ações #rendafixa #dinheiro #milionário #aposta #roboinvestidor https://t.co/ZGu3dEYlWX</t>
  </si>
  <si>
    <t>#smashup #smashupbrasil #smashupbet #smash #bet #brasil #slots #jogo #win #bigwin #chellenge #aces #casino #casinoonline #betting #lucros #casinò #rendaextra #jogosonline #palpites #brasil #independenciafinanceira #ações #rendafixa #dinheiro #milionário #aposta #roboinvestidor https://t.co/R0X5Wchqfo</t>
  </si>
  <si>
    <t>#smashup #smashupbrasil #smashupbet #smash #bet #brasil #slots #jogo #win #bigwin #chellenge #aces #casino #casinoonline #betting #lucros #casinò #rendaextra #jogosonline #palpites #brasil #independenciafinanceira #ações #rendafixa #dinheiro #milionário #aposta #roboinvestidor https://t.co/T0c97ZPuVy</t>
  </si>
  <si>
    <t>#smashup #smashupbrasil #smashupbet #smash #bet #brasil #slots #jogo #win #bigwin #chellenge #aces #casino #casinoonline #betting #lucros #casinò #rendaextra #jogosonline #palpites #brasil #independenciafinanceira #ações #rendafixa #dinheiro #milionário #aposta #roboinvestidor https://t.co/D66ytwMBkr</t>
  </si>
  <si>
    <t>#smashup #smashupbrasil #smashupbet #smash #bet #brasil #slots #jogo #win #bigwin #chellenge #aces #casino #casinoonline #betting #lucros #casinò #rendaextra #jogosonline #palpites #brasil #independenciafinanceira #ações #rendafixa #dinheiro #milionário #aposta #roboinvestidor https://t.co/qdpvOYBAKl</t>
  </si>
  <si>
    <t>#smashup #smashupbrasil #smashupbet #smash #bet #brasil #slots #jogo #win #bigwin #chellenge #aces #casino #casinoonline #betting #lucros #casinò #rendaextra #jogosonline #palpites #brasil #independenciafinanceira #ações #rendafixa #dinheiro #milionário #aposta #roboinvestidor https://t.co/OQHNVlNMjL</t>
  </si>
  <si>
    <t>Cerque-se de frutas para ganhar!
#smashup #smashupbrasil #smashupbet #smash #bet #brasil #slots #jogo #win #bigwin #chellenge #aces #casino #casinoonline #betting #lucros #casinò #rendaextra #jogosonline #palpites #brasil #independenciafinanceira #ações #rendafixa https://t.co/AntY7ITIQb</t>
  </si>
  <si>
    <t>Neste jogo, um lucro de 1000 vezes apareceu
#smashup #smashupbrasil #smashupbet #smash #bet #brasil #slots #jogo #win #bigwin #chellenge #aces #casino #casinoonline #betting #lucros #casinò #rendaextra #jogosonline #palpites #brasil #independenciafinanceira #ações #rendafixa https://t.co/EbFUhw5fbT</t>
  </si>
  <si>
    <t>#smashup #smashupbrasil #smashupbet #smash #bet #brasil #slots #jogo #win #bigwin #chellenge #aces #casino #casinoonline #betting #lucros #casinò #rendaextra #jogosonline #palpites #brasil #independenciafinanceira #ações #rendafixa #dinheiro #milionário #aposta #roboinvestidor https://t.co/9xSro9M009</t>
  </si>
  <si>
    <t>#smashup #smashupbrasil #smashupbet #smash #bet #brasil #slots #jogo #win #bigwin #chellenge #aces #casino #casinoonline #betting #lucros #casinò #rendaextra #jogosonline #palpites #brasil #independenciafinanceira #ações #rendafixa #dinheiro #milionário #aposta #roboinvestidor https://t.co/QWEFMPP70i</t>
  </si>
  <si>
    <t>#smashup #smashupbrasil #smashupbet #smash #bet #brasil #slots #jogo #win #bigwin #chellenge #aces #casino #casinoonline #betting #lucros #casinò #rendaextra #jogosonline #palpites #brasil #independenciafinanceira #ações #rendafixa #dinheiro #milionário #aposta #roboinvestidor https://t.co/MuJMCVzzYr</t>
  </si>
  <si>
    <t>#smashup #smashupbrasil #smashupbet #smash #bet #brasil #slots #jogo #win #bigwin #chellenge #aces #casino #casinoonline #betting #lucros #casinò #rendaextra #jogosonline #palpites #brasil #independenciafinanceira #ações #rendafixa #dinheiro #milionário #aposta #roboinvestidor https://t.co/wPnxvDUJxE</t>
  </si>
  <si>
    <t>#smashup #smashupbrasil #smashupbet #smash #bet #brasil #slots #jogo #win #bigwin #chellenge #aces #casino #casinoonline #betting #lucros #casinò #rendaextra #jogosonline #palpites #brasil #independenciafinanceira #ações #rendafixa #dinheiro #milionário #aposta #roboinvestidor https://t.co/FRlo7IAz4q</t>
  </si>
  <si>
    <t>#smashup #smashupbrasil #smashupbet #smash #bet #brasil #slots #jogo #win #bigwin #chellenge #aces #casino #casinoonline #betting #lucros #casinò #rendaextra #jogosonline #palpites #brasil #independenciafinanceira #ações #rendafixa #dinheiro #milionário #aposta #roboinvestidor https://t.co/RUG91Rk5PN</t>
  </si>
  <si>
    <t>#smashup #smashupbrasil #smashupbet #smash #bet #brasil #slots #jogo #win #bigwin #chellenge #aces #casino #casinoonline #betting #lucros #casinò #rendaextra #jogosonline #palpites #brasil #independenciafinanceira #ações #rendafixa #dinheiro #milionário #aposta #roboinvestidor https://t.co/zFnu0RMv7P</t>
  </si>
  <si>
    <t>#smashup #smashupbrasil #smashupbet #smash #bet #brasil #slots #jogo #win #bigwin #chellenge #aces #casino #casinoonline #betting #lucros #casinò #rendaextra #jogosonline #palpites #brasil #independenciafinanceira #ações #rendafixa #dinheiro #milionário #aposta #roboinvestidor https://t.co/1n4YpQVFuV</t>
  </si>
  <si>
    <t>#smashup #smashupbrasil #smashupbet #smash #bet #brasil #slots #jogo #win #bigwin #chellenge #aces #casino #casinoonline #betting #lucros #casinò #rendaextra #jogosonline #palpites #brasil #independenciafinanceira #ações #rendafixa #dinheiro #milionário #aposta #roboinvestidor https://t.co/g2Q8cdjKuK</t>
  </si>
  <si>
    <t>1000 vezes de jogos apareciam todos os dias Vá experimentar!
#smashup #smashupbrasil #smashupbet #smash #bet #brasil #slots #jogo #win #bigwin #chellenge #aces #casino #casinoonline #betting #lucros #casinò #rendaextra #jogosonline #palpites #brasil #independenciafinanceira https://t.co/t1zBgbBMJ8</t>
  </si>
  <si>
    <t>1000 vezes de jogos apareciam todos os dias Vá experimentar!
#smashup #smashupbrasil #smashupbet #smash #bet #brasil #slots #jogo #win #bigwin #chellenge #aces #casino #casinoonline #betting #lucros #casinò #rendaextra #jogosonline #palpites #brasil #independenciafinanceira https://t.co/LWe1jrzFv9</t>
  </si>
  <si>
    <t>1000 vezes de jogos apareciam todos os dias Vá experimentar!
#smashup #smashupbrasil #smashupbet #smash #bet #brasil #slots #jogo #win #bigwin #chellenge #aces #casino #casinoonline #betting #lucros #casinò #rendaextra #jogosonline #palpites #brasil #independenciafinanceira https://t.co/pF0EPh6fML</t>
  </si>
  <si>
    <t>#smashup #smashupbrasil #smashupbet #smash #bet #brasil #slots #jogo #win #bigwin #chellenge #aces #casino #casinoonline #betting #lucros #casinò #rendaextra #jogosonline #palpites #brasil #independenciafinanceira #ações #rendafixa #dinheiro #milionário #aposta #roboinvestidor https://t.co/cyCLvsLmov</t>
  </si>
  <si>
    <t>#smashup #smashupbrasil #smashupbet #smash #bet #brasil #slots #jogo #win #bigwin #chellenge #aces #casino #casinoonline #betting #lucros #casinò #rendaextra #jogosonline #palpites #brasil #independenciafinanceira #ações #rendafixa #dinheiro #milionário #aposta #roboinvestidor https://t.co/icVfyLoyzU</t>
  </si>
  <si>
    <t>#smashup #smashupbrasil #smashupbet #smash #bet #brasil #slots #jogo #win #bigwin #chellenge #aces #casino #casinoonline #betting #lucros #casinò #rendaextra #jogosonline #palpites #brasil #independenciafinanceira #ações #rendafixa #dinheiro #milionário #aposta #roboinvestidor https://t.co/KMNhW5PMhH</t>
  </si>
  <si>
    <t>#smashup #smashupbrasil #smashupbet #smash #bet #brasil #slots #jogo #win #bigwin #chellenge #aces #casino #casinoonline #betting #lucros #casinò #rendaextra #jogosonline #palpites #brasil #independenciafinanceira #ações #rendafixa #dinheiro #milionário #aposta #roboinvestidor https://t.co/T2jKceh9zZ</t>
  </si>
  <si>
    <t>#smashup #smashupbrasil #smashupbet #smash #bet #brasil #slots #jogo #win #bigwin #chellenge #aces #casino #casinoonline #betting #lucros #casinò #rendaextra #jogosonline #palpites #brasil #independenciafinanceira #ações #rendafixa #dinheiro #milionário #aposta #roboinvestidor https://t.co/skzZYmNxvr</t>
  </si>
  <si>
    <t>#smashup #smashupbrasil #smashupbet #smash #bet #brasil #slots #jogo #win #bigwin #chellenge #aces #casino #casinoonline #betting #lucros #casinò #rendaextra #jogosonline #palpites #brasil #independenciafinanceira #ações #rendafixa #dinheiro #milionário #aposta #roboinvestidor https://t.co/EKlBL3R0vf</t>
  </si>
  <si>
    <t>#smashup #smashupbrasil #smashupbet #smash #bet #brasil #slots #jogo #win #bigwin #chellenge #aces #casino #casinoonline #betting #lucros #casinò #rendaextra #jogosonline #palpites #brasil #independenciafinanceira #ações #rendafixa #dinheiro #milionário #aposta #roboinvestidor https://t.co/zD5M3G1Rls</t>
  </si>
  <si>
    <t>#smashup #smashupbrasil #smashupbet #smash #bet #brasil #slots #jogo #win #bigwin #chellenge #aces #casino #casinoonline #betting #lucros #casinò #rendaextra #jogosonline #palpites #brasil #independenciafinanceira #ações #rendafixa #dinheiro #milionário #aposta #roboinvestidor https://t.co/rF01UG27yV</t>
  </si>
  <si>
    <t>#smashup #smashupbrasil #smashupbet #smash #bet #brasil #slots #jogo #win #bigwin #chellenge #aces #casino #casinoonline #betting #lucros #casinò #rendaextra #jogosonline #palpites #brasil #independenciafinanceira #ações #rendafixa #dinheiro #milionário #aposta #roboinvestidor https://t.co/eP7B3Xcfar</t>
  </si>
  <si>
    <t>Ele GANHOU mais +R$5.000 reais no crash da SMASH muitooo FÁCIL!!! VEM PRA SMASH🐬🐬
#funnybet #funnybetbrasil #bet #brasil #slots #jogo #win #bigwin #chellenge #aces #casino #casinoonline #betting #lucros #casinò #rendaextra #jogosonline #palpites #brasil https://t.co/xcG40BwEQ5</t>
  </si>
  <si>
    <t>#smashup #smashupbrasil #smashupbet #smash #bet #brasil #slots #jogo #win #bigwin #chellenge #aces #casino #casinoonline #betting #lucros #casinò #rendaextra #jogosonline #palpites #brasil #independenciafinanceira #ações #rendafixa #dinheiro #milionário #aposta #roboinvestidor https://t.co/TJ1IQjJ7C7</t>
  </si>
  <si>
    <t>#smashup #smashupbrasil #smashupbet #smash #bet #brasil #slots #jogo #win #bigwin #chellenge #aces #casino #casinoonline #betting #lucros #casinò #rendaextra #jogosonline #palpites #brasil #independenciafinanceira #ações #rendafixa #dinheiro #milionário #aposta #roboinvestidor https://t.co/pcOrkHFc5o</t>
  </si>
  <si>
    <t>#smashup #smashupbrasil #smashupbet #smash #bet #brasil #slots #jogo #win #bigwin #chellenge #aces #casino #casinoonline #betting #lucros #casinò #rendaextra #jogosonline #palpites #brasil #independenciafinanceira #ações #rendafixa #dinheiro #milionário #aposta #roboinvestidor https://t.co/iK0Zz1cwt7</t>
  </si>
  <si>
    <t>#smashup #smashupbrasil #smashupbet #smash #bet #brasil #slots #jogo #win #bigwin #chellenge #aces #casino #casinoonline #betting #lucros #casinò #rendaextra #jogosonline #palpites #brasil #independenciafinanceira #ações #rendafixa #dinheiro #milionário #aposta #roboinvestidor https://t.co/H3iXxaM0Ed</t>
  </si>
  <si>
    <t>#smashup #smashupbrasil #smashupbet #smash #bet #brasil #slots #jogo #win #bigwin #chellenge #aces #casino #casinoonline #betting #lucros #casinò #rendaextra #jogosonline #palpites #brasil #independenciafinanceira #ações #rendafixa #dinheiro #milionário #aposta #roboinvestidor https://t.co/d0S2P6IdYe</t>
  </si>
  <si>
    <t>Você quer obter uma vitória de 1000x?
Experimente o Fortune Mouse
Frequentemente aparecendo neste jogo ultimamente
#smashup #smashupbrasil #smashupbet #smash #bet #brasil #slots #jogo #win #bigwin #chellenge #aces #casino #casinoonline #betting #lucros #casinò #rendaextra https://t.co/hwotBUt2vu</t>
  </si>
  <si>
    <t>#smashup #smashupbrasil #smashupbet #smash #bet #brasil #slots #jogo #win #bigwin #chellenge #aces #casino #casinoonline #betting #lucros #casinò #rendaextra #jogosonline #palpites #brasil #independenciafinanceira #ações #rendafixa #dinheiro #milionário #aposta #roboinvestidor https://t.co/CJuTva1hWL</t>
  </si>
  <si>
    <t>#smashup #smashupbrasil #smashupbet #smash #bet #brasil #slots #jogo #win #bigwin #chellenge #aces #casino #casinoonline #betting #lucros #casinò #rendaextra #jogosonline #palpites #brasil #independenciafinanceira #ações #rendafixa #dinheiro #milionário #aposta #roboinvestidor https://t.co/6VLaFlWn00</t>
  </si>
  <si>
    <t>Jogos participantes: Joker’s Jewels
#smashup #smashupbrasil #smashupbet #smash #bet #brasil #slots #jogo #win #bigwin #chellenge #aces #casino #casinoonline #betting #lucros #casinò #rendaextra #jogosonline #palpites #brasil #independenciafinanceira #ações #rendafixa #dinheiro https://t.co/XrVHBlRyQM</t>
  </si>
  <si>
    <t>É RODADA GRÁTIS QUE VOCÊ QUER? AQUI NA SMASH UP TEM! - Joker's Jewels FRB’s
Data: 14 a 15 de maio, 2023
#smashup #smashupbrasil #smashupbet #smash #bet #brasil #slots #jogo #win #bigwin #chellenge #aces #casino #casinoonline #betting #lucros #casinò #rendaextra #jogosonline https://t.co/8scAzkY9Ri</t>
  </si>
  <si>
    <t>#smashup #smashupbrasil #smashupbet #smash #bet #brasil #slots #jogo #win #bigwin #chellenge #aces #casino #casinoonline #betting #lucros #casinò #rendaextra #jogosonline #palpites #brasil #independenciafinanceira #ações #rendafixa #dinheiro #milionário #aposta #roboinvestidor https://t.co/JUgEP3N6iI</t>
  </si>
  <si>
    <t>#smashup #smashupbrasil #smashupbet #smash #bet #brasil #slots #jogo #win #bigwin #chellenge #aces #casino #casinoonline #betting #lucros #casinò #rendaextra #jogosonline #palpites #brasil #independenciafinanceira #ações #rendafixa #dinheiro #milionário #aposta #roboinvestidor https://t.co/7VcFTlI7Vm</t>
  </si>
  <si>
    <t>Jogos Originais Exemplo Crash e Minas, aqui temos os melhores para você sair com dinheiro no bolso🔥🔥
#smashup #smashupbrasil #smashupbet #smash #bet #brasil #slots #jogo #win #bigwin #chellenge #aces #casino #casinoonline #betting #lucros #casinò #rendaextra #jogosonline https://t.co/j9YAAU6i6j</t>
  </si>
  <si>
    <t>olha isso!!! ele pegou 100x no CrazyTime e ganhou 2.000 mil reais com apenas 20 reais de aposta🤠🔥
#smashup #smashupbrasil #smashupbet #smash #bet #brasil #slots #jogo #win #bigwin #chellenge #aces #casino #casinoonline #betting #lucros #casinò #rendaextra #jogosonline https://t.co/qbXEZ346cC</t>
  </si>
  <si>
    <t>#smashup #smashupbrasil #smashupbet #smash #bet #brasil #slots #jogo #win #bigwin #chellenge #aces #casino #casinoonline #betting #lucros #casinò #rendaextra #jogosonline #palpites #brasil #independenciafinanceira #ações #rendafixa #dinheiro #milionário #aposta #roboinvestidor https://t.co/NrBs6Fem2o</t>
  </si>
  <si>
    <t>#smashup #smashupbrasil #smashupbet #smash #bet #brasil #slots #jogo #win #bigwin #chellenge #aces #casino #casinoonline #betting #lucros #casinò #rendaextra #jogosonline #palpites #brasil #independenciafinanceira #ações #rendafixa #dinheiro #milionário #aposta #roboinvestidor https://t.co/jJuxqQc7v3</t>
  </si>
  <si>
    <t>#smashup #smashupbrasil #smashupbet #smash #bet #brasil #slots #jogo #win #bigwin #chellenge #aces #casino #casinoonline #betting #lucros #casinò #rendaextra #jogosonline #palpites #brasil #independenciafinanceira #ações #rendafixa #dinheiro #milionário #aposta #roboinvestidor https://t.co/nLKp1s4L5r</t>
  </si>
  <si>
    <t>#smashup #smashupbrasil #smashupbet #smash #bet #brasil #slots #jogo #win #bigwin #chellenge #aces #casino #casinoonline #betting #lucros #casinò #rendaextra #jogosonline #palpites #brasil #independenciafinanceira #ações #rendafixa #dinheiro #milionário #aposta #roboinvestidor https://t.co/TLRQmNwdui</t>
  </si>
  <si>
    <t>É meio-dia... Saque e atire para garantir rolos selvagens!
#smashup #smashupbrasil #smashupbet #smash #bet #brasil #slots #jogo #win #bigwin #chellenge #aces #casino #casinoonline #betting #lucros #casinò #rendaextra #jogosonline #palpites #brasil #independenciafinanceira https://t.co/3JFGh1sl4a</t>
  </si>
  <si>
    <t>#smashup #smashupbrasil #smashupbet #smash #bet #brasil #slots #jogo #win #bigwin #chellenge #aces #casino #casinoonline #betting #lucros #casinò #rendaextra #jogosonline #palpites #brasil #independenciafinanceira #ações #rendafixa #dinheiro #milionário #aposta #roboinvestidor231 https://t.co/xOgBZqrj2G</t>
  </si>
  <si>
    <t>#smashup #smashupbrasil #smashupbet #smash #bet #brasil #slots #jogo #win #bigwin #chellenge #aces #casino #casinoonline #betting #lucros #casinò #rendaextra #jogosonline #palpites #brasil #independenciafinanceira #ações #rendafixa #dinheiro #milionário #aposta #roboinvestidor https://t.co/et7j7N5ygd</t>
  </si>
  <si>
    <t>Os Slots mais famosos do momento aqui na SmashUp🤑🐬
#smashup #smashupbrasil #smashupbet #smash #bet #brasil #slots #jogo #win #bigwin #chellenge #aces #casino #casinoonline #betting #lucros #casinò #rendaextra #jogosonline #palpites #brasil #independenciafinanceira #ações https://t.co/wWa1iKPjZ2</t>
  </si>
  <si>
    <t>#smashup #smashupbrasil #smashupbet #smash #bet #brasil #slots #jogo #win #bigwin #chellenge #aces #casino #casinoonline #betting #lucros #casinò #rendaextra #jogosonline #palpites #brasil #independenciafinanceira #ações #rendafixa #dinheiro #milionário #aposta #roboinvestidor https://t.co/AS9PLqTQeu</t>
  </si>
  <si>
    <t>vem pra smashup🤑🐬
#smashup #smashupbrasil #smashupbet #smash #bet #brasil #slots #jogo #win #bigwin #chellenge #aces #casino #casinoonline #betting #lucros #casinò #rendaextra #jogosonline #palpites #brasil #independenciafinanceira #ações #rendafixa #dinheiro #milionário https://t.co/4cr1kWXoUD</t>
  </si>
  <si>
    <t>#smashup #smashupbrasil #smashupbet #smash #bet #brasil #slots #jogo #win #bigwin #chellenge #aces #casino #casinoonline #betting #lucros #casinò #rendaextra #jogosonline #palpites #brasil #independenciafinanceira #ações #rendafixa #dinheiro #milionário #aposta #roboinvestidor https://t.co/Pl3g5BG5m3</t>
  </si>
  <si>
    <t>#smashup #smashupbrasil #smashupbet #smash #bet #brasil #slots #jogo #win #bigwin #chellenge #aces #casino #casinoonline #betting #lucros #casinò #rendaextra #jogosonline #palpites #brasil #independenciafinanceira #ações #rendafixa #dinheiro #milionário #aposta #roboinvestidor https://t.co/gHRME7aQrg</t>
  </si>
  <si>
    <t>A jogabilidade de hoje está sendo atualizada
#smashup #smashupbrasil #smashupbet #smash #bet #brasil #slots #jogo #win #bigwin #chellenge #aces #casino #casinoonline #betting #lucros #casinò #rendaextra #jogosonline #palpites #brasil #independenciafinanceira #ações #rendafixa https://t.co/ihCKSodJOI</t>
  </si>
  <si>
    <t>Você tem uma boa maneira de jogar roleta? Compartilhe
#smashup #smashupbrasil #smashupbet #smash #bet #brasil #slots #jogo #win #bigwin #chellenge #aces #casino #casinoonline #betting #lucros #casinò #rendaextra #jogosonline #palpites #brasil #independenciafinanceira #ações https://t.co/VbwBJ6heA6</t>
  </si>
  <si>
    <t>O palpite de hoje é preciso
#smashup #smashupbrasil #smashupbet #smash #bet #brasil #slots #jogo #win #bigwin #chellenge #aces #casino #casinoonline #betting #lucros #casinò #rendaextra #jogosonline #palpites #brasil #independenciafinanceira #ações #rendafixa #dinheiro https://t.co/YkZRPINaNr</t>
  </si>
  <si>
    <t>🔔As recompensas da competição referem-se ao conteúdo desta imagem💰
#smashup #smashupbrasil #smashupbet #smash #bet #brasil #slots #jogo #win #bigwin #chellenge #aces #casino #casinoonline #betting #lucros #casinò #rendaextra #jogosonline #palpites #brasil https://t.co/1RqdIBu0tv</t>
  </si>
  <si>
    <t>🔔MEGA ROULETTE vs DRAGON TIGER – Qual time você escolhe?
Data: 7 de maio a 13 de maio de 2023
#smashup #smashupbrasil #smashupbet #smash #bet #brasil #slots #jogo #win #bigwin #chellenge #aces #casino #casinoonline #betting #lucros #casinò #rendaextra #jogosonline #palpites https://t.co/oUmy4pm20b</t>
  </si>
  <si>
    <t>Alguém quer jogar roleta? Há uma surpresa em ser atingido por um raio
#smashup #smashupbrasil #smashupbet #smash #bet #brasil #slots #jogo #win #bigwin #chellenge #aces #casino #casinoonline #betting #lucros #casinò #rendaextra #jogosonline #palpites #brasil https://t.co/eeF2hxrdL4</t>
  </si>
  <si>
    <t>#dinheiro #rendaextra #rica https://t.co/WhW11jOyVp</t>
  </si>
  <si>
    <t>🚨 ATENÇÃO: O aplicativo Kwai está pagando de R$ 320 a 500 reais para as pessoas que estão participando da tarefa. Pode ser conta antiga! 
#kwai #rendaextra
 https://t.co/VEudVrjJa3</t>
  </si>
  <si>
    <t>Quer saber como garantir um dinheiro extra essa semana? O app kwai está enviando aviãozinhos de R$500 para quem participar.
Não fiquem de fora!  🤑
#topchef #rendaextra
#dinheiro #kwai #app
 https://t.co/TnkGSP3jCU</t>
  </si>
  <si>
    <t>Usuários inativos do Kwai me ajudem! Retribuo com materiais do Hay day ❤️😏
#hayday #kwai #rendaextra https://t.co/HDp4kDXjhl</t>
  </si>
  <si>
    <t>Leidi Maia | Marketing Digital: 7 profissões para você trabalhar direto do seu cel... https://t.co/c1Cn6wpgmQ 
#rendaextra #trabalhoemcasa https://t.co/iIMzqIYt2F</t>
  </si>
  <si>
    <t>#finanças #dicas #rendaextra
.
.
.
https://t.co/hC0eEQXG2J</t>
  </si>
  <si>
    <t>E eu que descorbri um game que paga pra gente jogar!!!!!
Tô fazendo dindin sem sair de casa 😍😍😍
Clica aqui ⬇️⬇️⬇️
https://t.co/kULdIa6fiz
.
#jogando #fazendodinheiro #rendaextra</t>
  </si>
  <si>
    <t>A melhor escolha é sempre fazermos o certo, mas para fazermos o certo, precisamos saber o que é o certo.
Veja mais na Bio @laerciolobanco
#laerciolobanco
#acreditar 
#vcpode 
#sucessoprofissional 
#mudar 
#marketingdigital 
#trajetoexcepcional
#rendaextra 
#milionario https://t.co/Uv3GjLb8zR</t>
  </si>
  <si>
    <t>O prejuízo só é negativo se estiver fora da curva de custo. Se não estiver, refaça sua curva de custos.
Veja mais na Bio @laerciolobanco
#laerciolobanco
#acreditar 
#vcpode 
#sucessoprofissional 
#mudar 
#marketingdigital 
#trajetoexcepcional
#rendaextra 
#milionario https://t.co/IRxGqUNsO1</t>
  </si>
  <si>
    <t>Foque sempre nas soluções; é a única forma real de mudar problemas existentes.
Veja mais na Bio @laerciolobanco
#laerciolobanco
#acreditar 
#vcpode 
#sucessoprofissional 
#mudar 
#marketingdigital 
#trajetoexcepcional
#rendaextra 
#milionario https://t.co/wJhxrQXprO</t>
  </si>
  <si>
    <t>A concorrência capacitada sempre vai lhe ajudar a crescer, ela não permite que você se acomode. 
Veja mais na Bio @laerciolobanco
#laerciolobanco
#acreditar 
#vcpode 
#sucessoprofissional 
#mudar 
#marketingdigital 
#trajetoexcepcional
#rendaextra 
#milionario https://t.co/9ZZvO1tcZf</t>
  </si>
  <si>
    <t>A derrota tem seu próprio sabor: deguste-o, ele intensificará o sabor de vossas vitórias!
Veja mais na Bio @laerciolobanco
#laerciolobanco
#acreditar 
#vcpode 
#sucessoprofissional 
#mudar 
#marketingdigital 
#trajetoexcepcional
#rendaextra 
#milionario https://t.co/wBm5fTMbcx</t>
  </si>
  <si>
    <t>Equilíbrio é a chave para conquistar a felicidade. ⚖😊 #Equilíbrio #Felicidade #BemEstar
Veja mais na Bio @laerciolobanco
#laerciolobanco
#acreditar 
#vcpode 
#sucessoprofissional 
#mudar 
#marketingdigital 
#trajetoexcepcional
#rendaextra 
#milionario https://t.co/lvkfPREkM2</t>
  </si>
  <si>
    <t>Para um relacionamento de sucesso, aprenda com o passado. 💞🔑 #Relacionamento #Sucesso #Aprendizado
Veja mais na Bio @laerciolobanco
#laerciolobanco
#acreditar 
#vcpode 
#sucessoprofissional 
#mudar 
#marketingdigital 
#trajetoexcepcional
#rendaextra 
#milionario https://t.co/PFNbqkglDg</t>
  </si>
  <si>
    <t>Veja mais na Bio @laerciolobanco
#laerciolobanco
#acreditar 
#vcpode 
#sucessoprofissional 
#mudar 
#marketingdigital 
#trajetoexcepcional
#rendaextra 
#milionario https://t.co/1ifGObkGpe</t>
  </si>
  <si>
    <t>Veja mais na Bio @laerciolobanco
#laerciolobanco
#acreditar 
#vcpode 
#sucessoprofissional 
#mudar 
#marketingdigital 
#trajetoexcepcional
#rendaextra 
#milionario https://t.co/hqFj8U6F8A</t>
  </si>
  <si>
    <t>Veja mais na Bio @laerciolobanco
#laerciolobanco
#acreditar 
#vcpode 
#sucessoprofissional 
#mudar 
#marketingdigital 
#trajetoexcepcional
#rendaextra 
#milionario https://t.co/R3kQhI8Zxf</t>
  </si>
  <si>
    <t>Veja mais na Bio @laerciolobanco
#laerciolobanco
#acreditar 
#vcpode 
#sucessoprofissional 
#mudar 
#marketingdigital 
#trajetoexcepcional
#rendaextra 
#milionario https://t.co/gv3GdDwcuy</t>
  </si>
  <si>
    <t>Veja mais na Bio @laerciolobanco
#laerciolobanco
#acreditar 
#vcpode 
#sucessoprofissional 
#mudar 
#marketingdigital 
#trajetoexcepcional
#rendaextra 
#milionario https://t.co/Y0aacwalWw</t>
  </si>
  <si>
    <t>Veja mais na Bio @laerciolobanco
#laerciolobanco
#acreditar 
#vcpode 
#sucessoprofissional 
#mudar 
#marketingdigital 
#trajetoexcepcional
#rendaextra 
#milionario https://t.co/HfdkXdARaM</t>
  </si>
  <si>
    <t>Existem oportunidades todos os dias. Caso você não encontre uma, mude o foco do seu olhar.
Veja mais na Bio @laerciolobanco
#laerciolobanco
#acreditar 
#vcpode 
#sucessoprofissional 
#mudar 
#marketingdigital 
#trajetoexcepcional
#rendaextra 
#milionario https://t.co/mDgoBQP4ZH</t>
  </si>
  <si>
    <t>Seja maduro. Tenha a energia de uma criança para trabalhar e a sabedoria de um idoso para tomar decisões. 
Veja mais na Bio @laerciolobanco
#laerciolobanco
#acreditar 
#vcpode 
#sucessoprofissional 
#mudar 
#marketingdigital 
#trajetoexcepcional
#rendaextra 
#milionario https://t.co/rSczif7TZn</t>
  </si>
  <si>
    <t>Encontrar melhores soluções é diferente de buscar atalhos. 
Veja mais na Bio @laerciolobanco
#laerciolobanco
#acreditar 
#vcpode 
#sucessoprofissional 
#mudar 
#marketingdigital 
#trajetoexcepcional
#rendaextra 
#milionario https://t.co/y8ke3iuXlY</t>
  </si>
  <si>
    <t>Veja mais na Bio @laerciolobanco
#laerciolobanco
#acreditar 
#vcpode 
#sucessoprofissional 
#mudar 
#marketingdigital 
#trajetoexcepcional
#rendaextra 
#milionario https://t.co/yGLBqyTlvL</t>
  </si>
  <si>
    <t>Veja mais na Bio @laerciolobanco
#laerciolobanco
#acreditar 
#vcpode 
#sucessoprofissional 
#mudar 
#marketingdigital 
#trajetoexcepcional
#rendaextra 
#milionario https://t.co/O2lvgS5loq</t>
  </si>
  <si>
    <t>Veja mais na Bio @laerciolobanco
#laerciolobanco
#acreditar 
#vcpode 
#sucessoprofissional 
#mudar 
#marketingdigital 
#trajetoexcepcional
#rendaextra 
#milionario https://t.co/fFsHp20IGU</t>
  </si>
  <si>
    <t>Veja mais na Bio @laerciolobanco
#laerciolobanco
#acreditar 
#vcpode 
#sucessoprofissional 
#mudar 
#marketingdigital 
#trajetoexcepcional
#rendaextra 
#milionario https://t.co/EzVDRW7YBX</t>
  </si>
  <si>
    <t>Veja mais na Bio @laerciolobanco
#laerciolobanco
#acreditar 
#vcpode 
#sucessoprofissional 
#mudar 
#marketingdigital 
#trajetoexcepcional
#rendaextra 
#milionario https://t.co/h9qrI2s3dF</t>
  </si>
  <si>
    <t>Veja mais na Bio @laerciolobanco
#laerciolobanco
#acreditar 
#vcpode 
#sucessoprofissional 
#mudar 
#marketingdigital 
#trajetoexcepcional
#rendaextra 
#milionario https://t.co/MDVGDxmxUV</t>
  </si>
  <si>
    <t>Veja mais na Bio @laerciolobanco
#laerciolobanco
#acreditar 
#vcpode 
#sucessoprofissional 
#mudar 
#marketingdigital 
#trajetoexcepcional
#rendaextra 
#milionario https://t.co/qdnOLOXAtl</t>
  </si>
  <si>
    <t>Veja mais na Bio @laerciolobanco
#laerciolobanco
#acreditar 
#vcpode 
#sucessoprofissional 
#mudar 
#marketingdigital 
#trajetoexcepcional
#rendaextra 
#milionario https://t.co/xigovLagwM</t>
  </si>
  <si>
    <t>Veja mais na Bio @laerciolobanco
#laerciolobanco
#acreditar 
#vcpode 
#sucessoprofissional 
#mudar 
#marketingdigital 
#trajetoexcepcional
#rendaextra 
#milionario https://t.co/8O0Fji2f6o</t>
  </si>
  <si>
    <t>Metas são alcançadas na somatória de dias, nem sempre todos os dias. 
Veja mais na Bio @laerciolobanco
#laerciolobanco
#acreditar 
#vcpode 
#sucessoprofissional 
#mudar 
#marketingdigital 
#trajetoexcepcional
#rendaextra 
#milionario https://t.co/X8Kj8zCaOW</t>
  </si>
  <si>
    <t>Busque o sucesso mas lembre que sua família precisa de você. 
Veja mais na Bio @laerciolobanco
#laerciolobanco
#acreditar 
#vcpode 
#sucessoprofissional 
#mudar 
#marketingdigital 
#trajetoexcepcional
#rendaextra 
#milionario https://t.co/WHxZJhRnM3</t>
  </si>
  <si>
    <t>Veja mais na Bio @laerciolobanco
#laerciolobanco
#acreditar 
#vcpode 
#sucessoprofissional 
#mudar 
#marketingdigital 
#trajetoexcepcional
#rendaextra 
#milionario https://t.co/UW6N73ZbQJ</t>
  </si>
  <si>
    <t>Identifique e supere as dificuldades no seu relacionamento. 💔💪 #Relacionamento #Desafios #Superação
Veja mais na Bio @laerciolobanco
#laerciolobanco
#acreditar 
#vcpode 
#sucessoprofissional 
#mudar 
#marketingdigital 
#trajetoexcepcional
#rendaextra 
#milionario https://t.co/HvgEK2CkiA</t>
  </si>
  <si>
    <t>Veja mais na Bio @laerciolobanco
#laerciolobanco
#acreditar 
#vcpode 
#sucessoprofissional 
#mudar 
#marketingdigital 
#trajetoexcepcional
#rendaextra 
#milionario https://t.co/xHh39p46OK</t>
  </si>
  <si>
    <t>Veja mais na Bio @laerciolobanco
#laerciolobanco
#acreditar 
#vcpode 
#sucessoprofissional 
#mudar 
#marketingdigital 
#trajetoexcepcional
#rendaextra 
#milionario https://t.co/GlDlVlcNLo</t>
  </si>
  <si>
    <t>Veja mais na Bio @laerciolobanco
#laerciolobanco
#acreditar 
#vcpode 
#sucessoprofissional 
#mudar 
#marketingdigital 
#trajetoexcepcional
#rendaextra 
#milionario https://t.co/mfJEA5AKuw</t>
  </si>
  <si>
    <t>Veja mais na Bio @laerciolobanco
#laerciolobanco
#acreditar 
#vcpode 
#sucessoprofissional 
#mudar 
#marketingdigital 
#trajetoexcepcional
#rendaextra 
#milionario https://t.co/Z7LRPRCy8r</t>
  </si>
  <si>
    <t>Veja mais na Bio @laerciolobanco
#laerciolobanco
#acreditar 
#vcpode 
#sucessoprofissional 
#mudar 
#marketingdigital 
#trajetoexcepcional
#rendaextra 
#milionario https://t.co/DI4sXoLevP</t>
  </si>
  <si>
    <t>Respire o cheiro do sucesso mesmo em pequenas conquistas. 
Veja mais na Bio @laerciolobanco
#laerciolobanco
#acreditar 
#vcpode 
#sucessoprofissional 
#mudar 
#marketingdigital 
#trajetoexcepcional
#rendaextra 
#milionario https://t.co/GUk6bDAdKo</t>
  </si>
  <si>
    <t>O mercado, de modo geral, é variável. Não podemos buscar resultados fixos; eles não existem. 
Veja mais na Bio @laerciolobanco
#laerciolobanco
#acreditar 
#vcpode 
#sucessoprofissional 
#mudar 
#marketingdigital 
#trajetoexcepcional
#rendaextra 
#milionario https://t.co/HNKiIJT7eB</t>
  </si>
  <si>
    <t>Aprenda com Albert Einstein a encontrar equilíbrio na vida. ⚖🧠 #Equilíbrio #AlbertEinstein #Sabedoria
Veja mais na Bio @laerciolobanco
#laerciolobanco
#acreditar 
#vcpode 
#sucessoprofissional 
#mudar 
#marketingdigital 
#trajetoexcepcional
#rendaextra 
#milionario https://t.co/5StycJqSRH</t>
  </si>
  <si>
    <t>Veja mais na Bio @laerciolobanco
#laerciolobanco
#acreditar 
#vcpode 
#sucessoprofissional 
#mudar 
#marketingdigital 
#trajetoexcepcional
#rendaextra 
#milionario https://t.co/WfJywcdjwI</t>
  </si>
  <si>
    <t>Veja mais na Bio @laerciolobanco
#laerciolobanco
#acreditar 
#vcpode 
#sucessoprofissional 
#mudar 
#marketingdigital 
#trajetoexcepcional
#rendaextra 
#milionario https://t.co/GZHKy2abDS</t>
  </si>
  <si>
    <t>Veja mais na Bio @laerciolobanco
#laerciolobanco
#acreditar 
#vcpode 
#sucessoprofissional 
#mudar 
#marketingdigital 
#trajetoexcepcional
#rendaextra 
#milionario https://t.co/UquEiTnXue</t>
  </si>
  <si>
    <t>Veja mais na Bio @laerciolobanco
#laerciolobanco
#acreditar 
#vcpode 
#sucessoprofissional 
#mudar 
#marketingdigital 
#trajetoexcepcional
#rendaextra 
#milionario https://t.co/ilw5IgJNbv</t>
  </si>
  <si>
    <t>Veja mais na Bio @laerciolobanco
#laerciolobanco
#acreditar 
#vcpode 
#sucessoprofissional 
#mudar 
#marketingdigital 
#trajetoexcepcional
#rendaextra 
#milionario https://t.co/JuCjEKVxEs</t>
  </si>
  <si>
    <t>Veja mais na Bio @laerciolobanco
#laerciolobanco
#acreditar 
#vcpode 
#sucessoprofissional 
#mudar 
#marketingdigital 
#trajetoexcepcional
#rendaextra 
#milionario https://t.co/rCphBioxVr</t>
  </si>
  <si>
    <t>Veja mais na Bio @laerciolobanco
#laerciolobanco
#acreditar 
#vcpode 
#sucessoprofissional 
#mudar 
#marketingdigital 
#trajetoexcepcional
#rendaextra 
#milionario https://t.co/T5E0OTmwIY</t>
  </si>
  <si>
    <t>Veja mais na Bio @laerciolobanco
#laerciolobanco
#acreditar 
#vcpode 
#sucessoprofissional 
#mudar 
#marketingdigital 
#trajetoexcepcional
#rendaextra 
#milionario https://t.co/Xew025RFyD</t>
  </si>
  <si>
    <t>Veja mais na Bio @laerciolobanco
#laerciolobanco
#acreditar 
#vcpode 
#sucessoprofissional 
#mudar 
#marketingdigital 
#trajetoexcepcional
#rendaextra 
#milionario https://t.co/9jQEJCnAQA</t>
  </si>
  <si>
    <t>Veja mais na Bio @laerciolobanco
#laerciolobanco
#acreditar 
#vcpode 
#sucessoprofissional 
#mudar 
#marketingdigital 
#trajetoexcepcional
#rendaextra 
#milionario https://t.co/6UKEGJq41U</t>
  </si>
  <si>
    <t>Veja mais na Bio @laerciolobanco
#laerciolobanco
#acreditar 
#vcpode 
#sucessoprofissional 
#mudar 
#marketingdigital 
#trajetoexcepcional
#rendaextra 
#milionario https://t.co/Kra36fN5WG</t>
  </si>
  <si>
    <t>Veja mais na Bio @laerciolobanco
#laerciolobanco
#acreditar 
#vcpode 
#sucessoprofissional 
#mudar 
#marketingdigital 
#trajetoexcepcional
#rendaextra 
#milionario https://t.co/XC0MVwktAA</t>
  </si>
  <si>
    <t>O tempo é um dos principais ativos, lembre sempre de tratá-lo como tal. 
Veja mais na Bio @laerciolobanco
#laerciolobanco
#acreditar 
#vcpode 
#sucessoprofissional 
#mudar 
#marketingdigital 
#trajetoexcepcional
#rendaextra 
#milionario https://t.co/CLBEiplGqj</t>
  </si>
  <si>
    <t>Tenha sempre em mente a pergunta: como faremos para ganhar dinheiro hoje neste negócio? 
Veja mais na Bio @laerciolobanco
#laerciolobanco
#acreditar 
#vcpode 
#sucessoprofissional 
#mudar 
#marketingdigital 
#trajetoexcepcional
#rendaextra 
#milionario https://t.co/6wYAN4B5ZN</t>
  </si>
  <si>
    <t>Uma concorrência capaz, lhe deixa ainda mais capacitado para o mercado. 
Veja mais na Bio @laerciolobanco
#laerciolobanco
#acreditar 
#vcpode 
#sucessoprofissional 
#mudar 
#marketingdigital 
#trajetoexcepcional
#rendaextra 
#milionario https://t.co/LyYlFAiZBF</t>
  </si>
  <si>
    <t>Lembre-se sempre da sua missão para crescer.
Veja mais na Bio @laerciolobanco
#laerciolobanco
#acreditar 
#vcpode 
#sucessoprofissional 
#mudar 
#marketingdigital 
#trajetoexcepcional
#rendaextra 
#milionario https://t.co/Re29JFSLVh</t>
  </si>
  <si>
    <t>Veja mais na Bio @laerciolobanco
#laerciolobanco
#acreditar 
#vcpode 
#sucessoprofissional 
#mudar 
#marketingdigital 
#trajetoexcepcional
#rendaextra 
#milionario https://t.co/wn3x9UgYer</t>
  </si>
  <si>
    <t>Veja mais na Bio @laerciolobanco
#laerciolobanco
#acreditar 
#vcpode 
#sucessoprofissional 
#mudar 
#marketingdigital 
#trajetoexcepcional
#rendaextra 
#milionario https://t.co/cpzo8wO7BN</t>
  </si>
  <si>
    <t>Veja mais na Bio @laerciolobanco
#laerciolobanco
#acreditar 
#vcpode 
#sucessoprofissional 
#mudar 
#marketingdigital 
#trajetoexcepcional
#rendaextra 
#milionario https://t.co/22kd20nMIW</t>
  </si>
  <si>
    <t>Veja mais na Bio @laerciolobanco
#laerciolobanco
#acreditar 
#vcpode 
#sucessoprofissional 
#mudar 
#marketingdigital 
#trajetoexcepcional
#rendaextra 
#milionario https://t.co/esceSBFDy4</t>
  </si>
  <si>
    <t>Qual é sua maior dificuldade em seu Relacionamento ?😬Veja mais na Bio @laerciolobanco
#laerciolobanco
#marketingdigital 
#trajetoexcepcional
#rendaextra 
#milionario https://t.co/kpAvAEhzzh</t>
  </si>
  <si>
    <t>Veja mais na Bio @laerciolobanco
#laerciolobanco
#acreditar 
#vcpode 
#sucessoprofissional 
#mudar 
#marketingdigital 
#trajetoexcepcional
#rendaextra 
#milionario https://t.co/xOwK63xyBQ</t>
  </si>
  <si>
    <t>Veja mais na Bio @laerciolobanco
#laerciolobanco
#acreditar 
#vcpode 
#sucessoprofissional 
#mudar 
#marketingdigital 
#trajetoexcepcional
#rendaextra 
#milionario https://t.co/a6DilJvHXY</t>
  </si>
  <si>
    <t>Oportunidades surgem todos os dias, o maior desafio é termos olhos para enxergá-las. 
Veja mais na Bio @laerciolobanco
#laerciolobanco
#acreditar 
#vcpode 
#sucessoprofissional 
#mudar 
#marketingdigital 
#trajetoexcepcional
#rendaextra 
#milionario https://t.co/4djgCkC5kd</t>
  </si>
  <si>
    <t>Na vida você engolirá muitos arames farpados. Não deixe eles interferirem nos seus resultados!
Veja mais na Bio @laerciolobanco
#laerciolobanco
#acreditar 
#vcpode 
#sucessoprofissional 
#mudar 
#marketingdigital 
#trajetoexcepcional
#rendaextra 
#milionario https://t.co/TswEWn3ZZy</t>
  </si>
  <si>
    <t>Não faça a diferença hoje. Faça com que a diferença seja sempre algo vivo em sua vida todos os dias! 
Veja mais na Bio @laerciolobanco
#laerciolobanco
#acreditar 
#vcpode 
#sucessoprofissional 
#mudar 
#marketingdigital 
#trajetoexcepcional
#rendaextra 
#milionario https://t.co/n1SQXQoTWk</t>
  </si>
  <si>
    <t>Você já se perguntou como pode se superar no dia de hoje? 
Veja mais na Bio @laerciolobanco
#laerciolobanco
#acreditar 
#vcpode 
#sucessoprofissional 
#mudar 
#marketingdigital 
#trajetoexcepcional
#rendaextra 
#milionario https://t.co/sy0hrAkN6C</t>
  </si>
  <si>
    <t>Evite esperar reconhecimento dos outros, o sentimento deles pode variar de acordo com sua capacidade.
Veja mais na Bio @laerciolobanco
#laerciolobanco
#acreditar 
#vcpode 
#sucessoprofissional 
#mudar 
#marketingdigital 
#trajetoexcepcional
#rendaextra 
#milionario https://t.co/Dft7gwrXGA</t>
  </si>
  <si>
    <t>Não confunda proatividade com "enfiar os pés pelas mãos". Evitará que você dê voltas no nada! 
Veja mais na Bio @laerciolobanco
#laerciolobanco
#acreditar 
#vcpode 
#sucessoprofissional 
#mudar 
#marketingdigital 
#trajetoexcepcional
#rendaextra 
#milionario https://t.co/NxoxevbYeh</t>
  </si>
  <si>
    <t>Faça um planejamento e trilhe seu caminho: o sucesso virá!
Veja mais na Bio @laerciolobanco
#laerciolobanco
#acreditar 
#vcpode 
#sucessoprofissional 
#mudar 
#marketingdigital 
#trajetoexcepcional
#rendaextra 
#milionario https://t.co/dD0gnDwaaP</t>
  </si>
  <si>
    <t>Defina até onde você quer chegar na sua jornada. 🛤🌍 #Metas #Sucesso #Realização
Veja mais na Bio @laerciolobanco
#laerciolobanco
#acreditar 
#vcpode 
#sucessoprofissional 
#mudar 
#marketingdigital 
#trajetoexcepcional
#rendaextra 
#milionario https://t.co/PY3Vg21xga</t>
  </si>
  <si>
    <t>Acredite no poder do pensamento positivo. 🌈🌼 #PensamentoPositivo #Positividade #MenteSaudável
Veja mais na Bio @laerciolobanco
#laerciolobanco
#acreditar 
#vcpode 
#sucessoprofissional 
#mudar 
#marketingdigital 
#trajetoexcepcional
#rendaextra 
#milionario https://t.co/wBpF2lKgKR</t>
  </si>
  <si>
    <t>Veja mais na Bio @laerciolobanco
#laerciolobanco
#acreditar 
#vcpode 
#sucessoprofissional 
#mudar 
#marketingdigital 
#trajetoexcepcional
#rendaextra 
#milionario https://t.co/zk7MEgvEqS</t>
  </si>
  <si>
    <t>Veja mais na Bio @laerciolobanco
#laerciolobanco
#acreditar 
#vcpode 
#sucessoprofissional 
#mudar 
#marketingdigital 
#trajetoexcepcional
#rendaextra 
#milionario https://t.co/lg2dpBx8tn</t>
  </si>
  <si>
    <t>As vezes precisamos dar um passo para trás para termos uma visão mais ampla. 
Veja mais na Bio @laerciolobanco
#laerciolobanco
#acreditar 
#vcpode 
#sucessoprofissional 
#mudar 
#marketingdigital 
#trajetoexcepcional
#rendaextra 
#milionario https://t.co/Uip3WYPZt3</t>
  </si>
  <si>
    <t>Quando tentarem te derrubar, parabéns, você está no caminho certo. 
Veja mais na Bio @laerciolobanco
#laerciolobanco
#acreditar 
#vcpode 
#sucessoprofissional 
#mudar 
#marketingdigital 
#trajetoexcepcional
#rendaextra 
#milionario https://t.co/0MwTDW53a6</t>
  </si>
  <si>
    <t>Novos ciclos podem ser iniciados a qualquer momento, não espere o calendário mudar para isto. 
Veja mais na Bio @laerciolobanco
#laerciolobanco
#acreditar 
#vcpode 
#sucessoprofissional 
#mudar 
#marketingdigital 
#trajetoexcepcional
#rendaextra 
#milionario https://t.co/ZPzapRazqH</t>
  </si>
  <si>
    <t>Seus clientes também precisam descansar. Quando eles estiverem descansando, prepare novidades para eles. 
Veja mais na Bio @laerciolobanco
#laerciolobanco
#acreditar 
#vcpode 
#sucessoprofissional 
#mudar 
#marketingdigital 
#trajetoexcepcional
#rendaextra 
#milionario https://t.co/VMAYtfC1me</t>
  </si>
  <si>
    <t>Conhecer seu cliente é a primeira porta de entrada para um excelente relacionamento. 
Veja mais na Bio @laerciolobanco
#laerciolobanco
#acreditar 
#vcpode 
#sucessoprofissional 
#mudar 
#marketingdigital 
#trajetoexcepcional
#rendaextra 
#milionario https://t.co/FwnbWbZh80</t>
  </si>
  <si>
    <t>Nenhuma tempestade nasce do nada, as nuvens ficam escuras antes. 
Temos de estar atentos!
Veja mais na Bio @laerciolobanco
#laerciolobanco
#acreditar 
#vcpode 
#sucessoprofissional 
#mudar 
#marketingdigital 
#trajetoexcepcional
#rendaextra 
#milionario https://t.co/8dXF2gwGVH</t>
  </si>
  <si>
    <t>Você pode e merece realizar seus objetivos e seus sonhos.
Acredite em você sempre ! 
Veja mais na Bio @laerciolobanco
#laerciolobanco
#acreditar 
#vcpode 
#sucessoprofissional 
#mudar 
#marketingdigital 
#trajetoexcepcional
#rendaextra 
#milionario https://t.co/7v8aHbCq25</t>
  </si>
  <si>
    <t>O jogo de xadrez tem várias formas de se sair vitorioso, mas nem com todas você superará seu concorrente. Tenha certeza de quais são.
Veja mais na Bio @laerciolobanco
#laerciolobanco
#acreditar 
#vcpode 
#sucessoprofissional 
#mudar 
#marketingdigital 
#rendaextra 
#milionario https://t.co/hMmEsFgUaZ</t>
  </si>
  <si>
    <t>O mundo é muito mutável. Esteja aberto a mudanças.
Veja mais na Bio @laerciolobanco
#laerciolobanco
#acreditar 
#vcpode 
#sucessoprofissional 
#mudar 
#marketingdigital 
#trajetoexcepcional
#rendaextra 
#milionario https://t.co/KgThl3IGy8</t>
  </si>
  <si>
    <t>Seja prático, não procure soluções complexas para problemas difíceis.
Veja mais na Bio @laerciolobanco
#laerciolobanco
#acreditar 
#vcpode 
#sucessoprofissional 
#mudar 
#marketingdigital 
#trajetoexcepcional
#rendaextra 
#milionario https://t.co/yf1pg4NfpU</t>
  </si>
  <si>
    <t>🌍📷 Com a MobyGo, você pode explorar novas rotas, descobrir lugares incríveis e viver experiências memoráveis.#mobygo #mobilidadeurbana #app #motoristadeapp #motociclismo #ENTREGA #rendaextra #ribeirãopreto #ribeiraopreto #jardinopolis #serrana #cravinhos #bomfimpaulista #dumont https://t.co/5dQYnij4qW</t>
  </si>
  <si>
    <t>Por exemplo:
Se você hoje decide comprar um RendA+ para começar a receber em 2050 (você terá até 2050 para fazer aportes), você receberá #rendaextra até 2070.</t>
  </si>
  <si>
    <t>Novo joguinho pagando depósito a partir de 20 reais https://t.co/esvM4tSZPQ #rendaextra #jogos #dinheiro https://t.co/NbW4D1uKsq</t>
  </si>
  <si>
    <t>Mas afinal que "Certificação" dá um Certificado? Há uma coisa que o certificado certamente não certifica, que é a competência, essa adquire-se com prática, experiência. 
.
.
.
#empreendedorismo #dinheiro #sucesso #rendaextra #educacao #universidade #cursos #coaching https://t.co/VIwQoppFYy</t>
  </si>
  <si>
    <t>GrabPoints - Saiba como fazer o cadastro e como funciona para ganhar dinheiro no Paypal | 
https://t.co/JrCKJ4di69
#grabpoints #rendaextra</t>
  </si>
  <si>
    <t>TimeBucks - O que é e como funciona para ganhar dinheiro neste site confiável 
https://t.co/kTX6kneRkH
#timebucks #microtarefas #rendaextra</t>
  </si>
  <si>
    <t>Gratidão senhor por tudo e por tanto primeiramente. ontem não éramos nada, e hoje podemos comprar desfrutar, conquistar aos poucos tudo aquilo que sonhamos, renda familiar. #slotsgames  #slots  #slotsslotsslots  #rendaextra #mudandodevida  #gratidao  #inspiração #motivacao 🎰 https://t.co/UMgzklyjpl</t>
  </si>
  <si>
    <t>Forraaaaaa 
#apostasesportivas #futebol #benfica #boavistafc #bet365 #money #rendaextra https://t.co/BgG5XGkaQz</t>
  </si>
  <si>
    <t>"🍰Bem-vindo ao mundo doce da confeitaria! Descubra as melhores dicas e receitas de doces e bolos dos mestres da confeitaria, de forma econômica e prática. 😋 Aprenda a criar delícias irresistíveis  Ainda Hoje. ✨#ConfeitariaEmCasa #Doces #Bolos #RendaExtra" https://t.co/Ry0oD6qgNq</t>
  </si>
  <si>
    <t>Luta pelos teus sonhos. Não esperes que sejam os outros a tomar as decisões por ti. 
Envia mensagem ou comenta "eu quero" 
#MarketingDigital #rendaextra https://t.co/QlVgF3yGYY</t>
  </si>
  <si>
    <t>PLATAFORMA BRLWIN 
❌BÔNUS DE 50% NA PRIMEIRA RECARGA
❌CADA USUÁRIO QUE ENTRAR PELO SEU LINK VC GANHA 12 REAIS (USUÁRIOS PAGANTES)
Depósito mínimo 20
Saque mínimo 50
https://t.co/kkUcbgzftp
#fortunetiger #brabet #brlwin #jogos #rendaextra #ganheemcasa https://t.co/qnraBdQblV</t>
  </si>
  <si>
    <t>3 currículos enviados para empresas, 3 entrevistas e 3 convocações para exercer funções nas empresas… sorte ou preparo? 
#emprego #trabalho #homeoffice #rendaextra</t>
  </si>
  <si>
    <t>Como você quer se destacar fazendo as mesmas coisas da concorrência? 
Usa a traria das vacas gordas no seu negócio. #Marketing #growthmarketing #finanças #dinheiro #rendaextra https://t.co/yao5IzmPop</t>
  </si>
  <si>
    <t>#ganhardinheiro
#investimentos
#trading
#finanças
#empreendedorismo
#negócios
#marketingdigital
#rendaextra
#dinheiro
#sucesso
#liberdadefinanceira
#foco
#motivação
#economia
#investir
#oportunidades
#trabalharemcasa
#dinheiroextra
#independenciafinanceira
#educacaofinanceira https://t.co/tshnZVARFm</t>
  </si>
  <si>
    <t>Olá rede, somos a Be Yours Company!
Uma página focada no desenvolvimento profissional e pessoal de cada um, através de técnicas já testadas e aprovadas por centenas de clientes satisfeitos!
Obrigado. Build your legacy with us! 🚀
#mentemilionaria #rendaextra #empreendedorismo https://t.co/lMr7grzVeu</t>
  </si>
  <si>
    <t>Faça sua primeira comissão agora! 🚀
Acesse já: https://t.co/SPco0NJvXN
#fy #marketingdigital #kiwify #empreendedorismo #ruyter #rendaextra #PLR https://t.co/gRrL0g5AUT</t>
  </si>
  <si>
    <t>Comente “eu quero”, que te envio as 3 aulas gratuitas de como fazer dropshipping!
#vendas #rendaextra #ganhardinheiro #empreendedorismo 
 https://t.co/zkJGSyi8FA</t>
  </si>
  <si>
    <t>Script de engajamento do Youtube.
#hotmart #rendaextra #ganhedinheiro
https://t.co/e2IHljTzsL</t>
  </si>
  <si>
    <t>"Saiba o porquê o povo moçambicano continua Pobre!"
" #economia
#mocambiquetiktok🇲🇿
#angola🇦🇴portugal🇵🇹brasil🇧🇷
#geopolitica
#rendaextra
#viral
#foryou ";
LINK/FONTE/URL: " https://t.co/4gYo7J0HBy ".;
...;  ⬇⬇⬇⬇⬇ https://t.co/v98nj4synF</t>
  </si>
  <si>
    <t>Atenção! Quer se destacar no mercado e se tornar expert em depilação? 
Descubra o método + rápido para se tornar uma profissional da estética, de forma rápida e eficiente, mesmo que você comece do absoluto zero.
Saiba mais 👉 https://t.co/FywZ3ueiGY
#depilacao  #rendaextra</t>
  </si>
  <si>
    <t>8 ideias para renda extra em 2023
https://t.co/1b4VOW2j8J
A renda extra é uma forma de complementar o seu salário ou aposentadoria e pode ajudá-lo a atingir seus objetivos financeiros. 
#rendaextra #finanças #investimento #dinheiro #dinheiroonline #finançaspessoais #economia https://t.co/VNe5PIPABu</t>
  </si>
  <si>
    <t>O Homem Mais Rico da Babilônia: 
Ensinamentos Valiosos Para a Vida Financeira
Link &amp;gt;&amp;gt;&amp;gt; https://t.co/5AQalU7uxl
Leia a matéria completa no site Finanças e Cia.
#mercadofinanceiro #financaspessoais #dinheiro #investimento #rendaextra #finanças https://t.co/t2tihJHhml</t>
  </si>
  <si>
    <t>@comedyzin Eu faço o desafio, te dou ingresso pro meu show, se vc não rir, eu te dou 1000 reais! Se vc rir, eu posso dar um soco na sua cara!</t>
  </si>
  <si>
    <t>Apostei R$0,80 e recebi R$200 o tigrinho soltando a carta!
Plataforma pagando
Corre fazer o cadastro. Primeiro depósito de 35,00 você ganha 15,00 de bônus 
https://t.co/ybv6XsCDIk
#fortunertiger #rendaextra #aposta
#tigre 
kanye west https://t.co/lxM1ze2UBj</t>
  </si>
  <si>
    <t>Apostei R$0,80 e recebi R$200 o tigrinho soltando a carta!
Plataforma pagando
Corre fazer o cadastro. Primeiro depósito de 35,00 você ganha 15,00 de bônus 
https://t.co/ybv6XsCDIk
#fortunertiger #rendaextra #aposta
#tigre https://t.co/BSYPhYblGw</t>
  </si>
  <si>
    <t>Precisando fazer #rendaextra em casa?
Vem operar ao vivo comigo no mercado financeiro💰💵💷💸
SUPORTE PRA GERAR 5% POR DIA
POR APENAS R$59,70 POR MÊS https://t.co/UuAvPDhDwp</t>
  </si>
  <si>
    <t>Vá agora no Youtube e digite: Como ganhar dinheiro na internet que estou analisando todos os vídeos agora 9:13 A.M. nos comentários de cada vídeo. #ganhadinheiro #rendaextra #50JOB https://t.co/GXoK16TkJf</t>
  </si>
  <si>
    <t>Um Trabalho fácil de Fazer e você pode cobrar R$50 é fazer declaração de imposto de renda para idosos que recebem pelo INSS, é simples, fácil e da para ganhar uma renda extra. Vale a dica #rendaextra #comoganhardinheironainternet https://t.co/Oz2ugCF5eg</t>
  </si>
  <si>
    <t>Adicionei uma foto de capa e mais alguns produtos. Já são 120 produtos na loja. #ecommerce #empreendedorismo #lojaonline #rendaextra</t>
  </si>
  <si>
    <t>61 produtos adicionados e a loja começa a ganhar forma. #empreendedorismo #lojavirtual #shopify #rendaextra https://t.co/Y1R6Cw6KHo</t>
  </si>
  <si>
    <t>Sera que você sabe que ja mudei a vida de 2 pessoas com um curso. Se você não sabia me chama no insta que eu possa te ajudar a ganhar um renda extra🔥
Meu ig : @matteo007z
#cursodeinvestimentos #rendaextra #dinheiroonline</t>
  </si>
  <si>
    <t>2 GRANDES DICAS PARA FAZER UMA RENDA EXTRA EM 2023!🤑💰 #rendaextra #renda... https://t.co/evbrp4vlbt via @YouTube</t>
  </si>
  <si>
    <t>3 LIVROS QUE VÃO MUDAR A SUA VIDA FINANCEIRA!! #rendaextra #educaçãofina... https://t.co/gZVYHSeM5m via @YouTube</t>
  </si>
  <si>
    <t>💰Reduzir riscos é um dos pré requisitos para preservar o seu patrimônio.
#fgc #rendaextra #financas #investimentos #banco
https://t.co/l7zsSfzLcc</t>
  </si>
  <si>
    <t>Quem disse que todas as portas de uma casa precisam ser brancas!, #marketingdigital #rendaextra #tbt https://t.co/PM6EI18SLX,</t>
  </si>
  <si>
    <t>Resistente, aconchegante e versátil, não temos dúvida que o forro de madeira virou tendência!, #marketingdigital #rendaextra #tbt https://t.co/NeacYF3d0H,</t>
  </si>
  <si>
    <t>DJ,som,iluminação para sua festa 11 91480 8788 WhatsApp, #marketingdigital #rendaextra #tbt https://t.co/qtRyX8N7IF,</t>
  </si>
  <si>
    <t>• Cerca Elétrica Guarulhos (11) 98475-2594 • Alarme • Câmeras • Instalação • Manutenção, #marketingdigital #rendaextra #tbt https://t.co/RRsZwyAkAB,</t>
  </si>
  <si>
    <t>BARBIE SHOW ANIMAÇÃO DE FESTAS 11948594445, #marketingdigital #rendaextra #tbt https://t.co/tJ5T6fPs47,</t>
  </si>
  <si>
    <t>BARBIE ANIMAÇÃO DE FESTAS 11948594445, #marketingdigital #rendaextra #tbt https://t.co/AGewdJAAch,</t>
  </si>
  <si>
    <t>BELA ADORMECIDA 11948594445 animação de festas, #marketingdigital #rendaextra #tbt https://t.co/2gNYaqet1i,</t>
  </si>
  <si>
    <t>Anitta cover o show 11948594445, #marketingdigital #rendaextra #tbt https://t.co/xk042dpeea,</t>
  </si>
  <si>
    <t>Trabalhe Com seu Celular, #marketingdigital #rendaextra #tbt https://t.co/aSLvmtbASD,</t>
  </si>
  <si>
    <t>Imóvel a venda 02 dormitórios último andar sacada e churrasqueira, #marketingdigital #rendaextra #tbt https://t.co/ompYH8mkgH,</t>
  </si>
  <si>
    <t>Sacos Kraft personalizados Rio Embalagens rj, #marketingdigital #rendaextra #tbt https://t.co/QGDmXnJZvo,</t>
  </si>
  <si>
    <t>SSD SOLUÇÃO QUÍMICA AUTOMÁTICA PARA LIMPEZA, #marketingdigital #rendaextra #tbt https://t.co/WcThBHFgkF,</t>
  </si>
  <si>
    <t>Detetives particulares, atendimento 24hrs, toda Florianópolis SC., #marketingdigital #rendaextra https://t.co/zhwsAr63kT,</t>
  </si>
  <si>
    <t>Detetives Particulares do centro, em Florianópolis, Santa Catarina (SC)., #marketingdigital #rendaextra https://t.co/ACMHtbOEPY,</t>
  </si>
  <si>
    <t>Detetives particulares em Florianópolis, Santa Catarina SC., #marketingdigital #rendaextra https://t.co/FBvQjAoWzs,</t>
  </si>
  <si>
    <t>Detetive Particular, Centro de Florianópolis (SC)., #marketingdigital #rendaextra https://t.co/s9BiN1e5hG,</t>
  </si>
  <si>
    <t>Anúncios na Internet | Criação de Sites e Anúncios no Google | Agência Nunes | Divulgação Online para Empresas, #marketingdigital #rendaextra https://t.co/oiq00vHgE5,</t>
  </si>
  <si>
    <t>Embalagens em promoção, #marketingdigital #rendaextra https://t.co/FSN7ojOyMW,</t>
  </si>
  <si>
    <t>top loja casual -saude beleza e suplemento sexuais, #marketingdigital #rendaextra https://t.co/kvO5BBY7b4,</t>
  </si>
  <si>
    <t>Quem aí tem um refrigerador em casa?, #marketingdigital #rendaextra https://t.co/ZNSVAHSchH,</t>
  </si>
  <si>
    <t>Limpeza e impermeabilização da caixa d'água, #marketingdigital #rendaextra https://t.co/7FRuPhpmW7,</t>
  </si>
  <si>
    <t>FR PROMOTORA, #marketingdigital #rendaextra https://t.co/juGMcKfsHd,</t>
  </si>
  <si>
    <t>Sua máquina de gelo Everest não está funcionando corretamente?, #marketingdigital #rendaextra https://t.co/PDDdtosgjQ,</t>
  </si>
  <si>
    <t>Consertos para lavadoras de roupas de marcas nacionais e importadas, #marketingdigital #rendaextra https://t.co/QA6JNISiv0,</t>
  </si>
  <si>
    <t>Consertos para secadora de roupas de marcas nacionais e importadas, #marketingdigital #rendaextra https://t.co/c27znRlfmL,</t>
  </si>
  <si>
    <t>Amarração Amorosa com afastamento de rival, #marketingdigital #rendaextra https://t.co/cOCusKmBqt,</t>
  </si>
  <si>
    <t>Minha Barriga +Bonita, #marketingdigital #rendaextra https://t.co/7oPEAVhwlR,</t>
  </si>
  <si>
    <t>Descubra como publicar o seu negócio em 350 classificados grátis, #marketingdigital #rendaextra https://t.co/sQH1tgtnap,</t>
  </si>
  <si>
    <t>sacola personalizada, #marketingdigital #rendaextra https://t.co/HgWFeZbfTX,</t>
  </si>
  <si>
    <t>VENDO APARTAMENTO - UBERLANDIA-MG - OTIMO PREÇO, #marketingdigital #rendaextra https://t.co/DzDxUZXtb2,</t>
  </si>
  <si>
    <t>CONCRETO CONCRETO BOMBEADO CONCRETO USINADO PARA LAJES E PISOS RIO DE JANEIRO, #marketingdigital #rendaextra https://t.co/zIoiTIcp7G,</t>
  </si>
  <si>
    <t>CONCRETO BOMBEADO CONCRETO USINADO PISO POLIDO RIO DE JANEIRO, #marketingdigital #rendaextra https://t.co/FqT8bFjeIj,</t>
  </si>
  <si>
    <t>CONCRETO CONCRETO BOMBEADO CONCRETO USINADO RIO DE JANEIRO, #marketingdigital #rendaextra https://t.co/Gi0y3SdHXh,</t>
  </si>
  <si>
    <t>Embalagens para delivery personalizadas, #marketingdigital #rendaextra https://t.co/ByJjixHFQp,</t>
  </si>
  <si>
    <t>Quiropraxia Freguesia do Ó - 30 anos de experiencia, #marketingdigital #rendaextra https://t.co/4s9pfJEZk2,</t>
  </si>
  <si>
    <t>Graduação e Pós Ead - Sem pagamento antecipado, #marketingdigital #rendaextra https://t.co/5UKsD64ja4,</t>
  </si>
  <si>
    <t>Cursos Universitário EAD - Sem pagar antecipado, #marketingdigital #rendaextra https://t.co/QXGsyQSIAg,</t>
  </si>
  <si>
    <t>Pare de matar o seu animal com essa comida..., #marketingdigital #rendaextra https://t.co/Lt4Dhi6DVn,</t>
  </si>
  <si>
    <t>SAIBA COMO TRABALHAR COM  E GANHAR UM BOM DINHEIRO COM CODORNAS..., #marketingdigital #rendaextra https://t.co/U9xubhh1kf,</t>
  </si>
  <si>
    <t>O [Guia Completo Para Lucrar Com a Criação de Codornas], #marketingdigital #rendaextra https://t.co/6YIWo1lTp4,</t>
  </si>
  <si>
    <t>The Vale das Juntas - Isolação Térmica, #marketingdigital #rendaextra https://t.co/iHqmZqlmSl,</t>
  </si>
  <si>
    <t>SACOS KRAFT PERSONALIZADOS, #marketingdigital #rendaextra https://t.co/UumeRoSJZI,</t>
  </si>
  <si>
    <t>Portugal Negócios e  investimentos e produtos, #marketingdigital #rendaextra https://t.co/g7ZPiQ9S1X,</t>
  </si>
  <si>
    <t>saude beleza e suplemento sexuais, #marketingdigital #rendaextra https://t.co/RBJykq5kGE,</t>
  </si>
  <si>
    <t>+Palco +coberta +som +luz Alugo Palco Aluguel Tablado de vidro palco madeira 9 86 25 98 82, #marketingdigital #rendaextra https://t.co/LkXJXAVS0T,</t>
  </si>
  <si>
    <t>DETETIVE PARTICULAR EM SANTO ANDRÉ SP, #marketingdigital #rendaextra https://t.co/DFSpUn3idC,</t>
  </si>
  <si>
    <t>Como Fazer a Sua Própria Horta Orgânica em Casa Sem Precisar de Muito Espaço!, #marketingdigital #rendaextra https://t.co/0m11QtsRAU,</t>
  </si>
  <si>
    <t>Varais de Todos os Modelos, #marketingdigital #rendaextra https://t.co/n5271tu2Ov,</t>
  </si>
  <si>
    <t>Vendo Diplomas Universitários, #marketingdigital #rendaextra https://t.co/XlZdsA4aj7,</t>
  </si>
  <si>
    <t>Site PROMOCIONAL PAGSEGURO, #marketingdigital #rendaextra https://t.co/KdRKGxYtVY,</t>
  </si>
  <si>
    <t>Trabalhe Conosco, #marketingdigital #rendaextra https://t.co/PiiOVS1Y8c,</t>
  </si>
  <si>
    <t>Transforme O Seu Sonho Em Realidade Com Estas Jóias E Bijuterias Da Imagem Folheados As Tendo Em Sua Loja Online!, #marketingdigital #rendaextra https://t.co/UqZEBO6dQq,</t>
  </si>
  <si>
    <t>Por Que Todo Mundo Quer Saber Sobre Como Ganhar Dinheiro Trabalhando Em Casa Pela Internet Em 2023, É Gratuito?, #marketingdigital #rendaextra https://t.co/Tv7MOQp80L,</t>
  </si>
  <si>
    <t>Atenção: Grandes Mestres  Descobrem Como Ter o Seu Negócio da Confeitaria Sem Uso  de Grande Conhecimento na Área !, #marketingdigital #rendaextra https://t.co/uobm5T0wnO,</t>
  </si>
  <si>
    <t>Uma Maneira 100% Garantida De  Eliminar A Gordura E Diminuir A Cintura Sem Precisar Fazer Dieta Chatas E Cansativas!, #marketingdigital #rendaextra https://t.co/GOC1jkmG9g,</t>
  </si>
  <si>
    <t>Você Achava Impossível Para conseguir Emprego  Sem Saber Se Vai Sair Dessa Situação Terrível ?, #marketingdigital #rendaextra https://t.co/eZPgmGpFWt,</t>
  </si>
  <si>
    <t>Melhor Comissão, #marketingdigital #rendaextra https://t.co/PiiOVS1Y8c,</t>
  </si>
  <si>
    <t>ENTRE LAÇOS O SHOW COVER 11948594445, #marketingdigital #rendaextra #tbt https://t.co/OUuAHUTnT5,</t>
  </si>
  <si>
    <t>SHOW COVER PETER PAN SININHO CHAPEUZINHO VERMELHO BAILARINA 11948594445, #marketingdigital #rendaextra #tbt https://t.co/u2Fl6MpCku,</t>
  </si>
  <si>
    <t>Entretenimento, Lazer e Diversão, #marketingdigital #rendaextra #tbt https://t.co/LdfPuMDjTY,</t>
  </si>
  <si>
    <t>Sacolas Personalizadas na Rio Embalagens, #marketingdigital #rendaextra #tbt https://t.co/N15l0R5KhN,</t>
  </si>
  <si>
    <t>PRINCESA ARIEL PEQUENA SEREIA ANIMAÇÃO DE FESTAS 11948594445, #marketingdigital #rendaextra #tbt https://t.co/5IeF1SirEm,</t>
  </si>
  <si>
    <t>SHAKIRA SHOW COVER 11948594445, #marketingdigital #rendaextra #tbt https://t.co/p4W7tLtn2x,</t>
  </si>
  <si>
    <t>SHOW COVER ARIANA GRANDE 11948594445, #marketingdigital #rendaextra #tbt https://t.co/WFtd84vGy9,</t>
  </si>
  <si>
    <t>Dinossauro animação de festas 11948594445, #marketingdigital #rendaextra #tbt https://t.co/gJMyKpqCZA,</t>
  </si>
  <si>
    <t>Fazendinha Farm 11948594445 Animação de Festas, #marketingdigital #rendaextra #tbt https://t.co/RlQ08XVYA6,</t>
  </si>
  <si>
    <t>Junho de ofertas Rio Embalagens, #marketingdigital #rendaextra #tbt https://t.co/LWIaD1OanZ,</t>
  </si>
  <si>
    <t>Espaço Linda Depilação e Quiropraxia Freg do Ó, #marketingdigital #rendaextra #tbt https://t.co/jZIBPoCPaZ,</t>
  </si>
  <si>
    <t>ALADDIN E JASMINE ANIMAÇÃO DE FESTAS 11948594445, #marketingdigital #rendaextra #tbt https://t.co/ukwOliCYsq,</t>
  </si>
  <si>
    <t>NOW UNITED SHOW COVER 11948594445, #marketingdigital #rendaextra #tbt https://t.co/naBZk7kJSb,</t>
  </si>
  <si>
    <t>Sacolas personalizadas Rio Embalagens rj, #marketingdigital #rendaextra #tbt https://t.co/JgYw4oImMk,</t>
  </si>
  <si>
    <t>ENTRE LAÇOS SHOW COVER 11948594445, #marketingdigital #rendaextra #tbt https://t.co/aNixmKk6XU,</t>
  </si>
  <si>
    <t>Criação de Site Profissional 100% Gerenciável, #marketingdigital #rendaextra #tbt https://t.co/U7U72wPfN9,</t>
  </si>
  <si>
    <t>Quanto eu ganhei em 07 dias na PIX CONNECTION! Será que funciona? R$1.350,00 com o celular., #marketingdigital #rendaextra #tbt https://t.co/RJ26624Nhe,</t>
  </si>
  <si>
    <t>CLASSIFICADOS GRÁTIS PARA AFILIADOS - ANÚNCIOS NÃO EXPIRAM., #marketingdigital #rendaextra #tbt https://t.co/szvyxFYW6h,</t>
  </si>
  <si>
    <t>CLASSIFICADOS GRÁTIS PARA AFILIADOS - ANÚNCIOS NÃO EXPIRAM., #marketingdigital #rendaextra #tbt https://t.co/hH5cfoVcwV,</t>
  </si>
  <si>
    <t>GRANDE OPORTUNIDADE! COMO GANHAR DINHEIRO EM CASA PELA INTERNET., #marketingdigital #rendaextra #tbt https://t.co/fQRlerAEjt,</t>
  </si>
  <si>
    <t>Como Ganhar Dinheiro Com o Projeto 6PIX? Clique e Assista o Vídeo Explicativo!, #marketingdigital #rendaextra #tbt https://t.co/n4RwIwdB0n,</t>
  </si>
  <si>
    <t>PIX Connection | Mais De 9 Mil Modelos CANVA Com Direito De Revenda (Afiliados)., #marketingdigital #rendaextra #tbt https://t.co/WvGyhWtKWO,</t>
  </si>
  <si>
    <t>GANHAR DINHEIRO COM O PIX CONNECTION? A Nova Fonte De Renda 100% De Lucro (Afiliados)., #marketingdigital #rendaextra #tbt https://t.co/8owvdcu6Mz,</t>
  </si>
  <si>
    <t>Salvador, Léo Santos Locutor Online Vinhetas Comerciais Gravação De Propagandas, #marketingdigital #rendaextra #tbt https://t.co/3QFKx04tiL,</t>
  </si>
  <si>
    <t>Aracaju, Gravação De Propagandas Vinhetas Spots Comerciais Léo Santos Locutor, #marketingdigital #rendaextra #tbt https://t.co/tKbURl94yo,</t>
  </si>
  <si>
    <t>Maceió, Léo Locutor Online Vinhetas Spot Gravação De Propagandas, #marketingdigital #rendaextra #tbt https://t.co/N1I2aAQ50D,</t>
  </si>
  <si>
    <t>Recife, Léo Santos Locutor Spot Gravação De Vinhetas e Propagandas, #marketingdigital #rendaextra #tbt https://t.co/EHITy7X2iK,</t>
  </si>
  <si>
    <t>João Pessoa, Léo Locutor Comercial Gravação De Propagandas e Vinhetas, #marketingdigital #rendaextra #tbt https://t.co/JjHyDyIxGQ,</t>
  </si>
  <si>
    <t>Natal, Léo Locutor Comercial Vinhetas Online Gravação De Propagandas, #marketingdigital #rendaextra #tbt https://t.co/8lmehcM6FI,</t>
  </si>
  <si>
    <t>Fortaleza, Gravação De Vinhetas e Propagandas Léo Santos Locutor, #marketingdigital #rendaextra #tbt https://t.co/mL0Ux5M8xf,</t>
  </si>
  <si>
    <t>Teresina, Locutor Léo Santos Gravação De Propagandas e Vinhetas, #marketingdigital #rendaextra #tbt https://t.co/Bpen1jques,</t>
  </si>
  <si>
    <t>São Luís, Léo Santos Locutor Comercial Gravação De Propagandas e Vinhetas, #marketingdigital #rendaextra #tbt https://t.co/tyW1Ait3vN,</t>
  </si>
  <si>
    <t>Mercado Point: Compre Já Sua Maquininha Com Descontos Exclusivos, #marketingdigital #rendaextra #tbt https://t.co/tDFc9B1aXT,</t>
  </si>
  <si>
    <t>PIX Connection - Produtos, Serviços Digitais e Renda Extra, #marketingdigital #rendaextra #tbt https://t.co/sGO3hDKFn1,</t>
  </si>
  <si>
    <t>Léo Locutor Comercial Online Agora | Gravação De Propagandas Vinhetas, #marketingdigital #rendaextra #tbt https://t.co/NI6aYZWfzB,</t>
  </si>
  <si>
    <t>produtos personalizados/promocionais, #marketingdigital #rendaextra #tbt https://t.co/CG06x4GwXb,</t>
  </si>
  <si>
    <t>Venda De Produtos Digitais | Faça Dinheiro Pela Internet, #marketingdigital #rendaextra #tbt https://t.co/dezImL0l1G,</t>
  </si>
  <si>
    <t>Se Nunca Trabalhou Com Pix Connecetion? Está Perdendo. Mil Reais Por Dias, #marketingdigital #rendaextra #tbt https://t.co/NzWZ0rX39m,</t>
  </si>
  <si>
    <t>ASSISTÊNCIA TÉCNICA EM EQUIPAMENTOS MINDRAY NO BRASIL, #marketingdigital #rendaextra #tbt https://t.co/tUU8adCGwP,</t>
  </si>
  <si>
    <t>Oportunidade de Renda Extra  e Ganhar Dinheiro Online em Casa!, #marketingdigital #rendaextra https://t.co/WnjHDRRkHF,</t>
  </si>
  <si>
    <t>Apartamento confortável e bem localizado, melhor empreendimento para se investir em 2023, ótimas condições de financiamento., #marketingdigital #rendaextra https://t.co/SebYAZROht,</t>
  </si>
  <si>
    <t>Bye rash! Gel anti-foliculite, #marketingdigital #rendaextra https://t.co/I22bUKWLlK,</t>
  </si>
  <si>
    <t>EBOOK GRÁTIS: Como ter 7 Fontes de Renda sob único FOCO sem ter TEMPO, #marketingdigital #rendaextra https://t.co/Ed5qqQ29GJ,</t>
  </si>
  <si>
    <t>Embalagem para pastel com plastificação interna, #marketingdigital #rendaextra https://t.co/puNKMDbMRs,</t>
  </si>
  <si>
    <t>Invista na sua marca/ sacos personalizados para delivery, #marketingdigital #rendaextra https://t.co/216M4PcEpq,</t>
  </si>
  <si>
    <t>100 unidades de embalagem para pastel $60,00, #marketingdigital #rendaextra https://t.co/ias61HZFYo,</t>
  </si>
  <si>
    <t>embalagem promocional para pastel, #marketingdigital #rendaextra https://t.co/H0iBQvv16A,</t>
  </si>
  <si>
    <t>sacos kraft personalizados ideais para delivery, #marketingdigital #rendaextra https://t.co/JcgUx9UJpi,</t>
  </si>
  <si>
    <t>+Palco +coberta +som +luz Alugo Palco Aluguel Tablado de vidro palco madeira 9 86 25 98 82, #marketingdigital #rendaextra https://t.co/LkXJXAWpQr,</t>
  </si>
  <si>
    <t>promoção sacolas kraft personalizdas, #marketingdigital #rendaextra https://t.co/YxepjPnXEf,</t>
  </si>
  <si>
    <t>promoção sacola plástica personalizada, #marketingdigital #rendaextra https://t.co/XarIDEFJaP,</t>
  </si>
  <si>
    <t>Combo Beleza Fantástica - Alongamento de unhas e cílios, #marketingdigital #rendaextra https://t.co/rropJ77ABa,</t>
  </si>
  <si>
    <t>New Detox. Emagreça muito mais rápido! SEM DIETAS MALUCAS OU EXERCÍCIOS FÍSICOS, #marketingdigital #rendaextra https://t.co/pDMUi4dEab,</t>
  </si>
  <si>
    <t>iPhone 12 Pro Max,iPhone 13 Pro Max,iPhone 14 Pro Max Para venda, #marketingdigital #rendaextra https://t.co/S7TMt5itUI,</t>
  </si>
  <si>
    <t>Desentupidora São José dos Pinhais https://t.co/4crbCSQU2v, #marketingdigital #rendaextra https://t.co/DNoDMGQhNQ,</t>
  </si>
  <si>
    <t>Gel anti-foliculite, #marketingdigital #rendaextra https://t.co/1lTID6ra42,</t>
  </si>
  <si>
    <t>Agência Nunes | Divulgação Online para Empresas, #marketingdigital #rendaextra https://t.co/zG88zKkYPE,</t>
  </si>
  <si>
    <t>Secadora de roupas manutenção de marcas nacionais e importadas, #marketingdigital #rendaextra https://t.co/jo3DRHQRFj,</t>
  </si>
  <si>
    <t>Lavadora de roupas nacionais e importada assistência especializada, #marketingdigital #rendaextra https://t.co/HfmNSmfcaf,</t>
  </si>
  <si>
    <t>Trabalhe Com seu Celular, #marketingdigital #rendaextra https://t.co/vKNDU4ZoIy,</t>
  </si>
  <si>
    <t>Refrigeradores french door e troca de filtro de água, #marketingdigital #rendaextra https://t.co/tM2cy2Ba4I,</t>
  </si>
  <si>
    <t>Como Fazer Biscoito e Ganhar Dinheiro com as Bolachas Decoradas com a Sweet Bite Academy!, #marketingdigital #rendaextra https://t.co/uobm5SZYyg,</t>
  </si>
  <si>
    <t>Como Ganhar Dinheiro em Casa com o Programa de Afiliados da Imagem Folheados. É GRATUITO!, #marketingdigital #rendaextra https://t.co/Tv7MOQoAbd,</t>
  </si>
  <si>
    <t>Como Comprar Bijuterias no Atacado e direto da Fábrica, para Revender no Varejo!, #marketingdigital #rendaextra https://t.co/UqZEBO5G0S,</t>
  </si>
  <si>
    <t>Porto Clinic Odontologia | Consultório Odontológico em Cariacica, #marketingdigital #rendaextra https://t.co/dH5jytqJfY,</t>
  </si>
  <si>
    <t>Não importa o problema, a marca ou modelo, nós temos a solução para sua manutenção em eletrodomésticos., #marketingdigital #rendaextra https://t.co/p5NXoUkWN5,</t>
  </si>
  <si>
    <t>APLICATIVO GOSHARE PAGANDO MUITO JA NO CADASTRO, #marketingdigital #rendaextra https://t.co/zBhs6BqXaH,</t>
  </si>
  <si>
    <t>Diplomas Reconhecidos pelo MEC, #marketingdigital #rendaextra https://t.co/ZosCg6yIb1,</t>
  </si>
  <si>
    <t>Diplomas Universitários, #marketingdigital #rendaextra https://t.co/ZLu1oqxIMG,</t>
  </si>
  <si>
    <t>Gota Prime é BOM? ACABA Com os Sintomas da Diabetes? Funciona? Vale a Pena?, #marketingdigital #rendaextra https://t.co/OOPEiFXUAJ,</t>
  </si>
  <si>
    <t>Curso de MONTAGEM E MANUTENÇÃO DE COMPUTADORES, #marketingdigital #rendaextra https://t.co/iGSFhEdb4l,</t>
  </si>
  <si>
    <t>Curso de DESIGN DE SOBRANCELHAS, #marketingdigital #rendaextra https://t.co/uJBodX1Dy6,</t>
  </si>
  <si>
    <t>Curso de Libras para Iniciantes, #marketingdigital #rendaextra https://t.co/C4xs3bg9LK,</t>
  </si>
  <si>
    <t>Curso de Espanhol, #marketingdigital #rendaextra https://t.co/uyxDJqRVGt,</t>
  </si>
  <si>
    <t>CURSO DE OPERADOR DE CAIXA, #marketingdigital #rendaextra https://t.co/kb769ktyPo,</t>
  </si>
  <si>
    <t>CURSO AUXILIAR ADMINISTRATIVO, #marketingdigital #rendaextra https://t.co/HZ0IGCkQUX,</t>
  </si>
  <si>
    <t>Curso de Cabeleireiro Profissional, #marketingdigital #rendaextra https://t.co/fh8HDvWI9j,</t>
  </si>
  <si>
    <t>Seja uma maquiadora profissional reconhecida depois desse curso, #marketingdigital #rendaextra https://t.co/MzOERxTp6S,</t>
  </si>
  <si>
    <t>Curso de Unhas em Gel, #marketingdigital #rendaextra https://t.co/Odk3XifrSY,</t>
  </si>
  <si>
    <t>Curso de Desenho a Mão, #marketingdigital #rendaextra https://t.co/dJSKZ6uoSp,</t>
  </si>
  <si>
    <t>DESENHO ARQUITETÔNICO, TENHA SEU PRÓPRIO NEGÓCIO, #marketingdigital #rendaextra https://t.co/RzLrD906Hr,</t>
  </si>
  <si>
    <t>Curso de Auxiliar de Segurança do Trabalho, #marketingdigital #rendaextra https://t.co/NrJXQf7DUT,</t>
  </si>
  <si>
    <t>APRENDA EDIÇÃO DE VÍDEOS DO ZERO AO AVANÇADO, #marketingdigital #rendaextra https://t.co/ItyTvN9iX1,</t>
  </si>
  <si>
    <t>Curso de Marketing Digital e Social Media, #marketingdigital #rendaextra https://t.co/gEWXWqYHC2,</t>
  </si>
  <si>
    <t>APRENDA DESIGN GRÁFICO, #marketingdigital #rendaextra https://t.co/WIlhq41ztB,</t>
  </si>
  <si>
    <t>Justin Bieber cover shows em eventos e festas 11948594445, #marketingdigital #rendaextra #tbt https://t.co/5WjIIjy86g,</t>
  </si>
  <si>
    <t>Jovens Titãs show cover animação de festas 11948594445, #marketingdigital #rendaextra #tbt https://t.co/DAOnDXajL3,</t>
  </si>
  <si>
    <t>Homem aranha Alice no País das Maravilhas Princesas 11948594445, #marketingdigital #rendaextra #tbt https://t.co/4rMzDCqP8O,</t>
  </si>
  <si>
    <t>Homem Aranha animação de festas e eventos infantil 11948594445, #marketingdigital #rendaextra #tbt https://t.co/IyI10kHFN5,</t>
  </si>
  <si>
    <t>Personagens diversos para animar seu evento 11948594445, #marketingdigital #rendaextra #tbt https://t.co/riSeJxDa81,</t>
  </si>
  <si>
    <t>Quer uma festa animada ? Temos shows personagens artistas dançarinos bandas, #marketingdigital #rendaextra #tbt https://t.co/57XiJUOsJl,</t>
  </si>
  <si>
    <t>Princesas da Disney ALADDIN e Jasmine 11948594445, #marketingdigital #rendaextra #tbt https://t.co/MpVoVT5HHn,</t>
  </si>
  <si>
    <t>produtos personalizados/ Rio Embalagens/ rj, #marketingdigital #rendaextra #tbt https://t.co/UjpTqD4anG,</t>
  </si>
  <si>
    <t>💦 Manutenção profissional para lavadoras de roupas!, #marketingdigital #rendaextra #tbt https://t.co/f0QyJ5Wt7B,</t>
  </si>
  <si>
    <t>🔧Reparos profissionais para secadoras de roupas!, #marketingdigital #rendaextra #tbt https://t.co/xuF6wSXp4C,</t>
  </si>
  <si>
    <t>Seu fogão está precisando de conserto ou conversão de gás?, #marketingdigital #rendaextra #tbt https://t.co/7Co5b7NoDE,</t>
  </si>
  <si>
    <t>Fiorino Refrigerada, #marketingdigital #rendaextra #tbt https://t.co/35fysgDjGu,</t>
  </si>
  <si>
    <t>Seu refrigerador está apresentando problemas?, #marketingdigital #rendaextra #tbt https://t.co/JP1bPJ4oM0,</t>
  </si>
  <si>
    <t>Realizamos consertos em todos os modelos e marcas de refrigeradores, #marketingdigital #rendaextra #tbt https://t.co/sBp3kjrT0s,</t>
  </si>
  <si>
    <t>Já Imaginou Ter o Seu Próprio Negócio Digital Sem Precisar Criar Nada e RECEBER Direto em Sua Conta Todos os Dias Por Suas Vendas?, #marketingdigital #rendaextra #tbt https://t.co/BXRmRlNPyC,</t>
  </si>
  <si>
    <t>Anuncio Apenas Pra QUEM QUER DINHEIRO Se Não Quer Ter Uma Vida Livre De Dívidas Não Clique, #marketingdigital #rendaextra #tbt https://t.co/QXhyJryBxh,</t>
  </si>
  <si>
    <t>Palmas, Léo Santos Locutor Publicidade Spots Vinhetas Gravação De Propagandas, #marketingdigital #rendaextra #tbt https://t.co/nyQe0Q6djh,</t>
  </si>
  <si>
    <t>Macapá, Léo Santos Locutor Online Vinhetas Comerciais Gravação De Propagandas, #marketingdigital #rendaextra #tbt https://t.co/QKJiFHcF9A,</t>
  </si>
  <si>
    <t>Boa Vista, Locutor Léo Santos Gravação De Vinhetas Propagandas Online, #marketingdigital #rendaextra #tbt https://t.co/q3YzogMQS3,</t>
  </si>
  <si>
    <t>Porto Velho, Léo Santos Locutor Comercial Spots Vinhetas Gravação De Propagandas, #marketingdigital #rendaextra #tbt https://t.co/h2aYhWEEEb,</t>
  </si>
  <si>
    <t>Rio Branco, Locutor Léo Santos Spots Vinhetas Gravação De Propaganda Volante, #marketingdigital #rendaextra #tbt https://t.co/6J2WykJ3Tm,</t>
  </si>
  <si>
    <t>Belém, Léo Santos Locutor Online Vinhetas Comerciais Gravação De Propagandas, #marketingdigital #rendaextra #tbt https://t.co/hppXV3QqeS,</t>
  </si>
  <si>
    <t>Manaus, Locutor Léo Santos Gravações Gravação De Propagandas e Vinhetas, #marketingdigital #rendaextra #tbt https://t.co/34KyaXL1PO,</t>
  </si>
  <si>
    <t>Buffet Corporativo - Coffee Break e Coquetel - Manduco Eventos, #marketingdigital #rendaextra #tbt https://t.co/dU5KTyJfsa,</t>
  </si>
  <si>
    <t>Kit Lanche Gourmet - Buffet Manduco Eventos, #marketingdigital #rendaextra #tbt https://t.co/B0uRJbxOsq,</t>
  </si>
  <si>
    <t>Buffet Manduco Eventos - o seu evento com qualidade e pontualidade, #marketingdigital #rendaextra #tbt https://t.co/9FrjJchBYB,</t>
  </si>
  <si>
    <t>Locação e venda de árvore de Natal em Brasília DF, #marketingdigital #rendaextra #tbt https://t.co/XGIMXgm9DY,</t>
  </si>
  <si>
    <t>Tenha um site repleto de produtos digitais - So Vender, #marketingdigital #rendaextra #tbt https://t.co/SFcnnz3RO6,</t>
  </si>
  <si>
    <t>+Palco +coberta +som +luz Alugo Palco Aluguel Tablado de vidro palco madeira 9 86 25 98 82, #marketingdigital #rendaextra #tbt https://t.co/LkXJXAWpQr,</t>
  </si>
  <si>
    <t>Precisando de consertos para fogão ou cooktop, #marketingdigital #rendaextra #tbt https://t.co/ty6LeDdjca,</t>
  </si>
  <si>
    <t>Jequié/BA, Léo Santos Locutor Comercial Vinhetas Online Gravação De Propaganda Volante, #marketingdigital #rendaextra #tbt https://t.co/h2rSaAQ6Uc,</t>
  </si>
  <si>
    <t>Ilhéus/BA, Léo Locutor Online Agora Gravação De Vinhetas Propagandas, #marketingdigital #rendaextra #tbt https://t.co/35aUrkkjYm,</t>
  </si>
  <si>
    <t>Barreiras/BA, Locutor Léo Spot Vinhetas Comercial Gravação De Propagandas Online, #marketingdigital #rendaextra #tbt https://t.co/zbSu84KWRf,</t>
  </si>
  <si>
    <t>Teixeira De Freitas/BA, Léo Santos Locutor Propagandas Gravação De Vinhetas Comerciais, #marketingdigital #rendaextra #tbt https://t.co/dgnCupL1Eb,</t>
  </si>
  <si>
    <t>Lauro De Freitas/BA, Léo Santos Locutor Online Gravação De Vinhetas Propagandas, #marketingdigital #rendaextra #tbt https://t.co/aZndFlVY61,</t>
  </si>
  <si>
    <t>Itabuna/BA, Léo Locutor Gravando Agora Spots Vinhetas Gravação De Propagandas, #marketingdigital #rendaextra #tbt https://t.co/TxBMNrddkS,</t>
  </si>
  <si>
    <t>Vitória Da Conquista/BA, Locutor Léo Santos Spot Vinheta Gravação De Propagandas, #marketingdigital #rendaextra #tbt https://t.co/WGjSnDfZuR,</t>
  </si>
  <si>
    <t>Vitória Da Conquista/BA, Locutor Léo Santos Spot Vinheta Gravação De Propagandas, #marketingdigital #rendaextra #tbt https://t.co/WGjSnDgxkp,</t>
  </si>
  <si>
    <t>Feira De Santana/BA, Léo Locutor Comercial Gravação De Vinhetas Propagandas, #marketingdigital #rendaextra #tbt https://t.co/rc9rgCzoQA,</t>
  </si>
  <si>
    <t>Camaçari/BA, Léo Locutor Comercial Gravação De Vinhetas e Propagandas, #marketingdigital #rendaextra #tbt https://t.co/FbEUqoQGvI,</t>
  </si>
  <si>
    <t>Projeto 6PIX - Chegou A Sua Vez De Ganhar Dinheiro Via PIX Todos Os Dias!, #marketingdigital #rendaextra #tbt https://t.co/RUV5bvOsaJ,</t>
  </si>
  <si>
    <t>Compra e Venda Coletiva Dinheiro 24 Horas Por Dia!, #marketingdigital #rendaextra #tbt https://t.co/5st4ibTzvm,</t>
  </si>
  <si>
    <t>Compra e Venda Coletiva Dinheiro 24 Horas Por Dia!, #marketingdigital #rendaextra #tbt https://t.co/NzorXVYo96,</t>
  </si>
  <si>
    <t>TENHA JÁ A SUA PLATAFORMA DE PRODUTOS DIGITAIS E GERAÇÃO DE RENDA!, #marketingdigital #rendaextra #tbt https://t.co/RQDN1NZsUm,</t>
  </si>
  <si>
    <t>Ganhe dinheiro em 2023! Comece com R$12 - Faça seu cadastro agora mesmo!, #marketingdigital #rendaextra #tbt https://t.co/JOV5kKXLk6,</t>
  </si>
  <si>
    <t>PIX Connection: Como Ganhar Vários PIX De R$50 Reais Agora? 100% De Lucro (Afiliados)., #marketingdigital #rendaextra #tbt https://t.co/U8yxmPGsz2,</t>
  </si>
  <si>
    <t>kit com 3 quadros personalizados tamanho A4, #marketingdigital #rendaextra https://t.co/aXoEqPWsmu,</t>
  </si>
  <si>
    <t>Desentupidora São José dos Pinhais https://t.co/4crbCSQU2v, #marketingdigital #rendaextra https://t.co/bIc2rr6yqu,</t>
  </si>
  <si>
    <t>ACPINTURAS, #marketingdigital #rendaextra https://t.co/ic0AMcz3bz,</t>
  </si>
  <si>
    <t>O Seu Negócio Digital Com Produtos Pra Você Ganhar Dinheiro, #marketingdigital #rendaextra https://t.co/OMt9CMX69p,</t>
  </si>
  <si>
    <t>Caixa multiuso para delivery com plastificação interna, #marketingdigital #rendaextra https://t.co/MNDwTdVTPu,</t>
  </si>
  <si>
    <t>POR QUE VOCÊ DEVERIA CONHECER A MINHA PAGINA ?, #marketingdigital #rendaextra https://t.co/0YdeHnInRF,</t>
  </si>
  <si>
    <t>faça um cursos online com direito a certificado, #marketingdigital #rendaextra https://t.co/Nt6tiEuE6w,</t>
  </si>
  <si>
    <t>revenda folehados e bijuetrias,compre seus folheados diretamente do site da Imagem Folheados, #marketingdigital #rendaextra https://t.co/Y6jzamO0zN,</t>
  </si>
  <si>
    <t>trabalhe com os melhores programa de afiliados, e ganhe uma ótima renda extra trabalhanod online, #marketingdigital #rendaextra https://t.co/nBhrLbvcmh,</t>
  </si>
  <si>
    <t>Faça sua loja virtual crescer sua RENDA  saiba como ter uma!, #marketingdigital #rendaextra https://t.co/7zfGKgIpKo,</t>
  </si>
  <si>
    <t>Como ganhar R$300 Reais Por dia , #marketingdigital #rendaextra https://t.co/JjkNxUZavS,</t>
  </si>
  <si>
    <t>Ganhar R$300 Reais Por dia , #marketingdigital #rendaextra https://t.co/JjkNxUZavS,</t>
  </si>
  <si>
    <t>Embalagem personalizada delivery, #marketingdigital #rendaextra https://t.co/utGXXp1seh,</t>
  </si>
  <si>
    <t>Detetive Particular em Curitiba PR, #marketingdigital #rendaextra https://t.co/nzVmMMFA3t,</t>
  </si>
  <si>
    <t>Negócios na velocidade humana, #marketingdigital #rendaextra https://t.co/Rm6iOhbTaU,</t>
  </si>
  <si>
    <t>Grupo de Investimento em Parcerias e Empréstimos, #marketingdigital #rendaextra https://t.co/03cFISRQjO,</t>
  </si>
  <si>
    <t>Como acabar com á Alopecia com esse Poderoso Aliado que é o Tônico de Trinoxidiu, #marketingdigital #rendaextra https://t.co/pGVcPBbDu4,</t>
  </si>
  <si>
    <t>Comece agora  o seu tratamento e veja o resultado em pouco tempo!, #marketingdigital #rendaextra https://t.co/ku4bD49JGf,</t>
  </si>
  <si>
    <t>ganhe através do Beruby em suas compras online, #marketingdigital #rendaextra https://t.co/djgCZkuxfn,</t>
  </si>
  <si>
    <t>trabalhe com os melhores programa de afiliados e ganhe uma ótima renda extra, #marketingdigital #rendaextra https://t.co/TovvXUurVR,</t>
  </si>
  <si>
    <t>seja um revendedor da imagem folheados, #marketingdigital #rendaextra https://t.co/WrnMgUPt8z,</t>
  </si>
  <si>
    <t>Melhor Robô extrator de grupos de whatsapp, #marketingdigital #rendaextra https://t.co/lUqwfdEVZ6,</t>
  </si>
  <si>
    <t>Comprar Diplomas Universitários, #marketingdigital #rendaextra https://t.co/m6Osmz0lDe,</t>
  </si>
  <si>
    <t>SSD SOLUÇÃO QUÍMICA AUTOMÁTICA PARA LIMPEZA DE NOTAS, #marketingdigital #rendaextra https://t.co/jAzbdAwxrL,</t>
  </si>
  <si>
    <t>Manutenção De Cerca Elétrica (11) 98475-2594 Instalação Orçamento Visita Técnica, #marketingdigital #rendaextra https://t.co/s9XxviNxYI,</t>
  </si>
  <si>
    <t>Supletivo Acelerado EaD - Paga só apos receber, #marketingdigital #rendaextra https://t.co/Vg0nlCYpl6,</t>
  </si>
  <si>
    <t>Curso Superior EaD - E paga só após receber, #marketingdigital #rendaextra https://t.co/tiD6rVW0p7,</t>
  </si>
  <si>
    <t>Graduação Online, #marketingdigital #rendaextra https://t.co/1p3ziXd98X,</t>
  </si>
  <si>
    <t>APARTAMENTO PARA MORADIA OU INVESTIMENTO NA ZONA SUL, #marketingdigital #rendaextra https://t.co/dV6vUx957q,</t>
  </si>
  <si>
    <t>Adquira agora seu Diploma reconhecido, #marketingdigital #rendaextra https://t.co/gn6lMdikvs,</t>
  </si>
  <si>
    <t>Cursos Universitário EAD - Sem pagar antecipado, #marketingdigital #rendaextra https://t.co/QXGsyQSaKI,</t>
  </si>
  <si>
    <t>Supletivo Acelerado EaD - Paga só apos receber, #marketingdigital #rendaextra https://t.co/5FQfM6FYWy,</t>
  </si>
  <si>
    <t>Urgente: Aprovado pela Anvisa!, #marketingdigital #rendaextra https://t.co/BuDhcoVhEI,</t>
  </si>
  <si>
    <t>Chinelo Slide Soft Rose Salto Plataforma Injetado Fivela, #marketingdigital #rendaextra https://t.co/NgG5MUoazS,</t>
  </si>
  <si>
    <t>Curso Prático de Espanhol Completo - Do Zero à Fluência, #marketingdigital #rendaextra https://t.co/uQ68QZTAxq,</t>
  </si>
  <si>
    <t>Curso Como se Tornar Professor de Xadrez, #marketingdigital #rendaextra https://t.co/zR0EZkwdlU,</t>
  </si>
  <si>
    <t>Desafio seca barriga em 30 dias, #marketingdigital #rendaextra https://t.co/3DnQhJuR7U,</t>
  </si>
  <si>
    <t>Como Trabalhar em Casa com Bolos no Pote Lucrativo e sem Faltar Trabalho!, #marketingdigital #rendaextra https://t.co/eZPgmGp86V,</t>
  </si>
  <si>
    <t>Como Fazer a Sua Própria Horta Orgânica em Casa Sem Precisar de Muito Espaço!, #marketingdigital #rendaextra https://t.co/0m11QtsjLm,</t>
  </si>
  <si>
    <t>Como Não Perder Peso com o Método de Emagrecimento GDF sem Você Precisar parar de Comer!, #marketingdigital #rendaextra https://t.co/GOC1jkm8jI,</t>
  </si>
  <si>
    <t>Detetive Particular em São Bernardo do Campo SP, #marketingdigital #rendaextra https://t.co/N6XO7C6nGj,</t>
  </si>
  <si>
    <t>Otimize seu email marketing com BulkSender, #marketingdigital #rendaextra https://t.co/U8kvcTlixE,</t>
  </si>
  <si>
    <t>Otimize seu email marketing com BulkSender, #marketingdigital #rendaextra https://t.co/DtTCmbR5Nr,</t>
  </si>
  <si>
    <t>CURSO MÓVEIS EM FIBRA SINTÉTICA, #marketingdigital #rendaextra https://t.co/vPfXQxnMc3,</t>
  </si>
  <si>
    <t>MESTRE DO VIOLÃO, #marketingdigital #rendaextra https://t.co/4PlHr1UwDq,</t>
  </si>
  <si>
    <t>ASSISTENTE DE LOGÍSTICA, #marketingdigital #rendaextra https://t.co/mJdU2qcM4V,</t>
  </si>
  <si>
    <t>Curso de Recepcionista, #marketingdigital #rendaextra https://t.co/QJc85V3SBx,</t>
  </si>
  <si>
    <t>Curso de Auxiliar de Recursos Humanos, #marketingdigital #rendaextra https://t.co/0PtwDkR9kY,</t>
  </si>
  <si>
    <t>INGLÊS PROFISSIONAL, #marketingdigital #rendaextra https://t.co/EewkYK58rA,</t>
  </si>
  <si>
    <t>GESTÃO EMPRESARIAL, #marketingdigital #rendaextra https://t.co/32BEJXvMSE,</t>
  </si>
  <si>
    <t>Curso de Libras Avançado, #marketingdigital #rendaextra https://t.co/GDa6oJ2g7A,</t>
  </si>
  <si>
    <t>PORTEIRO E ZELADOR, #marketingdigital #rendaextra https://t.co/BdliisOxth,</t>
  </si>
  <si>
    <t>INFORMÁTICA EMPRESARIAL, #marketingdigital #rendaextra https://t.co/sYbCYTcFlc,</t>
  </si>
  <si>
    <t>CUIDADOR DE IDOSOS, #marketingdigital #rendaextra https://t.co/67wcz4WzrR,</t>
  </si>
  <si>
    <t>SABONETES ARTESANAIS, #marketingdigital #rendaextra https://t.co/QmCafJj1Oh,</t>
  </si>
  <si>
    <t>Excel do Básico ao Profissional, #marketingdigital #rendaextra https://t.co/8muGakYQjx,</t>
  </si>
  <si>
    <t>ANALISTA DE QUALIDADE DO ZERO AO AVANÇADO, #marketingdigital #rendaextra https://t.co/rgBcD785AY,</t>
  </si>
  <si>
    <t>MONTAGEM E MANUTENÇÃO DE AR CONDICIONADO, #marketingdigital #rendaextra https://t.co/rt0PIXZsdj,</t>
  </si>
  <si>
    <t>CURSO MANUTENÇÃO DE CELULAR, #marketingdigital #rendaextra https://t.co/Kz3Y7X8GRx,</t>
  </si>
  <si>
    <t>Fazendinha Raposinha Dinossauro personagens para festas 11948594445, #marketingdigital #rendaextra #tbt https://t.co/NBRQzl101F,</t>
  </si>
  <si>
    <t>Lindaci Aves Guida, #marketingdigital #rendaextra #tbt https://t.co/4s9pfJEZk2,</t>
  </si>
  <si>
    <t>SEREIAS ANIMAÇÃO DE FESTAS E EVENTOS 11948594445, #marketingdigital #rendaextra #tbt https://t.co/9Nb29syJes,</t>
  </si>
  <si>
    <t>Apostas esportivas o novo crack digital, #marketingdigital #rendaextra #tbt https://t.co/LyKH0JekC2,</t>
  </si>
  <si>
    <t>Quando o homem está absolutamente satisfeito na cama....., #marketingdigital #rendaextra #tbt https://t.co/bl3XrWnoK4,</t>
  </si>
  <si>
    <t>CABELO FASHION COLORIDO SPRAYS GLITTERS PENTEADOS, #marketingdigital #rendaextra #tbt https://t.co/RXAH7LV06o,</t>
  </si>
  <si>
    <t>PEQUENA SEREIA 11948594445 PRINCESA ARIEL ANIMAÇÃO DE FESTAS, #marketingdigital #rendaextra #tbt https://t.co/GM40PZtHEq,</t>
  </si>
  <si>
    <t>Classificados Grátis Para Afiliados. Anuncie Gratuitamente Sua Empresa., #marketingdigital #rendaextra #tbt https://t.co/sAySAx8aY7,</t>
  </si>
  <si>
    <t>Tenha um piso phanda em sua casa!, #marketingdigital #rendaextra #tbt https://t.co/lFj2uQQMax,</t>
  </si>
  <si>
    <t>ELAS SÃO LAQUEADAS E SERVEM COMO OBJETO DECORATIVO!, #marketingdigital #rendaextra #tbt https://t.co/rvsp5cbu03,</t>
  </si>
  <si>
    <t>kit com 3 quadros personalizados tamanho A4/A3, #marketingdigital #rendaextra #tbt https://t.co/xQLb5DyJiO,</t>
  </si>
  <si>
    <t>Marketing para sua empresa com a Rio Embalagens, #marketingdigital #rendaextra #tbt https://t.co/G7EMTtPvx4,</t>
  </si>
  <si>
    <t>ASSISTÊNCIA TÉCNICA DELL GOIANIA GOIAS, #marketingdigital #rendaextra #tbt https://t.co/F63HIQck1b,</t>
  </si>
  <si>
    <t>Embalagens Delivery Rio Embalagens, #marketingdigital #rendaextra #tbt https://t.co/bEJ8BgLr86,</t>
  </si>
  <si>
    <t>https://t.co/UKFjl4SK4e - locação de caminhão limpa fossa, #marketingdigital #rendaextra #tbt https://t.co/5m96yeQ07W,</t>
  </si>
  <si>
    <t>sacolas kraft personalizadas em promoção, #marketingdigital #rendaextra #tbt https://t.co/RYgwlPNag9,</t>
  </si>
  <si>
    <t>saco kraft personalizado em promoção, #marketingdigital #rendaextra #tbt https://t.co/QBEaoK4rLp,</t>
  </si>
  <si>
    <t>Prezado(a) amigo(a),, #marketingdigital #rendaextra #tbt https://t.co/a8FyRXIGw8,</t>
  </si>
  <si>
    <t>LOTE DE 1.168 M2. NA ESTÂNCIA BRASIL EM ATIBAIA, #marketingdigital #rendaextra https://t.co/wrgtDurEi7,</t>
  </si>
  <si>
    <t>CHÁCARA DE 15.000 M2. EM ATIBAIA - TERRA PRETA (PALMARES), #marketingdigital #rendaextra https://t.co/rjF1bELPBs,</t>
  </si>
  <si>
    <t>PEQUENA CASA EM ATIBAIA - TERRA PRETA, COM 70 M2. E 320 M2. DE TERRENO, #marketingdigital #rendaextra https://t.co/cUoIoymtvW,</t>
  </si>
  <si>
    <t>TERRENO DE 142.800 M2. EM ARAÇARIGUAMA - ROD. CASTELO BRANCO, #marketingdigital #rendaextra https://t.co/9oRmbdmzTZ,</t>
  </si>
  <si>
    <t>PRÉDIO COMERCIAL DE 3 PAVIMENTOS E 4 a 5 VAGAS NA MARIANA E METRÔS!, #marketingdigital #rendaextra https://t.co/wxrPmsvfmn,</t>
  </si>
  <si>
    <t>SALA COMERCIAL NO CENTRO - LARGO DO PAISSANDÚ, #marketingdigital #rendaextra https://t.co/bWtWVhmi23,</t>
  </si>
  <si>
    <t>SOBRADO NO ALTO DE SANTANA - ZN, COM 358 M2. JUNTOS AOS BANCOS E O PASTORINHO!, #marketingdigital #rendaextra https://t.co/OjhnXL4D8v,</t>
  </si>
  <si>
    <t>APARTAMENTO DE 3 DORMITÓRIOS NA VILA MARIANA E PRÓXIMOS DOS METRÔS!, #marketingdigital #rendaextra https://t.co/aav2nNyCwa,</t>
  </si>
  <si>
    <t>Construção e Reforma em Geral, #marketingdigital #rendaextra https://t.co/iOq2bU4bzW,</t>
  </si>
  <si>
    <t>PIX Connection - Produtos, Serviços Digitais e Renda Extra, #marketingdigital #rendaextra https://t.co/S3IDfIBAsD,</t>
  </si>
  <si>
    <t>Sacolas Plásticas Personalizadas, #marketingdigital #rendaextra https://t.co/QryacRbXWk,</t>
  </si>
  <si>
    <t>Sacola Plástica Personalizada Rio Embalagens, #marketingdigital #rendaextra https://t.co/OywOi555W8,</t>
  </si>
  <si>
    <t>Anúncios na Internet | Criação de Sites e Anúncios no Google | Agência Nunes | Divulgação Online para Empresas, #marketingdigital #rendaextra https://t.co/8JtV67fMwn,</t>
  </si>
  <si>
    <t>marketing para sua empresa, #marketingdigital #rendaextra https://t.co/ES0tjqLpTI,</t>
  </si>
  <si>
    <t>Ele Vai Pedir Você Em Namoro Em 30 Dias, #marketingdigital #rendaextra https://t.co/v7uWIfP5km,</t>
  </si>
  <si>
    <t>Desafio 19 Dias, #marketingdigital #rendaextra https://t.co/gpXxjL8Cne,</t>
  </si>
  <si>
    <t>Ele Nunca Vai Esquecer, #marketingdigital #rendaextra https://t.co/dydgobtIjQ,</t>
  </si>
  <si>
    <t>Designer Digital, #marketingdigital #rendaextra https://t.co/m36DMrncDY,</t>
  </si>
  <si>
    <t>Urgente: Aprovado pela Anvisa!, #marketingdigital #rendaextra https://t.co/BuDhcoVPug,</t>
  </si>
  <si>
    <t>Comece Agora O Seu Tratamento E Veja O Resultado Em Pouco Tempo!, #marketingdigital #rendaextra https://t.co/ku4bD4ahvN,</t>
  </si>
  <si>
    <t>The Vale das Juntas - Juntas de Expansão, Vedação e Isolação Térmica, #marketingdigital #rendaextra https://t.co/6k7C6Gxgrx,</t>
  </si>
  <si>
    <t>Embalagem Personalizada, #marketingdigital #rendaextra https://t.co/CtRvHnCkn6,</t>
  </si>
  <si>
    <t>Treine seu Cérebro para Emagrecer e Nunca Mais Volte a Engordar!, #marketingdigital #rendaextra https://t.co/e26r6tmucd,</t>
  </si>
  <si>
    <t>Confeitaria e Sobremesas, Método de Preparo com 25 Receitas!, #marketingdigital #rendaextra https://t.co/8GHtOKxMoS,</t>
  </si>
  <si>
    <t>Por Que Todo Mundo Quer Saber Sobre Como Ter a Sua Própria Horta Orgânica em Casa?, #marketingdigital #rendaextra https://t.co/zUytUs4YkW,</t>
  </si>
  <si>
    <t>Por Que Todo Mundo Quer Saber Sobre Como Ter a Sua Próprio Horta Orgânica em Casa?, #marketingdigital #rendaextra https://t.co/zUytUs4YkW,</t>
  </si>
  <si>
    <t>Embalagens Personalizadas, #marketingdigital #rendaextra https://t.co/tGx7Ad4Gcq,</t>
  </si>
  <si>
    <t>Anúncios na Internet | Criação de Sites, #marketingdigital #rendaextra https://t.co/YhKhvXGJr7,</t>
  </si>
  <si>
    <t>Pix Connection | É agora, veja como ganhar na hora R$50 por indicação, #marketingdigital #rendaextra https://t.co/G6WxWAsGEA,</t>
  </si>
  <si>
    <t>cianeto de potássio para venda, #marketingdigital #rendaextra https://t.co/AVaz2916oU,</t>
  </si>
  <si>
    <t>Espaço Nitfisio - RPG, Pilates, Fisioterapia Pélvica e Acupuntura no Centro de Niterói/RJ, #marketingdigital #rendaextra https://t.co/s0c1JzZYgX,</t>
  </si>
  <si>
    <t>Aster Psicologia e Psiquiatria Guarulhos, #marketingdigital #rendaextra https://t.co/HLzJHIppUR,</t>
  </si>
  <si>
    <t>Sacos Plasticos Stand Up pouch com Zip e Embalagens Plásticas, #marketingdigital #rendaextra https://t.co/wLJfR8JUEP,</t>
  </si>
  <si>
    <t>Embalagens Personalizadas, #marketingdigital #rendaextra https://t.co/RUkfsCOaIg,</t>
  </si>
  <si>
    <t>CONCRETO BOMBEADO CONCRETO USINADO PISO POLIDO, #marketingdigital #rendaextra https://t.co/wgJHwLJjNt,</t>
  </si>
  <si>
    <t>CONCRETO CONCRETO BOMBEADO CONCRETO USINADO CAMINHÃO BETONEIRA, #marketingdigital #rendaextra https://t.co/dO4YQk6o0i,</t>
  </si>
  <si>
    <t>CONCRETO CONCRETO BOMBEADO CONCRETO USINADO, #marketingdigital #rendaextra https://t.co/HktgMvckzM,</t>
  </si>
  <si>
    <t>Reparos Técnicos Eletrodomésticos Whirlpool, #marketingdigital #rendaextra https://t.co/CM7wlrvNXq,</t>
  </si>
  <si>
    <t>Desentupidora no Swiss Park em Campinas 19-992312502 Desentupidora em Campinas, #marketingdigital #rendaextra https://t.co/IzSbEIxEMs,</t>
  </si>
  <si>
    <t>Desentupidora no Vila Itapura em Campinas 19-992312502 Desentupidora em Campinas, #marketingdigital #rendaextra https://t.co/oZqEIzwbQq,</t>
  </si>
  <si>
    <t>Desentupidora no Jardim Chapadão em Campinas 19-992312502 Desentupidora em Campinas, #marketingdigital #rendaextra https://t.co/eMNuJmP9Li,</t>
  </si>
  <si>
    <t>Como Aprender a Ganhar Dinheiro com Bolos no Pote sem Muito Dinheiro!, #marketingdigital #rendaextra https://t.co/Fa1gWEVPCg,</t>
  </si>
  <si>
    <t>Fundos de investimento para os seus projetos, #marketingdigital #rendaextra https://t.co/FpNqgXctwT,</t>
  </si>
  <si>
    <t>Desentupidora no Parque Jambeiro em Campinas 19-99231-2502 Desentupidora em Campinas, #marketingdigital #rendaextra https://t.co/PN4CixGsIP,</t>
  </si>
  <si>
    <t>Desentupidora no Vila Itapura em Campinas 19-99231-2502 Desentupidora em Campinas, #marketingdigital #rendaextra https://t.co/qu4rpcn4iD,</t>
  </si>
  <si>
    <t>Desentupidora no Cambuí em Campinas 19-99231-2502 Desentupidora em Campinas, #marketingdigital #rendaextra https://t.co/35U8HRANJW,</t>
  </si>
  <si>
    <t>Manutenção Técnica em Refrigeradores Electrolux, #marketingdigital #rendaextra https://t.co/zND1C48pQR,</t>
  </si>
  <si>
    <t>Peitoral Coleira Pitbull Pastor Alemão Rotwailler Reforçada Couro, #marketingdigital #rendaextra https://t.co/fr2dFHoSGG,</t>
  </si>
  <si>
    <t>MOTOROLA MOTO G9 PLUS 128GB, #marketingdigital #rendaextra https://t.co/vCEE8DqDuz,</t>
  </si>
  <si>
    <t>Desentupidora no Vila Nova em Campinas 19-99231-2502 Desentupidora em Campinas, #marketingdigital #rendaextra https://t.co/PzRE42tQUc,</t>
  </si>
  <si>
    <t>Desentupidora no Vila Aurocan em Campinas 19-99231-2502 Desentupidora em Campinas, #marketingdigital #rendaextra https://t.co/asvu2Y17y3,</t>
  </si>
  <si>
    <t>Desentupidora no Vila Proost de Souza em Campinas 19-99231-2502 Desentupidora em Campinas, #marketingdigital #rendaextra https://t.co/nWbUtZOsMm,</t>
  </si>
  <si>
    <t>Buffet Manduco Eventos - o seu evento com qualidade e pontualidade, #marketingdigital #rendaextra https://t.co/9FrjJch493,</t>
  </si>
  <si>
    <t>Kit Lanche Gourmet - Buffet Manduco Eventos, #marketingdigital #rendaextra https://t.co/B0uRJbxgCS,</t>
  </si>
  <si>
    <t>Buffet Corporativo - Coffee Break e Coquetel - Manduco Eventos, #marketingdigital #rendaextra https://t.co/dU5KTyIHCC,</t>
  </si>
  <si>
    <t>Homem aranha, Bailarinas, Cinderella, Turma da Xuxinha 11948594445, #marketingdigital #rendaextra #tbt https://t.co/sXZT4ycjYE,</t>
  </si>
  <si>
    <t>Miley Cyrus show cover 11948594445 festas e eventos, #marketingdigital #rendaextra #tbt https://t.co/vWGCqfV1i4,</t>
  </si>
  <si>
    <t>Rio Embalagens// rio embalagens, #marketingdigital #rendaextra #tbt https://t.co/VikLQogwhB,</t>
  </si>
  <si>
    <t>Medicina alternativa que eles não querem que você saiba,, #marketingdigital #rendaextra #tbt https://t.co/uBYiLk4Cl9,</t>
  </si>
  <si>
    <t>Sacolas Plásticas personalizadas em promoção, #marketingdigital #rendaextra #tbt https://t.co/DeJoqBIlsn,</t>
  </si>
  <si>
    <t>Financiamento e Empréstimo, Bancária Garantia/SBLC/MT760, Monetização., #marketingdigital #rendaextra #tbt https://t.co/aSYYI1LMw8,</t>
  </si>
  <si>
    <t>Embalagens Personalizadas/ sacolas personalizadas, #marketingdigital #rendaextra #tbt https://t.co/xyn6pZUYHg,</t>
  </si>
  <si>
    <t>Energia Solar, #marketingdigital #rendaextra #tbt https://t.co/ANPZwdDWgl,</t>
  </si>
  <si>
    <t>Energia Solar - Sistemas de geração de energia solar, #marketingdigital #rendaextra #tbt https://t.co/1NeHB2zAiW,</t>
  </si>
  <si>
    <t>Super Visão Vistorias Automotivas - Campo Limpo - Vistoria Certicar - Cautelar - Detran, #marketingdigital #rendaextra #tbt https://t.co/EKLG5NUViR,</t>
  </si>
  <si>
    <t>Energia Solar - Sistemas de geração de energia solar, #marketingdigital #rendaextra #tbt https://t.co/Wza9RLHkwA,</t>
  </si>
  <si>
    <t>Caixa para delivery com plastificação interna, #marketingdigital #rendaextra https://t.co/zBYjjSz6LC,</t>
  </si>
  <si>
    <t>Manutenção para Lava e Seca de Marcas Nacionais e Importadas, #marketingdigital #rendaextra https://t.co/J8kkbxjpVx,</t>
  </si>
  <si>
    <t>Geladeiras e refrigeradores nacionais ou importadas, #marketingdigital #rendaextra https://t.co/uK2k0C5zoO,</t>
  </si>
  <si>
    <t>Impressora Epson para sublimação e plotter com prensa, #marketingdigital #rendaextra https://t.co/JadCYuI0y6,</t>
  </si>
  <si>
    <t>Mega Pack AMIGURUMI Completo com 10.000 Receitas de AMIGURUMIS, #marketingdigital #rendaextra https://t.co/0g5ZMjHGmR,</t>
  </si>
  <si>
    <t>Quiropraxia e Depilação Linda SP, #marketingdigital #rendaextra https://t.co/ApZI3KSlgW,</t>
  </si>
  <si>
    <t>Console Sony PlayStaytion 5 PS5 - Versão em disco + Pacote FIFA23, #marketingdigital #rendaextra https://t.co/PbTMs4SxsR,</t>
  </si>
  <si>
    <t>Produtos De Grande Aceitação, Ganhe R$50 Reais Por Cada Venda, #marketingdigital #rendaextra https://t.co/IqJwN6SBbU,</t>
  </si>
  <si>
    <t>Curso de cavaquinho com Dudu Nobre, #marketingdigital #rendaextra https://t.co/DOde1197u1,</t>
  </si>
  <si>
    <t>curso de Criação de codornas - coturnicultura, #marketingdigital #rendaextra https://t.co/Wzw9LK266a,</t>
  </si>
  <si>
    <t>Conheça o seu novo refúgio na praia: Apartamento de 02 dormitórios com vista deslumbrante, #marketingdigital #rendaextra https://t.co/22n0TZj3yl,</t>
  </si>
  <si>
    <t>Página Lucrativa – Geradora de Renda Extra na Internet!, #marketingdigital #rendaextra https://t.co/0fdyuSg777,</t>
  </si>
  <si>
    <t>Hora de Faturar, #marketingdigital #rendaextra https://t.co/ofucdF7Z5y,</t>
  </si>
  <si>
    <t>COMO COMPRAR GABARITO CONCURSO PÚBLICO (GABARITO.VENDAS@HOTMAIL.COM), #marketingdigital #rendaextra https://t.co/HQ9yP7ngkC,</t>
  </si>
  <si>
    <t>COMO COMPRAR GABARITO CONCURSO PÚBLICO (GABARITO.VENDAS@HOTMAIL.COM), #marketingdigital #rendaextra https://t.co/tIf6edj3BJ,</t>
  </si>
  <si>
    <t>Agente de Captação Autônomo, #marketingdigital #rendaextra https://t.co/nysQKfPjUM,</t>
  </si>
  <si>
    <t>metodo para ganhar dinheiro assistindo video, #marketingdigital #rendaextra https://t.co/UmiLVJj6ZJ,</t>
  </si>
  <si>
    <t>Impressione Seus Clientes |  Artes Gráficas Editáveis Com Direito a Revenda, #marketingdigital #rendaextra https://t.co/aUTRFBEEI2,</t>
  </si>
  <si>
    <t>Imagem Folheados - Anel Tipo Chuveirinho Folheado a OURO com 7 Pedras de Zircônia!, #marketingdigital #rendaextra https://t.co/RqX8njC349,</t>
  </si>
  <si>
    <t>Pulseira Folheada a OURO Composta por 3 Fileiras de Strass na Cor Cristal e Extensor de Comprimento!, #marketingdigital #rendaextra https://t.co/suWmWVVU5j,</t>
  </si>
  <si>
    <t>Pulseira folheada a PRATA composta por 3 fileiras de strass na cor cristal e extensor de comprimento, #marketingdigital #rendaextra https://t.co/1bTXKiJrK4,</t>
  </si>
  <si>
    <t>MEIA ALIANÇA Folheada a PRATA com 7 Pedras de Zircônia!, #marketingdigital #rendaextra https://t.co/P1OqunHAdz,</t>
  </si>
  <si>
    <t>Meia Aliança Folheada a OURO com 7 Pedras de Zircônia - Imagem Folheados!, #marketingdigital #rendaextra https://t.co/mLE1bRbsgY,</t>
  </si>
  <si>
    <t>Pulseira Folheada a Ouro Composta por 3 Fileiras de Strass na Cor Cristal e Extensor de Comprimento!, #marketingdigital #rendaextra https://t.co/suWmWVVU5j,</t>
  </si>
  <si>
    <t>JOIAS - Anel Tipo Chuveirinho Folheado a PRATA com 7 Pedras de Zircônia, #marketingdigital #rendaextra https://t.co/CWRRZ5FFnS,</t>
  </si>
  <si>
    <t>Imagem Folheados - Anel Tipo Chuveirinho Folheado a Ouro com 7 Pedras de Zircônia!, #marketingdigital #rendaextra https://t.co/RqX8njC349,</t>
  </si>
  <si>
    <t>Meia Aliança Folheada a Ouro com 7 Pedras de Zircônia - Imagem Folheados!, #marketingdigital #rendaextra https://t.co/mLE1bRbsgY,</t>
  </si>
  <si>
    <t>Meia Aliança Folheada a Prata com 7 Pedras de Zircônia!, #marketingdigital #rendaextra https://t.co/P1OqunHAdz,</t>
  </si>
  <si>
    <t>Diploma em Graduação e pós - Sem pagar antecipado, #marketingdigital #rendaextra https://t.co/C5xFftHwgH,</t>
  </si>
  <si>
    <t>Diploma de Graduação E Pós - Paga após receber, #marketingdigital #rendaextra https://t.co/Wc1sW6quF6,</t>
  </si>
  <si>
    <t>Adquira agora seu Diploma reconhecido - Paga após receber, #marketingdigital #rendaextra https://t.co/DIvLSgsnnz,</t>
  </si>
  <si>
    <t>Compre produtos de aloe vera Forever diretamente do fabricante, #marketingdigital #rendaextra https://t.co/AVjpzrSuCn,</t>
  </si>
  <si>
    <t>Trabalhe em casa montando seu próprio negócio nas horas vagas, #marketingdigital #rendaextra https://t.co/ORGQYw3tYZ,</t>
  </si>
  <si>
    <t>Trabalhe em casa montando seu próprio negócio nas horas vagas, #marketingdigital #rendaextra https://t.co/ORGQYw41Ox,</t>
  </si>
  <si>
    <t>Meia Aliança Folheada a Ouro com 7 Pedras de Zircônia - Imagem Folheados, #marketingdigital #rendaextra https://t.co/mLE1bRc06w,</t>
  </si>
  <si>
    <t>Meia Aliança Folheada a Ouro com 7 Pedras de Zircônia - Imagem Folheados, #marketingdigital #rendaextra https://t.co/mLE1bRbsgY,</t>
  </si>
  <si>
    <t>Detetive Particular em Cuiabá MT, #marketingdigital #rendaextra https://t.co/eSwRyiSz0a,</t>
  </si>
  <si>
    <t>Detetive Particular em Santo André SP, #marketingdigital #rendaextra https://t.co/7TYkhWtyLO,</t>
  </si>
  <si>
    <t>saude beleza e suplemento sexuais, #marketingdigital #rendaextra https://t.co/Vf1uDuRDwY,</t>
  </si>
  <si>
    <t>saude beleza e suplemento sexuais, #marketingdigital #rendaextra https://t.co/RBJykq4MR6,</t>
  </si>
  <si>
    <t>CONCRETO BOMBEADO CONCRETO PISO POLIDO RIO DE JANEIRO, #marketingdigital #rendaextra #tbt https://t.co/sdVVWm6em8,</t>
  </si>
  <si>
    <t>CONCRETO BOMBEADO CONCRETO CONCRETO USINADO, #marketingdigital #rendaextra #tbt https://t.co/mCLthM3nao,</t>
  </si>
  <si>
    <t>CONCRETO BOMBEADO CONCRETO RIO DE JANEIRO, #marketingdigital #rendaextra #tbt https://t.co/6cKbbBARLQ,</t>
  </si>
  <si>
    <t>Linda AG - Prevenção e Saúde, #marketingdigital #rendaextra #tbt https://t.co/4s9pfJEZk2,</t>
  </si>
  <si>
    <t>Como enviar e-mails para outros sites, #marketingdigital #rendaextra #tbt https://t.co/1YKUxdO57N,</t>
  </si>
  <si>
    <t>Sacolas de papel personalizadas, #marketingdigital #rendaextra #tbt https://t.co/54RlF8tZOK,</t>
  </si>
  <si>
    <t>Moana, Aurora, Pocahontas, Mulan PERSONAGENS VIVOS E PRINCESAS 11948594445, #marketingdigital #rendaextra #tbt https://t.co/qYqYeBzUWZ,</t>
  </si>
  <si>
    <t>JUSTIN BIEBER COVER SHOW SUPER ANIMADO NA SUA FESTA 11948594445, #marketingdigital #rendaextra #tbt https://t.co/INuBvhlCRs,</t>
  </si>
  <si>
    <t>Embalagens Personalizadas, #marketingdigital #rendaextra #tbt https://t.co/RI41TxgM2e,</t>
  </si>
  <si>
    <t>sacos e sacolas kraft personalizados, #marketingdigital #rendaextra #tbt https://t.co/BkbMkPUiSC,</t>
  </si>
  <si>
    <t>NEW Yamaha F300XA Outboard Engine  with (5) Five Year Warranty, #marketingdigital #rendaextra #tbt https://t.co/9ipPOusZln,</t>
  </si>
  <si>
    <t>Condonal | Gestão de Condomínio ou Empresa em ES, #marketingdigital #rendaextra #tbt https://t.co/M4yjugf8rM,</t>
  </si>
  <si>
    <t>Sacolas plásticas com personalização, #marketingdigital #rendaextra #tbt https://t.co/vZ6rw56SjI,</t>
  </si>
  <si>
    <t>PROMOÇÃO! Gravação De Propagandas Pelo Menor Preço | Léo Santos Locutor, #marketingdigital #rendaextra #tbt https://t.co/L5K1rVy83h,</t>
  </si>
  <si>
    <t>LOTE DE TERRENO EM ITAÍ-SP, COM 500 M2., NA REPRESA DE JURUMIRIM!, #marketingdigital #rendaextra https://t.co/jlWZVdxoxD,</t>
  </si>
  <si>
    <t>CASA DE CAMPO EM CONDOMÍNIO,  ARANDÚ-SP, NA REPRESA DE JURUMIRIM, #marketingdigital #rendaextra https://t.co/zJX8CU6z4f,</t>
  </si>
  <si>
    <t>SOBRADO COMERCIAL OU RESIDENCIAL  NA VILA MARIANA, PRÓXIMO DOS METRÔS VILA MARIANA, SANTA CRUZ E KLABIN, #marketingdigital #rendaextra https://t.co/CSskEt1gsW,</t>
  </si>
  <si>
    <t>TERRENO DE 1.753 M2. NA VILA MARIANA - KLABIN (PRÓXIMO DO METRÔ), #marketingdigital #rendaextra https://t.co/69EiA0wCXW,</t>
  </si>
  <si>
    <t>PEQUENO SOBRADO COMERCIAL OU RESIDENCIAL NA VILA MARIANA - VILA CLEMENTINO, PRÓXIMO DOS METRÔS!, #marketingdigital #rendaextra https://t.co/XRHKymd2b8,</t>
  </si>
  <si>
    <t>SOBRADO COMERCIAL NA VILA MARIANA - VILA CLEMENTINO, PRÓXIMO DOS METRÔS!, #marketingdigital #rendaextra https://t.co/VIpCBjBL93,</t>
  </si>
  <si>
    <t>GALPÕES, LOJAS e TERRENOS, EM VÁRIAS REGIÕES,  LOCAÇÃO, ESTE NO JABAQUARA OU METRÔ SÃO JUDAS!, #marketingdigital #rendaextra https://t.co/SVFsVddwub,</t>
  </si>
  <si>
    <t>APARTAMENTO DE 4 DORMITÓRIOS NA VILA CLEMENTINO - VILA MARIANA E PRÓXIMOS DOS METRÔS!, #marketingdigital #rendaextra https://t.co/szJMCa3VrA,</t>
  </si>
  <si>
    <t>PRÉDIO COMERCIAL DE 963 M2. COM 4/5 PAVIMENTOS NA VILA MARIANA - CLEMENTINO, PRÓXIMO DOS METRÔS AZUL, LILÁS E VERDE!, #marketingdigital #rendaextra https://t.co/TPjzt6QGin,</t>
  </si>
  <si>
    <t>APARTAMENTO DE 2 DORMITÓRIOS NA VILA CLARA - VILA PRUDENTE E PRÓXIMO DO METRÔ!, #marketingdigital #rendaextra https://t.co/4yhsctJ7hQ,</t>
  </si>
  <si>
    <t>GALPÕES, LOJAS e TERRENOS, EM VÁRIAS REGIÕES,  ESTE EM SANTO AMARO E ESTAÇÃO CONCEIÇÃO!, #marketingdigital #rendaextra https://t.co/9pSmmXqeCG,</t>
  </si>
  <si>
    <t>GALPÕES, LOJAS e TERRENOS, EM VÁRIAS REGIÕES,  ESTE EM SANTO AMARO E HIGIENÓPOLIS !, #marketingdigital #rendaextra https://t.co/tOTSIOS14D,</t>
  </si>
  <si>
    <t>LOJA EM PINHEIROS PARA LOCAÇÃO E VENDA SOB CONSULTA, NA RUA TEODORO SAMPAIO!, #marketingdigital #rendaextra https://t.co/ecWl9IVOms,</t>
  </si>
  <si>
    <t>GALPÕES, LOJAS e TERRENOS, EM VÁRIAS REGIÕES,  ESTE EM PINHEIROS E TATUAPÉ!, #marketingdigital #rendaextra https://t.co/BvqOlOrATc,</t>
  </si>
  <si>
    <t>APARTAMENTO DE 4 DORMITÓRIOS, UM POR ANDAR NA VILA ANDRADE, MORUMBI E PRÓXIMO DO METRÔ!, #marketingdigital #rendaextra https://t.co/jWvwv1ClBN,</t>
  </si>
  <si>
    <t>TERRENO NO MORUMBI - JARDIM AMPLIAÇÃO COM 2.257 M2., #marketingdigital #rendaextra https://t.co/AFRs2DgnxQ,</t>
  </si>
  <si>
    <t>TERRENO DE 217.000 M2. EM ITAPECERICA DA SERRA!, #marketingdigital #rendaextra https://t.co/KOJ6eRcBXg,</t>
  </si>
  <si>
    <t>TERRENO DE 1250  M2. NO IPIRANGA - RUA BOM PASTOR JUNTO AO MUSEU!, #marketingdigital #rendaextra https://t.co/Zvimd05dR1,</t>
  </si>
  <si>
    <t>ILHABELA, 5.082,02 m2., DE FRENTE PARA O MAR, NA REGIÃO CENTRAL DA CIDADE!, #marketingdigital #rendaextra https://t.co/ncdaBqnOLy,</t>
  </si>
  <si>
    <t>Ilhabela, 5.082,02 m2., frente para o mar, região central da cidade!, #marketingdigital #rendaextra https://t.co/ncdaBqnOLy,</t>
  </si>
  <si>
    <t>LOTE DE TERRENO DE 250 M2. NA ILHA COMPRIDA - IGUAPE, EM OFERTA!, #marketingdigital #rendaextra https://t.co/cN2J6mlANw,</t>
  </si>
  <si>
    <t>IGUAPE - RERUM NOVARUM-I, 3 LOTES, 0 M2., PREÇO DE OCASIÃO, SOB CONSULTA!, #marketingdigital #rendaextra https://t.co/RbufQVNgWy,</t>
  </si>
  <si>
    <t>GALPÕES, LOJAS e TERRENOS, EM VÁRIAS REGIÕES, COMO GUARULHOS E (2º) BARUERI!, #marketingdigital #rendaextra https://t.co/Iicmw4bIy3,</t>
  </si>
  <si>
    <t>TERRENO DE 73.000 M2. EM GUARULHOS, PRÓXIMO DA RODOVIA AYRTON SENNA E B. DOS PIMENTAS!, #marketingdigital #rendaextra https://t.co/gMI6xzkcSj,</t>
  </si>
  <si>
    <t>GUARULHOS, BAIRRO DOS PIMENTAS, 13.100 M2. OU FRAÇÃO, ÓTIMA LOCALIZAÇÃO!, #marketingdigital #rendaextra https://t.co/OYCmPIItbl,</t>
  </si>
  <si>
    <t>GALPÕES, LOJAS e TERRENOS, EM VÁRIAS REGIÕES, COMO GUARULHOS E TAMBORÉ!, #marketingdigital #rendaextra https://t.co/CX16g640p9,</t>
  </si>
  <si>
    <t>GALPÕES, LOJAS e TERRENOS, EM VÁRIAS REGIÕES, COMO GUARULHOS E BARUERI!, #marketingdigital #rendaextra https://t.co/gZZSdMyhnd,</t>
  </si>
  <si>
    <t>197.000 m2. NO GUARUJÁ, A POUCOS KILÔMETROS DA CIDADE E DA PRAIA!, #marketingdigital #rendaextra https://t.co/VFk3DF0zQ6,</t>
  </si>
  <si>
    <t>GALPÕES, LOJAS e TERRENOS, EM VÁRIAS REGIÕES,  ESTE EM COTIA E SACOMÃ!, #marketingdigital #rendaextra https://t.co/Kx5zI14z3S,</t>
  </si>
  <si>
    <t>TERRENO DE 17.000 M2. EM COTIA, AO LADO DE OSASCO, DO RODOANEL E RAPOSO TAVARES!, #marketingdigital #rendaextra https://t.co/b3bqRO8WkC,</t>
  </si>
  <si>
    <t>20 LOTES DE TERRENOS EM COMODORO-MT, ADQUIRIDO EM LEILÃO DE BANCOS, #marketingdigital #rendaextra https://t.co/qB9DQjNNBA,</t>
  </si>
  <si>
    <t>GALPÕES, LOJAS e TERRENOS, EM VÁRIAS REGIÕES, COMO CAJAMAR E SANTO AMARO!, #marketingdigital #rendaextra https://t.co/ModSq3kxGW,</t>
  </si>
  <si>
    <t>LOJAS E GALPÕES DE DIVERSOS TAMANHOS E REGIÃO, COMO BARUERI E SANTO AMARO, #marketingdigital #rendaextra https://t.co/WpmlUrNHGc,</t>
  </si>
  <si>
    <t>PRÉDIO COMERCIAL DE 3 PAVIMENTOS E 8 a 10 VAGAS NA MARIANA E METRÔS!, #marketingdigital #rendaextra https://t.co/wxrPmsvfmn,</t>
  </si>
  <si>
    <t>Atualização e inserção de dados de contatos para mala direta, banco de dados de clientes e planilhas em geral, #marketingdigital #rendaextra https://t.co/PPejzULCw1,</t>
  </si>
  <si>
    <t>Digitação de Receitas Culinárias, Livros e Cadernos de Receitas, #marketingdigital #rendaextra https://t.co/qcdq8AaiO6,</t>
  </si>
  <si>
    <t>Digitação de Documentos em Geral para São Paulo e Brasil todo, #marketingdigital #rendaextra https://t.co/1pr3deQu0t,</t>
  </si>
  <si>
    <t>Serviços em Geral para Escritores que desejam publicar seus livros, #marketingdigital #rendaextra https://t.co/YZnUBfFwxl,</t>
  </si>
  <si>
    <t>Serviços de digitação em São Paulo e também para todo o Brasil, #marketingdigital #rendaextra https://t.co/Ix8yAT72NR,</t>
  </si>
  <si>
    <t>Digitação de arquivos em PDF para vários formatos como Word, Excel e Outros, #marketingdigital #rendaextra https://t.co/JLJGGVoeKj,</t>
  </si>
  <si>
    <t>Digitação de Cupons, Fichas, Formulários em formato de Planilha, #marketingdigital #rendaextra https://t.co/D0LSlgdtlQ,</t>
  </si>
  <si>
    <t>Digitação de Tabelas em Geral em Excel ou Word, #marketingdigital #rendaextra https://t.co/tAjGiPKYu0,</t>
  </si>
  <si>
    <t>Realize os Serviços de Digitação de sua Empresa Conosco!, #marketingdigital #rendaextra https://t.co/90MrPQjREi,</t>
  </si>
  <si>
    <t>Digitação de contatos de cartões de visitas em planilha Excel ou para serem inseridos na agenda do Android, Iphone ou PC, #marketingdigital #rendaextra https://t.co/ESqEmPFVf3,</t>
  </si>
  <si>
    <t>Serviços de digitação em São Paulo e também para todo o Brasil, #marketingdigital #rendaextra https://t.co/VUamDgDKU3,</t>
  </si>
  <si>
    <t>Formatação de Monografias, TCC e Documentos em Geral nas Normas ABNT, #marketingdigital #rendaextra https://t.co/OczGAVVihu,</t>
  </si>
  <si>
    <t>Você está matando seu Gato e não sabe...., #marketingdigital #rendaextra https://t.co/aXc71LNTY4,</t>
  </si>
  <si>
    <t>PIX CONNECTION - Sua Plataforma de Negócio Online, #marketingdigital #rendaextra https://t.co/9G9vxNpO4C,</t>
  </si>
  <si>
    <t>suplemento sexuais, #marketingdigital #rendaextra https://t.co/Pl0SuHLMEK,</t>
  </si>
  <si>
    <t>saude beleza e suplemento sexuais, #marketingdigital #rendaextra https://t.co/lk3cAgQIO9,</t>
  </si>
  <si>
    <t>Ajude! Vakinha Para Montar Meu Home Estúdio., #marketingdigital #rendaextra https://t.co/tqN2uSGtbE,</t>
  </si>
  <si>
    <t>Tenha um site repleto de produtos digitais - So Vender, #marketingdigital #rendaextra https://t.co/SFcnnz3RO6,</t>
  </si>
  <si>
    <t>Cursos Universitário EAD - Paga após receber, #marketingdigital #rendaextra https://t.co/RO4oDYy5CV,</t>
  </si>
  <si>
    <t>Transforme O Seu Sonho Em Realidade Com Estas Jóias E Bijuterias Da Imagem Folheados Tendo Em Sua Loja Online!, #marketingdigital #rendaextra https://t.co/UqZEBO6dQq,</t>
  </si>
  <si>
    <t>Por Que Todo Mundo Quer Saber Sobre Como Ganhar Dinheiro Trabalhando Em Casas Pela Internet Em 2023, É Gratuito?, #marketingdigital #rendaextra https://t.co/Tv7MOQp80L,</t>
  </si>
  <si>
    <t>Você Realmente Deseja Acabar com a Alopecia Androgenética Apenas Usando um Tratamento e sem Ressecar os Fios?, #marketingdigital #rendaextra https://t.co/pGVcPBcbjC,</t>
  </si>
  <si>
    <t>Bens de captação de recursos excepcionais., #marketingdigital #rendaextra https://t.co/F2heJ4mpaX,</t>
  </si>
  <si>
    <t>Bailarinas e animadores de festas 11948594445, #marketingdigital #rendaextra #tbt https://t.co/4GArO5C2dL,</t>
  </si>
  <si>
    <t>Cantando com Encanto Show Cover 11948594445, #marketingdigital #rendaextra #tbt https://t.co/y1qI9c3WQy,</t>
  </si>
  <si>
    <t>Wandinha animação de festas e personagens 11948594445, #marketingdigital #rendaextra #tbt https://t.co/IiBJb0V0cx,</t>
  </si>
  <si>
    <t>Embalagens para pastel Rio Embalagens / promoção, #marketingdigital #rendaextra #tbt https://t.co/Y4RcfWmxz7,</t>
  </si>
  <si>
    <t>Higienização e Impermeabilização de Estofados, #marketingdigital #rendaextra #tbt https://t.co/i9WeCMreis,</t>
  </si>
  <si>
    <t>NEW Yamaha F300XA Outboard Engine  with (5) Five Year Warranty, #marketingdigital #rendaextra #tbt https://t.co/IhoJFHjovk,</t>
  </si>
  <si>
    <t>LS CLASSIFICADOS, Namoro, Emprego, Negócios Afiliados e Muito Mais, #marketingdigital #rendaextra #tbt https://t.co/SQz8ohsiyr,</t>
  </si>
  <si>
    <t>Alianças de Ouro e Anel de Noivado em Ouro na Cellect Joias!, #marketingdigital #rendaextra #tbt https://t.co/p9h1fYKW79,</t>
  </si>
  <si>
    <t>Invista no seu negócio com a Rio Emabalagens, #marketingdigital #rendaextra #tbt https://t.co/ya1mXXqaJZ,</t>
  </si>
  <si>
    <t>Contagem, Léo Santos Locutor Comercial Gravação De Vinhetas Propagandas, #marketingdigital #rendaextra #tbt https://t.co/6ePs0rFWx8,</t>
  </si>
  <si>
    <t>redutor hidráulico corpas, #marketingdigital #rendaextra #tbt https://t.co/9oUD5PlvZ3,</t>
  </si>
  <si>
    <t>tomadas de força, #marketingdigital #rendaextra #tbt https://t.co/wajBO65qCL,</t>
  </si>
  <si>
    <t>eixos para tomada de força, #marketingdigital #rendaextra #tbt https://t.co/PwRp4c45Qf,</t>
  </si>
  <si>
    <t>produtos personalizados/ Rio Embalagens, #marketingdigital #rendaextra #tbt https://t.co/EcBGm78vlg,</t>
  </si>
  <si>
    <t>Detetive Particular – Agência de Detetives, #marketingdigital #rendaextra #tbt https://t.co/x60k4hVpAx,</t>
  </si>
  <si>
    <t>Uberlândia, Léo Santos Locutor Comercial Vinhetas Gravação De Propagandas, #marketingdigital #rendaextra #tbt https://t.co/u7bULQzwek,</t>
  </si>
  <si>
    <t>Limpeza da sua caixa d'água com qualidade, #marketingdigital #rendaextra https://t.co/2Cw1hHMohh,</t>
  </si>
  <si>
    <t>DECORA BUBBLE - Curso de BALÕES Passo a Passo, do Básico ao Avançado, #marketingdigital #rendaextra https://t.co/iMm66nyYfR,</t>
  </si>
  <si>
    <t>Aplicativo de delivery, #marketingdigital #rendaextra https://t.co/psC8s6YtSl,</t>
  </si>
  <si>
    <t>Aprenda a tocar Cavaquinho com Dudu Nobre, #marketingdigital #rendaextra https://t.co/wy7pXe7pTs,</t>
  </si>
  <si>
    <t>GUIA COMPLETO PARA LUCRAR COM A CRIAÇÃO DE CODORNAS, #marketingdigital #rendaextra https://t.co/BcqtCiSDpk,</t>
  </si>
  <si>
    <t>tomadas de força, #marketingdigital #rendaextra https://t.co/7YVhnktzkC,</t>
  </si>
  <si>
    <t>Diploma reconhecido, #marketingdigital #rendaextra https://t.co/uEupZG5YIy,</t>
  </si>
  <si>
    <t>Cursos Universitário EAD - Sem pagar antecipado, #marketingdigital #rendaextra https://t.co/BJqtMU9fNJ,</t>
  </si>
  <si>
    <t>Melannun Age solução para sua pele..., #marketingdigital #rendaextra https://t.co/i2Yyg5kmOt,</t>
  </si>
  <si>
    <t>PELE INCRÍVEL E SAUDÁVEL TODOS OS DIAS!, #marketingdigital #rendaextra https://t.co/Pys50nRnht,</t>
  </si>
  <si>
    <t>Sacolas plásticas Personalizadas, #marketingdigital #rendaextra https://t.co/wWCaKP9Je2,</t>
  </si>
  <si>
    <t>Página Lucrativa – Geradora de Renda Extra na internet!, #marketingdigital #rendaextra https://t.co/0fdyuSg777,</t>
  </si>
  <si>
    <t>Joias de Qualidade Direto da Fábrica a Preços Acessíveis Folheadas a Ouro?, #marketingdigital #rendaextra https://t.co/9fRVUk9pNu,</t>
  </si>
  <si>
    <t>Joias de Qualidade Direto da Fábrica a Preços Acessíveis Folheadas?, #marketingdigital #rendaextra https://t.co/9fRVUk9pNu,</t>
  </si>
  <si>
    <t>Por Que Todo Mundo Quer Saber Sobre Como Fazer Ganhar Dinheiro na Internet de Forma Gratuita?, #marketingdigital #rendaextra https://t.co/lBpUHAbcxh,</t>
  </si>
  <si>
    <t>suplemento sexuais, #marketingdigital #rendaextra https://t.co/SO3TGCJfnE,</t>
  </si>
  <si>
    <t>saude beleza e suplemento sexuais, #marketingdigital #rendaextra https://t.co/e8zDZp8Dmn,</t>
  </si>
  <si>
    <t>VOCÊ REALMENTE DESEJA SER UMA ''EMPREENDEDORA NO RAMO'' DE DOCES APENAS FAZENDO BOLO NO POTE E VENDENDO?, #marketingdigital #rendaextra https://t.co/pCdxe2GkoI,</t>
  </si>
  <si>
    <t>100 Receitas de Confeitaria Passo a Passo, #marketingdigital #rendaextra https://t.co/QErZVyPmYA,</t>
  </si>
  <si>
    <t>Sacola Plástica Personalizada, #marketingdigital #rendaextra https://t.co/toqu0JRDYS,</t>
  </si>
  <si>
    <t>VOCÊ REALMENTE DESEJA SER UMA ''EMPREENDEDORA NO SEGMENTO'' DE DOCES APENAS FAZENDO E VENDENDO BOLOS NO POTES?, #marketingdigital #rendaextra https://t.co/pCdxe2GkoI,</t>
  </si>
  <si>
    <t>Livro 650 Receitas Sem Açúcar - Zero Diabetes, #marketingdigital #rendaextra https://t.co/ZTe9rwJopb,</t>
  </si>
  <si>
    <t>CONHEÇA OS MELHORES CURSOS ONLINE DE 2023, #marketingdigital #rendaextra https://t.co/3maHDmnEOE,</t>
  </si>
  <si>
    <t>Desentupidora no Jardim Aurélia em Campinas 19-99231-2502 Desentupidora em Campinas, #marketingdigital #rendaextra https://t.co/DRzveGLtvc,</t>
  </si>
  <si>
    <t>Desentupidora em Campinas 19-99231-2502 Desentupidor em Campinas, #marketingdigital #rendaextra https://t.co/HAn5EYdTbm,</t>
  </si>
  <si>
    <t>CONCRETO CONCRETO USINADO CAMINHÃO BETONEIRA RIO DE JANEIRO, #marketingdigital #rendaextra https://t.co/tOQK1UQ8RT,</t>
  </si>
  <si>
    <t>CONCRETO CONCRETO USINADO CONCRETO BOMBEADO PISO POLIDO JPAMIX RIO, #marketingdigital #rendaextra https://t.co/SBPAJivRNS,</t>
  </si>
  <si>
    <t>CONCRETO CONCRETO BOMBEADO CONCRETO USINADO JPAMIX RIO DE JANEIRO, #marketingdigital #rendaextra https://t.co/HvYxpwE6Mk,</t>
  </si>
  <si>
    <t>Como Ganhar Dinheiro em Casa Com Essa Grande Oportunidade da Imagem Folheados, Conheça o Programa de Afiliados, é Grátis!, #marketingdigital #rendaextra https://t.co/rh8w9p9DiV,</t>
  </si>
  <si>
    <t>Como Compre as Jóias da Imagem Folheadas por Atacado Para o Seu Negócio?, #marketingdigital #rendaextra https://t.co/e7m4GBsoVT,</t>
  </si>
  <si>
    <t>Como Comprar as Jóias da Imagem Folheadas por Atacado Para o Seu Negócio?, #marketingdigital #rendaextra https://t.co/e7m4GBsoVT,</t>
  </si>
  <si>
    <t>Como a Jóias da Imagem Folheadas por Atacado Para o Seu Negócio, #marketingdigital #rendaextra https://t.co/e7m4GBsoVT,</t>
  </si>
  <si>
    <t>Como Fazer a Sua Própria Horta Orgânica em Casa Sem Precisar de Muito Espaço Grande  para Plantar, #marketingdigital #rendaextra https://t.co/SiUYMpd8PM,</t>
  </si>
  <si>
    <t>Como emagrecer com esse Método de Emagrecimento GDF sem prejudicar a sua saúde, #marketingdigital #rendaextra https://t.co/lYkd4tTkFx,</t>
  </si>
  <si>
    <t>Como emagrecer com esse Método de Emagrecimento GDF sem prejudicar a sua saúde, #marketingdigital #rendaextra https://t.co/lYkd4tTSv5,</t>
  </si>
  <si>
    <t>Aprovada, #marketingdigital #rendaextra https://t.co/3lJwKSJEIH,</t>
  </si>
  <si>
    <t>seja uma representante ou representante da empresa villa mundi https://t.co/hv2b0qFu0n #rendaextra "Classificados Grátis"</t>
  </si>
  <si>
    <t>Shows cover katty perry. Billie eilish, Rihanna, Anitta, Marina Sena 11948594445, #marketingdigital #rendaextra #tbt https://t.co/5mx0o1yAsh,</t>
  </si>
  <si>
    <t>Casa Região dos Lagos RJ 3qtos, Piscina Oportunidade, #marketingdigital #rendaextra #tbt https://t.co/eaKQppCRXm,</t>
  </si>
  <si>
    <t>Arraiá de promoções Rio Embalagens, #marketingdigital #rendaextra #tbt https://t.co/HedS5Pt7pw,</t>
  </si>
  <si>
    <t>Copos artesanais de todas as as marcas, #marketingdigital #rendaextra #tbt https://t.co/367n2z62tI,</t>
  </si>
  <si>
    <t>O segredo tropical Para emagrecer com saúde, #marketingdigital #rendaextra #tbt https://t.co/9X6ELno3Ze,</t>
  </si>
  <si>
    <t>kits hidráulico para caçamba basculante, #marketingdigital #rendaextra #tbt https://t.co/4OattILgSm,</t>
  </si>
  <si>
    <t>redutor hidráulico osta, #marketingdigital #rendaextra #tbt https://t.co/JDTBT0ll9s,</t>
  </si>
  <si>
    <t>ERUS MAN-Transforme sua vida sexual E Explore todo seu potencial como Homem!, #marketingdigital #rendaextra #tbt https://t.co/wqxJQj3KkC,</t>
  </si>
  <si>
    <t>Faça Mais de 2.000 Cursos no Portal de cursos rápidos e só pague UM, #marketingdigital #rendaextra #tbt https://t.co/8HqSQppyW3,</t>
  </si>
  <si>
    <t>Rio Embalagens // Facilitamos sua forma de pagamento, #marketingdigital #rendaextra #tbt https://t.co/1lvEKJp7CE,</t>
  </si>
  <si>
    <t>Copos artesanais de todas as as marcas, #marketingdigital #rendaextra #tbt https://t.co/o4q7PAAMcI,</t>
  </si>
  <si>
    <t>Kit com 6 calcinhas fio duplo,cintura alta, #marketingdigital #rendaextra #tbt https://t.co/DRCueNlQco,</t>
  </si>
  <si>
    <t>Sacos e sacolas kraft personalizados, #marketingdigital #rendaextra #tbt https://t.co/1mYT7S6LfK,</t>
  </si>
  <si>
    <t>Embalagens e sacolas personalizadas, #marketingdigital #rendaextra #tbt https://t.co/nA8tyzbozF,</t>
  </si>
  <si>
    <t>Fazemos serviços de digitação em geral, formatações e muitos outros para Campinas e todo Interior de São Paulo, #marketingdigital #rendaextra #tbt https://t.co/L7Bt4M0wyT,</t>
  </si>
  <si>
    <t>Sacola Plástica e embalagens Personalizadas, #marketingdigital #rendaextra #tbt https://t.co/qnyaK6GlGJ,</t>
  </si>
  <si>
    <t>Detetives, Belo Horizonte MG., #marketingdigital #rendaextra #tbt https://t.co/fb3Oh74FJp,</t>
  </si>
  <si>
    <t>Detetive, Porto Alegre RS, #marketingdigital #rendaextra #tbt https://t.co/Ie3W8fndVi,</t>
  </si>
  <si>
    <t>Lindos modelos de alianças de casamento, noivado e compromisso na WD Joias, #marketingdigital #rendaextra #tbt https://t.co/oZvFMioeQk,</t>
  </si>
  <si>
    <t>Afiliado Shopee Como ganhar dinheiro divulgando, #marketingdigital #rendaextra #tbt https://t.co/TFk4sDFV5n,</t>
  </si>
  <si>
    <t>Dj,som,iluminação para festas  11 9 1480 8788 whatsapp, #marketingdigital #rendaextra #tbt https://t.co/KlXwLjTCdf,</t>
  </si>
  <si>
    <t>Cerca Eletrica Jardim Guedala (11) 98475-2594 Instalação e Manutenção, #marketingdigital #rendaextra #tbt https://t.co/KyPlkycHp8,</t>
  </si>
  <si>
    <t>Manutenção De Cerca Elétrica (11) 98475-2594 Instalação Orçamento Visita Técnica, #marketingdigital #rendaextra #tbt https://t.co/s9XxviO5Og,</t>
  </si>
  <si>
    <t>Agência Nunes, #marketingdigital #rendaextra https://t.co/STxQjxPeNV,</t>
  </si>
  <si>
    <t>Detetive, Belo Horizonte (MG)., #marketingdigital #rendaextra https://t.co/tbKorp8qub,</t>
  </si>
  <si>
    <t>sacolas personalizadas, #marketingdigital #rendaextra https://t.co/rn2kO7W80x,</t>
  </si>
  <si>
    <t>Receitas para bebês - de 6 a 12 meses, #marketingdigital #rendaextra https://t.co/ygIyZ7nwEC,</t>
  </si>
  <si>
    <t>FATURANDO MUITO NA PASCOA, #marketingdigital #rendaextra https://t.co/HDBxqZBwno,</t>
  </si>
  <si>
    <t>Curso Básico de Teologia + Curso Médio de Teologia, #marketingdigital #rendaextra https://t.co/9CJGnigmZy,</t>
  </si>
  <si>
    <t>COMPRAR GABARITO CONCURSO TJRN - GABARITO.VENDAS@HOTMAIL.COM, #marketingdigital #rendaextra https://t.co/1NTUjlS5eh,</t>
  </si>
  <si>
    <t>Sobrancelhas, #marketingdigital #rendaextra https://t.co/kJRFl9cbht,</t>
  </si>
  <si>
    <t>ALFABEIZANDO, #marketingdigital #rendaextra https://t.co/wKkKxOOtAJ,</t>
  </si>
  <si>
    <t>VENDO GABARITO CONCURSO EBSERH - GABARITO.VENDAS@HOTMAIL.COM, #marketingdigital #rendaextra https://t.co/3RKxPMXrUs,</t>
  </si>
  <si>
    <t>marketing empresarial, #marketingdigital #rendaextra https://t.co/RQ7mKVpb3U,</t>
  </si>
  <si>
    <t>Apartamento de 2 quartos próximo ao mar: aproveite a brisa do oceano em seu novo lar., #marketingdigital #rendaextra https://t.co/Lh6aSGPCzw,</t>
  </si>
  <si>
    <t>TV Box Homologado TVL Vitalício de Verdade, #marketingdigital #rendaextra https://t.co/h551YgaDtk,</t>
  </si>
  <si>
    <t>Sacolas Plásticas Personalizadas, #marketingdigital #rendaextra https://t.co/3Sif02laFv,</t>
  </si>
  <si>
    <t>Vendo Gabarito Concurso Público Caixa Econômica (gabarito.vendas@hotmail.com), #marketingdigital #rendaextra https://t.co/8CX1wO5AZ9,</t>
  </si>
  <si>
    <t>Vendo Gabarito Concurso Público Caixa Econômica (gabarito.vendas@hotmail.com), #marketingdigital #rendaextra https://t.co/QglCDRnE7S,</t>
  </si>
  <si>
    <t>COMPROVADO! Indicou, vendeu, recebeu! Simples assim!, #marketingdigital #rendaextra https://t.co/qIlF8JirXV,</t>
  </si>
  <si>
    <t>Kit com 6 calcinhas fio duplo,cintura alta, #marketingdigital #rendaextra https://t.co/DRCueNlQco,</t>
  </si>
  <si>
    <t>COMPRAR GABARITO CONCURSO SEC BA (GABARITO.VENDAS@HOTMAIL.COM), #marketingdigital #rendaextra https://t.co/MkQbPRKXNL,</t>
  </si>
  <si>
    <t>Detetive Particular em São Paulo, #marketingdigital #rendaextra https://t.co/42XMXWFmpD,</t>
  </si>
  <si>
    <t>Curso de Corte de Cabelo e Barba Masculino, #marketingdigital #rendaextra https://t.co/NWxcjVRNbA,</t>
  </si>
  <si>
    <t>Curso de Auxiliar de Contabilidade, #marketingdigital #rendaextra https://t.co/SAbsSYbRHQ,</t>
  </si>
  <si>
    <t>CURSO DE ATENDENTE DE FARMÁCIA, #marketingdigital #rendaextra https://t.co/762L1yiUtK,</t>
  </si>
  <si>
    <t>Curso de Auxiliar Veterinário, #marketingdigital #rendaextra https://t.co/6nyoLBCLFc,</t>
  </si>
  <si>
    <t>CURSO DE ASSISTENTE ADMINISTRATIVO 100% ONLINE E COMPLETO, #marketingdigital #rendaextra https://t.co/ibapHdmgVM,</t>
  </si>
  <si>
    <t>Prolongue a vida útil da sua secadora com nossos serviços de manutenção profissional!, #marketingdigital #rendaextra https://t.co/QJlyP54IPx,</t>
  </si>
  <si>
    <t>O segredo tropical Para emagrecer com saúde, #marketingdigital #rendaextra https://t.co/9X6ELnnw9G,</t>
  </si>
  <si>
    <t>Conserto Rápido e Eficiente para sua Lavadora — Deixe sua Rotina sem Preocupações., #marketingdigital #rendaextra https://t.co/WBQi9z9IoW,</t>
  </si>
  <si>
    <t>Conserto para seu refrigerador duplex — Solução rápida para problemas comuns, #marketingdigital #rendaextra https://t.co/qI2WVOk7f0,</t>
  </si>
  <si>
    <t>Inspeção e Limpeza de Cisternas na Barra da Tijuca, #marketingdigital #rendaextra https://t.co/Jx0kNWhI2l,</t>
  </si>
  <si>
    <t>Como Ganhar de R$2.500,00 á R$5.000,00 por Mês, Fazendo e Vendendo... Bolos no Pote Muito Lucrativo!, #marketingdigital #rendaextra https://t.co/8ycvmHS7u0,</t>
  </si>
  <si>
    <t>Super Mangueira Mágica Extensível, #marketingdigital #rendaextra https://t.co/LSaxTmeZmu,</t>
  </si>
  <si>
    <t>Apple iPhone 14 Pro Max - 1TB, #marketingdigital #rendaextra https://t.co/JhZ8tSZNBS,</t>
  </si>
  <si>
    <t>Iniciativa Cincoin ! Inclusão digital - Oportunidade, informação e conhecimento ao alcance de todos ! 
Link de cadastro 👇 
https://t.co/hZjjKeNLzM
#Criptomonedas #criptoativos #rendaextra #rendavariavel #investimentos #criptoBrasil #ganhardinheiro #NFTCommunity #Bitcoin2023 https://t.co/6ftChTsuSO</t>
  </si>
  <si>
    <t>Projeto CINCOIN doando 4 milhões de tokens para formação de comunidade 
Link de cadastro 👇👇
https://t.co/ObjONHUREW 
#AirdropCrypto #criptomoedas #ativosdigital #rendaextra
#CriptoFanáticos https://t.co/6GXw17dFHw</t>
  </si>
  <si>
    <t>Quem tem direito ao abono salarial do PIS? https://t.co/Z335YJILfL via @YouTube #direitodoabonosalarial #PIS #trabalho #justiçafinanceira #direitostrabalhistas #abonosalarial #rendaextra #direitosdosfuncionários #justiçasocial #benefíciosdetrabalho #CEF #caixaeconomicafederal</t>
  </si>
  <si>
    <t>🗣 Me chama no direct eu te ensino!
#empreendedorismofeminino #leidaatração
#mentemilionaria #sucesso #viral #empreender #afiliados #marketing #rendaextra #trabalhoemcasa #empreendedorismo #independenciafinanceira #mktdigital https://t.co/J1AsBQWiSI</t>
  </si>
  <si>
    <t>👇👇👇 Não perca essa oportunidade! 
https://t.co/o44aHjKlqG
#rendaextra #pascoa #chocolate #ChocolateDay #ChocolateComPimenta  #cursos  #OVOShoptakuler https://t.co/VElLLUcOKs</t>
  </si>
  <si>
    <t>NA PENSOU EM FAZER UM CURSO ONLINE COM CERTIFICADO E TUDO QUE VOCÊ PRESCISA PRA COMEÇAR SEU NEGÓCIO TEMOS A OPORTUNIDADE PRA VOCÊ QUE PODE SAIR POR MENOS DE 100 REAIS O CURSO ONLINE E COMPLETO COMENTE EU QUERO QUE TE MANDO A #rendaextra 🔑🔐</t>
  </si>
  <si>
    <t>⚠️⚠️Essa é para você que quer uma renda extra⚠️⚠️
Descobrir novo método de fazer uma renda extra com a venda de PLR, e te ensinarei gratuitamente, basta mandar uma mensagem privada. Com esse método ganho de 50€ a 100€ por dia!!!
@hotmart #hotmart #rendaextra #Europe #Portugal https://t.co/MdhNyiz08N</t>
  </si>
  <si>
    <t>Resultado 24/2 🍀
.
.
.
Sigam a página 👏 
9 palpites 👉 5✅️ 2🔄 1❌️
#palpitesdefutebol #palpitesdiarios #palpitesgreen #palpitesgratis #apostasesportivas #rendaextra #palpitesesportivo #bet365 #betano #traderesportivo #ganhardinheiro https://t.co/tb9frj4bjH</t>
  </si>
  <si>
    <t>Palpites grátis dia 24/2 ⚽️🔥
.
.
.
Sigam a página 🤝
Escolham 3 ou 4 jogos e montem seus bilhetes 🧠📊 (fica a critério de vocês)
#bet365 #betano #palpitesdefutebol #palpitesgratis #apostasesportivas #rendaextra #investimentosesportivos #dicasdeapostas https://t.co/qljbFp6rW6</t>
  </si>
  <si>
    <t>Aumente sua renda sem sair de casa! Inscreva-se agora no mini curso gratuito. Aprenda técnicas para negócios rentáveis e comece a fazer dinheiro extra. Inscrições limitadas.
Link para acessar o minicurso gratuito 👇🏽
https://t.co/qt3N3r4Mzk
 #RendaExtra #NegóciosOnline #curso https://t.co/UzBgiLEgdr</t>
  </si>
  <si>
    <t>Agora ao invés de 50 reais, estamos conseguindo pagar R$100,00 por cada indicação sua que fechar qualquer anúncio na Rede Indoor de Televisão, corre pra disparar nas suas redes sociais e faturar com seu CUPOM EXCLUSIVO. https://t.co/U5aLelF8y2 #rendaextra #paraty #tvindoor #rj https://t.co/0awMPMlrLZ</t>
  </si>
  <si>
    <t>E foi bem comido...  #blaze #rendaextra #cassino</t>
  </si>
  <si>
    <t>Você compra através da internet? #rendaextra #lojaonline #mercadodigital #dropshipping</t>
  </si>
  <si>
    <t>Uma loja online sem estoque vendendo 24 horas por dia? Sim! É possível! Conheça a loja do FUTURO! Clica no link!👇🏻
https://t.co/cKN1pQFKzN 
#mercadodigital #lojaonline #dropshipping #rendaextra</t>
  </si>
  <si>
    <t>O Patrão é que escolhe a data que o empregado tira férias?
🎯 https://t.co/ZJ85uIgWBr
.
#elosduvale #emprego #trabalho #vagas #oportunidade #vagasdeemprego #empregos #vaga #estagio #job #oportunidades #curriculo #empreendedorismo #rendaextra #rh #oportunidadedetrabalho https://t.co/NOmso91sPN</t>
  </si>
  <si>
    <t>Qual o tempo mínimo que o Empregado tem para descansar entre duas jornadas de trabalho? 
 https://t.co/ZJ85uIgWBr
.
#elosduvale #emprego #trabalho #vagas #oportunidade #vagasdeemprego #empregos #vaga #estagio #job #oportunidades #cnc #rendaextra #vagadeemprego https://t.co/OfYg7i7J8q</t>
  </si>
  <si>
    <t>O meu patrão (empregador) não sabia que eu estava grávida e me demitiu. E agora?
https://t.co/ZJ85uIgWBr
.
#elosduvale #emprego #trabalho #vagas #oportunidade #vagasdeemprego #empregos #vaga #estagio #job #oportunidades #cnc #rendaextra #vagadeemprego #oportunidadedetrabalho https://t.co/XxEQI5pYEm</t>
  </si>
  <si>
    <t>OPERADOR DE EMPILHADEIRA
https://t.co/WiAA7ut4a7
#elosduvale #emprego #trabalho #vagas #oportunidade #vagasdeemprego #empregos #vaga #estagio #job #oportunidades #curriculo #empreendedorismo #rendaextra #vagadeemprego #rh #oportunidadedetrabalho  #empreender #procuroemprego https://t.co/sGjqQ2mqku</t>
  </si>
  <si>
    <t>Ótimo feriado a todos!
https://t.co/ZJ85uIgWBr
.
#elosduvale #emprego #trabalho #vagas #oportunidade #vagasdeemprego #empregos #vaga #estagio #job #oportunidades #cnc #rendaextra #vagadeemprego https://t.co/OxZf9wOpHy</t>
  </si>
  <si>
    <t>Sinais de que você foi bem na entrevista
🎯 https://t.co/ZJ85uIgWBr
.
#elosduvale #emprego #trabalho #vagas #oportunidade #vagasdeemprego #empregos #vaga #estagio #job #oportunidades #curriculo #empreendedorismo #rendaextra #vagadeemprego #rh #oportunidadedetrabalho https://t.co/CJUOSeeqf8</t>
  </si>
  <si>
    <t>#rendaextra #trabalhedecasa Se vc está querendo ter uma renda extra, começar seu próprio negócio ou ainda, se especializar em determinada área. Vou deixar alguns links alguns cursos aqui pra vc, que vão desde cursos de beleza a fastfood.</t>
  </si>
  <si>
    <t>Dia 01 Do 0 ao milhão
Me segue e veja como usar o Marketing digital
#afiliados #dia01 #trabalharemcasa #negocioonline #rendaextra #ganhardinheiro https://t.co/vC36xhqWHk</t>
  </si>
  <si>
    <t>Para quem está em casa e quer ganhar uma renda extra, esse site de pesquisa é super indicado. 
Lembrando que: Você não vai ficar rico do dia para noite, mas da para ganhar uns dolares respondendo pesquisas.
https://t.co/lbY8Eq66B4 
#rendaextra #homeoffice</t>
  </si>
  <si>
    <t>Aproveitando o Hype da Páscoa, estamos com um curso simplesmente fantástico para você fazer renda de casa, lucrando mais de 200,00 por dia. Por um preço simbólico de R$19,90
#rendaextra #pascoa #pascoalucrativa #receitaslucrativas #lucreonline #ovosdepascoa https://t.co/4O0xwzoWwy</t>
  </si>
  <si>
    <t>Wednesday, 28 June
Excellent work, how we started the week
Accomplished goals
Time to clear the mind off the monitors 
#goptionbrasil #binaryoptions #maedesucesso #rendaextra 
#bitcoin #Binance    #mercadofinanceiro
#forex #trader #lifestyle #liberdadefinanceira
#investing https://t.co/TsIhSOuqNe</t>
  </si>
  <si>
    <t>#Tens Carro, Carta e Smartphone...
Estás em #Maputo ou #Matola ...
Liga já  84 065 1123
#Yango #rendaextra #cadastro https://t.co/dvUILOqgOp</t>
  </si>
  <si>
    <t>Como conseguir 4 mil horas de exibição no YouTube
#influencer #blogue #youtube #youtuber #homeoffice #rendaextra https://t.co/v2Xxz26wbt</t>
  </si>
  <si>
    <t>15 Ideias de Negócios para trabalhar em casa
#MarketingDigital #homeoffice #rendaextra #youtuber #influencer  https://t.co/joaWRwkoIc</t>
  </si>
  <si>
    <t>10 Melhores Bancos de Imagens Gratuitas para seus projetos criativos #marketingdigital #rendaextra https://t.co/oL61yZs0UZ</t>
  </si>
  <si>
    <t>A Formula Negócio Online é uma opção viável para quem deseja aprender sobre marketing digital e criar seu próprio negócio online. Saiba mais sobre esse treinamento!
#marketingdigital #rendaextra #homeoffice
 https://t.co/S0Yl4z4uUQ</t>
  </si>
  <si>
    <t>3 mini curso gratuito link na bio pra saber mais !
#dinheiro #MarketingDigital #rendaextra #dinheiroonline #cursos #caiomartins https://t.co/Yxlq0TrsrA</t>
  </si>
  <si>
    <t>Ta pagando gente aproveita!!!!
https://t.co/59JOPm9BSX
#slots #tigre #paga #rendaextra https://t.co/OM1WZvVB2u</t>
  </si>
  <si>
    <t>"Quer uma nova fonte de renda? 💰 Descubra 45 maneiras incríveis de ganhar dinheiro online e presencialmente! 
👉 https://t.co/j8pwPmdENZ
#RendaExtra #DinheiroOnline
#dinheiro https://t.co/IJKIhUxbFJ</t>
  </si>
  <si>
    <t>Você quer ganhar uma renda extra sem precisar sair de casa? Conheça o método simples e eficaz que vai transformar a sua vida financeira!
Quer saber mais!
https://t.co/eXuVyX9xpu
#mulherempreendedora 
#solucoesfinanceiras 
#rendaextraemcasa
https://t.co/OFfyMMg62c</t>
  </si>
  <si>
    <t>https://t.co/a5zi2xpk6l
#Marketing 
#rendaextra https://t.co/ZJGBg23TiH</t>
  </si>
  <si>
    <t>Venha falar comigo sobre essa oportunidade pelo WhatsApp 49 998277146!
#rendaextra #marketingdigital #afiliados https://t.co/2fO9d5zKBa</t>
  </si>
  <si>
    <t>Venha falar comigo sobre essa oportunidade pelo WhatsApp 49 998277146!
#rendaextra #marketingdigital #afiliados https://t.co/6VnjUocYh6</t>
  </si>
  <si>
    <t>#RendaExtra Tire suas dúvidas sobre o novo complemento à aposentadoria, o RendA+
Confira! 👉https://t.co/KJYh7BKiGS #R7 #PortalR7 https://t.co/3JyV4KqcNO</t>
  </si>
  <si>
    <t>O mercado de afiliados é uma das melhores opções para as pessoas começarem a trabalhar na internet.
#afiliados #afiliadoiniciante #hotmart #eduzz #braip #rendaextra #rendaonline #dinheiro</t>
  </si>
  <si>
    <t>Um ebook super interessante sobre pedrarias de unhas. Nele você vai ver tipos de cola, tipos de pega strass, história da Decoração de unhas. Como aplicar em cima de Acrílico ou Gel, muitos modelos e imagens para se inspirar. 
https://t.co/hkNYQGYwS9
#decoraçãounha 
#rendaextra</t>
  </si>
  <si>
    <t>O que você acha de responder pesquisas pelo celular e ganhar recompensas por isso? Descobri que no MeSeems isso é possível. Cadastre-se pelo meu link que você já começa ganhando 50 pontos! https://t.co/UrGHKD3dPE 
#rendaextra #dinheiro #MONEY168</t>
  </si>
  <si>
    <t>⚠️ Lembre-se: Aposte com responsabilidade e defina um limite para suas apostas. O objetivo é se divertir e aproveitar a emoção, enquanto busca uma renda extra.
#BetExpo #ApostasOnline #RendaExtra #JogosDeCassino #ApostasEsportivas #Entretenimento #Responsabilidade</t>
  </si>
  <si>
    <t>Mesmo viajando por 15 dias, Meu Faturamento de JANEIRO foi com mais de 20 mil 😜 Você aí usa seu Celular pra fazer 💰 ou ainda tá perdendo Tempo ⌛.
#BenidormFest2023 #bigbrothernlbe #rendaextra #SHOPEE #shopeeaffiliate https://t.co/pMcPLDStnI</t>
  </si>
  <si>
    <t>@felipeneto #RendaExtra 🙏🏻 https://t.co/kquh2ahGrX</t>
  </si>
  <si>
    <t>HONEYGAIN - App para Ganhar Dinheiro no Paypal SEM FAZER NADA | Renda Extra na Internet 👉 Baixe o Honeygain: 
https://t.co/47rpzqTfEY
#dinheiro #dinheiroonline #dinheiroemcasa #dinheironainternet #gamer #rendaextra
https://t.co/Ep17Xk7o5r</t>
  </si>
  <si>
    <t>Transforme sua vida financeira agora! Inscreva-se no MONEYNOW 3.0 e aprenda a ganhar em dólares de qualquer lugar do mundo. Aulas ao vivo, Ebook Guia do Trader, Comunidade MoneyNow, Curso MONEY MACHINE e bônus surpresa!#investimento #rendaextra #trading 
https://t.co/VrtUbhnd82</t>
  </si>
  <si>
    <t>Uma nova Serie de Videos no nosso canal no Youtube onde vamos falar sobre uma forma de estar no Bitcoin enquanto caminhamos no meio da Natureza 🏕️🌳🏡🔐🇵🇹
Canal: DescentralizaClub
#descentralizaclub #bitcoin #bitcoinportugal #bitcoinangola #bitcoinbrasil #rendaextra #Barbie https://t.co/NNQ8L4WhNH</t>
  </si>
  <si>
    <t>RT @programapanico: #Pânico | Foca na Economia: Samy Dana explica como funciona o novo golpe online da renda extra; o Delari chama de empre…</t>
  </si>
  <si>
    <t>Plataforma monetizada para você iniciar seu negócio lucrativo na internet ainda em 2023. 
.
https://t.co/6YiB0jYiLk
.
#biolinks #encurtadordeurl #encurtadordelinks #plataforma #monetizada #rendaextra
#planos #geradordecodeqr #lucrativo #profit #alepdias #09deSetembrode2023 https://t.co/qVfDGS4vcf</t>
  </si>
  <si>
    <t>Pretty Links Pro 3.5 Para Wordpress Atualizado 2023.
.
https://t.co/QSXOgCgxE1
.
#encurtadordeurl #encurtadordelinks #plataforma #monetizada #rendaextra #planos #biolinks
#geradordecodeqr #lucrativo #profit #alepdias #wordpress #wp #plugins #09deSetembrode2023 https://t.co/QGtmh3EIWF</t>
  </si>
  <si>
    <t>Baixe Grátis Curso - Pinterest PRO – Potencialize Suas Vendas Através do Pinterest. . #Pinterest #Ads #técnicas #viral #resultados #profissional #11deAbrilde2023 #alepdias #campanhas #rendaextra #grátis #profit #somee #Hive #makemoney #someeofficial
.
https://t.co/JLSOi0IRhU</t>
  </si>
  <si>
    <t>Baixe Grátis Curso - Técnica da Mineração de Campanhas. Visando o maior número de resultados
.
#Mineraçao #Lucrativas #técnicas #avançadas #viral #resultados #profissional #11deAbrilde2023
#campanhas #rendaextra #grátis #profit #alepdias #someeofficial
.
https://t.co/YrkJ28fbBe</t>
  </si>
  <si>
    <t>CONHEÇA A IA EDGE QUE VAI COLOCAR DINHEIRO NO SEU BOLSO. SAIBA MAIS ABAIXO.
.
#IA #AI #ganhardinheiro #rendaextra #lucrando
#compraragora #ondecomprar #alepdias #profit #04deSetembrode2023
.
https://t.co/IcNnZYRcFC https://t.co/1XEEVoci0l</t>
  </si>
  <si>
    <t>Loja Virtual de Scripts Monetizados, que permite você ter uma renda extra com sites que tem plano de pagamentos com sistema SaaS Profit.
.
https://t.co/QBe1F3ckxb
.
#website #scriptphp #compraragora #ondecomprar #alepias #alyra #22deAgostode2023 #profit #rendaextra #saas https://t.co/LsFe3NOj9m</t>
  </si>
  <si>
    <t>Script php adlinkfly para criar uma plataforma monetizada profissional.
.
https://t.co/eTsuH6IIPm
.
#scriptphp #profit #rendaextra #monetizado #earnmoney #compraragora #ondecomprar
#adlinkfly #alepdias #21deMaiode2023</t>
  </si>
  <si>
    <t>Me ajudar que eu ter ajudar #dinheiro
#rendaextra
Te envio um aviãozinho de cédula no valor de R$ 500, adquira agora~ https://t.co/i39am4rQ7F</t>
  </si>
  <si>
    <t>Você sabia que Honeygain🐝 te paga💸 no paypal no valor mínimo de 20$ ou em cryptomoeda sem valor mínimo. Da uma olhada la no vídeo.#honeygain #ganhardinheironainternet #dinheiro #rendaextra #rendapassiva 
Link do video: https://t.co/nMJde0W8Ve https://t.co/Dzd2om4CGJ</t>
  </si>
  <si>
    <t>Boa tarde galerinha.
Faltou dinheiro? Tá difícil?
Na dica de hoje você pode ter RENDA EXTRA 🫰💵💰fazendo vassouras da garrafa pet, vem que eu te ensino! Clica no link abaixo.
#garrafapet #dinnerdate #rendaextra #vassoura
https://t.co/x7mOnOf1of #GarrafasPlásticas</t>
  </si>
  <si>
    <t>Como Vender Como Afiliado
#ganhardinheiro #ganhardinheiroonline #ganhardinheironainternet #rendaextraonline #rendaextra
https://t.co/0NKyI89uOJ</t>
  </si>
  <si>
    <t>Jogos Para Ganhar Dinheiro na Play Store
#ganhardinheiro #ganhardinheiroonline #ganhardinheironainternet #rendaextraonline #rendaextra
https://t.co/2jeB1ugwbK</t>
  </si>
  <si>
    <t>Como Ganhar Dinheiro Assistindo VÍdeos no Youtube
#ganhardinheironainternet #ganhardinheiroonline #ganhardinheiro #rendaextra #rendaextraemcasa #homeoffice 
https://t.co/5Z3N4YWlNH</t>
  </si>
  <si>
    <t>Melhor Jogo Para Ganhar Dinheiro
#ganhardinheiro #ganhardinheiroonline #ganhardinheironainternet #rendaextraonline #rendaextra
https://t.co/koRvgV1Lzq</t>
  </si>
  <si>
    <t>Joguinho Que Ganha Dinheiro: Como Jogar CashPirate
#ganhardinheiro #ganhardinheironainternet #rendaextra
https://t.co/2jHnEKGEMH</t>
  </si>
  <si>
    <t>Como Ganhar Dinheiro Jogando no Celular Com AppKarma
#ganhardinheironainternet #ganhardinheiroonline #rendaextra
https://t.co/Vw6xrVjhYD</t>
  </si>
  <si>
    <t>Melhores Jogos Para Ganhar Dinheiro: Ganhe Com MakeMoney
#ganhardinheironainternet #rendaextra #ganhardinheiroonline
https://t.co/EwfAEnSV6x</t>
  </si>
  <si>
    <t>Jogos Online Para Ganhar Dinheiro de Verdade: FeaturePoints
#ganhardinheiro #ganhardinheironainternet #rendaextra
https://t.co/wTBkTrlXwu</t>
  </si>
  <si>
    <t>Como Ganhar Dinheiro no Instagram
#ganhardinheironainternet #ganhardinheiroonline #ganhardinheiro #rendaextra #rendaextraemcasa 
https://t.co/01ejOwP1gD</t>
  </si>
  <si>
    <t>Como Monetizar o Facebook 
#ganhardinheironainternet #ganhardinheiroonline #rendaextra #rendaextraemcasa
https://t.co/7CHTHGowMp</t>
  </si>
  <si>
    <t>Deixe o dinheiro trabalhar para você e alcance a independência financeira.
#investimentos #dinheiro #bolsadevalores #investimento #mercadofinanceiro #o #finan #empreendedorismo #a #investir #liberdadefinanceira #sucesso #es #as #rendaextra #economia #ed… https://t.co/2S3IBjIcgC https://t.co/Pap3epQtuX</t>
  </si>
  <si>
    <t>#NewProfilePic #bet365 #dinhero #rendaextra #apostaesportiva 
#betano https://t.co/CJJwYhuqIw</t>
  </si>
  <si>
    <t>Harry Potter e o cálice de fogo.
#rendaextra #Vendatwitter #uominiedonne
https://t.co/LLYPD3CtHb</t>
  </si>
  <si>
    <t>#veravilela4 #rendaextra #negocioonline #tiwtter https://t.co/KFExo6iWMI</t>
  </si>
  <si>
    <t>Comenta 👉 "COMO" 👈 eu ensino-te o meu método #veravilela4 #rendaextra #negocioonline https://t.co/0Bhp8TcgNq</t>
  </si>
  <si>
    <t>#veravilela4 #rendaextra #negocionline #MarketingDigital https://t.co/PagO3MByfA</t>
  </si>
  <si>
    <t>#veravilela4 #rendaextra #negocioonline #tiwtter https://t.co/YcHYu3BdBm</t>
  </si>
  <si>
    <t>#veravilela4 #negocioonline #rendaextra https://t.co/w0FGnE2yEm</t>
  </si>
  <si>
    <t>#veravilela4 #rendaextra #negocioonline https://t.co/EY7Hzfe1Ce</t>
  </si>
  <si>
    <t>#veravilela4 #rendaextra #negocioonline https://t.co/LQhpxJp22c</t>
  </si>
  <si>
    <t>• AMA PARTNERSHIP •
Com LIVE em 8 canais do YOUTUBE 🔥
STAKE MASTER &amp;amp; URUS SWAP
⏰ Dia 01/02 às 20h (horário de Brasília) 
🗣 Onde: @StakeMasterOficial
• Sorteio • 💰💫
☑  10MIL em tokens URUS SWAP
#dolar #rendaextra #criptomoedas https://t.co/zme0hKJ9qX</t>
  </si>
  <si>
    <t>Tá precisando de uma nova maquininha de cartão para o seu negócio? Confira: https://t.co/ahSjUmGjft
#maquininha #ton #rendaextra</t>
  </si>
  <si>
    <t>Ganhe até R$2.300 ao assistir a vídeos no TikTok. #RendaExtra #renda #ganhadinheiro
Utilizar esse código de indicação: 23912626
https://t.co/dDCcAyfaAj</t>
  </si>
  <si>
    <t>#apps #rendaextra #jogos #tiktok</t>
  </si>
  <si>
    <t>#sorteiokwai #impulsokwai #rendaextra</t>
  </si>
  <si>
    <t>COMO GANHAR DINHEIRO COM HONEYGAIN RENDA PASSIVA NO PC E CELULAR. #rendaextra #rendapassiva #rendaextraonline #rendaextraemcasa
https://t.co/QksK569fpV</t>
  </si>
  <si>
    <t>COMO GANHAR DINHEIRO NA INTERNET RESPONDENDO PESQUISA REMUNERADA NO SITE SWRVEYEAH. #rendaextra #rendaextraemcasa #rendaextraonline #rendapassiva #pesquisaremunerada #ganhardinheiro #ganhardinheiroonline
https://t.co/VT66SHJSQi</t>
  </si>
  <si>
    <t>TRABALHAR COMO FREELANCER E GANHAR DINHEIRO EM DOLÁR NO PAYPAL COM O SITE UTEST. Plataforma chamada utest parecida com toloka    #rendaextra #rendaextraemcasa #rendaextraonline #rendapassiva #renda #rendaextra2023
 https://t.co/6W0XFdHrd5</t>
  </si>
  <si>
    <t>COMO GANHAR DINHEIRO NO PAYPAL COM 3 NOVOS APLICATIVOS DE RENDA EXTRA.   #rendaextraemcasa #rendaextraonline #rendapassiva #rendaextra #renda #rendaextra2023
https://t.co/PcuRw8cxFB</t>
  </si>
  <si>
    <t>3 NOVOS APPS PARA GANHAR DINHEIRO EM DÓLAR NO PAYPAL E BITCOIN. #rendaextra #renda #rendapassiva #rendaextraemcasa #rendaextraonline #rendaextra2023
 https://t.co/g0jMaeOtQc</t>
  </si>
  <si>
    <t>Páscoa chegando e é a hora de colocar um dinheirinho extra no bolso!!
Por apenas R$19,90 você leva esse e-book repleto de dicas e insights pra você voar nas vendas.
🔗 https://t.co/zPMzxK2pFt
#ebooks
#Pascoa 
#vendas 
#brasil
#negocio
#rendaextra https://t.co/LQxQaMlB51</t>
  </si>
  <si>
    <t>Partilha o teu conhecimento através da Kubeta e tenha uma excelente fonte de RENDA PASSIVA!
Kubeta, o melhor sítio para partilhares o teu conhecimento.
#kubeta_ao
#kubetaformador
#rendaextra
#rendapassiva
#partilhadeconhecimento
#cursosonline https://t.co/fFSBye8pCg</t>
  </si>
  <si>
    <t>E aí, você é essa pessoa? 🫣
Tá esperando o que para fazer parte do maior programa de indicadores do Brasil?! 💁🏻
Através do seu link de indicador eles podem encontram com facilidade os melhores valores para a contratação do seguro viagem.🌍
#influencer #rendaextra #blodeviagem https://t.co/8M64SDljvt</t>
  </si>
  <si>
    <t>Para participar do sorteio é simples: basta realizar o seu cadastro completo na plataforma de indicadores da Real até o dia 28/02/2023 e nos enviar o print da tela. Prontinho, dai é só começar a torcida!🤞🏻
#promoção #rendaextra #viagem #influencerdigital #afiliados https://t.co/a2a6WcQyaD</t>
  </si>
  <si>
    <t>Faça parte da Vendah, é um aplicativo super fácil de revender Se cadastra aqui pelo meu link que você ganha um prêmio quando vender!! #vendah #rendaextra
https://t.co/TbNnyVEHp9 https://t.co/OOe1sEofyB</t>
  </si>
  <si>
    <t>Faça parte da Vendah, é um aplicativo super fácil de revender Se cadastra aqui pelo meu link que você ganha um prêmio quando vender!! #vendah #rendaextra
https://t.co/TbNnyVEHp9</t>
  </si>
  <si>
    <t>#ondecomprar #cursoonline #rendaextra #produtosdigitais
Um dos melhores cursos sobre desenvolvimento pessoal e financeiro 💰💰💵
Confira agora mesmo 🔥🔥👇
https://t.co/DiOgN4kMqs https://t.co/9oRXGO79de</t>
  </si>
  <si>
    <t>#ondecomprar #cursoonline #rendaextra Manual ovo de pascoa 
Um curso que pode mudar de vez sua vida 🔥🔥
Confira aqui 👇👇
https://t.co/dXNSs2lqTe https://t.co/2xvJbydV98</t>
  </si>
  <si>
    <t>Transforme seu hobby em profissão
Se você quer aprender sobre fotografia e ter um aspecto profissional em suas fotos utilizando, até mesmo, o seu smartphone, clique no link certo!
https://t.co/9bSSpXRVDL
#photopro #hobby #treinamento #curso #smartphone #rendaextra #profissao https://t.co/6mdTVLbvN3</t>
  </si>
  <si>
    <t>Bom diaa! Quem ainda não conseguiu fazer a tão sonhada primeira venda? #primeiravenda #MarketingDigital #marketingdigitalbrasil #vendasonline #rendaextra #homeoffice #afiliados #comoganhardinheironainternet</t>
  </si>
  <si>
    <t>Mentiram pra você quando te disseram que investir é coisa de gente rica.
Com bem pouco dinheiro é possível começar a investir com segurança e rentabilidade superior a poupança.
Me chama no direct que eu vou te ensinar…
#investir #investimento #rendapassiva #rendaextra #poupança https://t.co/GP121NQ8Pf</t>
  </si>
  <si>
    <t>Aprenda a vender e ter uma renda extra só usando o seu celular com acesso a Internet #MarketingDigital #rendaextra https://t.co/dKoAyEYZZ0 https://t.co/KbPK3Fxgoj</t>
  </si>
  <si>
    <t>Se você está querendo uma renda extra em 2023 comece agora a aprender a fazer ovos de Páscoa! Descubra acessando o Link da Bio ou do site! #lucrar #chocolate #rendaextra #pascoa</t>
  </si>
  <si>
    <t>Descubra como muitas pessoas estão fazendo dinheiro nessa Páscoa! Clique no Link da Bio e Saiba mais! #chocolate #pascoa #rendaextra #brasil #curso</t>
  </si>
  <si>
    <t>Aproveite a Páscoa para iniciar a sua renda extra em 2023! Descubra como acessando o Link da Bio ou do site! #rendaextra #chocolate #pascoa #brasil</t>
  </si>
  <si>
    <t>A oportunidade é agora! Invista no seu futuro nessa Páscoa! Largue na frente de todos! Clique no Link da Bio ou do site! #rendaextra #chocolate #pascoalucrativa</t>
  </si>
  <si>
    <t>Aprenda a lucrar nessa Páscoa! Descubra como ter uma renda extra nesse inicio de 2023! Clique no Link da Bio! #rendaextra</t>
  </si>
  <si>
    <t>Fábrica de Riqueza 💰 transforme seu celular em uma máquina de vendas 🤑
https://t.co/vF6zSTV6hY
#rendaextra #Digital #mkt #empreendedorismo</t>
  </si>
  <si>
    <t>Quer ganhar dinheiro trabalhando em casa? Tenho uma ótima oportunidade de trabalho em home office com renda recorrente. Pegue seu desconto https://t.co/oNFqNC4tdE #rendaextra #trabalhoemcasa #dinheiroemcasa https://t.co/d68lHXPI8z</t>
  </si>
  <si>
    <t>Ajudo você a Trabalhar em home office, renda recorrente, vagas limitadas, em casa somente meio periodo se quiser, 40% de comissão, melhor do mercado. Chama pv🤣 https://t.co/POoJ4By75m
#renda #rendaextra #homeoffice #trabalhoemcasa #dinheiroemcasa #rendaemcasa https://t.co/sgrm7Nbbef</t>
  </si>
  <si>
    <t>O Q POSSO ADD A MINHA VIDA Q ME PERMITIRIA CRIAR MAIS DINHEIRO DO QUE JAMAIS IMAGINEI SER POSSÍVEL? #rendaextra #trabalhoemcasa #dinheiroemcasa #homeoffice
 https://t.co/F1k6a9NrJ6 https://t.co/uj0KpQWATB</t>
  </si>
  <si>
    <t>O Q POSSO ADD A MINHA VIDA Q ME PERMITIRIA CRIAR MAIS DINHEIRO DO QUE JAMAIS IMAGINEI SER POSSÍVEL? #rendaextra #trabalhoemcasa #dinheiroemcasa #homeoffice
 https://t.co/F1k6a9NrJ6 https://t.co/vp3Mmkl3Qd</t>
  </si>
  <si>
    <t>O QUE POSSO ADD A MINHA VIDA QUE ME PERMITIRIA CRIAR MAIS DINHEIRO DO QUE JAMAIS IMAGINEI SER POSSÍVEL? #rendaextra #trabalhoemcasa #dinheiroemcasa #homeoffice
 https://t.co/F1k6a9NrJ6 https://t.co/Xi16IxxO80</t>
  </si>
  <si>
    <t>Quer ganhar dinheiro trabalhando em casa? Tenho uma ótima oportunidade de trabalho em home office com renda recorrente. LInk com desconto! #rendaextra #trabalhoemcasa #dinheiroemcasa https://t.co/F1k6a9NrJ6 https://t.co/AEAntGpqWV</t>
  </si>
  <si>
    <t>Quer ganhar dinheiro trabalhando em casa? Tenho uma ótima oportunidade de trabalho em home office com renda recorrente. LInk com desconto! #rendaextra #trabalhoemcasa #dinheiroemcasa https://t.co/F1k6a9NrJ6 https://t.co/NoMTiDg16G</t>
  </si>
  <si>
    <t>Quer ganhar dinheiro trabalhando em casa? Tenho uma ótima oportunidade de trabalho em home office com renda recorrente. LInk com desconto! #rendaextra #trabalhoemcasa #dinheiroemcasa https://t.co/F1k6a9NrJ6 https://t.co/NvLDr6ztFW</t>
  </si>
  <si>
    <t>O Q POSSO ADD A MINHA VIDA Q ME PERMITIRIA CRIAR MAIS DINHEIRO DO QUE JAMAIS IMAGINEI SER POSSÍVEL? #rendaextra #trabalhoemcasa #dinheiroemcasa #homeoffice
 https://t.co/F1k6a9NrJ6 https://t.co/w7MhpY0EVa</t>
  </si>
  <si>
    <t>Quer ganhar dinheiro trabalhando em casa? Tenho uma ótima oportunidade de trabalho em home office com renda recorrente. LInk com desconto! #rendaextra #trabalhoemcasa https://t.co/KKnMYioo13 https://t.co/1JLqstlBGw</t>
  </si>
  <si>
    <t>Isso é o q se requer para criar o futuro q eu desejo?
#rendaextra #trabalhoemcasa #dinheiroemcasa #homeoffice
https://t.co/F1k6a9NrJ6 https://t.co/oMBtWkA570</t>
  </si>
  <si>
    <t>Isso é o q se requer para criar o futuro q eu desejo?
#rendaextra #trabalhoemcasa #dinheiroemcasa #homeoffice
https://t.co/F1k6a9NrJ6 https://t.co/QKcC4S0wcG</t>
  </si>
  <si>
    <t>Isso é o q se requer para criar o futuro q eu desejo?
#rendaextra #trabalhoemcasa #dinheiroemcasa #homeoffice
https://t.co/F1k6a9NrJ6 https://t.co/UWbxfWnHAJ</t>
  </si>
  <si>
    <t>O Q POSSO ADD A MINHA VIDA Q ME PERMITIRIA CRIAR MAIS DINHEIRO DO QUE JAMAIS IMAGINEI SER POSSÍVEL? #rendaextra #trabalhoemcasa #dinheiroemcasa #homeoffice
 https://t.co/F1k6a9NrJ6 https://t.co/Tjo0yGOsoR</t>
  </si>
  <si>
    <t>Aprenda a produzir e vender Terços Personalizados.
Tarefa nobre, prazerosa e ainda ajuda a aumentar seus rendimentos.
#RendaExtra #terçospersonalizados #tercospersonalizados #trabalho #trabalharemcasa
SITE OFICIAL DO CURSO
⬇️⬇️⬇️
https://t.co/kzidgx1cvg https://t.co/iWQpDVZOlr</t>
  </si>
  <si>
    <t>Aprenda absolutamente tudo sobre Cookies Gourmet! Curso 100% em vídeo com aulas práticas e detalhadas. Certificado incluso. Do básico ao avançado
#rendaextra
https://t.co/PQV7q7drHa https://t.co/U3L29Jx5zw</t>
  </si>
  <si>
    <t>Aprenda absolutamente tudo sobre Cookies Gourmet! Curso 100% em vídeo com aulas práticas e detalhadas. Certificado incluso. Do básico ao avançado
#rendaextra
https://t.co/PQV7q7drHa https://t.co/7ScuA8f5I7</t>
  </si>
  <si>
    <t>Aprenda absolutamente tudo sobre Cookies Gourmet! Curso 100% em vídeo com aulas práticas e detalhadas. Certificado incluso. Do básico ao avançado
#rendaextra
https://t.co/PQV7q7drHa https://t.co/Rg6u5h6eFu</t>
  </si>
  <si>
    <t>Aprenda absolutamente tudo sobre Cookies Gourmet! Curso 100% em vídeo com aulas práticas e detalhadas. Certificado incluso. Do básico ao avançado
#rendaextra
https://t.co/PQV7q7drHa https://t.co/R2teBGlyKb</t>
  </si>
  <si>
    <t>Aprenda absolutamente tudo sobre Cookies Gourmet! Curso 100% em vídeo com aulas práticas e detalhadas. Certificado incluso. Do básico ao avançado
#rendaextra
https://t.co/PQV7q7drHa https://t.co/Pvekd64POX</t>
  </si>
  <si>
    <t>Aprenda absolutamente tudo sobre Cookies Gourmet! Curso 100% em vídeo com aulas práticas e detalhadas. Certificado incluso. Do básico ao avançado
#rendaextra
https://t.co/PQV7q7drHa https://t.co/s77OHm7bih</t>
  </si>
  <si>
    <t>Aprenda absolutamente tudo sobre Cookies Gourmet! Curso 100% em vídeo com aulas práticas e detalhadas. Certificado incluso. Do básico ao avançado
#rendaextra
https://t.co/PQV7q7drHa https://t.co/uqhw3ujqKk</t>
  </si>
  <si>
    <t>Aprenda absolutamente tudo sobre Cookies Gourmet! Curso 100% em vídeo com aulas práticas e detalhadas. Certificado incluso. Do básico ao avançado
#rendaextra
https://t.co/PQV7q7drHa https://t.co/hUauEuQhv3</t>
  </si>
  <si>
    <t>Faça parte da minha equipe, entre em contato e faça o processo seletivo...
#homeoffice #rendaextra #oportunidade #vendas #trabalheemcasa https://t.co/dwcjaZegiN</t>
  </si>
  <si>
    <t>Aula gratuita! Cite o código ULISSES e ganhe um bônus. 
#DesafioNoAutomatico #RendaExtra #ganhedinheiro  #gestaodetrafego 
https://t.co/w7sGbasVJ4
https://t.co/5xQ1hiajHt</t>
  </si>
  <si>
    <t>Achei um curso de Ovo de Páscoa pra ajudar a fazer renda extra nessa época do ano!
Eitaa que as fotos tão lindas demaiss, será que vamos?
https://t.co/2zCMmwR18i
#rendaextra #redaextracomovosdepascoa #receitasovosdepascoa https://t.co/GcLjSLL5mx</t>
  </si>
  <si>
    <t>Melhores plataformas e que pagam bem!
🌿Brabet ✅
◉ Acesse: https://t.co/zQQq89NE6j
🌿WINBR ✅
◉ Acesse: https://t.co/TehxM5vmj7
🌿WINMI✅
◉ Acesse: https://t.co/DPYND9xAkI
🌿JOGOWIN✅
◉ Acesse: https://t.co/8rCEpeoVKu
#cassino #rendaextra #brabet #rendaonline https://t.co/Wht892OnkB</t>
  </si>
  <si>
    <t>Melhores plataformas e que pagam bem!
🌿Brabet ✅
◉ Acesse: https://t.co/zQQq89NE6j
🌿WINBR ✅
◉ Acesse: https://t.co/TehxM5vmj7
🌿WINMI✅
◉ Acesse: https://t.co/DPYND9xAkI
🌿JOGOWIN✅
◉ Acesse: https://t.co/8rCEpeoVKu
#cassino #rendaextra #brabet https://t.co/lTUe6e6Tmz</t>
  </si>
  <si>
    <t>Melhores plataformas e que pagam bem!
🌿Brabet ✅
◉ Acesse: https://t.co/zQQq89NE6j
🌿WINBR ✅
◉ Acesse: https://t.co/TehxM5vmj7
🌿WINMI✅
◉ Acesse: https://t.co/DPYND9xAkI
🌿JOGOWIN✅
◉ Acesse: https://t.co/8rCEpeoVKu
#cassino #rendaextra #brabet https://t.co/AuSwKpY1Vq</t>
  </si>
  <si>
    <t>Melhores plataformas e que pagam bem!
🌿Brabet ✅
◉ Acesse: https://t.co/zQQq89NE6j
🌿WINBR ✅
◉ Acesse: https://t.co/TehxM5vmj7
🌿WINMI✅
◉ Acesse: https://t.co/DPYND9xAkI
🌿JOGOWIN✅
◉ Acesse: https://t.co/8rCEpeoVKu
#cassino #rendaextra #brabet https://t.co/YLtsNjRWKm</t>
  </si>
  <si>
    <t>Gabaritadaaaaa! Champinha
#bet365 #apostasesportivas #ChampionsLeague #rendaextra #betano https://t.co/i047PaAzYw</t>
  </si>
  <si>
    <t>Champinha amooooor 
#bet365 #apostasesportivas #rendaextra #ChampionsLeague https://t.co/ZYwF2TZidw</t>
  </si>
  <si>
    <t>8 Ideias para renda extra em 2023
Link: https://t.co/WWmKHtxDRI
Leia a matéria completa no site Finanças e Cia
#mercadofinanceiro #finanças #rendaextra #dinheiro #investimento #investir #trabalho https://t.co/0uKLvg9IHy</t>
  </si>
  <si>
    <t>Esteja disposto(a) a enfrentar desafios, para chegar ao sucesso✅️
 https://t.co/w6cX64vIWW
#Digital #DigitalMarketing #Marketing #MarketingDigital #Drop #dropshipping #rendaextra https://t.co/dfHfhaFYH5</t>
  </si>
  <si>
    <t>15 hábitos que vão te deixar imparável🔥
https://t.co/w6cX64vIWW
#rendaextra #Drop #dropshipping #Digital #DigitalMarketing #Marketing #MarketingDigital https://t.co/jNzHdz2BUa</t>
  </si>
  <si>
    <t>Trabalhe pra você mesmo, até ter a vida que você merece 
https://t.co/w6cX64vIWW
#rendaextra #Drop #dropshipping #MarketingDigital #MarketingDigital #marketingtwitter https://t.co/kGI99OVgrI</t>
  </si>
  <si>
    <t>Os melhores filmes para você se tornar inabalável 
https://t.co/w6cX64vIWW
#rendaextra #Marketing #marketingtwitter #MarketingDigital #Drop #dropshipping https://t.co/2EjysJllCe</t>
  </si>
  <si>
    <t>Lugar lindo e maravilhoso 
https://t.co/w6cX64vIWW
#dropshipping #Marketing #MarketingDigital #rendaextra #Drop #ganhardinheironainternet https://t.co/gwdBZurJDI</t>
  </si>
  <si>
    <t>Tenha uma vida de sucesso 
https://t.co/w6cX64vIWW
#Marketing #MarketingDigital #MarketingSuccess #Drops #Drop #dropshipping #rendaextra #VidaYEstilo https://t.co/MFtFRCMFPQ</t>
  </si>
  <si>
    <t>Fature dinheiro pela internet sem sair de casa
https://t.co/w6cX64vIWW
#rendaextra #dinheiro #Drop #dropshipping #Marketing #marketinginsights #marketingstrategy #MarketingSuccess https://t.co/4fcEhBWZpC</t>
  </si>
  <si>
    <t>Mentalize!🧠
https://t.co/w6cX64vIWW
#rendaextra #dinheiro #Marketing #MarketingDigital #Digital #DigitalMarketing #Online #OnlineMarketing #InternetMarketing #Internet #Lamborghini https://t.co/t3YSUi74ip</t>
  </si>
  <si>
    <t>Aprenda a fazer dinheiro online no conforto da sua casa 
https://t.co/w6cX64vIWW
#lifestyle #Digital #Marketing #MarketingDigital #marketingdigitalbrasil #marketingtwitter #rendaextra https://t.co/H3wHEnDhzh</t>
  </si>
  <si>
    <t>Com conhecimento, dedicação e persistência você pode criar um negócio lucrativo 100% online 
https://t.co/w6cX64vIWW
#MarketingDigital #Marketing #Digital #DigitalMarketing #Online #Internet #rendaextra #dinheiro https://t.co/6leSGRpWWe</t>
  </si>
  <si>
    <t>Saia do sistema!
Ganhar dinheiro online é possível e pode ser uma fonte de renda viável 
https://t.co/w6cX64vIWW
#rendaextra #dinheiro #Matrix #Digital #DigitalMarketing #Marketing #MarketingDigital #Internet #Online #onlinemarketing https://t.co/06Bwrlb3Nb</t>
  </si>
  <si>
    <t>Faça uma fonte de renda pela internet e comece a lucrar no digital
https://t.co/w6cX64vIWW
#rendaextra #dinheiro #MarketingSuccess #marketingonline #marketingagency #dropshipping https://t.co/QKfVZ1U36y</t>
  </si>
  <si>
    <t>Comece sua jornada para o sucesso financeiro no digital tendo uma fonte de renda pela internet sem sair de casa
https://t.co/w6cX64vIWW
#rendaextra #dinheiro #marketingonline #MarketingSuccess #MarketingDigital #dropshipping https://t.co/XCuuMJQxlM</t>
  </si>
  <si>
    <t>Renda extra pela internet
https://t.co/w6cX64vIWW
#dinheiro #marketingtwitter #MarketingSuccess #MarketingDigital #dropshipping #rendaextra #dinheiropelainternet https://t.co/KY08exr8LF</t>
  </si>
  <si>
    <t>Dinheiro online através da internet🤑
https://t.co/w6cX64vIWW
#rendaextra #dinheiro #dinheiropelainternet #DigitalMarketing #Digital #dropshipping https://t.co/1DNv0QSzYw</t>
  </si>
  <si>
    <t>Faça dinheiro online pela internet sem sair de casa 🏠 Oportunidade de você ser independente financeiramente💵
https://t.co/w6cX64vIWW
#Ferrari #RICO #abundancia #liberdade #rendaextra #dinheiro #MarketingDigital #Digital https://t.co/7Wq9ciM8us</t>
  </si>
  <si>
    <t>Ganhar dinheiro online de forma honesta e segura? Descubra método completo para você alcançar a independência financeira trabalhando em casa sem aparecer!!! 
#rendaextra #Online #dinheiro https://t.co/B5sBsHospU</t>
  </si>
  <si>
    <t>"Supere os Obstáculos e Continue Sonhando: Confie na sua Capacidade e Não Desista dos Seus Sonhos!"
https://t.co/w6cX64vIWW
#dinheiro #rendaextra #Internet #InternetMarketing #DigitalMarketing #Digital #OnlineMarketing #Online #MarketingDigital #Marketing https://t.co/jTFMoV4ttS</t>
  </si>
  <si>
    <t>Saia da zona de conforto
https://t.co/w6cX64vIWW
#rendaextra #MarketingDigital #Marketing #marketingdigitalbrasil #dinheiro #Drop https://t.co/3jlAjOBnUF</t>
  </si>
  <si>
    <t>Entre agora para o mercado digital 
https://t.co/w6cX64vIWW
#rendaextra #dinheiro #MarketingDigital #marketingdigitalbrasil #Marketing #Drop #Drops https://t.co/DBfZ108vKi</t>
  </si>
  <si>
    <t>Fonte de renda pela internet 
https://t.co/w6cX64vIWW
#rendaextra #MarketingSuccess #marketingstrategy #Drop #dropshipping https://t.co/jGzmwr3Tgy</t>
  </si>
  <si>
    <t>Lições para aprender durante a vida
https://t.co/w6cX64vIWW
#rendaextra #MarketingSuccess #marketingstrategy #Drop #dropshipping https://t.co/2vAr8sj1ZD</t>
  </si>
  <si>
    <t>Domine a Disciplina e Aprenda a Fazer uma Renda Extra na Internet sem Aparecer: O Caminho para o Sucesso Financeiro 🙂💰
#internet #rendaextra #sucesso https://t.co/ZCg2wwXnOQ</t>
  </si>
  <si>
    <t>"Pense fora da caixa"
Renda extra usando apenas um celular  
https://t.co/w6cX64vIWW
#Digital #MarketingDigital #marketingtwitter #Marketing #rendaextra #lifestyle #Internet https://t.co/sfDD2nPFAZ</t>
  </si>
  <si>
    <t>Novo APP de jogo pagando toda hora. Alguém já tem?  #jogos #Apps #rendaextra
https://t.co/RHPOfqQtBI https://t.co/dTTOdVuPcH</t>
  </si>
  <si>
    <t>Conseguir una lista de suscriptores tomara tiempo, pero crear tu tribu en verdad vale la pena. 
#marketingdeafiliados #marketingdigital #marketing #marketingdigitalbrasil #hotmart #marketingdecontenidos #empreendedorismo #rendaextra #afiliados  #afiliadoshotmart #negociosonline</t>
  </si>
  <si>
    <t>Olhem a bio do meu perfil
#rico #jovem #rendaextra https://t.co/ivzf6YgFRq</t>
  </si>
  <si>
    <t>Tá afim de fazer uma renda extra de até 3 mil reais? A gente tem uma dica pra você: 
• https://t.co/RH0GPxeCq8 
#RendaExtra #DesignDeSobrancelha #ModaEBeleza #Sobrancelhas https://t.co/1oJoIxxkQx</t>
  </si>
  <si>
    <t>💰 Gere renda extra ao compartilhar produtos de qualidade com amigos e familiares. A Herbalife faz isso possível. 👨‍👩‍👧‍👦 #RendaExtra #Herbalife https://t.co/wACNc3OJA4</t>
  </si>
  <si>
    <t>Ganhe $$$ revenda suas antiguidades em Pinheiros São Paulo - Venda, Troque e Revenda - Benedito Calixto Pinheiros #rendaextra #dinheiroextra  https://t.co/jz2fr9ACoW</t>
  </si>
  <si>
    <t>#rendaextra  #renda  #kwaii #ganhardinheiro</t>
  </si>
  <si>
    <t>ESTÁS SABENDO QUE ESTÁ REVOLUCIONANDO A MEDICINA?
VOCÊ CONHECE ALGUÉM PRECISA DE CUIDAR DA SAÚDE?
AINDA COM OPÇÃO DE UMA EXCELENTE RENDA FINANCEIRA.
#ozonteckrecife #ozonteckbrasil #diabetes #rendaextra
e
MAIS INFORMAÇÕES APENAS NO WHATSAPP.
ME CHAMA
https://t.co/U41ocBeMvG https://t.co/hdJVgxwLzL</t>
  </si>
  <si>
    <t>Vamos fazer história no Brasil 
#patosdeminas 
#qualidadevida 
#brasil 
#uberlandia 
#rendaextra 
#luciluci https://t.co/LdvETTLQmV</t>
  </si>
  <si>
    <t>Venha trabalhar com a nossa empresa,como nossa produto.
Os melhores perfumes do mundo.
#luciluci 
#sãoluisma 
#qualidadevida 
#rendaextra 
#vianama 
#buriticupuma 
#maranhao 
#brasil 
#sãobentoma 
#pinheiroma 
#itapecurumirim https://t.co/ioIXWfWOIT</t>
  </si>
  <si>
    <t>Estamos em plena expansão, a empresa que mais está em evidência no Brasil é #luciluci 
#lucilucioficial 
#luciluciperfumes 
#luciluci 
#qualidadevida 
#rendaextra 
#brasil 
#marketing
#marketingdigital 
#marketingderelacimento 
#marketingprofissional 
#saopaulo https://t.co/X4msS8eNy8</t>
  </si>
  <si>
    <t>https://t.co/Jf5FijjF2c
#rendaextra https://t.co/wAV5UasLTL</t>
  </si>
  <si>
    <t>#WHITECLUB iniciou em julho os #investimentos na economia compartilhada dentro do #MMN ou #Multinível #MarketingDigital 
Façam o cadastro, pack de 20 #USDT podendo ser ativado em #BTC #BTCUSDT #bitcoin 
https://t.co/WfjTWk5HxL
Lider de rede, trabalho em parceria #rendaextra</t>
  </si>
  <si>
    <t>Como ganhar em DÓLAR 💵 como afiliado? 🤑 https://t.co/6mCODSVnlp via @YouTube 
#rendaextra #ganheemdolar #afiliado</t>
  </si>
  <si>
    <t>Mude suas atitudes | #shorts #ganheemdolar #rendaextra https://t.co/b5XV7nbqOz via @YouTube</t>
  </si>
  <si>
    <t>Como ganhar em DÓLAR 💵 como afiliado? 🤑 https://t.co/6mCODSVnlp via @YouTube
#metadolar #ganheemdólar #ganheemcasa  #rendaextra #rendaextraagora #rendaextraemcasa #rendaextraonline #rendaextranainternet #empreender #empreendedorismo #empreendedor</t>
  </si>
  <si>
    <t>Cupom de R$ 150 de desconto.
Aproveite.
https://t.co/AdXEUUSxYW
#afiliados #metadolar #marketingdigital #trafegopago #trafegoorganico #ganhardinheiro #rendaextra #ganhedinheironainternet #dolar
#CupomDeDesconto</t>
  </si>
  <si>
    <t>@explicacritica me dscp adm...
Quer aprender a fazer renda extra sem sair de casa? Me chama direct que eu te ensino!!🔥🚀
#rendaextra #dinheiro #dinheirofacil #lucro #negocios</t>
  </si>
  <si>
    <t>MELHOR ROBÔ DA BRABET (GOLPE?) Robô Evolution Brabet Vale a Pena? Funcio... 
#brabet #rendaextra #dinheiro #double #Crash 
https://t.co/gMdT44YsFy via @YouTube</t>
  </si>
  <si>
    <t>CAÇADOR DE EMPATE TURBO VALE A PENA? FUNCIONA? ROBÔ CAÇADOR DE EMPATE TU...
#bacbo #cassino #dados #rendaextra
 https://t.co/rjVzXpiw7q via @YouTube</t>
  </si>
  <si>
    <t>OTG GAMES - Funciona? OTG GAMES É BOM? VALE A PENA? OTG GAMES É CONFIAVE... 
#otggames #roleta #cassino #rendaextra #otggamesebom #dados #cartas #pokeronline 
https://t.co/HqWJyNfU5V via @YouTube</t>
  </si>
  <si>
    <t>MILLION CRAZY TIME - MILLION CRAZY TIME É BOM? MILLION CRAZY TIME VALE A... 
#crazytime #jogocrazytime #millioncrazytime #rendaextra #dinheiro #MarketingDigital #cassino
https://t.co/O6PuCr2D7L via @YouTube</t>
  </si>
  <si>
    <t>AEROPIX AVIATOR FUNCIONA? AEROPIX É CONFIAVEL? É BOM? AEROPIX AVIATOR VA... 
#aviator #roboaeropix #aeropix #aeropixaviator #rendaextra #dinheiro 
https://t.co/sbELIzkmTt via @YouTube</t>
  </si>
  <si>
    <t>🔥 BOT IZI será que FUNCIONA? Bot Izi É BOM MESMO? Bot Izi é Confiável? B... 
#botizi #blaze #jogos #rendaextra #dinheiro #funciona #brabet 
https://t.co/8oRnaIVzf9 via @YouTube</t>
  </si>
  <si>
    <t>[SAQUEI] Lucrando com Google Funciona? Lucrando com Google Vale a Pena? ... https://t.co/TEOt8r4Sxa via @YouTube 
#rendaextra #ganhardinheiro #money</t>
  </si>
  <si>
    <t>Você já sabia disso?
.
.
Siga @joven.milion
.
.
#afiliadodashopee #milionares #marketingdigitalbrasil #hotmart #marketing #trabalharemcasapelainternet #rendaextraemcasa #empreendedorismo #empreendedordigitalautoridade #
https://t.co/YD5fpJ4baJ</t>
  </si>
  <si>
    <t>👩🏼‍🍳 Os cursos serão realizados nos dias 20 e 24 de março, às 13 horas no próprio Fundo Social. Informações: (17) 3523-3317.
#pascoa #rendaextra #oportunidade #inscricao #catanduva #fundosocial #prefeituradecatanduva</t>
  </si>
  <si>
    <t>😃📝💰 Aprenda várias maneiras de ganhar dinheiro escrevendo com o nosso guia completo! Descubra dicas incríveis e oportunidades imperdíveis. Confira agora mesmo em nosso blog!
👉 https://t.co/v4d0i4cxly
#Blogging #EscritaCriativa #RendaExtra #Mateada</t>
  </si>
  <si>
    <t>#rendaextra #ganhedinheirocomapps</t>
  </si>
  <si>
    <t>#rendaextra #ganhecomapps</t>
  </si>
  <si>
    <t>Use o meu convite LUISG4751915 para abrir sua conta Neon e nós dois ganhamos um cupom de R$ 20 para usar na Uber! Baixe o aplicativo e faça seu cadastro: #rendaextra #ganhedinheiro  https://t.co/q7F992LxTD https://t.co/zdhZcaTG1n</t>
  </si>
  <si>
    <t>#rendaextra #ganhardinheiro #appsparaganhardinheiro</t>
  </si>
  <si>
    <t>#rendaextra #marketingdigital https://t.co/f3V3yxR4Zt</t>
  </si>
  <si>
    <t>#brabet pagando no #ganeshagold só sei amar! #brabetmeuamor #slot #slots #cassino #joguinhos #bbb23 #Brasil #jogosdeslots #dinheiro #rendaextra #viva #fypp #trabalharemcasa #cash #mulher  #TheLastOfUs #jogosparacelular ganhe aqui: https://t.co/wwfNxfzs6P https://t.co/3zgwpwTAML</t>
  </si>
  <si>
    <t>#ovosdepascoa
https://t.co/Zj7dwu0zIE
Descubra como Faturar de R$ 3.000,00 a R$ 5.000,00 por mês,
trabalhando diretamente da Sua Casa.
#rendaextra #ChocolateDay #dinheiro #rendaextra
#pascoa #aprendafazer #Delicias #gourmet https://t.co/rvUkRYM2Wn</t>
  </si>
  <si>
    <t>Comente Eu Quero que vou te explicar como 
#marketingdigital 
#rendaextra 
#maternidade https://t.co/0Bxs24wAwU</t>
  </si>
  <si>
    <t>Gente é meme só os trabalhadores vão entender 🤣🤣🤣
#dinheiro #rendaextra #dinheiroextra #Memes https://t.co/R5sf64egHH</t>
  </si>
  <si>
    <t>Iremos criar um grupo no telegram. Onde postaremos fotos e vídeos de nosso pezinhos e solas. Quem tiver interessado vamos no direct !
Também terá comissão e sorteio
#feet #pezinhos #pes #solas #solinhas #comissão #rendaextra #telegram #grupo18 #fetiche #foot #girlfeet #podolatria https://t.co/HDXwtSNdQJ</t>
  </si>
  <si>
    <t>Maquiagem a partir de R$1,99 😲
Link aqui 👇
https://t.co/N5PTpagMZv
#ondecomprar #ondecompro #dicas #maquiagem #rendaextra #MissSupranational2023 #Barbie #BarbieFilme #virginia #Mirella https://t.co/SdFxVPMIgL</t>
  </si>
  <si>
    <t>🚀 Esse Site Pode Dar Um BOOM No Seu Currículo e Isso Pode Te Fazer Ganhar Mais! 💸
👣 Siga @buzzbytebr
.
.
.
#rendaextra💰 #ganharmaisdinheiro  #curriculoperfeito  #rendaextraemcasa #rendaextraemcas https://t.co/sWEnmFAIMU</t>
  </si>
  <si>
    <t>@mvmc__ #RendaExtra</t>
  </si>
  <si>
    <t>Querem começar a ganhar dinheiro pelo celular em casa ou em várias outros lugares ? Comente eu quero e eu te ajudo 
#emprendedores #rendaextra #ganhardinheiroemcasa https://t.co/qyuLsEqW8N</t>
  </si>
  <si>
    <t>Quartouuu🤑🚀✌️ Cadastra-se⬇️ https://t.co/AioU9vBwRT  tropa casa de aposta pagando muito🤑 gostosinho fixado do meu perfil esta os link dos grupos vip 24 horas grátis 🤩🤩 
#aposta #dinheiro #granaextra #aviator #spaceman #futebol #tips #robô #robo #VIP #grátis  #rendaextra https://t.co/nZnE8oQ2xm</t>
  </si>
  <si>
    <t>Gosta de dicas de renda?
aqui vai algumas.😉💰
#rendaextra #liberdadefinanceira #SalarioMinimo #Renda https://t.co/OuRaSS9RIc</t>
  </si>
  <si>
    <t>Como jogar Jogo do Tigre? 
🤑 Convite do Jogo do Tigre: ⬇️
 https://t.co/8eIl6tpK4H
1. Acesse o link
2. Cadastre-se
3. Realize depósito de R$20 por pix
4. Escolha o jogo Fortune Tiger
5. Escolha o valor da aposta no ( +/-) 
#pombabet #fortune #fortunetiger #rendaextra https://t.co/vXO9JOFvKx</t>
  </si>
  <si>
    <t>Se quiser Crescer Financeiramente assista Esse Gênio 🧠
#Rendaextra
#ganhardinheiro https://t.co/GqjnEIVCyM</t>
  </si>
  <si>
    <t>Esse Ebook de Fazer Dinheiro tá ajudando várias Pessoas, é Gratificante poder ajudar Vocês
#rendaextra
#comoganhardinheiro
#ganhardinheiro
#dinheiro https://t.co/AJ16muqNlU</t>
  </si>
  <si>
    <t>#Marketingdigital
#milionário
#rendaextra
#dinheiro
#trabalho
#empreendedorismo 
#tecnologiadigital 
#sucesso https://t.co/K2uLe7mdE0</t>
  </si>
  <si>
    <t>Segue o Pai 🫵🏽❤️‍🔥
#Rendaextra
#dinheiro 
#Trabalharemcasa
#MarketingDigital 
#fypシ 
#milionario https://t.co/NNmArpzw02</t>
  </si>
  <si>
    <t>Hoje foi incrível 💸❤️‍🔥
#mktdigital #rendaextra #viverdainternet #afiliados #eduzz #portugal #brasil https://t.co/YqnUYB0TJm</t>
  </si>
  <si>
    <t>- Invista em um bom treinamento;
- Aprenda e aplique,
- Se empenhe no processo, a prática leva a perfeição.
- Eu posso te ensinar o Método que Eu uso para ter meus resultados! Comente ai 'eu quero'
#rendaextra #dinheiroemcasa #viverdeinternet #mercadodigital #vendersemaparecer https://t.co/Z1JKZCrZ0R</t>
  </si>
  <si>
    <t>Se você está em busca de uma oportunidade, fazer renda extra em casa, ter liberdade financeira, eu posso te ajudar! 🚀❤️‍🔥
- Cometa aí ''eu quero'' 
#rendaextra #mktdigital #trabalharemcasa #dinheiro #mercadodigital</t>
  </si>
  <si>
    <t>Ótima oportunidade para quem quer uma renda extra, esse site uso há vários anos e recomendo. #rendaextra #renda #PayPalUSD #oportunidade #freecash @freecashcom 
https://t.co/U3SHqlrc2a</t>
  </si>
  <si>
    <t>Quer ganhar dinheiro extra? O Pinterest é uma excelente plataforma para promover seus produtos e serviços e aumentar suas vendas. Siga estas dicas para começar a ganhar dinheiro hoje mesmo! #Pinterest #RendaExtra #DicasParaNegócios
https://t.co/Joq0nPStUm https://t.co/73pIHZWxNi</t>
  </si>
  <si>
    <t>Comece agora mesmo e alcance a independência financeira!  
#RendaExtra #TrabalharEmCasa #GanharDinheiroEmCasa #Freelancer #VendasOnline #EducaçãoFinanceira" https://t.co/Y7c5fSwqXd</t>
  </si>
  <si>
    <t>"Quer aumentar sua renda mensal sem sair de casa? Confira essas 25 ideias comprovadas para ganhar dinheiro extra sem sair do conforto do seu lar. De vendas online a serviços de freelancer, descubra como transformar suas habilidades em oportunidades lucrativas.!   #RendaExtra https://t.co/ZToko8Jz3w</t>
  </si>
  <si>
    <t>"Descubra como aumentar seus ganhos usando o poder do Pinterest: dicas infalíveis para impulsionar seu negócio online!"
https://t.co/Joq0nPStUm
.
.
.
.
empreendedorismo #o #dinheiro #sucesso #empreender #marketing #rendaextraemcasa #hotmart #vendasonline #brasil #empreendedor https://t.co/dhuWzlToBU</t>
  </si>
  <si>
    <t>"Ganhe dinheiro extra com o Pinterest: descubra como transformar seus pins em renda passiva!"
https://t.co/Joq0nPStUm
.
.
.
.
#rendaextra #marketingdigital #empreendedorismo #o #dinheiro #sucesso #empreender #marketing #rendaextraemcasa #hotmart #vendasonline #brasil #empreend https://t.co/DdT9hOymdM</t>
  </si>
  <si>
    <t>Ganhe dinheiro extra com essas ideias criativas! Descubra como aumentar sua renda no conforto da sua casa. #rendaextra #trabalharemcasa #ideiascriativas"
https://t.co/Joq0nPStUm https://t.co/tyFuj9pABt</t>
  </si>
  <si>
    <t>Descubra como ganhar uma renda extra com o Pinterest! Confira nossas dicas e comece a ganhar dinheiro hoje mesmo! #rendaextra #pinteresttips #trabalharemcasa"
Clique no link abaixo 👇 
https://t.co/Joq0nPStUm https://t.co/RG90RLfItt</t>
  </si>
  <si>
    <t>Descubra como ganhar uma renda extra com o Pinterest! Confira nossas dicas e comece a ganhar dinheiro hoje mesmo! #rendaextra #pinteresttips #trabalharemcasa"
Clique no link abaixo 👇 
https://t.co/Joq0nPStUm https://t.co/wOOIKehbwD</t>
  </si>
  <si>
    <t>Descubra ideias lucrativas e inovadoras para ganhar uma renda extra com o Pinterest! Confira este guia completo e comece a faturar mais hoje mesmo. #RendaExtra #Pinterest #IdeiasLucrativas 
https://t.co/nF2EElUIFB https://t.co/O8gp3Mf6rC</t>
  </si>
  <si>
    <t>Aprenda como usar o Pinterest para aumentar sua renda com essas ideias incríveis! Confira agora mesmo e comece a ganhar dinheiro extra
https://t.co/nF2EElUIFB
. #RendaExtra #Pinterest #IdeiasIncríveis https://t.co/Ph7t4csalA</t>
  </si>
  <si>
    <t>Descubra ideias criativas e práticas para ganhar uma renda extra com o Pinterest! Confira esse guia completo e comece a lucrar hoje mesmo. 
https://t.co/ZXQGVfYEde
#RendaExtra #Pinterest #IdeiasCriativas https://t.co/mojUwBbIEC</t>
  </si>
  <si>
    <t>Descubra ideias lucrativas para ganhar dinheiro extra no Pinterest com este guia útil
https://t.co/BnPMHPUB3y
#Pinterest #RendaExtra #IdeiasLucrativas https://t.co/sCLo7B0uKi</t>
  </si>
  <si>
    <t>Pessoal esse novo App está pagando no Pix. Aproveitem. Link: https://t.co/FRKXLYTI8o
#rendaextra #dinheiro #Flamengo #rendaonline https://t.co/e0yYRe9lz2</t>
  </si>
  <si>
    <t>A internet hoje tem muitas oportunidades a quem procura meios para uma #rendaextra e àqueles que almejam um trabalho mais duradouro. O conteúdo a seguir traz à baila este tema e dá alguns caminhos a quem quer começar a ganhar dinheiro na web.
https://t.co/oNhQtjEiI5</t>
  </si>
  <si>
    <t>Conhece a Lucre+?
É a melhor plataforma de divulgação de links e cadastro de afiliados. Você pode ganhar comissões semanais, sem nenhum tipo de investimento.
#newpost #Brasil #homeoffice #rendaextra #Repost 
Acesso o link abaixo e faça o seu cadastro.
https://t.co/pBNlHC1NFA https://t.co/4rRnR8Stpy</t>
  </si>
  <si>
    <t>Conheça a LucreMais! Excelente oportunidade para ganhar uma RENDA EXTRA ou ter uma NOVA RENDA PRINCIPAL. 
 #rendaextra #homeoffice #Repost 
Acesse o link abaixo e conheça nossa plataforma. https://t.co/pBNlHC1NFA https://t.co/T96lAiPA3h</t>
  </si>
  <si>
    <t>Conheça a LucreMais! Você pode ganhar comissões semanais, sem nenhum tipo de investimento, fazendo apenas a divulgação do link que você escolher.
#rendaextra #homeoffice 
Acesse o link abaixo e conheça nossa plataforma. 
https://t.co/pBNlHC1NFA https://t.co/xSljbP6eZm</t>
  </si>
  <si>
    <t>Você já conhece a Lucre Mais? 🤩É a melhor plataforma de divulgação de links e cadastro de afiliados. Fazendo apenas a divulgação do links você pode ganhar comissões semanais💸 
#homeoffice #Brasil #Repost #rendaextra
Acesso o link e faça o seu cadastro.  https://t.co/pBNlHC1NFA https://t.co/cEgT6JRIaH</t>
  </si>
  <si>
    <t>link https://t.co/DOLKyuM3pm Aqui você encontrará uma variedade de cursos, dicas de renda extra, receitas deliciosas, estratégias de marketing digital, quadros inspiradores e muito mais. Junte-se a nós e descubra como transformar seus sonhos em realidade! #Cursos #RendaExtra</t>
  </si>
  <si>
    <t>#lifestyle #Motivacion #rendaextra #milionario https://t.co/0qdiOscnsC</t>
  </si>
  <si>
    <t>Ganhar 300 reais por dia é mais fácil do que você imagina, visto que o mercado digital tem uma remuneração bem melhor do que o mercado física.
Link pra ganhar em dólar: https://t.co/VaTKQru3AI
#Bbb23 #BBBAEliminacao #TeamAlface #PremierLeague #rendaextra https://t.co/Disy6a5tEv</t>
  </si>
  <si>
    <t>Essas empresas te paga em dólar, pra você trabalhar de casa, mesmo sem ter experiência ou faculdade, a única coisa que você precisa ter é um celular com internet.
link pra ganhar em dólar: https://t.co/VaTKQrtvLa
#rendaextra #vasco #flamengo #Lula #Fallas2023 https://t.co/ug9LNGpWbo</t>
  </si>
  <si>
    <t>Atualmente,é muito simples ganhar dinheiro na internet, usando somente o celular com acesso á internet. 
#rendaextra #vestibular #enem #Bbb23 https://t.co/VmEzxFtoE9</t>
  </si>
  <si>
    <t>Você pode ganhar 100 reais por dia trabalhando pra empresas estrangeiras, mesmo sem falar inglês. #dinheiro #rendaextra  #vasco #FLAxVAS  #PremierLeague https://t.co/LciffTcFQY</t>
  </si>
  <si>
    <t>Ganhar Dinheiro Produzindo Vídeos Para Youtube e TikTok https://t.co/38TEn5oDjw 
#rendaextra #trabalhoemcasa #oportunidades #ganhardinheiro #negócioonline #freelancer #dinheiroextra #empreendedorismo #trabalhandoemcasa #negóciopróprio #ganharlucro</t>
  </si>
  <si>
    <t>Como Vender Itens e Roupas Usadas Na Internet? https://t.co/SH2Z1zlR5O 
#rendaextra #trabalhoemcasa #oportunidades #ganhardinheiro #negócioonline #freelancer #dinheiroextra #empreendedorismo #trabalhandoemcasa #negóciopróprio #ganharlucro</t>
  </si>
  <si>
    <t>Faça renda extra como assistente virtual https://t.co/vA8vDaE0lo 
#rendaextra #trabalhoemcasa #oportunidades #ganhardinheiro #negócioonline #freelancer #dinheiroextra #empreendedorismo #trabalhandoemcasa #negóciopróprio #ganharlucro</t>
  </si>
  <si>
    <t>Como Ganhar Dinheiro Na Internet Dando Aulas Particulares? https://t.co/U4mWMMAoxa 
#rendaextra #trabalhoemcasa #oportunidades #ganhardinheiro #negócioonline #freelancer #dinheiroextra #empreendedorismo #trabalhandoemcasa #negóciopróprio #ganharlucro</t>
  </si>
  <si>
    <t>Como Ganhar Dinheiro Respondendo pesquisas Remuneradas? https://t.co/X5cP9R9xpV 
#rendaextra #trabalhoemcasa #oportunidades #ganhardinheiro #negócioonline #freelancer #dinheiroextra #empreendedorismo #trabalhandoemcasa #negóciopróprio #ganharlucro</t>
  </si>
  <si>
    <t>Ganhe Dinheiro Atuando No Gerenciamento De Blogs! https://t.co/tRfUvJpsB0 
#rendaextra #trabalhoemcasa #oportunidades #ganhardinheiro #negócioonline #freelancer #dinheiroextra #empreendedorismo #trabalhandoemcasa #negóciopróprio #ganharlucro</t>
  </si>
  <si>
    <t>Como Ganhar Dinheiro Com Dropshipping? https://t.co/ZPDKSwNGBE 
#rendaextra #trabalhoemcasa #oportunidades #ganhardinheiro #negócioonline #freelancer #dinheiroextra #empreendedorismo #trabalhandoemcasa #negóciopróprio #ganharlucro</t>
  </si>
  <si>
    <t>Ganhe Dinheiro Investindo no Trafego Pago https://t.co/UnvO0pCFqm 
#rendaextra #trabalhoemcasa #oportunidades #ganhardinheiro #negócioonline #freelancer #dinheiroextra #empreendedorismo #trabalhandoemcasa #negóciopróprio #ganharlucro</t>
  </si>
  <si>
    <t>Como Ganhar Uma Renda Extra Com Loja Virtual! https://t.co/eaHZpbu59d 
#rendaextra #trabalhoemcasa #oportunidades #ganhardinheiro #negócioonline #freelancer #dinheiroextra #empreendedorismo #trabalhandoemcasa #negóciopróprio #ganharlucro</t>
  </si>
  <si>
    <t>Trabalhe Prestando Consultoria Online! https://t.co/FimE4yC0fV 
#rendaextra #trabalhoemcasa #oportunidades #ganhardinheiro #negócioonline #freelancer #dinheiroextra #empreendedorismo #trabalhandoemcasa #negóciopróprio #ganharlucro</t>
  </si>
  <si>
    <t>Como atuar como freelancer de Marketing Digital? https://t.co/rDUHzAR3ex 
#rendaextra #trabalhoemcasa #oportunidades #ganhardinheiro #negócioonline #freelancer #dinheiroextra #empreendedorismo #trabalhandoemcasa #negóciopróprio #ganharlucro</t>
  </si>
  <si>
    <t>COMO SE TORNAR UM AFILIADO DE PRODUTOS DIGITAIS? https://t.co/GiOuCIhKqD 
#rendaextra #trabalhoemcasa #oportunidades #ganhardinheiro #negócioonline #freelancer #dinheiroextra #empreendedorismo #trabalhandoemcasa #negóciopróprio #ganharlucro</t>
  </si>
  <si>
    <t>Descubra 33 maneiras de ganhar dinheiro em 2023 e aumentar sua renda! https://t.co/TsCAtjLVQ9 
#rendaextra #trabalhoemcasa #oportunidades #ganhardinheiro #negócioonline #freelancer #dinheiroextra #empreendedorismo #trabalhandoemcasa #negóciopróprio #ganharlucro</t>
  </si>
  <si>
    <t>8 FORMAS DIFERENTES DE GANHAR DINHEIRO TRABALHANDO NA INTERNET (2023) https://t.co/plvx7aiNvH 
#rendaextra #trabalhoemcasa #oportunidades #ganhardinheiro #negócioonline #freelancer #dinheiroextra #empreendedorismo #trabalhandoemcasa #negóciopróprio #ganharlucro</t>
  </si>
  <si>
    <t>Como Funciona a Hotmart e como vender seu produto online? https://t.co/wBMJrn95R2 
#rendaextra #trabalhoemcasa #oportunidades #ganhardinheiro #negócioonline #freelancer #dinheiroextra #empreendedorismo #trabalhandoemcasa #negóciopróprio #ganharlucro #independênciafinanceira</t>
  </si>
  <si>
    <t>5 Formas Diferentes de Ganhar Dinheiro na Sprout Gigs - De 600 Até 5MIL POR MÊS na Sproutgigs https://t.co/AbkSA2jTcL 
#rendaextra #trabalhoemcasa #oportunidades #ganhardinheiro #negócioonline #freelancer #dinheiroextra #empreendedorismo #trabalhandoemcasa #negóciopróprio</t>
  </si>
  <si>
    <t>Já Parou Para Pensar Quantas Tarefas Você Pode Fazer no Seu Primeiro Dia Na Sproutgigs? https://t.co/GLueJABHOn 
#rendaextra #trabalhoemcasa #oportunidades #ganhardinheiro #negócioonline #freelancer #dinheiroextra #empreendedorismo #trabalhandoemcasa #negóciopróprio #ganharlucro</t>
  </si>
  <si>
    <t>Nova Plataforma de Microtarefas! - Mais de 2 Mil Tarefas disponíveis (Renda Extra Ainda Hoje) 
https://t.co/zSgVJjJFPj 
#rendaextra #trabalhoemcasa #oportunidades #ganhardinheiro #negócioonline #freelancer #dinheiroextra #empreendedorismo #trabalhandoemcasa #negóciopróprio</t>
  </si>
  <si>
    <t>Vem lucra com apenas 3.00 🚀🙏 https://t.co/fni4GR1Z2u #joguinhodasorte #lucraemcasa #rendaextra https://t.co/ipZZsI71RL</t>
  </si>
  <si>
    <t>Ser rico no brasil basta seguir esse perfil ....
#SERRICO #rico #MONEY #ElonMusk #benbvolliefde #GranHermanoChile #dinheiro #renda #rendaextra #viral #viralvideo #viralindo https://t.co/8cJDFTMliy</t>
  </si>
  <si>
    <t>Hoje o trabalhador que ganha um salário mínimo, ganha por hora 43,40, eu faço em um dia R$1.000 trabalhando em casa sem pegar trânsito e me estressar. Saber mais Link na bio #rendaextra #oportunidades https://t.co/SZUr6BW3qO</t>
  </si>
  <si>
    <t>Conheça a minha história no mercado digital https://t.co/X1Kusz9G7k
#rendaextra #rendaextraemcasa #rendaextraonline</t>
  </si>
  <si>
    <t>🔴Como Ganhar dinheiro fazendo Renda extra em 2023📣 #shorts https://t.co/GzX1Md9W62 via @YouTube #rendaextra #empreender #afiliado</t>
  </si>
  <si>
    <t>Muita mulher pensa que é impossível trabalhar on-line (e ganhar dinheiro) e fazer as tarefas domésticas do dia a dia. Meu segredo foi estipular horários. #trabalhoemcasa #rendaextraemcasa #rendaextra #dinheiro #marketingdigital #marketingdigitalbrasil https://t.co/XGGp4mgQ9u</t>
  </si>
  <si>
    <t>🚀 Como ganhar de R$2.000 a R$5.000 (ou mais) por mês vendendo Placas Pix na rua? É uma fonte de renda incrível e uma chance de desenvolver habilidades essenciais em vendas. Siga esta thread para saber mais! 💰 #VendaPlacasPix #RendaExtra https://t.co/Gx3u1pSMiD</t>
  </si>
  <si>
    <t>E eu que já ganhei 1.700 esse mês vendendo um produto muitooo legal  de apenas 10 reais na internet? 🥹🫶🏼 
E tenho afiliadas vendendo o MEU PRODUTO e lucrando muito tbm 😍 EU AMO MUITO TUDO ISSO! #rendaextra #marketingdeafiliados #packpng</t>
  </si>
  <si>
    <t>mulheres comuns está recebendo pix de velhos ricos apenas para conversar
Mulheres assistindo esse vídeo nesse exato momento
https://t.co/aP2PeV0AN9
#pix #rendaextra #produtodigital #publicidade #CortaPorLozano</t>
  </si>
  <si>
    <t>Criei uma página no Instagram para divulgar cursos que servem como renda extra. Cursos como Marketing Digital, Designer Gráfico e outros.
Deem uma ajuda lá!! Divulguei por enquanto 3 produtos!
#Marketing #Rendaextra #cursos #Negocios
https://t.co/GbblCLGjAg https://t.co/dsoBv70Jaw</t>
  </si>
  <si>
    <t>Parem de perder dinheiro em anos com taxas de Juros de 13,75% ao ano, por favor!
O valor investido dobra em 6 anos com o risco de 0,0000001%!!
Valor investido: R$1.000 
Taxa: 13.75%
6 anos ou 72 meses = R$1991,34 (Liquido)
#rendaextra 
#dinheirotrabalhando
#ganhedinheiro</t>
  </si>
  <si>
    <t>Aumente sua renda! Participe de pesquisas remuneradas da Pagazani e ganhe a partir de $10 no Paypal. 
Cadastre-se ➡️ https://t.co/Vn6IoZAOtz 
Não perca essa oportunidade! 💸 #RendaExtra #PesquisasRemuneradas #Pagazani https://t.co/5TTFTWiPxk</t>
  </si>
  <si>
    <t>Bora começar 2023 estourando na renda extra ? Ano passado larguei o medo que tinha e comecei um novo curso e que me arrependo de não ter começado antes. Me chama que te explico. https://t.co/Aqzy1KofFL
#Rendaextra #Dinheiro #Viagem #Preciso</t>
  </si>
  <si>
    <t>Assista as notícias diárias e faça as tarefas para ter um bônus de renda extra.
#noticias #rendaextra #kwai @KwaiBrasil https://t.co/f9R3RheTPw</t>
  </si>
  <si>
    <t>O que você acha de responder pesquisas pelo celular e ganhar recompensas por isso? Descobri que no MeSeems isso é possível. Cadastre-se pelo meu link que você já começa ganhando 50 pontos! https://t.co/qIGIanB7Ib
#RendaExtra</t>
  </si>
  <si>
    <t>Bom dia! Estamos quase chegando ao fim do mêsde março, gente sinto o tempo passando muito rápido, então vaomos tentar ao máximo não deixar para amanhã os seus desejos e sonhos, comece hoje mesmo. 
#Trabalhandoemcasa
#empreendedorismo 
#MarketingDigital 
#rendaextra</t>
  </si>
  <si>
    <t>Dica do dia, busque por mais uma fonte de renda, não se limite somente em um  ganho fixo( salário mensal), quer saber mais me chama aqui.
Mais dicas a qualquer momento.
#MarketingDigital
#rendaextra 
#trabalharemcasa 
#maeempreendedora</t>
  </si>
  <si>
    <t>Então é sábado 25de março de 2023, ainda da tempo de querer algo melhor para nossas vida!
#MarketingDigital
#mulheresdesucesso
#rendaextra</t>
  </si>
  <si>
    <t>esta desanimado, em casa sem fazer nada? estão não perca mais tempo e corre ganhar um dinheiro do conforto da sua casa! fazendo exatamente nada! chama que eu explico mais!       #rendaextra</t>
  </si>
  <si>
    <t>Terceiro saque do mês pra finalizar junho 💸 #rendaextra  https://t.co/MHUfUUKUWx https://t.co/nrpWFFldjn</t>
  </si>
  <si>
    <t>#ondecomprar
#rendaextra
Confere essa oportunidade imperdível quem nunca sonhou em ser seu próprio patrão corre confere aq. 
https://t.co/PtEUJs9UcQ</t>
  </si>
  <si>
    <t>#rendaextra #MarketingDigital #ปังชา #Boanoite #nigth #Motivacion https://t.co/jaGDDcHq4Y</t>
  </si>
  <si>
    <t>https://t.co/oBftr0t7Js
#viralvideo #rendaextra #Florida #jjk234 #snapchat #ปังชา #vunzigewoensdag #paofc #jjk234 #TwitterX https://t.co/TeguywODLy</t>
  </si>
  <si>
    <t>#foco #constancia #rendaextra #Marketing #ปังชา #brasileira #ChampionsLeague #Florida #Setembro https://t.co/RqTQEvawJa</t>
  </si>
  <si>
    <t>#ปังชา #OnePieceNetflix #JawanAdvanceBooking #Marketing
#rendaextra #MarketingDigital
#metodo #TSTheErasTourFilm
https://t.co/HwrqCFWjk6 https://t.co/ymDAxpK1YD</t>
  </si>
  <si>
    <t>#viralvideo #snapchat #Florida
#jjk234 #rendaextra #paofc #MarketingSuccess #abaya
#Florida #حادث_الفاشينستا
https://t.co/oBftr0t7Js</t>
  </si>
  <si>
    <t>Aumente seus ganhos e conquiste uma estabilidade financeira com esse Ebook Descubra estratégias práticas e inovadoras para uma renda extra lucrativa. Não perca essa oportunidade! Adquira agora:https://t.co/4WgzNce89y 
#RendaExtra #SucessoFinanceiro</t>
  </si>
  <si>
    <t>💸💰MÉTODO BURLADOR QUE MULTIPLICA SEU DINHIRO EM 10X !!!!  100%seguro e fácil 
#PIX  
pix voltou 
.
.
.
#pix 
#dinheirofacil
#rendaextra
#mypix https://t.co/3fWB3ZJaMP</t>
  </si>
  <si>
    <t>💸💰MÉTODO BURLADOR QUE MULTIPLICA SEU DINHIRO EM 10X !!!!  100%seguro e fácil 
.
.
.
#pix 
#dinheirofacil
#rendaextra
#mypix https://t.co/ytP6JoZ9zy</t>
  </si>
  <si>
    <t>#rendaextra #liberdadefinanceira #trabalhardecasa #semaparecer #mulheres 
https://t.co/N1L1aKT1dl https://t.co/gjpFCwhly9</t>
  </si>
  <si>
    <t>Fazendo grana! 💸
Chamaaaa que eu ensino todos! 
#rendaextra #MarketingDigital #homeoffice #vendasonline #empreenderonline https://t.co/XSjBjovs5E</t>
  </si>
  <si>
    <t>My First Youtube Banner Create
#marketingdigital #marketing #empreendedorismo #digitalmarketing #socialmedia #instagram #business #branding #socialmediamarketing #sucesso #marketingstrategy #empreender  #marketingtips #marketingonline #digital #design #rendaextra #emprendedores https://t.co/UNvqlfUQQ0</t>
  </si>
  <si>
    <t>#ganhe #dolar #rendaextra https://t.co/0T3MPlpxdD</t>
  </si>
  <si>
    <t>Conheça o Poppo Live, ganhe em dólar, divirta-se e faça boas amizades. Sem precisar investir. #Dollar #LIVE #ganhedollar #rendaextra https://t.co/rfmwrq3QBr</t>
  </si>
  <si>
    <t>Compre pelo whatsapp: (19) 99872-1447
#semijoias #chocker #colaresfemininos #rendaextra #emprendedoras #revendedoras #sucesso #semijoiatendencia https://t.co/o5IKx3FZWF</t>
  </si>
  <si>
    <t>Semijoias sofisticadas que dão um toque de elegância em qualquer look.
Compre pelo whatsapp: (19) 99872-1447
#semijoias #colaresfemininos #rendaextra #emprendedoras #revendedoras #sucesso #semijoiatendencia https://t.co/W0mZiJqjCy</t>
  </si>
  <si>
    <t>Semijoia sofisticadas que dão um toque de elegância em qualquer look.
Compre pelo whatsapp: (19) 99872-1447
#semijoias #chocker #colaresfemininos #rendaextra #emprendedoras #revendedoras #sucesso #semijoiatendencia https://t.co/NLyf95pGdH</t>
  </si>
  <si>
    <t>Semijoias sofisticadas que dão um toque de elegância em qualquer look.
Compre pelo whatsapp: (19) 99872-1447
#semijoias  #rendaextra #emprendedoras #revendedoras #sucesso #semijoiatendencia https://t.co/jBXS5NDxWS</t>
  </si>
  <si>
    <t>Semijoias sofisticadas que dão um toque de elegância em qualquer look.
Compre pelo whatsapp: (19) 99872-1447
#semijoias #chocker #colaresfemininos #rendaextra #emprendedoras #revendedoras #sucesso #semijoiatendencia https://t.co/lfNd7p4Wy7</t>
  </si>
  <si>
    <t>Semijoias sofisticadas que dão um toque de elegância em qualquer look.
Compre pelo whatsapp: (19) 99872-1447
#semijoias #chocker #colaresfemininos #rendaextra #emprendedoras #revendedoras #sucesso #semijoiatendencia https://t.co/fBq7oPuU5d</t>
  </si>
  <si>
    <t>Peças sofisticadas que dão um toque de elegância em qualquer look.
Compre pelo whatsapp: (19) 99872-1447
#semijoias #chocker #colaresfemininos #rendaextra #emprendedoras #revendedoras #sucesso #semijoiatendencia https://t.co/gj9rG3DDro</t>
  </si>
  <si>
    <t>Peças sofisticadas que dão um toque de elegância em qualquer look.
Compre pelo whatsapp: (19) 99872-1447
#semijoias #chocker #colaresfemininos #rendaextra #emprendedoras #revendedoras #sucesso #semijoiatendencia https://t.co/ae3juwQKeB</t>
  </si>
  <si>
    <t>Peças sofisticadas que dão um toque de elegância em qualquer look.
Compre pelo whatsapp: (19) 99872-1447
#semijoias #chocker #colaresfemininos #rendaextra #emprendedoras #revendedoras #sucesso #semijoiatendencia https://t.co/hmQOsW4RWX</t>
  </si>
  <si>
    <t>Peças sofisticadas que dão um toque de elegância em qualquer look.
Compre pelo whatsapp: (19) 99872-1447
#semijoias #chocker #colaresfemininos #rendaextra #emprendedoras #revendedoras #sucesso #semijoiatendencia https://t.co/XpKaOOk9ze</t>
  </si>
  <si>
    <t>Peças sofisticadas que dão um toque de elegância em qualquer look.
Compre pelo whatsapp: (19) 99872-1447
#semijoias #chocker #colaresfemininos #rendaextra #emprendedoras #revendedoras #sucesso #semijoiatendencia https://t.co/KFdU5MRHwK</t>
  </si>
  <si>
    <t>Peças sofisticadas que dão um toque de elegância em qualquer look.
Compre pelo whatsapp: (19) 99872-1447
#semijoias #chocker #colaresfemininos #rendaextra #emprendedoras #revendedoras #sucesso #semijoiatendencia https://t.co/UG30HZXJOZ</t>
  </si>
  <si>
    <t>Compre pelo whatsapp: (19) 99872-1447
#semijoias #chocker #colaresfemininos #rendaextra #emprendedoras #revendedoras  #semijoiatendencia https://t.co/FWpEQvZo2R</t>
  </si>
  <si>
    <t>Compre pelo whatsapp: (19) 99872-1447
#semijoias #chocker #colaresfemininos #rendaextra #emprendedoras #revendedoras https://t.co/t7snOpcRUB</t>
  </si>
  <si>
    <t>Compre pelo whatsapp: (19) 99872-1447
#semijoias #chocker #colaresfemininos #rendaextra #emprendedoras #revendedoras #semijoiatendencia https://t.co/ohDbduALcg</t>
  </si>
  <si>
    <t>Compre pelo whatsapp: (19) 99872-1447
#semijoias #chocker #colaresfemininos #rendaextra #emprendedoras   #semijoiatendencia https://t.co/wwC9rDcCNJ</t>
  </si>
  <si>
    <t>📍Procuro quem queira trabalhar em casa. Nova profissão!
Comente eu quero
#rendaextra #novaprofissao #facadinheiro</t>
  </si>
  <si>
    <t>As últimas notícias! Traders, estas notícias podem ajudá-lo a julgar o mercado financeiro！
Download 📲 GTEX: https://t.co/h955ezgBGo
Como trade na GTEX👨‍💻: https://t.co/tUWdvGvptQ
#gtex #rendaextra #trade #BTC #Bitcoin # https://t.co/h2clyzi6Ts</t>
  </si>
  <si>
    <t>【Estratégia】 Semanal!
📆27/05/2023-02/06/2023 
🏆PEPPERSTONE: Broker of the year 2022 ➕0️⃣ imposto
🤑levou a equipe a ganhar $ 4.260 
🥇Taxa de vitória é de 69,09%
📊Máximo Drawdown é de 1,35%
📈Taxa de lucro dé de 3,05%.
#bitcoin #GTEX #rendaextra #trade #dinheiro https://t.co/RcsjQb6Yzc</t>
  </si>
  <si>
    <t>Recomende o #BEEFUND para seus amigos, ganhe comissão de 8% a 17% e obtenha renda passiva todos os dias!
👉🔗https://t.co/M8nym2Y88B
#rendaextra #USDT #investimento #viverderenda https://t.co/cVXy72lDma</t>
  </si>
  <si>
    <t>【Estratégia】 Semanal!
📆01/09/2023-08/09/2023
🏆Endre Wilson: Gerente Sênior de Investimentos 
🤑levou a equipe a ganhar $ 3.300
🥇Taxa de vitória é de 67,28%
📊Máximo Drawdown é de 15,92%
📈Taxa de lucro 5,61%
📱https://t.co/M8nym2YFY9
#rendaextra #USDT #dinheiro #beefund https://t.co/tzq7rjcQbJ</t>
  </si>
  <si>
    <t>📆11/09/2023-17/09/2023
🏆Endre Wilson: Gerente Sênior de Investimentos
🤑levou a equipe a ganhar $ 4.635
🥇Taxa de vitória é de 67,35%
📊Máximo Drawdown é de 15,92%
📈Taxa de lucro dé de 5,57%
👉📱https://t.co/M8nym2YFY9
#beefund #rendaextra #ganhardinheiro #Investimento https://t.co/y8ym81K7DK</t>
  </si>
  <si>
    <t>"Ganhe agora o que você mais precisa💸🔥💸🔥Você apenas precisa clicar aqui é convidar alguns amigos🤑🔥🤑Não perca essa oportunidade!corre lá!🤑💸🔥💸#rendaextra #pobre
#dinheiro
#money
#TheFlash
#anitta
💸 https://t.co/0kyeQmZ01s  💸</t>
  </si>
  <si>
    <t>Um Verdadeiro MESTRE PIZZAIOLO nasce PRONTO? https://t.co/nadZNJq8F8 via @YouTube 
MOSTRAR MENOS
#shorts #pizza #pizzaiolo #oportunidade #oportunidades #negocios #negocio #negócios #negociosonline #rendaextra #rendaextraonline #rendaextraemcasa #negóciopróprio #negocioproprio</t>
  </si>
  <si>
    <t>Quem quer?
#rendaextra #marketingdigital #ganhardinheiro #BRImoFSTVL #Trending #FelizSabado https://t.co/9YVD8jvJqY</t>
  </si>
  <si>
    <t>Participe do nosso grupo de WhatsApp e tire suas dúvidas 😉👍 https://t.co/EkPKCKVeqa
#rendaextra  #liberdadefinanceira https://t.co/LvErzXD42m</t>
  </si>
  <si>
    <t>Descubra como fazer e lucrar até R$3 mil reais por mês com Brigadeiros Gourmet.🤑
Para mais Informações ⤵️⤵️⤵️
https://t.co/Nqy7XPmyrC
https://t.co/jLlxDS2Frq
#fontederenda #vendas #brigadeirogourmet #sejaumamaquinadevendas #rendaextra https://t.co/GYKZ6qFgex</t>
  </si>
  <si>
    <t>O efeito bola de neve dos JUROS COMPOSTOS ⚪❄️💰
 #FIIS #rendapassiva #juroscompostos #rendaextra💰 https://t.co/CjAsGsIqcp</t>
  </si>
  <si>
    <t>Se você ainda não investe pode ter certeza que futuramente você vai se arrepender! PODE PRINTAR ✍️
.
#fiis #fundosimobilarios #rendapassiva #rendaextra https://t.co/9GUIlCFeA1</t>
  </si>
  <si>
    <t>#dinheiro #o #empreendedorismo #sucesso #marketingdigital #rendaextra #a #empreender #brasil #marketing #investimento #foco #empreendedor
https://t.co/Q7otl9fe3n</t>
  </si>
  <si>
    <t>Vamos voar e fazer grandes números com o SPACEMAN. 🚀
Vem pro Lendas Bet curtir esse e milhares de jogos no nosso CASSINO. 😂
.
.
cassino #apostas #spaceman #robozinho #saladesinais #rendaextra #rendaextraemcasa #blaze #robozinhodablaze #apostaonline #bet365 https://t.co/BNZr2rBmZy</t>
  </si>
  <si>
    <t>BUG DO FORTUNE TIGER – TESTEI ROBÔ GRATÍS E ISSO ACONTECEU – ESTRATÉGIA ... https://t.co/g31UKG5xDv via @YouTube 
#rendaextra #fortunetiger #bugfortunetiger #estratégiafortunetiger</t>
  </si>
  <si>
    <t>#mercadodigital #trabalho #maes #trabalhocomcelular #bbb23 #rendaextra</t>
  </si>
  <si>
    <t>Uma das melhores formas de construir fortuna e liberdade financeira de forma acelerada, note que isto não é uma promessa de dinheiro fácil ok, existe um trabalho a ser feito, porém, todos conseguem....
#dinheiro #rendaextra #liberdadefinanceira #sucessofinanceiro #sonhos https://t.co/XePzJZvOaM</t>
  </si>
  <si>
    <t>Concorda ? #rendaextra #reflexao #motivacao #mindset https://t.co/hJwNzqgYwY</t>
  </si>
  <si>
    <t>Concorda ? #rendaextra #reflexao #motivacao #mindset https://t.co/3inpEtvFXd</t>
  </si>
  <si>
    <t>Concorda ? #rendaextra #reflexao #motivacao #mindset https://t.co/YTZ2TBjrDL</t>
  </si>
  <si>
    <t>Melhor curso para aprender ser afiliado e lucrar muito. https://t.co/i0QJP362RD
#trabalhoemcasa
#rendaextra
#afiliadadesucesso  cu</t>
  </si>
  <si>
    <t>Amo ganhar comissões como afiliada.
Sou mãe, esposa, dona de casa e trabalho quando eu quero, ganho um bom dinheiro como afiliada.
#trabalhoemcasa
#rendaextra
#afiliadadesucesso</t>
  </si>
  <si>
    <t>Você que está procurando renda extra, trabalhar em casa, como afilhado, vou deixar o link do melhor treinamento que eu fiz , https://t.co/i0QJP362RD 
#trabalharemcasa #afilhadodigital  #treinamento #digitalaffiliate #rendaextra #beyuorboss</t>
  </si>
  <si>
    <t>Um pouquinho sobre o melhor e-book do mercado digital! Pra quem quer iniciar investindo pouquíssimo e mesmo assim ter resultados incríveis! 🔥🚀 
#marketingdigital #vendas #negocios #empreender #dinheiro #publicidad #onlinemarketing  #content #empreendedor #rendaextra #beyourboss https://t.co/KbsDw3TQTX</t>
  </si>
  <si>
    <t>Se você é um investidor de #criptomoedas…
Chegou sua oportunidade de usar uma renda extra para aumentar seus lucros em cripto.
 Junte-se a live de amanhã às 20h no YouTube e comece a maximizar seus ganhos agora mesmo!"
#rendaextra #cripto 
https://t.co/1wXxEdU0iq https://t.co/bMYoXvYiPD</t>
  </si>
  <si>
    <t>Invista no marketing digital 💜 
#MarketingDigital #afiliada #rendaextra https://t.co/QEeJ5jZCfU</t>
  </si>
  <si>
    <t>#rendaextra #mktdigital #mktdeafiliados #motivacional #amorproprio #autocuidado</t>
  </si>
  <si>
    <t>Precisando de uma ajudinha no seu orçamento?
Conheça o AmigosLeft, o programa de vendas do Leftbank.
Acesso nosso site e preencha o pré-cadastro
https://t.co/wo7KTV5I2h
#BancoDigital #AmigosLeft #RendaExtra #Orçamento https://t.co/tz9VedzPYc</t>
  </si>
  <si>
    <t>Já pensou em ganhar dinheiro curtindo fotos no Instagram? AGORA ISSO É POSSÍVEL
se cadastre no link abaixo e comece agora mesmo!
https://t.co/ryyvMlIe5X
#rendaextra</t>
  </si>
  <si>
    <t>GANHE DINHEIRO sem sair de casa apenas CURTINDO fotos do Instagram!
https://t.co/7cbgWuM16w
#rendaextra #dinheiro #MarketingDigital</t>
  </si>
  <si>
    <t>COMENTA "EU QUERO" QUE TE ENSINO
#rendaextraemcasa #rendaextra #renda #rendaonline #ganhardinheironainternet #ganhardinheiroextra #ganhardinheiroonline #ganhardinheiroonline #sdvbrasileiros
https://t.co/EltvshxPdX</t>
  </si>
  <si>
    <t>só correr atrás do objetivo que dá certo fml🚀💵
#MarketingDigital #plr #rendaextra #dinheiro #Palmeiras #Pedroguilherme https://t.co/2ojt57tcoc</t>
  </si>
  <si>
    <t>Agora se você gastar mais, por exemplo R$ 500 por mês…
Você teria no final do ano 30 mil milhas…
Daria para ir à Cartagena…
#uber #viagens #rendaextra #milhas #rendaextraemcasa https://t.co/qWfBeE76V7</t>
  </si>
  <si>
    <t>É mais simples do que você imagina e qualquer pessoa consegue aplicar isso!
#rendaextraemcasa #investimentos https://t.co/zxysQJp4fE</t>
  </si>
  <si>
    <t>Gastar é bom mas receber até 40% do gasto de volta é melhor ainda, concorda?
#rendaextra #comprasonline #milhas https://t.co/h0kDm64a9H</t>
  </si>
  <si>
    <t>Já ficou confuso na hora de transferir os seus pontos? 
Então se liga para nunca mais errar!
Transferência são sempre dos programas de fidelidade dos BANCOS para os programas de fidelidade das Companhias Aéreas
#milhas #rendaextra #viagem #pontos #investimentos https://t.co/nC6yrysoyA</t>
  </si>
  <si>
    <t>Se chocolate branco é chocolate eu não sei
Mas sei que se você tem um cartão Nubank você pode ganhar um ovo de Páscoa Havanna de Graça!
Segue para entender 
#pascoa #chocolate #cartaodecredito #rendaextra #milhas #nubank https://t.co/z42H4TDp2e</t>
  </si>
  <si>
    <t>Na sequência realizei a venda das 300 mil milhas por uma plataforma de intermediação…
Obtendo um lucro de 900 reais (para receber em 90 dias o valor)
40% de lucro sobre o valor investido.
Nada mal né!?
#rendaextra #milhas #rendaonline #cartao https://t.co/35kbEN3Rsu</t>
  </si>
  <si>
    <t>No mesmo dia estava rolando um promoção de transferência bonificada (40%) para a Latam Pass..
No total fiquei com 301 mil milhas Latam…
#milhas #rendaextra #credito https://t.co/ALIBAFwAXy</t>
  </si>
  <si>
    <t>Com o limite do meu cartão de credito aproveitei uma promoção da Esfera e comprei 215 mil pontos com 50% de desconto….
Parcelados em 10x sem juros.
#rendaextra #milhas #dinheiro https://t.co/ciuzLh8Ukz</t>
  </si>
  <si>
    <t>Semana passada eu fiz 900 reais de lucro em poucos cliques com meu celular.
Você e qualquer pessoa poderia ter feito o mesmo…
#rendaextra #milhas #cartao #rendaonline</t>
  </si>
  <si>
    <t>Até a justiça atrás das milhas aéreas e você aí ainda deixando a suas expirarem…
#milhasaereas #viagens #rendaextraemcasa #dinheiroextra #cartaodecredito https://t.co/Fw4Mp5GHHc</t>
  </si>
  <si>
    <t>A 14 amos atrás Geise Arruda era expulsa da faculdade por usar um vestido curto
E isso tem tudo a ver com você e sua vida…
Segue o fio 🧶
#rendaextra #cartoes #milhas https://t.co/1ncbdPHqAi</t>
  </si>
  <si>
    <t>Hoje fui no mercado buscar a picanha que o 🦑 prometeu…
Mais conhecido como Miojo sabor picanha (ou também metáfora da picanha)
Mas estava em falta…
Segue para entender…
#rendaextra #Politica #churrasco #comida #dinheiroextra https://t.co/Rhyc8XDkBl</t>
  </si>
  <si>
    <t>Tem conta no C6 bank?
Você prefere a praticidade dos bancos digitais mesmo com certa insegurança ou a burocracia dos “bancões” e sua solidez? 👇🏼
#cartaodecredito #rendaextraemcasa #milhas #dinheiro https://t.co/B57jW5mF1H</t>
  </si>
  <si>
    <t>Eu já cai em pirâmide e você?
Enquanto algumas coisas não mudarem isso vai continuar acontecendo…
Segue para entender…
#finanças #rendaextra #milhas #bolsadevalores #dinheiroextra https://t.co/IyP3gatkLH</t>
  </si>
  <si>
    <t>Você sabe usar Milhas?
Ontem no BBB a Sarah ganhou 1 milhão de pontos da Latam…
Mas afinal o que fazer com esses pontos e quanto valem?
Segue o 🧶
#milhas #viagem #rendaextra https://t.co/GK82VEzjiU</t>
  </si>
  <si>
    <t>[Revelado] Como fazer uma Renda Extra online - Usando apenas o seu cartã... https://t.co/gDdO2meoTt via @YouTube
#rendaextraemcasa #milhas #dinheiroextra #pontos #cartaodecredito</t>
  </si>
  <si>
    <t>Vídeo novo no canal pra quem ta começando no mundo das milhas!
[Descubra] Milhas Aéreas como funciona - Guia completo para iniciantes https://t.co/APJ53ZGUle via @YouTube
#rendaextra #milhas #viagem #milhasaereas #cartao #pontos #viagemcommilhas</t>
  </si>
  <si>
    <t>VENHA FAZER PARTE DO TIME DA PLIMBET LUCRE NO AUTOMÁTICO 🤖💰
SE CADASTRA AQUI - https://t.co/H6AUgUu7Yh
TIRE SUAS DÚVIDAS - https://t.co/hueuMYbzjB
SIGA NO INSTAGRAM - https://t.co/mS4uM9ic7F
#CasaDaChampions #ChampionsLeague #RendaExtra https://t.co/KLE5cTaMVF</t>
  </si>
  <si>
    <t>COMO UTILIZAR AS LICENÇAS DO PLIMBOT DEPOSITADO NA CONTA 
ADQUIRE AQUI - https://t.co/H6AUgUu7Yh
TIRE SUAS DÚVIDAS -  https://t.co/hueuMYbzjB
Siga no Instagram - https://t.co/mS4uM9ic7F
#futebol #Betfair #afiliado #rendaextra #dinheiro https://t.co/oQCIHHzNxb</t>
  </si>
  <si>
    <t>COMO SE CADASTRAR E ABRIR SUA CONTA NA PLIMBET
LUCRE NO AUTOMÁTICO - https://t.co/H6AUgUu7Yh
TIRE SUAS DÚVIDAS - https://t.co/hueuMYbzjB
SIGA NO INSTAGRAM - https://t.co/mS4uM9ic7F
#futebol #futebolbrasil #futebol⚽ #Betfair #rendaextra #renda #afiliado https://t.co/RDzGN20TrQ</t>
  </si>
  <si>
    <t>#ApostasEsportivas #RendaExtra #Afiliados #Investimentos #TraderEsportivo #GanharDinheiro #ApostasOnline #MarketingDeAfiliados #ApostasFutebol #GanharDinheiroOnline https://t.co/BndZ2So6aR</t>
  </si>
  <si>
    <t>#ApostasEsportivas
#RendaExtra
#Afiliados
#Investimentos
#TraderEsportivo
#GanharDinheiro
#ApostasOnline
#MarketingDeAfiliados
#ApostasFutebol
#GanharDinheiroOnline https://t.co/cGaXA4dcIp</t>
  </si>
  <si>
    <t>Operações desta quarta feira 💸🔥🏆 
Se cadastre-se aqui - https://t.co/H6AUgUu7Yh
Tire Suas Dúvidas - https://t.co/hueuMYbzjB
#ApostasEsportivas
#RendaExtra
#Afiliados
#Investimentos
#TraderEsportivo
#GanharDinheiro
#ApostasOnline
#MarketingDeAfiliados
#ApostasFutebol https://t.co/0TH6VZx7Uy</t>
  </si>
  <si>
    <t>Que Vitória Sofrida da seleção Brasileira Hein 🇧🇷
🗣 TERÇA-FEIRA COM LUCRO NO BOLSO 🤖🤑🔥🙌🏻 
Ótimo inicio de semana com Jesus família. ✅
#Futebol
#ApostasEsportivas
#RendaExtra
#FutebolBrasileiro
#TradingEsportivo
#TipsDeApostas
#ApostasFutebol
#InvestimentoEsportivo https://t.co/aceFxy7TIb</t>
  </si>
  <si>
    <t>Olá vc gostaria de trabalhar 1hora por dia ganhado duas comissões sem vende basta ter cadastro na Eduzz me pergunte como 👇https://t.co/5lft6WekcZ
#benbvolliefde #paofc #fcklive #viralvideo #rendaextra #eduzz #coprodutor #produtor #afiliados #blackout https://t.co/qdPx9Bpgj6</t>
  </si>
  <si>
    <t>Gostou do conteúdo?
Segue aê ➡️ @workshopdantas
@Damadeferroofic #empreendedor #dinheiro #finanças #reflexao #empreendedorismo #vendermais #organizacaofinanceira #rendaextra #rendaextraemcasa #marketingdigital #vendedor #direita #conservador #margaretthatcher https://t.co/YgWWLLQNFV</t>
  </si>
  <si>
    <t>A casa caiu pra @LulaOficial
Gostou do conteúdo?
Segue aê ➡️ @workshopdantas
#educacaofinanceira #empreendedor #dinheiro #finanças #reflexao #empreendedorismo #vendermais #organizacaofinanceira #rendaextra #marketingdigital #vendedor #direita #conservador #hugocarvajal https://t.co/JLBv6RNJnv</t>
  </si>
  <si>
    <t>Gostou do conteúdo?
Segue aê ➡️ @workshopdantas
#educacaofinanceira #empreendedor #dinheiro #finanças #reflexao #empreendedorismo #vendermais #organizacaofinanceira #rendaextra #rendaextraemcasa #marketingdigital #vendedor #direita #conservador @roxmo https://t.co/Q1ucx4Xvon</t>
  </si>
  <si>
    <t>Gostou do conteúdo?
Segue aê ➡️ @workshopdantas
#educacaofinanceira #empreendedor #dinheiro #finanças #reflexao #empreendedorismo #vendermais #organizacaofinanceira #rendaextra #rendaextraemcasa #marketingdigital #vendedor #direita #conservador @rmotta2 https://t.co/bMIoHTQCnE</t>
  </si>
  <si>
    <t>Gostou do conteúdo?
Segue aê ➡️ @workshopdantas
#educacaofinanceira #empreendedor #dinheiro #finanças #reflexao #empreendedorismo #vendermais #organizacaofinanceira #rendaextra #rendaextraemcasa #marketingdigital #vendedor #direita #conservador #pilhado https://t.co/eXb61y5lGE</t>
  </si>
  <si>
    <t>Gostou do conteúdo?
Segue aê ➡️ @workshopdantas
#educacaofinanceira #empreendedor #dinheiro #finanças #reflexao #empreendedorismo #vendermais #organizacaofinanceira #rendaextra #rendaextraemcasa #marketingdigital #vendedor #direita #conservador #billygraham https://t.co/8MUedB9RJ9</t>
  </si>
  <si>
    <t>Gostou do conteúdo?
Segue aê ➡️ @workshopdantas
#educacaofinanceira #empreendedor #dinheiro #finanças #reflexao #empreendedorismo #vendermais #organizacaofinanceira #rendaextra #rendaextraemcasa #marketingdigital #vendedor #direita #conservador #contradrogas https://t.co/bLlSGdUTrw</t>
  </si>
  <si>
    <t>Gostou do conteúdo?
Segue aê ➡️ @workshopdantas
#educacaofinanceira #empreendedor #dinheiro #finanças #reflexao #empreendedorismo #vendermais #organizacaofinanceira #rendaextra #rendaextraemcasa #marketingdigital #vendedor #direita #conservador #zedirceu #petêadmitiu https://t.co/BOgCe1KnUc</t>
  </si>
  <si>
    <t>Gostou do conteúdo?
Segue aê ➡️ @workshopdantas
#educacaofinanceira #empreendedor #dinheiro #finanças #reflexao #empreendedorismo #vendermais #organizacaofinanceira #rendaextra #rendaextraemcasa #marketingdigital #vendedor #direita #conservador #arthurschopenhauer https://t.co/FCGrdEF1HL</t>
  </si>
  <si>
    <t>Gostou do conteúdo?
Segue aê ➡️ @workshopdantas
#educacaofinanceira #empreendedor #dinheiro #finanças #reflexao #empreendedorismo #vendermais #organizacaofinanceira #rendaextra #rendaextraemcasa #marketingdigital #vendedor #direita #conservador #EuSigoBolsonaro https://t.co/hI3pMbtUNM</t>
  </si>
  <si>
    <t>Gostou do conteúdo?
Segue aê ➡️ @workshopdantas
#educacaofinanceira #empreendedor #dinheiro #finanças #reflexao #empreendedorismo #vendermais #organizacaofinanceira #rendaextra #rendaextraemcasa #marketingdigital #vendedor #direita #conservador #napoleonhill https://t.co/QfJutJsScH</t>
  </si>
  <si>
    <t>Gostou do conteúdo?
Segue aê ➡️ @workshopdantas
#educacaofinanceira #empreendedor #dinheiro #finanças #reflexao #empreendedorismo #vendermais #organizacaofinanceira #rendaextra #rendaextraemcasa #marketingdigital #vendedor #direita #conservador #streaming https://t.co/39V33Y0wvI</t>
  </si>
  <si>
    <t>Gostou do conteúdo?
Segue aê ➡️ @workshopdantas
#educacaofinanceira #empreendedor #dinheiro #finanças #reflexao #empreendedorismo #vendermais #organizacaofinanceira #rendaextra #rendaextraemcasa #marketingdigital #vendedor #direita #conservador #nom https://t.co/pv17et6z0Q</t>
  </si>
  <si>
    <t>Gostou do conteúdo?
Segue aê ➡️ @workshopdantas
#educacaofinanceira #empreendedor #dinheiro #finanças #reflexao #empreendedorismo #vendermais #organizacaofinanceira #rendaextra #rendaextraemcasa #marketingdigital #vendedor #morpheus #matrix https://t.co/3gYllBrYbZ</t>
  </si>
  <si>
    <t>Gostou do conteúdo?
Segue aê ➡️ @workshopdantas
#educacaofinanceira #empreendedor #dinheiro #finanças #reflexao #empreendedorismo #vendermais #organizacaofinanceira #rendaextra #rendaextraemcasa #marketingdigital #vendedor #nom #iluminate #desperte https://t.co/wXI2khBtvt</t>
  </si>
  <si>
    <t>Surreal!
Gostou do conteúdo?
Segue aê ➡️ @workshopdantas
#educacaofinanceira #empreendedor #dinheiro #finanças #reflexao #empreendedorismo #vendermais #organizacaofinanceira #rendaextra #rendaextraemcasa #marketingdigital #vendedor #direita #conservador #cuidadocomsuaface https://t.co/cC6hPViO2z</t>
  </si>
  <si>
    <t>Gostou do conteúdo?
Segue aê ➡️ @workshopdantas
#educacaofinanceira #empreendedor #dinheiro #finanças #reflexao #empreendedorismo #vendermais #organizacaofinanceira #rendaextra #rendaextraemcasa #marketingdigital #vendedor #direita #conservador #bolsonarosempretemrazao https://t.co/oNWeDRsO47</t>
  </si>
  <si>
    <t>Gostou do conteúdo?
Segue aê ➡️ @workshopdantas
#educacaofinanceira #empreendedor #dinheiro #finanças #reflexao #empreendedorismo #vendermais #organizacaofinanceira #rendaextra #rendaextraemcasa #marketingdigital #vendedor #direita #conservador #petralha https://t.co/pzdSPQPiTy</t>
  </si>
  <si>
    <t>Gostou do conteúdo?
Segue aê ➡️ @workshopdantas
#educacaofinanceira #empreendedor #dinheiro #finanças #reflexao #empreendedorismo #vendermais #organizacaofinanceira #rendaextra #rendaextraemcasa #marketingdigital #vendedor #direita #conservador #JanVanEllam https://t.co/HYrgcHys3x</t>
  </si>
  <si>
    <t>Gostou do conteúdo?
Segue aê ➡️ @workshopdantas
#educacaofinanceira #empreendedor #dinheiro #finanças #reflexao #empreendedorismo #vendermais #organizacaofinanceira #rendaextra #rendaextraemcasa #marketingdigital #vendedor #direita #conservador #frankshermanland https://t.co/qLp0p8Xgvn</t>
  </si>
  <si>
    <t>Gostou do conteúdo?
Segue aê ➡️ @workshopdantas
#educacaofinanceira #empreendedor #dinheiro #finanças #reflexao #empreendedorismo #vendermais #organizacaofinanceira #rendaextra #rendaextraemcasa #marketingdigital #vendedor #direita #conservador #JimCaviezel https://t.co/yx7kaVzD8F</t>
  </si>
  <si>
    <t>Gostou do conteúdo?
Segue aê ➡️ @workshopdantas
#educacaofinanceira #empreendedor #dinheiro #finanças #reflexao #empreendedorismo #vendermais #organizacaofinanceira #rendaextra #rendaextraemcasa #marketingdigital #vendedor #direita #conservador #esquerdamaldita https://t.co/HbVKbLncHa</t>
  </si>
  <si>
    <t>Gostou do conteúdo?
Segue aê ➡️ @workshopdantas
#educacaofinanceira #empreendedor #dinheiro #finanças #reflexao #empreendedorismo #vendermais #organizacaofinanceira #rendaextra #rendaextraemcasa #marketingdigital #vendedor #direita #conservador #victorfasano https://t.co/T76eN7uZIK</t>
  </si>
  <si>
    <t>Gostou do conteúdo?
Segue aê ➡️ @workshopdantas
#educacaofinanceira #empreendedor #dinheiro #finanças #reflexao #empreendedorismo #vendermais #organizacaofinanceira #rendaextra #rendaextraemcasa #marketingdigital #vendedor #direita #conservador #FAZOL #magazineluiza https://t.co/44MEbmkRoT</t>
  </si>
  <si>
    <t>Gostou do conteúdo?
Segue aê ➡️ @workshopdantas
#educacaofinanceira #empreendedor #dinheiro #finanças #reflexao #empreendedorismo #vendermais #organizacaofinanceira #rendaextra #rendaextraemcasa #marketingdigital #vendedor #direita #conservador #8dejaneiro https://t.co/m1GM6gexab</t>
  </si>
  <si>
    <t>Gostou do conteúdo?
Segue aê ➡️ @workshopdantas
#educacaofinanceira #empreendedor #dinheiro #finanças #reflexao #empreendedorismo #vendermais #organizacaofinanceira #rendaextra #rendaextraemcasa #marketingdigital #vendedor #direita #conservador #thomasedison https://t.co/LNDpkgoFgZ</t>
  </si>
  <si>
    <t>Gostou do conteúdo?
Segue aê ➡️ @workshopdantas
#educacaofinanceira #empreendedor #dinheiro #finanças #reflexao #empreendedorismo #vendermais #organizacaofinanceira #rendaextra #rendaextraemcasa #marketingdigital #vendedor #direita #conservador #josephpulitzer https://t.co/AgXvRGuFIX</t>
  </si>
  <si>
    <t>Gostou do conteúdo?
Segue aê ➡️ @workshopdantas
#educacaofinanceira #empreendedor #dinheiro #finanças #reflexao #empreendedorismo #vendermais #organizacaofinanceira #rendaextra #rendaextraemcasa #marketingdigital #vendedor #direita #conservador #napoleaobonaparte https://t.co/5FbUtjhRXk</t>
  </si>
  <si>
    <t>Gostou do conteúdo?
Segue aê ➡️ @workshopdantas
#educacaofinanceira #empreendedor #dinheiro #finanças #reflexao #empreendedorismo #vendermais #organizacaofinanceira #rendaextra #rendaextraemcasa #marketingdigital #vendedor #sportrecife #serieb #maiordonordeste https://t.co/0FR5hn7BHP</t>
  </si>
  <si>
    <t>Gostou do conteúdo?
Segue aê ➡️ @workshopdantas
#educacaofinanceira #empreendedor #dinheiro #finanças #reflexao #empreendedorismo #vendermais #organizacaofinanceira #rendaextra #rendaextraemcasa #marketingdigital #vendedor #santacruz #serieD https://t.co/mGZx1rbjbV</t>
  </si>
  <si>
    <t>Gostou do conteúdo?
Segue aê ➡️ @workshopdantas
#educacaofinanceira #empreendedor #dinheiro #finanças #reflexao #empreendedorismo #vendermais #organizacaofinanceira #rendaextra #rendaextraemcasa #marketingdigital #vendedor #sportrecife https://t.co/X4ZhSGxw7u</t>
  </si>
  <si>
    <t>Gostou do conteúdo?
Segue aê ➡️ @workshopdantas
#educacaofinanceira #empreendedor #dinheiro #finanças #reflexao #empreendedorismo #vendermais #organizacaofinanceira #rendaextra #rendaextraemcasa #marketingdigital #vendedor #direita #conservador #jairbolsonaro https://t.co/MSYQGHXQor</t>
  </si>
  <si>
    <t>Gostou do conteúdo?
Segue aê ➡️ @workshopdantas
#educacaofinanceira #empreendedor #dinheiro #finanças #reflexao #empreendedorismo #vendermais #organizacaofinanceira #rendaextra #rendaextraemcasa #marketingdigital #vendedor #direita #conservador #jimryun https://t.co/yQlK9Pfwdw</t>
  </si>
  <si>
    <t>🛒 Adquira a maior grade de canais !
Gostou do conteúdo?
Segue aê ➡️ @workshopdantas
#educacaofinanceira #empreendedor #dinheiro #finanças #reflexao #empreendedorismo #vendermais #organizacaofinanceira #rendaextra #rendaextraemcasa #marketingdigital #vendedor #tvonline https://t.co/ZX0NO8bTfX</t>
  </si>
  <si>
    <t>Gostou do conteúdo?
Segue aê ➡️ @workshopdantas
#educacaofinanceira #empreendedor #dinheiro #finanças #reflexao #empreendedorismo #vendermais #organizacaofinanceira #rendaextra #rendaextraemcasa #marketingdigital #vendedor #epoca #guerra #winstonchurchill https://t.co/fsySUfWg3J</t>
  </si>
  <si>
    <t>Gostou do conteúdo?
Segue aê ➡️ @workshopdantas
#educacaofinanceira #empreendedor #dinheiro #finanças #reflexao #empreendedorismo #vendermais #organizacaofinanceira #rendaextra #rendaextraemcasa #marketingdigital #vendedor #direita #conservador #sergiomoro https://t.co/BdFaEeUQhe</t>
  </si>
  <si>
    <t>Gostou do conteúdo?
Segue aê ➡️ @workshopdantas
#educacaofinanceira #empreendedor #dinheiro #finanças #reflexao #empreendedorismo #vendermais #organizacaofinanceira #rendaextra #rendaextraemcasa #marketingdigital #vendedor #direita #conservador #flaviodinocomrabopreso https://t.co/M1axAkuVVR</t>
  </si>
  <si>
    <t>Gostou do conteúdo?
Segue aê ➡️ @workshopdantas
#educacaofinanceira #empreendedor #dinheiro #finanças #reflexao #empreendedorismo #vendermais #organizacaofinanceira #rendaextra #rendaextraemcasa #marketingdigital #vendedor #direita #conservador https://t.co/HBe3QMGOW6</t>
  </si>
  <si>
    <t>Gostou do conteúdo?
Segue aê ➡️ @workshopdantas
#educacaofinanceira #empreendedor #dinheiro #finanças #reflexao #empreendedorismo #vendermais #organizacaofinanceira #rendaextra #rendaextraemcasa #marketingdigital #vendedor #direita #conservador #brasil #santacruz #feminina https://t.co/H5bSnoCzZD</t>
  </si>
  <si>
    <t>Gostou do conteúdo?
Segue aê ➡️ @workshopdantas
#educacaofinanceira #empreendedor #dinheiro #finanças #reflexao #empreendedorismo #vendermais #organizacaofinanceira #rendaextra #rendaextraemcasa #marketingdigital #vendedor #direita #conservador #JidduKrishnamurti https://t.co/4sdslZVVN3</t>
  </si>
  <si>
    <t>Gostou do conteúdo?
Segue aê ➡️ @workshopdantas
#educacaofinanceira #empreendedor #dinheiro #finanças #reflexao #empreendedorismo #vendermais #organizacaofinanceira #rendaextra #rendaextraemcasa #marketingdigital #vendedor #direita #conservador #alanwatts https://t.co/7ba0naLJQC</t>
  </si>
  <si>
    <t>Gostou do conteúdo?
Segue aê ➡️ @workshopdantas
#educacaofinanceira #empreendedor #dinheiro #finanças #reflexao #empreendedorismo #vendermais #organizacaofinanceira #rendaextra #rendaextraemcasa #marketingdigital #vendedor #direita #conservador #genfigueiredo https://t.co/9rMmEdzSt9</t>
  </si>
  <si>
    <t>Gostou do conteúdo?
Segue aê ➡️ @workshopdantas
#educacaofinanceira #empreendedor #dinheiro #finanças #reflexao #empreendedorismo #vendermais #organizacaofinanceira #rendaextra #rendaextraemcasa #marketingdigital #vendedor #filosofia #freud https://t.co/olpgFNo4dR</t>
  </si>
  <si>
    <t>Gostou do conteúdo?
Segue aê ➡️ @workshopdantas
#educacaofinanceira #empreendedor #dinheiro #finanças #reflexao #empreendedorismo #vendermais #organizacaofinanceira #rendaextra #rendaextraemcasa #marketingdigital #vendedor #direita #conservador #fazueli https://t.co/brVp3APExQ</t>
  </si>
  <si>
    <t>Gostou do conteúdo?
Segue aê ➡️ @workshopdantas
#educacaofinanceira #empreendedor #dinheiro #finanças #reflexao #empreendedorismo #vendermais #organizacaofinanceira #rendaextra #rendaextraemcasa #marketingdigital #vendedor #direita #conservador #stevenlawson https://t.co/mk7D9lamHX</t>
  </si>
  <si>
    <t>Gostou do conteúdo?
Segue aê ➡️ @workshopdantas
#educacaofinanceira #empreendedor #dinheiro #finanças #reflexao #empreendedorismo #vendermais #organizacaofinanceira #rendaextra #rendaextraemcasa #marketingdigital #vendedor #direita #conservador #olavotemrazao https://t.co/G8LmEkZWIQ</t>
  </si>
  <si>
    <t>"Vantagens de ter um IPTV"
Gostou do conteúdo?
Segue aê ➡️ @workshopdantas
#educacaofinanceira #empreendedor #dinheiro #finanças #reflexao #empreendedorismo #vendermais #organizacaofinanceira #rendaextra #rendaextraemcasa #marketingdigital #vendedor #IPTV https://t.co/PVF2LSsSrw</t>
  </si>
  <si>
    <t>Gostou do conteúdo?
Segue aê ➡️ @workshopdantas
#educacaofinanceira #empreendedor #dinheiro #finanças #reflexao #empreendedorismo #vendermais #organizacaofinanceira #rendaextra #rendaextraemcasa #marketingdigital #JohnnyDepp https://t.co/gzLoYiY7Zq</t>
  </si>
  <si>
    <t>Gostou do conteúdo?
Segue aê ➡️ @workshopdantas
#educacaofinanceira #empreendedor #dinheiro #finanças #reflexao #empreendedorismo #vendermais #organizacaofinanceira #rendaextra #rendaextraemcasa #marketingdigital #vendedor #direita #conservador #haddadposte https://t.co/Jo6RZLA8jS</t>
  </si>
  <si>
    <t>Gostou do conteúdo?
Segue aê ➡️ @workshopdantas
#educacaofinanceira #empreendedor #dinheiro #finanças #reflexao #empreendedorismo #vendermais #organizacaofinanceira #rendaextra #rendaextraemcasa #marketingdigital #vendedor #direita #conservador #FAZOL #casasbahia https://t.co/QgrVi6s1kc</t>
  </si>
  <si>
    <t>Gostou do conteúdo?
Segue aê ➡️ @workshopdantas
#educacaofinanceira #empreendedor #dinheiro #finanças #reflexao #empreendedorismo #vendermais #organizacaofinanceira #rendaextra #rendaextraemcasa #marketingdigital #vendedor #direita #conservador https://t.co/1VgJPPkbNY</t>
  </si>
  <si>
    <t>Gostou do conteúdo?
Segue aê ➡️ @workshopdantas
#educacaofinanceira #empreendedor #dinheiro #finanças #reflexao #empreendedorismo #vendermais #organizacaofinanceira #rendaextra #rendaextraemcasa #marketingdigital #vendedor #direita #conservador https://t.co/AHvfbl4sBc</t>
  </si>
  <si>
    <t>Gostou do conteúdo?
Segue aê ➡️ @workshopdantas
#educacaofinanceira #empreendedor #dinheiro #finanças #reflexao #empreendedorismo #vendermais #organizacaofinanceira #rendaextra #marketingdigital #vendedor #direita #conservador #pedofilia #CriancaEsperanca #FazoL https://t.co/wSVLk5ibYI</t>
  </si>
  <si>
    <t>Gostou do conteúdo?
Segue aê ➡️ @workshopdantas
#educacaofinanceira #empreendedor #dinheiro #finanças #reflexao #empreendedorismo #vendermais #organizacaofinanceira #rendaextra #rendaextraemcasa #marketingdigital #vendedor #direita #conservador #frankzappa https://t.co/QGidm7SUaC</t>
  </si>
  <si>
    <t>Gostou do conteúdo?
Segue aê ➡️ @workshopdantas
#educacaofinanceira #empreendedor #dinheiro #finanças #reflexao #empreendedorismo #vendermais #organizacaofinanceira #rendaextra #rendaextraemcasa #marketingdigital #vendedor #direita #conservador #SoundOfFreedom #Timballard https://t.co/8ygoC1WdQ9</t>
  </si>
  <si>
    <t>Gostou do conteúdo?
Segue aê ➡️ @workshopdantas
#educacaofinanceira #empreendedor #dinheiro #finanças #reflexao #empreendedorismo #vendermais #organizacaofinanceira #rendaextra #rendaextraemcasa #marketingdigital #vendedor #direita #conservador #SoundOfFreedom https://t.co/yJerz5PDMz</t>
  </si>
  <si>
    <t>Gostou do conteúdo?
Segue aê ➡️ @workshopdantas
#educacaofinanceira #empreendedor #dinheiro #finanças #reflexao #empreendedorismo #vendermais #organizacaofinanceira #rendaextra #rendaextraemcasa #marketingdigital #vendedor #direita #conservador #billmurray https://t.co/QWEhCvKbMf</t>
  </si>
  <si>
    <t>Gostou do conteúdo?
Segue aê ➡️ @workshopdantas
#educacaofinanceira #empreendedor #dinheiro #finanças #reflexao #empreendedorismo #vendermais #organizacaofinanceira #rendaextra #rendaextraemcasa #marketingdigital #vendedor #direita #conservador #rodolfoabrantes https://t.co/phozslIZpe</t>
  </si>
  <si>
    <t>Hoje tem Sport!
Gostou do conteúdo?
Segue aê ➡️ @workshopdantas
#educacaofinanceira #empreendedor #dinheiro #finanças #reflexao #empreendedorismo #vendermais #organizacaofinanceira #rendaextra #rendaextraemcasa #marketingdigital #vendedor #crb #sport #serieb2023 https://t.co/3P9O2p6kce</t>
  </si>
  <si>
    <t>Gostou do conteúdo?
Segue aê ➡️ @workshopdantas
#educacaofinanceira #empreendedor #dinheiro #finanças #reflexao #empreendedorismo #vendermais #organizacaofinanceira #rendaextra #rendaextraemcasa #marketingdigital #vendedor  #tiagomedeiros #SantaCruz #SportRecife https://t.co/w22YiR058r</t>
  </si>
  <si>
    <t>Gostou do conteúdo?
Segue aê ➡️ @workshopdantas
#educacaofinanceira #empreendedor #dinheiro #finanças #reflexao #empreendedorismo #vendermais #organizacaofinanceira #rendaextra #rendaextraemcasa #marketingdigital #vendedor #direita #conservador https://t.co/nTW40XR362</t>
  </si>
  <si>
    <t>Gostou do conteúdo?
Segue aê ➡️ @workshopdantas
#educacaofinanceira #empreendedor #dinheiro #finanças #reflexao #empreendedorismo #vendermais #organizacaofinanceira #rendaextra #rendaextraemcasa #marketingdigital #vendedor #direita #conservador #martincooper https://t.co/6yfeGDGsNo</t>
  </si>
  <si>
    <t>Gostou do conteúdo?
Segue aê ➡️ @workshopdantas
#educacaofinanceira #empreendedor #dinheiro #finanças #reflexao #empreendedorismo #vendermais #organizacaofinanceira #rendaextra #rendaextraemcasa #marketingdigital #vendedor #direita #conservador #robertadams https://t.co/qNCe3beKsP</t>
  </si>
  <si>
    <t>Gostou do conteúdo?
Segue aê ➡️ @workshopdantas
#educacaofinanceira #empreendedor #dinheiro #finanças #reflexao #empreendedorismo #vendermais #organizacaofinanceira #rendaextra #rendaextraemcasa #marketingdigital #vendedor #direita #conservador #rogerscruton https://t.co/WwEr4p8MMp</t>
  </si>
  <si>
    <t>Gostou do conteúdo?
Segue aê ➡️ @workshopdantas
#educacaofinanceira #empreendedor #dinheiro #finanças #reflexao #empreendedorismo #vendermais #organizacaofinanceira #rendaextra #rendaextraemcasa #marketingdigital #vendedor #sportrecife https://t.co/z2rcPOWUvS</t>
  </si>
  <si>
    <t>Gostou do conteúdo?
Segue aê ➡️ Workshops Dantas 
#educacaofinanceira #empreendedor #dinheiro #finanças #reflexao #empreendedorismo #vendermais #organizacaofinanceira #rendaextra #marketingdigital #vendedor #direita #conservador #contranovaordemmundial #AgainstTheNewWorldOrder https://t.co/3U2tpOCGcs</t>
  </si>
  <si>
    <t>Gostou do conteúdo?
Segue aê ➡️ @workshopdantas
#educacaofinanceira #empreendedor #dinheiro #finanças #reflexao #empreendedorismo #vendermais #organizacaofinanceira #rendaextra #rendaextraemcasa #marketingdigital #vendedor #direita #conservador #Bolsonaro https://t.co/Md4h4tFasu</t>
  </si>
  <si>
    <t>Gostou do conteúdo?
Segue aê ➡️ @workshopdantas
#educacaofinanceira #empreendedor #dinheiro #finanças #reflexao #empreendedorismo #vendermais #organizacaofinanceira #rendaextra #rendaextraemcasa #marketingdigital #vendedor #direita #conservador #LuladraoDesgracaEDestruicao https://t.co/A11lLP9JrJ</t>
  </si>
  <si>
    <t>Gostou do conteúdo?
Segue aê ➡️ @workshopdantas
#educacaofinanceira #empreendedor #dinheiro #finanças #reflexao #empreendedorismo #vendermais #organizacaofinanceira #rendaextra #rendaextraemcasa #marketingdigital #vendedor #direita #conservador https://t.co/U7OfwrZvZp</t>
  </si>
  <si>
    <t>Gostou do conteúdo?
Segue aê ➡️ @workshopdantas
#educacaofinanceira #empreendedor #dinheiro #finanças #reflexao #empreendedorismo #vendermais #organizacaofinanceira #rendaextra #rendaextraemcasa #marketingdigital #vendedor #direita #conservador #elonmusk https://t.co/ZsOl04FZD0</t>
  </si>
  <si>
    <t>Gostou do conteúdo?
Segue aê ➡️ @workshopdantas
#educacaofinanceira #empreendedor #dinheiro #finanças #reflexao #empreendedorismo #vendermais #organizacaofinanceira #rendaextra #rendaextraemcasa #marketingdigital #vendedor #direita #conservador #flaviodinocomunista https://t.co/XfZPoGBbdQ</t>
  </si>
  <si>
    <t>Gostou do conteúdo?
Segue aê ➡️ @workshopdantas
#educacaofinanceira #empreendedor #dinheiro #finanças #reflexao #empreendedorismo #vendermais #organizacaofinanceira #rendaextra #rendaextraemcasa #marketingdigital #vendedor #sportrecife #maiordonordeste https://t.co/KZEUlt17Qz</t>
  </si>
  <si>
    <t>Gostou do conteúdo?
Segue aê ➡️ @workshopdantas
#educacaofinanceira #empreendedor #dinheiro #finanças #reflexao #empreendedorismo #vendermais #organizacaofinanceira #rendaextra #rendaextraemcasa #marketingdigital #vendedor #direita #conservador #olavotemrazao https://t.co/LLEz2CNBya</t>
  </si>
  <si>
    <t>Gostou do conteúdo?
Segue aê ➡️ @workshopdantas
#educacaofinanceira #empreendedor #dinheiro #finanças #reflexao #empreendedorismo #vendermais #organizacaofinanceira #rendaextra #rendaextraemcasa #marketingdigital #direita #conservador #imprensa #corrupcao #josephpulitzer https://t.co/80ysJ9Ga0m</t>
  </si>
  <si>
    <t>Gostou do conteúdo?
Segue aê ➡️ @workshopdantas
#educacaofinanceira #empreendedor #dinheiro #finanças #reflexao #empreendedorismo #vendermais #organizacaofinanceira #rendaextra #rendaextraemcasa #marketingdigital #vendedor #direita #conservador https://t.co/uDs0hcEdKc</t>
  </si>
  <si>
    <t>Gostou do conteúdo?
Segue aê ➡️ @workshopdantas
#educacaofinanceira #empreendedor #dinheiro #finanças #reflexao #empreendedorismo #vendermais #organizacaofinanceira #rendaextra #rendaextraemcasa #marketingdigital #vendedor #direita #conservador #brucedickinson #ironmaiden https://t.co/iKIHJNmSA7</t>
  </si>
  <si>
    <t>Direita conservadora, vamos nos unir e derrotar essa esquerda que rouba nosso país!
Gostou do conteúdo?
Segue aê ➡️ @workshopdantas
#educacaofinanceira #reflexao #empreendedorismo #vendermais #organizacaofinanceira #rendaextraemcasa #marketingdigital 
 #direita #conservador https://t.co/rQvpgHi6vD</t>
  </si>
  <si>
    <t>O levantamento em questão é formulado pelo Instituto Cidades Sustentáveis em parceria com o Ipec. #RendaExtra #Contas #TVCultura 
https://t.co/xref8J9t1z</t>
  </si>
  <si>
    <t>O curso 'Viver de YouTube' é projetado para ajudar aqueles que desejam transformar seu canal em uma fonte de renda sustentável.  Confira nesse link:  https://t.co/pNqFUjXZJv
#Youtube #vivedeyoutube #rendaextra #rendaextraemcasa #rendaextraonline https://t.co/R18z8Rteos</t>
  </si>
  <si>
    <t>Alguém quer uma renda extra? que ganhe até $10.000 #boatarde #rendaextra
#Fofocalizando https://t.co/d3UpJU6c9F</t>
  </si>
  <si>
    <t>Recuperação de Boletos assustadora
#MarketingDigital #dinheiro #rendaextra https://t.co/VkmdU5AZKB</t>
  </si>
  <si>
    <t>Essa frase inspiradora é uma mensagem poderosa para todos aqueles que estão lutando para alcançar seus objetivos.
#MarketingDigital #afiliados #empreendedorismo #empreendedor #trafegopago #rendaextra #ganhardinheiro https://t.co/FEPIN7d0yD</t>
  </si>
  <si>
    <t>Quem foi que disse que a gente só vende se produzir conteúdo? 
#marketingdigital #empreendedorismo #digitalmarketing #socialmediamarketing #empreendedorismofeminino #mulheresempreendedoras #empreendedor #rendaextra #marketingonline #marketingdeconteudo https://t.co/kBgxSOch9E</t>
  </si>
  <si>
    <t>Como faturar mais de R$ 6 mil reais como afiliado. 
Clique aqui para descobrir: https://t.co/7FjMakVi4i
#afiliado #marketingdigital
#rendaextra #hotmart #marketingdeafiliado https://t.co/ZCPyQiEqkn</t>
  </si>
  <si>
    <t>3 dicas simples para você começar a empreender.
#marketingdigital #empreendedorismo #digitalmarketing #socialmediamarketing #empreendedorismofeminino #mulheresempreendedoras #empreendedor #rendaextra #marketingonline #marketingdeconteudo #marketingdigitalbrasil https://t.co/8bU7Ohkvth</t>
  </si>
  <si>
    <t>esses são os melhores q eu achei, se encontrar mais vou atualizando, recomendo baixarem todos pra ganhar mais dinheiro, mas o meu preferido é o novelah, qualquer dúvida de como usar comentem aqui!! #dinheiro #rendaextra #appsdinheiro #dinheirográtis</t>
  </si>
  <si>
    <t>Quer aprender a ter vários resultados como esse? Clica no link, que te ensino passo a passo👇🏻
https://t.co/bvDaA7RuJF #Marketing #rendaextra #viral2023 #gangłysego #wezijnerbijna #abayas #rentree2023 #fypシ #fypviraltwitter https://t.co/IUyHuvrqxs</t>
  </si>
  <si>
    <t>É tão bom trabalhar no conforto  da minha casa, usando apenas meu celular🧠💰 #Marketing #viver #renda #rendaextra #4daystoALxEnglot https://t.co/1fE09mjFzD</t>
  </si>
  <si>
    <t>Transforme sua casa em um local lucrativo! Descubra estratégias e dicas práticas para a renda extra em casa com o ebook "Explorando a Renda Extra em Casa". #RendaExtra #TrabalhoEmCasa #Empreendedorismo
https://t.co/nrKryNEBqb</t>
  </si>
  <si>
    <t>Link 🔥https://t.co/JfW3PBYT7Q
#rendaextra #trabalharemcasa #ganhardinheiro</t>
  </si>
  <si>
    <t>GANHAR DINHEIRO EXTRA? #BINANCE TA DANDO GIFT CARD DE 100 DOLARES!!! ENTRA NO PERFIL PRA SABER MAIS!!!
#DINHEIROFACIL #RENDAEXTRA #LINKDERENDAEXTRA</t>
  </si>
  <si>
    <t>TODOS OS TT SERAO EXIBIDOS COM LINK DE #INDICAÇÃO 
conta nova para quem se interessa em ganhar #rendaextra criando contas e autenticando
 💰💰💰💰 VEM GANHAR #dinheiro COM A INTERNET!
maiorias dos métodos precisam de verificação com identidade ou número do celular.</t>
  </si>
  <si>
    <t>Confira o vídeo de sofia! #TikTok #viral #dinheiro #rendaextra #dolar https://t.co/agWy0jMJM4</t>
  </si>
  <si>
    <t>MAIS: Independente de quem seja o dono, o que @felipeneto fez foi antiético ao apoiar uma casa de apostas ilegal chamando de RENDA EXTRA e levando os seus fãs a perderem o seu dinheiro nela!
#FelipeNeto você tem consciência dos seus atos? #Blaze #RendaExtra #Neymar #NeymarJr</t>
  </si>
  <si>
    <t>Isto é o que acontece quando as pessoas não tem argumentos! 🙂
#FelipeNeto #Blaze #Feto #Censura #RendaExtra #OMaiorDoBR 🎲 https://t.co/vRtxzywBHo</t>
  </si>
  <si>
    <t>Aprenda a ser afiliado💸 #fypシ #afiliado #MarketingDigital #rendaextra https://t.co/MyX7BQ3tyK</t>
  </si>
  <si>
    <t>GANHE DINHEIRO PASSIVAMENTE: O SEGREDO REVELADO.
#rendaextra  #ganhardinheironainternet #honeygain
https://t.co/MIrpu1Okn4 https://t.co/mvatA0i4gW</t>
  </si>
  <si>
    <t>Se increva neste canal: @nascadarkyt  
FaucetPay: https://t.co/ebgIlPnD1g ( Fonte de Renda sem limite e grátis ) CoinPays: https://t.co/PnAVlNiVlp ( Paga muito bem em qualquer moeda ) 11Bitiz: https://t.co/PnAVlNiVlp #faucetpay #rendaextra #dinheiro https://t.co/3QiN5xTYrq</t>
  </si>
  <si>
    <t>Melhor Site pagando
https://t.co/PnAVlNiVlp
#rendaextra #dinheiro #USDTether https://t.co/BTKQ8MPlhG</t>
  </si>
  <si>
    <t>Venha trabalhar com a gente, com pequeno investimento com retorno de quase 300%, basta vender para seu amigo, parente e pessoas proximas, melhor lugar para trablhar com IPTV ou P2P é aqui!
https://t.co/WYx7hwmPzz
#revendaiptv #rendaextra #iptv #iptvbarata #trabalho https://t.co/cfnRMBxuIj</t>
  </si>
  <si>
    <t>Cadastre-se pelo meu link e me chame. 👇🏼
https://t.co/CUaDTFoxAT
Telegram: https://t.co/qX5lJ59jAI
Após cadastro e recarga me chame pv para o BÔNUS de 10,00  #popbra #lucrodiariapop #rendaextra https://t.co/klefFti7HP</t>
  </si>
  <si>
    <t>Cadastre-se pelo meu link e me chame. 👇🏼
https://t.co/CUaDTFnZLl
Telegram: https://t.co/qX5lJ58LLa
Após cadastro e recarga me chame pv para o BÔNUS de 10,00 https://t.co/t0Je9WJz3G</t>
  </si>
  <si>
    <t>Chama no chat pra mas informações 
 #popbra #lucrodiariapop #rendaextra</t>
  </si>
  <si>
    <t>Comenta aí😉
#MarketingDigital #ganhardinheiroonline #rendaextra #angola #angolanos https://t.co/mJpDCk1ZlW</t>
  </si>
  <si>
    <t>#fortune
#jogo
#sorte
#rendaextra
#dinheiro
#shopee
https://t.co/EIDIxbZ2SS https://t.co/IJJ31YtXka</t>
  </si>
  <si>
    <t>A NOVA FEBRE DAS FESTAS NO BRASIL😃
Descubra como ganhar dinheiro através desse maravilhoso Curso On-line!
Oportunidade de Renda Extra!💰⬇️
https://t.co/Nz3rcZOsWo
#RendaExtra #Dinheiro #Empreender #GanharDinheiro https://t.co/qEpZ0lKY8R</t>
  </si>
  <si>
    <t>@AdelaideDeds @mariesteine2022 Tb quero!!! #rendaextra</t>
  </si>
  <si>
    <t>Travis Kalanick e Garrett Camp da Uber e Reed Hastings da Netflix são alguns dos empreendedores mais notáveis que listamos nesta compilação. Vale a pena dar um google!
--
#rendaextra #lider #marketingdigital #mentoria #facebook #uber #amazon https://t.co/PaZA7bdSuX</t>
  </si>
  <si>
    <t>Olá pessoal comprei um curso de marketing digital e ele realmente mudou minha vida.Tem muitos cursos que é mentira,pura enganação,mais com este curso você vai mudar sua vida e te fazer uma #rendaextra que tantosonha
Entre no link abaixo e comece hoje mesmo
https://t.co/Mcq4RSFJBY</t>
  </si>
  <si>
    <t>App pagando 30$ no cadastro 👇 
https://t.co/thnxfZJ9Dm
#pix #nubank #pangbank #picpay #rendaextra #sdv</t>
  </si>
  <si>
    <t>Alguém sabe como fazer renda extra sem enrolação?
#rendaextra</t>
  </si>
  <si>
    <t>Aprendar a ganha dinheiro em casa automático
#rendaextra #dinheiro #jovensmilionario https://t.co/Avq8f3oRlf</t>
  </si>
  <si>
    <t>"Uma renda extra através da venda ambulante pode trazer benefícios financeiros e aumentar a habilidade de negociação, além de oferecer a oportunidade de conhecer novas pessoas e habilidades interpessoais aprimoradas."
#rendaextra #vendaambulante #negociação</t>
  </si>
  <si>
    <t>"Transforme a venda de empadas em uma oportunidade de conectar com pessoas e influenciar positivamente suas vidas!
#empreendedorismo #rendaextra #vendanarua #conexões #influência #dicasdeempreendedorismo #ComoFazerAmigoseInfluenciarPessoas</t>
  </si>
  <si>
    <t>Quem nunca precisou de uma renda extra para complementar o orçamento? A pressão financeira pode ser esmagadora, mas existem opções disponíveis como micro franquia que são muito interessantes #rendaextra #dinheiro #finanças #trabalho #Economia</t>
  </si>
  <si>
    <t>Com nossa incrível ala de recomendação de entradas de compra e venda, você pode transformar sua vida financeira! Ganhe até R$3500 por mês com apenas duas 💰🚀 #Trading #RendaExtra #OportunidadeFinanceira #AprimoramentoPessoal #MercadoFinanceiro #SucessoFinanceiro #OlympTrade https://t.co/J1Nnp5NHDV</t>
  </si>
  <si>
    <t>Nova plataforma ❤️
Saque mínimo 3,00
https://t.co/Dcl4t0qFmZ
#rendaextra</t>
  </si>
  <si>
    <t>Plataforma pagando 10,00 no cadastro
#rendaextra
https://t.co/CyPUFVzEy2</t>
  </si>
  <si>
    <t>Nova plataforma
Ganhe 10,00 no cadastro
#rendaextra
https://t.co/CyPUFVzEy2</t>
  </si>
  <si>
    <t>@naotabatendo Blaze nunca fez nada de errado
#rendaextra</t>
  </si>
  <si>
    <t>#PrayForBlaze
#BlazeLivesMatter
#RendaExtra</t>
  </si>
  <si>
    <t>🚘⚠️Trabalhe de qualquer lugar pelo celular ou computador⚠️🏍️
Vagas para Consultor de Proteção Veicular
Gênero: Todos
#trabalho #emprego #vagas #oportunidades #rendaextra https://t.co/ChZRE1JyNh</t>
  </si>
  <si>
    <t>E VOCÊ, esta focado no que? 
#rendaextra #dinheiroonline #marketingdigital #foco #motivacao https://t.co/K05iWC13QO</t>
  </si>
  <si>
    <t>Bora 🚀🚀🤑💸💸
#Motivation #rendaextra #dinheiro #mercadodigital https://t.co/MZoswZl6qC</t>
  </si>
  <si>
    <t>melhor treinamento 🙌
melhores estratégias
melhor consultor
Sinais de sistemas 100% bot
envie seu pedido de investimento 😉
#investimento 
#investment 
#rendaextra 
#HomeOffice 
#Bitcoin 
#Crypto 
#forextrading 
#Brasileirao2023 https://t.co/fMZLMGVrkO</t>
  </si>
  <si>
    <t>Aproveite a oportunidade para lucrar em torno de R$100,00 a R$2000,00 por dia. 
Grupo gratuito: https://t.co/dLGfYy2VII
#ganhardinheiro #rendaextra #comoganhardinheiro #trabalharemcasa #comoganhardinheironainternet #rendaonline https://t.co/L8rvroU3Vj</t>
  </si>
  <si>
    <t>5 dicas para receber uma renda extra e ajudar a aliviar as contas
➡️ https://t.co/WZjR2rEf3f
#folhageral #dicas #rendaextra #dinheiro https://t.co/gz9A51OjzL</t>
  </si>
  <si>
    <t>Aprenda absolutamente tudo sobre Cookies Gourmet! Curso 100% em vídeo com aulas práticas e detalhadas. Certificado incluso. Do básico ao avançado
#rendaextra
https://t.co/6EKZWcGGLI https://t.co/Frfk1Spk6Z</t>
  </si>
  <si>
    <t>Aprenda absolutamente tudo sobre Cookies Gourmet! Curso 100% em vídeo com aulas práticas e detalhadas. Certificado incluso. Do básico ao avançado
#rendaextra
https://t.co/6EKZWcGGLI https://t.co/VpERfOPvYr</t>
  </si>
  <si>
    <t>Aprenda absolutamente tudo sobre Cookies Gourmet! Curso 100% em vídeo com aulas práticas e detalhadas. Certificado incluso. Do básico ao avançado
#rendaextra
https://t.co/6EKZWcGGLI https://t.co/oVspVHoSJI</t>
  </si>
  <si>
    <t>Aprenda absolutamente tudo sobre Cookies Gourmet! Curso 100% em vídeo com aulas práticas e detalhadas. Certificado incluso. Do básico ao avançado
#rendaextra
https://t.co/6EKZWcGGLI https://t.co/gp2bYYKwSo</t>
  </si>
  <si>
    <t>Aprenda absolutamente tudo sobre Cookies Gourmet! Curso 100% em vídeo com aulas práticas e detalhadas. Certificado incluso. Do básico ao avançado
#rendaextra
https://t.co/6EKZWcGGLI https://t.co/uEd8nVgD7T</t>
  </si>
  <si>
    <t>Aprenda absolutamente tudo sobre Cookies Gourmet! Curso 100% em vídeo com aulas práticas e detalhadas. Certificado incluso. Do básico ao avançado
#rendaextra
https://t.co/6EKZWcGGLI https://t.co/RTAQhkpth6</t>
  </si>
  <si>
    <t>Aprenda absolutamente tudo sobre Cookies Gourmet! Curso 100% em vídeo com aulas práticas e detalhadas. Certificado incluso. Do básico ao avançado
#rendaextra
https://t.co/6EKZWcGGLI https://t.co/aH7JucDr2q</t>
  </si>
  <si>
    <t>Aprenda absolutamente tudo sobre Cookies Gourmet! Curso 100% em vídeo com aulas práticas e detalhadas. Certificado incluso. Do básico ao avançado
#rendaextra
https://t.co/6EKZWcGGLI https://t.co/hU51loOtCr</t>
  </si>
  <si>
    <t>Aprenda absolutamente tudo sobre Cookies Gourmet! Curso 100% em vídeo com aulas práticas e detalhadas. Certificado incluso. Do básico ao avançado
#rendaextra
https://t.co/6EKZWcGGLI https://t.co/e0XzSKiZc7</t>
  </si>
  <si>
    <t>Aprenda absolutamente tudo sobre Cookies Gourmet! Curso 100% em vídeo com aulas práticas e detalhadas. Certificado incluso. Do básico ao avançado
#rendaextra
https://t.co/6EKZWcGGLI https://t.co/2jLeq9obBl</t>
  </si>
  <si>
    <t>Aprenda absolutamente tudo sobre Cookies Gourmet! Curso 100% em vídeo com aulas práticas e detalhadas. Certificado incluso. Do básico ao avançado
#rendaextra
https://t.co/6EKZWcGGLI https://t.co/Lt7fhbzatE</t>
  </si>
  <si>
    <t>Aprenda absolutamente tudo sobre Cookies Gourmet! Curso 100% em vídeo com aulas práticas e detalhadas. Certificado incluso. Do básico ao avançado
#rendaextra
https://t.co/6EKZWcGGLI https://t.co/mL5zHJ3qiJ</t>
  </si>
  <si>
    <t>Aprenda absolutamente tudo sobre Cookies Gourmet! Curso 100% em vídeo com aulas práticas e detalhadas. Certificado incluso. Do básico ao avançado
#rendaextra
https://t.co/6EKZWcGGLI https://t.co/Ur7PdZW5LU</t>
  </si>
  <si>
    <t>Aprenda absolutamente tudo sobre Cookies Gourmet! Curso 100% em vídeo com aulas práticas e detalhadas. Certificado incluso. Do básico ao avançado
#rendaextra
https://t.co/6EKZWcGGLI https://t.co/eFN3ugmE8u</t>
  </si>
  <si>
    <t>Aprenda absolutamente tudo sobre Cookies Gourmet! Curso 100% em vídeo com aulas práticas e detalhadas. Certificado incluso. Do básico ao avançado
#rendaextra
https://t.co/6EKZWcGGLI https://t.co/Lg9EORiZA8</t>
  </si>
  <si>
    <t>Aprenda absolutamente tudo sobre Cookies Gourmet! Curso 100% em vídeo com aulas práticas e detalhadas. Certificado incluso. Do básico ao avançado
#rendaextra
https://t.co/6EKZWcGGLI https://t.co/TWvE7zTF2d</t>
  </si>
  <si>
    <t>Aprenda absolutamente tudo sobre Cookies Gourmet! Curso 100% em vídeo com aulas práticas e detalhadas. Certificado incluso. Do básico ao avançado
#rendaextra
https://t.co/6EKZWcGGLI https://t.co/Nx7WsSKIRf</t>
  </si>
  <si>
    <t>Aprenda absolutamente tudo sobre Cookies Gourmet! Curso 100% em vídeo com aulas práticas e detalhadas. Certificado incluso. Do básico ao avançado
#rendaextra
https://t.co/6EKZWcGGLI https://t.co/hmPcXcJQsT</t>
  </si>
  <si>
    <t>Aprenda absolutamente tudo sobre Cookies Gourmet! Curso 100% em vídeo com aulas práticas e detalhadas. Certificado incluso. Do básico ao avançado
#rendaextra
https://t.co/6EKZWcGGLI https://t.co/oMjRnKgIC0</t>
  </si>
  <si>
    <t>Aprenda absolutamente tudo sobre Cookies Gourmet! Curso 100% em vídeo com aulas práticas e detalhadas. Certificado incluso. Do básico ao avançado
#rendaextra
https://t.co/6EKZWcGGLI https://t.co/blNh54Ubp3</t>
  </si>
  <si>
    <t>Aprenda absolutamente tudo sobre Cookies Gourmet! Curso 100% em vídeo com aulas práticas e detalhadas. Certificado incluso. Do básico ao avançado
#rendaextra
https://t.co/6EKZWcGGLI https://t.co/CpWOiqZK8P</t>
  </si>
  <si>
    <t>Aprenda absolutamente tudo sobre Cookies Gourmet! Curso 100% em vídeo com aulas práticas e detalhadas. Certificado incluso. Do básico ao avançado
#rendaextra
https://t.co/6EKZWcGGLI https://t.co/gX56kMM312</t>
  </si>
  <si>
    <t>Aprenda absolutamente tudo sobre Cookies Gourmet! Curso 100% em vídeo com aulas práticas e detalhadas. Certificado incluso. Do básico ao avançado
#rendaextra
https://t.co/6EKZWcGGLI https://t.co/nAAuCOurNf</t>
  </si>
  <si>
    <t>Aprenda absolutamente tudo sobre Cookies Gourmet! Curso 100% em vídeo com aulas práticas e detalhadas. Certificado incluso. Do básico ao avançado
#rendaextra
https://t.co/6EKZWcGGLI https://t.co/wd9BwutZlg</t>
  </si>
  <si>
    <t>Aprenda absolutamente tudo sobre Cookies Gourmet! Curso 100% em vídeo com aulas práticas e detalhadas. Certificado incluso. Do básico ao avançado
#rendaextra
https://t.co/6EKZWcGGLI https://t.co/GLXut0OvHx</t>
  </si>
  <si>
    <t>Aprenda absolutamente tudo sobre Cookies Gourmet! Curso 100% em vídeo com aulas práticas e detalhadas. Certificado incluso. Do básico ao avançado
#rendaextra
https://t.co/6EKZWcHeBg https://t.co/7a3k47g8bC</t>
  </si>
  <si>
    <t>Aprenda absolutamente tudo sobre Cookies Gourmet! Curso 100% em vídeo com aulas práticas e detalhadas. Certificado incluso. Do básico ao avançado
#rendaextra
https://t.co/6EKZWcHeBg https://t.co/n9gLn74lif</t>
  </si>
  <si>
    <t>Aprenda absolutamente tudo sobre Cookies Gourmet! Curso 100% em vídeo com aulas práticas e detalhadas. Certificado incluso. Do básico ao avançado
#rendaextra
https://t.co/6EKZWcGGLI https://t.co/GGqUsXg21u</t>
  </si>
  <si>
    <t>Aprenda absolutamente tudo sobre Cookies Gourmet! Curso 100% em vídeo com aulas práticas e detalhadas. Certificado incluso. Do básico ao avançado
#rendaextra
https://t.co/6EKZWcGGLI https://t.co/Rio4URGUzQ</t>
  </si>
  <si>
    <t>Aprenda absolutamente tudo sobre Cookies Gourmet! Curso 100% em vídeo com aulas práticas e detalhadas. Certificado incluso. Do básico ao avançado
#rendaextra
https://t.co/6EKZWcHeBg https://t.co/UfGKNYrNem</t>
  </si>
  <si>
    <t>Aprenda absolutamente tudo sobre Cookies Gourmet! Curso 100% em vídeo com aulas práticas e detalhadas. Certificado incluso. Do básico ao avançado
#rendaextra
https://t.co/6EKZWcHeBg https://t.co/1BRPSRxc6m</t>
  </si>
  <si>
    <t>Aprenda absolutamente tudo sobre Cookies Gourmet! Curso 100% em vídeo com aulas práticas e detalhadas. Certificado incluso. Do básico ao avançado
#rendaextra
https://t.co/6EKZWcGGLI https://t.co/JAuLKKrQfO</t>
  </si>
  <si>
    <t>Aprenda absolutamente tudo sobre Cookies Gourmet! Curso 100% em vídeo com aulas práticas e detalhadas. Certificado incluso. Do básico ao avançado
#rendaextra
https://t.co/6EKZWcGGLI https://t.co/m9AX8r1OGO</t>
  </si>
  <si>
    <t>Aprenda absolutamente tudo sobre Cookies Gourmet! Curso 100% em vídeo com aulas práticas e detalhadas. Certificado incluso. Do básico ao avançado
#rendaextra
https://t.co/6EKZWcGGLI https://t.co/ylSHJad6g9</t>
  </si>
  <si>
    <t>Aprenda absolutamente tudo sobre Cookies Gourmet! Curso 100% em vídeo com aulas práticas e detalhadas. Certificado incluso. Do básico ao avançado
#rendaextra
https://t.co/6EKZWcGGLI https://t.co/KvgVza64zc</t>
  </si>
  <si>
    <t>Aprenda absolutamente tudo sobre Cookies Gourmet! Curso 100% em vídeo com aulas práticas e detalhadas. Certificado incluso. Do básico ao avançado
#rendaextra
https://t.co/6EKZWcGGLI https://t.co/UILCdzoD4m</t>
  </si>
  <si>
    <t>Vivendo essa vida aqui! 
Meu único arrependimento foi não ter entrado antes ! 
#rendaextra #afiliado #MarketingDigital #AgustD https://t.co/AlWg5e1PJu</t>
  </si>
  <si>
    <t>📢 Descubra os Segredos do Droppshiping! Baixe Agora Nosso Guia Com 5 Dicas, é Gratuito! 🚀
https://t.co/uRXCFXauja
Não Perca a Chance de Embarcar Nessa Jornada Emocionante e Lucrativa. Faça o Download Gratuito Agora Mesmo! 👆
#dropshipping
#Rendaextra
#mktdigital</t>
  </si>
  <si>
    <t>Vamos hoje de #rendaextra https://t.co/kP4oHtdOEf 
#BBB23 #BBB</t>
  </si>
  <si>
    <t>#agronegócio #oportunidades #empregos #rendaextra #novaeconomia #hotelaria #turismo #gastronomia #verão2024 #beleza #caparaó #automóveis ⚠️ NÃO TIRE CNH ANTES DE VER ESSE ALERTA
https://t.co/rBeXRCRoED</t>
  </si>
  <si>
    <t>Curta a postagem e me siga para mais dicas de IA's e Renda Extra pela internet.
#InteligenciaArtificial #RendaExtra #Fotos #IA</t>
  </si>
  <si>
    <t>#ondecompra #rendaextra #MarketingDigital 
https://t.co/fmwkya34oK https://t.co/P74Ich0uFk</t>
  </si>
  <si>
    <t>1 - Venda algum serviço que você gosta de fazer.
2 -  Entre no site #workana e faça trabalhos.
3 - Venda produtos online como afiliado.
#rendaextra #rendaextraonline https://t.co/tjfESGHoty</t>
  </si>
  <si>
    <t>Use meu código de convite para ganhar dinheiro extra! 
#TickTock #rendaextra #dinhe
https://t.co/TPTMTalNUJ</t>
  </si>
  <si>
    <t>Clique para me ajudar! 
Só falta um pouquinho para ganharmos bônus de até R$51,10 juntos~ 
#kwai #ticktok #rendaextra 
https://t.co/uWcKEvjR8G</t>
  </si>
  <si>
    <t>Entre para o TikTok para apoiar seu amigo e começar a ganhar recompensas! 
#TikTok #Ganhedinheiro #rendaextra
https://t.co/YeQ6fjlBfp</t>
  </si>
  <si>
    <t>Quer ganhar dinheiro com suas compras on-line? 
Eu já estou ganhando! 
Cadastre-se agora mesmo e aproveite.
#ganhedinheiro #rendaextra #cash
https://t.co/8cG3b4vUQa</t>
  </si>
  <si>
    <t>Ganhe até  R$2 por participar da oferta especial de fim de semana. 
#ticktok #ganhedinheiro #rendaextra
https://t.co/K4JMMjWGF1</t>
  </si>
  <si>
    <t>Você acredita nos seus sonhos???
.
.
.
.
.
.
.
.
#afiliadosiniciantes #afiliadas #maeempreendedora #marketingdigital #trabalheemcasa #rendaextra https://t.co/TrGpbA0P6S</t>
  </si>
  <si>
    <t>Apenas continue!
Veja os stories 🤎
.
.
.
.
.
.
.
#afiliadosiniciantes #afiliadadigital #marketingdigital #empreendedorismo #trabalheemcasa #rendaextra #negócios #vendasonline #vendasemaparecer #afiliadas https://t.co/DvbEtJlbbS</t>
  </si>
  <si>
    <t>Que tal uma renda extra?
#teudesejoss🌷
#rendaextra #lojaonline #asos https://t.co/eNTh4GDbKh</t>
  </si>
  <si>
    <t>Descubra como MILHARES DE PESSOAS ESTÃO GANHANDO DINHEIRO ASSITINDO VÍDEOS NO CELULAR 
Saiba mais aqui ⤵️ 
https://t.co/pyg5tyKMwe
#rendaextra #trabalharemcasa #ganhardinheiroassistindovideos #metodovideolucrativo #lucrandocomvideos #rendaextraonline https://t.co/NojpC3BrdN</t>
  </si>
  <si>
    <t>Descubra como MILHARES DE PESSOAS ESTÃO GANHANDO DINHEIRO ASSITINDO VÍDEOS NO CELULAR 
Saiba mais aqui ⤵️ 
https://t.co/Ng9baZ0fkA…
#rendaextra #trabalharemcasa #ganhardinheiroassistindovideos #metodovideolucrativo #lucrandocomvideos #rendaextraonline https://t.co/BKc6oTpWkl</t>
  </si>
  <si>
    <t>Descubra como MILHARES DE PESSOAS ESTÃO GANHANDO DINHEIRO ASSITINDO VÍDEOS NO CELULAR 
Saiba mais aqui ⤵️ 
https://t.co/Ng9baZ0fkA…
#rendaextra #trabalharemcasa #ganhardinheiroassistindovideos #metodovideolucrativo #lucrandocomvideos #rendaextraonline https://t.co/b2pmXG3gyz</t>
  </si>
  <si>
    <t>Descubra como MILHARES DE PESSOAS ESTÃO GANHANDO DINHEIRO ASSITINDO VÍDEOS NO CELULAR 
Saiba mais aqui ⤵️ 
https://t.co/Ng9baZ0fkA…
#rendaextra #trabalharemcasa #ganhardinheiroassistindovideos #metodovideolucrativo #lucrandocomvideos #rendaextraonline https://t.co/3DlfpmnHCJ</t>
  </si>
  <si>
    <t>Descubra como MILHARES DE PESSOAS ESTÃO GANHANDO DINHEIRO ASSITINDO VÍDEOS NO CELULAR 
Saiba mais aqui ⤵️ 
https://t.co/Kx9LVSZVHV
#rendaextra #trabalharemcasa #ganhardinheiroassistindovideos #metodovideolucrativo #lucrandocomvideos #rendaextraonline https://t.co/is5HGkgGE2</t>
  </si>
  <si>
    <t>Descubra como MILHARES DE PESSOAS ESTÃO GANHANDO DINHEIRO ASSITINDO VÍDEOS NO CELULAR 
Saiba mais aqui ⤵️ 
https://t.co/Kx9LVSZVHV
#rendaextra #trabalharemcasa #ganhardinheiroassistindovideos #metodovideolucrativo #lucrandocomvideos #rendaextraonline https://t.co/W6nTz8VPEe</t>
  </si>
  <si>
    <t>Descubra como MILHARES DE PESSOAS ESTÃO GANHANDO DINHEIRO ASSITINDO VÍDEOS NO CELULAR 
Saiba mais aqui ⤵️ 
https://t.co/Kx9LVSZVHV
#rendaextra #trabalharemcasa #ganhardinheiroassistindovideos #metodovideolucrativo #lucrandocomvideos #rendaextraonline https://t.co/Dk4Mmoj2x7</t>
  </si>
  <si>
    <t>Descubra como MILHARES DE PESSOAS ESTÃO GANHANDO DINHEIRO ASSITINDO VÍDEOS NO CELULAR 
Saiba mais aqui ⤵️ 
https://t.co/Kx9LVSZVHV
#rendaextra #trabalharemcasa #ganhardinheiroassistindovideos #metodovideolucrativo #lucrandocomvideos #rendaextraonline https://t.co/VW8xyanXSj</t>
  </si>
  <si>
    <t>GANHE DINHEIRO ASSITINDO VÍDEOS NO CELULAR 
Saiba mais aqui ⤵️ 
https://t.co/ai3QtUXcSA
#rendaextra #trabalharemcasa #ganhardinheiroassistindovideos #metodovideolucrativo #lucrandocomvideos #rendaextraonline https://t.co/Ek07QmwBgm</t>
  </si>
  <si>
    <t>Descubra como MILHARES DE PESSOAS ESTÃO GANHANDO DINHEIRO ASSITINDO VÍDEOS NO CELULAR 
Saiba mais aqui ⤵️ 
https://t.co/ai3QtUXcSA
#rendaextra #trabalharemcasa #ganhardinheiroassistindovideos #metodovideolucrativo #lucrandocomvideos #rendaextraonline https://t.co/k4lhMoCTCb</t>
  </si>
  <si>
    <t>Descubra como MILHARES DE PESSOAS ESTÃO GANHANDO DINHEIRO ASSITINDO VÍDEOS NO CELULAR 
Saiba mais aqui ⤵️ 
https://t.co/ai3QtUXcSA
#rendaextra #trabalharemcasa #ganhardinheiroassistindovideos #metodovideolucrativo #lucrandocomvideos #rendaextraonline https://t.co/ed97OZ3Bj8</t>
  </si>
  <si>
    <t>Descubra como MILHARES DE PESSOAS ESTÃO GANHANDO DINHEIRO ASSITINDO VÍDEOS NO CELULAR 
Saiba mais aqui ⤵️ 
https://t.co/ai3QtUXcSA
#rendaextra #trabalharemcasa #ganhardinheiroassistindovideos #metodovideolucrativo #lucrandocomvideos #rendaextraonline https://t.co/QPokmmc5ey</t>
  </si>
  <si>
    <t>Descubra como MILHARES DE PESSOAS ESTÃO GANHANDO DINHEIRO ASSITINDO VÍDEOS NO CELULAR 
Saiba mais aqui ⤵️ 
https://t.co/ai3QtUXcSA
#rendaextra #trabalharemcasa #ganhardinheiroassistindovideos #metodovideolucrativo #lucrandocomvideos #rendaextraonline https://t.co/FAHvitaDEP</t>
  </si>
  <si>
    <t>Descubra como MILHARES DE PESSOAS ESTÃO GANHANDO DINHEIRO ASSITINDO VÍDEOS NO CELULAR 
Saiba mais aqui ⤵️ 
https://t.co/OmdocfRWDc…
#rendaextra #trabalharemcasa #ganhardinheiroassistindovideos #metodovideolucrativo #lucrandocomvideos #rendaextraonline https://t.co/zEiQ4sqXkf</t>
  </si>
  <si>
    <t>DESCUBRA COMO MILHARES DE JOVENS ESTÃO ALCANÇANDO SUA LIBERDADE FINANCEIRA ASSITINDO VÍDEOS NO CELULAR
Saiba mais aqui ⤵️ 
https://t.co/CAZaNik193…
#ganhedinheiroassistindovideos
#rendaextra #ganhardinheiro
#ganhardinheiroassistindovideos
#trabalharemcasa https://t.co/HRimZgAp7N</t>
  </si>
  <si>
    <t>DESCUBRA COMO MILHARES DE JOVENS ESTÃO ALCANÇANDO SUA LIBERDADE FINANCEIRA ASSITINDO VÍDEOS NO CELULAR
Saiba mais aqui ⤵️ 
https://t.co/CAZaNik193…
#ganhedinheiroassistindovideos
#rendaextra #ganhardinheiro
#ganhardinheiroassistindovideos
#trabalharemcasa https://t.co/bH2noPI6rj</t>
  </si>
  <si>
    <t>DESCUBRA COMO MILHARES DE JOVENS ESTÃO ALCANÇANDO SUA LIBERDADE FINANCEIRA ASSITINDO VÍDEOS NO CELULAR
Saiba mais aqui ⤵️ 
https://t.co/CAZaNik193…
#ganhedinheiroassistindovideos
#rendaextra #ganhardinheiro
#ganhardinheiroassistindovideos
#trabalharemcasa https://t.co/oe6F4eWUid</t>
  </si>
  <si>
    <t>Descubra como MILHARES DE PESSOAS ESTÃO GANHANDO DINHEIRO ASSITINDO VÍDEOS NO CELULAR 
Saiba mais aqui ⤵️ 
https://t.co/ai3QtUXcSA
#rendaextra #trabalharemcasa #ganhardinheiroassistindovideos #metodovideolucrativo #lucrandocomvideos #rendaextraonline https://t.co/lFzZvDrB7o</t>
  </si>
  <si>
    <t>Descubra como MILHARES DE PESSOAS ESTÃO GANHANDO DINHEIRO ASSITINDO VÍDEOS NO CELULAR 
Saiba mais aqui ⤵️ 
https://t.co/ai3QtUXcSA
#rendaextra #trabalharemcasa #ganhardinheiroassistindovideos #metodovideolucrativo #lucrandocomvideos #rendaextraonline https://t.co/HcRJv6z6r1</t>
  </si>
  <si>
    <t>Descubra como MILHARES DE PESSOAS ESTÃO GANHANDO DINHEIRO ASSITINDO VÍDEOS NO CELULAR 
Saiba mais aqui ⤵️ 
https://t.co/ai3QtUXcSA
#rendaextra #trabalharemcasa #ganhardinheiroassistindovideos #metodovideolucrativo #lucrandocomvideos #rendaextraonline https://t.co/mVbhvrKMSm</t>
  </si>
  <si>
    <t>Descubra como MILHARES DE PESSOAS ESTÃO GANHANDO DINHEIRO ASSITINDO VÍDEOS NO CELULAR 
Saiba mais aqui ⤵️ 
https://t.co/ai3QtUXcSA
#rendaextra #trabalharemcasa #ganhardinheiroassistindovideos #metodovideolucrativo #lucrandocomvideos #rendaextraonline https://t.co/v6GsMlqD8Q</t>
  </si>
  <si>
    <t>Descubra como MILHARES DE PESSOAS ESTÃO GANHANDO DINHEIRO ASSITINDO VÍDEOS NO CELULAR 
Saiba mais aqui ⤵️ 
https://t.co/ai3QtUXcSA
#rendaextra #trabalharemcasa #ganhardinheiroassistindovideos #metodovideolucrativo #lucrandocomvideos #rendaextraonline https://t.co/IGVeVuWOIa</t>
  </si>
  <si>
    <t>Descubra como MILHARES DE PESSOAS ESTÃO GANHANDO DINHEIRO ASSITINDO VÍDEOS NO CELULAR 
Saiba mais aqui ⤵️ 
https://t.co/ai3QtUXcSA
#rendaextra #trabalharemcasa #ganhardinheiroassistindovideos #metodovideolucrativo #lucrandocomvideos #rendaextraonline https://t.co/VztzzoYmWt</t>
  </si>
  <si>
    <t>Descubra como MILHARES DE PESSOAS ESTÃO GANHANDO DINHEIRO ASSITINDO VÍDEOS NO CELULAR 
Saiba mais aqui ⤵️ 
https://t.co/ai3QtUXcSA
#rendaextra #trabalharemcasa #ganhardinheiroassistindovideos #metodovideolucrativo #lucrandocomvideos #rendaextraonline https://t.co/IbcBC0ObDq</t>
  </si>
  <si>
    <t>✅ A sua conta do FaceBook (Real/ Pública) tem no mínimo 10 seguidores e foto de perfil?
 FAÇA UM TESTE! Ganhe #DINHEIRO!
Você não paga nada!
Clique Aqui: https://t.co/on8S6CiGtL
...
...
#Ceilândia #rendaextra #rendaboa | 
@weberede</t>
  </si>
  <si>
    <t>RT @weberede: ✅ A sua conta do FaceBook (Real/ Pública) tem no mínimo 10 seguidores e foto de perfil?
 FAÇA UM TESTE! Ganhe #DINHEIRO!
Você…</t>
  </si>
  <si>
    <t>#rendaextra #dinheiro link⬇️⬇️ https://t.co/9x1XqBaBDl https://t.co/8x0kidl8dB</t>
  </si>
  <si>
    <t>Clique no link e descobra como.
#Bitcoin
#rendaextra
#homeoficce
#ganhardinheiro
https://t.co/VuRiIz2aBT https://t.co/M5j4iIpj5U</t>
  </si>
  <si>
    <t>Joguinhos que pagam no PagBank, tragam os seus
#rendaextra</t>
  </si>
  <si>
    <t>https://t.co/kEPJ0lCYU7
#PINTOAWARD 
#rendaextra 
#PINTOAWARDSGAY 
#XOTAAWARDS 
#XOTASAWARD 
#PEITOAWARDS 
#BUNDAAWARDS https://t.co/3PGWi36nwi</t>
  </si>
  <si>
    <t>Comece a ganhar dinheiro ainda hoje !! #homeoffice #money #DomingoEspetacular #rendaextra</t>
  </si>
  <si>
    <t>Não é necessário higienizar a carne, seja bovina, peixe ou frango, com água ou qualquer outro produto. O próprio cozimento correto dos alimentos evita uma contaminação
#Receitas #culinária #Gastronomia  #Curso #RendaExtra #Dicas #Alimentos #Frutas https://t.co/yO1woqWNkS</t>
  </si>
  <si>
    <t>CURSO CUSCUZ RECHEADO APRENDA FAZER E VENDER + de 56 RECEITAS DELICIOSAS .
✅Clique nesse link:https://t.co/KDlfHjie2e e inscreva-se no nosso canal para ajudar 
#CuscuzRecheado #Receitas #Culinária #Gastronomia #Dicas #Curso #RendaExtra #ComidaNordestina https://t.co/bTDF8X2wPc</t>
  </si>
  <si>
    <t>JÁ PENSOU EM APRENDER FAZER MAIS DE 56 RECEITAS DE CUSCUZ RECHEADO GOURMET ?
NOSSO CURSO VAI TE ENSINAR COMO MONTAR SEU NEGÓCIO DE CUSCUZ RECHEADO NA SUA CIDADE .
#receitas #Culinária #Gastronomia #Comida #Dicas #CuscuzRecheado #RendaExtra #Curso https://t.co/C9TUF2uCcG</t>
  </si>
  <si>
    <t>APOSTILA CUSCUZ RECHEADO SÃO MAIS DE 56 RECEITAS + 2 BÔNUS ESPECIAIS. 
✅Clique no link no nosso perfil e saiba mais...
#Receitas #Culinária #Gastronomia #Comida #Dicas #RendaExtra https://t.co/F6vd5h4VYM</t>
  </si>
  <si>
    <t>⚠️ Atenção ⚠️ : 
 O TWITTER só irá liberar mais dicas e Receitas para quem CURTIR a foto e comentar   ☑️ Eu quero 😍 👉 e SEGUIR o PERFIL
#Receitas #culinária #Gastronomia  #Curso #RendaExtra #Dicas #Alimentos #Frutas https://t.co/m898HbZesI</t>
  </si>
  <si>
    <t>Adquira nosso curso de CUSCUZ RECHEADO e ganhe 15 receitas de CAPPUCCINO(CAFÉ) GRÁTIS. 
✅Clique nesse link: https://t.co/KDlfHjie2e e inscreva-se no nosso canal para ajudar 
#CuscuzRecheado #Receitas #Culinária #Gastronomia #Dicas #Curso #RendaExtra #ComidaNordestina https://t.co/nBEPzZ8J0S</t>
  </si>
  <si>
    <t>⚠️ Atenção ⚠️ : 
 O TWITTER só irá liberar mais dicas e Receitas para quem CURTIR a foto e comentar   ☑️ Eu quero 😍 👉 e SEGUIR o PERFIL
#receitas #Culinária #Gastronomia #Comida #Dicas #CuscuzRecheado #RendaExtra #cursodeinvestimentos https://t.co/ZOS6MyyZEh</t>
  </si>
  <si>
    <t>APOSTILA CUSCUZ RECHEADO APRENDA MAIS DE 56 RECEITAS - AO ADQUIRIR NOSSO CURSO VOCÊ VAI GANHAR + 2 BÔNUS GRÁTIS 
✅Clique nesse link:https://t.co/bGR5LTgGdd e inscreva-se no nosso canal 
#receitas #Culinária #Gastronomia #Comida #Dicas #CuscuzRecheado #RendaExtra #Curso https://t.co/CvlK39lJSP</t>
  </si>
  <si>
    <t>GANHE RENDA EXTRA NESSE SÃO JOÃO / APRENDA FAZER E VENDER CUSCUZ RECHEADO 
✅Clique no link no nosso perfil e saiba mais ou adquira seu curso 
#Receitas #Gastronomia #Culinária #Dicas #Comida #CuscuzRecheado #RendaExtra https://t.co/T7GanQVPbB</t>
  </si>
  <si>
    <t>Adquirindo nosso curso de CUSCUZ RECHEADO você vai ganhar totalmente grátis 2 bônus que irá complementar ainda mais seu negócio .
✅Clique nesse link: https://t.co/XxBQMidTTu e inscreva-se no nosso canal 
#Receitas #culinária #Gastronomia  #Curso #RendaExtra #Dicas https://t.co/djbmbH0a30</t>
  </si>
  <si>
    <t>APRENDA FAZER CUSCUZ RECHEADO COM CALABRESA E QUEIJO. CURSO COM MAIS DE 56 RECEITAS DIFERENTES. 
✅Clique nesse link: https://t.co/KDlfHjie2e e inscreva-se no nosso canal 
#CuscuzRecheado #Receitas #Culinária #Gastronomia #Dicas #Curso #RendaExtra #ComidaNordestina https://t.co/RsV8onKui1</t>
  </si>
  <si>
    <t>⚠️ Atenção ⚠️ : 
 O TWITTER só irá liberar mais dicas e Receitas para quem CURTIR a foto e comentar   ☑️ Eu quero 😍 👉 e SEGUIR o PERFIL
#Receitas #culinária #Gastronomia  #Curso #RendaExtra #Dicas #Alimentos #Frutas https://t.co/M6VqliK0Jn</t>
  </si>
  <si>
    <t>VOCÊ DESEJA APRENDER 180 RECEITAS DE CACHORRO QUENTE GOURMET ? 
AO ADQUIRIR NOSSO CURSO VOCÊ VAI GANHAR VÁRIOS BÔNUS ESPECIAIS 
#Culinária #Gastronomia #Receitas #Dicas #RendaExtra #Curso https://t.co/rxZ1qDAppP</t>
  </si>
  <si>
    <t>A apostila de CUSCUZ RECHEADO é um conjunto com 90 receitas DELICIOSAS que vão te ajudar a conseguir uma renda extra . São Mais de 56 receitas super fáceis de fazer 
#receitas #Culinária #Gastronomia #Comida #Dicas #CuscuzRecheado #RendaExtra #Curso https://t.co/59RNdj37Va</t>
  </si>
  <si>
    <t>Aprenda fazer CUSCUZ RECHEADO GOURMET e inicie seu próprio negócio com pouco investimento . São Mais de 56 Receitas de Cuscuz Recheado. 
✅Clique no link no nosso perfil e adquira seu curso 
#receitas #Culinária #Gastronomia #Comida #Dicas #CuscuzRecheado #RendaExtra #Curso https://t.co/ir2GDpslZq</t>
  </si>
  <si>
    <t>180 RECEITAS DE CACHORRO QUENTE / APRENDA FAZER HOT DOG E MOLHOS ESPECIAIS 
✅Link do curso no nosso perfil 
#CachorroQuente #Receitas #Dicas #culinária #Gastronomia #Curso #RendaExtra #HotDog #Comida https://t.co/tlycNKSdKT</t>
  </si>
  <si>
    <t>AO ADQUIRIR NOSSO CURSO DE CUSCUZ RECHEADO VOCÊ VAI GANHAR + 14 RECEITAS DE CAPPUCCINO(CAFÉ) GRÁTIS. 
✅Clique nesse link:https://t.co/XxBQMidTTu e inscreva-se no nosso canal para ajudar 
#Receitas #culinária #Gastronomia  #Curso #RendaExtra #Dicas #Alimentos #Frutas https://t.co/tfCAlwQ34q</t>
  </si>
  <si>
    <t>Curso CACHORRO QUENTE vem pra associar a técnica com a arte de Cozinhar de forma Surpreendente !
São Mais de 180 Receitas .
✅Clique nesse link: https://t.co/c6Arh9LUVw e inscreva-se no nosso canal 
#Receitas #culinária #Gastronomia  #Curso #RendaExtra #Dicas #Alimentos #Frutas https://t.co/0bpUfEtCgr</t>
  </si>
  <si>
    <t>A apostila de CUSCUZ GOURMET é um conjunto com 90 receitas DELICIOSAS que vão te ajudar a conseguir uma renda extra.
#receitas #Culinária #Gastronomia #Comida #Dicas #CuscuzRecheado #RendaExtra #Curso https://t.co/oaumXMBJKo</t>
  </si>
  <si>
    <t>CACHORRO QUENTE GOURMET / APRENDA FAZER E VENDER 180 RECEITAS DELICIOSAS 
✅Clique no link no nosso perfil e saiba mais...
#CachorroQuente #Culinária #gastronomia #Receitas #Dicas #RendaExtra https://t.co/gUY1hUeEoV</t>
  </si>
  <si>
    <t>⚠️ Atenção ⚠️ : 
 O TWITTER só irá liberar mais dicas e Receitas para quem CURTIR a foto e comentar   ☑️ Eu quero 😍 👉 e SEGUIR o PERFIL
#Receitas #culinária #Gastronomia  #Curso #RendaExtra #Dicas #Alimentos #Frutas https://t.co/yYPpxkKZDZ</t>
  </si>
  <si>
    <t>GANHE DINHEIRO FAZENDO E VENDENDO CUSCUZ NORDESTINO RECHEADOS  - APRENDA MAIS DE 56 RECEITAS 
✅Clique nesse link:https://t.co/bGR5LTgGdd e inscreva-se no nosso canal para ajudar 
#CuscuzRecheado #Receitas #culinária #Gastronomia  #Curso #RendaExtra #Dicas #Alimentos https://t.co/hNhuUW11zu</t>
  </si>
  <si>
    <t>⚠️ Atenção ⚠️ : 
 O TWITTER só irá liberar mais dicas e Receitas para quem CURTIR a foto e comentar   ☑️ Eu quero 😍 👉 e SEGUIR o PERFIL
#Receitas #culinária #Gastronomia  #Curso #RendaExtra #Dicas #Alimentos #Frutas https://t.co/aoTet05exA</t>
  </si>
  <si>
    <t>DESCUBRA COMO FAZER MAIS DE 56 RECEITAS DE CUSCUZ RECHEADO GOURMET. AO ADQUIRIR NOSSO CURSO VOCÊ GANHARÁ + 2 BÔNUS GRÁTIS. 
CLIQUE NO LINK NO NOSSO PERFIL E SAIBA MAIS...
#Receitas #culinária #Gastronomia  #Curso #RendaExtra #Dicas #Alimentos #comida https://t.co/a4uKKsLAO2</t>
  </si>
  <si>
    <t>Você já pensou em aprender as Mais Incríveis Receitas de CUSCUZ Gourmet RECHEADOS de maneira Rápida e Fácil ?
São Mais de 56 Receitas de Cuscuz Gourmet .
#receitas #Culinária #Gastronomia #Comida #Dicas #CuscuzRecheado #RendaExtra #Curso https://t.co/WMidm6Ij75</t>
  </si>
  <si>
    <t>Você já pensou em aprender as Mais Incríveis Receitas de CUSCUZ RECHEADOS de maneira Rápida e Fácil ?
✅Clique nesse link: https://t.co/bGR5LTgGdd e inscreva-se no nosso canal 
#Receitas #culinária #Gastronomia  #Curso #RendaExtra #Dicas #Alimentos #Frutas https://t.co/242nEnvbLT</t>
  </si>
  <si>
    <t>Você já pensou em aprender as Mais Incríveis Receitas de CUSCUZ  RECHEADOS de maneira Rápida e Fácil ?
✅Clique nesse link: https://t.co/XxBQMidTTu e inscreva-se no nosso canal para ajudar 
#Receitas #culinária #Gastronomia  #Curso #RendaExtra #Dicas #Alimentos #Frutas https://t.co/zjCFJBgsdK</t>
  </si>
  <si>
    <t>CURSO CUSCUZ RECHEADO APRENDA VÁRIAS RECEITAS DELICIOSAS SÃO 56 RECEITAS + 2 BÔNUS GRÁTIS. 
✅Clique nesse link: https://t.co/XxBQMidTTu e saiba mais...
#CuscuzRecheado #Receitas #Culinária #Gastronomia #Dicas #Curso #RendaExtra #ComidaNordestina https://t.co/UYflH2kL54</t>
  </si>
  <si>
    <t>DESCUBRA COMO GANHAR DINHEIRO FAZENDO E VENDENDO CUSCUZ RECHEADO - SÃO MAIS DE 56 RECEITAS .
✅Clique nesse link: https://t.co/KDlfHjie2e e inscreva-se no nosso canal para ajudar 
#CuscuzRecheado #Receitas #Culinária #Gastronomia #Dicas #Curso #RendaExtra #ComidaNordestina https://t.co/QzYZvQhWkI</t>
  </si>
  <si>
    <t>CONHEÇA NOSSA APOSTILA E APRENDA FAZER MAIS DE 56 RECEITAS DE CUSCUZ RECHEADO GOURMET 
#Receitas #culinária #Gastronomia  #Curso #RendaExtra #Dicas #Alimentos #comida https://t.co/i39adJZl6H</t>
  </si>
  <si>
    <t>O Curso Cachorro Quente vem pra associar a técnica com a arte de Cozinhar de forma Surpreendente !
São Mais de 180 Receitas de Cachorro Quente Gourmet, Tradicional e Doces .
#Receitas #culinária #Gastronomia  #Curso #RendaExtra #Dicas #Alimentos #Frutas https://t.co/aeIXXJnZmU</t>
  </si>
  <si>
    <t>VOCÊ DESEJA APRENDER 56 RECEITAS DE CUSCUZ RECHEADO GOURMET ? 
AO ADQUIRIR NOSSO CURSO VOCÊ VAI GANHAR + 2 BÔNUS GRÁTIS 
#receitas #Culinária #Gastronomia #Comida #Dicas #CuscuzRecheado #RendaExtra https://t.co/HHR68cRv9l</t>
  </si>
  <si>
    <t>A apostila de CUSCUZ  RECHEADOS foi criado pensando exatamente em como resolver o seu principal problema, GANHAR DINHEIRO 
✅Clique nesse link: https://t.co/XxBQMidTTu e inscreva-se no nosso canal para ajudar 
#Receitas #culinária #Gastronomia   #RendaExtra #Dicas #comida https://t.co/FRn8y0kpOd</t>
  </si>
  <si>
    <t>⚠️ Atenção ⚠️ : 
 O TWITTER só irá liberar mais dicas e Receitas para quem CURTIR a foto e comentar   ☑️ Eu quero 😍 👉 e SEGUIR o PERFIL
#Receitas #culinária #Gastronomia  #Curso #RendaExtra #Dicas #Alimentos #Frutas https://t.co/EyKmSXdPkI</t>
  </si>
  <si>
    <t>APRENDA FAZER E VENDER CUSCUZ RECHEADO GOURMET. SÃO MAIS DE 56 RECEITAS + 2 BÔNUS GRÁTIS. 
✅Clique nesse link:https://t.co/KDlfHjie2e e inscreva-se no nosso canal para ajudar 
#CuscuzRecheado #Receitas #Culinária #Gastronomia #Dicas #Curso #RendaExtra #ComidaNordestina https://t.co/kUYCOMeLbG</t>
  </si>
  <si>
    <t>APOSTILA CUSCUZ RECHEADO 56 RECEITAS + 2 BÔNUS GRÁTIS 
APRENDA FAZER CUSCUZ RECHEADO SABOROSOS. 
#Receitas #culinária #Gastronomia  #Curso #RendaExtra #Dicas #Alimentos #Frutas https://t.co/aIOodHMPXw</t>
  </si>
  <si>
    <t>⚠️ Atenção ⚠️ : 
 O TWITTER só irá liberar mais dicas e Receitas para quem CURTIR a foto e comentar   ☑️ Eu quero 😍 👉 e SEGUIR o PERFIL .
#Receitas #culinária #Gastronomia  #Curso #RendaExtra #Dicas #Alimentos #Frutas https://t.co/iI4ud1uQ3z</t>
  </si>
  <si>
    <t>⚠️ Atenção ⚠️ : 
 O TWITTER só irá liberar mais dicas e Receitas para quem CURTIR a foto e comentar   ☑️ Eu quero 😍 👉 e SEGUIR o PERFIL .
#Receitas #culinária #Gastronomia  #Curso #RendaExtra #Dicas #Alimentos #Frutas https://t.co/UPpFuNDXU7</t>
  </si>
  <si>
    <t>⚠️ Atenção ⚠️ : 
 O TWITTER só irá liberar mais dicas e Receitas para quem CURTIR a foto e comentar   ☑️ Eu quero 😍 👉 e SEGUIR o PERFIL .
#Receitas #culinária #Gastronomia  #Curso #RendaExtra #Dicas #Alimentos #Frutas https://t.co/ZPSqom2byE</t>
  </si>
  <si>
    <t>DESCUBRA COMO MONTAR SEU NEGÓCIO DE CUSCUZ RECHEADO 
APRENDA FAZER MAIS DE 56 RECEITAS .
✅Clique no link no nosso perfil e adquira seu curso 
#Receitas #Culinária #Gastronomia #Comida #RendaExtra #Dicas https://t.co/Y7w2LFJbgY</t>
  </si>
  <si>
    <t>APRENDA FAZER UM DOS PRATOS MAIS FAMOSOS DO NORDESTE ( CUSCUZ RECHEADO GOURMET ) APRENDA FAZER MAIS DE 56 RECEITAS 
✅Clique no link no nosso perfil e saiba mais...
#receitas #Culinária #Gastronomia #Comida #Dicas #CuscuzRecheado #RendaExtra #Curso https://t.co/FcREiYp4T0</t>
  </si>
  <si>
    <t>MÉDICO DAS FINANÇAS!
5 dicas para aumentar a tua renda…
#rendaextra #dinheiroextra #Rendimento https://t.co/h1YZxuflPs</t>
  </si>
  <si>
    <t>MÉDICO DAS FINANÇAS!
5 sinais de que você está com problemas financeiros graves…
#crise #divida #rendaextra https://t.co/2ZIM12TbJ4</t>
  </si>
  <si>
    <t>Plataforma 1day bot #p2e #plataforma #rendaextra #1daybot https://t.co/hrQhBuEU62 https://t.co/TQfkfMJ3CW</t>
  </si>
  <si>
    <t>Quer Ganhar Dinheiro💵 de Verdade Hoje 11 de setembro ?
Assista ao Vídeo ⬇️
https://t.co/NXXKAICJJe
#dinheiro #ganhedinheiro #dinheirodeverdade #rendaextra #gratis #11Septiembre #YouTubers #11deSeptiembre #VIDEOS https://t.co/ZybpNCYWma</t>
  </si>
  <si>
    <t>Busco pessoas para trabalhar em cada fazendo divulgação e envio de e-mails. Você pode ganhar entre 50 a 300 reais por semana, mas depende do seu esforço. Nós trabalhamos mediante a lei de N°6.667/13
Interessados entre em contato😊
#rendaextra #emprego #homeoffice #8DeMarzo https://t.co/MH6eekAHc2</t>
  </si>
  <si>
    <t>Procuro pessoas que tem interesse ou precisa de uma RENDA EXTRA apenas usando seu celular e receber de 50 a 200 reais⚠️⚠️⚠️
#rendaextra #homeoffice https://t.co/AlPntEHWfL</t>
  </si>
  <si>
    <t>Os filha da puta atrasam uma hora em todos os ep, sobreviviam por aparelhos com patrocínio de site aposta (#rendaextra), e ainda conseguem ser um dos melhores podcasts do Brasil. Já tá demorando pra acabar. Broxada Sinistra é brabo https://t.co/0dz1cPv66z</t>
  </si>
  <si>
    <t>Broxada é de onde eu tiro minha #rendaextra.</t>
  </si>
  <si>
    <t>Você que quer aprender mais de 10 formas de trabalhar aqui no digital, vem comigo! Transforme sua vida sem sair de casa!
CLICA NO LINK 📲
Te explico como funciona esse mercado🚀
#marketing #marketingdigital #rendaextra #vendas #negociosonline #afiliadas
https://t.co/E4UxXGlDST https://t.co/6e88DpeXue</t>
  </si>
  <si>
    <t>Venha Lucrar no automático  voce tabem⚽️
#apostasesportivas #rendaextra #mentemilionaria
#fy https://t.co/sR03qI7Ywi</t>
  </si>
  <si>
    <t>Está chegando a hora meus amigos, estão preparados para colocar o pé no acelerador ?
Nessa sexta feira live ao vivo via   2023 começou e o caminho do green está aqui na starbets 💫
#dinheiro #rendaextra #apostasesportivas #bet365
#dubai🇦🇪 #dubaimall #dubai #empreendedorismo https://t.co/zZknLfyUVw</t>
  </si>
  <si>
    <t>NÃO PARE #ruyter #ruyterpoubel  #rendaextra #motivacional https://t.co/qXX658LCG4 via @YouTube</t>
  </si>
  <si>
    <t>Reflita nisso… #ruyter #ruyterpoubel #rendaextra https://t.co/5pfNqfRdeP via @YouTube</t>
  </si>
  <si>
    <t>Avalie roupas no atacado e revenda pelo melhor preço do mercado!
O objetivo deste projeto é analisar o atendimento, técnicas de vendas e orçamento de uma loja de roupas com foco em moda feminina.
🔎 https://t.co/DaGGvCfbZc 
#clienteoculto #roupafeminina #rendaextra https://t.co/Y2wt83Xmj9</t>
  </si>
  <si>
    <t>Alguns freelancers são coisa do passado
Agora a moda é, avaliar no privado 🕵️😎
Seja um cliente oculto conosco! #rendaextra 
https://t.co/fUKMi0RSuX https://t.co/ElCUts5faX</t>
  </si>
  <si>
    <t>Pra poder tirar férias o dia que eu quiser.... #marketingdigital #sucesso #rendaextra #motivacao https://t.co/2hBinQBFTx</t>
  </si>
  <si>
    <t>Você sabia que é possível ganhar dinheiro sem precisar sair de casa? Usando apenas o celular que está na sua mão. Qualquer dúvida estou à disposição.  
https://t.co/q6tWOfFeMw 
#ondecomprar #rendaextra #afiliados #maededois #ondecompro #mulheres #maes https://t.co/tnYVeo82ih</t>
  </si>
  <si>
    <t>Pagando muito 🤑 #slots #pg #dinheiro #pix #rendaextra #tt #pixinternet #BDSP https://t.co/Z5NIhMf5OI</t>
  </si>
  <si>
    <t>GRUPO DE DIVULGAÇÃO, ESTRATÉGIAS, LANÇAMENTOS E GANHOS NOS COMENTÁRIOS
#slots #renda #slotspg #tigrepg #dinheiro #rendaextra #slotss #cassino #ganhardinheiro #가을의_입맞춤_속_태어난_연준이 https://t.co/UgLmScKrRw</t>
  </si>
  <si>
    <t>DHgate: Your Ultimate Online Marketplace for Wholesale Products
https://t.co/602O9mVHcr
#dhgate #mercadolivre #negocio #olx #facebook #vendasonline #vendaspelainternet #importareua #aprenderimportar #empreender #ganhardinheiro #amazondeals #rendaextra</t>
  </si>
  <si>
    <t>Todos os segredos para você lucrar na Páscoa!
Promoção por tempo limitado...
👇clique aqui
https://t.co/VRg53BqvVh
#pascoa
#ovodepascoa
#rendaextra
#chocolate https://t.co/7HqSYLtjcd</t>
  </si>
  <si>
    <t>Aprenda a operar e a pensar com uma baleia! #stacks #bitcoin #Binance #rendaextra #criptomoedas https://t.co/P22kG1LhCM</t>
  </si>
  <si>
    <t>Fica ligada ⚠️
#querotrabalhar
#querotrabalho
#querocomprar
#ondecomprar
#querodinheiro
#ondetrabalhar
#trabalho
#rendaextra
#renda #pensao #pensaoalimenticia
#independenciafinanceira https://t.co/SCR3UXcoL5</t>
  </si>
  <si>
    <t>💥 Assista uma aula grátis e saiba mais
⬇️⬇️⬇️
https://t.co/lslHZixLGk
#rendaextraemcasa 
#rendaextraonlineagora 
#trabalhedecasa 
#afiliadosiniciantes  
#trabalhecomseucelular https://t.co/YR1Ic1bxvx</t>
  </si>
  <si>
    <t>Sou uma representante da M.B.R e estou em busca de pessoas que queira aprender mais sobre o #MarketingDigital e aprender a ter uma #rendaextra apenas com o celular.</t>
  </si>
  <si>
    <t>#oleosessenciais #rendaextra</t>
  </si>
  <si>
    <t>#rendaextra #homeoffice #studytwtbr #fandombr</t>
  </si>
  <si>
    <t>#rendaextra
TÁ PAGANDO❤️💶✅GANHE R$10 C/ BCGAME! E GANHE INDICANDO TAMBÉM!
Não precisa depositar nada, nao tem Rollover.
https://t.co/dheEBFvQxw</t>
  </si>
  <si>
    <t>Empreendedorismo: o caminho para a renda e independência financeira.
Se você acredita no poder de criar o seu próprio futuro, junte-se a mim nessa jornada! #empreendedorismo #rendaextra #sucesso #liberdadefinanceira</t>
  </si>
  <si>
    <t>https://t.co/HiYcTuIEZf
 Pessoal Souza filiada da shopee cada coisa mais top. Que as outras
#rendaextra https://t.co/dZ3vLdo1QJ</t>
  </si>
  <si>
    <t>Você quer vender sem parar por 24 horas? 
Esse conteúdo pode te ajudar
https://t.co/dehHZLqVSb
#Vender #vendaem24horas #venda #rendaextra
#TwitterFiles</t>
  </si>
  <si>
    <t>Para um iniciante encontrar muitas empresas, preços, tickers e códigos que mudam com frequência na tela é meio complicado. E, de fato, começar nesse mercado não é exatamente uma tarefa simples.
#rendaextra #investimentoemações #ganhardinheiro #investirinteligentemente https://t.co/aVzcqPKSxt</t>
  </si>
  <si>
    <t>Está cansado de ganhar pouco dinheiro e não conseguir alcançar suas metas financeiras? Então, esta é a oportunidade perfeita para você! Neste vídeo, mostraremos como você pode ganhar uma renda extra significativa com apenas 25 reais investindo no mercado de ações.
#rendaextra</t>
  </si>
  <si>
    <t>Despertando o Poder da Consciência para Materializar a Energia Cósmica.
#RendaExtra #TrabalhoRemoto #DinheiroFácil #Encontros https://t.co/IyyEAXmbJ5</t>
  </si>
  <si>
    <t>Autoconhecimento Profundo. Para Canalizar a Energia Cósmica.
#RendaExtra #TrabalhoRemoto #HomeOffice #SaúdeeBeleza #PoderdaMente https://t.co/AZM3KMbiWP</t>
  </si>
  <si>
    <t>Sua fonte confiável de informações sobre Marketing Digital, NFTs, Criptomoedas, Tecnologia da Informação, Trabalho Remoto e Consultoria Financeira. Aprenda com os nossos artigos, dicas e tutoriais e fique por dentro das tendencias do mercado.
https://t.co/mqqbPx7AnH
#RendaExtra https://t.co/vcSATcWI4b</t>
  </si>
  <si>
    <t>https://t.co/TN1IfmDSia #RendaExtra</t>
  </si>
  <si>
    <t>Esse aplicativo tá pagando  para ler ou baixar jogos, sem investir nada! Aproveita enquanto tá pagando ☺️
Link do app👇🏻
https://t.co/ultiXgy3Zt
#rendaextra
#novelah
#dinheiro 
#fypviraltwitter 
#fypage https://t.co/Wj6YkRTPDr</t>
  </si>
  <si>
    <t>Voce que esta presisando fazer uma RENDA EXTRA E NAO SABE COMO !! Seu problema acabou eu tô com exatamente que vc precisa !! FAÇA SUA PRIMEIRA VENDA
COMO AFILIADo SEM PRECISAR APARECER, E SEM PRECISAR DE ESTRUTURAS COMPLEXAS
https://t.co/WflSir7wbe
#rendaextra</t>
  </si>
  <si>
    <t>Tesouro Direto para aposentadoria atrai mais de 50 mil investidores e mostra que brasileiro quer começar a receber renda o quanto antes
#Aposentadoria #rendaextra #TesouroDireto
https://t.co/gKXRsIbJUN</t>
  </si>
  <si>
    <t>#Afiliado #rendaextra #parceiro #divulgador #marketing #MarketingDigital #Brasil 
Clique Aqui e tenha mais informações 👉 https://t.co/UviLXpEtbW https://t.co/YSDCIF5203</t>
  </si>
  <si>
    <t>Uma CLIENTE OCULTA passando aqui! 
Sim, é verdade! Nós existimos!
#rendaextra
#clienteoculto https://t.co/JgfaRWTDxt</t>
  </si>
  <si>
    <t>Conheça #aplicativos que te ajudam a ganhar #dinheiro com #rendaextra . 
As oportunidades são para sistemas #android e #ios .
Veja matéria completa em https://t.co/0NNCyV30IQ
🤳🫵💵🖥️🔌🌎☺️ https://t.co/6st02Uqm3A</t>
  </si>
  <si>
    <t>#ondecomprar #rendaextra #bolodedepote
Dê uma olhada neste curso de bolo de pote e aprenda  como ter  uma renda extra trabalhando no conforto de sua casa .
Acesse o Link abaixo .
https://t.co/n1hD1mAg9Q https://t.co/SBoU3ecEET</t>
  </si>
  <si>
    <t>O que fazer se você caiu no golpe da renda extra por PIX:
https://t.co/jh2aB5JGy2
#golpe #rendaextra #pix #fraude</t>
  </si>
  <si>
    <t>Quer aprender a GANHAR DINHEIRO? Descubra a DIFERENÇA entre Renda do Tra... https://t.co/N3n6KuA29N via @YouTube
#dinheiro #renda #rendaextra #investimentos #ações #fiis #financas #financaspessoais #educacaofinanceira</t>
  </si>
  <si>
    <t>Tenho como ajudar você que precisa de uma renda extra. Me chama #rendaextra #dinheiro</t>
  </si>
  <si>
    <t>JONVLOGS PASSOU NOVO APLICATIVO PARA GANHA DINHEIRO COM CLIPES
#jonvlogs #jonvlogsclip #twitter #dinheiro #clipes #rendaextra #dinheirocominternet https://t.co/gcBygNt9ob</t>
  </si>
  <si>
    <t>✅Ganhe Muito Dinheiro TOTALMENTE GRÁTIS, esse evento é Oficial e totalmente exclusivo. Para participar é muito fácil.
1 - Curta esta publicação
2 - Marque 3 amigos nos comentários
3 - Link do Evento https://t.co/U7jlGcSr9K 
#rendaextra #criptomoedas #dinheiroonline #PepeCoin https://t.co/38fkZLJ6WC</t>
  </si>
  <si>
    <t>Aplicativo da Gotchosen pagando por publicar vídeos e interagir com outras pessoas. As gotcoins aparecem na hora. #rendaextra #renda boa !
https://t.co/Owv3fhvf7D</t>
  </si>
  <si>
    <t>Seja um Franqueado Ara Solution e ofereça rastreadores com tecnologia 4G aos seus clientes.
Acesse https://t.co/fDlQNzlmxb
#empreendedorismo #proprionegocio #meunegocio #propriopatrao #arasolution #empreender #rendaextra #franquia #microfranquia #franquiahomeoffice https://t.co/W3ZfJPdBSV</t>
  </si>
  <si>
    <t>Já começamos bem o dia 💥💥💥 
Venha comigo e garanta sua renda extra! 
Se ainda não conhece… aqui está o link para acessar a plataforma: https://t.co/MSB9ubHBxC
#fortunetiger #dinheiro #rendaextra https://t.co/L5eYM6yh0z</t>
  </si>
  <si>
    <t>Quer conquistar bons lucros nos seus investimentos?Então você precisa entender o que são os proventos!
Confira agora mesmo como eles funcionam e saiba como conquistar rendimentos incríveis:
https://t.co/oHVZjcCitk
#investimentos #proventos #rendaextra #finanças #RendaVariável</t>
  </si>
  <si>
    <t>O que você acha de receber uma notificação desse?
Que saber mais e só click no link abaixo👇
https://t.co/xwCyNLJCvu 
#Marketing #MarketingDigital #rendaextra #Independencia
#Mulheresindependentes https://t.co/CA7qwZbcx0</t>
  </si>
  <si>
    <t>Um pouquinho sobre mim😊🙃#marketingdigitalbrasil
#indepenciafinanceira
#afiliados #rendaextra https://t.co/QCs9LtAxJc</t>
  </si>
  <si>
    <t>Clique para me ajudar! Só falta um pouquinho para ganharmos bônus de até R$51,10 juntos~ https://t.co/rlSdeTmnH6
#AgnharDinheiro #RENDAEXTRA #AUTONOMO</t>
  </si>
  <si>
    <t>Você sabia que pode ganhar dinheiro usando apenas seu celular? Parece um sonho né? Mas isso é totalmente possivel. Eu gostaria de apresentar a chave para o seu sucesso. Clique e saiba com mini curso gratuito
https://t.co/rYUQdgE7eG
#rendaextra #MarketingDigital #Google https://t.co/whrGkdMNEJ</t>
  </si>
  <si>
    <t>Encontrei um aplicativo divertido que permite ganhar dinheiro apenas jogando jogos simples, eu já retirei meu dinheiro algumas vezes, venho ganhar dinheiro juntos! #ondecompro #rendaextra #joguinho 
https://t.co/jSoO54ql36 https://t.co/YI1xSDaM0x</t>
  </si>
  <si>
    <t>Renda Extra 💰, vendas on-line a partir do seu celular 📲 Link 👇
https://t.co/prnlR2bC9U
#rendaextra #vendasonline #mercadoafiliados #rendaemcasa #MarketingDigital #negociosonline #MarketingSuccess #rendaonline https://t.co/S28oiaLlZq</t>
  </si>
  <si>
    <t>Negócios na Internet 🧑‍💻
Conheça o Mercado de Afiliados 🪙
Fórmula da mudança 💻👇
https://t.co/DlJLdbwSqF
#negociosonline #NegóciosDigitais #rendaonline #rendaextraonline #mercadoafiliados #extraonline #rendaextraemcasa #extrainternet</t>
  </si>
  <si>
    <t>Você que deseja ganhar uma renda extra,vamos aproveitar a páscoa e investir em algo que vire lucro. Aprenda agora  Por um valor acessível você consegue! Dê uma olhadinha e desfrute e lucre com nosso e-book 
https://t.co/x3nef1A0ox 
#chocolateday2023 
#pascoa #rendaextra #vender</t>
  </si>
  <si>
    <t>Envie-lhe um bônus. Baixe o Hábito Presente por até R$ 100 à vista e R$ 5 por dia.https://t.co/L4yJKTspuI 
Receba pix diário.
#pixgratis #rendaextra
#trabalheemcasa 
#PlatanoPower #보이즈플래닛 #ShadowAndBone https://t.co/F0SPCIZuBP</t>
  </si>
  <si>
    <t>"A renda extra não só aumenta sua renda, mas também sua autoconfiança e independência financeira." - Brian Tracy
#rendaextra
#empregos 
#trabalharcomelular
#trabalhandoemcasa</t>
  </si>
  <si>
    <t>Existem várias maneiras de ganhar uma #rendaextra durante o #CarnavalesFelices2023 #CarnavalNaGlobo  #CarnavalesSeguros2023 , dependendo dos seus interesses e habilidades, #oportunidade de #ganhar #dinheiro. 
https://t.co/2dxfZlOtmt https://t.co/SmXG7ovu8m</t>
  </si>
  <si>
    <t>Quer aprender trabalhar com marketing digital?
Trabalhar sem sair de casa?
🔥 INFORMAÇÕES SOBRE O TREINAMENTO 
✔️O treinamento possui 27 módulos com 187 aulas.
✔️13, desses 27  módulos, sendo bônus!🥰
✔️E possui mais de 12 horas de conteúdo!😁
#rendaextra #Marketing https://t.co/pUWw0oVyjZ</t>
  </si>
  <si>
    <t>@EdRaposo_ Essa é fácil amiguxo...
O bicho papão alimentado pelo próprio Roger Walters voltou para papar ele.
Nhac.. 
#RendaExtra
#Blaze</t>
  </si>
  <si>
    <t>@lilvinicinho #PrayForBlaze COVARDIA #RendaExtra</t>
  </si>
  <si>
    <t>Tenha uma renda extra com a Honeygain. #Honeygain #rendaextra 
https://t.co/E2W22CobAo https://t.co/ROXcu3DTQF</t>
  </si>
  <si>
    <t>Receba 100 reais de graça só Precisa de 4 amigos para sacar 🔥💸💵 
Aproveite  e me ajudem : https://t.co/sgwZkYTJjj
#AFRODHIT #ViettoNoVasco #MTVMIAW2023 #Dinheiro #rendaextra https://t.co/y5jPnyp2lf</t>
  </si>
  <si>
    <t>Saca Agr 100 reais Convide Deus amigos pra te ajudar 💸💰💵
#ViettoNoVasco #Dinheiro #MTVMIAW2023 #brasil #rendaextra #pix https://t.co/MUioBUG3oy</t>
  </si>
  <si>
    <t>Receba Dinheiro Convide seus amigos e saca 100 reais 💵💸💰
https://t.co/sgwZkYTJjj
#rendaextra #dinheiro #Brasil https://t.co/nmKgNIdYX5</t>
  </si>
  <si>
    <t>Próximos horários galera, Fortune tiger 🐯💰🔥
19:05
19:09
19:11
19:13
19:19
19:25
19:31
19:44
19:49
19:55
Lembrando que esses horários são apenas para essa plataforma 💰🐯👉🏻 https://t.co/bWyYcMwu5J…
#rendaextra #dinheirofacil #cassino #tiger #fortunetiger #riorush</t>
  </si>
  <si>
    <t>Próximos horários galera :
12:06 12:41 12:56 13:01 13:10 13:17 13:37 14:00 14:45 14:54 14:55 
Lembrando que esses horários são apenas para essa plataforma 💰🐯👉🏻 https://t.co/bWyYcMwu5J…
#rendaextra #fazendodinheiro #dinheirofacil #cassino #tiger #fortunetiger #riorush</t>
  </si>
  <si>
    <t>hoje vai bater as metas esses horários galera :
11:12 11:58 11:59 12:06 12:41 12:56
Lembrando que esses horários são apenas para essa plataforma 💰🐯👉🏻 https://t.co/RMB52a09KE
#rendaextra #fazendodinheiro #dinheirofacil #cassino #tiger #fortunetiger #riorush</t>
  </si>
  <si>
    <t>Próximos horários que vai dar bug no tigre são : 08:00, 08:21, 08:33 e 08:43 🤑💰🐯
#RendaExtra</t>
  </si>
  <si>
    <t>Sinais Aviator Vip
Você ganhou um teste grátis,
link de acesso do robô:
https://t.co/9LV6bSHrGo
Adquira o Vip 👇
https://t.co/NC7uQlvYJK
#investimento #rendaextra #ganhardinheiro #brasil #futebol #apostas #Blaze https://t.co/bwqipqhc9f</t>
  </si>
  <si>
    <t>Grupo Vip no telegram aberto agora 👇
https://t.co/fntkUz1YJ9
#brasil #blaze #betano #cassino #aposta #rendaextra https://t.co/Bne39v3ApT</t>
  </si>
  <si>
    <t>⚠️ TESTE GRÁTIS ⚠️
Com esse sistema estamos conseguindo analisar as tendências e prever resultados no Aviator 🛩️🤑
Link de acesso 👉 https://t.co/gBgZDKiu0x
#rendaextra #ganhar #radioitalia https://t.co/rKlMfmLC7t</t>
  </si>
  <si>
    <t>Sinais Aviator Vip
Você ganhou um teste grátis,
link de acesso do grupo no telegram:
https://t.co/Sv9aLrb2po
Adquira o Vip 👇
https://t.co/Bl9UJfsiBc
#brasil #blaze #betano #apostas #rendaextra #investir</t>
  </si>
  <si>
    <t>Sinais Aviator Vip
Você ganhou um teste grátis,
link de acesso:
https://t.co/rbMLEgN96l…
Adquira o Vip 👇
https://t.co/Bl9UJfsiBc
#ganhar #sinaisaviator #jogos #apostar #rendaextra #ganhardinheiro #ChatGPT https://t.co/q05IilFUBo</t>
  </si>
  <si>
    <t>Sinais Milionários Roleta Brasileira
Você ganhou um acesso, link de entrada 👇
https://t.co/bFfnEtklcb
#brasil #investimento #rendaextra https://t.co/V8EmGdI8zU</t>
  </si>
  <si>
    <t>Sinais Aviator Vip
Você ganhou um teste grátis,
link:
https://t.co/gBgZDKiu0x
Adquira o Vip 👇
https://t.co/NC7uQlvYJK
#ganhar #sinaisaviator #jogos #apostar #rendaextra #ganhardinheiro #ChatGPT https://t.co/ZePhy9peoT</t>
  </si>
  <si>
    <t>Cadastre-se 🤞👉 https://t.co/7cJCGgNeXq
#bonus #jogos #rendaextra #futebol #esporte #greenbets #cassino https://t.co/XbgPsOzwLR</t>
  </si>
  <si>
    <t>Alfa 2843%  https://t.co/a57iULP0zb #forex #forextrading #forexconsultorexpertbr #analisetecnica #analisegrafica #forextrader #mercadofinanceiro #vidadetrader #investimentos #criptomoedas #bitcoin #somostraders #traders #swingtrade #daytrade #bolsadevalores #rendaextra #swingtr… https://t.co/AC0Cn6xYtt</t>
  </si>
  <si>
    <t>Social https://t.co/a57iULP0zb #forex #forextrading #forexconsultorexpertbr #analisetecnica #analisegrafica #forextrader #mercadofinanceiro #vidadetrader #investimentos #criptomoedas #bitcoin #somostraders #traders #swingtrade #daytrade #bolsadevalores #rendaextra #swingtrade https://t.co/JTpnxCtDiK</t>
  </si>
  <si>
    <t>🏆🥇Top 1 https://t.co/a57iULP0zb #forex #forextrading #forexconsultorexpertbr #analisetecnica #analisegrafica #forexbrasil #mercadofinanceiro #vidadetrader #investimentos #criptomoedas #bitcoin #somostraders #traders #swingtrade #daytrade #bolsadevalores #rendaextra #swingtrade https://t.co/vrYFD6d2FA</t>
  </si>
  <si>
    <t>Saiba mais https://t.co/rVhbESzJRd #forex #forextrading #forexconsultorexpertbr #analisetecnica #analisegrafica #forextrader #mercadofinanceiro #vidadetrader #investimentos #criptomoedas #bitcoin #somostraders #traders #swingtrade #daytrade #bolsadevalores #rendaextra #swingtrade https://t.co/7kZ2PNFdB3</t>
  </si>
  <si>
    <t>🏆🥇Top 1 https://t.co/UqNGGxRTMZ #forex #forextrading #forexconsultorexpertbr #analisetecnica #analisegrafica #forexbrasil #mercadofinanceiro #vidadetrader #investimentos #criptomoedas #bitcoin #somostraders #traders #swingtrade #daytrade #bolsadevalores #rendaextra #swingtrade https://t.co/MCCJrjKNz7</t>
  </si>
  <si>
    <t>Na TNP todo mundo ganha
Cadastre-se Hoje Gratuitamente: 
https://t.co/d2Q2l9TfYl
#rendaonline #TNPbusiness #ganharemcasa #trabalhoemcasa #rendaextra #afiliado #marketing  #marketingdigital https://t.co/zJExn87I9G</t>
  </si>
  <si>
    <t>Na TNP todo mundo ganha
Cadastre-se Hoje Gratuitamente: 
https://t.co/d2Q2l9TfYl
#rendaonline #TNPbusiness #ganharemcasa #trabalhoemcasa #rendaextra #afiliado #marketing  #marketingdigital https://t.co/E0PhzPC4s1</t>
  </si>
  <si>
    <t>⚠Reconhecimento
💡Consideração
🎯Decisão
Em qual passo você está?
 #marketingonline #brasil #dise #digital #design #rendaextra #emprendedores #love #hotmart #dinheiro #like #advertising #marketingdigitalbrasil #seo https://t.co/41hPNOiwex</t>
  </si>
  <si>
    <t>#Curiosidades #renda #rendaextra #ganhardinheiro #empreendedorismo https://t.co/mOXVh3LoIu</t>
  </si>
  <si>
    <t>https://t.co/S2cstN5v7b
#jogos #rendaextra #ganharjogando #Brasil #games</t>
  </si>
  <si>
    <t>E aí? Qual você prefere?
#escolha #escolhaquemuda #mudanca #mudardevida #rendaextra #tradercomresultado #saladesinais #ingredraisa https://t.co/KXYAWnb8zZ</t>
  </si>
  <si>
    <t>"Descubra incríveis oportunidades de renda extra com apenas um clique! 👉💰 Acesse nosso link na bio e comece a ganhar dinheiro de forma flexível e segura! 💼✨ Não deixe essa oportunidade passar, corra e garanta sua fonte de renda adicional agora mesmo! 💸🔥 #RendaExtra #kiwify https://t.co/MOv81wIOJt</t>
  </si>
  <si>
    <t>Só ganha Quem arrisca...
Aproveita que tá pagando
https://t.co/GpfACC3vYG
#Lucro #rendaextra #top #sorte #Brasil #joga https://t.co/uQDoN97iJ7</t>
  </si>
  <si>
    <t>Curso de Design - Criando um RG Pet Original do absoluto zero sem precisar baixar esses modelos prontos da Internet. 
Venham nos conhecer, e se apaixonar com essa nova profissão😃❤️
#designer #Curso #criativo #inovador #rgpet #rganimal  #rendaextra #lucrativo #viralvideo https://t.co/pqLz5erWwD</t>
  </si>
  <si>
    <t>Teaser Dom Investidor. Aqui você irá receber muito conteúdo de qualidade sobre Investimentos, Negócios, Renda extra e Independência Financeira.  Esse é só o começo, espero que vocês gostem, muito obrigado. #investimentos #liberdadefinanceira #negocios #rendaextra https://t.co/guy8cbWlXi</t>
  </si>
  <si>
    <t>Veja este vídeo do Instagram de @miguelnogueirabtc https://t.co/ejuGkVsWoj 
#brasil #sucesso #blockchain #dinheiro #investimento #trader #bitcoin #foco #blockchain #criptomoedas #binance #liberdadefinanceira #rendaextra</t>
  </si>
  <si>
    <t>Algumas ideias para você:
- marketing digital;
- ações e investimentos;
- aplicativos;
- blogs.
Faça parte da comunidade: https://t.co/0x0NaIDFnb
#movaseempreendedor #comunidadeempreendedora #empreendedor #empreendedora #empreendedorismo #rendaextra https://t.co/wbD5lOCyFd</t>
  </si>
  <si>
    <t>Não fique dependente só do seu emprego como fonte de renda. Busque fontes de renda extra! #rendaextra #ganhardinheiro https://t.co/4HYqZe32vM</t>
  </si>
  <si>
    <t>Você já conhecia essa opção de #RendaExtra ou achava que era golpe?
Compartilhe esse conteúdo com quem precisa💜
Tem mais aqui: https://t.co/YuwGIJVSn7 https://t.co/JtubEYVFrW</t>
  </si>
  <si>
    <t>👉 4 Estratégias para alavancar seu patrimônio:
1️⃣ Controle seus gastos;
2️⃣ Faça mais dinheiro por meio de uma renda extra;
3️⃣ Transforme renda extra em renda passiva;
4️⃣ Faça um investimento que ganhe da inflação.
.
.
.
#finanças
#investimentos #rendaextra #dinheiro</t>
  </si>
  <si>
    <t>Enquanto isso vou ganhando dinheiro enquanto leio livros.
https://t.co/cEXEX53rQL
#novelah #rendaextra #ganhandodimdim #desejoimortal</t>
  </si>
  <si>
    <t>Comente eu quero. Que eu te envio um link com três aulas gratuitas para começar a lucrar ainda hoje
#rendaextra #mudançarealdevida https://t.co/2VN5ktsgfF</t>
  </si>
  <si>
    <t>Que tal lucrar hoje ?????
 Clique para me ajudar! Só falta um pouquinho para ganharmos bônus de até R$51,10 juntos
#dinheiro #money #extra #rendaextra
 https://t.co/PoW4oQ46Ky</t>
  </si>
  <si>
    <t>Seu futuro só depende de você! 
Vai correr atrás ou vai ficar parado?
Posso te ajudar! 👉🏼 https://t.co/HPKx5k3zjB
#DOGE #Marketing #marketingdigital #milionario #million #rendaextra #dinheiro https://t.co/zEBY87QNS1</t>
  </si>
  <si>
    <t>Seu futuro só depende de você! 
Vai correr atrás ou vai ficar parado?
Posso te ajudar! 👉🏼 https://t.co/HPKx5k3zjB
#DOGE #Marketing #marketingdigital #milionario #million #rendaextra #dinheiro https://t.co/spUuvQeQzW</t>
  </si>
  <si>
    <t>Seu futuro só depende de você! 
Vai correr atrás ou vai ficar parado?
Posso te ajudar! 👉🏼 https://t.co/HPKx5k3zjB
#DOGE #Marketing #marketingdigital #milionario #million #rendaextra #dinheiro https://t.co/YtCW1QAiN7</t>
  </si>
  <si>
    <t>Seu futuro só depende de você! 
Vai correr atrás ou vai ficar parado?
Posso te ajudar! 👉🏼 https://t.co/HPKx5k3zjB
#DOGE #Marketing #marketingdigital #milionario #million #rendaextra #dinheiro https://t.co/kdNF5ahqcY</t>
  </si>
  <si>
    <t>Seu futuro só depende de você! 
Vai correr atrás ou vai ficar parado?
Posso te ajudar! 👉🏼 https://t.co/rVLkqphXmC…
#DOGE #Marketing #marketingdigital #milionario #million #rendaextra #dinheiro https://t.co/IlDELHuCVO</t>
  </si>
  <si>
    <t>Seu futuro só depende de você! 
Vai correr atrás ou vai ficar parado?
Posso te ajudar! 👉🏼 https://t.co/rVLkqphXmC…
#DOGE #Marketing #marketingdigital #milionario #million #rendaextra #dinheiro https://t.co/ASPWnHJaF2</t>
  </si>
  <si>
    <t>Seu futuro só depende de você! 
Vai correr atrás ou vai ficar parado?
Posso te ajudar! 👉🏼 https://t.co/HPKx5k3zjB
#DOGE #Marketing #marketingdigital #milionario #million #rendaextra #dinheiro https://t.co/BbN1ulBiGh</t>
  </si>
  <si>
    <t>Vem Saber mais como Lucrar com marmitas #marmita #saudavel #fitness #rendaextra https://t.co/keK1zj0gyN</t>
  </si>
  <si>
    <t>Tourinho tentou me trocar,mas peguei ele de jeito..
Jogue aqui: https://t.co/LNULyqXxml
Recarga para jogar : R$ 30
Saque á partir: R$ 50
#slot #slotonline #slotspg #gamergirl #gamers #joguinhos #rendaextra #ganhardinheiro #cassino https://t.co/1CP1AWLzOb</t>
  </si>
  <si>
    <t>E vamos à organização da agenda semanal.
#empreendedorismo #empreendedorismodigital #rendaresidual #rendaextraonline #rendaextra #homeoffice #vendadireta #mmn https://t.co/kItPduxnnI</t>
  </si>
  <si>
    <t>Vai ficar de fora?👀 O @PaparazzoRN  já passou a dica! Só bora!
Entre no link da bio e participe!
#6de6 #bolada6de6 #PalpitesDeFutebol #consolação #ganhador #rendaextra https://t.co/xTBpqR9zix</t>
  </si>
  <si>
    <t>Lembrando que temos vencedores toda rodada, jogue semanalmente o 6de6 e se você não se cadastrou ainda, #VemPro6de6! Jogue grátis e concorra a R$250.000,00! 🤑
https://t.co/xJOHXzSRwr
#6de6 #palpitesdefutebol #rendaextra #ganhador #consolacao</t>
  </si>
  <si>
    <t>Numa escala de 1 a 6 de Roberto Carlos, qual representa mais o seu finde? 😁🤨😡
Escolha de 1 a 6 e conte pra gente nos comentários! 👇
#6de6 #vempro6de6 #palpitesdefutebol 
#rendaextra #ganhador #consolacao https://t.co/xHCNy61CAm</t>
  </si>
  <si>
    <t>Seus palpites deram match com as parciais? Conta pra gente nos comentários, como você tá indo na rodada 12?
Confira como estão os seus jogos: https://t.co/gNGLHkv2m6
#6de6 #vempro6de6 #palpitesdefutebol #rendaextra #ganhador #consolacao https://t.co/M9y2RJ2cMi</t>
  </si>
  <si>
    <t>3º lugar - Helder da Bet - 12 pontos - 15 cartões
4º lugar - Joy Ferreira - 9 pontos - 23 cartões
5º lugar - Mauro Sant'Anna - 28 cartões
6 º lugar - @PaparazzoRN  - 30 cartões
#6de6day #vempro6de6 #palpitesdefutebol #rendaextra #rodadaextra #ganhador #consolacao</t>
  </si>
  <si>
    <t>⚠️ Atenção, palpiteiros! Nós tivemos um problema na publicação das datas dos jogos e por conta disso tivemos que refazer a rodada 10, mas a que está no link já está certinha! É só entrar e jogar grátis!  
#6de6 #ganhador #palpites6de6 #consolacao #rendaextra</t>
  </si>
  <si>
    <t>Alô, palpiteiros! O gabarito da rodada 9 chegou!
Conta pra gente, quantos pontos você fez nessa rodada, foi melhor que seus amigos? Comenta aí!
https://t.co/gNGLHkv2m6
#6de6 #vempro6de6 #palpitesdefutebol #rendaextra #rodadaextra #ganhador #consolacao https://t.co/EMM9ueq8uJ</t>
  </si>
  <si>
    <t>E aí, tá mandando bem? Assim está o resultado parcial da rodada 9. Conta pra gente, já cravou algum palpite? 🤑
#6de6 #vempro6de6 #rendaextra #palpitesdefutebol #boladadarodada #ganhador #consolacao https://t.co/g5wYJNuMp3</t>
  </si>
  <si>
    <t>Tem gente enchendo o bolso com o 6de6 e você tá aí dando mole?! 😱 Bora faturar! 🤑 A 6ª rodada está aberta e você já pode deixar os seus palpites. Corre no link da bio! 🏃‍♀️🏃🏻‍♂️
#6de6 #bolada6de6 #PalpitesDeFutebol #consolação #ganhador #rendaextra https://t.co/5rABdKNKNv</t>
  </si>
  <si>
    <t>Atenção! A rodada 6 já está disponível. Faça os seus palpites e concorra a bolada! E melhor, é grátis! 🤑
Jogue agora: https://t.co/gNGLHkvAbE
#6de6 #bolada6de6 #PalpitesDeFutebol #consolação #ganhador #rendaextra https://t.co/kcfps6Ewcu</t>
  </si>
  <si>
    <t>Confira os três primeiros resultados da rodada 5. Empate do Liverpool, goleada do Milan e vitória do Botafogo no clássico diante do Fluminense. Como você está se saindo? 
Veja: https://t.co/gNGLHkv2m6
#6de6 #bolada6de6 #PalpitesDeFutebol #consolação #ganhador #rendaextra https://t.co/7jhyD03YaH</t>
  </si>
  <si>
    <t>NÃO VALE DAR COLA, HEIN! Já sabe quem é? 
👇 Conta pra gente a sua resposta!
Quer concorrer a R$250.000,00 palpitando de graça?💰 É só clicar no link na bio! 😉
#6de6 #vempro6de6 #palpitesdefutebol 
#rendaextra #ganhador https://t.co/DLytb9xbL6</t>
  </si>
  <si>
    <t>É ISSO AÍ! A rodada 11 está aberta e você já pode palpitar e concorrer à bolada 6de6! 🤑
É 100% gratuito. Clique no link da bio, cadastre-se e jogue 😉
Tá otimista pra essa rodada? Conta pra gente! 👇
#6de6 #vempro6de6 #palpitesdefutebol #rendaextra #ganhador #consolacao https://t.co/wdiETqoOjW</t>
  </si>
  <si>
    <t>VENCEDOR NA ÁREA! 🎊 Felipe Fernandes pontuou mais que todo mundo na rodada 10 e levou pra casa essa bolada! 🤑
Quer conseguir essa grana também? Clique no link da bio, cadastre-se e jogue grátis!
#6de6 #vempro6de6 #palpitesdefutebol #rendaextra #ganhador #consolacao https://t.co/lywUN5Ffm0</t>
  </si>
  <si>
    <t>E tome 1 a 0 para tudo que é lado, o placar mais repetido da noite. 😂 Diz aí, quantos pontos você fez na nossa rodada extra?
#6de6day #vempro6de6 #palpitesdefutebol #rendaextra #rodadaextra #ganhador #consolacao https://t.co/F5z73zMk6z</t>
  </si>
  <si>
    <t>Agora é acompanhar a rodada!👀 Nossos 6 influenciadores fizeram os seus palpites para a rodada extra do 6de6. E aí? Quem tem mais chances de vencer? Deixe seu palpite! 
#6de6day #vempro6de6 #palpitesdefutebol #rendaextra #rodadaextra #ganhador #consolacao https://t.co/3LlHlE22bx</t>
  </si>
  <si>
    <t>Atenção! É uma nova oportunidade de você ganhar a bolada do fim de semana! Entre no link da bio e faça seus palpites para a rodada 7! 📝
https://t.co/gNGLHkv2m6
#6de6 #palpitesdefutebol #bolada6de6 #consolação #rendaextra #ganhador https://t.co/7qUCGbQ8kz</t>
  </si>
  <si>
    <t>A 5ª rodada do 6de6 está recheada de clássicos! Qual será o placar desses confrontos? Tire um print e comente o resultado. Valendo! 🔥 
Jogue: https://t.co/Usjvv8nKoy
#6de6 #bolada6de6 #PalpitesDeFutebol #consolação #ganhador #rendaextra https://t.co/zXxOahhzeU</t>
  </si>
  <si>
    <t>A hora da verdade! 👀 Confira os resultados da 4ª rodada do 6de6. Quantos placares você acertou? Foi bem ou mal? Comente! 🔥
Vem pro link: https://t.co/gNGLHkv2m6
#6de6 #vempro6de6 #rendaextra #palpitesdefutebol #boladadarodada #ganhador #consolacao https://t.co/99sCm9zpp7</t>
  </si>
  <si>
    <t>E aí? Qual vai ser o jogo mais difícil da rodada 16? Conta pra gente nos comentários e não se esqueça de jogar o #6de6.
É grátis e você ainda pode levar R$250.000,00! Link na bio! #vempro6de6
#palpitesdefutebol #palpitesgratis #rendaextra   #futebolbrasileiro #futebolnacional</t>
  </si>
  <si>
    <t>Se liga! 🚨 Toda semana temos um novo vencedor e você pode ser o próximo! Clique no link abaixo e jogue grátis! Tá esperando o quê? #vempro6de6! 🔥
➡️ https://t.co/gNGLHkv2m6
#palpitesdefutebol #rendaextra #vencedor #6de6 #ganhador #oportunidade #futebolbrasileiro</t>
  </si>
  <si>
    <t>Se liga! 🚨 Toda semana temos um novo vencedor e você pode ser o nosso próximo! Clique no link abaixo e jogue grátis! Tá esperando o quê? #vempro6de6! 🔥
➡️ https://t.co/gNGLHkvAbE
#palpitesdefutebol #rendaextra #vencedor #6de6 #ganhador #oportunidade #futebolbrasileiro</t>
  </si>
  <si>
    <t>Quer levar R$250.000,00 pra casa?💰🤑
Então, #vempro6de6 que a rodada 16 tá aberta pra você palpitar! É grátis, é fácil e rápido. Clique no link abaixo e jogue agora 😉
➡️ https://t.co/gNGLHkv2m6
#6de6 #rendaextra #palpites #palpitesgratis #palpitesdefutebol #futebolbrasileiro https://t.co/k7xng2QcZC</t>
  </si>
  <si>
    <t>A rodada 13 do #6de6 está aberta! Não esqueça de deixar seus palpites e concorrer ao prêmio de R$250.000,00! 🤑
Clique no link abaixo e jogue agora, é grátis! #VemPro6de6!
➡️ https://t.co/gNGLHkv2m6
#palpitesdefutebol #rendaextra #ganhador #consolacao #futebol</t>
  </si>
  <si>
    <t>O #Flamengo jogará essa rodada do #6de6 e a gente quer saber se você já conhece essas #curiosidades que separamos pra vocês! Conta pra gente se você já sabia dessas informações sobre o atacante do #Mengão nos comentários! 👇👀
#palpitesdefutebol #rendaextra #ganhador #gabigol https://t.co/MHOhBxGRYL</t>
  </si>
  <si>
    <t>E aí? Qual vai ser o jogo mais difícil da rodada 13? Conta pra gente e não se esqueça de jogar o #6de6, é grátis e você ainda pode levar R$250.000,00! 
Link: https://t.co/gNGLHkv2m6
#VemPro6de6 #palpitesdefutebol #rendaextra #ganhador #consolacao</t>
  </si>
  <si>
    <t>TÁ LIBERADO! ✅ Quer levar R$250.000,00 pra casa? Então, #VemPro6de6 que a rodada está aberta para você palpitar!
É grátis, é fácil e rápido. Clique no link da bio e jogue agora! 😉
#6de6 #palpitesdefutebol #rendaextra #ganhador #consolacao https://t.co/Mz0jcwtlVq</t>
  </si>
  <si>
    <t>Rony melhor que Lukaku? Entramos na polêmica e demos nossos palpites! Confere aí!😂
A rodada 10 está aberta, não perca tempo! Jogue agora, é grátis ➡️ https://t.co/gNGLHkv2m6
#6de6 #vempro6de6 #palpitesdefutebol #rendaextra #ganhador #consolacao https://t.co/DK1oXIh9pM</t>
  </si>
  <si>
    <t>Quem nunca, né? Responda esse tweet dizendo o que você faria se ganhasse a bolada 6de6!🤑
A rodada 10 está aberta, não perca tempo! Jogue agora, é grátis ➡️ https://t.co/gNGLHkvAbE
#6de6 #vempro6de6 #palpitesdefutebol #rendaextra #ganhador #consolacao https://t.co/BGLwRmajBo</t>
  </si>
  <si>
    <t>Se identificou, palpiteiro? 🤣 A rodada 10 tem Data FIFA e queremos saber de você: você prefere palpitar em jogos entre clubes ou entre seleções nacionais? Conta pra gente nos comentários!
https://t.co/gNGLHkv2m6
#6de6 #vempro6de6 #palpitesdefutebol #rendaextra #ganhador https://t.co/fGwYJjBl6Y</t>
  </si>
  <si>
    <t>E aí, quanto vai ser o jogo da Seleção? 💛💚
Os jogos da rodada 10 já estão disponíveis pra você concorrer à bolada 6de6! 
Jogue agora, é de graça!
➡️ https://t.co/xJOHXzSRwr
#6de6 #palpitesdefutebol #bolada6de6 #consolação #rendaextra #ganhador #brasil #seleçãobrasileira https://t.co/o54KjYO9pN</t>
  </si>
  <si>
    <t>Está por dentro de como funciona a pontuação do 6de6? Se liga nas dicas do nosso mestre dos chutes 🔥
Vem pro 6de6: https://t.co/gNGLHkv2m6
#6de6 #palpitesdefutebol #bolada6de6 #consolacao #rendaextra #ganhador https://t.co/yNjDBXUnwB</t>
  </si>
  <si>
    <t>Hora do jogo mais esperado! 😎 O lance é bem simples: tire um print e comente qual placar saiu para você. E aí, como ficou?
Venha para a rodada 6: https://t.co/gNGLHkvAbE 
#6de6 #bolada6de6 #PalpitesDeFutebol #consolação #ganhador #rendaextra https://t.co/jDZ5FSsii0</t>
  </si>
  <si>
    <t>Oportunidade única! 😎 Convide seus amigos e concorra até 2.500,00 reais! Veja o passo a passo acima e vá atrás dessa bolada! Arraste para o lado! ➡️
Saiba como participar clicando no link: https://t.co/gNGLHkvAbE
#6de6  #PalpitesDeFutebol #consolação #ganhador #rendaextra https://t.co/qlDJUCNl9y</t>
  </si>
  <si>
    <t>Jogos à vista! Estas são as partidas da 6ª rodada do 6de6. Já prepare os seus palpites e vá com tudo! O prêmio está te esperando! 🔥
Vamos nessa (link na bio)! 
#6de6 #bolada6de6 #PalpitesDeFutebol #consolação #ganhador #rendaextra https://t.co/4CuSbt7JXp</t>
  </si>
  <si>
    <t>⚠️PROCURA-SE o nosso novo ganhador da rodada!⚠️
Parabéns, Ruan Carlos! Você levou a bolada da rodada 6de6 e já pode comemorar. Entre em contato com a gente se quiser R$ 10 mil reais 😜
Te aguardamos! 🤑
#vempro6de6 #boladadarodada #palpitesdefutebol #rendaextra #palpitesgratis https://t.co/PlQVIeMo7G</t>
  </si>
  <si>
    <t>🔥 FIM DA 2ª RODADA 6de6! Nós estamos validando o resultado para anunciar o vencedor(a) nesta segunda-feira. Enquanto isso, diz aí: como você se saiu? Quantos pontos você fez?    
#vempro6de6 #boladadarodada #palpitesdefutebol #rendaextra #palpitesgratis #consolação #ganhador https://t.co/RxlJrHlE8l</t>
  </si>
  <si>
    <t>Já aviso que o admin aqui cravou o clássico paulista! 2 a 1 Verdão! Diz aí: como está o seu desempenho até agora na rodada 2?    #rodadaemandamento #PalpitesDeFutebol #vempro6de6 #boladadarodada #rendaextra https://t.co/7LuiKRjRuy</t>
  </si>
  <si>
    <t>🚨 Toda semana temos um novo ganhador e você pode ser o próximo! Clique no link abaixo e jogue grátis! #vempro6de6! 🔥
➡️ https://t.co/gNGLHkv2m6
#6de6 #palpites #palpitesdefutebol #palpitesgratis #rendaextra #rendaextraemcasa #vencedor #ganhador #oportunidade</t>
  </si>
  <si>
    <t>E aí? Qual vai ser o jogo mais difícil da rodada 15? Conta pra gente e não se esqueça de jogar o #6de6
É grátis e você ainda pode levar R$250.000,00! Link na bio! #vempro6de6
#ganhador #rendaextra #oportunidades
#futebolbrasileiro #palpitesdefutebol</t>
  </si>
  <si>
    <t>OS HERÓIS DO SEU PALPITE! 🏆 Calleri, Cano, Suarez, Tiquinho, Vitor Roque ou Veiga, quem você acha que vai ser o destaque dessa rodada e vai te dar aquela moral nos palpites?
👇 Diz aí!
#6de6 #vempro6de6 #palpitesdefutebol
#rendaextra #ganhador #consolacao https://t.co/PwsEWU2fkS</t>
  </si>
  <si>
    <t>Você pode ser o próximo ganhador do #6de6! Clique no link da bio e jogue grátis! Toda semana você concorre a R$250.000,00! Tá esperando o que? #VemPro6de6! 🔥
#palpitesdefutebol #rendaextra 
#rodadaextra #ganhador #consolacao</t>
  </si>
  <si>
    <t>O #CLUBISMO tá ON! Ou não!? 😅 A gente quer saber, quando seu time está na rodada #6de6, você palpita em vitória, empate ou derrota?
Díz aí, estamos de olho nos supersticiosos! 👀👇
#vempro6de6 #palpitesdefutebol #rendaextra #rodadaextra #ganhador #futebol #palpites https://t.co/8aitfSvbzl</t>
  </si>
  <si>
    <t>TÁ LIBERADA! Quer levar R$250.000,00 pra casa?💰🤑
#VemPro6de6 que a rodada está aberta pra você palpitar! É grátis, é fácil e rápido. Clique no link e jogue agora 😉
➡️https://t.co/xJOHXzSRwr
#6de6 #ganhador #rendaextra #palpites
#consolacao #palpitesdefutebol #futebol https://t.co/1yrC0ATMiz</t>
  </si>
  <si>
    <t>NOSSO REACT DA RODADA 11 TÁ NO AR! Você foi bem ou foi mal? 👀
Clique no link da bio e não perca a chance de levar R$250.000,00 pra casa!
#6de6 #ganhador #rendaextra 
#consolacao #vempro6de6 #palpitesdefutebol https://t.co/GU0nF8o0OW</t>
  </si>
  <si>
    <t>🔥 FIM DE PAPO! A rodada 11 do 6de6 tá com o gabarito pronto. O vencedor será comunicado em breve nas nossas redes! Fique ligado! 💰
Diz aí! Como você foi na rodada? 👇 👀
#6de6 #vempro6de6 #palpitesdefutebol #rendaextra #ganhador #consolacao https://t.co/0PE4utHPOe</t>
  </si>
  <si>
    <t>Você está torcendo para a Inter na final da Champions? Se sim, queremos sua opinião: Lautaro Martinez é o novo Diego Milito?
Veja o vídeo no nosso tiktok: https://t.co/tXVOPpHE47
#6de6 #palpitesdefutebol #bolada6de6
 #consolação #rendaextra #ganhador https://t.co/DibaUw1TJT</t>
  </si>
  <si>
    <t>A FINAL TÁ CHEGANDO! Quem vai fazer o gol da decisão? 🔥 Tire um print e deixe nos comentários qual jogador apareceu para você! 
A rodada 9 ainda está aberta. Jogue agora: https://t.co/gOzrCMofSH
#6de6 #bolada6de6 #PalpitesDeFutebol #consolação #ganhador #rendaextra https://t.co/QzSQprjsoW</t>
  </si>
  <si>
    <t>Quem vai ganhar a Champions e o clássico entre São Paulo e Palmeiras? ⚔️ 
Os jogos da rodada 9 estão disponíveis, se você é bom de palpite, já sabe! Entre no link da bio, cadastre-se e jogue, é de graça!
#6de6 #palpitesdefutebol #bolada6de6 #consolação #rendaextra #ganhador https://t.co/27Fd5sCByc</t>
  </si>
  <si>
    <t>Atenção! É uma nova oportunidade de você ganhar a bolada da rodada 9! Entre no link da bio e faça seus palpites! 📝
#6de6 #palpitesdefutebol #bolada6de6 #consolação #rendaextra #ganhador https://t.co/Q5yCs4sgYb</t>
  </si>
  <si>
    <t>Jogos de muitos gols! 🔥 E assim está o resultado parcial da rodada 4. Como você está se saindo? Cravou algum palpite? 🤑
#6de6 #vempro6de6 #rendaextra #palpitesdefutebol #boladadarodada #ganhador #consolacao https://t.co/QSDakxsMOl</t>
  </si>
  <si>
    <t>🚨Última chamada para deixar os seus palpites na rodada 4 do 6de6!🚨 São apenas seis jogos e você pode levar para casa até 250 mil reais! Vai ficar de fora? Link na bio!
#6de6 #vempro6de6 #rendaextra #palpitesdefutebol #boladadarodada #ganhador #consolacao https://t.co/jgxalXHr5H</t>
  </si>
  <si>
    <t>QUEM É!? 👀 Se liga nas dicas e conta pra gente!
A rodada está aberta e você pode faturar R$250 mil jogando grátis! Mas corre que vai fechar, hein! Clique no link da bio!
#6de6 #vempro6de6 #palpites #palpitesdefutebol #palpitesgratis #rendaextra #rendaextraemcasa #vencedor https://t.co/7LbgOvAVaQ</t>
  </si>
  <si>
    <t>A rodada tá aberta, viu? Clique no link abaixo e não perde tempo! Toda semana você joga grátis e concorre a R$250.000,00! 🤑
➡️ https://t.co/gNGLHkv2m6
#6de6 #vempro6de6 #palpitesdefutebol #palpitesgratis #rendaextra #ganhador #oportunidade #futebolbrasileiro</t>
  </si>
  <si>
    <t>Não joga ainda? Aí não, meu jogador! Chega mais! Clica no link abaixo, cadastre-se e jogue grátis o #6de6 para ter a chance de levar essa bolada pra casa! 💰
➡️ https://t.co/O0JqewKcNB
#ganhador #rendaextra #oportunidades
#futebolbrasileiro #palpitesdefutebol</t>
  </si>
  <si>
    <t>Se você ainda não joga o 6de6, clique no link abaixo e cadastre-se grátis! Não perca a chance de levar R$250.000,00 pra casa!  
▶️ https://t.co/gNGLHkv2m6
#vempro6de6 #palpitesdefutebol #rendaextra #ganhador #futebolbrasileiro #futebolnacional #seriea #seriab #copadobrasil</t>
  </si>
  <si>
    <t>SERÁ QUE ALGUÉM GABARITOU? 👀 Seguem os resultados da rodada 14 do 6de6. Diz aí, você mandou bem?
Jogue semanalmente o 6de6! Clique no link da bio, jogue grátis e concorra a R$250.000,00!
#6de6 #ganhador #rendaextra #oportunidades #futebolbrasileiro #palpitesdefutebol https://t.co/K8FwBNQMd2</t>
  </si>
  <si>
    <t>DERAM O PAPO! 👀 A redação palpitou sobre o jogo entre #Fluminense e #Flamengo que está na rodada 14 do #6de6. 
Agora queremos saber o seu palpite! Quanto vai ser esse jogão? Conta aí!
#rendaextra #flaflu
#futebolbrasileiro #palpitesdefutebol
#fluminense #flamengo https://t.co/ljSXP5JLUs</t>
  </si>
  <si>
    <t>CORRE QUE VAI FECHAR! Não se esqueça de jogar a rodada 12 do 6de6, é a sua chance de conquistar à bolada de R$250.000,00 🤑
Não faz parte ainda?
Cadastre-se grátis e jogue! É só clicar no link: https://t.co/gNGLHkv2m6 
#6de6 #palpitesdefutebol #rendaextra #ganhador #consolacao https://t.co/JhlC4csEIB</t>
  </si>
  <si>
    <t>SÓ VALE TRÊS! Não é fácil, viu? O #Felipão só treinou craque! 🔥
Monte o seu trio, dentre esses 10 craques que listamos, quem você escolheria? Deixe nos comentários! 👇👀
#VemPro6de6 #6de6 #ganhador #rendaextra #consolacao #palpitesdefutebol https://t.co/407FVsHw7q</t>
  </si>
  <si>
    <t>🚨 INVASÃO no 6de6! Perguntamos qual é o palpite da equipe pro jogo entre #Palmeiras e #Botafogo! Se liga só!
Não deixe de palpitar na rodada 11, tá aberta! Pra jogar grátis é só clicar no link na bio! 😉 #VemPro6de6!
#6de6 #ganhador #rendaextra #consolacao #palpitesdefutebol https://t.co/squwpt0n3i</t>
  </si>
  <si>
    <t>Responde aí! Qual é o seu time de coração? Queremos saber a torcida dos palpiteiros do 6de6! 😍
#6de6 #vempro6de6 #palpitesdefutebol #rendaextra #ganhador #consolacao https://t.co/yNcFR5nAnw</t>
  </si>
  <si>
    <t>📷 FIM DA SÉTIMA RODADA DO 6de6!📷 Nós estamos validando o resultado para anunciar o vencedor(a) nesta segunda-feira.  Quantos pontos você fez?
  https://t.co/gNGLHkv2m6 #brasileirão 
#6de6 #PalpitesDeFutebol #consolação #ganhador #rendaextra https://t.co/2rLUauAhME</t>
  </si>
  <si>
    <t>Hora do jogo! 😍 Quem é esse jogador? Reunimos alguns personagens de Grêmio x São Paulo e tentamos adivinhar. Você saberia quem são? Comente! 
Clique no link e veja o vídeo: https://t.co/uqFzGE960U
#6de6 #bolada6de6 #PalpitesDeFutebol #consolação #ganhador #rendaextra https://t.co/xiAQYIabnC</t>
  </si>
  <si>
    <t>Poucos gols até aqui! E assim está o resultado parcial da rodada 6. Como você está se saindo? Cravou algum palpite? 🤑
https://t.co/gNGLHkv2m6
#6de6 #vempro6de6 #rendaextra #palpitesdefutebol #boladadarodada #ganhador #consolacao https://t.co/EiFClADPGt</t>
  </si>
  <si>
    <t>Já que teremos clássico mineiro na rodada 7 do 6de6. Vamos de joguinho! Você sabia as 5 perguntas de Cruzeiro x Atlético Mineiro? Fale nos comentários! 
Veja: https://t.co/L4Al0y7cFj
#6de6 #bolada6de6 #PalpitesDeFutebol #consolação #ganhador #rendaextra https://t.co/63tIaOOyjU</t>
  </si>
  <si>
    <t>Caroline Miranda cravou 4 de 6 palpites (ainda acertou um vencedor na rodada🔥) e somou 22 pontos! Esse desempenho fez dela a campeã da 3ª rodada 6de6!📷 Quer se o próximo a faturar R$ 10 mil reais? A 4ª rodada já está aberta!
#6de6 #boladadarodada #palpitesdefutebol #rendaextra https://t.co/Lddi9VDeqe</t>
  </si>
  <si>
    <t>🔥 FIM DA 3ª RODADA 6de6!🔥 Nós estamos validando o resultado para anunciar o vencedor(a) nesta segunda-feira. Enquanto isso, diz aí: como você se saiu? Quantos pontos você fez? 
#vempro6de6 #boladadarodada #palpitesdefutebol #rendaextra #palpitesgratis #consolação #ganhador https://t.co/pRwFe4ridh</t>
  </si>
  <si>
    <t>Aceitas um react? 👀 Demos o papo sobre a rodada e queremos saber como você foi nos palpites! Mandou bem? Comenta aí! ⬇️
#ganhador #rendaextra #rendaextraemcasa #brasileirao #oportunidade #futebolbrasileiro #palpitesdefutebol #palpitesgratis #futebolnacional #copadomundofeminina https://t.co/LI8JxTsgbR</t>
  </si>
  <si>
    <t>Aproveita que ainda dá tempo de participar da rodada 14 do 6de6 e concorrer aos R$250 mil! 🤑
Clique no link abaixo e jogue grátis! Simples, prático e rápido! #vempro6de6! 😉
➡️https://t.co/O0JqewKcNB
#palpitesdefutebol #rendaextra #ganhador #oportunidade #futebolbrasileiro</t>
  </si>
  <si>
    <t>E aí? Qual vai ser o jogo mais difícil da rodada 14? Conta pra gente e não se esqueça de jogar o #6de6.
É grátis e você ainda pode levar R$250 mil!
Clique no link! #VemPro6de6
➡️ https://t.co/gNGLHkvAbE
#ganhador #rendaextra #oportunidades
#futebolbrasileiro #palpitesdefutebol</t>
  </si>
  <si>
    <t>Lembrando que toda semana temos um novo vencedor e você pode ser o nosso próximo ganhador do #6de6! Clique no link abaixo e jogue grátis!
➡️ https://t.co/gNGLHkv2m6
Toda semana você concorre a R$250.000,00! 💰
Tá esperando o quê? #VemPro6de6! 🔥
#palpitesdefutebol #rendaextra</t>
  </si>
  <si>
    <t>Quer levar essa bolada também? #VemPro6de6!
Clique no link abaixo, cadastre-se e jogue grátis!
➡️ https://t.co/gNGLHkv2m6
#6de6 #palpitesdefutebol #rendaextra #rodadaextra #ganhador</t>
  </si>
  <si>
    <t>Se você ainda não joga o 6de6, clique no link abaixo e cadastre-se grátis! Não perca a chance de levar R$250.000,00 pra casa!
https://t.co/pWPNWGBsho
#6de6 #ganhador #rendaextra
#consolacao #vempro6de6 #palpitesdefutebol</t>
  </si>
  <si>
    <t>Dois times épicos que marcam história no cenário internacional: Manchester City 2022/23 e Manchester United 1998/99. Qual é o seu preferido? 🔥
Veja o vídeo: https://t.co/Ig5SiqRMO4
#6de6 #palpitesdefutebol #bolada6de6 #consolacao #rendaextra #ganhador https://t.co/uLjBD36Syd</t>
  </si>
  <si>
    <t>🚨 É claro que a gente não vai deixar o dia 6/6 passar batido! Vem aí uma RODADA EXTRA e muitas outras novidades! Fique com a gente que em breve traremos mais detalhes!
Bora de rodada extra? AGUARDE! 🔥
#6de6 #bolada6de6 #consolacao #rendaextra #ganhador #6de6day https://t.co/RyJCBetftt</t>
  </si>
  <si>
    <t>Clássico de Manchester e de Minas! ⚔️ Esses são os jogos que já estão disponíveis na rodada 7! Mostre que você é bom de palpite e ganhe a bolada!
Entre no link da bio para jogar!
https://t.co/gNGLHkv2m6
#6de6 #palpitesdefutebol #bolada6de6 #consolação #rendaextra #ganhador https://t.co/vz1RoVYL6g</t>
  </si>
  <si>
    <t>Não ficou entre os três? Não tem problema! Clique no link, faça seu cadastro e convide seus amigos para a rodada 7: https://t.co/gNGLHkv2m6
#6de6 #palpitesdefutebol #bolada6de6 #consolação #rendaextra #ganhador</t>
  </si>
  <si>
    <t>Já foram dois jogos na rodada do 6de6! Inter de Milão e Liverpool garantiam a alegria, ou a tristeza, de muitos palpiteiros 👀
Precisa de qual resultado no clássico carioca de mais tarde?
#6de6 #boladadarodada #palpitesdefutebol #rendaextra #palpitesgratis #consolação #ganhador https://t.co/odfNLuuZqX</t>
  </si>
  <si>
    <t>🚨 A RODADA 3 VAI FECHAR! Já deixou seus palpites para concorrer aos R$250.000,00? Não perca tempo! É grátis! ❤️ Link na Bio!  
#6de6 #boladadarodada #palpitesdefutebol #rendaextra #palpitesgratis #consolação #ganhador" https://t.co/NRnOJzBJZW</t>
  </si>
  <si>
    <t>Consegue acertar quais são esses jogos?
Clique no link abaixo e jogue grátis pelos R$250.000,00 💰 Não perca essa chance, a rodada vai fechar, hein! 
➡️ https://t.co/gNGLHkv2m6   
#palpitesdefutebol #palpitesgratis #rendaextra #brasileirao #campeonatobrasileiro #seriea #serieb https://t.co/KjtDHd0c6d</t>
  </si>
  <si>
    <t>Fique ligado que a rodada 15 já está aberta e você pode ser o novo ganhador! 
Clique no link abaixo e jogue agora! É grátis #vempro6de6 😉
➡️ https://t.co/gNGLHkv2m6
#6de6 #ganhador #rendaextra #oportunidade #futebolbrasileiro #palpitesdefutebol</t>
  </si>
  <si>
    <t>TÁ SABENDO? 🫣 A rodada 15 do 6de6 está liberada para você palpitar e concorrer aos R$250mil! 🤑 
Sabe o que é melhor? É grátis! 💛
Clique no link abaixo e #vempro6de6! 😉
➡️ https://t.co/gNGLHkvAbE
#6de6 #vempro6de6 #palpitesdefutebol #rendaextra #ganhador #oportunidade https://t.co/qiEcGnRRXz</t>
  </si>
  <si>
    <t>Tá mandando bem, meu jogador? 👀 Dá uma conferida nas parciais e conta pra gente como você tá indo na rodada 14! 👇
#6de6 #vempro6de6 #palpitesdefutebol #rendaextra #ganhador #oportunidade #futebolbrasileiro https://t.co/xpGK871gOE</t>
  </si>
  <si>
    <t>QUEM VOCÊ ESCOLHERIA? 👀 Dodô, Loco Abreu, Túlio Maravilha ou Tiquinho? Quem é o seu favorito? Conta pra gente nos comentários!
#6de6 #VemPro6de6 #ganhador #rendaextra #palpitesdefutebol
#dodo #tulio #tiquinho #locoabreu #brasileirao #fogao https://t.co/qSlmbHxxH1</t>
  </si>
  <si>
    <t>Não perca tempo e jogue grátis o #6de6! Você pode faturar R$250.000,00! Clique no link abaixo e #VemPro6de6!
➡️ https://t.co/O0JqewKcNB
#palpitesdefutebol #rendaextra #ganhador #consolacao</t>
  </si>
  <si>
    <t>A mensagem do #Ganhador6de6 é de Ruan Carlos! Ele foi o maior pontuador da rodada 2 e garantiu R$10.000,00! 🤑 Dá um play e confira o recado!
Tá esperando o que?
#VemPro6de6! 🔥
#palpitesdefutebol #rendaextra #ganhador #consolacao https://t.co/izRBdADPd9</t>
  </si>
  <si>
    <t>E aí, palpiteiro, parciais na área! Tá mandando bem nessa rodada? Conta pra gente nos comentários! 👇⚽
https://t.co/gNGLHkv2m6
#6de6 #vempro6de6 #palpitesdefutebol #rendaextra #ganhador #consolacao https://t.co/wPgij1bu3Z</t>
  </si>
  <si>
    <t>E aí, palpiteiro, parciais na área! Tá mandando bem nessa rodada? Conta pra gente nos comentários! 👇⚽
https://t.co/gNGLHkv2m6
#6de6 #vempro6de6 #palpitesdefutebol #rendaextra #ganhador #consolacao https://t.co/ONmuh45EDc</t>
  </si>
  <si>
    <t>Qual vai ser o placar dos duelos do Brasileirão? 🔥 
Diz aí, vai usar esse resultado no seu palpite? Ainda dá tempo de jogar, mas corre que a rodada 11 vai fechar, hein!
#6de6 #vempro6de6 #palpitesdefutebol #rendaextra #ganhador #consolacao https://t.co/WiWSufUdBA</t>
  </si>
  <si>
    <t>VAI FECHAR, HEIN! Não fique de fora da 11ª rodada do 6de6 e concorra ao grande prêmio de R$250.000,00!
Tá esperando o que? Faça o login, selecione os seus palpites e fique na torcida! 🔥
https://t.co/gNGLHkv2m6
#6de6 #palpitesdefutebol #rendaextra #ganhador #consolacao https://t.co/2bxqaJdmxX</t>
  </si>
  <si>
    <t>Você não vai ficar fora dessa, né?! 
#6de6day #vempro6de6 #palpitesdefutebol #rendaextra #rodadaextra #ganhador #consolacao</t>
  </si>
  <si>
    <t>Imperdível! Rodada extra do 6de6! 
Participe agora: https://t.co/gNGLHkv2m6
#6de6 #rendaextra #consolação #ganhador #bolada6de6 #palpitesdefutebol https://t.co/WUvAIqMdHz</t>
  </si>
  <si>
    <t>🔥 IMPERDÍVEL! 🔥 Para comemorar o dia 6/6 nós, do 6de6, preparamos uma rodada extra para vocês!
NÃO PERCA TEMPO! Corra no site, faça seu cadastro, preencha seus palpites e fique torcendo.
https://t.co/gNGLHkv2m6
#6de6day  #palpitesdefutebol #rendaextra #rodadaextra https://t.co/UxXMASITem</t>
  </si>
  <si>
    <t>👀Tá preparado?👀 A rodada 4 chegou junto de vários jogaços para você palpitar e faturar a bolada 6de6! Se cadastre no link e jogue grátis agora mesmo!🤑
 #6de6 #boladadarodada #palpitesdefutebol #rendaextra #palpitesgratis #consolação #ganhador https://t.co/YmwcjGNugr</t>
  </si>
  <si>
    <t>✅️ RODADA ABERTA! É hora de você palpitar grátis pelos R$250mil! 
Já clica no link abaixo e jogue a rodada 18 do 6de6!
https://t.co/gNGLHkv2m6
 #6de6 #vempro6de6 #palpites #palpitesdefutebol #palpitesgratis #rendaextra #rendaextraemcasa #dinheiroextra #dinheiroemcasa https://t.co/0VpEqtln8W</t>
  </si>
  <si>
    <t>Temos vencedores toda rodada! Ainda não joga o 6de6? Relaxa! Clique no link, jogue grátis quando a rodada abrir e concorra a R$250 mil! 🤑
➡️ https://t.co/gNGLHkv2m6
#vempro6de6 #palpitesdefutebol #palpitesgratis #rendaextra #oportunidade #futebolbrasileiro #futebolnacional</t>
  </si>
  <si>
    <t>ROBERTO CARLOS DEU O PAPO! Não se esqueça de jogar a rodada 13 do 6de6! É a sua chance de conquistar a bolada de R$250.000,00 🤑
Não faz parte ainda? #VemPro6de6! Cadastre-se grátis e jogue! É só clicar no link: https://t.co/gNGLHkv2m6 😉
#6de6 #palpitesdefutebol #rendaextra https://t.co/z6yHlWazIv</t>
  </si>
  <si>
    <t>Palpiteiros de plantão: TEMOS O GABARITO DA RODADA 10! 😲⚽
Quem será que vai levar a bolada 6de6 nessa semana, hein!? Cravou algum placar? Conta pra gente nos comentários!  👇
#6de6 #vempro6de6 #palpitesdefutebol #rendaextra #rodadaextra #ganhador #consolacao https://t.co/UATMgRW1pp</t>
  </si>
  <si>
    <t>O adm não tá mandando bem nessa rodada, hein 🤡 Alguém aí já cravou algum resultado ou estamos todos só o Roberto Carlos nesse vídeo? Conta pra gente nos comentários! 😅
#6de6 #vempro6de6 #palpitesdefutebol #rendaextra #rodadaextra #ganhador #consolacao https://t.co/8z7LioVAjv</t>
  </si>
  <si>
    <t>Sabadão repleto de jogos na rodada 10 do 6de6 e a gente quer saber: já cravou algum resultado?
Veja seu resultado: https://t.co/gNGLHkv2m6
Conta pra gente!  👀👇
#6de6 #vempro6de6 #rendaextra #palpitesdefutebol #boladadarodada #ganhador #consolacao https://t.co/xLd82bF1eV</t>
  </si>
  <si>
    <t>Vini Jr, Rodrygo, Veiga, Rony ou Pedro? Quem vai cravar pela nossa Seleção? ⚽💛 Tire um print e compartilhe no nosso insta o jogador que apareceu pra você!
#6de6 #vempro6de6 #palpitesdefutebol #rendaextra #rodadaextra #ganhador #consolacao https://t.co/4SVsBCvgCO</t>
  </si>
  <si>
    <t>Atenção, Palpiteiros! Última chamada para você jogar a rodada 10 e concorrer a bolada 6de6! 🤑
Não perca tempo e jogue agora, é grátis: https://t.co/Usjvv8nKoy
#6de6 #vempro6de6 #palpitesdefutebol #rendaextra #rodadaextra #ganhador #consolacao https://t.co/yQgShSweIE</t>
  </si>
  <si>
    <t>E vamos com o gabarito da rodada 6! Zebra no jogo do City, vitória do Corinthians e deslize do Dortmund. 🔥 Quantos pontos você fez? Comente! 
Veja agora: https://t.co/gNGLHkv2m6
#6de6 #palpitesdefutebol #bolada6de6 #consolação #rendaextra #ganhador https://t.co/6y8nZ6nfT2</t>
  </si>
  <si>
    <t>Jogos equilibrados até então!📷 E assim está o resultado parcial da rodada 6. Como você está se saindo? Cravou algum palpite? 📷
Confira as parciais: https://t.co/gNGLHkv2m6
#6de6 #vempro6de6 #rendaextra #palpitesdefutebol #boladadarodada #ganhador #consolacao https://t.co/bMbStvi9X5</t>
  </si>
  <si>
    <t>Última chance! Não fique de fora da 6ª rodada do 6de6 e concorra ao grande prêmio. Tá esperando o que? Faça o login, selecione os seus palpites e fique na torcida! 🔥
Vem com a gente: https://t.co/gNGLHkvAbE
#6de6 #bolada6de6 #PalpitesDeFutebol #consolação #ganhador #rendaextra https://t.co/OOWS0AC1Dr</t>
  </si>
  <si>
    <t>Vamooooos! A rodada fecha 15 minutos antes do primeiro jogo, no sábado, dia 29/4! Já deixou seus palpites? Jogue agora! É grátis! ❤️
#6de6 #bolada6de6 #PalpitesDeFutebol #rendaextra https://t.co/je7A4XM0Yt</t>
  </si>
  <si>
    <t>Mais um dia vitorioso confesso que quase perdi a hora, foi por pouco, tenho planilha que te forma a parar se quiser e só comentar https://t.co/PI44IFJtJ2 😉 estratégia Deko. #cassino #blazeapostas #blaze #crashblaze #double #luckjet #betano #estrelabet #rendaextra https://t.co/hf6UcXGhyE</t>
  </si>
  <si>
    <t>Descubra como ganhar dinheiro recorrente com Afiliado de Software! 💎 #marketingdigitalbrasil #marketingdigital #marketing #empreendedorismo #marketingdeconteudo #hotmart #rendaextra #marketingdeafiliados #confira: https://t.co/FU68A2dyqc</t>
  </si>
  <si>
    <t>GoNovel - Leitura de Romances Remunerados [Pagou Rápido] / Livros
https://t.co/MauswB762h
...
#dinheiro #rendaextra #aplicativosremunerativos #romances #leitura</t>
  </si>
  <si>
    <t>Para palestras e treinamentos - acesse https://t.co/aJVlshWR0s
#eleicoes #investimentos #dinheiro #bolsadevalores #investimento #mercadofinanceiro #finan #empreendedorismo #investir #liberdadefinanceira #sucesso #rendaextra #economia #educacaofinanceira #investidor # https://t.co/QIVUemvUal</t>
  </si>
  <si>
    <t>NOVO APP para GANHAR DINHEIRO via PIX de VERDADE pelo CELULAR [SAQUE CAI na HORA no MESMO DIA]
➽ VEJA O VÍDEO COMPLETO PASSO A PASSO CLICANDO AQUI NO LINK ➽ https://t.co/yiTcgfH7Y3
OU É SÓ ME PEDIR O LINK DO APLICATIVO NOS COMENTÁRIOS. 
#ganhardinheiro #rendaextra https://t.co/NebCq3T4sQ</t>
  </si>
  <si>
    <t>🔥APP para GANHAR DINHEIRO via PIX JOGANDO e CLICANDO na TELA do CELULAR - APP PAGANDO no PIX 2023
➽ VEJA O VÍDEO COMPLETO PASSO A PASSO CLICANDO AQUI NO LINK ➽ https://t.co/ueXYSxStmR 
OU É SÓ ME PEDIR O LINK DO APLICATIVO NOS COMENTÁRIOS. 
#ganhardinheiro #rendaextra https://t.co/sdTvR3iGAU</t>
  </si>
  <si>
    <t>🔥APLICATIVO para GANHAR DINHEIRO via PIX e PAGBANK - APP que REALMENTE GANHA DINHEIRO JOGANDO 2023
➽ VEJA O VÍDEO COMPLETO PASSO A PASSO CLICANDO AQUI NO LINK ➽ https://t.co/dVbjPmy9Ak
OU É SÓ ME PEDIR O LINK DO APLICATIVO NOS COMENTÁRIOS. 
#ganhardinheiro #rendaextra #app https://t.co/CbHt8l0Lpl</t>
  </si>
  <si>
    <t>Você usa algum aplicativo que paga para assistir vídeos ou fazer outras tarefas? Conte para nós nos comentários.
#RendaExtra #Aplicativos #Video #TikTok #Kwai
(Autora: Thamyris Abreu)</t>
  </si>
  <si>
    <t>Super Pack Arte Canecas Estampas Sublimação + De 25000 Artes
apenas R$ 15
chame e compre online pelo Whats 11 99803 3929
São mais de 100 mil arquivos, em formatos PNG, JPEG, PDF, COREWDRALL e PSD.
#qzap #canecas #mkt #marketing #rendaextra #maquinacaneca #canva #corew https://t.co/o6lx56iJRG</t>
  </si>
  <si>
    <t>365 Templates de Pizza ou pizzaria editáveis no canvas
APENAS R$ 15
chame e compre pelo WhatsApp
#pizza #qzap #pizzaria #canvas #mkt #marketing #marketingdigital #rendaextra #rendaonline #rendaemcasa #droppingship #lookinspiracao #comida #restaurante #restaurantes #pizzariassp https://t.co/bzgOWVySNk</t>
  </si>
  <si>
    <t>250 Templates de Bar editáveis no canvas
.
Poupe tempo e dinheiro com artes prontas, facilite o seu dia a dia
.
APENAS R$ 20
.
chame e compre agora mesmo pelo WhatsApp 11 99803 3929
#qzap #canvas #artes #mkt #marketingdigital #renda #rendaextra https://t.co/QuYqfitNfv</t>
  </si>
  <si>
    <t>Mais de 100mil arquivos no Super Pack Arte Canecas Estampas Sublimação
.
apenas R$ 25
.
formatos PNG, JPEG, PDF, COREWDRALL e PSD.
compre e RECEBA online pelo Whats 11 99803 3929
#canecas #mkt #marketing #rendaextra #maquinacaneca #canva #corew #marketingdigital #ganhardinheiro https://t.co/wFexG6X6CY</t>
  </si>
  <si>
    <t>250 Templates de Bar editáveis no canvas
.
Poupe tempo e dinheiro com artes prontas, facilite o seu dia a dia
.
APENAS R$ 20
.
chame e compre agora mesmo pelo WhatsApp 11 99803 3929
#qzap #canvas #artes #mkt #marketingdigital #renda #rendaextra https://t.co/XALXsRnYVn</t>
  </si>
  <si>
    <t>Mais de 100mil arquivos no Super Pack Arte Canecas Estampas Sublimação
.
apenas R$ 25
.
formatos PNG, JPEG, PDF, COREWDRALL e PSD.
compre e RECEBA online pelo Whats 11 99803 3929
#canecas #mkt #marketing #rendaextra #maquinacaneca #canva #corew #marketingdigital #ganhardinheiro https://t.co/i2UK2wmXyZ</t>
  </si>
  <si>
    <t>Mais de 100mil arquivos no Super Pack Arte Canecas Estampas Sublimação
.
apenas R$ 25
.
formatos PNG, JPEG, PDF, COREWDRALL e PSD.
compre e RECEBA online pelo Whats 11 99803 3929
#canecas #mkt #marketing #rendaextra #maquinacaneca #canva #corew #marketingdigital #ganhardinheiro https://t.co/IGSYQRXllT</t>
  </si>
  <si>
    <t>Entendendo o Método Bazin de Investimento https://t.co/rgEqCc2PzT via @YouTube
#investimentos #educacaofinanceira #rendaextra #dinheiro</t>
  </si>
  <si>
    <t>#apppagando
#PIX
#rendaextra
#dinheiro
#homeoffice
Casa Nova pagando 10
Casa Nova pagando 10 
Vamos pra cima, vamos faturar
https://t.co/zLrygASki9 https://t.co/3YelPDFmQM</t>
  </si>
  <si>
    <t>#oportunidades #rendaextra #liberdadefinanceira #horariosflexiveis #praticidade #comodidade #realizacoesprofissionais #treinamentos #lucros #vantagens #saudefinanceira #alimentacaosaudavel #crescimentopessoal #crescimentoprofissional #vantagens #viagens https://t.co/QL9A4TWo3r</t>
  </si>
  <si>
    <t>Comenta "eu quero" para saber mais.📚💸🤖
#marketingdigital #plr #kiwify #rendaextra #trafegoorganico https://t.co/ajgHwgdW3R</t>
  </si>
  <si>
    <t>Kit de +1800 PLR's que vendem de forma automática no tráfego orgânico.📚💸🤖
👇ACESSE AQUI para saber mais👇
https://t.co/fMBHWu5OTv
#MarketingDigital #trafegoorganico #rendaextra #plr #kiwify https://t.co/kxJ1s6fCBA</t>
  </si>
  <si>
    <t>🥝Levanta dessa cama e bora fazer dinheiro.🤑
KIT DE PLR's na bio.📚💸🤖
#MarketingDigital #rendaextra 
#ganhardinheiro #trafegoorganico #trafegopago #kiwify #plr https://t.co/qaKl5xgOOa</t>
  </si>
  <si>
    <t>Já conseguiu gerar suas vendas ou ainda tá tentando gerar sua primeira venda? 
#MarketingDigital #primeiravenda #trafegoorganico #trafegopago    #kiwify #plr #rendaextra #ganhardinheiroonline #milionario #empreendedor</t>
  </si>
  <si>
    <t>🥝Vou ensinar pela última vez essa estratégia básica de vendas automáticas premium.🤖💸
ME PERGUNTE COMO👇🏼
#kiwify #plr #marketingdigital 
#rendaextra https://t.co/oxuV5bTCgk</t>
  </si>
  <si>
    <t>🥝Pausa pra ler💸🇷🇺
#MarketingDigital #kiwify #plr #tráfegoorganico #tráfegopago #rendaextra https://t.co/RX0Nujt9XX</t>
  </si>
  <si>
    <t>Me pergunte como👇🏼
#MarketingDigital #kiwify #plr #trafegoorganico #rendaextra https://t.co/TVoW62aC6N</t>
  </si>
  <si>
    <t>🥝Vou ensinar pela última vez, pausa pra ler.🤖💸🇷🇺
#primeiravenda #MarketingDigital #kiwify #plr #tráfegoorganico #tráfegopago #rendaextra https://t.co/uDxEKjoyAB</t>
  </si>
  <si>
    <t>#marketingdigital #comofazersuaprimeiravenda #comoganhardinheirosemsairdecasa #rico #rendaextra https://t.co/8SEP440mML</t>
  </si>
  <si>
    <t>#marketingdigital #comofazersuaprimeiravenda #comoganhardinheirosemsairdecasa #rico #rendaextra https://t.co/fXVfn7e2HB</t>
  </si>
  <si>
    <t>Sinto muito pra quem não acreditou na reviravolta que minha vida deu🤷🏻‍♀️🙏🏻
23 vagas por apenas 19,90R$
(Clica no link) e seja feliz💸
https://t.co/QXshF9X9mo
#comprar 
#rendaextra 
#milionaria https://t.co/foDhUtYDRX</t>
  </si>
  <si>
    <t>Apenas 23 vagas,19,90$$ pra conquistar sua dependência financeira, dentro do método você aprende várias estratégias , hoje faço mais de 100$ por dias💸
(Link)https://t.co/QXshF9X9mo
Invista 19,90$$ e seja feliz
#rendaextra #milionarias https://t.co/nuORgg4dik</t>
  </si>
  <si>
    <t>17 anos e já conquistei minha dependência financeira 🙏🏻
vim compartilha com vocês, meu método de renda onde eu investi 19,90$, e tiro por dia mais de 100$ 
Entrem no link e saiba como funciona
https://t.co/QXshF9X9mo
Garanto que vai mudar suas vidas💸🤝🏻
#rendaextra 
#comprar</t>
  </si>
  <si>
    <t>(Link)https://t.co/QXshF9X9mo❤, aproveitem que jaja o valor aumenta, 16 anos e já conquistei minha dependência financeira🤑 seja você a próxima 
#rendaextra #BBBB23 https://t.co/DUPLaZLf7T</t>
  </si>
  <si>
    <t>#rendaextra #milionaria 
apresento pra vocês o método que mudou a minha vida, investi 19,90 apenas e tive um retorno muito maior (cliquem no link)
https://t.co/QXshF9X9mo
Seja dona da sua própria história 🙏🏻💫 https://t.co/Q9f8hCbm75</t>
  </si>
  <si>
    <t>https://t.co/ixjbzViSbT
Gente sério nunca ganhei tanto dinheiro em uma plataforma tô chocado.
#TIGER #joguinho #rendaextra #BarbieTheMovie #Mbappe https://t.co/Z5XhND4En7</t>
  </si>
  <si>
    <t>@CascaGrossaReal Melhor q bitcoin.. #rendaextra</t>
  </si>
  <si>
    <t>@robosvip Como jogar Jogo do Tigre? 
🤑 Convite do Jogo do Tigre: 
↪️ https://t.co/KIBFxp5S7W
1. Acesse o link
2. Cadastre-se
3. Realize depósito de R$20 por pix
4. Escolha o jogo Fortune Tiger
5. Escolha o valor da aposta no ( +/-) 
#pombabet #fortune #fortunetiger #RendaExtra https://t.co/EWjbifrYX0</t>
  </si>
  <si>
    <t>Como jogar Jogo do Tigre? 
🤑 Convite do Jogo do Tigre: 
↪️ https://t.co/KIBFxp5S7W
1. Acesse o link
2. Cadastre-se
3. Realize depósito de R$20 por pix
4. Escolha o jogo Fortune Tiger
5. Escolha o valor da aposta no ( +/-) 
#pombabet #fortune #fortunetiger #RendaExtra https://t.co/3Ll8u4LC5w</t>
  </si>
  <si>
    <t>Como jogar Jogo do Tigre? 
🤑 Convite do Jogo do Tigre: 
↪️ https://t.co/KIBFxp5S7W
1. Acesse o link
2. Cadastre-se
3. Realize depósito de R$20 por pix
4. Escolha o jogo Fortune Tiger
5. Escolha o valor da aposta no ( +/-) 
#pombabet #fortune #fortunetiger #RendaExtra</t>
  </si>
  <si>
    <t>RT @ThiagoFeli12411: Como jogar Jogo do Tigre? 
🤑 Convite do Jogo do Tigre: 
↪️ https://t.co/KIBFxp5S7W
1. Acesse o link
2. Cadastre-se
3.…</t>
  </si>
  <si>
    <t>Como jogar Jogo do Tigre? 
🤑 Convite do Jogo do Tigre: 
↪️ https://t.co/KIBFxp5S7W
1. Acesse o link
2. Cadastre-se
3. Realize depósito de R$20 por pix
4. Escolha o jogo Fortune Tiger
5. Escolha o valor da aposta no ( +/-) 
#pombabet #fortune #fortunetiger #RendaExtra https://t.co/RjuqqQr30R</t>
  </si>
  <si>
    <t>Como jogar Jogo do Tigre? 
🤑 Convite do Jogo do Tigre: 
↪️ https://t.co/KIBFxp5S7W
1. Acesse o link
2. Cadastre-se
3. Realize depósito de R$20 por pix
4. Escolha o jogo Fortune Tiger
5. Escolha o valor da aposta no ( +/-) 
#pombabet #fortune #fortunetiger #rendaextra</t>
  </si>
  <si>
    <t>Como jogar Jogo do Tigre? 
🤑 Convite do Jogo do Tigre: 
↪️ https://t.co/KIBFxp5S7W
1. Acesse o link
2. Cadastre-se
3. Realize depósito de R$20 por pix
4. Escolha o jogo Fortune Tiger
5. Escolha o valor da aposta no ( +/-) 
#pombabet #fortune #fortunetiger #RendaExtra https://t.co/HsKqfjVl6I</t>
  </si>
  <si>
    <t>Como jogar Jogo do Tigre? 
🤑 Convite do Jogo do Tigre: 
↪️ https://t.co/KIBFxp5S7W
1. Acesse o link
2. Cadastre-se
3. Realize depósito de R$20 por pix
4. Escolha o jogo Fortune Tiger
5. Escolha o valor da aposta no ( +/-) 
#pombabet #fortune #fortunetiger #RendaExtra https://t.co/nJfJbuFXwK</t>
  </si>
  <si>
    <t>Como jogar Jogo do Tigre? 
🤑 Convite do Jogo do Tigre: 
↪️ https://t.co/KIBFxp5S7W
1. Acesse o link
2. Cadastre-se
3. Realize depósito de R$20 por pix
4. Escolha o jogo Fortune Tiger
5. Escolha o valor da aposta no ( +/-) 
#pombabet #fortune #fortunetiger #RendaExtra https://t.co/0sQEMYnmZh</t>
  </si>
  <si>
    <t>Como jogar Jogo do Tigre? 
🤑 Convite do Jogo do Tigre: 
↪️ https://t.co/KIBFxp5S7W
1. Acesse o link
2. Cadastre-se
3. Realize depósito de R$20 por pix
4. Escolha o jogo Fortune Tiger
5. Escolha o valor da aposta no ( +/-) 
#pombabet #fortune #fortunetiger #RendaExtra https://t.co/KAHbttowXq</t>
  </si>
  <si>
    <t>Como jogar Jogo do Tigre? 
🤑 Convite do Jogo do Tigre: 
↪️ https://t.co/LYyNoeFRuL
1. Acesse o link
2. Cadastre-se
3. Realize depósito de R$20 por pix
4. Escolha o jogo Fortune Tiger
5. Escolha o valor da aposta no ( +/-) 
#pombabet #fortune #fortunetiger #RendaExtra https://t.co/JmqJHsP5Eb</t>
  </si>
  <si>
    <t>Como jogar Jogo do Tigre? 
🤑 Convite do Jogo do Tigre: 
↪️ https://t.co/KIBFxp5S7W
1. Acesse o link
2. Cadastre-se
3. Realize depósito de R$20 por pix
4. Escolha o jogo Fortune Tiger
5. Escolha o valor da aposta no ( +/-) 
#pombabet #fortune #fortunetiger #RendaExtra https://t.co/8vve7pfqf2</t>
  </si>
  <si>
    <t>Como jogar Jogo do Tigre? 
🤑 Convite do Jogo do Tigre: 
↪️ https://t.co/KIBFxp5S7W
1. Acesse o link
2. Cadastre-se
3. Realize depósito de R$20 por pix
4. Escolha o jogo Fortune Tiger
5. Escolha o valor da aposta no ( +/-) 
#pombabet #fortune #fortunetiger #RendaExtra https://t.co/jhLgHxEol5</t>
  </si>
  <si>
    <t>Como jogar Jogo do Tigre? 
🤑 Convite do Jogo do Tigre: 
↪️ https://t.co/KIBFxp6pXu
1. Acesse o link
2. Cadastre-se
3. Realize depósito de R$20 por pix
4. Escolha o jogo Fortune Tiger
5. Escolha o valor da aposta no ( +/-) 
#pombabet #fortune #fortunetiger #RendaExtra</t>
  </si>
  <si>
    <t>RT @ThiagoFeli12411: Como jogar Jogo do Tigre? 
🤑 Convite do Jogo do Tigre: 
↪️ https://t.co/KIBFxp6pXu
1. Acesse o link
2. Cadastre-se
3.…</t>
  </si>
  <si>
    <t>Como jogar Jogo do Tigre? 
🤑 Convite do Jogo do Tigre: 
↪️ https://t.co/KIBFxp5S7W
1. Acesse o link
2. Cadastre-se
3. Realize depósito de R$20 por pix
4. Escolha o jogo Fortune Tiger
5. Escolha o valor da aposta no ( +/-) 
#pombabet #fortune #fortunetiger #RendaExtra https://t.co/tIeYzyVQUE</t>
  </si>
  <si>
    <t>Minha mãe é tão viciada no jogo do tigre que o tema do aniversário dela foi esse 🤣🤣🤣 LINK NOS COMENTÁRIOS https://t.co/f4iPCab6sX</t>
  </si>
  <si>
    <t>Como jogar Jogo do Tigre? 
🤑 Convite do Jogo do Tigre: 
↪️ https://t.co/KIBFxp6pXu
1. Acesse o link
2. Cadastre-se
3. Realize depósito de R$20 por pix
4. Escolha o jogo Fortune Tiger
5. Escolha o valor da aposta no ( +/-) 
#pombabet #fortune #fortunetiger #RendaExtra https://t.co/qHR3u7yWTf</t>
  </si>
  <si>
    <t>Como jogar Jogo do Tigre? 
🤑 Convite do Jogo do Tigre: 
↪️ https://t.co/KIBFxp5S7W
1. Acesse o link
2. Cadastre-se
3. Realize depósito de R$20 por pix
4. Escolha o jogo Fortune Tiger
5. Escolha o valor da aposta no ( +/-) 
#pombabet #fortune #fortunetiger #RendaExtra https://t.co/mk96uBDXB6</t>
  </si>
  <si>
    <t>https://t.co/KIBFxp5S7W https://t.co/fUAnz0JNJH</t>
  </si>
  <si>
    <t>Preciso de 10 pessoas pra ganhar comissões de R$100 a R$300 reais hoje! Me me chame no wpp 21 998718050 #maes #precisodedinheiro #rendaextra</t>
  </si>
  <si>
    <t>Ontem mesmo c o gráfico vermelho deu pra levantar a banca 🚀 
    https://t.co/gkX0lWPmZL se cadastra no meu link 😚 https://t.co/9WFypaaNhn</t>
  </si>
  <si>
    <t>#100hrs #brabet #rendaextra #DiaDelMaestro #VamosLaU #ไบเบิ้ลพาต้ามาป้ายยาวิชี่</t>
  </si>
  <si>
    <t>💥Atenção, conheça um Método de faturar uma grana extra direto do seu Celular, 
Assista um mini curso no link abaixo 
https://t.co/XnKOepTDfs
#rendaextra https://t.co/1j9IfW8ILV</t>
  </si>
  <si>
    <t>Descubra por que investir em apostas pode ser uma opção atrativa em relação à bolsa de valores. Diversifique seus investimentos e aproveite as vantagens! Leia mais em nosso blog. #Investimentos #ApostasEsportivas #RendaExtra
https://t.co/DpS9VRZDUq</t>
  </si>
  <si>
    <t>Quer transformar suas apostas em uma fonte de renda estável? Conheça o Trader Esportivo, o profissional do futuro das apostas! Acesse nosso blog e descubra mais sobre essa oportunidade! #TraderEsportivo #Apostas #RendaExtra #BolsaEsportiva
https://t.co/I9MFdvevNs</t>
  </si>
  <si>
    <t>Estratégia para lucrar na internet com PLR's.⤵️
Pack com 10Mil PLR's pra vc começar agora!
https://t.co/5ByB8GiWUm
#kiwify #rendaextra #empreedendordigital #marketingdigital #braip #eduzz #hotmart #fypviraltwitter https://t.co/F1hQsFwQvW</t>
  </si>
  <si>
    <t>PAPO RETO DO DIA💪🏼
A ESCOLHA É SEMPRE SUA!
Bora lucrar na internet?
#visão #kiwify #paporeto #empreendedordigital #motivacion #rendaextra #pracima https://t.co/rAC2n6cxoX</t>
  </si>
  <si>
    <t>#meindica #plr #marketingdigital #rendaextra
Me Indica! PREMIUM
Tenha acesso em todos os cursos da Me Indica!
Como ser dono de um produto digital?
E ter 100% do lucro para você!
https://t.co/EDFwTi18Gv https://t.co/ne7aEvqNP0</t>
  </si>
  <si>
    <t>#meindica #plr #marketingdigital #rendaextra
Me Indica! PREMIUM 4.0
Tenha acesso em todos os cursos da Me Indica! + BÔNUS 20.000 E-BOOK(PLR) pronto para vender e mudar sua vida financeira
SAIBA MAIS:
https://t.co/wc2E8F6avx https://t.co/SIUZA53xwq</t>
  </si>
  <si>
    <t>TENHA 100% DE LUCRO COM MAIS DE 20.000 E-BOOKs(PLR) - PRONTO PARA VENDER!
#meindica #MarketingDigital #plr #rendaextra https://t.co/7T6cjuiWPM</t>
  </si>
  <si>
    <t>#meindica #plr #marketingdigital #rendaextra
Me Indica! PREMIUM 4.0
Tenha acesso em todos os cursos da Me Indica! + BÔNUS 20.000 E-BOOK(PLR) pronto para vender e mudar sua vida financeira
SAIBA MAIS:
https://t.co/EDFwTi18Gv https://t.co/s8ma4KBvqa</t>
  </si>
  <si>
    <t>#meindica #sucesso #dinheiro #rendaextra
Do Zero ao Sucesso: Construa sua Marca no Ambiente Digital - Me Indica!
Saiba Mais:
https://t.co/lfYyyc04OM</t>
  </si>
  <si>
    <t>#meindica #sucesso #dinheiro #rendaextra
Do Zero ao Sucesso: Construa sua Marca no Ambiente Digital - Me Indica!
Saiba Mais: 
https://t.co/lfYyyc04OM https://t.co/v7Llxirwot</t>
  </si>
  <si>
    <t>#meindica #rendaextra #marketingdigiatl #plr
SAIA DO ZERO - ME INDICA!
Saia do zero com a Me Indica!
Tá desempregada(o) ou quer uma renda extra ou mudar de vida, sair dessa crise mundial que é cada vez mais real?
https://t.co/0hyjK6kqRi https://t.co/khnwlx985R</t>
  </si>
  <si>
    <t>Transforme sua Vida Financeira: Descubra o Caminho para a Liberdade Financeira!
Entre em contato agora mesmo pelo WhatsApp: link https://t.co/9JQSdmHD8T
(35)992283041
#meindica #whatsapp #faleconosco
#marketingdigital #plr #rendaextra #dinheiro https://t.co/ezoihocXK6</t>
  </si>
  <si>
    <t>🚨Aproveitei a promoção da LIVELO + SMILES e gerei 600 mil milhas em menos de 30 minutos! 🥵🔥
Agora é só venderrr🤩✈️
R$750💰
.
.
#milhasaereas #milhasaereasdinheiro #viagens #rendaextraemcasa #milhas #cartaodecredito #viajarbarato #viagembarata #lucrecommilhas #acumularmilhas https://t.co/7msTBCAQoD</t>
  </si>
  <si>
    <t>🚨Como transferir os pontos da Livelo para a AZUL? 🔥✈️
#milhasaereas #milhasaereasdinheiro #viagens #rendaextra #rendaextraemcasa #dinheiroonline #milhas #cartaodecredito #viajarbarato #viagembrasil #rendaextraonline #viagembarata #lucrecommilhas #acumularmilhas https://t.co/HbNWoMFM2J</t>
  </si>
  <si>
    <t>🔥Como transferir os pontos do ESFERA para a AZUL!! 💰✈️
#milhasaereas #milhasaereasdinheiro #viagens #rendaextra #rendaextraemcasa #dinheiroonline #milhas #cartaodecredito #viajarbarato #viagembrasil #rendaextraonline #viagembarata #lucrecommilhas #acumularmilhas https://t.co/Jb5c6tXlzb</t>
  </si>
  <si>
    <t>Quanto Vale Mil Milhas? 🔥💰✈️
#milhasaereas #cartaodecredito #rendaextra #pontosemilhas #vendermilhas https://t.co/068cjgtAjc</t>
  </si>
  <si>
    <t>Promoção da Smiles!!
Transfira seus pontos do cartão e ganhe até 80% de BÔNUS!
Diversos bancos estão participando!
Incluindo: Livelo, Esfera, PDA.. etc
Acesse o Link e aproveite:
https://t.co/cewyWhwAbd
#milhasaereas #rendaextra #cartaodecredito #smiles #pontosdocartao https://t.co/7HccGG3Dld</t>
  </si>
  <si>
    <t>Agora em maio é dia de PIX na conta!!
Vendi 239 mil milhas da Latam por mais de 6 mil reaisss!! 🔥🤝✈️
#milhasaereas #milhasaereasdinheiro #viagens #rendaextra #cartaodecredito #rendaextraonline #milhasaéreas #lucrandocommilhas #cartãodecrédito #vendermilhas #acumularmilha https://t.co/MsI5kxPZeY</t>
  </si>
  <si>
    <t>iPhone 14 PRO 128gb por 5 mil!!📲🔥
iPhone mais barato nos EUA 🇺🇸
Passo a passo no grupo da turma, como conseguir qualquer celular com até 50% de desconto!
#iphone #iphone14pro #iphonebarato #livelo #casasbahia #milhasaereas #rendaextra https://t.co/7uEIXDPcHr</t>
  </si>
  <si>
    <t>🚨12 formas de Lucrar com Milhas!!
👉🏻 Parte 1
• Transferências com Bônus ✅
• Compras Bonificadas ✅
• Clubes de fidelidade ✅
• Cupons Exclusivos ✅
#milhasaereas #viajar #cartaodecredito #milhas #rendaextra #viagens #acumularmilhas #rendaextraonline https://t.co/ZIWCBvjNjf</t>
  </si>
  <si>
    <t>Renda Extra com Milhas Aéreas! 💰✈️
#milhasaereas #rendaextra #cartaodecredito #viajar #investimento https://t.co/qOOH3rVkS3</t>
  </si>
  <si>
    <t>🔥💰✈️
#milhasaereas #rendaextra #cartaodecredito https://t.co/COt8zmYAqa</t>
  </si>
  <si>
    <t>COMO GANHAR COTA DE FUNDO IMOBILIÁRIO TODO MÊS- FIIS
#fundosimobiliarios
#fiis #melhoresfundosimobiliarios
#rendapassiva
#rendaextra #saláriosemtrabalhar 
#bolsadevalores
#luizbarsi #louisebarsi https://t.co/r9gQQ1Fh8B</t>
  </si>
  <si>
    <t>Acompanhe as últimas novidades do nosso blog:
https://t.co/1twHNZUa7V
.
.
.
#blog #entretenimento #Saude #tecnologia #investimentos #rendaextra</t>
  </si>
  <si>
    <t>Leia nosso artigo: Renda Extra como Web Designer.
https://t.co/U3pSlpYvaI
.
.
.
#Webdesign #rendaextra #emprender #MarketingDigital</t>
  </si>
  <si>
    <t>Produção de Rainhas. Por inxertia. Apiario Serra da Jibóia. 
#apiario
#rendaextra
#mel https://t.co/uZQTCPgJpr</t>
  </si>
  <si>
    <t>@maribissx #rendaextra #jogueparavencer</t>
  </si>
  <si>
    <t>Clique no link e receba o ebook gratuito “10 Sugestões de como Viver e Trabalhar com Consultas de Tarot”: https://t.co/AyvBJJMNKy
#misticozen #consultasdetarot #rendaextra #tarot #Tarotcards #tarotonline #denisviatico #ebook https://t.co/rQtecD8Hdt</t>
  </si>
  <si>
    <t>#milionario #dinheiro #rendaextra #MarketingSuccess https://t.co/Z3gKxeBtw8</t>
  </si>
  <si>
    <t>Aprenda Agora Mesmo Como Ganhar Dinheiro no Mercado Futuro da Binance 
#btc #Binance #criptomoedas #RendaExtra 
https://t.co/gTbeb68s8C</t>
  </si>
  <si>
    <t>Tem como começar com R$ 1000,00 no Marketing Digital?🐀 O Ratão responde! #blackrat #marketingdigital #rendaextra #ganhardinheiroonline https://t.co/cvRzjkbmc8</t>
  </si>
  <si>
    <t>Aproveita essa época do ano para ter uma Renda Extra!!! Acesse o link e confira. https://t.co/krY3NBHFZo
#pascoa #pascoa2023 #pascoalucrativa #rendaextra #rendaextraemcasa #brasil #pernambucano #doces #ovosdepascoa #pascoaemcasa #trabalheemcasa #lucre #fature https://t.co/SyjZlt5zh4</t>
  </si>
  <si>
    <t>FAÇA PARA VOCÊ OU TENHA SEU PRÓPRIO NEGÓCIO!#rendaextra #ganhardinheiro #empreendedorismo https://t.co/zthMBVl0Of</t>
  </si>
  <si>
    <t>DICA RENDA EXTRA EM CASA #croche #rendaextraemcasa
Uma técnica que possibilita trabalhar em casa. A dica é o CURSO COMPLETO DE AMIGURUMI.
Você encontra no site NR NOVOS RUMOS
Crédito musical - Music by https://t.co/cPBqmvSPDC - Eazy "Vibe Check" - https://t.co/S2O5OKWjac https://t.co/V47SdTGxtg</t>
  </si>
  <si>
    <t>Nunca se compare com os outros!
Clique no link da Bio e mude de vida  ainda hoje🤑
#markenting #mulheresmilionaria #mulheres #mulherdesucesso #rendaextra #mulherindependente #mulhererempreendedora #MMM #empreendedorismo #mulhervirtuosa #markenting #dinheiro #treino https://t.co/8B1odf6ywV</t>
  </si>
  <si>
    <t>https://t.co/6KFKZv3QyH
#informações #rendaextra #Negocios</t>
  </si>
  <si>
    <t>#caranaval #dinheiro #rendaextra #carnavalderua</t>
  </si>
  <si>
    <t>Não se esqueça! Salário caiu na conta, se pague primeiro! #dinheiro #finanças #dividas #rendaextra https://t.co/oybt4goVRy</t>
  </si>
  <si>
    <t>Seria esse um loop infinito? Você passa por isso? #dinheiro #rendaextra https://t.co/7mC5TSQbiL</t>
  </si>
  <si>
    <t>#dinheiro #investimentos #grana #rendaextra #b3 #1milhao #BBBB23</t>
  </si>
  <si>
    <t>https://t.co/y6L2C7HKsd Que tal seguir o sonho de mexer na area de celulares?
#rendaextra #celulares #seguirseusonho #profissão
#faturamento https://t.co/84CDyP2ixw</t>
  </si>
  <si>
    <t>#trabalharemcasa
#homeofficie
#trafegopago
#marketingdigital
#rendaextra👇🏾
https://t.co/GCcCq9TJob https://t.co/HOJdoQLEBG</t>
  </si>
  <si>
    <t>Cadastre-se através do meu link e ganhe dinheiro respondendo pesquisas na internet.
https://t.co/maCekh8vvN
#ganhedinheironainternet
#homeoffice 
#rendaextra 
#ganhardinheiro
#pesquisas</t>
  </si>
  <si>
    <t>Já pensou em ser dona do seu próprio negócio? 
Que tal ter sua saboaria e conquistar a tão sonhada independência financeira.
Colocando em prática o que vai aprender nesse curso isso é pode ser possível 
Essa é a sua oportunidade 
Saiba mais 21 991514242
#rendaextra
#homeoffice https://t.co/zGl2LvWANc</t>
  </si>
  <si>
    <t>[RENDA EXTRA] • Trabalhe em casa • Com produtos importados!
Assista ao vídeo e saiba como: 👇🏻
https://t.co/B0969D999h
#rendaextra #ganhardinheiro #trabalharemcasa #Shopee #TerraEPaixao #MonacoGP #AGrandeConquista #cantacomigo #LulaGovernoDeTodos #Beyonce #Brasil #g1</t>
  </si>
  <si>
    <t>Análise + projeção de preço 😍
Hoje vivo do mercado financeiro graças ao meu desenvolvimento de aprender cada dia mais e mais 🙏🏼
Análise projeção gerenciamento você vai encontrar tudo nesse E-book 👇🏼👇🏼
https://t.co/vPCs815G9n
#ondecomprar 
#dinheirorapido 
#rendaextra https://t.co/C12sh0fvgG</t>
  </si>
  <si>
    <t>Quer aprender do ZERO ao AVANÇADO como fazer dinheiro no mercado financeiro? 
Oportunidade de renda extra ou até mesmo viver do mercado financeiro!
Melhor treinamento de trader👇🏼
https://t.co/rS1RTmdl9O
#dinheiro
#rendaextra
#trade 
#compraonline https://t.co/TCnagSX20O</t>
  </si>
  <si>
    <t>Arriscando pouco e ganhando muito!! 
Quem sabe gerenciar dinheiro faz dinheiro em todos os lugares 💡🧠
Primeiro cadastro ganha 100% de bônus 🤑 👇🏼
https://t.co/ZMn9BLmOYy
#dinheirorapido
#rendaextra 
#mentemilionaria https://t.co/fIzqyblZmw</t>
  </si>
  <si>
    <t>Cadastre-se Grátis Hoje: https://t.co/ZZUGSdsTQu
#TNP #cashback #rendaextra #trabalheemcasa https://t.co/7jjK734Sl8</t>
  </si>
  <si>
    <t>Faça você mesmo vasos de plantas em sua casa Saiba mais 👇
.
https://t.co/54QRPcmOgF
.
#100hrs #plantas #vasos #Cactus #rosas #suculentas #viral #renda #rendaextra #cultivation #CulturaEnUnClick #viuvanegra  #jardim https://t.co/nM8w3vIf1P</t>
  </si>
  <si>
    <t>Quer fazer uma renda extra, e não sabe como?
com a GCF BRASIL, qualquer um tem a chance de indicar e ganhar!
.
.
.
.
.
#indicação #fgts #rendaextra https://t.co/pPS616W42W</t>
  </si>
  <si>
    <t>Isto é, quantos mais pessoas forem beneficiadas, maior é seu retorno. 
#amway #oportunidade #empreendedorismo #empreender 
#negocios #business #negociodigital #negocioproprio #rendaextra #qualidadedevidaesaude #flexibilidade #menteempreendedora #empreendedora #produtosimportados</t>
  </si>
  <si>
    <t>💥 Um negócio que depende só de nós, da nossa vontade, atitudes, determinação e ações.
#oportunidade #negociodigital #empreendedorismo #marketingmultinivel #mmn #negócios #negocioproprio #empreendedorismo #negocioglobal #amway #produtosnegociosglobal #rendaextra #empreenda</t>
  </si>
  <si>
    <t>Entrei nesse grupo de lançamentos e Dicas de slots pagantes. Indico a vocês 
https://t.co/PYQhzEuYtr
#rendaextra #slots #tigerfortune https://t.co/CVXTXjiS9v</t>
  </si>
  <si>
    <t>🔵 Como fazer R$50 MIL RÁPIDO ainda este ANO | Dicas para você ganhar dinheiro rápido
https://t.co/XZHJ57b0SO
#rendaextra</t>
  </si>
  <si>
    <t>🔵 RENDA EXTRA: O guia definitivo com ideias incríveis de renda extra para você sair do aperto!
https://t.co/lCMSB2P90x
#rendaextra</t>
  </si>
  <si>
    <t>https://t.co/3AiSKw0fXP
#MarketingDigital #emprendedores #rendaextra #liberdadefinaceira #receberemdólar https://t.co/nwUYP9XQwQ</t>
  </si>
  <si>
    <t>Aprenda cutilagem de unhas como um(a) profissional! Nosso curso oferece aulas teóricas e práticas para dominar as técnicas mais avançadas em cuidados com as unhas 💅🏻 Inscreva-se agora e destaque-se no mercado da beleza! Link na bio #cutilagemdeunhas #cursodebeleza #rendaextra https://t.co/8WxfuWbbRP</t>
  </si>
  <si>
    <t>Quer aprender a criar bolos irresistíveis que encantarão todos ao seu redor. Fazer uma renda extra fazendo o que gosta? Saiba mais assistindo nossa mini aula que preparamos com muito carinho para você 🍰✨
#rendaextra #DoItLikeThat
👉https://t.co/Ql6alXslSh 👈 https://t.co/PnKLR3bsQE</t>
  </si>
  <si>
    <t>Ficou sabendo? Tem velho rico dando dinheiro só pra tirar ele do tédio.
#rendaextra #velhorico 
https://t.co/a5bvgUHcYc https://t.co/ioQ0qYKzti</t>
  </si>
  <si>
    <t>#rendaextra
#marketingdigital
#trabalharemcasa
#ganhardinheronainternet https://t.co/gTEHCZXXSv</t>
  </si>
  <si>
    <t>Deseja antecipar seu FGTS só chamar que a gente resolve! Antecipe o seu Já ! #fgts #dinheiroextra #rendaextra #vamo #bora https://t.co/6mUsUO7Li1</t>
  </si>
  <si>
    <t>Quer saber mais sobre o Método Home Office Lucrativo? 🤔💻 Acesse: https://t.co/qGqX3SlVlz e descubra como transformar seu trabalho em casa em um sucesso financeiro!  🚀💰 #homeoffice #trabalheemcasa #rendaextra #metodohomeoffice #invistanoseufuturo https://t.co/QS4jdN2kvP</t>
  </si>
  <si>
    <t>#marketingdigital #rendaextra #trabalho #empreendedorismo #dinheiro 
👇 👇 Você pode gostar desses vídeos também: 👇 👇 👉[Revelei Meus Resultados] Como Afiliado em 1 Ano https://t.co/JWU6dVewtr 👉[Filtrify] A Ferramenta dos Afiliados Profissionais https://t.co/yUKE4DQevy</t>
  </si>
  <si>
    <t>fature visitando site 
Método completo e licenciado, para trabalhar 100% Home Office usando apenas o celular, visitando sites! Este método validado vem ajudando centenas de pessoas em todo Brasil a terem uma vida financeira digna
https://t.co/poVMM2RRpX
#rendaextra #dinheiro https://t.co/OfcyWU2C99</t>
  </si>
  <si>
    <t>#MercadoFinanceiro #empreendedorismo #cursosonline #rendaextra #emprendedor #emprendedores</t>
  </si>
  <si>
    <t>Sério mesmo que ainda não está ganhando dinheiro com a internet? 
Alcione | Guarulhos | Kwid | boco roso | Samuel Verâncio | ICMS #BBTitans2023 #RENDAEXTRA  #DINHEIRO https://t.co/ZyZiL8i1Mt</t>
  </si>
  <si>
    <t>Você sabia que você pode ganhar dinheiro fazendo compras na internet? Isso mesmo!
.
.
.
#livelo #milhas #smiles #latampass #milhasaereas #pontos #cartaodecredito #rendaextra  #educaçãofinanceira #finanças #israelpimentel_investe 
SANTA DO PAL OCO NA CADEIA | Chocada | LAUANA… https://t.co/gUdLBgstJX</t>
  </si>
  <si>
    <t>Você sabia que você pode ganhar dinheiro fazendo compras na internet? Isso mesmo!
.
.
.
#livelo #milhas #smiles #latampass #milhasaereas #pontos #cartaodecredito #rendaextra  #educaçãofinanceira #finanças #israelpimentel_investe 
SANTA DO PAL OCO NA CADEIA | Chocada | LAUANA… https://t.co/7arIYO8D3m</t>
  </si>
  <si>
    <t>10 Dicas para fazer Renda Extra, está precisando levantar uma grana? 
https://t.co/QH0eKktNOi
Faustão | R$5,99 | Preta Gil | Polícia Federal | Sérgio Ramos | Bolsa Família | Kindle Unlimited | #rendaextra #dinheiro #Economia</t>
  </si>
  <si>
    <t>5 Regras para sair da Pobreza:
#educacaofinanceira #dinheiro #rendaextra 
https://t.co/MbvAmzphtI
#RealidadeNubank #nucoin Nubank | Sarada | Maíra Cardi | #FofocalizandoNoSBT | fnatic |</t>
  </si>
  <si>
    <t>Agora realmente é possível ganhar dinheiro na internet sem sair de casa! 🥳 O Falaí ajuda você nesta missão, realize o seu cadastro hoje mesmo!
#Falaí #PesquisaRemunerada #PesquisaDeMercado #RendaExtra https://t.co/LTcT7vFtDb</t>
  </si>
  <si>
    <t>Pesquisa nova toda semana: após acumular R$ 20,00, você resgata a recompensa informando apenas sua chave Pix🤑💰
Realize o seu cadastro hoje mesmo pelo link 👇
https://t.co/yukirjrwwq
#Falaí #PesquisaRemunerada #PesquisaDeMercado #RendaExtra https://t.co/Nf7Pfk4Iad</t>
  </si>
  <si>
    <t>Os resultados falam por si! Nossos clientes estão adorando as pesquisas remuneradas do Falaí. Junte-se a eles e ganhe dinheiro extra compartilhando sua opinião. 💬💸 #Falaí #RendaExtra #PesquisaRemunerada https://t.co/uoD6v8cNxO</t>
  </si>
  <si>
    <t>Sua opinião pode ajudar o mercado. Por meio dos relatos de suas experiências, sejam elas positivas ou negativas, as empresas podem melhorar os serviços ou produtos! 📈
#Falaí #PesquisaRemunerada #PesquisaDeMercado #RendaExtra https://t.co/w1HZPpeij2</t>
  </si>
  <si>
    <t>Mantenha suas informações atualizadas e aumente suas chances de receber pesquisas do Falaí! Acesse nosso site e verifique suas informações. 💻✅ #Falaí #RendaExtra #PesquisaRemunerada https://t.co/mWvpZIZhpz</t>
  </si>
  <si>
    <t>Além das pesquisas remuneradas, também é possível ganhar recompensas (e transformá-las em pix) indicando amigos no site.
👉 Confira o passo a passo na imagem ao lado.
#Falaí #pesquisaremunerada #rendaextra #pesquisademercado #amigos #indicacao https://t.co/eUnW3k8FLt</t>
  </si>
  <si>
    <t>Quer ganhar uma renda extra fácil de forma divertida? Cadastre-se no Falaí e participe de pesquisas remuneradas. Ganhe dinheiro respondendo perguntas. É simples assim! Acesse: https://t.co/rhnk6cojhW. 😍💰
#Falaí #PesquisaRemunerada #PesquisaDeMercado #RendaExtra https://t.co/t7DlMeuV8M</t>
  </si>
  <si>
    <t>No Falaí, prezamos pela transparência e garantimos que seus dados pessoais estão protegidos. Confira nossa Política de Privacidade no site e comece a participar das pesquisas: https://t.co/rhnk6coR7u. 💰 
#Falaí #PesquisaRemunerada #PesquisaDeMercado #RendaExtra https://t.co/2LvW9ya204</t>
  </si>
  <si>
    <t>Ganhe uma graninha extra enquanto compartilha suas opiniões com empresas que realmente se importam com o que você pensa. Participe das pesquisas remuneradas do Falaí! 💰🔥 #Falaí #RendaExtra #PesquisaRemunerada https://t.co/hp0c1cnrge</t>
  </si>
  <si>
    <t>Uma forma de construir sua reserva de emergência é buscando fontes extras de renda, como respondendo pesquisas remuneradas. Acesse o site do Falaí e comece agora a alimentar sua reserva: https://t.co/rhnk6cojhW! 🤑
#Falaí #PesquisaRemunerada #PesquisaDeMercado #RendaExtra https://t.co/AAYrW1zHfz</t>
  </si>
  <si>
    <t>No tempo livre, o tédio é um velho companheiro? Aqui estão dicas para tornar seu dia mais produtivo. 🥱
E que tal aproveitar e responder pesquisas remuneradas? Saia do tédio e garanta uma grana extra. 🤑
➡ Acesse: https://t.co/rhnk6cojhW
#Falaí #RendaExtra #PesquisaRemunerada https://t.co/D3h6653gXj</t>
  </si>
  <si>
    <t>Para garantir sua renda extra, é melhor ficar de olho! 👁👁
Visite o site do Falaí, encontre pesquisas ideais para você e garanta seu Pix! 
Não deixe essa grana escapar! ➡ Acesse o site: https://t.co/rhnk6coR7u
#Falai #pesquisaremunerada #rendaextra https://t.co/HFEn4oNQgq</t>
  </si>
  <si>
    <t>Ter amigos é maravilhoso, ainda mais quando indicam oportunidades de renda extra! Que tal convidar seus amigos para se juntarem ao Falaí? Cadastre-se! 💸✨ #Falaí #RendaExtra #PesquisaRemunerada #DiaDoAmigo https://t.co/gZRIcNkIWp</t>
  </si>
  <si>
    <t>Quer ganhar dinheiro enquanto ajuda empresas a criar produtos incríveis? Faça seu cadastro no Falaí e participe de pesquisas remuneradas. Sua voz importa para a inovação! Acesse: https://t.co/rhnk6cojhW. 🤑
#Falaí #PesquisaRemunerada #PesquisaDeMercado #RendaExtra https://t.co/5xuT7J6iML</t>
  </si>
  <si>
    <t>#reinventandoaeducação   #remedio   #renda   #rendaextra   #rendafixa   #rendavariavel   #Repost 
https://t.co/BlboawyKdp https://t.co/NurFNqpQWy</t>
  </si>
  <si>
    <t>Qualquer dúvida escreva um
a mensagem 👩‍💻📲💬
#reels #rendaextraemcasa #trabalhoemcasa #hotmart #iniciantes
https://t.co/NKcIOhojfb</t>
  </si>
  <si>
    <t>Aprenda absolutamente tudo sobre Cookies Gourmet! Curso 100% em vídeo com aulas práticas e detalhadas. Certificado incluso. Do básico ao avançado
#rendaextra
https://t.co/NA9aeMwL8F https://t.co/frnuTmfoIC</t>
  </si>
  <si>
    <t>Aprenda absolutamente tudo sobre Cookies Gourmet! Curso 100% em vídeo com aulas práticas e detalhadas. Certificado incluso. Do básico ao avançado
#rendaextra
https://t.co/NA9aeMwL8F https://t.co/Apv29XP0TK</t>
  </si>
  <si>
    <t>Aprenda absolutamente tudo sobre Cookies Gourmet! Curso 100% em vídeo com aulas práticas e detalhadas. Certificado incluso. Do básico ao avançado
#rendaextra
https://t.co/NA9aeMwL8F https://t.co/qVMAtPGX02</t>
  </si>
  <si>
    <t>Aprenda absolutamente tudo sobre Cookies Gourmet! Curso 100% em vídeo com aulas práticas e detalhadas. Certificado incluso. Do básico ao avançado
#rendaextra
https://t.co/NA9aeMwL8F https://t.co/Zn4mhHJXQF</t>
  </si>
  <si>
    <t>Aprenda absolutamente tudo sobre Cookies Gourmet! Curso 100% em vídeo com aulas práticas e detalhadas. Certificado incluso. Do básico ao avançado
#rendaextra
https://t.co/NA9aeMwL8F https://t.co/DNaWmewoKU</t>
  </si>
  <si>
    <t>Aprenda absolutamente tudo sobre Cookies Gourmet! Curso 100% em vídeo com aulas práticas e detalhadas. Certificado incluso. Do básico ao avançado
#rendaextra
https://t.co/NA9aeMwL8F https://t.co/yyU17PSu8L</t>
  </si>
  <si>
    <t>Aprenda absolutamente tudo sobre Cookies Gourmet! Curso 100% em vídeo com aulas práticas e detalhadas. Certificado incluso. Do básico ao avançado
#rendaextra
https://t.co/NA9aeMwL8F https://t.co/2Vtf7mEdUq</t>
  </si>
  <si>
    <t>Aprenda absolutamente tudo sobre Cookies Gourmet! Curso 100% em vídeo com aulas práticas e detalhadas. Certificado incluso. Do básico ao avançado
#rendaextra
https://t.co/NA9aeMwL8F https://t.co/i6DrjNXuCv</t>
  </si>
  <si>
    <t>Aprenda absolutamente tudo sobre Cookies Gourmet! Curso 100% em vídeo com aulas práticas e detalhadas. Certificado incluso. Do básico ao avançado
#rendaextra
https://t.co/NA9aeMwL8F https://t.co/RCVFPuhMdu</t>
  </si>
  <si>
    <t>Aprenda absolutamente tudo sobre Cookies Gourmet! Curso 100% em vídeo com aulas práticas e detalhadas. Certificado incluso. Do básico ao avançado
#rendaextra
https://t.co/NA9aeMwL8F https://t.co/UXIxbhaNq0</t>
  </si>
  <si>
    <t>Aprenda absolutamente tudo sobre Cookies Gourmet! Curso 100% em vídeo com aulas práticas e detalhadas. Certificado incluso. Do básico ao avançado
#rendaextra
https://t.co/NA9aeMxiYd https://t.co/OYQKE2FOXF</t>
  </si>
  <si>
    <t>#dinheiro #rendaextra #brasil 
Trabalhe como afiliado e ganhe suas comissões!! Sem sair de casa! https://t.co/DCnoR0tP85</t>
  </si>
  <si>
    <t>Como Vender Ilustrações, Caricaturas e Arte Vetorizada no Brasil 🇧🇷 
#rendaextra #viverdearte #drawing #draw #art #arte #desenho #caricatura 
https://t.co/oiliIe0FoT</t>
  </si>
  <si>
    <t>É POR ISSO QUE VOCÊ TRABALHA E CONTINUA POBRE #shorts #rendaextra #ganha... https://t.co/gv1z5jYdfC via @YouTube Estado parasita</t>
  </si>
  <si>
    <t>Bolao da cop premiando em 20.000,00 https://t.co/KKGkkWRojK #HULK  #paulinho #aposta #tips #rendaextra https://t.co/TgFdI30dzi</t>
  </si>
  <si>
    <t>Quer fazer a primeira venda em minutos da uma conferida eu ensino como👉https://t.co/rYwJ6y1Y9o #rendaextra #shoppee #ondecomprar #Vendatwitter</t>
  </si>
  <si>
    <t>Você conhece o LOJA DINKA? Somos fornecedor de drop 100% automatizado. Revenda produtos em todos marketplaces. Nossos sistemas integram aos erp, bling, marketplaces e todos sites.
Conosco vc ganha site e email profissional em apenas 1 clique.
#dropshipping #rendaextra https://t.co/5qjTNrhCjz</t>
  </si>
  <si>
    <t>Você conhece o LOJA DINKA? Somos fornecedor de drop 100% automatizado. Revenda produtos em todos marketplaces. Nossos sistemas integram aos erp, bling, marketplaces e todos sites.
Conosco vc ganha site e email profissional em apenas 1 clique.
#dropshipping #rendaextra https://t.co/ph4CdvURu8</t>
  </si>
  <si>
    <t>Você conhece o LOJA DINKA? Somos fornecedor de drop 100% automatizado. Revenda produtos em todos marketplaces. Nossos sistemas integram aos erp, bling, marketplaces e todos sites.
Conosco vc ganha site e email profissional em apenas 1 clique.
#dropshipping #rendaextra https://t.co/XKdDEivAhT</t>
  </si>
  <si>
    <t>Você conhece o LOJA DINKA? Somos fornecedor de drop 100% automatizado. Revenda produtos em todos marketplaces. Nossos sistemas integram aos erp, bling, marketplaces e todos sites.
Conosco vc ganha site e email profissional em apenas 1 clique.
#dropshipping #rendaextra https://t.co/DT6Up92AO3</t>
  </si>
  <si>
    <t>Você conhece o LOJA DINKA? Somos fornecedor de drop 100% automatizado. Revenda produtos em todos marketplaces. Nossos sistemas integram aos erp, bling, marketplaces e todos sites.
Conosco vc ganha site e email profissional em apenas 1 clique.
#dropshipping #rendaextra https://t.co/1c3DsmcUvV</t>
  </si>
  <si>
    <t>Você conhece o LOJA DINKA? Somos fornecedor de drop 100% automatizado. Revenda produtos em todos marketplaces. Nossos sistemas integram aos erp, bling, marketplaces e todos sites.
Conosco vc ganha site e email profissional em apenas 1 clique.
#dropshipping #rendaextra https://t.co/2yPurbcIqW</t>
  </si>
  <si>
    <t>Somos fornecedor de drop 100% automatizado. Revenda produtos em todos marketplaces. Nossos sistemas integram aos erp, bling, marketplaces e todos sites.
Conosco vc ganha site e email profissional em apenas 1 clique.
#dropshipping #rendaextra #rendaextraemcasa
#homeoffice https://t.co/94gUVXd7Lx</t>
  </si>
  <si>
    <t>Você conhece o LOJA DINKA? Somos fornecedor de drop 100% automatizado. Revenda produtos em todos marketplaces. Nossos sistemas integram aos erp, bling, marketplaces e todos sites.
Conosco vc ganha site e email profissional em apenas 1 clique.
#dropshipping #rendaextra #renda https://t.co/WJKbk87vmJ</t>
  </si>
  <si>
    <t>Promoção maluca!
Preço promocional para os 50 primeiros que comprar.
Oferda imperdivel! 🤑💸🫰
#aviator #aviators #bet #betano #betfair #blaze #blazer #bet365 #apostasesportivas #rendaextra #renda #rendaextraemcasa #botaviator
#investimentos  #economia #rendafixa #rendavariavel</t>
  </si>
  <si>
    <t>Pequeno Intro sobre a nossa ferramenta. Deem uma olhada.
Estamos em outro patamar pessoal.
#aviator #aviators #bet #betano #betfair #blaze #blazer #bet365 #apostasesportivas #rendaextra #renda #rendaextraemcasa #botaviator https://t.co/N03fCjdbpC</t>
  </si>
  <si>
    <t>Resultado de um cliente nosso.
Crescimento de banca com gestão eficiente 🤑🤩
#afiliados #aviator #betano #blaze #crash #bot #rendaextra #rendaonline #trabalheonline #gestaodebanca https://t.co/6S9XOr6wbd</t>
  </si>
  <si>
    <t>Apresentação da nova funcionalidade.
Nossa ferramenta tá top hein. Otimizada, fácil de usar e trazendo ótimos resultados.
Promoção ainda tá rolando.
#aviator #blaze #crash #afiliados #renda #rendaextra #botaviator https://t.co/kIGz4pKzu9</t>
  </si>
  <si>
    <t>Novidades na área.
Incluído funcionalidade para facilitar a edição das estratégias. Logo mais tem vídeo novamente.
#aviator #betano #blaze #crash #rendaextra #rendaonline #rendaemcasa #trabalheemcasa #afiliados https://t.co/zNXx6E9cpo</t>
  </si>
  <si>
    <t>Mais uma explicação sobre as vantagens do nosso robô.
#aviator #betano #blaze #crash #renda #rendaextra #rendaonline #trabalheemcaaa https://t.co/tpadrQlREE</t>
  </si>
  <si>
    <t>Casa da moeda virtual kkkkk
Vem que vem #aviator #afiliados #betano #blaze #crash #bet365 #bot #rendaextra #renda #rendaonline #trabalhoemcasa #trabalhoonline #trabalhoremoto https://t.co/3nFrBSuH6M</t>
  </si>
  <si>
    <t>Semana começou animada!
Pra cima! 🚀🫡💸
#aviator #betano #blaze #crash #afiliados #rendaextra #rendaonline #rendaemcasa #trabalheemcasa #trabalhoonline https://t.co/bwKxS42PYs</t>
  </si>
  <si>
    <t>Versão 3.0 - Explicando como ficou os comandos para editar nosso bot remotamente.
Promoção somente essa semana.
#aviator #aviators #bet #betano #betfair #blaze #blazer #bet365 #apostasesportivas #rendaextra #renda #rendaextraemcasa #botaviator #afiliados https://t.co/QvVdms0E5c</t>
  </si>
  <si>
    <t>Versão 3.0 pronta!
Agora controlamos nosso bot remotamente usando o Telegram.
Rapaziada, nossa ferramenta não tem igual.
Promoção somente essa semana.
#aviator #bet #betano #betfair #blaze #bet365 #apostasesportivas #rendaextra #renda #rendaextraemcasa #botaviator #afiliados https://t.co/3I7z580UT6</t>
  </si>
  <si>
    <t>Recebi de um usuario. Ele está usando a nossa estratégia moderada e gostou do resultado, bateu sua meta diária em minutos de operação.
#betano #betfair #blaze #aviator #crash #botaviator #bet365 #sportingbet #apostasesportivas #rendaextra #renda https://t.co/k7JOgHS0zS</t>
  </si>
  <si>
    <t>Aplicando a estratégia de cobrir o loss. Estou gostando do resultado.
#aviator #aviators #bet #betano #betfair #blaze #blazer #bet365 #apostasesportivas #rendaextra #renda #rendaextraemcasa #botaviator https://t.co/4ZYaJkN2TJ</t>
  </si>
  <si>
    <t>#aviator #aviators #bet #betano #betfair #blaze #blazer #bet365 #apostasesportivas #rendaextra #renda #rendaextraemcasa #botaviator https://t.co/PGwSCcA9tf</t>
  </si>
  <si>
    <t>Pessoal, já estamos atuando para trazer mais opções de configurações das estratégias. Assim vocês vão ter mais liberdade para operar.
#aviator #aviators #bet #betano #betfair #blaze #blazer #bet365 #apostasesportivas #rendaextra #renda #rendaextraemcasa #botaviator https://t.co/XiYPA3fMa5</t>
  </si>
  <si>
    <t>Pessoal, já estamos atuando para trazer mais opções de configurações das estratégias. Assim vocês vão ter mais liberdade para operar.
#aviator #aviators #bet #betano #betfair #blaze #blazer #bet365 #apostasesportivas #rendaextra #renda #rendaextraemcasa #botaviator</t>
  </si>
  <si>
    <t>Como ficou nossa nova página do robô. Toppp.
https://t.co/XHUzagIEcW
#aviator #aviators #bet #betano #betfair #blaze #blazer #bet365 #apostasesportivas #rendaextra #renda #rendaextraemcasa #botaviator https://t.co/jbPq1yxDCq</t>
  </si>
  <si>
    <t>Betnacional adicionado pessoal. Mais uma grande corretora para fazermos as nossas operações. #aviator #afiliados #betnacional #estrelabet #leovegas #rendaextra #rendaonline #trabalheonline https://t.co/gidYAzDAgo</t>
  </si>
  <si>
    <t>Mais um resultado do nosso usuário. Sem mistério rapaziada, simples. #aviator #betano #blaze #crash #afiliados #rendaextra #trabalheemcasa https://t.co/7LdHBIKVCG</t>
  </si>
  <si>
    <t>Nova atualização disponivel.
Agora carregamos diversos arquivos de estrategias e executamos ao mesmo tempo.
https://t.co/SVI61nIPW2
https://t.co/XHUzagIEcW
#aviator #aviators #bet #betano #betfair #blaze #blazer #bet365 #apostasesportivas #rendaextra #renda Casimiro Leonel Messi https://t.co/ovkW36wUte</t>
  </si>
  <si>
    <t>Esse resultado incrível de um usuário. Baixe gratuito no nosso grupo. https://t.co/XHUzagIEcW
#afiliados #aviator #betnacional #estrelabet #leovegas #rendaextra #rendaonline https://t.co/CCw2tTsnF6</t>
  </si>
  <si>
    <t>Resultado de um usuário que está usando uma estratégia moderada. Como já foi dito MÁQUINA DE FAZER DINHEIRO. #aviator #estrelabet #leovegas #pixbet #afiliados #rendaextra #rendaonline #trabalheonline #trabalheemcasa https://t.co/T4fw3MfaSD</t>
  </si>
  <si>
    <t>Incluímos a opção de "Enviar sinal" pelo Telegram.
Se vc participa de algum grupo, agora você pode realizar a entrada remotamente assim que receber o sinal!
#aviator #estrelabet #leovegas #betano #pixbet #blaze #afiliados #rendaextra #rendaonline #trabalheonline #trabalheemcasa https://t.co/c3p1CPbern</t>
  </si>
  <si>
    <t>Meta batida 🤑💸💰🚀
Essa estratégia está disponível gratuita no nosso grupo do telegram.
Link na Bio.
#aviator #betano #bet #blaze #crash #bot #botaviator #rendaextra #investimentos #trabalheemcasa #trabalheonline https://t.co/r25D0cdUdR</t>
  </si>
  <si>
    <t>Versão Atualizada! Agora você recebe as operações no seu Telegram.
Pessoal, a promoção já está no fim. Não percam tempo.
#aviator #rendaextra #rendaonline #betano #blaze #crash #betfair #bet365 #trabalheemcasa #trabalheonline #rendaemcasa #investimentos #bot https://t.co/LUJ6tGWGNp</t>
  </si>
  <si>
    <t>Máquina de fazer dinheiro 💰💰💰
#aviator #aviatorbot #betano #betfair #bet365 #rendaextra #rendaonline #rendaemcasa #trabalheemcasa #trabalheonline https://t.co/aZiLRMTquh</t>
  </si>
  <si>
    <t>Fábrica de fazer dinheiro 💶💰 #aviator #afiliados #rendaextra #rendaonline #trabalheonline #trabalheemcasa #betnacional #estrelabet #leovegas #betfair #betano #bet365 https://t.co/p1ivaeFw1q</t>
  </si>
  <si>
    <t>Versão Atualizada. Agora nossas stakes podem ter valores fixos ou serem porcentagem da nossa banca, como no exemplo abaixo.
Lembrando, não existe ferramenta igual a nossa, aproveite.
#aviator #betano #blaze #crash #afiliados #rendaextra #renda #rendaonline #trabalheemcasa #bot https://t.co/lsYCfqgoOE</t>
  </si>
  <si>
    <t>Meta batida sem estresse!
Gestão de banca e estratégia. 
O resto deixa com a gente!
https://t.co/SVI61nIPW2
#aviator #aviators #bet #betano #betfair #blaze  #bet365 #apostasesportivas #rendaextra #renda #rendaextraemcasa #botaviator
#investimentos #finanças #economia #afiliados https://t.co/GT7YpzV076</t>
  </si>
  <si>
    <t>Agora você pode vender a sua estratégia e lucrar mais ainda 💸🚀
#aviator #betano #betfair #blaze #crash #bet365 #renda #rendaextra #rendaonline #rendaemcasa https://t.co/P80QOZVibP</t>
  </si>
  <si>
    <t>Resultado da estratégia agressiva que acabei de postar no grupo do Telegram. Sem mais rapaziada.
#aviator #betfair #bet365 #betano #blaze #botaviator #rendaextra #rendaonline #trabalheemcasa #investimentos https://t.co/Xr37KEW8uh</t>
  </si>
  <si>
    <t>Já pensou em vender a sua estratégia?
Agora você pode!
Nova opção para baixar e upload do arquivo de estratégias.
Nossa ferramenta é top.
#aviator #betano #betfair #blaze #bet365 #sportingbet #rendaextra #rendaonline https://t.co/Nh5gcQx9M3</t>
  </si>
  <si>
    <t>Pessoal, segue nosso resultado, mais do que esperado.
Nossa ferramenta está top, aplicando fielmente as estratégias que criamos.
#aviator #botaviator #betano #blaze #renda #rendaextra #rendaemcasa #rendaoline #bet365 #sportingbet https://t.co/0twUzmZ8j2</t>
  </si>
  <si>
    <t>Aplicando mais um conjunto de estratégias.
#aviator #botaviator #rendaextra #rendaemcasa #blaze #betano #sportingbet #betfair #bet365 https://t.co/W4E8tiZknc</t>
  </si>
  <si>
    <t>🤑💸🤑💸
Resultado da estratégia anterior. 
50$ doleta na conta.
#aviator #bet #betano #blaze #betfair #bet365 #sportingbet #rendaextra #rendaemcasa #rendaonline #renda https://t.co/bcm2jei1ev</t>
  </si>
  <si>
    <t>Aplicando mais uma nova estratégia. Nossa ferramenta tá top.
Muito barata pelos recursos que entrega.
#aviator #aviators #bet #betano #betfair #blaze #blazer #bet365 #apostasesportivas #rendaextra #renda #rendaextraemcasa #botaviator https://t.co/TEafzLkhul</t>
  </si>
  <si>
    <t>Vamos correr atrás da diária pessoal. #aviator #rendaextra #rendaonline #afiliados #trabalheonline #trabalhoemcasa #rendapassiva #betnacional #estrelabet #leovegas #bet10 https://t.co/6UwhvNvfeg</t>
  </si>
  <si>
    <t>Versão atualizada. Breve demonstração do potencial de uma entrada dupla.
Vamos criar milhares de estratégias kkkkk.
Pra cima.
#afiliados #aviator #estrelabet #pixbet #betano #leovegas #renda #rendaextra #trabalheonline https://t.co/eTCgBncKGK</t>
  </si>
  <si>
    <t>⚠️ Atualização ⚠️
✔️Incluído novas corretoras (LeoVegas, EstrelaBet, PixBet)
✔️ Possibilidade de usar os dois controles de Bet para operar
✔️ Correção de Bugs
#afiliados #aviator #betano #blaze #rendaextra #rendaonline #trabalheonline #trabalheemcasa</t>
  </si>
  <si>
    <t>🤑💸🚀🚀
#aviator #betano #blaze #crash #betfair #botaviator #hackaviator #renda #rendaextra #rendaemcasa #online #ViniciusJr https://t.co/zQ2xLWSuk3</t>
  </si>
  <si>
    <t>Resultado da estratégia agressiva para velas de 5x. Minha estratégia preferida. O arquivo está disponivel gratuitamente no Telegram. Sem mais.🤑💸
#aviator #aviators #bet #betano #betfair #blaze #blazer #bet365 #apostasesportivas #rendaextra #renda #rendaextraemcasa #botaviator https://t.co/CTWRCCDh3a</t>
  </si>
  <si>
    <t>Resultado da estratégia agressiva para velas de 10x.
Essa estratégia está disponivel gratuita no canal do Telegram.
Sem mais.🤑💸
#aviator #aviators #bet #betano #betfair #blaze #blazer #bet365 #apostasesportivas #rendaextra #renda #rendaextraemcasa #botaviator https://t.co/htzrZtwV3c</t>
  </si>
  <si>
    <t>Pega esse histórico de entradas aí. #aviator #leovegas #afiliados #betnacional #estrelabet #bet10 #rendaextra #rendaonline #trabalheonline https://t.co/FqcwCXLhLk</t>
  </si>
  <si>
    <t>Resultado lindo da nova estratégia que está rolando no nosso grupo gratuitamente. Entre e confira #aviator #betnacional #estrelabet #leovegas #rendaextra #rendaonline #rendaemcasa #afiliados https://t.co/LbR3YoFUpW</t>
  </si>
  <si>
    <t>Nova estratégia sendo testada e validada. Logo logo vamos soltar o arquivo gratuitamente no nosso telegram. #aviator #leovegas #estrelabet #betnacional #afiliados #rendaextra #rendaonline #trabalheemcasa https://t.co/6peXFmIjxO</t>
  </si>
  <si>
    <t>Se já teve jeito mais fácil de fazer dinheiro, eu desconheço 🤪. #afiliados #aviator #betnacional #estrelabet #leovegas #rendaextra #rendaonline #trabalheemcasa #trabalhoonline https://t.co/ieVsgzt9BI</t>
  </si>
  <si>
    <t>Galera, video pra explicar um pouco melhor sobre o nosso projeto. Vale a pena conferir.
Nossa promoção ainda tá rolando. Link na bio.
#aviator #betano #blaze #crash #renda #rendaextra #rendaonline #betfair #bet365 #botaviator https://t.co/Kq0pTDFsdK</t>
  </si>
  <si>
    <t>🤑🫰💹
COMPRE nosso bot por 50$.
Promoção por tempo limitado.
Link no perfil!
#aviator #betano #blaze #crash #rendaextra #rendaemcasa #renda #trabalheemcasa #viverderenda #betfair #bet365 #sportingbet https://t.co/02PHcAIPHs</t>
  </si>
  <si>
    <t>Super promoção rolando no site. 
https://t.co/xIbdxfaXDx
#aviator #betano #blaze #crash #betfair #rendaextra #rendaonline #rendaemcasa https://t.co/OcyObBQV7g</t>
  </si>
  <si>
    <t>Fala galera. Tá rolando uma super promoção lá no site para os 100 sortudos, clica no link. 
Vc não vai se arrepender.
https://t.co/SVI61nIPW2
#aviator #blaze #betano #crash #betfair #renda #rendaextra #rendaonline https://t.co/xWHWGLuekM</t>
  </si>
  <si>
    <t>Não perca essa chance de fazer como várias pessoas que conheceram a IMETWAY estão fazendo! Ganhe dinheiro trabalhando em casa com nossos sistema de afiliados, e cashback completo, apenas usando nossa plataforma! 
https://t.co/XMS7QbHz6o
#ganhardinheiro #rendaextra #afiliados https://t.co/f500PDspGd</t>
  </si>
  <si>
    <t>Não sabe como ganhar uma renda extra? 
Vem comigo com apenas 75$ você começa o seu negócio!!!! Hoje mesmo! 
https://t.co/cDpVa04Ee8
#empreendedor #rendaextra #riodejaneiro</t>
  </si>
  <si>
    <t>Além de ser importante diversificar os investimentos, também é de suma importância ter mais de um tipo de fonte de renda!
.
.
.
.
#fontederenda #rendaextra #investimentos #financas https://t.co/b3M8WBJI0B</t>
  </si>
  <si>
    <t>7 formas de fazer renda extra online 💰
1️⃣ Trabalhando como afiliado
2️⃣ Vendendo milhas
3️⃣ Investindo na bolsa de valores
4️⃣ Trabalhando como revendedor 
5️⃣ Abrindo uma franquia online
6️⃣ Vendendo por dropshipping
7️⃣ Criando e vendendo e-books
#rendaextra #ganhardinheiro https://t.co/PnayFrIZeV</t>
  </si>
  <si>
    <t>7 formas de fazer renda extra online 💰
1️⃣ Trabalhando como afiliado
2️⃣ Vendendo milhas
3️⃣ Investindo na bolsa de valores
4️⃣ Trabalhando como revendedor 
5️⃣ Abrindo uma franquia online
6️⃣ Vendendo por dropshipping
7️⃣ Criando e vendendo e-books
#rendaextra #ganhardinheiro https://t.co/NTWWeBSMl0</t>
  </si>
  <si>
    <t>[Boas Notícias]: O Curso "Renda Extra" já tem data de lançamento oficial.
Marque na sua agenda: 12 de Setembro. 
#RendaExtra #CursoRendaExtra #GanharDinheiro #Prosperidade #Abundância #Riqueza #LuisAlves https://t.co/A8wYSEAifr</t>
  </si>
  <si>
    <t>Siga o principal @kaykyjaniszewski #marketingdigital #plr #rendaextra #internetmarketing https://t.co/YhoFNVRpFv</t>
  </si>
  <si>
    <t>A economia não é a questão. A questão é você! Se quer um futuro sólido, é preciso criá-lo.
Leia mais 👇
https://t.co/fu80rZg3rq
#empreendedorismo #oportunidade #negócios #trabalho #rendaextra #rendapassiva #marketingderede #marketingmultinivel #vendadireta https://t.co/wlAuW5s0MA</t>
  </si>
  <si>
    <t>QUER GANHAR MUITO DINHEIRO?
Tenho SINAIS 24h do ROBOZINHO AVIATOR DA BETANO que envia SINAIS com 98% de ACERTO. 💰 POR APENAS 5$ 💰 Só chamar no meu número (22) 99219-5340. 
#aviator #aviators #bet #betano #betfair #blaze #blazer #bet365 #apostasesportivas #rendaextra https://t.co/ap9R6xeHrS</t>
  </si>
  <si>
    <t>5 competências do empreendedor da economia da paixão #competências #empreendedor #empreendedorismo #passioneconomy #Carreira #Economiadapaixão #Empreendedorismo #Rendaextra
https://t.co/GsThBRlD0Q</t>
  </si>
  <si>
    <t>Profissões do futuro para ganhar dinheiro como renda extra #carreira #futuro #profissões #Carreira #Rendaextra
https://t.co/oqhbmCOR9f</t>
  </si>
  <si>
    <t>Vendas online: o que são e como funcionam? #economiadapaixão #empreendedorismo #passioneconomy #rendaextra #vendas #vendasonline #MarketingDigital
https://t.co/f8jwZDk8PF</t>
  </si>
  <si>
    <t>Cursos online: o que são e como criá-los? #cursoonline #economiadapaixão #empreendedorismo #passioneconomy #rendaextra #Empreendedorismo
https://t.co/SbyongE5iF</t>
  </si>
  <si>
    <t>7 motivos para investir na economia da paixão #economia #empreendedorismo #paixão #passioneconomy #Carreira #Economiadapaixão #Empreendedorismo #Rendaextra
https://t.co/St1ryiHBVX</t>
  </si>
  <si>
    <t>Quer descobrir como monetizar vídeos no YouTube e aproveitar mais essa estratégia de renda para a sua empresa? Descubra aqui!
#ganhardinheiro #monetizar #vídeos #youtube #Infoprodutos #MarketingDigital #Rendaextra</t>
  </si>
  <si>
    <t>Vendas online: o que são e como funcionam? #economiadapaixão #empreendedorismo #passioneconomy #rendaextra #vendas #vendasonline #MarketingDigital
https://t.co/Vg9SY7WIDI</t>
  </si>
  <si>
    <t>https://t.co/HbPwedUKfd
Fórmula Enriquecendo Online 👇👇💰💰💰😱😱😱...
RENDA EXTRA!!!
#rendaextra #mkt https://t.co/LfvqkD7dsI</t>
  </si>
  <si>
    <t>Reeiiii o que acha de Fazer Renda Extra 👉👉👉😱😱😱
👉💰💰💰https://t.co/HbPwedUKfd
#Rendaextra #foryou #mkt</t>
  </si>
  <si>
    <t>Já pensou em ter um faturamento Alto todo mês??
Com esta ferramenta ,
Comece um novo faturamento com Fórmula Enriquecendo Online, com apenas um celular 📲 conectado com internet📲💰💰💰
👉🏻 https:// https://t.co/BYAGJ6CuA2
#rendaextra #hir #work #liberdty #MonacoGP #Hotmart</t>
  </si>
  <si>
    <t>🙀👉🏻🤑💰💰💰💰
Afiliado Inteligente 🧠 
É este link é um Presente para você 🍕👉🏻🎁🤩
🎁 💡👉🏻 https://t.co/kbnq9qHNFC
Qualquer coisa me Responda *Eu Quero*
#rendaextra #mkt #iniciantes #facu #published</t>
  </si>
  <si>
    <t>Educação financeira, faça de fato sua chave virar de vez, responda eu quero,  
Mini-curso Gratuito
https://t.co/wuPRkJHpPw
#rendaextra #empreendedorismo https://t.co/oP8gvryHkJ</t>
  </si>
  <si>
    <t>#Patrocinado
O que você faria, se faturar na Internet, 2 milhões com apenas seu celular 📲👇🏻
https://t.co/e3ZB75vuA8
Fórmula Enriquecendo Online 
Só fatura quando🤑🤑🤑🤑🤑🤑
##rendaextra #feo #blackdavoz #borabil #empreendedorismo #TheFlash #EspanyolAtleti #Bolivia</t>
  </si>
  <si>
    <t>O @felipeneto fez um vídeo defendendo a "renda extra" dele,  e a maioria dos argumentos dele pode ser facilmente refutados e ainda mandou uma indireta pro @Jonvlog que não sabe a diferença entre perca e perda. 😅😅 #blaze #apostas #rendaextra
https://t.co/e2N5JHyeqn</t>
  </si>
  <si>
    <t>IMAGEM ILUSTRATIVA.
Qualquer semelhança com pessoas reais é mera coincidência. #blaze #Influencers #rendaextra https://t.co/uWI9lDx8TR</t>
  </si>
  <si>
    <t>Parafraseando o @felipeneto : "O cassino precisa que a maioria perca. Então pega meu código aí e vá lá perder seu dinheiro pra manter minha renda extra". 👌#blaze #rendaextra #cassino</t>
  </si>
  <si>
    <t>#blaze #motivacao #blazecrash #rendaextra
#rendaonline https://t.co/w1urbTzDnC</t>
  </si>
  <si>
    <t>"O futuro pertence àqueles que investem no digital hoje. Não espere, comece agora e transforme seu negócio!" 🚀💡
#dinheiro #investimentos #rendaextra #rendaolnine #meunegocio #iphone #investir #carros https://t.co/oGtpMVHWqj</t>
  </si>
  <si>
    <t>Não importa o quão pequeno seja o seu primeiro investimento; o importante é começar. Cada centavo investido é um passo em direção ao seu futuro financeiro sólido.
#dinheiro
#investimentos
#vidadeluxo
#rendaextra https://t.co/RFJohNqbLw</t>
  </si>
  <si>
    <t>Ganhe 12.000.000 Kwai Golds semanalmente! De segunda a domingo, venha me impulsionar no Kwai todos os dias e ganharemos dinheiro juntos!
#rendaextra #kwai https://t.co/2ZhRfznkGw</t>
  </si>
  <si>
    <t>Você deseja se tornar um especialista em vendas de produtos e serviços digitais? Esta buscando uma forma de impulsionar seu negócio?  https://t.co/00Kum4IGmn
#infoprodutos #marketingdigital #empreendedorismo #afiliados #vendasonline #produtosdigitais #rendaextra #homeoffice https://t.co/xQCEY2Upo2</t>
  </si>
  <si>
    <t>Você Negativado ou não,  quer uma Conta Digital Santander?
https://t.co/PoVf4wpITY
.
.
.
.
#brasil #cartão #credito #negativado #trabalhoemcasa #startup #telemarketing #recrutamento #renda #rendaextraemcasa #rendaonline #homeoffice #marketingdigital #correspondente #negative https://t.co/ShQqfQ2Spn</t>
  </si>
  <si>
    <t>Cometer “ eu quero e vou te enviar 3 aulas gratuita 🔥
#dinheiro #rendaextra #emprendedor #coup https://t.co/Gw4PbKfpo8</t>
  </si>
  <si>
    <t>Tá PAGANDO  🤑
        https://t.co/NySxttTbkZ
#jogo #Anitta #SpiderMan2PS5 #jogotigre #rendaextra #RJ #slot https://t.co/6BTWI8wV1N</t>
  </si>
  <si>
    <t>baixe o App Flame de graça e começar a jogar. Você receberá 2699 moedas como bônus inicial.
Esse aí funciona. Juro juradinho
#appflame #rendaextra https://t.co/znoXNKnKL3 https://t.co/m5bQSiTFBO</t>
  </si>
  <si>
    <t>Aproveita a sexta 
E ganhe um dinheiro extra.
Investimento de R$20 
🌻🌻🌻🌻🌻🌻🌻🌻
#DINHEIRO
 #RENDAEXTRA #INVESTIMEMTO
#JOGOS
https://t.co/gdUwVRjin5 https://t.co/m08RqkqOq9</t>
  </si>
  <si>
    <t>TESTANDO O JOGO QUE OS FAMOSOS ESTÃO JOGANDO.
E ESTOU GANHANDO.
LINK DE CONVITE.
https://t.co/gdUwVRjin5 https://t.co/hHXA7xkrbJ</t>
  </si>
  <si>
    <t>#RendaExtra
COMEÇOU MAIS BÔNUS DE PÁSCOA.</t>
  </si>
  <si>
    <t>vamos que hoje o bônus ta lindo.
slots de 100% de bônus nas recargas .
Dia de ganhar uma grana extra.
#dinheiro
#monetizados
#rendaextra
#MarketingDigital 
#AAjogos
#Famosos</t>
  </si>
  <si>
    <t>Baixe o APP HOJE MESMO E TENTE TUA SORTE 🍀🍀🍀
#ToBeHenriqueEJuliano 
Bônus extra
#OQueRolou #marketingdigital #Dicas #Investimentos #ganhardinheiro #marketingdigital #rendaextraemcasa 
https://t.co/gdUwVRjin5 https://t.co/zN1k96GFkl</t>
  </si>
  <si>
    <t>Mais BÔNUS de recarga
#dinheiro
#rendaextra
#investment
https://t.co/gdUwVRjin5 https://t.co/evKOvsX3AU</t>
  </si>
  <si>
    <t>Aproveite o começo do mês e venha fazer uma renda extra com os jogos dos famosos. CONVIDE seus amigos e ganhe muitos Bônus.
#rendaextra 
#Investimentos 
#Trump 
#MONEY</t>
  </si>
  <si>
    <t>Muitas pessoas baixando , mais tem que no minimo investir R$20
#FamososNoAAjogos
#rendaextra 
#oportunidade</t>
  </si>
  <si>
    <t>#rendaextra  
Aproveita esse mês de BÔNUS 
https://t.co/gdUwVRjin5 https://t.co/dZAirGAwH0</t>
  </si>
  <si>
    <t>🙀🙍‍♀️Curso Depilação Profissional - Oficial
✅Agora você pode se tornar uma profissional em tempo recorde e eficiente !!
➡️De R$547,00
💵por apenas R$147,00
💳OU 12X DE R$14,67 no cartão de credito
🛒🔗Link Oficial : https://t.co/ms6mbqcHsR
#cursosonline #rendaextra https://t.co/L0OYWQZY6g</t>
  </si>
  <si>
    <t>🧼Saboaria Natural Lucrativa
&amp;gt;DESCUBRA O PASSO A PASSO SIMPLES PARA PRODUZIR EM CASA SABONETES NATURAIS
🤑ACESSO IMEDIATO COM DESCONTO ESPECIAL
💵Ultimos dias de desconto...
➡️De 130,00
➡️Por apenas R$ 37,90
🛒🔗Link: https://t.co/YnfKLQJvCe
#cursodesaboaria #rendaextra https://t.co/sVbT7OcHQq</t>
  </si>
  <si>
    <t>Veja os produtos 'Promo Relâmpago' que estou vendendo!
#rendaextra 
#recolocaçao 
#marketing 
#innovation https://t.co/iazTbyjtav</t>
  </si>
  <si>
    <t>#rendaextra 
#recolocaçao 
#marketing https://t.co/Nspyiwhuhh</t>
  </si>
  <si>
    <t>A vida é feita de experiências, e algumas são inesquecíveis. Como se divertir em um cassino online com ótima jogabilidade e muitas opções de jogos para você escolher, apostar e lucrar!
Acesse https://t.co/JvHkDHlyiT e aproveite!
.
#jogosonline #rendaextra #diversão https://t.co/MxVPNrgHpq</t>
  </si>
  <si>
    <t>Na Afun você tem mais de três mil opções de jogos online para descobrir a emoção de jogar e ainda dar muito green nas apostas. Bora jogar?
Acesse https://t.co/JvHkDHlyiT e se divirta! 
#rendaextra #jogosonline #diversao https://t.co/eCWjqI26KE</t>
  </si>
  <si>
    <t>Quer viver uma nova experiência? Além da diversão, você pode ganhar muito dinheiro!
O melhor cassino online do Brasil está de portas abertas esperando você para curtir essa emoção.
Acesse agora https://t.co/iKuHNlQgsh e se divirta!
#jogosonline #rendaextra #diversão https://t.co/kM7J1oLLEt</t>
  </si>
  <si>
    <t>O seu destino tem grandes planos e está esperando para entregar tudo o que você merece. Quer saber mais? Vem pra Afun lucrar com muita diversão e descobrir o que o seu destino reserva para você.
Acesse https://t.co/JvHkDHlyiT e aproveite.
#rendaextraemcasa #rendaextra #apostas https://t.co/5H1GqyBMl1</t>
  </si>
  <si>
    <t>Afun é a melhor plataforma para você curtir apostas esportivas e ainda se divertir com os jogos mais legais e lucrativos. E tudo isso direto na tela do seu smartphone!
Acesse https://t.co/qTj6P0eFVX, faça suas apostas e boa sorte! 
#rendaextraemcasa #rendaextra #diversao https://t.co/AuGG2LTzqg</t>
  </si>
  <si>
    <t>Está procurando um cassino online com ótima jogabilidade e saque fácil?
Afun é o melhor site de jogos online para você ganhar dinheiro rápido e do jeito mais divertido.
Acesse https://t.co/JvHkDHlyiT e boa sorte!
#casinoonline #rendaextra #diversão #rendaextraemcasa #roleta https://t.co/QDtyhusIGr</t>
  </si>
  <si>
    <t>Deu green? Então é Afun!
É na Afun que você tem que estar na hora de apostar e curtir o melhor cassino online.
#diversao #jogosonline #rendaextra #liberdadefinanceira #afun https://t.co/kKZ0SIAXb2</t>
  </si>
  <si>
    <t>Pintou aquela vontade de se divertir apostando nos melhores jogos online? Vem dar green na Afun e lucrar muito!
Tá esperando o quê?https://t.co/JvHkDHlyiT e boa sorte!
#diversão #rendaextra #jogosonline #liberdadefinanceira https://t.co/5xd9TThet0</t>
  </si>
  <si>
    <t>Ganhar dinheiro em jogos online não depende só da sorte. Mas quando ela aparece, tudo fica mais legal!
Teste a sua sorte com Afun. São mais de 3000 jogos na plataforma mais segura do Brasil!
Acesse https://t.co/JvHkDHlyiT e boa diversão!
#jogosonline #diversão #rendaextra https://t.co/tYudivorMO</t>
  </si>
  <si>
    <t>Tá esperando o quê para ter uma renda extra que vai te ajudar a realizar todos os seus sonhos? Na Afun, isso é possível!
Clique no link abaixo, escolha os jogos mais legais e ganhe dinheiro se divertindo!
Acesse https://t.co/8o3XbEokwO e pronto!
#foguetinho #rendaextra https://t.co/sKIVCIjnrW</t>
  </si>
  <si>
    <t>Chega de tomar red. Na Afun você vai dar green todos os dias! Aposte com estratégia e confiança na melhor plataforma de jogos online do Brasil!
Jogue seguro. Jogue Afun.
Acesse agora https://t.co/iKuHNlQgsh e se divirta!
#jogosonline #rendaextra #diversão https://t.co/Z0Qn19hB41</t>
  </si>
  <si>
    <t>Com emoção ou sem emoção?
O prazer de ganhar é o que nos move e nos ajuda a conquistar cada vez mais vitórias.
Quer ganhar mais? Vem dar green na Afun e curtir essa emoção!
#jogosonline #apostasonline #casinoonline #rendaextra #afun https://t.co/X2GTSi4EL5</t>
  </si>
  <si>
    <t>Deu green!
Na Afun você vai sentir a emoção de estar em um cassino de verdade! Jogos virtuais e apostas esportivas para você se divertir e ainda garantir uma renda extra! São muitos jogos pra você lucrar
Tá esperando o quê? Bora pra Afun!
#jogosonline #rendaextra #cassinoonline https://t.co/UJ6qsocMeo</t>
  </si>
  <si>
    <t>Na Afun você pode ganhar recompensas se divertindo e também indicando seus amigos. Jogue com resposabilidade e teste hoje sua sorte. São mais de 3000 jogos na plataforma mais segura do país.
Acesse o link https://t.co/iKuHNlQgsh e boa sorte 
#rendaextra #jogosonline https://t.co/uaaWB9EVze</t>
  </si>
  <si>
    <t>PEGA ESSA DICA:
Olha como é fácil jogar na Afun. São mais de 3200 para você se divertir e tentar a sua sorte. Faça como esse e muitos outros influenciadores que jogam e indicam a nossa plataforma.
se cadastre AGORA  https://t.co/JvHkDHlyiT e boa sorte!
#rendaextra https://t.co/gaqjrn2kys</t>
  </si>
  <si>
    <t>Tá esperando o quê? Na Afun, você acessa os jogos mais irados da internet e ainda sai ganhando!
Aproveite nosso bônus para quem joga pela primeira vez. Bora?
Acesse https://t.co/di2qPcJdxT e boa sorte!
#jogosonline #diversão #rendaextra https://t.co/AvtiuC72Ah</t>
  </si>
  <si>
    <t>Quer sentir a emoção de jogar pela primeira vez em um cassino online dinâmico e seguro? É só dar o primeiro passo! Na Afun, você será sempre bem recebido e terá todo o suporte do melhor cassino online do Brasil!
Acesse https://t.co/iKuHNlQgsh e se divirta.
#rendaextra #diversão https://t.co/MH9QMQaHD8</t>
  </si>
  <si>
    <t>Está na hora de fazer os seus palpites valerem dinheiro!
Na Afun, você pode se divertir com os melhores jogos online e apostas esportivas em uma plataforma segura e fácil de usar.
Acesse https://t.co/JvHkDHm68r e boa sorte!
#dinheiro #rendaextra #jogosonline #diversão https://t.co/0Rrs9kyBnm</t>
  </si>
  <si>
    <t>O desafio está lançado! Você consegue vencer?
Na Afun você encontra os jogos online mais divertidos para ganhar, além de apostas esportivas para deixar tudo ainda mais emocionante. Aceita esse desafio?
.
Acesse https://t.co/JvHkDHlyiT e boa sorte!
#rendaextra  #jogosonline https://t.co/7kFno6xkdL</t>
  </si>
  <si>
    <t>DICA DO DIA. Não perca a chance de conhecer um dos jogos mais queridos entre os usuários da Afun. Veja como é fácil de jogar e ganhar.
Não perca mais tempo. 
Acesse https://t.co/sL9hsDZobr, cadastre e teste sua sorte.
#rendaextra #jogosonline #afunjogos https://t.co/E5ct2cTqVN</t>
  </si>
  <si>
    <t>Toda grande oportunidade tem o seu preço. Mas se você não tentar, você jamais saberá o resultado. Na Afun, não é diferente. Eai? Vai tentar ou vai deixar passar?
.
Acesse https://t.co/iKuHNlQgsh e teste sua sorte.
#rendaextra #oportunidades #jogosonline #Afun https://t.co/AfVpHIDG8U</t>
  </si>
  <si>
    <t>Eita, como acerta! 📷
Se liga na dica dos jogos mais legais pra você se divertir e ainda ganhar uma graninha extra! Garanta seu lugar no cassino online mais seguro do Brasil e aproveite!
Jogue seguro. Jogue Afun.
Acesse https://t.co/iKuHNlQgsh
#jogosonline #diversão #rendaextra https://t.co/22JnF0nnVK</t>
  </si>
  <si>
    <t>Além de uma ótima opção de renda extra, a melhor plataforma do Brasil conta com mais de 3000 jogos para você testar a sua sorte.
Cadastrou, jogou, ganhou! 
Acesse https://t.co/sL9hsDZW0Z e divirta-se.
#afun #rendaextra #jogosonline https://t.co/7VNNtvqnMr</t>
  </si>
  <si>
    <t>Olha que dica maravilhosa pra essa sexta-feira. A Afun é uma plataforma completa, segura e a oportunidade perfeita para você conseguir um extra.
São mais de 3000 jogos pra você se divertir.
Acesse https://t.co/8o3XbEokwO e se divirta.
#diversão #rendaextra #jogosonline https://t.co/UDmKVUG0GC</t>
  </si>
  <si>
    <t>Quer lucrar com muitos jogos online e se divertir como se estivesse em um cassino de Las Vegas? Na Afun, você tem mais de três mil opções de jogos e ainda garante muitos bônus para jogar cada vez mais!
Acesse https://t.co/iKuHNlQgsh e aproveite!
#jogosonline #rendaextra #diversão https://t.co/QwMvAx8YLK</t>
  </si>
  <si>
    <t>Nem tudo está acabado no fim do mês. A estratégia pra lucrar está on na Afun! Olha só como é simples e fácil ganhar dinheiro se divertindo e garantir uma renda extra para segurar o fim do mês.
Jogue seguro. Jogue Afun.
https://t.co/iKuHNlQgsh
#rendaextra #diversão #jogosonline https://t.co/BiwxmAvTy7</t>
  </si>
  <si>
    <t>Se divirta e ganhe uma grana pra completar o orçamento!
Na Afun você tem a melhor plataforma de apostas e mais de 3000 jogos virtuais à disposição para você curtir 24 horas por dia. Tá esperando o quê?
Acesse https://t.co/Eizh6mcP5d, aproveite! 
#rendaextra #diversão #jogosonline https://t.co/OdUP0fQ6do</t>
  </si>
  <si>
    <t>Já pensou em se divertir na roleta online e ainda faturar a renda extra que faltava para conquistar a sua independência financeira? Com a plataforma certa, você pode!
Acesse https://t.co/qTj6P0eFVX e venha ganhar com a gente!
#cassinoonline #rendaextra  #diversão #jogosonline https://t.co/WZizcUGl7v</t>
  </si>
  <si>
    <t>Relaxa e joga!
Afun é a melhor plataforma e oferece os melhores jogos online do Brasil, para você lucrar muito e ficar bem tranquila no final do mês.
Acesse https://t.co/JvHkDHlyiT e relaaaaxa.
#rendaextra #jogosonline #cassinoonline #apostasesportivas #diversão https://t.co/UTq5aa4cbo</t>
  </si>
  <si>
    <t>#rendaextra alunas faturando de várias formas ! https://t.co/nFw5JPEVAB</t>
  </si>
  <si>
    <t>Ganhar sem investir no estoque. Não Tem preço #rendaextra</t>
  </si>
  <si>
    <t>"Aproveite a oportunidade única de começar a ganhar dinheiro automaticamente agora mesmo! Clique aqui para descobrir como você pode transformar sua vida financeira de forma simples e eficaz." #dinheiro #dinheiroonline #rendaextra #comoganhar  
#cash #finanças #granaturbo #grana https://t.co/1AYWpfP76D</t>
  </si>
  <si>
    <t>#cartao #milhas #rendaextra https://t.co/XE7NAglAUk</t>
  </si>
  <si>
    <t>E eu que descobri um guia com micro missões que te indica jogos e pesquisas que paga em 💵 ... Eu estou amando 🤩 E tem aluna faturando até 1000 reais por mês com joguinho 🔥 
#Parintins2023NaACritica #lulagenocida #rendaextra #ประชุมสภา
#lua
https://t.co/tFqsPqf15V https://t.co/U8Tcn2Tl0u</t>
  </si>
  <si>
    <t>E eu que descobri um guia com micro missões que te indica jogos e pesquisas que paga em 💵 ... Eu estou amando 🤩 E tem aluna faturando até 1000 reais por mês com joguinho 🔥 
#Parintins2023NaACritica #lulagenocida #rendaextra #ประชุมสภา
#lua
https://t.co/tFqsPqf15V https://t.co/TuOFkpvTZn</t>
  </si>
  <si>
    <t>Quer concorrer a uma grana ,clique no link e saiba mais...⬇️
🔗 CLIQUE E CONCORRA UM VALOR EM DINHEIRO!
#rendaextra #KWAI #SemanaDoConsumidor https://t.co/fSTnKCl62J</t>
  </si>
  <si>
    <t>Aqui na Casa das Essências SS, você encontra tudo para criar seus próprios produtos artesanais.
#casadasessencias #artesanato #perfume #vidros #loja #rendaextra #feitoamao #decoracao #decoração #artes #presente #acessorios #tendencia #essências https://t.co/n1JrYPPOHX</t>
  </si>
  <si>
    <t>Aqui na Casa das Essências SS, você encontra tudo para criar seus próprios produtos artesanais.
#casadasessencias #artesanato #perfume #vidros #loja #rendaextra #feitoamao #decoracao #decoração #artes #presente #acessorios #tendencia #essências https://t.co/e4xiWAICwH</t>
  </si>
  <si>
    <t>Preciso de contato de empresas de freelancer pra trabalhar em eventos, alguém tem?? 
#bh #belohorizonte #freelance #freelancer #eventos #trabalhar #rendaextra</t>
  </si>
  <si>
    <t>✅QUER UMA RENDA EXTRA ???
✅ ESTÁ CANSADO DA CORRIDA DOS RATOS ???
✅QUER CONQUISTAR SUA LIBERDADE FINANCEIRA E GEOGRÁFICA???
✅QUE TAL VIAJAR, SER FELIZ E REALIZAR TODOS OS SEUS SONHOS ???
#rendaextra #viajar #business https://t.co/bI9FRQr8Bb</t>
  </si>
  <si>
    <t>Come feel Theo love 💞💞
Venha sentir o amor 💞💞
Vivam , realizem seus sonhos 
E sejam verdadeiramente felizes !!!
✅SEJA VOCÊ TAMBÉM UM SÓCIO INDEPENDENTE. Mensagem no inbox 
#rendaextra #business #amor https://t.co/7WnTNeBwHo</t>
  </si>
  <si>
    <t>🌐 GoWorkers: Onde Oportunidade Encontra Inovação! 🌐
#empreender #empreendedorismo #o #marketingdigital #sucesso #empreendedor #marketing #foco #dinheiro #a #negocios #motiva #brasil #rendaextra #vendas #motivacao #empreendedorismofeminino #business #empreendedorismodigital https://t.co/pO7z8H1g6l</t>
  </si>
  <si>
    <t>🌐 GoWorkers: Onde Humor e Negócios se Misturam de Forma Incrível! 🌐
#empreender #empreendedorismo #o #marketingdigital #sucesso #empreendedor #marketing #foco #dinheiro #a #negocios #motiva #brasil #rendaextra #vendas #motivacao #empreendedorismofeminino #business https://t.co/GHkJ6eCgWB</t>
  </si>
  <si>
    <t>🌟 Turbinando Seus Negócios com o Programa de Investimento Exclusivo da GOW! 🌟
https://t.co/laDaTnuuuK
#oportunidade #o #empreendedorismo #a #sucesso #emprego #trabalho #vendas #brasil #vagas #marketingdigital #rendaextra #dinheiro #investimento #empreender #foco https://t.co/C7aGnsZ5uO</t>
  </si>
  <si>
    <t>📷 Descanse e Cresça com o Programa de Investimento Exclusivo da GOW! 📷
#oportunidade #o #empreendedorismo #a #sucesso #emprego #trabalho #vendas #brasil #vagas #marketingdigital #rendaextra #dinheiro #investimento #empreender #foco #motiva #empreendedor #empregos #negocios https://t.co/T2wNEElOAC</t>
  </si>
  <si>
    <t>Veja como a rede GOW pode te auxiliar!
https://t.co/laDaTntWFc
#empreender #empreendedorismo #o #marketingdigital #sucesso #empreendedor #marketing #foco #dinheiro #a #negocios #motiva #brasil #rendaextra #vendas #motivacao #empreendedorismofeminino #business https://t.co/5wB6uPGERA</t>
  </si>
  <si>
    <t>🌐 GoWorkers: O Epicentro das Grandes Oportunidades Empresariais! 🌐
#empreender #empreendedorismo #o #marketingdigital #sucesso #empreendedor #marketing #foco #dinheiro #a #negocios #motiva #brasil #rendaextra #vendas #motivacao #empreendedorismofeminino #business https://t.co/FYJbU2HsQl</t>
  </si>
  <si>
    <t>Wow! Aprender a ser um empreendedor de sucesso no marketing digital é o sonho de muita gente! Vou clicar no link agora mesmo para saber mais! #GanharDinheiro #RendaExtra #robomilionario 💰💻🚀</t>
  </si>
  <si>
    <t>VC TÁ ATRASADO PORQUE QUER!
#blackrat #internet #rendaextra https://t.co/OcsrEvNq7n</t>
  </si>
  <si>
    <t>Ganhos a partir de 0,50 na melhor plataforma WGBET 
https://t.co/4EtGWfEf3f
#megaganho #sorte #FortuneTiger #rendaextra #slots https://t.co/sJ8LmLg5qm</t>
  </si>
  <si>
    <t>Plataforma pagando muito
Link na bio
#FortuneRabbit #joguinho #megaganho
#sorte
#dinheiroextra
#rendaextra https://t.co/APiNwUFNSq</t>
  </si>
  <si>
    <t>Corre lá que está pagando. 
https://t.co/4EtGWfEf3f
#FortuneMouse #slots #rendaextra #joguinhos https://t.co/GgLq2xDGrj</t>
  </si>
  <si>
    <t>Águia voa com águia! Vamos juntos 🦅
Link: https://t.co/OtT2RnVqLz
#BRANCO #casadeapostas #BLAZE #double #apostasesportivas #cassino #rendaextra #dinheiro #facilidade</t>
  </si>
  <si>
    <t>👉🏻Então arraste as imagens para o lado e entenda como o Zapplus vai fazer você nunca mais perder uma venda sequer, mantendo a organização do seu WhatsApp.
#rendaonline #rendaextra #ganhardinheirorapido #ganhardinheironainternet #Robos #dinheiroonline #whatsapp #divulgação https://t.co/PIMmZwplXH</t>
  </si>
  <si>
    <t>🤯 Você quebra a cabeça para manter o seu WhatsApp organizado?
#rendaonline #rendaextra #ganhardinheirorapido #ganhardinheironainternet #Robos #dinheiroonline #whatsapp #divulgação #negocios #corretora #corretores #lanches https://t.co/OgGWV4bxgz</t>
  </si>
  <si>
    <t>@magalzaoshow O #rendaextra me pega demais 😂</t>
  </si>
  <si>
    <t>Aprenda absolutamente tudo sobre Cookies Gourmet! Curso 100% em vídeo com aulas práticas e detalhadas. Certificado incluso. Do básico ao avançado
#rendaextra
https://t.co/94hIGDtYAE https://t.co/Z7wnu53mGg</t>
  </si>
  <si>
    <t>Aprenda absolutamente tudo sobre Cookies Gourmet! Curso 100% em vídeo com aulas práticas e detalhadas. Certificado incluso. Do básico ao avançado
#rendaextra
https://t.co/94hIGDtYAE https://t.co/1vI6t9gflV</t>
  </si>
  <si>
    <t>Aprenda absolutamente tudo sobre Cookies Gourmet! Curso 100% em vídeo com aulas práticas e detalhadas. Certificado incluso. Do básico ao avançado
#rendaextra
https://t.co/94hIGDtYAE https://t.co/Fw41gv83XI</t>
  </si>
  <si>
    <t>Aprenda absolutamente tudo sobre Cookies Gourmet! Curso 100% em vídeo com aulas práticas e detalhadas. Certificado incluso. Do básico ao avançado
#rendaextra
https://t.co/94hIGDtYAE https://t.co/KHWYjc9pys</t>
  </si>
  <si>
    <t>Aprenda absolutamente tudo sobre Cookies Gourmet! Curso 100% em vídeo com aulas práticas e detalhadas. Certificado incluso. Do básico ao avançado
#rendaextra
https://t.co/94hIGDtYAE https://t.co/vAjhwaGERl</t>
  </si>
  <si>
    <t>Pack PLRs
✅Traduzido
Link: https://t.co/yCdXjyGPLF
#Vendas #ondecomprar #ondecompro #Barbie #kiwify #afiliado #cursos #curso #milionario #MONEY #dinheiro #rendaextra https://t.co/hG9aSMcsfK</t>
  </si>
  <si>
    <t>ACESSE AGORA🔥:https://t.co/AvGD0WpIor
#renda #rendaextra #cursos #curso #brasil https://t.co/Ih0eDpxRg3</t>
  </si>
  <si>
    <t>Melhor grupo de aposta no futebol virtual!
#futebolvirtual #bet365 #altcoin #LaCasaDeLosFamososMx #TakeTwo #MONEY #rendaextra https://t.co/hYtpijBSJ1</t>
  </si>
  <si>
    <t>#Rendaextra ?
Vamos de Peer2profit?  
https://t.co/Tmc0vpnrs7
Faz o cadastro ( pode entrar com o Google)
Baixa o app
Dá aquela força add meu código de referência
1682681820644bafdce7a4a</t>
  </si>
  <si>
    <t>Gente esse site e muito bom!!
#jogos
#casino
#controle
#rendaextra
https://t.co/NPJ6gOqltF</t>
  </si>
  <si>
    <t>Quer fazer uma #rendaextra como #afiliado ? A hora é essa 👇
https://t.co/nhr3z6jDWP</t>
  </si>
  <si>
    <t>@Metropoles Aham, pergunta pro .@felipeneto quem é o dono da #Blaze.  Pq além de fakenews, acho que rola os estelianato,  não? 
Pq isso nunca foi #rendaextra.</t>
  </si>
  <si>
    <t>Comente "eu quero`` que te ensino!! 📲🍀
#marketingdigital #sucesso #rendaextra #empreender https://t.co/vT0PELRnOW</t>
  </si>
  <si>
    <t>Comente "eu quero`` que te ensino!! 📲🍀
#marketingdigital #sucesso #rendaextra #empreender #mercadodigital https://t.co/l7r7hGsVLW</t>
  </si>
  <si>
    <t>Nossa que plataforma ótima não tô acreditando acho que por ser nova paga bastante
https://t.co/T4HCQmw5ln
#rendaextra #fortunerabbit #fortuneox #dinheiro https://t.co/NUhZjlvQtu</t>
  </si>
  <si>
    <t>Copos da felicidade: https://t.co/lXNdd1cOt0
Brigadeiros Gourmet: https://t.co/nrngXFPWM2
#doces #culinaria #rendaextra #chocolate #brigadeiro #sobremesa #curso #cursoonline #dinheiro https://t.co/fIiNvbHbUz</t>
  </si>
  <si>
    <t>Ganhe muito dinheiro com brigadeiros gourmet. Não perca essa oportunidade. Apenas hoje de R$ 147,99 por 47,00. https://t.co/IGsJKyQ9z9
#rendaextra #doces #brigadeiro #confeitaria #FYP #ondecomprar #dinheiro https://t.co/A1gTlcEUU3</t>
  </si>
  <si>
    <t>Aprenda a fazer deliciosas receitas de bolo sem farinha de trigo e lucrar muito!! Aproveite a promoção de R$: 27,00 que é por tempo limitado
https://t.co/dbRdncjZme
#rendaextra #bolo #receitas #ondecomprar #culinaria #FYP https://t.co/9DSFOYY4lz</t>
  </si>
  <si>
    <t>Descubra por que tantas Nail Designers estão conseguindo realizar aplicações em até 1 hora com essa técnica. Com certificado de conclusão!!
https://t.co/SEkXB1oz1O
#unhas #cursoonline #rendaextra https://t.co/dUkHzsIcn9</t>
  </si>
  <si>
    <t>Acredite em você, não importa o que os outros digam, e você vai vencer. 
#naruto #sasuke #Sakurai #kakashi #mortedojiraya #hokage #nerd #einerd #marketingdigital #negócio #dinheiro #vendas #rendaextra #marketingdeafiliados
https://t.co/IZwRfrLOux</t>
  </si>
  <si>
    <t>Se você usa o TikTok, é está esperando monetizar pra ganhar dinheiro; mas depois que eu conheci o método TikTok lucrativo,não dependo do número de seguidores pra faturar com o TikTok, comecei a ganhar dinheiro em casa.
Tá esperando o quê? Link na bio
 #afiliados #rendaextra https://t.co/4qrx5YlVdx</t>
  </si>
  <si>
    <t>Quer aprender o passo a passo para fazer renda extra na internet ? Me chama no link está na minha bio e vamos conversar 🚀📱🤑 #rendaextra #mercadodeafiliados https://t.co/dFhxH7e5hE</t>
  </si>
  <si>
    <t>Como jogar Fornune Tiger?
🤑 Convite do Jogo do Tigre: 4cec0g 
↪️ https://t.co/4owD2OhwxD
1. Acesse o link
2. Cadastre-se
3. Realize depósito de R$20 por pix
4. Escolha o jogo Fortune Tiger
5. Escolha o valor da aposta no ( +/-) 
#pombabet #tiger #rendaextra #ganhardinheiro https://t.co/7j3pSowd2L</t>
  </si>
  <si>
    <t>Como jogar Jogo do Tigre? 
🤑 Convite do Jogo do Tigre: 4cec0g 
↪️ https://t.co/4owD2OhwxD
1. Acesse o link
2. Cadastre-se
3. Realize depósito de R$20 por pix
4. Escolha o jogo Fortune Tiger
5. Escolha o valor da aposta no ( +/-) 
#pombabet #fortune #fortunetiger #rendaextra https://t.co/PvsTlQ5Qhl</t>
  </si>
  <si>
    <t>Já teve essa sensação ao desistir de algo?
#marketing #marketingdigital #marketingdeafiliados #mktdigital #rendaexra #dinheiro #rendaextraemcasa #ganhardinheiro #ganhardinheiroemcasa #marketingdeafiliadosbrasil #metodomulhermilionaria #empreendedorismo #mulherempreendedora https://t.co/gCdF4epXiS</t>
  </si>
  <si>
    <t>Você erra 100% dos conteúdos que não posta. Então, não se prenda pelo medo. Engajamento baixo, julgamento e haters fazem parte do processo. Acostume-se com a falha e aceite os erros como parte do seu aprendizado  #marketingdigital #rendaextra #rendaextraemcasa #rendaextraonline</t>
  </si>
  <si>
    <t>Leia o ebook mais visitado do país!!
https://t.co/G1BYft3b82
.
.
.
.
#MarketingDigital #DigitalMarketing #rendaextra #tweeter #dinheiro https://t.co/jXZX73psRk</t>
  </si>
  <si>
    <t>Brigadeiro Gourmet 2.0
Aprenda a fazer brigadeiros gourmet e lucre muito com esse mercado!
https://t.co/IYfKoHoVqF
#sobremesa #brigadeiro #chocolate #ondecomprar #rendaextra https://t.co/VxoYGu4AUV</t>
  </si>
  <si>
    <t>Dropshipping: Guia completo
Aprenda a vender sem ter estoque e lucre muito
https://t.co/TwNsNI4hCV
#marketing #ondecomprar #dropshipping #vendaonline #rendaextra https://t.co/OeOB4QV9wA</t>
  </si>
  <si>
    <t>Ganhe Dinheiro Online
Se você está procurando uma maneira de ganhar dinheiro online, considere o marketing de afiliados. Existem inúmeros benefícios em se tornar um afiliado.
https://t.co/ocfRYBATMb
#rendaextra #ondecomprar #MarketingDigital #cursos https://t.co/jLrRpZOtC8</t>
  </si>
  <si>
    <t>CURSO DE MARMITAS FITNESS SAUDÁVEIS - MARMITARIA FIT: VERSÃO DELUXE ONLINE
https://t.co/MhOPs2OxET
#fitness #ondecomprar #rendaextra #cursos https://t.co/E2zVz8CuPp</t>
  </si>
  <si>
    <t>Ganhe muito dinheiro sem sair de casa.
Aprenda técnicas e estratégias para vender seus produtos ou serviços em dólar, aumentando sua rentabilidade e alcance no mercado internacional
https://t.co/J5XLvnvIF0
#ondecomprar #rendaextra #dinheiro #dropshipping https://t.co/O3WhtIRTjl</t>
  </si>
  <si>
    <t>O Fórmula Negócio Online é o mais completo(sem nenhum exagero) Treinamento para Criar Seu Negócio Online a Partir do Zero
É atualmente o único treinamento que abrange todas as etapas de um negócio online.
Adquira já:  https://t.co/GOAF0RWbbv
#ondecomprar #rendaextra #venda https://t.co/BUA1l4a5wn</t>
  </si>
  <si>
    <t>CURSO DE MARMITAS FITNESS SAUDÁVEIS - MARMITARIA FIT: VERSÃO DELUXE ONLINE  https://t.co/MhOPs2OxET 
#fitness #ondecomprar #rendaextra #cursos https://t.co/JAAgqQmDwS</t>
  </si>
  <si>
    <t>Google Ads Xpress
Treinamento Completo, onde você irá aprender várias técnicas de Vendas Online utilizando o Google Ads e anunciar no maior buscador da Internet.
https://t.co/FL4hm6a8hY
#Google #dropshipping #rendaextra #ondecomprar #marketplace #Ads #GoogleAds https://t.co/Msf4Y3K5mZ</t>
  </si>
  <si>
    <t>Dropshipping
Aprenda passo a passo como criar a sua virtual loja SEM Estoque, a anunciar seus produtos nos melhores Marketplace
https://t.co/1CIm5kmFoh
#ondecomprar #dropshipping #rendaextra https://t.co/JYbfkWz8h3</t>
  </si>
  <si>
    <t>Dropshipping
Aprenda passo a passo como montar sua própria loja virtual, selecionar os melhores fornecedores e oferecer uma variedade de produtos, sem precisar se preocupar com o armazenamento ou envio.
https://t.co/ksEL2wdii1
#ondecomprar #dropshipping #rendaextra https://t.co/qejWeFaHdr</t>
  </si>
  <si>
    <t>O Fórmula Negócio Online é o mais completo(sem nenhum exagero) Treinamento para Criar Seu Negócio Online a Partir do Zero É atualmente o único treinamento que abrange todas as etapas de um negócio online. Adquira já:  https://t.co/GOAF0RWbbv #ondecomprar #rendaextra #venda
📷</t>
  </si>
  <si>
    <t>Quer aprender a fazer primeira venda acesse o link👇 https://t.co/014Z8Wr4In... 
#milionários #kiwfy #rendaextra #dinheiro #dinheiroonline https://t.co/BjE0G2UNYe</t>
  </si>
  <si>
    <t>Não perca mais tempo e comece a mudar sua vida financeira agora mesmo! Clique no link da minha bio e descubra como ganhar dinheiro trabalhando em casa. Estou torcendo por você! 💰💻
Acesse abaixo 👇
https://t.co/WckkKknGRY
#rendaextra #trabalheemcasa #oportunidade #dinheiroextra https://t.co/0TFx29IQjM</t>
  </si>
  <si>
    <t>Conheça o que realmente vai te trazer resultados, o Fórmula Negócio Online vai do básico ao avançado para você criar um negócio online lucrativo. Saiba mais no link abaixo 
https://t.co/wraze2Qy6H 
#liberdadefinanceira #rendaextra https://t.co/EJcIFdmqjG</t>
  </si>
  <si>
    <t>Comece agora mesmo no marketing de afiliado e conquiste uma renda extra através do curso Fórmula Negócio Online com o Alex Vargas 
Saiba mais no link abaixo 
https://t.co/ZBAODPS7UE
#negociodigital #rendaextra #liberdadefinanceira #trabalheemcasa https://t.co/iVegNFM4wh</t>
  </si>
  <si>
    <t>Fórmula negócio online, veja que bacana esse depoimento de um aluno que está fatura depois de fazer o curso FNO do Alex Vargas.
Seja im vencedor também 
Acesse o link abaixo 
https://t.co/ZBAODPS7UE
#formulanegocioonline #rendaextra #trabalheemcasa #liberdadefinanceira https://t.co/8tjvJQfbVT</t>
  </si>
  <si>
    <t>Melhores estratégias de vendas no marketing digital para você ter uma renda extra, saiba mais no link https://t.co/wHI4ulFgrF 
#rendaextra #fno #cursosonline https://t.co/CMo5CiYl5K</t>
  </si>
  <si>
    <t>Venha para o Fórmula Negócio Online  é conquiste sua liberdade financeira 
Saiba mais no link 
https://t.co/ZBAODPS7UE 
#liberdadefinanceira #rendaextra #formulanegocioonline https://t.co/2rMl9jPxWF</t>
  </si>
  <si>
    <t>Utilize suas redes sociais para fazer uma renda extra.
Saiba mais no link abaixo 
https://t.co/wraze2R5Wf 
#rendaextra #Formulanegocioonline https://t.co/39qn4N6O7x</t>
  </si>
  <si>
    <t>🔥Comece a ganhar uma renda extra agora mesmo, com o curso grátis do Alex Vargas
💥Não deixe pra depois 
Acesse o link
https://t.co/qdt2J2t4hQ 
#mercadodeafiliados #rendaextra https://t.co/8CSq2tFsrH</t>
  </si>
  <si>
    <t>🔥Atenção, conheça um Método de faturar uma grana extra direto do seu Celular, 
Assista um mini curso no link abaixo 
https://t.co/UqRmRgIZ9O
#rendaextra https://t.co/m8BlNuC8vO</t>
  </si>
  <si>
    <t>Que tal aprender um negócio online e ganhar uma renda extra do conforto da sua casa? Disponho no link 4 aulas grátis pegue já
https://t.co/qdt2J2t4hQ
#rendaextra
#ganhardinheiroonline
#rendaextraonline https://t.co/mPRjiuRXFG</t>
  </si>
  <si>
    <t>A expectativa te deixa infeliz, saia da expectativa é conquiste sua liberdade financeira com o Fórmula Negócio Online, saiba mais no link abaixo. 
https://t.co/ZBAODPS7UE 
#liberdadefinanceira #rendaextra #trabalheemcasa https://t.co/mTrWP1Y3OI</t>
  </si>
  <si>
    <t>Mude sua vida entre para o Marketing digital, conheça mais no link da BIO 
#marketingdigital #marketingafiliado #rendaextra https://t.co/7m6k06NieB</t>
  </si>
  <si>
    <t>Os imóveis podem ser uma excelente forma de gerar renda extra. Alugue ou invista em propriedades comerciais e residenciais para aumentar sua fonte de receitas. 🏢💵 #RendaExtra #InvestimentoLucrativo</t>
  </si>
  <si>
    <t>#MarketingDigital #afiliados #viral2023 #rendaextra
https://t.co/sPzHY7aWbE https://t.co/dXrBBZCMNr</t>
  </si>
  <si>
    <t>Descubra como realizar o sonho de trabalhar em casa e conquistar liberdade financeira#marketingdigital #rendaextra https://t.co/wRSo62pA1W https://t.co/JfrPMbS9yO</t>
  </si>
  <si>
    <t>voce sabia que a netflix esta pagando os brasileiros de 100 a 250 reais por dia apenas para assistir series.  vou deixar o link caso voce veja como funciona #Netflix#filmes #rendaextra. https://t.co/ZbOfeiMJ2z https://t.co/kyHTG58973</t>
  </si>
  <si>
    <t>Você que e mãe mulher que queiram trabalhar em casa ao lado dos seus filhos o marketing digital te oferece.  Clique no link abaixo. #mãe #mulher #rendaextra  https://t.co/wRSo62pA1W https://t.co/rAeSBDD8aM</t>
  </si>
  <si>
    <t>@lilvinicinho #rendaextra #blazelivesmatters #prayforblaze</t>
  </si>
  <si>
    <t>#rendaextra #ganhe #dinheiro
#pesquisa #dolar
https://t.co/CWXNxDpylq</t>
  </si>
  <si>
    <t>Estou procurando 5 pessoas que queira trabalhar com a Internet, sem sair de casa e sem aparecer!!?
Me chama aqui 🔥🔥🔥 #rendaextra #ondecomprar #dinheiroextra #rendaextraemcasa #semaparecer</t>
  </si>
  <si>
    <t>Começando bem mais um dia  🤑
#renda
#rendaextra
#educação
#pix #dinheiro https://t.co/DbL2ZIITTu</t>
  </si>
  <si>
    <t>Uma forma de ganhar renda extra com o QuintoAndar é cadastrando um imóvel disponível para alugar na plataforma. Com isso, você pode obter renda mensal por meio do aluguel do seu imóvel. Algumas palavras-chave relacionadas seriam: #QuintoAndar, #rendaextra, #aluguel. https://t.co/pp1qpxb5ED</t>
  </si>
  <si>
    <t>Localizado no coração da cidade, o Quinto Andar é uma empresa revolucionária que está transformando a forma como as pessoas encontram e alugam imóveis. Com uma proposta inovadora e tecnologia avançada. #quintoandar #imobiliaria #rendaextra https://t.co/nMmLK5JMLD</t>
  </si>
  <si>
    <t>O I'm a BOSS traz o passo-a-passo de forma objetiva e completa. Para que não restem dúvidas sobre o Mercado Digital! 🔥🖤
⚫ DO BÁSICO AO AVANÇADO!
⚫ ESTRATÉGIA "Sem aparecer"
⚫ TRÁFEGO ORGÂNICO
⚫ TRÁFEGO PAGO
#rendaextra
https://t.co/N7vZZZQ1Dm</t>
  </si>
  <si>
    <t>🤑Procurando uma maneira de ganhar uma 💲#rendaextra? Torne-se um #parceiroguruoficia!
Independentemente da área de atuação, é possível aumentar sua renda se tornando um Parceiro Guru Oficial.
Basta preencher o formulário em nosso site. O link está na bio!
#parceiros #chatguru https://t.co/29d5cepL5B</t>
  </si>
  <si>
    <t>Diversão garantida a cada rodada!💰
Na Bet dá Sorte tem Sugar Rush, Gorilla Mayhem, Shining Hot 5 e muito mais jogos pra você se divertir e garantir uma grana extra a cada rodada.
Jogue agora!🎰
#BetdáSorte #Slots #Cassino #RendaExtra #SugarRush #GorillaMayhem #Spaceman https://t.co/1mmQrTbdpS</t>
  </si>
  <si>
    <t>Olá galerinha, cadastre-se agora no Gemly(jogo de renda passiva gratuito):  https://t.co/UcwEHFfrWf
#Renda2022 #rendaextra #ganhedinheiro</t>
  </si>
  <si>
    <t>Os cursos serão realizados nos dias 20 e 24 de março, às 13 horas no próprio Fundo Social. Informações: (17) 3523-3317.
#pascoa #rendaextra #oportunidade #inscricao #catanduva #fundosocial #prefeituradecatanduva https://t.co/cy9TXCYSqg</t>
  </si>
  <si>
    <t>https://t.co/gxWrHEF3gO
Você sabia que é possível ganhar dinheiro investindo em esportes? Nas 14 ESTRATÉGIAS bmw, você encontrará dicas valiosas sobre como investir em esportes e obter retornos financeiros a longo prazo. #traderesportivo #rendaextra #futebol #investimentosfutebol https://t.co/kdmiFUZrBb</t>
  </si>
  <si>
    <t>O trader esportivo pode mudar sua vida, ao invés de só assistir futebol que tal ganhar dinheiro enquanto assiste?
https://t.co/gxWrHEF3gO
#traderesportivo #futebol #rendaextra #assistirfutebol #Esportes #EsporteNaBand https://t.co/10D8LhMcZj</t>
  </si>
  <si>
    <t>⚠️ Atenção ⚠️ : 
 O TWITTER só irá liberar mais dicas e Receitas para quem CURTIR a foto e comentar   ☑️ Eu quero 😍 👉 e SEGUIR o PERFIL
#Receitas #culinária #Gastronomia  #Curso #RendaExtra #Dicas #Alimentos #Frutas https://t.co/HkQ4hPSIXZ</t>
  </si>
  <si>
    <t>⚠️ Atenção ⚠️ : 
 O TWITTER só irá liberar mais dicas e Receitas para quem CURTIR a foto e comentar   ☑️ Eu quero 😍 👉 e SEGUIR o PERFIL
#Receitas #culinária #Gastronomia  #Curso #RendaExtra #Dicas #Alimentos #Frutas https://t.co/MBaluFP0Ei</t>
  </si>
  <si>
    <t>⚠️ Atenção ⚠️ : 
 O TWITTER só irá liberar mais dicas e Receitas para quem CURTIR a foto e comentar   ☑️ Eu quero 😍 👉 e SEGUIR o PERFIL
#Receitas #culinária #Gastronomia  #Curso #RendaExtra #Dicas #Alimentos #Frutas https://t.co/Q0AF6pyF9a</t>
  </si>
  <si>
    <t>Site pagando por cadastro e indicação!!! 🤑🚨 vamo aproveitar porque a promoção falta pouco tempo pra acabar!!! 🚨🚨🚨
#rendaextra #sitepagando #money #ganhardinheiro #pix 
https://t.co/7nE6hz0zvr</t>
  </si>
  <si>
    <t>Começe a ganhar dinheiro hoje!
https://t.co/xMEOBkTdrA
#Portugal #RendaExtra</t>
  </si>
  <si>
    <t>RT @IlariaSouza: Quer fazer uma renda extra?sem precisar vender curso, no conforto da sua casa.da uma olhadinha na minha bio 💰#rendaextra #…</t>
  </si>
  <si>
    <t>🔺🔻
Me siga lá no canal do YouTube 
https://t.co/bfRTYy7QRi
#canalroquelane 
#frequenciavibracional 
#conhecimentoliberta 
#abibliacontraabiblia 
#bibliaoriginalcodex 
#filosofiaex 
#rendaextraemcasa https://t.co/p7wk80hN9c</t>
  </si>
  <si>
    <t>https://t.co/tXeZdnxDpd
#rendaextraemcasa https://t.co/Jm2jpezxrB</t>
  </si>
  <si>
    <t>https://t.co/bfRTYy7QRi
#canalroquelane #despertarconciencia #leidaatracao #rendaextraemcasa #filosofiaex https://t.co/FugQGlOTLW</t>
  </si>
  <si>
    <t>https://t.co/bfRTYy7QRi
#canalroquelane #despertarconciencia #leidaatracao #rendaextraemcasa #filosofiaex https://t.co/culeT90xIO</t>
  </si>
  <si>
    <t>https://t.co/bfRTYy7QRi
#canalroquelane #despertarconciencia #leidaatracao #rendaextraemcasa #filosofiaex https://t.co/THMmrW1e5c</t>
  </si>
  <si>
    <t>🔺🔻
Me siga lá no canal do YouTube 
https://t.co/bfRTYy7QRi
#canalroquelane 
#frequenciavibracional 
#conhecimentoliberta 
#abibliacontraabiblia 
#bibliaoriginalcodex 
#filosofiaex 
#rendaextraemcasa https://t.co/eRRxGvOPvv</t>
  </si>
  <si>
    <t>🔺🔻
Me siga lá no canal do YouTube 
https://t.co/bfRTYy7QRi
#canalroquelane 
#frequenciavibracional 
#conhecimentoliberta 
#abibliacontraabiblia 
#bibliaoriginalcodex 
#filosofiaex 
#rendaextraemcasa https://t.co/Tw4TAA7Rzq</t>
  </si>
  <si>
    <t>®️
Viver de internet
Curso de marketing digital para iniciantes 
👇
https://t.co/tXeZdnxDpd
#canalroquelane 
#rendaextraemcasa 
#viverdeinternet https://t.co/72aboOuPZO</t>
  </si>
  <si>
    <t>®️
Viver de internet
Curso de marketing digital para iniciantes 
👇
https://t.co/tXeZdnxDpd
#canalroquelane 
#rendaextraemcasa 
#viverdeinternet https://t.co/OBCEEAm3BQ</t>
  </si>
  <si>
    <t>🔺🔻
  ®️
https://t.co/bfRTYy7QRi
#canalroquelane 
#evoluir 
#despertardaconsciencia 
#filosofiaex 
#rendaextraemcasa https://t.co/eS1XmMz8ZD</t>
  </si>
  <si>
    <t>Curso de marketing digital para iniciantes 
https://t.co/qy4PHBkPdy…
#viverdevendas #rendaonline #rendaextraemcasa #empreendedorismo https://t.co/WQKcXNRIAg</t>
  </si>
  <si>
    <t>Curso de marketing digital para iniciantes 
https://t.co/tXeZdnxDpd
#viverdevendas #rendaonline #rendaextraemcasa #empreendedorismo https://t.co/1WX68zkIa9</t>
  </si>
  <si>
    <t>https://t.co/aL3Me05qdh
#canalroquelane 
#evoluir 
#despertarconciencia 
#rendaextraemcasa https://t.co/gU4Zw5LDYu</t>
  </si>
  <si>
    <t>https://t.co/aL3Me05qdh
#canalroquelane 
#evoluir 
#despertarconciencia 
#rendaextraemcasa https://t.co/gJSEKYK8Kw</t>
  </si>
  <si>
    <t>https://t.co/aL3Me05qdh
#canalroquelane 
#evoluir 
#despertarconciencia 
#rendaextraemcasa https://t.co/5wG4466fyZ</t>
  </si>
  <si>
    <t>https://t.co/aL3Me05qdh
#canalroquelane 
#evoluir 
#despertarconciencia 
#rendaextraemcasa https://t.co/bwwT6Tb3ot</t>
  </si>
  <si>
    <t>https://t.co/aL3Me05qdh
#canalroquelane 
#evoluir 
#despertarconciencia 
#rendaextraemcasa https://t.co/UFS0fqrm6L</t>
  </si>
  <si>
    <t>https://t.co/bfRTYy7QRi
#canalroquelane #despertarconciencia #leidaatracao #rendaextraemcasa #filosofiaex https://t.co/jmSlUobzhl</t>
  </si>
  <si>
    <t>🔻🔺
  ®️
https://t.co/bfRTYy7QRi
#canalroquelane 
#evoluir 
#evoluirsempre 
#rendaextraemcasa 
#despertardaconsciencia 
#marketingdigitalparainiciantes 
#filosofiaex
#akel https://t.co/a0Epnj8NP7</t>
  </si>
  <si>
    <t>🔻🔺
  ®️
https://t.co/bfRTYy7QRi
#canalroquelane 
#evoluir 
#evoluirsempre 
#rendaextraemcasa 
#despertardaconsciencia 
#marketingdigitalparainiciantes 
#filosofiaex
#akel https://t.co/rJODUVUlxr</t>
  </si>
  <si>
    <t>🔺🔻
  ®️
👁️Olá,tudo bem com você me siga lá no Youtube também se inscreva no meu canal 👇
https://t.co/bfRTYy7QRi
#canalroquelane 
#evoluir
#despertardaconsciencia
#rendaextraemcasa 
#marketingdigitaliniciantes https://t.co/Ad350Hm2tf</t>
  </si>
  <si>
    <t>🔺🔻
  ®️
👁️Olá,tudo bem com você me siga lá no Youtube também se inscreva no meu canal 👇
https://t.co/bfRTYy7QRi
#canalroquelane 
#evoluir
#despertardaconsciencia
#rendaextraemcasa 
#marketingdigitaliniciantes https://t.co/Nsp6ZpZFb7</t>
  </si>
  <si>
    <t>🔺🔻
   ®️
👇
https://t.co/bfRTYy7QRi
#VerdadeQueLiberta 
#canalroquelane
#evoluir 
#despertardaconsciência 
#rendaextraemcasa https://t.co/rdW4xhpQ5d</t>
  </si>
  <si>
    <t>🔺🔻
   ®️
👇
https://t.co/bfRTYy7QRi
#VerdadeQueLiberta 
#canalroquelane
#evoluir 
#despertardaconsciência 
#rendaextraemcasa https://t.co/wYCdt7OBwI</t>
  </si>
  <si>
    <t>Hoje Quero Ajudar No Mínimo 100 Pessoas A Ganharem Seus Primeiros R$10 Mil Online.
⤵️
Você Topa?
Se Sim,clique em baixo!
https://t.co/tXeZdnxDpd
#rendaextraemcasa 
#vendamais
#cursosonline 
#viverdevendas 
#viverdeinternet https://t.co/5kIEWnoBga</t>
  </si>
  <si>
    <t>Hoje Quero Ajudar No Mínimo 100 Pessoas A Ganharem Seus Primeiros R$10 Mil Online.
⤵️
Você Topa?
Se Sim,clique em baixo!
https://t.co/tXeZdnxDpd
#canalroquelane 
#marketingdigitalparainiciantes 
#rendaextraemcasa 
#despertardaconsciencia https://t.co/TGeNTgeWhn</t>
  </si>
  <si>
    <t>Hoje Quero Ajudar No Mínimo 100 Pessoas A Ganharem Seus Primeiros R$10 Mil Online.
⤵️
Você Topa?
Se Sim,clique em baixo!
https://t.co/tXeZdnxDpd
#canalroquelane 
#marketingdigitalparainiciantes 
#rendaextraemcasa 
#despertardaconsciencia https://t.co/JZx22n9oV7</t>
  </si>
  <si>
    <t>Hoje Quero Ajudar No Mínimo 100 Pessoas A Ganharem Seus Primeiros R$10 Mil Online.
⤵️
Você Topa?
Se Sim,clique em baixo!
https://t.co/tXeZdnxDpd
#canalroquelane 
#marketingdigitalparainiciantes 
#rendaextraemcasa 
#despertardaconsciencia https://t.co/IBIUle7ZP9</t>
  </si>
  <si>
    <t>Hoje Quero Ajudar No Mínimo 100 Pessoas A Ganharem Seus Primeiros R$10 Mil Online.
⤵️
Você Topa?
Se Sim,clique em baixo!
https://t.co/tXeZdnxDpd
#canalroquelane 
#marketingdigitalparainiciantes 
#rendaextraemcasa 
#despertardaconsciencia https://t.co/KvUExhPWSW</t>
  </si>
  <si>
    <t>CONVIDO A VOCÊ MEU AMIGO(A) A SE INSCREVER NO MEU CANAL DO YOUTUBE.
TEM MUITA NOVIDADES , DIVERSIDADES, DICAS INTERESSANTES, NEGÓCIOS É OPORTUNIDADES.👇
https://t.co/bfRTYy7QRi
#canalroquelane 
#despertardaconsciencia 
#rendaextraemcasa 
#filosofiaex 
#evoluir 
#amor https://t.co/R61O0DZsMu</t>
  </si>
  <si>
    <t>🔺🔻
   ®️
                        🕳️
                      🕳️🕳️
                    🕳️🕳️🕳️
https://t.co/bfRTYy7QRi
#canalroquelane 
#evoluir 
#filosofiaex 
#despertardaconsciência 
#despertar 
#JesusVive 
#rendaextraemcasa https://t.co/UdtQCRAjfo</t>
  </si>
  <si>
    <t>🔺🔻
   ®️
                        🕳️
                      🕳️🕳️
                    🕳️🕳️🕳️
https://t.co/bfRTYy7QRi
#canalroquelane 
#evoluir 
#filosofiaex 
#despertardaconsciência 
#despertar 
#JesusVive 
#rendaextraemcasa https://t.co/2DHduvsoK6</t>
  </si>
  <si>
    <t>🔺🔻
  ®️
https://t.co/bfRTYy7QRi
#despertardaconsciencia 
#evoluir 
#pensamentos 
#filosofiaex 
#rendaextraemcasaonline 
#rendaextraemcasa https://t.co/XSLuiqoF0n</t>
  </si>
  <si>
    <t>🔺🔻
  ®️
https://t.co/bfRTYy7QRi
#despertardaconsciencia 
#evoluir 
#pensamentos 
#filosofiaex 
#rendaextraemcasaonline 
#rendaextraemcasa https://t.co/74C131DnAh</t>
  </si>
  <si>
    <t>https://t.co/gYYs7lClG9
#canalroquelane 
#empreendedorismo 
#rendaextraemcasa https://t.co/ViT2nNLeTK</t>
  </si>
  <si>
    <t>https://t.co/gYYs7lClG9
#canalroquelane 
#empreendedorismo 
#rendaextraemcasa https://t.co/k2UAMk1XiS</t>
  </si>
  <si>
    <t>https://t.co/gYYs7lClG9
#canalroquelane 
#empreendedorismo 
#rendaextraemcasa https://t.co/jNaI4ncjCi</t>
  </si>
  <si>
    <t>https://t.co/gYYs7lClG9
#canalroquelane 
#empreendedorismo 
#rendaextraemcasa https://t.co/TUtwLlNGBl</t>
  </si>
  <si>
    <t>https://t.co/gYYs7lClG9
#canalroquelane 
#empreendedorismo 
#rendaextraemcasa https://t.co/WTpPiZd8ic</t>
  </si>
  <si>
    <t>HOTMART🚨💸 
https://t.co/wOFzP6mAeP
.
.
.
#hotmart #rendaextra</t>
  </si>
  <si>
    <t>No tiktok você ganha mais assistindo vídeos, participando dos desafios e convidando amigos 🤑 Só não ganha quem não quer mesmo…
VAI PERDER ESSA? Corre que a promoção é por tempo limitado 💥 #rendaextra #dinheiro #dinheiroonline #grana #granafacil
 https://t.co/cV6NAU90Fn</t>
  </si>
  <si>
    <t>Testando esse aplicativo de ganhar dinheiro lendo notícias… Vamos ver 👀 #rendaextra #app 
https://t.co/t9nEXV577s</t>
  </si>
  <si>
    <t>E ainda tem gente que diz que o tiktok não dá dinheiro 🙄 Só não ganha quem não quer! 
Pare de reclamar e comece a ganhar também: https://t.co/VjO1ABr0pY 
#rendaextra #granaextra #dinheiro #ganhardinheiro #dinheiroonline https://t.co/DQyA9GV0bd</t>
  </si>
  <si>
    <t>os cara fazendo a propaganda da blaze, falando que é pra jogar com responsabilidade e com dinheiro que tiver sobrando, e o chat dos cara tavam flodando #rendaextra KKKKKKKKKKKK, vsfd como eu amo esse podcast</t>
  </si>
  <si>
    <t>Transforme sua vida atraves do google ads. Leia o artigo no link:
https://t.co/PDAJnak7To
#googleads #comoganhardinheiro #Rendaextra #ganhardinheiro</t>
  </si>
  <si>
    <t>Dica Bônus. 
Ofereça várias formas de pagamento. 
Tenha um excelente atendimento. 
Se posicione estrategicamente. 
Comece aos finais de semana, até ganhar mais confiança e formar clientela. 
#rendaextra #dinheiro #grana</t>
  </si>
  <si>
    <t>📌 Quer ganhar em Dólar somente por utilizar a sua internet? Então cadastre-se já e comece recebendo $5 (US) no seu painel! #rt #assuntodomomento #rendaextra #dinheiro #dolar
https://t.co/FuBfwfmjoZ</t>
  </si>
  <si>
    <t>👆#ATENCAO  Quer ter uma renda extra passiva apenas utilizando o trafego de dados da sua internet? Cadastre-se já! #rendaextra #dinheiro #money #dollar
https://t.co/MNS3eyAtzm</t>
  </si>
  <si>
    <t>👆#ATENCAO  Quer ter uma renda extra passiva apenas utilizando o trafego de dados da sua internet? Cadastre-se já! #rendaextra #dinheiro #money #dollar
https://t.co/YIN8iti3lO</t>
  </si>
  <si>
    <t>👆#ATENCAO  Quer ter uma renda extra passiva apenas utilizando o trafego de dados da sua internet? Cadastre-se já! #rendaextra #dinheiro #money #dollar
https://t.co/BzLo5Widnb</t>
  </si>
  <si>
    <t>📌 Quer ganhar em Dólar somente por utilizar a sua internet? Então cadastre-se já e comece recebendo $5 (US) no seu painel! #rt #assuntodomomento #rendaextra #dinheiro #dolar
https://t.co/33292Z41Fy
Honeygain - Make Money From Home</t>
  </si>
  <si>
    <t>#rendaextra #indiqueeganhe #eimigra #dinheiro #homeoffice #trabalhardecasa https://t.co/pKDRZNDIde</t>
  </si>
  <si>
    <t>Deixa de procrastinar o que tem o poder de revolucionar a tua vida. Abandona a tua zona de conforto e abraça um caminho de constante evolução. 🚀🚀
#marketingdigital #rendaextra #afiliada
#liberdadefinanceira #liberdadegeografica #vendas #hotmart #mulheresempoderadas #sonhos https://t.co/lXEO9joOaE</t>
  </si>
  <si>
    <t>Não deixes para amanhã, o que podes fazer hoje.
Se queres aprender como ganhar dinheiro apenas com a internet e o teu telemóvel, comenta “ eu quero “ que eu irei ajudar-te.
#rendaextra
#mercadodigital
#fazacontecer
#liberdadegeográfica
#liberdadefinanceira https://t.co/L67uhKwpNT</t>
  </si>
  <si>
    <t>A liberdade financeira não é um destino, é uma jornada. Não percas mais tempo e começa já hoje a tua. 
— Comenta “ eu “ que irei explicar-te como. 🚀
#foryou
#marketingdigital #rendaextra #afiliada
#liberdadefinanceira #liberdadegeografica #vendas #mulheresempoderadas #sonhos https://t.co/XkS4J5HNSJ</t>
  </si>
  <si>
    <t>Confira o vídeo de #RendaExtra na Internet! #TikTok #movendodinheiro https://t.co/buKswrJpg5</t>
  </si>
  <si>
    <t>#RendaExtra na Internet! #TikTok #saponaria não é apenas #artesanato É #quimica e pode ser até perigoso o processo. Gosto de fazer as bases de glicerina neutra e depois os #sabonetesmedicinais 😉🫠🫠🫠😅 https://t.co/iNYP6hOt1h</t>
  </si>
  <si>
    <t>📢💰💻 Confira nosso artigo sobre os 4 melhores Sites para aumentar sua renda online!
Não perca essa oportunidade de transformar seu tempo livre em dinheiro! 
#GanharDinheiro #RendaExtra #TrabalharemCasa
https://t.co/JYDuCi5zBO</t>
  </si>
  <si>
    <t>RENDA EXTRA - OPORTUNIDADES
1 - Ganhe $ Indicando e Assistindo Vídeos. https://t.co/5gol4PI08Y
1.1 Jogo de Roleta
https://t.co/LXEopQ3bnj
1.2 Increva-se na betano e ganhe 30,00 para fazer 1° aposta
https://t.co/Uj7N9sPfcu
 #rendaextra #jogosonline #lojaonline  #dinheiro #apostas</t>
  </si>
  <si>
    <t>Quer fazer uma renda extra?sem precisar vender curso, no conforto da sua casa.da uma olhadinha na minha bio 💰#rendaextra #Chico #1989TaylorsVersionVault https://t.co/Ov0ACoE1ru</t>
  </si>
  <si>
    <t>Compro fotos dos seus pés. Chama na mensagem! #fotomodelo #rendaextra #fotodospes #freela</t>
  </si>
  <si>
    <t>Compro fotos de pés de iniciantes que nunca venderam. Mande uma mensagem direta que explico! #packdospes #modelos #rendaextra  #venderfotos #modelodepes</t>
  </si>
  <si>
    <t>Descubra como ganhar dinheiro extra online de forma fácil e eficaz! 💰💻 #RendaExtra #TrabalhoOnline Clique no link para explorar esta incrível oportunidade!</t>
  </si>
  <si>
    <t>🤖Esses são os robozinho mais, procurado no mercado de apostas!
🔥✅️🤖Os dois no precinho🤖✅️🔥
.
#blaze #cassino #apostas #aposta #roboblaze #botblaze #bet #dinheiro #rendaextra #cassino #aviaozinho #sabado #fimdesemana #fds https://t.co/2cnk9kDdbL</t>
  </si>
  <si>
    <t>Vai ter medo? vai a pensar que vá a lograr? acha que é difícil? Você com iniciar já é campeão.  Obrigado  
 #makeup 
#libertadfinanciera #marketingdigital #rendaextra #marketing #dinheiroonline #liberdade #videoviral #dinheiro 
#vendas #lobodewallstreet # https://t.co/IxpjiUQntp</t>
  </si>
  <si>
    <t>O melhor extrator de contatos do Instagram aqui.
Grupo Fagemar na venda: 
https://t.co/t3sH9CbC1a 
 #makeup 
#libertadfinanciera #marketingdigital #rendaextra #marketing #dinheiroonline #liberdade #videoviral #dinheiro 
#vendas #lobodewallstreet #mevendaessacaneta #sellmethispen https://t.co/5VxoUykN8A</t>
  </si>
  <si>
    <t>Quando sientas estar sem forcas e com desânimo,  tem Fé porque a ajuda vem quando você não espera. Levanta-te GUERREIRO 
O melhor extrator de contatos do Instagram aqui.
Grupo Fagemar na venda: 
https://t.co/t3sH9CbC1a 
 #makeup 
#libertadfinanciera #marketingdigital #rendaextra https://t.co/j7nsUE6bWW</t>
  </si>
  <si>
    <t>experimento social roubando do you tube sem-teto: (coby persin)
O melhor extrator de contatos do Instagram aqui.
Grupo Fagemar na venda: 
https://t.co/t3sH9CbC1a 
 #makeup 
#libertadfinanciera #marketingdigital #rendaextra #marketing #dinheiroonline #liberdade #videoviral https://t.co/IsS1dMLDEG</t>
  </si>
  <si>
    <t>O melhor extrator de contatos do Instagram aqui.
Grupo Fagemar na venda: 
https://t.co/t3sH9CbC1a 
 #makeup 
#libertadfinanciera #marketingdigital #rendaextra #marketing #dinheiroonline #liberdade #videoviral #dinheiro 
#vendas #lobodewallstreet #mevendaessacaneta #sellmethispen https://t.co/SmEAMPflBa</t>
  </si>
  <si>
    <t>Motivando Visionários 👍🇧🇷👊
Grupo Fagemar e MAIARA Agencia de Publicidade e Marketing Digital convida a você a curtir seu post, comentar e seguer para más conteudos virais #makeup 
#libertadfinanciera #marketingdigital #rendaextra #marketing 
https://t.co/gjCAW6fXAp https://t.co/34Eg8YUNwK</t>
  </si>
  <si>
    <t>Só acredite e todo vai a dar cert . 💦💫💧⛅️
Grupo Fagemar e MAIARA Agencia de Publicidade e Marketing Digital convida a você a curtir seu post, comentar e seguer para más conteudos virais #makeup 
#libertadfinanciera #marketingdigital #rendaextra 
https://t.co/gjCAW6fXAp https://t.co/G42NlltFKP</t>
  </si>
  <si>
    <t>Nunca desista de seus sonhos. 💦💫💧⛅️
Grupo Fagemar e MAIARA Agencia de Publicidade e Marketing Digital convida a você a curtir seu post, comentar e seguer para más conteudos virais #makeup 
#libertadfinanciera #marketingdigital #rendaextra #marketing 
https://t.co/gjCAW6fXAp https://t.co/FfmSBH7QCs</t>
  </si>
  <si>
    <t>Nunca deixe que as pessoas decidam por você. Grau zero
Grupo Fagemar e MAIARA Agencia de Publicidade e Marketing Digital convida a você a curtir seu post, comentar e seguer para más conteudos virais 
#libertadfinanciera #marketingdigital #rendaextra
https://t.co/gjCAW6fXAp https://t.co/wuSswDNFLP</t>
  </si>
  <si>
    <t>Grupo Fagemar convida a você a curtir seu post, comentar e seguer para más conteudos virais ISSO É MARKETING! #makeup 
#libertadfinanciera #marketingdigital #rendaextra #marketing #dinheiroonline #liberdade #videoviral #dinheiro 
#vendas #lobodewallstreet 
https://t.co/gjCAW6fXAp https://t.co/DBZStsGAV5</t>
  </si>
  <si>
    <t>Grupo Fagemar convida a você a curtir seu post, comentar e seguer para más conteudos virais ISSO É MARKETING! #makeup 
#libertadfinanciera #marketingdigital #rendaextra #marketing #dinheiroonline #liberdade #videoviral #dinheiro 
#vendas #lobodewallstreet
https://t.co/gjCAW6fXAp https://t.co/dY4ShmQ1kv</t>
  </si>
  <si>
    <t>Um pouco de interesse, amazing e curiosidade 
 👇👇👇
Comparte meus videos,  curte e comenta 
Favor não olhar abaixo 
O melhor extrator de contatos do Instagram aqui.
Grupo Fagemar na venda: 
https://t.co/t3sH9CbC1a 
 #makeup 
#libertadfinanciera #marketingdigital #rendaextra https://t.co/babVkCfQFa</t>
  </si>
  <si>
    <t>Só precisamos ter coragem e vontade de progredir. 
Comparte meus videos,  curte e comenta 
Favor não olhar abaixo 
O melhor extrator de contatos do Instagram aqui.
Grupo Fagemar na venda: 
https://t.co/t3sH9CbC1a 
 #makeup 
#libertadfinanciera #marketingdigital #rendaextra https://t.co/988IFKqjXI</t>
  </si>
  <si>
    <t>Palavras que chegam ao corpo e o alma. 
 👇👇👇
Comparte meus videos,  curte e comenta 
O melhor extrator de contatos das redes sociais aqui.
Grupo Fagemar na venda: 
https://t.co/t3sH9CbC1a 
 #makeup 
#libertadfinanciera #marketingdigital #rendaextra #marketing #dinheiroonline https://t.co/1gxmbF9neB</t>
  </si>
  <si>
    <t>Tudo o que é valioso na vida, dá trabalho pra conquistar. 
 👇👇👇
Comparte meus videos,  curte e comenta 
O melhor extrator de contatos das redes sociais aqui.
Grupo Fagemar na venda: 
https://t.co/t3sH9CbC1a 
 #makeup 
#libertadfinanciera #marketingdigital #rendaextra https://t.co/i53qFkrLp9</t>
  </si>
  <si>
    <t>Perseverança e muita Fe para lograr as metas.  compartilhar meu vídeo.
#grupofagemar  #frasediaria
segue-me,  curte e comenta meu vídeo. 
#FamíliaNovaAtalaiaDeDeus #gloriadeus #poderdeDeusEm #makeup 
#libertadfinanciera #marketingdigital #rendaextra #marketing #dinheiroonline https://t.co/UU41okv2co</t>
  </si>
  <si>
    <t>Escuta e reflita está palavra de vida.  segue-me, comparte, comenta e curte meus vídeos. 
 👇👇👇
O melhor extrator de contatos das redes sociais aqui.
Grupo Fagemar na venda: 
https://t.co/t3sH9CbC1a 
 #makeup 
#libertadfinanciera #marketingdigital #rendaextra https://t.co/1i4VIAgSd0</t>
  </si>
  <si>
    <t>Sou um Lobo porque confio em Deus,  e você?  segue-me, comparte, comenta e curte meus vídeos. 
 👇👇👇
O melhor extrator de contatos das redes sociais aqui.
Grupo Fagemar na venda: 
https://t.co/t3sH9CbC1a 
 #makeup 
#libertadfinanciera #marketingdigital #rendaextra https://t.co/JUw9X7sBzi</t>
  </si>
  <si>
    <t>Quando você é processado pela vida, tornar-se más forte. segue-me, comparte, comenta e curte meus vídeos. 
 👇👇👇
O melhor extrator de contatos das redes sociais aqui.
Grupo Fagemar na venda: 
https://t.co/t3sH9CbC1a 
 #makeup 
#libertadfinanciera #marketingdigital #rendaextra https://t.co/t1zJakUjzd</t>
  </si>
  <si>
    <t>Grupo Fagemar
Nenhuma imagem tinha o nome das marcas, mas você soube dizer quais elas são certo? ISSO É BRANDING! ISSO É MARKETING! #makeup 
#libertadfinanciera #marketingdigital #rendaextra #marketing #dinheiroonline #liberdade #videoviral #dinheiro 
https://t.co/gjCAW6fXAp https://t.co/4pxpzqJ6Yw</t>
  </si>
  <si>
    <t>Grupo Fagemar 5 estratégia de marketing que você deve aplicar na suas marcas. #makeup 
#libertadfinanciera #marketingdigital #rendaextra #marketing #dinheiroonline #liberdade #videoviral #dinheiro 
#vendas #lobodewallstreet #mevendaessacaneta 
https://t.co/gjCAW6fXAp https://t.co/2LDaiWra9E</t>
  </si>
  <si>
    <t>Grupo Fagemar convida a você a curtir,  seguer, comentar e compartilhar.  
#libertadfinanciera #marketingdigital #rendaextra #marketing #dinheiroonline #liberdade #videoviral #dinheiro 
#vendas #lobodewallstree #marketingdigitaliniciantes
https://t.co/gjCAW6fXAp https://t.co/rKqVrczskT</t>
  </si>
  <si>
    <t>Grupo Fagemar convida a você a curtir,  seguer, comentar e compartilhar.  Na era da tecnologia, nós fazemos seu acompanhamento 
#libertadfinanciera #marketingdigital #rendaextra #marketing #dinheiroonline #liberdade #videoviral #dinheiro 
#vendas 
https://t.co/gjCAW6fXAp https://t.co/4dAaOTr4oB</t>
  </si>
  <si>
    <t>Grupo Fagemar convida a você a curtir,  seguer, comentar e compartilhar.  A maior campanha de marketing do mundo é aquela que um cliente satisfeito faz.
#libertadfinanciera #marketingdigital #rendaextra #marketing #dinheiroonline #liberdade #videoviral 
https://t.co/gjCAW6fXAp https://t.co/08U8FVcZPb</t>
  </si>
  <si>
    <t>Eis a tal da prova social. A maior campanha de marketing do mundo é aquela que um cliente satisfeito faz.
#libertadfinanciera #marketingdigital #rendaextra #marketing #dinheiroonline #liberdade #videoviral #dinheiro 
#vendas #lobodewallstreet 
https://t.co/gjCAW6gvpX https://t.co/P59IC5B6zg</t>
  </si>
  <si>
    <t>Empreender é avançar,  é aprender a profissão más antiga e lucrativa. Vem e empreende. #grupofagemar   #frasediaria
segue-me,  curte e comenta meu vídeo. 
#FamíliaNovaAtalaiaDeDeus #gloriadeus #poderdeDeusEm #makeup 
#libertadfinanciera #marketingdigital #rendaextra #marketing https://t.co/M3Llj4oQYX</t>
  </si>
  <si>
    <t>video = https://t.co/AKSvi4bmcy 
CADASTRO = https://t.co/q4gulqOI1z
SEEK GLOBAL NETWORK. BACKOFFICE REVIEW  - GANHE $125 DÓLARES GRÁTIS E ANUNCIE SEUS SITES - SGN
#SEEKGLOBALNETWORK 
#SEEKGLOBAL 
#publicidade 
#ads 
#rendaextra 
#rendaextraemcasa 
#rendapassiva 
#dinheiro 
#usd https://t.co/C8fE74ird2</t>
  </si>
  <si>
    <t>THE APEX POWER PAGANDO  - GANHE  SUA RENDA DE 1.5% A 3% AO DIA - TAP 
https://t.co/Bv2EuTRfEr
CADASTRO = https://t.co/kFNgbXebfd
GRUPO 
https://t.co/RyQxlwCE93
 #theapexpower #apexpower #apex #earnmoney  #multinivel #Bitcoin  #bussiness #newcompany #rendaextra #bitcoinnews https://t.co/g3xxSrx2Aa</t>
  </si>
  <si>
    <t>https://t.co/RizHXwaepd 
CADASTRO = https://t.co/HuxD9bRU4e
GRUPO APEXONE = https://t.co/gffnKbBsSM 
Consulte Mais informação
#APEXONE
#APEXONREVIEW
#APEXONE
#APEXONEAI
#APEXONETUTORIAL
#criptomoedas 
#dinheiro 
#rendaextra 
#dinheiroonlin
https://t.co/RizHXwaepd</t>
  </si>
  <si>
    <t>📷*SHAO BANK*📷
*INVESTIMENTO, TITULOS, EMPRÉSTIMO, SEGURO, MULTINÍVEL E MARKETPLACE*
VIDEO
https://t.co/dQbI9AYsIi
📷 *CADASTRO*
https://t.co/1pSyEsNwj4
📷 *GRUPO*
https://t.co/xSFZu8iZ8X
#shaobank #shao #investidor #investimento #fundosimobiliarios #rendaextraemcasa #Bitcoin https://t.co/cAGWGRNKkb</t>
  </si>
  <si>
    <t>SHAO BANK PAGAMENTO DE $142 DÓLARES - COMPRA DE CASE E ABRINDO NÍVEIS DE REFERÊNCIA
https://t.co/iXa6QakKc7
CADASTRO = https://t.co/ID7rnv36oE
GRUPO https://t.co/xSFZu8iZ8X 
#shaobank #loans #investidor #investimento  #rendaextraemcasa #bitcoin #criptomoeda #bonds #fundos https://t.co/h2J94KXN5J</t>
  </si>
  <si>
    <t>🔊GARANTA SEU BONUS DE CADASTRO DE $125 DOLARES* *DIVULGUE SEU SITE E GANHE CASHBACK.
https://t.co/vlFMDQexjb
CADASTRO
https://t.co/MHnQgHYH61
GRUPO 
https://t.co/wxvjyIhr9U
#rendaextra  #dinheiro #dinheiroonline  #dinheiroemcasa #money #Bitcoin  #seekglobalnetwork https://t.co/nde8baaamm</t>
  </si>
  <si>
    <t>APEX ONE IA GANHE DINHEIRO COM PARES DE CRIPTOMOEDAS COM TECNOLOGIA SMART FARMING
CADASTRO = https://t.co/HuxD9bRU4e
GRUPO APEXONE = https://t.co/gffnKbBsSM
video
https://t.co/CWXnwFGmDU
#APEXONE #APEXONREVIEW  #APEXONEAI  #criptomoedas #dinheiro #rendaextra #dinheiroonline https://t.co/xfJz5pztkC</t>
  </si>
  <si>
    <t>Shao Bank – banco de alta tecnologia de Hong Kong criado pela empresa de gestão Global Future Enterprise Group
video
https://t.co/ZgR1qFTUzq
CADASTRO = https://t.co/ID7rnv36oE
#shaobank 
#Bitcoin 
#investimento 
#criptomoedas 
#rendaextra https://t.co/mXC71XDBBt</t>
  </si>
  <si>
    <t>https://t.co/n9PpSOgrok 
CADASTRO = https://t.co/HuxD9bRU4e
GRUPO APEXONE = https://t.co/gffnKbBsSM
APEX ONE IA
GANHE DINHEIRO COM PARES DE CRIPTOMOEDAS
COM TECNOLOGIA SMART FARMING
AUMENTE SUA RENDA.
#APEXONE
#APEXONE
#APEXONEAI
#criptomoedas 
#dinheiro 
#rendaextra 
#Bitcoin https://t.co/Yf2zzj2QKP</t>
  </si>
  <si>
    <t>SEEK GLOBAL NETWORK PAGAMENTO AUTOMÁTICO  - GANHE $ 125 GRÁTIS - SGN
CADASTRO = https://t.co/q4gulqOI1z
GRUPO SEEK https://t.co/wxvjyIhr9U
#SEEKGLOBALNETWORK #SEEKGLOBAL #SEEK #publicidade #ads #rendaextra #rendaextraemcasa #rendapassiva  #dinheiroonline #dinheironainternet https://t.co/VoHsSoTXBU</t>
  </si>
  <si>
    <t>NOVA PLATAFORMA DE INVESTIMENTO RENDA DE ATÉ 175% DE LUCRO - NEW COMPANY😃
VIDEO TUTORIAL = https://t.co/j5OrknfWYu
🔮 *GRUPO*
https://t.co/v29tqUFwRB
🔮 *CADASTRO*
https://t.co/IHkpnpi7kJ
#APEXONE
#APEXONREVIEW
#criptomoedas 
#dinheiro 
#rendaextra 
#dinheiroonline 
#ganhar https://t.co/Ilm4kbzj0K</t>
  </si>
  <si>
    <t>APEXONE PAGANDO NA HORA - GANHE DINHEIRO COM   apexoneai
https://t.co/z1zl6mLgcG
CADASTRO = https://t.co/HuxD9bRU4e
GRUPO APEXONE = https://t.co/gffnKbBsSM
#APEXONE
#APEXONEREVIEW
#APEXONEPAYMENT
#APEXONEAI
#APEXONETUTORIAL
#criptomoedas
#dinheiro
#rendaextra
#dinheiroonline https://t.co/tILcXAUcsT</t>
  </si>
  <si>
    <t>SHAOBANK  RETIRE SEU DINHEIRO QUANDO QUISER ♫♫ PROVA DE PAGAMENTO - SHAO BANK
https://t.co/DR5i90hs9h
CADASTRO  https://t.co/ID7rnv36oE 
GRUPO https://t.co/xSFZu8iZ8X
#shaobank #shaobankpayment #shaobankreview #investidor #investimento #fundosimobiliarios #rendaextraemcasa https://t.co/dkYrbnKDWV</t>
  </si>
  <si>
    <t>Graças à versatilidade de suas propriedades, o doTERRA Lavender é um óleo indispensável para se ter a qualquer hora.
Quer saber mais? Nós chama no direct, será um prazer bemestar l #academia #rendaextra  #vidasaudavel #mentalidade #óleosvegetais #emagrecer #marketingmultinivel https://t.co/yefmSlSyq1</t>
  </si>
  <si>
    <t>Para maiores informações chame no 6298173 8187 
Venha fazer parte da maior empresa de óleos essencial #qualidadedevida #dinheiro #óleodegirassol  #rendaextra #produtosnaturais #treino #mmn #beleza #vidasaudavel #mentalidade #óleosvegetais #emagrecer #marketingmultinivel https://t.co/yf8OHUPRNg</t>
  </si>
  <si>
    <t>Aplicativos para ganhar dinheiro na internet! #rendaextra https://t.co/63n1nPCZG8</t>
  </si>
  <si>
    <t>@endozinho Eu não sei que foi o OTÁRIO que perdei 100 reais no Coelhinho, mas muito obrigado pq EU GANHEI 100 conto
#RENDAEXTRA</t>
  </si>
  <si>
    <t>Oi gente vamos aproveitar esse espaço para nós ajudar com os impulsos!
#kwai
#impulso
#rendaextra
#BBB23 
https://t.co/OgykSXAPnT</t>
  </si>
  <si>
    <t>Vamos usar esse espaço para trocar impulso!!
#kwai
#impulso
#rendaextra
 https://t.co/BmSzMNAFU5</t>
  </si>
  <si>
    <t>Oi gente! Para quem usa kwai, este aqui é um espaço para troca de impulso, então deixem seus link e ajudem uns aos outros 
#kwai
#rendaextra
#impulso
#dinheiro
 https://t.co/eXZRM7XxvT</t>
  </si>
  <si>
    <t>Oi gente, vamos trocar impulso 
#kwai
#rendaextra
 https://t.co/vLDWfRvGCd</t>
  </si>
  <si>
    <t>Que tal fazer aquela graninha extra na Páscoa?
Apostila com as melhores receitas e todas as informações para qualquer pessoa sendo iniciante ou não começar a lucrar muito na páscoa.
LINK: https://t.co/XWe49rfERd
#pascoa2023 #ebook #rendaextra https://t.co/ewls4yYFDx</t>
  </si>
  <si>
    <t>10 negócios lucrativos para ganhar dinheiro trabalhando em casa #rendaextra #trabalho #marketingdigital https://t.co/ZLnXbVHBWO</t>
  </si>
  <si>
    <t>10 melhores sites para ganhar dinheiro na internet vendendo fotos
#rendaextra #freelancer #homeoffice  https://t.co/sr1se4C6Ny</t>
  </si>
  <si>
    <t>O que é ser afiliado Hotmart? Como se cadastrar?
#rendaextra #hotmart #afiliado #homeoffice #rendaonline
 https://t.co/z931BHMirt</t>
  </si>
  <si>
    <t>Conheça os melhores Sites de Afiliados para aumentar a renda online
#hotmart #rendaextra #afiliado #homeoffice https://t.co/qLkhmpw1Tf</t>
  </si>
  <si>
    <t>Abono Salarial de 2023 Pago para Trabalhadores Nascidos em Julho e Agosto
#abono #caixa #caixatem #rendaextra https://t.co/ch6afjBNqV</t>
  </si>
  <si>
    <t>VÍDEO: Como jogar Jogo do Tigre? 
Convite do Jogo do Tigre: 4cec0g
https://t.co/VOnWLUOEba
#pombabet #fortune #rendaextra #ganhardinheiro https://t.co/eh51qwXvOI</t>
  </si>
  <si>
    <t>Convite do Jogo do Tigre: 4cec0g
#pombabet #fortune #rendaextra #ganhardinheiro
https://t.co/VOnWLUOEba https://t.co/Q4OAMg85Jx</t>
  </si>
  <si>
    <t>Ficou curioso para saber como funciona esse método? Então clica no link abaixo e e assista todas as aulas que estão GRATUITAS antes que saia do ar. https://t.co/pkruuomJZF.
#mentedesucesso #afiliados #marketingdigital #primeiravenda #rendaextra #cursosprofissionalizantes https://t.co/o8UknNlM5n</t>
  </si>
  <si>
    <t>‼️‼️A elegância a gente já tem né migas?!🤩#
Bóra atrás do $$$$
#empreendedorismo #maeempreendedora #rendaextra #elegance #mentemilionaria https://t.co/3qB02zlXhX</t>
  </si>
  <si>
    <t>Compartilha se você está esperando um buquê desse!🤩🤩🤩 #romantico #autoestima #rendaextra https://t.co/uFHt1g0rf5</t>
  </si>
  <si>
    <t>Com o marketing digital você pode ganhar sua liberdade financeira e geográfica! #afiliadas #rendaextra https://t.co/DtJ5m8KYBd</t>
  </si>
  <si>
    <t>Tente fazer o seu melhor sempre! Este é o segredo das pessoas que dão certo! “Não é sorte!”
#rendaextra #afiliadas https://t.co/n8jI7o9qYT</t>
  </si>
  <si>
    <t>👑potes com lacre 👑
💲14,90
FRETE GRÁTIS 🆓
LINK DA LOJA AQUI 👇👇👇👇
🛍️https://t.co/K1pHrbv2UY
#confeitaria #doce #rendaextra #bolodepote #torta #cozinhar https://t.co/32qBa0Ij0t</t>
  </si>
  <si>
    <t>https://t.co/jJX7ZkMYA0                              #apostas #ganhardinheiro #rendaextra</t>
  </si>
  <si>
    <t>Já pessoal em ganhar mais de 1 (UM) Salario minimo somente com indicação?
Estamos prestes ao retorno da modalidade "Consignado para BPC/LOAS. Com a internet nos auxiliando,podemos captar clientes em todas regiões do Brasil, e você ganha com tudo isso! Saiba Mais. #RendaExtra</t>
  </si>
  <si>
    <t>#investidor #investir
#b3 #rendaextra #livros
#virall
Confira o vídeo de Tu Pods ! Cortes! #TikTok https://t.co/jtQtvHApeK</t>
  </si>
  <si>
    <t>SE LIGA NESSAS DICAS PARA INICIANTES 💵💵💰
👇👇👇👇👇👇👇👇👇👇
#sabadou #rendaextra
#investir
Confira o vídeo de Tu Pods ! Cortes! #TikTok https://t.co/O3Fw9IzrHs</t>
  </si>
  <si>
    <t>Quer ganhar uma renda extra? Siga nossa página no Instagram (@TargetThrust), comente "eu quero" e curta esse post! 
#emprendedores #emprendimiento #dinheiro #rendaextra #emprender https://t.co/fnJvA1UlqW</t>
  </si>
  <si>
    <t>Parem de focar na treta da raluca e foquem em ganhar dinheiro com meus sinais e estratégia grátis 🥳💵🎯
.
Link na bio ou chama no PV😝
.
#raluca #ralucagranola #dinheiro #MONEY #rendaextra #cassino #saladeapostas #roleta</t>
  </si>
  <si>
    <t>Tutorial 00 - criando a conta na plataforma de forma correta!
.
Acessem o canal Gratuito na bio, para seguir o passo a passo!🔥💸
.
#dica #tutorial #roleta #cassino #rendaextra #jogoonline #apostas https://t.co/eHTdLdYXDl</t>
  </si>
  <si>
    <t>Você conhece alguma? 
.
.
.
.
.
#fy #fyp #foryoupage #rendaextra #dinheiro #business #comoganhardinheiro #marketingdigital #afiliados #money #lifestyle #luxurylifestyle #motivação https://t.co/YOjO01MblC</t>
  </si>
  <si>
    <t>Nóis tá bolando um plano pra ficar milionário💰🚀
.
.
.
.
.
.
#fy #fyp #foryoupage #rendaextra #dinheiro #business #comoganhardinheiro #marketingdigital #afiliados #money #lifestyle #luxurylifestyle #motivação https://t.co/eYQ9QabD2N</t>
  </si>
  <si>
    <t>Saiba distinguir quem sempre esteve com você!
.
.
.
.
.
#fy #fyp #foryoupage #rendaextra #dinheiro #business #comoganhardinheiro #marketingdigital #afiliados #money #lifestyle #luxurylifestyle #motivação https://t.co/il7QN3ZcLC</t>
  </si>
  <si>
    <t>Arrisque! 
💥LEIA A LEGENDA💥
Chega de desculpas!
Aprenda a ganhar dinheiro na internet usando apenas seu celular e comece a mudar sua vida hoje mesmo. 
Não deixe mais a oportunidade passar!
.
.
#rendaextra #dinheiroextra #comoganhardinheiro #marketingdogital #afiliado #business https://t.co/pELvywdZWw</t>
  </si>
  <si>
    <t>Você é responsável pelo seu sucesso. 
.
.
.
.
.
#rendaextra #rendaextraemcasa #dinheiroextra #dinheiroonline #afiliado #money #luxurylifestyle #motivation #business #wifimoney #reflexão #jovenmillonario #marketingdigital #marketing #afiliadoiniciante #sucesso #comoganhardinheiro https://t.co/g2YaTh0sQB</t>
  </si>
  <si>
    <t>Pare de falar… e comece a fazer.
Clica no link da bio e aprenda a fazer dinheiro na internet usando apenas seu celular💰📲
.
.
.
.
#fy #reelsvideo #dicas #marketingdigital #afiliados #afiliadoorganico #comoganhardinheiro #rendaextra #rendaextraonline #viral https://t.co/cF25cGxhHq</t>
  </si>
  <si>
    <t>Eu consegui.
.
.
.
#fy #reelsvideo #dicas #marketingdigital #afiliados #afiliadoorganico #comoganhardinheiro #rendaextra #rendaextraonline #viral https://t.co/fILJ3amA1z</t>
  </si>
  <si>
    <t>Trabalhe por um sonho, não por um salário.
Clica no link da bio e aprenda a fazer dinheiro na internet usando apenas seu celular💰📲
.
.
.
.
#fy #reelsvideo #dicas #marketingdigital #afiliados #afiliadoorganico #comoganhardinheiro #rendaextra #rendaextraonline #viral https://t.co/PSEEjPoiQk</t>
  </si>
  <si>
    <t>Clica no link da bio e aprenda a fazer dinheiro na internet usando apenas seu celular💰📲
.
.
.
.
#fy #reelsvideo #dicas #marketingdigital #afiliados #afiliadoorganico #comoganhardinheiro #rendaextra #rendaextraonline #viral https://t.co/NJDrkrEovs</t>
  </si>
  <si>
    <t>E É ISSO QUE ME MOTIVA🧠🚀
.
CLICA NO LINK DA BIO E COMECE A FAZER DINHEIRO AINDA HOJE USANDO APENAS O SEU CELULAR💰📲
.
.
.
.
#rendaextra #rendaextraemcasa #comoganhardinheiro #dinheiroextra #dinheiroonline #money #mindset #reelsvideo #marketingdigital #marketing #afiliados https://t.co/URx36UKfF3</t>
  </si>
  <si>
    <t>Menos distração, mais fico e mais disciplina.🧠💰
💰Aprenda a ganhar dinheiro na internet usando apenas seu celular e comece a mudar sua vida hoje mesmo. 
💥Não deixe mais a oportunidade passar!
.
.
.
.
.
#rendaextra #dinheiroextra #dinheiroonline #afiliado #marketingdigital https://t.co/kmwiqn8zER</t>
  </si>
  <si>
    <t>Como ganhar dinheiro na internet ainda hoje💰📲
.
.
.
#comoganhardinheiro #rendaextra https://t.co/BYbKbsWY7E</t>
  </si>
  <si>
    <t>😂
Sério que você não sabe como fazer dinheiro com a internet ainda? Clica no link da BIO que eu vou te ensinar📱💰
.
.
#fy #reelsvideo #dicas #marketingdigital #afiliados #afiliadoorganico #comoganhardinheiro #rendaextra #rendaextraonline #viral #evolução https://t.co/9RdVY8A1Of</t>
  </si>
  <si>
    <t>Fale menos e faça mais.
Clica no link da bio e aprenda a fazer dinheiro na internet usando apenas seu celular💰📲
.
.
.
.
#fy #reelsvideo #dicas #marketingdigital #afiliados #afiliadoorganico #comoganhardinheiro #rendaextra #rendaextraonline #viral #evolução https://t.co/aUEYStPl2Z</t>
  </si>
  <si>
    <t>Eai que preço está disposto a pagar pelo seu futuro?
Clica no link da bio e aprenda a fazer dinheiro na internet usando apenas seu celular💰📲
.
.
.
.
#fy #reelsvideo #dicas #marketingdigital #afiliados #afiliadoorganico #comoganhardinheiro #rendaextra #rendaextraonline #evolução https://t.co/arItyoVT6l</t>
  </si>
  <si>
    <t>Apenas observe.
Clica no link da bio e aprenda a fazer dinheiro na internet usando apenas seu celular💰📲
.
.
.
.
#fy #reelsvideo #dicas #marketingdigital #afiliados #afiliadoorganico #comoganhardinheiro #rendaextra #rendaextraonline #viral #evolução https://t.co/bLoi4xOQ9v</t>
  </si>
  <si>
    <t>Coisas boas levam tempo.
Clica no link da bio e aprenda a fazer dinheiro na internet usando apenas seu celular💰📲
.
.
.
.
#fy #reelsvideo #dicas #marketingdigital #afiliados #afiliadoorganico #comoganhardinheiro #rendaextra #rendaextraonline #viral https://t.co/RCcmiWDuQV</t>
  </si>
  <si>
    <t>Dando o melhor de mim🚀💰
Clica no link da bio e aprenda a fazer dinheiro na internet usando apenas seu celular💰📲
.
.
.
.
#fy #reelsvideo #dicas #marketingdigital #afiliados #afiliadoorganico #comoganhardinheiro #rendaextra #rendaextraonline #viral #capcut https://t.co/jQKwR81bD6</t>
  </si>
  <si>
    <t>Você ficará orgulhoso! 
.
.
.
.
.
.
#fy #fyp #foryoupage #rendaextra #dinheiro #business #comoganhardinheiro #marketingdigital #afiliados #money #lifestyle #luxurylifestyle #motivação https://t.co/dI6jla6ErX</t>
  </si>
  <si>
    <t>🧠💰
.
,
.
,
.
.
#fy #fyp #foryoupage #rendaextra #dinheiro #business #comoganhardinheiro #marketingdigital #afiliados #money #lifestyle #luxurylifestyle #motivação https://t.co/rfLzhUn3P4</t>
  </si>
  <si>
    <t>PARE DE SE DISTRAIR! 
:
:
:
:
:
#fy #fyp #foryoupage #rendaextra #dinheiro #business #comoganhardinheiro #marketingdigital #afiliados #money #lifestyle #luxurylifestyle #motivação #milionarios https://t.co/mKqPeXI9EJ</t>
  </si>
  <si>
    <t>Só mais um pouco🧠💰🚀
.
.
.
.
.
#rendaextra #rendaextraemcasa #dinheiroextra #dinheiroonline #afiliado #money #luxurylifestyle #motivation #business #wifimoney #reflexão #jovenmillonario #marketingdigital #marketing #afiliadoiniciante #sucesso #comoganhardinheiro https://t.co/SUgyOejhYO</t>
  </si>
  <si>
    <t>🙏🏽🚀
.
.
.
.
.
#rendaextra #rendaonline #sucessofinanceiro #MarketingDigital #wifimoney https://t.co/DRwiOlhPpU</t>
  </si>
  <si>
    <t>Não perca mais tempo!💰📲
.
.
.
.
#rendaextra #comoganhardinheiro #rendaonline https://t.co/MoMqZrZnjg</t>
  </si>
  <si>
    <t>E deu certo💰🙏🏽
👉🏽Clica no link abaixo que vou te ensinar a fazer dinheiro ainda hoje usando apenas o seu CELULAR💰🤑
https://t.co/2akVvscfrT
.
.
.
.
.
#empreendedorismo #sucesso #liberdadefinanceira #rendaextra #dinheiroonline https://t.co/5Bhw62If2n</t>
  </si>
  <si>
    <t>Trabalho🤑
—————————————-
Sério que você não sabe como fazer dinheiro com a internet ainda? Clica no link da BIO que eu vou te ensinar📱💰
.
.
#fy #reelsvideo #dicas #marketingdigital #afiliados #afiliadoorganico #comoganhardinheiro #rendaextra #rendaextraonline #viral #evolução https://t.co/1911oSl4m8</t>
  </si>
  <si>
    <t>Pra cima 🚀💰
Clica no link da bio e aprenda a fazer dinheiro na internet usando apenas seu celular💰📲
.
.
.
.
#fy #reelsvideo #dicas #marketingdigital #afiliados #afiliadoorganico #comoganhardinheiro #rendaextra #rendaextraonline #viral #evolução https://t.co/QKCNTva8b0</t>
  </si>
  <si>
    <t>Decisões 🧠💰
Clica no link da bio e aprenda a fazer dinheiro na internet usando apenas seu celular💰📲
.
.
.
.
#fy #reelsvideo #dicas #marketingdigital #afiliados #afiliadoorganico #comoganhardinheiro #rendaextra #rendaextraonline #viral #evolução https://t.co/QKcaMlkaxR</t>
  </si>
  <si>
    <t>É HORA DO SHOW🚀
Clica no link da bio e aprenda a fazer dinheiro na internet usando apenas seu celular💰📲
.
.
.
.
#fy #reelsvideo #dicas #marketingdigital #afiliados #afiliadoorganico #comoganhardinheiro #rendaextra #rendaextraonline #viral #evolução https://t.co/hqCqSzNNjd</t>
  </si>
  <si>
    <t>Eu vou vencer🚀💰
.
.
.
.
#Twiter #rendaextra #dinheiroextra #business #MarketingDigital #afiliado #liberdadefinanceira #comoganhardinheiro #motivacao https://t.co/l5IfRuBW7Z</t>
  </si>
  <si>
    <t>💰🚀
.
.
.
.
.
#fy #fyp #fypage #rendaextra #dinheiroextra #business #viral #comoganhardinheiro #luxurylifestyle #liberdadefinanceira #motivacao #reflexão #reelsvideo https://t.co/6KuAttillk</t>
  </si>
  <si>
    <t>A plateia não assiste o ensaio
Apenas o show! 
.
.
.
#rendaextra #rendaextraemcasa #dinheiroextra #dinheiroonline #afiliado #money #luxurylifestyle #motivation #business #wifimoney #reflexão #jovenmillonario #marketingdigital #marketing #afiliadoiniciante #sucesso https://t.co/L0n0uH3axq</t>
  </si>
  <si>
    <t>💰🤫
❓Cansado de viver sem dinheiro?
👉🏽Clica no link abaixo que vou te ensinar a fazer dinheiro ainda hoje usando apenas o seu CELULAR💰🤑
https://t.co/2akVvscfrT
.
.
.
.
.
#empreendedorismo #sucesso #liberdadefinanceira #rendaextra #dinheiroonline https://t.co/O4suAn5ids</t>
  </si>
  <si>
    <t>Mude enquanto a tempo!
👉🏽Clica no link abaixo que vou te ensinar a fazer dinheiro ainda hoje usando apenas o seu CELULAR💰🤑
https://t.co/2akVvscfrT
.
.
.
.
.
#empreendedorismo #sucesso #liberdadefinanceira #rendaextra #dinheiroonline https://t.co/ZYXmQ2ilzT</t>
  </si>
  <si>
    <t>Não caia na matrix 
❓Cansado de viver sem dinheiro?
👉🏽Clica no link abaixo que vou te ensinar a fazer dinheiro ainda hoje usando apenas o seu CELULAR💰🤑
https://t.co/2akVvscfrT
.
.
.
.
.
#empreendedorismo #sucesso #liberdadefinanceira #rendaextra #dinheiroonline https://t.co/0Gv8SkgH1J</t>
  </si>
  <si>
    <t>Cola com o pai 🤑
Clica no link abaixo e aprenda a fazer dinheiro na internet usando apenas seu celular💰📲
https://t.co/AzcXzEYJbR
.
.
.
#fy #reelsvideo #dicas #marketingdigital #afiliados #afiliadoorganico #comoganhardinheiro #rendaextra #rendaextraonline #viral https://t.co/MVu0ZvcUIS</t>
  </si>
  <si>
    <t>Melhor escolha que fiz🚀💰
Clica no link da bio e aprenda a fazer dinheiro na internet usando apenas seu celular💰📲
.
.
.
.
#fy #reelsvideo #dicas #marketingdigital #afiliados #afiliadoorganico #comoganhardinheiro #rendaextra #rendaextraonline #viral #evolução https://t.co/3r3orGowyC</t>
  </si>
  <si>
    <t>Qual você vai escolher?
Clica no link da bio para aprender a fazer dinheiro na internet usando apenas seu celular💰📲
.
.
.
.
#fy #fyp #foryoupage #rendaextra #dinheiro #business #comoganhardinheiro #marketingdigital #afiliados #money #lifestyle #luxurylifestyle #motivação https://t.co/cXfDfhA2gT</t>
  </si>
  <si>
    <t>Vire um fantasma.
Clica no link da bio para aprender a fazer dinheiro na internet usando apenas seu celular💰📲
.
.
.
.
.
#dicas #comoganhardinheiro #dinheiro #marketingdigital #afiliadosiniciantes #empreendedorismo #liberdadefinanceira #rendaextra #rendaextra https://t.co/trN3EIf1O1</t>
  </si>
  <si>
    <t>4 passos que todo iniciante no marketing digital deve seguir💰
Clica no link da bio para aprender a fazer dinheiro na internet usando apenas seu celular💰📲
.
.
.
#fy #fyp #foryoupage #rendaextra #dinheiro #comoganhardinheiro #marketingdigital #afiliados #money https://t.co/2Lu52B2CfE</t>
  </si>
  <si>
    <t>Eu nem vou perder meu tempo😂💰
❓Cansado de viver sem dinheiro?
👉🏽Clica no link abaixo que vou te ensinar a fazer dinheiro ainda hoje usando apenas o seu CELULAR💰🤑
https://t.co/2akVvscfrT
.
.
.
.
.
#empreendedorismo #sucesso #liberdadefinanceira #rendaextra #dinheiroonline https://t.co/0FYy1s37ew</t>
  </si>
  <si>
    <t>Aguardem…
👉🏽Clica no link abaixo que vou te ensinar a fazer dinheiro ainda hoje usando apenas o seu CELULAR💰🤑
https://t.co/2akVvscfrT
.
.
.
.
.
#empreendedorismo #sucesso #liberdadefinanceira #rendaextra #dinheiroonline https://t.co/OlOVvgLskD</t>
  </si>
  <si>
    <t>Jovem aprendiz?
❓Cansado de viver sem dinheiro?
👉🏽Clica no link abaixo que vou te ensinar a fazer dinheiro ainda hoje usando apenas o seu CELULAR💰🤑
https://t.co/AzcXzEYJbR
.
.
.
.
.
#empreendedorismo #sucesso #liberdadefinanceira #rendaextra #dinheiroonline https://t.co/irM0H9nl5d</t>
  </si>
  <si>
    <t>Você precisa de constância.
Clica no link da bio e aprenda a fazer dinheiro na internet usando apenas seu celular💰📲
.
.
.
.
#fy #reelsvideo #dicas #marketingdigital #afiliados #afiliadoorganico #comoganhardinheiro #rendaextra #rendaextraonline #viral #evolução https://t.co/RHCp52SLTB</t>
  </si>
  <si>
    <t>Eu amo minha rotina🚀
Clica no link da bio e aprenda a fazer dinheiro na internet usando apenas seu celular💰📲
.
.
.
.
#fy #reelsvideo #dicas #marketingdigital #afiliados #afiliadoorganico #comoganhardinheiro #rendaextra #rendaextraonline #viral #evolução https://t.co/FcjY7H5IX5</t>
  </si>
  <si>
    <t>Seja o melhor 💰🚀
Clica no link da bio e aprenda a fazer dinheiro na internet usando apenas seu celular💰📲
.
.
.
.
#fy #reelsvideo #dicas #marketingdigital #afiliados #afiliadoorganico #comoganhardinheiro #rendaextra #rendaextraonline #viral #evolução https://t.co/C8xYrmxKJI</t>
  </si>
  <si>
    <t>3 melhores nichos para trabalhar como afiliado
💥LEIA A LEGENDA 💰👇🏽
🔥Cansado(a) de viver sem dinheiro?
💥Mude sua vida agora!
💰Clica no link da bio e aprenda a fazer dinheiro na internet usando apenas seu celular📲
.
#rendaextra #comoganhardinheiro #marketingdigital #afiliados https://t.co/7vyao8u8zX</t>
  </si>
  <si>
    <t>O que te segura de se tornar um deles?
💥LEIA A LEGENDA 💰👇🏽
🔥Cansado(a) de viver sem dinheiro?
💥Mude sua vida agora!
💰Clica no link da bio e aprenda a fazer dinheiro na internet usando apenas seu celular📲
.
#rendaextra #dinheiro #comoganhardinheiro #marketingdigital https://t.co/6KBaSYelMY</t>
  </si>
  <si>
    <t>Você também é assim? 
.
.
.
.
.
.
#fy #fyp #foryoupage #rendaextra #dinheiro #business #comoganhardinheiro #marketingdigital #afiliados #money #lifestyle #luxurylifestyle #motivação https://t.co/JQT4G6GUYf</t>
  </si>
  <si>
    <t>Você é daqueles que tem medo?
.
.
.
.
#fy #fyp #foryoupage #rendaextra #dinheiro #business #comoganhardinheiro #marketingdigital #afiliados #money #lifestyle #luxurylifestyle #motivação https://t.co/cEUGJlfHmJ</t>
  </si>
  <si>
    <t>É tão fácil💸🤑
❓Cansado de viver sem dinheiro?
👉🏽Clica no link abaixo que vou te ensinar a fazer dinheiro ainda hoje usando apenas o seu CELULAR💰🤑
https://t.co/2akVvscfrT
.
.
.
.
.
#empreendedorismo #sucesso #liberdadefinanceira #rendaextra #dinheiroonline https://t.co/lqmRfxFhlK</t>
  </si>
  <si>
    <t>Nota zero😂👎🏽
👉🏽Clica no link abaixo que vou te ensinar a fazer dinheiro ainda hoje usando apenas o seu CELULAR💰🤑
https://t.co/2akVvscfrT
.
.
.
.
.
#empreendedorismo #sucesso #liberdadefinanceira #rendaextra #dinheiroonline https://t.co/9yoydv9ncj</t>
  </si>
  <si>
    <t>Oque esse cara tá falando?😂
❓Cansado de viver sem dinheiro?
👉🏽Clica no link abaixo que vou te ensinar a fazer dinheiro ainda hoje usando apenas o seu CELULAR💰🤑
https://t.co/2akVvscfrT
.
.
.
.
.
#empreendedorismo #sucesso #liberdadefinanceira #rendaextra #dinheiroonline https://t.co/BZP60wulI3</t>
  </si>
  <si>
    <t>Minha rotina preferida🤑
❓Cansado de viver sem dinheiro?
👉🏽Clica no link abaixo que vou te ensinar a fazer dinheiro ainda hoje usando apenas o seu CELULAR💰🤑
https://t.co/2akVvscfrT
.
.
.
.
.
#empreendedorismo #sucesso #liberdadefinanceira #rendaextra #dinheiroonline https://t.co/BSSGlfgbPO</t>
  </si>
  <si>
    <t>🔱💰
❓Cansado de viver sem dinheiro?
👉🏽Clica no link abaixo que vou te ensinar a fazer dinheiro ainda hoje usando apenas o seu CELULAR💰🤑
https://t.co/2akVvscfrT
.
.
.
.
.
#empreendedorismo #sucesso #liberdadefinanceira #rendaextra #dinheiroonline https://t.co/2KdebAYs7z</t>
  </si>
  <si>
    <t>E deu certo💰🚀
Clica no link da bio e aprenda a fazer dinheiro na internet usando apenas seu celular💰📲
.
.
.
.
#fy #reelsvideo #dicas #marketingdigital #afiliados #afiliadoorganico #comoganhardinheiro #rendaextra #rendaextraonline #viral #evolução https://t.co/Np9Nl5kRkc</t>
  </si>
  <si>
    <t>Aumente seu esforço!!
Clica no link da bio e aprenda a fazer dinheiro na internet usando apenas seu celular💰📲
.
.
.
.
#fy #reelsvideo #dicas #marketingdigital #afiliados #afiliadoorganico #comoganhardinheiro #rendaextra #rendaextraonline #viral #evolução https://t.co/cllT6b4Ua3</t>
  </si>
  <si>
    <t>Conta quem se arrisca💸🤑
❓Cansado de viver sem dinheiro?
👉🏽Clica no link abaixo que vou te ensinar a fazer dinheiro ainda hoje usando apenas o seu CELULAR💰🤑
https://t.co/2akVvscfrT
.
.
.
.
.
#empreendedorismo #sucesso #liberdadefinanceira #rendaextra #dinheiroonline https://t.co/JTRJIxY2iQ</t>
  </si>
  <si>
    <t>Seja diferente dos outros 💸👨🏽‍💻
❓Cansado de viver sem dinheiro?
👉🏽Clica no link abaixo que vou te ensinar a fazer dinheiro ainda hoje usando apenas o seu CELULAR💰🤑
https://t.co/2akVvscfrT
.
.
.
.
.
#empreendedorismo #sucesso #liberdadefinanceira #rendaextra #dinheiroonline https://t.co/kCewvSRDQW</t>
  </si>
  <si>
    <t>❓Cansado de viver sem dinheiro?
👉🏽Clica no link abaixo que vou te ensinar a fazer dinheiro ainda hoje usando apenas o seu CELULAR💰🤑
https://t.co/2akVvscfrT
.
.
.
.
.
#empreendedorismo #sucesso #liberdadefinanceira #rendaextra #dinheiroonline https://t.co/OJtuU8MQBu</t>
  </si>
  <si>
    <t>Eu nunca irei desistir!
❓Cansado de viver sem dinheiro?
👉🏽Clica no link abaixo que vou te ensinar a fazer dinheiro ainda hoje usando apenas o seu CELULAR💰🤑
https://t.co/2akVvscfrT
.
.
.
.
.
#empreendedorismo #sucesso #liberdadefinanceira #rendaextra #dinheiroonline https://t.co/gYusBXKcG7</t>
  </si>
  <si>
    <t>🔱💰
❓Cansado de viver sem dinheiro?
👉🏽Clica no link abaixo que vou te ensinar a fazer dinheiro ainda hoje usando apenas o seu CELULAR💰🤑
https://t.co/2akVvscfrT
.
.
.
.
.
#empreendedorismo #sucesso #liberdadefinanceira #rendaextra #dinheiroonline https://t.co/q44LClvYtg</t>
  </si>
  <si>
    <t>Aprenda a fazer dinheiro na internet hoje mesmo!
Clica no link abaixo que vou te ensinar.💰
https://t.co/AzcXzEYJbR
.
.
.
#fy #reelsvideo #dicas #marketingdigital #afiliados #afiliadoorganico #comoganhardinheiro #rendaextra #rendaextraonline #viral #evolução https://t.co/6HckVJRHrP</t>
  </si>
  <si>
    <t>É sim, confia kkk
Aprenda a fazer dinheiro na internet hoje mesmo!
Clica no link abaixo que vou te ensinar.💰
https://t.co/AzcXzEYJbR
.
.
#fy #reelsvideo #dicas #marketingdigital #afiliados #afiliadoorganico #comoganhardinheiro #rendaextra #rendaextraonline #viral #evolução https://t.co/ffASpOaZOU</t>
  </si>
  <si>
    <t>Ninguém vai lutar pelos seus objetivos além de você!
Clica no link da bio e aprenda a fazer dinheiro na internet usando apenas seu celular💰📲
.
.
.
.
#fy #fyp #foryoupage #rendaextra #dinheiro #business #comoganhardinheiro #marketingdigital #afiliados #money #lifestyle https://t.co/dc31wMBx1v</t>
  </si>
  <si>
    <t>Seja inabalável
Clica no link da bio e aprenda a fazer dinheiro na internet usando apenas seu celular💰📲
.
.
.
.
#fy #fyp #foryoupage #rendaextra #dinheiro #business #comoganhardinheiro #marketingdigital #afiliados #money #lifestyle #luxurylifestyle #motivação https://t.co/OHln1l2y47</t>
  </si>
  <si>
    <t>Eu sei que estou no caminho certo. 
Clica no link da bio para aprender a fazer dinheiro na internet usando apenas seu celular💰📲
.
.
.
.
#fy #fyp #foryoupage #rendaextra #dinheiro #business #comoganhardinheiro #marketingdigital #afiliados #money #lifestyle #luxurylifestyle https://t.co/yNtUJPEGAn</t>
  </si>
  <si>
    <t>5 Imagens que vão mudar sua mentalidade🧠
.
.
.
#mentemilionaria #motivacao #rendaextra #dinheiroonline #afiliado https://t.co/fmzBPoo3Ov</t>
  </si>
  <si>
    <t>Nunca foi sorte.
.
.
#comoganhardinheiro #rendaextra #dinheiro #dinheiroonline https://t.co/YNpVrIjcin</t>
  </si>
  <si>
    <t>Ganhe até  R$1,5 por participar da oferta especial de fim de semana.
#ZeldaTOTK
#Eurovision
#Eurovision2023
#ThePlanetByBTS
#BABYMONSTER
#TearsOfTheKingdom 
#Zelda
#Acrostico
#RenaissanceWolrdTour
#rendaExtra #dinheiro #tktk
https://t.co/0kzFrrWtVh</t>
  </si>
  <si>
    <t>Aprenda absolutamente tudo sobre Cookies Gourmet! Curso 100% em vídeo com aulas práticas e detalhadas. Certificado incluso. Do básico ao avançado
#rendaextra
https://t.co/wu7TFziAkH https://t.co/Oq1Xb3ZXDK</t>
  </si>
  <si>
    <t>Aprenda absolutamente tudo sobre Cookies Gourmet! Curso 100% em vídeo com aulas práticas e detalhadas. Certificado incluso. Do básico ao avançado
#rendaextra
https://t.co/wu7TFzi2v9 https://t.co/4l2FqekJBF</t>
  </si>
  <si>
    <t>Aprenda absolutamente tudo sobre Cookies Gourmet! Curso 100% em vídeo com aulas práticas e detalhadas. Certificado incluso. Do básico ao avançado
#rendaextra
https://t.co/wu7TFzi2v9 https://t.co/GyvZhQ3ksm</t>
  </si>
  <si>
    <t>Aprenda absolutamente tudo sobre Cookies Gourmet! Curso 100% em vídeo com aulas práticas e detalhadas. Certificado incluso. Do básico ao avançado
#rendaextra
https://t.co/wu7TFzi2v9 https://t.co/SVqjDCPHir</t>
  </si>
  <si>
    <t>Aprenda absolutamente tudo sobre Cookies Gourmet! Curso 100% em vídeo com aulas práticas e detalhadas. Certificado incluso. Do básico ao avançado
#rendaextra
https://t.co/wu7TFzi2v9 https://t.co/ciihZQU7CQ</t>
  </si>
  <si>
    <t>Aprenda absolutamente tudo sobre Cookies Gourmet! Curso 100% em vídeo com aulas práticas e detalhadas. Certificado incluso. Do básico ao avançado
#rendaextra
https://t.co/wu7TFzi2v9 https://t.co/lQhiY6kULQ</t>
  </si>
  <si>
    <t>Aprenda absolutamente tudo sobre Cookies Gourmet! Curso 100% em vídeo com aulas práticas e detalhadas. Certificado incluso. Do básico ao avançado
#rendaextra
https://t.co/wu7TFziAkH https://t.co/SQUvaeoTMD</t>
  </si>
  <si>
    <t>Aprenda absolutamente tudo sobre Cookies Gourmet! Curso 100% em vídeo com aulas práticas e detalhadas. Certificado incluso. Do básico ao avançado
#rendaextra
https://t.co/wu7TFziAkH https://t.co/s0xHdYkoqR</t>
  </si>
  <si>
    <t>Aprenda absolutamente tudo sobre Cookies Gourmet! Curso 100% em vídeo com aulas práticas e detalhadas. Certificado incluso. Do básico ao avançado
#rendaextra
https://t.co/wu7TFzi2v9 https://t.co/F9avNjy15x</t>
  </si>
  <si>
    <t>Aprenda absolutamente tudo sobre Cookies Gourmet! Curso 100% em vídeo com aulas práticas e detalhadas. Certificado incluso. Do básico ao avançado
#rendaextra
https://t.co/wu7TFzi2v9 https://t.co/8FDvu5qIKg</t>
  </si>
  <si>
    <t>Aprenda absolutamente tudo sobre Cookies Gourmet! Curso 100% em vídeo com aulas práticas e detalhadas. Certificado incluso. Do básico ao avançado
#rendaextra
https://t.co/wu7TFzi2v9 https://t.co/wJvaRMfqLX</t>
  </si>
  <si>
    <t>Fiz um vídeo mostrando como você pode fazer uma renda extra com tecnologia em 2023. Vale a pena checar. https://t.co/Sl3SZ0BGXe #nocode #dinheiro #rendaextra https://t.co/V0wnnRIfA0</t>
  </si>
  <si>
    <t>#ganhedinheiroextra
#trabalheondequiser
#trabalheemcasa
#marketingdeafiliados
#dinheiroonline
#dinheironainternet
#rendaextra
#oportunidade
#liberdadefinanceira
#sucesso https://t.co/QK4eokXM7f</t>
  </si>
  <si>
    <t>Happy Farmin pagando muitooo #fazenda #happyfarmin #rendaextra #dinheiro https://t.co/N3vR6ffw0N</t>
  </si>
  <si>
    <t>💵FOLHA DO FGTS VIROU 💵
Precisando de um dinheiro ?💰
Venha antecipar seu FGTS 
Fazemos a simulação sem
Compromisso 😉bora fazer ?
Nao cobramos taxas!
#pix
#rendaextra 
#fgts</t>
  </si>
  <si>
    <t>https://t.co/6SdHPIs4XK
#rendaextra #frpromotora</t>
  </si>
  <si>
    <t>Monetize seu Conteúdo com o Peeked!
📷📽️🎬🎶🤑
#Influencer #Influencers #peeked #rendaextra https://t.co/TWLuS43daM</t>
  </si>
  <si>
    <t>Plataforma nova
Depositando 35 vc ganha 15 de bônus
https://t.co/UV0Ak98fxB
#slots 
#rendaextra
#Coldplay 
#FutebolNaESPN 
#Celebrities https://t.co/XFsPQVMpNF</t>
  </si>
  <si>
    <t>@choquei #Rendaextra</t>
  </si>
  <si>
    <t>@felipeneto Quanta arrogância, como ainda tem gente que segui vc ?! Vc já está MILHONARIO NÉ, robozinho da BLAZE !    #rendaextra</t>
  </si>
  <si>
    <t>Aprenda absolutamente tudo sobre Cookies Gourmet! Curso 100% em vídeo com aulas práticas e detalhadas. Certificado incluso. Do básico ao avançado
#rendaextra
https://t.co/2AEptIlrW5 https://t.co/fO4m9LONfX</t>
  </si>
  <si>
    <t>Aprenda absolutamente tudo sobre Cookies Gourmet! Curso 100% em vídeo com aulas práticas e detalhadas. Certificado incluso. Do básico ao avançado
#rendaextra
https://t.co/2AEptIlrW5 https://t.co/B4SlXJZoNh</t>
  </si>
  <si>
    <t>Aprenda absolutamente tudo sobre Cookies Gourmet! Curso 100% em vídeo com aulas práticas e detalhadas. Certificado incluso. Do básico ao avançado
#rendaextra
https://t.co/2AEptIlrW5 https://t.co/pADxJoX7w7</t>
  </si>
  <si>
    <t>Aprenda absolutamente tudo sobre Cookies Gourmet! Curso 100% em vídeo com aulas práticas e detalhadas. Certificado incluso. Do básico ao avançado
#rendaextra
https://t.co/2AEptIlrW5 https://t.co/sAX9efK6me</t>
  </si>
  <si>
    <t>Aprenda absolutamente tudo sobre Cookies Gourmet! Curso 100% em vídeo com aulas práticas e detalhadas. Certificado incluso. Do básico ao avançado
#rendaextra
https://t.co/2AEptIlrW5 https://t.co/3VlQrRrvg0</t>
  </si>
  <si>
    <t>Aprenda absolutamente tudo sobre Cookies Gourmet! Curso 100% em vídeo com aulas práticas e detalhadas. Certificado incluso. Do básico ao avançado
#rendaextra
https://t.co/2AEptIlZLD https://t.co/Nr1t4uFz9J</t>
  </si>
  <si>
    <t>Aprenda absolutamente tudo sobre Cookies Gourmet! Curso 100% em vídeo com aulas práticas e detalhadas. Certificado incluso. Do básico ao avançado
#rendaextra
https://t.co/2AEptIlrW5 https://t.co/jDLdxiTrzy</t>
  </si>
  <si>
    <t>Aprenda absolutamente tudo sobre Cookies Gourmet! Curso 100% em vídeo com aulas práticas e detalhadas. Certificado incluso. Do básico ao avançado
#rendaextra
https://t.co/2AEptIlrW5 https://t.co/oY9oZTXEHp</t>
  </si>
  <si>
    <t>Aprenda absolutamente tudo sobre Cookies Gourmet! Curso 100% em vídeo com aulas práticas e detalhadas. Certificado incluso. Do básico ao avançado
#rendaextra
https://t.co/2AEptIlrW5 https://t.co/ohKHfOOl9j</t>
  </si>
  <si>
    <t>Aprenda absolutamente tudo sobre Cookies Gourmet! Curso 100% em vídeo com aulas práticas e detalhadas. Certificado incluso. Do básico ao avançado
#rendaextra
https://t.co/2AEptIlrW5 https://t.co/Pk523qHeIE</t>
  </si>
  <si>
    <t>Aprenda absolutamente tudo sobre Cookies Gourmet! Curso 100% em vídeo com aulas práticas e detalhadas. Certificado incluso. Do básico ao avançado
#rendaextra
https://t.co/2AEptIlrW5 https://t.co/UWfs0GiCBq</t>
  </si>
  <si>
    <t>Aprenda absolutamente tudo sobre Cookies Gourmet! Curso 100% em vídeo com aulas práticas e detalhadas. Certificado incluso. Do básico ao avançado
#rendaextra
https://t.co/2AEptIlrW5 https://t.co/npBNgxm5jy</t>
  </si>
  <si>
    <t>Aprenda absolutamente tudo sobre Cookies Gourmet! Curso 100% em vídeo com aulas práticas e detalhadas. Certificado incluso. Do básico ao avançado
#rendaextra
https://t.co/2AEptIlZLD https://t.co/fkSWbLqgnh</t>
  </si>
  <si>
    <t>Aprenda absolutamente tudo sobre Cookies Gourmet! Curso 100% em vídeo com aulas práticas e detalhadas. Certificado incluso. Do básico ao avançado
#rendaextra
https://t.co/2AEptIlZLD https://t.co/Gn6jp0JLZY</t>
  </si>
  <si>
    <t>Aprenda absolutamente tudo sobre Cookies Gourmet! Curso 100% em vídeo com aulas práticas e detalhadas. Certificado incluso. Do básico ao avançado
#rendaextra
https://t.co/2AEptIlrW5 https://t.co/Qhn1OiGcUd</t>
  </si>
  <si>
    <t>Aprenda absolutamente tudo sobre Cookies Gourmet! Curso 100% em vídeo com aulas práticas e detalhadas. Certificado incluso. Do básico ao avançado
#rendaextra
https://t.co/2AEptIlrW5 https://t.co/Z8ArFnJ7S6</t>
  </si>
  <si>
    <t>🙀Aulas de Manicure e Pedicure (Iniciante) Faby Cardoso
✅Faby Cardoso é conhecida como raínha da cutícula, com mais de 300mil seguidores no facebook
➡️DE R$ 249,00
💵Por apenas R$ 99,00
💳ou em até 10x de 11,31 no cartão
🛒🔗Link: https://t.co/xYC8xe2y59
#curso #rendaextra</t>
  </si>
  <si>
    <t>🧼Saboaria Natural Lucrativa
&amp;gt; DESCUBRA O PASSO A PASSO SIMPLES PARA PRODUZIR EM CASA SABONETES NATURAIS
💵Ultimos dias de desconto...
➡️De 130,00
➡️Por apenas R$ 37,90
🛒🔗Link: https://t.co/MaKd7eBofs
#cursodesaboaria #rendaextra #saboneteartesanal https://t.co/jm3Tr7T1lT</t>
  </si>
  <si>
    <t>🙀🙍‍♀️Curso Depilação Profissional - Oficial
✅Agora você pode se tornar uma profissional em tempo recorde e eficiente !!
&amp;gt; De R$547,00 &amp;lt;
💵por apenas R$147,00
💳OU 12X DE R$14,67 no cartão de credito
🛒🔗Link Oficial : https://t.co/X7SGQ1GX5L
#cursosonline #rendaextra https://t.co/aZHdl8VCaJ</t>
  </si>
  <si>
    <t>5 Dicas para Gerar Renda Passiva &amp;amp; GANHAR DINHEIRO com Vídeo no YouTube https://t.co/bo4aHizr4W via @YouTube #DINHEIRO #RENDAEXTRA #MONEY</t>
  </si>
  <si>
    <t>https://t.co/fdcDqEr6x3
#gssf #vip 
Ganhe 4 reais no registo. Ganhe recompensas até nível 3 em referências. #rendaextra #renda #paypal https://t.co/mpQMq11lnd</t>
  </si>
  <si>
    <t>As regras de contratação vão mudar em breve! 
Aproveite o seu saldo FGTS e realize os seus sonhos hoje mesmo!
Simule aqui: https://t.co/MFXR4vgd4S
SoluCrédito há mais de 20 anos no mercado!
 #viajar #reforma #sonhos #rendaextra #realizarsonhos #fgts #concursos2023 #intercambio https://t.co/GHY9aAIH7H</t>
  </si>
  <si>
    <t>https://t.co/ddK8yMNb2T Renda Extra Kwai #kwai #LoveIsBlindLIVE #RCBvsCSK #LoveIsBlind #JacksonWangCoachella #Curiosidades #rendaextra #dinheiro #dinheiroonline #Brasil #usa #Twitter https://t.co/gktlusTkSE</t>
  </si>
  <si>
    <t>Aprenda absolutamente tudo sobre Cookies Gourmet! Curso 100% em vídeo com aulas práticas e detalhadas. Certificado incluso. Do básico ao avançado
#rendaextra
https://t.co/rmlwSj2Sf6 https://t.co/8Slt79b8tS</t>
  </si>
  <si>
    <t>Aprenda absolutamente tudo sobre Cookies Gourmet! Curso 100% em vídeo com aulas práticas e detalhadas. Certificado incluso. Do básico ao avançado
#rendaextra
https://t.co/rmlwSj2Sf6 https://t.co/RtQfL5Uv81</t>
  </si>
  <si>
    <t>Aprenda absolutamente tudo sobre Cookies Gourmet! Curso 100% em vídeo com aulas práticas e detalhadas. Certificado incluso. Do básico ao avançado
#rendaextra
https://t.co/rmlwSj2Sf6 https://t.co/3FSath3yOj</t>
  </si>
  <si>
    <t>Aprenda absolutamente tudo sobre Cookies Gourmet! Curso 100% em vídeo com aulas práticas e detalhadas. Certificado incluso. Do básico ao avançado
#rendaextra
https://t.co/rmlwSj2Sf6 https://t.co/zRgFfad89b</t>
  </si>
  <si>
    <t>Aprenda absolutamente tudo sobre Cookies Gourmet! Curso 100% em vídeo com aulas práticas e detalhadas. Certificado incluso. Do básico ao avançado
#rendaextra
https://t.co/rmlwSj2Sf6 https://t.co/RhHYCcXYZR</t>
  </si>
  <si>
    <t>Aprenda absolutamente tudo sobre Cookies Gourmet! Curso 100% em vídeo com aulas práticas e detalhadas. Certificado incluso. Do básico ao avançado
#rendaextra
https://t.co/rmlwSj2Sf6 https://t.co/F19Bqnwogz</t>
  </si>
  <si>
    <t>Aprenda absolutamente tudo sobre Cookies Gourmet! Curso 100% em vídeo com aulas práticas e detalhadas. Certificado incluso. Do básico ao avançado
#rendaextra
https://t.co/rmlwSj2Sf6 https://t.co/V14uBO3hSN</t>
  </si>
  <si>
    <t>Aprenda absolutamente tudo sobre Cookies Gourmet! Curso 100% em vídeo com aulas práticas e detalhadas. Certificado incluso. Do básico ao avançado
#rendaextra
https://t.co/rmlwSj3q4E https://t.co/lsgBI4aJin</t>
  </si>
  <si>
    <t>Aprenda absolutamente tudo sobre Cookies Gourmet! Curso 100% em vídeo com aulas práticas e detalhadas. Certificado incluso. Do básico ao avançado
#rendaextra
https://t.co/rmlwSj2Sf6 https://t.co/u7kmOhgaWl</t>
  </si>
  <si>
    <t>Aprenda absolutamente tudo sobre Cookies Gourmet! Curso 100% em vídeo com aulas práticas e detalhadas. Certificado incluso. Do básico ao avançado
#rendaextra
https://t.co/rmlwSj2Sf6 https://t.co/PZzH3cKOee</t>
  </si>
  <si>
    <t>Aprenda absolutamente tudo sobre Cookies Gourmet! Curso 100% em vídeo com aulas práticas e detalhadas. Certificado incluso. Do básico ao avançado
#rendaextra
https://t.co/rmlwSj2Sf6 https://t.co/DNbp0VZNac</t>
  </si>
  <si>
    <t>Aprenda absolutamente tudo sobre Cookies Gourmet! Curso 100% em vídeo com aulas práticas e detalhadas. Certificado incluso. Do básico ao avançado
#rendaextra
https://t.co/rmlwSj2Sf6 https://t.co/h2uoXaU5B9</t>
  </si>
  <si>
    <t>Aprenda absolutamente tudo sobre Cookies Gourmet! Curso 100% em vídeo com aulas práticas e detalhadas. Certificado incluso. Do básico ao avançado
#rendaextra
https://t.co/rmlwSj2Sf6 https://t.co/Fs5IW4DHBd</t>
  </si>
  <si>
    <t>Aprenda absolutamente tudo sobre Cookies Gourmet! Curso 100% em vídeo com aulas práticas e detalhadas. Certificado incluso. Do básico ao avançado
#rendaextra
https://t.co/rmlwSj2Sf6 https://t.co/t7CTyvu4Qe</t>
  </si>
  <si>
    <t>Aprenda absolutamente tudo sobre Cookies Gourmet! Curso 100% em vídeo com aulas práticas e detalhadas. Certificado incluso. Do básico ao avançado
#rendaextra
https://t.co/rmlwSj2Sf6 https://t.co/TGgIQSCIMO</t>
  </si>
  <si>
    <t>Aprenda absolutamente tudo sobre Cookies Gourmet! Curso 100% em vídeo com aulas práticas e detalhadas. Certificado incluso. Do básico ao avançado
#rendaextra
https://t.co/rmlwSj2Sf6 https://t.co/P6N4AhKJlX</t>
  </si>
  <si>
    <t>Aprenda absolutamente tudo sobre Cookies Gourmet! Curso 100% em vídeo com aulas práticas e detalhadas. Certificado incluso. Do básico ao avançado
#rendaextra
https://t.co/rmlwSj2Sf6 https://t.co/PcMBByOQa7</t>
  </si>
  <si>
    <t>Aprenda absolutamente tudo sobre Cookies Gourmet! Curso 100% em vídeo com aulas práticas e detalhadas. Certificado incluso. Do básico ao avançado
#rendaextra
https://t.co/rmlwSj2Sf6 https://t.co/xGPZTOBM7C</t>
  </si>
  <si>
    <t>Aprenda absolutamente tudo sobre Cookies Gourmet! Curso 100% em vídeo com aulas práticas e detalhadas. Certificado incluso. Do básico ao avançado
#rendaextra
https://t.co/rmlwSj2Sf6 https://t.co/UzrstEqK1D</t>
  </si>
  <si>
    <t>Aprenda absolutamente tudo sobre Cookies Gourmet! Curso 100% em vídeo com aulas práticas e detalhadas. Certificado incluso. Do básico ao avançado
#rendaextra
https://t.co/rmlwSj3q4E https://t.co/pKmDUuezqK</t>
  </si>
  <si>
    <t>Aprenda absolutamente tudo sobre Cookies Gourmet! Curso 100% em vídeo com aulas práticas e detalhadas. Certificado incluso. Do básico ao avançado
#rendaextra
https://t.co/rmlwSj2Sf6 https://t.co/QKKtsdCbPW</t>
  </si>
  <si>
    <t>Aprenda absolutamente tudo sobre Cookies Gourmet! Curso 100% em vídeo com aulas práticas e detalhadas. Certificado incluso. Do básico ao avançado
#rendaextra
https://t.co/rmlwSj2Sf6 https://t.co/5w10YKAU5Z</t>
  </si>
  <si>
    <t>Aprenda absolutamente tudo sobre Cookies Gourmet! Curso 100% em vídeo com aulas práticas e detalhadas. Certificado incluso. Do básico ao avançado
#rendaextra
https://t.co/rmlwSj3q4E https://t.co/AlzmTobIlo</t>
  </si>
  <si>
    <t>Aprenda absolutamente tudo sobre Cookies Gourmet! Curso 100% em vídeo com aulas práticas e detalhadas. Certificado incluso. Do básico ao avançado
#rendaextra
https://t.co/rmlwSj3q4E https://t.co/fSCwTh8bJH</t>
  </si>
  <si>
    <t>Aprenda absolutamente tudo sobre Cookies Gourmet! Curso 100% em vídeo com aulas práticas e detalhadas. Certificado incluso. Do básico ao avançado
#rendaextra
https://t.co/rmlwSj2Sf6 https://t.co/Lhl0v1cbNO</t>
  </si>
  <si>
    <t>Aprenda absolutamente tudo sobre Cookies Gourmet! Curso 100% em vídeo com aulas práticas e detalhadas. Certificado incluso. Do básico ao avançado
#rendaextra
https://t.co/rmlwSj2Sf6 https://t.co/PPwJZHsU7y</t>
  </si>
  <si>
    <t>Aprenda absolutamente tudo sobre Cookies Gourmet! Curso 100% em vídeo com aulas práticas e detalhadas. Certificado incluso. Do básico ao avançado
#rendaextra
https://t.co/rmlwSj2Sf6 https://t.co/mnrVwVNUvy</t>
  </si>
  <si>
    <t>Aprenda absolutamente tudo sobre Cookies Gourmet! Curso 100% em vídeo com aulas práticas e detalhadas. Certificado incluso. Do básico ao avançado
#rendaextra
https://t.co/rmlwSj2Sf6 https://t.co/2XbC7gLoLZ</t>
  </si>
  <si>
    <t>Aprenda absolutamente tudo sobre Cookies Gourmet! Curso 100% em vídeo com aulas práticas e detalhadas. Certificado incluso. Do básico ao avançado
#rendaextra
https://t.co/rmlwSj2Sf6 https://t.co/k34Klpt3LW</t>
  </si>
  <si>
    <t>Aprenda absolutamente tudo sobre Cookies Gourmet! Curso 100% em vídeo com aulas práticas e detalhadas. Certificado incluso. Do básico ao avançado
#rendaextra
https://t.co/rmlwSj2Sf6 https://t.co/OsJ81lZ91Q</t>
  </si>
  <si>
    <t>Aprenda absolutamente tudo sobre Cookies Gourmet! Curso 100% em vídeo com aulas práticas e detalhadas. Certificado incluso. Do básico ao avançado
#rendaextra
https://t.co/rmlwSj2Sf6 https://t.co/yFiuWZerUj</t>
  </si>
  <si>
    <t>Aprenda absolutamente tudo sobre Cookies Gourmet! Curso 100% em vídeo com aulas práticas e detalhadas. Certificado incluso. Do básico ao avançado
#rendaextra
https://t.co/rmlwSj3q4E https://t.co/Qzfd6IMwHH</t>
  </si>
  <si>
    <t>Aprenda absolutamente tudo sobre Cookies Gourmet! Curso 100% em vídeo com aulas práticas e detalhadas. Certificado incluso. Do básico ao avançado
#rendaextra
https://t.co/rmlwSj2Sf6 https://t.co/AOBcUVqXIr</t>
  </si>
  <si>
    <t>Aprenda absolutamente tudo sobre Cookies Gourmet! Curso 100% em vídeo com aulas práticas e detalhadas. Certificado incluso. Do básico ao avançado
#rendaextra
https://t.co/rmlwSj3q4E https://t.co/wEb5mNWX9s</t>
  </si>
  <si>
    <t>Aprenda absolutamente tudo sobre Cookies Gourmet! Curso 100% em vídeo com aulas práticas e detalhadas. Certificado incluso. Do básico ao avançado
#rendaextra
https://t.co/rmlwSj3q4E https://t.co/yyrsWSoyHj</t>
  </si>
  <si>
    <t>Aprenda absolutamente tudo sobre Cookies Gourmet! Curso 100% em vídeo com aulas práticas e detalhadas. Certificado incluso. Do básico ao avançado
#rendaextra
https://t.co/rmlwSj3q4E https://t.co/N4rUux0gDp</t>
  </si>
  <si>
    <t>Aprenda absolutamente tudo sobre Cookies Gourmet! Curso 100% em vídeo com aulas práticas e detalhadas. Certificado incluso. Do básico ao avançado
#rendaextra
https://t.co/rmlwSj2Sf6 https://t.co/Eor6oY2Nbf</t>
  </si>
  <si>
    <t>Aprenda absolutamente tudo sobre Cookies Gourmet! Curso 100% em vídeo com aulas práticas e detalhadas. Certificado incluso. Do básico ao avançado
#rendaextra
https://t.co/rmlwSj2Sf6 https://t.co/5KqR7LsBML</t>
  </si>
  <si>
    <t>Aprenda absolutamente tudo sobre Cookies Gourmet! Curso 100% em vídeo com aulas práticas e detalhadas. Certificado incluso. Do básico ao avançado
#rendaextra
https://t.co/rmlwSj2Sf6 https://t.co/JFHqwATTfQ</t>
  </si>
  <si>
    <t>Aprenda absolutamente tudo sobre Cookies Gourmet! Curso 100% em vídeo com aulas práticas e detalhadas. Certificado incluso. Do básico ao avançado
#rendaextra
https://t.co/rmlwSj2Sf6 https://t.co/n8m5myFHsv</t>
  </si>
  <si>
    <t>Aprenda absolutamente tudo sobre Cookies Gourmet! Curso 100% em vídeo com aulas práticas e detalhadas. Certificado incluso. Do básico ao avançado
#rendaextra
https://t.co/rmlwSj2Sf6 https://t.co/LJrCOEvxiF</t>
  </si>
  <si>
    <t>Aprenda absolutamente tudo sobre Cookies Gourmet! Curso 100% em vídeo com aulas práticas e detalhadas. Certificado incluso. Do básico ao avançado
#rendaextra
https://t.co/rmlwSj3q4E https://t.co/jSs1Iipurn</t>
  </si>
  <si>
    <t>Aprenda absolutamente tudo sobre Cookies Gourmet! Curso 100% em vídeo com aulas práticas e detalhadas. Certificado incluso. Do básico ao avançado
#rendaextra
https://t.co/rmlwSj2Sf6 https://t.co/4kQZiVxGIN</t>
  </si>
  <si>
    <t>Aprenda absolutamente tudo sobre Cookies Gourmet! Curso 100% em vídeo com aulas práticas e detalhadas. Certificado incluso. Do básico ao avançado
#rendaextra
https://t.co/rmlwSj2Sf6 https://t.co/LifTBqXQXb</t>
  </si>
  <si>
    <t>Aprenda absolutamente tudo sobre Cookies Gourmet! Curso 100% em vídeo com aulas práticas e detalhadas. Certificado incluso. Do básico ao avançado
#rendaextra
https://t.co/rmlwSj2Sf6 https://t.co/FoZPxxdWHh</t>
  </si>
  <si>
    <t>Aprenda absolutamente tudo sobre Cookies Gourmet! Curso 100% em vídeo com aulas práticas e detalhadas. Certificado incluso. Do básico ao avançado
#rendaextra
https://t.co/rmlwSj2Sf6 https://t.co/imFhJWRxM5</t>
  </si>
  <si>
    <t>Aprenda absolutamente tudo sobre Cookies Gourmet! Curso 100% em vídeo com aulas práticas e detalhadas. Certificado incluso. Do básico ao avançado
#rendaextra
https://t.co/rmlwSj3q4E https://t.co/xOZCmVK47s</t>
  </si>
  <si>
    <t>Aprenda absolutamente tudo sobre Cookies Gourmet! Curso 100% em vídeo com aulas práticas e detalhadas. Certificado incluso. Do básico ao avançado
#rendaextra
https://t.co/rmlwSj2Sf6 https://t.co/KRcbJz6yXM</t>
  </si>
  <si>
    <t>Aprenda absolutamente tudo sobre Cookies Gourmet! Curso 100% em vídeo com aulas práticas e detalhadas. Certificado incluso. Do básico ao avançado
#rendaextra
https://t.co/rmlwSj2Sf6 https://t.co/GYUARzs5jb</t>
  </si>
  <si>
    <t>Aprenda absolutamente tudo sobre Cookies Gourmet! Curso 100% em vídeo com aulas práticas e detalhadas. Certificado incluso. Do básico ao avançado
#rendaextra
https://t.co/rmlwSj2Sf6 https://t.co/R5iXUc5bUk</t>
  </si>
  <si>
    <t>Você quer uma Renda Extra trabalhando de Casa? #trabalhoemcasa #rendaextra #legumescongelados @quitandaemcasarenda https://t.co/UsOQyolC5v https://t.co/trHiyKEeQT</t>
  </si>
  <si>
    <t>Procurando uma Renda de Sua Casa? Conseguir cuidar dos Filhos ao mesmo Tempo que gera renda. A Quitanda em Casa é para você. Clique aqui e saiba como iniciar agora mesmo. https://t.co/kJQ6bjOow8
#rendaextra #comida #legumescongelados https://t.co/LnZ08Ge9u4</t>
  </si>
  <si>
    <t>RENDA EXTRA! GARANTA JA O SEU 
⤵️⤵️⤵️⤵️⤵️
https://t.co/SMBFzNUAVh
#rendaextra #rendaonline https://t.co/NwG2xooylu</t>
  </si>
  <si>
    <t>#ganhedinheiro #rendaextra #rendapassiva #ganheemdolar https://t.co/A7UhpxMOpD</t>
  </si>
  <si>
    <t>#rendaextra #trabalheemcasa #trabalhoonline https://t.co/5jSCIH5fzQ</t>
  </si>
  <si>
    <t>💸Se você "realmente" quer aprender a como começar a faturar na Internet  e fazer de 2 a 10mil reais trabalhando em casa, voce apenas precisa clicar no link abaixo.
https://t.co/fGSWt9fgAp
#motivacao #riqueza #empreender #empreendertransforma #dicas #rendaextra #ganhardinheiro https://t.co/liuebt5ceG</t>
  </si>
  <si>
    <t>🤔Já pensou fazer 2,500 reais em apenas 20 minutos ?
🤔Parece loucura, certo ?
🔱Porém é possível e dá muito certo, estou doando 3 aulas gratuitas do melhor curso de renda extra atual, te disponibilizo as 3 aulas e caso goste te passo o link do curso completo. 
#rendaextra https://t.co/eV8TcTeTz6</t>
  </si>
  <si>
    <t>Ensino e direncio para outros profissionais especializados no curso que adquirir, o curso é completo e antes que você adquira ou tenha interesse e doado 3 aulas introdutórias GRATUITAS!
Saia da Matrix
Vem fazer dinheiro e ensinar pessoas a fazer dinheiro!
#rendaextra #afiliados https://t.co/dgsupNtatk</t>
  </si>
  <si>
    <t>https://t.co/RuKwTCH5kY 
#dolar #ysense #rendaextra #reais #ganhardinheiro #ChatGPT</t>
  </si>
  <si>
    <t>Vem conhecer a ferramenta que mais cresce no mercado. Recebo sinais 24 horas por dia. Quer saber mais chama no privado
#botizi #mercadodeapostasesportivas #mercadodeapostas 
#extra #rendaextra #sinais https://t.co/4jqc01wwcR</t>
  </si>
  <si>
    <t>Aprenda o que é o Marketing de Afiliado, como funciona, e quais são as suas vantagens e desvantagens. 
#Marketing #rendaextra #trabalharemcasa https://t.co/XLEHFN9mZm</t>
  </si>
  <si>
    <t>Nesse vídeo, revelo como você pode ganhar dinheiro apenas usando o seu celular. Aprenda como começar um negócio digital sem dinheiro para investir.
Comece hoje mesmo seu negócio digital. #dinheiro #rendaextra #marketingdigital 
https://t.co/61nyjwbMW0 https://t.co/APapCL2H1F</t>
  </si>
  <si>
    <t>Tô falando, cai vendas todo dia! 
#acredita #dinheiro #rendaextra #BBB23 #bbb2023 https://t.co/qICYQYU7Ur</t>
  </si>
  <si>
    <t>Quer ter flexibilidade, ganhos ilimitados, baixo custo de entrada, libertação nos horários e  liberdade financeira? Isso é possível no mercado digital!
Deixo a foto dos meus ganhos operando apenas 10 dias!
https://t.co/Eh5MjwcT8i
#mercadodigital #rendaextra #marketingdigital https://t.co/F7Tu8piHHl</t>
  </si>
  <si>
    <t>Aprenda absolutamente tudo sobre Cookies Gourmet! Curso 100% em vídeo com aulas práticas e detalhadas. Certificado incluso. Do básico ao avançado
#rendaextra
https://t.co/PeyF4aTT1l https://t.co/olveyQAbZh</t>
  </si>
  <si>
    <t>Aprenda absolutamente tudo sobre Cookies Gourmet! Curso 100% em vídeo com aulas práticas e detalhadas. Certificado incluso. Do básico ao avançado
#rendaextra
https://t.co/PeyF4aUqQT https://t.co/QIqS9aS2JA</t>
  </si>
  <si>
    <t>Aprenda absolutamente tudo sobre Cookies Gourmet! Curso 100% em vídeo com aulas práticas e detalhadas. Certificado incluso. Do básico ao avançado
#rendaextra
https://t.co/PeyF4aTT1l https://t.co/uM0RyoWcY4</t>
  </si>
  <si>
    <t>Aprenda absolutamente tudo sobre Cookies Gourmet! Curso 100% em vídeo com aulas práticas e detalhadas. Certificado incluso. Do básico ao avançado
#rendaextra
https://t.co/PeyF4aTT1l https://t.co/ZCdd7EIksb</t>
  </si>
  <si>
    <t>Aprenda absolutamente tudo sobre Cookies Gourmet! Curso 100% em vídeo com aulas práticas e detalhadas. Certificado incluso. Do básico ao avançado
#rendaextra
https://t.co/PeyF4aTT1l https://t.co/DFg0QkzGdA</t>
  </si>
  <si>
    <t>Aprenda absolutamente tudo sobre Cookies Gourmet! Curso 100% em vídeo com aulas práticas e detalhadas. Certificado incluso. Do básico ao avançado
#rendaextra
https://t.co/PeyF4aTT1l https://t.co/B5GTpuKfT8</t>
  </si>
  <si>
    <t>Aprenda absolutamente tudo sobre Cookies Gourmet! Curso 100% em vídeo com aulas práticas e detalhadas. Certificado incluso. Do básico ao avançado
#rendaextra
https://t.co/PeyF4aTT1l https://t.co/Zic4bt4Al0</t>
  </si>
  <si>
    <t>🔴Mousse de Chocolate muito fácil e gostoso, Faça e venda #rendaextra #re... https://t.co/es4P8hhclu via @YouTube</t>
  </si>
  <si>
    <t>Vem aproveitar essa mega PROMOÇÃO DO DIA DAS MÃES, só hoje está com o valor de R$ 49,99
https://t.co/0R9fs6vn1B
#ondecomprar 
#primeiravenda
#rendaextra 
#dinheiroonline https://t.co/lM2fXgJvGJ</t>
  </si>
  <si>
    <t>#cassino #RICO #Famosos #rendaextra #jogos 
 𝗕𝗥 𝟳𝟳𝟳 🔥
https://t.co/d7ITXVcR7n
🔥 𝗟𝗨𝗖𝗞𝗬 𝗦𝗟𝗢𝗧𝗦 🔥
https://t.co/1q3TVQ9oRv
🔥 𝗛𝗔𝗣𝗣𝗬 𝗚𝗔𝗠𝗘 🔥
https://t.co/fOsZE2PfPu
🔥 𝗙𝗜𝗘𝗥𝗬 𝗦𝗟𝗢𝗧𝗦 🔥
https://t.co/9kK4EwSMRC
🔥 https://t.co/hknDySZRfV</t>
  </si>
  <si>
    <t>#cassino #rendaextra #Plataforma 
CASAS IGUAIS A ALANO
Bônus de cadastro $3
VIDEO SLOTS
https://t.co/b7w2Mwnm2y
BR8 CASA NOVA 
https://t.co/S2LQNOuMol
https://t.co/dKohNCiPp0 https://t.co/4GQQGwhJn5</t>
  </si>
  <si>
    <t>#musculação #emagrecimento #rendaextra https://t.co/Ns0HFeYcjU vendo vários produtos de emagrecimento,  musculação, renda extra etc https://t.co/L4yxyUU7Ld</t>
  </si>
  <si>
    <t>Super desconto 🔥🔥🔥 corre e garanta o seu que ainda dá tempo! Frete grátis 🎁
Link 👉https://t.co/SwY3Xtzlvd
#empreendedor #afiliado #marketingdeconteudo #trabalharemcasa #motiva #rendaextraemcasa #vendas #empreendedorismodigital #dinheiroonline #empreendedordigita https://t.co/9nlIleA8QV</t>
  </si>
  <si>
    <t>MaxMilhas cria novo modelo de negociação de milhas em seu site - Cartões, Milhas e Viagens https://t.co/DvvdwNwgDI #maxmilhas #milhas #rendaextra</t>
  </si>
  <si>
    <t>5 motivos para vender milhas no meu Balcão de Milhas - Cartões, Milhas e Viagens https://t.co/MehAhu2a0F #balcao #balcaodemilhas #milhas #rendaextra</t>
  </si>
  <si>
    <t>O que te impede de começar a investir em FIIs? Conte para nós nos comentários.
Conte com o Clube FII e comece hoje a construir o futuro que tanto busca 🤝🏼
#ClubeFII #RendaExtra #Investimentos #FIIs #FundosImobiliarios #Imoveis #Aluguel #Rendimento #Dividendos https://t.co/LisJxogR3y</t>
  </si>
  <si>
    <t>Conta pra gente nos comentários, quantos pontos você fez? E qual desses objetivos você mais deseja alcançar? 🏆
#ClubeFII #Finanças #FIIs #FundosImobiliários #Investidor #Empresário #RendaPassiva #RendaExtra https://t.co/Je0GcMhyJE</t>
  </si>
  <si>
    <t>https://t.co/tUYH3YHylK
.
.
.
#fogão #casa #comida #rendaextra #vendaonline #magazineluiza #dicas #lar https://t.co/uPCuetynfL</t>
  </si>
  <si>
    <t>Não perca tempo, comece agora mesmo a transformar seu futuro financeiro. Acelere seu score em apenas uma semana e conquiste a vida que você merece!"
Link na BIO! 
#score #credito #nomelimpo #dinheiro #rendaextra https://t.co/wq7ecne97r</t>
  </si>
  <si>
    <t>Alcance a liberdade financeira em apenas 7 dias! Aumente seu score de crédito e desbloqueie oportunidades ilimitadas. 
Link na BIO! 
#score #credito #nomelimpo #dinheiro #rendaextra https://t.co/Ckajh1x0I1</t>
  </si>
  <si>
    <t>Os aposentados e pensionistas do INSS já começaram a receber o depósito do seguro com valor atualizado desde o dia 25 de janeiro.
Leia em: https://t.co/ggpsyAqcHy
#aposentados #pensionistas #inss #deposito #rendaextra #forumservicopublicoceara https://t.co/6l1Ihl41Id</t>
  </si>
  <si>
    <t>@startupdareal #prayforblaze #rendaextra</t>
  </si>
  <si>
    <t>https://t.co/L5pBEAfbfG #dinheiro #trabalheemcasa #rendaextra Airbnb Inveja Pepa NBA #incenso #finanças Gustavo Forças Armadas Covid Gremista</t>
  </si>
  <si>
    <t>https://t.co/L5pBEAfbfG #dinheiro #rendaextra #trabalho</t>
  </si>
  <si>
    <t>Conheça todos detalhes e se inscreva gratuitamente..  Ganhe suas primeiras moedas ..    
https://t.co/aq4zZYsz9u
#cincoin #cincoinbrasil #bitcoin #Ethereum #rendavariavel #rendaextra https://t.co/Cw9s4hyp6y</t>
  </si>
  <si>
    <t>Galera, vou começar hoje uma série de conteúdos aqui nas minhas redes, sobre Tendências do Marketing Digital pra 2023! ✅
O primeiro episódio, que eu falo sobre Marketing de Influência já saiu completo lá no meu canal do YouTube, então não perde tempo, e corre lá pra assistir! https://t.co/Kh7Z1ve4u1</t>
  </si>
  <si>
    <t>A melhor maneira é olhar para seus próprios pontos fortes e fracos e descobrir qual área seria a mais adequada para você.
Siga nos nas redes Sociais e acesse o conteúdo completo.
#somoszahrah #empreendedorismodigital #rendaextra https://t.co/Gn8Tn7UAeT</t>
  </si>
  <si>
    <t>O conhecimento é uma das melhores ferramentas que temos à nossa disposição, um poderoso meio para alcançar coisas inimagináveis.
#somoszahrah #empreendedorismofeminino #empreendedorismodigital #mulheresempreendedoras #mulheres #mulheresenegocios #rendaextra https://t.co/HyZIlSNZ6z</t>
  </si>
  <si>
    <t>Muito BOM DIA Amigaxxxxx!!!
Segundou bonito.
Aproveite as oportunidades que virão e não tenha medo.
#somoszahrah #empreendedorismofeminino #empreendedorismodigital #mulheresempreendedoras #mulheres #mulheresenegocios #rendaextra https://t.co/yj2hpjdIxU</t>
  </si>
  <si>
    <t>Vá Além!!!
#somoszahrah #empreendedorismofeminino #empreendedorismodigital #mulheresempreendedoras  #mulheresenegocios #rendaextra https://t.co/OAn5Ag4j4l</t>
  </si>
  <si>
    <t>NEGÓCIOS &amp;amp; PROPÓSITO - Seu trabalho pode ser muito mais que uma obrigação. Torne-o uma forma de servir pessoas com amor e deixar sua Marca no Mundo!
#somoszahrah #empreendedorismofeminino #empreendedorismodigital #mulheresempreendedoras #mulheres #mulheresenegocios #rendaextra https://t.co/hsQWpeN7Ln</t>
  </si>
  <si>
    <t>Essa aluna só tem 16 anos e já fatura muinto atravez do formula renda extra.mande um eu quero que eu te ensino a como faturar na internt
.
#mãedesenpregadas 
#pais
#jovens
#rendaextra
#mulheres
#jovens https://t.co/7MqVx0lJB6</t>
  </si>
  <si>
    <t>APP PAGANDO 10 R$ NO CADASTRO! 
*********USEM EMAIL********* 
fred alface #RendaExtra #App Fred Bruna Sapato amanda
#bcgames as five bruna quarto branco
#quartobranco guimê fred domi bbb #BBB23
 https://t.co/OONzJwVjqH</t>
  </si>
  <si>
    <t>APP PAGANDO 10 R$ NO CADASTRO! 
*********USEM EMAIL********* 
fred alface #RendaExtra #App Fred Bruna Sapato amanda
#bcgames as five bruna quarto branco
#quartobranco guimê fred domi bbb #BBB23
https://t.co/OONzJwVjqH</t>
  </si>
  <si>
    <t>APP PAGANDO 10 R$ NO CADASTRO! 
*********USEM EMAIL********* 
fred alface #RendaExtra #App Fred Bruna Sapato amanda
#bcgames as five bruna quarto branco
#quartobranco guimê fred domi anitta elite 
https://t.co/OONzJwVjqH</t>
  </si>
  <si>
    <t>APP PAGANDO 10 R$ NO CADASTRO! 
*********USEM EMAIL********* 
fred alface #RendaExtra #App Fred Bruna Sapato amanda
#bcgames as five bruna quarto branco
#quartobranco guimê fred domi
https://t.co/OONzJwULB9</t>
  </si>
  <si>
    <t>APP PAGANDO 10 R$ NO CADASTRO! 
*********USEM EMAIL********* 
fred alface #RendaExtra #App Fred Bruna Sapato Key Guimê vitor Pereira flamengo #ForaVitorPereira 
#bcgames as five bruna quarto branco
#quartobranco guimê fred domi
https://t.co/OONzJwULB9</t>
  </si>
  <si>
    <t>APP PAGANDO 10 R$ NO CADASTRO! 
*********USEM EMAIL********* 
fred alface #RendaExtra #App Fred Bruna Sapato Key Guimê  MC PIPOKINHA larissa tadeu  paredão tadeu sarah key alves
#bcgames as five bruna quarto branco
#quartobranco guimê fred domi
 https://t.co/OONzJwULB9</t>
  </si>
  <si>
    <t>APP PAGANDO 10R$ NO CADASTRO! 
*********USEM EMAIL********* 
fred alface #RendaExtra #App Fred Bruna Sapato Key Guimê  MC PIPOKINHA larissa tadeu  paredão tadeu sarah key alves
#bcgames as five bruna quarto branco
#quartobranco guimê fred domi
 https://t.co/OONzJwULB9</t>
  </si>
  <si>
    <t>APP PAGANDO 10R$ NO CADASTRO! 
*********USEM EMAIL********* 
fred alface #RendaExtra #App Fred Bruna Sapato Key Guimê  MC PIPOKINHA larissa tadeu  paredão tadeu sarah key alves
#bcgames as five bruna quarto branco
#quartobranco guimê
https://t.co/OONzJwULB9</t>
  </si>
  <si>
    <t>APP PAGANDO 10R$ NO CADASTRO! 
*********USEM EMAIL********* 
fred alface #RendaExtra #App Fred Bruna Sapato Key Guimê #FicaKey MC PIPOKINHA larissa tadeu  #Forakey  paredão tadeu sarah key alves
#bcgames as five bruna quarto branco
#quartobranco guimê
 https://t.co/OONzJwULB9</t>
  </si>
  <si>
    <t>APP PAGANDO 10R$ NO CADASTRO! 
*********USEM EMAIL********* 
fred alface #RendaExtra #App Fred Bruna Sapato Key Guimê #FicaKey MC PIPOKINHA larissa tadeu  #Forakey  paredão tadeu sarah key alves
#bcgames as five bruna quarto branco
#quartobranco guimê
 https://t.co/OONzJwULB9</t>
  </si>
  <si>
    <t>APP PAGANDO 10R$ NO CADASTRO! 
*********USEM EMAIL********* 
fred alface #RendaExtra #App Fred Bruna Sapato Key Guimê #FicaKey MC PIPOKINHA larissa tadeu  #Forakey  paredão tadeu sarah key alves
#bcgames as five bruna quarto branco
https://t.co/OONzJwULB9</t>
  </si>
  <si>
    <t>APP PAGANDO 10R$ NO CADASTRO! 
*********USEM EMAIL********* 
fred alface #RendaExtra #App Fred Bruna Sapato Key Guimê #FicaKey MC PIPOKINHA larissa tadeu  #Forakey  paredão tadeu sarah
#bcgames as five bruna quarto branco
 https://t.co/OONzJwULB9</t>
  </si>
  <si>
    <t>APP PAGANDO 10R$ NO CADASTRO! 
*********USEM EMAIL********* 
fred alface VP Vitor Pereira #RendaExtra #App Fred Bruna Sapato Key Guimê #FicaKey MC PIPOKINHA larissa tadeu #ForaKeyAlves jogo da discórdia
#bcgames as five bruna 
https://t.co/OONzJwULB9</t>
  </si>
  <si>
    <t>APP PAGANDO 10R$ NO CADASTRO! 
*********USEM EMAIL********* 
fred alface VP Vitor Pereira #RendaExtra #App Fred Bruna Sapato Key Guimê #FicaKey MC PIPOKINHA larissa tadeu #ForaKeyAlves jogo da discórdia
#bcgames as five sterling
 https://t.co/OONzJwULB9</t>
  </si>
  <si>
    <t>APP PAGANDO 10R$ NO CADASTRO! 
*********USEM EMAIL********* 
fred alface VP Vitor Pereira #RendaExtra #App Fred Bruna Sapato Key Guimê #FicaKey MC PIPOKINHA larissa tadeu #ForaKeyAlves jogo da discórdia
#bcgames as five.
 https://t.co/OONzJwULB9</t>
  </si>
  <si>
    <t>APP PAGANDO 10R$ NO CADASTRO! 
fred alface VP Vitor Pereira #RendaExtra #App Fred Bruna Sapato Key Guimê #FicaKey MC PIPOKINHA larissa tadeu #ForaKeyAlves jogo da discórdia
#bcgames as five. 
 https://t.co/OONzJwULB9</t>
  </si>
  <si>
    <t>APP PAGANDO 10R$ NO CADASTRO! 
fred alface VP Vitor Pereira #RendaExtra #App Fred Bruna Sapato Key Guimê #FicaKey MC PIPOKINHA larissa tadeu #ForaKeyAlves jogo da discórdia
#bcgames as five
 https://t.co/OONzJwULB9</t>
  </si>
  <si>
    <t>Plataforma nova que tá pagando muito 
Corre que tá muito boa 
Acesse &amp;gt;&amp;gt;&amp;gt;&amp;gt; https://t.co/8ZRdvRQU2S
#slotonline #rendaextra https://t.co/JuNLqFxqsI</t>
  </si>
  <si>
    <t>Corraaaaa em quanto a TEMPO !!! 
🔗https://t.co/FRWugrHBXA
#pascoa #ondecomprar #rendaextra #Tendencia #chocolateday2023 #gourmet #ovo https://t.co/TfwVg3ngbl</t>
  </si>
  <si>
    <t>🔗https://t.co/FPpOk2rMPD
#rendaextra #ondecomprar #kawaii #kawaiigirl #DiaDosPais #o https://t.co/vr9cVxEl1B</t>
  </si>
  <si>
    <t>Está pronto(a) para tirar sua ideia do papel?
Leia mais em: 
https://t.co/0PmlFNwa1B
.
.
.
#ideias #projetos #gestãodeprojetos #implementação #vendas #online #projetosdigitais #rendaextra https://t.co/dvtKeEONBl</t>
  </si>
  <si>
    <t>#youtuber #ganhardinheiroonline #ganhardinheironainternet #rendaextra #rendaextraemcasa #empreendedorismo #empreendedorismodigital #marketingdigital https://t.co/mLKsrUgkSm</t>
  </si>
  <si>
    <t>Fala pessoal, hoje eu trouxe para vocês 5 Tópicos para todo investidor iniciante deveria conhecer https://t.co/ggnm7iheMP via @YouTube 
#investidor #juroscompostos #investidoriniciante #dinheiro #rendaextra #guiadoinvestidor #economia</t>
  </si>
  <si>
    <t>Metas de vida para os 40 anos! https://t.co/vzvbxkx1Su via @YouTube #estilodevida #dinheiro #finanças #educaçãofinanceira #objeitvos #rendapassiva #rendaextra #reservadeemergência #saúde #investimentos #investir #empreendedorismo #negócios #ações #fundosdeinvestimento #economia</t>
  </si>
  <si>
    <t>#นายกคนที่30 #rendaextra #comission #blackrob #100日チャレンジ https://t.co/6yjeF9wSbI</t>
  </si>
  <si>
    <t>🔥 HAPPY FARMIN 🔥
Joguinho pagando no pix!
Consegue jogar sem nenhum investimento e ainda tirar uma moeda 💸
💥 LINK NA BIO 💥
.
.
.
.
.
.
.
.
.
.
#happyfarmin #gaming #farm #rendaextra #homeoffice
#marketing #marketingdigital #youtube #youtuber #streemer #codmobile #freefire https://t.co/iH4VjCEkTR</t>
  </si>
  <si>
    <t>Se Tem Esses Hábitos, Você Não Terá Um Bom Futuro Financeiro! https://t.co/bU7ts6Csge via @YouTube #rendaextra #habitosfinanceiros #maestriadariqueza #riqueza #dinheiro #prosperidade</t>
  </si>
  <si>
    <t>Ganhe 100 no pix! 
#rendaextra #ganhe #Oportunidades 
 https://t.co/2EdcKhSQK3</t>
  </si>
  <si>
    <t>Dia 01AGO 12h-18h
10✅️🔴🟢
5✅️⚪️
0❌️
Tarde perfeita 💰
Confira o vídeo de IA_Double_Pro! #TikTok #rendaextra #FYP 
https://t.co/vwlA3mgDxM
Entre para o grupo de sinais gratuitos vc tbm!
👇👇👇
https://t.co/WwaIVh4YLL</t>
  </si>
  <si>
    <t>Que tal um bom dia com 11✅️⚪️🟢 e 2❌️?
Grupo totalmente grátis 
👇👇👇
https://t.co/WwaIVh5wBj
#rendaextra #doublepro #dinheiro #apostasonline #fypシviral https://t.co/UJ7BefEGDL</t>
  </si>
  <si>
    <t>Agosto começou como?
0h-6h
7✅️🔴🟢
0⚪️
0❌️
Acompanhe nossos ganhos 
👇👇👇
https://t.co/WwaIVh4YLL
#rendaextra #Casino https://t.co/tCI7NaWwHD</t>
  </si>
  <si>
    <t>Sobre o óbvio que precisa ser dito! 📰🎤🧏🏻📷🔮
#educação #futuro #futurism #criatividade #cursosonline #escritacriativa #cursodeescritacriativa #guarulhos #brasil #rendaextra #escrita #ideiascriativas #inovação #futurodotrabalho #curadoria
https://t.co/mqYm0J9yM9</t>
  </si>
  <si>
    <t>Não se surpreenda, tudo ainda é embrionário.
#ocapitaldigital #ocapital #rendaextra #Investimentos 
https://t.co/9JZe3uWoSb</t>
  </si>
  <si>
    <t>A educação financeira é uma das bases para a saúde contínua do indivíduo e da sociedade.
#educacaofinanceira #ocapitaldigital #ocapital #investimento #dividas #rendaextra #Investimentos 
https://t.co/xZGso5Au0I</t>
  </si>
  <si>
    <t>Essa dica é boa. 🤗
Vem ver aqui com a Nath pra fazer seu dinheiro render mais. 💰
Quer saber mais? No link da Bio.
#rendaextra #rendaextraemcasa #viverderenda 
#fluxorendaextra https://t.co/I0LRSpEviJ</t>
  </si>
  <si>
    <t>Pagando muito e dando bônus de cadastro 🤑
você ainda pode reinvindicar bônus todos os dias por compartilhar no Facebook, whatsapp...💰💸
https://t.co/6yyFmTs2jO
#rendaextra #dinheiro #jogos #onlyfan https://t.co/XFj3DKhl9D</t>
  </si>
  <si>
    <t>Pode comemorar: salário extra cai na conta dos trabalhadores hoje #correiodeminas 
#pis #pasep #pispasep #abono #abonosalarial #rendaextra #dinheiro #correiodeminasonline 
https://t.co/rXnJmkiSXd https://t.co/3vK6PPUyFt</t>
  </si>
  <si>
    <t>PicPay: Descubra o caminho para faturar até R$ 700 em renda extra! #correiodeminas 
#picpay #descoberta #caminho #caminhofuturo #700reais #rendaextra #correiodeminasonline 
https://t.co/IOq7IicMVV https://t.co/lAH88Cboik</t>
  </si>
  <si>
    <t>Governo assina decreto do INSS alegrando os aposentados com renda EXTRA #correiodeminas 
#governo #assinatura #decreto #inss #aposentados #aumento #rendaextra #correiodeminaosnline 
https://t.co/IeqEArdDjC https://t.co/YSUn8nYvdg</t>
  </si>
  <si>
    <t>Bolsa Família R$900 Extra: Beneficiários, preparem-se para novidades! #correiodeminas
#rendaextra #pagamentosbolsa #bolsafamília #novidadesbolsa #correiodeminas
https://t.co/gJDXRzO4oH https://t.co/dktiBIYjQd</t>
  </si>
  <si>
    <t>Nova rodada de SAQUES pelo FGTS animam os trabalhadores com renda extra #correiodeminas
#novarodada #saques #saquesfgts #trabalhadores #rendaextra #correiodeminasonline
https://t.co/C3LBW7SbBS https://t.co/l1rmO3nJ2r</t>
  </si>
  <si>
    <t>Trabalhador que recebe até R$ 2 mil tem direito a RENDA EXTRA com saque imediato #correiodeminas
#trabalhador #recebimento #2milreais #rendaextra #saqueimediato #correiodeminasonline
https://t.co/2QYdxhoeaE https://t.co/P3kY3fJJKD</t>
  </si>
  <si>
    <t>Lei assinada por FHC em 97 pode fazer brasileiros receberem R$ 2.000 de renda extra; entenda por quê #correiodeminas
#lei #fhc #recebimetno #2milreais #rendaextra #correiodeminasonline
https://t.co/eIDNz2wJyd https://t.co/MzetAZUBvl</t>
  </si>
  <si>
    <t>Ei, olha esse site com artigos completos que eu achei: https://t.co/TbXmpthYHW #Topic #investimentos #jogoonline #rendaextra https://t.co/0SEscJVtCj</t>
  </si>
  <si>
    <t>LOUISE BARSI RASGOU O VERBO E FALOU A VERDADE | " NINGUÉM ACREDITAVA NES... https://t.co/NwO3233KYa via @YouTube 
Ela está de volta... Louise Barsi falou algo que ninguém esperava!Descubra no vídeo do nosso canal no Youtube Lipe Investe!
#barsi #b3 #ações #luizbarsi #rendaextra</t>
  </si>
  <si>
    <t>BRADESCO (BBDC4 E BBDC3) VALE A PENA EM 2023? PREÇO CAINDO É OPORTUNIDAD... https://t.co/wydpclZQDu via @YouTube 
JÁ PENSOU EM COMPRAR AÇÕES DO BRADESCO EM 2023? CONFIRA SE VALE A PENA!
#bradesco #bbdc4 #bbdc3 #ações #dividendos #investimentos #rendaextra #finanças #dinheiro</t>
  </si>
  <si>
    <t>Faça como os alunos do João Pedro, aprenda como se tornar um empreendedor de sucesso no marketing digital. Quer saber como? Clique no link #GanharDinheiro #RendaExtra #robomilionario #LojasAmericanas
Saiba mais ➡️ https://t.co/nAmmvAraA5 https://t.co/UkpjhV8i4T</t>
  </si>
  <si>
    <t>Faça como os alunos do João Pedro, aprenda como se tornar um empreendedor de sucesso no marketing digital. Quer saber como? Clique no link #GanharDinheiro #RendaExtra #robomilionario #LojasAmericanas
Saiba mais ➡️ https://t.co/nAmmvAqCKx https://t.co/Gdv8Fs9jbw</t>
  </si>
  <si>
    <t>Faça como os alunos do João Pedro, aprenda como se tornar um empreendedor de sucesso no marketing digital. Quer saber como? Clique no link #GanharDinheiro #RendaExtra #robomilionario #LojasAmericanas
Saiba mais ➡️ https://t.co/nAmmvAraA5 https://t.co/MeUQqZw0S3</t>
  </si>
  <si>
    <t>Faça como os alunos do João Pedro, aprenda como se tornar um empreendedor de sucesso no marketing digital. Quer saber como? Clique no link #GanharDinheiro #RendaExtra #robomilionario #LojasAmericanas
Saiba mais ➡️ https://t.co/nAmmvAraA5 https://t.co/91PlsU6sHC</t>
  </si>
  <si>
    <t>Faça como os alunos do João Pedro, aprenda como se tornar um empreendedor de sucesso no marketing digital. Quer saber como? Clique no link #GanharDinheiro #RendaExtra #robomilionario #LojasAmericanas
Saiba mais ➡️ https://t.co/nAmmvAqCKx https://t.co/73pjyAqiXM</t>
  </si>
  <si>
    <t>Faça como os alunos do João Pedro, aprenda como se tornar um empreendedor de sucesso no marketing digital. Quer saber como? Clique no link #GanharDinheiro #RendaExtra #robomilionario #LojasAmericanas
Saiba mais ➡️ https://t.co/nAmmvAqCKx https://t.co/8IhxxPV93l</t>
  </si>
  <si>
    <t>Faça como os alunos do João Pedro, aprenda como se tornar um empreendedor de sucesso no marketing digital. Quer saber como? Clique no link #GanharDinheiro #RendaExtra #robomilionario #LojasAmericanas
Saiba mais ➡️ https://t.co/nAmmvAqCKx https://t.co/tpX3ZxGX5I</t>
  </si>
  <si>
    <t>Faça como os alunos do João Pedro, aprenda como se tornar um empreendedor de sucesso no marketing digital. Quer saber como? Clique no link #GanharDinheiro #RendaExtra #robomilionario #LojasAmericanas
Saiba mais ➡️ https://t.co/nAmmvAraA5 https://t.co/tTmiwt5fkh</t>
  </si>
  <si>
    <t>Faça como os alunos do João Pedro, aprenda como se tornar um empreendedor de sucesso no marketing digital. Quer saber como? Clique no link #GanharDinheiro #RendaExtra #robomilionario #LojasAmericanas
Saiba mais ➡️ https://t.co/nAmmvAraA5 https://t.co/L4o0RNIYBt</t>
  </si>
  <si>
    <t>Faça como os alunos do João Pedro, aprenda como se tornar um empreendedor de sucesso no marketing digital. Quer saber como? Clique no link #GanharDinheiro #RendaExtra #robomilionario #LojasAmericanas
Saiba mais ➡️ https://t.co/nAmmvAraA5 https://t.co/HMxeaoTZnp</t>
  </si>
  <si>
    <t>Faça como os alunos do João Pedro, aprenda como se tornar um empreendedor de sucesso no marketing digital. Quer saber como? Clique no link #GanharDinheiro #RendaExtra #robomilionario #LojasAmericanas
Saiba mais ➡️ https://t.co/nAmmvAraA5 https://t.co/C72scme6X4</t>
  </si>
  <si>
    <t>Faça como os alunos do João Pedro, aprenda como se tornar um empreendedor de sucesso no marketing digital. Quer saber como? Clique no link #GanharDinheiro #RendaExtra #robomilionario #LojasAmericanas
Saiba mais ➡️ https://t.co/nAmmvAqCKx https://t.co/hTWtPghZ4M</t>
  </si>
  <si>
    <t>Faça como os alunos do João Pedro, aprenda como se tornar um empreendedor de sucesso no marketing digital. Quer saber como? Clique no link #GanharDinheiro #RendaExtra #robomilionario #LojasAmericanas
Saiba mais ➡️ https://t.co/nAmmvAraA5 https://t.co/q5xtqGRecN</t>
  </si>
  <si>
    <t>Faça como os alunos do João Pedro, aprenda como se tornar um empreendedor de sucesso no marketing digital. Quer saber como? Clique no link #GanharDinheiro #RendaExtra #robomilionario #LojasAmericanas
Saiba mais ➡️ https://t.co/nAmmvAqCKx https://t.co/LKq1H2izbm</t>
  </si>
  <si>
    <t>Faça como os alunos do João Pedro, aprenda como se tornar um empreendedor de sucesso no marketing digital. Quer saber como? Clique no link #GanharDinheiro #RendaExtra #robomilionario #LojasAmericanas
Saiba mais ➡️ https://t.co/nAmmvAqCKx https://t.co/He3eyLEbbU</t>
  </si>
  <si>
    <t>Faça como os alunos do João Pedro, aprenda como se tornar um empreendedor de sucesso no marketing digital. Quer saber como? Clique no link #GanharDinheiro #RendaExtra #robomilionario #LojasAmericanas
Saiba mais ➡️ https://t.co/nAmmvAqCKx https://t.co/fTK4KmAmyj</t>
  </si>
  <si>
    <t>Faça como os alunos do João Pedro, aprenda como se tornar um empreendedor de sucesso no marketing digital. Quer saber como? Clique no link #GanharDinheiro #RendaExtra #robomilionario #LojasAmericanas
Saiba mais ➡️ https://t.co/nAmmvAqCKx https://t.co/U8vpsJBtSw</t>
  </si>
  <si>
    <t>Faça como os alunos do João Pedro, aprenda como se tornar um empreendedor de sucesso no marketing digital. Quer saber como? Clique no link #GanharDinheiro #RendaExtra #robomilionario 
Saiba mais ➡️ https://t.co/nAmmvAraA5 https://t.co/Ky4EZv632H</t>
  </si>
  <si>
    <t>Faça como os alunos do João Pedro, aprenda como se tornar um empreendedor de sucesso no marketing digital. Quer saber como? Clique no link #GanharDinheiro #RendaExtra #robomilionario #LojasAmericanas
Saiba mais ➡️ https://t.co/nAmmvAraA5 https://t.co/eFwt66k9cT</t>
  </si>
  <si>
    <t>Faça como os alunos do João Pedro, aprenda como se tornar um empreendedor de sucesso no marketing digital. Quer saber como? Clique no link #GanharDinheiro #RendaExtra #robomilionario 
Saiba mais ➡️ https://t.co/nAmmvAqCKx https://t.co/p3XkKwbP5I</t>
  </si>
  <si>
    <t>Faça como os alunos do João Pedro, aprenda como se tornar um empreendedor de sucesso no marketing digital. Quer saber como? Clique no link #GanharDinheiro #RendaExtra #robomilionario 
Saiba mais ➡️ https://t.co/nAmmvAqCKx https://t.co/aReGeszX8U</t>
  </si>
  <si>
    <t>Faça como os alunos do João Pedro, aprenda como se tornar um empreendedor de sucesso no marketing digital. Quer saber como? Clique no link #GanharDinheiro #RendaExtra #robomilionario 
Saiba mais ➡️ https://t.co/nAmmvAqCKx https://t.co/bNyAota3do</t>
  </si>
  <si>
    <t>Faça como os alunos do João Pedro, aprenda como se tornar um empreendedor de sucesso no marketing digital. Quer saber como? Clique no link #GanharDinheiro #RendaExtra #robomilionario 
Saiba mais ➡️ https://t.co/nAmmvAqCKx https://t.co/aX9TFJ9MtM</t>
  </si>
  <si>
    <t>Faça como os alunos do João Pedro, aprenda como se tornar um empreendedor de sucesso no marketing digital. Quer saber como? Clique no link #GanharDinheiro #RendaExtra #robomilionario 
Saiba mais ➡️ https://t.co/nAmmvAqCKx https://t.co/xn5iJNYyTy</t>
  </si>
  <si>
    <t>Faça como os alunos do João Pedro, aprenda como se tornar um empreendedor de sucesso no marketing digital. Quer saber como? Clique no link #GanharDinheiro #RendaExtra #robomilionario 
Saiba mais ➡️ https://t.co/nAmmvAqCKx https://t.co/Ua7aIx5yjH</t>
  </si>
  <si>
    <t>Faça como os alunos do João Pedro, aprenda como se tornar um empreendedor de sucesso no marketing digital. Quer saber como? Clique no link #GanharDinheiro #RendaExtra #robomilionario 
Saiba mais ➡️ https://t.co/nAmmvAqCKx https://t.co/7ZplyEE5n6</t>
  </si>
  <si>
    <t>Faça como os alunos do João Pedro, aprenda como se tornar um empreendedor de sucesso no marketing digital. Quer saber como? Clique no link #GanharDinheiro #RendaExtra #robomilionario 
Saiba mais ➡️ https://t.co/nAmmvAqCKx https://t.co/BWjfkBoYCI</t>
  </si>
  <si>
    <t>Faça como os alunos do João Pedro, aprenda como se tornar um empreendedor de sucesso no marketing digital. Quer saber como? Clique no link #GanharDinheiro #RendaExtra #robomilionario 
Saiba mais ➡️ https://t.co/nAmmvAqCKx https://t.co/gnb3SJOw8w</t>
  </si>
  <si>
    <t>Faça como os alunos do João Pedro, aprenda como se tornar um empreendedor de sucesso no marketing digital. Quer saber como? Clique no link #GanharDinheiro #RendaExtra #robomilionario 
Saiba mais ➡️ https://t.co/nAmmvAqCKx https://t.co/lTgupU9f2s</t>
  </si>
  <si>
    <t>Faça como os alunos do João Pedro, aprenda como se tornar um empreendedor de sucesso no marketing digital. Quer saber como? Clique no link #GanharDinheiro #RendaExtra #robomilionario 
Saiba mais ➡️ https://t.co/nAmmvAqCKx https://t.co/bEfhjPGfRy</t>
  </si>
  <si>
    <t>Faça como os alunos do João Pedro, aprenda como se tornar um empreendedor de sucesso no marketing digital. Quer saber como? Clique no link #GanharDinheiro #RendaExtra #robomilionario 
Saiba mais ➡️ https://t.co/nAmmvAqCKx https://t.co/NkZcRm1fWp</t>
  </si>
  <si>
    <t>Faça como os alunos do João Pedro, aprenda como se tornar um empreendedor de sucesso no marketing digital. Quer saber como? Clique no link #GanharDinheiro #RendaExtra #robomilionario 
Saiba mais ➡️ https://t.co/nAmmvAqCKx https://t.co/3s7logegl6</t>
  </si>
  <si>
    <t>Faça como os alunos do João Pedro, aprenda como se tornar um empreendedor de sucesso no marketing digital. Quer saber como? Clique no link #GanharDinheiro #RendaExtra #robomilionario 
Saiba mais ➡️ https://t.co/nAmmvAqCKx https://t.co/D5xU4azrkS</t>
  </si>
  <si>
    <t>Faça como os alunos do João Pedro, aprenda como se tornar um empreendedor de sucesso no marketing digital. Quer saber como? Clique no link #GanharDinheiro #RendaExtra #robomilionario 
Saiba mais ➡️ https://t.co/nAmmvAqCKx https://t.co/IKGK9bV9SB</t>
  </si>
  <si>
    <t>Faça como os alunos do João Pedro, aprenda como se tornar um empreendedor de sucesso no marketing digital. Quer saber como? Clique no link #GanharDinheiro #RendaExtra #robomilionario 
Saiba mais ➡️ https://t.co/nAmmvAqCKx https://t.co/KIoQJyrs2K</t>
  </si>
  <si>
    <t>Faça como os alunos do João Pedro, aprenda como se tornar um empreendedor de sucesso no marketing digital. Quer saber como? Clique no link #GanharDinheiro #RendaExtra #robomilionario 
Saiba mais ➡️ https://t.co/nAmmvAqCKx https://t.co/rLbySchEoB</t>
  </si>
  <si>
    <t>Faça como os alunos do João Pedro, aprenda como se tornar um empreendedor de sucesso no marketing digital. Quer saber como? Clique no link #GanharDinheiro #RendaExtra #robomilionario 
Saiba mais ➡️ https://t.co/nAmmvAqCKx https://t.co/PRowTp2r9u</t>
  </si>
  <si>
    <t>Faça como os alunos do João Pedro, aprenda como se tornar um empreendedor de sucesso no marketing digital. Quer saber como? Clique no link #GanharDinheiro #RendaExtra #robomilionario 
Saiba mais ➡️ https://t.co/nAmmvAqCKx https://t.co/GxdJBmtmIt</t>
  </si>
  <si>
    <t>Alcance sua independência financeira no marketing digital. Aprenda como faturar alto com vendas pela internet e se tornar um afiliado profissional. #GanharDinheiro #RendaExtra #RoboMilionario #BBB23
Saiba mais ➡️ https://t.co/nAmmvAqCKx https://t.co/gsVHpMeBbO</t>
  </si>
  <si>
    <t>Alcance sua independência financeira no marketing digital. Aprenda como faturar alto com vendas pela internet e se tornar um afiliado profissional. #GanharDinheiro #RendaExtra #RoboMilionario #BBB23
Saiba mais ➡️ https://t.co/nAmmvAqCKx https://t.co/B9OuaSTCBJ</t>
  </si>
  <si>
    <t>Alcance sua independência financeira no marketing digital. Aprenda como faturar alto com vendas pela internet e se tornar um afiliado profissional. #GanharDinheiro #RendaExtra #RoboMilionario #BBB23
Saiba mais ➡️ https://t.co/nAmmvAqCKx https://t.co/q9GTsYsBFR</t>
  </si>
  <si>
    <t>Alcance sua independência financeira no marketing digital. Aprenda como faturar alto com vendas pela internet e se tornar um afiliado profissional. #GanharDinheiro #RendaExtra #RoboMilionario #BBB23
Saiba mais ➡️ https://t.co/nAmmvAraA5 https://t.co/ru14DUqo1i</t>
  </si>
  <si>
    <t>Alcance sua independência financeira no marketing digital. Aprenda como faturar alto com vendas pela internet e se tornar um afiliado profissional. #GanharDinheiro #RendaExtra #RoboMilionario #BBB23
Saiba mais ➡️ https://t.co/nAmmvAraA5 https://t.co/3S35NUFDty</t>
  </si>
  <si>
    <t>Alcance sua independência financeira no marketing digital. Aprenda como faturar alto com vendas pela internet e se tornar um afiliado profissional. #GanharDinheiro #RendaExtra #RoboMilionario #BBB23
Saiba mais ➡️ https://t.co/nAmmvAraA5 https://t.co/hiSy4eTHjW</t>
  </si>
  <si>
    <t>Alcance sua independência financeira no marketing digital. Aprenda como faturar alto com vendas pela internet e se tornar um afiliado profissional. #GanharDinheiro #RendaExtra #RoboMilionario #BBB23
Saiba mais ➡️ https://t.co/nAmmvAraA5 https://t.co/e1WFX388g1</t>
  </si>
  <si>
    <t>Alcance sua independência financeira no marketing digital. Aprenda como faturar alto com vendas pela internet e se tornar um afiliado profissional. #GanharDinheiro #RendaExtra #RoboMilionario #BBB23
Saiba mais ➡️ https://t.co/nAmmvAqCKx https://t.co/0Qbqwbtbaq</t>
  </si>
  <si>
    <t>Alcance sua independência financeira no marketing digital. Aprenda como faturar alto com vendas pela internet e se tornar um afiliado profissional. #GanharDinheiro #RendaExtra #RoboMilionario #BBB23
Saiba mais ➡️ https://t.co/nAmmvAraA5 https://t.co/WpsA3WG6Ln</t>
  </si>
  <si>
    <t>Alcance sua independência financeira no marketing digital. Aprenda como faturar alto com vendas pela internet e se tornar um afiliado profissional. #GanharDinheiro #RendaExtra #RoboMilionario #BBB23
Saiba mais ➡️ https://t.co/nAmmvAraA5 https://t.co/rrjJpPhzTG</t>
  </si>
  <si>
    <t>Alcance sua independência financeira no marketing digital. Aprenda como faturar alto com vendas pela internet e se tornar um afiliado profissional. #GanharDinheiro #RendaExtra #RoboMilionario #BBB23
Saiba mais ➡️ https://t.co/nAmmvAraA5 https://t.co/mK1jzD5YlO</t>
  </si>
  <si>
    <t>Alcance sua independência financeira no marketing digital. Aprenda como faturar alto com vendas pela internet e se tornar um afiliado profissional. #GanharDinheiro #RendaExtra #RoboMilionario #BBB23
Saiba mais ➡️ https://t.co/nAmmvAraA5 https://t.co/QR7MV6IAZZ</t>
  </si>
  <si>
    <t>Alcance sua independência financeira no marketing digital. Aprenda como faturar alto com vendas pela internet e se tornar um afiliado profissional. #GanharDinheiro #RendaExtra #RoboMilionario #BBB23
Saiba mais ➡️ https://t.co/nAmmvAraA5 https://t.co/azADRJCxFD</t>
  </si>
  <si>
    <t>Alcance sua independência financeira no marketing digital. Aprenda como faturar alto com vendas pela internet e se tornar um afiliado profissional. #GanharDinheiro #RendaExtra #RoboMilionario #BBB23
Saiba mais ➡️ https://t.co/nAmmvAqCKx https://t.co/A1Z20wHTUr</t>
  </si>
  <si>
    <t>Alcance sua independência financeira no marketing digital. Aprenda como faturar alto com vendas pela internet e se tornar um afiliado profissional. #GanharDinheiro #RendaExtra #RoboMilionario #BBB23
Saiba mais ➡️ https://t.co/nAmmvAraA5 https://t.co/stG398WPiZ</t>
  </si>
  <si>
    <t>Alcance sua independência financeira no marketing digital. Aprenda como faturar alto com vendas pela internet e se tornar um afiliado profissional. #GanharDinheiro #RendaExtra #RoboMilionario #BBB23
Saiba mais ➡️ https://t.co/nAmmvAraA5 https://t.co/OtE9Z39VJK</t>
  </si>
  <si>
    <t>Alcance sua independência financeira no marketing digital. Aprenda como faturar alto com vendas pela internet e se tornar um afiliado profissional. #GanharDinheiro #RendaExtra #RoboMilionario #BBB23
Saiba mais ➡️ https://t.co/nAmmvAqCKx https://t.co/zSBMD7CAqm</t>
  </si>
  <si>
    <t>Alcance sua independência financeira no marketing digital. Aprenda como faturar alto com vendas pela internet e se tornar um afiliado profissional. #GanharDinheiro #RendaExtra #RoboMilionario #BBB23
Saiba mais ➡️ https://t.co/nAmmvAqCKx https://t.co/s5bKSXyy9a</t>
  </si>
  <si>
    <t>Alcance sua independência financeira no marketing digital. Aprenda como faturar alto com vendas pela internet e se tornar um afiliado profissional. #GanharDinheiro #RendaExtra #RoboMilionario #BBB23
Saiba mais ➡️ https://t.co/nAmmvAraA5 https://t.co/RLaLQZK9az</t>
  </si>
  <si>
    <t>#cooking #chickenrecipe #cookingvideos #dinnerrecipes #foodvideos #ovosdecolher #recipes #rendaextra https://t.co/hBeo9jwoA5</t>
  </si>
  <si>
    <t>Aproveite esta oportunidade de aumentar sua renda com um uma nova atividade profissional, sem que interrompa aquilo que já faz !
Aproveite !!!
https://t.co/3U8PMZqJIS
#peritojudicial 
#rendaextra 
#cursoonline 
#promocao 
#oportunidade https://t.co/TLJW1XXJNL</t>
  </si>
  <si>
    <t>#marketingdigital #marketing #o #empreendedorismo #digitalmarketing #socialmedia #instagram #business #branding #socialmediamarketing #sucesso #marketingstrategy #a #empreender #negocios #marketingtips #marketingonline #brasil #dise #digital #design #rendaextra #emprendedores https://t.co/8N3ofiSXWQ</t>
  </si>
  <si>
    <t>🐰 Não deixe suas bunnies te esperando sozinhas!
Acesse e aproveite o quanto quiser 🔥
#BunniesHole #VendaDePacks #MonetizeSeuTalento #CriadoresDeConteúdo #GanheDinheiroOnline #Empreenda #ArteErótica #FotografiaSensual #MercadoAdulto #GanheComSeuCorpo #RendaExtra #NegócioOnline https://t.co/2BDHuKGbNN</t>
  </si>
  <si>
    <t>Marque o seu lugar na comunidade digital com a venda de packs +18 na Bunnies Hole! 🌐💰 Transforme a sua arte em renda extra e faça parte dessa revolução online! 🐰💜
.
.
.
.
.
.
.
.
#BunniesHole #VendaDePacks #CriadoresDeConteúdo #RendaExtra #Monetização https://t.co/5XBQomTi7z</t>
  </si>
  <si>
    <t>#empreendedorismo #dinheiro #sucesso #empreender #rendaextraemcasa #empreendedor #ganhardinheiro #negocios #dinheiroextra https://t.co/O1aCyZc89e</t>
  </si>
  <si>
    <t>#empreendedorismo #dinheiro #sucesso #empreender #rendaextraemcasa #empreendedor #ganhardinheiro #negocios #dinheiroextra https://t.co/5E45NMiCxA</t>
  </si>
  <si>
    <t>Ao se tornar afiliado da b1, você consegue fazer uma renda extra divulgando e jogando na nossa plataforma. Maneiro né?
#b1bet #apostaesportiva #apostaoline #apostadivertida #Apostar #Apostas #cassino #cacaniquel #afiliados #rendaextra</t>
  </si>
  <si>
    <t>Nos Estados Unidos, a indústria da maconha legalizada empregou cerca de 321.000 pessoas em 2021, segundo dados da Leafly, um aumento de 32% em relação a 2020. #usa #economia #empregos #rendaextra</t>
  </si>
  <si>
    <t>Pensando em fazer aquela grana extra? Confira essas dicas! https://t.co/MQlQFal2C4 
#rendaextra #Curitiba #tribunapr</t>
  </si>
  <si>
    <t>"Deseja aumentar sua renda? Descubra estratégias comprovadas para alcançar uma renda extra de forma inteligente e segura. Entre em contato comigo e vamos traçar juntos seu caminho rumo ao sucesso financeiro! 💰 #RendaExtra #ConsultorFinanceiro"
#ganhedinheiro #dinheiro</t>
  </si>
  <si>
    <t>Atenção revendedores
#vendas #rendaextra #dinheiro https://t.co/ezKEpoaR6G</t>
  </si>
  <si>
    <t>Estou pensando em Renda extra vendendo 
pulseira de miçangas e etc.📿#empreendedora #miçangas #rendaextra</t>
  </si>
  <si>
    <t>Como vender mais no meu comércio?
Fico feliz em saber que você está buscando maneiras de obter mais sucesso no seu comércio.
Acesse o site aqui: https://t.co/MMnwmsYZil
#comercio #emprender #rendaextra https://t.co/R3EsL0Bgq6</t>
  </si>
  <si>
    <t>Vamos trocar impulso?
#kwai #impulso #golds #rendaextra
Clique para me ajudar! Só falta um pouquinho para ganharmos bônus de até 2.400.000 Kawi Golds juntos https://t.co/jXc1Lc3UkF</t>
  </si>
  <si>
    <t>Diversão virtual, prêmios reais! 💰
Imagina comprar um carro 0km, sem sair de casa?!🚗
Torne seu sonho realidade jogando na BBS PRÊMIOS, não perca essa grande oportunidade 💰🤑
https://t.co/nfKnFEyCsI
#bingoonline #carros #rendaextra #dinheiroonline #bbspremios #suasorte https://t.co/6XHSKV262Q</t>
  </si>
  <si>
    <t>Adquira suas cartelas da sorte e prepare-se para a emoção do bingo online! ‼️👇👇
https://t.co/nfKnFEyCsI
#bingoonline #bingo #rendaextra #dinheiro https://t.co/5xDmqno3dw</t>
  </si>
  <si>
    <t>Como viajar sem gastar muito? Com a BBS PRÊMIOS é possível. ✈️💰
Faça parte dessa comunidade você também.
⬇️⬇️⬇️
https://t.co/6LmJtmCD1y
#bbspremios #bingo #viajar #sextou #rendaextra #dinheiro https://t.co/stDZXYjkCr</t>
  </si>
  <si>
    <t>Marque os números da sorte e entre na competição pelo grande prêmio! 🤑🍀🍀
https://t.co/nfKnFEyCsI
#sabadou #bingo #rendaextra https://t.co/dIQMEGemwH</t>
  </si>
  <si>
    <t>#meindica #plr #marketingdigital #rendaextra
(ATUALIZADO) Me Indica! PREMIUM 4.0
Saiba Mais:
https://t.co/uDtJclPx42 https://t.co/mnuYbVHFit</t>
  </si>
  <si>
    <t>Plataforma nova, venha fazer a sua Fezinha de final de semana. 🙏💰
https://t.co/c5McS0N0hd
#fortunetiger #fortuneox #fortune #games #slots #slotsgames #jogosonlie #dinheiro #rendaextra #fe https://t.co/6y8UFCSvMJ</t>
  </si>
  <si>
    <t>Nail designer profissional, alongamento perfeito de unhas💅
https://t.co/xX1ZrPCRRC
#NAIL #nails #designer #designtwitter #Designers #rendaextra https://t.co/eL3f5PyeKr</t>
  </si>
  <si>
    <t>Faça uma renda de 2 mil a 5 mil reais sem sair de casa com designer de unhas 
https://t.co/xX1ZrPCRRC
#UnhaNovaGaliza #unha #unhasperfeitas #design #designer #nail #rendaextra #fypage https://t.co/AsFUe9r3M5</t>
  </si>
  <si>
    <t>Nail designer profissional de alongamento de unhas
Faça uma renda extra com designer de unhas 
https://t.co/xX1ZrPCRRC
#UnhaNovaGaliza #unha #designer #design #rendaextra #nail https://t.co/txgZjXtSDh</t>
  </si>
  <si>
    <t>Faça uma renda extra com designer de unhas
https://t.co/xX1ZrPCRRC
#unhas #viral #unhas #unhasperfeitas #rendaextra #design #designer #nails #nail https://t.co/Gbfay2RdqW</t>
  </si>
  <si>
    <t>Fé e Foco. Nunca esqueça disso. 
#multinivel #networking #negocios #mmn #sucesso #mmnportugal #mmnparaguay #mmnparty #rendaextra #hinode #cajazeiras #cruzdasalmas #candeias #madrededeus #sobral #itaberaba #juazeiero #chapadadiamantina https://t.co/mny3VViIwx</t>
  </si>
  <si>
    <t>Com estratégias, montamos equipes de Revendedores dispostos a representar nossos produtos e gerar dinheiro. Material de apoio e treinamento especializado. Essa é nossa função como liderança. Conheça essa proposta de negócio. Vem que te ensino. 
#negocios #mmn #sucesso #rendaextra https://t.co/6kaZ5Wr7NF</t>
  </si>
  <si>
    <t>Uma ótima opção. Eu uso e recomendo. Link na bio descrito Amax Ultra. Pede lá e receba com frete grátis em 12x no cartão.
#vendas #estrategia #marketing #niver #comediabaiana #laele #bahia
#tecnologia #relogio #lucroémelhorquesalário #rendaextra 
https://t.co/KkhpZoXZw1</t>
  </si>
  <si>
    <t>ITAPEVI E JANDIRA!! 
👇https://t.co/GpsDSyIhxQ
#avon #AvonTáOn #avonperfume #avonmodaecasa #Avon #RepresentanteDaBelezaAvon #empreendedorismofeminino #avonbrasil #mulherempoderada #mulherempreendedora #avoncasaeestilo #avonbaton #avonmaquiagem #oportunidadedetrabalho #rendaextra https://t.co/hoSBfDW61F</t>
  </si>
  <si>
    <t>#rendaextra #dinheironaadolescencia</t>
  </si>
  <si>
    <t>Me segue para mais dicas 🔥
#MarketingDigital #Marketing #rendaextra #afiliados https://t.co/CVPWb3ini6</t>
  </si>
  <si>
    <t>#MarketingDigital #marketingdeconteudo #empreendedorismo #emprendedores #rendaextra https://t.co/uXlzKJTIgN</t>
  </si>
  <si>
    <t>Descubra o caminho para uma renda extra e uma liberdade financeira incrível! #RendaExtra #Oportunidades
obs: o caminho-&amp;gt; https://t.co/srQL9ZUanu vai mesmo perder essa??</t>
  </si>
  <si>
    <t>Quer lucrar ainda mais? 
 Nosso Pack de PLR's sobre Renda Extra é a chave para o seu sucesso financeiro! 
 Não perca essa chance!
Me chama que te passo o link🧠💰 #PLRs #RendaExtra #SucessoFinanceiro</t>
  </si>
  <si>
    <t>🔥Cansado(a) de viver sem dinheiro?
💥Mude sua vida agora!
💰Clica no link e aprenda a fazer dinheiro em qualquer lugar de Portugal usando apenas seu celular📲
Link: https://t.co/EDZxXdHYdT
.
.
.
#rendaextra #business #comoganhardinheiro #marketingdigital #afiliado https://t.co/C5NE3ZP6bi</t>
  </si>
  <si>
    <t>Unique Creative ADS!!!!!
#googleads #marketingstrategy #digitalmarketingtrends #digitaladvertising #digitalmarketer #marketingstrategies  #afiliadosbrasil #afiliados #afiliadoshotmart #rendaextra #trabalhoonline #jittudesign https://t.co/cj1fCu0KAD</t>
  </si>
  <si>
    <t>Vem que eu te ensino, link na bio 🤑💸 #rendaextra #MarketingDigital #liberdadefinanceira #sucesso #empreendedorismo https://t.co/rPqOT0XI3C</t>
  </si>
  <si>
    <t>⚠️Plataforma POPBRA⚠️ PAGANDO muito galera 
👇👇👇👇👇👇👇👇👇
Ganhe 10 reais no primeiro deposito da POPBRA 👇👇 E AIND PODE GANHAR ATE 101 REAIS POR SER MEMBRO NOVO 
https://t.co/U16CKkhln6
Obs: chama o gerente 
#cassino #rendaextra #dinheiro</t>
  </si>
  <si>
    <t>SEXTA-FEIRA MEI DIA #rendaextra #negocios #motivacional https://t.co/6XmFCLbKsA</t>
  </si>
  <si>
    <t>GANHE DINHEIRO DE VERDADE COM CANVA E CHAGPT I Passo a passo para faturar R$ 2.970 por mês
https://t.co/0GFxUMwLKx #rendaextra #rendaextraonline #dinheiro</t>
  </si>
  <si>
    <t>Marca seu amigo que adora joguinho e site de aposta #bet #blaze #aposta #investimento #rendaextra APOSTA NÃO É RENDA EXTRA https://t.co/szYCXPtZHC</t>
  </si>
  <si>
    <t>ABADOU!
10 robozinhos no precinho!
Blaze, aviator, roleta, dados e cards!
Entre no link para adquirir:
https://t.co/3dbPkG1l2I
#blaze #cassino #apostas #aposta #roboblaze #botblaze #bet #dinheiro #rendaextra #cassino #aviaozinho #sabado #fimdesemana #fds https://t.co/yt6tttR1di</t>
  </si>
  <si>
    <t>Quais das opções abaixo você se encaixa?
Comece por aqui : https://t.co/nPTEyYCKtG
#rendaextra
#metadolar #dolar #trabalhardecasa #vinisolto #clickbank #hotmart #mktdigital https://t.co/TclxX7HeE3</t>
  </si>
  <si>
    <t>Descubra o novo método que mulheres comuns estão usando para ganhar uma renda extra sem sair de casa usando apenas o celular, comenta "EU QUERO"
#rendaextra #empresaria #marketingdigital #dinheiro https://t.co/nLLewfNV5l</t>
  </si>
  <si>
    <t>Aprenda hoje a ganhar dinheiro trabalhando em casa usando apenas o seu celular! Comenta "EU QUERO".
.
.
.
#MarketingDigital #empreendedorismofeminino #rendaextra #afiliada #empresas #liberdadefinanceira #MONEY</t>
  </si>
  <si>
    <t>Estratégia para começar do ZERO com ZERO Reais #thiagohora #thiagohorapodcast #marketingdigital #rendaextra https://t.co/Q3uBX8WvvR</t>
  </si>
  <si>
    <t>Você precisa saber sobre Análise de Mercado #rendaextra #marketingdigital #thiagohorapodcast #thiagohora https://t.co/zHuWoKOnmU</t>
  </si>
  <si>
    <t>Comente " Eu Quero" e comece a colecionar vendas #thiagohora #rendaextra #marketingdigital #ias https://t.co/bVs6G9ETPp</t>
  </si>
  <si>
    <t>Como começar agora mesmo #thiagohora #thiagohorapodcast #marketingdigital #rendaextra https://t.co/cUaPX4KSZH</t>
  </si>
  <si>
    <t>Plataforma de jogo que mais me deu ganhos até agora  #JogoTigre #RendaExtra  #Fortunetiger https://t.co/tArNyMQXhx https://t.co/Swgp0w8zQv</t>
  </si>
  <si>
    <t>E pra você que gosta de apostar, não se esqueça de usar meu cupom "perdendogranaigualotario" na KPOPBET para ganhar um bônus de até R$10.000 reais no primeiro depósito e̶ ̶e̶n̶c̶h̶e̶r̶ ̶o̶ ̶m̶e̶u̶ ̶b̶o̶l̶s̶o̶ ̶d̶e̶ ̶d̶i̶n̶h̶e̶i̶r̶o̶.
#publi #rendaextra #nãoégolpe</t>
  </si>
  <si>
    <t>https://t.co/g4Yzg39jzb #rendapassiva #trabalheemcasa #rendaextra</t>
  </si>
  <si>
    <t>Que técnica.🤌
Quer mudar de situação financeira? faça parte do nosso curso de design de sobrancelhas no conforto da sua casa,com garantia de certificado e qualidade,faça parte do ramo que mais cresce no mundo clique no link e saiba mais!#sobrancelhas #rendaextra #trabalho #salao https://t.co/GhVwpAEWPE</t>
  </si>
  <si>
    <t>Veja essa transformação!
Quer se destacar como um profissional de sucesso? Inscreva-se no curso de design de sobrancelhas e clique no link para desvendar segredos e técnicas avançadas que farão toda a diferença em sua carreira.
#salao #trabalho #rendaextra #sobrancelhas https://t.co/mN8yEUkF4N</t>
  </si>
  <si>
    <t>Treinamento de micropigmentação na banana 🍌🖌️
Uma dose de laele,e um mundo de conhecimento e oportunidades! Visite nosso site e explore um universo de cursos de design de sobrancelhas que irão impulsionar sua carreira, faça parte! #sobrancelhas #rendaextra #trabalho #design https://t.co/AhBEK6HNiQ</t>
  </si>
  <si>
    <t>Aplicação de Henna com pincel 🖌️ Liberdade para aprender e evoluir está a apenas um clique de distância! Visite nosso site e mergulhe em um mundo de cursos de design de sobrancelhas, onde seu potencial será desbloqueado.#rendaextra #trabalho #sobrancelha #dinheiro #salao https://t.co/hD9vpqSfJq</t>
  </si>
  <si>
    <t>Resultado magnífico😍
Sua jornada para uma vida plena começa com sobrancelhas perfeitas. Abra novas possibilidades e abrace a confiança que vem de um visual impecável. Matricule-se agora mesmo no nosso curso e ganhe aquele renda extra.#rendaextra #sobrancelha #salao #trablho https://t.co/esPhs9F7jR</t>
  </si>
  <si>
    <t>Dê um passo ousado em direção ao seu futuro com sobrancelhas impecáveis.Nossa formação profissional irá capacitá-lo a mudar de vida e construir uma carreira promissora,nesse ramo que mais cresce no Brasil, acesse nosso link e saiba mais. #salao  #rendaextra #trabalho #sobrancelha https://t.co/qfg5Tks1HW</t>
  </si>
  <si>
    <t>Se liga nessa transformação 😻
imagina você 🫵se tornando uma(um) especialista em design de sobrancelhas lucrando com o seu próprio trabalho com agenda cheia,imaginou? faça parte do nosso curso, inscreva-se já! #sobrancelhas #rendaextra #salao #beleza #designer #maquiagem https://t.co/jbJolry14N</t>
  </si>
  <si>
    <t>Mais uma dica da nossa professora 💁📜
Esteja um passo à frente da concorrência! Acesse nosso site e tenha acesso a cursos de design de sobrancelhas que irão te capacitar com as habilidades e conhecimentos mais atualizados da indústria.#trabalho #rendaextra #salao #sobrancelha https://t.co/SgqlYo0hue</t>
  </si>
  <si>
    <t>Pigmentação de sobrancelhas masculina 😍✨
Transforme sua paixão em uma carreira promissora com nosso curso de design de sobrancelhas.Inscreva-se agora e clique no link para obter acesso imediato a aulas práticas e conteúdo exclusivo.#trabalho #sobrancelha #rendaextra #cursos https://t.co/jNoNPVzLvq</t>
  </si>
  <si>
    <t>E essa técnica de brow lamination ✨
Ganhe dinheiro fazendo o que ama. Com nosso Curso online de design de sobrancelhas. Inscreva-se! E faça parte.nosso link está disponível na bio!! #trabalho #rendaextra #dinheiro #sobrancelhas #curso https://t.co/bQCPVli08D</t>
  </si>
  <si>
    <t>Veja essa aplicação de Henna incrível📐
Quer ter uma renda extra?faça parte do nosso curso de design de sobrancelhas agora,com garantia de certificado e qualidade,faça parte do ramo que mais cresce no mundo, clique no link e saiba mais! #sobrancelhas #henna #rendaextra #trabalho https://t.co/dqOVQ5gsdn</t>
  </si>
  <si>
    <t>Mapeamento masculino 🧐
Faça sobrancelhas enquanto aumenta sua renda com o curso de design de sobrancelhas perfeitas!Realce a beleza natural de suas clientes e te transformar em uma referência no mercado.clique no link e participe.
#rendaextra #trabalho #sobrancelha https://t.co/n9GsrxpDKT</t>
  </si>
  <si>
    <t>Olha essa transformação ✨
Nosso curso online de design de sobrancelhas é uma oportunidade para você aprender uma habilidade valiosa que pode mudar a maneira como você se vê e se sente. Com instruções claras e fáceis de seguir. Faça parte #beleza #sobrancelhas #rendaextra https://t.co/dm2jeyeWUS</t>
  </si>
  <si>
    <t>Olha essa dica da nossa professora 😜
Se liga e vem participar do nosso curso de design de sobrancelhas,100% online com garantia e qualidade, faça parte e tenha uma renda extra garantida.!!
#maquiagem #salao #sobrancelha #curso #trabalho #rendaextra #designer https://t.co/EiRVDynm1b</t>
  </si>
  <si>
    <t>Gostou do resultado?
Quer ser um(a) expert em sobrancelhas? Não perca mais tempo! Nosso curso online de design de sobrancelhas é a chave para desbloquear seu talento e se tornar referência na área. Acesse o link e garanta sua vaga hoje mesmo! #sobrancelhas #rendaextra #trabalho https://t.co/NNQLw5aCZZ</t>
  </si>
  <si>
    <t>Isso é perfeição 🤌
Com nosso curso online de design de sobrancelhas,você terá a oportunidade de se tornar um(a) profissional bem-sucedido(a) nessa área,Acesse o link,inscreva-se e trilhe seu caminho para o sucesso #rendaextra #sobrancelhas #trabalho https://t.co/rsTFfVJmKv</t>
  </si>
  <si>
    <t>Pinçamento de sobrancelhas
 Descubra todo o potencial do design de sobrancelhas com o nosso curso online especializado. Acesse agora o link e inscreva-se para aprender técnicas exclusivas e se destacar no mundo da beleza! #sobrancelhas #curso #rendaextra #trabalho https://t.co/36a3KodTks</t>
  </si>
  <si>
    <t>Resultado perfeito e magnífico dessa sobrancelha 😻
Invista em sua carreira na área de beleza com nosso curso de design de sobrancelhas perfeitas. Clique no link e aprimore suas técnicas para atender às demandas do mercado.#sobrancelhas #rendaextra #beleza #trabalho #maquiagem https://t.co/MjTYhNyd2e</t>
  </si>
  <si>
    <t>🔴Mais um Designer realizado com sucesso 🔥
Essas e outras técnicas estão com 65% OFF +
Bonus 👉✨️ https://t.co/aMEW3tiuTt
Alunas faturando no mínimo 10K por mês ✨️
#unhas #manicure #nails #bbb23 #nailsdesigner #viral #sucesso #empreender #empresaria #rendaextra #ondecomprar https://t.co/whhxOmz6oJ</t>
  </si>
  <si>
    <t>🔴Mais um trabalho concluído com sucesso 🔥✨️
Aprenda todas as técnicas de Designer Alongamento Expert ✨️ como a aluna Márcia💓 - O seu acesso está aqui com 65%OFF🔗 https://t.co/z1SjHRTtc9 #unhas #nails #designerdeunhas #ondecompra #bbb23 #viral #promo #rendaextra #dinheiro https://t.co/ZzYOScHxBR</t>
  </si>
  <si>
    <t>🔴Mais uma aula concluída com sucesso 🔥✨️
Aprenda todas as técnicas de Designer Alongamento Expert ✨️ como a aluna Giovanna 💓 - O seu acesso está aqui com 65%OFF 🔗https://t.co/Y0m44hCSCh #unhas #nails #designerdeunhas #ondecompra #bbb23 #viral #promo #rendaextra #dinheiro https://t.co/75qqCSuBkF</t>
  </si>
  <si>
    <t>🔴Mais um Designer realizado com sucesso 🔥
Essas e outras técnicas estão com 65% OFF +
Bonus 👉✨️ https://t.co/4DOxuhHrme
Alunas faturando no mínimo 10K por mês ✨️
#unhas #manicure #nails #bbb23 #nailsdesigner #viral #sucesso #empreender #empresaria #rendaextra #ondecomprar https://t.co/sPmOHVih6e</t>
  </si>
  <si>
    <t>Meninaaas !!! Conseguimos cupom de desconto com a Mestre da Micro 😱🔥Você vai conseguir aprender por um valor surreal de barato 🥰 Só que o cupom só vale pra hoje!Veja mais no link✨️🔗https://t.co/o6fOGy6K4w
#Micropigmentação #microbland #ondecomprar #bbb23 #promo #rendaextra https://t.co/5ko25H45CP</t>
  </si>
  <si>
    <t>🔴Mais um resultado de aluna trabalhando com excelência 🚀
Técnicas em Alongamento práticas e atualizadas em 2023 
Quer aprender ?Acesse agora 🔗https://t.co/z1SjHRSVmB
#nails #viral #aondecomprar #aprendaonline #bbb23 #rendaextra #sucesso #empresária #promo #maquiagem #mulheres https://t.co/sPz9VArPnt</t>
  </si>
  <si>
    <t>🔴Mais um resultado de aluna trabalhando com excelência 🚀
Técnicas em Alongamento práticas e atualizadas em 2023 
Quer aprender ?Acesse agora 🔗https://t.co/Y0m44hCkMJ
#nails #viral #aondecomprar #aprendaonline #bbb23 #rendaextra #sucesso #empresária #promo #maquiagem #mulheres https://t.co/jn1kFH7MBZ</t>
  </si>
  <si>
    <t>🔴Aprenda as técnicas de uma Nails Designer de Alongamento de Unhas de Sucesso por apenas $47 !
Campanha Dia das Mulheres 🌹✨️
Acesse agora aqui 🔗 https://t.co/aMEW3thX3V
#nails #bbb23 #viral #promo #aondecomprar #rendaextra #oferta #DiaInternacionalDeLaMujer
#promocao #unhas https://t.co/MXqfmu2Kgw</t>
  </si>
  <si>
    <t>🔴Aprenda as técnicas de uma Nails Designer de Alongamento de Unhas de Sucesso por apenas $47 !
Campanha Dia das Mulheres 🌹✨️
Acesse agora aqui 🔗 https://t.co/4DOxuhHrme
#nails #bbb23 #viral #promo #aondecomprar #rendaextra #oferta #DiaInternacionalDeLaMujer
#promocao #unhas https://t.co/bu8ZdluNp1</t>
  </si>
  <si>
    <t>Resultado da Juli após as aulas do método de Alongamento de Unhas! Ela está faturando muito com as técnicas de 2023 que ela adquiriu por apenas $47‼️
Acesse aqui ✅️https://t.co/aMEW3thX3V 
#unhas #nails #Designer #bbb23 #foryou #aondecomprar #manicure #viral #promo #rendaextra https://t.co/j2cvpy7Tnj</t>
  </si>
  <si>
    <t>As meninas estão arrasando 😱
Olha que lindo esse Alongamento de Unhas ,foi feito pela Juliana 🔥 vem pro time de Expert e aprenda todas as técnicas de 2023 pra você faturar muito em 2023 💸
 🔗https://t.co/4DOxuhHrme
 #nails #unhas #bbb23 #ondecompra #promo #oferta #rendaextra https://t.co/cXevyhUvhP</t>
  </si>
  <si>
    <t>🔴Mais um trabalho concluído com sucesso 🔥✨️
Aprenda todas as técnicas de Designer Alongamento Expert ✨️ como a aluna Karol  💓 - O seu acesso está aqui com 65%OFF🔗 https://t.co/z1SjHRSVmB #unhas #nails #designerdeunhas #ondecompra #bbb23 #viral #promo #rendaextra #dinheiro https://t.co/6BRwwD3urr</t>
  </si>
  <si>
    <t>🔴Mais um trabalho concluído com sucesso 🔥✨️
Aprenda todas as técnicas de Designer Alongamento Expert ✨️ como a aluna Karol  💓 - O seu acesso está aqui com 65%OFF🔗 https://t.co/z1SjHRSVmB #unhas #nails #designerdeunhas #ondecompra #bbb23 #viral #promo #rendaextra #dinheir https://t.co/jOhTz5qCsC</t>
  </si>
  <si>
    <t>Resultado da Juli após as aulas do método de Alongamento de Unhas! Ela está faturando muito com as técnicas de 2023 que ela adquiriu por apenas $47‼️
Acesse aqui ✅️https://t.co/aMEW3thX3V 
#unhas #nails #Designer #bbb23 #foryou #aondecomprar #manicure #viral #promo #rendaextra https://t.co/I2jINH7FZQ</t>
  </si>
  <si>
    <t>🔴 Você vai perder a oportunidade de ganhar no mínimo 8k Mensais sendo uma Designer de Unhas de Sucesso? 
Olha a aluna Camila , ela aprendeu por apenas $47.
Clica aqui e saiba mais 🔗https://t.co/aMEW3thX3V
#unhas #cabelos #rendaextra #mulheres #girls #ondecomprar #foryou #bbb23 https://t.co/wRscIbEHa0</t>
  </si>
  <si>
    <t>Arrasou essa Aluna 💜
Alongamento em excelência é o que você aprende e pode faturar no mínimo 5k Mensais ! No conforto da casa e fazendo seus horários ! Por apenas $47 😱✅️https://t.co/4DOxuhHrme
#nails #unhas #mulheres #manicure #bbb23 #viral #ondecompro #promoção #rendaextra https://t.co/gNAqLEIiq3</t>
  </si>
  <si>
    <t>A Cami arrasou nessa #nails, todas as técnicas de #nailsdesigner de sucesso, seja sua própria chefe! Aprenda tudo por $19,90 (#promo dia das #mães) 
💜clica https://t.co/WYGjqi6tfQ agora! #mulheres #rendaextra #bbb23 #ondecomprar #aondecomprar #girls #promo #oferta #cursosonline https://t.co/Xtftm4Rcv3</t>
  </si>
  <si>
    <t>🔴Você já imaginou trabalhar no seu próprio negócio e faturar 8k mensais!A Ju está vivendo isso,olha o Alongamento que aplicou, esse método e outros métodos por apenas $19,90
Clica aqui🔗 https://t.co/kgPtFDijIF 
#unhas #ondecompra #bbb23 #foryou #promo #aondecomprar #rendaextra https://t.co/b5DcuFGN9L</t>
  </si>
  <si>
    <t>🔴 Você vai perder a oportunidade de ganhar no mínimo 8k Mensais sendo uma Designer de Unhas de Sucesso? 
Olha a aluna Camila , ela aprendeu por apenas $47.
Clica aqui e saiba mais 🔗https://t.co/aMEW3thX3V
#unhas #cabelos #rendaextra #mulheres #girls #ondecomprar #foryou #BBB23 https://t.co/qGJpKj68Px</t>
  </si>
  <si>
    <t>Trabalhar fora , não está fácil hoje em dia! 
Cami trabalha em casa , como Designer de Unhas e fatura 8k mensais perto do filho.Aproveite o CUPOM e trabalhe em casa , cuide da sua família! 
🔗https://t.co/4DOxuhHZbM
#foryou #bbb23 #ondecomprar #promo #manicure #oferta #rendaextra https://t.co/bbXU0zb82b</t>
  </si>
  <si>
    <t>🔴 Você vai perder a oportunidade de ganhar no mínimo 8k Mensais sendo uma Designer de Unhas de Sucesso? 
Olha a aluna Camila , ela aprendeu por apenas $47.
Clica aqui e saiba mais 🔗https://t.co/aMEW3thX3V
#unhas #cabelos #rendaextra #mulheres #girls #ondecomprar #foryou #bbb23 https://t.co/kEEBcOPsj1</t>
  </si>
  <si>
    <t>A Cami arrasou nessa #nails, todas as técnicas de #nailsdesigner de sucesso, seja sua própria chefe!Aprenda tudo por $19,90 (#promo dia das #mães) 
💜clica https://t.co/kgPtFDijIF agora! #mulheres #rendaextra #bbb23 #ondecomprar #aondecomprar #foryou #promo #oferta #cursosonline https://t.co/4MKEbloSPU</t>
  </si>
  <si>
    <t>🔴 Você vai perder a oportunidade de ganhar no mínimo 8k Mensais sendo uma Designer de Unhas de Sucesso? 
Olha a aluna Camila , ela aprendeu por apenas $47.
Clica aqui e saiba mais 🔗https://t.co/4DOxuhHrme
#unhas #cabelos #rendaextra #mulheres #girls #ondecomprar #foryou #bbb23 https://t.co/ezjxdG9NDz</t>
  </si>
  <si>
    <t>🔴Mais um trabalho concluído com sucesso 🔥✨️
Aprenda todas as técnicas de Designer Alongamento Expert ✨️ como a aluna Márcia 💓 - O seu acesso está aqui com 65%OFF🔗 https://t.co/z1SjHRSVmB #unhas #nails #designerdeunhas #ondecompra #bbb23 #viral #promo #rendaextra #dinheiro https://t.co/YTygyvwI7F</t>
  </si>
  <si>
    <t>💜 A Cami arrasou nessa #nails,todas as técnicas de #nailsdesigner de sucesso está no link 👇,seja sua própria chefe! Aprenda tudo por $19,90✨️ 
👉clica https://t.co/kgPtFDijIF agora! 
#mulheres #rendaextra #bbb23 #ondecomprar #aondecomprar #girls #promo #oferta #cursosonline https://t.co/ytcIijw14J</t>
  </si>
  <si>
    <t>Resultado da Juli após as aulas do método de Alongamento de Unhas! Ela está faturando muito com as técnicas de 2023 que ela adquiriu por apenas $47 ‼️ Acesse aqui ✅️https://t.co/4DOxuhHrme #unhas #nails #Designer #bbb23 #foryou #aondecomprar #manicure #viral #promo #rendaextra https://t.co/m7XLJNtGnL</t>
  </si>
  <si>
    <t>🔴 Técnicas atualizadas em 2023 ! 
Olha esse resultado da Milla 😍 ,está faturando 8k mensais 
Designer Alongamento de Unhas e você adquire por $47‼️
⭕️ https://t.co/aMEW3thX3V 
 #unhas #nailsdesigner #nails  #bbb23 #viral #promo #vendasonline #vendas #rendaextra #ondecomprar https://t.co/rsrcnPFkFu</t>
  </si>
  <si>
    <t>🔴 Técnicas atualizadas em 2023 ! 
Olha esse resultado da Milla 😍 ,está faturando 8k mensais 
Designer Alongamento de Unhas e você adquire por $47‼️
⭕️ https://t.co/aMEW3thX3V 
 #unhas #nailsdesigner #nails  #bbb23 #viral #promo #vendasonline #vendas #rendaextra #ondecomprar https://t.co/lYohjqRjw6</t>
  </si>
  <si>
    <t>Aprenda estratégias comprovadas e atualizadas de marketing por um preço imperdível!  
 Invista em seu futuro profissional e destaque-se no mercado. 
Garanta sua vaga!  
#rendaextra🎯 https://t.co/7xYMTFdrfV</t>
  </si>
  <si>
    <t>⏳ Não perca essa oportunidade! Matricule-se agora antes que as vagas se esgotem!
🎯 Aprenda estratégias comprovadas e atualizadas de marketing por um preço imperdível!
💡 Invista em seu futuro profissional e destaque-se no mercado. Garanta sua vaga!
#rendaextra https://t.co/pr9mVSH3Tj</t>
  </si>
  <si>
    <t>🔥 Valor promocional por tempo limitado! Inscreva-se agora mesmo e economize!
Não deixe para depois! Clique no link da Bio e garanta sua participação no curso de marketing por apenas R$ 30,00
Fórmula 5k
Link no Perfil❤️
#RendaExtra
#TrabalhoEmCasa
#GanharDinheiro https://t.co/SDKJOodTQ9</t>
  </si>
  <si>
    <t>🚀 Impulsione sua carreira no marketing com nosso curso por apenas R$ 30,00!
⏳ Não perca essa oportunidade! Matricule-se agora antes que as vagas se esgotem!
🎯 Aprenda estratégias comprovadas e atualizadas de marketing por um preço imperdível!
#rendaextra https://t.co/Viw1lx3zT8</t>
  </si>
  <si>
    <t>💡 Invista em seu futuro profissional e destaque-se no mercado. Garanta sua vaga!
🔥 Valor promocional por tempo limitado! Inscreva-se agora mesmo e economize!
#rendaextra #sucesso #markting #sabedoria #reflexao https://t.co/tdo8enzXyk</t>
  </si>
  <si>
    <t>🔥 Valor promocional por tempo limitado! Inscreva-se agora mesmo e economize!
Não deixe para depois! Clique no link da Bio e garanta sua participação no curso de marketing por apenas 
R$ 30,00
Fórmula 5k
Link na Bio❤️
#RendaExtra
#TrabalhoEmCasa
#EconomiaColaborativa https://t.co/QVzikltHAK</t>
  </si>
  <si>
    <t>🔥 Valor promocional por tempo limitado! Inscreva-se agora mesmo e economize!
Não deixe para depois! Clique no link da Bio e garanta sua participação no curso de marketing por apenas R$ 30,00
Fórmula 5k
Link na Bio❤️
#RendaExtra
#TrabalhoEmCasa
#GanharDinheiro
#NegócioPróprio https://t.co/owb1NjyMjl</t>
  </si>
  <si>
    <t>🔥 Valor promocional por tempo limitado! Inscreva-se agora mesmo e economize!
Não deixe para depois! Clique no link da Bio e garanta sua participação no curso de marketing por apenas R$ 30,00
Fórmula 5k
Link na Bio❤️
#RendaExtra
#TrabalhoEmCasa
#GanharDinheiro
#NegócioPróprio https://t.co/fUdVrNNPoz</t>
  </si>
  <si>
    <t>🔥 Valor promocional por tempo limitado! Inscreva-se agora mesmo e economize!
Não deixe para depois! Clique no link da Bio e garanta sua participação no curso de marketing por apenas R$ 30,00
Fórmula 5k
Link na Bio❤️
#RendaExtra
#TrabalhoEmCasa
#GanharDinheiro
#NegócioPróprio https://t.co/SnEz8mcAoe</t>
  </si>
  <si>
    <t>🔥 Valor promocional por tempo limitado! Inscreva-se agora mesmo e economize!
Não deixe para depois! Clique no link da Bio e garanta sua participação no curso de marketing por apenas R$ 30,00
Fórmula 5k
Link na Bio❤️
#RendaExtra
#TrabalhoEmCasa
#GanharDinheiro
#NegócioPróprio https://t.co/9VAUjLy6sf</t>
  </si>
  <si>
    <t>🔥 Valor promocional por tempo limitado! Inscreva-se agora mesmo e economize!
Não deixe para depois! Clique no link da Bio e garanta sua participação no curso de marketing por apenas R$ 30,00
Fórmula 5k
Link na Bio❤️
#RendaExtra
#TrabalhoEmCasa
#GanharDinheiro
#NegócioPróprio https://t.co/nDo8RSONJW</t>
  </si>
  <si>
    <t>🔥 Valor promocional por tempo limitado! Inscreva-se agora mesmo e economize!
Não deixe para depois! Clique no link da Bio e garanta sua participação no curso de marketing por apenas 
R$ 30,00
Fórmula 5k
Link na Bio❤️
#RendaExtra
#TrabalhoEmCasa
#GanharDinheiro https://t.co/ovZIQB0Qcr</t>
  </si>
  <si>
    <t>🔥 Valor promocional por tempo limitado! Inscreva-se agora mesmo e economize!
Não deixe para depois! Clique no link da Bio e garanta sua participação no curso de marketing por apenas
R$ 30,00
Fórmula 5k
Link na Bio❤️
#RendaExtra
#TrabalhoEmCasa
#GanharDinheiro
#NegócioPróprio https://t.co/ErnrAFJXZ9</t>
  </si>
  <si>
    <t>💡 Invista em seu futuro profissional e destaque-se no mercado. Garanta sua vaga!
🔥 Valor promocional por tempo limitado! Inscreva-se agora mesmo e economize!
#rendaextra #conhecimento #sucesso #sabedoria #reflexao https://t.co/c1XgyUIMcj</t>
  </si>
  <si>
    <t>💡 Invista em seu futuro profissional e destaque-se no mercado. Garanta sua vaga!
🔥 Valor promocional por tempo limitado! Inscreva-se agora mesmo e economize!
#rendaextra #conhecimento #sabedoria #sucesso https://t.co/iOOiOZbs7o</t>
  </si>
  <si>
    <t>💡 Invista em seu futuro profissional e destaque-se no mercado. Garanta sua vaga!
🔥 Valor promocional por tempo limitado! Inscreva-se agora mesmo e economize!
#rendaextra #markting #sucesso #esforço #inercia https://t.co/t2EFp7WLHo</t>
  </si>
  <si>
    <t>💡 Invista em seu futuro profissional e destaque-se no mercado. Garanta sua vaga!
🔥 Valor promocional por tempo limitado! Inscreva-se agora mesmo e economize!
#rendaextra #markting https://t.co/JNP28sJjXg</t>
  </si>
  <si>
    <t>🚀 Impulsione sua carreira no marketing com nosso curso por apenas R$ 30,00!
⏳ Não perca essa oportunidade! Matricule-se agora antes que as vagas se esgotem!
🎯 Aprenda estratégias comprovadas e atualizadas de marketing por um preço imperdível!
#rendaextra https://t.co/IZULgXjoXy</t>
  </si>
  <si>
    <t>🔥 Valor promocional por tempo limitado! Inscreva-se agora mesmo e economize!
Não deixe para depois! Clique no link da Bio e garanta sua participação no curso de marketing por apenas R$ 30,00
Fórmula 5k
Link na Bio❤️
#RendaExtra
#TrabalhoEmCasa
#GanharDinheiro
#NegócioPróprio https://t.co/gJ73GQOKHB</t>
  </si>
  <si>
    <t>🔥 Valor promocional por tempo limitado! Inscreva-se agora mesmo e economize!
Não deixe para depois! Clique no link da Bio e garanta sua participação no curso de marketing por apenas R$ 30,00
Fórmula 5k
Link na Bio❤️
#RendaExtra
#TrabalhoEmCasa
#GanharDinheiro
#NegócioPróprio https://t.co/NyMld3WN0F</t>
  </si>
  <si>
    <t>🔥 Valor promocional por tempo limitado! Inscreva-se agora mesmo e economize!
Não deixe para depois! Clique no link da Bio e garanta sua participação no curso de marketing por apenas R$ 30,00
Fórmula 5k
Link na Bio❤️
#RendaExtra
#TrabalhoEmCasa
#GanharDinheiro
#NegócioPróprio https://t.co/pae0kfthtv</t>
  </si>
  <si>
    <t>Persista, não desita!
#sucesso
#foco
#rendaextra
#empreender https://t.co/RdCVMNoQU1</t>
  </si>
  <si>
    <t>🔥 Valor promocional por tempo limitado! Inscreva-se agora mesmo e economize!
Não deixe para depois! Clique no link da Bio e garanta sua participação no curso de marketing por apenas R$ 30,00
Fórmula 5k
Link na Bio❤️
#RendaExtra
#TrabalhoEmCasa
#GanharDinheiro
#NegócioPróprio https://t.co/HYsCsxHqs8</t>
  </si>
  <si>
    <t>🔥 Valor promocional por tempo limitado! Inscreva-se agora mesmo e economize!
Não deixe para depois! Clique no link da Bio e garanta sua participação no curso de marketing por apenas R$ 30,00
Fórmula 5k
Link na Bio❤️
#RendaExtra
#TrabalhoEmCasa
#GanharDinheiro
#NegócioPróprio https://t.co/uRpWRE8K6G</t>
  </si>
  <si>
    <t>🔥 Valor promocional por tempo limitado! Inscreva-se agora mesmo e economize!
Não deixe para depois! Clique no link da Bio e garanta sua participação no curso de marketing por apenas R$ 30,00
Fórmula 5k
Link na Bio❤️
#RendaExtra
#TrabalhoEmCasa
#GanharDinheiro
#NegócioPróprio https://t.co/08NIGrtLVV</t>
  </si>
  <si>
    <t>🔥 Valor promocional por tempo limitado! Inscreva-se agora mesmo e economize!
Não deixe para depois! Clique no link da Bio e garanta sua participação no curso de marketing por apenas R$ 30,00
Fórmula 5k
Link na Bio❤️
#RendaExtra
#TrabalhoEmCasa
#GanharDinheiro
#NegócioPróprio https://t.co/R68KOa8mq4</t>
  </si>
  <si>
    <t>🔥 Valor promocional por tempo limitado! Inscreva-se agora mesmo e economize!
Não deixe para depois! Clique no link da Bio e garanta sua participação no curso de marketing por apenas R$ 30,00
Fórmula 5k
Link na Bio❤️
#RendaExtra
#TrabalhoEmCasa
#GanharDinheiro
#NegócioPróprio https://t.co/YO693Eb4KH</t>
  </si>
  <si>
    <t>🔥 Valor promocional por tempo limitado! Inscreva-se agora mesmo e economize!
Não deixe para depois! Clique no link da Bio e garanta sua participação no curso de marketing por apenas R$ 30,00
Fórmula 5k
Link na Bio❤️
#RendaExtra
#TrabalhoEmCasa
#GanharDinheiro
#NegócioPróprio https://t.co/a98WR9zldQ</t>
  </si>
  <si>
    <t>🔥 Valor promocional por tempo limitado! Inscreva-se agora mesmo e economize!
Não deixe para depois! Clique no link da Bio e garanta sua participação no curso de marketing por apenas R$ 30,00
Fórmula 5k
Link na Bio❤️
#RendaExtra
#TrabalhoEmCasa
#GanharDinheiro
#NegócioPróprio https://t.co/JKIrK7OhdT</t>
  </si>
  <si>
    <t>🔥 Valor promocional por tempo limitado! Inscreva-se agora mesmo e economize!
Não deixe para depois! Clique no link da Bio e garanta sua participação no curso de marketing por apenas R$ 30,00
Fórmula 5k
Link na Bio❤️
#RendaExtra
#TrabalhoEmCasa
#GanharDinheiro
#NegócioPróprio https://t.co/WO11cuC179</t>
  </si>
  <si>
    <t>Comunidade de Marketing Gratuito
#Hotmart #Markenting #MarketingDigital #Monetizze #Rendaextra
https://t.co/zHfdHs3tj0 https://t.co/Kzm09sFCh2</t>
  </si>
  <si>
    <t>Como Ganhar Dinheiro Lendo E-mails: 7 Sites para Geração de Renda Extra - Olhar Green #rendaextra 
https://t.co/yud4hVFB11 https://t.co/K6HzJNQd1i</t>
  </si>
  <si>
    <t>#Pascoa #rendaextra #chocolate #dinheiro #YouTuber #receitas https://t.co/rCvK6HCmKe</t>
  </si>
  <si>
    <t>No vídeo dessa semana eu trouxe 5 opções de mini frabricas para você lucrar ainda em 2023
Link do vídeo no stories e na bio!
#Franquia #Franquias #MeuNegócio #RendaExtra #RendaExtra2023 #Empreender #Empreendedorismo https://t.co/p9mJcKEYew</t>
  </si>
  <si>
    <t>Vem conhecer 7 máquinas BARATAS para ganhar dinheiro INVESTINDO POUCO.
Otimas opções para Renda Extra
#Máquinas #RendaExtra #Empreender #MeuNegócio #Empreendedorismo https://t.co/65uMhGjhdy</t>
  </si>
  <si>
    <t>VÍDEO NOVO NO CANAL!
Vem conhecer 13 MÁQUINAS BARATAS a partir de R$ 60,00 😍💰 MELHORES MÁQUINAS para GANHAR MUITO DINHEIRO
Link do vídeo: https://t.co/gC6a5gHJdk
#Franquia #Maquinas  #JoseFugice #MeuNegócio #Empreender #Empreendedorismo #RendaExtra https://t.co/blUXcARrVW</t>
  </si>
  <si>
    <t>Tá pensando que meu canal é só para falar de franquias? Aproveita o fim de semana, para conhecer todas essas opções de renda extra
#RendaExtra #GanharDinheiro #MeuNegócio #Empreendedorismo https://t.co/RRLIuAEkm6</t>
  </si>
  <si>
    <t>DICA BÔNUS! 
Seja afiliado de um grande Market Place, como Amazon, Magalu entre outros, assim sempre que alguém fizer uma compra no app com seu link, você vai ganhar uma comissão por isso, gerando uma boa renda extra.
#MeuNegócio #RendaExtra #Aplicativos #Empreendedorismo https://t.co/sGunku7PLt</t>
  </si>
  <si>
    <t>Olá, meu nome é TAMIRES e este é o meu link para você comprar a sua Tele Sena https://t.co/C6kLD614k3 . Com um clique, você concorre a milhões em prêmios. Compre já a sua! #rendaextra #telesena</t>
  </si>
  <si>
    <t>#rendaextra
#cripto 
https://t.co/MzlqOPCaNN</t>
  </si>
  <si>
    <t>🚨 LANÇAMENTO DA MEGA SLOTS.🚨
🐻 BEAR 777 🐻
https://t.co/mAc91omC5N
💵 RECARGA MÍNIMA: R$ 20,00
💰 SAQUE MÍNIMO : R$ 50,00
#plataformaspagantes #rendaextra #estrategias #fortunetiger #joguinho #dicaseestrategias  #lucrandoemcasa #slots #slotspagantes #cassino #AFAZENDA15 https://t.co/idbtqYfAeV</t>
  </si>
  <si>
    <t>🚨 LANÇAMENTO DA MEGA SLOTS.🚨
🐻 BEAR 777 🐻
https://t.co/mAc91omC5N
💵 RECARGA MÍNIMA: R$ 20,00
💰 SAQUE MÍNIMO : R$ 50,00
#plataformaspagantes #rendaextra #estrategias #fortunetiger #joguinho #dicaseestrategias  #lucrandoemcasa #slots #slotspagantes #cassino #AFAZENDA15 https://t.co/vA4S9opY3g</t>
  </si>
  <si>
    <t>🐻 BEAR 777 🐻
https://t.co/mAc91omC5N
💵 RECARGA MÍNIMA: R$ 20,00
💰 SAQUE MÍNIMO : R$ 50,00
#plataformaspagantes #rendaextra #estrategias #fortunerabbit #joguinho #jogosonline  #lucrandoemcasa #slots #estrategiadorabbit https://t.co/0Z2zs86CZD</t>
  </si>
  <si>
    <t>🐻 BEAR 777 🐻
https://t.co/mAc91omC5N
💵 RECARGA MÍNIMA: R$ 20,00
💰 SAQUE MÍNIMO : R$ 50,00
#plataformaspagantes #rendaextra #estrategias #fortunerabbit #joguinho #jogosonline  #lucrandoemcasa #slots #estrategiadorabbit https://t.co/n6NICcGeaj</t>
  </si>
  <si>
    <t>Fortune Ox pagando no aleatório! 🥰🐂
O link não é vírus, é o link da plataforma de onde vem os ganhos postados. 
https://t.co/OK1T3hdZ4W
Plataforma BEAR 777
#Domingao #slots #fortuneox #Flamengo #ganhandocomslots #rendaextra #money #dicasdeslots #slotspagando https://t.co/i66behETq0</t>
  </si>
  <si>
    <t>Não , não é vírus  😂 É o link da melhor plataforma que vão encontrar hoje ! 
https://t.co/mAc91omC5N
💵 RECARGA : R$ 20,00
💰 SAQUE : R$ 50,00
#jogoonline #rendaextra #igee #fortunetiger #joguinho #dicasdeslots #lucrandoemcasa #slots #slotspagantes #cassino #AFAZENDA15 https://t.co/vD9H6EQ9bj</t>
  </si>
  <si>
    <t>Não , não é vírus  😂 É o link da melhor plataforma que vão encontrar hoje ! 
https://t.co/mAc91omC5N
💵 RECARGA : R$ 20,00
💰 SAQUE : R$ 50,00
#jogoonline #rendaextra #igee #fortunetiger #joguinho #dicasdeslots #lucrandoemcasa #slots #slotspagantes #cassino #AFAZENDA15 https://t.co/x1DZtJDUm3</t>
  </si>
  <si>
    <t>🚨 LANÇAMENTO DA MEGA SLOTS.🚨
🐻 BEAR 777 🐻
https://t.co/mAc91omC5N
💵 RECARGA MÍNIMA: R$ 20,00
💰 SAQUE MÍNIMO : R$ 50,00
#plataformaspagantes #rendaextra #estrategias #fortunetiger #joguinho #dicaseestrategias  #lucrandoemcasa #slots #tigerpagando #slots #slotspagantes https://t.co/kImt26S8Tl</t>
  </si>
  <si>
    <t>🚨 LANÇAMENTO DA MEGA SLOTS.🚨
🐻 BEAR 777 🐻
https://t.co/mAc91omC5N
💵 RECARGA MÍNIMA: R$ 20,00
💰 SAQUE MÍNIMO : R$ 50,00
#plataformaspagantes #rendaextra #estrategias #fortunetiger #joguinho #dicaseestrategias  #lucrandoemcasa #slots #tigerpagando #slots #slotspagantes https://t.co/zyZtboDT33</t>
  </si>
  <si>
    <t>🚨 LANÇAMENTO DA MEGA SLOTS.🚨
🐻 BEAR 777 🐻
https://t.co/mAc91omC5N
💵 RECARGA MÍNIMA: R$ 20,00
💰 SAQUE MÍNIMO : R$ 50,00
#plataformaspagantes #rendaextra #estrategias #fortunerabbit #joguinho #jogosonline  #lucrandoemcasa #slots #estrategiadorabbit https://t.co/69opf3wc7F</t>
  </si>
  <si>
    <t>🚨 LANÇAMENTO DA MEGA SLOTS.🚨
🐻 BEAR 777 🐻
https://t.co/OK1T3hdZ4W
💵 RECARGA MÍNIMA: R$ 20,00
💰 SAQUE MÍNIMO : R$ 50,00
🍀 BOA SORTE A TODOS , QUERO QUE LUCREM BASTANTE !! 
#cassinoonline #plataformaspagantes #rendaextra #estrategias #fortuneox #joguinho https://t.co/3fKgvlHbJH</t>
  </si>
  <si>
    <t>Clique para me ajudar e participe da atividade comigo para ganhar R$700. Os usuários inativos também podem participar e ganhar dinheiro! https://t.co/C8MPlQStoq
#kwai #ganhardinheiro #dinheiro #rendaextra #FeijooEH</t>
  </si>
  <si>
    <t>nunca acreditei no joguinho do tigre fui tenta, coloquei 10 e com 0.50 centavos poucas tentativas ganhei 40🙆🏻‍♀️ https://t.co/z1W62TLW4c
 #ganhardinheiro #dinheiro #rendaextra #akfet https://t.co/OpqfOE9zoD</t>
  </si>
  <si>
    <t>Um presidente de verdade? TEMOS! FAZ O L!
#lula #presidente #brasil #mudança #transformação #evolução #bemestar  #dignidade #dinheiro #money #emprego #rendaextra #renda #trabalho #work #investimento #oportunidade #chance #desenvolvimentopessoal #desenvolvimento #comida #casa https://t.co/bZW8LEF1yz</t>
  </si>
  <si>
    <t>GANHE AGORA $$$
https://t.co/Tqw967F40w
#ondecomprar #pix #rendaextra</t>
  </si>
  <si>
    <t>Curso de manicure profissional com certificado.
Acesse: https://t.co/5fRh0yX5xH
#rendaextra #cursos #manicure #Escola #mulheres https://t.co/3h75QIaeeT</t>
  </si>
  <si>
    <t>#rendaextra #renda #extra #Empreendedorismo #dinheiro #independênciafinanceira https://t.co/Rf1Xg9HNG8</t>
  </si>
  <si>
    <t>Conhece essas profissões? ⤵ 
💰Parceira de lojas famosas 
💰Afiliada Digital 
💰Freelancer Digital 
💰Social mídia
💰Dropshiping 
💰Assistente virtual 
Todas para você trabalhar na Internet.
Quer saber como ? Clique aqui e saiba mais 👇🏼
https://t.co/2N4Q8fIw8Z
#rendaextra</t>
  </si>
  <si>
    <t>🔑 Descubra o segredo para a grandeza financeira! Prepare-se para dominar os investimentos imobiliários com o guia definitivo para o sucesso. 📚💰
https://t.co/N7xhSqu0wM
#dinheiro #rendaextra #investimentos #ebook https://t.co/A0ZSyApI7n</t>
  </si>
  <si>
    <t>Grow Your Business Digitally With TR Digital Marketing agency .✨🙌🔥🔥💥💥
#marketingdigital #digitalmarketing #hotmart #hotmartafiliados #afiliadosbrasil #afiliados #afiliadoshotmart #rendaextra #trabalhoonline #rendaonline #googleads #marketingstrategy #digitalmarketingtrends https://t.co/gJPSGO7hb5</t>
  </si>
  <si>
    <t>Venha empreender!
 Siga nosso perfil no insta…
https://t.co/ZDmcs97y0B
#oleosesseciais 
#emprendimiento 
#rendaextra
#doterra
#qualidadedevida</t>
  </si>
  <si>
    <t>RADAR MILIONARIO AVIATOR FUNCIONA? RADAR MILIONÁRIO É BOM? DÁ RESULTADOS... https://t.co/R3d6yD3VFX via @YouTube 
#radarmilionario #rendaextra #ganhardinheiro</t>
  </si>
  <si>
    <t>💥 EVOLUTION BRABET! Será que FUNCIONA? Bot Evolution Brabet É BOM? https://t.co/WtZ42f4cIZ via @YouTube 
#evolutionbrabet #brabet #rendaextra</t>
  </si>
  <si>
    <t>HACKER AVIATOR ESTRELA BET! Funciona ou é Furada? Robô Hacker Aviator é ... https://t.co/DS2e9EXulf via @YouTube 
#aviator #hackeraviator #rendaextra</t>
  </si>
  <si>
    <t>Million Green Dados! Funciona? Million Green Dados é Confiável? DETALHES! https://t.co/ksIkW5WRfb via @YouTube 
#milliongreendados #jogosdedados #rendaextra #ganhardinheiro</t>
  </si>
  <si>
    <t>💥 [[LANÇAMENTO]] MELHOR ROBÔ P/ LUCRAR NO PENALTI EM 2023 !! https://t.co/fmN5RZTOIS via @YouTube 
#penaltidasorte #ganhardinheiro #rendaextra</t>
  </si>
  <si>
    <t>👉🔴 Radar Milionário FUNCIONA? Radar Milionário Vale a Pena? A VERDADE! https://t.co/IxcZEfymvM via @YouTube 
#RENDAEXTRA #RADARMILIONARIO</t>
  </si>
  <si>
    <t>Mais de 2,5 (jogo 1) ✅
Mais de 2,5 (jogo 2) ✅
Casa ou Fora (jogo 3) ✅
DEU GREEEENNNN !!!! 
#rendaextra</t>
  </si>
  <si>
    <t>🔥 Acessando por esse link: https://t.co/Z0MqQ9sEao  tera bônus de 100% nos 4 primeiros depósitos. Venha se divertir!!!
#cassino #Gamblecity #slot #esporte #rendaextra https://t.co/bcsz4mLr9A</t>
  </si>
  <si>
    <t>Venha conhecer esse jogo incrível da PG além de divertido ainda vem aquela rendinha extra!!! Venha conhecer ele e outros jogos na nossa plataforma.
Cadastre-se:
https://t.co/Z0MqQ9sEao
#cassinoonline #cassino #gamblecity
#ganhos #altosganhos #rendaextra #PGslot #Trump #Lyon https://t.co/QXiHPXh6eW</t>
  </si>
  <si>
    <t>Com a habilidade do Rei Midas seus ganhos dependem apenas de um toque de outro no botão de SPIN!!!! Jogue agora na Gamble City!!
Cadastre-se agora:
https://t.co/Z0MqQ9sEao
#cassino #cassinoonline #gamblecity #ganhosonline #ganhos #rendaextra #trump #vexame #Lyon https://t.co/InnaBaWd5a</t>
  </si>
  <si>
    <t>Junte-se ao Rei Macaco para causar estragos no palácio celestial e conquistar os melhores ganhos com Gamble City!!!
Cadastre-se agora:
https://t.co/Z0MqQ9sEao
#gamblecity #ganhos #pgsoft #cassino #rendaextra #ganhosaltos #Neymar #trump #vexame https://t.co/mNnkOvycIa</t>
  </si>
  <si>
    <t>Até sexta (07/07) você pode ganhar até 6 pontos Livelo a cada R$1 em compras no Ponto.
Quer saber mais? Clique no link disponível na Bio e confira a matéria completa em nosso blog.
#milhas #pontos #lucro #beneficios #rendaextra #investimento #desconto https://t.co/DPDkAR3eXl</t>
  </si>
  <si>
    <t>Até as 21h de sexta (07/07) ganhe até 300% de bônus na compra de pontos Smiles.
Quer saber mais? Clique no link disponível na Bio e confira a matéria completa em nosso blog.
#milhas #pontos #lucro #beneficios #rendaextra #investimento #desconto https://t.co/Yn1ssAv6kK</t>
  </si>
  <si>
    <t>Até amanhã (06/07) você pode ganhar 11 pontos Esfera a cada R$1 em compras na Mistral.
Quer saber mais? Clique no link disponível na Bio e confira a matéria completa em nosso blog.
#milhas #pontos #lucro #beneficios #rendaextra #investimento #desconto https://t.co/MANCOY2d95</t>
  </si>
  <si>
    <t>Apenas hoje (05/07) participe do Clube Livelo Day e aproveite ofertas imperdíveis.
Quer saber mais? Clique no link disponível na Bio e confira a matéria completa em nosso blog.
#milhas #pontos #lucro #beneficios #rendaextra #investimento #desconto https://t.co/eumU4aysoH</t>
  </si>
  <si>
    <t>Apenas hoje (04/07) você pode ganhar até mais de 38 mil pontos Smiles na compra de uma geladeira no Shopping Smiles.
Quer saber mais? Clique no link disponível na Bio e confira a matéria completa em nosso blog.
#milhas #pontos #lucro #beneficios #rendaextra #investimento https://t.co/gJWqn3enHe</t>
  </si>
  <si>
    <t>Até o dia 26/07, faça um upgrade do Clube Livelo e concorra a 1 milhão de pontos.
Quer saber mais? Clique no link disponível na Bio e confira a matéria completa em nosso blog.
#milhas #pontos #lucro #beneficios #rendaextra #investimento #desconto https://t.co/DBePSlL1bU</t>
  </si>
  <si>
    <t>Até quinta (06/07) você pode comprar pontos Esfera com até 50% OFF. 
Quer saber mais? Clique no link disponível na Bio e confira a matéria completa em nosso blog.
#milhas #pontos #lucro #beneficios #rendaextra #investimento #desconto https://t.co/jkUKCtT5Oe</t>
  </si>
  <si>
    <t>Até amanhã (16/06) você pode ganhar até 30% de bônus Latam Pass, enviando pontos do BRBCard para o programa.
Quer saber mais? Clique no link disponível na Bio e confira a matéria completa em nosso blog.
#milhas #pontos #lucro #beneficios #rendaextra #investimento #desconto https://t.co/99T6Zuq8mU</t>
  </si>
  <si>
    <t>Até o dia 30/06/23 faça uma transação a partir de 4.000 pontos para uma conta bancária e concorra a 1 milhão de pontos Livelo.
Quer saber mais? Clique no link disponível na Bio e confira a matéria completa em nosso blog.
#milhas #pontos #lucro #beneficios #rendaextra https://t.co/Qgm31UFTn1</t>
  </si>
  <si>
    <t>Até amanhã (16/06) você pode ganhar até 80% de bônus Smiles, enviando pontos do Itaú para o programa.
Quer saber mais? Clique no link disponível na Bio e confira a matéria completa em nosso blog.
#milhas #pontos #lucro #beneficios #rendaextra #investimento #desconto https://t.co/SMk4tIlgzQ</t>
  </si>
  <si>
    <t>Apenas hoje (15/06) você pode ganhar até 10 pontos Esfera por real em compras na Petlove Saúde.
Quer saber mais? Clique no link disponível na Bio e confira a matéria completa em nosso blog.
#milhas #pontos #lucro #beneficios #rendaextra #investimento #desconto https://t.co/tOAgQwlqfh</t>
  </si>
  <si>
    <t>Apenas hoje (15/06) você pode ganhar até 15 pontos Livelo por real em compras na Piatan Natural.
Quer saber mais? Clique no link disponível na Bio e confira a matéria completa em nosso blog.
#milhas #pontos #lucro #beneficios #rendaextra #investimento #desconto https://t.co/L7DcDGiEUq</t>
  </si>
  <si>
    <t>A partir de hoje até sexta-feira (16/06), você pode ganhar até 8 pontos LATAM Pass a cada real gasto em compras pela Casas Bahia.
Quer saber mais? Clique no link disponível na Bio e confira a matéria completa em nosso blog.
#milhas #pontos #lucro #beneficios #rendaextra o https://t.co/MsGFGiGNUV</t>
  </si>
  <si>
    <t>Até hoje (14/06), você pode ganhar até 11 pontos Livelo por R$1 na compra de um vinho selecionado na Mistral. 
Quer saber mais? Clique no link disponível na Bio e confira a matéria completa em nosso blog.
#milhas #pontos #lucro #beneficios #rendaextra #investimento #desconto https://t.co/mp4A2zDl7O</t>
  </si>
  <si>
    <t>Até o dia 30/06/23 você pode ganhar até 30% de bônus Latam Pass, enviando pontos da Caixa para o programa.
Quer saber mais? Clique no link disponível na Bio e confira a matéria completa em nosso blog.
#milhas #pontos #lucro #beneficios #rendaextra #investimento #desconto https://t.co/ZiWzGgj8tF</t>
  </si>
  <si>
    <t>Apenas hoje (14/06) você pode ganhar 6 pontos Livelo a cada R$1 em compras na Centauro.
Quer saber mais? Clique no link disponível na Bio e confira a matéria completa em nosso blog.
#milhas #pontos #lucro #beneficios #rendaextra #investimento #desconto https://t.co/2zCnKHgLXR</t>
  </si>
  <si>
    <t>Até sexta (16/06) assine o Clube Esfera e ganhe o dobro de pontos no terceiro mês.
Quer saber mais? Clique no link disponível na Bio e confira a matéria completa em nosso blog.
#milhas #pontos #lucro #beneficios #rendaextra #investimento #desconto https://t.co/sgs5pHvNb8</t>
  </si>
  <si>
    <t>Até domingo (18/06) você pode ganhar até 18 pontos Livelo por real gasto nas lojas parceiras.
Quer saber mais? Clique no link disponível na Bio e confira a matéria completa em nosso blog.
#milhas #pontos #lucro #beneficios #rendaextra #investimento #desconto https://t.co/OWH9P9Iy9u</t>
  </si>
  <si>
    <t>Até sexta (16/06) você pode ganhar até 200% de bônus TudoAzul na compra de pontos,  enviando pontos do Sicredi para o programa.
Quer saber mais? Clique no link disponível na Bio e confira a matéria completa em nosso blog.
#milhas #pontos #lucro #beneficios #rendaextra https://t.co/I2UIDdbfC7</t>
  </si>
  <si>
    <t>Até amanhã (26/05) você pode ganhar até 70% de bônus TudoAzul transferindo pontos do Modalmais para o programa.
Quer saber mais? Clique no link disponível na Bio e confira a matéria completa em nosso blog.
#milhas #pontos #lucro #beneficios #rendaextra #investimento #desconto https://t.co/pP3pvwmU8L</t>
  </si>
  <si>
    <t>Até amanhã (26/05) você pode ganhar até 100% de bônus TudoAzul transferindo pontos do BIB para o programa.
Quer saber mais? Clique no link disponível na Bio e confira a matéria completa em nosso blog.
#milhas #pontos #lucro #beneficios #rendaextra #investimento #desconto https://t.co/HZGjutHmXB</t>
  </si>
  <si>
    <t>Apenas hoje (25/05) você pode ganhar até 7 pontos Latam Pass por real gasto em produtos da Netshoes.
Quer saber mais? Clique no link disponível na Bio e confira a matéria completa em nosso blog.
#milhas #pontos #lucro #beneficios #rendaextra #investimento #desconto https://t.co/3I9NayKBHp</t>
  </si>
  <si>
    <t>Apenas hoje (25/05) você pode ganhar até 10 pontos Latam Pass a cada R$1 em compras de produtos da Casas Bahia.
Quer saber mais? Clique no link disponível na Bio e confira a matéria completa em nosso blog.
#milhas #pontos #lucro #beneficios #rendaextra #investimento #desconto https://t.co/c6A1zmMzTH</t>
  </si>
  <si>
    <t>Até amanhã (26/05) você pode ganhar até 30% de bônus Latam Pass transferindo pontos do Coopera para o programa. 
Quer saber mais? Clique no link disponível na Bio e confira a matéria completa em nosso blog.
#milhas #pontos #lucro #beneficios #rendaextra #investimento #desconto https://t.co/WoMNrZOdGv</t>
  </si>
  <si>
    <t>Até amanhã (26/05) você pode ganhar até mais de 29 mil pontos Smiles comprando uma caixa de som.
Quer saber mais? Clique no link disponível na Bio e confira a matéria completa em nosso blog.
#milhas #pontos #lucro #beneficios #rendaextra #investimento #desconto https://t.co/tZVcFjug4E</t>
  </si>
  <si>
    <t>Até sexta (26/05) você pode ganhar 6 pontos TudoAzul a cada R$1 em compras na Dafiti.
Quer saber mais? Clique no link disponível na Bio e confira a matéria completa em nosso blog.
#milhas #pontos #lucro #beneficios #rendaextra #investimento #desconto https://t.co/KDjKylXDKL</t>
  </si>
  <si>
    <t>Até sexta (26/05) você pode ganhar até 90% de bônus Smiles transferindo pontos do Banestes para o programa.
Quer saber mais? Clique no link disponível na Bio e confira a matéria completa em nosso blog.
#milhas #pontos #lucro #beneficios #rendaextra #investimento #desconto https://t.co/d738UpmR0J</t>
  </si>
  <si>
    <t>Até amanhã (25/05) você pode ganhar até 25 pontos Livelo por real gasto nas lojas parceiras.
Quer saber mais? Clique no link disponível na Bio e confira a matéria completa em nosso blog.
#milhas #pontos #lucro #beneficios #rendaextra #investimento #desconto https://t.co/aDkSEAI20n</t>
  </si>
  <si>
    <t>Até segunda (29/05) ganhe até 30% de bônus Latam Pass enviando pontos do Km de Vantagens.
Quer saber mais? Clique no link disponível na Bio e confira a matéria completa em nosso blog.
#milhas #pontos #lucro #beneficios #rendaextra #investimento #desconto https://t.co/dsGRnWz6Vx</t>
  </si>
  <si>
    <t>Até domingo (28/05) você pode ganhar até 45.000 pontos bônus, fazendo um upgrade do seu plano no Clube TudoAzul.
Quer saber mais? Clique no link disponível na Bio e confira a matéria completa em nosso blog.
#milhas #pontos #lucro #beneficios #rendaextra #investimento #desconto https://t.co/251yhZR2T3</t>
  </si>
  <si>
    <t>Até sexta (26/05) você pode ganhar 12 pontos Livelo a cada R$1 gastos na Localiza. 
Quer saber mais? Clique no link disponível na Bio e confira a matéria completa em nosso blog.
#milhas #pontos #lucro #beneficios #rendaextra #investimento #desconto https://t.co/X3VZDFIbNm</t>
  </si>
  <si>
    <t>Até quinta (25/05) você pode ganhar até 70% de bônus TudoAzul transferindo pontos do Credicard para o programa.
Quer saber mais? Clique no link disponível na Bio e confira a matéria completa em nosso blog.
#milhas #pontos #lucro #beneficios #rendaextra #investimento #desconto https://t.co/zm7f6oB5k1</t>
  </si>
  <si>
    <t>Até quinta (25/05) você pode ganhar até 10 pontos TudoAzul a cada R$1 em compras no Ponto.
Quer saber mais? Clique no link disponível na Bio e confira a matéria completa em nosso blog.
#milhas #pontos #lucro #beneficios #rendaextra #investimento #desconto https://t.co/YoR9wbTbxb</t>
  </si>
  <si>
    <t>Até as 21h de hoje (02/05) assine o Clube Smiles e ganhe até 81 mil milhas em 12 meses.
Quer saber mais? Clique no link disponível na Bio e confira a matéria completa em nosso blog.
#milhas #pontos #lucro #beneficios #rendaextra #investimento #desconto https://t.co/HigTKYxOXc</t>
  </si>
  <si>
    <t>Até o dia 14/05/23 você pode comprar produtos no Shopping Livelo e concorrer a 500 mil pontos.
Quer saber mais? Clique no link disponível na Bio e confira a matéria completa em nosso blog.
#milhas #pontos #lucro #beneficios #rendaextra #investimento #desconto https://t.co/fJ5ZSXL02I</t>
  </si>
  <si>
    <t>Até quinta (04/05) você pode ganhar 6 pontos Esfera a cada R$1 em compras na Insider. 
Quer saber mais? Clique no link disponível na Bio e confira a matéria completa em nosso blog.
#milhas #pontos #lucro #beneficios #rendaextra #investimento #desconto https://t.co/ylgo3HIA6K</t>
  </si>
  <si>
    <t>Até sábado (06/05) você pode ganhar até 80% de bônus TudoAzul transferindo pontos da Caixa para o programa. 
Quer saber mais? Clique no link disponível na Bio e confira a matéria completa em nosso blog.
#milhas #pontos #lucro #beneficios #rendaextra #investimento #desconto https://t.co/pVjLKOfiJb</t>
  </si>
  <si>
    <t>Até domingo (07/05) você pode ganhar até 5 pontos Livelo a cada R$1 em compras na Girafa Tech It Easy.
Quer saber mais? Clique no link disponível na Bio e confira a matéria completa em nosso blog.
#milhas #pontos #lucro #beneficios #rendaextra #investimento #desconto https://t.co/J8tXCA6Zjq</t>
  </si>
  <si>
    <t>Até amanhã (03/05) você pode ganhar até 6 pontos Livelo a cada R$1 em compras na Polishop.
Quer saber mais? Clique no link disponível na Bio e confira a matéria completa em nosso blog.
#milhas #pontos #lucro #beneficios #rendaextra #investimento #desconto https://t.co/e4ZZ4a89Zc</t>
  </si>
  <si>
    <t>Até domingo (30/04) você pode ganhar até 10 pontos Latam Pass por real gasto em produtos Extra. 
Quer saber mais? Clique no link disponível na Bio e confira a matéria completa em nosso blog.
#milhas #pontos #lucro #beneficios #rendaextra #investimento #desconto https://t.co/HBWJhkcXNQ</t>
  </si>
  <si>
    <t>Até domingo (30/04) você pode ganhar até 6 pontos Latam Pass por real gasto em produtos Polishop. 
Quer saber mais? Clique no link disponível na Bio e confira a matéria completa em nosso blog.
#milhas #pontos #lucro #beneficios #rendaextra #investimento #desconto https://t.co/UQaV2sY1ui</t>
  </si>
  <si>
    <t>Até terça (02/05) assine o clube Smiles e receba 10 mil milhas na hora. 
Quer saber mais? Clique no link disponível na Bio e confira a matéria completa em nosso blog.
#milhas #pontos #lucro #beneficios #rendaextra #investimento #desconto https://t.co/vEBo4vwHMH</t>
  </si>
  <si>
    <t>Apenas hoje (28/04) você pode ganhar até 15 pontos Livelo a cada R$1 gasto na contratação do Ciclic Seguros.
Quer saber mais? Clique no link disponível na Bio e confira a matéria completa em nosso blog.
#milhas #pontos #lucro #beneficios #rendaextra #investimento #desconto https://t.co/6d6jtPEAOn</t>
  </si>
  <si>
    <t>Apenas hoje (28/04) você pode ganhar até 15 pontos Livelo a cada R$1 gasto na contratação do Ciclic Seguros.
Quer saber mais? Clique no link disponível na Bio e confira a matéria completa em nosso blog.
#milhas #pontos #lucro #beneficios #rendaextra #investimento #desconto https://t.co/EFRXHIrhEc</t>
  </si>
  <si>
    <t>Até segunda (01/05) você pode ganhar até 6 pontos Livelo a cada R$1 em compras na Casas Bahia.
Quer saber mais? Clique no link disponível na Bio e confira a matéria completa em nosso blog.
#milhas #pontos #lucro #beneficios #rendaextra #investimento #desconto https://t.co/8AtOI3nTiV</t>
  </si>
  <si>
    <t>Até domingo (30/04) você pode comprar pontos Livelo com 52% de desconto.
Quer saber mais? Clique no link disponível na Bio e confira a matéria completa em nosso blog.
#milhas #pontos #lucro #beneficios #rendaextra #investimento #desconto https://t.co/d134W3yRsQ</t>
  </si>
  <si>
    <t>Apenas hoje (28/04) assine o plano do Clube Livelo e pague apenas R$ 0,99 na 1ª mensalidade.
Quer saber mais? Clique no link disponível na Bio e confira a matéria completa em nosso blog.
#milhas #pontos #lucro #beneficios #rendaextra #investimento #desconto https://t.co/Za8yE74Ma5</t>
  </si>
  <si>
    <t>Assim, apenas hoje (31/03) você pode ganhar 15 pontos Livelo a cada R$1 gasto na Ciclic.
Quer saber mais? Clique no link disponível na Bio e confira a matéria completa em nosso blog.
#milhas #pontos #lucro #beneficios #rendaextra #investimento #desconto https://t.co/Nd9SrzwM5n</t>
  </si>
  <si>
    <t>Apenas hoje (31/03) você pode ganhar 11 pontos Livelo a cada R$1 em compras na Le Lis.
Quer saber mais? Clique no link disponível na Bio e confira a matéria completa em nosso blog.
#milhas #pontos #lucro #beneficios #rendaextra #investimento #desconto https://t.co/6uYff9qDSu</t>
  </si>
  <si>
    <t>Até hoje (31/03), você consegue 52% de desconto na compra de pontos Livelo, e pode pagar em 10x sem juros.s
Quer saber mais? Clique no link disponível na Bio e confira a matéria completa em nosso blog.
#milhas #pontos #lucro #beneficios #rendaextra #investimento #desconto https://t.co/KB4riTZJW9</t>
  </si>
  <si>
    <t>Apenas hoje (31/03) você pode ganhar até 5 pontos Livelo a cada R$1 em compras na Renner.
Quer saber mais? Clique no link disponível na Bio e confira a matéria completa em nosso blog.
#milhas #pontos #lucro #beneficios #rendaextra #investimento #desconto https://t.co/gcvPuG202H</t>
  </si>
  <si>
    <t>Até terça (04/04) você pode ganhar até 10 pontos Livelo a cada R$1 em reservas na Localiza. 
Quer saber mais? Clique no link disponível na Bio e confira a matéria completa em nosso blog.
#milhas #pontos #lucro #beneficios #rendaextra #investimento #desconto https://t.co/8rDIZ23b9U</t>
  </si>
  <si>
    <t>Até o dia 09/04/23 você pode ganhar 10 pontos Esfera a cada R$1 em compras na Mistral
Quer saber mais? Clique no link disponível na Bio e confira a matéria completa em nosso blog.
#milhas #pontos #lucro #beneficios #rendaextra #investimento #desconto https://t.co/cFiSX52xZD</t>
  </si>
  <si>
    <t>Apenas hoje (31/03) você pode ganhar até 6 pontos Livelo a cada R$1 em compras na Petlove Saúde. 
Quer saber mais? Clique no link disponível na Bio e confira a matéria completa em nosso blog.
#milhas #pontos #lucro #beneficios #rendaextra #investimento #desconto https://t.co/ue9GVpaIWi</t>
  </si>
  <si>
    <t>Até amanhã (30/06) você pode ganhar 6 pontos Esfera a cada R$1 em compras na Centauro.
Quer saber mais? Clique no link disponível na Bio e confira a matéria completa em nosso blog.
#milhas #pontos #lucro #beneficios #rendaextra #investimento #desconto https://t.co/B03FMhZa1e</t>
  </si>
  <si>
    <t>Até domingo (02/07) você pode ganhar até 10 pontos Livelo a cada R$1 em compras no Extra.
Quer saber mais? Clique no link disponível na Bio e confira a matéria completa em nosso blog.
#milhas #pontos #lucro #beneficios #rendaextra #investimento #desconto https://t.co/zT9zad2ZYq</t>
  </si>
  <si>
    <t>Até amanhã (30/06) você pode ganhar até mais de 120 mil pontos Smiles na compra de um smartphone no Shopping Smiles.
Quer saber mais? Clique no link disponível na Bio e confira a matéria completa em nosso blog.
#milhas #pontos #lucro #beneficios #rendaextra #investimento https://t.co/CO5jniufw0</t>
  </si>
  <si>
    <t>Até amanhã (30/06) você pode ganhar 12 pontos Esfera a cada R$1 gasto na Netshoes.
Quer saber mais? Clique no link disponível na Bio e confira a matéria completa em nosso blog.
#milhas #pontos #lucro #beneficios #rendaextra #investimento #desconto https://t.co/DQdo2mUW4Z</t>
  </si>
  <si>
    <t>Até domingo (02/07) você pode ganhar até 6 pontos Esfera a cada R$1 gasto na Decolar.
Quer saber mais? Clique no link disponível na Bio e confira a matéria completa em nosso blog.
#milhas #pontos #lucro #beneficios #rendaextra #investimento #desconto https://t.co/tUxm2zAemU</t>
  </si>
  <si>
    <t>Até quinta (22/06) você pode ganhar até 12 pontos TudoAzul a cada R$1 em compras na Petlove.
Quer saber mais? Clique no link disponível na Bio e confira a matéria completa em nosso blog.
#milhas #pontos #lucro #beneficios #rendaextra #investimento #desconto https://t.co/5m9LC3ZqGC</t>
  </si>
  <si>
    <t>Até quinta (22/06) você pode ganhar até 30% de bônus Latam Pass, enviando pontos do PortoPlus para o programa.
Quer saber mais? Clique no link disponível na Bio e confira a matéria completa em nosso blog.
#milhas #pontos #lucro #beneficios #rendaextra #investimento #desconto https://t.co/mtAscV82wF</t>
  </si>
  <si>
    <t>Até quinta (22/06) você pode ganhar 12 pontos TudoAzul a cada R$1 em compras na Netshoes.
Quer saber mais? Clique no link disponível na Bio e confira a matéria completa em nosso blog.
#milhas #pontos #lucro #beneficios #rendaextra #investimento #desconto https://t.co/kTJZmUU02y</t>
  </si>
  <si>
    <t>Até amanhã (20/06) você pode ganhar até 80% de bônus Smiles, enviando pontos do Nubank para o programa.
Quer saber mais? Clique no link disponível na Bio e confira a matéria completa em nosso blog.
#milhas #pontos #lucro #beneficios #rendaextra #investimento #desconto https://t.co/qDKjVxn64e</t>
  </si>
  <si>
    <t>Até amanhã (20/06) você pode ganhar 13 pontos Livelo a cada R$1 em compras na Insider.
Quer saber mais? Clique no link disponível na Bio e confira a matéria completa em nosso blog.
#milhas #pontos #lucro #beneficios #rendaextra #investimento #desconto https://t.co/jQPTJCGYax</t>
  </si>
  <si>
    <t>Até quinta (22/06) você pode ganhar até 10 pontos Esfera a cada R$1 em compras na Casas Bahia.
Quer saber mais? Clique no link disponível na Bio e confira a matéria completa em nosso blog.
#milhas #pontos #lucro #beneficios #rendaextra #investimento #desconto https://t.co/O3DjaWd1u4</t>
  </si>
  <si>
    <t>Até sexta (09/06) você pode ganhar até 10 pontos Livelo a cada dólar gasto na AliExpress.
Quer saber mais? Clique no link disponível na Bio e confira a matéria completa em nosso blog.
#milhas #pontos #lucro #beneficios #rendaextra #investimento #desconto https://t.co/rxCmAebWej</t>
  </si>
  <si>
    <t>Apenas hoje (06/06) você pode ganhar até 8 pontos Livelo a cada R$1 em compras na Netshoes.
Quer saber mais? Clique no link disponível na Bio e confira a matéria completa em nosso blog.
#milhas #pontos #lucro #beneficios #rendaextra #investimento #desconto https://t.co/4xDcA22BZL</t>
  </si>
  <si>
    <t>Apenas hoje (06/06) você pode ganhar 10 pontos Livelo a cada R$1 em compras na Renner.
Quer saber mais? Clique no link disponível na Bio e confira a matéria completa em nosso blog.
#milhas #pontos #lucro #beneficios #rendaextra #investimento #desconto https://t.co/9jLDzd3nAD</t>
  </si>
  <si>
    <t>Até as 21h de hoje (06/06) você pode ganhar até 13 mil milhas na hora, assinando um plano do Clube Smiles.
Quer saber mais? Clique no link disponível na Bio e confira a matéria completa em nosso blog.
#milhas #pontos #lucro #beneficios #rendaextra #investimento #desconto https://t.co/287zNr3QZ9</t>
  </si>
  <si>
    <t>Até quinta (25/05) você pode ganhar até 10 pontos Latam Pass a cada R$1 em reservas na Movida.
Quer saber mais? Clique no link disponível na Bio e confira a matéria completa em nosso blog.
#milhas #pontos #lucro #beneficios #rendaextra #investimento #desconto https://t.co/buGTpF32c7</t>
  </si>
  <si>
    <t>Apenas hoje (19/05) você pode ganhar até 21 pontos Livelo por real gasto a cada R$1 em compras na Piatan Natural.
Quer saber mais? Clique no link disponível na Bio e confira a matéria completa em nosso blog.
#milhas #pontos #lucro #beneficios #rendaextra #investimento #desconto https://t.co/DxhxWB8lgg</t>
  </si>
  <si>
    <t>Ganhe até 16 pontos Latam Pass por dólar em reservas na Booking.
Quer saber mais? Clique no link disponível na Bio e confira a matéria completa em nosso blog.
#milhas #pontos #lucro #beneficios #rendaextra #investimento #desconto https://t.co/EhskdpbCvY</t>
  </si>
  <si>
    <t>Até o dia 31/05/23 você pode ganhar até 120 mil milhas bônus fazendo um upgrade do seu plano no Clube Smiles.
Quer saber mais? Clique no link disponível na Bio e confira a matéria completa em nosso blog.
#milhas #pontos #lucro #beneficios #rendaextra #investimento #desconto https://t.co/AvSe9qkfi6</t>
  </si>
  <si>
    <t>Apenas hoje (19/05) você pode ganhar até 15 pontos Esfera a cada R$1 em compras na Natura.
Quer saber mais? Clique no link disponível na Bio e confira a matéria completa em nosso blog.
#milhas #pontos #lucro #beneficios #rendaextra #investimento #desconto https://t.co/GR95fmqtGA</t>
  </si>
  <si>
    <t>Até segunda (22/05) você pode ganhar até 10 pontos Livelo a cada R$1 em compras no Baianão. 
Quer saber mais? Clique no link disponível na Bio e confira a matéria completa em nosso blog.
#milhas #pontos #lucro #beneficios #rendaextra #investimento #desconto https://t.co/3q6VU96qeP</t>
  </si>
  <si>
    <t>Até amanhã (16/05) você pode ganhar até 10 pontos Livelo a cada R$1 em compras na Magalu.
Quer saber mais? Clique no link disponível na Bio e confira a matéria completa em nosso blog.
#milhas #pontos #lucro #beneficios #rendaextra #investimento #desconto https://t.co/AbT6vUPkiV</t>
  </si>
  <si>
    <t>Até domingo (21/05) você pode ganhar até 8 pontos Livelo por real gasto nas lojas parceiras do segmento de viagem.
Quer saber mais? Clique no link disponível na Bio e confira a matéria completa em nosso blog.
#milhas #pontos #lucro #beneficios #rendaextra #investimento https://t.co/gF5IhwyKaD</t>
  </si>
  <si>
    <t>Até sexta (19/05) você pode ganhar até 10 pontos Esfera a cada R$1 em compras no Extra.
Quer saber mais? Clique no link disponível na Bio e confira a matéria completa em nosso blog.
#milhas #pontos #lucro #beneficios #rendaextra #investimento #desconto https://t.co/wPemu67ih6</t>
  </si>
  <si>
    <t>Até sexta (19/05) você pode ganhar 6 pontos Livelo a cada R$1 em compras na Renner.
Quer saber mais? Clique no link disponível na Bio e confira a matéria completa em nosso blog.
#milhas #pontos #lucro #beneficios #rendaextra #investimento #desconto https://t.co/K31uRUGOb1</t>
  </si>
  <si>
    <t>Até quarta (17/05) você pode ganhar até 80% de bônus TudoAzul transferindo pontos do Banrisul para o programa.
Quer saber mais? Clique no link disponível na Bio e confira a matéria completa em nosso blog.
#milhas #pontos #lucro #beneficios #rendaextra #investimento #desconto https://t.co/Zbqz3DGzyR</t>
  </si>
  <si>
    <t>Até quinta (18/05) você pode comprar pontos Esfera com até 50% de desconto.
Quer saber mais? Clique no link disponível na Bio e confira a matéria completa em nosso blog.
#milhas #pontos #lucro #beneficios #rendaextra #investimento #desconto https://t.co/qIGLT6SjLD</t>
  </si>
  <si>
    <t>Até domingo (07/05) você pode ganhar até 10 pontos Livelo a cada R$1 em compras na Coffee++.
Quer saber mais? Clique no link disponível na Bio e confira a matéria completa em nosso blog.
#milhas #pontos #lucro #beneficios #rendaextra #investimento #desconto https://t.co/k4OeLgkwPL</t>
  </si>
  <si>
    <t>Até amanhã (05/05) você pode ganhar até mais de 37 mil pontos Smiles na compra de uma TV.
Quer saber mais? Clique no link disponível na Bio e confira a matéria completa em nosso blog.
#milhas #pontos #lucro #beneficios #rendaextra #investimento #desconto https://t.co/E5weIrIY6O</t>
  </si>
  <si>
    <t>Até domingo (07/05) você pode ganhar até 10 pontos Esfera a cada R$1 em compras no Ponto.
Quer saber mais? Clique no link disponível na Bio e confira a matéria completa em nosso blog.
#milhas #pontos #lucro #beneficios #rendaextra #investimento #desconto https://t.co/ffr5ar0QR6</t>
  </si>
  <si>
    <t>Até amanhã (05/05) você pode ganhar até 16 pontos TudoAzul a cada R$1 em compras nas Casas Bahia.
Quer saber mais? Clique no link disponível na Bio e confira a matéria completa em nosso blog.
#milhas #pontos #lucro #beneficios #rendaextra #investimento #desconto https://t.co/2plT7yz2Ph</t>
  </si>
  <si>
    <t>Até amanhã (05/05) você pode ganhar até 10 pontos Livelo a cada R$1 em compras na Renner.
Quer saber mais? Clique no link disponível na Bio e confira a matéria completa em nosso blog.
#milhas #pontos #lucro #beneficios #rendaextra #investimento #desconto https://t.co/cIJPlr7I0k</t>
  </si>
  <si>
    <t>Apenas hoje (04/05) você pode ganhar até 8 pontos Livelo a cada R$1 em compras na C&amp;amp;A.
Quer saber mais? Clique no link disponível na Bio e confira a matéria completa em nosso blog.
#milhas #pontos #lucro #beneficios #rendaextra #investimento #desconto https://t.co/IdGo68Y7s1</t>
  </si>
  <si>
    <t>Até amanhã (04/05) você pode ganhar até 6 pontos Latam Pass a cada R$1 na compras de produtos Zattini no Shopping Latam Pass.
Quer saber mais? Clique no link disponível na Bio e confira a matéria completa em nosso blog.
#milhas #pontos #lucro #beneficios #rendaextra https://t.co/Vei9Nvllqu</t>
  </si>
  <si>
    <t>Até segunda (08/05) você pode ganhar até 6 pontos Livelo a cada R$1 em compras na Natura.
Quer saber mais? Clique no link disponível na Bio e confira a matéria completa em nosso blog.
#milhas #pontos #lucro #beneficios #rendaextra #investimento #desconto https://t.co/2edvljbBhc</t>
  </si>
  <si>
    <t>Até domingo (07/05) você pode ganhar 25 pontos Livelo por dólar gasto em reservas na Rentalcars. 
Quer saber mais? Clique no link disponível na Bio e confira a matéria completa em nosso blog.
#milhas #pontos #lucro #beneficios #rendaextra #investimento #desconto https://t.co/jorYjmXoxp</t>
  </si>
  <si>
    <t>Até sexta (05/05) você pode ganhar até 6 pontos Livelo a cada R$1 em compras na Amazon.
Quer saber mais? Clique no link disponível na Bio e confira a matéria completa em nosso blog.
#milhas #pontos #lucro #beneficios #rendaextra #investimento #desconto https://t.co/u4dvhAdvEE</t>
  </si>
  <si>
    <t>Até amanhã (04/05) aproveite as ofertas exclusivas do Clube Livelo Day.
Quer saber mais? Clique no link disponível na Bio e confira a matéria completa em nosso blog.
#milhas #pontos #lucro #beneficios #rendaextra #investimento #desconto https://t.co/1qSxCjdVqi</t>
  </si>
  <si>
    <t>Até amanhã (04/05) você pode comprar milhas PaGol e receber até 100% de bônus.
Quer saber mais? Clique no link disponível na Bio e confira a matéria completa em nosso blog.
#milhas #pontos #lucro #beneficios #rendaextra #investimento #desconto https://t.co/dWDllZxaV1</t>
  </si>
  <si>
    <t>Assim, até quinta (20/04) você pode ganhar até 14 pontos TudoAzul a cada R$1 em compras na Casas Bahia.
Quer saber mais? Clique no link disponível na Bio e confira a matéria completa em nosso blog.
#milhas #pontos #lucro #beneficios #rendaextra #investimento #desconto https://t.co/rjGgn0Dg1e</t>
  </si>
  <si>
    <t>Assim, até quinta (20/04) você pode ganhar 10 pontos TudoAzul a cada R$1 em compras na Camicado. 
Quer saber mais? Clique no link disponível na Bio e confira a matéria completa em nosso blog.
#milhas #pontos #lucro #beneficios #rendaextra #investimento #desconto https://t.co/kTBgaFY117</t>
  </si>
  <si>
    <t>Apenas hoje (18/04) você pode ganhar 10 pontos Esfera a cada R$1 em compras na Insider.
Quer saber mais? Clique no link disponível na Bio e confira a matéria completa em nosso blog.
#milhas #pontos #lucro #beneficios #rendaextra #investimento #desconto https://t.co/Pygh6J2ogN</t>
  </si>
  <si>
    <t>Até amanhã (19/04) você pode ganhar até 63% de bônus Smiles transferindo pontos do BRBCard para o programa.
Quer saber mais? Clique no link disponível na Bio e confira a matéria completa em nosso blog.
#milhas #pontos #lucro #beneficios #rendaextra #investimento #desconto https://t.co/IQEyIhZdoZ</t>
  </si>
  <si>
    <t>Apenas hoje (18/04) compre uma TV no Shopping Smiles e acumule até mais de 33 mil pontos Smiles.
Quer saber mais? Clique no link disponível na Bio e confira a matéria completa em nosso blog.
#milhas #pontos #lucro #beneficios #rendaextra #investimento #desconto https://t.co/gOHwmkihvZ</t>
  </si>
  <si>
    <t>Até amanhã (05/04) você pode ganhar até 15 pontos Livelo a cada R$1 em compras na Piatan Natural.
Quer saber mais? Clique no link disponível na Bio e confira a matéria completa em nosso blog.
#milhas #pontos #lucro #beneficios #rendaextra #investimento #desconto https://t.co/38iwSPX5TB</t>
  </si>
  <si>
    <t>Até as 21h de hoje (04/04) assine o plano do Clube Smiles e ganhe 9.000 milhas na hora. 
Quer saber mais? Clique no link disponível na Bio e confira a matéria completa em nosso blog.
#milhas #pontos #lucro #beneficios #rendaextra #investimento #desconto https://t.co/cF4UrWFqN7</t>
  </si>
  <si>
    <t>Até sexta (07/04) você pode ganhar até 8 pontos Livelo a cada R$1 em compras na Eudora. 
Quer saber mais? Clique no link disponível na Bio e confira a matéria completa em nosso blog.
#milhas #pontos #lucro #beneficios #rendaextra #investimento #desconto https://t.co/6hrOIqsHWj</t>
  </si>
  <si>
    <t>Até amanhã (05/04) você pode ganhar até 100% bônus TudoAzul transferindo pontos do Coopera para o programa.
Quer saber mais? Clique no link disponível na Bio e confira a matéria completa em nosso blog.
#milhas #pontos #lucro #beneficios #rendaextra #investimento #desconto https://t.co/uszHC6znvL</t>
  </si>
  <si>
    <t>Até quinta (06/04) você pode ganhar até 5 pontos Livelo a cada R$1 em compras na Riachuelo.
Quer saber mais? Clique no link disponível na Bio e confira a matéria completa em nosso blog.
#milhas #pontos #lucro #beneficios #rendaextra #investimento #desconto https://t.co/FBKY3Bj4B7</t>
  </si>
  <si>
    <t>Até sexta (07/04) você pode ganhar até 270% de bônus reativando pontos Smiles.
Quer saber mais? Clique no link disponível na Bio e confira a matéria completa em nosso blog.
#milhas #pontos #lucro #beneficios #rendaextra #investimento #desconto https://t.co/RzsFdTszeJ</t>
  </si>
  <si>
    <t>Até domingo (09/04) você pode ganhar até 15 pontos Livelo a cada R$1 em compras na Insider. 
Quer saber mais? Clique no link disponível na Bio e confira a matéria completa em nosso blog.
#milhas #pontos #lucro #beneficios #rendaextra #investimento #desconto https://t.co/EBa4SCRik2</t>
  </si>
  <si>
    <t>Até amanhã (04/04) você pode ganhar até 110% de bônus Smiles transferindo pontos da Esfera para o programa.
Quer saber mais? Clique no link disponível na Bio e confira a matéria completa em nosso blog.
#milhas #pontos #lucro #beneficios #rendaextra #investimento #desconto https://t.co/ulcGKdFlGT</t>
  </si>
  <si>
    <t>Até domingo (09/04) você pode ganhar até 8 pontos Livelo a cada R$1 em compras na Coffee++.
Quer saber mais? Clique no link disponível na Bio e confira a matéria completa em nosso blog.
#milhas #pontos #lucro #beneficios #rendaextra #investimento #desconto https://t.co/ABdhSZ2td7</t>
  </si>
  <si>
    <t>Apenas hoje (03/04) você pode ganhar até 5 pontos Livelo a cada R$1 em compras no Extra.
Quer saber mais? Clique no link disponível na Bio e confira a matéria completa em nosso blog.
#milhas #pontos #lucro #beneficios #rendaextra #investimento #desconto https://t.co/k02ldTmOKJ</t>
  </si>
  <si>
    <t>Até amanhã (17/03) receba até 80% de bônus TudoAzul transferindo pontos do Modalmais para o programa.
Quer saber mais? Clique no link disponível na Bio e confira a matéria completa em nosso blog.
#milhas #pontos #lucro #beneficios #rendaextra #investimento #desconto https://t.co/c2CK80MKi0</t>
  </si>
  <si>
    <t>Até segunda (20/03) você pode ganhar até 10 pontos Livelo a cada R$1 em compras na Polishop
Quer saber mais? Clique no link disponível na Bio e confira a matéria completa em nosso blog.
#milhas #pontos #lucro #beneficios #rendaextra #investimento #desconto https://t.co/qUyZQ4buqJ</t>
  </si>
  <si>
    <t>Apenas hoje (16/03) você pode ganhar até 10 pontos Livelo por real em compras na Renner.
Quer saber mais? Clique no link disponível na Bio e confira a matéria completa em nosso blog.
#milhas #pontos #lucro #beneficios #rendaextra #investimento #desconto https://t.co/hHwrZknK4K</t>
  </si>
  <si>
    <t>Até domingo (19/03) você pode ganhar até 12 pontos Livelo a cada R$1 em compras na Coffee++.
Quer saber mais? Clique no link disponível na Bio e confira a matéria completa em nosso blog.
#milhas #pontos #lucro #beneficios #rendaextra #investimento #desconto https://t.co/1M8tk2CJfK</t>
  </si>
  <si>
    <t>Até amanhã (16/03) você pode ganhar 10 pontos TudoAzul a cada R$1 em compras na Netshoes.
Quer saber mais? Clique no link disponível na Bio e confira a matéria completa em nosso blog.
#milhas #pontos #lucro #beneficios #rendaextra #investimento #desconto #tudoazul #netshoes https://t.co/c7ghwysTqM</t>
  </si>
  <si>
    <t>Até amanhã (16/03) você pode ganhar até 10 pontos TudoAzul a cada R$1 em compras no Ponto.
Quer saber mais? Clique no link disponível na Bio e confira a matéria completa em nosso blog.
#milhas #pontos #lucro #beneficios #rendaextra #investimento #desconto #tudoazul #ponto https://t.co/Uh98lHZtCe</t>
  </si>
  <si>
    <t>Até sexta (17/03) você pode ganhar até 18 pontos Esfera a cada R$1 em compras na Nespresso.
Quer saber mais? Clique no link disponível na Bio e confira a matéria completa em nosso blog.
#milhas #pontos #lucro #beneficios #rendaextra #investimento #desconto #esfera #nespresso https://t.co/v9pOWfbBM8</t>
  </si>
  <si>
    <t>Até amanhã (16/03) você pode ganhar 13 pontos Livelo a cada R$1 em compras na Flormel.
Quer saber mais? Clique no link disponível na Bio e confira a matéria completa em nosso blog.
#milhas #pontos #lucro #beneficios #rendaextra #investimento #desconto #livelo #flormel https://t.co/CLTLd7BVL7</t>
  </si>
  <si>
    <t>Até quinta (06/07) você pode ganhar até 10 pontos Livelo a cada R$1 em compras na Casas Bahia.
Quer saber mais? Clique no link disponível na Bio e confira a matéria completa em nosso blog.
#milhas #pontos #lucro #beneficios #rendaextra #investimento #desconto https://t.co/t3NiIySTbV</t>
  </si>
  <si>
    <t>Até domingo (09/07) você pode ganhar até 15 pontos Livelo por dólar em reservas na Rentcars.
Quer saber mais? Clique no link disponível na Bio e confira a matéria completa em nosso blog.
#milhas #pontos #lucro #beneficios #rendaextra #investimento #desconto https://t.co/09LPZ3EwjG</t>
  </si>
  <si>
    <t>Até a próxima segunda (10/07) você pode ganhar 8 pontos Livelo por dólar em reservas no Booking.
Quer saber mais? Clique no link disponível na Bio e confira a matéria completa em nosso blog.
#milhas #pontos #lucro #beneficios #rendaextra #investimento #desconto https://t.co/svW3BmrDtw</t>
  </si>
  <si>
    <t>Apenas hoje (12/06) você pode ganhar até 80% de bônus Smiles enviando pontos do BB Empresas para o programa.
Quer saber mais? Clique no link disponível na Bio e confira a matéria completa em nosso blog.
#milhas #pontos #lucro #beneficios #rendaextra #investimento #desconto https://t.co/4oYH5268Qc</t>
  </si>
  <si>
    <t>Até amanhã (13/06) você pode ganhar até 10 pontos Esfera a cada R$1 em compras na Natura.
Quer saber mais? Clique no link disponível na Bio e confira a matéria completa em nosso blog.
#milhas #pontos #lucro #beneficios #rendaextra #investimento #desconto https://t.co/oVXnXYvdgO</t>
  </si>
  <si>
    <t>A partir de hoje até esta quarta-feira (14/06), você pode acumular 6 pontos TudoAzul na compra de produtos da Magalu.
Quer saber mais? Clique no link disponível na Bio e confira a matéria completa em nosso blog.
#milhas #pontos #lucro #beneficios #rendaextra #investimento https://t.co/N296sErNxW</t>
  </si>
  <si>
    <t>Entre hoje e amanhã (13/06), você pode ganhar até 10 pontos Livelo por R$1 gasto no Ponto comprando smartphones Samsung.
Quer saber mais? Clique no link disponível na Bio e confira a matéria completa em nosso blog.
#milhas #pontos #lucro #beneficios #rendaextra https://t.co/7YHAAEQ5xW</t>
  </si>
  <si>
    <t>Até quinta-feira (15/06), você pode ganhar até 13 pontos Livelo a cada R$1 gasto na Insider. 
Quer saber mais? Clique no link disponível na Bio e confira a matéria completa em nosso blog.
#milhas #pontos #lucro #beneficios #rendaextra #investimento #desconto https://t.co/ZtDoBgWqQC</t>
  </si>
  <si>
    <t>Até sexta (16/06) você pode ganhar até 10 pontos Esfera a cada R$1 em compras no Ponto.
Quer saber mais? Clique no link disponível na Bio e confira a matéria completa em nosso blog.
#milhas #pontos #lucro #beneficios #rendaextra #investimento #desconto https://t.co/YQ9rsHMDh9</t>
  </si>
  <si>
    <t>Até amanhã (13/06) você pode ganhar até 10 pontos Livelo a cada R$1 em compras na Renner.
Quer saber mais? Clique no link disponível na Bio e confira a matéria completa em nosso blog.
#milhas #pontos #lucro #beneficios #rendaextra #investimento #desconto https://t.co/nbE5mICEaW</t>
  </si>
  <si>
    <t>Até quinta (25/05) você pode ganhar até 70% de bônus TudoAzul transferindo pontos do Itaú para o programa.
Quer saber mais? Clique no link disponível na Bio e confira a matéria completa em nosso blog.
#milhas #pontos #lucro #beneficios #rendaextra #investimento #desconto https://t.co/xwjMZdUCsl</t>
  </si>
  <si>
    <t>Até amanhã (24/05) você pode ganhar 8 pontos Esfera a cada R$1 em compras na Insider.
Quer saber mais? Clique no link disponível na Bio e confira a matéria completa em nosso blog.
#milhas #pontos #lucro #beneficios #rendaextra #investimento #desconto https://t.co/eOii0OMesq</t>
  </si>
  <si>
    <t>Apenas hoje (23/05) você pode ganhar até 10 pontos Livelo a cada R$1 em compras no Extra.
Quer saber mais? Clique no link disponível na Bio e confira a matéria completa em nosso blog.
#milhas #pontos #lucro #beneficios #rendaextra #investimento #desconto https://t.co/8Zy1whO0yI</t>
  </si>
  <si>
    <t>Até quinta (25/05) você pode ganhar 12 pontos Livelo a cada R$1 em compras na Insider.
Quer saber mais? Clique no link disponível na Bio e confira a matéria completa em nosso blog.
#milhas #pontos #lucro #beneficios #rendaextra #investimento #desconto https://t.co/7pbXPSovFi</t>
  </si>
  <si>
    <t>Até quarta (24/05) você pode comprar pontos Esfera com até 50% de desconto.
Quer saber mais? Clique no link disponível na Bio e confira a matéria completa em nosso blog.
#milhas #pontos #lucro #beneficios #rendaextra #investimento #desconto https://t.co/4rrXCjt4QZ</t>
  </si>
  <si>
    <t>Até domingo (28/05) assine um plano do Clube Livelo por R$0,99 na primeira mensalidade e ainda ganhe 500% de bônus.
Quer saber mais? Clique no link disponível na Bio e confira a matéria completa em nosso blog.
#milhas #pontos #lucro #beneficios #rendaextra #investimento https://t.co/8lS1DkCrdf</t>
  </si>
  <si>
    <t>Até sexta (26/05) você pode ganhar até 10 pontos Esfera a cada R$1 em compras no Ponto.
Quer saber mais? Clique no link disponível na Bio e confira a matéria completa em nosso blog.
#milhas #pontos #lucro #beneficios #rendaextra #investimento #desconto https://t.co/0voxg5ean9</t>
  </si>
  <si>
    <t>Até as 21h de sexta (26/05) compre pontos Smiles e receba até 200% de bônus. 
Quer saber mais? Clique no link disponível na Bio e confira a matéria completa em nosso blog.
#milhas #pontos #lucro #beneficios #rendaextra #investimento #desconto https://t.co/r25WFhCpPO</t>
  </si>
  <si>
    <t>Até amanhã (23/05) você pode ganhar até 70% de bônus Smiles enviando pontos do cartão BV para o programa. 
Quer saber mais? Clique no link disponível na Bio e confira a matéria completa em nosso blog.
#milhas #pontos #lucro #beneficios #rendaextra #investimento #desconto https://t.co/XrnNUNppMa</t>
  </si>
  <si>
    <t>Até sexta (28/04) você pode comprar pontos Esfera com até 50% de desconto.
Quer saber mais? Clique no link disponível na Bio e confira a matéria completa em nosso blog.
#milhas #pontos #lucro #beneficios #rendaextra #investimento #desconto https://t.co/tiBO7lnC1A</t>
  </si>
  <si>
    <t>Até amanhã (25/04) você pode ganhar até 70% de bônus Smiles enviando pontos Safra Rewards para o programa.
Quer saber mais? Clique no link disponível na Bio e confira a matéria completa em nosso blog.
#milhas #pontos #lucro #beneficios #rendaextra #investimento #desconto https://t.co/UX89VMTNGq</t>
  </si>
  <si>
    <t>Até amanhã (25/04) você pode ganhar até 80% de bônus TudoAzul enviando pontos da Livelo para o programa. 
Quer saber mais? Clique no link disponível na Bio e confira a matéria completa em nosso blog.
#milhas #pontos #lucro #beneficios #rendaextra #investimento #desconto https://t.co/9HCR1MRWut</t>
  </si>
  <si>
    <t>Até quarta (26/04) você pode ganhar 20% de bônus Latam Pass transferindo pontos do Itaú para o programa.
Quer saber mais? Clique no link disponível na Bio e confira a matéria completa em nosso blog.
#milhas #pontos #lucro #beneficios #rendaextra #investimento #desconto https://t.co/MMQpiQNtSd</t>
  </si>
  <si>
    <t>Até quinta (27/04) você pode ganhar até 12 pontos Livelo a cada R$1 em compras na Luxury Loyalty. 
Quer saber mais? Clique no link disponível na Bio e confira a matéria completa em nosso blog.
#milhas #pontos #lucro #beneficios #rendaextra #investimento #desconto https://t.co/OslA9uzfH0</t>
  </si>
  <si>
    <t>Até amanhã (25/04) você pode ganhar até 10 pontos Esfera a cada R$1 em compras no Ponto.
Quer saber mais? Clique no link disponível na Bio e confira a matéria completa em nosso blog.
#milhas #pontos #lucro #beneficios #rendaextra #investimento #desconto https://t.co/5G98AXk4aS</t>
  </si>
  <si>
    <t>Até as 21h de hoje (20/04) você pode ganhar até 150% de bônus comprando pontos Smiles.
Quer saber mais? Clique no link disponível na Bio e confira a matéria completa em nosso blog.
#milhas #pontos #lucro #beneficios #rendaextra #investimento #desconto https://t.co/TRT8si1hsJ</t>
  </si>
  <si>
    <t>Até domingo (23/04) você pode ganhar 10 pontos TudoAzul a cada R$1 em compras na Netshoes.
Quer saber mais? Clique no link disponível na Bio e confira a matéria completa em nosso blog.
#milhas #pontos #lucro #beneficios #rendaextra #investimento #desconto https://t.co/9PESmCRy85</t>
  </si>
  <si>
    <t>Até domingo (23/04) você pode ganhar até 12 pontos Livelo a cada R$1 em compras na Coffee++
Quer saber mais? Clique no link disponível na Bio e confira a matéria completa em nosso blog.
#milhas #pontos #lucro #beneficios #rendaextra #investimento #desconto https://t.co/2br9q8b1X3</t>
  </si>
  <si>
    <t>Apenas hoje (20/04) você pode ganhar até 10 pontos Livelo a cada R$1 em compras na Samsung.
Quer saber mais? Clique no link disponível na Bio e confira a matéria completa em nosso blog.
#milhas #pontos #lucro #beneficios #rendaextra #investimento #desconto https://t.co/pL7JOuXIxK</t>
  </si>
  <si>
    <t>Apenas hoje (20/04) você pode ganhar até 10 pontos Livelo a cada R$1 em compras na Samsung.
Quer saber mais? Clique no link disponível na Bio e confira a matéria completa em nosso blog.
#milhas #pontos #lucro #beneficios #rendaextra #investimento #desconto https://t.co/DRIoUhPCwd</t>
  </si>
  <si>
    <t>Até as 21h de amanhã (31/03) assine o Clube Smiles e receba 10 mil milhas na hora.
Quer saber mais? Clique no link disponível na Bio e confira a matéria completa em nosso blog.
#milhas #pontos #lucro #beneficios #rendaextra #investimento #desconto https://t.co/mAmrCQFSTY</t>
  </si>
  <si>
    <t>Até amanhã (31/03) você pode ganhar até 15 pontos Livelo a cada R$1 em compras na Flormel.
Quer saber mais? Clique no link disponível na Bio e confira a matéria completa em nosso blog.
#milhas #pontos #lucro #beneficios #rendaextra #investimento #desconto https://t.co/8fkK9Djh9m</t>
  </si>
  <si>
    <t>Apenas hoje (30/03) você pode ganhar até 10 pontos TudoAzul a cada R$1 em compras no Extra.
Quer saber mais? Clique no link disponível na Bio e confira a matéria completa em nosso blog.
#milhas #pontos #lucro #beneficios #rendaextra #investimento #desconto https://t.co/pMjsyjly3h</t>
  </si>
  <si>
    <t>Até amanhã (31/03) você pode pagar R$0,99 no primeiro mês assinando o plano do Clube Livelo.
Quer saber mais? Clique no link disponível na Bio e confira a matéria completa em nosso blog.
#milhas #pontos #lucro #beneficios #rendaextra #investimento #desconto https://t.co/5zm9GfdIz0</t>
  </si>
  <si>
    <t>Apenas hoje (30/03) você pode ganhar até 80% de bônus Smiles transferindo pontos do Credicard.
Quer saber mais? Clique no link disponível na Bio e confira a matéria completa em nosso blog.
#milhas #pontos #lucro #beneficios #rendaextra #investimento #desconto https://t.co/Pp6xaaxA1L</t>
  </si>
  <si>
    <t>Aapenas hoje (30/03) você pode ganhar até 80% de bônus Smiles enviando pontos do Itaú para o programa.
Quer saber mais? Clique no link disponível na Bio e confira a matéria completa em nosso blog.
#milhas #pontos #lucro #beneficios #rendaextra #investimento #desconto https://t.co/rEALm65pQT</t>
  </si>
  <si>
    <t>Até sexta (31/03) você pode ganhar até 110% de bônus TudoAzul transferindo pontos do Banestes para o programa.
Quer saber mais? Clique no link disponível na Bio e confira a matéria completa em nosso blog.
#milhas #pontos #lucro #beneficios #rendaextra #investimento #desconto https://t.co/QkPJaLYVM3</t>
  </si>
  <si>
    <t>Até sexta (31/03) você pode ganhar até 30 pontos Esfera a cada R$1 em compras na Imaginarium.
Quer saber mais? Clique no link disponível na Bio e confira a matéria completa em nosso blog.
#milhas #pontos #lucro #beneficios #rendaextra #investimento #desconto https://t.co/IAofH7VQe8</t>
  </si>
  <si>
    <t>Até sexta (31/03) você pode ganhar até 90% de bônus TudoAzul transferindo pontos Safra para o programa.
Quer saber mais? Clique no link disponível na Bio e confira a matéria completa em nosso blog.
#milhas #pontos #lucro #beneficios #rendaextra #investimento #desconto https://t.co/DxGwrOHd8e</t>
  </si>
  <si>
    <t>Até amanhã (30/03) você pode ganhar 8 pontos Esfera a cada R$1 em compras na Insider.
Quer saber mais? Clique no link disponível na Bio e confira a matéria completa em nosso blog.
#milhas #pontos #lucro #beneficios #rendaextra #investimento #desconto https://t.co/lwyXL0IWIr</t>
  </si>
  <si>
    <t>Apenas hoje (29/03) você pode ganhar até 10 pontos Latam Pass por real gasto em produtos do Extra.
Quer saber mais? Clique no link disponível na Bio e confira a matéria completa em nosso blog.
#milhas #pontos #lucro #beneficios #rendaextra #investimento #desconto https://t.co/Q5FNSKu8NN</t>
  </si>
  <si>
    <t>Até domingo (02/04) você pode ganhar até 7 pontos Esfera a cada R$1 em compras na Casas Bahia.
Quer saber mais? Clique no link disponível na Bio e confira a matéria completa em nosso blog.
#milhas #pontos #lucro #beneficios #rendaextra #investimento #desconto https://t.co/Fy0g7952vH</t>
  </si>
  <si>
    <t>Até domingo (16/07) você pode ganhar até 8 pontos Livelo a cada R$1 em compras na C&amp;amp;A.
Quer saber mais? Clique no link disponível na Bio e confira a matéria completa em nosso blog.
#milhas #pontos #lucro #beneficios #rendaextra #investimento #desconto https://t.co/ZtoLxwjBDD</t>
  </si>
  <si>
    <t>Até domingo (16/07) você pode ganhar até 12 pontos Livelo a cada R$1 em compras no Baianão.
Quer saber mais? Clique no link disponível na Bio e confira a matéria completa em nosso blog.
#milhas #pontos #lucro #beneficios #rendaextra #investimento #desconto https://t.co/Epb7AUIsvw</t>
  </si>
  <si>
    <t>Até a próxima sexta (21/07) assine o Clube Livelo e receba até 95.000 pontos bônus.
Quer saber mais? Clique no link disponível na Bio e confira a matéria completa em nosso blog.
#milhas #pontos #lucro #beneficios #rendaextra #investimento #desconto https://t.co/ORW1xXCHuL</t>
  </si>
  <si>
    <t>Até quarta (19/07) você pode ganhar até 7 pontos Esfera a cada R$1 em compras na Polishop.
Quer saber mais? Clique no link disponível na Bio e confira a matéria completa em nosso blog.
#milhas #pontos #lucro #beneficios #rendaextra #investimento #desconto https://t.co/WOfFuUi1vF</t>
  </si>
  <si>
    <t>Até domingo (16/07) você pode ganhar até 70% de bônus Smiles enviando pontos do seu cartão para o programa.
Quer saber mais? Clique no link disponível na Bio e confira a matéria completa em nosso blog.
#milhas #pontos #lucro #beneficios #rendaextra #investimento #desconto https://t.co/7jxUJF1P5w</t>
  </si>
  <si>
    <t>Até sexta (30/06) você pode ganhar 50% de bônus TudoAzul, enviando pontos do C6 Bank pela primeira vez para o programa.
Quer saber mais? Clique no link disponível na Bio e confira a matéria completa em nosso blog.
#milhas #pontos #lucro #beneficios #rendaextra #investimento https://t.co/g6EWKtiey3</t>
  </si>
  <si>
    <t>Até amanhã (29/06) você pode ganhar até 10 pontos Livelo a cada R$1 em compras na Decathlon.
Quer saber mais? Clique no link disponível na Bio e confira a matéria completa em nosso blog.
#milhas #pontos #lucro #beneficios #rendaextra #investimento #desconto https://t.co/PiE4tlvKRO</t>
  </si>
  <si>
    <t>Entre hoje até este domingo (02/07), você pode ganhar até 6 pontos Livelo por R$1 gasto no Ponto comprando smartphones Samsung.
Quer saber mais? Clique no link disponível na Bio e confira a matéria completa em nosso blog.
#milhas #pontos #lucro #beneficios #rendaextra https://t.co/yzN6KA4pTm</t>
  </si>
  <si>
    <t>Até sexta (30/06) você pode ganhar até 12 pontos TudoAzul a cada R$1 em compras na Casas Bahia.
Quer saber mais? Clique no link disponível na Bio e confira a matéria completa em nosso blog.
#milhas #pontos #lucro #beneficios #rendaextra #investimento #desconto https://t.co/FCW6s11a2X</t>
  </si>
  <si>
    <t>Só hoje (28/06) você pode ganhar até 12 pontos Livelo a cada R$1 em compras na Samsung.
Quer saber mais? Clique no link disponível na Bio e confira a matéria completa em nosso blog.
#milhas #pontos #lucro #beneficios #rendaextra #investimento #desconto https://t.co/KjbUAlyFRU</t>
  </si>
  <si>
    <t>Só hoje (28/06) você pode ganhar até mais de 4 mil pontos Smiles na compra de um perfume no Shopping Smiles.
Quer saber mais? Clique no link disponível na Bio e confira a matéria completa em nosso blog.
#milhas #pontos #lucro #beneficios #rendaextra #investimento #desconto https://t.co/PXB3FosMw0</t>
  </si>
  <si>
    <t>Até amanhã (28/06) você pode ganhar até 15 pontos Livelo a cada R$1 em compras na Renner.
Quer saber mais? Clique no link disponível na Bio e confira a matéria completa em nosso blog.
#milhas #pontos #lucro #beneficios #rendaextra #investimento #desconto https://t.co/sWFuMXtY0f</t>
  </si>
  <si>
    <t>A partir de hoje até esta quinta-feira (29/06), você pode ganhar 12 pontos TudoAzul por cada real gasto em compras pelo Portal das Malas.
Quer saber mais? Clique no link disponível na Bio e confira a matéria completa em nosso blog.
#milhas #pontos #lucro #beneficios #rendaextra https://t.co/zfo5Hdcity</t>
  </si>
  <si>
    <t>Até sexta (30/06), assine o Clube TudoAzul e ganhe até 100 mil bônus no primeiro ano.
Quer saber mais? Clique no link disponível na Bio e confira a matéria completa em nosso blog.
#milhas #pontos #lucro #beneficios #rendaextra #investimento #desconto https://t.co/PkASmzf6kL</t>
  </si>
  <si>
    <t>Até quinta (29/06) você pode ganhar até 70% de bônus TudoAzul, enviando pontos do Itaú para o programa.
Quer saber mais? Clique no link disponível na Bio e confira a matéria completa em nosso blog.
#milhas #pontos #lucro #beneficios #rendaextra #investimento #desconto https://t.co/PkdUKgQDEc</t>
  </si>
  <si>
    <t>Até sexta (30/06) você pode ganhar até 6 pontos Esfera a cada R$1 em compras no Ponto.
Quer saber mais? Clique no link disponível na Bio e confira a matéria completa em nosso blog.
#milhas #pontos #lucro #beneficios #rendaextra #investimento #desconto https://t.co/oncZpZijUY</t>
  </si>
  <si>
    <t>Até sexta (30/06) você pode ganhar até 5 pontos Livelo a cada R$1 em reservas na Localiza.
Quer saber mais? Clique no link disponível na Bio e confira a matéria completa em nosso blog.
#milhas #pontos #lucro #beneficios #rendaextra #investimento #desconto https://t.co/Etbp9f8XuX</t>
  </si>
  <si>
    <t>Até quinta (29/06) você pode ganhar até 70% de bônus TudoAzul, enviando pontos do Credicard para o programa.
Quer saber mais? Clique no link disponível na Bio e confira a matéria completa em nosso blog.
#milhas #pontos #lucro #beneficios #rendaextra #investimento #desconto https://t.co/UZSdILjCE8</t>
  </si>
  <si>
    <t>Até domingo (11/06) você pode ganhar 6 pontos Esfera a cada R$1 em compras na Casas Bahia.
Quer saber mais? Clique no link disponível na Bio e confira a matéria completa em nosso blog.
#milhas #pontos #lucro #beneficios #rendaextra #investimento #desconto https://t.co/sAFq9Q0gIk</t>
  </si>
  <si>
    <t>Até domingo (11/06) assine o Clube TudoAzul e tenha até 30% de desconto.
Quer saber mais? Clique no link disponível na Bio e confira a matéria completa em nosso blog.
#milhas #pontos #lucro #beneficios #rendaextra #investimento #desconto https://t.co/rC4b7y4Qrt</t>
  </si>
  <si>
    <t>Até domingo (11/06) você pode ganhar 400% de bônus, assinando um plano mensal do Clube Livelo.
Quer saber mais? Clique no link disponível na Bio e confira a matéria completa em nosso blog.
#milhas #pontos #lucro #beneficios #rendaextra #investimento #desconto https://t.co/KmBYjyvN7I</t>
  </si>
  <si>
    <t>Até domingo (11/06) você pode ganhar até 6 pontos Livelo a cada R$1 em compras no Ponto.
Quer saber mais? Clique no link disponível na Bio e confira a matéria completa em nosso blog.
#milhas #pontos #lucro #beneficios #rendaextra #investimento #desconto https://t.co/6SFlcl1M6E</t>
  </si>
  <si>
    <t>Apenas hoje (09/06) assine o Clube Smiles e ganhe até 270 mil milhas em 12 meses. 
Quer saber mais? Clique no link disponível na Bio e confira a matéria completa em nosso blog.
#milhas #pontos #lucro #beneficios #rendaextra #investimento #desconto https://t.co/2PoPwueY2H</t>
  </si>
  <si>
    <t>Até segunda (12/06) você pode ganhar até 30% de bônus Latam Pass enviando pontos do BB Empresas para o programa.
Quer saber mais? Clique no link disponível na Bio e confira a matéria completa em nosso blog.
#milhas #pontos #lucro #beneficios #rendaextra #investimento #desconto https://t.co/Kcmyw91b9E</t>
  </si>
  <si>
    <t>Até domingo (11/06) você pode comprar pontos TudoAzul com até 65% OFF.
Quer saber mais? Clique no link disponível na Bio e confira a matéria completa em nosso blog.
#milhas #pontos #lucro #beneficios #rendaextra #investimento #desconto https://t.co/dwKp0R8tak</t>
  </si>
  <si>
    <t>Apenas hoje (07/06) você pode ganhar até 25 pontos no Turbina Saldo Esfera com lojas parceiras.
Quer saber mais? Clique no link disponível na Bio e confira a matéria completa em nosso blog.
#milhas #pontos #lucro #beneficios #rendaextra #investimento #desconto https://t.co/MObQCRTDv6</t>
  </si>
  <si>
    <t>Apenas hoje (07/06) você pode ganhar até 10 pontos Esfera a cada R$1 em compras na Magalu.
Quer saber mais? Clique no link disponível na Bio e confira a matéria completa em nosso blog.
#milhas #pontos #lucro #beneficios #rendaextra #investimento #desconto https://t.co/W8mQ89WAu3</t>
  </si>
  <si>
    <t>Apenas hoje (07/06) você pode ganhar até 10 pontos Livelo por real gasto nas lojas parceiras.
Quer saber mais? Clique no link disponível na Bio e confira a matéria completa em nosso blog.
#milhas #pontos #lucro #beneficios #rendaextra #investimento #desconto https://t.co/nyIpX9xC7H</t>
  </si>
  <si>
    <t>Até domingo (14/05) você pode ganhar 10 pontos Livelo a cada R$1 em compras na John John. 
Quer saber mais? Clique no link disponível na Bio e confira a matéria completa em nosso blog.
#milhas #pontos #lucro #beneficios #rendaextra #investimento #desconto https://t.co/bC8qluAnVk</t>
  </si>
  <si>
    <t>Apenas hoje (12/05) você pode ganhar 10 pontos Livelo a cada R$1 em compras na Flormel.
Quer saber mais? Clique no link disponível na Bio e confira a matéria completa em nosso blog.
#milhas #pontos #lucro #beneficios #rendaextra #investimento #desconto https://t.co/FTBUu4zzKP</t>
  </si>
  <si>
    <t>Até segunda (15/05) assine o plano do Clube Smiles e receba milhas bônus + descontos na assinatura.
Quer saber mais? Clique no link disponível na Bio e confira a matéria completa em nosso blog.
#milhas #pontos #lucro #beneficios #rendaextra #investimento #desconto https://t.co/aHUyuEE2sr</t>
  </si>
  <si>
    <t>Até o dia 21/05/23 você pode ganhar até 14 pontos Livelo a cada R$1 em compras na Portallar.
Quer saber mais? Clique no link disponível na Bio e confira a matéria completa em nosso blog.
#milhas #pontos #lucro #beneficios #rendaextra #investimento #desconto https://t.co/LxR10Sewso</t>
  </si>
  <si>
    <t>Apenas hoje (12/05) você pode ganhar até 10 pontos Esfera a cada R$1 em compras na Girafa Tech It Easy. 
Quer saber mais? Clique no link disponível na Bio e confira a matéria completa em nosso blog.
#milhas #pontos #lucro #beneficios #rendaextra #investimento #desconto https://t.co/BOGAreceJ6</t>
  </si>
  <si>
    <t>Apenas hoje (12/05) você pode ganhar 6 pontos Livelo a cada R$1 em compras na Crocs.
Quer saber mais? Clique no link disponível na Bio e confira a matéria completa em nosso blog.
#milhas #pontos #lucro #beneficios #rendaextra #investimento #desconto https://t.co/Y2EdJpsaQM</t>
  </si>
  <si>
    <t>Até quarta (17/05) você pode ganhar 5 pontos Esfera a cada R$1 em reservas na Unidas. 
Quer saber mais? Clique no link disponível na Bio e confira a matéria completa em nosso blog.
#milhas #pontos #lucro #beneficios #rendaextra #investimento #desconto https://t.co/3LR8yzmmcy</t>
  </si>
  <si>
    <t>Até amanhã (12/05) você pode ganhar 6 pontos Livelo a cada R$1 em compras na O Boticário. 
Quer saber mais? Clique no link disponível na Bio e confira a matéria completa em nosso blog.
#milhas #pontos #lucro #beneficios #rendaextra #investimento #desconto https://t.co/QtKZkzU75l</t>
  </si>
  <si>
    <t>Apenas hoje (11/05) você pode ganhar até 8 pontos Livelo a cada R$1 em compras na Centauro.
Quer saber mais? Clique no link disponível na Bio e confira a matéria completa em nosso blog.
#milhas #pontos #lucro #beneficios #rendaextra #investimento #desconto https://t.co/ZpYZhoFJoA</t>
  </si>
  <si>
    <t>Até amanhã (12/05) você pode ganhar até mais de 13 mil pontos Smiles na compra de uma impressora no Shopping Smiles.
Quer saber mais? Clique no link disponível na Bio e confira a matéria completa em nosso blog.
#milhas #pontos #lucro #beneficios #rendaextra #investimento https://t.co/Fzt0uUpW4L</t>
  </si>
  <si>
    <t>Até amanhã (12/05) você pode ganhar 5 pontos Esfera a cada R$1 em compras na Riachuelo.
Quer saber mais? Clique no link disponível na Bio e confira a matéria completa em nosso blog.
#milhas #pontos #lucro #beneficios #rendaextra #investimento #desconto https://t.co/c61LHOaOj7</t>
  </si>
  <si>
    <t>Até amanhã (12/05) você pode ganhar até 10 pontos Livelo a cada R$1 em compras na Girafa tech it Easy. 
Quer saber mais? Clique no link disponível na Bio e confira a matéria completa em nosso blog.
#milhas #pontos #lucro #beneficios #rendaextra #investimento #desconto https://t.co/KQWx4cR4IA</t>
  </si>
  <si>
    <t>Até sexta (21/04) você pode ganhar até 20% de bônus Latam Pass enviando pontos do seu cartão para o programa. 
Quer saber mais? Clique no link disponível na Bio e confira a matéria completa em nosso blog.
#milhas #pontos #lucro #beneficios #rendaextra #investimento #desconto https://t.co/QsM7aoG2Qs</t>
  </si>
  <si>
    <t>Até quinta (20/04) você pode ganhar até 70% de bônus TudoAzul transferindo pontos do Credicard para o programa.
Quer saber mais? Clique no link disponível na Bio e confira a matéria completa em nosso blog.
#milhas #pontos #lucro #beneficios #rendaextra #investimento #desconto https://t.co/elcfv4Vsz7</t>
  </si>
  <si>
    <t>Até quinta (20/04) você pode ganhar até 80% de bônus TudoAzul transferindo milhas do Itaú para o programa. 
Quer saber mais? Clique no link disponível na Bio e confira a matéria completa em nosso blog.
#milhas #pontos #lucro #beneficios #rendaextra #investimento #desconto https://t.co/5eRsR11VhQ</t>
  </si>
  <si>
    <t>Até o dia 30/04/23 você pode ganhar até 15 pontos Esfera a cada R$1 na contratação do Petlove Saúde.
Quer saber mais? Clique no link disponível na Bio e confira a matéria completa em nosso blog.
#milhas #pontos #lucro #beneficios #rendaextra #investimento #desconto https://t.co/RVi8D6DqW8</t>
  </si>
  <si>
    <t>Até quarta (19/04) você pode ganhar até 100% de bônus comprando milhas PaGol. 
Quer saber mais? Clique no link disponível na Bio e confira a matéria completa em nosso blog.
#milhas #pontos #lucro #beneficios #rendaextra #investimento #desconto https://t.co/zP79PJPp7c</t>
  </si>
  <si>
    <t>Apenas hoje (17/04) você pode ganhar até 15 pontos Livelo a cada R$1 em compras na Petlove Saúde. 
Quer saber mais? Clique no link disponível na Bio e confira a matéria completa em nosso blog.
#milhas #pontos #lucro #beneficios #rendaextra #investimento #desconto https://t.co/YGah1LYmwp</t>
  </si>
  <si>
    <t>Apenas hoje (24/03) você pode ganhar até 12 pontos Livelo a cada R$1 em compras na Portallar. 
Quer saber mais? Clique no link disponível na Bio e confira a matéria completa em nosso blog.
#milhas #pontos #lucro #beneficios #rendaextra #investimento #desconto https://t.co/f2C8vfg23p</t>
  </si>
  <si>
    <t>Até domingo (26/03) você pode ganhar até 14 pontos Livelo a cada R$1 em compras na Insider. 
Quer saber mais? Clique no link disponível na Bio e confira a matéria completa em nosso blog.
#milhas #pontos #lucro #beneficios #rendaextra #investimento #desconto https://t.co/vURrwSluaV</t>
  </si>
  <si>
    <t>Até segunda (27/03) você pode ganhar até 8 pontos Livelo a cada R$1 em compras no Polishop.
Quer saber mais? Clique no link disponível na Bio e confira a matéria completa em nosso blog.
#milhas #pontos #lucro #beneficios #rendaextra #investimento #desconto https://t.co/lpiUbT5BR8</t>
  </si>
  <si>
    <t>Até domingo (26/03) você pode ganhar 10 pontos Livelo a cada R$1 em compras na Individual.
Quer saber mais? Clique no link disponível na Bio e confira a matéria completa em nosso blog.
#milhas #pontos #lucro #beneficios #rendaextra #investimento #desconto https://t.co/9k23ezGwMk</t>
  </si>
  <si>
    <t>Até amanhã (24/03) você pode ganhar até 15 pontos Esfera a cada R$1 em compras na Insider.
Quer saber mais? Clique no link disponível na Bio e confira a matéria completa em nosso blog.
#milhas #pontos #lucro #beneficios #rendaextra #investimento #desconto https://t.co/WiPnx6Zp8L</t>
  </si>
  <si>
    <t>Apenas hoje (23/03) você pode ganhar 8 pontos Esfera a cada R$1 em compras na Centauro.
Quer saber mais? Clique no link disponível na Bio e confira a matéria completa em nosso blog.
#milhas #pontos #lucro #beneficios #rendaextra #investimento #desconto https://t.co/jnUFA4rbcu</t>
  </si>
  <si>
    <t>Até amanhã (24/03) você pode ganhar até 14 pontos Livelo a cada R$1 em compras na Luxury Loyalty.
Quer saber mais? Clique no link disponível na Bio e confira a matéria completa em nosso blog.
#milhas #pontos #lucro #beneficios #rendaextra #investimento #desconto https://t.co/advIyf6lMq</t>
  </si>
  <si>
    <t>Até sexta (24/03) você pode ganhar até 5 pontos Livelo por dólar gasto em compras na AliExpress
Quer saber mais? Clique no link disponível na Bio e confira a matéria completa em nosso blog.
#milhas #pontos #lucro #beneficios #rendaextra #investimento #desconto https://t.co/aomeCrKku0</t>
  </si>
  <si>
    <t>Até domingo (26/03) você pode ganhar 5 pontos Livelo a cada R$1 em compras na Renner.
Quer saber mais? Clique no link disponível na Bio e confira a matéria completa em nosso blog.
#milhas #pontos #lucro #beneficios #rendaextra #investimento #desconto https://t.co/4Mgj3tQCYJ</t>
  </si>
  <si>
    <t>Até amanhã (23/03) você pode ganhar até 6 pontos Livelo a cada R$1 em compras na Drogarias São Paulo
Quer saber mais? Clique no link disponível na Bio e confira a matéria completa em nosso blog.
#milhas #pontos #lucro #beneficios #rendaextra #investimento #desconto https://t.co/Fyof4Izrvt</t>
  </si>
  <si>
    <t>Até sexta (24/03) você pode ganhar 12 pontos TudoAzul a cada R$1 em compras no Portal das Malas.
Quer saber mais? Clique no link disponível na Bio e confira a matéria completa em nosso blog.
#milhas #pontos #lucro #beneficios #rendaextra #investimento #desconto https://t.co/8kyGlwqRNT</t>
  </si>
  <si>
    <t>Até amanhã (23/03) você pode ganhar até 8 pontos Livelo a cada R$1 em compras na Netshoes.
Quer saber mais? Clique no link disponível na Bio e confira a matéria completa em nosso blog.
#milhas #pontos #lucro #beneficios #rendaextra #investimento #desconto https://t.co/HBvPq8HwR7</t>
  </si>
  <si>
    <t>Até amanhã (23/03) você pode ganhar até 8 pontos Livelo a cada R$1 em compras na Netshoes.
Quer saber mais? Clique no link disponível na Bio e confira a matéria completa em nosso blog.
#milhas #pontos #lucro #beneficios #rendaextra #investimento #desconto https://t.co/tmKKQyRlHj</t>
  </si>
  <si>
    <t>Até amanhã (22/03) você pode ganhar até 15 pontos Livelo a cada R$1 em compras nas lojas parceiras.
Quer saber mais? Clique no link disponível na Bio e confira a matéria completa em nosso blog.
#milhas #pontos #lucro #beneficios #rendaextra #investimento #desconto https://t.co/YFf4S5xvQq</t>
  </si>
  <si>
    <t>Até a próxima terça (28/03) você pode ganhar até 6.000 pontos ALL em suas próximas reservas em hotéis participantes. 
Quer saber mais? Clique no link disponível na Bio e confira a matéria completa em nosso blog.
#milhas #pontos #lucro #beneficios #rendaextra #desconto https://t.co/OnLQy4y9Yo</t>
  </si>
  <si>
    <t>Até sábado (25/03) você pode enviar pontos do Latam Pass para o ALL com conversão especial e ganhar 5% de bônus após se hospedar.
Quer saber mais? Clique no link disponível na Bio e confira a matéria completa em nosso blog.
#milhas #pontos #lucro #beneficios #rendaextra https://t.co/lSoKbQclXX</t>
  </si>
  <si>
    <t>Até quinta (23/03) você pode ganhar até 80% de bônus TudoAzul enviando pontos do Itaú para o programa.
Quer saber mais? Clique no link disponível na Bio e confira a matéria completa em nosso blog.
#milhas #pontos #lucro #beneficios #rendaextra #investimento #desconto https://t.co/7lkjkIIukG</t>
  </si>
  <si>
    <t>Até amanhã (22/03) você pode ganhar até 80% de bônus TudoAzul transferindo pontos do Banrisul para o programa.
Quer saber mais? Clique no link disponível na Bio e confira a matéria completa em nosso blog.
#milhas #pontos #lucro #beneficios #rendaextra #investimento #desconto https://t.co/2nzEEC8b0M</t>
  </si>
  <si>
    <t>Até sexta (24/03) você pode ganhar até 5 pontos Livelo a cada R$1 em reservas no Privé Hotéis e Parques.
Quer saber mais? Clique no link disponível na Bio e confira a matéria completa em nosso blog.
#milhas #pontos #lucro #beneficios #rendaextra #investimento #desconto https://t.co/cTKAUXCAG8</t>
  </si>
  <si>
    <t>Até quarta (22/03) você pode ganhar 8 pontos Livelo a cada R$1 em compras na Studio Z.
Quer saber mais? Clique no link disponível na Bio e confira a matéria completa em nosso blog.
#milhas #pontos #lucro #beneficios #rendaextra #investimento #desconto #livelo #studioz https://t.co/2uaeoTDuxi</t>
  </si>
  <si>
    <t>Até quinta (23/03) você pode ganhar até 80% de bônus TudoAzul transferindo pontos do Credicard para o programa.
Quer saber mais? Clique no link disponível na Bio e confira a matéria completa em nosso blog.
#milhas #pontos #lucro #beneficios #rendaextra #investimento #desconto https://t.co/nnTTDDTtN5</t>
  </si>
  <si>
    <t>Até quarta (22/03) você pode ganhar até 70% de bônus Smiles transferindo pontos do PortoBank para o programa.
Quer saber mais? Clique no link disponível na Bio e confira a matéria completa em nosso blog.
#milhas #pontos #lucro #beneficios #rendaextra #investimento #smiles https://t.co/TUhGkxEtDJ</t>
  </si>
  <si>
    <t>Até sexta (24/03) você pode ganhar até 5 pontos Livelo a cada R$1 em compras no Extra. 
Quer saber mais? Clique no link disponível na Bio e confira a matéria completa em nosso blog.
#milhas #pontos #lucro #beneficios #rendaextra #investimento #desconto #extra #livelo https://t.co/cdxU8JKQap</t>
  </si>
  <si>
    <t>Até a próxima segunda (27/03) você pode ganhar até 60% de bônus TudoAzul transferindo pontos do Km de Vantagens para o programa.
Quer saber mais? Clique no link disponível na Bio e confira a matéria completa em nosso blog.
#milhas #pontos #lucro #beneficios #rendaextra https://t.co/p1cTNZnu1K</t>
  </si>
  <si>
    <t>Até amanhã (21/03) você pode ganhar 8 pontos Esfera a cada R$1 em compras na Camicado.
Quer saber mais? Clique no link disponível na Bio e confira a matéria completa em nosso blog.
#milhas #pontos #lucro #beneficios #rendaextra #investimento #desconto https://t.co/r4MCsJSVoI</t>
  </si>
  <si>
    <t>Até amanhã (14/07) você pode ganhar até mais de 70 mil pontos Smiles na compra de um Macbook.
Quer saber mais? Clique no link disponível na Bio e confira a matéria completa em nosso blog.
#milhas #pontos #lucro #beneficios #rendaextra #investimento #desconto https://t.co/Si1JjAF2vJ</t>
  </si>
  <si>
    <t>Até o dia 23/07/23 você pode ganhar até 15 pontos Livelo a cada R$1 em compras na Portallar.
Quer saber mais? Clique no link disponível na Bio e confira a matéria completa em nosso blog.
#milhas #pontos #lucro #beneficios #rendaextra #investimento #desconto https://t.co/hepUB4xDpR</t>
  </si>
  <si>
    <t>Até domingo (16/07) compre pontos Esfera com até 50% OFF.
Quer saber mais? Clique no link disponível na Bio e confira a matéria completa em nosso blog.
#milhas #pontos #lucro #beneficios #rendaextra #investimento #desconto https://t.co/SjPQiUbFET</t>
  </si>
  <si>
    <t>Até sexta (14/07) você pode ganhar até 10 pontos Livelo a cada R$1 em compras na Renner.
Quer saber mais? Clique no link disponível na Bio e confira a matéria completa em nosso blog.
#milhas #pontos #lucro #beneficios #rendaextra #investimento #desconto https://t.co/AI0RuQXrlz</t>
  </si>
  <si>
    <t>Até amanhã (13/07) você pode ganhar 10 pontos Esfera a cada R$1 em compras na Mistral. 
Quer saber mais? Clique no link disponível na Bio e confira a matéria completa em nosso blog.
#milhas #pontos #lucro #beneficios #rendaextra #investimento #desconto https://t.co/PEMyFTejje</t>
  </si>
  <si>
    <t>Apenas hoje (12/07) você pode ganhar até 15 pontos Livelo a cada R$1 em compras na Natura.
Quer saber mais? Clique no link disponível na Bio e confira a matéria completa em nosso blog.
#milhas #pontos #lucro #beneficios #rendaextra #investimento #desconto https://t.co/mzln5sGP1V</t>
  </si>
  <si>
    <t>Até terça (18/07) você pode ganhar 5 pontos Esfera a cada R$1 em compras na Unidas.
Quer saber mais? Clique no link disponível na Bio e confira a matéria completa em nosso blog.
#milhas #pontos #lucro #beneficios #rendaextra #investimento #desconto https://t.co/iJxCHtKnSU</t>
  </si>
  <si>
    <t>Até amanhã (11/07) você pode ganhar até 80% de bônus Smiles, enviando pontos Esfera para o programa.
Quer saber mais? Clique no link disponível na Bio e confira a matéria completa em nosso blog.
#milhas #pontos #lucro #beneficios #rendaextra #investimento #desconto https://t.co/Ntbtox5NTO</t>
  </si>
  <si>
    <t>Apenas hoje (10/07) participe do Festival de pontos Livelo e acumule até 10 pontos por real.
Quer saber mais? Clique no link disponível na Bio e confira a matéria completa em nosso blog.
#milhas #pontos #lucro #beneficios #rendaextra #investimento #desconto https://t.co/iGOqR5QYYd</t>
  </si>
  <si>
    <t>Até amanhã (11/07) compre pontos Esfera com até 50% OFF e ganhe pontos extras.
Quer saber mais? Clique no link disponível na Bio e confira a matéria completa em nosso blog.
#milhas #pontos #lucro #beneficios #rendaextra #investimento #desconto https://t.co/0zTfmdzpkS</t>
  </si>
  <si>
    <t>Até sexta (14/07) você pode ganhar até 7 pontos Esfera a cada R$1 em compras no Extra.
Quer saber mais? Clique no link disponível na Bio e confira a matéria completa em nosso blog.
#milhas #pontos #lucro #beneficios #rendaextra #investimento #desconto https://t.co/c0n6fPGEYM</t>
  </si>
  <si>
    <t>Até sexta (14/07) você pode ganhar até 14 pontos Livelo a cada R$1 em compras na Insider.
Quer saber mais? Clique no link disponível na Bio e confira a matéria completa em nosso blog.
#milhas #pontos #lucro #beneficios #rendaextra #investimento #desconto https://t.co/vBtktY6nBW</t>
  </si>
  <si>
    <t>Até quarta (07/06) você pode ganhar 5 pontos Esfera a cada R$1 em reservas na Unidas.
Quer saber mais? Clique no link disponível na Bio e confira a matéria completa em nosso blog.
#milhas #pontos #lucro #beneficios #rendaextra #investimento #desconto https://t.co/DK7S9CumNU</t>
  </si>
  <si>
    <t>Apenas hoje (02/06) você pode ganhar 8 pontos Esfera a cada R$1 em compras na Insider.
Quer saber mais? Clique no link disponível na Bio e confira a matéria completa em nosso blog.
#milhas #pontos #lucro #beneficios #rendaextra #investimento #desconto https://t.co/Vwz5Te0Qka</t>
  </si>
  <si>
    <t>Até terça (06/06) você pode ganhar até 25 pontos Livelo por dólar em reservas na Rentalcars.
Quer saber mais? Clique no link disponível na Bio e confira a matéria completa em nosso blog.
#milhas #pontos #lucro #beneficios #rendaextra #investimento #desconto https://t.co/tin8uWJtov</t>
  </si>
  <si>
    <t>Até segunda (05/06) você pode ganhar até 10 pontos Livelo a cada R$1 em compras na Dzarm.
Quer saber mais? Clique no link disponível na Bio e confira a matéria completa em nosso blog.
#milhas #pontos #lucro #beneficios #rendaextra #investimento #desconto https://t.co/ofwMYbU3vH</t>
  </si>
  <si>
    <t>Até amanhã (02/06) você pode ganhar até mais de 120 mil pontos Smiles comprando um celular Samsung no Shopping Smiles.
Quer saber mais? Clique no link disponível na Bio e confira a matéria completa em nosso blog.
#milhas #pontos #lucro #beneficios #rendaextra #investimento https://t.co/J80U4RzbFQ</t>
  </si>
  <si>
    <t>Até amanhã (02/06) você pode ganhar até 12 pontos Livelo a cada R$1 em compras na Magalu.
Quer saber mais? Clique no link disponível na Bio e confira a matéria completa em nosso blog.
#milhas #pontos #lucro #beneficios #rendaextra #investimento #desconto https://t.co/HrqWQudlbj</t>
  </si>
  <si>
    <t>Até amanhã (02/06) você pode ganhar 10 pontos Livelo a cada R$1 em compras na Samsung.
Quer saber mais? Clique no link disponível na Bio e confira a matéria completa em nosso blog.
#milhas #pontos #lucro #beneficios #rendaextra #investimento #desconto https://t.co/GpxnX6i4Au</t>
  </si>
  <si>
    <t>Até amanhã (02/06) você pode ganhar 6 pontos Livelo a cada R$1 em compras na Renner.
Quer saber mais? Clique no link disponível na Bio e confira a matéria completa em nosso blog.
#milhas #pontos #lucro #beneficios #rendaextra #investimento #desconto https://t.co/ixHt78Afa1</t>
  </si>
  <si>
    <t>Até amanhã (01/06) você pode ganhar até 30% de bônus Latam Pass enviando pontos da Esfera para o programa.
Quer saber mais? Clique no link disponível na Bio e confira a matéria completa em nosso blog.
#milhas #pontos #lucro #beneficios #rendaextra #investimento #desconto https://t.co/espF1D3Vnc</t>
  </si>
  <si>
    <t>Apenas hoje (31/05) você pode ganhar até 13 pontos Livelo a cada R$1 em compras na Luxury Loyalty. 
Quer saber mais? Clique no link disponível na Bio e confira a matéria completa em nosso blog.
#milhas #pontos #lucro #beneficios #rendaextra #investimento #desconto https://t.co/EB74wtBmzg</t>
  </si>
  <si>
    <t>Até amanhã (31/05) você pode ganhar até 13 pontos Livelo a cada R$1 em compras no Coffee++.
Quer saber mais? Clique no link disponível na Bio e confira a matéria completa em nosso blog.
#milhas #pontos #lucro #beneficios #rendaextra #investimento #desconto https://t.co/uL4oZhWLbo</t>
  </si>
  <si>
    <t>Até domingo (04/06) você pode ganhar 5 pontos Esfera a cada R$1 em compras na Riachuelo.
Quer saber mais? Clique no link disponível na Bio e confira a matéria completa em nosso blog.
#milhas #pontos #lucro #beneficios #rendaextra #investimento #desconto https://t.co/DFd80Q8Hrc</t>
  </si>
  <si>
    <t>Até as 20h de amanhã (31/05) você pode ganhar até 120% de bônus ao todo enviando pontos da Livelo para o programa Smiles.
Quer saber mais? Clique no link disponível na Bio e confira a matéria completa em nosso blog.
#milhas #pontos #lucro #beneficios #rendaextra #investimento https://t.co/xqvbHf12E7</t>
  </si>
  <si>
    <t>Apenas hoje (30/05) você pode ganhar até 20 pontos Esfera a cada R$1 gasto na Petlove Saúde.
Quer saber mais? Clique no link disponível na Bio e confira a matéria completa em nosso blog.
#milhas #pontos #lucro #beneficios #rendaextra #investimento #desconto https://t.co/6qTbVozCzC</t>
  </si>
  <si>
    <t>Até as 21h de hoje (30/05) você pode ganhar 10.000 na hora, assinando um plano do Clube Smiles.
Quer saber mais? Clique no link disponível na Bio e confira a matéria completa em nosso blog.
#milhas #pontos #lucro #beneficios #rendaextra #investimento #desconto https://t.co/NsnjFEWct1</t>
  </si>
  <si>
    <t>Até segunda (08/05) você pode ganhar 8 pontos Livelo a cada R$1 em compras na Individual.
Quer saber mais? Clique no link disponível na Bio e confira a matéria completa em nosso blog.
#milhas #pontos #lucro #beneficios #rendaextra #investimento #desconto https://t.co/gzx0l2d99R</t>
  </si>
  <si>
    <t>Apenas hoje (05/05) você pode ganhar até 10 pontos Latam Pass a cada R$1 em produtos da Magalu no Shopping Latam Pass.
Quer saber mais? Clique no link disponível na Bio e confira a matéria completa em nosso blog.
#milhas #pontos #lucro #beneficios #rendaextra #investimento https://t.co/ix4wgtoAWK</t>
  </si>
  <si>
    <t>Até domingo (07/05) você pode ganhar até 5 pontos Esfera a cada R$1 em compras na Nespresso.
Quer saber mais? Clique no link disponível na Bio e confira a matéria completa em nosso blog.
#milhas #pontos #lucro #beneficios #rendaextra #investimento #desconto https://t.co/wEl1pxouki</t>
  </si>
  <si>
    <t>Apenas hoje (05/05) você pode ganhar até 14 pontos TudoAzul a cada R$1 em compras na Renner.
Quer saber mais? Clique no link disponível na Bio e confira a matéria completa em nosso blog.
#milhas #pontos #lucro #beneficios #rendaextra #investimento #desconto https://t.co/DtieI89RHn</t>
  </si>
  <si>
    <t>Apenas hoje (05/05) você pode ganhar até 25 pontos Livelo a cada R$1 contratando o Petlove Saúde.
Quer saber mais? Clique no link disponível na Bio e confira a matéria completa em nosso blog.
#milhas #pontos #lucro #beneficios #rendaextra #investimento #desconto https://t.co/C0rCR0izsF</t>
  </si>
  <si>
    <t>Até domingo (07/05) você pode ganhar até 10 pontos Livelo a cada R$1 em compras na Magalu.
Quer saber mais? Clique no link disponível na Bio e confira a matéria completa em nosso blog.
#milhas #pontos #lucro #beneficios #rendaextra #investimento #desconto https://t.co/DLKxG8u7r6</t>
  </si>
  <si>
    <t>Apenas hoje (12/04) você pode ganhar até 6 pontos Livelo a cada R$1 em compras na Crocs.
Quer saber mais? Clique no link disponível na Bio e confira a matéria completa em nosso blog.
#milhas #pontos #lucro #beneficios #rendaextra #investimento #desconto https://t.co/R8ruaL29s1</t>
  </si>
  <si>
    <t>Até sexta (14/04) você pode ganhar até 15 pontos Esfera a cada R$1 em compras na Insider.
Quer saber mais? Clique no link disponível na Bio e confira a matéria completa em nosso blog.
#milhas #pontos #lucro #beneficios #rendaextra #investimento #desconto https://t.co/c5ILhvIpkF</t>
  </si>
  <si>
    <t>Apenas hoje (12/04) assine o Clube Smiles e receba 16 mil milhas em 6 meses.
Quer saber mais? Clique no link disponível na Bio e confira a matéria completa em nosso blog.
#milhas #pontos #lucro #beneficios #rendaextra #investimento #desconto https://t.co/E1Js4fXz1s</t>
  </si>
  <si>
    <t>Até amanhã (13/04) você pode ganhar até 7 pontos Livelo a cada R$1 em compras na Sephora.
Quer saber mais? Clique no link disponível na Bio e confira a matéria completa em nosso blog.
#milhas #pontos #lucro #beneficios #rendaextra #investimento #desconto https://t.co/WwMGE7aomH</t>
  </si>
  <si>
    <t>Até sexta (14/04) você pode ganhar até 10 pontos Livelo a cada R$1 em compras na Casas Bahia.
Quer saber mais? Clique no link disponível na Bio e confira a matéria completa em nosso blog.
#milhas #pontos #lucro #beneficios #rendaextra #investimento #desconto https://t.co/kEHCDkoT9C</t>
  </si>
  <si>
    <t>Apenas hoje (11/04) você pode ganhar até 6 pontos Esfera a cada R$1 em compras na Magalu.
Quer saber mais? Clique no link disponível na Bio e confira a matéria completa em nosso blog.
#milhas #pontos #lucro #beneficios #rendaextra #investimento #desconto https://t.co/9UVhBKZyMf</t>
  </si>
  <si>
    <t>Apenas hoje (11/04) você pode ganhar até mais de 88 mil pontos Smiles comprando um Iphone no Shopping Smiles.
Quer saber mais? Clique no link disponível na Bio e confira a matéria completa em nosso blog.
#milhas #pontos #lucro #beneficios #rendaextra #investimento #desconto https://t.co/s1gGUINCOW</t>
  </si>
  <si>
    <t>Até domingo (16/04) você pode ganhar até 15 pontos Latam Pass por real em reservas na Movida.
Quer saber mais? Clique no link disponível na Bio e confira a matéria completa em nosso blog.
#milhas #pontos #lucro #beneficios #rendaextra #investimento #desconto https://t.co/5PKjL9Id5C</t>
  </si>
  <si>
    <t>Até sexta (14/04) você pode ganhar até 10 pontos Livelo a cada R$1 em compras no Extra.
Quer saber mais? Clique no link disponível na Bio e confira a matéria completa em nosso blog.
#milhas #pontos #lucro #beneficios #rendaextra #investimento #desconto https://t.co/GOplDcHF0Y</t>
  </si>
  <si>
    <t>Até quarta (12/04) você pode ganhar até 70% de bônus TudoAzul transferindo pontos para o programa. 
Quer saber mais? Clique no link disponível na Bio e confira a matéria completa em nosso blog.
#milhas #pontos #lucro #beneficios #rendaextra #investimento #desconto https://t.co/mSqvSW6fzD</t>
  </si>
  <si>
    <t>Até sexta (14/04) você pode ganhar até 10 pontos Esfera a cada R$1 em reservas no https://t.co/7O4GAoH2o4.
Quer saber mais? Clique no link disponível na Bio e confira a matéria completa em nosso blog.
#milhas #pontos #lucro #beneficios #rendaextra #investimento #desconto https://t.co/sYbIiFwS6J</t>
  </si>
  <si>
    <t>Até sexta (14/04) você pode ganhar até 10 pontos Esfera a cada R$1 em reservas no https://t.co/7O4GAoH2o4.
Quer saber mais? Clique no link disponível na Bio e confira a matéria completa em nosso blog.
#milhas #pontos #lucro #beneficios #rendaextra #investimento #desconto https://t.co/S2lw8FwHiP</t>
  </si>
  <si>
    <t>Apenas hoje (10/04) você pode ganhar até 10 pontos no Festival de Pontos Livelo por real em compras nas lojas parceiras.
Quer saber mais? Clique no link disponível na Bio e confira a matéria completa em nosso blog.
#milhas #pontos #lucro #beneficios #rendaextra #investimento https://t.co/2cCITURVYw</t>
  </si>
  <si>
    <t>Apenas hoje (10/04) assine o Clube Livelo e ganhe 25% de bônus por mês. 
Quer saber mais? Clique no link disponível na Bio e confira a matéria completa em nosso blog.
#milhas #pontos #lucro #beneficios #rendaextra #investimento #desconto https://t.co/oYN1eDUaSJ</t>
  </si>
  <si>
    <t>Somente hoje (06/04), você pode ganhar 10 pontos Esfera a cada real gasto em compras pela loja.
Quer saber mais? Clique no link disponível na Bio e confira a matéria completa em nosso blog.
#milhas #pontos #lucro #beneficios #rendaextra #investimento #desconto https://t.co/oFEPQA6Za5</t>
  </si>
  <si>
    <t>Até domingo (09/04) você pode ganhar 8 pontos Livelo a cada R$1 em compras na Individual.
Quer saber mais? Clique no link disponível na Bio e confira a matéria completa em nosso blog.
#milhas #pontos #lucro #beneficios #rendaextra #investimento #desconto https://t.co/OEGeOENXws</t>
  </si>
  <si>
    <t>Até amanhã (07/04) ganhe 8 pontos Esfera a cada R$1 em compras na Insider.
Quer saber mais? Clique no link disponível na Bio e confira a matéria completa em nosso blog.
#milhas #pontos #lucro #beneficios #rendaextra #investimento #desconto https://t.co/OVyTiIfprP</t>
  </si>
  <si>
    <t>Apenas hoje (06/04) você pode ganhar até 10 pontos Livelo a cada R$1 em compras no Ponto.
Quer saber mais? Clique no link disponível na Bio e confira a matéria completa em nosso blog.
#milhas #pontos #lucro #beneficios #rendaextra #investimento #desconto https://t.co/vQNHIZ2FIv</t>
  </si>
  <si>
    <t>Até o dia 14/04/23 você pode ganhar até 80% de bônus Smiles transferindo pontos da Caixa para o programa.
Quer saber mais? Clique no link disponível na Bio e confira a matéria completa em nosso blog.
#milhas #pontos #lucro #beneficios #rendaextra #investimento #desconto https://t.co/vMIj83l6Mt</t>
  </si>
  <si>
    <t>Até domingo (09/04) você pode ganhar até 10 pontos Esfera a cada R$1 em compras na Girafa Tech It Easy.
Quer saber mais? Clique no link disponível na Bio e confira a matéria completa em nosso blog.
#milhas #pontos #lucro #beneficios #rendaextra #investimento #desconto https://t.co/RMf4P5j711</t>
  </si>
  <si>
    <t>Até domingo (09/04) você pode ganhar 15 pontos Livelo por dólar gasto em reservas na Rentalcars.
Quer saber mais? Clique no link disponível na Bio e confira a matéria completa em nosso blog.
#milhas #pontos #lucro #beneficios #rendaextra #investimento #desconto https://t.co/ZwAS1WIVOI</t>
  </si>
  <si>
    <t>Apenas hoje (05/04) você pode ganhar 14 pontos TudoAzul a cada R$1 em compras na Renner. 
Quer saber mais? Clique no link disponível na Bio e confira a matéria completa em nosso blog.
#milhas #pontos #lucro #beneficios #rendaextra #investimento #desconto https://t.co/t0FSpRsQ91</t>
  </si>
  <si>
    <t>Apenas hoje (05/04) você pode ganhar 8 pontos Esfera a cada R$1 em compras na Camicado.
Quer saber mais? Clique no link disponível na Bio e confira a matéria completa em nosso blog.
#milhas #pontos #lucro #beneficios #rendaextra #investimento #desconto https://t.co/THESyK1PFF</t>
  </si>
  <si>
    <t>Até amanhã (06/04) você pode ganhar até 70% de bônus TudoAzul transferindo pontos do BNB para o programa.
Quer saber mais? Clique no link disponível na Bio e confira a matéria completa em nosso blog.
#milhas #pontos #lucro #beneficios #rendaextra #investimento #desconto https://t.co/fByRQjhDn4</t>
  </si>
  <si>
    <t>Até domingo (23/07) participe da Viagem com Pontos Livelo e acumule até 25 pontos por real em reservas. 
Quer saber mais? Clique no link disponível na Bio e confira a matéria completa em nosso blog.
#milhas #pontos #lucro #beneficios #rendaextra #investimento #desconto https://t.co/dEK9bIWamB</t>
  </si>
  <si>
    <t>Apenas hoje (18/07)  você pode ganhar até mais de 14 mil pontos Smiles na compra de um aspirador no Shopping Smiles.
Quer saber mais? Clique no link disponível na Bio e confira a matéria completa em nosso blog.
#milhas #pontos #lucro #beneficios #rendaextra #investimento https://t.co/0f4xNjmEX6</t>
  </si>
  <si>
    <t>Até domingo (23/07) você pode ganhar até 15 pontos Livelo a cada R$1 em compras na Piatan Natural.
Quer saber mais? Clique no link disponível na Bio e confira a matéria completa em nosso blog.
#milhas #pontos #lucro #beneficios #rendaextra #investimento #desconto https://t.co/xXdutaZX5v</t>
  </si>
  <si>
    <t>AApenas hoje (07/07) você pode ganhar até 8 pontos Livelo a cada R$1 em compras na Camicado. 
Quer saber mais? Clique no link disponível na Bio e confira a matéria completa em nosso blog.
#milhas #pontos #lucro #beneficios #rendaextra #investimento #desconto https://t.co/yLqhmdbb4W</t>
  </si>
  <si>
    <t>Até domingo (09/07) você pode ganhar 5 pontos Esfera a cada R$1 em compras na Nespresso.
Quer saber mais? Clique no link disponível na Bio e confira a matéria completa em nosso blog.
#milhas #pontos #lucro #beneficios #rendaextra #investimento #desconto https://t.co/Es7WclPlU1</t>
  </si>
  <si>
    <t>Até amanhã (07/07) você pode ganhar até mais de 72 mil pontos Smiles na compra de um lava-louças no Shopping Smiles.
Quer saber mais? Clique no link disponível na Bio e confira a matéria completa em nosso blog.
#milhas #pontos #lucro #beneficios #rendaextra #investimento https://t.co/9UxxBXPmKX</t>
  </si>
  <si>
    <t>Até domingo (09/07) você pode ganhar até 12 pontos TudoAzul a cada R$1 em compras na Netshoes.
Quer saber mais? Clique no link disponível na Bio e confira a matéria completa em nosso blog.
#milhas #pontos #lucro #beneficios #rendaextra #investimento #desconto https://t.co/7JHMmkweD9</t>
  </si>
  <si>
    <t>Até domingo (09/07) você pode ganhar até 10 pontos TudoAzul a cada R$1 em compras na Casas Bahia.
Quer saber mais? Clique no link disponível na Bio e confira a matéria completa em nosso blog.
#milhas #pontos #lucro #beneficios #rendaextra #investimento #desconto https://t.co/0OdVd193xk</t>
  </si>
  <si>
    <t>Até amanhã (07/07) você pode ganhar 8 pontos Esfera a cada R$1 em compras na Insider.
Quer saber mais? Clique no link disponível na Bio e confira a matéria completa em nosso blog.
#milhas #pontos #lucro #beneficios #rendaextra #investimento #desconto https://t.co/3wWNE28PhR</t>
  </si>
  <si>
    <t>Até domingo (09/07) você pode ganhar 10 pontos Livelo a cada R$1 em compras na Dzarm.
Quer saber mais? Clique no link disponível na Bio e confira a matéria completa em nosso blog.
#milhas #pontos #lucro #beneficios #rendaextra #investimento #desconto https://t.co/Ppbt0VhjXO</t>
  </si>
  <si>
    <t>Até quinta (15/06) você pode comprar pontos Esfera com até 50% OFF.
Quer saber mais? Clique no link disponível na Bio e confira a matéria completa em nosso blog.
#milhas #pontos #lucro #beneficios #rendaextra #investimento #desconto https://t.co/GWaVlYIGEb</t>
  </si>
  <si>
    <t>Até quinta (15/06) você pode ganhar até 120% de bônus TudoAzul enviando pontos da Livelo para o programa.
Quer saber mais? Clique no link disponível na Bio e confira a matéria completa em nosso blog.
#milhas #pontos #lucro #beneficios #rendaextra #investimento #desconto https://t.co/uEfxlCQEDM</t>
  </si>
  <si>
    <t>Até sexta (09/06) você pode ganhar 10 pontos TudoAzul a cada R$1 em compras na Casas Bahia. 
Quer saber mais? Clique no link disponível na Bio e confira a matéria completa em nosso blog.
#milhas #pontos #lucro #beneficios #rendaextra #investimento #desconto https://t.co/lanotTvfbI</t>
  </si>
  <si>
    <t>Até quarta (07/06) você pode ganhar até 70% de bônus Smiles enviando pontos do Porto Bank para o programa.
Quer saber mais? Clique no link disponível na Bio e confira a matéria completa em nosso blog.
#milhas #pontos #lucro #beneficios #rendaextra #investimento #desconto https://t.co/xaiZNXqjEn</t>
  </si>
  <si>
    <t>Até amanhã (06/06) você pode ganhar até 6 pontos Esfera a cada R$1 em compras na Casas Bahia.
Quer saber mais? Clique no link disponível na Bio e confira a matéria completa em nosso blog.
#milhas #pontos #lucro #beneficios #rendaextra #investimento #desconto https://t.co/7mCheSTZ9s</t>
  </si>
  <si>
    <t>Até sexta (09/06) você pode ganhar 10 pontos TudoAzul a cada R$1 em compras na Casas Bahia.
Quer saber mais? Clique no link disponível na Bio e confira a matéria completa em nosso blog.
#milhas #pontos #lucro #beneficios #rendaextra #investimento #desconto https://t.co/f2i1RHXirx</t>
  </si>
  <si>
    <t>Até terça (23/05) você pode ganhar até 8 pontos Livelo a cada dólar em compras na AliExpress.
Quer saber mais? Clique no link disponível na Bio e confira a matéria completa em nosso blog.
#milhas #pontos #lucro #beneficios #rendaextra #investimento #desconto https://t.co/IjAevZYJ2h</t>
  </si>
  <si>
    <t>Até domingo (21/05) peça o Cartão Gol Smiles e ganhe até 60 mil milhas.
Quer saber mais? Clique no link disponível na Bio e confira a matéria completa em nosso blog.
#milhas #pontos #lucro #beneficios #rendaextra #investimento #desconto https://t.co/WrD9qgE3U2</t>
  </si>
  <si>
    <t>Até segunda (22/05) você pode ganhar até 8 pontos Esfera a cada R$1 gasto em reservas na Movida.
Quer saber mais? Clique no link disponível na Bio e confira a matéria completa em nosso blog.
#milhas #pontos #lucro #beneficios #rendaextra #investimento #desconto https://t.co/wClspsyS2i</t>
  </si>
  <si>
    <t>Até amanhã (19/05) você pode ganhar até 9 pontos Smiles a cada R$1 na compra de eletrodomésticos no Shopping Smiles.
Quer saber mais? Clique no link disponível na Bio e confira a matéria completa em nosso blog.
#milhas #pontos #lucro #beneficios #rendaextra #investimento https://t.co/Zc2YJ4Jtsm</t>
  </si>
  <si>
    <t>Até hoje (18/05), a promoção vai conceder até 90% de bônus Smiles para aqueles que transferirem os pontos do cartão de crédito. 
Quer saber mais? Clique no link disponível na Bio e confira a matéria completa em nosso blog.
#milhas #pontos #lucro #beneficios #rendaextra https://t.co/iSXmr1AIZq</t>
  </si>
  <si>
    <t>Apenas hoje (18/05) você pode ganhar 9 pontos Livelo a cada R$1 em compras na John John.
Quer saber mais? Clique no link disponível na Bio e confira a matéria completa em nosso blog.
#milhas #pontos #lucro #beneficios #rendaextra #investimento #desconto https://t.co/0yhRbn7heU</t>
  </si>
  <si>
    <t>Até sexta (19/05) você pode ganhar até 15 pontos TudoAzul a cada R$1 em compras na Netshoes. 
Quer saber mais? Clique no link disponível na Bio e confira a matéria completa em nosso blog.
#milhas #pontos #lucro #beneficios #rendaextra #investimento #desconto https://t.co/pSRxgKc4EE</t>
  </si>
  <si>
    <t>Até sexta (19/05) você pode ganhar até 15 pontos TudoAzul a cada R$1 em compras no Extra. 
Quer saber mais? Clique no link disponível na Bio e confira a matéria completa em nosso blog.
#milhas #pontos #lucro #beneficios #rendaextra #investimento #desconto https://t.co/ugSjr2kmxg</t>
  </si>
  <si>
    <t>Até amanhã (18/05) você pode ganhar até 10 pontos Livelo a cada R$1 em compras na Netshoes.
Quer saber mais? Clique no link disponível na Bio e confira a matéria completa em nosso blog.
#milhas #pontos #lucro #beneficios #rendaextra #investimento #desconto https://t.co/iCJeOgd8O4</t>
  </si>
  <si>
    <t>Até sábado (20/05) você pode ganhar até 10 pontos Esfera a cada R$1 em compras na Mistral.
Quer saber mais? Clique no link disponível na Bio e confira a matéria completa em nosso blog.
#milhas #pontos #lucro #beneficios #rendaextra #investimento #desconto https://t.co/UNBoaSJ0CK</t>
  </si>
  <si>
    <t>Até sexta (19/05) você pode ganhar até 14 pontos Livelo a cada R$1 em compras na Insider. 
Quer saber mais? Clique no link disponível na Bio e confira a matéria completa em nosso blog.
#milhas #pontos #lucro #beneficios #rendaextra #investimento #desconto https://t.co/Wm5ghpg5W1</t>
  </si>
  <si>
    <t>Até amanhã (18/05) você pode ganhar até 60% de bônus TudoAzul transferindo pontos do seu cartão para o programa de fidelidade.
Quer saber mais? Clique no link disponível na Bio e confira a matéria completa em nosso blog.
#milhas #pontos #lucro #beneficios #rendaextra https://t.co/099IQLUTGN</t>
  </si>
  <si>
    <t>Apenas hoje (10/05) você pode ganhar até 10 pontos Livelo a cada R$1 em compras na Renner.
Quer saber mais? Clique no link disponível na Bio e confira a matéria completa em nosso blog.
#milhas #pontos #lucro #beneficios #rendaextra #investimento #desconto https://t.co/oLTQfVcUgG</t>
  </si>
  <si>
    <t>Até domingo (14/05) você pode ganhar 7 pontos Esfera a cada R$1 em compras na Casas Bahia.
Quer saber mais? Clique no link disponível na Bio e confira a matéria completa em nosso blog.
#milhas #pontos #lucro #beneficios #rendaextra #investimento #desconto https://t.co/4ZpUZ1qyZm</t>
  </si>
  <si>
    <t>Até domingo (14/05) assine um plano do Clube Livelo e receba até 400% de bônus. 
Quer saber mais? Clique no link disponível na Bio e confira a matéria completa em nosso blog.
#milhas #pontos #lucro #beneficios #rendaextra #investimento #desconto https://t.co/QxwoO7bSDU</t>
  </si>
  <si>
    <t>Apenas hoje (10/05) você pode ganhar até 10 pontos por real gasto nas lojas parceiras do Festival de Pontos Livelo.
Quer saber mais? Clique no link disponível na Bio e confira a matéria completa em nosso blog.
#milhas #pontos #lucro #beneficios #rendaextra #investimento https://t.co/ljStfoj8M2</t>
  </si>
  <si>
    <t>Apenas hoje (10/05) você pode ganhar até 10 pontos Latam Pass a cada R$1 na compra de produtos do Ponto.
Quer saber mais? Clique no link disponível na Bio e confira a matéria completa em nosso blog.
#milhas #pontos #lucro #beneficios #rendaextra #investimento #desconto https://t.co/dnemRdZugO</t>
  </si>
  <si>
    <t>Apenas hoje (10/05) você pode ganhar até 11 pontos Esfera a cada R$1 em compras na Nespresso.
Quer saber mais? Clique no link disponível na Bio e confira a matéria completa em nosso blog.
#milhas #pontos #lucro #beneficios #rendaextra #investimento #desconto https://t.co/Ml390LpsV0</t>
  </si>
  <si>
    <t>Até amanhã (10/05) você pode ganhar até 10 pontos TudoAzul a cada R$1 em compras na Zattini. 
Quer saber mais? Clique no link disponível na Bio e confira a matéria completa em nosso blog.
#milhas #pontos #lucro #beneficios #rendaextra #investimento #desconto https://t.co/DC9tdIbJ9P</t>
  </si>
  <si>
    <t>Até amanhã (20/04) você pode ganhar até 10 pontos Livelo por real em compras na Renner.
Quer saber mais? Clique no link disponível na Bio e confira a matéria completa em nosso blog.
#milhas #pontos #lucro #beneficios #rendaextra #investimento #desconto https://t.co/RS6ApuN7ns</t>
  </si>
  <si>
    <t>Até domingo (23/04) você pode ganhar até 6 pontos Livelo a cada R$1 em compras na Polishop. 
Quer saber mais? Clique no link disponível na Bio e confira a matéria completa em nosso blog.
#milhas #pontos #lucro #beneficios #rendaextra #investimento #desconto https://t.co/4v7RZwwmgO</t>
  </si>
  <si>
    <t>Apenas hoje (19/04) você pode aproveitar as ofertas imperdíveis no Clube Livelo Day. 
Quer saber mais? Clique no link disponível na Bio e confira a matéria completa em nosso blog.
#milhas #pontos #lucro #beneficios #rendaextra #investimento #desconto https://t.co/CiqYf1kcRU</t>
  </si>
  <si>
    <t>Até amanhã (20/04) ganhe até 7 pontos Esfera a cada R$1 em compras na Nespresso.
Quer saber mais? Clique no link disponível na Bio e confira a matéria completa em nosso blog.
#milhas #pontos #lucro #beneficios #rendaextra #investimento #desconto https://t.co/IMeoPnYMOF</t>
  </si>
  <si>
    <t>Apenas hoje (19/04) assine um plano do Clube Smiles e ganhe 10 mil milhas na hora. 
Quer saber mais? Clique no link disponível na Bio e confira a matéria completa em nosso blog.
#milhas #pontos #lucro #beneficios #rendaextra #investimento #desconto https://t.co/EtoJOevXiM</t>
  </si>
  <si>
    <t>Apenas hoje (19/04) você pode ganhar até 10 pontos Esfera a cada R$1 em compras na Casas Bahia. 
Quer saber mais? Clique no link disponível na Bio e confira a matéria completa em nosso blog.
#milhas #pontos #lucro #beneficios #rendaextra #investimento #desconto https://t.co/NiuMAs1hAo</t>
  </si>
  <si>
    <t>Até as 10h da segunda (27/03) assine um plano do Clube Smiles e receba 16 mil milhas em 6 meses. 
Quer saber mais? Clique no link disponível na Bio e confira a matéria completa em nosso blog.
#milhas #pontos #lucro #beneficios #rendaextra #investimento #desconto https://t.co/DUsgWvIxfK</t>
  </si>
  <si>
    <t>Até segunda (27/03) você pode ganhar até 5 pontos Latam Pass a cada R$1 em compras na Casas Bahia. 
Quer saber mais? Clique no link disponível na Bio e confira a matéria completa em nosso blog.
#milhas #pontos #lucro #beneficios #rendaextra #investimento #desconto https://t.co/Bh6PZijT4z</t>
  </si>
  <si>
    <t>Até segunda (27/03) você pode ganhar até 9 pontos Esfera a cada R$1 em compras no Ponto.
Quer saber mais? Clique no link disponível na Bio e confira a matéria completa em nosso blog.
#milhas #pontos #lucro #beneficios #rendaextra #investimento #desconto https://t.co/RCiu35GZ5s</t>
  </si>
  <si>
    <t>Até segunda (27/03) você pode ganhar até 5 pontos Latam Pass a cada R$1 em compras na Casas Bahia. 
Quer saber mais? Clique no link disponível na Bio e confira a matéria completa em nosso blog.
#milhas #pontos #lucro #beneficios #rendaextra #investimento #desconto https://t.co/ZhtGcREt4B</t>
  </si>
  <si>
    <t>Até segunda (27/03) você pode ganhar até 10 pontos Latam Pass a cada R$1 em compras na Polishop. 
Quer saber mais? Clique no link disponível na Bio e confira a matéria completa em nosso blog.
#milhas #pontos #lucro #beneficios #rendaextra #investimento #desconto https://t.co/NEaeGd7VNg</t>
  </si>
  <si>
    <t>Até domingo (23/07) você pode ganhar até 10 pontos TudoAzul a cada R$1 em compras no Ponto.
Quer saber mais? Clique no link disponível na Bio e confira a matéria completa em nosso blog.
#milhas #pontos #lucro #beneficios #rendaextra #investimento #desconto https://t.co/fljAFScTuc</t>
  </si>
  <si>
    <t>Até domingo (23/07) você pode ganhar até 6 pontos Livelo a cada R$1 em compras na Casas Bahia.
Quer saber mais? Clique no link disponível na Bio e confira a matéria completa em nosso blog.
#milhas #pontos #lucro #beneficios #rendaextra #investimento #desconto https://t.co/QIrQIZTOFj</t>
  </si>
  <si>
    <t>Até amanhã (21/07) você pode ganhar até 102% de bônus transferindo pontos do Bando do Nordeste para o programa.
Quer saber mais? Clique no link disponível na Bio e confira a matéria completa em nosso blog.
#milhas #pontos #lucro #beneficios #rendaextra #investimento #desconto https://t.co/1lihxW0c1s</t>
  </si>
  <si>
    <t>Até 09/07/23 você pode ganhar 10 pontos Livelo a cada R$1 em compras na Portallar. 
Quer saber mais? Clique no link disponível na Bio e confira a matéria completa em nosso blog.
#milhas #pontos #lucro #beneficios #rendaextra #investimento #desconto https://t.co/Z8jAz3CzKt</t>
  </si>
  <si>
    <t>Apenas hoje (30/06) você pode ganhar 12 pontos Livelo a cada R$1 em compras na Coffee++.
Quer saber mais? Clique no link disponível na Bio e confira a matéria completa em nosso blog.
#milhas #pontos #lucro #beneficios #rendaextra #investimento #desconto https://t.co/9EH2Rax5A9</t>
  </si>
  <si>
    <t>Apenas hoje (30/06) você pode ganhar até 8 pontos Livelo a cada R$1 em compras na Camicado. 
Quer saber mais? Clique no link disponível na Bio e confira a matéria completa em nosso blog.
#milhas #pontos #lucro #beneficios #rendaextra #investimento #desconto https://t.co/TGi9YtO8fj</t>
  </si>
  <si>
    <t>Apenas hoje (30/06) você pode ganhar até 40% de bônus Latam Pass , enviando pontos da Livelo para o programa.
Quer saber mais? Clique no link disponível na Bio e confira a matéria completa em nosso blog.
#milhas #pontos #lucro #beneficios #rendaextra #investimento #desconto https://t.co/iamwPiyZiK</t>
  </si>
  <si>
    <t>Até domingo (25/06) você pode ganhar até 7 pontos Livelo a cada R$1 em compras na Luxury Loyalty.
Quer saber mais? Clique no link disponível na Bio e confira a matéria completa em nosso blog.
#milhas #pontos #lucro #beneficios #rendaextra #investimento #desconto https://t.co/NatW9jgoAT</t>
  </si>
  <si>
    <t>Até a próxima sexta (30/06) você pode ganhar até 10 pontos Livelo a cada R$1 em reservas na https://t.co/7O4GAoH2o4.
Quer saber mais? Clique no link disponível na Bio e confira a matéria completa em nosso blog.
#milhas #pontos #lucro #beneficios #rendaextra #investimento https://t.co/6OppRPDrhN</t>
  </si>
  <si>
    <t>Até a próxima sexta (30/06) você pode até 10 pontos Livelo em algumas lojas parceiras do programa de fidelidade.
Quer saber mais? Clique no link disponível na Bio e confira a matéria completa em nosso blog.
#milhas #pontos #lucro #beneficios #rendaextra #investimento #desconto https://t.co/c9ffQJctSo</t>
  </si>
  <si>
    <t>Até as 21h de hoje (23/06), assine o Clube Smiles e ganhe 10 mil milhas na hora.
Quer saber mais? Clique no link disponível na Bio e confira a matéria completa em nosso blog.
#milhas #pontos #lucro #beneficios #rendaextra #investimento #desconto https://t.co/fZwk8wuhZS</t>
  </si>
  <si>
    <t>Até domingo (25/06) você pode ganhar até 70% de bônus Smiles, enviando pontos do seu cartão de crédito para o programa.
Quer saber mais? Clique no link disponível na Bio e confira a matéria completa em nosso blog.
#milhas #pontos #lucro #beneficios #rendaextra #investimento https://t.co/FWaQH5sHYn</t>
  </si>
  <si>
    <t>Até segunda (26/06) você pode ganhar até 35% de bônus Latam Pass, enviando pontos do Km de Vantagens para o programa.
Quer saber mais? Clique no link disponível na Bio e confira a matéria completa em nosso blog.
#milhas #pontos #lucro #beneficios #rendaextra #investimento https://t.co/Slz1AE57Yt</t>
  </si>
  <si>
    <t>Apenas hoje (22/06) você pode ganhar até 10 pontos Esfera a cada R$1 em compras no Extra.
Quer saber mais? Clique no link disponível na Bio e confira a matéria completa em nosso blog.
#milhas #pontos #lucro #beneficios #rendaextra #investimento #desconto https://t.co/M8U0EQhQiv</t>
  </si>
  <si>
    <t>Apenas hoje (22/06) você pode ganhar até 10 pontos Livelo a cada R$1 em compras na Samsung.
Quer saber mais? Clique no link disponível na Bio e confira a matéria completa em nosso blog.
#milhas #pontos #lucro #beneficios #rendaextra #investimento #desconto https://t.co/7Z8WKz0vYZ</t>
  </si>
  <si>
    <t>Até a próxima terça (27/06), assine o Clube TudoAzul e ganhe até 300 mil pontos bônus no primeiro ano.
Quer saber mais? Clique no link disponível na Bio e confira a matéria completa em nosso blog.
#milhas #pontos #lucro #beneficios #rendaextra #investimento #desconto https://t.co/xqHhtqsM0h</t>
  </si>
  <si>
    <t>Até domingo (25/06) você pode ganhar 10 pontos TudoAzul a cada R$1 em compras no Ponto. 
Quer saber mais? Clique no link disponível na Bio e confira a matéria completa em nosso blog.
#milhas #pontos #lucro #beneficios #rendaextra #investimento #desconto https://t.co/rGp3kaWmcs</t>
  </si>
  <si>
    <t>Apenas hoje (20/06), assine o Clube Smiles e ganhe 10 mil milhas na hora.
Quer saber mais? Clique no link disponível na Bio e confira a matéria completa em nosso blog.
#milhas #pontos #lucro #beneficios #rendaextra #investimento #desconto https://t.co/J5812JjhnP</t>
  </si>
  <si>
    <t>Até quinta (22/06) você pode ganhar 10 pontos TudoAzul a cada R$1 em compras na Camicado.
Quer saber mais? Clique no link disponível na Bio e confira a matéria completa em nosso blog.
#milhas #pontos #lucro #beneficios #rendaextra #investimento #desconto https://t.co/GCelHwlLX3</t>
  </si>
  <si>
    <t>Até as 10h de segunda (05/06) você pode ganhar 10 mil milhas na hora, assinando um plano do Clube Smiles.
Quer saber mais? Clique no link disponível na Bio e confira a matéria completa em nosso blog.
#milhas #pontos #lucro #beneficios #rendaextra #investimento #desconto https://t.co/dfxckFay5L</t>
  </si>
  <si>
    <t>Até o dia 16/06/23, compre pontos Smiles e receba até 300% de bônus.
Quer saber mais? Clique no link disponível na Bio e confira a matéria completa em nosso blog.
#milhas #pontos #lucro #beneficios #rendaextra #investimento #desconto https://t.co/4ifK8PVaPP</t>
  </si>
  <si>
    <t>Até domingo (21/05) assine o plano anual do Clube Livelo e receba 30% de bônus durante 12 meses. 
Quer saber mais? Clique no link disponível na Bio e confira a matéria completa em nosso blog.
#milhas #pontos #lucro #beneficios #rendaextra #investimento #desconto https://t.co/qvNpq4FdGo</t>
  </si>
  <si>
    <t>Até sexta (19/05) você pode ganhar até 20% de bônus Latam Pass transferindo pontos do seu cartão para o programa.
Quer saber mais? Clique no link disponível na Bio e confira a matéria completa em nosso blog.
#milhas #pontos #lucro #beneficios #rendaextra #investimento #desconto https://t.co/t48zpPQ1Fw</t>
  </si>
  <si>
    <t>Até amanhã (17/05) você pode comprar pontos Latam Pass com até 63% de desconto.
Quer saber mais? Clique no link disponível na Bio e confira a matéria completa em nosso blog.
#milhas #pontos #lucro #beneficios #rendaextra #investimento #desconto https://t.co/m3Qgru8x8m</t>
  </si>
  <si>
    <t>Até amanhã (17/05) você pode ganhar até 90% de bônus TudoAzul transferindo pontos do Sicredi para o programa.
Quer saber mais? Clique no link disponível na Bio e confira a matéria completa em nosso blog.
#milhas #pontos #lucro #beneficios #rendaextra #investimento #desconto https://t.co/fyoyP61XiV</t>
  </si>
  <si>
    <t>Até domingo (21/05) você pode ganhar até 12 pontos Livelo a cada R$1 em compras na Coffee++.
Quer saber mais? Clique no link disponível na Bio e confira a matéria completa em nosso blog.
#milhas #pontos #lucro #beneficios #rendaextra #investimento #desconto https://t.co/oVfO6lvBQR</t>
  </si>
  <si>
    <t>Até domingo (14/05) você pode ganhar 8 pontos Livelo a cada R$1 na contratação de seguro viagem da Ciclic.
Quer saber mais? Clique no link disponível na Bio e confira a matéria completa em nosso blog.
#milhas #pontos #lucro #beneficios #rendaextra #investimento #desconto https://t.co/2FSuea9F7G</t>
  </si>
  <si>
    <t>Até sexta (12/05) você pode ganhar até 5 pontos Livelo a cada R$1 em compras na Riachuelo.
Quer saber mais? Clique no link disponível na Bio e confira a matéria completa em nosso blog.
#milhas #pontos #lucro #beneficios #rendaextra #investimento #desconto https://t.co/mVcYHM5nnK</t>
  </si>
  <si>
    <t>Até quinta (11/05) você pode ganhar 10 pontos TudoAzul a cada R$1 em compras na Camicado.
Quer saber mais? Clique no link disponível na Bio e confira a matéria completa em nosso blog.
#milhas #pontos #lucro #beneficios #rendaextra #investimento #desconto https://t.co/72u5t6ZVLG</t>
  </si>
  <si>
    <t>Até amanhã (10/05) você pode ganhar até 90% de bônus TudoAzul transferindo pontos do Porto Bank para o programa. 
Quer saber mais? Clique no link disponível na Bio e confira a matéria completa em nosso blog.
#milhas #pontos #lucro #beneficios #rendaextra #investimento #desconto https://t.co/cwKcnbcoom</t>
  </si>
  <si>
    <t>Até sexta (12/05) você pode ganhar até 10 pontos Livelo a cada R$1 em compras na Insider.
Quer saber mais? Clique no link disponível na Bio e confira a matéria completa em nosso blog.
#milhas #pontos #lucro #beneficios #rendaextra #investimento #desconto https://t.co/Vi7LMefMWh</t>
  </si>
  <si>
    <t>Até sexta (12/05) você pode ganhar até 20% de bônus Latam Pass transferindo pontos do Sicredi para o programa.
Quer saber mais? Clique no link disponível na Bio e confira a matéria completa em nosso blog.
#milhas #pontos #lucro #beneficios #rendaextra #investimento #desconto https://t.co/wbXMVPlCQx</t>
  </si>
  <si>
    <t>Até sexta (12/05) você pode comprar pontos Livelo com até 50% de desconto.
Quer saber mais? Clique no link disponível na Bio e confira a matéria completa em nosso blog.
#milhas #pontos #lucro #beneficios #rendaextra #investimento #desconto https://t.co/bHkO3u4uck</t>
  </si>
  <si>
    <t>Apenas hoje (08/05) você pode participar do “Turbina Saldo Esfera” e ganhar até 25 pontos por real gasto nas lojas parceiras. 
Quer saber mais? Clique no link disponível na Bio e confira a matéria completa em nosso blog.
#milhas #pontos #lucro #beneficios #rendaextra https://t.co/dff8Npc1n4</t>
  </si>
  <si>
    <t>Até quarta (10/05) você pode ganhar até 8 pontos Livelo a cada R$1 em compras na Polishop. 
Quer saber mais? Clique no link disponível na Bio e confira a matéria completa em nosso blog.
#milhas #pontos #lucro #beneficios #rendaextra #investimento #desconto https://t.co/OkXMB6urCL</t>
  </si>
  <si>
    <t>Apenas hoje (08/05) você pode ganhar até 11 pontos Esfera a cada R$1 em compras na Netshoes.
Quer saber mais? Clique no link disponível na Bio e confira a matéria completa em nosso blog.
#milhas #pontos #lucro #beneficios #rendaextra #investimento #desconto https://t.co/J7ClbhOCaN</t>
  </si>
  <si>
    <t>Apenas hoje (14/04) você pode ganhar até 8 pontos Livelo a cada R$1 em compras na Eudora.
Quer saber mais? Clique no link disponível na Bio e confira a matéria completa em nosso blog.
#milhas #pontos #lucro #beneficios #rendaextra #investimento #desconto https://t.co/awBrDAxSWf</t>
  </si>
  <si>
    <t>Apenas hoje (14/04) você pode ganhar até 8 pontos Livelo a cada R$1 em reservas no Hot Beach Parque e Resorts.
Quer saber mais? Clique no link disponível na Bio e confira a matéria completa em nosso blog.
#milhas #pontos #lucro #beneficios #rendaextra #investimento #desconto https://t.co/Fh1QKCFyfD</t>
  </si>
  <si>
    <t>Até segunda (17/04) você pode comprar pontos Livelo com 50% de desconto.
Quer saber mais? Clique no link disponível na Bio e confira a matéria completa em nosso blog.
#milhas #pontos #lucro #beneficios #rendaextra #investimento #desconto https://t.co/bpnQEb8EgE</t>
  </si>
  <si>
    <t>Até o dia 23/04/23 você pode ganhar até 270 mil pontos assinando o Clube TudoAzul. 
Quer saber mais? Clique no link disponível na Bio e confira a matéria completa em nosso blog.
#milhas #pontos #lucro #beneficios #rendaextra #investimento #desconto https://t.co/JT3d8Bhv3r</t>
  </si>
  <si>
    <t>Até segunda (17/04) você pode ganhar até 300% de bônus assinando o Clube Livelo. 
Quer saber mais? Clique no link disponível na Bio e confira a matéria completa em nosso blog.
#milhas #pontos #lucro #beneficios #rendaextra #investimento #desconto https://t.co/eegGlvOC4b</t>
  </si>
  <si>
    <t>Até domingo (16/04) você pode ganhar até 5 pontos Esfera a cada R$1 em compras na Nespresso.
Quer saber mais? Clique no link disponível na Bio e confira a matéria completa em nosso blog.
#milhas #pontos #lucro #beneficios #rendaextra #investimento #desconto https://t.co/hHIkmSUNXh</t>
  </si>
  <si>
    <t>Até amanhã (14/04) você pode ganhar 14 pontos Livelo a cada R$1 em compras na Insider.
Quer saber mais? Clique no link disponível na Bio e confira a matéria completa em nosso blog.
#milhas #pontos #lucro #beneficios #rendaextra #investimento #desconto https://t.co/BIUP1rGwr6</t>
  </si>
  <si>
    <t>Até quarta (19/04) você pode ganhar 100% de bônus na reativação de pontos TudoAzul expirados
Quer saber mais? Clique no link disponível na Bio e confira a matéria completa em nosso blog.
#milhas #pontos #lucro #beneficios #rendaextra #investimento #desconto https://t.co/hiV94AGBjB</t>
  </si>
  <si>
    <t>Até amanhã (14/04) você pode ganhar até 19 mil pontos Smiles na compra de uma JBL.
Quer saber mais? Clique no link disponível na Bio e confira a matéria completa em nosso blog.
#milhas #pontos #lucro #beneficios #rendaextra #investimento #desconto https://t.co/CIfJ6TKqtG</t>
  </si>
  <si>
    <t>Até quarta (19/04) você pode ganhar até 40.000 pontos bônus fazendo um upgrade no Clube TudoAzul.
Quer saber mais? Clique no link disponível na Bio e confira a matéria completa em nosso blog.
#milhas #pontos #lucro #beneficios #rendaextra #investimento #desconto https://t.co/2idFsObU7w</t>
  </si>
  <si>
    <t>Até amanhã (14/04) você pode ganhar 14 pontos Livelo a cada R$1 em compras na Insider.
Quer saber mais? Clique no link disponível na Bio e confira a matéria completa em nosso blog.
#milhas #pontos #lucro #beneficios #rendaextra #investimento #desconto https://t.co/pagnNxPuT6</t>
  </si>
  <si>
    <t>Até amanhã (14/04) você pode ganhar até 90% de bônus Smiles transferindo pontos do C6 Bank para o programa
Quer saber mais? Clique no link disponível na Bio e confira a matéria completa em nosso blog.
#milhas #pontos #lucro #beneficios #rendaextra #investimento #desconto https://t.co/mXCmo7M95r</t>
  </si>
  <si>
    <t>Até amanhã (14/04) você pode ganhar até 10 pontos Livelo a cada R$1 em compras na Renner. 
Quer saber mais? Clique no link disponível na Bio e confira a matéria completa em nosso blog.
#milhas #pontos #lucro #beneficios #rendaextra #investimento #desconto https://t.co/HDAcB0aZDn</t>
  </si>
  <si>
    <t>Até domingo (16/04) você pode ganhar até 15 pontos Livelo por dólar em reservas na Rentcars. 
Quer saber mais? Clique no link disponível na Bio e confira a matéria completa em nosso blog.
#milhas #pontos #lucro #beneficios #rendaextra #investimento #desconto https://t.co/qLnnYjBkYx</t>
  </si>
  <si>
    <t>Até sexta (14/04) você pode ganhar até 10 pontos Esfera a cada R$1 em compras no Ponto.
Quer saber mais? Clique no link disponível na Bio e confira a matéria completa em nosso blog.
#milhas #pontos #lucro #beneficios #rendaextra #investimento #desconto https://t.co/91Zc58mZBY</t>
  </si>
  <si>
    <t>Apenas hoje (17/03) você pode ganhar até 7 pontos Livelo a cada R$1 em compras na Lego.
Quer saber mais? Clique no link disponível na Bio e confira a matéria completa em nosso blog.
#milhas #pontos #lucro #beneficios #rendaextra #investimento #desconto https://t.co/kLDZNU5f2z</t>
  </si>
  <si>
    <t>Apenas hoje (17/03) você pode comprar pontos Esfera com até 50% de desconto.
Quer saber mais? Clique no link disponível na Bio e confira a matéria completa em nosso blog.
#milhas #pontos #lucro #beneficios #rendaextra #investimento #desconto https://t.co/qh6NduZ4JQ</t>
  </si>
  <si>
    <t>Até domingo (19/03) você pode ganhar 8 pontos Esfera a cada R$1 gastos em reservas na Movida.
Quer saber mais? Clique no link disponível na Bio e confira a matéria completa em nosso blog.
#milhas #pontos #lucro #beneficios #rendaextra #investimento #desconto https://t.co/pCWi8wwEEw</t>
  </si>
  <si>
    <t>Até terça (21/03) você pode comprar pontos TudoAzul com 50% de desconto. 
Quer saber mais? Clique no link disponível na Bio e confira a matéria completa em nosso blog.
#milhas #pontos #lucro #beneficios #rendaextra #investimento #desconto #azul #tudoazul https://t.co/yw2dRep3dI</t>
  </si>
  <si>
    <t>Apenas hoje (17/03) você pode ganhar até 9 pontos Esfera a cada R$1 em compras no Extra. 
Quer saber mais? Clique no link disponível na Bio e confira a matéria completa em nosso blog.
#milhas #pontos #esfera #extra #compras #lucro #beneficios #rendaextra #investimento #desconto https://t.co/e0IMZUYEKL</t>
  </si>
  <si>
    <t>Até domingo (19/03) você pode ganhar 10 pontos Livelo a cada R$1 em compras na Le Lis.
Quer saber mais? Clique no link disponível na Bio e confira a matéria completa em nosso blog.
#milhas #pontos #lucro #beneficios #rendaextra #investimento #desconto #lelis #livelo https://t.co/iv2yTmZXAP</t>
  </si>
  <si>
    <t>Até segunda (20/03) você pode ganhar até 10 pontos Livelo a cada R$1 em compras na Casas Bahia.
Quer saber mais? Clique no link disponível na Bio e confira a matéria completa em nosso blog.
#milhas #pontos #lucro #beneficios #rendaextra #investimento #desconto https://t.co/raA6Z2PfPH</t>
  </si>
  <si>
    <t>Até amanhã (17/03) você pode ganhar até 11 pontos Esfera cada R$1 em compras na Insider. 
Quer saber mais? Clique no link disponível na Bio e confira a matéria completa em nosso blog.
#milhas #pontos #lucro #beneficios #rendaextra #investimento #desconto https://t.co/UiYwS2Dwap</t>
  </si>
  <si>
    <t>Aqui estão 15 cidades para quem quer visitar o interior mineiro.
Quer saber mais? Clique no link disponível na Bio e confira a matéria completa em nosso Blog.
#milhas #pontos #lucro #beneficios #rendaextra #investimento #desconto https://t.co/CB7LcMHOUY</t>
  </si>
  <si>
    <t>Até segunda (10/07) você pode ganhar até 9 pontos Livelo a cada R$1 em compras no Extra.
Quer saber mais? Clique no link disponível na Bio e confira a matéria completa em nosso blog.
#milhas #pontos #lucro #beneficios #rendaextra #investimento #desconto https://t.co/QXelzt7mae</t>
  </si>
  <si>
    <t>Até segunda (19/06) você pode ganhar até 7 pontos Livelo a cada R$1 em compras na Casas Bahia. 
Quer saber mais? Clique no link disponível na Bio e confira a matéria completa em nosso blog.
#milhas #pontos #lucro #beneficios #rendaextra #investimento #desconto https://t.co/TnelXqXdng</t>
  </si>
  <si>
    <t>Apenas hoje (16/06) você pode ganhar até 10 pontos Esfera a cada R$1 em compras na Insider.
Quer saber mais? Clique no link disponível na Bio e confira a matéria completa em nosso blog.
#milhas #pontos #lucro #beneficios #rendaextra #investimento #desconto https://t.co/5XwUI9QF8W</t>
  </si>
  <si>
    <t>Até domingo (18/06) você pode ganhar 8 pontos Livelo por real em reservas na Movida.
Quer saber mais? Clique no link disponível na Bio e confira a matéria completa em nosso blog.
#milhas #pontos #lucro #beneficios #rendaextra #investimento #desconto https://t.co/UH2g6HAQoO</t>
  </si>
  <si>
    <t>Até domingo (18/06) você pode ganhar até 6 pontos Livelo por real em compras no Ponto.
Quer saber mais? Clique no link disponível na Bio e confira a matéria completa em nosso blog.
#milhas #pontos #lucro #beneficios #rendaextra #investimento #desconto https://t.co/RKZdALcNlt</t>
  </si>
  <si>
    <t>Até domingo (04/06) você pode ganhar até 10 pontos Esfera a cada R$1 em compras no Extra. 
Quer saber mais? Clique no link disponível na Bio e confira a matéria completa em nosso blog.
#milhas #pontos #lucro #beneficios #rendaextra #investimento #desconto https://t.co/zsEjdskmiB</t>
  </si>
  <si>
    <t>Até quarta (31/05) você pode ganhar até 10 pontos Livelo a cada R$1 em compras no Baianão.
Quer saber mais? Clique no link disponível na Bio e confira a matéria completa em nosso blog.
#milhas #pontos #lucro #beneficios #rendaextra #investimento #desconto https://t.co/ltIDqj5Qhw</t>
  </si>
  <si>
    <t>Até sexta (02/06) você pode ganhar até 10 pontos Esfera a cada R$1 em compras na Mistral.
Quer saber mais? Clique no link disponível na Bio e confira a matéria completa em nosso blog.
#milhas #pontos #lucro #beneficios #rendaextra #investimento #desconto https://t.co/QOCx3Q9Dbc</t>
  </si>
  <si>
    <t>Até quarta (31/05) você pode ganhar até 80% de bônus TudoAzul transferindo pontos do C6 Bank para o programa. 
Quer saber mais? Clique no link disponível na Bio e confira a matéria completa em nosso blog.
#milhas #pontos #lucro #beneficios #rendaextra #investimento #desconto https://t.co/upYOyQkrEZ</t>
  </si>
  <si>
    <t>Até quarta (31/05) você pode ganhar 6 pontos Livelo a cada R$1 em compras no Extra. 
Quer saber mais? Clique no link disponível na Bio e confira a matéria completa em nosso blog.
#milhas #pontos #lucro #beneficios #rendaextra #investimento #desconto https://t.co/qz8TnLaBqK</t>
  </si>
  <si>
    <t>Até domingo (28/05) você pode ganhar até 10 pontos Livelo a cada R$1 em compras na Casas Bahia
Quer saber mais? Clique no link disponível na Bio e confira a matéria completa em nosso blog.
#milhas #pontos #lucro #beneficios #rendaextra #investimento #desconto https://t.co/jjAdxAijFR</t>
  </si>
  <si>
    <t>Até terça (30/05) você pode ganhar até 30% de bônus Latam Pass transferindo pontos do Credicard para o programa
Quer saber mais? Clique no link disponível na Bio e confira a matéria completa em nosso blog.
#milhas #pontos #lucro #beneficios #rendaextra #investimento #desconto https://t.co/lHXXPB7z7N</t>
  </si>
  <si>
    <t>Até terça (30/05) você pode ganhar até 30% de bônus Latam Pass transferindo pontos do Itaú para o programa.
Quer saber mais? Clique no link disponível na Bio e confira a matéria completa em nosso blog.
#milhas #pontos #lucro #beneficios #rendaextra #investimento #desconto https://t.co/TA0WeV5jk1</t>
  </si>
  <si>
    <t>Até quarta (31/05) você pode ganhar até 15 pontos Livelo a cada dólar em reservas na Rentcars.
Quer saber mais? Clique no link disponível na Bio e confira a matéria completa em nosso blog.
#milhas #pontos #lucro #beneficios #rendaextra #investimento #desconto https://t.co/mDvFPTLGnk</t>
  </si>
  <si>
    <t>Até segunda (29/05) você pode ganhar até 20% de bônus Reward ALL ao transferir pontos Smiles e se hospedar em um hotel parceiro. 
Quer saber mais? Clique no link disponível na Bio e confira a matéria completa em nosso blog.
#milhas #pontos #lucro #beneficios #rendaextra https://t.co/qtNItbZe2K</t>
  </si>
  <si>
    <t>Apenas hoje (26/05) você pode ganhar até 17 pontos Livelo a cada R$1 em compras na Seculus.
Quer saber mais? Clique no link disponível na Bio e confira a matéria completa em nosso blog.
#milhas #pontos #lucro #beneficios #rendaextra #investimento #desconto https://t.co/uuAnMhVMPJ</t>
  </si>
  <si>
    <t>Apenas hoje (27/04) você pode ganhar 6 pontos Livelo a cada R$1 em compras na Camicado.
Quer saber mais? Clique no link disponível na Bio e confira a matéria completa em nosso blog.
#milhas #pontos #lucro #beneficios #rendaextra #investimento #desconto https://t.co/dK5goIHdkd</t>
  </si>
  <si>
    <t>Até amanhã (28/04) você pode ganhar até 80% de bônus TudoAzul transferindo pontos do BV para o programa.
Quer saber mais? Clique no link disponível na Bio e confira a matéria completa em nosso blog.
#milhas #pontos #lucro #beneficios #rendaextra #investimento #desconto https://t.co/vHKoFigUFN</t>
  </si>
  <si>
    <t>Até terça (02/05) você pode ganhar até 7 pontos Esfera a cada R$1 em compras no Extra.
Quer saber mais? Clique no link disponível na Bio e confira a matéria completa em nosso blog.
#milhas #pontos #lucro #beneficios #rendaextra #investimento #desconto https://t.co/6UDiQXvp1u</t>
  </si>
  <si>
    <t>Assim, valendo a partir de hoje até sexta-feira (28/04), você pode ganhar até 80% de bônus Smiles na transferência de pontos Sicredi. 
Quer saber mais? Clique no link disponível na Bio e confira a matéria completa em nosso blog.
#milhas #pontos #lucro #beneficios #rendaextra https://t.co/6dgFxvD7TX</t>
  </si>
  <si>
    <t>Até a próxima segunda (01/05) você pode ganhar 10 pontos Esfera a cada R$1 em compras na Mistral. 
Quer saber mais? Clique no link disponível na Bio e confira a matéria completa em nosso blog.
#milhas #pontos #lucro #beneficios #rendaextra #investimento #desconto https://t.co/22q4HA7kEV</t>
  </si>
  <si>
    <t>Até a próxima segunda (01/05) ganhe até 30% de bônus Latam Pass enviando pontos do Km de Vantagens. 
Quer saber mais? Clique no link disponível na Bio e confira a matéria completa em nosso blog.
#milhas #pontos #lucro #beneficios #rendaextra #investimento #desconto https://t.co/1NpN1w585I</t>
  </si>
  <si>
    <t>Até amanhã (27/04) você pode ganhar até 17 pontos a cada R$1 em compras nas lojas parceiras do Festival de Pontos Livelo. 
Quer saber mais? Clique no link disponível na Bio e confira a matéria completa em nosso blog.
#milhas #pontos #lucro #beneficios #rendaextra #investimento https://t.co/iJTG1XixL6</t>
  </si>
  <si>
    <t>Até sexta (28/04) você pode ganhar até 80% de bônus TudoAzul transferindo pontos da Esfera para o programa.
Quer saber mais? Clique no link disponível na Bio e confira a matéria completa em nosso blog.
#milhas #pontos #lucro #beneficios #rendaextra #investimento #desconto https://t.co/TOGmHiYonE</t>
  </si>
  <si>
    <t>Até 01/05/23 você pode acumular milhas comprando produtos nas lojas parceiras e concorrer a 1 milhão de pontos Livelo. 
Quer saber mais? Clique no link disponível na Bio e confira a matéria completa em nosso blog.
#milhas #pontos #lucro #beneficios #rendaextra #investimento https://t.co/OI3c8BjK2j</t>
  </si>
  <si>
    <t>Até amanhã (27/04) você pode ganhar 12 pontos TudoAzul a cada R$1 em compras no Portal das Malas. 
Quer saber mais? Clique no link disponível na Bio e confira a matéria completa em nosso blog.
#milhas #pontos #lucro #beneficios #rendaextra #investimento #desconto https://t.co/N4sqOQ2TZ1</t>
  </si>
  <si>
    <t>Até amanhã (26/04) você pode ganhar até 20% de bônus Latam Pass transferindo pontos do Credicard para o programa. 
Quer saber mais? Clique no link disponível na Bio e confira a matéria completa em nosso blog.
#milhas #pontos #lucro #beneficios #rendaextra #investimento https://t.co/H5sgaS5VvO</t>
  </si>
  <si>
    <t>Até sexta (28/04) você pode ganhar até 20% de bônus Latam Pass transferindo pontos do C6 Bank para o programa.
Quer saber mais? Clique no link disponível na Bio e confira a matéria completa em nosso blog.
#milhas #pontos #lucro #beneficios #rendaextra #investimento #desconto https://t.co/hkejTyttpO</t>
  </si>
  <si>
    <t>Até quinta (27/04) você pode ganhar até 10 pontos TudoAzul a cada R$1 em compras no Ponto.
Quer saber mais? Clique no link disponível na Bio e confira a matéria completa em nosso blog.
#milhas #pontos #lucro #beneficios #rendaextra #investimento #desconto https://t.co/9jLnf5lvWr</t>
  </si>
  <si>
    <t>Até sexta (28/04) compre pontos TudoAzul e ganhe até 250% de bônus.
Quer saber mais? Clique no link disponível na Bio e confira a matéria completa em nosso blog.
#milhas #pontos #lucro #beneficios #rendaextra #investimento #desconto https://t.co/tULADy0iZW</t>
  </si>
  <si>
    <t>Até sexta (28/04) você pode ganhar até 6 pontos Livelo a cada dólar gasto em reservas no Booking.
Quer saber mais? Clique no link disponível na Bio e confira a matéria completa em nosso blog.
#milhas #pontos #lucro #beneficios #rendaextra #investimento #desconto https://t.co/GyriBeIvbg</t>
  </si>
  <si>
    <t>Até amanhã (26/04) você pode ganhar 12 pontos Esfera a cada R$1 em compras na Insider.
Quer saber mais? Clique no link disponível na Bio e confira a matéria completa em nosso blog.
#milhas #pontos #lucro #beneficios #rendaextra #investimento #desconto https://t.co/aZxSJGif70</t>
  </si>
  <si>
    <t>Até amanhã (29/03) você pode ganhar até 20% de bônus na promoção bumerangue Livelo e LATAM Pass.
Quer saber mais? Clique no link disponível na Bio e confira a matéria completa em nosso blog.
#milhas #pontos #lucro #beneficios #rendaextra #investimento #desconto https://t.co/npicLU2qML</t>
  </si>
  <si>
    <t>Até as 23:59 do dia de hoje (28/03) você pode ter 1 ano de isenção da anuidade adquirindo um novo cartão de crédito do Santander.
Quer saber mais? Clique no link disponível na Bio e confira a matéria completa em nosso blog.
 #rendaextra #investimento #desconto https://t.co/1FgPKGNWpN</t>
  </si>
  <si>
    <t>Até sexta (31/03) compre pontos Smiles e ganhe até 200% de bônus. 
Quer saber mais? Clique no link disponível na Bio e confira a matéria completa em nosso blog.
#milhas #pontos #lucro #beneficios #rendaextra #investimento #desconto https://t.co/7xs0tJ2FXS</t>
  </si>
  <si>
    <t>Até amanhã (29/03) participe do Clube Livelo Day e aproveite ofertas, descontos e vantagens incríveis.
Quer saber mais? Clique no link disponível na Bio e confira a matéria completa em nosso blog.
#milhas #pontos #lucro #beneficios #rendaextra #investimento #desconto https://t.co/rwVBbSaNFe</t>
  </si>
  <si>
    <t>Até 30/06/23 você pode ganhar 2x mais pontos TudoAzul viajando para Congonhas.
Quer saber mais? Clique no link disponível na Bio e confira a matéria completa em nosso blog.
#milhas #pontos #lucro #beneficios #rendaextra #investimento #desconto https://t.co/0LdRkHHPpC</t>
  </si>
  <si>
    <t>Até amanhã (29/03) você pode ganhar até 80% de bônus TudoAzul transferindo pontos do C6 Bank para o programa.
Quer saber mais? Clique no link disponível na Bio e confira a matéria completa em nosso blog.
#milhas #pontos #lucro #beneficios #rendaextra #investimento #desconto https://t.co/YAkMobLbe6</t>
  </si>
  <si>
    <t>Sté amanhã (29/03) você pode ganhar 10 pontos Livelo a cada R$1 em compras na Mistral.
Quer saber mais? Clique no link disponível na Bio e confira a matéria completa em nosso blog.
#milhas #pontos #lucro #beneficios #rendaextra #investimento #desconto https://t.co/pLv7ERIQ8E</t>
  </si>
  <si>
    <t>Até sexta (31/03) você pode ganhar até 10 pontos Livelo a cada R$1 em compras na Girafa Tech It Easy. 
Quer saber mais? Clique no link disponível na Bio e confira a matéria completa em nosso blog.
#milhas #pontos #lucro #beneficios #rendaextra #investimento #desconto https://t.co/w9lChuITtA</t>
  </si>
  <si>
    <t>Apenas hoje (27/03) você pode ganhar até 15 pontos Livelo a cada R$1 gasto na Petlove Saúde.
Quer saber mais? Clique no link disponível na Bio e confira a matéria completa em nosso blog.
#milhas #pontos #lucro #beneficios #rendaextra #investimento #desconto https://t.co/Gq2cfToStm</t>
  </si>
  <si>
    <t>Até quarta (29/03) você pode ganhar até 120% de bônus TudoAzul transferindo pontos da Esfera para o programa.
Quer saber mais? Clique no link disponível na Bio e confira a matéria completa em nosso blog.
#milhas #pontos #lucro #beneficios #rendaextra #investimento #desconto https://t.co/pCW2SMmQPA</t>
  </si>
  <si>
    <t>Até sexta (31/03) você pode ganhar 8 pontos Esfera a cada R$1 em reservas na Movida.
Quer saber mais? Clique no link disponível na Bio e confira a matéria completa em nosso blog.
#milhas #pontos #lucro #beneficios #rendaextra #investimento #desconto https://t.co/wcO5SxJPfG</t>
  </si>
  <si>
    <t>Até sexta (31/03) assine o plano do Clube Livelo e ganhe 500% de bônus.
Quer saber mais? Clique no link disponível na Bio e confira a matéria completa em nosso blog.
#milhas #pontos #lucro #beneficios #rendaextra #investimento #desconto https://t.co/MPzb3bwmRf</t>
  </si>
  <si>
    <t>Até sexta (31/03) você pode comprar pontos Esfera com até 50% de desconto. 
Quer saber mais? Clique no link disponível na Bio e confira a matéria completa em nosso blog.
#milhas #pontos #lucro #beneficios #rendaextra #investimento #desconto https://t.co/wHnTClMNmR</t>
  </si>
  <si>
    <t>Até amanhã (28/03) você pode ganhar até 8 pontos Livelo a cada R$1 em compras na Livelo.
Quer saber mais? Clique no link disponível na Bio e confira a matéria completa em nosso blog.
#milhas #pontos #lucro #beneficios #rendaextra #investimento #desconto https://t.co/VrCoMPG04q</t>
  </si>
  <si>
    <t>Já saquei mais de 700 reais na 365 com banca pequena. 
Como eu Jogo ⬇️⬇️⬇️
https://t.co/rVi0y1vz1c
🎯 Limpar o Cache Antes
🎯 Verificar o BitCoin 
🎯 Verificar porcentagem a cada ganho.
#jogosonline #jogos365 #slots #slotsonline #rendaextra #rendaextraonline #sortegrande https://t.co/MxovMcDlyl</t>
  </si>
  <si>
    <t>#InteligenciaArtificial   #dolar #rendaextra https://t.co/4nspQ3jEm7</t>
  </si>
  <si>
    <t>Se torne uma manicure profissional de Alongamento de Unhas e fature muito.
Aprenda o passo a passo completo que vai te ensinar uma das profissões mais lucrativas do momento
#umhas
#manicure
#rendaextra
#cursoprofissionalizante 
#alongamentodeunhas
https://t.co/AZJcjRT6Kt https://t.co/05ZgnsGOi7</t>
  </si>
  <si>
    <t>Apostila ensinando passo a passo a fazer os deliciosos brigadeiros gourmet.
Aumente o número de clientes e dobre seu faturamento com essas maravilhosas receitas exclusivas
📌 Compre aqui: https://t.co/uxCwusD5tx
#brigadeirogourmet
#rendaextra
#brigadeiro https://t.co/ek2pj30Mpc</t>
  </si>
  <si>
    <t>Os laços de cabelos , são acessórios indispensáveis no guarda roupas de qualquer menina.
Aprenda como fazer laços de cabelos de diversos tamanho e cores.
Acesse agora :https://t.co/umCJkYZ5aA
#laços #lacinhosbaby #rendaextra https://t.co/tKnoQ1iDVy</t>
  </si>
  <si>
    <t>E se eu dissesse que existe uma maneira de você ganhar comissão com as suas próprias viagens?!
#empreendedorismo #viagens #rendaextra #empreender #trabalhoemcasa https://t.co/bnWtVhZzFl</t>
  </si>
  <si>
    <t>Daniel Penin comeu o cu do Casimiro, Felipe Neto e Jon Volgs com força nesse 2° vídeo da Blaze KKKKKKKKKKKKKKKKKKKKKKKK https://t.co/dH9R7PgcMO</t>
  </si>
  <si>
    <t>Não achei tudo isso.. #kwai
#rendaextra https://t.co/gidZ7Gx2ko https://t.co/ntt2yYNGR3</t>
  </si>
  <si>
    <t>Ganhe até  R$1,5 por participar da oferta especial de fim de semana.
Gente vem que tá valendo! #tiktokhot  #kwaibonus #rendaextra #app #ForaBrunaGriphaoRACISTA https://t.co/CHB4RP7fd9</t>
  </si>
  <si>
    <t>Nossa! Este vídeo é muito engraçado!
#kwaibonus #kwaigolds #rendaextra #FYP #ganheextra #assistaeganhe #impulsokwai
#kwai #kwaiimpulso
https://t.co/0c5oiLproB https://t.co/UJY8HAJBQZ</t>
  </si>
  <si>
    <t>Como acharam que ficou? 
#videoscaseros #videoskwai
#kwaibonus #kwaigolds #rendaextra #FYP #ganheextra #assistaeganhe #impulsokwai
#kwai #kwaiimpulso
https://t.co/fa9tUE7bbR</t>
  </si>
  <si>
    <t>Gente todo mundo sai ganhando, eu preciso de bem poucos !!!
#kwaibonus #kwaigolds #rendaextra #FYP #ganheextra #assistaeganhe #impulsokwai
#kwai #kwaiimpulso
 https://t.co/vdbNw5WLoV</t>
  </si>
  <si>
    <t>Clique para me ajudar! Só falta um pouquinho para ganharmos bônus de até 2.400.000 Kawi Golds juntos. #kwaibonus #kwaigolds #rendaextra #FYP #ganheextra #assistaeganhe https://t.co/wXQDxHbJhU</t>
  </si>
  <si>
    <t>Caso queira uma renda extra , deixe o seu OK!!! 
#rendaextra #tiktokhotviral #kwaigolds #kwai #BONUS
https://t.co/Hdgh1GnpAG</t>
  </si>
  <si>
    <t>Vamos lá gente ? #foco
#dolar #rendaextra #kwai #kwaigolds
 https://t.co/rAIjLad8kJ</t>
  </si>
  <si>
    <t>Use meu código de convite para ganhar dinheiro extra! Tá valendo super a pena , você ganha para ver os vídeos que já vê de graça,  e eles estão pagando uma boa graninha para cada indicação. 
Melhor que isso??? #rendaextra #MONEY https://t.co/OhYOVHiJ8E</t>
  </si>
  <si>
    <t>Quem tá na brincadeira JA É SEXTAAAA!!!! 
Ganhe 12.000.000 Kwai Golds semanalmente! De segunda a domingo todos os dias e ganharemos dinheiro juntos! https://t.co/glK4oKuUla
#rendaextra #dinheiroonline</t>
  </si>
  <si>
    <t>Quem está na brincadeira que ganha alguma coisa? 
#ganhedinheiro #rendaextra #kwai
#kwaibrasil #BONUS
 https://t.co/rqERUReGnu</t>
  </si>
  <si>
    <t>Gente melhorou mais ainda ! Aproveitem antes que acabe. Clica e veja vc mesmo! 
#Giro #Apps #TikTok #rendaextra
Clique para me ajudar e participe da atividade comigo para ganhar R$1000. Os usuários inativos também podem participar e ganhar dinheiro! https://t.co/s0fWsv1CEO</t>
  </si>
  <si>
    <t>Busco pessoas que estejam cansadas do seu trabalho e que queiram trabalhar de casa com vendas Online
Comente eu quero!!
#independenciafinanceira #feo #liberdadegeografica #rendaextra #rendaextraemcasa #homeoffice #trabalhodigital https://t.co/QHvMchpVkH</t>
  </si>
  <si>
    <t>Oportunidade de Negócios!😉💰
Você sabia que é possível ganhar dinheiro extra sem sair de casa?
Sim, isso mesmo! 📲💻
dinheiro
#RendaExtra #sucesso #empreendedorismo #empreender #empreendedor #marketingdigital #motivação #foco #entretenimento #liderança #negocios #marketing https://t.co/L0DFS7daZQ</t>
  </si>
  <si>
    <t>COMO escolher Um curso Na Hotmart - Dicas Para Não Errar https://t.co/3gXGTOjB2z via @YouTube  #cursos #hotmart #rendaextra</t>
  </si>
  <si>
    <t>🛑Insta Money🛑
📈Investimentos e Finanças
📌QUER APRENDER A FAZER UMA RENDA EXTRA COM SEU INSTAGRAM ?
📌ACESSE : https://t.co/UcWLO6ux7D
#rendaextra #finaças #investimento #instagram #Marketing https://t.co/qVve6lC7LD</t>
  </si>
  <si>
    <t>Por que você ainda não se tornou expert em índice futuro?
Acesse o Clube do Braga e venha aprender !
Consistência resiliência e método!
#daytrade #swingtrading #rendaextra https://t.co/1UxcSL5DFY</t>
  </si>
  <si>
    <t>Sempre o melhor, pois você pode está sendo avaliado e ter ou perder uma oportunidade muito grande..
.
.
#empreendedorismo #o #marketingdigital #empreender #sucesso #marketing #empreendedor #a #brasil #negocios #foco #dinheiro #motiva #rendaextra #empreendedorismofeminino https://t.co/qBYC6aw83A</t>
  </si>
  <si>
    <t>Já pensou em trabalhar com essas Marcas? Faço vendas todos os dias com essas marcas sem investir. Quer aprender como? https://t.co/ufvZsDMTU0 
#ondecomprar #marketingjobs #rendaextra #liberdadefinanceira https://t.co/eWY9afmO9n</t>
  </si>
  <si>
    <t>RENDA EXTRA COM FAUCETS CRIPTOMOEDAS GRÁTIS CRYPTO FAUCET #rendaextra #b... https://t.co/UT2SoMIa7p via @YouTube</t>
  </si>
  <si>
    <t>Já pensou em fazer uma renda extra pela a internet ou viver apenas disso? Pois bem, eu posso mostrar a você o caminho do marketing digital. Entre em contato comigo no Telegram que eu vou te enviar uma aula grátis de como tudo isso é possível!
https://t.co/P8ZpdO63um
#rendaextra</t>
  </si>
  <si>
    <t>Não se compare com mais ninguém.
Afiliada travada?
Clica no link da minha bio e destrave.
#rendaextra #MarketingDigital #afiliados #vendassemaparecer https://t.co/gpHFe8UJmV</t>
  </si>
  <si>
    <t>Queremos você como uma modelo #Migxs 😍
Realize seu cadastro e comece a ganhar #dinheiro 💸
https://t.co/RyvwZqNvMg 👈
#packdope #packdopézinho #cute #modelo #rendaextra https://t.co/YCFUI3Zd9a</t>
  </si>
  <si>
    <t>A NECESSIDADE DO TRABALHO, MESMO NA APOSENTADORIA  Por: * Priscila Arraes Reino
https://t.co/KXPXBSciUo
... Sabemos que em nosso País muitas vezes a aposentadoria por si só é insuficiente para garantir ... #Idosos #INSS #RendaExtra #Vida #Previdência #Riscos https://t.co/Fgal2u43Zn</t>
  </si>
  <si>
    <t>#compraonline 
#rendaextra
Compre comigo e revenda!
Excelentes oportunidades
https://t.co/HExAMfeqDY https://t.co/kEwKIzykLZ</t>
  </si>
  <si>
    <t>📣 New Podcast! "5 SITES PARA VOCÊ GANHAR UMA RENDA EXTRA E NÃO MORRER DE FOME! - #17" on @Spreaker #bladedaquebrada #ptc #rendaextra https://t.co/unnX9fQVJl</t>
  </si>
  <si>
    <t>Quer fazer sua primeira venda através do mercado digital nas próximas 24 horas? 👇🏻💸
Saiba mais https://t.co/JoP4b3AGlY 
#pablomarcal #million #mkt #ruyter #rendaextra https://t.co/hsd6rgBf8P</t>
  </si>
  <si>
    <t>🚀 Aproveite agora mesmo o SUPER DESCONTO de R$200,00 e transforme sua vida! 😱 Clique no link abaixo e junte-se aos mais de 300 mil alunos que já conquistaram a liberdade financeira com a poderosa Fórmula Negócio Online! 🎯
#rendaextra #Online https://t.co/wZSGbPL2bv</t>
  </si>
  <si>
    <t>ENVIO O SEU E-MAIL NA DM QUE LOGO A RESPONSÁVEL DO PROJETO ENTRARÁ EM CONTATO. TODAS AS DÚVIDAS SERÃO ESCLARECIDAS APÓS O ENVIO DO EMAIL*
#rendaextra #homeoffice #trabalhoemcasa</t>
  </si>
  <si>
    <t>Venha trabalhar conosco em casa só chamar no WhatsApp (21) 967246832
#rendaextra #emprego #freelance https://t.co/CCuFuorL47</t>
  </si>
  <si>
    <t>#rendaextra #MarketingDigital https://t.co/lpNX5Jglwf</t>
  </si>
  <si>
    <t>Responda pesquisas e ganhe até R$ 1.100/Mês
https://t.co/hI8UuvUyff
#respondapesquisas #Brasil #ganhardinheiro #trabalharemcasa #rendaextra</t>
  </si>
  <si>
    <t>Quer fazer sua primeira venda no marketing digital em menos de um dia???🔥🤑🤑
🔥CORRE NO LINK DA BIO!!!💰💸
-
-
#caiomartins #primeiravendaem24h #marketingdigital #rendaextra #dinheirodecasa #dinheirorapido #marketing #independenciafinanceira #cursoonline #curso https://t.co/dUbO4RfSmu</t>
  </si>
  <si>
    <t>"Quer ganhar dinheiro extra sem sair de casa? Confira essas dicas!" #ganhardinheiroemcasa #trabalharemcasa #rendaextra
🔥👇Comece HOJE
https://t.co/mxUQhznAOi https://t.co/qZGAIF3imh</t>
  </si>
  <si>
    <t>💸 
#lifestyle #MONEY #wifimomey #foryou #Reels #mindset #rendaextra #vidadeluxo https://t.co/WyxITq81pd</t>
  </si>
  <si>
    <t>#Horoscopo #vidente #brazil #god #deus #amor #cura #rendaextra https://t.co/prVi69g5Jr</t>
  </si>
  <si>
    <t>#kabinet #LulaReformaBrasil #JeffSaturInBrazil #Brazil #wicca #witcher #bruxa #bruxaria #amor #Negocios #rendaextra #saude #cura #expansaodaconsciencia #transicaoplanetaria https://t.co/NXVm1ZvWBt</t>
  </si>
  <si>
    <t>#Deus #amor #saude #negócios #rendaextra #brasil #lula #brasileirao https://t.co/GEozRJDEZa</t>
  </si>
  <si>
    <t>#amor #rendaextra #arte #comida #deus #signos #tarot #horoscopo #magia #trabalho https://t.co/71ywNaiwUD</t>
  </si>
  <si>
    <t>Plataforma top 🔝 https://t.co/MbzMtfQQW5
#RendaExtra #dinheiro #casi https://t.co/IvWeHx7ndi</t>
  </si>
  <si>
    <t>Está querendo entra no dropshipping? fazer uma renda extra?
Aqui você irá aprender a fazer 232.000,11 em um mês.
Curso completo: 197,00
https://t.co/Y5tJnGUiIU
#dropshipping #rendaextra #dinheiro #MétodoErickTorres https://t.co/BxKN4bAgja</t>
  </si>
  <si>
    <t>Digite "eu quero" q vou te enviar 3 aulas gratuitas🔥
#dinheiro #milionário #rico #ganhar #rendaextra https://t.co/2kiWVbGbwM</t>
  </si>
  <si>
    <t>🚀 Como Ganhar Dinheiro Trabalhando de 2 a 3 horas por Dia ?
Da série Mentoria do Léo.
Me siga nas Redes Sociais e acompanhe os bastidores do lançamento da Fórmula de Crescimento Online.
@leonildobevilaqua
#FórmulaDeCrescimentoOnLine #LeonildoBevilaqua #RendaExtra https://t.co/2KvyvD8fnL</t>
  </si>
  <si>
    <t>🚀 Como Perder o Medo de Gravar Vídeos ?
Da série Mentoria do Léo.
Me siga nas Redes Sociais e acompanhe os bastidores do lançamento da Fórmula de Crescimento Online.
@leonildobevilaqua
#FórmulaDeCrescimentoOnLine #LeonildoBevilaqua #RendaExtra #ComunidadeFCO #NegóciosOnLine https://t.co/PM4Pta9Dre</t>
  </si>
  <si>
    <t>🚀Me siga nas Redes Sociais e acompanhe os bastidores do lançamento da Fórmula de Crescimento Online.
@leonildobevilaqua
#FórmulaDeCrescimentoOnLine #LeonildoBevilaqua #RendaExtra #ComunidadeFCO #NegóciosOnLine #NegóciosNaNet #Empreendedorismo #EmpreendedorDigital https://t.co/AnnqWiwJ67</t>
  </si>
  <si>
    <t>🚀 Como Criar Um Infoproduto ?
Da série Mentoria do Léo.
Me siga nas Redes Sociais e acompanhe os bastidores do lançamento da Fórmula de Crescimento Online.
@leonildobevilaqua
#FórmulaDeCrescimentoOnLine #LeonildoBevilaqua #RendaExtra #ComunidadeFCO #NegóciosOnLine https://t.co/DUpuETsUDF</t>
  </si>
  <si>
    <t>🚀 Me siga nas Redes Sociais e acompanhe os bastidores do lançamento da Fórmula de Crescimento Online.
@leonildobevilaqua
#FórmulaDeCrescimentoOnLine #LeonildoBevilaqua #RendaExtra #ComunidadeFCO #NegóciosOnLine #NegóciosNaNet #Empreendedorismo #EmpreendedorDigital https://t.co/LOl5YVqLna</t>
  </si>
  <si>
    <t>🚀 Como Começar No Marketing Digital?
Da série Mentoria do Léo.
Me siga nas Redes Sociais e acompanhe os bastidores do lançamento da Fórmula de Crescimento Online.
@leonildobevilaqua
#FórmulaDeCrescimentoOnLine #LeonildoBevilaqua #RendaExtra #ComunidadeFCO https://t.co/PgcpZJL1on</t>
  </si>
  <si>
    <t>#investimentos #investimento #investimentoimobiliario #fundoimobiliario #fundoimobiliário #fundosimobiliarios #fundosimobiliários #fii #fiisparaleigos #rendavariável #rendavariavel #rendaextra #rendapassiva #bolsadevalores #b3 #metodofayh</t>
  </si>
  <si>
    <t>A todos que precisam de uma renda Extra recomendo fortemente: 
https://t.co/rvUs3D1xxS
#Rendaextra
#dinheiro 
#jogos</t>
  </si>
  <si>
    <t>Gostou? 😃 
Acesse o link 👇 
https://t.co/jwaCZjX3OZ
#parceiromagalu #ecommerce #produtos #vendasonline #marketingdigital #rendaextra https://t.co/4yVQwsDE0Q</t>
  </si>
  <si>
    <t>JONVLOGS VAI DIVULGAR TIGRINHO? #jonvlogs #bdj #maumauzk #cabritoz #bocade09 #tigrinho #rendaextra #dinheiro https://t.co/weWQ9feD5v</t>
  </si>
  <si>
    <t>🔥🔥Descubra o segredo para uma renda extra de forma simples e eficaz! 💸💼 Aproveite essa oportunidade única e transforme sua vida financeira.🚀
📍Link na Bio!🤩
#RendaExtra #Sucesso https://t.co/8AOV7zecHn</t>
  </si>
  <si>
    <t>🔥Você está buscando uma maneira de aumentar sua renda? Não perca mais tempo! 💰💡 Nós temos a solução perfeita para você. Venha descobrir como alcançar sua independência financeira. 
📲Link na Bio!🤩
#RendaExtra #Transformação" https://t.co/gqioGPBdpx</t>
  </si>
  <si>
    <t>📊Aumente sua renda com facilidade! Descubra estratégias comprovadas e comece a construir um futuro próspero. 💼💰
🔥Link na Bio!🔥
#rendaextra #rendaextraemcasa #rendaextraonline #rendaextraagora #rendaextraordinaria #rendaextranainternet https://t.co/mut6OmW7wP</t>
  </si>
  <si>
    <t>🔥🚀Transforme seu tempo livre em dinheiro extra! Descubra as melhores oportunidades de renda adicional e conquiste a liberdade financeira que você merece. 💸💪
🔥Link na Bio!🔥
#rendaextra #rendaextraemcasa #rendaextraonline #rendafixa #rendaextraagora #rendaextranainternet https://t.co/cW4kcEMKZP</t>
  </si>
  <si>
    <t>🔥🚀Você merece mais do que apenas um salário! Abra as portas para novas oportunidades de renda e alcance a prosperidade que você sempre desejou. 💼💫
🔥Link na Bio!🚀
#rendaextra #rendaextraagora #rendaextraemcasa #rendaextranainternet #rendaextraideias #rendaextraonlineagora https://t.co/KFnBK32dXJ</t>
  </si>
  <si>
    <t>🔥Seja dono do seu próprio destino financeiro! Descubra como criar um fluxo constante de renda extra e liberte-se das restrições financeiras. 💼💵
🔥🚀link na Bio!
#rendaextraemcasa #rendaextraonline #rendaextra #dinheiroextra #liberdadefinanceira #liberdadefinanceira💰 https://t.co/4ELbkc0FKk</t>
  </si>
  <si>
    <t>Explore seu potencial empreendedor e descubra oportunidades de renda extra que podem mudar sua vida. Não espere mais para alcançar seus sonhos! ✨💰
#rendaextra #dinheiroextra #dinheiroonline #rendaextraemcasa #liberdadefinanceira https://t.co/eUg5j7TXXF</t>
  </si>
  <si>
    <t>🔥🚀Seja seu próprio chefe! Descubra oportunidades de renda extra que podem mudar sua vida e oferecer a liberdade que você sempre sonhou. 💼🔓
🔥Link na Bio!🔥
#rendaextra #rendaextraemcasa #rendaextraonline #rendaextraagora #rendaextranainternet #rendaextraideias https://t.co/rEWhSa7128</t>
  </si>
  <si>
    <t>🔥🚀Abra as portas para uma nova era de finanças financeiras! Descubra estratégias inteligentes para ganhar dinheiro extra e crie seu próprio destino. 💼💵
🔥Link na Bio!🔥
#rendaextra #rendaextraemcasa #rendaextraonline #rendaextraagora #rendaextranainternet https://t.co/Fp6xk0ZAHY</t>
  </si>
  <si>
    <t>🔥🚀💰Conquiste a liberdade financeira! Descubra os caminhos para uma renda extra consistente e viva a vida que você sempre desejou. 💸✨
🔥Link na Bio!🔥
#renda #rendaextraemcasa #rendaextraonline #rendaextraordinaria #rendaextranainternet #ganhardinheironainternet https://t.co/lbIcNma7yk</t>
  </si>
  <si>
    <t>💰🤩Descubra o poder da renda extra! Mude sua vida financeira e conquiste seus sonhos com estratégias simples e eficazes. 💥💸
🔥Link na Bio!🔥
#rendaextra #rendaextraemcasa #rendaextraonline #rendaextraagora #rendaextraordinaria #rendaextranainternet #rendaextranainternet https://t.co/WPjSfu2vxl</t>
  </si>
  <si>
    <t>🔥🚀Descubra o poder da renda extra! Mude sua vida financeira e conquiste seus sonhos com estratégias simples e eficazes. 💥💸
🔥Link na Bio!🔥
#rendaextra #rendaextraemcasa #rendaextraonline #rendaextraagora #rendaextranainternet #rendaextranainternet #rendaextraideias https://t.co/ybw17MQswI</t>
  </si>
  <si>
    <t>🔥🚀Faça seu dinheiro trabalhe por você! Descubra as melhores maneiras de aumentar sua renda e conquistar a independência financeira. 💪💰
🔥Link na Bio!🔥
#trabalharemcasa #rendaextraemcasa #rendaextraonline #rendaextraagora #rendaextraordinaria #rendaextraideias https://t.co/xlGDQzbXOg</t>
  </si>
  <si>
    <t>🔥🚀Você está pronto para uma vida de abundância? Descubra os segredos da renda extra e desbloqueie um novo nível de sucesso financeiro. 💵✨
🔥Link na Bio!🔥
#rendaextra #rendaextraemcasa #rendaextraonline #rendaextraagora #rendaextranainternet #rendaextraideias https://t.co/mQmwdDny4P</t>
  </si>
  <si>
    <t>Conheça o método Exclusivo que já ajudou mais de 60.154 mulheres a transformarem a sua vida financeira em poucos dias com Design de Sobrancelhas. Curso Sobrancelhas Perfeitas.
Site: https://t.co/6o1t7XnPeB
#Twitter #cursos #cursosonline #sucesso #rendaextra #sobrancelha https://t.co/mLpjwiJMYJ</t>
  </si>
  <si>
    <t>Conheça nosso Curso de Depilação Profissional. Torne-se uma depiladora profissional de sucesso do absoluto zero e destaque-se no mercado da estética!
Site: https://t.co/vOeeoJSJIp
#Twitter #cursos #cursosonline #sucesso #rendaextra #depilação #motivacao #Mindset #empreender https://t.co/H57fNbkzs3</t>
  </si>
  <si>
    <t>#qrcodedasorte
#telesenadasorte
#rendaextra
#ganhenatelesena</t>
  </si>
  <si>
    <t>#rendaextra #odonodalancha #trabalhoonline #maesolo #dicadinheirooline #cabecabranca #amizadeonline #relacionamentoonline #conversaboa #patepapo</t>
  </si>
  <si>
    <t>5 formas de ganhar mais dinheiro e complementar sua renda: https://t.co/L5svXfXOBL 
#maisdinheiro #rendaextra https://t.co/24RYLGTY1w</t>
  </si>
  <si>
    <t>5 formas de ganhar mais dinheiro e complementar sua renda todo mês: https://t.co/L5svXfXOBL
#maisdinheiro #rendaextra https://t.co/HQFAbj0kbS</t>
  </si>
  <si>
    <t>#GanharDinheiroOnline
#NegócioOnline
#RendaExtra
#TrabalhoEmCasa
#EmpreendedorismoDigital</t>
  </si>
  <si>
    <t>Fone de Ouvido Stereo sem Fio TW 5.0 com cancelamento de ruído
#Shopee #vendas #ecomerce #eletrônicos
#rendaextra https://t.co/LQjzkyD7TR</t>
  </si>
  <si>
    <t>Quer Ganhar uma Renda Extra no Marketing Digital.
DIGITE EU QUERO nos comentario abaixo.
#MarketingDigital #RendaExtra #afiliado #dicasparaosucesso https://t.co/7rRM1cvDoE</t>
  </si>
  <si>
    <t>Alguém afim de fazer uma dessa extra? 
#rendaextra #dinheiro #ajuda #financeiro</t>
  </si>
  <si>
    <t>🌇FII | https://t.co/r0VxhN7EXl
Alocação crédito #fiifacil #investimentos #fiis #rendaextra #rendapassiva #b3 #ações #investir
FII FACIL | fundosimobiliarios fiis</t>
  </si>
  <si>
    <t>🌇FII | https://t.co/Vmm4GWts5Y
CDII11 vs JURO11 Parte 2 #fiifacil #fiis #investimentos #rendaextra #rendapassiva #b3 #riqueza
FII FACIL | fundosimobiliarios fiis</t>
  </si>
  <si>
    <t>🌇FII | https://t.co/Y7bqwvpuhj
CDII11 vs JURO11 Diferenças #fiifacil #investimentos #rendaextra #rendapassiva #fiis #b3
FII FACIL | fundosimobiliarios fiis</t>
  </si>
  <si>
    <t>🌇FII | https://t.co/FmG1ZATbz2
Portfólio do ALZR vs KNRI/HGLG #fiifacil #investimentos #rendaextra #rendapassiva #fiis #b3 #ações
FII FACIL | fundosimobiliarios fiis</t>
  </si>
  <si>
    <t>🌇FII | https://t.co/iEcwhyHGhb
Dividend Yield alto significa risco alto? #fiifacil #investimentos #rendaextra #fiis #b3 #ações
FII FACIL | fundosimobiliarios fiis</t>
  </si>
  <si>
    <t>🌇FII | https://t.co/4WlwYCQAXV
O que está acontecendo no hectare? #fiifacil #investimentos #rendaextra #b3 #fiis #ações #renda
FII FACIL | fundosimobiliarios fiis</t>
  </si>
  <si>
    <t>🌇FII | https://t.co/6nfvrC7slF
Melhor portfólio de Lajes ? #fiifacil #investimentos #rendaextra #rendapassiva #b3 #fiis #ações
FII FACIL | fundosimobiliarios fiis</t>
  </si>
  <si>
    <t>🌇FII | https://t.co/QaYQ3mNmHT
Iridium e CPTS semelhantes? #fiifacil #fiis #rendaextra #investimentos
FII FACIL | fundosimobiliarios fiis</t>
  </si>
  <si>
    <t>🌇FII | https://t.co/rl73nb0HSY 
Industrial vs logístico #fiifacil #investimentos #rendaextra #ações #b3 #renda #fiis #rendapassiva
FII FACIL | fundosimobiliarios fiis</t>
  </si>
  <si>
    <t>🌇FII | https://t.co/ipnI1h0itK 
Frequência de reavaliação de VP em fundos! #fiifacil #investimentos #rendaextra #ações #b3 #renda
FII FACIL | fundosimobiliarios fiis</t>
  </si>
  <si>
    <t>🌇FII | https://t.co/Dd8NsM05ch
Efeitos Gramado Park #irdm11 #fiifacil #investimentos #rendaextra #fiis #rendapassiva
FII FACIL | fundosimobiliarios fiis</t>
  </si>
  <si>
    <t>🌇FII | https://t.co/w4RMdgfN07
Efeitos Gramado Park #deva11 #fiifacil #investimentos #rendaextra #rendapassiva
FII FACIL | fundosimobiliarios fiis</t>
  </si>
  <si>
    <t>🌇FII | https://t.co/UqVz18EQCL
Notícia #hctr11 Gramado Park Parte1 #fiifacil #investimentos #fiis #rendaextra #rendapassiva
FII FACIL | fundosimobiliarios fiis</t>
  </si>
  <si>
    <t>🌇FII | https://t.co/ILxUPjBVfZ
Notícia Hectare Gramado Park Efeitos #fiifacil #investimentos #rendaextra #rendapassiva #fiis
FII FACIL | fundosimobiliarios fiis</t>
  </si>
  <si>
    <t>🌇FII | https://t.co/DJ6V7UirF6 
Estratégias do CPTS, IRDM e HGCR #fiifacil #investimentos #rendaextra #ações #fiis #b3 #renda
FII FACIL | fundosimobiliarios fiis</t>
  </si>
  <si>
    <t>🌇FII | https://t.co/2oZqJPmE7Z
Fiagros pagam mais que FIIs ? #fiifacil #fiis #investimentos #rendapassiva #rendaextra
FII FACIL | fundosimobiliarios fiis</t>
  </si>
  <si>
    <t>🌇FII | https://t.co/oNPl9IKO0o
Minha opinião sobre o IRDM11! #fiifacil #fiis #investimentos #rendaextra #rendapassiva
FII FACIL | fundosimobiliarios fiis</t>
  </si>
  <si>
    <t>🌇FII | https://t.co/d1IqFTMzuW
PVBI fundo muito novo? #fiifacil #investimentos #fiis #rendaextra #rendapassiva
FII FACIL | fundosimobiliarios fiis</t>
  </si>
  <si>
    <t>🌇FII | https://t.co/8YCfY4Ko3H
Segmentos Favoritos no momento? #fiifacil #fiis #rendaextra #investimentos
FII FACIL | fundosimobiliarios fiis</t>
  </si>
  <si>
    <t>🌇FII | https://t.co/FUfrVOm9Uc 
P/VP de FII de papel importa?2 #fiifacil #investimentos #rendaextra #renda #fiis #b3 #ações #ibov
FII FACIL | fundosimobiliarios fiis</t>
  </si>
  <si>
    <t>🌇FII | https://t.co/LI4FWtR0wi 
Subida súbita XPML #fiifacil #investimentos #rendaextra #rendapassiva #b3 #ações #fiis #xpml11 #fii
FII FACIL | fundosimobiliarios fiis</t>
  </si>
  <si>
    <t>🌇FII | https://t.co/uSPyhxY6PE 
Alocar em CDB ou em FIIs? #fiifacil #investimentos #rendaextra #fiis  #renda #b3 #ações #rendafixa
FII FACIL | fundosimobiliarios fiis</t>
  </si>
  <si>
    <t>🌇FII | https://t.co/01AgMVAzWC
Risco divida vs equity parte 5 #fiifacil #investimentos #rendaextra #ações #fiis
FII FACIL | fundosimobiliarios fiis</t>
  </si>
  <si>
    <t>🌇FII | https://t.co/n1rTqfV7ET
Risco divida vs equity parte 4 #fiifacil #investimentos #fiis #rendaextra #ações
FII FACIL | fundosimobiliarios fiis</t>
  </si>
  <si>
    <t>🌇FII | https://t.co/LM3pqV4HkR
Risco divida vs equity parte 3 #fiifacil #investimentos #rendaextra #rendapassiva #ações
FII FACIL | fundosimobiliarios fiis</t>
  </si>
  <si>
    <t>🌇FII | https://t.co/ywZNvN7lus
Risco divida vs equity parte 2 #fiifacil #fiis #investimentos #investir #rendaextra
FII FACIL | fundosimobiliarios fiis</t>
  </si>
  <si>
    <t>🌇FII | https://t.co/QerygxvFyT
Avaliação de retorno #fiifacil #investimentos #rendaextra #fiis
FII FACIL | fundosimobiliarios fiis</t>
  </si>
  <si>
    <t>🌇FII | https://t.co/wSmUQUSPtv
Mercado de Lajes 2023 #fiifacil #fiis #investimentos #rendaextra
FII FACIL | fundosimobiliarios fiis</t>
  </si>
  <si>
    <t>🌇FII | https://t.co/7S9kwFGdSm
CDII11 distribuição igual a do JURO11? #fiifacil #investimentos #rendaextra
FII FACIL | fundosimobiliarios fiis</t>
  </si>
  <si>
    <t>🌇FII | https://t.co/se9HUh0Ydw 
ALZR P/VP maior que 1 importa? #fiifacil #investimentos #rendaextra #ações #b3 #dinheiro #fiis #ifix
FII FACIL | fundosimobiliarios fiis</t>
  </si>
  <si>
    <t>🌇FII | https://t.co/DNnffiPwyH 
Carteira cvbi11 #fiifacil #investimentos #rendaextra #renda #b3 #ações #fiis #ifix #dinheiro
FII FACIL | fundosimobiliarios fiis</t>
  </si>
  <si>
    <t>🌇FII | https://t.co/VmQ1YJh7eq
Alteração no VP do RECR ? #fiifacil #investimentos #rendaextra #b3 #ações #fiis #rendapassiva #ifix
FII FACIL | fundosimobiliarios fiis</t>
  </si>
  <si>
    <t>🌇FII | https://t.co/JigeUyLtYy
Tendência de valorização dos fiis? #fiifacil #rendaextra #renda #b3 #ações #investimentos #fiis #fii
FII FACIL | fundosimobiliarios fiis</t>
  </si>
  <si>
    <t>🌇FII | https://t.co/aTfvZYBEjY
Risco de divida vs equity parte 1 #fiifacil #investimentos #rendaextra #rendapassiva #fiis
FII FACIL | fundosimobiliarios fiis</t>
  </si>
  <si>
    <t>🌇FII | https://t.co/28GhQANKc4
Diversificação de carteira #fiifacil #investimentos #fiis #rendaextra #rendapassiva #ações
FII FACIL | fundosimobiliarios fiis</t>
  </si>
  <si>
    <t>🌇FII | https://t.co/gpyP5FSLx2 
Estratégia do rztr11 #fiifacil #investimentos #rendaextra #b3 #ações #renda #fiis #ibov #investir
FII FACIL | fundosimobiliarios fiis</t>
  </si>
  <si>
    <t>🌇FII | https://t.co/ROIo7nRilR 
Classificação BDIF, XPID, Juro #fiifacil #investimentos #rendaextra #rendapassiva #fiis #ações
FII FACIL | fundosimobiliarios fiis</t>
  </si>
  <si>
    <t>🌇FII | https://t.co/0Q0juXOtsT
Opinião carteira do MXRF11 #fiifacil #investimentos #rendaextra #rendapassiva #b3 #ações #fiis
FII FACIL | fundosimobiliarios fiis</t>
  </si>
  <si>
    <t>🌇FII | https://t.co/UqVz18EQCL
Notícia Hectare Gramado Park #fiifacil #investimentos #fiis #rendaextra #rendapassiva
FII FACIL | fundosimobiliarios fiis</t>
  </si>
  <si>
    <t>🌇FII | https://t.co/mCbhu8hNgH
Como ver o LTV? #fiifacil #investimentos #rendaextra #rendapassiva
FII FACIL | fundosimobiliarios fiis</t>
  </si>
  <si>
    <t>🌇FII | https://t.co/Qtfrl3M5Ta 
pvbi11 para longo prazo? #fiifacil #investimentos #rendaextra #ações #b3 #rendapassiva #renda #fiis
FII FACIL | fundosimobiliarios fiis</t>
  </si>
  <si>
    <t>🌇FII | https://t.co/TiU0KX7lB9 
Recuperação do hectare? #fiifacil #investimentos #b3 #rendaextra #fiis #renda #ações #ibovespa #fii
FII FACIL | fundosimobiliarios fiis</t>
  </si>
  <si>
    <t>🌇FII | https://t.co/1f7s5g554c 
FIIs de Lajes ainda valem a pena? #fiifacil #investimentos #rendaextra #b3 #ações #fiis #ibovespa
FII FACIL | fundosimobiliarios fiis</t>
  </si>
  <si>
    <t>🌇FII | https://t.co/Bbi0j0Fd2K 
Gestão passiva no HGPO atrapalha? #fiifacil #investimentos #rendaextra #b3 #ações #rendapassiva#fiis
FII FACIL | fundosimobiliarios fiis</t>
  </si>
  <si>
    <t>🌇FII | https://t.co/YHdVskR26y
FII como reserva de emergência? #fiifacil #rendaextra #rendapassiva #b3 #fiis #ações #investimentos
FII FACIL | fundosimobiliarios fiis</t>
  </si>
  <si>
    <t>🌇FII | https://t.co/WC4MkZCunm
FIIs tem garantia do FGC??? #fiifacil #fiis #rendaextra #investimentos
FII FACIL | fundosimobiliarios fiis</t>
  </si>
  <si>
    <t>🌇FII | https://t.co/sIYChpSNBf
Reinvestimento mensal FIIs #fiifacil #fiis #investimentos #rendaextra #rendapassiva
FII FACIL | fundosimobiliarios fiis</t>
  </si>
  <si>
    <t>D. Pedro &amp;gt; @felipeneto
😆
#rendaextra https://t.co/1hqE7cCxgv</t>
  </si>
  <si>
    <t>https://t.co/GoGEaGv2Tu
#rendaextra #dinheiro #internet #dinheiroonline #Curso #cursos #faturar #independenciafinanceira https://t.co/hyLcIBVaJI</t>
  </si>
  <si>
    <t>O programa de afiliados é seguro?
Entenda o que é o programa de afiliados neste vídeo curto.
.
.
.
#afiliados #MarketingDigital #rendaextra #negóciosonline #joacytrajano #programadeafiliados https://t.co/KJ7OAGxY2T</t>
  </si>
  <si>
    <t>Uns prometem, outros entregam. Faça sua escolha! 
#crypto #criptomoeda #investimento #solana #ethereum #evolua #prosperidade #rendaextra https://t.co/dx8lDdWZjY</t>
  </si>
  <si>
    <t>🧠🎯😁 A melhor parte quando o assunto é mercado de Criptomoeda, é sacar o lucro, mas não se engane. Para chegar até aqui, além de conhecimento, paciência e muita persistência são necessários. 🤞🏽🏃‍♂️💸
#crypto #binance #bitcoin #rendaextra #investimento #dolar https://t.co/JYGC9cNbET</t>
  </si>
  <si>
    <t>Aprenda tudo sobre Copo da Felicidade lucrativos💵
São mais de 700 receitas mais 8 super bônus exclusivos e 50 receitas Lucrativas de Bolo no Pote 🥰
Adquira o curso completo com certificado!📄
Entre no link abaixo 👇🏼
https://t.co/NJmiaoey0b
 #rendaextraemcasa #bolonopotegourmet https://t.co/6ayhUBFAR8</t>
  </si>
  <si>
    <t>Não perca mais tempo procurando maneiras de ganhar dinheiro online! Com o nosso acervo PLR, você tem tudo o que precisa para começar a lucrar agora mesmo! 
✅🟨  LINK NA BIO  🟨✅
#rendaextra #acervoplr #dinheiroonline</t>
  </si>
  <si>
    <t>Não perca mais tempo procurando formas de ganhar dinheiro online! O melhor acervo PLR do Brasil é a solução para a sua renda extra. Adquira agora e comece a lucrar! 💰📚 
#acervoplr #rendaextra #ganhardinheiroonline</t>
  </si>
  <si>
    <t>Como é seu modo de pensar a respeito do dinheiro? 
O post completo está no meu Instagram ⚠️
#dinheiro #rendaextra #empreendedorismo #plr #SpiderMan  #trabalho https://t.co/tatzlkjfwy</t>
  </si>
  <si>
    <t>Oportunidade de trabalho!👇🏼
Na internet existe várias possibilidades de fazer dinheiro e eu estou aqui para te ensinar a como fazer isso de fazer de forma segura e honesta! 
Fale comigo hoje mesmo para começar ! Whatsapp aí no post
#rendaextra #dinheiro #money #extraincome https://t.co/vG7yPzYyeV</t>
  </si>
  <si>
    <t>Ganhe 12.000.000 Kwai Golds! Basta baixar o app! #kwai #baixeokwai #rendaextra #babado https://t.co/aRoygptipx</t>
  </si>
  <si>
    <t>Gente bom dia, estou fazendo uma renda extra com um novo sistema que está chegando no Brasil chamado SDM, se vocês tem interesse em saber melhor o que é SDM e como conquistar uma renda extra segue o link.
https://t.co/xKpTOAATxi
#rendaextra #SDM #money #dinheiro https://t.co/lLjpKtDuyy</t>
  </si>
  <si>
    <t>Jogo pagando no modo FREE - Testado https://t.co/PiP7sd2WyL via
@YouTube
LINK JOGO: https://t.co/hOaLaRYl6R 
LINK CARTEIRA PAYEER: https://t.co/5w4WGeugZj… 
#GAMENFT #GAME #ganhedinheironainternet #FREE #CRYPTO #BTC📷 #TRX📷 #USDT📷 #PAGANDO #rendaextra #DUARTEAFO #GANHEDINHEIRO</t>
  </si>
  <si>
    <t>Game Russo Pagando no FREE - Testado https://t.co/PiP7sd2WyL via @YouTube 
LINK JOGO: https://t.co/hOaLaRYl6R LINK CARTEIRA PAYEER: https://t.co/5w4WGeugZj  #GAMENFT #GAME #ganhedinheironainternet #FREE #CRYPTO #BTC #TRX #USDT #PAGANDO #rendaextra #DUARTEAFO</t>
  </si>
  <si>
    <t>Link do e-book 👇🏼
https://t.co/t2RzJVRP5L
#ovos de colher
#pascoa
#ovosdapascoa
#rendaextra 
#receita
#Bbb23 https://t.co/LAKGUzOLbC</t>
  </si>
  <si>
    <t>Adquira agora mesmo o nosso e-book por apenas R$10 e descubra 20 receitas.
 Estarei deixando aqui o link do e-book para quem quiser adquirir 👇🏼
https://t.co/U4ADYnnRYf
 #páscoa #rendaextra #ovosdecolher #ovosdepascoa #Bbb23 https://t.co/KEysd7pKlP</t>
  </si>
  <si>
    <t>Amiguinhos! Tô testando uma plataforma que paga em dólar… vamos ver se dá uma graninha extra… se vcs quiserem conhecer acessem https://t.co/sSpnlI7YGy… um 💰nunca é demais né? #gotchosen #rendaextra</t>
  </si>
  <si>
    <t>Forrei 😍😍
Tigre querido
Essa plataforma é muito boa 👇🏼
Paga bônus de primeiro depósito
🍀LINK DA SORTE 👇🏼 🍀
https://t.co/Rql5ZGhXD7
#fortunetigre #grana #dinheiro #slots #rendaextra #plataforma #sorte #ganhar https://t.co/ym6kL34VrJ</t>
  </si>
  <si>
    <t>Fortune tiger 
Ganho maravilhoso
Essa plataforma tá top de mais
https://t.co/2VOVomMwPu
Dica: gerenciamento de banca e controle emocional sempre
https://t.co/2VOVomMwPu
#fortunetiger #tigre #fortune #slots #plataforma #dinheiro #rendaextra https://t.co/4vro79UGQM</t>
  </si>
  <si>
    <t>Fortune Tiger. Plataforma: https://t.co/LRMCSjJDRR
#slot #Bets10 #fortune #jogo #jogos #renda #rendaextra #dinheiro https://t.co/f5IEjGaX9C</t>
  </si>
  <si>
    <t>Plataforma nova pagando: 
https://t.co/AVVaERHHAm
.
#jogos  #dinheiro #renda #grana #rendaextra #fortuneox #rendaemcasa #fortune https://t.co/NZ8zax7K3G</t>
  </si>
  <si>
    <t>@magalzaoshow #rendaextra</t>
  </si>
  <si>
    <t>#dicas #viagem #rendaextra #app #produtoimportado
https://t.co/NXgSokRyOF</t>
  </si>
  <si>
    <t>🔥🔥🔥 #gebeclipes #viralvideo #carros #maquinas #rendaextra https://t.co/2hvYpkDbwg</t>
  </si>
  <si>
    <t>Alimenta teu conhecimento
.
.
.
#conhecimento #mentesmillonarias #metadolar #rendaextra #pairicopaipobre #venceronline #aprendendoonline #riqueza #prosperidade #deusnocomando https://t.co/t1MZWnDCAf</t>
  </si>
  <si>
    <t>A vista do expert digital 💻
#rendaextra #viral #trend #Trending #Google https://t.co/GQiVO9e3VZ</t>
  </si>
  <si>
    <t>Quanto tempo vai demorar? 💻
#tuesdayvibe #dolar #Dollar #rendaextra #viral #Trending https://t.co/srYFayMogn</t>
  </si>
  <si>
    <t>Evento único para você aprender a trabalhar como eu💻
#rendaextra #dolar #renda #viral #Trending https://t.co/xNX0nKOTgl</t>
  </si>
  <si>
    <t>Uma das empresas que trabalho💻
#dolar #rendaextra #Twitter #viral #trend https://t.co/XEBWFmFqbH</t>
  </si>
  <si>
    <t>A caixa de entrada do Expert Digital💻
#rendaextra #Twitter #viral #Trending #trend https://t.co/OAfKyjJz9M</t>
  </si>
  <si>
    <t>Você também acorda recebendo pagamento na segunda ? Se não acorda tem algo errado 💸
#XTwitter #dollar #rendaextra #Trending https://t.co/xcKsCf05Qj</t>
  </si>
  <si>
    <t>Tela do Expert Digital 💻 
#rendaextra #Crypto #Trending #viral #Twitter https://t.co/7sF5dvPW8X</t>
  </si>
  <si>
    <t>Pagamento mensal 💰 Mês produtivo 💻
#rendaextra #renda #Twitter #viral #Trending https://t.co/UvKyeP7LUL</t>
  </si>
  <si>
    <t>Último dia para aproveitar o mapa 10K 💻
#rendaextra #Google #trend #viral #renda https://t.co/CACMOrJD6i</t>
  </si>
  <si>
    <t>Começando a segunda muito bem 💻
#dollar #rendaextra #dinheiro #renda #viral https://t.co/2vuJetysUo</t>
  </si>
  <si>
    <t>Sextou por aí ?💻
#fridaymorning #dollar #rendaextra #renda #Brasil https://t.co/58Gll9qZkR</t>
  </si>
  <si>
    <t>4 motivos pelo qual você vive sem dinheiro #dividas #financas #rendaextra https://t.co/233KcqFGXw via @YouTube https://t.co/GsXQKrZfJH</t>
  </si>
  <si>
    <t>A RENDA EXTRA VAI SALVAR SUA VIDA FINANCEIRA! #rendaextra #rendaextraonline https://t.co/UT9kIpQJpg via @YouTube
#rendaextra #financas https://t.co/hnbaOr6XzI</t>
  </si>
  <si>
    <t>Receba 100 BRL de graça,Pix SAQUE RÁPIDO Só se cadastrar, estou quase conseguindo 💰💸💸💰
#BolsaFamilia #RendaExtra #Dinheiro #Ganhar
https://t.co/m96lWrEFSw https://t.co/l3rweQw99T</t>
  </si>
  <si>
    <t>Existem três razões básicas para economizar dinheiro. Primeiro, economizamos para um fundo de emergência. Em segundo lugar, economizamos para compras. Em terceiro lugar, economizamos para construir riqueza.
#marketing #MarketingDigital #rendaextrA https://t.co/5lnb4WSptT</t>
  </si>
  <si>
    <t>https://t.co/99h9UsLEy8
🔥 
#dinheiro #rendaextra #opcoesbinarias https://t.co/YgM5oviG6J</t>
  </si>
  <si>
    <t>Ganhe dinheiro lendo notícias Link:https://t.co/rYHB9vKGYn
#dinheiro #rendaextra</t>
  </si>
  <si>
    <t>Boa Reflexão!
.
.
#bilionário #milionário #empreendedor #eusoubilionario #combília #dinheiro #bhfyp #car #vel #rendaextra #negócioonline #vidadesucesso #instagood #rico #força #mulher #empreendedorismo #luxury #digitalmarketing #euro #chegouaminhavez #chefe #brasil #trabalho https://t.co/UyYJ3A4SEH</t>
  </si>
  <si>
    <t>vc acordou com este e-mail, o que vc faz? https://t.co/PNKUubI7DW</t>
  </si>
  <si>
    <t>@legadaodamassa #rendaextra</t>
  </si>
  <si>
    <t>https://t.co/Oc1HrbvmdP 
#Laser 
#engraver
#brindes
#rendaextra</t>
  </si>
  <si>
    <t>https://t.co/zl0YFfWPsn 
#laserpecker
#rendaextra
#brindes
#Laser</t>
  </si>
  <si>
    <t>Sabia que o Marketing Digital pode ser a chave para alcançar a sua independência financeira?
Que saber como?
Comente eu QUERO...
#independenciafinaceira 
#marketingdigital 
#rendaextraemcasa 
#mercadoafiliados
https://t.co/GAsniHAVbg</t>
  </si>
  <si>
    <t>Qual a sua opinião? Muitos investidores vão vender #PETR4?
👉 SIGA @dicadehoje_7 para mais conteúdos como esse!
#ibovespa #ibov #educacaofinanceira #bolsadevalores #dividendos #rendapassiva #acoes #dinheiro #rendaextra https://t.co/Ed0HBmhSrd</t>
  </si>
  <si>
    <t>Você que sonha em ter sua independência financeira, comente “EU QUERO” que eu vou te ajudar a realizar esse sonho ! #rendaextra #dinheiro #milionario #KRYSTALatCannes #Ajax #aespa https://t.co/1Gzr40kDp8</t>
  </si>
  <si>
    <t>#táxi #taxi #taxipersonalizado #heetch #yango #finanças #dinheiro #riqueza #rendaextra #horaextra #trabalho #investment #investimento #investir https://t.co/e0ycR7UYRM</t>
  </si>
  <si>
    <t>#ganheparapararesponder
#rendaextra https://t.co/1NbIVZ3baa</t>
  </si>
  <si>
    <t>boa noite que tal aquela renda extra?
#chamaprasaber
#rendaextra
#homeoffice
#façaseuhorario
#façaseudia
#façaquandoquiser
#corremeninas
#chamanochat https://t.co/TfWcP2FCaT</t>
  </si>
  <si>
    <t>vamos meninos e meninas trabalhar como Home Office?
#rendaextra https://t.co/mGaJPdsazh</t>
  </si>
  <si>
    <t>Fiz o meu Primeiro consórcio, com objetivo de ganhar experiência e montar um #patrimonio ao longo dos anos. Mas aplicado a estratégias para construir #rendaextra ou ou #viverderenda. De início eu comecei com o #Bancointer. Eu conto a trajetória nesse video
https://t.co/KNzQWCcgZv</t>
  </si>
  <si>
    <t>https://t.co/IritkpTpey apresenta um #curso onde você terá #qualificação para #conquistar os seus próprios #clientes sendo uma #rendaextra ou #escritório de #contabilidade dentre os #assuntos do #curso estão: #departamentoContábil #departamentoFiscal #departamentoPessoal https://t.co/xQdY26RGCl</t>
  </si>
  <si>
    <t>🌟💸 Quer descobrir o segredo para vender todos os dias e conquistar a tão sonhada liberdade financeira? Então, diga #quero nos comentários e me chame no zap! 💪📲 
 #vendasonline #rendaextra #empreendedor #sucesso #trabalheemcasa #negóciosonline #dinheiro #liberdade #metas #obje https://t.co/7pX0gSczsu</t>
  </si>
  <si>
    <t>Como jogar Jogo do Tigre? 
🤑 Convite do Jogo do Tigre: 
↪️https://t.co/CeQxkiHsg2
1. Acesse o link
2. Cadastre-se
3. Realize depósito de R$20 por pix
4. Escolha o jogo Fortune Tiger
5. Escolha o valor da aposta no ( +/-) 
 #fortune #fortunetiger #RendaExtra</t>
  </si>
  <si>
    <t>Com programas de afiliados, você pode promover produtos ou serviços de qualidade e ganhar comissões por cada venda realizada. 💪✨ #Afiliados #MarketingDeAfiliados #RendaExtra #Oportunidades #SucessoOnline"</t>
  </si>
  <si>
    <t>"💰💻 Seja um afiliado e transforme sua paixão em lucro! 💪✨ #Afiliados #MarketingDeAfiliados #RendaExtra #Oportunidades #SucessoOnline"</t>
  </si>
  <si>
    <t>@Tio_Gin #rendaextra</t>
  </si>
  <si>
    <t>Conversa sobre cuidado com a saúde
Ganhe $85.00 Dólares in 60 min ·Remote
Ola, estamos buscando pessoas para falar sobre o cuidado com saúde e o consumo de medicamentos e suplementos como vitaminas. 
#Saúde, #suplementos, #rendaextra, etc.
https://t.co/9yDTDCVfYD</t>
  </si>
  <si>
    <t>Você ai se preocupando em fazer lives e não sabe?
Confira Profissão gamer
https://t.co/w5HcnmH0zB
#streamerbrasil #rendaextra #dinheirointernet #twitch #kick #pcgamer #trovo #profissaogamer https://t.co/nL2YK6Znsr</t>
  </si>
  <si>
    <t>#rendaextra
https://t.co/xhCXk0qgrb</t>
  </si>
  <si>
    <t>Aprenda a trabalhar em casa fazendo brigadeiros gourmet e lucre muito com esse mercado! Com esse E-Book você vai descobrir o segredo.
#facavocemesmo #rendaextra 
https://t.co/GhBBccxBMJ https://t.co/NY7fkT2kur</t>
  </si>
  <si>
    <t>#ondecomprar #rendaextra #slot
Se vc procura por renda extra entre no link abaixo 👇 👇 
https://t.co/WD5y3KG78B https://t.co/S3UwQ5qvDO</t>
  </si>
  <si>
    <t>M.P.L 🤑🤑
Quer ganhar vários PIX de R$ VALOR todo
tempo??
Podendo lucrar de R$ 50,00 até 100 R$ por dia!! 
Me pergunte como 🤑
OBS: Não é golpe!
#rendaextra
#trabalheemcasa https://t.co/PDudeerUSt</t>
  </si>
  <si>
    <t>Aprenda a Dominar o Tráfego Pago e Alavanque Seus Resultados: Curso Online de Gestora de Tráfego Pago!
👉 Saiba mais: https://t.co/P3PJtHpXjt
#Marketing #MarketingDigital #vendasonline #trabalhoemcasa #rendaextraemcasa https://t.co/KOZx6Qtr08</t>
  </si>
  <si>
    <t>Como ter a liberdade financeira usando a Internet e o Celular trabalhando de onde estiver. 📲💰
👉 SAIBA MAIS: https://t.co/Nsopr0wFdY
#Marketing #marketingdigital #vendasonline #rendaextra #marketing2023 https://t.co/Yc6P80f49F</t>
  </si>
  <si>
    <t>Como ganhar dinheiro usando o celular e a internet. 📲💰
👉 SAIBA MAIS: https://t.co/Nsopr0wFdY
#marketingdigital #Marketing #vendasonline #dinheiro #rendaextra https://t.co/67zucvUzwW</t>
  </si>
  <si>
    <t>@gpbbeloti Amém #rendaextra</t>
  </si>
  <si>
    <t>@gpbbeloti #rendaextra *</t>
  </si>
  <si>
    <t>@gpbbeloti #rendaextra</t>
  </si>
  <si>
    <t>Se você tem cartão de crédito e não gera renda extra com ele certamente está deixando passar uma oportunidade de ganhar dinheiro.
E não importa qual cartão você tem, o segredo está em usar o limite do cartão para fazer dinheiro com as milhas aéreas.
#rendaextra #milhasaereas</t>
  </si>
  <si>
    <t>Se fosse pra escolher somente um programa de milhas, qual você escolheria?
Latampass, smiles ou tudoazul?
E por quê?
#rendaextra #cartaodecreditogerarendaextra</t>
  </si>
  <si>
    <t>Qual o melhor programa de pontos na sua opinião?
Livelo ou Esfera?
#rendaextra #milhasaereas #cartaodecredito</t>
  </si>
  <si>
    <t>Bom dia!
.
.
.
#villamundicosmeticos #villamundi #perfumes #perfumesimportados #fragrancias #fragranciasimportadas #essenciaimportada #negocioproprio #vendadireta #homeoffice #renda #rendaresidual #rendapassiva #lojavirtualgratis  #negocioonline #ganhosonline #rendaextra https://t.co/Ih2eTEKPjX</t>
  </si>
  <si>
    <t>Recrutando novos jogadores, ativos e viciados em ganhar dinheiro! ✔️👾 Game de fazenda pagando no PiX.  link começar com R$4 &amp;gt;&amp;gt;https://t.co/wCTBPk2IDQ
https://t.co/pLHLxRW79k
#rendaextra #happyfarming #dinheirofacil #nft https://t.co/eRyNvQaf47</t>
  </si>
  <si>
    <t>https://t.co/OaNHZIldLn  #bolsafamilia #rendaextra #itabira #atilalemos #itabiramg #bh</t>
  </si>
  <si>
    <t>Bolsa Família terá valor superior para famílias maiores
#bolsafamilia #rendaextra #subsistencia #auxilio #brasil #lula 
https://t.co/i7OUqHWyMj</t>
  </si>
  <si>
    <t>Marketing de Afiliados: PRODUTO FÍSICO OU DIGITAL? Qual é Melhor Produto... https://t.co/v3fkHoozWL via @YouTube 
#mkt #MarketingDigital #vendernainternet #rendaextra</t>
  </si>
  <si>
    <t>Ganhe Dinheiro na Internet Trabalhando em Casa [ATUALIZADO] https://t.co/fPhkA3sTgH via @YouTube 
#rendaextra #ganhardinheironainternet #trabalharemcasa</t>
  </si>
  <si>
    <t>Aprenda absolutamente tudo sobre Cookies Gourmet! Curso 100% em vídeo com aulas práticas e detalhadas. Certificado incluso. Do básico ao avançado
#rendaextra
https://t.co/foo53lqU8E https://t.co/WaD5WSi6lD</t>
  </si>
  <si>
    <t>Aprenda absolutamente tudo sobre Cookies Gourmet! Curso 100% em vídeo com aulas práticas e detalhadas. Certificado incluso. Do básico ao avançado
#rendaextra
https://t.co/foo53lqU8E https://t.co/P9M9O30Esa</t>
  </si>
  <si>
    <t>Aprenda absolutamente tudo sobre Cookies Gourmet! Curso 100% em vídeo com aulas práticas e detalhadas. Certificado incluso. Do básico ao avançado
#rendaextra
https://t.co/foo53lqU8E https://t.co/T9ekw88dl8</t>
  </si>
  <si>
    <t>Aprenda absolutamente tudo sobre Cookies Gourmet! Curso 100% em vídeo com aulas práticas e detalhadas. Certificado incluso. Do básico ao avançado
#rendaextra
https://t.co/foo53lqU8E https://t.co/9Ux8hAo4lc</t>
  </si>
  <si>
    <t>Aprenda absolutamente tudo sobre Cookies Gourmet! Curso 100% em vídeo com aulas práticas e detalhadas. Certificado incluso. Do básico ao avançado
#rendaextra
https://t.co/foo53lqU8E https://t.co/PPIIC3WpRk</t>
  </si>
  <si>
    <t>Aprenda absolutamente tudo sobre Cookies Gourmet! Curso 100% em vídeo com aulas práticas e detalhadas. Certificado incluso. Do básico ao avançado
#rendaextra
https://t.co/foo53lqU8E https://t.co/JPLZLXxjgj</t>
  </si>
  <si>
    <t>Aprenda absolutamente tudo sobre Cookies Gourmet! Curso 100% em vídeo com aulas práticas e detalhadas. Certificado incluso. Do básico ao avançado
#rendaextra
https://t.co/foo53lqU8E https://t.co/1VWrM2z4tj</t>
  </si>
  <si>
    <t>Aprenda absolutamente tudo sobre Cookies Gourmet! Curso 100% em vídeo com aulas práticas e detalhadas. Certificado incluso. Do básico ao avançado
#rendaextra
https://t.co/foo53lqU8E https://t.co/jWZHt4snux</t>
  </si>
  <si>
    <t>Aprenda absolutamente tudo sobre Cookies Gourmet! Curso 100% em vídeo com aulas práticas e detalhadas. Certificado incluso. Do básico ao avançado
#rendaextra
https://t.co/foo53lqU8E https://t.co/9UFdhT9y49</t>
  </si>
  <si>
    <t>Aprenda absolutamente tudo sobre Cookies Gourmet! Curso 100% em vídeo com aulas práticas e detalhadas. Certificado incluso. Do básico ao avançado
#rendaextra
https://t.co/foo53lqU8E https://t.co/JirYoviEst</t>
  </si>
  <si>
    <t>Aprenda absolutamente tudo sobre Cookies Gourmet! Curso 100% em vídeo com aulas práticas e detalhadas. Certificado incluso. Do básico ao avançado
#rendaextra
https://t.co/foo53lqU8E https://t.co/cRsPeyxw4M</t>
  </si>
  <si>
    <t>Aprenda absolutamente tudo sobre Cookies Gourmet! Curso 100% em vídeo com aulas práticas e detalhadas. Certificado incluso. Do básico ao avançado
#rendaextra
https://t.co/foo53lqU8E https://t.co/LEsLWK8ZXd</t>
  </si>
  <si>
    <t>Aprenda absolutamente tudo sobre Cookies Gourmet! Curso 100% em vídeo com aulas práticas e detalhadas. Certificado incluso. Do básico ao avançado
#rendaextra
https://t.co/foo53lqU8E https://t.co/fAPvZzsx8r</t>
  </si>
  <si>
    <t>Aprenda absolutamente tudo sobre Cookies Gourmet! Curso 100% em vídeo com aulas práticas e detalhadas. Certificado incluso. Do básico ao avançado
#rendaextra
https://t.co/foo53lqU8E https://t.co/HCHAaAtEE3</t>
  </si>
  <si>
    <t>Aprenda absolutamente tudo sobre Cookies Gourmet! Curso 100% em vídeo com aulas práticas e detalhadas. Certificado incluso. Do básico ao avançado
#rendaextra
https://t.co/foo53lqU8E https://t.co/YaA3wLyg4s</t>
  </si>
  <si>
    <t>Aprenda absolutamente tudo sobre Cookies Gourmet! Curso 100% em vídeo com aulas práticas e detalhadas. Certificado incluso. Do básico ao avançado
#rendaextra
https://t.co/foo53lqU8E https://t.co/KLZ0EAAjii</t>
  </si>
  <si>
    <t>🚨 Alerta de ativo para longo prazo que eu compartilhei com o pessoal no Clube do Investimento USA 🇺🇸 
#investimento #mercadofinanceiro #rendaextra #mercadoamericano
 https://t.co/0brhUWdiao</t>
  </si>
  <si>
    <t>#rendaextra #rendafixa https://t.co/STZ552vcQD</t>
  </si>
  <si>
    <t>E aí, qual dessas vc escolheria?
#investimento #rendaextra #mercadofinanceiro #investirnoexterior #dividendos https://t.co/CcQz6lmd3l</t>
  </si>
  <si>
    <t>Muita gente nas redes sociais vendem a ideia de que viver de renda é mole e que não precisa de muita grana. Só que o buraco é mais embaixo. 
#mercadoamericano
#rendaextra
#daytrade
#bolsadevalores 
 https://t.co/2F8cW5P3NF</t>
  </si>
  <si>
    <t>🤔 Quer ter sucesso nos seus trades? Segue essas 3 dicas que já vai fazer uma diferença grande. E pra melhor!
🚀 Não esquece de compartilhar com seu amigo ou sua amiga que faz trades! 
#trade #investimentos #investirnoexterior #investirnosestadosunidos #rendaextra #trader https://t.co/UA8a4yACOs</t>
  </si>
  <si>
    <t>🔎 Você considera esses fatores na hora de escolher um Stock de qualidade para longo prazo? Me conta!!!
#ações #stocks #investimento #investimentos #mercadofinanceiro #mercadodeações #rendaextra #rendapassiva #juroscompostos #rendimentos #bolsadevalores #investirnoexterior https://t.co/J45O6naHQY</t>
  </si>
  <si>
    <t>@gatasovietica Blaze #rendaextra</t>
  </si>
  <si>
    <t>Dinheiro leve como sorriso de um BEBE @felipetitto
#felipetitto #mercedes #carros #viral #tiktok #rendaextra #marketingdigital #motivação #baby #online #flyp #fyp #flypp #virando https://t.co/tYNzVxANgN</t>
  </si>
  <si>
    <t>RENDA EXTRA usando o CELULAR – Como GANHAR DINHEIRO na Internet #rendaextra https://t.co/LRDISMbbUF</t>
  </si>
  <si>
    <t>marketing digital, vale a pena? é bom?funciona mesmo? #rendaextra #marketingdigital 😱😱😱😱😱 https://t.co/3FOLHrxipA</t>
  </si>
  <si>
    <t>Bora Garantir Sua Renda Extra com Produtos no Atacado Mais Vendidos #rendaextra #atacado #relogios https://t.co/BNuAl1Ri3U</t>
  </si>
  <si>
    <t>Batalha da Renda Extra – o que dá mais dinheiro?? #bijuteria #brigadeiro #rendaextra https://t.co/RAx5uBLvut</t>
  </si>
  <si>
    <t>Renda Extra Assistindo Videos na Internet #rendaextra #ganhardinheironainternet #ganhardinheiro https://t.co/nzlHKGI4fb</t>
  </si>
  <si>
    <t>Renda Extra na Internet pelo Celular sem Investir – Como Ganhar Dinheiro #dinheiro #rendaextra https://t.co/HFUl6bwKwy</t>
  </si>
  <si>
    <t>Renda extra Uber #rendaextra  #uber #uberdriver #ubermulher #viral #dicas https://t.co/sDR8C3vG2v</t>
  </si>
  <si>
    <t>#ideiasincriveis #rendaextra #facavocemesmo #passoapasso #diy #como  #flower https://t.co/PoN2VawHAO</t>
  </si>
  <si>
    <t>Estratégia multiplicadora ensinada no Avengers do DEFI #defi #investimento #rendaextra https://t.co/5lIktwPaOQ</t>
  </si>
  <si>
    <t>QUANTO EU FATUREI ESSA SEMANA SÓ NO MARKETING DIGITAL | renda extra| #marketingdigital #rendaextra https://t.co/0EVixjwc6e</t>
  </si>
  <si>
    <t>🚀Renda Extra #shorts #bombeirocivil #rendaextra https://t.co/lRmZnLvflY</t>
  </si>
  <si>
    <t>COMO FAZER UMA RENDA EXTRA NA ESCOLA?  #rendaextra #educaçãofinanceira #paçoca https://t.co/WVBMt4UjuM</t>
  </si>
  <si>
    <t>"Gere uma Renda Extra com a Magazine Importados: Descubra Como!" #rendaextra #trabalheemcasa https://t.co/yOgLfKtUxF</t>
  </si>
  <si>
    <t>BMW 118I Seminova no Leilão!..#bmw #118i #seminovos #investimento #rendaextra https://t.co/Ekq19mw56k</t>
  </si>
  <si>
    <t>Renda Extra melhor aplicativo incrível Paga Na Hora #aplicativoparaganhardinheiro #rendaextra https://t.co/2NPbdZoaMj</t>
  </si>
  <si>
    <t>AUMENTE A SUA RENDA EXTRA EM CASA   !! 🤑💰#façaevenda #rendaextra #ideiascriativas https://t.co/yPcmZKzkKd</t>
  </si>
  <si>
    <t>05 Ideias de como fazer renda extra em casa! #ganhardinheironainternet #rendaextra #rendaextraemcasa https://t.co/ScVORXQh9K</t>
  </si>
  <si>
    <t>Como GANHAR DINHEIRO NA INTERNET em 4 Passos #rendaextra https://t.co/B1YAQxnM7T</t>
  </si>
  <si>
    <t>LUX JÓIAS MAIS UM PAGAMENTO, GANHE ATÉ 5% AO DIA – #investimento #rendaextra #dinheiro #pix https://t.co/hH3TliqlsT</t>
  </si>
  <si>
    <t>BISCOITO AMANTEIGADO COM GOIABADA ❤️ #façaevenda #rendaextra #culinariabrasileira #sãopaulo #brasil https://t.co/clcVjJMqql</t>
  </si>
  <si>
    <t>Tenha uma RENDA EXTRA com esses salgadinhos 🤑 #rendaextra #salgados #salgadinhos  #shorts https://t.co/Zj5YgjbcML</t>
  </si>
  <si>
    <t>Renda extra garantida com fuxicos #sustentabilidade #rendaextra #conpartilhe #diy #shorts https://t.co/pXazGFRtIF</t>
  </si>
  <si>
    <t>Aprenda a Vender pela Internet Sem Investir #rendaextra #ganhardinheiro #tutorial https://t.co/dxi1PrxmjU</t>
  </si>
  <si>
    <t>Renda extra com a gente!    #rendaextra #rendaextraemcasa #dinheiroonline #rendaextraemcasa https://t.co/gmxijQXtnZ</t>
  </si>
  <si>
    <t>JOGO PARA RENDA EXTRA PAGANDO NO LOGIN!!!! #nft #rendaextra #dinheiroonline #dinheiroemcasa https://t.co/BaGD3CHB6c</t>
  </si>
  <si>
    <t>Lindo Coelhinho de Páscoa coberto com chocolate (renda extra) #fofo #rendaextra #pascoa https://t.co/rsw9cAAYh6</t>
  </si>
  <si>
    <t>#oreidoimportado #rendaextra #importados https://t.co/cSYhwJpy33</t>
  </si>
  <si>
    <t>Como começar a ganhar dinheiro na internet HOJE | SENDO MENOR DE IDADE #rendaextra #dinheiroonline https://t.co/wjQtGfjRRf</t>
  </si>
  <si>
    <t>BÔNUS BBRBET
Bônus vip 0 - 3 reais - https://t.co/J6IIVX8XXr
Bônus vip 1- 5 reais - 
https://t.co/J6IIVX8XXr
Bônus vip 2 - 10 reais https://t.co/J6IIVX8XXr
#jogo #casino #BONUS #cupons #rendaextra https://t.co/3USQCeq2iP</t>
  </si>
  <si>
    <t>Lucre muito na Páscoa!!!
#ovosdepascoa #cursos #chocolate #pascoa 
Clique no link e aproveite
https://t.co/wcqS7UMRF0 https://t.co/20juzazU9l</t>
  </si>
  <si>
    <t>#BBB23 #pascoa #rendaextra #chocolate</t>
  </si>
  <si>
    <t>Vai além do seu 9-5! Explore novos horizontes, empreenda, invista e descubra oportunidades incríveis em https://t.co/2W2olDOqdY. 💼💡 #Empreenda #RendaExtra #SejaDiferente</t>
  </si>
  <si>
    <t>📊Qual desses indicadores você mais achou fácil e gostou? Deixe aqui nos comentários 👇🏻
#investidor #daytrader #swingtrader #ações #viverderenda #rendavariavel #liberdadefinanceira #comoinvestir #mercadofinanceiro #dinheiroemcasa #ibovespa #bolsadevalores #rendaextra #dinheiro https://t.co/7lqoOp3qP5</t>
  </si>
  <si>
    <t>🙀📷Aulas de Manicure e Pedicure (Iniciante) Faby Cardoso
✅Faby Cardoso é conhecida como raínha da cutícula, com mais de 300mil seguidores no facebook
➡️DE R$ 249,00
💵POR R$ 99,00 
💳ou em até 10x de 11,31 no cartão
🔗Link: https://t.co/pGv1kQ9ms8
#curso #rendaextra</t>
  </si>
  <si>
    <t>🙀🔥Curso Depilação Profissional - Oficial
✅Agora você pode se tornar uma profissional em tempo recorde e eficiente !!
➡️De R$547,00
💵por apenas R$147,00
💳OU 12X DE R$14,67 no cartão de credito
🛒🔗Link Oficial : https://t.co/3eScjmszJz
#cursosonline #rendaextra https://t.co/86Y2KGueVx</t>
  </si>
  <si>
    <t>Pronavenda é um treinamento online que ensina técnicas e estratégias para quem deseja iniciar um negócio online e realizar a primeira venda. O curso abrange desde a escolha do nicho até a criação de anúncios e a realização de vendas.https://t.co/bKjyAnjEya
#rendaextra #afiliado https://t.co/Jfmli6j4hA</t>
  </si>
  <si>
    <t>É simples: indique nossa solução para outras empresas.
Saiba como se tornar um parceiro.
🌐Link na Bio! 
#minumenergia #planominum #rendaextra #parceirominum #energialimpa #indicouganhou #economiadeenergia #energiasolar #sustentabilidade #energialimpa #empreendedor https://t.co/Bmqy0wt1X9</t>
  </si>
  <si>
    <t>Indique clientes válidos para a Minum e lucre a cada contrato fechado. Quanto mais você indicar, mais você ganha!
#minumenergia #planominum #energiasolar #parceirocomercial #rendaextra #faturamento #economiadeenergia #sustentabilidade #energiaporassinatura #energiarenovavel https://t.co/i6fjN0BDAc</t>
  </si>
  <si>
    <t>Ganhe 12.000.000 Kwai Golds semanalmente! De segunda a domingo, venha me impulsionar no Kwai todos os dias e ganharemos dinheiro juntos! https://t.co/P7Iqda3Xfl
#kwai #rendaextra</t>
  </si>
  <si>
    <t>Link PROMOCIONAL para as 100 primeiras pessoas.
https://t.co/U5GOzDCz5A
#MarketingDigital #rendaextra #dinheiro #hotmart #eduzz #kiwify #braip #mentoria #vendas #Brasil #fofocas #MulheresApaixonadas #Curiosidades https://t.co/BPgKv5rL2X</t>
  </si>
  <si>
    <t>Apenas para as 100 primeiras pessoas. De R$97,00 por apenas R$9,99. Venda muito mais produtos físicos. Corre e garanta a nossa área de membros vip. 
#rendaextra #marketingdigital #empreendedorismo #o #dinheiro #sucesso #empreender #marketing #rendaextraemcasa #hotmart #vendas https://t.co/IV44Jlm8eT</t>
  </si>
  <si>
    <t>Aprenda o jeito certo de dar o seu palpite em apostas! Descubra como! Clique no Link da Bio ou do site! #palpite #pitaco #brasil #marrocos #rendaextra</t>
  </si>
  <si>
    <t>Por um  preço acessível você irá se tornar um mestre em apostas! 2023 é o ano de fazer o seu bolso encher! Clique no Link da Bio ou do site! #apostas #brasil #marrocos #dinheiro #rendaextra</t>
  </si>
  <si>
    <t>Descubra como ser um trader esportivo e fature alto com apostas! Clique no Link da Bio ou do site! #futebol #trader #brasil #rendaextra</t>
  </si>
  <si>
    <t>Designe gráfico é a sua paixão e você quer se tornar um profissional capacitado para atuar no ramo de criação de artes gráficas, confira todas as vantagens dos nossos cursos! #designgrafico #cursodedesign #cursosonline #criatividade #oportunidade #rendaextra https://t.co/BXjSIKrkpY</t>
  </si>
  <si>
    <t>Já pensou em ter carta de estágio e certificado para a área que você quer atuar?! Como todos os nossos cursos, esse não é diferente, conheça os nossos cursos e escreva o seu futuro conosco!#atendentedefarmacia #cursodefarmacia #cursosonline #medicamentos #oportunidade #rendaextra https://t.co/bxhUPmTam7</t>
  </si>
  <si>
    <t>Quer se destacar no mercado de trabalho e conquistar uma carreira de sucesso? Então não perca a oportunidade de se inscrever no nosso curso online de Assistente Administrativo!#assistenteadministrativo #cursodeadministracao #cursosonline #sucesso #oportunidade #rendaextra https://t.co/jeo7tJcD4I</t>
  </si>
  <si>
    <t>Se você ama animais e sonha em trabalhar no ramo veterinário, então não pode perder a oportunidade de se inscrever no nosso curso online de Auxiliar de veterinário!#auxiliardeveterinario #cursodeveterinaria #cursosonline #amorporanimais #oportunidade #rendaextra https://t.co/J3zRuuiCML</t>
  </si>
  <si>
    <t>Quer se tornar um expert em manutenção de celulares e se destacar no mercado de trabalho? Então você não pode perder o nosso curso online de manutenção de celular!
#manutencaodecelulares #cursodecelulares #cursosonline #tecnologia #oportunidade #rendaextra https://t.co/BTM0ihDfZu</t>
  </si>
  <si>
    <t>Fala sério, lendo um bom livro e pingando comissões de vendas! Esse mercado digital é fantástico 😍💰🤑 como é bom ter liberdade financeira…
#MarketingDigital #rendaextra #TwitterBlue #empreendedorismo #dinheiro #Domingo #internet https://t.co/MQImWxODGt</t>
  </si>
  <si>
    <t>Venha abusar do bônus de boas vindas aqui na BETREBELS. Bônus de até R$ 800 no primeiro depósito para vc se divertir!💰🤑
Venha: https://t.co/zksXOObfDs
#apostas #green #brasil #futebol #trading #tips #dicas #trader #esporte #rendaextra #bet #investimento #betting #ganhardinheiro https://t.co/RoA47vWdL1</t>
  </si>
  <si>
    <t>Venha ser um AFILIADO BetRebels e fazer aquela renda extra!💰🤑 Cadastre-se em: https://t.co/xyPVPH11v7
#afiliados #marketingdigital #marketing #rendaextra #afiliadosbrasil #marketingdigitalbrasil #marketingdeafiliados #vendasonline #dinheiro #sucesso #afiliadosiniciantes</t>
  </si>
  <si>
    <t>Ganhe dinheiro comigo através da Internet, sem investimento nenhum. Interessados, falar comigo na DM. 
#ganhedinheiro #rendaextra #homeoffice #dinheirofacil #aplicativosquepagam #ganhedinheiroonline
#jogosquepagam #ganhedinheiroemcasa #parcerias #ganhedinheirojogando https://t.co/459dbdXOFs</t>
  </si>
  <si>
    <t>E ISSO AI !!!
Ganhei muito dinheiro em jogos caça-níqueis, cassino ao vivo e apostas esportivas 
💲💲💲💲💲💲💲💲💲
🕹️R$10💰  depósito mínimo  
🕹️Valor mínimo para saque R$10💰
🕹️ Roda da fortuna 
LINK👇🏼
💸https://t.co/9zC6SsjTZ7  💸
#rendaextra #cassinobsd</t>
  </si>
  <si>
    <t>Quando falam que o tigrinho não paga nada🤑🐯💰📈
#fortunetiger #tigrinho #jogodotigre #rendaextra #fortune #fcklive https://t.co/QqtFkh1sJk</t>
  </si>
  <si>
    <t>Larissa Manoela e o fortune tiger fazendo aquela renda extra 🤑 #fortunetiger #tigrinho #rendaextra https://t.co/zKDOakRN5Z</t>
  </si>
  <si>
    <t>Só acredita e vai, Deus tem o melhor pra você! 
. 
. 
Mude de vida, link na Bio 
#motivação #inspiração #ruyter #rendaextra https://t.co/rHiD9uGiYt</t>
  </si>
  <si>
    <t>Como um Fênix!
.
.
.
Compartilhe este post com quem mais precisar
#motivação #inspiração #promote #rendaextra https://t.co/Qh4qOfF9rJ</t>
  </si>
  <si>
    <t>Galera usem esse site, está pagando muito, quem quiser tentar link abaixo, só investi 25 reais e estou fazendo uma renda extra.#apostas #rendaextra
https://t.co/nOztbLqNBI</t>
  </si>
  <si>
    <t>Has vist el #FullDominical?
Amb les notícies diocesans @bisbatsantfeliu d’aquesta setmana.
La carta dominical del #BisbeAgustíCortés es titula “Portants d’aromes”.
I aquesta setmana, número extra #rendaextra 
👇👇👇
https://t.co/I4zp4Lva4E https://t.co/lYmUZDiSbG</t>
  </si>
  <si>
    <t>Há um ano, eu com certeza não teria coragem de gastar tudo isso em Ovos de Páscoa pra galera , no mínimo uma caixa de bombom e só para as crianças 🤣
#mercadodigital #MarketingDigital #seguidores #rendaextra #vendasnoorganico #independenciafinanceira https://t.co/1MncAcc3Nb</t>
  </si>
  <si>
    <t>Me chamem no link .
https://t.co/oCj4Y0Fd8T?…
#mercadodigital #MarketingDigital #seguidores #rendaextra #vendasnoorganico #independenciafinanceira https://t.co/x73D0sMbHW</t>
  </si>
  <si>
    <t>Amanhã dia 01/04 vou soltar a promoção do feriado de Páscoa pra vocês garantirem o link promocional . Me chamem no link .
https://t.co/cikev9wyMO
#mercadodigital #MarketingDigital #seguidores #rendaextra https://t.co/JgYwdddfI7</t>
  </si>
  <si>
    <t>⛔Desemprego em 2023⛔ https://t.co/HmEq5oBIdN via @YouTube 
#desemprego
#Marketing #marketingdigital #rendaextra</t>
  </si>
  <si>
    <t>Vem ganhar dinheiro na Internet sem sair de casa.
#sexo #dinheiro #twitch #Brazil #saopaulo #rendaextra https://t.co/HtqpwjsS2W</t>
  </si>
  <si>
    <t>#rendaextra</t>
  </si>
  <si>
    <t>Como jogar Jogo do Tigre? 
🤑 Convite do Jogo do Tigre: 4cec0g 
↪️https://t.co/WZHM5OlwHb
1. Acesse o link
2. Cadastre-se
3. Realize depósito de R$20 por pix
4. Escolha o jogo Fortune Tiger
5. Escolha o valor da aposta no ( +/-) 
#pombabet #fortune #fortunetiger #rendaextra https://t.co/vcWgpXlgVZ</t>
  </si>
  <si>
    <t>Aprenda agora mesmo a extensão de cílios e seja profissional na área da beleza desconto imperdível só até terça feira agora ! Aproveite https://t.co/8DAHpj5oME #emprego #profissão #dinheiro #beleza #rendaextra #ganhardinheiro</t>
  </si>
  <si>
    <t>Quem tá afim de fazer uma renda extra aí? #rendaextra #blaze #double #MarketingDigital</t>
  </si>
  <si>
    <t>[ QUOTEX ] ENTRNDO COM A BANCA TODA EM ESTRATÉGIA MEGA ASSERTIVA https://t.co/wjZgIf2ZMG via @YouTube 
#quotex #iq #iqoption #alavancagem #rendaextra #lucrando #mercadogfinanceiro https://t.co/9ekihixDSi</t>
  </si>
  <si>
    <t>SAIUUU VÍDEO NOVO NO CANAL 
SEGURAAAAA ESSA PEDRADA 
https://t.co/WXIvCJLjSA
Não tem nenhum trader que posta vídeo operando análise fundamentalista 🔥🔥🔥🔥
#forex #mercadofinanceiro #daytrader #trader #rendapassiva #rendaextra #fundamentalista #pib #BBB23 #ForaPaula</t>
  </si>
  <si>
    <t>Aumente seus Ganhos: Descubra os Benefícios do PLR
https://t.co/xUzncjwXUt
#kiwify #kiwifybrasil #kiwifyvendas #plrs #beneficios #ganhosonline #rendaextra #rapido #facil</t>
  </si>
  <si>
    <t>Aumente seus Ganhos: Descubra os Benefícios do PLR
https://t.co/m62PBCSi8D
#kiwify #kiwifybrasil #kiwifyvendas #plrs #beneficios #ganhosonline #rendaextra #rapido #facil https://t.co/b4sA9QXw9Y</t>
  </si>
  <si>
    <t>Vem ser um afiliado também e fazer renda extra todos os meses… De 500,00 a 1000,00 reais por semana. Por apenas R$ 59,90 https://t.co/z8Vz7kTwB3  #rendaextra#afiliado#marketingdigital https://t.co/bSDJOduyLc</t>
  </si>
  <si>
    <t>E ai quem vem de treinamento Método Mulher Milionária?
Me chama que te explico mais sobre o melhor e maior treinamento da atualidade.
Link na bio do Instagram 
#marketingdigital #rendaextra #metodomulhermilionaria https://t.co/vx26LWgHPr</t>
  </si>
  <si>
    <t>Quem quiser faturar no digital hoje mesmo só me chamar que te ajudo 💸🚀 #Marketing #afiliados #rendaextra https://t.co/G97ZdFcJtY</t>
  </si>
  <si>
    <t>Alguém afim de trabalhar em casa? Me chama que ensino #homeoffice #rendaextra</t>
  </si>
  <si>
    <t>📈👨🏻‍💻🎯Apresentação Projeto Crypto Sniper, aprenda a ganhar dinheiro com criptomoedas!
Dias 3, 4 e 5, estamos oferecendo uma oportunidade única de aprender uma nova forma de renda extra completamente GRÁTIS.
https://t.co/RRzMK4OfBq
#criptomoedas #BTC #BNBChain #rendaextra #tokens https://t.co/cCnvqNAjiA</t>
  </si>
  <si>
    <t>https://t.co/Ckky1tiTf0 | 2023-04-26T13:15:49+0000 | #motivacao #empreendedorismo #motivacional #frasesmotivacionais #empreender #naodesista | #afiliados #afiliado #afiliadosbrasil #hotmart #afiliadohotmart #rendaextra #ganhardinheiroonline #ganhardinheiro #liberdadefin https://t.co/vCFxICWECO</t>
  </si>
  <si>
    <t>Curso de sobrancelhas online. Este curso já ajudou milhares de pessoas a alavancarem suas vendashttps://hotm.art/EqG9oByw #rendaextra #cursopratico #BBB23 https://t.co/BladOhigd4</t>
  </si>
  <si>
    <t>O melhor curso para sobrancelhas! #cursosobrancelhas #rendaextra #cursoonline #trends https://t.co/77vQBw1pHb https://t.co/B7CAOXUEmp</t>
  </si>
  <si>
    <t>o melhor curso da vida de edição de vídeos! ganhe diploma ao finalizar o curso! https://t.co/T5urR46GC0
 #rendaextra</t>
  </si>
  <si>
    <t>genteeeee! pra quem quer aprender a editar vídeos e faturar na internet, segue o link do melhor curso da viidaaaaaaaa!!!!  é realmente incrível!!https://t.co/cD31pkPLVd
  #CensuraNao #rendaextra  #trabalheemcasa</t>
  </si>
  <si>
    <t>O MELHOR CURSO ONLINE QUE TE ENSINA A VENDER POR WHATS E INSTAGRAM. O SUPORTE É TOTAL ! TIRANDO SUAS DÚVIDAS! INCRÍVEL !
https://t.co/Z2oLLj67fU
#Marketing #RENDAEXTRA #TRABALHEMECASA</t>
  </si>
  <si>
    <t>Tenha coragem de falar a verdade,tira esse medo de lado e comece hoje,te ensino hj mesmo 🚀💵💻
.
.
.
.
.
#trabalhoemcasa
#dinheiroonline #dinheiro #rendaextra #renda #sucesso #mindset #liberdadefinanceira #empreendedorismo https://t.co/2D3ImCBsBI</t>
  </si>
  <si>
    <t>@lilvinicinho #prayforblaze
#rendaextra</t>
  </si>
  <si>
    <t>Sem a Blaze o @broxadasinistra vai de arrasta pra cima? #PrayForBlaze #RendaExtra</t>
  </si>
  <si>
    <t>QUER FATURAR MUITO E DENTRO DE CASA?
É POSSIVEL ! ENTENDA MAIS SOBRE O MARKETING DIGITAL, COMPRE AGORA MESMO O SEU CURSO ONLINE E TENHA UMA RENDA EXTRA.
LINK : https://t.co/nLNm7D6p9a
#RENDAEXTRA #DINHEIRO #HOME #TRABALHEEMCASA #INTERNET #viral https://t.co/V3el0PGF0J</t>
  </si>
  <si>
    <t>Empresa se iniciando agora! Marketing de relacionamento, grandes líderes EuBlack é do Brasil para o mundo #oportunidade #empreendedorismo #novoscaminhos #rendaextra https://t.co/CpnJTXRbPj</t>
  </si>
  <si>
    <t>Fechamos 15x0! mais um dia sem tomar red ✅💸 Só basta copiar minhas entradas e lucrar uma renda extra comigo! Link do meu grupo tá na bio. #rendaextra #empreendedorismo #loteria #cassino #roleta https://t.co/9QN3lUmt9e</t>
  </si>
  <si>
    <t>Mais um dia 15x0. Consegui levantar 7 mil reais de banca 💸🙏 #empreendedorismo #rendaextra #cassino #loteria #roleta https://t.co/b1ShmHVQfR</t>
  </si>
  <si>
    <t>Quarta entrada do dia 😍💸 #empreendedorismo #rendaextra #cassino #loteria #roleta https://t.co/LTPPiNsj0u</t>
  </si>
  <si>
    <t>O que um bacharel em Direito pode fazer para ganhar dinheiro?
4 Fontes de Renda Extra para Estudantes e Profissionais do Direito. anime friends
#advogado #MarketingDigital #brasil #rendaextra https://t.co/RGYGLFQr3q</t>
  </si>
  <si>
    <t>👉 Saiba a estratégia para turbinar sua Advocacia(por apenas 37,00) e receba ainda os 5 Bônus gratis! Zico Pedro Raul Alcaraz Zendaya Parabéns Gil Fausto Margot Robbie Leite STREAM WWIMF advogado direito curso dinheiro #Brasil #advogado #JackInTheBox1stAnniversary #rendaextra https://t.co/HdRNynkMIx</t>
  </si>
  <si>
    <t>Boa minha rapaziadinha, vamo começar tirar uma rendinha extra ai, sem ter que fazer login nem ser de maior po, é só vim com nois que os green vai vim
É só entrar no link
https://t.co/Hr8ICMeqIZ</t>
  </si>
  <si>
    <t>#ChampionsLeague 
#rendaextra 
.</t>
  </si>
  <si>
    <t>#ChampionsLeague 
#rendaextra</t>
  </si>
  <si>
    <t>A procura por imóveis para locação é constante, tornando o aluguel uma ótima forma de garantir renda extra. Não deixe seu imóvel parado. Converse com nossos corretores e, juntos, vamos buscar a melhor estratégia para alugá-lo. 
#LocaçãoDeImóveis #RendaExtra https://t.co/d0zmBHAb5Q</t>
  </si>
  <si>
    <t>Livro virtual ensinando você a Ganhar Dinheiro do Zero! 🚀💰
Caso queira adquirir o seu e mudar de vida financeira ainda hoje comente "Eu quero" que te chamo no privado!! 🔥
#rendaextra #dinheiro #dinheironainternet #marketing #investing #trafegoorganico #investimento https://t.co/bA9bdKglGC</t>
  </si>
  <si>
    <t>Ola! Tudo?
Quer ganhar dinheiro trabalhando para si mesmo? A Escola de Vencedores pode ajudar! Visite https://t.co/q6hfcdygiz para aprender estratégias comprovadas para criar negócios lucrativos e alcançar a liberdade financeira.
#rendaextra #cursos #marketing #trabalheemcasa https://t.co/TSKyHPfhZD</t>
  </si>
  <si>
    <t>Empreender! Essa é uma possibilidade real para alcançar grandes resultados financeiros!
#educacaofinanceira #financas #economia #planejamento #dinheiro #prosperidade #rendaextra #empreendedorismo https://t.co/ZUWwzCfwWM</t>
  </si>
  <si>
    <t>#ondecomprar
#rendaextra
#marketingdigital 
O MES Método Eli Soza é um treinamento 100% online inúmeros Módulos e mais de 20 estratégias de vendas para você aprender absolutamente tudo sobre o mercado digital. Adquira agora o seu👇🏻
https://t.co/KsdmVwGbwn https://t.co/nf12G9sSlx</t>
  </si>
  <si>
    <t>O mais novo jogo que esta pagando muinto link na bio #dinheiro #investimento #jogos #rendaextra https://t.co/Yga2zBmCQP</t>
  </si>
  <si>
    <t>plataforma Lobo 888 ganhando com bônus de primeiro deposito #dinheiro #apostas #jogosonline #rendaextra https://t.co/CdPUNRAMkG</t>
  </si>
  <si>
    <t>Tenha clareza de onde você está e aonde você quer chegar.
Tenha clareza do que você quer e, em especial, do que você NÃO quer. ⚠️
#rendaextra #mktdigital #mmm #milionario #clareza #metodo https://t.co/bPZPdymaUE</t>
  </si>
  <si>
    <t>Isso é fato: ninguém acerta de primeira, nenhum projeto começa perfeito. E isso é extremamente NORMAL! 🙂
Acredite: o sucesso vem para pessoas que são honestas, resilientes e que persistem independentemente das circunstâncias. 🥂
#rendaextra #rendaextraemcasa #rendaonline https://t.co/bqMV4TfhpA</t>
  </si>
  <si>
    <t>“Imagine uma nova história para sua vida e acredite nela.” 🌍💰📈
Muita coisa pode mudar em um ano. Continue focado(a)!
#rendaextra #rendaextraemcasa #renda #mesadinhaextra #milionário #mentemilionaria https://t.co/jigAEjnf1Y</t>
  </si>
  <si>
    <t>“Sua vida só vai mudar quando você estiver mais comprometido(a) com seus sonhos do que com a sua zona de conforto.” 🎯💰
#rendaextra #dinheiroextra #rendaextraemcasa #rendaextraonline #rendaonline #mentemillonaria #mesadinhaextra https://t.co/eM3y7tMZKk</t>
  </si>
  <si>
    <t>Escolha a melhor opção e COMECE! Lembre-se: nenhum projeto começa perfeito. O importante é ter a iniciativa de começar. 🔑💰💻
#dinheiroextra #rendaextra #rendaextraemcasa #rendaonline #mktdigitalbrasil #mktdigital #milionario https://t.co/WvGDvXrlpr</t>
  </si>
  <si>
    <t>#afiliado   #Marketing #rendaextra #primeiravenda #MarketingDigital 
Você afiliado que ainda não conseguiu fazer a sua primeira venda, que tal destravar e realizar a tão sonhada venda? 
https://t.co/HqanlxD24j</t>
  </si>
  <si>
    <t>Em busca de entretenimento?? 
Corre pra Kash777 e saia do tédio 🤩
Link na bio 💥
#bigwin #slotonline #rendaextra #apostasegura #bet #double https://t.co/21h31XRisY</t>
  </si>
  <si>
    <t>Como ganhar R$ 2 mil de renda extra na aposentadoria? #investimentos #rendaextra #aposentadoria https://t.co/9F7KB77MSu https://t.co/WiLkdXrKhV</t>
  </si>
  <si>
    <t>Renda Extra de 5 mil por mês #econoweek #tesourodireto #rendaextra https://t.co/CHXsEcR3Fw https://t.co/eumc0kEDpm</t>
  </si>
  <si>
    <t>Como juntar dinheiro? #econoweek #rendaextra #juntardinheiro https://t.co/C7qWyLaU7G https://t.co/ksa3ly8b6x</t>
  </si>
  <si>
    <t>R$2 Mil de Renda Extra em 2030! Como conseguir? #tesourodireto #rendaextra #tesourorenda https://t.co/p9Ohdyobtn https://t.co/Ij9iRpQnT7</t>
  </si>
  <si>
    <t>R$1.200 a R$2.000 por mês de renda extra! #rendaextra #rendamensal #finanças https://t.co/kmfsvnwHkd https://t.co/J0jLRo4Bln</t>
  </si>
  <si>
    <t>Como investir pra ter renda de R$ 2.500 por mês? #investimentos #rendaextra #selic https://t.co/ZXiWVocSRX https://t.co/TmZKysu0sn</t>
  </si>
  <si>
    <t>Renda extra de R$ 10 mil vendendo o que não uso #rendaextra #praia #finanças https://t.co/CuV0PYhjkB https://t.co/MPDD3LL007</t>
  </si>
  <si>
    <t>Como ganhar dinheiro com renda extra? #investimentos #econoweek #rendaextra https://t.co/BOaRtvNTVr https://t.co/zlzZrjtULu</t>
  </si>
  <si>
    <t>🧀 Kassia Rosa da Cunha descobriu na produção de #queijo e doce a fonte para uma #rendaextra. Ela participou de vários #cursos do Sistema Faemg Senar, como o curso de Derivados do Leite e Queijos Especiais.
🔍https://t.co/cFr502o4Xr https://t.co/VsOmXm7meE</t>
  </si>
  <si>
    <t>Se tu és de Portugal Lisboa então isso é pra ti 
Mega evento 🧠🧠 The future starts now tuor📲💰
#Lisboa #Portugal #evento #liberdadefinanceira #rendaextra #dinheiro https://t.co/JcinQOfKdF</t>
  </si>
  <si>
    <t>😀 Descubra as 5 melhores plataformas de marketing de afiliados e trabalhe em home office.
#engenheiroeco #homeoffice #rendaextra #marketingdeafiliados
https://t.co/Nczjs6k0Bo</t>
  </si>
  <si>
    <t>A Máquina de Fazer Dinheiro https://t.co/OiNeBjE8XB via @YouTube 
#GanharDinheiroOnline
#TrabalharEmCasa
#NegócioOnline
#MarketingDigital
#Afiliados
#EmpreendedorismoDigital
#RendaExtra
#Freelancer
#Dropshipping
#VendasOnline</t>
  </si>
  <si>
    <t>A Máquina de Fazer Dinheiro#6 https://t.co/2vDGenXwhJ via @YouTube 
#GanharDinheiroOnline
#TrabalharEmCasa
#NegócioOnline
#MarketingDigital
#Afiliados
#EmpreendedorismoDigital
#RendaExtra
#Freelancer
#Dropshipping
#VendasOnline</t>
  </si>
  <si>
    <t>A Maquina De Fazer Dinheiro#4 https://t.co/jqRwPFhyPV via @YouTube 
https://t.co/2B4HbMkafz
#GanharDinheiroOnline
#TrabalharEmCasa
#NegócioOnline
#MarketingDigital
#Afiliados
#EmpreendedorismoDigital
#RendaExtra
#Freelancer
#Dropshipping
#VendasOnline</t>
  </si>
  <si>
    <t>A Máquina de Fazer Dinheiro#5 https://t.co/a68kIeUgvr via @YouTube 
#GanharDinheiroOnline
https://t.co/2B4HbMkafz
#TrabalharEmCasa
#NegócioOnline
#MarketingDigital
#Afiliados
#EmpreendedorismoDigital
#RendaExtra
#Freelancer
#Dropshipping
#VendasOnline</t>
  </si>
  <si>
    <t>Mahatma Gandhi https://t.co/jn0hoOE19e via @YouTube 
#GanharDinheiroOnline
#TrabalharEmCasa
#NegócioOnline
#MarketingDigital
#Afiliados
#EmpreendedorismoDigital
#RendaExtra
#Freelancer
#Dropshipping
#VendasOnline</t>
  </si>
  <si>
    <t>GanharDinheiroOnline
#TrabalharEmCasa
#NegócioOnline
#MarketingDigital
#Afiliados
#EmpreendedorismoDigital
#RendaExtra
#Freelancer
#Dropshipping
#VendasOnline https://t.co/3cWS7z8AiN</t>
  </si>
  <si>
    <t>GanharDinheiroOnline
#TrabalharEmCasa
#NegócioOnline
#MarketingDigital
#Afiliados
#EmpreendedorismoDigital
#RendaExtra
#Freelancer
#Dropshipping
#VendasOnline https://t.co/CvSconeGjP</t>
  </si>
  <si>
    <t>🪡Tá pagando Galera super top 3 saques rápido , ganhe R$30 no cadastro só clicar no link abaixo ⬇️⬇️⬇️
https://t.co/l8KpRp5ltn
#dinheirorapido #rendaextra #trabalhoemcasa https://t.co/DgPbpHYY3I</t>
  </si>
  <si>
    <t>🪡 Aproveita Galera ainda esta pagando e não precisa investir bora só clicar no link abaixo ⬇️⬇️
https://t.co/l8KpRp5ltn
#rendaextra #dinheiro #appquepaga #rendaemcasa https://t.co/XqzSdqcLmH</t>
  </si>
  <si>
    <t>Atue na área da Beleza independentemente da idade, classe social e formação acadêmica.
Saiba mas em 👇 
https://t.co/J9WFtTVJ0e
#designdesobrancelhas #sobrancelhas #sobrancelhasperfeitas  #micropigmentation #depilacióndefinitiva #viralvideo🔥 #rendaextra https://t.co/cTSgM5BHAj</t>
  </si>
  <si>
    <t>sobrancelha de sucesso em qualquer pessoa e deixar ela apaixonada pelo seu trabalho . clique no link e saiba mais.
#viralvideo🔥🔥 #instagram #rendaextra #formatosobrancelha #investimentosinteligentes #bellezanatural #instagram #brownlashextensions #browntiktok #brownlipliner https://t.co/FKJ2UprYqn</t>
  </si>
  <si>
    <t>Atue na área da Beleza independentemente da idade, classe social e formação acadêmica.
Saiba mas em 👇 
https://t.co/J9WFtTWgPM
#designdesobrancelhas #sobrancelhas #sobrancelhasperfeitas #o #micropigmentacao #sobrancelhaslindas  #rendaextra https://t.co/duHIfmm8PP</t>
  </si>
  <si>
    <t>Na #HoodBet vc tem 10 giros gratis na Roleta e pode ganhar até R$ 80,00 que vc pode sacar ou usar no Site pra ganhar mais 🤑 Cadastre-se👇👇 https://t.co/mWPZkZJLLU
#RendaExtra #jogospagando #DinheiroOnline https://t.co/ysURoVH8Ts</t>
  </si>
  <si>
    <t>Vc Ja pensou em ser recompensado por tudo q postar?
Se SIM. A GotChosen Paga e ainda tem atividades diárias e premios de 20$ a 200$ por tarefas mensais e semanais, além d sorteio d $300 toda quinta-feira.
1️⃣Cadastre-se pelo LINK
https://t.co/YvScg6ADom
#SpaceDaDomi #RendaExtra</t>
  </si>
  <si>
    <t>ALONGAMENTOS DE UNHAS DE FIBRA AVANÇADO🤩🔥
Tem Alunas faturando de 3 mil a 5 mil por mês fazendo unhas em casa! Curso em vídeo com 9 módulos!
👇QUE SABER COMO ?👇
https://t.co/USPWD5dOrB
#unhas #manicure #pedicure #alongamento #curso #rendaextra https://t.co/g49G8oZHsj</t>
  </si>
  <si>
    <t>📌Você está cansado de ser vítima do tigre e zerar sem receber as cartas 10X? 
📌Se a resposta for SIM, basta clicar abaixo e garantir agora sua renda do final de semana 🔥
https://t.co/u4Y06133Vb
#rendaextra #tiger https://t.co/QAtxZZvuLE</t>
  </si>
  <si>
    <t>Pq no final do mês pequenos dinheiros importam 
Depositei R$ 30 e com muita paciência saquei R$ 115,00
@blazecombr me patrocina hahahaha
#blaze #double #rendaextra https://t.co/NoSAJ3W1A3</t>
  </si>
  <si>
    <t>Bonetto a melhor empresa de marketing do momento venha pra minha equipe vamos ficar ricos .
https://t.co/D8LqxgmaIB
Já pensou investir de 100 a ate 20 mil ver dobrar o capital 
Zap 34 991952789 Fernando Freitas.   
#rendaextra #marketingmultinivel #investimentos #acremmn</t>
  </si>
  <si>
    <t>Bora ganhar dinheiro meu povo, uma renda extra pra quem tá precisando de grana!!! 
https://t.co/6KW1TDN3fw
#criptomoneda 
#rendaextra
#dinheirofácil 
#dinheiro https://t.co/F5y6D49P36</t>
  </si>
  <si>
    <t>Nova plataforma, $ 3 de bônus de inscrição, sem depósito, rodadas grátis, $ 100-600 por dia,
#rendaextra #criptovalute #dinheiro 
https://t.co/6eTsXmVKUc</t>
  </si>
  <si>
    <t>Eu descobri esse Site que paga em Dólar só Pra Visitar outros sites. #rendaextra. #ganhardinheiro #MarketingDigital
Faça seu CADASTRO no Link abaixo 👇👇👇
https://t.co/nNknd4zOpm… https://t.co/kwN1oCxVjv</t>
  </si>
  <si>
    <t>Quer saber como eu fiz essa grana toda??
Comenta eu!!
#Bomdia #apostaonline #cassino #rendaextra https://t.co/rujHBhLdYP</t>
  </si>
  <si>
    <t>Esse valor te ajudaria ❓
Lançou novo Robô Dragon Hacth ele é muito bom 99%de acerto , faço minha meta do dia e saco pra minha conta ,vou deixar aqui o link de acesso https://t.co/2CI5lPHhUE
#JogosGratis #Robots #slotsenang77 #rendaextra #viral2023 #Carnaval2023 https://t.co/7GbHWFc3Bc</t>
  </si>
  <si>
    <t>Quer aprender mais de 15 técnicas?! A Escola Designer de Unhas é um dos cursos mais indicados. Se torne uma Nails de sucesso. Acesse o link para mais informações 
https://t.co/PZpr5I9txC
#rendaextra #nails #naildeavidrio #mulheresbrasileiras https://t.co/s6dzrqhyLf</t>
  </si>
  <si>
    <t>Quer aprender mais de 15 Técnicas e se tornar uma especialista em unhas? te apresento a Escola  Designer de unhas a mais indicado do mercado, com preço super acessivel. ACESSE O LINK ABAIXO PARA MAIS INFORMAÇÕES
https://t.co/PZpr5Ia1na
#RENDAEXTRA  #Unhas #ondecompro #cursos https://t.co/lGRVqTcNNi</t>
  </si>
  <si>
    <t>Estamos contratando mulheres maiores de 18 anos para app gringo de vídeo chamadas
#larissamanoela
#andressaUrach
#appgringo
#Rendaextra
#mulheresbrasileiras 
#Virginia 
#Mcloma
#dinheiro
#trabalheemcasa https://t.co/6yx05r0nGX</t>
  </si>
  <si>
    <t>https://t.co/hjJYJDoZ06 #doces #chocolate #rendaextra</t>
  </si>
  <si>
    <t>#marketingdeconteudo #trabalharemcasa #motiva #rendaextraemcasa // https://t.co/y4qpSYQR94 https://t.co/3B3kemFGMo</t>
  </si>
  <si>
    <t>INICIAR  APOSTAS COM VALORES MINIMO DE 0,40 0,50 ETC....
BOA SORTE 🍀 🍀 🍀 💰💰
#rendaextra
BÔNUS DE BOAS-VINDAS 3$  https://t.co/6fb0fcvCz7
Para ajudá-lo Bônus de até 100%  https://t.co/QYJedAhY82
 recarga minima recebe 13$ reais 
https://t.co/V7k8wsrHQB
#LilNasXNoMultishow https://t.co/LzENDHeedR</t>
  </si>
  <si>
    <t>Bora faturar juntos?
Imagina só vc investir apenas 20 reais em um curso,e receber através do seu esforço 100,200,300 reais ou até mais,até pq é vc quem faz o seu salário.
clica nesse link e garanta sua vaga:
https://t.co/94cjNPhtZZ
#rendaextra
#marketingdigital
#ganhardinheiro https://t.co/dlxvCx5dRV</t>
  </si>
  <si>
    <t>@storyhorror_ak @CrimesReais #PrayForBlaze
#RendaExtra</t>
  </si>
  <si>
    <t>Descubra como é possível equilibrar trabalho e autocuidado, construindo um futuro brilhante! 💃💼💖 #MulheresDeterminadas #Autocuidado #MudançaPositiva #RendaExtra #InvistaEmVocê" https://t.co/u879sN6JYu</t>
  </si>
  <si>
    <t>Minha dica para quem curte conta digital grátis e com rendimento acima da poupança. @MercadoLivre @mercadopago #RendaExtra https://t.co/LPjXyORFZl</t>
  </si>
  <si>
    <t>Ganhe 2 mil reais por mês com seu celular! Descubra como agora: https://t.co/gzHFhqprQ3
 #RendaExtra</t>
  </si>
  <si>
    <t>💥 Quer saber mais? Assista uma aula grátis 🚨⬇️⬇️⬇️
https://t.co/uud3HppVrq
#rendaextraemcasa 
#rendaextraonlineagora 
#trabalhedecasa 
#afiliadosiniciantes  
#trabalhecomseucelular https://t.co/OLqkQUqRSv</t>
  </si>
  <si>
    <t>🚨VAGAS LIMITADAS🚨
Estamos recrutando para fazer live em um aplicativo gringo. 
🛑REQUISITOS: -Internet estável -Ter mais de 18 anos. 
-Ser responsável -Tempo livre (no mínimo 4 horas diárias) -Celular com câmera de qualidade.
#rendaextra #rendaonline #appgringo #streamer https://t.co/yKDV0PHUgo</t>
  </si>
  <si>
    <t>Uma renda de 1,500 a 2,000 te ajudaria?
#Familia #rendaextra #ChocolateComPimenta #chocolatefactory #alfajores #Browns #mulheres #dinheiro https://t.co/LwiKvvjVnM</t>
  </si>
  <si>
    <t>Essa plataforma tá pagando direitinho já fiz vários saque pix, além disso colocando 30 vc ganha mais 30 pra jogar o quanto quiser.https://t.co/mUFOzEgwyU #rendaextra #jogosremunerados #plataformalucrativas https://t.co/8pLYfJx2vK</t>
  </si>
  <si>
    <t>Corre que lançou e já está pagando🤑👇https://t.co/XVL2J9G8tf
#rendaextra #TrumpArraignmentDay #TheErasTour #Our_universe_Tzuyu https://t.co/srI7ZETSdN</t>
  </si>
  <si>
    <t>🔸Você já notou como o cenário de trabalho está evoluindo rapidamente no Brasil? É hora de ficar por dentro das mudanças!
#homeoffice #trabalhoremoto #mercado #economia #marketing #marketingdigital #bemestar #trabalho #rendaextra #industria
.
.
. https://t.co/zc1SOdPgCi</t>
  </si>
  <si>
    <t>Marmita Fit #shorts #rendaextra #fit https://t.co/b2NrfTnWIO via @YouTube</t>
  </si>
  <si>
    <t>Ganhe Dinheiro Com Internet (link na descrição do vídeo)#shorts #rendaextra https://t.co/TD41S05n5d via @YouTube</t>
  </si>
  <si>
    <t>Quer aprender confeitar?
E trabalhar de casa??
#confeitaria #cursodeconfeitaria #rendaextra #ganhedinheiro
https://t.co/PDlVqsKfa5 https://t.co/k9ju0363Au</t>
  </si>
  <si>
    <t>Vale A pena Investir Em CDI? Quanto Está Rendendo? https://t.co/yc1oDZPLgA 
#rendaextra #trabalhoemcasa #oportunidades #ganhardinheiro #negócioonline #freelancer #dinheiroextra #empreendedorismo #trabalhandoemcasa #negóciopróprio #ganharlucro</t>
  </si>
  <si>
    <t>Renda Extra Vire um cliente oculto https://t.co/KhGpaB5LtK 
#rendaextra #trabalhoemcasa #oportunidades #ganhardinheiro #negócioonline #freelancer #dinheiroextra #empreendedorismo #trabalhandoemcasa #negóciopróprio #ganharlucro</t>
  </si>
  <si>
    <t>Ganhe Dinheiro Jogando Jogos Online 2023! https://t.co/7T5Vwh4qe8 
#rendaextra #trabalhoemcasa #oportunidades #ganhardinheiro #negócioonline #freelancer #dinheiroextra #empreendedorismo #trabalhandoemcasa #negóciopróprio #ganharlucro</t>
  </si>
  <si>
    <t>Ganhe Dinheiro Vendendo Milhas No Seu Cartão! https://t.co/jm5js0m0QK 
#rendaextra #trabalhoemcasa #oportunidades #ganhardinheiro #negócioonline #freelancer #dinheiroextra #empreendedorismo #trabalhandoemcasa #negóciopróprio #ganharlucro</t>
  </si>
  <si>
    <t>Você Pode Ganhar Dinheiro Alugando Seu Carro! https://t.co/GFsroayTGz 
#rendaextra #trabalhoemcasa #oportunidades #ganhardinheiro #negócioonline #freelancer #dinheiroextra #empreendedorismo #trabalhandoemcasa #negóciopróprio #ganharlucro</t>
  </si>
  <si>
    <t>Ganhar Dinheiro Com Programas de Indicação https://t.co/uA5iCSSsxp 
#rendaextra #trabalhoemcasa #oportunidades #ganhardinheiro #negócioonline #freelancer #dinheiroextra #empreendedorismo #trabalhandoemcasa #negóciopróprio #ganharlucro</t>
  </si>
  <si>
    <t>Como Fazer Dinheiro Testando Sites e Apps https://t.co/VuZsJipO7i 
#rendaextra #trabalhoemcasa #oportunidades #ganhardinheiro #negócioonline #freelancer #dinheiroextra #empreendedorismo #trabalhandoemcasa #negóciopróprio #ganharlucro</t>
  </si>
  <si>
    <t>Apps Para Ganhar Dinheiro Oferecendo Caronas! Como Funciona? https://t.co/78rqTUoNPk 
#rendaextra #trabalhoemcasa #oportunidades #ganhardinheiro #negócioonline #freelancer #dinheiroextra #empreendedorismo #trabalhandoemcasa #negóciopróprio #ganharlucro</t>
  </si>
  <si>
    <t>Aprendendo a Vender Produtos Artesanais! https://t.co/X0A0u5uTUk 
#rendaextra #trabalhoemcasa #oportunidades #ganhardinheiro #negócioonline #freelancer #dinheiroextra #empreendedorismo #trabalhandoemcasa #negóciopróprio #ganharlucro</t>
  </si>
  <si>
    <t>Como Fazer Renda Extra Revendendo Procutos? https://t.co/PrI69MtfzQ 
#rendaextra #trabalhoemcasa #oportunidades #ganhardinheiro #negócioonline #freelancer #dinheiroextra #empreendedorismo #trabalhandoemcasa #negóciopróprio #ganharlucro</t>
  </si>
  <si>
    <t>Renda Extra: Preste serviços de maquiagem https://t.co/ktG94CsRiO 
#rendaextra #trabalhoemcasa #oportunidades #ganhardinheiro #negócioonline #freelancer #dinheiroextra #empreendedorismo #trabalhandoemcasa #negóciopróprio #ganharlucro</t>
  </si>
  <si>
    <t>Ganhe Uma renda Extra:  Alugue um quarto da sua casa https://t.co/wTGagLSG4R 
#rendaextra #trabalhoemcasa #oportunidades #ganhardinheiro #negócioonline #freelancer #dinheiroextra #empreendedorismo #trabalhandoemcasa #negóciopróprio #ganharlucro</t>
  </si>
  <si>
    <t>Como Ganhar Dinheiro Escrevendo Um E-BOOK? https://t.co/RQdsUJ4yX6 
#rendaextra #trabalhoemcasa #oportunidades #ganhardinheiro #negócioonline #freelancer #dinheiroextra #empreendedorismo #trabalhandoemcasa #negóciopróprio #ganharlucro</t>
  </si>
  <si>
    <t>Trabalhar Ensinando Um Outro Idioma na Internet! https://t.co/67pUN0mhK4 
#rendaextra #trabalhoemcasa #oportunidades #ganhardinheiro #negócioonline #freelancer #dinheiroextra #empreendedorismo #trabalhandoemcasa #negóciopróprio #ganharlucro</t>
  </si>
  <si>
    <t>Como Ganhar Dinheiro Gerenciando Rendes Sociais? https://t.co/IcLJQUHzQv 
#rendaextra #trabalhoemcasa #oportunidades #ganhardinheiro #negócioonline #freelancer #dinheiroextra #empreendedorismo #trabalhandoemcasa #negóciopróprio #ganharlucro</t>
  </si>
  <si>
    <t>Como Ganhar Dinheiro Sendo Tradutor Online? https://t.co/CACoAFc9FD 
#rendaextra #trabalhoemcasa #oportunidades #ganhardinheiro #negócioonline #freelancer #dinheiroextra #empreendedorismo #trabalhandoemcasa #negóciopróprio #ganharlucro</t>
  </si>
  <si>
    <t>Como Ganhar Dinheiro Fazendo Investimento? https://t.co/bQAM6YwqQT 
#rendaextra #trabalhoemcasa #oportunidades #ganhardinheiro #negócioonline #freelancer #dinheiroextra #empreendedorismo #trabalhandoemcasa #negóciopróprio #ganharlucro</t>
  </si>
  <si>
    <t>Ganhe Dinheiro Cuidando dos Dogs! https://t.co/yn7T9saEPM 
#rendaextra #trabalhoemcasa #oportunidades #ganhardinheiro #negócioonline #freelancer #dinheiroextra #empreendedorismo #trabalhandoemcasa #negóciopróprio #ganharlucro</t>
  </si>
  <si>
    <t>Como ser Motorista de aplicativo? https://t.co/QTD9Qg8nLV 
#rendaextra #trabalhoemcasa #oportunidades #ganhardinheiro #negócioonline #freelancer #dinheiroextra #empreendedorismo #trabalhandoemcasa #negóciopróprio #ganharlucro</t>
  </si>
  <si>
    <t>localizados 47,1% em SP, 21,6% em PE, 14,6% no RJ, 5% em SC, 4% no RS e 7,7% em MG.
#investimentosbrasileexterior #investimentobrasil #investimentoexterior #investimentoimobiliario #fundoimobiliário #fundosimobiliários  #fiisparaleigos #fiis #rendavariável #rendaextra https://t.co/lbtNokofZj</t>
  </si>
  <si>
    <t>Brasilata, Polishop, Kisabor, Natural One e Mcassab.
#investimentosbrasileexterior #investimentobrasil #investimentoexterior #investimentoimobiliario #fundoimobiliário #fundosimobiliários  #fiisparaleigos #fiis #rendavariável #rendaextra #rendapassiva #bolsadevalores #FII https://t.co/E5dxkVvp8p</t>
  </si>
  <si>
    <t>e Papel (14,94%).
#investimentosbrasileexterior #investimentobrasil #investimentoexterior #investimentoimobiliario #fundoimobiliário #fundosimobiliários  #fiisparaleigos #fiis #rendavariável #rendaextra #rendapassiva #bolsadevalores #FII #longoprazo #dividendos https://t.co/D3g7b3RH67</t>
  </si>
  <si>
    <t>"Renda ativa, renda passiva e renda extra: qual é a diferença? 💰💸 #finanças #dinheiro #investimentos #rendaativa #rendapassiva #rendaextra" https://t.co/mYcTFuMG8K</t>
  </si>
  <si>
    <t>#rendaextra #rendapassiva  #viverderenda #investimentos #rendimentos #B3 #lucro #lucrocrescente #DY #DIVIDENDYIELD #bbse3 #bbseguridade #bb #bancodobrasil #financeiro #previdencia #seguros #seguradora</t>
  </si>
  <si>
    <t>A tipologia dos imóveis é: 79% residencial e 21% comercial.
#investimentosbrasileexterior #investimentobrasil #investimentoexterior #investimentoimobiliario #fundoimobiliário #fundosimobiliários  #fiisparaleigos #fiis #rendavariável #rendaextra #rendapassiva #bolsadevalores</t>
  </si>
  <si>
    <t>Os maiores locatários são Petrobrás, Samsung, Volkswagen, Cargill e INPI.
#investimentosbrasileexterior #investimentobrasil #investimentoexterior #investimentoimobiliario #fundoimobiliário #fundosimobiliários  #fiisparaleigos #fiis #rendavariável #rendaextra #rendapassiva https://t.co/ScltDy3xsF</t>
  </si>
  <si>
    <t>Por indexador, 51,9% do portfólio está em CDI e 48,1% está no IPCA.
#investimentosbrasileexterior #investimentobrasil #investimentoexterior #investimentoimobiliario #fundoimobiliário #fundosimobiliários  #fiisparaleigos #fiis #rendavariável #rendaextra #rendapassiva https://t.co/46YEk5fTBP</t>
  </si>
  <si>
    <t>ME CHAMA QUE EU TE CONTO TUDO.
https://t.co/0roJP9rvTb 
#rendaextra #afiliadadesucesso #Marketing #sucesso https://t.co/BQQLYJ5w1y</t>
  </si>
  <si>
    <t>Baixe o app agora
👇🏽
https://t.co/cwF3cjWkCJ 
#MercadoPago
#emprestimo #rendaextra https://t.co/6O0TGcvFPU</t>
  </si>
  <si>
    <t>Relaxando nas Ilhas Phi Phi #rendaextra #MarketingDigital #Tailandia #MarketingDigital #liberdade  #TikTok https://t.co/5n3gpNUNmm</t>
  </si>
  <si>
    <t>Experimente a força da natureza em Huka Falls, Nova Zelândia. Renda extra possibilita explorar o mundo. #HukaFalls #RendaExtra #marketingdigital #NewZealand 
 #TikTok https://t.co/w6tbZ0pyts</t>
  </si>
  <si>
    <t>Professor não tem $$ pra viajar no 🇧🇷… Sou diferente! Faço Renda Extra com Marketing Digital! Quer viajar também? Chama no direct!
#marketingdigital #rendaextra #viajarmais
#TikTok https://t.co/GU9yHteKGd</t>
  </si>
  <si>
    <t>💰 Depósito mínimo R$10! 💥
🔑 Sistema de pagamento via PIX e Pay4Fun com creditação imediata e segura!
@GambleCitybrl
WhatsApp Suporte 24h 📲
(21) 9 8511-8867
#gamblecitybrasil #gamblecitybr #rendaextraemcasa #cassino #cassinoonline #roletabrasil #roletaonline #ganhardinheiro https://t.co/dl6oBMV5hU</t>
  </si>
  <si>
    <t>Laranjas, as mais ricas!
.
#rendaextraemcasa #cassino #cassinoonline #roletabrasil #roletaonline #BBBB23 https://t.co/k57Ibz9WtS</t>
  </si>
  <si>
    <t>https://t.co/09zrn8zyvE 
.
#rendaextra
#ganhardinheirojogando</t>
  </si>
  <si>
    <t>https://t.co/jbSAvkDtAh  
. #rendaextra
#Homework</t>
  </si>
  <si>
    <t>Empodere-se financeiramente! Descubra como nosso produto de renda extra pode te dar a autonomia que você sempre desejou.  #EmpoderamentoFinanceiro  #RendaExtra #Autonomia https://t.co/UbZTh7aqEe</t>
  </si>
  <si>
    <t>Faça parte do time vencedor! Com nosso produto de renda extra, você pode aumentar seus ganhos e construir uma trajetória de sucesso.  #TimeVencedor #RendaExtra  #TrajetóriaDeSucesso 
https://t.co/6dCdL9sT5E https://t.co/CNUmIFKVFJ</t>
  </si>
  <si>
    <t>"Oportunidade de ouro para sua carteira! Nosso produto de renda extra pode ser a chave para desbloquear um futuro financeiro brilhante. #OportunidadeDeOuro  #RendaExtra " https://t.co/76OwFOhRAU</t>
  </si>
  <si>
    <t>"Seu futuro começa hoje! Descubra como nosso produto de renda extra pode te colocar no caminho do sucesso financeiro. Não espere mais para colher os frutos  #FuturoPromissor  #RendaExtra  #SucessoFinanceiro 
https://t.co/6dCdL9sT5E https://t.co/4YVbmpYPP0</t>
  </si>
  <si>
    <t>Transforme sua realidade financeira! Nossa solução de renda extra pode abrir portas para um futuro próspero e cheio de realizações. #TransformeSuaRealidade #RendaExtra #FuturoPróspero
https://t.co/6dCdL9sT5E https://t.co/EcmkjN0KDT</t>
  </si>
  <si>
    <t>"Viva uma vida sem limites financeiros! Nosso produto de renda extra pode ser o diferencial que faltava para alcançar seus objetivos. #SemLimites #RendaExtra #ObjetivosAlcançados
https://t.co/6dCdL9sT5E https://t.co/RxVsSZleZ4</t>
  </si>
  <si>
    <t>"Desbloqueie seu potencial financeiro! Com nosso produto de renda extra, você pode conquistar a liberdade que sempre quis. A hora é agora #PotencialFinanceiro #RendaExtra #Liberdade https://t.co/6dCdL9sT5E https://t.co/Ck7tQhp40u</t>
  </si>
  <si>
    <t>Não perca tempo com oportunidades medíocres! Experimente nosso produto de renda extra e eleve seus ganhos a um novo patamar. #OportunidadeÚnica #RendaExtra #NovoPatamar  https://t.co/6dCdL9sT5E https://t.co/aDqzvWTDyk</t>
  </si>
  <si>
    <t>Potencialize seus ganhos com facilidade! Descubra o poder do nosso produto de renda extra e veja como é simples alcançar a estabilidade financeira que você merece. #PotencializeSeusGanhos #RendaExtra #EstabilidadeFinanceira https://t.co/E6k68iERgg</t>
  </si>
  <si>
    <t>"Dê um passo em direção à realização dos seus sonhos! Nosso produto de renda extra pode ser a chave para abrir as portas do sucesso. Não hesite, comece agora. #RealizaçãoDosSonhos #RendaExtra #Sucesso https://t.co/yDAPsj4R7f</t>
  </si>
  <si>
    <t>"Seja dono do seu próprio destino financeiro! Com nosso produto de renda extra, você pode construir uma base sólida para um futuro próspero.#DonoDoDestino  #RendaExtra #FuturoPróspero https://t.co/XKr6Hdn1wy</t>
  </si>
  <si>
    <t>Aproveite ao máximo cada oportunidade! Com nossa ajuda, você pode criar uma fonte confiável de renda extra. Comece hoje e abra as portas para um futuro brilhante  #AproveiteAsOportunidades  #RendaExtra
#FuturoBrilhante https://t.co/doNBIN4y4n</t>
  </si>
  <si>
    <t>Mude sua trajetória financeira com um clique! Nosso produto de renda extra pode ser a virada de jogo que você estava esperando. Não espere mais para começar a vencer  #ViradaDeJogo  #RendaExtra #Vencer https://t.co/JBMcmbLmwV</t>
  </si>
  <si>
    <t>Faça seu dinheiro trabalhar por você! Descubra nosso produto de renda extra e veja como é possível alcançar seus objetivos financeiros de forma inteligente. #DinheiroTrabalhando #RendaExtra #ObjetivosFinanceiros https://t.co/lEip8P8G6M</t>
  </si>
  <si>
    <t>Conquiste sua liberdade financeira agora mesmo! Com nosso produto de renda extra, você está a um passo de uma vida mais próspera #LiberdadeFinanceira #RendaExtra #VidaPróspera
https://t.co/6dCdL9tqVc https://t.co/hPor681GMl</t>
  </si>
  <si>
    <t>Aumente sua renda de forma simples e eficaz! Nosso produto de renda extra vai mudar sua perspectiva financeira.#AumenteSuaRenda  #RendaExtra #PerspectivaFinanceira
https://t.co/6dCdL9sT5E https://t.co/OQdtj7WYAH</t>
  </si>
  <si>
    <t>O caminho para a independência financeira começa aqui! Experimente nosso produto de renda extra e trilhe sua jornada para o sucesso. #IndependênciaFinanceira #RendaExtra #Sucesso https://t.co/6dCdL9sT5E https://t.co/HCFN1FIjze</t>
  </si>
  <si>
    <t>Realize seus desejos financeiros com facilidade! Nosso produto de renda extra é a chave para o sucesso que você tanto busca. #DesejosFinanceiros #RendaExtra #Sucesso https://t.co/6dCdL9sT5E https://t.co/SI9sFl73Ag</t>
  </si>
  <si>
    <t>"Quer uma renda extra? Nós temos a solução! Descubra como nosso produto pode ajudá-lo a conquistar seus objetivos financeiros #RendaExtra #Conquistas #Objetivos https://t.co/6dCdL9sT5E https://t.co/WxK5O9rZ5L</t>
  </si>
  <si>
    <t>Transforme seu tempo livre em dinheiro! Conheça nosso produto de renda extra e alcance a tranquilidade financeira que sempre quis. #TempoLivre #RendaExtra #EstabilidadeFinanceira https://t.co/6dCdL9sT5E https://t.co/xLqSEwSYmx</t>
  </si>
  <si>
    <t>Dê um salto na sua vida financeira! Nosso produto de renda extra vai te surpreender com os resultados. Experimente e mude de vida! #VidaFinanceira #RendaExtra #MudançaDeVida https://t.co/6dCdL9sT5E https://t.co/0ehV0w1DIS</t>
  </si>
  <si>
    <t>Quer mais liberdade financeira? Nosso produto de renda extra é a resposta! Invista em si mesmo e colha os frutos do sucesso. #LiberdadeFinanceira #RendaExtra #InvistaEmVocê https://t.co/kc7C1BZbl8</t>
  </si>
  <si>
    <t>Oportunidade única! Potencialize seus ganhos com nosso produto exclusivo de renda extra. Não perca tempo e garanta sua vaga para o sucesso #Oportunidade #RendaExtra #SucessoFinanceiro https://t.co/rJx6UOmVre</t>
  </si>
  <si>
    <t>Realize seus sonhos com nossa ajuda! Descubra nosso incrível produto de renda extra e abra caminho para um futuro financeiramente promissor. #IndependênciaFinanceira #RendaExtra #Sucesso https://t.co/P30Mowduck</t>
  </si>
  <si>
    <t>"Invista em você e no seu futuro! Com nosso produto de renda extra, você pode colher os frutos do seu esforço.#InvistaEmVocê #RendaExtra #ColhaOsFrutos https://t.co/Nn9edKMudt</t>
  </si>
  <si>
    <t>Dê adeus às preocupações financeiras! Nosso produto de renda extra pode abrir novos horizontes para uma vida tranquila.  #AdeusPreocupações #RendaExtra #NovosHorizontes https://t.co/HxKVaF9cGM</t>
  </si>
  <si>
    <t>Aproveite cada oportunidade para prosperar! Nosso produto de renda extra pode ser o empurrão que você precisa para alcançar seus objetivos. #OportunidadesDeProsperar  #RendaExtra #AlcanceSeusObjetivos https://t.co/nPhZQx417H</t>
  </si>
  <si>
    <t>Faça seu dinheiro trabalhar para você! Com nosso produto de renda extra, você pode desfrutar de mais liberdade e tranquilidade financeira.#DinheiroTrabalhando  #RendaExtra  #LiberdadeFinanceira https://t.co/7YFqSThSSl</t>
  </si>
  <si>
    <t>Tenha o controle da sua vida financeira! Com nosso produto de renda extra, você pode conquistar a estabilidade que sempre quis. #ControleFinanceiro  #RendaExtra #Estabilidade https://t.co/8vCwUqPLTs</t>
  </si>
  <si>
    <t>Seu futuro financeiro começa hoje! Experimente nosso produto de renda extra e construa uma base sólida para amanhã.  #FuturoFinanceiro  #RendaExtra #BaseSólida https://t.co/HTA5cNYyKI</t>
  </si>
  <si>
    <t>Não deixe seus sonhos esperando! Nosso produto de renda extra pode aproximar você das suas metas. #NãoDeixeSeusSonhosEsperando  #RendaExtra  #metas https://t.co/gOYkYNK5l1</t>
  </si>
  <si>
    <t>Descubra como ganhar dinheiro de forma inteligente! Com nosso produto de renda extra, você pode potencializar seus recursos.  #GanharDinheiroInteligente  #RendaExtra #PotencializeRecursos https://t.co/fyX2CdedkM</t>
  </si>
  <si>
    <t>Supere desafios financeiros com facilidade! Nosso produto de renda extra pode ser a solução que você precisa. #SupereDesafios  #RendaExtra  #Solução https://t.co/08pCpI0W1S</t>
  </si>
  <si>
    <t>Transforme tempo livre em dinheiro extra! Com nosso produto de renda extra, você pode ganhar enquanto desfruta da vida.  #TempoLivre #RendaExtra  #GanheEnquantoDesfruta https://t.co/ondVZiOoU3</t>
  </si>
  <si>
    <t>O investimento perfeito para o seu futuro! Descubra nosso produto de renda extra e garanta uma colheita de resultados promissores. #InvestimentoPerfeito  #RendaExtra  #ResultadosPromissores https://t.co/Zg47FBXQLH</t>
  </si>
  <si>
    <t>Aumente seu potencial de ganhos agora mesmo! Experimente nosso produto de renda extra e desbloqueie novas oportunidades.  #PotencialDeGanhos  #RendaExtra #NovasOportunidades https://t.co/ZdPif6e6a9</t>
  </si>
  <si>
    <t>Construa um futuro sólido com nosso apoio! Nosso produto de renda extra pode ser a base para conquistar seus objetivos de longo prazo. #FuturoSólido  #RendaExtra #ObjetivosDeLongoPrazo https://t.co/Go5DuvmD3Y</t>
  </si>
  <si>
    <t>"Faça seu dinheiro trabalhar para você! Com nosso produto de renda extra, você pode aproveitar ao máximo cada centavo.  #DinheiroTrabalhandoParaVocê #RendaExtra #AproveiteAoMáximo" https://t.co/lec02Xkfw2</t>
  </si>
  <si>
    <t>O segredo para ganhar mais está aqui! Descubra como nosso produto de renda extra pode impulsionar seus rendimentos. #SegredoParaGanharMais  #RendaExtra #ImpulsioneSeusRendimentos" https://t.co/3Q8Tf53L8A</t>
  </si>
  <si>
    <t>Seja protagonista da sua história financeira! Com nosso produto de renda extra, você pode escrever um novo capítulo de prosperidade. #ProtagonistaFinanceiro #RendaExtra #Prosperidade" https://t.co/qA06q4TQnO</t>
  </si>
  <si>
    <t>Construa seu próprio caminho para o sucesso! Com nosso produto de renda extra, você pode criar um futuro repleto de realizações.  #CaminhoParaOsucesso  #RendaExtra #Realizações  https://t.co/6dCdL9tqVc https://t.co/9wpjI9IP3V</t>
  </si>
  <si>
    <t>A chave para a liberdade financeira está em suas mãos! Experimente nosso produto de renda extra e desbloqueie um mundo de possibilidades.  #LiberdadeFinanceira  #RendaExtra #Possibilidades
https://t.co/6dCdL9tqVc https://t.co/8qbCfx7esY</t>
  </si>
  <si>
    <t>"Supere seus limites financeiros! Nosso produto de renda extra pode ser o impulso que faltava para alcançar novas alturas. #SupereSeusLimites #RendaExtra  #NovasAlturas 
https://t.co/6dCdL9sT5E https://t.co/8DiozIh0h8</t>
  </si>
  <si>
    <t>💸NOVA PROMOÇÃO DA BINANCE💸💸
Seja rápido que a promoção acaba logo logo
https://t.co/5V4jvNqcr9
PARECIDA COM O KWAI  
      GANHE 500 REAIS
E PRA QUEM AINDA NÃO TEM CADASTRO, FAÇA O CADASTRO E A VERIFICAÇÃO DE IDENTIDADE
#GANHARDINHEIRO
#DINHEIRO #RENDAEXTRA https://t.co/PhpLpIdaIu</t>
  </si>
  <si>
    <t>Dinheiro: Veja abaixo 28 idéias para começar a ganhar dinheiro. #negocios #empreender #digital #online #negocios #rendaextra https://t.co/vyIISTRv2K</t>
  </si>
  <si>
    <t>Dinheiro: Oque fazer e não fazer com o seu dinheiro. #negocios #empreender #investir #investimentos #rendaextra https://t.co/N7K4wbFeGk</t>
  </si>
  <si>
    <t>Dinheiro: Veja abaixo as 7 fontes de renda dos milionários. #dinheiro #riqueza #rendaextra #investir #investimentos https://t.co/IdDqHzmMOt</t>
  </si>
  <si>
    <t>Investimentos: Veja a diferença entre 'poupar' e 'investir' o seu dinheiro. #dinheiro #investir #poupanca #rendaextra #financas https://t.co/pkL75kwKpG</t>
  </si>
  <si>
    <t>Investimentos : 4 Áreas da vida para investir e melhorar. #relacionamento #financas #dinheiro #investir #negocios #rendaextra https://t.co/jUZvl4YYu0</t>
  </si>
  <si>
    <t>Faculdade Qualittas lança programa para alunos que precisam de uma renda extra. Aluno Multiplicador Qualittas pode oferecer cursos de Pós-Graduação dos quais participa ou não e ser recompensado por esta ação 🤑 #cãesegatos #pósgraduação #curso #rendaextra 
https://t.co/5EpYHQg4sK</t>
  </si>
  <si>
    <t>Renda extra como design de sobrancelha? com certificado?
Acesse o video e conheça um pouco mais..
⭐ https://t.co/RBzfbC9fCf
🔗🔗 https://t.co/nnFvzQrFZx
#BBB23 #sobrancelha #Curso #rendaextra #dinheiro #empreendedorismo</t>
  </si>
  <si>
    <t>Não perca mais tempo!
Amplie seus horizontes, adquira novos conhecimentos e invista em seu crescimento pessoal e profissional com nossos cursos online. 
https://t.co/vdkvylWRWB
#design 
#curso 
#cursos 
#marketing 
#rendaextra 
#rendapassiva 
#empreendedorismo 
#aprender</t>
  </si>
  <si>
    <t>Vem conhecer o melhor de escanteio
#apostasesportivas #rendaextra #dinheiro #sonhos #future
https://t.co/20uPqGBZiS https://t.co/8qPn6aufot</t>
  </si>
  <si>
    <t>Já pensou em lucra 150 reais por conta que você criar nessa plataforma ? 👇
Sim isso é possível através do método de aposta bet365 
vem aprender cmg🧠
Se liga nós resultado👇
.
.
.
.
.
#casaino #blaze #bet365 #win #rendaextra #dinheiro #apostas #ganhar https://t.co/LYB9fdwAxn</t>
  </si>
  <si>
    <t>Método bet365 vem com o certo ✅
Vem que ainda dá tempo de você aprender a lucrar comigo 🧠🎧
.
.
.
.
#metodo #blaze #cassino #bet365 #betano #rendaextra #homeoffice #decasa #tips #bet #win https://t.co/aX9ulOcbot</t>
  </si>
  <si>
    <t>Tá precisando de uma grana extra ?
Mas não está conseguindo vender nada ?
Clica nesse link e descubra como fazer a sua PRIMEIRA VENDA em 12 horas!
https://t.co/n1JTvExP8N
#rendaextra #granaextra #primeiravenda #eduzz</t>
  </si>
  <si>
    <t>Hoje, trago algo especial para vocês, uma simpatia incrível para atrair dinheiro inesperado.
#SimpatiasDaGaucha,
#DinheiroInesperado,
#Prosperidade,
#MagiaDoSalGrosso,
#SimpatiasDeProsperidade,
#AtrairDinheiro,
#MagiaBranca,
#RendaExtra,
#Abundância
https://t.co/oZCtxdEYFt</t>
  </si>
  <si>
    <t>7 MINI FÁBRICA LUCRATIVAS PARA VOCÊ MONTAR NA SUA CASA E GANHAR MUITO! https://t.co/9544SXQB19 via @YouTube 
#rendaextra
#empreendedorismo 
#dicasdesucesso
#ganhardinheiro</t>
  </si>
  <si>
    <t>15 FORMAS DE FAZER UMA RENDA EXTRA TODOS OS DIAS! https://t.co/owX2o0LdYn via @YouTube 
#dicasdesucesso
#rendaextra
#ganhardinheiro</t>
  </si>
  <si>
    <t>O Superior Tribunal de Justiça – STJ, no entendimento divulgado no informativo 776 de 30
de maio de 2023, esclareceu que; caso o contribuinte sofra de tendinite – 
.
Saiba mais em: https://t.co/jdnZO098lk
.
.
#isenção #imposto #rendaextra #doenca #trabalho #tendinite #lesão https://t.co/uFcx0wv3fN</t>
  </si>
  <si>
    <t>Você já se perguntou como algumas pessoas conseguem ganhar dinheiro online enquanto outras lutam para pagar as contas?
A verdade é que existem muitas maneiras de ganhar dinheiro na internet e nosso e-book vai mostrar exatamente como fazer isso.
#rendaextra #dinheiro #money https://t.co/fzSYbzdaQ5</t>
  </si>
  <si>
    <t>COMO DIVERSIFICAR A CARTEIRA DE FIIs? Gestão e estratégia de investimentos https://t.co/roaKIuuugX via @YouTube 
#investimentos 
#FIIs 
#dividendos
#rendapassiva
#rendavariável
#rendaextra</t>
  </si>
  <si>
    <t>GGRC11, ainda Vale a Pena ? Queda de 23% em 5 anos! Risco ou Oportunidade ? https://t.co/l6lENhU5cf via @YouTube 
#investimentos 
#FIIs 
#dividendos
#rendavariável
#rendapassiva
#rendaextra</t>
  </si>
  <si>
    <t>Ninguém sabe o que passei para chegar até aqui! Foram momentos difíceis, mas hoje eu posso afirmar que estou vivendo de loja de Dropshipping. Começamos rodar nossa loja nova de Dropshipping!🔥🔥🔥🙏🏼💻💻 
#dropshipping #dinheiro #rendaextra #motivacao https://t.co/LxxZgp77Zz</t>
  </si>
  <si>
    <t>E o Dropshipping!! Pra cima porra m!🧠🚀🙏🏼🚀✅📚🏃💙💵💵💵💵💡
#vencemos #dinheiro #rendaextra https://t.co/FzNzIIhZBi</t>
  </si>
  <si>
    <t>esse é o lobo 888, plataforma nova de apostas, quer saber como funciona??
#plataformas2023 #rendaextra #Grammys2023 #RedeBBB #bbb2023 #RABAAWADRS https://t.co/6I4wsJ1PX8</t>
  </si>
  <si>
    <t>Lobo888 tá pagando muitooo👇👇🤑
 https://t.co/Lu6z0GyP4E 
#dinheiro #apostas #lobo888 #rendaextra #UkraineRussianWar #Jupiter #DieForYouRemix #trabalhandodecasa https://t.co/NvYJ5vDtnu</t>
  </si>
  <si>
    <t>#Pânico | Foca na Economia: Samy Dana explica como funciona o novo golpe online da renda extra; o Delari chama de empreendimento, mas essa é conversa para outro dia
📺 Confira na JP News
#internet #rendaextra #golpe #segurança https://t.co/FNxAIm2HEK</t>
  </si>
  <si>
    <t>Aprenda absolutamente tudo sobre Cookies Gourmet! Curso 100% em vídeo com aulas práticas e detalhadas. Certificado incluso. Do básico ao avançado
#rendaextra
https://t.co/LnNnAUUklm https://t.co/3WPANt3v3T</t>
  </si>
  <si>
    <t>Aprenda absolutamente tudo sobre Cookies Gourmet! Curso 100% em vídeo com aulas práticas e detalhadas. Certificado incluso. Do básico ao avançado
#rendaextra
https://t.co/LnNnAUUklm https://t.co/pmFSelm6q0</t>
  </si>
  <si>
    <t>Aprenda absolutamente tudo sobre Cookies Gourmet! Curso 100% em vídeo com aulas práticas e detalhadas. Certificado incluso. Do básico ao avançado
#rendaextra
https://t.co/LnNnAUUklm https://t.co/A5PVJsJbBs</t>
  </si>
  <si>
    <t>Aprenda absolutamente tudo sobre Cookies Gourmet! Curso 100% em vídeo com aulas práticas e detalhadas. Certificado incluso. Do básico ao avançado
#rendaextra
https://t.co/LnNnAUUklm https://t.co/mGAm2oFbGX</t>
  </si>
  <si>
    <t>Aprenda absolutamente tudo sobre Cookies Gourmet! Curso 100% em vídeo com aulas práticas e detalhadas. Certificado incluso. Do básico ao avançado
#rendaextra
https://t.co/LnNnAUUklm https://t.co/Sw1APeJyyi</t>
  </si>
  <si>
    <t>Aprenda absolutamente tudo sobre Cookies Gourmet! Curso 100% em vídeo com aulas práticas e detalhadas. Certificado incluso. Do básico ao avançado
#rendaextra
https://t.co/LnNnAUUklm https://t.co/ZtUOexlTas</t>
  </si>
  <si>
    <t>Aprenda absolutamente tudo sobre Cookies Gourmet! Curso 100% em vídeo com aulas práticas e detalhadas. Certificado incluso. Do básico ao avançado
#rendaextra
https://t.co/LnNnAUUSaU https://t.co/S4qt4R0z3b</t>
  </si>
  <si>
    <t>Aprenda absolutamente tudo sobre Cookies Gourmet! Curso 100% em vídeo com aulas práticas e detalhadas. Certificado incluso. Do básico ao avançado
#rendaextra
https://t.co/LnNnAUUklm https://t.co/rHpSGJGpU4</t>
  </si>
  <si>
    <t>Aprenda absolutamente tudo sobre Cookies Gourmet! Curso 100% em vídeo com aulas práticas e detalhadas. Certificado incluso. Do básico ao avançado
#rendaextra
https://t.co/LnNnAUUklm https://t.co/ArwdAERuxX</t>
  </si>
  <si>
    <t>Aprenda absolutamente tudo sobre Cookies Gourmet! Curso 100% em vídeo com aulas práticas e detalhadas. Certificado incluso. Do básico ao avançado
#rendaextra
https://t.co/LnNnAUUklm https://t.co/FeutOEIKvw</t>
  </si>
  <si>
    <t>Aprenda absolutamente tudo sobre Cookies Gourmet! Curso 100% em vídeo com aulas práticas e detalhadas. Certificado incluso. Do básico ao avançado
#rendaextra
https://t.co/LnNnAUUklm https://t.co/x88YAZOXg2</t>
  </si>
  <si>
    <t>Aprenda absolutamente tudo sobre Cookies Gourmet! Curso 100% em vídeo com aulas práticas e detalhadas. Certificado incluso. Do básico ao avançado
#rendaextra
https://t.co/LnNnAUUklm https://t.co/KNW0CTDf7G</t>
  </si>
  <si>
    <t>Aprenda absolutamente tudo sobre Cookies Gourmet! Curso 100% em vídeo com aulas práticas e detalhadas. Certificado incluso. Do básico ao avançado
#rendaextra
https://t.co/LnNnAUUklm https://t.co/HTJcPGqIk3</t>
  </si>
  <si>
    <t>Aprenda absolutamente tudo sobre Cookies Gourmet! Curso 100% em vídeo com aulas práticas e detalhadas. Certificado incluso. Do básico ao avançado
#rendaextra
https://t.co/LnNnAUUklm https://t.co/oHb8YLY6ne</t>
  </si>
  <si>
    <t>Aprenda absolutamente tudo sobre Cookies Gourmet! Curso 100% em vídeo com aulas práticas e detalhadas. Certificado incluso. Do básico ao avançado
#rendaextra
https://t.co/LnNnAUUklm https://t.co/2QwxB1pNnQ</t>
  </si>
  <si>
    <t>Aprenda absolutamente tudo sobre Cookies Gourmet! Curso 100% em vídeo com aulas práticas e detalhadas. Certificado incluso. Do básico ao avançado
#rendaextra
https://t.co/LnNnAUUklm https://t.co/k0H0vVvJsI</t>
  </si>
  <si>
    <t>Aprenda absolutamente tudo sobre Cookies Gourmet! Curso 100% em vídeo com aulas práticas e detalhadas. Certificado incluso. Do básico ao avançado
#rendaextra
https://t.co/LnNnAUUklm https://t.co/65P7DYJ1mN</t>
  </si>
  <si>
    <t>Aprenda absolutamente tudo sobre Cookies Gourmet! Curso 100% em vídeo com aulas práticas e detalhadas. Certificado incluso. Do básico ao avançado
#rendaextra
https://t.co/LnNnAUUklm https://t.co/LkM64IqlNK</t>
  </si>
  <si>
    <t>Aprenda absolutamente tudo sobre Cookies Gourmet! Curso 100% em vídeo com aulas práticas e detalhadas. Certificado incluso. Do básico ao avançado
#rendaextra
https://t.co/LnNnAUUklm https://t.co/zB9OqRM2zo</t>
  </si>
  <si>
    <t>Aprenda absolutamente tudo sobre Cookies Gourmet! Curso 100% em vídeo com aulas práticas e detalhadas. Certificado incluso. Do básico ao avançado
#rendaextra
https://t.co/LnNnAUUklm https://t.co/IZThCF8M59</t>
  </si>
  <si>
    <t>Aprenda absolutamente tudo sobre Cookies Gourmet! Curso 100% em vídeo com aulas práticas e detalhadas. Certificado incluso. Do básico ao avançado
#rendaextra
https://t.co/LnNnAUUklm https://t.co/HyQxVvO1Gm</t>
  </si>
  <si>
    <t>Aprenda absolutamente tudo sobre Cookies Gourmet! Curso 100% em vídeo com aulas práticas e detalhadas. Certificado incluso. Do básico ao avançado
#rendaextra
https://t.co/LnNnAUUklm https://t.co/uqAcDNKNho</t>
  </si>
  <si>
    <t>Aprenda absolutamente tudo sobre Cookies Gourmet! Curso 100% em vídeo com aulas práticas e detalhadas. Certificado incluso. Do básico ao avançado
#rendaextra
https://t.co/LnNnAUUklm https://t.co/rCvOgg1jBb</t>
  </si>
  <si>
    <t>Aprenda absolutamente tudo sobre Cookies Gourmet! Curso 100% em vídeo com aulas práticas e detalhadas. Certificado incluso. Do básico ao avançado
#rendaextra
https://t.co/LnNnAUUklm https://t.co/1fG5FyLvZl</t>
  </si>
  <si>
    <t>Com a pirâmide etária publicada pelo @ibgecomunica fica claro que em alguns anos não será mais sustentável o Governo arcar com a #aposentadoria.
O que você está fazendo pra garantir o seu #futuro e dos seus #filhos?
#investimento #rendaextra https://t.co/zzMGux1l6D</t>
  </si>
  <si>
    <t>As #planilhas de #Análise de #FIIs e #ações estão de graça durante período de testes - 2023
Planilha com todos os ativos do #mercado, opções de filtros e aba para comparação mês à mês. #b3 #investimentos #rendaextra https://t.co/kMGJp6pAzI</t>
  </si>
  <si>
    <t>Você quer aprender a vender on line nos #Marketplaces como #mercadolivre e #shopee ?
Click no link 👇
https://t.co/AUdL2mP2gl
#ecommerce #dropshiping #vendas
#rendaextra #dinheironainternet</t>
  </si>
  <si>
    <t>Te pegamos pela mão e te ensinamos o passo a passo , literalmente #opulodogato
#Shopee #mercadolivre #ecommerce #dropshiping #vendasonline #rendaextra  #dinheironainternet 
https://t.co/7pFHx5VgOk https://t.co/fXXvuV0RRR</t>
  </si>
  <si>
    <t>Torne-se um mestre na arte de criar ovos de Páscoa caseiros e ganhe dinheiro extra nesta temporada #pascoa #páscoa #ovodepascoa #chocolate #rendaextra
https://t.co/YjrbHDnGIY</t>
  </si>
  <si>
    <t>Se você está precisando de uma renda extra clique nesse link e descubra como:https://t.co/TeVW5S0Nif
#cursodigital
#dinheiroonline
#rendaextra</t>
  </si>
  <si>
    <t>Querem a parte 2?
#MarketingDigital #rendaextra #groaja #ChampionsLeague #100hrs #dinheiro #Motivation https://t.co/H1lO5HukMe</t>
  </si>
  <si>
    <t>ETFs de títulos dos EUA com proteção contra a inflação: https://t.co/GN08Ate1wN
#investiremdolar #rendafixa #rendaextra</t>
  </si>
  <si>
    <t>Últimas vagas para o Meta dólar!
Tá buscando uma renda extra ou aprender uma nova profissão que paga em DÓLAR 💵?
O link pra inscrição tá aqui abaixo! Corre! É só até 23h59.
#rendaextra #homeoffice
https://t.co/9PyjtJtyL8 https://t.co/6hKcwNvU82</t>
  </si>
  <si>
    <t>Aprenda absolutamente tudo sobre Cookies Gourmet! Curso 100% em vídeo com aulas práticas e detalhadas. Certificado incluso. Do básico ao avançado
#rendaextra
https://t.co/Df2XorW3vw https://t.co/fFNerTS4oi</t>
  </si>
  <si>
    <t>No FishMaster, é muito fácil ganhar dinheiro colocando iscas, coletando redes e sacando dinheiro! Já saquei R$1500, insira meu ID do código de convite: 96594324, a taxa de saque é maior!https://t.co/aLyUCBex3D
#ondecomprar #rendaextra #ganhardinheiro #appcash https://t.co/OaSaksswRK</t>
  </si>
  <si>
    <t>#rendaextra trabalhar de casa pelo celular! Aplicativos gringos https://t.co/fLdlTBCpVC https://t.co/jWbUi6Deek</t>
  </si>
  <si>
    <t>Indicação para aplicativos de alto fluxo melhores que livu yaar. #rendaextra #aplicativogringo #appgringoquepaga #livuyaar https://t.co/uQ9SMk5YvY</t>
  </si>
  <si>
    <t>https://t.co/t9zDDhICON
quem tá afim de uma graninha extra , joguinho que da dinheiro . 🍀🤑
#TikTok #rendaextra</t>
  </si>
  <si>
    <t>Como criar um ebook e ganhar dinheiro? https://t.co/sqqebjZeh9 #rendaextra #infoproduto</t>
  </si>
  <si>
    <t>Google Opinion Rewards: Sua Opinião Pode Render Dinheiro https://t.co/xALg6HlfUS #rendaextra</t>
  </si>
  <si>
    <t>Vacilou e esqueceu de sacar o PIS/PASEP?
Não precisa ficar igual ao Homer, dá para reaver o dim dim. Segue esse fio 🧶 #pis #pasep #rendaextra https://t.co/7Drr5X7J9D</t>
  </si>
  <si>
    <t>Você quer saber como usar as suas habilidades do dia a dia para ganhar dinheiro na internet? 
#Dinheiro #Internet #Habilidades #Freelancer #Afiliado #Conteúdo #Pesquisa #RendaExtra #Online #Trabalho
#CapCut #workana #99freelas #fivver #design #tradução #consultoria #pesquisas https://t.co/MGBpbMUxf9</t>
  </si>
  <si>
    <t>#Vagas para #pedreiro e ajudante prático em #Riodejaneiro.
Se você busca uma #rendaextra, saiba que nós oferecemos vagas para #pedreiro, $pintor e #ajudante prático. 
Envie seu #currículo para limpeta.sa@gmail.com ou pelo nosso whatsapp (21) 97943 - 2524 https://t.co/nj6TUlcXae</t>
  </si>
  <si>
    <t>DEU PRISÃO : Ex-secretário de Saúde é preso em operação e mais de R$ 1 milhão é bloqueado
 https://t.co/QxOfko8MhW
·
·
·
#pris #dinheiro #lula #sucesso #stf #dinheironobolso #prisão #rendaextra #brasil #dinheirocomatitude #prisãopreventiva #foco #prisãodomiciliar https://t.co/1KvRpsSdZe</t>
  </si>
  <si>
    <t>Renda extra na Páscoa: 4 dicas para lucrar com a data comemorativa! #rendaextra #Pascoa https://t.co/TBqS9B800K</t>
  </si>
  <si>
    <t>5 robôs Vips de graça, poucas vagas ➡https://t.co/dqIzfZ4l00
---------------------------------------------------
O bom desse slot que ele tem multiplicador infinito
tags: #apostas #cassino #blaze #codigopromocional #slots #bonus #rendaextra #pagando https://t.co/iNrcconkKs</t>
  </si>
  <si>
    <t>5 robôs Vips de graça, poucas vagas ➡https://t.co/dqIzfZ4l00 
--------------------------------------------------- 
tags: #apostas #cassino #blaze #codigopromocional #slots #bonus #rendaextra #pagando #FortuneOx #FortuneTiger #BOI https://t.co/pH1lOun8pV</t>
  </si>
  <si>
    <t>5 robôs Vips de graça, poucas vagas 
➡https://t.co/dqIzfZ4l00
--------------------------------------------------------
Tags: #FortuneMouse #Fortune #Slots #Cassino #DinheiroOnline #Blaze #Apostas #RendaExtra
----------------------------------------------------
Até que pagou bem! https://t.co/40fzvLeh0b</t>
  </si>
  <si>
    <t>Aproveite! Packs editáveis no canva! Transforme seu perfil do Instagram em poucos minutos.🤗 #MarketingDigital #rendaextra  https://t.co/qTniec0s1N</t>
  </si>
  <si>
    <t>#BarbieEmpoderada #InteligenciaFinanceira #RendaExtra #GirlPower 💪💖</t>
  </si>
  <si>
    <t>Acesse👇 https://t.co/YvqW16mJVt
#renda #ganhardinheiro #cursos #curso #cripto #rendaextra #trabalho #trabalhoonline https://t.co/89j5swgWEI</t>
  </si>
  <si>
    <t>rendaextra earthquake maroc nct_nation_totheworld_osaka</t>
  </si>
  <si>
    <t>empreendedorismo rendaextra oportunidadedenegocio</t>
  </si>
  <si>
    <t>rendaextra comecehoje comeceporvoce ondecompro escondido trabalheemcasa dinheiro</t>
  </si>
  <si>
    <t>jair jairbolsonaro presidente direitaconservadora ebook rendaextra hotmart homeoffice work euquero</t>
  </si>
  <si>
    <t>rendaextra marketingdigital ebook euquero</t>
  </si>
  <si>
    <t>euquero ondecompro rendaextra papelaria arquivosdigitais</t>
  </si>
  <si>
    <t>rendaextra marketingdigital mudardevida</t>
  </si>
  <si>
    <t>emprender empreendedorismo rendaextra marketingdigital dinheiro</t>
  </si>
  <si>
    <t>rendaextra</t>
  </si>
  <si>
    <t>oportunidade rendaextra mudedevida coachella</t>
  </si>
  <si>
    <t>acoesimportam aporte2023 aportefevereiro investimento rendaextra</t>
  </si>
  <si>
    <t>rendaextra ganhardinheiro homeoffice maternidade</t>
  </si>
  <si>
    <t>rendaextra ganhardinheiro comoganhardinheiro jogandodinheiro</t>
  </si>
  <si>
    <t>videoviral twitter rendaextra</t>
  </si>
  <si>
    <t>natura vendas vendasonline negócios setorilía rendaextra beleza</t>
  </si>
  <si>
    <t>rendaextra ganhardinheiropelainternet peterjordan</t>
  </si>
  <si>
    <t>rendaextra plrs</t>
  </si>
  <si>
    <t>rendafixa investidor investimentos investir dinheiro rendaextra</t>
  </si>
  <si>
    <t>taxaselic taxa rendafixa investimentos investidor dinheiro rendaextra</t>
  </si>
  <si>
    <t>investimento dinheiro ação rendaextra apenasnegocios negocios</t>
  </si>
  <si>
    <t>investir ações dinheiro rendaextra negocios apenasnegocios</t>
  </si>
  <si>
    <t>ações investimento rendaextra apenasnegocios dinheiro</t>
  </si>
  <si>
    <t>rendaextra ganheemcasa ganhepelainternet</t>
  </si>
  <si>
    <t>rendaextra dinheiro ganhardinheiro negócios oportunidade afiliado influenciador youtuber blogueiro trabalhoemcasa rendanainternet</t>
  </si>
  <si>
    <t>blaze rendaextra</t>
  </si>
  <si>
    <t>rendaextra contas tvcultura</t>
  </si>
  <si>
    <t>bolsadevalores ações b3 rendaextra rendavariavel dinheiro educaçãofinanceira</t>
  </si>
  <si>
    <t>santana astra leilao rendaextra montana veiculos</t>
  </si>
  <si>
    <t>santana gol rendaextra veiculos leilao</t>
  </si>
  <si>
    <t>bandit dragstar suzuki xt660 xt660r moto motos supermoto superbike rendaextra</t>
  </si>
  <si>
    <t>rendaextra leilao veiculos oportunidade</t>
  </si>
  <si>
    <t>moto motoboy cg biz motos leilao rendaextra</t>
  </si>
  <si>
    <t>uno veiculos leilao carrobarato rendaextra oportunidade</t>
  </si>
  <si>
    <t>palio unomille siena fiat veiculos rendaextra leilao</t>
  </si>
  <si>
    <t>saveirocross onibus van utilitario rendaextra leilao</t>
  </si>
  <si>
    <t>uno mille carropopular rendaextra oportunidade leilao</t>
  </si>
  <si>
    <t>caminhao caminhoneiro fazenda rendaextra leilao oportunidade</t>
  </si>
  <si>
    <t>smartphone iphone11 iphone13 celular galaxy rendaextra apple</t>
  </si>
  <si>
    <t>moto motos telentrega motoboy rendaextra</t>
  </si>
  <si>
    <t>carropopular veiculos leilao rendaextra oportunidade</t>
  </si>
  <si>
    <t>veiculos rendaextra carronovo carropopular leilao oportunidade novidades</t>
  </si>
  <si>
    <t>rendaextra empresa trabalho oportunidade leilao onibus microonibus</t>
  </si>
  <si>
    <t>seminovos veiculos rendaextra leilao opoutunidade</t>
  </si>
  <si>
    <t>moto motos motoboy honda rendaextra</t>
  </si>
  <si>
    <t>caminhao motorhome rendaextra leilao</t>
  </si>
  <si>
    <t>geladeira fogao maquinadelavar eletronicos rendaextra novidades</t>
  </si>
  <si>
    <t>hornet hornetão grauderua graudemoto moto motos motoboy rendaextra</t>
  </si>
  <si>
    <t>van sprinter utilitarios rendaextra motorhome</t>
  </si>
  <si>
    <t>kombi gol voyage seminovos justiça oportunidade rendaextra</t>
  </si>
  <si>
    <t>rendaextra trabalharemcasa</t>
  </si>
  <si>
    <t>dicasfinanceiras rendaextra investimentos carreira profissao crescimentopessoal crescimentoprofissional</t>
  </si>
  <si>
    <t>rendaextra monetizacao gotchosen</t>
  </si>
  <si>
    <t>aplicativo entregas rendaextra dinheiro aplicativos entregas rj sp entregadores brasil loggi motoboy anjodoasfalto13</t>
  </si>
  <si>
    <t>rico programador dinheiro rendaextra</t>
  </si>
  <si>
    <t>rendaextra multifacetas</t>
  </si>
  <si>
    <t>rendaextra dinheiro abril2023</t>
  </si>
  <si>
    <t>rendaextra tempoextra trabalhepravoce</t>
  </si>
  <si>
    <t>rendaextra ganhardinheiro</t>
  </si>
  <si>
    <t>marketingdigital dinheiro online onlinemarketing rendaextra</t>
  </si>
  <si>
    <t>rifa rendaextra googleio quintadetremurasdv sorteio felizdiadelasmadres</t>
  </si>
  <si>
    <t>rendaextra slots</t>
  </si>
  <si>
    <t>resiliencia mercadodigital fé fy god rendaextra marketing</t>
  </si>
  <si>
    <t>blaze felipeneto rendaextra</t>
  </si>
  <si>
    <t>ganhardinheironainternet trabalharemcasa rendaextra</t>
  </si>
  <si>
    <t>rendaextra rendaextraencasa trabalharemcasa ovosdepascoa</t>
  </si>
  <si>
    <t>rendaextra trabalharemcasa ganhardinheiroonline marketingdigital afiliado rendaextraonline ganhardinheiro</t>
  </si>
  <si>
    <t>rendaextra trabalharemcasa ganhardinheiro ganhardinheironainternet ganhardinheiroonline</t>
  </si>
  <si>
    <t>rendaextra ganhardinheironainternet trabalharemcasa</t>
  </si>
  <si>
    <t>marketingdigital rendaextra ganhardinheiro trabalharemcasa</t>
  </si>
  <si>
    <t>ufcfightnight rafaeldosanjos aposta apostador rendaextra dinheiro</t>
  </si>
  <si>
    <t>afiliado rendaextra</t>
  </si>
  <si>
    <t>rendaextra marketingdigital</t>
  </si>
  <si>
    <t>dinheiroextra dolar rendaextra honeygain dinheiro</t>
  </si>
  <si>
    <t>rendaextra dolar honeygain</t>
  </si>
  <si>
    <t>ficarmilionario kiwify plr riconainternet marketingsigital vendasonline rendaextra</t>
  </si>
  <si>
    <t>slots rendaextra fortune dinheiro viral</t>
  </si>
  <si>
    <t>dinheiro jogos rendaextra fortunetiger</t>
  </si>
  <si>
    <t>goptionbrasil binaryoptions maedesucesso rendaextra bitcoin binance mercadofinanceiro forex trader lifestyle liberdadefinanceira investing</t>
  </si>
  <si>
    <t>twitter fortunetiger jogospg slots rendaextra goodnighttwitterworld oportunidadefinanceira viralizou</t>
  </si>
  <si>
    <t>twitter slots fortunetiger viralvideo rendaextra</t>
  </si>
  <si>
    <t>ovodepascoa rendaextra confeitaria</t>
  </si>
  <si>
    <t>spaceman jogodorobozinho robozinhospaceman rendaextraemcasa</t>
  </si>
  <si>
    <t>marketingdigital rendaextra rendaextraemcasa</t>
  </si>
  <si>
    <t>twitter dinheiro rendaextra</t>
  </si>
  <si>
    <t>dinheiro rendaextra liberdadefinanceira</t>
  </si>
  <si>
    <t>applevisionpro theerastourargentina lacasadelosfamososmx idolyfepanaroma marketing marketplace marketingdigital rendaextra rendaemcasa</t>
  </si>
  <si>
    <t>applevisionpro rendaextra theerastourargentina lacasadelosfamososmx</t>
  </si>
  <si>
    <t>marketingdigital afiliado rendaextra</t>
  </si>
  <si>
    <t>metasfinanceiras enriquecimentofinanceiro planejamentofinanceiro reservafinanceira rendaextra independênciafinanceira aposentadoria</t>
  </si>
  <si>
    <t>faustão brasileira aposta rendaextra loveisblind onepiecenetflix onepieceliveaction tiktok twitter fypviraltwitter viral</t>
  </si>
  <si>
    <t>viverdeinternet independenciafinanceira trabalharemcasa negócioonline rendaextra empreendedorismo</t>
  </si>
  <si>
    <t>milhasaereas cartoesdecredito rendaextra</t>
  </si>
  <si>
    <t>mxrf11 dividendos rendaextra</t>
  </si>
  <si>
    <t>hctr11 fundosimobiliarios rendaextra</t>
  </si>
  <si>
    <t>mxrf11 rendaextra</t>
  </si>
  <si>
    <t>rendaextra dividendos mxrf11</t>
  </si>
  <si>
    <t>rendaextra financialfreedom</t>
  </si>
  <si>
    <t>rendaextra fundosimobiliários petrobras</t>
  </si>
  <si>
    <t>fundosimobiliarios rendaextra rendapassiva</t>
  </si>
  <si>
    <t>rendaextra mxrf11</t>
  </si>
  <si>
    <t>fundosimobiliarios mxrf11 rendaextra</t>
  </si>
  <si>
    <t>viverderenda dividendos rendaextra</t>
  </si>
  <si>
    <t>mxrf11 fundosimobiliarios rendaextra</t>
  </si>
  <si>
    <t>markentingdigital blackrat rendaextra</t>
  </si>
  <si>
    <t>milionario milhao bilhonarios dinheiroextra rendaextra trilhonario</t>
  </si>
  <si>
    <t>desenvolvimento conhecimento rendaextra trabalho homeoffice cursos dinheiro crescimento marketingdigital</t>
  </si>
  <si>
    <t>desenvolvimento conhecimento rendaextra trabalho homeoffice cursos dinheiro</t>
  </si>
  <si>
    <t>marketingdigital rendaextra</t>
  </si>
  <si>
    <t>storm nctdreaminbrazil rendaextra</t>
  </si>
  <si>
    <t>rolandonospotify rendaextra</t>
  </si>
  <si>
    <t>rendaextra copadobrasil</t>
  </si>
  <si>
    <t>feliz brasil rendaextra liberdadefinanceira salário</t>
  </si>
  <si>
    <t>rendaextra fortunetiger dinheiro fortuna</t>
  </si>
  <si>
    <t>rendaextra ondecomprar</t>
  </si>
  <si>
    <t>rendaextra plr vendas metodoseficazes</t>
  </si>
  <si>
    <t>rendaextra plr estrategiasdevenda</t>
  </si>
  <si>
    <t>sejaummilionario rendaextra</t>
  </si>
  <si>
    <t>cdb rendafixa rendaextra oscar aliens ministros taehyun</t>
  </si>
  <si>
    <t>rendaextra empreededorismo sucessoprofissional</t>
  </si>
  <si>
    <t>marketingdigital rendaextra vendernainternet</t>
  </si>
  <si>
    <t>cassino rendaextra</t>
  </si>
  <si>
    <t>barbiethemovie barbie barbiepelicula rendaextra fortune</t>
  </si>
  <si>
    <t>redesocial politicos brasil bolsonaro pobre brazil rendaextra dinheiro</t>
  </si>
  <si>
    <t>ondeacho aondecompro rendaextra</t>
  </si>
  <si>
    <t>rendaextra promo ondecompro</t>
  </si>
  <si>
    <t>aondecompro ondeacho rendaextra</t>
  </si>
  <si>
    <t>ondeacho ondecompro rendaextra</t>
  </si>
  <si>
    <t>felipeneto blaze rendaextra</t>
  </si>
  <si>
    <t>investimentos mercadofinanceiro lucratividade estratégia oportunidades rendaextra sucessofinanceiro altaperformance diversificação planejamentofinanceiro investircominteligência</t>
  </si>
  <si>
    <t>launchpad criptomoedas investimento oportunidade ganhos altorendimento twitterbrasil dicastwitter rendaextra negócios empreendedorismo inovação tecnologia twitterapp diversão ganhedinheiro</t>
  </si>
  <si>
    <t>rendaextra trabalhoemcasa markentingdigital amazon shopee shein aliexpress magalu eduzz hotmart braip</t>
  </si>
  <si>
    <t>marketingdigital mktdigital rendaextra</t>
  </si>
  <si>
    <t>milhasaereas milhas viagens rendaextra</t>
  </si>
  <si>
    <t>milhasaereas rendaextra dicas</t>
  </si>
  <si>
    <t>viajar disney milhas milhasaereas rendaextra</t>
  </si>
  <si>
    <t>milhas viajar rendaextra dinheiro</t>
  </si>
  <si>
    <t>rendaextra viagens lazer milhasaereas viagem salavip rodrigogoes fabricademilhas</t>
  </si>
  <si>
    <t>rendaextra renda empreendedorismo empreender</t>
  </si>
  <si>
    <t>codigo kwai ganhardinheiro rendaextra</t>
  </si>
  <si>
    <t>apostaesportiva bingo rendaextra</t>
  </si>
  <si>
    <t>business 3mil dinheiro rendaextra empreendedorismo rj brasil</t>
  </si>
  <si>
    <t>business negocios empreendedorismo startup lisboa rj brasil dinheiro rendaextra</t>
  </si>
  <si>
    <t>rendaextra afiliados donadecasaempreendedora trabalhoremcasa negociosonline ganhardinheiroonline oportunidadedetrabalho trabalhosimples</t>
  </si>
  <si>
    <t>brazil rendaextra</t>
  </si>
  <si>
    <t>rendaextra paypay</t>
  </si>
  <si>
    <t>dinheiro rendaextra comissão rio</t>
  </si>
  <si>
    <t>rendaextra bonusindicação bbb23</t>
  </si>
  <si>
    <t>rendaextra indiqueeganhe bbb23</t>
  </si>
  <si>
    <t>desapego rendaextra vendasonline esquece anunciograti</t>
  </si>
  <si>
    <t>desapego rendaextra vendas vendasonline esquece anunciogratis</t>
  </si>
  <si>
    <t>marketplace vendasonline produtos servicosenegocios rendaextra anunciogratis</t>
  </si>
  <si>
    <t>diadoconsumidor rendaextra vendas vendasonline anunciogratis</t>
  </si>
  <si>
    <t>rendaextra empreendedorismo vendasonline anunciogratis</t>
  </si>
  <si>
    <t>rendaextra marketplace vendasonline anunciogratis</t>
  </si>
  <si>
    <t>rendaextra vendas vendasonline esquece anunciogratis</t>
  </si>
  <si>
    <t>empreendedorismofeminino rendaextra</t>
  </si>
  <si>
    <t>investimentos finanças rendaextra</t>
  </si>
  <si>
    <t>rendaextra plrprofissional ganhedinheiro</t>
  </si>
  <si>
    <t>rendaextra dolar ibovespa b3 funny viral</t>
  </si>
  <si>
    <t>rendaextra dinheiro plr marketingdigital digitalmarketing kiwify hotmart ebook diadelorgullo sdm plr empreendedorismo socio livre</t>
  </si>
  <si>
    <t>dinheiro marketingdigital rendaextra rihanna inovador método</t>
  </si>
  <si>
    <t>dinheiro money rendaextra</t>
  </si>
  <si>
    <t>rendaextra trabalhodecasa</t>
  </si>
  <si>
    <t>rendaextra cursodecilios</t>
  </si>
  <si>
    <t>cursosobrancelhasperfeitas cursojessicasoares rendaextra</t>
  </si>
  <si>
    <t>sempreganha slots slotsgame fortunetiger slotsgames cassinoonline cassino apostasonline jogos jogosonline rendaextra jogosdeaposta</t>
  </si>
  <si>
    <t>sempreganha slots slotsgame fortunetiger slotsgames cassinoonline cassino apostasonline jogos jogosonline rendaextra</t>
  </si>
  <si>
    <t>rendaextra rendacomcartaodecredito bancoc6</t>
  </si>
  <si>
    <t>python programação afiliados rendaextra</t>
  </si>
  <si>
    <t>marketing rendaextra</t>
  </si>
  <si>
    <t>marketing rendaextra motivation dinheiro</t>
  </si>
  <si>
    <t>kiwify marketing dinheiro rendaextra</t>
  </si>
  <si>
    <t>rendaextra etatdurgence ticketek</t>
  </si>
  <si>
    <t>rendaextra monetize vendasonline afiliados</t>
  </si>
  <si>
    <t>estágios emprego rendaextra</t>
  </si>
  <si>
    <t>rendaextra apps payment</t>
  </si>
  <si>
    <t>indica renda wjbet rendaextra</t>
  </si>
  <si>
    <t>networking networkmarketing emprego empregos rendaextra franquiasbrasil</t>
  </si>
  <si>
    <t>oportunidades rendaextra crescimento time fy</t>
  </si>
  <si>
    <t>oportunidade rendaextra equipe limpanome fy</t>
  </si>
  <si>
    <t>empreender benefícios rendaextra parceiro fy</t>
  </si>
  <si>
    <t>ganhedinheiro cashtube rendaextra homeoffice aplicativosquepagam</t>
  </si>
  <si>
    <t>bacbo rendaextra</t>
  </si>
  <si>
    <t>ganhardinheiro marketingdigital twitch twitterdown rendaextra</t>
  </si>
  <si>
    <t>finance rendaextra digitalmarketing</t>
  </si>
  <si>
    <t>rendaextra rpg</t>
  </si>
  <si>
    <t>tempodenegocios rendaextra viral fypシ empreendedorismo money</t>
  </si>
  <si>
    <t>rendaextra ganhardinheiro comoganhardinheiro</t>
  </si>
  <si>
    <t>rendaextra ganhardinheiro fypシ marketing</t>
  </si>
  <si>
    <t>rendaextra foryou milionario</t>
  </si>
  <si>
    <t>mulherdenegócios rendaextra motivacao palavra mulheresempreendedoras mulheresfortes</t>
  </si>
  <si>
    <t>empreendedorismo sucesso liderança liberdade mentemilionaria mentedesucesso empreendedorismo sucesso lideranca motivacao riqueza mentalidade dinheiro rendaextra marketingdigital</t>
  </si>
  <si>
    <t>rendaextra economia</t>
  </si>
  <si>
    <t>ganhardinheiro rendaextra foryou</t>
  </si>
  <si>
    <t>rendaextra dinheiroonline dropshipping</t>
  </si>
  <si>
    <t>rendaextra dinheiroonline</t>
  </si>
  <si>
    <t>marketing dinheiroonline rendaextra</t>
  </si>
  <si>
    <t>marketing rendaextra dinheiroonline</t>
  </si>
  <si>
    <t>ganhardinheiro rendaextra marketingdigital</t>
  </si>
  <si>
    <t>rendaextra dropshiping</t>
  </si>
  <si>
    <t>slots fortunerabbit ganhadinheiroonline lucroreal jogosonline rendaextra pgslot</t>
  </si>
  <si>
    <t>dinheiro rendaextra</t>
  </si>
  <si>
    <t>saude bemestar nutricaoesportiva rendaextra</t>
  </si>
  <si>
    <t>gogowin slotonline rendaextra trump chelsea brasil</t>
  </si>
  <si>
    <t>bbb23 quintadetremurasdv afiliadosedduz edduz rendaextra pinterest</t>
  </si>
  <si>
    <t>dinheiro rendaextra mone</t>
  </si>
  <si>
    <t>bet365 championsleague rendaextra foco dedicacao aposta</t>
  </si>
  <si>
    <t>weddingofficiantdobrasil rendaextra rendamultipla dinheiroextra afiliados</t>
  </si>
  <si>
    <t>ganhedinheiro games rendaextra dicasdegames compartilhesuadica</t>
  </si>
  <si>
    <t>wordpress brasil blog rendaextra</t>
  </si>
  <si>
    <t>videos kwai vídeos noticias rendaextra</t>
  </si>
  <si>
    <t>kwai vídeos noticias rendaextra</t>
  </si>
  <si>
    <t>kwai vídeos noticias rendaextra brasil</t>
  </si>
  <si>
    <t>kwai vídeos cash rendaextra</t>
  </si>
  <si>
    <t>rendaextra plr kiwify sucesso marktingdital emprendedor</t>
  </si>
  <si>
    <t>rendaextra rendaextraemcasa rendaextraonline rendaextraagora ganhedinheironainternet ganhardinheiroassistindovideos lucrandocomvideos videolucrativo metodovideolucrativo</t>
  </si>
  <si>
    <t>ganhardinheiro internet rendaextra</t>
  </si>
  <si>
    <t>rendaextra binance optionstrading isola dinheiro forex</t>
  </si>
  <si>
    <t>renda rendaextra dinheiro trabalho</t>
  </si>
  <si>
    <t>dinheiro rendaextra trabalho renda</t>
  </si>
  <si>
    <t>rendaextra dinheiro trablho homeoffice</t>
  </si>
  <si>
    <t>rendaextra dinheiro trabalho</t>
  </si>
  <si>
    <t>trabalho rendaextra dinheiro</t>
  </si>
  <si>
    <t>marketingdeafiliados trabalharemcasa rendaextra mãesempreendedoras</t>
  </si>
  <si>
    <t>clubewin slots esportesdasorte metgala2023 ganhardinheiro pgslotofficial pgslot joguinhosdasorte rendaextra agrandeconquista</t>
  </si>
  <si>
    <t>ganhardinheiro ideiasparaganhardinheiro rendaextra ganhardinheironainternet trabalharemcasa homeoffice marketingdigital marketingdigitalbrasil empreender empreendedorismo</t>
  </si>
  <si>
    <t>marketingdigital iniciação rendaextra</t>
  </si>
  <si>
    <t>jogos online rendaextra</t>
  </si>
  <si>
    <t>rendaextra ondecomprar dinheiro cursodeinvestimentos</t>
  </si>
  <si>
    <t>vemcomigo rendaextra empreendedorismo</t>
  </si>
  <si>
    <t>funnybet funnybetbrasil bet brasil slots jogo win bigwin chellenge aces casino casinoonline betting lucros casinò rendaextra jogosonline palpites brasil independenciafinanceira ações rendafixa dinheiro</t>
  </si>
  <si>
    <t>funnybet funnybetbrasil bet brasil slots jogo win bigwin chellenge aces casino casinoonline betting lucros casinò rendaextra jogosonline palpites brasil independenciafinanceira ações rendafixa</t>
  </si>
  <si>
    <t>funnybet funnybetbrasil bet brasil slots jogo win bigwin chellenge aces casino casinoonline betting lucros casinò rendaextra jogosonline palpites</t>
  </si>
  <si>
    <t>funnybet funnybetbrasil bet brasil slots jogo win bigwin chellenge aces casino casinoonline betting lucros casinò rendaextra jogosonline palpites brasil independenciafinanceira ações rendafixa dinheiro milionário aposta roboinvestidor dinheiroextra</t>
  </si>
  <si>
    <t>funnybet funnybetbrasil bet brasil slots jogo win bigwin chellenge aces casino casinoonline betting lucros casinò rendaextra jogosonline palpites brasil</t>
  </si>
  <si>
    <t>catalogos trabalheconosco rendaextra</t>
  </si>
  <si>
    <t>marketingdigital afiliados podcast foryou bbb23 alexvargas vendas rendaextra dinheiroonline ondecompra</t>
  </si>
  <si>
    <t>rendaextra cupomdedesconto afiliados vendasnainternet ondecompro aondecompra bbb23</t>
  </si>
  <si>
    <t>marketingdigital afiliados eduzz hotmart bbb23 news foryou rendaextra ondecomprar alexvargas</t>
  </si>
  <si>
    <t>marketingdigital primeiravenda bbb23 foryou marketing ceo vendasonline rendaextra empreender hotmart eduzz comprar</t>
  </si>
  <si>
    <t>marketingdigital primeiravenda afiliados bbb23 rendaextra ondecompro dinheiro viral</t>
  </si>
  <si>
    <t>rendaextra marketingdigital promo ondecomprar bbb23 viral</t>
  </si>
  <si>
    <t>marketingdigital rendaextra maney promo ondecomprar 8demarzo bbb23</t>
  </si>
  <si>
    <t>marketingdigital afiliados dinheiro rendaextra trabalharemcasa vendasonline money bbb233 ondecomprar</t>
  </si>
  <si>
    <t>marketingdigital marketing bbb23 foryou ondecomprar vendas vendasonline ceo mães rendaextra podcast</t>
  </si>
  <si>
    <t>felizdiadasmulheres bomdia cafe sucesso marketingdigital trabalhoemcasa rendaextra vemaprender</t>
  </si>
  <si>
    <t>marketingdigital rendaextra empreender trabalharemcasa afiliados marketingafiliados</t>
  </si>
  <si>
    <t>choraoeterno marketingdigital emprender afiliados mercadodigital boss vendas dinheiro rendaextra</t>
  </si>
  <si>
    <t>marketingdigital digital ceo vendas mulheres mães ondecomprar aondecomprar rendaextra homeoffice trabalhoemcasa</t>
  </si>
  <si>
    <t>marketing marketingdigital ceo viral foryou vendas rendaextra wtcfinal2023</t>
  </si>
  <si>
    <t>vendas matketingonline viral ondecomprar rendaextra aondecomprar foryou</t>
  </si>
  <si>
    <t>marketingdigital marketing digital bbb23 foryou viral rendaextra mães mulheres dinheiro vendasonline vendas ondecompra</t>
  </si>
  <si>
    <t>rendaextra criptomoedas dinheiroonline nft</t>
  </si>
  <si>
    <t>rendaextra dinheiroextra</t>
  </si>
  <si>
    <t>rendaextra diversificação</t>
  </si>
  <si>
    <t>rendaextra oportunidadesonline</t>
  </si>
  <si>
    <t>rendaextra dinheiro cadizvalencia glazersout</t>
  </si>
  <si>
    <t>fandom blaze rendaextra</t>
  </si>
  <si>
    <t>rendaextra shein marketing marketplace</t>
  </si>
  <si>
    <t>rendaextra marketing marketingafiliados</t>
  </si>
  <si>
    <t>rendaextra rendaextraemdolar marketingdigital marketing</t>
  </si>
  <si>
    <t>trabalhoemcasa vendaonline dinheiroextra rendaextra internet dinheiroonline empreendedorismo</t>
  </si>
  <si>
    <t>rendaextra trabalhoemcasa vendaonline dinheiroextra rendaextra dinheiroonline</t>
  </si>
  <si>
    <t>rendaextra internet reel oscars</t>
  </si>
  <si>
    <t>rendaextra cursosonline cursodesemijoias viverdesemijoias empreendedorismo eduzz erikanatalconsultoria</t>
  </si>
  <si>
    <t>gamenft nft crypto rendaextra</t>
  </si>
  <si>
    <t>apostas ondecompra ondecompro rendaextra websites</t>
  </si>
  <si>
    <t>barbearia barbeiro cortesdecabelo corte rendaextraemcasa</t>
  </si>
  <si>
    <t>empreendedor rendaextra ganhardinheiro empreendedorismo bbb2020 oportunidade trabalharemcasa negocioonline realizacao gratidao</t>
  </si>
  <si>
    <t>motivação rendaextra motivaçao ficarrico ganhardinheiro trabalharemcasa</t>
  </si>
  <si>
    <t>dolar rendaextra marketingdigital sucesso tralharemcasa foco</t>
  </si>
  <si>
    <t>dolar marketingdigital rendaextra</t>
  </si>
  <si>
    <t>dolar marketingsuccess trabalharemcasa rendaextra sucesso</t>
  </si>
  <si>
    <t>smashup smashupbrasil smashupbet smash bet brasil slots jogo win bigwin chellenge aces casino casinoonline betting lucros casinò rendaextra jogosonline palpites brasil</t>
  </si>
  <si>
    <t>smashup smashupbrasil smashupbet smash bet brasil slots jogo win bigwin chellenge aces casino casinoonline betting lucros casinò rendaextra jogosonline palpites brasil independenciafinanceira</t>
  </si>
  <si>
    <t>smashup smashupbrasil smashupbet smash bet brasil slots jogo win bigwin chellenge aces casino casinoonline betting lucros casinò rendaextra jogosonline palpites</t>
  </si>
  <si>
    <t>smashup smashupbrasil smashupbet smash bet brasil slots jogo win bigwin chellenge aces casino casinoonline betting lucros casinò rendaextra jogosonline palpites brasil independenciafinanceira ações rendafixa dinheiro milionário aposta roboinvestidor</t>
  </si>
  <si>
    <t>mines smashup smashupbrasil smashupbet smash bet brasil slots jogo win bigwin chellenge aces casino casinoonline betting lucros casinò rendaextra jogosonline palpites brasil</t>
  </si>
  <si>
    <t>double smashup smashupbrasil smashupbet smash bet brasil slots jogo win bigwin chellenge aces casino casinoonline betting lucros casinò rendaextra jogosonline palpites brasil</t>
  </si>
  <si>
    <t>crash smashup smashupbrasil smashupbet smash bet brasil slots jogo win bigwin chellenge aces casino casinoonline betting lucros casinò rendaextra jogosonline palpites brasil</t>
  </si>
  <si>
    <t>smashup smashupbrasil smashupbet smash bet brasil slots jogo win bigwin chellenge aces casino casinoonline betting lucros casinò rendaextra jogosonline palpites brasil independenciafinanceira ações rendafixa</t>
  </si>
  <si>
    <t>smashup smashupbrasil smashupbet smash bet brasil slots jogo win bigwin chellenge aces casino casinoonline betting lucros casinò rendaextra</t>
  </si>
  <si>
    <t>smashup smashupbrasil smashupbet smash bet brasil slots jogo win bigwin chellenge aces casino casinoonline betting lucros casinò rendaextra jogosonline palpites brasil independenciafinanceira ações rendafixa dinheiro</t>
  </si>
  <si>
    <t>smashup smashupbrasil smashupbet smash bet brasil slots jogo win bigwin chellenge aces casino casinoonline betting lucros casinò rendaextra jogosonline</t>
  </si>
  <si>
    <t>smashup smashupbrasil smashupbet smash bet brasil slots jogo win bigwin chellenge aces casino casinoonline betting lucros casinò rendaextra jogosonline palpites brasil independenciafinanceira ações rendafixa dinheiro milionário aposta roboinvestidor231</t>
  </si>
  <si>
    <t>smashup smashupbrasil smashupbet smash bet brasil slots jogo win bigwin chellenge aces casino casinoonline betting lucros casinò rendaextra jogosonline palpites brasil independenciafinanceira ações</t>
  </si>
  <si>
    <t>smashup smashupbrasil smashupbet smash bet brasil slots jogo win bigwin chellenge aces casino casinoonline betting lucros casinò rendaextra jogosonline palpites brasil independenciafinanceira ações rendafixa dinheiro milionário</t>
  </si>
  <si>
    <t>dinheiro rendaextra rica</t>
  </si>
  <si>
    <t>kwai rendaextra</t>
  </si>
  <si>
    <t>topchef rendaextra dinheiro kwai app</t>
  </si>
  <si>
    <t>hayday kwai rendaextra</t>
  </si>
  <si>
    <t>rendaextra trabalhoemcasa</t>
  </si>
  <si>
    <t>finanças dicas rendaextra</t>
  </si>
  <si>
    <t>jogando fazendodinheiro rendaextra</t>
  </si>
  <si>
    <t>laerciolobanco acreditar vcpode sucessoprofissional mudar marketingdigital trajetoexcepcional rendaextra milionario</t>
  </si>
  <si>
    <t>equilíbrio felicidade bemestar laerciolobanco acreditar vcpode sucessoprofissional mudar marketingdigital trajetoexcepcional rendaextra milionario</t>
  </si>
  <si>
    <t>relacionamento sucesso aprendizado laerciolobanco acreditar vcpode sucessoprofissional mudar marketingdigital trajetoexcepcional rendaextra milionario</t>
  </si>
  <si>
    <t>relacionamento desafios superação laerciolobanco acreditar vcpode sucessoprofissional mudar marketingdigital trajetoexcepcional rendaextra milionario</t>
  </si>
  <si>
    <t>equilíbrio alberteinstein sabedoria laerciolobanco acreditar vcpode sucessoprofissional mudar marketingdigital trajetoexcepcional rendaextra milionario</t>
  </si>
  <si>
    <t>laerciolobanco marketingdigital trajetoexcepcional rendaextra milionario</t>
  </si>
  <si>
    <t>metas sucesso realização laerciolobanco acreditar vcpode sucessoprofissional mudar marketingdigital trajetoexcepcional rendaextra milionario</t>
  </si>
  <si>
    <t>pensamentopositivo positividade mentesaudável laerciolobanco acreditar vcpode sucessoprofissional mudar marketingdigital trajetoexcepcional rendaextra milionario</t>
  </si>
  <si>
    <t>laerciolobanco acreditar vcpode sucessoprofissional mudar marketingdigital rendaextra milionario</t>
  </si>
  <si>
    <t>mobygo mobilidadeurbana app motoristadeapp motociclismo entrega rendaextra ribeirãopreto ribeiraopreto jardinopolis serrana cravinhos bomfimpaulista dumont</t>
  </si>
  <si>
    <t>rendaextra jogos dinheiro</t>
  </si>
  <si>
    <t>empreendedorismo dinheiro sucesso rendaextra educacao universidade cursos coaching</t>
  </si>
  <si>
    <t>grabpoints rendaextra</t>
  </si>
  <si>
    <t>timebucks microtarefas rendaextra</t>
  </si>
  <si>
    <t>slotsgames slots slotsslotsslots rendaextra mudandodevida gratidao inspiração motivacao</t>
  </si>
  <si>
    <t>apostasesportivas futebol benfica boavistafc bet365 money rendaextra</t>
  </si>
  <si>
    <t>confeitariaemcasa doces bolos rendaextra</t>
  </si>
  <si>
    <t>fortunetiger brabet brlwin jogos rendaextra ganheemcasa</t>
  </si>
  <si>
    <t>emprego trabalho homeoffice rendaextra</t>
  </si>
  <si>
    <t>marketing growthmarketing finanças dinheiro rendaextra</t>
  </si>
  <si>
    <t>ganhardinheiro investimentos trading finanças empreendedorismo negócios marketingdigital rendaextra dinheiro sucesso liberdadefinanceira foco motivação economia investir oportunidades trabalharemcasa dinheiroextra independenciafinanceira educacaofinanceira</t>
  </si>
  <si>
    <t>mentemilionaria rendaextra empreendedorismo</t>
  </si>
  <si>
    <t>fy marketingdigital kiwify empreendedorismo ruyter rendaextra plr</t>
  </si>
  <si>
    <t>vendas rendaextra ganhardinheiro empreendedorismo</t>
  </si>
  <si>
    <t>hotmart rendaextra ganhedinheiro</t>
  </si>
  <si>
    <t>economia mocambiquetiktok angola geopolitica rendaextra viral foryou</t>
  </si>
  <si>
    <t>depilacao rendaextra</t>
  </si>
  <si>
    <t>rendaextra finanças investimento dinheiro dinheiroonline finançaspessoais economia</t>
  </si>
  <si>
    <t>mercadofinanceiro financaspessoais dinheiro investimento rendaextra finanças</t>
  </si>
  <si>
    <t>fortunertiger rendaextra aposta tigre</t>
  </si>
  <si>
    <t>ganhadinheiro rendaextra 50job</t>
  </si>
  <si>
    <t>rendaextra comoganhardinheironainternet</t>
  </si>
  <si>
    <t>ecommerce empreendedorismo lojaonline rendaextra</t>
  </si>
  <si>
    <t>empreendedorismo lojavirtual shopify rendaextra</t>
  </si>
  <si>
    <t>cursodeinvestimentos rendaextra dinheiroonline</t>
  </si>
  <si>
    <t>rendaextra renda</t>
  </si>
  <si>
    <t>rendaextra educaçãofina</t>
  </si>
  <si>
    <t>fgc rendaextra financas investimentos banco</t>
  </si>
  <si>
    <t>marketingdigital rendaextra tbt</t>
  </si>
  <si>
    <t>criptomonedas criptoativos rendaextra rendavariavel investimentos criptobrasil ganhardinheiro nftcommunity bitcoin2023</t>
  </si>
  <si>
    <t>airdropcrypto criptomoedas ativosdigital rendaextra criptofanáticos</t>
  </si>
  <si>
    <t>direitodoabonosalarial pis trabalho justiçafinanceira direitostrabalhistas abonosalarial rendaextra direitosdosfuncionários justiçasocial benefíciosdetrabalho cef caixaeconomicafederal</t>
  </si>
  <si>
    <t>empreendedorismofeminino leidaatração mentemilionaria sucesso viral empreender afiliados marketing rendaextra trabalhoemcasa empreendedorismo independenciafinanceira mktdigital</t>
  </si>
  <si>
    <t>rendaextra pascoa chocolate chocolateday chocolatecompimenta cursos ovoshoptakuler</t>
  </si>
  <si>
    <t>hotmart rendaextra europe portugal</t>
  </si>
  <si>
    <t>palpitesdefutebol palpitesdiarios palpitesgreen palpitesgratis apostasesportivas rendaextra palpitesesportivo bet365 betano traderesportivo ganhardinheiro</t>
  </si>
  <si>
    <t>bet365 betano palpitesdefutebol palpitesgratis apostasesportivas rendaextra investimentosesportivos dicasdeapostas</t>
  </si>
  <si>
    <t>rendaextra negóciosonline curso</t>
  </si>
  <si>
    <t>rendaextra paraty tvindoor rj</t>
  </si>
  <si>
    <t>blaze rendaextra cassino</t>
  </si>
  <si>
    <t>rendaextra lojaonline mercadodigital dropshipping</t>
  </si>
  <si>
    <t>mercadodigital lojaonline dropshipping rendaextra</t>
  </si>
  <si>
    <t>elosduvale emprego trabalho vagas oportunidade vagasdeemprego empregos vaga estagio job oportunidades curriculo empreendedorismo rendaextra rh oportunidadedetrabalho</t>
  </si>
  <si>
    <t>elosduvale emprego trabalho vagas oportunidade vagasdeemprego empregos vaga estagio job oportunidades cnc rendaextra vagadeemprego</t>
  </si>
  <si>
    <t>elosduvale emprego trabalho vagas oportunidade vagasdeemprego empregos vaga estagio job oportunidades cnc rendaextra vagadeemprego oportunidadedetrabalho</t>
  </si>
  <si>
    <t>elosduvale emprego trabalho vagas oportunidade vagasdeemprego empregos vaga estagio job oportunidades curriculo empreendedorismo rendaextra vagadeemprego rh oportunidadedetrabalho empreender procuroemprego</t>
  </si>
  <si>
    <t>elosduvale emprego trabalho vagas oportunidade vagasdeemprego empregos vaga estagio job oportunidades curriculo empreendedorismo rendaextra vagadeemprego rh oportunidadedetrabalho</t>
  </si>
  <si>
    <t>rendaextra trabalhedecasa</t>
  </si>
  <si>
    <t>afiliados dia01 trabalharemcasa negocioonline rendaextra ganhardinheiro</t>
  </si>
  <si>
    <t>rendaextra homeoffice</t>
  </si>
  <si>
    <t>rendaextra pascoa pascoalucrativa receitaslucrativas lucreonline ovosdepascoa</t>
  </si>
  <si>
    <t>tens maputo matola yango rendaextra cadastro</t>
  </si>
  <si>
    <t>influencer blogue youtube youtuber homeoffice rendaextra</t>
  </si>
  <si>
    <t>marketingdigital homeoffice rendaextra youtuber influencer</t>
  </si>
  <si>
    <t>marketingdigital rendaextra homeoffice</t>
  </si>
  <si>
    <t>dinheiro marketingdigital rendaextra dinheiroonline cursos caiomartins</t>
  </si>
  <si>
    <t>slots tigre paga rendaextra</t>
  </si>
  <si>
    <t>rendaextra dinheiroonline dinheiro</t>
  </si>
  <si>
    <t>mulherempreendedora solucoesfinanceiras rendaextraemcasa</t>
  </si>
  <si>
    <t>rendaextra marketingdigital afiliados</t>
  </si>
  <si>
    <t>rendaextra r7 portalr7</t>
  </si>
  <si>
    <t>afiliados afiliadoiniciante hotmart eduzz braip rendaextra rendaonline dinheiro</t>
  </si>
  <si>
    <t>decoraçãounha rendaextra</t>
  </si>
  <si>
    <t>rendaextra dinheiro money168</t>
  </si>
  <si>
    <t>betexpo apostasonline rendaextra jogosdecassino apostasesportivas entretenimento responsabilidade</t>
  </si>
  <si>
    <t>benidormfest2023 bigbrothernlbe rendaextra shopee shopeeaffiliate</t>
  </si>
  <si>
    <t>dinheiro dinheiroonline dinheiroemcasa dinheironainternet gamer rendaextra</t>
  </si>
  <si>
    <t>investimento rendaextra trading</t>
  </si>
  <si>
    <t>descentralizaclub bitcoin bitcoinportugal bitcoinangola bitcoinbrasil rendaextra barbie</t>
  </si>
  <si>
    <t>pânico</t>
  </si>
  <si>
    <t>biolinks encurtadordeurl encurtadordelinks plataforma monetizada rendaextra planos geradordecodeqr lucrativo profit alepdias 09desetembrode2023</t>
  </si>
  <si>
    <t>encurtadordeurl encurtadordelinks plataforma monetizada rendaextra planos biolinks geradordecodeqr lucrativo profit alepdias wordpress wp plugins 09desetembrode2023</t>
  </si>
  <si>
    <t>pinterest ads técnicas viral resultados profissional 11deabrilde2023 alepdias campanhas rendaextra grátis profit somee hive makemoney someeofficial</t>
  </si>
  <si>
    <t>mineraçao lucrativas técnicas avançadas viral resultados profissional 11deabrilde2023 campanhas rendaextra grátis profit alepdias someeofficial</t>
  </si>
  <si>
    <t>ia ai ganhardinheiro rendaextra lucrando compraragora ondecomprar alepdias profit 04desetembrode2023</t>
  </si>
  <si>
    <t>website scriptphp compraragora ondecomprar alepias alyra 22deagostode2023 profit rendaextra saas</t>
  </si>
  <si>
    <t>scriptphp profit rendaextra monetizado earnmoney compraragora ondecomprar adlinkfly alepdias 21demaiode2023</t>
  </si>
  <si>
    <t>honeygain ganhardinheironainternet dinheiro rendaextra rendapassiva</t>
  </si>
  <si>
    <t>garrafapet dinnerdate rendaextra vassoura garrafasplásticas</t>
  </si>
  <si>
    <t>ganhardinheiro ganhardinheiroonline ganhardinheironainternet rendaextraonline rendaextra</t>
  </si>
  <si>
    <t>ganhardinheironainternet ganhardinheiroonline ganhardinheiro rendaextra rendaextraemcasa homeoffice</t>
  </si>
  <si>
    <t>ganhardinheiro ganhardinheironainternet rendaextra</t>
  </si>
  <si>
    <t>ganhardinheironainternet ganhardinheiroonline rendaextra</t>
  </si>
  <si>
    <t>ganhardinheironainternet rendaextra ganhardinheiroonline</t>
  </si>
  <si>
    <t>ganhardinheironainternet ganhardinheiroonline ganhardinheiro rendaextra rendaextraemcasa</t>
  </si>
  <si>
    <t>ganhardinheironainternet ganhardinheiroonline rendaextra rendaextraemcasa</t>
  </si>
  <si>
    <t>investimentos dinheiro bolsadevalores investimento mercadofinanceiro o finan empreendedorismo a investir liberdadefinanceira sucesso es as rendaextra economia ed</t>
  </si>
  <si>
    <t>newprofilepic bet365 dinhero rendaextra apostaesportiva betano</t>
  </si>
  <si>
    <t>rendaextra vendatwitter uominiedonne</t>
  </si>
  <si>
    <t>veravilela4 rendaextra negocioonline tiwtter</t>
  </si>
  <si>
    <t>veravilela4 rendaextra negocioonline</t>
  </si>
  <si>
    <t>veravilela4 rendaextra negocionline marketingdigital</t>
  </si>
  <si>
    <t>veravilela4 negocioonline rendaextra</t>
  </si>
  <si>
    <t>dolar rendaextra criptomoedas</t>
  </si>
  <si>
    <t>maquininha ton rendaextra</t>
  </si>
  <si>
    <t>rendaextra renda ganhadinheiro</t>
  </si>
  <si>
    <t>apps rendaextra jogos tiktok</t>
  </si>
  <si>
    <t>sorteiokwai impulsokwai rendaextra</t>
  </si>
  <si>
    <t>rendaextra rendapassiva rendaextraonline rendaextraemcasa</t>
  </si>
  <si>
    <t>rendaextra rendaextraemcasa rendaextraonline rendapassiva pesquisaremunerada ganhardinheiro ganhardinheiroonline</t>
  </si>
  <si>
    <t>rendaextra rendaextraemcasa rendaextraonline rendapassiva renda rendaextra2023</t>
  </si>
  <si>
    <t>rendaextraemcasa rendaextraonline rendapassiva rendaextra renda rendaextra2023</t>
  </si>
  <si>
    <t>rendaextra renda rendapassiva rendaextraemcasa rendaextraonline rendaextra2023</t>
  </si>
  <si>
    <t>ebooks pascoa vendas brasil negocio rendaextra</t>
  </si>
  <si>
    <t>kubeta_ao kubetaformador rendaextra rendapassiva partilhadeconhecimento cursosonline</t>
  </si>
  <si>
    <t>influencer rendaextra blodeviagem</t>
  </si>
  <si>
    <t>promoção rendaextra viagem influencerdigital afiliados</t>
  </si>
  <si>
    <t>vendah rendaextra</t>
  </si>
  <si>
    <t>ondecomprar cursoonline rendaextra produtosdigitais</t>
  </si>
  <si>
    <t>ondecomprar cursoonline rendaextra</t>
  </si>
  <si>
    <t>photopro hobby treinamento curso smartphone rendaextra profissao</t>
  </si>
  <si>
    <t>primeiravenda marketingdigital marketingdigitalbrasil vendasonline rendaextra homeoffice afiliados comoganhardinheironainternet</t>
  </si>
  <si>
    <t>investir investimento rendapassiva rendaextra poupança</t>
  </si>
  <si>
    <t>lucrar chocolate rendaextra pascoa</t>
  </si>
  <si>
    <t>chocolate pascoa rendaextra brasil curso</t>
  </si>
  <si>
    <t>rendaextra chocolate pascoa brasil</t>
  </si>
  <si>
    <t>rendaextra chocolate pascoalucrativa</t>
  </si>
  <si>
    <t>rendaextra digital mkt empreendedorismo</t>
  </si>
  <si>
    <t>rendaextra trabalhoemcasa dinheiroemcasa</t>
  </si>
  <si>
    <t>renda rendaextra homeoffice trabalhoemcasa dinheiroemcasa rendaemcasa</t>
  </si>
  <si>
    <t>rendaextra trabalhoemcasa dinheiroemcasa homeoffice</t>
  </si>
  <si>
    <t>rendaextra terçospersonalizados tercospersonalizados trabalho trabalharemcasa</t>
  </si>
  <si>
    <t>homeoffice rendaextra oportunidade vendas trabalheemcasa</t>
  </si>
  <si>
    <t>desafionoautomatico rendaextra ganhedinheiro gestaodetrafego</t>
  </si>
  <si>
    <t>rendaextra redaextracomovosdepascoa receitasovosdepascoa</t>
  </si>
  <si>
    <t>cassino rendaextra brabet rendaonline</t>
  </si>
  <si>
    <t>cassino rendaextra brabet</t>
  </si>
  <si>
    <t>bet365 apostasesportivas championsleague rendaextra betano</t>
  </si>
  <si>
    <t>bet365 apostasesportivas rendaextra championsleague</t>
  </si>
  <si>
    <t>mercadofinanceiro finanças rendaextra dinheiro investimento investir trabalho</t>
  </si>
  <si>
    <t>digital digitalmarketing marketing marketingdigital drop dropshipping rendaextra</t>
  </si>
  <si>
    <t>rendaextra drop dropshipping digital digitalmarketing marketing marketingdigital</t>
  </si>
  <si>
    <t>rendaextra drop dropshipping marketingdigital marketingdigital marketingtwitter</t>
  </si>
  <si>
    <t>rendaextra marketing marketingtwitter marketingdigital drop dropshipping</t>
  </si>
  <si>
    <t>dropshipping marketing marketingdigital rendaextra drop ganhardinheironainternet</t>
  </si>
  <si>
    <t>marketing marketingdigital marketingsuccess drops drop dropshipping rendaextra vidayestilo</t>
  </si>
  <si>
    <t>rendaextra dinheiro drop dropshipping marketing marketinginsights marketingstrategy marketingsuccess</t>
  </si>
  <si>
    <t>rendaextra dinheiro marketing marketingdigital digital digitalmarketing online onlinemarketing internetmarketing internet lamborghini</t>
  </si>
  <si>
    <t>lifestyle digital marketing marketingdigital marketingdigitalbrasil marketingtwitter rendaextra</t>
  </si>
  <si>
    <t>marketingdigital marketing digital digitalmarketing online internet rendaextra dinheiro</t>
  </si>
  <si>
    <t>rendaextra dinheiro matrix digital digitalmarketing marketing marketingdigital internet online onlinemarketing</t>
  </si>
  <si>
    <t>rendaextra dinheiro marketingsuccess marketingonline marketingagency dropshipping</t>
  </si>
  <si>
    <t>rendaextra dinheiro marketingonline marketingsuccess marketingdigital dropshipping</t>
  </si>
  <si>
    <t>dinheiro marketingtwitter marketingsuccess marketingdigital dropshipping rendaextra dinheiropelainternet</t>
  </si>
  <si>
    <t>rendaextra dinheiro dinheiropelainternet digitalmarketing digital dropshipping</t>
  </si>
  <si>
    <t>ferrari rico abundancia liberdade rendaextra dinheiro marketingdigital digital</t>
  </si>
  <si>
    <t>rendaextra online dinheiro</t>
  </si>
  <si>
    <t>dinheiro rendaextra internet internetmarketing digitalmarketing digital onlinemarketing online marketingdigital marketing</t>
  </si>
  <si>
    <t>rendaextra marketingdigital marketing marketingdigitalbrasil dinheiro drop</t>
  </si>
  <si>
    <t>rendaextra dinheiro marketingdigital marketingdigitalbrasil marketing drop drops</t>
  </si>
  <si>
    <t>rendaextra marketingsuccess marketingstrategy drop dropshipping</t>
  </si>
  <si>
    <t>internet rendaextra sucesso</t>
  </si>
  <si>
    <t>digital marketingdigital marketingtwitter marketing rendaextra lifestyle internet</t>
  </si>
  <si>
    <t>jogos apps rendaextra</t>
  </si>
  <si>
    <t>marketingdeafiliados marketingdigital marketing marketingdigitalbrasil hotmart marketingdecontenidos empreendedorismo rendaextra afiliados afiliadoshotmart negociosonline</t>
  </si>
  <si>
    <t>rico jovem rendaextra</t>
  </si>
  <si>
    <t>rendaextra designdesobrancelha modaebeleza sobrancelhas</t>
  </si>
  <si>
    <t>rendaextra herbalife</t>
  </si>
  <si>
    <t>rendaextra renda kwaii ganhardinheiro</t>
  </si>
  <si>
    <t>ozonteckrecife ozonteckbrasil diabetes rendaextra</t>
  </si>
  <si>
    <t>patosdeminas qualidadevida brasil uberlandia rendaextra luciluci</t>
  </si>
  <si>
    <t>luciluci sãoluisma qualidadevida rendaextra vianama buriticupuma maranhao brasil sãobentoma pinheiroma itapecurumirim</t>
  </si>
  <si>
    <t>luciluci lucilucioficial luciluciperfumes luciluci qualidadevida rendaextra brasil marketing marketingdigital marketingderelacimento marketingprofissional saopaulo</t>
  </si>
  <si>
    <t>whiteclub investimentos mmn multinível marketingdigital usdt btc btcusdt bitcoin rendaextra</t>
  </si>
  <si>
    <t>rendaextra ganheemdolar afiliado</t>
  </si>
  <si>
    <t>shorts ganheemdolar rendaextra</t>
  </si>
  <si>
    <t>metadolar ganheemdólar ganheemcasa rendaextra rendaextraagora rendaextraemcasa rendaextraonline rendaextranainternet empreender empreendedorismo empreendedor</t>
  </si>
  <si>
    <t>afiliados metadolar marketingdigital trafegopago trafegoorganico ganhardinheiro rendaextra ganhedinheironainternet dolar cupomdedesconto</t>
  </si>
  <si>
    <t>rendaextra dinheiro dinheirofacil lucro negocios</t>
  </si>
  <si>
    <t>brabet rendaextra dinheiro double crash</t>
  </si>
  <si>
    <t>bacbo cassino dados rendaextra</t>
  </si>
  <si>
    <t>otggames roleta cassino rendaextra otggamesebom dados cartas pokeronline</t>
  </si>
  <si>
    <t>crazytime jogocrazytime millioncrazytime rendaextra dinheiro marketingdigital cassino</t>
  </si>
  <si>
    <t>aviator roboaeropix aeropix aeropixaviator rendaextra dinheiro</t>
  </si>
  <si>
    <t>botizi blaze jogos rendaextra dinheiro funciona brabet</t>
  </si>
  <si>
    <t>rendaextra ganhardinheiro money</t>
  </si>
  <si>
    <t>afiliadodashopee milionares marketingdigitalbrasil hotmart marketing trabalharemcasapelainternet rendaextraemcasa empreendedorismo empreendedordigitalautoridade</t>
  </si>
  <si>
    <t>pascoa rendaextra oportunidade inscricao catanduva fundosocial prefeituradecatanduva</t>
  </si>
  <si>
    <t>blogging escritacriativa rendaextra mateada</t>
  </si>
  <si>
    <t>rendaextra ganhedinheirocomapps</t>
  </si>
  <si>
    <t>rendaextra ganhecomapps</t>
  </si>
  <si>
    <t>rendaextra ganhedinheiro</t>
  </si>
  <si>
    <t>rendaextra ganhardinheiro appsparaganhardinheiro</t>
  </si>
  <si>
    <t>brabet ganeshagold brabetmeuamor slot slots cassino joguinhos bbb23 brasil jogosdeslots dinheiro rendaextra viva fypp trabalharemcasa cash mulher thelastofus jogosparacelular</t>
  </si>
  <si>
    <t>ovosdepascoa rendaextra chocolateday dinheiro rendaextra pascoa aprendafazer delicias gourmet</t>
  </si>
  <si>
    <t>marketingdigital rendaextra maternidade</t>
  </si>
  <si>
    <t>dinheiro rendaextra dinheiroextra memes</t>
  </si>
  <si>
    <t>feet pezinhos pes solas solinhas comissão rendaextra telegram grupo18 fetiche foot girlfeet podolatria</t>
  </si>
  <si>
    <t>ondecomprar ondecompro dicas maquiagem rendaextra misssupranational2023 barbie barbiefilme virginia mirella</t>
  </si>
  <si>
    <t>rendaextra ganharmaisdinheiro curriculoperfeito rendaextraemcasa rendaextraemcas</t>
  </si>
  <si>
    <t>emprendedores rendaextra ganhardinheiroemcasa</t>
  </si>
  <si>
    <t>aposta dinheiro granaextra aviator spaceman futebol tips robô robo vip grátis rendaextra</t>
  </si>
  <si>
    <t>rendaextra liberdadefinanceira salariominimo renda</t>
  </si>
  <si>
    <t>pombabet fortune fortunetiger rendaextra</t>
  </si>
  <si>
    <t>rendaextra comoganhardinheiro ganhardinheiro dinheiro</t>
  </si>
  <si>
    <t>marketingdigital milionário rendaextra dinheiro trabalho empreendedorismo tecnologiadigital sucesso</t>
  </si>
  <si>
    <t>rendaextra dinheiro trabalharemcasa marketingdigital fypシ milionario</t>
  </si>
  <si>
    <t>mktdigital rendaextra viverdainternet afiliados eduzz portugal brasil</t>
  </si>
  <si>
    <t>rendaextra dinheiroemcasa viverdeinternet mercadodigital vendersemaparecer</t>
  </si>
  <si>
    <t>rendaextra mktdigital trabalharemcasa dinheiro mercadodigital</t>
  </si>
  <si>
    <t>rendaextra renda paypalusd oportunidade freecash</t>
  </si>
  <si>
    <t>pinterest rendaextra dicasparanegócios</t>
  </si>
  <si>
    <t>rendaextra trabalharemcasa ganhardinheiroemcasa freelancer vendasonline educaçãofinanceira</t>
  </si>
  <si>
    <t>o dinheiro sucesso empreender marketing rendaextraemcasa hotmart vendasonline brasil empreendedor</t>
  </si>
  <si>
    <t>rendaextra marketingdigital empreendedorismo o dinheiro sucesso empreender marketing rendaextraemcasa hotmart vendasonline brasil empreend</t>
  </si>
  <si>
    <t>rendaextra trabalharemcasa ideiascriativas</t>
  </si>
  <si>
    <t>rendaextra pinteresttips trabalharemcasa</t>
  </si>
  <si>
    <t>rendaextra pinterest ideiaslucrativas</t>
  </si>
  <si>
    <t>rendaextra pinterest ideiasincríveis</t>
  </si>
  <si>
    <t>rendaextra pinterest ideiascriativas</t>
  </si>
  <si>
    <t>pinterest rendaextra ideiaslucrativas</t>
  </si>
  <si>
    <t>rendaextra dinheiro flamengo rendaonline</t>
  </si>
  <si>
    <t>newpost brasil homeoffice rendaextra repost</t>
  </si>
  <si>
    <t>rendaextra homeoffice repost</t>
  </si>
  <si>
    <t>homeoffice brasil repost rendaextra</t>
  </si>
  <si>
    <t>cursos rendaextra</t>
  </si>
  <si>
    <t>lifestyle motivacion rendaextra milionario</t>
  </si>
  <si>
    <t>bbb23 bbbaeliminacao teamalface premierleague rendaextra</t>
  </si>
  <si>
    <t>rendaextra vasco flamengo lula fallas2023</t>
  </si>
  <si>
    <t>rendaextra vestibular enem bbb23</t>
  </si>
  <si>
    <t>dinheiro rendaextra vasco flaxvas premierleague</t>
  </si>
  <si>
    <t>rendaextra trabalhoemcasa oportunidades ganhardinheiro negócioonline freelancer dinheiroextra empreendedorismo trabalhandoemcasa negóciopróprio ganharlucro</t>
  </si>
  <si>
    <t>rendaextra trabalhoemcasa oportunidades ganhardinheiro negócioonline freelancer dinheiroextra empreendedorismo trabalhandoemcasa negóciopróprio ganharlucro independênciafinanceira</t>
  </si>
  <si>
    <t>rendaextra trabalhoemcasa oportunidades ganhardinheiro negócioonline freelancer dinheiroextra empreendedorismo trabalhandoemcasa negóciopróprio</t>
  </si>
  <si>
    <t>joguinhodasorte lucraemcasa rendaextra</t>
  </si>
  <si>
    <t>serrico rico money elonmusk benbvolliefde granhermanochile dinheiro renda rendaextra viral viralvideo viralindo</t>
  </si>
  <si>
    <t>rendaextra oportunidades</t>
  </si>
  <si>
    <t>rendaextra rendaextraemcasa rendaextraonline</t>
  </si>
  <si>
    <t>shorts rendaextra empreender afiliado</t>
  </si>
  <si>
    <t>trabalhoemcasa rendaextraemcasa rendaextra dinheiro marketingdigital marketingdigitalbrasil</t>
  </si>
  <si>
    <t>vendaplacaspix rendaextra</t>
  </si>
  <si>
    <t>rendaextra marketingdeafiliados packpng</t>
  </si>
  <si>
    <t>pix rendaextra produtodigital publicidade cortaporlozano</t>
  </si>
  <si>
    <t>marketing rendaextra cursos negocios</t>
  </si>
  <si>
    <t>rendaextra dinheirotrabalhando ganhedinheiro</t>
  </si>
  <si>
    <t>rendaextra pesquisasremuneradas pagazani</t>
  </si>
  <si>
    <t>rendaextra dinheiro viagem preciso</t>
  </si>
  <si>
    <t>noticias rendaextra kwai</t>
  </si>
  <si>
    <t>trabalhandoemcasa empreendedorismo marketingdigital rendaextra</t>
  </si>
  <si>
    <t>marketingdigital rendaextra trabalharemcasa maeempreendedora</t>
  </si>
  <si>
    <t>marketingdigital mulheresdesucesso rendaextra</t>
  </si>
  <si>
    <t>ondecomprar rendaextra</t>
  </si>
  <si>
    <t>rendaextra marketingdigital ปังชา boanoite nigth motivacion</t>
  </si>
  <si>
    <t>viralvideo rendaextra florida jjk234 snapchat ปังชา vunzigewoensdag paofc jjk234 twitterx</t>
  </si>
  <si>
    <t>foco constancia rendaextra marketing ปังชา brasileira championsleague florida setembro</t>
  </si>
  <si>
    <t>ปังชา onepiecenetflix jawanadvancebooking marketing rendaextra marketingdigital metodo tstheerastourfilm</t>
  </si>
  <si>
    <t>viralvideo snapchat florida jjk234 rendaextra paofc marketingsuccess abaya florida حادث_الفاشينستا</t>
  </si>
  <si>
    <t>rendaextra sucessofinanceiro</t>
  </si>
  <si>
    <t>pix pix dinheirofacil rendaextra mypix</t>
  </si>
  <si>
    <t>pix dinheirofacil rendaextra mypix</t>
  </si>
  <si>
    <t>rendaextra liberdadefinanceira trabalhardecasa semaparecer mulheres</t>
  </si>
  <si>
    <t>rendaextra marketingdigital homeoffice vendasonline empreenderonline</t>
  </si>
  <si>
    <t>marketingdigital marketing empreendedorismo digitalmarketing socialmedia instagram business branding socialmediamarketing sucesso marketingstrategy empreender marketingtips marketingonline digital design rendaextra emprendedores</t>
  </si>
  <si>
    <t>ganhe dolar rendaextra</t>
  </si>
  <si>
    <t>dollar live ganhedollar rendaextra</t>
  </si>
  <si>
    <t>semijoias chocker colaresfemininos rendaextra emprendedoras revendedoras sucesso semijoiatendencia</t>
  </si>
  <si>
    <t>semijoias colaresfemininos rendaextra emprendedoras revendedoras sucesso semijoiatendencia</t>
  </si>
  <si>
    <t>semijoias rendaextra emprendedoras revendedoras sucesso semijoiatendencia</t>
  </si>
  <si>
    <t>semijoias chocker colaresfemininos rendaextra emprendedoras revendedoras semijoiatendencia</t>
  </si>
  <si>
    <t>semijoias chocker colaresfemininos rendaextra emprendedoras revendedoras</t>
  </si>
  <si>
    <t>semijoias chocker colaresfemininos rendaextra emprendedoras semijoiatendencia</t>
  </si>
  <si>
    <t>rendaextra novaprofissao facadinheiro</t>
  </si>
  <si>
    <t>gtex rendaextra trade btc bitcoin</t>
  </si>
  <si>
    <t>bitcoin gtex rendaextra trade dinheiro</t>
  </si>
  <si>
    <t>beefund rendaextra usdt investimento viverderenda</t>
  </si>
  <si>
    <t>rendaextra usdt dinheiro beefund</t>
  </si>
  <si>
    <t>beefund rendaextra ganhardinheiro investimento</t>
  </si>
  <si>
    <t>rendaextra pobre dinheiro money theflash anitta</t>
  </si>
  <si>
    <t>shorts pizza pizzaiolo oportunidade oportunidades negocios negocio negócios negociosonline rendaextra rendaextraonline rendaextraemcasa negóciopróprio negocioproprio</t>
  </si>
  <si>
    <t>rendaextra marketingdigital ganhardinheiro brimofstvl trending felizsabado</t>
  </si>
  <si>
    <t>rendaextra liberdadefinanceira</t>
  </si>
  <si>
    <t>fontederenda vendas brigadeirogourmet sejaumamaquinadevendas rendaextra</t>
  </si>
  <si>
    <t>fiis rendapassiva juroscompostos rendaextra</t>
  </si>
  <si>
    <t>fiis fundosimobilarios rendapassiva rendaextra</t>
  </si>
  <si>
    <t>dinheiro o empreendedorismo sucesso marketingdigital rendaextra a empreender brasil marketing investimento foco empreendedor</t>
  </si>
  <si>
    <t>apostas spaceman robozinho saladesinais rendaextra rendaextraemcasa blaze robozinhodablaze apostaonline bet365</t>
  </si>
  <si>
    <t>rendaextra fortunetiger bugfortunetiger estratégiafortunetiger</t>
  </si>
  <si>
    <t>mercadodigital trabalho maes trabalhocomcelular bbb23 rendaextra</t>
  </si>
  <si>
    <t>dinheiro rendaextra liberdadefinanceira sucessofinanceiro sonhos</t>
  </si>
  <si>
    <t>rendaextra reflexao motivacao mindset</t>
  </si>
  <si>
    <t>trabalhoemcasa rendaextra afiliadadesucesso</t>
  </si>
  <si>
    <t>trabalharemcasa afilhadodigital treinamento digitalaffiliate rendaextra beyuorboss</t>
  </si>
  <si>
    <t>marketingdigital vendas negocios empreender dinheiro publicidad onlinemarketing content empreendedor rendaextra beyourboss</t>
  </si>
  <si>
    <t>criptomoedas rendaextra cripto</t>
  </si>
  <si>
    <t>marketingdigital afiliada rendaextra</t>
  </si>
  <si>
    <t>rendaextra mktdigital mktdeafiliados motivacional amorproprio autocuidado</t>
  </si>
  <si>
    <t>bancodigital amigosleft rendaextra orçamento</t>
  </si>
  <si>
    <t>rendaextra dinheiro marketingdigital</t>
  </si>
  <si>
    <t>rendaextraemcasa rendaextra renda rendaonline ganhardinheironainternet ganhardinheiroextra ganhardinheiroonline ganhardinheiroonline sdvbrasileiros</t>
  </si>
  <si>
    <t>marketingdigital plr rendaextra dinheiro palmeiras pedroguilherme</t>
  </si>
  <si>
    <t>uber viagens rendaextra milhas rendaextraemcasa</t>
  </si>
  <si>
    <t>rendaextraemcasa investimentos</t>
  </si>
  <si>
    <t>rendaextra comprasonline milhas</t>
  </si>
  <si>
    <t>milhas rendaextra viagem pontos investimentos</t>
  </si>
  <si>
    <t>pascoa chocolate cartaodecredito rendaextra milhas nubank</t>
  </si>
  <si>
    <t>rendaextra milhas rendaonline cartao</t>
  </si>
  <si>
    <t>milhas rendaextra credito</t>
  </si>
  <si>
    <t>rendaextra milhas dinheiro</t>
  </si>
  <si>
    <t>rendaextra milhas cartao rendaonline</t>
  </si>
  <si>
    <t>milhasaereas viagens rendaextraemcasa dinheiroextra cartaodecredito</t>
  </si>
  <si>
    <t>rendaextra cartoes milhas</t>
  </si>
  <si>
    <t>rendaextra politica churrasco comida dinheiroextra</t>
  </si>
  <si>
    <t>cartaodecredito rendaextraemcasa milhas dinheiro</t>
  </si>
  <si>
    <t>finanças rendaextra milhas bolsadevalores dinheiroextra</t>
  </si>
  <si>
    <t>milhas viagem rendaextra</t>
  </si>
  <si>
    <t>rendaextraemcasa milhas dinheiroextra pontos cartaodecredito</t>
  </si>
  <si>
    <t>rendaextra milhas viagem milhasaereas cartao pontos viagemcommilhas</t>
  </si>
  <si>
    <t>casadachampions championsleague rendaextra</t>
  </si>
  <si>
    <t>futebol betfair afiliado rendaextra dinheiro</t>
  </si>
  <si>
    <t>futebol futebolbrasil futebol betfair rendaextra renda afiliado</t>
  </si>
  <si>
    <t>apostasesportivas rendaextra afiliados investimentos traderesportivo ganhardinheiro apostasonline marketingdeafiliados apostasfutebol ganhardinheiroonline</t>
  </si>
  <si>
    <t>apostasesportivas rendaextra afiliados investimentos traderesportivo ganhardinheiro apostasonline marketingdeafiliados apostasfutebol</t>
  </si>
  <si>
    <t>futebol apostasesportivas rendaextra futebolbrasileiro tradingesportivo tipsdeapostas apostasfutebol investimentoesportivo</t>
  </si>
  <si>
    <t>benbvolliefde paofc fcklive viralvideo rendaextra eduzz coprodutor produtor afiliados blackout</t>
  </si>
  <si>
    <t>empreendedor dinheiro finanças reflexao empreendedorismo vendermais organizacaofinanceira rendaextra rendaextraemcasa marketingdigital vendedor direita conservador margaretthatcher</t>
  </si>
  <si>
    <t>educacaofinanceira empreendedor dinheiro finanças reflexao empreendedorismo vendermais organizacaofinanceira rendaextra marketingdigital vendedor direita conservador hugocarvajal</t>
  </si>
  <si>
    <t>educacaofinanceira empreendedor dinheiro finanças reflexao empreendedorismo vendermais organizacaofinanceira rendaextra rendaextraemcasa marketingdigital vendedor direita conservador</t>
  </si>
  <si>
    <t>educacaofinanceira empreendedor dinheiro finanças reflexao empreendedorismo vendermais organizacaofinanceira rendaextra rendaextraemcasa marketingdigital vendedor direita conservador pilhado</t>
  </si>
  <si>
    <t>educacaofinanceira empreendedor dinheiro finanças reflexao empreendedorismo vendermais organizacaofinanceira rendaextra rendaextraemcasa marketingdigital vendedor direita conservador billygraham</t>
  </si>
  <si>
    <t>educacaofinanceira empreendedor dinheiro finanças reflexao empreendedorismo vendermais organizacaofinanceira rendaextra rendaextraemcasa marketingdigital vendedor direita conservador contradrogas</t>
  </si>
  <si>
    <t>educacaofinanceira empreendedor dinheiro finanças reflexao empreendedorismo vendermais organizacaofinanceira rendaextra rendaextraemcasa marketingdigital vendedor direita conservador zedirceu petêadmitiu</t>
  </si>
  <si>
    <t>educacaofinanceira empreendedor dinheiro finanças reflexao empreendedorismo vendermais organizacaofinanceira rendaextra rendaextraemcasa marketingdigital vendedor direita conservador arthurschopenhauer</t>
  </si>
  <si>
    <t>educacaofinanceira empreendedor dinheiro finanças reflexao empreendedorismo vendermais organizacaofinanceira rendaextra rendaextraemcasa marketingdigital vendedor direita conservador eusigobolsonaro</t>
  </si>
  <si>
    <t>educacaofinanceira empreendedor dinheiro finanças reflexao empreendedorismo vendermais organizacaofinanceira rendaextra rendaextraemcasa marketingdigital vendedor direita conservador napoleonhill</t>
  </si>
  <si>
    <t>educacaofinanceira empreendedor dinheiro finanças reflexao empreendedorismo vendermais organizacaofinanceira rendaextra rendaextraemcasa marketingdigital vendedor direita conservador streaming</t>
  </si>
  <si>
    <t>educacaofinanceira empreendedor dinheiro finanças reflexao empreendedorismo vendermais organizacaofinanceira rendaextra rendaextraemcasa marketingdigital vendedor direita conservador nom</t>
  </si>
  <si>
    <t>educacaofinanceira empreendedor dinheiro finanças reflexao empreendedorismo vendermais organizacaofinanceira rendaextra rendaextraemcasa marketingdigital vendedor morpheus matrix</t>
  </si>
  <si>
    <t>educacaofinanceira empreendedor dinheiro finanças reflexao empreendedorismo vendermais organizacaofinanceira rendaextra rendaextraemcasa marketingdigital vendedor nom iluminate desperte</t>
  </si>
  <si>
    <t>educacaofinanceira empreendedor dinheiro finanças reflexao empreendedorismo vendermais organizacaofinanceira rendaextra rendaextraemcasa marketingdigital vendedor direita conservador cuidadocomsuaface</t>
  </si>
  <si>
    <t>educacaofinanceira empreendedor dinheiro finanças reflexao empreendedorismo vendermais organizacaofinanceira rendaextra rendaextraemcasa marketingdigital vendedor direita conservador bolsonarosempretemrazao</t>
  </si>
  <si>
    <t>educacaofinanceira empreendedor dinheiro finanças reflexao empreendedorismo vendermais organizacaofinanceira rendaextra rendaextraemcasa marketingdigital vendedor direita conservador petralha</t>
  </si>
  <si>
    <t>educacaofinanceira empreendedor dinheiro finanças reflexao empreendedorismo vendermais organizacaofinanceira rendaextra rendaextraemcasa marketingdigital vendedor direita conservador janvanellam</t>
  </si>
  <si>
    <t>educacaofinanceira empreendedor dinheiro finanças reflexao empreendedorismo vendermais organizacaofinanceira rendaextra rendaextraemcasa marketingdigital vendedor direita conservador frankshermanland</t>
  </si>
  <si>
    <t>educacaofinanceira empreendedor dinheiro finanças reflexao empreendedorismo vendermais organizacaofinanceira rendaextra rendaextraemcasa marketingdigital vendedor direita conservador jimcaviezel</t>
  </si>
  <si>
    <t>educacaofinanceira empreendedor dinheiro finanças reflexao empreendedorismo vendermais organizacaofinanceira rendaextra rendaextraemcasa marketingdigital vendedor direita conservador esquerdamaldita</t>
  </si>
  <si>
    <t>educacaofinanceira empreendedor dinheiro finanças reflexao empreendedorismo vendermais organizacaofinanceira rendaextra rendaextraemcasa marketingdigital vendedor direita conservador victorfasano</t>
  </si>
  <si>
    <t>educacaofinanceira empreendedor dinheiro finanças reflexao empreendedorismo vendermais organizacaofinanceira rendaextra rendaextraemcasa marketingdigital vendedor direita conservador fazol magazineluiza</t>
  </si>
  <si>
    <t>educacaofinanceira empreendedor dinheiro finanças reflexao empreendedorismo vendermais organizacaofinanceira rendaextra rendaextraemcasa marketingdigital vendedor direita conservador 8dejaneiro</t>
  </si>
  <si>
    <t>educacaofinanceira empreendedor dinheiro finanças reflexao empreendedorismo vendermais organizacaofinanceira rendaextra rendaextraemcasa marketingdigital vendedor direita conservador thomasedison</t>
  </si>
  <si>
    <t>educacaofinanceira empreendedor dinheiro finanças reflexao empreendedorismo vendermais organizacaofinanceira rendaextra rendaextraemcasa marketingdigital vendedor direita conservador josephpulitzer</t>
  </si>
  <si>
    <t>educacaofinanceira empreendedor dinheiro finanças reflexao empreendedorismo vendermais organizacaofinanceira rendaextra rendaextraemcasa marketingdigital vendedor direita conservador napoleaobonaparte</t>
  </si>
  <si>
    <t>educacaofinanceira empreendedor dinheiro finanças reflexao empreendedorismo vendermais organizacaofinanceira rendaextra rendaextraemcasa marketingdigital vendedor sportrecife serieb maiordonordeste</t>
  </si>
  <si>
    <t>educacaofinanceira empreendedor dinheiro finanças reflexao empreendedorismo vendermais organizacaofinanceira rendaextra rendaextraemcasa marketingdigital vendedor santacruz seried</t>
  </si>
  <si>
    <t>educacaofinanceira empreendedor dinheiro finanças reflexao empreendedorismo vendermais organizacaofinanceira rendaextra rendaextraemcasa marketingdigital vendedor sportrecife</t>
  </si>
  <si>
    <t>educacaofinanceira empreendedor dinheiro finanças reflexao empreendedorismo vendermais organizacaofinanceira rendaextra rendaextraemcasa marketingdigital vendedor direita conservador jairbolsonaro</t>
  </si>
  <si>
    <t>educacaofinanceira empreendedor dinheiro finanças reflexao empreendedorismo vendermais organizacaofinanceira rendaextra rendaextraemcasa marketingdigital vendedor direita conservador jimryun</t>
  </si>
  <si>
    <t>educacaofinanceira empreendedor dinheiro finanças reflexao empreendedorismo vendermais organizacaofinanceira rendaextra rendaextraemcasa marketingdigital vendedor tvonline</t>
  </si>
  <si>
    <t>educacaofinanceira empreendedor dinheiro finanças reflexao empreendedorismo vendermais organizacaofinanceira rendaextra rendaextraemcasa marketingdigital vendedor epoca guerra winstonchurchill</t>
  </si>
  <si>
    <t>educacaofinanceira empreendedor dinheiro finanças reflexao empreendedorismo vendermais organizacaofinanceira rendaextra rendaextraemcasa marketingdigital vendedor direita conservador sergiomoro</t>
  </si>
  <si>
    <t>educacaofinanceira empreendedor dinheiro finanças reflexao empreendedorismo vendermais organizacaofinanceira rendaextra rendaextraemcasa marketingdigital vendedor direita conservador flaviodinocomrabopreso</t>
  </si>
  <si>
    <t>educacaofinanceira empreendedor dinheiro finanças reflexao empreendedorismo vendermais organizacaofinanceira rendaextra rendaextraemcasa marketingdigital vendedor direita conservador brasil santacruz feminina</t>
  </si>
  <si>
    <t>educacaofinanceira empreendedor dinheiro finanças reflexao empreendedorismo vendermais organizacaofinanceira rendaextra rendaextraemcasa marketingdigital vendedor direita conservador jiddukrishnamurti</t>
  </si>
  <si>
    <t>educacaofinanceira empreendedor dinheiro finanças reflexao empreendedorismo vendermais organizacaofinanceira rendaextra rendaextraemcasa marketingdigital vendedor direita conservador alanwatts</t>
  </si>
  <si>
    <t>educacaofinanceira empreendedor dinheiro finanças reflexao empreendedorismo vendermais organizacaofinanceira rendaextra rendaextraemcasa marketingdigital vendedor direita conservador genfigueiredo</t>
  </si>
  <si>
    <t>educacaofinanceira empreendedor dinheiro finanças reflexao empreendedorismo vendermais organizacaofinanceira rendaextra rendaextraemcasa marketingdigital vendedor filosofia freud</t>
  </si>
  <si>
    <t>educacaofinanceira empreendedor dinheiro finanças reflexao empreendedorismo vendermais organizacaofinanceira rendaextra rendaextraemcasa marketingdigital vendedor direita conservador fazueli</t>
  </si>
  <si>
    <t>educacaofinanceira empreendedor dinheiro finanças reflexao empreendedorismo vendermais organizacaofinanceira rendaextra rendaextraemcasa marketingdigital vendedor direita conservador stevenlawson</t>
  </si>
  <si>
    <t>educacaofinanceira empreendedor dinheiro finanças reflexao empreendedorismo vendermais organizacaofinanceira rendaextra rendaextraemcasa marketingdigital vendedor direita conservador olavotemrazao</t>
  </si>
  <si>
    <t>educacaofinanceira empreendedor dinheiro finanças reflexao empreendedorismo vendermais organizacaofinanceira rendaextra rendaextraemcasa marketingdigital vendedor iptv</t>
  </si>
  <si>
    <t>educacaofinanceira empreendedor dinheiro finanças reflexao empreendedorismo vendermais organizacaofinanceira rendaextra rendaextraemcasa marketingdigital johnnydepp</t>
  </si>
  <si>
    <t>educacaofinanceira empreendedor dinheiro finanças reflexao empreendedorismo vendermais organizacaofinanceira rendaextra rendaextraemcasa marketingdigital vendedor direita conservador haddadposte</t>
  </si>
  <si>
    <t>educacaofinanceira empreendedor dinheiro finanças reflexao empreendedorismo vendermais organizacaofinanceira rendaextra rendaextraemcasa marketingdigital vendedor direita conservador fazol casasbahia</t>
  </si>
  <si>
    <t>educacaofinanceira empreendedor dinheiro finanças reflexao empreendedorismo vendermais organizacaofinanceira rendaextra marketingdigital vendedor direita conservador pedofilia criancaesperanca fazol</t>
  </si>
  <si>
    <t>educacaofinanceira empreendedor dinheiro finanças reflexao empreendedorismo vendermais organizacaofinanceira rendaextra rendaextraemcasa marketingdigital vendedor direita conservador frankzappa</t>
  </si>
  <si>
    <t>educacaofinanceira empreendedor dinheiro finanças reflexao empreendedorismo vendermais organizacaofinanceira rendaextra rendaextraemcasa marketingdigital vendedor direita conservador soundoffreedom timballard</t>
  </si>
  <si>
    <t>educacaofinanceira empreendedor dinheiro finanças reflexao empreendedorismo vendermais organizacaofinanceira rendaextra rendaextraemcasa marketingdigital vendedor direita conservador soundoffreedom</t>
  </si>
  <si>
    <t>educacaofinanceira empreendedor dinheiro finanças reflexao empreendedorismo vendermais organizacaofinanceira rendaextra rendaextraemcasa marketingdigital vendedor direita conservador billmurray</t>
  </si>
  <si>
    <t>educacaofinanceira empreendedor dinheiro finanças reflexao empreendedorismo vendermais organizacaofinanceira rendaextra rendaextraemcasa marketingdigital vendedor direita conservador rodolfoabrantes</t>
  </si>
  <si>
    <t>educacaofinanceira empreendedor dinheiro finanças reflexao empreendedorismo vendermais organizacaofinanceira rendaextra rendaextraemcasa marketingdigital vendedor crb sport serieb2023</t>
  </si>
  <si>
    <t>educacaofinanceira empreendedor dinheiro finanças reflexao empreendedorismo vendermais organizacaofinanceira rendaextra rendaextraemcasa marketingdigital vendedor tiagomedeiros santacruz sportrecife</t>
  </si>
  <si>
    <t>educacaofinanceira empreendedor dinheiro finanças reflexao empreendedorismo vendermais organizacaofinanceira rendaextra rendaextraemcasa marketingdigital vendedor direita conservador martincooper</t>
  </si>
  <si>
    <t>educacaofinanceira empreendedor dinheiro finanças reflexao empreendedorismo vendermais organizacaofinanceira rendaextra rendaextraemcasa marketingdigital vendedor direita conservador robertadams</t>
  </si>
  <si>
    <t>educacaofinanceira empreendedor dinheiro finanças reflexao empreendedorismo vendermais organizacaofinanceira rendaextra rendaextraemcasa marketingdigital vendedor direita conservador rogerscruton</t>
  </si>
  <si>
    <t>educacaofinanceira empreendedor dinheiro finanças reflexao empreendedorismo vendermais organizacaofinanceira rendaextra marketingdigital vendedor direita conservador contranovaordemmundial againstthenewworldorder</t>
  </si>
  <si>
    <t>educacaofinanceira empreendedor dinheiro finanças reflexao empreendedorismo vendermais organizacaofinanceira rendaextra rendaextraemcasa marketingdigital vendedor direita conservador bolsonaro</t>
  </si>
  <si>
    <t>educacaofinanceira empreendedor dinheiro finanças reflexao empreendedorismo vendermais organizacaofinanceira rendaextra rendaextraemcasa marketingdigital vendedor direita conservador luladraodesgracaedestruicao</t>
  </si>
  <si>
    <t>educacaofinanceira empreendedor dinheiro finanças reflexao empreendedorismo vendermais organizacaofinanceira rendaextra rendaextraemcasa marketingdigital vendedor direita conservador elonmusk</t>
  </si>
  <si>
    <t>educacaofinanceira empreendedor dinheiro finanças reflexao empreendedorismo vendermais organizacaofinanceira rendaextra rendaextraemcasa marketingdigital vendedor direita conservador flaviodinocomunista</t>
  </si>
  <si>
    <t>educacaofinanceira empreendedor dinheiro finanças reflexao empreendedorismo vendermais organizacaofinanceira rendaextra rendaextraemcasa marketingdigital vendedor sportrecife maiordonordeste</t>
  </si>
  <si>
    <t>educacaofinanceira empreendedor dinheiro finanças reflexao empreendedorismo vendermais organizacaofinanceira rendaextra rendaextraemcasa marketingdigital direita conservador imprensa corrupcao josephpulitzer</t>
  </si>
  <si>
    <t>educacaofinanceira empreendedor dinheiro finanças reflexao empreendedorismo vendermais organizacaofinanceira rendaextra rendaextraemcasa marketingdigital vendedor direita conservador brucedickinson ironmaiden</t>
  </si>
  <si>
    <t>educacaofinanceira reflexao empreendedorismo vendermais organizacaofinanceira rendaextraemcasa marketingdigital direita conservador</t>
  </si>
  <si>
    <t>youtube vivedeyoutube rendaextra rendaextraemcasa rendaextraonline</t>
  </si>
  <si>
    <t>boatarde rendaextra fofocalizando</t>
  </si>
  <si>
    <t>marketingdigital dinheiro rendaextra</t>
  </si>
  <si>
    <t>marketingdigital afiliados empreendedorismo empreendedor trafegopago rendaextra ganhardinheiro</t>
  </si>
  <si>
    <t>marketingdigital empreendedorismo digitalmarketing socialmediamarketing empreendedorismofeminino mulheresempreendedoras empreendedor rendaextra marketingonline marketingdeconteudo</t>
  </si>
  <si>
    <t>afiliado marketingdigital rendaextra hotmart marketingdeafiliado</t>
  </si>
  <si>
    <t>marketingdigital empreendedorismo digitalmarketing socialmediamarketing empreendedorismofeminino mulheresempreendedoras empreendedor rendaextra marketingonline marketingdeconteudo marketingdigitalbrasil</t>
  </si>
  <si>
    <t>dinheiro rendaextra appsdinheiro dinheirográtis</t>
  </si>
  <si>
    <t>marketing rendaextra viral2023 gangłysego wezijnerbijna abayas rentree2023 fypシ fypviraltwitter</t>
  </si>
  <si>
    <t>marketing viver renda rendaextra 4daystoalxenglot</t>
  </si>
  <si>
    <t>rendaextra trabalhoemcasa empreendedorismo</t>
  </si>
  <si>
    <t>rendaextra trabalharemcasa ganhardinheiro</t>
  </si>
  <si>
    <t>binance dinheirofacil rendaextra linkderendaextra</t>
  </si>
  <si>
    <t>indicação rendaextra dinheiro</t>
  </si>
  <si>
    <t>tiktok viral dinheiro rendaextra dolar</t>
  </si>
  <si>
    <t>felipeneto blaze rendaextra neymar neymarjr</t>
  </si>
  <si>
    <t>felipeneto blaze feto censura rendaextra omaiordobr</t>
  </si>
  <si>
    <t>fypシ afiliado marketingdigital rendaextra</t>
  </si>
  <si>
    <t>rendaextra ganhardinheironainternet honeygain</t>
  </si>
  <si>
    <t>faucetpay rendaextra dinheiro</t>
  </si>
  <si>
    <t>rendaextra dinheiro usdtether</t>
  </si>
  <si>
    <t>revendaiptv rendaextra iptv iptvbarata trabalho</t>
  </si>
  <si>
    <t>popbra lucrodiariapop rendaextra</t>
  </si>
  <si>
    <t>marketingdigital ganhardinheiroonline rendaextra angola angolanos</t>
  </si>
  <si>
    <t>fortune jogo sorte rendaextra dinheiro shopee</t>
  </si>
  <si>
    <t>rendaextra dinheiro empreender ganhardinheiro</t>
  </si>
  <si>
    <t>rendaextra lider marketingdigital mentoria facebook uber amazon</t>
  </si>
  <si>
    <t>pix nubank pangbank picpay rendaextra sdv</t>
  </si>
  <si>
    <t>rendaextra dinheiro jovensmilionario</t>
  </si>
  <si>
    <t>rendaextra vendaambulante negociação</t>
  </si>
  <si>
    <t>empreendedorismo rendaextra vendanarua conexões influência dicasdeempreendedorismo comofazeramigoseinfluenciarpessoas</t>
  </si>
  <si>
    <t>rendaextra dinheiro finanças trabalho economia</t>
  </si>
  <si>
    <t>trading rendaextra oportunidadefinanceira aprimoramentopessoal mercadofinanceiro sucessofinanceiro olymptrade</t>
  </si>
  <si>
    <t>prayforblaze blazelivesmatter rendaextra</t>
  </si>
  <si>
    <t>trabalho emprego vagas oportunidades rendaextra</t>
  </si>
  <si>
    <t>rendaextra dinheiroonline marketingdigital foco motivacao</t>
  </si>
  <si>
    <t>motivation rendaextra dinheiro mercadodigital</t>
  </si>
  <si>
    <t>investimento investment rendaextra homeoffice bitcoin crypto forextrading brasileirao2023</t>
  </si>
  <si>
    <t>ganhardinheiro rendaextra comoganhardinheiro trabalharemcasa comoganhardinheironainternet rendaonline</t>
  </si>
  <si>
    <t>folhageral dicas rendaextra dinheiro</t>
  </si>
  <si>
    <t>rendaextra afiliado marketingdigital agustd</t>
  </si>
  <si>
    <t>dropshipping rendaextra mktdigital</t>
  </si>
  <si>
    <t>rendaextra bbb23 bbb</t>
  </si>
  <si>
    <t>agronegócio oportunidades empregos rendaextra novaeconomia hotelaria turismo gastronomia verão2024 beleza caparaó automóveis</t>
  </si>
  <si>
    <t>inteligenciaartificial rendaextra fotos ia</t>
  </si>
  <si>
    <t>ondecompra rendaextra marketingdigital</t>
  </si>
  <si>
    <t>workana rendaextra rendaextraonline</t>
  </si>
  <si>
    <t>ticktock rendaextra dinhe</t>
  </si>
  <si>
    <t>kwai ticktok rendaextra</t>
  </si>
  <si>
    <t>tiktok ganhedinheiro rendaextra</t>
  </si>
  <si>
    <t>ganhedinheiro rendaextra cash</t>
  </si>
  <si>
    <t>ticktok ganhedinheiro rendaextra</t>
  </si>
  <si>
    <t>afiliadosiniciantes afiliadas maeempreendedora marketingdigital trabalheemcasa rendaextra</t>
  </si>
  <si>
    <t>afiliadosiniciantes afiliadadigital marketingdigital empreendedorismo trabalheemcasa rendaextra negócios vendasonline vendasemaparecer afiliadas</t>
  </si>
  <si>
    <t>teudesejoss rendaextra lojaonline asos</t>
  </si>
  <si>
    <t>rendaextra trabalharemcasa ganhardinheiroassistindovideos metodovideolucrativo lucrandocomvideos rendaextraonline</t>
  </si>
  <si>
    <t>ganhedinheiroassistindovideos rendaextra ganhardinheiro ganhardinheiroassistindovideos trabalharemcasa</t>
  </si>
  <si>
    <t>dinheiro ceilândia rendaextra rendaboa</t>
  </si>
  <si>
    <t>dinheiro</t>
  </si>
  <si>
    <t>rendaextra dinheiro</t>
  </si>
  <si>
    <t>bitcoin rendaextra homeoficce ganhardinheiro</t>
  </si>
  <si>
    <t>pintoaward rendaextra pintoawardsgay xotaawards xotasaward peitoawards bundaawards</t>
  </si>
  <si>
    <t>homeoffice money domingoespetacular rendaextra</t>
  </si>
  <si>
    <t>receitas culinária gastronomia curso rendaextra dicas alimentos frutas</t>
  </si>
  <si>
    <t>cuscuzrecheado receitas culinária gastronomia dicas curso rendaextra comidanordestina</t>
  </si>
  <si>
    <t>receitas culinária gastronomia comida dicas cuscuzrecheado rendaextra curso</t>
  </si>
  <si>
    <t>receitas culinária gastronomia comida dicas rendaextra</t>
  </si>
  <si>
    <t>receitas culinária gastronomia comida dicas cuscuzrecheado rendaextra cursodeinvestimentos</t>
  </si>
  <si>
    <t>receitas gastronomia culinária dicas comida cuscuzrecheado rendaextra</t>
  </si>
  <si>
    <t>receitas culinária gastronomia curso rendaextra dicas</t>
  </si>
  <si>
    <t>culinária gastronomia receitas dicas rendaextra curso</t>
  </si>
  <si>
    <t>cachorroquente receitas dicas culinária gastronomia curso rendaextra hotdog comida</t>
  </si>
  <si>
    <t>cachorroquente culinária gastronomia receitas dicas rendaextra</t>
  </si>
  <si>
    <t>cuscuzrecheado receitas culinária gastronomia curso rendaextra dicas alimentos</t>
  </si>
  <si>
    <t>receitas culinária gastronomia curso rendaextra dicas alimentos comida</t>
  </si>
  <si>
    <t>receitas culinária gastronomia comida dicas cuscuzrecheado rendaextra</t>
  </si>
  <si>
    <t>receitas culinária gastronomia rendaextra dicas comida</t>
  </si>
  <si>
    <t>receitas culinária gastronomia comida rendaextra dicas</t>
  </si>
  <si>
    <t>rendaextra dinheiroextra rendimento</t>
  </si>
  <si>
    <t>crise divida rendaextra</t>
  </si>
  <si>
    <t>p2e plataforma rendaextra 1daybot</t>
  </si>
  <si>
    <t>dinheiro ganhedinheiro dinheirodeverdade rendaextra gratis 11septiembre youtubers 11deseptiembre videos</t>
  </si>
  <si>
    <t>rendaextra emprego homeoffice 8demarzo</t>
  </si>
  <si>
    <t>marketing marketingdigital rendaextra vendas negociosonline afiliadas</t>
  </si>
  <si>
    <t>apostasesportivas rendaextra mentemilionaria fy</t>
  </si>
  <si>
    <t>dinheiro rendaextra apostasesportivas bet365 dubai dubaimall dubai empreendedorismo</t>
  </si>
  <si>
    <t>ruyter ruyterpoubel rendaextra motivacional</t>
  </si>
  <si>
    <t>ruyter ruyterpoubel rendaextra</t>
  </si>
  <si>
    <t>clienteoculto roupafeminina rendaextra</t>
  </si>
  <si>
    <t>marketingdigital sucesso rendaextra motivacao</t>
  </si>
  <si>
    <t>ondecomprar rendaextra afiliados maededois ondecompro mulheres maes</t>
  </si>
  <si>
    <t>slots pg dinheiro pix rendaextra tt pixinternet bdsp</t>
  </si>
  <si>
    <t>slots renda slotspg tigrepg dinheiro rendaextra slotss cassino ganhardinheiro 가을의_입맞춤_속_태어난_연준이</t>
  </si>
  <si>
    <t>dhgate mercadolivre negocio olx facebook vendasonline vendaspelainternet importareua aprenderimportar empreender ganhardinheiro amazondeals rendaextra</t>
  </si>
  <si>
    <t>pascoa ovodepascoa rendaextra chocolate</t>
  </si>
  <si>
    <t>stacks bitcoin binance rendaextra criptomoedas</t>
  </si>
  <si>
    <t>querotrabalhar querotrabalho querocomprar ondecomprar querodinheiro ondetrabalhar trabalho rendaextra renda pensao pensaoalimenticia independenciafinanceira</t>
  </si>
  <si>
    <t>rendaextraemcasa rendaextraonlineagora trabalhedecasa afiliadosiniciantes trabalhecomseucelular</t>
  </si>
  <si>
    <t>oleosessenciais rendaextra</t>
  </si>
  <si>
    <t>rendaextra homeoffice studytwtbr fandombr</t>
  </si>
  <si>
    <t>empreendedorismo rendaextra sucesso liberdadefinanceira</t>
  </si>
  <si>
    <t>vender vendaem24horas venda rendaextra twitterfiles</t>
  </si>
  <si>
    <t>rendaextra investimentoemações ganhardinheiro investirinteligentemente</t>
  </si>
  <si>
    <t>rendaextra trabalhoremoto dinheirofácil encontros</t>
  </si>
  <si>
    <t>rendaextra trabalhoremoto homeoffice saúdeebeleza poderdamente</t>
  </si>
  <si>
    <t>rendaextra novelah dinheiro fypviraltwitter fypage</t>
  </si>
  <si>
    <t>aposentadoria rendaextra tesourodireto</t>
  </si>
  <si>
    <t>afiliado rendaextra parceiro divulgador marketing marketingdigital brasil</t>
  </si>
  <si>
    <t>rendaextra clienteoculto</t>
  </si>
  <si>
    <t>aplicativos dinheiro rendaextra android ios</t>
  </si>
  <si>
    <t>ondecomprar rendaextra bolodedepote</t>
  </si>
  <si>
    <t>golpe rendaextra pix fraude</t>
  </si>
  <si>
    <t>dinheiro renda rendaextra investimentos ações fiis financas financaspessoais educacaofinanceira</t>
  </si>
  <si>
    <t>jonvlogs jonvlogsclip twitter dinheiro clipes rendaextra dinheirocominternet</t>
  </si>
  <si>
    <t>rendaextra criptomoedas dinheiroonline pepecoin</t>
  </si>
  <si>
    <t>empreendedorismo proprionegocio meunegocio propriopatrao arasolution empreender rendaextra franquia microfranquia franquiahomeoffice</t>
  </si>
  <si>
    <t>fortunetiger dinheiro rendaextra</t>
  </si>
  <si>
    <t>investimentos proventos rendaextra finanças rendavariável</t>
  </si>
  <si>
    <t>marketing marketingdigital rendaextra independencia mulheresindependentes</t>
  </si>
  <si>
    <t>marketingdigitalbrasil indepenciafinanceira afiliados rendaextra</t>
  </si>
  <si>
    <t>agnhardinheiro rendaextra autonomo</t>
  </si>
  <si>
    <t>rendaextra marketingdigital google</t>
  </si>
  <si>
    <t>ondecompro rendaextra joguinho</t>
  </si>
  <si>
    <t>rendaextra vendasonline mercadoafiliados rendaemcasa marketingdigital negociosonline marketingsuccess rendaonline</t>
  </si>
  <si>
    <t>negociosonline negóciosdigitais rendaonline rendaextraonline mercadoafiliados extraonline rendaextraemcasa extrainternet</t>
  </si>
  <si>
    <t>chocolateday2023 pascoa rendaextra vender</t>
  </si>
  <si>
    <t>pixgratis rendaextra trabalheemcasa platanopower 보이즈플래닛 shadowandbone</t>
  </si>
  <si>
    <t>rendaextra empregos trabalharcomelular trabalhandoemcasa</t>
  </si>
  <si>
    <t>rendaextra carnavalesfelices2023 carnavalnaglobo carnavalesseguros2023 oportunidade ganhar dinheiro</t>
  </si>
  <si>
    <t>rendaextra marketing</t>
  </si>
  <si>
    <t>rendaextra blaze</t>
  </si>
  <si>
    <t>prayforblaze rendaextra</t>
  </si>
  <si>
    <t>honeygain rendaextra</t>
  </si>
  <si>
    <t>afrodhit viettonovasco mtvmiaw2023 dinheiro rendaextra</t>
  </si>
  <si>
    <t>viettonovasco dinheiro mtvmiaw2023 brasil rendaextra pix</t>
  </si>
  <si>
    <t>rendaextra dinheiro brasil</t>
  </si>
  <si>
    <t>rendaextra dinheirofacil cassino tiger fortunetiger riorush</t>
  </si>
  <si>
    <t>rendaextra fazendodinheiro dinheirofacil cassino tiger fortunetiger riorush</t>
  </si>
  <si>
    <t>investimento rendaextra ganhardinheiro brasil futebol apostas blaze</t>
  </si>
  <si>
    <t>brasil blaze betano cassino aposta rendaextra</t>
  </si>
  <si>
    <t>rendaextra ganhar radioitalia</t>
  </si>
  <si>
    <t>brasil blaze betano apostas rendaextra investir</t>
  </si>
  <si>
    <t>ganhar sinaisaviator jogos apostar rendaextra ganhardinheiro chatgpt</t>
  </si>
  <si>
    <t>brasil investimento rendaextra</t>
  </si>
  <si>
    <t>bonus jogos rendaextra futebol esporte greenbets cassino</t>
  </si>
  <si>
    <t>forex forextrading forexconsultorexpertbr analisetecnica analisegrafica forextrader mercadofinanceiro vidadetrader investimentos criptomoedas bitcoin somostraders traders swingtrade daytrade bolsadevalores rendaextra swingtr</t>
  </si>
  <si>
    <t>forex forextrading forexconsultorexpertbr analisetecnica analisegrafica forextrader mercadofinanceiro vidadetrader investimentos criptomoedas bitcoin somostraders traders swingtrade daytrade bolsadevalores rendaextra swingtrade</t>
  </si>
  <si>
    <t>forex forextrading forexconsultorexpertbr analisetecnica analisegrafica forexbrasil mercadofinanceiro vidadetrader investimentos criptomoedas bitcoin somostraders traders swingtrade daytrade bolsadevalores rendaextra swingtrade</t>
  </si>
  <si>
    <t>rendaonline tnpbusiness ganharemcasa trabalhoemcasa rendaextra afiliado marketing marketingdigital</t>
  </si>
  <si>
    <t>marketingonline brasil dise digital design rendaextra emprendedores love hotmart dinheiro like advertising marketingdigitalbrasil seo</t>
  </si>
  <si>
    <t>curiosidades renda rendaextra ganhardinheiro empreendedorismo</t>
  </si>
  <si>
    <t>jogos rendaextra ganharjogando brasil games</t>
  </si>
  <si>
    <t>escolha escolhaquemuda mudanca mudardevida rendaextra tradercomresultado saladesinais ingredraisa</t>
  </si>
  <si>
    <t>rendaextra kiwify</t>
  </si>
  <si>
    <t>lucro rendaextra top sorte brasil joga</t>
  </si>
  <si>
    <t>designer curso criativo inovador rgpet rganimal rendaextra lucrativo viralvideo</t>
  </si>
  <si>
    <t>investimentos liberdadefinanceira negocios rendaextra</t>
  </si>
  <si>
    <t>brasil sucesso blockchain dinheiro investimento trader bitcoin foco blockchain criptomoedas binance liberdadefinanceira rendaextra</t>
  </si>
  <si>
    <t>movaseempreendedor comunidadeempreendedora empreendedor empreendedora empreendedorismo rendaextra</t>
  </si>
  <si>
    <t>finanças investimentos rendaextra dinheiro</t>
  </si>
  <si>
    <t>novelah rendaextra ganhandodimdim desejoimortal</t>
  </si>
  <si>
    <t>rendaextra mudançarealdevida</t>
  </si>
  <si>
    <t>dinheiro money extra rendaextra</t>
  </si>
  <si>
    <t>doge marketing marketingdigital milionario million rendaextra dinheiro</t>
  </si>
  <si>
    <t>marmita saudavel fitness rendaextra</t>
  </si>
  <si>
    <t>slot slotonline slotspg gamergirl gamers joguinhos rendaextra ganhardinheiro cassino</t>
  </si>
  <si>
    <t>empreendedorismo empreendedorismodigital rendaresidual rendaextraonline rendaextra homeoffice vendadireta mmn</t>
  </si>
  <si>
    <t>6de6 bolada6de6 palpitesdefutebol consolação ganhador rendaextra</t>
  </si>
  <si>
    <t>vempro6de6 6de6 palpitesdefutebol rendaextra ganhador consolacao</t>
  </si>
  <si>
    <t>6de6 vempro6de6 palpitesdefutebol rendaextra ganhador consolacao</t>
  </si>
  <si>
    <t>6de6day vempro6de6 palpitesdefutebol rendaextra rodadaextra ganhador consolacao</t>
  </si>
  <si>
    <t>6de6 ganhador palpites6de6 consolacao rendaextra</t>
  </si>
  <si>
    <t>6de6 vempro6de6 palpitesdefutebol rendaextra rodadaextra ganhador consolacao</t>
  </si>
  <si>
    <t>6de6 vempro6de6 rendaextra palpitesdefutebol boladadarodada ganhador consolacao</t>
  </si>
  <si>
    <t>6de6 vempro6de6 palpitesdefutebol rendaextra ganhador</t>
  </si>
  <si>
    <t>6de6 palpitesdefutebol bolada6de6 consolação rendaextra ganhador</t>
  </si>
  <si>
    <t>6de6 vempro6de6 palpitesdefutebol palpitesgratis rendaextra futebolbrasileiro futebolnacional</t>
  </si>
  <si>
    <t>vempro6de6 palpitesdefutebol rendaextra vencedor 6de6 ganhador oportunidade futebolbrasileiro</t>
  </si>
  <si>
    <t>vempro6de6 6de6 rendaextra palpites palpitesgratis palpitesdefutebol futebolbrasileiro</t>
  </si>
  <si>
    <t>6de6 vempro6de6 palpitesdefutebol rendaextra ganhador consolacao futebol</t>
  </si>
  <si>
    <t>flamengo 6de6 curiosidades mengão palpitesdefutebol rendaextra ganhador gabigol</t>
  </si>
  <si>
    <t>6de6 palpitesdefutebol bolada6de6 consolação rendaextra ganhador brasil seleçãobrasileira</t>
  </si>
  <si>
    <t>6de6 palpitesdefutebol bolada6de6 consolacao rendaextra ganhador</t>
  </si>
  <si>
    <t>6de6 palpitesdefutebol consolação ganhador rendaextra</t>
  </si>
  <si>
    <t>vempro6de6 boladadarodada palpitesdefutebol rendaextra palpitesgratis</t>
  </si>
  <si>
    <t>vempro6de6 boladadarodada palpitesdefutebol rendaextra palpitesgratis consolação ganhador</t>
  </si>
  <si>
    <t>rodadaemandamento palpitesdefutebol vempro6de6 boladadarodada rendaextra</t>
  </si>
  <si>
    <t>vempro6de6 6de6 palpites palpitesdefutebol palpitesgratis rendaextra rendaextraemcasa vencedor ganhador oportunidade</t>
  </si>
  <si>
    <t>6de6 vempro6de6 ganhador rendaextra oportunidades futebolbrasileiro palpitesdefutebol</t>
  </si>
  <si>
    <t>clubismo 6de6 vempro6de6 palpitesdefutebol rendaextra rodadaextra ganhador futebol palpites</t>
  </si>
  <si>
    <t>vempro6de6 6de6 ganhador rendaextra palpites consolacao palpitesdefutebol futebol</t>
  </si>
  <si>
    <t>6de6 ganhador rendaextra consolacao vempro6de6 palpitesdefutebol</t>
  </si>
  <si>
    <t>6de6 vempro6de6 palpites palpitesdefutebol palpitesgratis rendaextra rendaextraemcasa vencedor</t>
  </si>
  <si>
    <t>6de6 vempro6de6 palpitesdefutebol palpitesgratis rendaextra ganhador oportunidade futebolbrasileiro</t>
  </si>
  <si>
    <t>6de6 ganhador rendaextra oportunidades futebolbrasileiro palpitesdefutebol</t>
  </si>
  <si>
    <t>vempro6de6 palpitesdefutebol rendaextra ganhador futebolbrasileiro futebolnacional seriea seriab copadobrasil</t>
  </si>
  <si>
    <t>fluminense flamengo 6de6 rendaextra flaflu futebolbrasileiro palpitesdefutebol fluminense flamengo</t>
  </si>
  <si>
    <t>6de6 palpitesdefutebol rendaextra ganhador consolacao</t>
  </si>
  <si>
    <t>felipão vempro6de6 6de6 ganhador rendaextra consolacao palpitesdefutebol</t>
  </si>
  <si>
    <t>palmeiras botafogo vempro6de6 6de6 ganhador rendaextra consolacao palpitesdefutebol</t>
  </si>
  <si>
    <t>brasileirão 6de6 palpitesdefutebol consolação ganhador rendaextra</t>
  </si>
  <si>
    <t>6de6 boladadarodada palpitesdefutebol rendaextra</t>
  </si>
  <si>
    <t>ganhador rendaextra rendaextraemcasa brasileirao oportunidade futebolbrasileiro palpitesdefutebol palpitesgratis futebolnacional copadomundofeminina</t>
  </si>
  <si>
    <t>vempro6de6 palpitesdefutebol rendaextra ganhador oportunidade futebolbrasileiro</t>
  </si>
  <si>
    <t>6de6 vempro6de6 palpitesdefutebol rendaextra</t>
  </si>
  <si>
    <t>vempro6de6 6de6 palpitesdefutebol rendaextra rodadaextra ganhador</t>
  </si>
  <si>
    <t>6de6 bolada6de6 consolacao rendaextra ganhador 6de6day</t>
  </si>
  <si>
    <t>6de6 boladadarodada palpitesdefutebol rendaextra palpitesgratis consolação ganhador</t>
  </si>
  <si>
    <t>palpitesdefutebol palpitesgratis rendaextra brasileirao campeonatobrasileiro seriea serieb</t>
  </si>
  <si>
    <t>vempro6de6 6de6 ganhador rendaextra oportunidade futebolbrasileiro palpitesdefutebol</t>
  </si>
  <si>
    <t>vempro6de6 6de6 vempro6de6 palpitesdefutebol rendaextra ganhador oportunidade</t>
  </si>
  <si>
    <t>6de6 vempro6de6 palpitesdefutebol rendaextra ganhador oportunidade futebolbrasileiro</t>
  </si>
  <si>
    <t>6de6 vempro6de6 ganhador rendaextra palpitesdefutebol dodo tulio tiquinho locoabreu brasileirao fogao</t>
  </si>
  <si>
    <t>ganhador6de6 vempro6de6 palpitesdefutebol rendaextra ganhador consolacao</t>
  </si>
  <si>
    <t>6de6 rendaextra consolação ganhador bolada6de6 palpitesdefutebol</t>
  </si>
  <si>
    <t>6de6day palpitesdefutebol rendaextra rodadaextra</t>
  </si>
  <si>
    <t>6de6 vempro6de6 palpites palpitesdefutebol palpitesgratis rendaextra rendaextraemcasa dinheiroextra dinheiroemcasa</t>
  </si>
  <si>
    <t>vempro6de6 palpitesdefutebol palpitesgratis rendaextra oportunidade futebolbrasileiro futebolnacional</t>
  </si>
  <si>
    <t>vempro6de6 6de6 palpitesdefutebol rendaextra</t>
  </si>
  <si>
    <t>6de6 bolada6de6 palpitesdefutebol rendaextra</t>
  </si>
  <si>
    <t>cassino blazeapostas blaze crashblaze double luckjet betano estrelabet rendaextra</t>
  </si>
  <si>
    <t>marketingdigitalbrasil marketingdigital marketing empreendedorismo marketingdeconteudo hotmart rendaextra marketingdeafiliados confira</t>
  </si>
  <si>
    <t>dinheiro rendaextra aplicativosremunerativos romances leitura</t>
  </si>
  <si>
    <t>eleicoes investimentos dinheiro bolsadevalores investimento mercadofinanceiro finan empreendedorismo investir liberdadefinanceira sucesso rendaextra economia educacaofinanceira investidor</t>
  </si>
  <si>
    <t>ganhardinheiro rendaextra</t>
  </si>
  <si>
    <t>ganhardinheiro rendaextra app</t>
  </si>
  <si>
    <t>rendaextra aplicativos video tiktok kwai</t>
  </si>
  <si>
    <t>qzap canecas mkt marketing rendaextra maquinacaneca canva corew</t>
  </si>
  <si>
    <t>pizza qzap pizzaria canvas mkt marketing marketingdigital rendaextra rendaonline rendaemcasa droppingship lookinspiracao comida restaurante restaurantes pizzariassp</t>
  </si>
  <si>
    <t>qzap canvas artes mkt marketingdigital renda rendaextra</t>
  </si>
  <si>
    <t>canecas mkt marketing rendaextra maquinacaneca canva corew marketingdigital ganhardinheiro</t>
  </si>
  <si>
    <t>investimentos educacaofinanceira rendaextra dinheiro</t>
  </si>
  <si>
    <t>apppagando pix rendaextra dinheiro homeoffice</t>
  </si>
  <si>
    <t>oportunidades rendaextra liberdadefinanceira horariosflexiveis praticidade comodidade realizacoesprofissionais treinamentos lucros vantagens saudefinanceira alimentacaosaudavel crescimentopessoal crescimentoprofissional vantagens viagens</t>
  </si>
  <si>
    <t>marketingdigital plr kiwify rendaextra trafegoorganico</t>
  </si>
  <si>
    <t>marketingdigital trafegoorganico rendaextra plr kiwify</t>
  </si>
  <si>
    <t>marketingdigital rendaextra ganhardinheiro trafegoorganico trafegopago kiwify plr</t>
  </si>
  <si>
    <t>marketingdigital primeiravenda trafegoorganico trafegopago kiwify plr rendaextra ganhardinheiroonline milionario empreendedor</t>
  </si>
  <si>
    <t>kiwify plr marketingdigital rendaextra</t>
  </si>
  <si>
    <t>marketingdigital kiwify plr tráfegoorganico tráfegopago rendaextra</t>
  </si>
  <si>
    <t>marketingdigital kiwify plr trafegoorganico rendaextra</t>
  </si>
  <si>
    <t>primeiravenda marketingdigital kiwify plr tráfegoorganico tráfegopago rendaextra</t>
  </si>
  <si>
    <t>marketingdigital comofazersuaprimeiravenda comoganhardinheirosemsairdecasa rico rendaextra</t>
  </si>
  <si>
    <t>comprar rendaextra milionaria</t>
  </si>
  <si>
    <t>rendaextra milionarias</t>
  </si>
  <si>
    <t>rendaextra comprar</t>
  </si>
  <si>
    <t>rendaextra bbbb23</t>
  </si>
  <si>
    <t>rendaextra milionaria</t>
  </si>
  <si>
    <t>tiger joguinho rendaextra barbiethemovie mbappe</t>
  </si>
  <si>
    <t>maes precisodedinheiro rendaextra</t>
  </si>
  <si>
    <t>100hrs brabet rendaextra diadelmaestro vamoslau ไบเบิ้ลพาต้ามาป้ายยาวิชี่</t>
  </si>
  <si>
    <t>investimentos apostasesportivas rendaextra</t>
  </si>
  <si>
    <t>traderesportivo apostas rendaextra bolsaesportiva</t>
  </si>
  <si>
    <t>kiwify rendaextra empreedendordigital marketingdigital braip eduzz hotmart fypviraltwitter</t>
  </si>
  <si>
    <t>visão kiwify paporeto empreendedordigital motivacion rendaextra pracima</t>
  </si>
  <si>
    <t>meindica plr marketingdigital rendaextra</t>
  </si>
  <si>
    <t>meindica marketingdigital plr rendaextra</t>
  </si>
  <si>
    <t>meindica sucesso dinheiro rendaextra</t>
  </si>
  <si>
    <t>meindica rendaextra marketingdigiatl plr</t>
  </si>
  <si>
    <t>meindica whatsapp faleconosco marketingdigital plr rendaextra dinheiro</t>
  </si>
  <si>
    <t>milhasaereas milhasaereasdinheiro viagens rendaextraemcasa milhas cartaodecredito viajarbarato viagembarata lucrecommilhas acumularmilhas</t>
  </si>
  <si>
    <t>milhasaereas milhasaereasdinheiro viagens rendaextra rendaextraemcasa dinheiroonline milhas cartaodecredito viajarbarato viagembrasil rendaextraonline viagembarata lucrecommilhas acumularmilhas</t>
  </si>
  <si>
    <t>milhasaereas cartaodecredito rendaextra pontosemilhas vendermilhas</t>
  </si>
  <si>
    <t>milhasaereas rendaextra cartaodecredito smiles pontosdocartao</t>
  </si>
  <si>
    <t>milhasaereas milhasaereasdinheiro viagens rendaextra cartaodecredito rendaextraonline milhasaéreas lucrandocommilhas cartãodecrédito vendermilhas acumularmilha</t>
  </si>
  <si>
    <t>iphone iphone14pro iphonebarato livelo casasbahia milhasaereas rendaextra</t>
  </si>
  <si>
    <t>milhasaereas viajar cartaodecredito milhas rendaextra viagens acumularmilhas rendaextraonline</t>
  </si>
  <si>
    <t>milhasaereas rendaextra cartaodecredito viajar investimento</t>
  </si>
  <si>
    <t>milhasaereas rendaextra cartaodecredito</t>
  </si>
  <si>
    <t>fundosimobiliarios fiis melhoresfundosimobiliarios rendapassiva rendaextra saláriosemtrabalhar bolsadevalores luizbarsi louisebarsi</t>
  </si>
  <si>
    <t>blog entretenimento saude tecnologia investimentos rendaextra</t>
  </si>
  <si>
    <t>webdesign rendaextra emprender marketingdigital</t>
  </si>
  <si>
    <t>apiario rendaextra mel</t>
  </si>
  <si>
    <t>rendaextra jogueparavencer</t>
  </si>
  <si>
    <t>misticozen consultasdetarot rendaextra tarot tarotcards tarotonline denisviatico ebook</t>
  </si>
  <si>
    <t>milionario dinheiro rendaextra marketingsuccess</t>
  </si>
  <si>
    <t>btc binance criptomoedas rendaextra</t>
  </si>
  <si>
    <t>blackrat marketingdigital rendaextra ganhardinheiroonline</t>
  </si>
  <si>
    <t>pascoa pascoa2023 pascoalucrativa rendaextra rendaextraemcasa brasil pernambucano doces ovosdepascoa pascoaemcasa trabalheemcasa lucre fature</t>
  </si>
  <si>
    <t>rendaextra ganhardinheiro empreendedorismo</t>
  </si>
  <si>
    <t>croche rendaextraemcasa</t>
  </si>
  <si>
    <t>markenting mulheresmilionaria mulheres mulherdesucesso rendaextra mulherindependente mulhererempreendedora mmm empreendedorismo mulhervirtuosa markenting dinheiro treino</t>
  </si>
  <si>
    <t>informações rendaextra negocios</t>
  </si>
  <si>
    <t>caranaval dinheiro rendaextra carnavalderua</t>
  </si>
  <si>
    <t>dinheiro finanças dividas rendaextra</t>
  </si>
  <si>
    <t>dinheiro investimentos grana rendaextra b3 1milhao bbbb23</t>
  </si>
  <si>
    <t>rendaextra celulares seguirseusonho profissão faturamento</t>
  </si>
  <si>
    <t>trabalharemcasa homeofficie trafegopago marketingdigital rendaextra</t>
  </si>
  <si>
    <t>ganhedinheironainternet homeoffice rendaextra ganhardinheiro pesquisas</t>
  </si>
  <si>
    <t>rendaextra ganhardinheiro trabalharemcasa shopee terraepaixao monacogp agrandeconquista cantacomigo lulagovernodetodos beyonce brasil g1</t>
  </si>
  <si>
    <t>ondecomprar dinheirorapido rendaextra</t>
  </si>
  <si>
    <t>dinheiro rendaextra trade compraonline</t>
  </si>
  <si>
    <t>dinheirorapido rendaextra mentemilionaria</t>
  </si>
  <si>
    <t>tnp cashback rendaextra trabalheemcasa</t>
  </si>
  <si>
    <t>100hrs plantas vasos cactus rosas suculentas viral renda rendaextra cultivation culturaenunclick viuvanegra jardim</t>
  </si>
  <si>
    <t>indicação fgts rendaextra</t>
  </si>
  <si>
    <t>amway oportunidade empreendedorismo empreender negocios business negociodigital negocioproprio rendaextra qualidadedevidaesaude flexibilidade menteempreendedora empreendedora produtosimportados</t>
  </si>
  <si>
    <t>oportunidade negociodigital empreendedorismo marketingmultinivel mmn negócios negocioproprio empreendedorismo negocioglobal amway produtosnegociosglobal rendaextra empreenda</t>
  </si>
  <si>
    <t>rendaextra slots tigerfortune</t>
  </si>
  <si>
    <t>marketingdigital emprendedores rendaextra liberdadefinaceira receberemdólar</t>
  </si>
  <si>
    <t>cutilagemdeunhas cursodebeleza rendaextra</t>
  </si>
  <si>
    <t>rendaextra doitlikethat</t>
  </si>
  <si>
    <t>rendaextra velhorico</t>
  </si>
  <si>
    <t>rendaextra marketingdigital trabalharemcasa ganhardinheronainternet</t>
  </si>
  <si>
    <t>fgts dinheiroextra rendaextra vamo bora</t>
  </si>
  <si>
    <t>homeoffice trabalheemcasa rendaextra metodohomeoffice invistanoseufuturo</t>
  </si>
  <si>
    <t>marketingdigital rendaextra trabalho empreendedorismo dinheiro</t>
  </si>
  <si>
    <t>mercadofinanceiro empreendedorismo cursosonline rendaextra emprendedor emprendedores</t>
  </si>
  <si>
    <t>bbtitans2023 rendaextra dinheiro</t>
  </si>
  <si>
    <t>livelo milhas smiles latampass milhasaereas pontos cartaodecredito rendaextra educaçãofinanceira finanças israelpimentel_investe</t>
  </si>
  <si>
    <t>rendaextra dinheiro economia</t>
  </si>
  <si>
    <t>educacaofinanceira dinheiro rendaextra realidadenubank nucoin fofocalizandonosbt</t>
  </si>
  <si>
    <t>falaí pesquisaremunerada pesquisademercado rendaextra</t>
  </si>
  <si>
    <t>falaí rendaextra pesquisaremunerada</t>
  </si>
  <si>
    <t>falaí pesquisaremunerada rendaextra pesquisademercado amigos indicacao</t>
  </si>
  <si>
    <t>falai pesquisaremunerada rendaextra</t>
  </si>
  <si>
    <t>falaí rendaextra pesquisaremunerada diadoamigo</t>
  </si>
  <si>
    <t>reinventandoaeducação remedio renda rendaextra rendafixa rendavariavel repost</t>
  </si>
  <si>
    <t>reels rendaextraemcasa trabalhoemcasa hotmart iniciantes</t>
  </si>
  <si>
    <t>dinheiro rendaextra brasil</t>
  </si>
  <si>
    <t>rendaextra viverdearte drawing draw art arte desenho caricatura</t>
  </si>
  <si>
    <t>shorts rendaextra ganha</t>
  </si>
  <si>
    <t>hulk paulinho aposta tips rendaextra</t>
  </si>
  <si>
    <t>rendaextra shoppee ondecomprar vendatwitter</t>
  </si>
  <si>
    <t>dropshipping rendaextra</t>
  </si>
  <si>
    <t>dropshipping rendaextra rendaextraemcasa homeoffice</t>
  </si>
  <si>
    <t>dropshipping rendaextra renda</t>
  </si>
  <si>
    <t>aviator aviators bet betano betfair blaze blazer bet365 apostasesportivas rendaextra renda rendaextraemcasa botaviator investimentos economia rendafixa rendavariavel</t>
  </si>
  <si>
    <t>aviator aviators bet betano betfair blaze blazer bet365 apostasesportivas rendaextra renda rendaextraemcasa botaviator</t>
  </si>
  <si>
    <t>afiliados aviator betano blaze crash bot rendaextra rendaonline trabalheonline gestaodebanca</t>
  </si>
  <si>
    <t>aviator blaze crash afiliados renda rendaextra botaviator</t>
  </si>
  <si>
    <t>aviator betano blaze crash rendaextra rendaonline rendaemcasa trabalheemcasa afiliados</t>
  </si>
  <si>
    <t>aviator betano blaze crash renda rendaextra rendaonline trabalheemcaaa</t>
  </si>
  <si>
    <t>aviator afiliados betano blaze crash bet365 bot rendaextra renda rendaonline trabalhoemcasa trabalhoonline trabalhoremoto</t>
  </si>
  <si>
    <t>aviator betano blaze crash afiliados rendaextra rendaonline rendaemcasa trabalheemcasa trabalhoonline</t>
  </si>
  <si>
    <t>aviator aviators bet betano betfair blaze blazer bet365 apostasesportivas rendaextra renda rendaextraemcasa botaviator afiliados</t>
  </si>
  <si>
    <t>aviator bet betano betfair blaze bet365 apostasesportivas rendaextra renda rendaextraemcasa botaviator afiliados</t>
  </si>
  <si>
    <t>betano betfair blaze aviator crash botaviator bet365 sportingbet apostasesportivas rendaextra renda</t>
  </si>
  <si>
    <t>aviator afiliados betnacional estrelabet leovegas rendaextra rendaonline trabalheonline</t>
  </si>
  <si>
    <t>aviator betano blaze crash afiliados rendaextra trabalheemcasa</t>
  </si>
  <si>
    <t>aviator aviators bet betano betfair blaze blazer bet365 apostasesportivas rendaextra renda</t>
  </si>
  <si>
    <t>afiliados aviator betnacional estrelabet leovegas rendaextra rendaonline</t>
  </si>
  <si>
    <t>aviator estrelabet leovegas pixbet afiliados rendaextra rendaonline trabalheonline trabalheemcasa</t>
  </si>
  <si>
    <t>aviator estrelabet leovegas betano pixbet blaze afiliados rendaextra rendaonline trabalheonline trabalheemcasa</t>
  </si>
  <si>
    <t>aviator betano bet blaze crash bot botaviator rendaextra investimentos trabalheemcasa trabalheonline</t>
  </si>
  <si>
    <t>aviator rendaextra rendaonline betano blaze crash betfair bet365 trabalheemcasa trabalheonline rendaemcasa investimentos bot</t>
  </si>
  <si>
    <t>aviator aviatorbot betano betfair bet365 rendaextra rendaonline rendaemcasa trabalheemcasa trabalheonline</t>
  </si>
  <si>
    <t>aviator afiliados rendaextra rendaonline trabalheonline trabalheemcasa betnacional estrelabet leovegas betfair betano bet365</t>
  </si>
  <si>
    <t>aviator betano blaze crash afiliados rendaextra renda rendaonline trabalheemcasa bot</t>
  </si>
  <si>
    <t>aviator aviators bet betano betfair blaze bet365 apostasesportivas rendaextra renda rendaextraemcasa botaviator investimentos finanças economia afiliados</t>
  </si>
  <si>
    <t>aviator betano betfair blaze crash bet365 renda rendaextra rendaonline rendaemcasa</t>
  </si>
  <si>
    <t>aviator betfair bet365 betano blaze botaviator rendaextra rendaonline trabalheemcasa investimentos</t>
  </si>
  <si>
    <t>aviator betano betfair blaze bet365 sportingbet rendaextra rendaonline</t>
  </si>
  <si>
    <t>aviator botaviator betano blaze renda rendaextra rendaemcasa rendaoline bet365 sportingbet</t>
  </si>
  <si>
    <t>aviator botaviator rendaextra rendaemcasa blaze betano sportingbet betfair bet365</t>
  </si>
  <si>
    <t>aviator bet betano blaze betfair bet365 sportingbet rendaextra rendaemcasa rendaonline renda</t>
  </si>
  <si>
    <t>aviator rendaextra rendaonline afiliados trabalheonline trabalhoemcasa rendapassiva betnacional estrelabet leovegas bet10</t>
  </si>
  <si>
    <t>afiliados aviator estrelabet pixbet betano leovegas renda rendaextra trabalheonline</t>
  </si>
  <si>
    <t>afiliados aviator betano blaze rendaextra rendaonline trabalheonline trabalheemcasa</t>
  </si>
  <si>
    <t>aviator betano blaze crash betfair botaviator hackaviator renda rendaextra rendaemcasa online viniciusjr</t>
  </si>
  <si>
    <t>aviator leovegas afiliados betnacional estrelabet bet10 rendaextra rendaonline trabalheonline</t>
  </si>
  <si>
    <t>aviator betnacional estrelabet leovegas rendaextra rendaonline rendaemcasa afiliados</t>
  </si>
  <si>
    <t>aviator leovegas estrelabet betnacional afiliados rendaextra rendaonline trabalheemcasa</t>
  </si>
  <si>
    <t>afiliados aviator betnacional estrelabet leovegas rendaextra rendaonline trabalheemcasa trabalhoonline</t>
  </si>
  <si>
    <t>aviator betano blaze crash renda rendaextra rendaonline betfair bet365 botaviator</t>
  </si>
  <si>
    <t>aviator betano blaze crash rendaextra rendaemcasa renda trabalheemcasa viverderenda betfair bet365 sportingbet</t>
  </si>
  <si>
    <t>aviator betano blaze crash betfair rendaextra rendaonline rendaemcasa</t>
  </si>
  <si>
    <t>aviator blaze betano crash betfair renda rendaextra rendaonline</t>
  </si>
  <si>
    <t>ganhardinheiro rendaextra afiliados</t>
  </si>
  <si>
    <t>empreendedor rendaextra riodejaneiro</t>
  </si>
  <si>
    <t>fontederenda rendaextra investimentos financas</t>
  </si>
  <si>
    <t>rendaextra cursorendaextra ganhardinheiro prosperidade abundância riqueza luisalves</t>
  </si>
  <si>
    <t>marketingdigital plr rendaextra internetmarketing</t>
  </si>
  <si>
    <t>empreendedorismo oportunidade negócios trabalho rendaextra rendapassiva marketingderede marketingmultinivel vendadireta</t>
  </si>
  <si>
    <t>aviator aviators bet betano betfair blaze blazer bet365 apostasesportivas rendaextra</t>
  </si>
  <si>
    <t>competências empreendedor empreendedorismo passioneconomy carreira economiadapaixão empreendedorismo rendaextra</t>
  </si>
  <si>
    <t>carreira futuro profissões carreira rendaextra</t>
  </si>
  <si>
    <t>economiadapaixão empreendedorismo passioneconomy rendaextra vendas vendasonline marketingdigital</t>
  </si>
  <si>
    <t>cursoonline economiadapaixão empreendedorismo passioneconomy rendaextra empreendedorismo</t>
  </si>
  <si>
    <t>economia empreendedorismo paixão passioneconomy carreira economiadapaixão empreendedorismo rendaextra</t>
  </si>
  <si>
    <t>ganhardinheiro monetizar vídeos youtube infoprodutos marketingdigital rendaextra</t>
  </si>
  <si>
    <t>rendaextra mkt</t>
  </si>
  <si>
    <t>rendaextra foryou mkt</t>
  </si>
  <si>
    <t>rendaextra hir work liberdty monacogp hotmart</t>
  </si>
  <si>
    <t>rendaextra mkt iniciantes facu published</t>
  </si>
  <si>
    <t>rendaextra empreendedorismo</t>
  </si>
  <si>
    <t>patrocinado rendaextra feo blackdavoz borabil empreendedorismo theflash espanyolatleti bolivia</t>
  </si>
  <si>
    <t>blaze apostas rendaextra</t>
  </si>
  <si>
    <t>blaze influencers rendaextra</t>
  </si>
  <si>
    <t>blaze motivacao blazecrash rendaextra rendaonline</t>
  </si>
  <si>
    <t>dinheiro investimentos rendaextra rendaolnine meunegocio iphone investir carros</t>
  </si>
  <si>
    <t>dinheiro investimentos vidadeluxo rendaextra</t>
  </si>
  <si>
    <t>rendaextra kwai</t>
  </si>
  <si>
    <t>infoprodutos marketingdigital empreendedorismo afiliados vendasonline produtosdigitais rendaextra homeoffice</t>
  </si>
  <si>
    <t>brasil cartão credito negativado trabalhoemcasa startup telemarketing recrutamento renda rendaextraemcasa rendaonline homeoffice marketingdigital correspondente negative</t>
  </si>
  <si>
    <t>dinheiro rendaextra emprendedor coup</t>
  </si>
  <si>
    <t>jogo anitta spiderman2ps5 jogotigre rendaextra rj slot</t>
  </si>
  <si>
    <t>appflame rendaextra</t>
  </si>
  <si>
    <t>dinheiro rendaextra investimemto jogos</t>
  </si>
  <si>
    <t>dinheiro monetizados rendaextra marketingdigital aajogos famosos</t>
  </si>
  <si>
    <t>tobehenriqueejuliano oquerolou marketingdigital dicas investimentos ganhardinheiro marketingdigital rendaextraemcasa</t>
  </si>
  <si>
    <t>dinheiro rendaextra investment</t>
  </si>
  <si>
    <t>rendaextra investimentos trump money</t>
  </si>
  <si>
    <t>famososnoaajogos rendaextra oportunidade</t>
  </si>
  <si>
    <t>cursosonline rendaextra</t>
  </si>
  <si>
    <t>cursodesaboaria rendaextra</t>
  </si>
  <si>
    <t>rendaextra recolocaçao marketing innovation</t>
  </si>
  <si>
    <t>rendaextra recolocaçao marketing</t>
  </si>
  <si>
    <t>jogosonline rendaextra diversão</t>
  </si>
  <si>
    <t>rendaextra jogosonline diversao</t>
  </si>
  <si>
    <t>rendaextraemcasa rendaextra apostas</t>
  </si>
  <si>
    <t>rendaextraemcasa rendaextra diversao</t>
  </si>
  <si>
    <t>casinoonline rendaextra diversão rendaextraemcasa roleta</t>
  </si>
  <si>
    <t>diversao jogosonline rendaextra liberdadefinanceira afun</t>
  </si>
  <si>
    <t>diversão rendaextra jogosonline liberdadefinanceira</t>
  </si>
  <si>
    <t>jogosonline diversão rendaextra</t>
  </si>
  <si>
    <t>foguetinho rendaextra</t>
  </si>
  <si>
    <t>jogosonline apostasonline casinoonline rendaextra afun</t>
  </si>
  <si>
    <t>jogosonline rendaextra cassinoonline</t>
  </si>
  <si>
    <t>rendaextra jogosonline</t>
  </si>
  <si>
    <t>rendaextra diversão</t>
  </si>
  <si>
    <t>dinheiro rendaextra jogosonline diversão</t>
  </si>
  <si>
    <t>rendaextra jogosonline afunjogos</t>
  </si>
  <si>
    <t>rendaextra oportunidades jogosonline afun</t>
  </si>
  <si>
    <t>afun rendaextra jogosonline</t>
  </si>
  <si>
    <t>diversão rendaextra jogosonline</t>
  </si>
  <si>
    <t>rendaextra diversão jogosonline</t>
  </si>
  <si>
    <t>cassinoonline rendaextra diversão jogosonline</t>
  </si>
  <si>
    <t>rendaextra jogosonline cassinoonline apostasesportivas diversão</t>
  </si>
  <si>
    <t>dinheiro dinheiroonline rendaextra comoganhar cash finanças granaturbo grana</t>
  </si>
  <si>
    <t>cartao milhas rendaextra</t>
  </si>
  <si>
    <t>parintins2023naacritica lulagenocida rendaextra ประชุมสภา lua</t>
  </si>
  <si>
    <t>rendaextra kwai semanadoconsumidor</t>
  </si>
  <si>
    <t>casadasessencias artesanato perfume vidros loja rendaextra feitoamao decoracao decoração artes presente acessorios tendencia essências</t>
  </si>
  <si>
    <t>bh belohorizonte freelance freelancer eventos trabalhar rendaextra</t>
  </si>
  <si>
    <t>rendaextra viajar business</t>
  </si>
  <si>
    <t>rendaextra business amor</t>
  </si>
  <si>
    <t>empreender empreendedorismo o marketingdigital sucesso empreendedor marketing foco dinheiro a negocios motiva brasil rendaextra vendas motivacao empreendedorismofeminino business empreendedorismodigital</t>
  </si>
  <si>
    <t>empreender empreendedorismo o marketingdigital sucesso empreendedor marketing foco dinheiro a negocios motiva brasil rendaextra vendas motivacao empreendedorismofeminino business</t>
  </si>
  <si>
    <t>oportunidade o empreendedorismo a sucesso emprego trabalho vendas brasil vagas marketingdigital rendaextra dinheiro investimento empreender foco</t>
  </si>
  <si>
    <t>oportunidade o empreendedorismo a sucesso emprego trabalho vendas brasil vagas marketingdigital rendaextra dinheiro investimento empreender foco motiva empreendedor empregos negocios</t>
  </si>
  <si>
    <t>ganhardinheiro rendaextra robomilionario</t>
  </si>
  <si>
    <t>blackrat internet rendaextra</t>
  </si>
  <si>
    <t>megaganho sorte fortunetiger rendaextra slots</t>
  </si>
  <si>
    <t>fortunerabbit joguinho megaganho sorte dinheiroextra rendaextra</t>
  </si>
  <si>
    <t>fortunemouse slots rendaextra joguinhos</t>
  </si>
  <si>
    <t>branco casadeapostas blaze double apostasesportivas cassino rendaextra dinheiro facilidade</t>
  </si>
  <si>
    <t>rendaonline rendaextra ganhardinheirorapido ganhardinheironainternet robos dinheiroonline whatsapp divulgação</t>
  </si>
  <si>
    <t>rendaonline rendaextra ganhardinheirorapido ganhardinheironainternet robos dinheiroonline whatsapp divulgação negocios corretora corretores lanches</t>
  </si>
  <si>
    <t>vendas ondecomprar ondecompro barbie kiwify afiliado cursos curso milionario money dinheiro rendaextra</t>
  </si>
  <si>
    <t>renda rendaextra cursos curso brasil</t>
  </si>
  <si>
    <t>futebolvirtual bet365 altcoin lacasadelosfamososmx taketwo money rendaextra</t>
  </si>
  <si>
    <t>jogos casino controle rendaextra</t>
  </si>
  <si>
    <t>rendaextra afiliado</t>
  </si>
  <si>
    <t>marketingdigital sucesso rendaextra empreender</t>
  </si>
  <si>
    <t>marketingdigital sucesso rendaextra empreender mercadodigital</t>
  </si>
  <si>
    <t>rendaextra fortunerabbit fortuneox dinheiro</t>
  </si>
  <si>
    <t>doces culinaria rendaextra chocolate brigadeiro sobremesa curso cursoonline dinheiro</t>
  </si>
  <si>
    <t>rendaextra doces brigadeiro confeitaria fyp ondecomprar dinheiro</t>
  </si>
  <si>
    <t>rendaextra bolo receitas ondecomprar culinaria fyp</t>
  </si>
  <si>
    <t>unhas cursoonline rendaextra</t>
  </si>
  <si>
    <t>naruto sasuke sakurai kakashi mortedojiraya hokage nerd einerd marketingdigital negócio dinheiro vendas rendaextra marketingdeafiliados</t>
  </si>
  <si>
    <t>afiliados rendaextra</t>
  </si>
  <si>
    <t>rendaextra mercadodeafiliados</t>
  </si>
  <si>
    <t>pombabet tiger rendaextra ganhardinheiro</t>
  </si>
  <si>
    <t>marketing marketingdigital marketingdeafiliados mktdigital rendaexra dinheiro rendaextraemcasa ganhardinheiro ganhardinheiroemcasa marketingdeafiliadosbrasil metodomulhermilionaria empreendedorismo mulherempreendedora</t>
  </si>
  <si>
    <t>marketingdigital rendaextra rendaextraemcasa rendaextraonline</t>
  </si>
  <si>
    <t>marketingdigital digitalmarketing rendaextra tweeter dinheiro</t>
  </si>
  <si>
    <t>sobremesa brigadeiro chocolate ondecomprar rendaextra</t>
  </si>
  <si>
    <t>marketing ondecomprar dropshipping vendaonline rendaextra</t>
  </si>
  <si>
    <t>rendaextra ondecomprar marketingdigital cursos</t>
  </si>
  <si>
    <t>fitness ondecomprar rendaextra cursos</t>
  </si>
  <si>
    <t>ondecomprar rendaextra dinheiro dropshipping</t>
  </si>
  <si>
    <t>ondecomprar rendaextra venda</t>
  </si>
  <si>
    <t>google dropshipping rendaextra ondecomprar marketplace ads googleads</t>
  </si>
  <si>
    <t>ondecomprar dropshipping rendaextra</t>
  </si>
  <si>
    <t>milionários kiwfy rendaextra dinheiro dinheiroonline</t>
  </si>
  <si>
    <t>rendaextra trabalheemcasa oportunidade dinheiroextra</t>
  </si>
  <si>
    <t>liberdadefinanceira rendaextra</t>
  </si>
  <si>
    <t>negociodigital rendaextra liberdadefinanceira trabalheemcasa</t>
  </si>
  <si>
    <t>formulanegocioonline rendaextra trabalheemcasa liberdadefinanceira</t>
  </si>
  <si>
    <t>rendaextra fno cursosonline</t>
  </si>
  <si>
    <t>liberdadefinanceira rendaextra formulanegocioonline</t>
  </si>
  <si>
    <t>rendaextra formulanegocioonline</t>
  </si>
  <si>
    <t>mercadodeafiliados rendaextra</t>
  </si>
  <si>
    <t>rendaextra ganhardinheiroonline rendaextraonline</t>
  </si>
  <si>
    <t>liberdadefinanceira rendaextra trabalheemcasa</t>
  </si>
  <si>
    <t>marketingdigital marketingafiliado rendaextra</t>
  </si>
  <si>
    <t>rendaextra investimentolucrativo</t>
  </si>
  <si>
    <t>marketingdigital afiliados viral2023 rendaextra</t>
  </si>
  <si>
    <t>mãe mulher rendaextra</t>
  </si>
  <si>
    <t>rendaextra blazelivesmatters prayforblaze</t>
  </si>
  <si>
    <t>rendaextra ganhe dinheiro pesquisa dolar</t>
  </si>
  <si>
    <t>rendaextra ondecomprar dinheiroextra rendaextraemcasa semaparecer</t>
  </si>
  <si>
    <t>renda rendaextra educação pix dinheiro</t>
  </si>
  <si>
    <t>quintoandar rendaextra aluguel</t>
  </si>
  <si>
    <t>quintoandar imobiliaria rendaextra</t>
  </si>
  <si>
    <t>rendaextra parceiroguruoficia parceiros chatguru</t>
  </si>
  <si>
    <t>betdásorte slots cassino rendaextra sugarrush gorillamayhem spaceman</t>
  </si>
  <si>
    <t>renda2022 rendaextra ganhedinheiro</t>
  </si>
  <si>
    <t>traderesportivo rendaextra futebol investimentosfutebol</t>
  </si>
  <si>
    <t>traderesportivo futebol rendaextra assistirfutebol esportes esportenaband</t>
  </si>
  <si>
    <t>rendaextra sitepagando money ganhardinheiro pix</t>
  </si>
  <si>
    <t>portugal rendaextra</t>
  </si>
  <si>
    <t>canalroquelane frequenciavibracional conhecimentoliberta abibliacontraabiblia bibliaoriginalcodex filosofiaex rendaextraemcasa</t>
  </si>
  <si>
    <t>rendaextraemcasa</t>
  </si>
  <si>
    <t>canalroquelane despertarconciencia leidaatracao rendaextraemcasa filosofiaex</t>
  </si>
  <si>
    <t>canalroquelane rendaextraemcasa viverdeinternet</t>
  </si>
  <si>
    <t>canalroquelane evoluir despertardaconsciencia filosofiaex rendaextraemcasa</t>
  </si>
  <si>
    <t>viverdevendas rendaonline rendaextraemcasa empreendedorismo</t>
  </si>
  <si>
    <t>canalroquelane evoluir despertarconciencia rendaextraemcasa</t>
  </si>
  <si>
    <t>canalroquelane evoluir evoluirsempre rendaextraemcasa despertardaconsciencia marketingdigitalparainiciantes filosofiaex akel</t>
  </si>
  <si>
    <t>canalroquelane evoluir despertardaconsciencia rendaextraemcasa marketingdigitaliniciantes</t>
  </si>
  <si>
    <t>verdadequeliberta canalroquelane evoluir despertardaconsciência rendaextraemcasa</t>
  </si>
  <si>
    <t>rendaextraemcasa vendamais cursosonline viverdevendas viverdeinternet</t>
  </si>
  <si>
    <t>canalroquelane marketingdigitalparainiciantes rendaextraemcasa despertardaconsciencia</t>
  </si>
  <si>
    <t>canalroquelane despertardaconsciencia rendaextraemcasa filosofiaex evoluir amor</t>
  </si>
  <si>
    <t>canalroquelane evoluir filosofiaex despertardaconsciência despertar jesusvive rendaextraemcasa</t>
  </si>
  <si>
    <t>despertardaconsciencia evoluir pensamentos filosofiaex rendaextraemcasaonline rendaextraemcasa</t>
  </si>
  <si>
    <t>canalroquelane empreendedorismo rendaextraemcasa</t>
  </si>
  <si>
    <t>hotmart rendaextra</t>
  </si>
  <si>
    <t>rendaextra dinheiro dinheiroonline grana granafacil</t>
  </si>
  <si>
    <t>rendaextra app</t>
  </si>
  <si>
    <t>rendaextra granaextra dinheiro ganhardinheiro dinheiroonline</t>
  </si>
  <si>
    <t>googleads comoganhardinheiro rendaextra ganhardinheiro</t>
  </si>
  <si>
    <t>rendaextra dinheiro grana</t>
  </si>
  <si>
    <t>rt assuntodomomento rendaextra dinheiro dolar</t>
  </si>
  <si>
    <t>atencao rendaextra dinheiro money dollar</t>
  </si>
  <si>
    <t>rendaextra indiqueeganhe eimigra dinheiro homeoffice trabalhardecasa</t>
  </si>
  <si>
    <t>marketingdigital rendaextra afiliada liberdadefinanceira liberdadegeografica vendas hotmart mulheresempoderadas sonhos</t>
  </si>
  <si>
    <t>rendaextra mercadodigital fazacontecer liberdadegeográfica liberdadefinanceira</t>
  </si>
  <si>
    <t>foryou marketingdigital rendaextra afiliada liberdadefinanceira liberdadegeografica vendas mulheresempoderadas sonhos</t>
  </si>
  <si>
    <t>rendaextra tiktok movendodinheiro</t>
  </si>
  <si>
    <t>rendaextra tiktok saponaria artesanato quimica sabonetesmedicinais</t>
  </si>
  <si>
    <t>ganhardinheiro rendaextra trabalharemcasa</t>
  </si>
  <si>
    <t>rendaextra jogosonline lojaonline dinheiro apostas</t>
  </si>
  <si>
    <t>rendaextra chico 1989taylorsversionvault</t>
  </si>
  <si>
    <t>fotomodelo rendaextra fotodospes freela</t>
  </si>
  <si>
    <t>packdospes modelos rendaextra venderfotos modelodepes</t>
  </si>
  <si>
    <t>rendaextra trabalhoonline</t>
  </si>
  <si>
    <t>blaze cassino apostas aposta roboblaze botblaze bet dinheiro rendaextra cassino aviaozinho sabado fimdesemana fds</t>
  </si>
  <si>
    <t>makeup libertadfinanciera marketingdigital rendaextra marketing dinheiroonline liberdade videoviral dinheiro vendas lobodewallstreet</t>
  </si>
  <si>
    <t>makeup libertadfinanciera marketingdigital rendaextra marketing dinheiroonline liberdade videoviral dinheiro vendas lobodewallstreet mevendaessacaneta sellmethispen</t>
  </si>
  <si>
    <t>makeup libertadfinanciera marketingdigital rendaextra</t>
  </si>
  <si>
    <t>makeup libertadfinanciera marketingdigital rendaextra marketing dinheiroonline liberdade videoviral</t>
  </si>
  <si>
    <t>makeup libertadfinanciera marketingdigital rendaextra marketing</t>
  </si>
  <si>
    <t>libertadfinanciera marketingdigital rendaextra</t>
  </si>
  <si>
    <t>makeup libertadfinanciera marketingdigital rendaextra marketing dinheiroonline</t>
  </si>
  <si>
    <t>grupofagemar frasediaria famílianovaatalaiadedeus gloriadeus poderdedeusem makeup libertadfinanciera marketingdigital rendaextra marketing dinheiroonline</t>
  </si>
  <si>
    <t>makeup libertadfinanciera marketingdigital rendaextra marketing dinheiroonline liberdade videoviral dinheiro</t>
  </si>
  <si>
    <t>makeup libertadfinanciera marketingdigital rendaextra marketing dinheiroonline liberdade videoviral dinheiro vendas lobodewallstreet mevendaessacaneta</t>
  </si>
  <si>
    <t>libertadfinanciera marketingdigital rendaextra marketing dinheiroonline liberdade videoviral dinheiro vendas lobodewallstree marketingdigitaliniciantes</t>
  </si>
  <si>
    <t>libertadfinanciera marketingdigital rendaextra marketing dinheiroonline liberdade videoviral dinheiro vendas</t>
  </si>
  <si>
    <t>libertadfinanciera marketingdigital rendaextra marketing dinheiroonline liberdade videoviral</t>
  </si>
  <si>
    <t>libertadfinanciera marketingdigital rendaextra marketing dinheiroonline liberdade videoviral dinheiro vendas lobodewallstreet</t>
  </si>
  <si>
    <t>grupofagemar frasediaria famílianovaatalaiadedeus gloriadeus poderdedeusem makeup libertadfinanciera marketingdigital rendaextra marketing</t>
  </si>
  <si>
    <t>seekglobalnetwork seekglobal publicidade ads rendaextra rendaextraemcasa rendapassiva dinheiro usd</t>
  </si>
  <si>
    <t>theapexpower apexpower apex earnmoney multinivel bitcoin bussiness newcompany rendaextra bitcoinnews</t>
  </si>
  <si>
    <t>apexone apexonreview apexone apexoneai apexonetutorial criptomoedas dinheiro rendaextra dinheiroonlin</t>
  </si>
  <si>
    <t>shaobank shao investidor investimento fundosimobiliarios rendaextraemcasa bitcoin</t>
  </si>
  <si>
    <t>shaobank loans investidor investimento rendaextraemcasa bitcoin criptomoeda bonds fundos</t>
  </si>
  <si>
    <t>rendaextra dinheiro dinheiroonline dinheiroemcasa money bitcoin seekglobalnetwork</t>
  </si>
  <si>
    <t>apexone apexonreview apexoneai criptomoedas dinheiro rendaextra dinheiroonline</t>
  </si>
  <si>
    <t>shaobank bitcoin investimento criptomoedas rendaextra</t>
  </si>
  <si>
    <t>apexone apexone apexoneai criptomoedas dinheiro rendaextra bitcoin</t>
  </si>
  <si>
    <t>seekglobalnetwork seekglobal seek publicidade ads rendaextra rendaextraemcasa rendapassiva dinheiroonline dinheironainternet</t>
  </si>
  <si>
    <t>apexone apexonreview criptomoedas dinheiro rendaextra dinheiroonline ganhar</t>
  </si>
  <si>
    <t>apexone apexonereview apexonepayment apexoneai apexonetutorial criptomoedas dinheiro rendaextra dinheiroonline</t>
  </si>
  <si>
    <t>shaobank shaobankpayment shaobankreview investidor investimento fundosimobiliarios rendaextraemcasa</t>
  </si>
  <si>
    <t>academia rendaextra vidasaudavel mentalidade óleosvegetais emagrecer marketingmultinivel</t>
  </si>
  <si>
    <t>qualidadedevida dinheiro óleodegirassol rendaextra produtosnaturais treino mmn beleza vidasaudavel mentalidade óleosvegetais emagrecer marketingmultinivel</t>
  </si>
  <si>
    <t>kwai impulso rendaextra bbb23</t>
  </si>
  <si>
    <t>kwai impulso rendaextra</t>
  </si>
  <si>
    <t>kwai rendaextra impulso dinheiro</t>
  </si>
  <si>
    <t>pascoa2023 ebook rendaextra</t>
  </si>
  <si>
    <t>rendaextra trabalho marketingdigital</t>
  </si>
  <si>
    <t>rendaextra freelancer homeoffice</t>
  </si>
  <si>
    <t>rendaextra hotmart afiliado homeoffice rendaonline</t>
  </si>
  <si>
    <t>hotmart rendaextra afiliado homeoffice</t>
  </si>
  <si>
    <t>abono caixa caixatem rendaextra</t>
  </si>
  <si>
    <t>pombabet fortune rendaextra ganhardinheiro</t>
  </si>
  <si>
    <t>mentedesucesso afiliados marketingdigital primeiravenda rendaextra cursosprofissionalizantes</t>
  </si>
  <si>
    <t>empreendedorismo maeempreendedora rendaextra elegance mentemilionaria</t>
  </si>
  <si>
    <t>romantico autoestima rendaextra</t>
  </si>
  <si>
    <t>afiliadas rendaextra</t>
  </si>
  <si>
    <t>rendaextra afiliadas</t>
  </si>
  <si>
    <t>confeitaria doce rendaextra bolodepote torta cozinhar</t>
  </si>
  <si>
    <t>apostas ganhardinheiro rendaextra</t>
  </si>
  <si>
    <t>investidor investir b3 rendaextra livros virall tiktok</t>
  </si>
  <si>
    <t>sabadou rendaextra investir tiktok</t>
  </si>
  <si>
    <t>emprendedores emprendimiento dinheiro rendaextra emprender</t>
  </si>
  <si>
    <t>raluca ralucagranola dinheiro money rendaextra cassino saladeapostas roleta</t>
  </si>
  <si>
    <t>dica tutorial roleta cassino rendaextra jogoonline apostas</t>
  </si>
  <si>
    <t>fy fyp foryoupage rendaextra dinheiro business comoganhardinheiro marketingdigital afiliados money lifestyle luxurylifestyle motivação</t>
  </si>
  <si>
    <t>rendaextra dinheiroextra comoganhardinheiro marketingdogital afiliado business</t>
  </si>
  <si>
    <t>rendaextra rendaextraemcasa dinheiroextra dinheiroonline afiliado money luxurylifestyle motivation business wifimoney reflexão jovenmillonario marketingdigital marketing afiliadoiniciante sucesso comoganhardinheiro</t>
  </si>
  <si>
    <t>fy reelsvideo dicas marketingdigital afiliados afiliadoorganico comoganhardinheiro rendaextra rendaextraonline viral</t>
  </si>
  <si>
    <t>rendaextra rendaextraemcasa comoganhardinheiro dinheiroextra dinheiroonline money mindset reelsvideo marketingdigital marketing afiliados</t>
  </si>
  <si>
    <t>rendaextra dinheiroextra dinheiroonline afiliado marketingdigital</t>
  </si>
  <si>
    <t>comoganhardinheiro rendaextra</t>
  </si>
  <si>
    <t>fy reelsvideo dicas marketingdigital afiliados afiliadoorganico comoganhardinheiro rendaextra rendaextraonline viral evolução</t>
  </si>
  <si>
    <t>fy reelsvideo dicas marketingdigital afiliados afiliadoorganico comoganhardinheiro rendaextra rendaextraonline evolução</t>
  </si>
  <si>
    <t>fy reelsvideo dicas marketingdigital afiliados afiliadoorganico comoganhardinheiro rendaextra rendaextraonline viral capcut</t>
  </si>
  <si>
    <t>fy fyp foryoupage rendaextra dinheiro business comoganhardinheiro marketingdigital afiliados money lifestyle luxurylifestyle motivação milionarios</t>
  </si>
  <si>
    <t>rendaextra rendaonline sucessofinanceiro marketingdigital wifimoney</t>
  </si>
  <si>
    <t>rendaextra comoganhardinheiro rendaonline</t>
  </si>
  <si>
    <t>empreendedorismo sucesso liberdadefinanceira rendaextra dinheiroonline</t>
  </si>
  <si>
    <t>twiter rendaextra dinheiroextra business marketingdigital afiliado liberdadefinanceira comoganhardinheiro motivacao</t>
  </si>
  <si>
    <t>fy fyp fypage rendaextra dinheiroextra business viral comoganhardinheiro luxurylifestyle liberdadefinanceira motivacao reflexão reelsvideo</t>
  </si>
  <si>
    <t>rendaextra rendaextraemcasa dinheiroextra dinheiroonline afiliado money luxurylifestyle motivation business wifimoney reflexão jovenmillonario marketingdigital marketing afiliadoiniciante sucesso</t>
  </si>
  <si>
    <t>dicas comoganhardinheiro dinheiro marketingdigital afiliadosiniciantes empreendedorismo liberdadefinanceira rendaextra rendaextra</t>
  </si>
  <si>
    <t>fy fyp foryoupage rendaextra dinheiro comoganhardinheiro marketingdigital afiliados money</t>
  </si>
  <si>
    <t>rendaextra comoganhardinheiro marketingdigital afiliados</t>
  </si>
  <si>
    <t>rendaextra dinheiro comoganhardinheiro marketingdigital</t>
  </si>
  <si>
    <t>fy fyp foryoupage rendaextra dinheiro business comoganhardinheiro marketingdigital afiliados money lifestyle</t>
  </si>
  <si>
    <t>fy fyp foryoupage rendaextra dinheiro business comoganhardinheiro marketingdigital afiliados money lifestyle luxurylifestyle</t>
  </si>
  <si>
    <t>mentemilionaria motivacao rendaextra dinheiroonline afiliado</t>
  </si>
  <si>
    <t>comoganhardinheiro rendaextra dinheiro dinheiroonline</t>
  </si>
  <si>
    <t>zeldatotk eurovision eurovision2023 theplanetbybts babymonster tearsofthekingdom zelda acrostico renaissancewolrdtour rendaextra dinheiro tktk</t>
  </si>
  <si>
    <t>nocode dinheiro rendaextra</t>
  </si>
  <si>
    <t>ganhedinheiroextra trabalheondequiser trabalheemcasa marketingdeafiliados dinheiroonline dinheironainternet rendaextra oportunidade liberdadefinanceira sucesso</t>
  </si>
  <si>
    <t>fazenda happyfarmin rendaextra dinheiro</t>
  </si>
  <si>
    <t>pix rendaextra fgts</t>
  </si>
  <si>
    <t>rendaextra frpromotora</t>
  </si>
  <si>
    <t>influencer influencers peeked rendaextra</t>
  </si>
  <si>
    <t>slots rendaextra coldplay futebolnaespn celebrities</t>
  </si>
  <si>
    <t>curso rendaextra</t>
  </si>
  <si>
    <t>cursodesaboaria rendaextra saboneteartesanal</t>
  </si>
  <si>
    <t>dinheiro rendaextra money</t>
  </si>
  <si>
    <t>gssf vip rendaextra renda paypal</t>
  </si>
  <si>
    <t>viajar reforma sonhos rendaextra realizarsonhos fgts concursos2023 intercambio</t>
  </si>
  <si>
    <t>kwai loveisblindlive rcbvscsk loveisblind jacksonwangcoachella curiosidades rendaextra dinheiro dinheiroonline brasil usa twitter</t>
  </si>
  <si>
    <t>trabalhoemcasa rendaextra legumescongelados</t>
  </si>
  <si>
    <t>rendaextra comida legumescongelados</t>
  </si>
  <si>
    <t>rendaextra rendaonline</t>
  </si>
  <si>
    <t>ganhedinheiro rendaextra rendapassiva ganheemdolar</t>
  </si>
  <si>
    <t>rendaextra trabalheemcasa trabalhoonline</t>
  </si>
  <si>
    <t>motivacao riqueza empreender empreendertransforma dicas rendaextra ganhardinheiro</t>
  </si>
  <si>
    <t>rendaextra afiliados</t>
  </si>
  <si>
    <t>dolar ysense rendaextra reais ganhardinheiro chatgpt</t>
  </si>
  <si>
    <t>botizi mercadodeapostasesportivas mercadodeapostas extra rendaextra sinais</t>
  </si>
  <si>
    <t>marketing rendaextra trabalharemcasa</t>
  </si>
  <si>
    <t>dinheiro rendaextra marketingdigital</t>
  </si>
  <si>
    <t>acredita dinheiro rendaextra bbb23 bbb2023</t>
  </si>
  <si>
    <t>mercadodigital rendaextra marketingdigital</t>
  </si>
  <si>
    <t>rendaextra re</t>
  </si>
  <si>
    <t>ondecomprar primeiravenda rendaextra dinheiroonline</t>
  </si>
  <si>
    <t>cassino rico famosos rendaextra jogos</t>
  </si>
  <si>
    <t>cassino rendaextra plataforma</t>
  </si>
  <si>
    <t>musculação emagrecimento rendaextra</t>
  </si>
  <si>
    <t>empreendedor afiliado marketingdeconteudo trabalharemcasa motiva rendaextraemcasa vendas empreendedorismodigital dinheiroonline empreendedordigita</t>
  </si>
  <si>
    <t>maxmilhas milhas rendaextra</t>
  </si>
  <si>
    <t>balcao balcaodemilhas milhas rendaextra</t>
  </si>
  <si>
    <t>clubefii rendaextra investimentos fiis fundosimobiliarios imoveis aluguel rendimento dividendos</t>
  </si>
  <si>
    <t>clubefii finanças fiis fundosimobiliários investidor empresário rendapassiva rendaextra</t>
  </si>
  <si>
    <t>fogão casa comida rendaextra vendaonline magazineluiza dicas lar</t>
  </si>
  <si>
    <t>score credito nomelimpo dinheiro rendaextra</t>
  </si>
  <si>
    <t>aposentados pensionistas inss deposito rendaextra forumservicopublicoceara</t>
  </si>
  <si>
    <t>dinheiro trabalheemcasa rendaextra incenso finanças</t>
  </si>
  <si>
    <t>dinheiro rendaextra trabalho</t>
  </si>
  <si>
    <t>cincoin cincoinbrasil bitcoin ethereum rendavariavel rendaextra</t>
  </si>
  <si>
    <t>somoszahrah empreendedorismodigital rendaextra</t>
  </si>
  <si>
    <t>somoszahrah empreendedorismofeminino empreendedorismodigital mulheresempreendedoras mulheres mulheresenegocios rendaextra</t>
  </si>
  <si>
    <t>somoszahrah empreendedorismofeminino empreendedorismodigital mulheresempreendedoras mulheresenegocios rendaextra</t>
  </si>
  <si>
    <t>mãedesenpregadas pais jovens rendaextra mulheres jovens</t>
  </si>
  <si>
    <t>rendaextra app bcgames quartobranco bbb23</t>
  </si>
  <si>
    <t>rendaextra app bcgames quartobranco</t>
  </si>
  <si>
    <t>rendaextra app foravitorpereira bcgames quartobranco</t>
  </si>
  <si>
    <t>rendaextra app ficakey forakey bcgames quartobranco</t>
  </si>
  <si>
    <t>rendaextra app ficakey forakey bcgames</t>
  </si>
  <si>
    <t>rendaextra app ficakey forakeyalves bcgames</t>
  </si>
  <si>
    <t>slotonline rendaextra</t>
  </si>
  <si>
    <t>pascoa ondecomprar rendaextra tendencia chocolateday2023 gourmet ovo</t>
  </si>
  <si>
    <t>rendaextra ondecomprar kawaii kawaiigirl diadospais o</t>
  </si>
  <si>
    <t>ideias projetos gestãodeprojetos implementação vendas online projetosdigitais rendaextra</t>
  </si>
  <si>
    <t>youtuber ganhardinheiroonline ganhardinheironainternet rendaextra rendaextraemcasa empreendedorismo empreendedorismodigital marketingdigital</t>
  </si>
  <si>
    <t>investidor juroscompostos investidoriniciante dinheiro rendaextra guiadoinvestidor economia</t>
  </si>
  <si>
    <t>estilodevida dinheiro finanças educaçãofinanceira objeitvos rendapassiva rendaextra reservadeemergência saúde investimentos investir empreendedorismo negócios ações fundosdeinvestimento economia</t>
  </si>
  <si>
    <t>นายกคนที่30 rendaextra comission blackrob 100日チャレンジ</t>
  </si>
  <si>
    <t>happyfarmin gaming farm rendaextra homeoffice marketing marketingdigital youtube youtuber streemer codmobile freefire</t>
  </si>
  <si>
    <t>rendaextra habitosfinanceiros maestriadariqueza riqueza dinheiro prosperidade</t>
  </si>
  <si>
    <t>rendaextra ganhe oportunidades</t>
  </si>
  <si>
    <t>tiktok rendaextra fyp</t>
  </si>
  <si>
    <t>rendaextra doublepro dinheiro apostasonline fypシviral</t>
  </si>
  <si>
    <t>rendaextra casino</t>
  </si>
  <si>
    <t>educação futuro futurism criatividade cursosonline escritacriativa cursodeescritacriativa guarulhos brasil rendaextra escrita ideiascriativas inovação futurodotrabalho curadoria</t>
  </si>
  <si>
    <t>ocapitaldigital ocapital rendaextra investimentos</t>
  </si>
  <si>
    <t>educacaofinanceira ocapitaldigital ocapital investimento dividas rendaextra investimentos</t>
  </si>
  <si>
    <t>rendaextra rendaextraemcasa viverderenda fluxorendaextra</t>
  </si>
  <si>
    <t>rendaextra dinheiro jogos onlyfan</t>
  </si>
  <si>
    <t>correiodeminas pis pasep pispasep abono abonosalarial rendaextra dinheiro correiodeminasonline</t>
  </si>
  <si>
    <t>correiodeminas picpay descoberta caminho caminhofuturo 700reais rendaextra correiodeminasonline</t>
  </si>
  <si>
    <t>correiodeminas governo assinatura decreto inss aposentados aumento rendaextra correiodeminaosnline</t>
  </si>
  <si>
    <t>correiodeminas rendaextra pagamentosbolsa bolsafamília novidadesbolsa correiodeminas</t>
  </si>
  <si>
    <t>correiodeminas novarodada saques saquesfgts trabalhadores rendaextra correiodeminasonline</t>
  </si>
  <si>
    <t>correiodeminas trabalhador recebimento 2milreais rendaextra saqueimediato correiodeminasonline</t>
  </si>
  <si>
    <t>correiodeminas lei fhc recebimetno 2milreais rendaextra correiodeminasonline</t>
  </si>
  <si>
    <t>topic investimentos jogoonline rendaextra</t>
  </si>
  <si>
    <t>barsi b3 ações luizbarsi rendaextra</t>
  </si>
  <si>
    <t>bradesco bbdc4 bbdc3 ações dividendos investimentos rendaextra finanças dinheiro</t>
  </si>
  <si>
    <t>ganhardinheiro rendaextra robomilionario lojasamericanas</t>
  </si>
  <si>
    <t>ganhardinheiro rendaextra robomilionario bbb23</t>
  </si>
  <si>
    <t>cooking chickenrecipe cookingvideos dinnerrecipes foodvideos ovosdecolher recipes rendaextra</t>
  </si>
  <si>
    <t>peritojudicial rendaextra cursoonline promocao oportunidade</t>
  </si>
  <si>
    <t>marketingdigital marketing o empreendedorismo digitalmarketing socialmedia instagram business branding socialmediamarketing sucesso marketingstrategy a empreender negocios marketingtips marketingonline brasil dise digital design rendaextra emprendedores</t>
  </si>
  <si>
    <t>bunnieshole vendadepacks monetizeseutalento criadoresdeconteúdo ganhedinheiroonline empreenda arteerótica fotografiasensual mercadoadulto ganhecomseucorpo rendaextra negócioonline</t>
  </si>
  <si>
    <t>bunnieshole vendadepacks criadoresdeconteúdo rendaextra monetização</t>
  </si>
  <si>
    <t>empreendedorismo dinheiro sucesso empreender rendaextraemcasa empreendedor ganhardinheiro negocios dinheiroextra</t>
  </si>
  <si>
    <t>b1bet apostaesportiva apostaoline apostadivertida apostar apostas cassino cacaniquel afiliados rendaextra</t>
  </si>
  <si>
    <t>usa economia empregos rendaextra</t>
  </si>
  <si>
    <t>rendaextra curitiba tribunapr</t>
  </si>
  <si>
    <t>rendaextra consultorfinanceiro ganhedinheiro dinheiro</t>
  </si>
  <si>
    <t>vendas rendaextra dinheiro</t>
  </si>
  <si>
    <t>empreendedora miçangas rendaextra</t>
  </si>
  <si>
    <t>comercio emprender rendaextra</t>
  </si>
  <si>
    <t>kwai impulso golds rendaextra</t>
  </si>
  <si>
    <t>bingoonline carros rendaextra dinheiroonline bbspremios suasorte</t>
  </si>
  <si>
    <t>bingoonline bingo rendaextra dinheiro</t>
  </si>
  <si>
    <t>bbspremios bingo viajar sextou rendaextra dinheiro</t>
  </si>
  <si>
    <t>sabadou bingo rendaextra</t>
  </si>
  <si>
    <t>fortunetiger fortuneox fortune games slots slotsgames jogosonlie dinheiro rendaextra fe</t>
  </si>
  <si>
    <t>nail nails designer designtwitter designers rendaextra</t>
  </si>
  <si>
    <t>unhanovagaliza unha unhasperfeitas design designer nail rendaextra fypage</t>
  </si>
  <si>
    <t>unhanovagaliza unha designer design rendaextra nail</t>
  </si>
  <si>
    <t>unhas viral unhas unhasperfeitas rendaextra design designer nails nail</t>
  </si>
  <si>
    <t>multinivel networking negocios mmn sucesso mmnportugal mmnparaguay mmnparty rendaextra hinode cajazeiras cruzdasalmas candeias madrededeus sobral itaberaba juazeiero chapadadiamantina</t>
  </si>
  <si>
    <t>negocios mmn sucesso rendaextra</t>
  </si>
  <si>
    <t>vendas estrategia marketing niver comediabaiana laele bahia tecnologia relogio lucroémelhorquesalário rendaextra</t>
  </si>
  <si>
    <t>avon avontáon avonperfume avonmodaecasa avon representantedabelezaavon empreendedorismofeminino avonbrasil mulherempoderada mulherempreendedora avoncasaeestilo avonbaton avonmaquiagem oportunidadedetrabalho rendaextra</t>
  </si>
  <si>
    <t>rendaextra dinheironaadolescencia</t>
  </si>
  <si>
    <t>marketingdigital marketing rendaextra afiliados</t>
  </si>
  <si>
    <t>marketingdigital marketingdeconteudo empreendedorismo emprendedores rendaextra</t>
  </si>
  <si>
    <t>plrs rendaextra sucessofinanceiro</t>
  </si>
  <si>
    <t>rendaextra business comoganhardinheiro marketingdigital afiliado</t>
  </si>
  <si>
    <t>googleads marketingstrategy digitalmarketingtrends digitaladvertising digitalmarketer marketingstrategies afiliadosbrasil afiliados afiliadoshotmart rendaextra trabalhoonline jittudesign</t>
  </si>
  <si>
    <t>rendaextra marketingdigital liberdadefinanceira sucesso empreendedorismo</t>
  </si>
  <si>
    <t>cassino rendaextra dinheiro</t>
  </si>
  <si>
    <t>rendaextra negocios motivacional</t>
  </si>
  <si>
    <t>rendaextra rendaextraonline dinheiro</t>
  </si>
  <si>
    <t>bet blaze aposta investimento rendaextra</t>
  </si>
  <si>
    <t>rendaextra metadolar dolar trabalhardecasa vinisolto clickbank hotmart mktdigital</t>
  </si>
  <si>
    <t>rendaextra empresaria marketingdigital dinheiro</t>
  </si>
  <si>
    <t>marketingdigital empreendedorismofeminino rendaextra afiliada empresas liberdadefinanceira money</t>
  </si>
  <si>
    <t>thiagohora thiagohorapodcast marketingdigital rendaextra</t>
  </si>
  <si>
    <t>rendaextra marketingdigital thiagohorapodcast thiagohora</t>
  </si>
  <si>
    <t>thiagohora rendaextra marketingdigital ias</t>
  </si>
  <si>
    <t>jogotigre rendaextra fortunetiger</t>
  </si>
  <si>
    <t>publi rendaextra nãoégolpe</t>
  </si>
  <si>
    <t>rendapassiva trabalheemcasa rendaextra</t>
  </si>
  <si>
    <t>sobrancelhas rendaextra trabalho salao</t>
  </si>
  <si>
    <t>salao trabalho rendaextra sobrancelhas</t>
  </si>
  <si>
    <t>sobrancelhas rendaextra trabalho design</t>
  </si>
  <si>
    <t>rendaextra trabalho sobrancelha dinheiro salao</t>
  </si>
  <si>
    <t>rendaextra sobrancelha salao trablho</t>
  </si>
  <si>
    <t>salao rendaextra trabalho sobrancelha</t>
  </si>
  <si>
    <t>sobrancelhas rendaextra salao beleza designer maquiagem</t>
  </si>
  <si>
    <t>trabalho rendaextra salao sobrancelha</t>
  </si>
  <si>
    <t>trabalho sobrancelha rendaextra cursos</t>
  </si>
  <si>
    <t>trabalho rendaextra dinheiro sobrancelhas curso</t>
  </si>
  <si>
    <t>sobrancelhas henna rendaextra trabalho</t>
  </si>
  <si>
    <t>rendaextra trabalho sobrancelha</t>
  </si>
  <si>
    <t>beleza sobrancelhas rendaextra</t>
  </si>
  <si>
    <t>maquiagem salao sobrancelha curso trabalho rendaextra designer</t>
  </si>
  <si>
    <t>sobrancelhas rendaextra trabalho</t>
  </si>
  <si>
    <t>rendaextra sobrancelhas trabalho</t>
  </si>
  <si>
    <t>sobrancelhas curso rendaextra trabalho</t>
  </si>
  <si>
    <t>sobrancelhas rendaextra beleza trabalho maquiagem</t>
  </si>
  <si>
    <t>unhas manicure nails bbb23 nailsdesigner viral sucesso empreender empresaria rendaextra ondecomprar</t>
  </si>
  <si>
    <t>unhas nails designerdeunhas ondecompra bbb23 viral promo rendaextra dinheiro</t>
  </si>
  <si>
    <t>micropigmentação microbland ondecomprar bbb23 promo rendaextra</t>
  </si>
  <si>
    <t>nails viral aondecomprar aprendaonline bbb23 rendaextra sucesso empresária promo maquiagem mulheres</t>
  </si>
  <si>
    <t>nails bbb23 viral promo aondecomprar rendaextra oferta diainternacionaldelamujer promocao unhas</t>
  </si>
  <si>
    <t>unhas nails designer bbb23 foryou aondecomprar manicure viral promo rendaextra</t>
  </si>
  <si>
    <t>nails unhas bbb23 ondecompra promo oferta rendaextra</t>
  </si>
  <si>
    <t>unhas nails designerdeunhas ondecompra bbb23 viral promo rendaextra dinheir</t>
  </si>
  <si>
    <t>unhas cabelos rendaextra mulheres girls ondecomprar foryou bbb23</t>
  </si>
  <si>
    <t>nails unhas mulheres manicure bbb23 viral ondecompro promoção rendaextra</t>
  </si>
  <si>
    <t>nails nailsdesigner promo mães mulheres rendaextra bbb23 ondecomprar aondecomprar girls promo oferta cursosonline</t>
  </si>
  <si>
    <t>unhas ondecompra bbb23 foryou promo aondecomprar rendaextra</t>
  </si>
  <si>
    <t>foryou bbb23 ondecomprar promo manicure oferta rendaextra</t>
  </si>
  <si>
    <t>nails nailsdesigner promo mães mulheres rendaextra bbb23 ondecomprar aondecomprar foryou promo oferta cursosonline</t>
  </si>
  <si>
    <t>nails nailsdesigner mulheres rendaextra bbb23 ondecomprar aondecomprar girls promo oferta cursosonline</t>
  </si>
  <si>
    <t>unhas nailsdesigner nails bbb23 viral promo vendasonline vendas rendaextra ondecomprar</t>
  </si>
  <si>
    <t>rendaextra trabalhoemcasa ganhardinheiro</t>
  </si>
  <si>
    <t>rendaextra sucesso markting sabedoria reflexao</t>
  </si>
  <si>
    <t>rendaextra trabalhoemcasa economiacolaborativa</t>
  </si>
  <si>
    <t>rendaextra trabalhoemcasa ganhardinheiro negóciopróprio</t>
  </si>
  <si>
    <t>rendaextra conhecimento sucesso sabedoria reflexao</t>
  </si>
  <si>
    <t>rendaextra conhecimento sabedoria sucesso</t>
  </si>
  <si>
    <t>rendaextra markting sucesso esforço inercia</t>
  </si>
  <si>
    <t>rendaextra markting</t>
  </si>
  <si>
    <t>sucesso foco rendaextra empreender</t>
  </si>
  <si>
    <t>hotmart markenting marketingdigital monetizze rendaextra</t>
  </si>
  <si>
    <t>pascoa rendaextra chocolate dinheiro youtuber receitas</t>
  </si>
  <si>
    <t>franquia franquias meunegócio rendaextra rendaextra2023 empreender empreendedorismo</t>
  </si>
  <si>
    <t>máquinas rendaextra empreender meunegócio empreendedorismo</t>
  </si>
  <si>
    <t>franquia maquinas josefugice meunegócio empreender empreendedorismo rendaextra</t>
  </si>
  <si>
    <t>rendaextra ganhardinheiro meunegócio empreendedorismo</t>
  </si>
  <si>
    <t>meunegócio rendaextra aplicativos empreendedorismo</t>
  </si>
  <si>
    <t>rendaextra telesena</t>
  </si>
  <si>
    <t>rendaextra cripto</t>
  </si>
  <si>
    <t>plataformaspagantes rendaextra estrategias fortunetiger joguinho dicaseestrategias lucrandoemcasa slots slotspagantes cassino afazenda15</t>
  </si>
  <si>
    <t>plataformaspagantes rendaextra estrategias fortunerabbit joguinho jogosonline lucrandoemcasa slots estrategiadorabbit</t>
  </si>
  <si>
    <t>domingao slots fortuneox flamengo ganhandocomslots rendaextra money dicasdeslots slotspagando</t>
  </si>
  <si>
    <t>jogoonline rendaextra igee fortunetiger joguinho dicasdeslots lucrandoemcasa slots slotspagantes cassino afazenda15</t>
  </si>
  <si>
    <t>plataformaspagantes rendaextra estrategias fortunetiger joguinho dicaseestrategias lucrandoemcasa slots tigerpagando slots slotspagantes</t>
  </si>
  <si>
    <t>cassinoonline plataformaspagantes rendaextra estrategias fortuneox joguinho</t>
  </si>
  <si>
    <t>kwai ganhardinheiro dinheiro rendaextra feijooeh</t>
  </si>
  <si>
    <t>ganhardinheiro dinheiro rendaextra akfet</t>
  </si>
  <si>
    <t>lula presidente brasil mudança transformação evolução bemestar dignidade dinheiro money emprego rendaextra renda trabalho work investimento oportunidade chance desenvolvimentopessoal desenvolvimento comida casa</t>
  </si>
  <si>
    <t>ondecomprar pix rendaextra</t>
  </si>
  <si>
    <t>rendaextra cursos manicure escola mulheres</t>
  </si>
  <si>
    <t>rendaextra renda extra empreendedorismo dinheiro independênciafinanceira</t>
  </si>
  <si>
    <t>dinheiro rendaextra investimentos ebook</t>
  </si>
  <si>
    <t>marketingdigital digitalmarketing hotmart hotmartafiliados afiliadosbrasil afiliados afiliadoshotmart rendaextra trabalhoonline rendaonline googleads marketingstrategy digitalmarketingtrends</t>
  </si>
  <si>
    <t>oleosesseciais emprendimiento rendaextra doterra qualidadedevida</t>
  </si>
  <si>
    <t>radarmilionario rendaextra ganhardinheiro</t>
  </si>
  <si>
    <t>evolutionbrabet brabet rendaextra</t>
  </si>
  <si>
    <t>aviator hackeraviator rendaextra</t>
  </si>
  <si>
    <t>milliongreendados jogosdedados rendaextra ganhardinheiro</t>
  </si>
  <si>
    <t>penaltidasorte ganhardinheiro rendaextra</t>
  </si>
  <si>
    <t>rendaextra radarmilionario</t>
  </si>
  <si>
    <t>cassino gamblecity slot esporte rendaextra</t>
  </si>
  <si>
    <t>cassinoonline cassino gamblecity ganhos altosganhos rendaextra pgslot trump lyon</t>
  </si>
  <si>
    <t>cassino cassinoonline gamblecity ganhosonline ganhos rendaextra trump vexame lyon</t>
  </si>
  <si>
    <t>gamblecity ganhos pgsoft cassino rendaextra ganhosaltos neymar trump vexame</t>
  </si>
  <si>
    <t>milhas pontos lucro beneficios rendaextra investimento desconto</t>
  </si>
  <si>
    <t>milhas pontos lucro beneficios rendaextra investimento</t>
  </si>
  <si>
    <t>milhas pontos lucro beneficios rendaextra</t>
  </si>
  <si>
    <t>milhas pontos lucro beneficios rendaextra investimento desconto tudoazul netshoes</t>
  </si>
  <si>
    <t>milhas pontos lucro beneficios rendaextra investimento desconto tudoazul ponto</t>
  </si>
  <si>
    <t>milhas pontos lucro beneficios rendaextra investimento desconto esfera nespresso</t>
  </si>
  <si>
    <t>milhas pontos lucro beneficios rendaextra investimento desconto livelo flormel</t>
  </si>
  <si>
    <t>milhas pontos lucro beneficios rendaextra desconto</t>
  </si>
  <si>
    <t>milhas pontos lucro beneficios rendaextra investimento desconto livelo studioz</t>
  </si>
  <si>
    <t>milhas pontos lucro beneficios rendaextra investimento smiles</t>
  </si>
  <si>
    <t>milhas pontos lucro beneficios rendaextra investimento desconto extra livelo</t>
  </si>
  <si>
    <t>milhas pontos lucro beneficios rendaextra investimento desconto azul tudoazul</t>
  </si>
  <si>
    <t>milhas pontos esfera extra compras lucro beneficios rendaextra investimento desconto</t>
  </si>
  <si>
    <t>milhas pontos lucro beneficios rendaextra investimento desconto lelis livelo</t>
  </si>
  <si>
    <t>rendaextra investimento desconto</t>
  </si>
  <si>
    <t>jogosonline jogos365 slots slotsonline rendaextra rendaextraonline sortegrande</t>
  </si>
  <si>
    <t>inteligenciaartificial dolar rendaextra</t>
  </si>
  <si>
    <t>umhas manicure rendaextra cursoprofissionalizante alongamentodeunhas</t>
  </si>
  <si>
    <t>brigadeirogourmet rendaextra brigadeiro</t>
  </si>
  <si>
    <t>laços lacinhosbaby rendaextra</t>
  </si>
  <si>
    <t>empreendedorismo viagens rendaextra empreender trabalhoemcasa</t>
  </si>
  <si>
    <t>tiktokhot kwaibonus rendaextra app forabrunagriphaoracista</t>
  </si>
  <si>
    <t>kwaibonus kwaigolds rendaextra fyp ganheextra assistaeganhe impulsokwai kwai kwaiimpulso</t>
  </si>
  <si>
    <t>videoscaseros videoskwai kwaibonus kwaigolds rendaextra fyp ganheextra assistaeganhe impulsokwai kwai kwaiimpulso</t>
  </si>
  <si>
    <t>kwaibonus kwaigolds rendaextra fyp ganheextra assistaeganhe</t>
  </si>
  <si>
    <t>rendaextra tiktokhotviral kwaigolds kwai bonus</t>
  </si>
  <si>
    <t>foco dolar rendaextra kwai kwaigolds</t>
  </si>
  <si>
    <t>rendaextra money</t>
  </si>
  <si>
    <t>ganhedinheiro rendaextra kwai kwaibrasil bonus</t>
  </si>
  <si>
    <t>giro apps tiktok rendaextra</t>
  </si>
  <si>
    <t>independenciafinanceira feo liberdadegeografica rendaextra rendaextraemcasa homeoffice trabalhodigital</t>
  </si>
  <si>
    <t>rendaextra sucesso empreendedorismo empreender empreendedor marketingdigital motivação foco entretenimento liderança negocios marketing</t>
  </si>
  <si>
    <t>cursos hotmart rendaextra</t>
  </si>
  <si>
    <t>rendaextra finaças investimento instagram marketing</t>
  </si>
  <si>
    <t>daytrade swingtrading rendaextra</t>
  </si>
  <si>
    <t>empreendedorismo o marketingdigital empreender sucesso marketing empreendedor a brasil negocios foco dinheiro motiva rendaextra empreendedorismofeminino</t>
  </si>
  <si>
    <t>ondecomprar marketingjobs rendaextra liberdadefinanceira</t>
  </si>
  <si>
    <t>rendaextra b</t>
  </si>
  <si>
    <t>rendaextra marketingdigital afiliados vendassemaparecer</t>
  </si>
  <si>
    <t>migxs dinheiro packdope packdopézinho cute modelo rendaextra</t>
  </si>
  <si>
    <t>idosos inss rendaextra vida previdência riscos</t>
  </si>
  <si>
    <t>compraonline rendaextra</t>
  </si>
  <si>
    <t>bladedaquebrada ptc rendaextra</t>
  </si>
  <si>
    <t>pablomarcal million mkt ruyter rendaextra</t>
  </si>
  <si>
    <t>rendaextra online</t>
  </si>
  <si>
    <t>rendaextra homeoffice trabalhoemcasa</t>
  </si>
  <si>
    <t>rendaextra emprego freelance</t>
  </si>
  <si>
    <t>respondapesquisas brasil ganhardinheiro trabalharemcasa rendaextra</t>
  </si>
  <si>
    <t>caiomartins primeiravendaem24h marketingdigital rendaextra dinheirodecasa dinheirorapido marketing independenciafinanceira cursoonline curso</t>
  </si>
  <si>
    <t>ganhardinheiroemcasa trabalharemcasa rendaextra</t>
  </si>
  <si>
    <t>lifestyle money wifimomey foryou reels mindset rendaextra vidadeluxo</t>
  </si>
  <si>
    <t>horoscopo vidente brazil god deus amor cura rendaextra</t>
  </si>
  <si>
    <t>kabinet lulareformabrasil jeffsaturinbrazil brazil wicca witcher bruxa bruxaria amor negocios rendaextra saude cura expansaodaconsciencia transicaoplanetaria</t>
  </si>
  <si>
    <t>deus amor saude negócios rendaextra brasil lula brasileirao</t>
  </si>
  <si>
    <t>amor rendaextra arte comida deus signos tarot horoscopo magia trabalho</t>
  </si>
  <si>
    <t>rendaextra dinheiro casi</t>
  </si>
  <si>
    <t>dropshipping rendaextra dinheiro métodoericktorres</t>
  </si>
  <si>
    <t>dinheiro milionário rico ganhar rendaextra</t>
  </si>
  <si>
    <t>fórmuladecrescimentoonline leonildobevilaqua rendaextra</t>
  </si>
  <si>
    <t>fórmuladecrescimentoonline leonildobevilaqua rendaextra comunidadefco negóciosonline</t>
  </si>
  <si>
    <t>fórmuladecrescimentoonline leonildobevilaqua rendaextra comunidadefco negóciosonline negóciosnanet empreendedorismo empreendedordigital</t>
  </si>
  <si>
    <t>fórmuladecrescimentoonline leonildobevilaqua rendaextra comunidadefco</t>
  </si>
  <si>
    <t>investimentos investimento investimentoimobiliario fundoimobiliario fundoimobiliário fundosimobiliarios fundosimobiliários fii fiisparaleigos rendavariável rendavariavel rendaextra rendapassiva bolsadevalores b3 metodofayh</t>
  </si>
  <si>
    <t>rendaextra dinheiro jogos</t>
  </si>
  <si>
    <t>parceiromagalu ecommerce produtos vendasonline marketingdigital rendaextra</t>
  </si>
  <si>
    <t>jonvlogs bdj maumauzk cabritoz bocade09 tigrinho rendaextra dinheiro</t>
  </si>
  <si>
    <t>rendaextra sucesso</t>
  </si>
  <si>
    <t>rendaextra transformação</t>
  </si>
  <si>
    <t>rendaextra rendaextraemcasa rendaextraonline rendaextraagora rendaextraordinaria rendaextranainternet</t>
  </si>
  <si>
    <t>rendaextra rendaextraemcasa rendaextraonline rendafixa rendaextraagora rendaextranainternet</t>
  </si>
  <si>
    <t>rendaextra rendaextraagora rendaextraemcasa rendaextranainternet rendaextraideias rendaextraonlineagora</t>
  </si>
  <si>
    <t>rendaextraemcasa rendaextraonline rendaextra dinheiroextra liberdadefinanceira liberdadefinanceira</t>
  </si>
  <si>
    <t>rendaextra dinheiroextra dinheiroonline rendaextraemcasa liberdadefinanceira</t>
  </si>
  <si>
    <t>rendaextra rendaextraemcasa rendaextraonline rendaextraagora rendaextranainternet rendaextraideias</t>
  </si>
  <si>
    <t>rendaextra rendaextraemcasa rendaextraonline rendaextraagora rendaextranainternet</t>
  </si>
  <si>
    <t>renda rendaextraemcasa rendaextraonline rendaextraordinaria rendaextranainternet ganhardinheironainternet</t>
  </si>
  <si>
    <t>rendaextra rendaextraemcasa rendaextraonline rendaextraagora rendaextraordinaria rendaextranainternet rendaextranainternet</t>
  </si>
  <si>
    <t>rendaextra rendaextraemcasa rendaextraonline rendaextraagora rendaextranainternet rendaextranainternet rendaextraideias</t>
  </si>
  <si>
    <t>trabalharemcasa rendaextraemcasa rendaextraonline rendaextraagora rendaextraordinaria rendaextraideias</t>
  </si>
  <si>
    <t>twitter cursos cursosonline sucesso rendaextra sobrancelha</t>
  </si>
  <si>
    <t>twitter cursos cursosonline sucesso rendaextra depilação motivacao mindset empreender</t>
  </si>
  <si>
    <t>qrcodedasorte telesenadasorte rendaextra ganhenatelesena</t>
  </si>
  <si>
    <t>rendaextra odonodalancha trabalhoonline maesolo dicadinheirooline cabecabranca amizadeonline relacionamentoonline conversaboa patepapo</t>
  </si>
  <si>
    <t>maisdinheiro rendaextra</t>
  </si>
  <si>
    <t>ganhardinheiroonline negócioonline rendaextra trabalhoemcasa empreendedorismodigital</t>
  </si>
  <si>
    <t>shopee vendas ecomerce eletrônicos rendaextra</t>
  </si>
  <si>
    <t>marketingdigital rendaextra afiliado dicasparaosucesso</t>
  </si>
  <si>
    <t>rendaextra dinheiro ajuda financeiro</t>
  </si>
  <si>
    <t>fiifacil investimentos fiis rendaextra rendapassiva b3 ações investir</t>
  </si>
  <si>
    <t>fiifacil fiis investimentos rendaextra rendapassiva b3 riqueza</t>
  </si>
  <si>
    <t>fiifacil investimentos rendaextra rendapassiva fiis b3</t>
  </si>
  <si>
    <t>fiifacil investimentos rendaextra rendapassiva fiis b3 ações</t>
  </si>
  <si>
    <t>fiifacil investimentos rendaextra fiis b3 ações</t>
  </si>
  <si>
    <t>fiifacil investimentos rendaextra b3 fiis ações renda</t>
  </si>
  <si>
    <t>fiifacil investimentos rendaextra rendapassiva b3 fiis ações</t>
  </si>
  <si>
    <t>fiifacil fiis rendaextra investimentos</t>
  </si>
  <si>
    <t>fiifacil investimentos rendaextra ações b3 renda fiis rendapassiva</t>
  </si>
  <si>
    <t>fiifacil investimentos rendaextra ações b3 renda</t>
  </si>
  <si>
    <t>irdm11 fiifacil investimentos rendaextra fiis rendapassiva</t>
  </si>
  <si>
    <t>deva11 fiifacil investimentos rendaextra rendapassiva</t>
  </si>
  <si>
    <t>hctr11 fiifacil investimentos fiis rendaextra rendapassiva</t>
  </si>
  <si>
    <t>fiifacil investimentos rendaextra rendapassiva fiis</t>
  </si>
  <si>
    <t>fiifacil investimentos rendaextra ações fiis b3 renda</t>
  </si>
  <si>
    <t>fiifacil fiis investimentos rendapassiva rendaextra</t>
  </si>
  <si>
    <t>fiifacil fiis investimentos rendaextra rendapassiva</t>
  </si>
  <si>
    <t>fiifacil investimentos fiis rendaextra rendapassiva</t>
  </si>
  <si>
    <t>fiifacil investimentos rendaextra renda fiis b3 ações ibov</t>
  </si>
  <si>
    <t>fiifacil investimentos rendaextra rendapassiva b3 ações fiis xpml11 fii</t>
  </si>
  <si>
    <t>fiifacil investimentos rendaextra fiis renda b3 ações rendafixa</t>
  </si>
  <si>
    <t>fiifacil investimentos rendaextra ações fiis</t>
  </si>
  <si>
    <t>fiifacil investimentos fiis rendaextra ações</t>
  </si>
  <si>
    <t>fiifacil investimentos rendaextra rendapassiva ações</t>
  </si>
  <si>
    <t>fiifacil fiis investimentos investir rendaextra</t>
  </si>
  <si>
    <t>fiifacil investimentos rendaextra fiis</t>
  </si>
  <si>
    <t>fiifacil fiis investimentos rendaextra</t>
  </si>
  <si>
    <t>fiifacil investimentos rendaextra</t>
  </si>
  <si>
    <t>fiifacil investimentos rendaextra ações b3 dinheiro fiis ifix</t>
  </si>
  <si>
    <t>fiifacil investimentos rendaextra renda b3 ações fiis ifix dinheiro</t>
  </si>
  <si>
    <t>fiifacil investimentos rendaextra b3 ações fiis rendapassiva ifix</t>
  </si>
  <si>
    <t>fiifacil rendaextra renda b3 ações investimentos fiis fii</t>
  </si>
  <si>
    <t>fiifacil investimentos fiis rendaextra rendapassiva ações</t>
  </si>
  <si>
    <t>fiifacil investimentos rendaextra b3 ações renda fiis ibov investir</t>
  </si>
  <si>
    <t>fiifacil investimentos rendaextra rendapassiva fiis ações</t>
  </si>
  <si>
    <t>fiifacil investimentos rendaextra rendapassiva b3 ações fiis</t>
  </si>
  <si>
    <t>fiifacil investimentos rendaextra rendapassiva</t>
  </si>
  <si>
    <t>fiifacil investimentos rendaextra ações b3 rendapassiva renda fiis</t>
  </si>
  <si>
    <t>fiifacil investimentos b3 rendaextra fiis renda ações ibovespa fii</t>
  </si>
  <si>
    <t>fiifacil investimentos rendaextra b3 ações fiis ibovespa</t>
  </si>
  <si>
    <t>fiifacil investimentos rendaextra b3 ações</t>
  </si>
  <si>
    <t>fiifacil rendaextra rendapassiva b3 fiis ações investimentos</t>
  </si>
  <si>
    <t>rendaextra dinheiro internet dinheiroonline curso cursos faturar independenciafinanceira</t>
  </si>
  <si>
    <t>afiliados marketingdigital rendaextra negóciosonline joacytrajano programadeafiliados</t>
  </si>
  <si>
    <t>crypto criptomoeda investimento solana ethereum evolua prosperidade rendaextra</t>
  </si>
  <si>
    <t>crypto binance bitcoin rendaextra investimento dolar</t>
  </si>
  <si>
    <t>rendaextraemcasa bolonopotegourmet</t>
  </si>
  <si>
    <t>rendaextra acervoplr dinheiroonline</t>
  </si>
  <si>
    <t>acervoplr rendaextra ganhardinheiroonline</t>
  </si>
  <si>
    <t>dinheiro rendaextra empreendedorismo plr spiderman trabalho</t>
  </si>
  <si>
    <t>rendaextra dinheiro money extraincome</t>
  </si>
  <si>
    <t>kwai baixeokwai rendaextra babado</t>
  </si>
  <si>
    <t>rendaextra sdm money dinheiro</t>
  </si>
  <si>
    <t>gamenft game ganhedinheironainternet free crypto btc trx usdt pagando rendaextra duarteafo ganhedinheiro</t>
  </si>
  <si>
    <t>gamenft game ganhedinheironainternet free crypto btc trx usdt pagando rendaextra duarteafo</t>
  </si>
  <si>
    <t>ovos pascoa ovosdapascoa rendaextra receita bbb23</t>
  </si>
  <si>
    <t>páscoa rendaextra ovosdecolher ovosdepascoa bbb23</t>
  </si>
  <si>
    <t>gotchosen rendaextra</t>
  </si>
  <si>
    <t>fortunetigre grana dinheiro slots rendaextra plataforma sorte ganhar</t>
  </si>
  <si>
    <t>fortunetiger tigre fortune slots plataforma dinheiro rendaextra</t>
  </si>
  <si>
    <t>slot bets10 fortune jogo jogos renda rendaextra dinheiro</t>
  </si>
  <si>
    <t>jogos dinheiro renda grana rendaextra fortuneox rendaemcasa fortune</t>
  </si>
  <si>
    <t>dicas viagem rendaextra app produtoimportado</t>
  </si>
  <si>
    <t>gebeclipes viralvideo carros maquinas rendaextra</t>
  </si>
  <si>
    <t>conhecimento mentesmillonarias metadolar rendaextra pairicopaipobre venceronline aprendendoonline riqueza prosperidade deusnocomando</t>
  </si>
  <si>
    <t>rendaextra viral trend trending google</t>
  </si>
  <si>
    <t>tuesdayvibe dolar dollar rendaextra viral trending</t>
  </si>
  <si>
    <t>rendaextra dolar renda viral trending</t>
  </si>
  <si>
    <t>dolar rendaextra twitter viral trend</t>
  </si>
  <si>
    <t>rendaextra twitter viral trending trend</t>
  </si>
  <si>
    <t>xtwitter dollar rendaextra trending</t>
  </si>
  <si>
    <t>rendaextra crypto trending viral twitter</t>
  </si>
  <si>
    <t>rendaextra renda twitter viral trending</t>
  </si>
  <si>
    <t>rendaextra google trend viral renda</t>
  </si>
  <si>
    <t>dollar rendaextra dinheiro renda viral</t>
  </si>
  <si>
    <t>fridaymorning dollar rendaextra renda brasil</t>
  </si>
  <si>
    <t>dividas financas rendaextra</t>
  </si>
  <si>
    <t>rendaextra rendaextraonline rendaextra financas</t>
  </si>
  <si>
    <t>bolsafamilia rendaextra dinheiro ganhar</t>
  </si>
  <si>
    <t>marketing marketingdigital rendaextra</t>
  </si>
  <si>
    <t>dinheiro rendaextra opcoesbinarias</t>
  </si>
  <si>
    <t>bilionário milionário empreendedor eusoubilionario combília dinheiro bhfyp car vel rendaextra negócioonline vidadesucesso instagood rico força mulher empreendedorismo luxury digitalmarketing euro chegouaminhavez chefe brasil trabalho</t>
  </si>
  <si>
    <t>laser engraver brindes rendaextra</t>
  </si>
  <si>
    <t>laserpecker rendaextra brindes laser</t>
  </si>
  <si>
    <t>independenciafinaceira marketingdigital rendaextraemcasa mercadoafiliados</t>
  </si>
  <si>
    <t>petr4 ibovespa ibov educacaofinanceira bolsadevalores dividendos rendapassiva acoes dinheiro rendaextra</t>
  </si>
  <si>
    <t>rendaextra dinheiro milionario krystalatcannes ajax aespa</t>
  </si>
  <si>
    <t>táxi taxi taxipersonalizado heetch yango finanças dinheiro riqueza rendaextra horaextra trabalho investment investimento investir</t>
  </si>
  <si>
    <t>ganheparapararesponder rendaextra</t>
  </si>
  <si>
    <t>chamaprasaber rendaextra homeoffice façaseuhorario façaseudia façaquandoquiser corremeninas chamanochat</t>
  </si>
  <si>
    <t>patrimonio rendaextra viverderenda bancointer</t>
  </si>
  <si>
    <t>curso qualificação conquistar clientes rendaextra escritório contabilidade assuntos curso departamentocontábil departamentofiscal departamentopessoal</t>
  </si>
  <si>
    <t>quero vendasonline rendaextra empreendedor sucesso trabalheemcasa negóciosonline dinheiro liberdade metas obje</t>
  </si>
  <si>
    <t>fortune fortunetiger rendaextra</t>
  </si>
  <si>
    <t>afiliados marketingdeafiliados rendaextra oportunidades sucessoonline</t>
  </si>
  <si>
    <t>saúde suplementos rendaextra</t>
  </si>
  <si>
    <t>streamerbrasil rendaextra dinheirointernet twitch kick pcgamer trovo profissaogamer</t>
  </si>
  <si>
    <t>facavocemesmo rendaextra</t>
  </si>
  <si>
    <t>ondecomprar rendaextra slot</t>
  </si>
  <si>
    <t>rendaextra trabalheemcasa</t>
  </si>
  <si>
    <t>marketing marketingdigital vendasonline trabalhoemcasa rendaextraemcasa</t>
  </si>
  <si>
    <t>marketing marketingdigital vendasonline rendaextra marketing2023</t>
  </si>
  <si>
    <t>marketingdigital marketing vendasonline dinheiro rendaextra</t>
  </si>
  <si>
    <t>rendaextra milhasaereas</t>
  </si>
  <si>
    <t>rendaextra cartaodecreditogerarendaextra</t>
  </si>
  <si>
    <t>rendaextra milhasaereas cartaodecredito</t>
  </si>
  <si>
    <t>villamundicosmeticos villamundi perfumes perfumesimportados fragrancias fragranciasimportadas essenciaimportada negocioproprio vendadireta homeoffice renda rendaresidual rendapassiva lojavirtualgratis negocioonline ganhosonline rendaextra</t>
  </si>
  <si>
    <t>rendaextra happyfarming dinheirofacil nft</t>
  </si>
  <si>
    <t>bolsafamilia rendaextra itabira atilalemos itabiramg bh</t>
  </si>
  <si>
    <t>bolsafamilia rendaextra subsistencia auxilio brasil lula</t>
  </si>
  <si>
    <t>mkt marketingdigital vendernainternet rendaextra</t>
  </si>
  <si>
    <t>investimento mercadofinanceiro rendaextra mercadoamericano</t>
  </si>
  <si>
    <t>rendaextra rendafixa</t>
  </si>
  <si>
    <t>investimento rendaextra mercadofinanceiro investirnoexterior dividendos</t>
  </si>
  <si>
    <t>mercadoamericano rendaextra daytrade bolsadevalores</t>
  </si>
  <si>
    <t>trade investimentos investirnoexterior investirnosestadosunidos rendaextra trader</t>
  </si>
  <si>
    <t>ações stocks investimento investimentos mercadofinanceiro mercadodeações rendaextra rendapassiva juroscompostos rendimentos bolsadevalores investirnoexterior</t>
  </si>
  <si>
    <t>felipetitto mercedes carros viral tiktok rendaextra marketingdigital motivação baby online flyp fyp flypp virando</t>
  </si>
  <si>
    <t>rendaextra atacado relogios</t>
  </si>
  <si>
    <t>bijuteria brigadeiro rendaextra</t>
  </si>
  <si>
    <t>rendaextra ganhardinheironainternet ganhardinheiro</t>
  </si>
  <si>
    <t>rendaextra uber uberdriver ubermulher viral dicas</t>
  </si>
  <si>
    <t>ideiasincriveis rendaextra facavocemesmo passoapasso diy como flower</t>
  </si>
  <si>
    <t>defi investimento rendaextra</t>
  </si>
  <si>
    <t>shorts bombeirocivil rendaextra</t>
  </si>
  <si>
    <t>rendaextra educaçãofinanceira paçoca</t>
  </si>
  <si>
    <t>bmw 118i seminovos investimento rendaextra</t>
  </si>
  <si>
    <t>aplicativoparaganhardinheiro rendaextra</t>
  </si>
  <si>
    <t>façaevenda rendaextra ideiascriativas</t>
  </si>
  <si>
    <t>ganhardinheironainternet rendaextra rendaextraemcasa</t>
  </si>
  <si>
    <t>investimento rendaextra dinheiro pix</t>
  </si>
  <si>
    <t>façaevenda rendaextra culinariabrasileira sãopaulo brasil</t>
  </si>
  <si>
    <t>rendaextra salgados salgadinhos shorts</t>
  </si>
  <si>
    <t>sustentabilidade rendaextra conpartilhe diy shorts</t>
  </si>
  <si>
    <t>rendaextra ganhardinheiro tutorial</t>
  </si>
  <si>
    <t>rendaextra rendaextraemcasa dinheiroonline rendaextraemcasa</t>
  </si>
  <si>
    <t>nft rendaextra dinheiroonline dinheiroemcasa</t>
  </si>
  <si>
    <t>fofo rendaextra pascoa</t>
  </si>
  <si>
    <t>oreidoimportado rendaextra importados</t>
  </si>
  <si>
    <t>jogo casino bonus cupons rendaextra</t>
  </si>
  <si>
    <t>ovosdepascoa cursos chocolate pascoa</t>
  </si>
  <si>
    <t>bbb23 pascoa rendaextra chocolate</t>
  </si>
  <si>
    <t>empreenda rendaextra sejadiferente</t>
  </si>
  <si>
    <t>investidor daytrader swingtrader ações viverderenda rendavariavel liberdadefinanceira comoinvestir mercadofinanceiro dinheiroemcasa ibovespa bolsadevalores rendaextra dinheiro</t>
  </si>
  <si>
    <t>minumenergia planominum rendaextra parceirominum energialimpa indicouganhou economiadeenergia energiasolar sustentabilidade energialimpa empreendedor</t>
  </si>
  <si>
    <t>minumenergia planominum energiasolar parceirocomercial rendaextra faturamento economiadeenergia sustentabilidade energiaporassinatura energiarenovavel</t>
  </si>
  <si>
    <t>marketingdigital rendaextra dinheiro hotmart eduzz kiwify braip mentoria vendas brasil fofocas mulheresapaixonadas curiosidades</t>
  </si>
  <si>
    <t>rendaextra marketingdigital empreendedorismo o dinheiro sucesso empreender marketing rendaextraemcasa hotmart vendas</t>
  </si>
  <si>
    <t>palpite pitaco brasil marrocos rendaextra</t>
  </si>
  <si>
    <t>apostas brasil marrocos dinheiro rendaextra</t>
  </si>
  <si>
    <t>futebol trader brasil rendaextra</t>
  </si>
  <si>
    <t>designgrafico cursodedesign cursosonline criatividade oportunidade rendaextra</t>
  </si>
  <si>
    <t>atendentedefarmacia cursodefarmacia cursosonline medicamentos oportunidade rendaextra</t>
  </si>
  <si>
    <t>assistenteadministrativo cursodeadministracao cursosonline sucesso oportunidade rendaextra</t>
  </si>
  <si>
    <t>auxiliardeveterinario cursodeveterinaria cursosonline amorporanimais oportunidade rendaextra</t>
  </si>
  <si>
    <t>manutencaodecelulares cursodecelulares cursosonline tecnologia oportunidade rendaextra</t>
  </si>
  <si>
    <t>marketingdigital rendaextra twitterblue empreendedorismo dinheiro domingo internet</t>
  </si>
  <si>
    <t>apostas green brasil futebol trading tips dicas trader esporte rendaextra bet investimento betting ganhardinheiro</t>
  </si>
  <si>
    <t>afiliados marketingdigital marketing rendaextra afiliadosbrasil marketingdigitalbrasil marketingdeafiliados vendasonline dinheiro sucesso afiliadosiniciantes</t>
  </si>
  <si>
    <t>ganhedinheiro rendaextra homeoffice dinheirofacil aplicativosquepagam ganhedinheiroonline jogosquepagam ganhedinheiroemcasa parcerias ganhedinheirojogando</t>
  </si>
  <si>
    <t>rendaextra cassinobsd</t>
  </si>
  <si>
    <t>fortunetiger tigrinho jogodotigre rendaextra fortune fcklive</t>
  </si>
  <si>
    <t>fortunetiger tigrinho rendaextra</t>
  </si>
  <si>
    <t>motivação inspiração ruyter rendaextra</t>
  </si>
  <si>
    <t>motivação inspiração promote rendaextra</t>
  </si>
  <si>
    <t>apostas rendaextra</t>
  </si>
  <si>
    <t>fulldominical bisbeagustícortés rendaextra</t>
  </si>
  <si>
    <t>mercadodigital marketingdigital seguidores rendaextra vendasnoorganico independenciafinanceira</t>
  </si>
  <si>
    <t>mercadodigital marketingdigital seguidores rendaextra</t>
  </si>
  <si>
    <t>desemprego marketing marketingdigital rendaextra</t>
  </si>
  <si>
    <t>sexo dinheiro twitch brazil saopaulo rendaextra</t>
  </si>
  <si>
    <t>emprego profissão dinheiro beleza rendaextra ganhardinheiro</t>
  </si>
  <si>
    <t>rendaextra blaze double marketingdigital</t>
  </si>
  <si>
    <t>quotex iq iqoption alavancagem rendaextra lucrando mercadogfinanceiro</t>
  </si>
  <si>
    <t>forex mercadofinanceiro daytrader trader rendapassiva rendaextra fundamentalista pib bbb23 forapaula</t>
  </si>
  <si>
    <t>kiwify kiwifybrasil kiwifyvendas plrs beneficios ganhosonline rendaextra rapido facil</t>
  </si>
  <si>
    <t>marketingdigital rendaextra metodomulhermilionaria</t>
  </si>
  <si>
    <t>marketing afiliados rendaextra</t>
  </si>
  <si>
    <t>homeoffice rendaextra</t>
  </si>
  <si>
    <t>criptomoedas btc bnbchain rendaextra tokens</t>
  </si>
  <si>
    <t>motivacao empreendedorismo motivacional frasesmotivacionais empreender naodesista afiliados afiliado afiliadosbrasil hotmart afiliadohotmart rendaextra ganhardinheiroonline ganhardinheiro liberdadefin</t>
  </si>
  <si>
    <t>rendaextra cursopratico bbb23</t>
  </si>
  <si>
    <t>cursosobrancelhas rendaextra cursoonline trends</t>
  </si>
  <si>
    <t>censuranao rendaextra trabalheemcasa</t>
  </si>
  <si>
    <t>marketing rendaextra trabalhemecasa</t>
  </si>
  <si>
    <t>trabalhoemcasa dinheiroonline dinheiro rendaextra renda sucesso mindset liberdadefinanceira empreendedorismo</t>
  </si>
  <si>
    <t>rendaextra dinheiro home trabalheemcasa internet viral</t>
  </si>
  <si>
    <t>oportunidade empreendedorismo novoscaminhos rendaextra</t>
  </si>
  <si>
    <t>rendaextra empreendedorismo loteria cassino roleta</t>
  </si>
  <si>
    <t>empreendedorismo rendaextra cassino loteria roleta</t>
  </si>
  <si>
    <t>advogado marketingdigital brasil rendaextra</t>
  </si>
  <si>
    <t>brasil advogado jackinthebox1stanniversary rendaextra</t>
  </si>
  <si>
    <t>championsleague rendaextra</t>
  </si>
  <si>
    <t>locaçãodeimóveis rendaextra</t>
  </si>
  <si>
    <t>rendaextra dinheiro dinheironainternet marketing investing trafegoorganico investimento</t>
  </si>
  <si>
    <t>rendaextra cursos marketing trabalheemcasa</t>
  </si>
  <si>
    <t>educacaofinanceira financas economia planejamento dinheiro prosperidade rendaextra empreendedorismo</t>
  </si>
  <si>
    <t>ondecomprar rendaextra marketingdigital</t>
  </si>
  <si>
    <t>dinheiro investimento jogos rendaextra</t>
  </si>
  <si>
    <t>dinheiro apostas jogosonline rendaextra</t>
  </si>
  <si>
    <t>rendaextra mktdigital mmm milionario clareza metodo</t>
  </si>
  <si>
    <t>rendaextra rendaextraemcasa rendaonline</t>
  </si>
  <si>
    <t>rendaextra rendaextraemcasa renda mesadinhaextra milionário mentemilionaria</t>
  </si>
  <si>
    <t>rendaextra dinheiroextra rendaextraemcasa rendaextraonline rendaonline mentemillonaria mesadinhaextra</t>
  </si>
  <si>
    <t>dinheiroextra rendaextra rendaextraemcasa rendaonline mktdigitalbrasil mktdigital milionario</t>
  </si>
  <si>
    <t>afiliado marketing rendaextra primeiravenda marketingdigital</t>
  </si>
  <si>
    <t>bigwin slotonline rendaextra apostasegura bet double</t>
  </si>
  <si>
    <t>investimentos rendaextra aposentadoria</t>
  </si>
  <si>
    <t>econoweek tesourodireto rendaextra</t>
  </si>
  <si>
    <t>econoweek rendaextra juntardinheiro</t>
  </si>
  <si>
    <t>tesourodireto rendaextra tesourorenda</t>
  </si>
  <si>
    <t>rendaextra rendamensal finanças</t>
  </si>
  <si>
    <t>investimentos rendaextra selic</t>
  </si>
  <si>
    <t>rendaextra praia finanças</t>
  </si>
  <si>
    <t>investimentos econoweek rendaextra</t>
  </si>
  <si>
    <t>queijo rendaextra cursos</t>
  </si>
  <si>
    <t>lisboa portugal evento liberdadefinanceira rendaextra dinheiro</t>
  </si>
  <si>
    <t>engenheiroeco homeoffice rendaextra marketingdeafiliados</t>
  </si>
  <si>
    <t>ganhardinheiroonline trabalharemcasa negócioonline marketingdigital afiliados empreendedorismodigital rendaextra freelancer dropshipping vendasonline</t>
  </si>
  <si>
    <t>trabalharemcasa negócioonline marketingdigital afiliados empreendedorismodigital rendaextra freelancer dropshipping vendasonline</t>
  </si>
  <si>
    <t>dinheirorapido rendaextra trabalhoemcasa</t>
  </si>
  <si>
    <t>rendaextra dinheiro appquepaga rendaemcasa</t>
  </si>
  <si>
    <t>designdesobrancelhas sobrancelhas sobrancelhasperfeitas micropigmentation depilacióndefinitiva viralvideo rendaextra</t>
  </si>
  <si>
    <t>viralvideo instagram rendaextra formatosobrancelha investimentosinteligentes bellezanatural instagram brownlashextensions browntiktok brownlipliner</t>
  </si>
  <si>
    <t>designdesobrancelhas sobrancelhas sobrancelhasperfeitas o micropigmentacao sobrancelhaslindas rendaextra</t>
  </si>
  <si>
    <t>hoodbet rendaextra jogospagando dinheiroonline</t>
  </si>
  <si>
    <t>spacedadomi rendaextra</t>
  </si>
  <si>
    <t>unhas manicure pedicure alongamento curso rendaextra</t>
  </si>
  <si>
    <t>rendaextra tiger</t>
  </si>
  <si>
    <t>blaze double rendaextra</t>
  </si>
  <si>
    <t>rendaextra marketingmultinivel investimentos acremmn</t>
  </si>
  <si>
    <t>criptomoneda rendaextra dinheirofácil dinheiro</t>
  </si>
  <si>
    <t>rendaextra criptovalute dinheiro</t>
  </si>
  <si>
    <t>rendaextra ganhardinheiro marketingdigital</t>
  </si>
  <si>
    <t>bomdia apostaonline cassino rendaextra</t>
  </si>
  <si>
    <t>jogosgratis robots slotsenang77 rendaextra viral2023 carnaval2023</t>
  </si>
  <si>
    <t>rendaextra nails naildeavidrio mulheresbrasileiras</t>
  </si>
  <si>
    <t>rendaextra unhas ondecompro cursos</t>
  </si>
  <si>
    <t>larissamanoela andressaurach appgringo rendaextra mulheresbrasileiras virginia mcloma dinheiro trabalheemcasa</t>
  </si>
  <si>
    <t>doces chocolate rendaextra</t>
  </si>
  <si>
    <t>marketingdeconteudo trabalharemcasa motiva rendaextraemcasa</t>
  </si>
  <si>
    <t>rendaextra lilnasxnomultishow</t>
  </si>
  <si>
    <t>rendaextra marketingdigital ganhardinheiro</t>
  </si>
  <si>
    <t>mulheresdeterminadas autocuidado mudançapositiva rendaextra invistaemvocê</t>
  </si>
  <si>
    <t>rendaextra rendaonline appgringo streamer</t>
  </si>
  <si>
    <t>familia rendaextra chocolatecompimenta chocolatefactory alfajores browns mulheres dinheiro</t>
  </si>
  <si>
    <t>rendaextra jogosremunerados plataformalucrativas</t>
  </si>
  <si>
    <t>rendaextra trumparraignmentday theerastour our_universe_tzuyu</t>
  </si>
  <si>
    <t>homeoffice trabalhoremoto mercado economia marketing marketingdigital bemestar trabalho rendaextra industria</t>
  </si>
  <si>
    <t>shorts rendaextra fit</t>
  </si>
  <si>
    <t>shorts rendaextra</t>
  </si>
  <si>
    <t>confeitaria cursodeconfeitaria rendaextra ganhedinheiro</t>
  </si>
  <si>
    <t>investimentosbrasileexterior investimentobrasil investimentoexterior investimentoimobiliario fundoimobiliário fundosimobiliários fiisparaleigos fiis rendavariável rendaextra</t>
  </si>
  <si>
    <t>investimentosbrasileexterior investimentobrasil investimentoexterior investimentoimobiliario fundoimobiliário fundosimobiliários fiisparaleigos fiis rendavariável rendaextra rendapassiva bolsadevalores fii</t>
  </si>
  <si>
    <t>investimentosbrasileexterior investimentobrasil investimentoexterior investimentoimobiliario fundoimobiliário fundosimobiliários fiisparaleigos fiis rendavariável rendaextra rendapassiva bolsadevalores fii longoprazo dividendos</t>
  </si>
  <si>
    <t>finanças dinheiro investimentos rendaativa rendapassiva rendaextra</t>
  </si>
  <si>
    <t>rendaextra rendapassiva viverderenda investimentos rendimentos b3 lucro lucrocrescente dy dividendyield bbse3 bbseguridade bb bancodobrasil financeiro previdencia seguros seguradora</t>
  </si>
  <si>
    <t>investimentosbrasileexterior investimentobrasil investimentoexterior investimentoimobiliario fundoimobiliário fundosimobiliários fiisparaleigos fiis rendavariável rendaextra rendapassiva bolsadevalores</t>
  </si>
  <si>
    <t>investimentosbrasileexterior investimentobrasil investimentoexterior investimentoimobiliario fundoimobiliário fundosimobiliários fiisparaleigos fiis rendavariável rendaextra rendapassiva</t>
  </si>
  <si>
    <t>rendaextra afiliadadesucesso marketing sucesso</t>
  </si>
  <si>
    <t>mercadopago emprestimo rendaextra</t>
  </si>
  <si>
    <t>rendaextra marketingdigital tailandia marketingdigital liberdade tiktok</t>
  </si>
  <si>
    <t>hukafalls rendaextra marketingdigital newzealand tiktok</t>
  </si>
  <si>
    <t>marketingdigital rendaextra viajarmais tiktok</t>
  </si>
  <si>
    <t>gamblecitybrasil gamblecitybr rendaextraemcasa cassino cassinoonline roletabrasil roletaonline ganhardinheiro</t>
  </si>
  <si>
    <t>rendaextraemcasa cassino cassinoonline roletabrasil roletaonline bbbb23</t>
  </si>
  <si>
    <t>rendaextra ganhardinheirojogando</t>
  </si>
  <si>
    <t>rendaextra homework</t>
  </si>
  <si>
    <t>empoderamentofinanceiro rendaextra autonomia</t>
  </si>
  <si>
    <t>timevencedor rendaextra trajetóriadesucesso</t>
  </si>
  <si>
    <t>oportunidadedeouro rendaextra</t>
  </si>
  <si>
    <t>futuropromissor rendaextra sucessofinanceiro</t>
  </si>
  <si>
    <t>transformesuarealidade rendaextra futuropróspero</t>
  </si>
  <si>
    <t>semlimites rendaextra objetivosalcançados</t>
  </si>
  <si>
    <t>potencialfinanceiro rendaextra liberdade</t>
  </si>
  <si>
    <t>oportunidadeúnica rendaextra novopatamar</t>
  </si>
  <si>
    <t>potencializeseusganhos rendaextra estabilidadefinanceira</t>
  </si>
  <si>
    <t>realizaçãodossonhos rendaextra sucesso</t>
  </si>
  <si>
    <t>donododestino rendaextra futuropróspero</t>
  </si>
  <si>
    <t>aproveiteasoportunidades rendaextra futurobrilhante</t>
  </si>
  <si>
    <t>viradadejogo rendaextra vencer</t>
  </si>
  <si>
    <t>dinheirotrabalhando rendaextra objetivosfinanceiros</t>
  </si>
  <si>
    <t>liberdadefinanceira rendaextra vidapróspera</t>
  </si>
  <si>
    <t>aumentesuarenda rendaextra perspectivafinanceira</t>
  </si>
  <si>
    <t>independênciafinanceira rendaextra sucesso</t>
  </si>
  <si>
    <t>desejosfinanceiros rendaextra sucesso</t>
  </si>
  <si>
    <t>rendaextra conquistas objetivos</t>
  </si>
  <si>
    <t>tempolivre rendaextra estabilidadefinanceira</t>
  </si>
  <si>
    <t>vidafinanceira rendaextra mudançadevida</t>
  </si>
  <si>
    <t>liberdadefinanceira rendaextra invistaemvocê</t>
  </si>
  <si>
    <t>oportunidade rendaextra sucessofinanceiro</t>
  </si>
  <si>
    <t>invistaemvocê rendaextra colhaosfrutos</t>
  </si>
  <si>
    <t>adeuspreocupações rendaextra novoshorizontes</t>
  </si>
  <si>
    <t>oportunidadesdeprosperar rendaextra alcanceseusobjetivos</t>
  </si>
  <si>
    <t>dinheirotrabalhando rendaextra liberdadefinanceira</t>
  </si>
  <si>
    <t>controlefinanceiro rendaextra estabilidade</t>
  </si>
  <si>
    <t>futurofinanceiro rendaextra basesólida</t>
  </si>
  <si>
    <t>nãodeixeseussonhosesperando rendaextra metas</t>
  </si>
  <si>
    <t>ganhardinheirointeligente rendaextra potencializerecursos</t>
  </si>
  <si>
    <t>superedesafios rendaextra solução</t>
  </si>
  <si>
    <t>tempolivre rendaextra ganheenquantodesfruta</t>
  </si>
  <si>
    <t>investimentoperfeito rendaextra resultadospromissores</t>
  </si>
  <si>
    <t>potencialdeganhos rendaextra novasoportunidades</t>
  </si>
  <si>
    <t>futurosólido rendaextra objetivosdelongoprazo</t>
  </si>
  <si>
    <t>dinheirotrabalhandoparavocê rendaextra aproveiteaomáximo</t>
  </si>
  <si>
    <t>segredoparaganharmais rendaextra impulsioneseusrendimentos</t>
  </si>
  <si>
    <t>protagonistafinanceiro rendaextra prosperidade</t>
  </si>
  <si>
    <t>caminhoparaosucesso rendaextra realizações</t>
  </si>
  <si>
    <t>liberdadefinanceira rendaextra possibilidades</t>
  </si>
  <si>
    <t>supereseuslimites rendaextra novasalturas</t>
  </si>
  <si>
    <t>ganhardinheiro dinheiro rendaextra</t>
  </si>
  <si>
    <t>negocios empreender digital online negocios rendaextra</t>
  </si>
  <si>
    <t>negocios empreender investir investimentos rendaextra</t>
  </si>
  <si>
    <t>dinheiro riqueza rendaextra investir investimentos</t>
  </si>
  <si>
    <t>dinheiro investir poupanca rendaextra financas</t>
  </si>
  <si>
    <t>relacionamento financas dinheiro investir negocios rendaextra</t>
  </si>
  <si>
    <t>cãesegatos pósgraduação curso rendaextra</t>
  </si>
  <si>
    <t>bbb23 sobrancelha curso rendaextra dinheiro empreendedorismo</t>
  </si>
  <si>
    <t>design curso cursos marketing rendaextra rendapassiva empreendedorismo aprender</t>
  </si>
  <si>
    <t>apostasesportivas rendaextra dinheiro sonhos future</t>
  </si>
  <si>
    <t>casaino blaze bet365 win rendaextra dinheiro apostas ganhar</t>
  </si>
  <si>
    <t>metodo blaze cassino bet365 betano rendaextra homeoffice decasa tips bet win</t>
  </si>
  <si>
    <t>rendaextra granaextra primeiravenda eduzz</t>
  </si>
  <si>
    <t>simpatiasdagaucha dinheiroinesperado prosperidade magiadosalgrosso simpatiasdeprosperidade atrairdinheiro magiabranca rendaextra abundância</t>
  </si>
  <si>
    <t>rendaextra empreendedorismo dicasdesucesso ganhardinheiro</t>
  </si>
  <si>
    <t>dicasdesucesso rendaextra ganhardinheiro</t>
  </si>
  <si>
    <t>isenção imposto rendaextra doenca trabalho tendinite lesão</t>
  </si>
  <si>
    <t>rendaextra dinheiro money</t>
  </si>
  <si>
    <t>investimentos fiis dividendos rendapassiva rendavariável rendaextra</t>
  </si>
  <si>
    <t>investimentos fiis dividendos rendavariável rendapassiva rendaextra</t>
  </si>
  <si>
    <t>dropshipping dinheiro rendaextra motivacao</t>
  </si>
  <si>
    <t>vencemos dinheiro rendaextra</t>
  </si>
  <si>
    <t>plataformas2023 rendaextra grammys2023 redebbb bbb2023 rabaawadrs</t>
  </si>
  <si>
    <t>dinheiro apostas lobo888 rendaextra ukrainerussianwar jupiter dieforyouremix trabalhandodecasa</t>
  </si>
  <si>
    <t>pânico internet rendaextra golpe segurança</t>
  </si>
  <si>
    <t>aposentadoria futuro filhos investimento rendaextra</t>
  </si>
  <si>
    <t>planilhas análise fiis ações mercado b3 investimentos rendaextra</t>
  </si>
  <si>
    <t>marketplaces mercadolivre shopee ecommerce dropshiping vendas rendaextra dinheironainternet</t>
  </si>
  <si>
    <t>opulodogato shopee mercadolivre ecommerce dropshiping vendasonline rendaextra dinheironainternet</t>
  </si>
  <si>
    <t>pascoa páscoa ovodepascoa chocolate rendaextra</t>
  </si>
  <si>
    <t>cursodigital dinheiroonline rendaextra</t>
  </si>
  <si>
    <t>marketingdigital rendaextra groaja championsleague 100hrs dinheiro motivation</t>
  </si>
  <si>
    <t>investiremdolar rendafixa rendaextra</t>
  </si>
  <si>
    <t>ondecomprar rendaextra ganhardinheiro appcash</t>
  </si>
  <si>
    <t>rendaextra aplicativogringo appgringoquepaga livuyaar</t>
  </si>
  <si>
    <t>tiktok rendaextra</t>
  </si>
  <si>
    <t>rendaextra infoproduto</t>
  </si>
  <si>
    <t>pis pasep rendaextra</t>
  </si>
  <si>
    <t>dinheiro internet habilidades freelancer afiliado conteúdo pesquisa rendaextra online trabalho capcut workana 99freelas fivver design tradução consultoria pesquisas</t>
  </si>
  <si>
    <t>vagas pedreiro riodejaneiro rendaextra pedreiro ajudante currículo</t>
  </si>
  <si>
    <t>pris dinheiro lula sucesso stf dinheironobolso prisão rendaextra brasil dinheirocomatitude prisãopreventiva foco prisãodomiciliar</t>
  </si>
  <si>
    <t>rendaextra pascoa</t>
  </si>
  <si>
    <t>apostas cassino blaze codigopromocional slots bonus rendaextra pagando</t>
  </si>
  <si>
    <t>apostas cassino blaze codigopromocional slots bonus rendaextra pagando fortuneox fortunetiger boi</t>
  </si>
  <si>
    <t>fortunemouse fortune slots cassino dinheiroonline blaze apostas rendaextra</t>
  </si>
  <si>
    <t>barbieempoderada inteligenciafinanceira rendaextra girlpower</t>
  </si>
  <si>
    <t>renda ganhardinheiro cursos curso cripto rendaextra trabalho trabalhoonline</t>
  </si>
  <si>
    <t>https://hotm.art/Segredo_do_Sucesso_Online https://www.instagram.com/reel/Cq_WRixAlaS/?igshid=MDJmNzVkMjY=</t>
  </si>
  <si>
    <t>https://youtu.be/BhTRCS_4S8Q https://bit.ly/3zJVoGh</t>
  </si>
  <si>
    <t>https://youtu.be/cVpA13U7YvM https://www.instagram.com/danielguido https://www.facebook.com/danielguidot</t>
  </si>
  <si>
    <t>http://BC.Game https://bc.ai/i-brlc6lh4kex-n/?p=https://raf.bc.ai/</t>
  </si>
  <si>
    <t>http://DesentupidoradaRegiao.com.br https://www.freeclassificados.com/ads/desentupidora-sao-jose-dos-pinhais-desentupidoradaregiao-com-br/</t>
  </si>
  <si>
    <t>http://DesentupidoradaRegiao.com.br https://www.freeclassificados.com/ads/desentupidora-sao-jose-dos-pinhais-desentupidoradaregiao-com-br-2/</t>
  </si>
  <si>
    <t>http://DesentupidoraCuritiba.com https://www.freeclassificados.com/ads/desentupidoracuritiba-com-locacao-de-caminhao-limpa-fossa/</t>
  </si>
  <si>
    <t>https://api.whatsapp.com/send/?phone=5547988388801 https://www.instagram.com/reel/CsLsRhXN4Uz/?igshid=MTVlNTYxMjY2ZQ==</t>
  </si>
  <si>
    <t>https://r.honeygain.me/MATHE16772 https://www.youtube.com/watch?v=s-LVO8V9hO4</t>
  </si>
  <si>
    <t>https://reidobemestar.com.br/aula%20bonus.html https://www.instagram.com/reel/Cr5mnrEtNXI/?igshid=Y2Q0NmNiMjc3NQ==</t>
  </si>
  <si>
    <t>http://bit.ly/3ZhMxFJ http://bit.ly/3Zff3ba http://bit.ly/3SuEGCP http://bit.ly/3xMxFnj</t>
  </si>
  <si>
    <t>https://gtex1.app.link/telegram https://www.youtube.com/watch?v=dZWSkJGeYNY&amp;t=39s</t>
  </si>
  <si>
    <t>https://api.whatsapp.com/send?phone=5519983245780 https://ev.braip.com/ref?pv=pro43we1&amp;af=afi38zx88</t>
  </si>
  <si>
    <t>https://bit.ly/3qShN2y https://bit.ly/44xfUWZ https://bit.ly/44wEKWL</t>
  </si>
  <si>
    <t>https://bit.ly/3qShN2y https://bit.ly/44xfUWZ</t>
  </si>
  <si>
    <t>https://faucetpay.io/?r=4025972 https://coinpayz.xyz/?r=534627 https://coinpayz.xyz/?r=534627</t>
  </si>
  <si>
    <t>https://poplottery.com/#/register?r_code=Gk19z65914 https://t.me/EspecialistaAmandinhaWingo</t>
  </si>
  <si>
    <t>https://t.me/+rIMsCKlZCVw1ZGQx https://mestredosbots.online</t>
  </si>
  <si>
    <t>http://bit.ly/metodoupgreen http://mestredosbots.online</t>
  </si>
  <si>
    <t>http://t.me/aviatorgreen_v http://mestredosbots.online</t>
  </si>
  <si>
    <t>https://t.me/aviatorgreen_vip https://mestredosbots.online</t>
  </si>
  <si>
    <t>http://Slip.stream https://slip.stream/tracks/c3ff7c9b-b946-49c6-9e2e-4d1a20651a21</t>
  </si>
  <si>
    <t>https://youtu.be/P76yEonD03w https://youtu.be/G-SALwWnpfk</t>
  </si>
  <si>
    <t>https://pay.hotmart.com/E82565042E?checkoutMode=10 https://t.me/aviatorAutomate</t>
  </si>
  <si>
    <t>Https://Bit.ly/Feoon</t>
  </si>
  <si>
    <t>https://hotm.art/sddm9a https://hotm.art/vHDM8Tq2</t>
  </si>
  <si>
    <t>https://earn-35efg.beauty/898944326753/?s=tg https://game.wingdas5.com/?code=nhpsry https://referme.to/jonathasdebritob-9</t>
  </si>
  <si>
    <t>https://youtu.be/gsF4_cS7a7g https://bit.ly/3Lp8ajY</t>
  </si>
  <si>
    <t>https://youtu.be/X4E5_n0XnXw https://bit.ly/3KczyRi https://chat.whatsapp.com/DoqPUUoSTSl4EKkzuoxpFc</t>
  </si>
  <si>
    <t>https://youtu.be/sQKzGuLOX-k https://bit.ly/APEXONE https://bit.ly/APEXGRUPO https://youtu.be/sQKzGuLOX-k</t>
  </si>
  <si>
    <t>https://youtu.be/sJ35yshGAOk https://shaobank.com/?upline=JzFbKSRbdrQg2xIQ https://chat.whatsapp.com/C75ZU4taP706fhadIiLRX8</t>
  </si>
  <si>
    <t>https://youtu.be/r-sHXqwNBWw https://bit.ly/3KMgdp3 https://chat.whatsapp.com/C75ZU4taP706fhadIiLRX8</t>
  </si>
  <si>
    <t>https://youtu.be/eq16XkFX8xA https://www.seekglobalnetwork.com/join.php?linkoficial https://chat.whatsapp.com/K1fHaWwtVXk3uUGUxqQuad</t>
  </si>
  <si>
    <t>https://bit.ly/APEXONE https://bit.ly/APEXGRUPO https://youtu.be/Q-cvg3x2qDY</t>
  </si>
  <si>
    <t>https://youtu.be/ClTh0bV6Wbg https://bit.ly/3KMgdp3</t>
  </si>
  <si>
    <t>https://youtu.be/-oufXgNTW-c https://bit.ly/APEXONE https://bit.ly/APEXGRUPO</t>
  </si>
  <si>
    <t>https://bit.ly/3Lp8ajY https://chat.whatsapp.com/K1fHaWwtVXk3uUGUxqQuad</t>
  </si>
  <si>
    <t>https://youtu.be/JJjuWKnWofQ https://chat.whatsapp.com/Bfe2mHgYuKnDP84bqqD080 https://apexone.ai/pt/invite/RE1WHXRJR</t>
  </si>
  <si>
    <t>https://youtu.be/1thWKmk42WU https://bit.ly/APEXONE https://bit.ly/APEXGRUPO</t>
  </si>
  <si>
    <t>https://youtu.be/YzM4iHY4xBQ https://bit.ly/3KMgdp3 https://chat.whatsapp.com/C75ZU4taP706fhadIiLRX8</t>
  </si>
  <si>
    <t>https://br777.bet/index.html?code=3038833 https://luckyslots.vip/index.html?code=9469576 https://ba96.xyz/index.html?code=1069110 https://fieryslots.club/index.html?code=685806</t>
  </si>
  <si>
    <t>https://18214.com/index.html?code=1386957 https://br8.bet/index.html?code=1765675 https://timi.bet/index.html?code=662718</t>
  </si>
  <si>
    <t>https://vm.tiktok.com/ZM2tCDB8N/ https://t.me/iadoubleprofree</t>
  </si>
  <si>
    <t>http://www.jogoerenda.com.br https://jogoerenda.com.br/</t>
  </si>
  <si>
    <t>https://lnkd.in/dZFUicZk https://lnkd.in/dt2_d-ne</t>
  </si>
  <si>
    <t>https://lnkd.in/dwXqmQXW https://lnkd.in/djfgBsH9</t>
  </si>
  <si>
    <t>https://youtu.be/Xlt0fcAxxAc https://play-arcana.online/?id=5505 https://payeer.com/?session=29188190</t>
  </si>
  <si>
    <t>https://vvwon09.com?inviteCode=UrXLkbOe https://vvwon09.com?inviteCode=UrXLkbOe</t>
  </si>
  <si>
    <t>http://proxy.bra999game.com:8180/apk_proxy/apk/download.html?accountId=325421 https://youtu.be/-XQtAKgM178</t>
  </si>
  <si>
    <t>https://www.bbrbet.com/c-tdBs5if9?lang=pt https://www.bbrbet.com/c-tdBs5if9?lang=pt https://www.bbrbet.com/c-tdBs5if9?lang=pt</t>
  </si>
  <si>
    <t>https://youtu.be/cvB9NZr2LNU https://hotm.art/H33XhdZr</t>
  </si>
  <si>
    <t>https://youtu.be/Y5NjTXH6kb4 https://hotm.art/H33XhdZr</t>
  </si>
  <si>
    <t>https://www.gogowin.com/?agentid=64771445 https://www.amazonjogo01.com/?inviteCode=D19ATRKQ https://www.lobo888.co/?code=dagmkp</t>
  </si>
  <si>
    <t>https://www.youtube.com/watch?v=B5qSHEp3CyQ https://hotm.art/NnGGoRP</t>
  </si>
  <si>
    <t>girobet777.com</t>
  </si>
  <si>
    <t>instabio.cc</t>
  </si>
  <si>
    <t>orbitpages.online</t>
  </si>
  <si>
    <t>hotm.art instagram.com</t>
  </si>
  <si>
    <t>i3d.me</t>
  </si>
  <si>
    <t>typeform.com</t>
  </si>
  <si>
    <t>eduzz.com</t>
  </si>
  <si>
    <t>youtu.be bit.ly</t>
  </si>
  <si>
    <t>sweatco.in</t>
  </si>
  <si>
    <t>youtu.be</t>
  </si>
  <si>
    <t>contate.me</t>
  </si>
  <si>
    <t>instagram.com</t>
  </si>
  <si>
    <t>hotmart.com</t>
  </si>
  <si>
    <t>com.br</t>
  </si>
  <si>
    <t>youtu.be instagram.com facebook.com</t>
  </si>
  <si>
    <t>leilaodescomplicado.com</t>
  </si>
  <si>
    <t>clika.la</t>
  </si>
  <si>
    <t>gotchosen.com</t>
  </si>
  <si>
    <t>medium.com</t>
  </si>
  <si>
    <t>5017777.com</t>
  </si>
  <si>
    <t>poplottery.com</t>
  </si>
  <si>
    <t>hotm.art</t>
  </si>
  <si>
    <t>blogspot.com</t>
  </si>
  <si>
    <t>honeygain.me</t>
  </si>
  <si>
    <t>01sotem1.com</t>
  </si>
  <si>
    <t>nxnbet.com</t>
  </si>
  <si>
    <t>funbrl.com</t>
  </si>
  <si>
    <t>topbets.live</t>
  </si>
  <si>
    <t>abre.bio</t>
  </si>
  <si>
    <t>bit.ly</t>
  </si>
  <si>
    <t>kiwify.app</t>
  </si>
  <si>
    <t>metodotop.store</t>
  </si>
  <si>
    <t>edzz.la</t>
  </si>
  <si>
    <t>gostaslot.com</t>
  </si>
  <si>
    <t>panda05.com</t>
  </si>
  <si>
    <t>odysee.com</t>
  </si>
  <si>
    <t>confira.site</t>
  </si>
  <si>
    <t>bc.game bc.ai</t>
  </si>
  <si>
    <t>bc.ai</t>
  </si>
  <si>
    <t>braip.com</t>
  </si>
  <si>
    <t>wa.me</t>
  </si>
  <si>
    <t>bbrbet.com</t>
  </si>
  <si>
    <t>escolaparaesteticistas.com</t>
  </si>
  <si>
    <t>sosobrancelhasperfeitas.com</t>
  </si>
  <si>
    <t>yezpro.com</t>
  </si>
  <si>
    <t>brfilms-fund.com</t>
  </si>
  <si>
    <t>doppus.com</t>
  </si>
  <si>
    <t>wjbet.com</t>
  </si>
  <si>
    <t>facebook.com</t>
  </si>
  <si>
    <t>inovelweb.com</t>
  </si>
  <si>
    <t>f2tips.com</t>
  </si>
  <si>
    <t>ysense.com</t>
  </si>
  <si>
    <t>wordpress.com</t>
  </si>
  <si>
    <t>kwai.app</t>
  </si>
  <si>
    <t>binaryetrade.com</t>
  </si>
  <si>
    <t>clubewin.com</t>
  </si>
  <si>
    <t>lobo8888.com</t>
  </si>
  <si>
    <t>bee-economia.com</t>
  </si>
  <si>
    <t>flordelisdistribuidora.com</t>
  </si>
  <si>
    <t>lmwr.com</t>
  </si>
  <si>
    <t>kwai-video.com</t>
  </si>
  <si>
    <t>linktr.ee</t>
  </si>
  <si>
    <t>l1nk.dev</t>
  </si>
  <si>
    <t>iilion01.com</t>
  </si>
  <si>
    <t>youtube.com</t>
  </si>
  <si>
    <t>brlwin.com</t>
  </si>
  <si>
    <t>google.com</t>
  </si>
  <si>
    <t>tiktok.com</t>
  </si>
  <si>
    <t>only777.com</t>
  </si>
  <si>
    <t>freeclassificados.com</t>
  </si>
  <si>
    <t>com.br freeclassificados.com</t>
  </si>
  <si>
    <t>desentupidoracuritiba.com freeclassificados.com</t>
  </si>
  <si>
    <t>buff.ly</t>
  </si>
  <si>
    <t>t.me</t>
  </si>
  <si>
    <t>tv.br</t>
  </si>
  <si>
    <t>logo8888.com</t>
  </si>
  <si>
    <t>tinyurl.com</t>
  </si>
  <si>
    <t>whatsapp.com instagram.com</t>
  </si>
  <si>
    <t>r7.com</t>
  </si>
  <si>
    <t>honeygain.me youtube.com</t>
  </si>
  <si>
    <t>somee.social</t>
  </si>
  <si>
    <t>payhip.com</t>
  </si>
  <si>
    <t>dicasdomesticas.com</t>
  </si>
  <si>
    <t>reidosartigos.com</t>
  </si>
  <si>
    <t>instagr.am</t>
  </si>
  <si>
    <t>lnkd.in</t>
  </si>
  <si>
    <t>com.br instagram.com</t>
  </si>
  <si>
    <t>bit.ly bit.ly bit.ly bit.ly</t>
  </si>
  <si>
    <t>bingo-spin.com</t>
  </si>
  <si>
    <t>binance.com</t>
  </si>
  <si>
    <t>whiteclub.tech</t>
  </si>
  <si>
    <t>ift.tt</t>
  </si>
  <si>
    <t>brabet.com</t>
  </si>
  <si>
    <t>encur.me</t>
  </si>
  <si>
    <t>braxbet.com</t>
  </si>
  <si>
    <t>freecash.com</t>
  </si>
  <si>
    <t>pin.it</t>
  </si>
  <si>
    <t>neofund-br.com</t>
  </si>
  <si>
    <t>xn--visoremota-h5a.com</t>
  </si>
  <si>
    <t>awsglobalaccelerator.com</t>
  </si>
  <si>
    <t>pagazani.com</t>
  </si>
  <si>
    <t>v.show</t>
  </si>
  <si>
    <t>app.link youtube.com</t>
  </si>
  <si>
    <t>app.link</t>
  </si>
  <si>
    <t>whatsapp.com</t>
  </si>
  <si>
    <t>whatsapp.com braip.com</t>
  </si>
  <si>
    <t>ganharnasredes.com</t>
  </si>
  <si>
    <t>bit.ly bit.ly bit.ly</t>
  </si>
  <si>
    <t>bit.ly bit.ly</t>
  </si>
  <si>
    <t>faucetpay.io coinpayz.xyz coinpayz.xyz</t>
  </si>
  <si>
    <t>coinpayz.xyz</t>
  </si>
  <si>
    <t>agclarion.com</t>
  </si>
  <si>
    <t>poplottery.com t.me</t>
  </si>
  <si>
    <t>e2a.app</t>
  </si>
  <si>
    <t>folhageral.com</t>
  </si>
  <si>
    <t>carlamicaela.com</t>
  </si>
  <si>
    <t>wooeen.com</t>
  </si>
  <si>
    <t>lnk.bio</t>
  </si>
  <si>
    <t>ganharnoinsta.com</t>
  </si>
  <si>
    <t>adscash-ikr.buzz</t>
  </si>
  <si>
    <t>apax-br.com</t>
  </si>
  <si>
    <t>allarticle.org</t>
  </si>
  <si>
    <t>mycollection.shop</t>
  </si>
  <si>
    <t>wix.to</t>
  </si>
  <si>
    <t>dicasfederal.com</t>
  </si>
  <si>
    <t>run.app</t>
  </si>
  <si>
    <t>seudinheiro.com</t>
  </si>
  <si>
    <t>viamais.net</t>
  </si>
  <si>
    <t>lobo888.co</t>
  </si>
  <si>
    <t>wa.link</t>
  </si>
  <si>
    <t>popstarwinner.com</t>
  </si>
  <si>
    <t>adjust.com</t>
  </si>
  <si>
    <t>321859f.xyz</t>
  </si>
  <si>
    <t>riorush.com</t>
  </si>
  <si>
    <t>t.me mestredosbots.online</t>
  </si>
  <si>
    <t>bit.ly mestredosbots.online</t>
  </si>
  <si>
    <t>bet7k.com</t>
  </si>
  <si>
    <t>win2023.com</t>
  </si>
  <si>
    <t>shre.ink</t>
  </si>
  <si>
    <t>page.link</t>
  </si>
  <si>
    <t>bitly.ws</t>
  </si>
  <si>
    <t>curtlink.com</t>
  </si>
  <si>
    <t>igonovel.cc</t>
  </si>
  <si>
    <t>trilhacerta.com</t>
  </si>
  <si>
    <t>juntosbet.com</t>
  </si>
  <si>
    <t>vvwon04.com</t>
  </si>
  <si>
    <t>triunfo777.com</t>
  </si>
  <si>
    <t>jogajunto.net</t>
  </si>
  <si>
    <t>bio.site</t>
  </si>
  <si>
    <t>herospark.co</t>
  </si>
  <si>
    <t>realmidiacenter.com</t>
  </si>
  <si>
    <t>egoi.page</t>
  </si>
  <si>
    <t>slip.stream slip.stream</t>
  </si>
  <si>
    <t>paidviewpoint.com</t>
  </si>
  <si>
    <t>blaze-1.com</t>
  </si>
  <si>
    <t>suarifa.digital</t>
  </si>
  <si>
    <t>youtu.be youtu.be</t>
  </si>
  <si>
    <t>abre.ai</t>
  </si>
  <si>
    <t>com.vc</t>
  </si>
  <si>
    <t>clinicawashingtonamancio.com</t>
  </si>
  <si>
    <t>estrelabetpartners.com</t>
  </si>
  <si>
    <t>hotmart.com t.me</t>
  </si>
  <si>
    <t>imetway.com</t>
  </si>
  <si>
    <t>rafaelcarvalho.tv</t>
  </si>
  <si>
    <t>wingdas6.com</t>
  </si>
  <si>
    <t>justtrack.io</t>
  </si>
  <si>
    <t>aajogo.com</t>
  </si>
  <si>
    <t>afun.io</t>
  </si>
  <si>
    <t>oclub.io</t>
  </si>
  <si>
    <t>wgbet555.com</t>
  </si>
  <si>
    <t>peer2profit.app</t>
  </si>
  <si>
    <t>felinodelia.com</t>
  </si>
  <si>
    <t>144bet6.com</t>
  </si>
  <si>
    <t>hotm.art hotm.art</t>
  </si>
  <si>
    <t>adrianosanttos.com</t>
  </si>
  <si>
    <t>gcloot.com</t>
  </si>
  <si>
    <t>gemly.gg</t>
  </si>
  <si>
    <t>oriflame.com</t>
  </si>
  <si>
    <t>truh.xyz</t>
  </si>
  <si>
    <t>ow.ly</t>
  </si>
  <si>
    <t>earn-35efg.beauty wingdas5.com referme.to</t>
  </si>
  <si>
    <t>youtu.be bit.ly whatsapp.com</t>
  </si>
  <si>
    <t>youtu.be bit.ly bit.ly youtu.be</t>
  </si>
  <si>
    <t>youtu.be shaobank.com whatsapp.com</t>
  </si>
  <si>
    <t>youtu.be seekglobalnetwork.com whatsapp.com</t>
  </si>
  <si>
    <t>bit.ly bit.ly youtu.be</t>
  </si>
  <si>
    <t>youtu.be bit.ly bit.ly</t>
  </si>
  <si>
    <t>bit.ly whatsapp.com</t>
  </si>
  <si>
    <t>youtu.be whatsapp.com apexone.ai</t>
  </si>
  <si>
    <t>pombabet.com</t>
  </si>
  <si>
    <t>bityli.com</t>
  </si>
  <si>
    <t>shope.ee</t>
  </si>
  <si>
    <t>linkr.bio</t>
  </si>
  <si>
    <t>frpromotora.com</t>
  </si>
  <si>
    <t>brking777.com</t>
  </si>
  <si>
    <t>gssf.vip</t>
  </si>
  <si>
    <t>br777.bet luckyslots.vip ba96.xyz fieryslots.club</t>
  </si>
  <si>
    <t>18214.com br8.bet timi.bet</t>
  </si>
  <si>
    <t>cartoesdecredito.me</t>
  </si>
  <si>
    <t>org.br</t>
  </si>
  <si>
    <t>granaturbinada.com</t>
  </si>
  <si>
    <t>calica777slots.com</t>
  </si>
  <si>
    <t>p9uu.com</t>
  </si>
  <si>
    <t>tiktok.com t.me</t>
  </si>
  <si>
    <t>ocapital.digital</t>
  </si>
  <si>
    <t>king718.com</t>
  </si>
  <si>
    <t>com.br com.br</t>
  </si>
  <si>
    <t>lnkd.in lnkd.in</t>
  </si>
  <si>
    <t>bbspremios.bet</t>
  </si>
  <si>
    <t>777jogo.com</t>
  </si>
  <si>
    <t>cincoin.asia</t>
  </si>
  <si>
    <t>bear777slots.com</t>
  </si>
  <si>
    <t>akfbet.com</t>
  </si>
  <si>
    <t>blaze.com</t>
  </si>
  <si>
    <t>prateleiraonline.shop</t>
  </si>
  <si>
    <t>sshortly.net</t>
  </si>
  <si>
    <t>hoteis.com</t>
  </si>
  <si>
    <t>jogos365.love</t>
  </si>
  <si>
    <t>migxs.com</t>
  </si>
  <si>
    <t>spreaker.com</t>
  </si>
  <si>
    <t>gbctlatina.com</t>
  </si>
  <si>
    <t>bralucky.com</t>
  </si>
  <si>
    <t>youtu.be play-arcana.online payeer.com</t>
  </si>
  <si>
    <t>win2023.biz</t>
  </si>
  <si>
    <t>vvwon09.com vvwon09.com</t>
  </si>
  <si>
    <t>brpatroa.com</t>
  </si>
  <si>
    <t>codbet568.com</t>
  </si>
  <si>
    <t>otimoestar.com</t>
  </si>
  <si>
    <t>321809f.xyz</t>
  </si>
  <si>
    <t>aliexpress.com</t>
  </si>
  <si>
    <t>fineslotsbet.com</t>
  </si>
  <si>
    <t>respondent.io</t>
  </si>
  <si>
    <t>bra999game.com youtu.be</t>
  </si>
  <si>
    <t>reviewprodutos.com</t>
  </si>
  <si>
    <t>bbrbet.com bbrbet.com bbrbet.com</t>
  </si>
  <si>
    <t>sejahojediferente.com</t>
  </si>
  <si>
    <t>betrebels.com</t>
  </si>
  <si>
    <t>affiliatesrebels.com</t>
  </si>
  <si>
    <t>chillbet.top</t>
  </si>
  <si>
    <t>escoladevencedores.net</t>
  </si>
  <si>
    <t>dlvr.it</t>
  </si>
  <si>
    <t>mla.bs</t>
  </si>
  <si>
    <t>engenheiroeco.com</t>
  </si>
  <si>
    <t>youtu.be hotm.art</t>
  </si>
  <si>
    <t>tr.ee</t>
  </si>
  <si>
    <t>hood.bet</t>
  </si>
  <si>
    <t>firebets.bet</t>
  </si>
  <si>
    <t>e.vg</t>
  </si>
  <si>
    <t>rotate4all.com</t>
  </si>
  <si>
    <t>neuroflash.com</t>
  </si>
  <si>
    <t>gogowin.com amazonjogo01.com lobo888.co</t>
  </si>
  <si>
    <t>sssgamendl.com</t>
  </si>
  <si>
    <t>linkme.bio</t>
  </si>
  <si>
    <t>mpago.li</t>
  </si>
  <si>
    <t>taniapaula.com</t>
  </si>
  <si>
    <t>youtube.com hotm.art</t>
  </si>
  <si>
    <t>beacons.ai</t>
  </si>
  <si>
    <t>adv.br</t>
  </si>
  <si>
    <t>lobo888.cc</t>
  </si>
  <si>
    <t>ifishmaster.xyz</t>
  </si>
  <si>
    <t>workshopdantas damadeferroofic</t>
  </si>
  <si>
    <t>lulaoficial workshopdantas</t>
  </si>
  <si>
    <t>workshopdantas roxmo</t>
  </si>
  <si>
    <t>workshopdantas rmotta2</t>
  </si>
  <si>
    <t>adelaidededs mariesteine2022</t>
  </si>
  <si>
    <t>felipeneto jonvlog</t>
  </si>
  <si>
    <t>metropoles felipeneto</t>
  </si>
  <si>
    <t>storyhorror_ak crimesreais</t>
  </si>
  <si>
    <t>mercadolivre mercadopago</t>
  </si>
  <si>
    <t>https://t.co/uwloZURt66 https://t.co/uwloZURt66 https://pbs.twimg.com/media/Fn7SJ0dWIAACyCn.jpg https://pbs.twimg.com/media/Fn7SKAjXwAAmjia.jpg</t>
  </si>
  <si>
    <t>https://t.co/pzNzUhNtoj https://pbs.twimg.com/ext_tw_video_thumb/1685278331128762369/pu/img/rpQ5HU4pKr3NByS5.jpg</t>
  </si>
  <si>
    <t>https://t.co/DIqdInjMnF https://pbs.twimg.com/ext_tw_video_thumb/1691140415636828160/pu/img/EmpwXGZw77-J8u21.jpg</t>
  </si>
  <si>
    <t>https://t.co/aWCf5RYwND https://pbs.twimg.com/ext_tw_video_thumb/1691100883382108162/pu/img/l9UF_BlF5x8SRA0u.jpg</t>
  </si>
  <si>
    <t>https://t.co/Dsf0qY8KOj https://pbs.twimg.com/ext_tw_video_thumb/1687905305261223936/pu/img/nzScCjtk0hSLJaOa.jpg</t>
  </si>
  <si>
    <t>https://t.co/nJ7RVoiXmE https://pbs.twimg.com/ext_tw_video_thumb/1647117010382249985/pu/img/9l8kxgWSalsYaZqP.jpg</t>
  </si>
  <si>
    <t>https://t.co/6HQNaRLAaK https://pbs.twimg.com/media/FwGpMCQX0AEHW3o.jpg</t>
  </si>
  <si>
    <t>https://t.co/hfYiIlxLbl https://pbs.twimg.com/media/Fs_wiN8WcAEdHfU.jpg</t>
  </si>
  <si>
    <t>https://t.co/GfyNbvCTrM https://pbs.twimg.com/ext_tw_video_thumb/1658497929865228293/pu/img/wJTrzL2mnKD6_X8z.jpg</t>
  </si>
  <si>
    <t>https://t.co/WDdxOTdIxn https://pbs.twimg.com/ext_tw_video_thumb/1658270763307130880/pu/img/FIfJd9c07zrQRZrC.jpg</t>
  </si>
  <si>
    <t>https://t.co/G7hX4kfwx4 https://pbs.twimg.com/ext_tw_video_thumb/1653822607945347074/pu/img/kY8lnDJXV83MjQkY.jpg</t>
  </si>
  <si>
    <t>https://t.co/t9i1Xmpa1D https://pbs.twimg.com/media/FqKSAsyXoAQOS7l.jpg</t>
  </si>
  <si>
    <t>https://t.co/TcEMYelMsO https://pbs.twimg.com/ext_tw_video_thumb/1647589769638035456/pu/img/uOXrsoW-J8NZZrWF.jpg</t>
  </si>
  <si>
    <t>https://t.co/RtojuhVwiY https://pbs.twimg.com/media/F0oxsJWXwAAHEPO.jpg</t>
  </si>
  <si>
    <t>https://t.co/HJ1xvnAijd https://pbs.twimg.com/media/F480CAaWUAAuypq.jpg</t>
  </si>
  <si>
    <t>https://t.co/LhSpENtyfk https://pbs.twimg.com/media/F0UDHP_WcAETTEu.jpg</t>
  </si>
  <si>
    <t>https://t.co/EwRUTO6PDn https://pbs.twimg.com/media/F0Wz3S7WYAEMjKJ.jpg</t>
  </si>
  <si>
    <t>https://t.co/HtH4zx7Ww9 https://pbs.twimg.com/media/F1L5uMiXwAA7b6n.jpg</t>
  </si>
  <si>
    <t>https://t.co/0MZSzw6QYZ https://pbs.twimg.com/media/Fz4cTy-WAAAyoS1.jpg</t>
  </si>
  <si>
    <t>https://t.co/XgXfHwTTrT https://pbs.twimg.com/media/FzT8gx8X0AAmXA9.jpg</t>
  </si>
  <si>
    <t>https://t.co/u9eGOMqOJK https://pbs.twimg.com/ext_tw_video_thumb/1671809347079352320/pu/img/kQfJyiAxFoIcJkNt.jpg</t>
  </si>
  <si>
    <t>https://t.co/3OB5uSL7mV https://pbs.twimg.com/media/F2Ry7Z7WoAAf3CK.jpg</t>
  </si>
  <si>
    <t>https://t.co/9vvIwWS4BC https://pbs.twimg.com/media/F2Jq6CIW8AErywy.jpg</t>
  </si>
  <si>
    <t>https://t.co/4EntvUx5x3 https://pbs.twimg.com/media/F2mYIsiWAAAkCGn.jpg</t>
  </si>
  <si>
    <t>https://t.co/iyGf390NfC https://pbs.twimg.com/media/F0ctmdZXoBABbGe.jpg</t>
  </si>
  <si>
    <t>https://t.co/tbrQ1ro5XK https://pbs.twimg.com/media/F3Hsrz-WUAA9uzQ.jpg</t>
  </si>
  <si>
    <t>https://t.co/pBl6NYO43Y https://pbs.twimg.com/media/F1-4khSWYBMxYqS.jpg</t>
  </si>
  <si>
    <t>https://t.co/YJxecaHNVu https://pbs.twimg.com/ext_tw_video_thumb/1676925913680732161/pu/img/auHiGkOFKj5vWk50.jpg</t>
  </si>
  <si>
    <t>https://t.co/0AgvU5Qs6V https://pbs.twimg.com/ext_tw_video_thumb/1695498260515897344/pu/img/D9dyvUnixrVDxRH-.jpg</t>
  </si>
  <si>
    <t>https://t.co/Jn1VFjqI6D https://pbs.twimg.com/media/F27R72-WcAAg1e6.jpg</t>
  </si>
  <si>
    <t>https://t.co/FdRtUQamKf https://pbs.twimg.com/media/Fy_cJa2WwAIZD8X.jpg</t>
  </si>
  <si>
    <t>https://t.co/k0XrsdlBg3 https://pbs.twimg.com/ext_tw_video_thumb/1697046918260514816/pu/img/Vpphe4P5YQrR9O6L.jpg</t>
  </si>
  <si>
    <t>https://t.co/UXJs4EeW4d https://pbs.twimg.com/ext_tw_video_thumb/1691190329557266432/pu/img/eONzu8cW6VqxEj63.jpg</t>
  </si>
  <si>
    <t>https://t.co/oE10jlhelS https://pbs.twimg.com/ext_tw_video_thumb/1700080934509293568/pu/img/dLiOmVo27lMHXlhf.jpg</t>
  </si>
  <si>
    <t>https://t.co/NVb1lZNpvD https://pbs.twimg.com/media/F3PkWJ8XAAIt02P.jpg</t>
  </si>
  <si>
    <t>https://t.co/EMYCzYnzkq https://pbs.twimg.com/media/F2dg2scX0Bs6Fz9.jpg</t>
  </si>
  <si>
    <t>https://t.co/7ymvCdMR0e https://pbs.twimg.com/ext_tw_video_thumb/1679773089247244289/pu/img/90AHLegsthhBQeU-.jpg</t>
  </si>
  <si>
    <t>https://t.co/gk7zyXgS8I https://pbs.twimg.com/media/FzzVxytXwAAcXyL.jpg</t>
  </si>
  <si>
    <t>https://t.co/unvRGl3ha1 https://pbs.twimg.com/media/FvSCclJWIAABsPS.jpg</t>
  </si>
  <si>
    <t>https://t.co/9c530JLDOP https://pbs.twimg.com/ext_tw_video_thumb/1639333057239842822/pu/img/JQ6wkCLvUcyTP2Xj.jpg</t>
  </si>
  <si>
    <t>https://t.co/YCx5SLrYWC https://pbs.twimg.com/media/FrPEW6GXwAAS5_J.jpg</t>
  </si>
  <si>
    <t>https://t.co/VVKizpHEWz https://pbs.twimg.com/ext_tw_video_thumb/1671572803319996438/pu/img/aMHSZur26Il0cKO5.jpg</t>
  </si>
  <si>
    <t>https://t.co/8sWqtKA2JK https://pbs.twimg.com/media/Fv4GVOXXwAASrr9.jpg</t>
  </si>
  <si>
    <t>https://t.co/dULntOIoOm https://t.co/dULntOIoOm https://t.co/dULntOIoOm https://t.co/dULntOIoOm https://pbs.twimg.com/media/F1qEhUMX0AE848d.jpg https://pbs.twimg.com/media/F1qEh_1XwAAMyOf.jpg https://pbs.twimg.com/media/F1qEi_BXgAAv0EA.jpg https://pbs.twimg.com/media/F1qEkZaWYAAJvV1.jpg</t>
  </si>
  <si>
    <t>https://t.co/0YnPX3RH1P https://pbs.twimg.com/ext_tw_video_thumb/1676690843036467200/pu/img/m_evDsf76b6McrIs.jpg</t>
  </si>
  <si>
    <t>https://t.co/xZVgJI60pC https://pbs.twimg.com/ext_tw_video_thumb/1620449610014629888/pu/img/oQ2LyTPaZxZ8xOHm.jpg</t>
  </si>
  <si>
    <t>https://t.co/9VsAa0ZUt8 https://pbs.twimg.com/media/FpVPLVUWAAI0Dpv.jpg</t>
  </si>
  <si>
    <t>https://t.co/U1PUnV3ksL https://pbs.twimg.com/ext_tw_video_thumb/1628716211159683075/pu/img/ElsklIqDrzc2gkG-.jpg</t>
  </si>
  <si>
    <t>https://t.co/9w6x2qewpE https://pbs.twimg.com/media/FoSLo9PXwAA69dP.jpg</t>
  </si>
  <si>
    <t>https://t.co/F5Yy4xnOep https://pbs.twimg.com/media/Fu0eOf-WwAktgRL.jpg</t>
  </si>
  <si>
    <t>https://t.co/HMmz91C3WO https://pbs.twimg.com/ext_tw_video_thumb/1655693066290823169/pu/img/DIsSCwF-uRp-sueB.jpg</t>
  </si>
  <si>
    <t>https://t.co/I5GR6phHWx https://pbs.twimg.com/media/FogjjQCXsAErzGX.jpg</t>
  </si>
  <si>
    <t>https://t.co/E6fTJWC17J https://pbs.twimg.com/media/FtXvxS-WYAESeTD.jpg</t>
  </si>
  <si>
    <t>https://t.co/9ZDdl5qMEo https://t.co/9ZDdl5qMEo https://pbs.twimg.com/media/F22Wa6UXUAA1FiB.jpg https://pbs.twimg.com/media/F22WbMQXcAAl2qX.jpg</t>
  </si>
  <si>
    <t>https://t.co/XvWrOD6jCC https://pbs.twimg.com/media/F1AtcXRX0AUEd39.jpg</t>
  </si>
  <si>
    <t>https://t.co/LVjflWHqZZ https://pbs.twimg.com/media/FzoqESZWIAITJi9.jpg</t>
  </si>
  <si>
    <t>https://t.co/uQ39WlOdHx https://pbs.twimg.com/media/Fzt_ZtEX0AU2FFW.jpg</t>
  </si>
  <si>
    <t>https://t.co/iFqamgxLxw https://pbs.twimg.com/ext_tw_video_thumb/1666970948048650242/pu/img/AlWPDwKFgR44XRnO.jpg</t>
  </si>
  <si>
    <t>https://t.co/hVdazW1PzS https://pbs.twimg.com/ext_tw_video_thumb/1666746687598088192/pu/img/RRV988_tI3eI0XlR.jpg</t>
  </si>
  <si>
    <t>https://t.co/8npzLJSIj9 https://t.co/8npzLJSIj9 https://t.co/8npzLJSIj9 https://pbs.twimg.com/media/Fqqpu_6WAAASkbB.jpg https://pbs.twimg.com/media/FqqpvLgWcAED9ow.jpg https://pbs.twimg.com/media/FqqpvW5X0AES3b_.jpg</t>
  </si>
  <si>
    <t>https://t.co/i5Ds904kmG https://pbs.twimg.com/media/FoILWHFXwAkYfXg.jpg</t>
  </si>
  <si>
    <t>https://t.co/akwrEEuknu https://pbs.twimg.com/ext_tw_video_thumb/1631123048437805056/pu/img/CxOq3NYA9uhBhJFf.jpg</t>
  </si>
  <si>
    <t>https://t.co/AD5FEyloNa https://pbs.twimg.com/media/Fv3HlFyXgAAQnyp.jpg</t>
  </si>
  <si>
    <t>https://t.co/mcFK2Bi29B https://pbs.twimg.com/media/Fvxy-CZWwAcWijA.jpg</t>
  </si>
  <si>
    <t>https://t.co/CclJV57t2Z https://pbs.twimg.com/media/FwGq3sxXoAEGcph.jpg</t>
  </si>
  <si>
    <t>https://t.co/bvjWFoogwX https://pbs.twimg.com/ext_tw_video_thumb/1666150760365555733/pu/img/qSHpCnZyEfU7zKwS.jpg</t>
  </si>
  <si>
    <t>https://t.co/zo8Rvp2EIV https://pbs.twimg.com/ext_tw_video_thumb/1666147268531978248/pu/img/K-3AHukOOQXJh_5y.jpg</t>
  </si>
  <si>
    <t>https://t.co/VwTArcLt6m https://pbs.twimg.com/ext_tw_video_thumb/1685388877362601984/pu/img/IMWKBPfDVXSD6vZU.jpg</t>
  </si>
  <si>
    <t>https://t.co/sF4imgQnwK https://pbs.twimg.com/media/F4-hoxlW0AApAnw.jpg</t>
  </si>
  <si>
    <t>https://t.co/zM8kERLyiY https://pbs.twimg.com/media/FwW-9kDXsAAIqLP.jpg</t>
  </si>
  <si>
    <t>https://t.co/qsRRgr9EvB https://pbs.twimg.com/media/FsvJhxqWcAAAsv6.jpg</t>
  </si>
  <si>
    <t>https://t.co/KuzrYb3zzT https://pbs.twimg.com/ext_tw_video_thumb/1692545595196481536/pu/img/d8PIH-R6-7vnmKNt.jpg</t>
  </si>
  <si>
    <t>https://t.co/Kd9OOmi0nd https://pbs.twimg.com/ext_tw_video_thumb/1684608820528414737/pu/img/1QpnTG1gORATD9uf.jpg</t>
  </si>
  <si>
    <t>https://t.co/6Bwd9yEvM0 https://pbs.twimg.com/ext_tw_video_thumb/1684140699740938241/pu/img/9_wr3U2wEj1kOrcL.jpg</t>
  </si>
  <si>
    <t>https://t.co/VqUpdq2MHm https://pbs.twimg.com/media/F0I0aCKWcAYVnVn.jpg</t>
  </si>
  <si>
    <t>https://t.co/1z95LLcWJP https://pbs.twimg.com/media/F0Iy_GJWwAIFz5k.jpg</t>
  </si>
  <si>
    <t>https://t.co/CJOG3sIw5d https://pbs.twimg.com/media/F5M00EbXYAA18bj.jpg</t>
  </si>
  <si>
    <t>https://t.co/4Aqqi3KYTq https://pbs.twimg.com/ext_tw_video_thumb/1676582848948469761/pu/img/VCb6ArLoFst4r6Sp.jpg</t>
  </si>
  <si>
    <t>https://t.co/CllvHnJ0IT https://pbs.twimg.com/media/Fzn6brEWAAAPhCQ.jpg</t>
  </si>
  <si>
    <t>https://t.co/J53s1aETG5 https://pbs.twimg.com/ext_tw_video_thumb/1679463776607666178/pu/img/SYBrejU71VK4xH-b.jpg</t>
  </si>
  <si>
    <t>https://t.co/dTa2OBZu71 https://pbs.twimg.com/media/F5e-xkiWkAAFghT.jpg</t>
  </si>
  <si>
    <t>https://t.co/pXD9H0Pnkv https://pbs.twimg.com/media/F5dxNESXoAA8oWb.jpg</t>
  </si>
  <si>
    <t>https://t.co/T6gBEKiYUX https://pbs.twimg.com/ext_tw_video_thumb/1695604326893240321/pu/img/NrpkkK-b58dRWMCc.jpg</t>
  </si>
  <si>
    <t>https://t.co/i3aZBuzrQA https://pbs.twimg.com/media/F58GxDbXQAAjroW.jpg</t>
  </si>
  <si>
    <t>https://t.co/WoIopHkeee https://pbs.twimg.com/media/Fz0TkIbWYAAonGl.jpg</t>
  </si>
  <si>
    <t>https://t.co/DfPYR2XL0b https://pbs.twimg.com/ext_tw_video_thumb/1625541213620252672/pu/img/3oaiigKrC-MH-1Si.jpg</t>
  </si>
  <si>
    <t>https://t.co/MvecHuQMU1 https://pbs.twimg.com/media/F1gTvJgWAAAQ93O.jpg</t>
  </si>
  <si>
    <t>https://t.co/40hTs15SsT https://pbs.twimg.com/media/FwQPsqPaAAAtWw-.jpg</t>
  </si>
  <si>
    <t>https://t.co/j4KoJBG597 https://pbs.twimg.com/media/FyYKJKTXsAEvRb1.jpg</t>
  </si>
  <si>
    <t>https://t.co/njWht7Em0M https://pbs.twimg.com/ext_tw_video_thumb/1672293117364453384/pu/img/c7eQh9UFS4Aq9Yx4.jpg</t>
  </si>
  <si>
    <t>https://t.co/Xz0TGOSoXK https://pbs.twimg.com/ext_tw_video_thumb/1674482912098394140/pu/img/DR7Cm-_-h9nr05ES.jpg</t>
  </si>
  <si>
    <t>https://t.co/zyJDyTCcLk https://pbs.twimg.com/ext_tw_video_thumb/1646555399271641088/pu/img/p5EFChq0Bt8SXBy1.jpg</t>
  </si>
  <si>
    <t>https://t.co/J0zNhXi77A https://pbs.twimg.com/ext_tw_video_thumb/1635806751004950529/pu/img/l5Cxcspzq4nZ9kDG.jpg</t>
  </si>
  <si>
    <t>https://t.co/21U8Ul5exd https://pbs.twimg.com/ext_tw_video_thumb/1640149387379634178/pu/img/E4Y-2YmqaIDRN2VK.jpg</t>
  </si>
  <si>
    <t>https://t.co/unVR37CHoT https://pbs.twimg.com/media/F1jbsmcXsAIayyJ.jpg</t>
  </si>
  <si>
    <t>https://t.co/IVd7uKc0ZU https://pbs.twimg.com/ext_tw_video_thumb/1697104208170725376/pu/img/DvsQU-gqIYXsHftr.jpg</t>
  </si>
  <si>
    <t>https://t.co/E4tiKIBgxz https://pbs.twimg.com/media/FqYzVYGXgAMndw3.jpg</t>
  </si>
  <si>
    <t>https://t.co/8eCxDr2aVM https://pbs.twimg.com/media/F11u5EjXgAE9tf_.jpg</t>
  </si>
  <si>
    <t>https://t.co/cqkwoFlyKk https://pbs.twimg.com/ext_tw_video_thumb/1621566255416152066/pu/img/_h5-FF2XyNcqoeVM.jpg</t>
  </si>
  <si>
    <t>https://t.co/U7OrWrzSGk https://pbs.twimg.com/media/Fo2iw_rWAAc1FMJ.jpg</t>
  </si>
  <si>
    <t>https://t.co/0b2MtvXtJr https://pbs.twimg.com/media/FqY9CwRWwAEkvJB.jpg</t>
  </si>
  <si>
    <t>https://t.co/bGb5Hbne0I https://pbs.twimg.com/media/FpvRxOPXoAACh5A.jpg</t>
  </si>
  <si>
    <t>https://t.co/KQnoTbncdm https://pbs.twimg.com/media/FooIBETWAAgFTlh.jpg</t>
  </si>
  <si>
    <t>https://t.co/7q9P2hQkHG https://pbs.twimg.com/media/FpVy-uTWYAA6xof.jpg</t>
  </si>
  <si>
    <t>https://t.co/RVQiKG9pMy https://pbs.twimg.com/media/FrRCySpWIAMkH3C.jpg</t>
  </si>
  <si>
    <t>https://t.co/hTQlH0ZnGj https://pbs.twimg.com/media/FrchHMZX0AArNyB.jpg</t>
  </si>
  <si>
    <t>https://t.co/lnMO6Atu7N https://pbs.twimg.com/media/Fr_hvPyWAAUAzx2.png</t>
  </si>
  <si>
    <t>https://t.co/uTRKrTbnFq https://pbs.twimg.com/media/FrwUs3lWAAEBRCV.jpg</t>
  </si>
  <si>
    <t>https://t.co/GSDRFZGZtm https://pbs.twimg.com/media/FspKn1aWcAE5bNA.png</t>
  </si>
  <si>
    <t>https://t.co/UbTmtNDNBf https://pbs.twimg.com/media/F6BpXI2XIAACuVV.jpg</t>
  </si>
  <si>
    <t>https://t.co/BMxXqu5dCj https://pbs.twimg.com/media/F2D9tOJWUAAdYmi.jpg</t>
  </si>
  <si>
    <t>https://t.co/OyB6dVpcOa https://pbs.twimg.com/ext_tw_video_thumb/1674157889185824771/pu/img/qNMe86LVnrj8gtbP.jpg</t>
  </si>
  <si>
    <t>https://t.co/dgu8vvsnPu https://pbs.twimg.com/ext_tw_video_thumb/1684807414539841536/pu/img/CZFowbtW1VAGWGn2.jpg</t>
  </si>
  <si>
    <t>https://t.co/ju0RFsFvdo https://pbs.twimg.com/media/F5GVPmAWsAAUJGg.jpg</t>
  </si>
  <si>
    <t>https://t.co/X3wj7X9MDr https://pbs.twimg.com/media/F6T2EdCXUAAqVjG.jpg</t>
  </si>
  <si>
    <t>https://t.co/GBsHh9uVp2 https://pbs.twimg.com/media/F6Zbi-1WsAABl5Z.jpg</t>
  </si>
  <si>
    <t>https://t.co/yuZ3Yjyjt4 https://pbs.twimg.com/ext_tw_video_thumb/1704149300219912192/pu/img/k28-qcZ1RcCspq7a.jpg</t>
  </si>
  <si>
    <t>https://t.co/ohZLeCXhBC https://pbs.twimg.com/ext_tw_video_thumb/1699860266819710976/pu/img/pZDKBMhipQQVzCiM.jpg</t>
  </si>
  <si>
    <t>https://t.co/S0928QCipj https://pbs.twimg.com/media/F0eRAVmX0AIghYO.jpg</t>
  </si>
  <si>
    <t>https://t.co/7imyCsHNZ2 https://t.co/7imyCsHNZ2 https://t.co/7imyCsHNZ2 https://pbs.twimg.com/media/Fz5IktbWcAMQAHA.jpg https://pbs.twimg.com/media/Fz5Ik9MWYAci8Dj.jpg https://pbs.twimg.com/media/Fz5IlOMWYAI1ccz.jpg</t>
  </si>
  <si>
    <t>https://t.co/2tR8iHB91Q https://pbs.twimg.com/ext_tw_video_thumb/1670154601343995905/pu/img/Us3hmrSfQ55hQM20.jpg</t>
  </si>
  <si>
    <t>https://t.co/YTup76jqi5 https://pbs.twimg.com/media/F0m43gsWcAA-GN7.jpg</t>
  </si>
  <si>
    <t>https://t.co/D5M5QCsnLS https://pbs.twimg.com/ext_tw_video_thumb/1664631010489769986/pu/img/g2BAddenvuVlI5iF.jpg</t>
  </si>
  <si>
    <t>https://t.co/xGg9Xc2tTM https://pbs.twimg.com/ext_tw_video_thumb/1663186623855468548/pu/img/89wxup8as79Dv84v.jpg</t>
  </si>
  <si>
    <t>https://t.co/rE2Dfx2oUD https://pbs.twimg.com/ext_tw_video_thumb/1664357741496770560/pu/img/COM69iVBr_eGzktb.jpg</t>
  </si>
  <si>
    <t>https://t.co/8vw7TITqjx https://pbs.twimg.com/ext_tw_video_thumb/1621537213442887682/pu/img/ru_cF9P5jz07REGu.jpg</t>
  </si>
  <si>
    <t>https://t.co/ErS8oo6aq4 https://t.co/ErS8oo6aq4 https://t.co/ErS8oo6aq4 https://pbs.twimg.com/media/FzrKSiQXgAIik3F.jpg https://pbs.twimg.com/media/FzrKSuvWAAEZxry.jpg https://pbs.twimg.com/media/FzrKS8kXoAAmEe7.jpg</t>
  </si>
  <si>
    <t>https://t.co/qLWPKoxOm5 https://pbs.twimg.com/media/Fuq3NK2WwAgH1uW.jpg</t>
  </si>
  <si>
    <t>https://t.co/K3eOCP8g8k https://pbs.twimg.com/media/FuqzuWCXsAMJME4.jpg</t>
  </si>
  <si>
    <t>https://t.co/GGjP2f6Lid https://pbs.twimg.com/ext_tw_video_thumb/1620255558329683969/pu/img/tlVBenA7a07knvS4.jpg</t>
  </si>
  <si>
    <t>https://t.co/QkFCMXteuj https://pbs.twimg.com/media/FyB11GeWYAE_jL0.jpg</t>
  </si>
  <si>
    <t>https://t.co/glYXjKEz0w https://pbs.twimg.com/ext_tw_video_thumb/1702758443487031296/pu/img/sFxKa7SDnfz8X5GO.jpg</t>
  </si>
  <si>
    <t>https://t.co/MnmpJOWiuN https://pbs.twimg.com/ext_tw_video_thumb/1702380157300822016/pu/img/UIDuRwmrvgqg8pUz.jpg</t>
  </si>
  <si>
    <t>https://t.co/ZZR50nK4U6 https://pbs.twimg.com/ext_tw_video_thumb/1702012872836952064/pu/img/8G4EQ88R0SnkZJYb.jpg</t>
  </si>
  <si>
    <t>https://t.co/8f5COsTToX https://pbs.twimg.com/ext_tw_video_thumb/1701937114747719680/pu/img/WAfTa_B7ryJbb55I.jpg</t>
  </si>
  <si>
    <t>https://t.co/2YJaeW6BUs https://pbs.twimg.com/ext_tw_video_thumb/1701703722785533952/pu/img/uSaB9wmEcOoCcycE.jpg</t>
  </si>
  <si>
    <t>https://t.co/n0Hfyl1EOC https://pbs.twimg.com/ext_tw_video_thumb/1700192934350495744/pu/img/F6lc5JN8YVxCJwHv.jpg</t>
  </si>
  <si>
    <t>https://t.co/5oOLBwg1pB https://pbs.twimg.com/ext_tw_video_thumb/1703822775801040896/pu/img/2342BS1mIRQox5Zs.jpg</t>
  </si>
  <si>
    <t>https://t.co/2Ke3OKNS3j https://pbs.twimg.com/ext_tw_video_thumb/1647657033972187136/pu/img/WsNbfX4A6gKkkctg.jpg</t>
  </si>
  <si>
    <t>https://t.co/jsAYanqvTj https://pbs.twimg.com/ext_tw_video_thumb/1679234378696728577/pu/img/WLts8tlBdOz1NrmT.jpg</t>
  </si>
  <si>
    <t>https://t.co/7uEA3XRtPT https://pbs.twimg.com/ext_tw_video_thumb/1679189100539019266/pu/img/iPdPn6zOb_p3bwtu.jpg</t>
  </si>
  <si>
    <t>https://t.co/2TU7696iZ3 https://pbs.twimg.com/ext_tw_video_thumb/1679068234769637379/pu/img/URS_UK2YWptzDZ4Y.jpg</t>
  </si>
  <si>
    <t>https://t.co/2NOgwVwYgh https://pbs.twimg.com/ext_tw_video_thumb/1678871989073727488/pu/img/kvNkN9rnyIb8Mp9B.jpg</t>
  </si>
  <si>
    <t>https://t.co/YIaJ5ksbYj https://pbs.twimg.com/ext_tw_video_thumb/1678826673670615040/pu/img/MuJI-sAKZJyHV1qz.jpg</t>
  </si>
  <si>
    <t>https://t.co/RlBj0vUxJA https://pbs.twimg.com/ext_tw_video_thumb/1678751170557255681/pu/img/_S6BWL0edrj8qqvl.jpg</t>
  </si>
  <si>
    <t>https://t.co/FiP4BI2jF5 https://pbs.twimg.com/ext_tw_video_thumb/1678539760065732610/pu/img/WWZED1x7zLm1CSPY.jpg</t>
  </si>
  <si>
    <t>https://t.co/3Mc8qtd3sJ https://pbs.twimg.com/ext_tw_video_thumb/1678524731912339457/pu/img/Mve_GT7UwUtPDzsO.jpg</t>
  </si>
  <si>
    <t>https://t.co/FVHy6NnKfR https://pbs.twimg.com/ext_tw_video_thumb/1678509596967673858/pu/img/jwR1PNbq8xKgGmua.jpg</t>
  </si>
  <si>
    <t>https://t.co/dMeM1Edmio https://pbs.twimg.com/ext_tw_video_thumb/1678464272895037440/pu/img/HYux6g-KdxJXR1JX.jpg</t>
  </si>
  <si>
    <t>https://t.co/9dH2GdFqdq https://pbs.twimg.com/ext_tw_video_thumb/1678388774420480000/pu/img/wSJ6B7ekoqgRSPPp.jpg</t>
  </si>
  <si>
    <t>https://t.co/bR63fGakhb https://pbs.twimg.com/ext_tw_video_thumb/1678237710845083648/pu/img/-vS2GWMEGCbPFRhi.jpg</t>
  </si>
  <si>
    <t>https://t.co/aYdEzbEbX5 https://pbs.twimg.com/ext_tw_video_thumb/1678230074649092096/pu/img/f2aG_i2RQwgjKe7q.jpg</t>
  </si>
  <si>
    <t>https://t.co/2DInSPmqoF https://pbs.twimg.com/ext_tw_video_thumb/1678222551376355331/pu/img/ePbPGQZasYGRPc6I.jpg</t>
  </si>
  <si>
    <t>https://t.co/yfydvt5Wyy https://pbs.twimg.com/ext_tw_video_thumb/1678215020574830592/pu/img/v2Ok0FzK_EHPQruk.jpg</t>
  </si>
  <si>
    <t>https://t.co/1jb6Tlmkgi https://pbs.twimg.com/ext_tw_video_thumb/1678214972013178882/pu/img/xDWKqqAZc1Z5xaCt.jpg</t>
  </si>
  <si>
    <t>https://t.co/4Qb6dmYpZd https://pbs.twimg.com/ext_tw_video_thumb/1678192509921492994/pu/img/488efZejkQSElzSs.jpg</t>
  </si>
  <si>
    <t>https://t.co/zr608qkRme https://pbs.twimg.com/ext_tw_video_thumb/1678184872035196930/pu/img/ZYs3nFuJO7wJW0zT.jpg</t>
  </si>
  <si>
    <t>https://t.co/fHXcHLGFOI https://pbs.twimg.com/ext_tw_video_thumb/1678177333662842880/pu/img/Dxy1Dq40fRAoVwBO.jpg</t>
  </si>
  <si>
    <t>https://t.co/H1DzZrWig3 https://pbs.twimg.com/ext_tw_video_thumb/1678169727171018752/pu/img/orLAPvBDaRXcsg-b.jpg</t>
  </si>
  <si>
    <t>https://t.co/6kgbO3UOMx https://pbs.twimg.com/ext_tw_video_thumb/1678162293094326272/pu/img/ThrPRWve_56qGUKH.jpg</t>
  </si>
  <si>
    <t>https://t.co/yhlPykS7ES https://pbs.twimg.com/ext_tw_video_thumb/1678154640074874887/pu/img/3IxHqmSNnMYOiYpp.jpg</t>
  </si>
  <si>
    <t>https://t.co/FqWxV9YhVq https://pbs.twimg.com/ext_tw_video_thumb/1678147217603940352/pu/img/C2t5p459Q3sL6_r-.jpg</t>
  </si>
  <si>
    <t>https://t.co/VwOjZoLWeE https://pbs.twimg.com/ext_tw_video_thumb/1678139529411063810/pu/img/KAUziPwxeZ9J6vDX.jpg</t>
  </si>
  <si>
    <t>https://t.co/jR8LFTtNwF https://pbs.twimg.com/ext_tw_video_thumb/1678132065399709700/pu/img/Zod9U2B1e30FeU-x.jpg</t>
  </si>
  <si>
    <t>https://t.co/FL9dU9d9jY https://pbs.twimg.com/ext_tw_video_thumb/1678124408823488514/pu/img/V3GjpISZkfVlzbRY.jpg</t>
  </si>
  <si>
    <t>https://t.co/rcvhh0na1E https://pbs.twimg.com/ext_tw_video_thumb/1678117025606926337/pu/img/ZQ8WGnjIYT3mdsy3.jpg</t>
  </si>
  <si>
    <t>https://t.co/ganhsq2V3h https://pbs.twimg.com/ext_tw_video_thumb/1678114298646634498/pu/img/TgZejep8TpwJadEz.jpg</t>
  </si>
  <si>
    <t>https://t.co/QFA0SZ7ZtV https://pbs.twimg.com/ext_tw_video_thumb/1678207519787823104/pu/img/YcNe5Gwd8ksfGN-u.jpg</t>
  </si>
  <si>
    <t>https://t.co/xtBRSK783k https://pbs.twimg.com/ext_tw_video_thumb/1678199943129964544/pu/img/zLqbOdHvbQxFGu8g.jpg</t>
  </si>
  <si>
    <t>https://t.co/SbzwzYp4T1 https://pbs.twimg.com/ext_tw_video_thumb/1626244325104357376/pu/img/Q6OTemyAt3AhUQ3t.jpg</t>
  </si>
  <si>
    <t>https://t.co/NiSWb1AUjt https://pbs.twimg.com/ext_tw_video_thumb/1629508645783306243/pu/img/IFTGAHhtHxYplezn.jpg</t>
  </si>
  <si>
    <t>https://t.co/ui9LG98rBK https://pbs.twimg.com/ext_tw_video_thumb/1628781244082257921/pu/img/wrj-g8E0JixN7-zI.jpg</t>
  </si>
  <si>
    <t>https://t.co/lmYpIylgTq https://pbs.twimg.com/ext_tw_video_thumb/1628053985188843521/pu/img/O0jq69116G7XQnmJ.jpg</t>
  </si>
  <si>
    <t>https://t.co/iImshAC2AK https://pbs.twimg.com/ext_tw_video_thumb/1627692160588955648/pu/img/a2Ug0fV365lBaJaH.jpg</t>
  </si>
  <si>
    <t>https://t.co/nAnUbJmXtk https://pbs.twimg.com/ext_tw_video_thumb/1627335825670242304/pu/img/LpIHPLSwPW7DDYDW.jpg</t>
  </si>
  <si>
    <t>https://t.co/bP8whgBRBD https://pbs.twimg.com/ext_tw_video_thumb/1626968490585251843/pu/img/Ea9eJMlbuT1UvGKM.jpg</t>
  </si>
  <si>
    <t>https://t.co/fiVYnf6be1 https://pbs.twimg.com/ext_tw_video_thumb/1664648764731330565/pu/img/bn0HCtNmE6MjKgOl.jpg</t>
  </si>
  <si>
    <t>https://t.co/4GtjZTooqF https://pbs.twimg.com/ext_tw_video_thumb/1690123306425278464/pu/img/DO2xT9Sr0Unr_wFE.jpg</t>
  </si>
  <si>
    <t>https://t.co/s28fFMJvaj https://pbs.twimg.com/media/F3SF8ASW0AA5w5W.jpg</t>
  </si>
  <si>
    <t>https://t.co/zHgaGkN8zp https://t.co/zHgaGkN8zp https://t.co/zHgaGkN8zp https://pbs.twimg.com/media/Fs6iS6aWAAcCMrw.jpg https://pbs.twimg.com/media/Fs6iTM0XgAEbdJU.jpg https://pbs.twimg.com/media/Fs6iThWXsAAVNLx.jpg</t>
  </si>
  <si>
    <t>https://t.co/B0rejRI1NU https://pbs.twimg.com/media/Fr8he3eWwAEgzht.jpg</t>
  </si>
  <si>
    <t>https://t.co/5digAhYQOL https://pbs.twimg.com/media/FqnmFRXXgAE1cs0.jpg</t>
  </si>
  <si>
    <t>https://t.co/WybqqwlNY4 https://t.co/WybqqwlNY4 https://t.co/WybqqwlNY4 https://t.co/WybqqwlNY4 https://pbs.twimg.com/media/FrIOgoxXwAEIpRd.jpg https://pbs.twimg.com/media/FrIOgzeX0AE3Whb.jpg https://pbs.twimg.com/media/FrIOhGeXoAMYMya.jpg https://pbs.twimg.com/media/FrIOhWCXsAEEcYP.jpg</t>
  </si>
  <si>
    <t>https://t.co/5eGlKaVJIt https://pbs.twimg.com/tweet_video_thumb/FvDvMkyXwBIyvat.jpg</t>
  </si>
  <si>
    <t>https://t.co/7j03tfqmBl https://pbs.twimg.com/tweet_video_thumb/FuZ1TljWcAAIWkN.jpg</t>
  </si>
  <si>
    <t>https://t.co/3QTCUu9Vex https://pbs.twimg.com/tweet_video_thumb/FuW4aK-WYAAOY_a.jpg</t>
  </si>
  <si>
    <t>https://t.co/JvOAmv9wS8 https://pbs.twimg.com/ext_tw_video_thumb/1677500751877111812/pu/img/gCqncmJjQX0-sNHQ.jpg</t>
  </si>
  <si>
    <t>https://t.co/0g2HjhQvqj https://pbs.twimg.com/media/FuhR0d_WYAAYI5f.jpg</t>
  </si>
  <si>
    <t>https://t.co/EIPTAfnT4W https://pbs.twimg.com/media/FvpH9pFWAAAFjpS.jpg</t>
  </si>
  <si>
    <t>https://t.co/Fc9i1y0UVM https://pbs.twimg.com/media/FqyyE3XWABQS4vi.jpg</t>
  </si>
  <si>
    <t>https://t.co/6NjEwTF9Cv https://pbs.twimg.com/media/F0nTIZFXsAEWK1i.jpg</t>
  </si>
  <si>
    <t>https://t.co/qiuX65SLuR https://pbs.twimg.com/ext_tw_video_thumb/1677118874431496197/pu/img/J1rxFS8Sni-fgUTy.jpg</t>
  </si>
  <si>
    <t>https://t.co/MX38TwoGUI https://pbs.twimg.com/ext_tw_video_thumb/1676510982607175680/pu/img/5UcTimoeUFqyt99f.jpg</t>
  </si>
  <si>
    <t>https://t.co/uPdRHxpYzW https://pbs.twimg.com/ext_tw_video_thumb/1676501903964766208/pu/img/6eRJRBgfUqWAKi2J.jpg</t>
  </si>
  <si>
    <t>https://t.co/GbbFiWTMLv https://pbs.twimg.com/ext_tw_video_thumb/1681238057419153408/pu/img/uPMCJv-lm9dtTxCr.jpg</t>
  </si>
  <si>
    <t>https://t.co/TMsjm8ufzI https://pbs.twimg.com/ext_tw_video_thumb/1689632478338932737/pu/img/VX1W9OiJd3rI7zjR.jpg</t>
  </si>
  <si>
    <t>https://t.co/0aGkhpGaaK https://pbs.twimg.com/ext_tw_video_thumb/1689631633392189440/pu/img/wdxlDdCvYnuxB19j.jpg</t>
  </si>
  <si>
    <t>https://t.co/DHGN6dbyCv https://pbs.twimg.com/ext_tw_video_thumb/1673613762933260288/pu/img/GjQnkECjPT0FvRry.jpg</t>
  </si>
  <si>
    <t>https://t.co/rJBbJlm5z7 https://pbs.twimg.com/ext_tw_video_thumb/1702378387044704258/pu/img/5bfp5fzu5u9GEO6H.jpg</t>
  </si>
  <si>
    <t>https://t.co/tSKKigORoM https://pbs.twimg.com/ext_tw_video_thumb/1679425151790731266/pu/img/4OLTOFO4pzQA7LQk.jpg</t>
  </si>
  <si>
    <t>https://t.co/JaMYINUiJg https://pbs.twimg.com/ext_tw_video_thumb/1639089999583891457/pu/img/iSn3Lhv9QzXt8vYf.jpg</t>
  </si>
  <si>
    <t>https://t.co/4r1pLeCFtm https://pbs.twimg.com/media/FsF-_V9XwAI0oiy.jpg</t>
  </si>
  <si>
    <t>https://t.co/69VAU61Se2 https://pbs.twimg.com/ext_tw_video_thumb/1639638000408711169/pu/img/sqHsVUU_xQl9yXAO.jpg</t>
  </si>
  <si>
    <t>https://t.co/nOTRD1XYOI https://pbs.twimg.com/media/FskJAdSWABwPTM8.jpg</t>
  </si>
  <si>
    <t>https://t.co/5Md3d5uhMl https://pbs.twimg.com/ext_tw_video_thumb/1633934994065313794/pu/img/D5NWTMkHDP1dj7PB.jpg</t>
  </si>
  <si>
    <t>https://t.co/2ocNkWvkgj https://pbs.twimg.com/ext_tw_video_thumb/1633565114283507712/pu/img/DUOhEvPej8QgJ9HA.jpg</t>
  </si>
  <si>
    <t>https://t.co/3kD59yIPrs https://pbs.twimg.com/ext_tw_video_thumb/1633523783821664256/pu/img/pG1M1AbvNT1jDB5n.jpg</t>
  </si>
  <si>
    <t>https://t.co/vqF6Os5V5o https://pbs.twimg.com/ext_tw_video_thumb/1633469897693962242/pu/img/geYYUlJ8EEK1I-o0.jpg</t>
  </si>
  <si>
    <t>https://t.co/21FjJTOzSj https://pbs.twimg.com/media/FuWm5elWcAAt4Bt.jpg</t>
  </si>
  <si>
    <t>https://t.co/UExWT56fC8 https://pbs.twimg.com/media/FqsgdPWXoAIFaZl.jpg</t>
  </si>
  <si>
    <t>https://t.co/dwv1DE1L85 https://pbs.twimg.com/ext_tw_video_thumb/1633299793123442688/pu/img/aquqaGTyKTD6UTo1.jpg</t>
  </si>
  <si>
    <t>https://t.co/D2DCtTM5lt https://pbs.twimg.com/media/FqoqphkWcBsqske.jpg</t>
  </si>
  <si>
    <t>https://t.co/6PNhpKWPRR https://pbs.twimg.com/media/Fxm9JaRXoAUp4bM.jpg</t>
  </si>
  <si>
    <t>https://t.co/gsjQxoHKJo https://pbs.twimg.com/ext_tw_video_thumb/1667356392942981120/pu/img/s9cF8DH6eBRiglEZ.jpg</t>
  </si>
  <si>
    <t>https://t.co/Taon73voDM https://pbs.twimg.com/ext_tw_video_thumb/1672058096036769794/pu/img/E7RjCbwfq1zPQuJm.jpg</t>
  </si>
  <si>
    <t>https://t.co/pHOmyJABK3 https://pbs.twimg.com/ext_tw_video_thumb/1646590720751304705/pu/img/3z4YAsrndH19QSwM.jpg</t>
  </si>
  <si>
    <t>https://t.co/CpQUE9RGgF https://pbs.twimg.com/media/Ft8inMoXwAMUid_.jpg</t>
  </si>
  <si>
    <t>https://t.co/S3HuZzFm3M https://pbs.twimg.com/media/FuGVoRkWYDkEbmT.jpg</t>
  </si>
  <si>
    <t>https://t.co/kK7iafkDu2 https://pbs.twimg.com/media/F0ucuFnacAAmQd2.jpg</t>
  </si>
  <si>
    <t>https://t.co/meSfwf0hLB https://t.co/meSfwf0hLB https://t.co/meSfwf0hLB https://pbs.twimg.com/media/Fti8S3zXwAEWbJu.jpg https://pbs.twimg.com/media/Fti8TBUX0AEHN_1.jpg https://pbs.twimg.com/media/Fti8TIhWYAArW8P.jpg</t>
  </si>
  <si>
    <t>https://t.co/WHCMIFlu4O https://t.co/WHCMIFlu4O https://t.co/WHCMIFlu4O https://pbs.twimg.com/media/Fs0vN4OXsAAH0Fs.jpg https://pbs.twimg.com/media/Fs0vOE6XoAA1L2S.jpg https://pbs.twimg.com/media/Fs0vORLWwAMRA1F.jpg</t>
  </si>
  <si>
    <t>https://t.co/hQ69z1hTye https://t.co/hQ69z1hTye https://t.co/hQ69z1hTye https://t.co/hQ69z1hTye https://pbs.twimg.com/media/FskLMEqWABEEbfT.jpg https://pbs.twimg.com/media/FskLMRSWAA83ifs.jpg https://pbs.twimg.com/media/FskLMbDWABwbevQ.jpg https://pbs.twimg.com/media/FskLMn8WABIWzuR.jpg</t>
  </si>
  <si>
    <t>https://t.co/oygc4q4Glq https://pbs.twimg.com/media/Fpa3WYTXsAMiDZT.jpg</t>
  </si>
  <si>
    <t>https://t.co/f4o5SHKpXc https://pbs.twimg.com/media/FpVwZm3WcAANTWp.jpg</t>
  </si>
  <si>
    <t>https://t.co/VintaJziMc https://pbs.twimg.com/media/Fs10I7GXsAENW-I.jpg</t>
  </si>
  <si>
    <t>https://t.co/YXl57Yh1MO https://t.co/YXl57Yh1MO https://t.co/YXl57Yh1MO https://t.co/YXl57Yh1MO https://pbs.twimg.com/media/FqP-kenWwAMmkrl.jpg https://pbs.twimg.com/media/FqP-kvXWYAAJWhD.jpg https://pbs.twimg.com/media/FqP-k9kXsAY2lBG.jpg https://pbs.twimg.com/media/FqP-lGsWwAI1l-v.jpg</t>
  </si>
  <si>
    <t>https://t.co/4vecHN2T0x https://pbs.twimg.com/media/F0Sfx3oXgBISPVy.jpg</t>
  </si>
  <si>
    <t>https://t.co/0h7PHtyBCX https://t.co/0h7PHtyBCX https://pbs.twimg.com/media/FwRZN9MWYEIm06A.jpg https://pbs.twimg.com/ext_tw_video_thumb/1658548662165725238/pu/img/YnmgDB5eazqWvLMm.jpg</t>
  </si>
  <si>
    <t>https://t.co/VPUlfkiQpN https://pbs.twimg.com/media/FrXDiQ5XsAEhFWx.jpg</t>
  </si>
  <si>
    <t>https://t.co/ZiCpj8JaW0 https://pbs.twimg.com/media/FrVvbqCXoAAqkCb.png</t>
  </si>
  <si>
    <t>https://t.co/1mE3lRm2aj https://pbs.twimg.com/media/FtM0eIKXsAAEDcN.jpg</t>
  </si>
  <si>
    <t>https://t.co/vRnaF18U8a https://pbs.twimg.com/media/FqsjCPWWcAAO4NP.jpg</t>
  </si>
  <si>
    <t>https://t.co/GD4Plb0KPF https://pbs.twimg.com/media/Ft2BMRfXoAM1Cq2.png</t>
  </si>
  <si>
    <t>https://t.co/fxcVrsVFxh https://pbs.twimg.com/media/FwcU4YcXgAcnd2R.jpg</t>
  </si>
  <si>
    <t>https://t.co/1JFKQMBjMe https://pbs.twimg.com/ext_tw_video_thumb/1622939356754284544/pu/img/05p_dC-Ska1dilzu.jpg</t>
  </si>
  <si>
    <t>https://t.co/SBud51OxMQ https://pbs.twimg.com/media/Fn5Bo4EXgAEbmbB.jpg</t>
  </si>
  <si>
    <t>https://t.co/K4bAeRoNZ3 https://pbs.twimg.com/media/FnzpumiaEAYeWxV.jpg</t>
  </si>
  <si>
    <t>https://t.co/vbx4PEgMV0 https://pbs.twimg.com/ext_tw_video_thumb/1668586028549169152/pu/img/q6Tj5TG07vsn2R7t.jpg</t>
  </si>
  <si>
    <t>https://t.co/wo7UsIv8hM https://pbs.twimg.com/ext_tw_video_thumb/1668585886932684801/pu/img/aC18Th51UlRoQNqx.jpg</t>
  </si>
  <si>
    <t>https://t.co/C0AkCuLh70 https://pbs.twimg.com/ext_tw_video_thumb/1668585714282541056/pu/img/WmbABKY0jW7A3h5y.jpg</t>
  </si>
  <si>
    <t>https://t.co/uTHI7IkajJ https://pbs.twimg.com/ext_tw_video_thumb/1658775941160615937/pu/img/psPK1eHsCDb8WMlY.jpg</t>
  </si>
  <si>
    <t>https://t.co/13dsqBG10c https://pbs.twimg.com/media/FsDk4vEXoAIhA-K.png</t>
  </si>
  <si>
    <t>https://t.co/Bbsl8WJlrQ https://pbs.twimg.com/media/FsDkxWMXoAQz_Y6.png</t>
  </si>
  <si>
    <t>https://t.co/N5LTyusze1 https://pbs.twimg.com/media/FsDhF1FWAAAyjSW.png</t>
  </si>
  <si>
    <t>https://t.co/HrHd4qFrdn https://pbs.twimg.com/ext_tw_video_thumb/1672905026656776193/pu/img/_YXHjfku27ikWeqg.jpg</t>
  </si>
  <si>
    <t>https://t.co/yEFGjUIpMD https://pbs.twimg.com/ext_tw_video_thumb/1672904618282500096/pu/img/-S6Ynv0ClafZnJ2Y.jpg</t>
  </si>
  <si>
    <t>https://t.co/K0SelcXrQi https://pbs.twimg.com/ext_tw_video_thumb/1667086037858893825/pu/img/H49HDO-37bin-Krw.jpg</t>
  </si>
  <si>
    <t>https://t.co/ZGu3dEYlWX https://pbs.twimg.com/ext_tw_video_thumb/1667085800373202945/pu/img/Yu7um-7eJ7blAXdR.jpg</t>
  </si>
  <si>
    <t>https://t.co/R0X5Wchqfo https://pbs.twimg.com/ext_tw_video_thumb/1667085653471813633/pu/img/5n5jSMIlgDXsz1cn.jpg</t>
  </si>
  <si>
    <t>https://t.co/T0c97ZPuVy https://pbs.twimg.com/ext_tw_video_thumb/1663495516393558018/pu/img/JWoK6Kd7p-uuqvMo.jpg</t>
  </si>
  <si>
    <t>https://t.co/D66ytwMBkr https://pbs.twimg.com/ext_tw_video_thumb/1663495402451005441/pu/img/Qomn8mXQ7kdXVH0_.jpg</t>
  </si>
  <si>
    <t>https://t.co/qdpvOYBAKl https://pbs.twimg.com/ext_tw_video_thumb/1663495189015547904/pu/img/YGMOLDPYJD1LtKDC.jpg</t>
  </si>
  <si>
    <t>https://t.co/OQHNVlNMjL https://pbs.twimg.com/ext_tw_video_thumb/1674774443477049345/pu/img/tGOilwHOWmc9aktp.jpg</t>
  </si>
  <si>
    <t>https://t.co/AntY7ITIQb https://pbs.twimg.com/ext_tw_video_thumb/1674774192598966272/pu/img/wpl_XhAYXyG2q-JR.jpg</t>
  </si>
  <si>
    <t>https://t.co/EbFUhw5fbT https://pbs.twimg.com/ext_tw_video_thumb/1674773674107506689/pu/img/gXqooW8LxLbV1QlA.jpg</t>
  </si>
  <si>
    <t>https://t.co/9xSro9M009 https://pbs.twimg.com/ext_tw_video_thumb/1658775806871519232/pu/img/e3e4yLQ8f1iCANp0.jpg</t>
  </si>
  <si>
    <t>https://t.co/QWEFMPP70i https://pbs.twimg.com/ext_tw_video_thumb/1658775004136308738/pu/img/uZW3KioiIG4Zizkt.jpg</t>
  </si>
  <si>
    <t>https://t.co/MuJMCVzzYr https://pbs.twimg.com/ext_tw_video_thumb/1658774852105281536/pu/img/SdRggoliXIDgT0e9.jpg</t>
  </si>
  <si>
    <t>https://t.co/wPnxvDUJxE https://pbs.twimg.com/ext_tw_video_thumb/1658359605292933121/pu/img/DupDXCW3hFmiV_DI.jpg</t>
  </si>
  <si>
    <t>https://t.co/FRlo7IAz4q https://pbs.twimg.com/media/FwOtK0xWwAAWnea.jpg</t>
  </si>
  <si>
    <t>https://t.co/RUG91Rk5PN https://pbs.twimg.com/media/FwOtH9PXwAEVo7G.jpg</t>
  </si>
  <si>
    <t>https://t.co/zFnu0RMv7P https://pbs.twimg.com/media/FwOtFO7XoAIDS-7.jpg</t>
  </si>
  <si>
    <t>https://t.co/1n4YpQVFuV https://pbs.twimg.com/media/FwOs_OIXsAIuHDk.jpg</t>
  </si>
  <si>
    <t>https://t.co/g2Q8cdjKuK https://pbs.twimg.com/ext_tw_video_thumb/1698671530857861120/pu/img/mjfYOVFvHMLPrca4.jpg</t>
  </si>
  <si>
    <t>https://t.co/t1zBgbBMJ8 https://pbs.twimg.com/ext_tw_video_thumb/1675140326934061056/pu/img/I7sOV_CerlZhvMXq.jpg</t>
  </si>
  <si>
    <t>https://t.co/LWe1jrzFv9 https://pbs.twimg.com/ext_tw_video_thumb/1675140073979797506/pu/img/NyVsuPLcZekX15Ll.jpg</t>
  </si>
  <si>
    <t>https://t.co/pF0EPh6fML https://pbs.twimg.com/ext_tw_video_thumb/1675139075735420930/pu/img/uXYthfz81V9PHFCm.jpg</t>
  </si>
  <si>
    <t>https://t.co/cyCLvsLmov https://pbs.twimg.com/ext_tw_video_thumb/1667086512993759234/pu/img/Rt1iwxlWBlguBUAJ.jpg</t>
  </si>
  <si>
    <t>https://t.co/icVfyLoyzU https://pbs.twimg.com/ext_tw_video_thumb/1667086221997113345/pu/img/nTmHFa1L19MjG5HE.jpg</t>
  </si>
  <si>
    <t>https://t.co/KMNhW5PMhH https://pbs.twimg.com/ext_tw_video_thumb/1659833410100113408/pu/img/0XYC6kSKcfCFcHjE.jpg</t>
  </si>
  <si>
    <t>https://t.co/T2jKceh9zZ https://pbs.twimg.com/ext_tw_video_thumb/1659833260740952066/pu/img/UJqUFYPejXI3ATRz.jpg</t>
  </si>
  <si>
    <t>https://t.co/skzZYmNxvr https://pbs.twimg.com/ext_tw_video_thumb/1659833165303693312/pu/img/rUPrltDKWV0MKooF.jpg</t>
  </si>
  <si>
    <t>https://t.co/EKlBL3R0vf https://pbs.twimg.com/media/FwjpVrCWwAIwuAC.jpg</t>
  </si>
  <si>
    <t>https://t.co/zD5M3G1Rls https://pbs.twimg.com/media/FwjpLvLXsAEBnYq.jpg</t>
  </si>
  <si>
    <t>https://t.co/rF01UG27yV https://pbs.twimg.com/media/FwjpDwbXoAALK0k.jpg</t>
  </si>
  <si>
    <t>https://t.co/eP7B3Xcfar https://pbs.twimg.com/ext_tw_video_thumb/1698672744542752768/pu/img/dX5LVQ05UxtoH-fv.jpg</t>
  </si>
  <si>
    <t>https://t.co/xcG40BwEQ5 https://pbs.twimg.com/ext_tw_video_thumb/1679431101775851521/pu/img/BHS2zurnTny2xQUs.jpg</t>
  </si>
  <si>
    <t>https://t.co/TJ1IQjJ7C7 https://pbs.twimg.com/ext_tw_video_thumb/1673323796227321856/pu/img/S1Uk_pck0mahLjEQ.jpg</t>
  </si>
  <si>
    <t>https://t.co/pcOrkHFc5o https://pbs.twimg.com/ext_tw_video_thumb/1673323481923047424/pu/img/VHFs6dCllWeBmlkB.jpg</t>
  </si>
  <si>
    <t>https://t.co/iK0Zz1cwt7 https://pbs.twimg.com/ext_tw_video_thumb/1673323365514313737/pu/img/cRINUXIOdTrEkIrU.jpg</t>
  </si>
  <si>
    <t>https://t.co/H3iXxaM0Ed https://pbs.twimg.com/ext_tw_video_thumb/1667085519442915328/pu/img/yhzRL2QYOFOEI1wz.jpg</t>
  </si>
  <si>
    <t>https://t.co/d0S2P6IdYe https://pbs.twimg.com/ext_tw_video_thumb/1667085294301065216/pu/img/B6ufLUVp13ai7bhs.jpg</t>
  </si>
  <si>
    <t>https://t.co/hwotBUt2vu https://pbs.twimg.com/media/FyKtHoSWwAASgs2.jpg</t>
  </si>
  <si>
    <t>https://t.co/CJuTva1hWL https://pbs.twimg.com/ext_tw_video_thumb/1656649550243799042/pu/img/ySXnQVDJAlgYb_eY.jpg</t>
  </si>
  <si>
    <t>https://t.co/6VLaFlWn00 https://pbs.twimg.com/media/Fv2XTq4WIAg8ro6.png</t>
  </si>
  <si>
    <t>https://t.co/XrVHBlRyQM https://pbs.twimg.com/media/Fv2XHZ8WwAYE2yA.png</t>
  </si>
  <si>
    <t>https://t.co/8scAzkY9Ri https://pbs.twimg.com/media/Fv2W8ddXsAAwM-i.png</t>
  </si>
  <si>
    <t>https://t.co/JUgEP3N6iI https://pbs.twimg.com/media/Fr54UyMWAAA5sEh.jpg</t>
  </si>
  <si>
    <t>https://t.co/7VcFTlI7Vm https://pbs.twimg.com/ext_tw_video_thumb/1638477682345213953/pu/img/QvcJOZlQLEHonCjv.jpg</t>
  </si>
  <si>
    <t>https://t.co/j9YAAU6i6j https://pbs.twimg.com/ext_tw_video_thumb/1704867658825617408/pu/img/mXn1k8McJT6Y1krq.jpg</t>
  </si>
  <si>
    <t>https://t.co/qbXEZ346cC https://pbs.twimg.com/ext_tw_video_thumb/1705608550012334080/pu/img/QHsQaEZ8SxL3bjCl.jpg</t>
  </si>
  <si>
    <t>https://t.co/NrBs6Fem2o https://pbs.twimg.com/ext_tw_video_thumb/1704871470470664192/pu/img/5ewCCGIizMXBkQKm.jpg</t>
  </si>
  <si>
    <t>https://t.co/jJuxqQc7v3 https://pbs.twimg.com/ext_tw_video_thumb/1663081756499558400/pu/img/QcQ2TxwCMPzeQ-OF.jpg</t>
  </si>
  <si>
    <t>https://t.co/nLKp1s4L5r https://pbs.twimg.com/ext_tw_video_thumb/1663081407516688384/pu/img/VOn_4ON_-El4svpj.jpg</t>
  </si>
  <si>
    <t>https://t.co/TLRQmNwdui https://pbs.twimg.com/ext_tw_video_thumb/1663081104826421249/pu/img/zJhJQjTz1e00NF00.jpg</t>
  </si>
  <si>
    <t>https://t.co/3JFGh1sl4a https://pbs.twimg.com/ext_tw_video_thumb/1662662507373240320/pu/img/QkJptylKsIV9R-Sh.jpg</t>
  </si>
  <si>
    <t>https://t.co/xOgBZqrj2G https://pbs.twimg.com/ext_tw_video_thumb/1706756163847831553/pu/img/qXK1tcujIEQ3YF4N.jpg</t>
  </si>
  <si>
    <t>https://t.co/et7j7N5ygd https://pbs.twimg.com/ext_tw_video_thumb/1706756022483009536/pu/img/BXpG8VHqHz1my6Qq.jpg</t>
  </si>
  <si>
    <t>https://t.co/wWa1iKPjZ2 https://pbs.twimg.com/ext_tw_video_thumb/1704867419603542016/pu/img/Ba2vAHBFCS4bFe98.jpg</t>
  </si>
  <si>
    <t>https://t.co/AS9PLqTQeu https://pbs.twimg.com/ext_tw_video_thumb/1704871139129122816/pu/img/V9Na1HwzwhgchbPC.jpg</t>
  </si>
  <si>
    <t>https://t.co/4cr1kWXoUD https://pbs.twimg.com/ext_tw_video_thumb/1701958926390935552/pu/img/Qa9ld2GHuZtqL65V.jpg</t>
  </si>
  <si>
    <t>https://t.co/Pl3g5BG5m3 https://pbs.twimg.com/ext_tw_video_thumb/1701287211839397888/pu/img/kP6Ldb9xYfr-HQBA.jpg</t>
  </si>
  <si>
    <t>https://t.co/gHRME7aQrg https://pbs.twimg.com/ext_tw_video_thumb/1701287058839572480/pu/img/fejik9Vggj_7t1Q-.jpg</t>
  </si>
  <si>
    <t>https://t.co/ihCKSodJOI https://pbs.twimg.com/ext_tw_video_thumb/1654849870912528384/pu/img/rqAhyZmhi2iNfFmb.jpg</t>
  </si>
  <si>
    <t>https://t.co/VbwBJ6heA6 https://pbs.twimg.com/ext_tw_video_thumb/1654849701051547650/pu/img/6nU4ccFJR12dTD0G.jpg</t>
  </si>
  <si>
    <t>https://t.co/YkZRPINaNr https://pbs.twimg.com/ext_tw_video_thumb/1654849465646297090/pu/img/aLg01FRniH0CfhRz.jpg</t>
  </si>
  <si>
    <t>https://t.co/1RqdIBu0tv https://pbs.twimg.com/media/FvWw3oZWIAAXjZd.png</t>
  </si>
  <si>
    <t>https://t.co/oUmy4pm20b https://pbs.twimg.com/media/FvWwvu9X0AMujH9.png</t>
  </si>
  <si>
    <t>https://t.co/eeF2hxrdL4 https://pbs.twimg.com/ext_tw_video_thumb/1646074374942777346/pu/img/xsnDTql1hL8E0lxX.jpg</t>
  </si>
  <si>
    <t>https://t.co/WhW11jOyVp https://pbs.twimg.com/ext_tw_video_thumb/1658508617178292224/pu/img/t_CMZj-K3E6d_Scs.jpg</t>
  </si>
  <si>
    <t>https://t.co/HDp4kDXjhl https://t.co/HDp4kDXjhl https://pbs.twimg.com/media/FufT-fiXsAQq2oh.jpg https://pbs.twimg.com/media/FufT-04WIAQx_Tp.jpg</t>
  </si>
  <si>
    <t>https://t.co/iIMzqIYt2F https://pbs.twimg.com/media/FtsC7HZWYAswmCp.jpg</t>
  </si>
  <si>
    <t>https://t.co/Uv3GjLb8zR https://pbs.twimg.com/ext_tw_video_thumb/1626974889860034561/pu/img/1yHy1InDjlG1107f.jpg</t>
  </si>
  <si>
    <t>https://t.co/IRxGqUNsO1 https://pbs.twimg.com/media/Fs6YLRzWIAQFkYz.jpg</t>
  </si>
  <si>
    <t>https://t.co/wJhxrQXprO https://pbs.twimg.com/media/Fs1OmSIXoAUfk4A.jpg</t>
  </si>
  <si>
    <t>https://t.co/9ZZvO1tcZf https://pbs.twimg.com/media/FrTYYZrWYAI70V4.jpg</t>
  </si>
  <si>
    <t>https://t.co/wBm5fTMbcx https://pbs.twimg.com/media/FrOOzGwWAAQ8EYw.jpg</t>
  </si>
  <si>
    <t>https://t.co/lvkfPREkM2 https://pbs.twimg.com/ext_tw_video_thumb/1700838031157075968/pu/img/Uprn_5KfrXvuhBIt.jpg</t>
  </si>
  <si>
    <t>https://t.co/PFNbqkglDg https://pbs.twimg.com/ext_tw_video_thumb/1700475604628393984/pu/img/6XHY-EWhAydQiJBg.jpg</t>
  </si>
  <si>
    <t>https://t.co/1ifGObkGpe https://pbs.twimg.com/media/F36MJd-WYAAsvhG.jpg</t>
  </si>
  <si>
    <t>https://t.co/hqFj8U6F8A https://pbs.twimg.com/media/F31Ck_7XgAAZGC3.jpg</t>
  </si>
  <si>
    <t>https://t.co/R3kQhI8Zxf https://pbs.twimg.com/media/F3v4-UMXMBgvEBL.jpg</t>
  </si>
  <si>
    <t>https://t.co/gv3GdDwcuy https://pbs.twimg.com/ext_tw_video_thumb/1685345923252039680/pu/img/HBWFP-gdK1XTuNPO.jpg</t>
  </si>
  <si>
    <t>https://t.co/Y0aacwalWw https://pbs.twimg.com/ext_tw_video_thumb/1684983818938134528/pu/img/DJoP_rOgSw-yi3gQ.jpg</t>
  </si>
  <si>
    <t>https://t.co/HfdkXdARaM https://pbs.twimg.com/ext_tw_video_thumb/1684983575030943744/pu/img/VN6YGTpQCGC3Bk0-.jpg</t>
  </si>
  <si>
    <t>https://t.co/mDgoBQP4ZH https://pbs.twimg.com/media/FtJ09SfX0AEB6CZ.jpg</t>
  </si>
  <si>
    <t>https://t.co/rSczif7TZn https://pbs.twimg.com/media/FtErX73WwAAuqR1.jpg</t>
  </si>
  <si>
    <t>https://t.co/y8ke3iuXlY https://pbs.twimg.com/media/Fs_hyR-WYAEzdBG.jpg</t>
  </si>
  <si>
    <t>https://t.co/yGLBqyTlvL https://pbs.twimg.com/media/F43_PZiXgAAAkEH.jpg</t>
  </si>
  <si>
    <t>https://t.co/O2lvgS5loq https://pbs.twimg.com/media/F4y1pryWgAAroKq.jpg</t>
  </si>
  <si>
    <t>https://t.co/fFsHp20IGU https://pbs.twimg.com/media/F4OyhIbWgAAHsPq.jpg</t>
  </si>
  <si>
    <t>https://t.co/EzVDRW7YBX https://pbs.twimg.com/media/F4Jo64UXwAAw-NG.jpg</t>
  </si>
  <si>
    <t>https://t.co/h9qrI2s3dF https://pbs.twimg.com/media/F3gcMBiX0AoZM5X.jpg</t>
  </si>
  <si>
    <t>https://t.co/MDVGDxmxUV https://pbs.twimg.com/media/F3bSmdvWIAAyW1b.jpg</t>
  </si>
  <si>
    <t>https://t.co/qdnOLOXAtl https://pbs.twimg.com/media/F3WJAEZXMAAZ-j8.jpg</t>
  </si>
  <si>
    <t>https://t.co/xigovLagwM https://pbs.twimg.com/media/F2yF5JtXkAEJJlQ.jpg</t>
  </si>
  <si>
    <t>https://t.co/8O0Fji2f6o https://pbs.twimg.com/media/F2s8Up3XoAI9dkX.jpg</t>
  </si>
  <si>
    <t>https://t.co/X8Kj8zCaOW https://pbs.twimg.com/media/FqO7nffWAAgoHgO.jpg</t>
  </si>
  <si>
    <t>https://t.co/WHxZJhRnM3 https://pbs.twimg.com/media/FqJyCpyXgAIwtEP.jpg</t>
  </si>
  <si>
    <t>https://t.co/UW6N73ZbQJ https://pbs.twimg.com/media/F5Hb_RLXgAA4Hpc.jpg</t>
  </si>
  <si>
    <t>https://t.co/HvgEK2CkiA https://pbs.twimg.com/ext_tw_video_thumb/1696096769761792000/pu/img/CJAbPWM5bW2g4iKA.jpg</t>
  </si>
  <si>
    <t>https://t.co/xHh39p46OK https://pbs.twimg.com/media/F4EfUeQWAAAA2H7.jpg</t>
  </si>
  <si>
    <t>https://t.co/GlDlVlcNLo https://pbs.twimg.com/media/F3_VuusWsAAMC3d.jpg</t>
  </si>
  <si>
    <t>https://t.co/mfJEA5AKuw https://pbs.twimg.com/media/F3Q_c2qXsBIbidX.jpg</t>
  </si>
  <si>
    <t>https://t.co/Z7LRPRCy8r https://pbs.twimg.com/media/F3L12V4WgAArILw.jpg</t>
  </si>
  <si>
    <t>https://t.co/DI4sXoLevP https://pbs.twimg.com/media/F2ipHXSXwAYlcXV.jpg</t>
  </si>
  <si>
    <t>https://t.co/GUk6bDAdKo https://pbs.twimg.com/media/Fr3bhRBWYAE6VDD.jpg</t>
  </si>
  <si>
    <t>https://t.co/HNKiIJT7eB https://pbs.twimg.com/media/Frq_EnzWYAAWoKE.jpg</t>
  </si>
  <si>
    <t>https://t.co/5StycJqSRH https://pbs.twimg.com/ext_tw_video_thumb/1699750898782658560/pu/img/iUvfL8kh1pyEiqAv.jpg</t>
  </si>
  <si>
    <t>https://t.co/WfJywcdjwI https://pbs.twimg.com/media/F5CSau3XsAAbqj8.jpg</t>
  </si>
  <si>
    <t>https://t.co/GZHKy2abDS https://pbs.twimg.com/media/F49IzdUWcAAQRWE.jpg</t>
  </si>
  <si>
    <t>https://t.co/UquEiTnXue https://pbs.twimg.com/media/F4tsCumXcAARUje.jpg</t>
  </si>
  <si>
    <t>https://t.co/ilw5IgJNbv https://pbs.twimg.com/media/F4oidagWUAAq5HG.jpg</t>
  </si>
  <si>
    <t>https://t.co/JuCjEKVxEs https://pbs.twimg.com/media/F3qvYT2XgAI9wvP.jpg</t>
  </si>
  <si>
    <t>https://t.co/rCphBioxVr https://pbs.twimg.com/media/F3llyQkXsAkRJ-0.jpg</t>
  </si>
  <si>
    <t>https://t.co/T5E0OTmwIY https://pbs.twimg.com/media/F3GsRlxXoA0ojgN.jpg</t>
  </si>
  <si>
    <t>https://t.co/Xew025RFyD https://pbs.twimg.com/media/F3BipLpXsAIuDiG.jpg</t>
  </si>
  <si>
    <t>https://t.co/9jQEJCnAQA https://pbs.twimg.com/ext_tw_video_thumb/1684617396173037568/pu/img/ootgY-4BZebwWoEc.jpg</t>
  </si>
  <si>
    <t>https://t.co/6UKEGJq41U https://pbs.twimg.com/ext_tw_video_thumb/1684255034836385798/pu/img/4RecJUTcgGtJG9OY.jpg</t>
  </si>
  <si>
    <t>https://t.co/Kra36fN5WG https://pbs.twimg.com/ext_tw_video_thumb/1683889656834715648/pu/img/Xi0CfDqGobGd7zSh.jpg</t>
  </si>
  <si>
    <t>https://t.co/XC0MVwktAA https://pbs.twimg.com/ext_tw_video_thumb/1683843537748758530/pu/img/KF8k6LoBH573h9DE.jpg</t>
  </si>
  <si>
    <t>https://t.co/CLBEiplGqj https://pbs.twimg.com/media/FswFAleWwAI8ORK.jpg</t>
  </si>
  <si>
    <t>https://t.co/6wYAN4B5ZN https://pbs.twimg.com/media/Fslx11KWwAEIIfn.jpg</t>
  </si>
  <si>
    <t>https://t.co/LyYlFAiZBF https://pbs.twimg.com/media/FsgoPU0WwAAlchi.jpg</t>
  </si>
  <si>
    <t>https://t.co/Re29JFSLVh https://pbs.twimg.com/media/FrJFNY5WYAAeDvb.jpg</t>
  </si>
  <si>
    <t>https://t.co/wn3x9UgYer https://pbs.twimg.com/ext_tw_video_thumb/1704133789692125184/pu/img/RtCWAwWy3m7fkPcP.jpg</t>
  </si>
  <si>
    <t>https://t.co/cpzo8wO7BN https://pbs.twimg.com/media/F4jY3jMW0AAcEPl.jpg</t>
  </si>
  <si>
    <t>https://t.co/22kd20nMIW https://pbs.twimg.com/media/F4ePQsvW0AAjPE-.jpg</t>
  </si>
  <si>
    <t>https://t.co/esceSBFDy4 https://pbs.twimg.com/media/F4ZFr70XQBMYHRo.jpg</t>
  </si>
  <si>
    <t>https://t.co/kpAvAEhzzh https://pbs.twimg.com/ext_tw_video_thumb/1691379429358911488/pu/img/iLho7vBwqyN61BcN.jpg</t>
  </si>
  <si>
    <t>https://t.co/xOwK63xyBQ https://pbs.twimg.com/media/F28ZEu7XwAc2JUN.jpg</t>
  </si>
  <si>
    <t>https://t.co/a6DilJvHXY https://pbs.twimg.com/media/F23PedRW4AAUQGI.jpg</t>
  </si>
  <si>
    <t>https://t.co/4djgCkC5kd https://pbs.twimg.com/media/FqEocehWAAMY-xi.jpg</t>
  </si>
  <si>
    <t>https://t.co/TswEWn3ZZy https://pbs.twimg.com/media/Fp_e2vlWYAMEt7o.jpg</t>
  </si>
  <si>
    <t>https://t.co/n1SQXQoTWk https://pbs.twimg.com/media/FpwCFcAX0AYzrbN.jpg</t>
  </si>
  <si>
    <t>https://t.co/sy0hrAkN6C https://pbs.twimg.com/media/Fpq4gqiXgAEiWsB.jpg</t>
  </si>
  <si>
    <t>https://t.co/Dft7gwrXGA https://pbs.twimg.com/media/Fplu5pRWcAEOGHF.jpg</t>
  </si>
  <si>
    <t>https://t.co/NxoxevbYeh https://pbs.twimg.com/media/FpglSxUWAAAu7fQ.jpg</t>
  </si>
  <si>
    <t>https://t.co/dD0gnDwaaP https://pbs.twimg.com/media/FpbbuYCXoAAEm8w.jpg</t>
  </si>
  <si>
    <t>https://t.co/PY3Vg21xga https://pbs.twimg.com/ext_tw_video_thumb/1700113254532493313/pu/img/3ycinx5rmp1I2Fvq.jpg</t>
  </si>
  <si>
    <t>https://t.co/wBpF2lKgKR https://pbs.twimg.com/ext_tw_video_thumb/1699388505795739648/pu/img/aZgwRb0yVs0VjdjS.jpg</t>
  </si>
  <si>
    <t>https://t.co/zk7MEgvEqS https://pbs.twimg.com/media/F4T8GlzWMAADUVX.jpg</t>
  </si>
  <si>
    <t>https://t.co/lg2dpBx8tn https://pbs.twimg.com/media/F2nytoXXoBMFd5h.jpg</t>
  </si>
  <si>
    <t>https://t.co/Uip3WYPZt3 https://pbs.twimg.com/media/Frn-v5EXoAEIFyR.jpg</t>
  </si>
  <si>
    <t>https://t.co/0MwTDW53a6 https://pbs.twimg.com/media/Fri1Jj6XgAImalo.jpg</t>
  </si>
  <si>
    <t>https://t.co/ZPzapRazqH https://pbs.twimg.com/media/FrdrkxxXgAApbht.jpg</t>
  </si>
  <si>
    <t>https://t.co/VMAYtfC1me https://pbs.twimg.com/media/FrYh-Y9XoAEs_a4.jpg</t>
  </si>
  <si>
    <t>https://t.co/FwnbWbZh80 https://pbs.twimg.com/media/FpL-9N4XsAEOvmQ.jpg</t>
  </si>
  <si>
    <t>https://t.co/8dXF2gwGVH https://pbs.twimg.com/media/FpG1XpZXgAAXJoK.jpg</t>
  </si>
  <si>
    <t>https://t.co/7v8aHbCq25 https://pbs.twimg.com/ext_tw_video_thumb/1626158486559117313/pu/img/9Aeu0nCszY--oDo-.jpg</t>
  </si>
  <si>
    <t>https://t.co/hMmEsFgUaZ https://pbs.twimg.com/media/FpBrysPXsAAGg6L.jpg</t>
  </si>
  <si>
    <t>https://t.co/KgThl3IGy8 https://pbs.twimg.com/media/Fo8iL-JXEA0eY9G.jpg</t>
  </si>
  <si>
    <t>https://t.co/yf1pg4NfpU https://pbs.twimg.com/media/Fo3YmEKWIAAlhR_.jpg</t>
  </si>
  <si>
    <t>https://t.co/5dQYnij4qW https://pbs.twimg.com/media/Fz4VfLhagAAvGcy.jpg</t>
  </si>
  <si>
    <t>https://t.co/NbW4D1uKsq https://pbs.twimg.com/media/FqyaTLlWAAEhxjA.jpg</t>
  </si>
  <si>
    <t>https://t.co/VIwQoppFYy https://pbs.twimg.com/ext_tw_video_thumb/1665079745933979652/pu/img/MwILHBsiMSM4zlOY.jpg</t>
  </si>
  <si>
    <t>https://t.co/UMgzklyjpl https://t.co/UMgzklyjpl https://t.co/UMgzklyjpl https://pbs.twimg.com/media/Ftw8YxaWwAAXtX8.jpg https://pbs.twimg.com/media/Ftw8ZtOXoAA-lxn.jpg https://pbs.twimg.com/media/Ftw8aICXoAM41-3.jpg</t>
  </si>
  <si>
    <t>https://t.co/BgG5XGkaQz https://pbs.twimg.com/media/F3hghX9W4AERJ1Y.jpg</t>
  </si>
  <si>
    <t>https://t.co/Ry0oD6qgNq https://pbs.twimg.com/media/F53j5yHWcAAogzq.jpg</t>
  </si>
  <si>
    <t>https://t.co/QlVgF3yGYY https://pbs.twimg.com/ext_tw_video_thumb/1629913364674621445/pu/img/Sn9Y492C2Dy2zsgc.jpg</t>
  </si>
  <si>
    <t>https://t.co/qnraBdQblV https://pbs.twimg.com/media/Fv9HMmlX0CsOB-4.jpg</t>
  </si>
  <si>
    <t>https://t.co/yao5IzmPop https://pbs.twimg.com/media/Fswe01EXoAAUNXn.jpg</t>
  </si>
  <si>
    <t>https://t.co/tshnZVARFm https://pbs.twimg.com/ext_tw_video_thumb/1629271989163634689/pu/img/z6m76oChO9iV90iG.jpg</t>
  </si>
  <si>
    <t>https://t.co/lMr7grzVeu https://pbs.twimg.com/media/F4OmJJFXgAAkhPR.jpg</t>
  </si>
  <si>
    <t>https://t.co/gRrL0g5AUT https://pbs.twimg.com/media/F4qhVlkXEAA6-eJ.jpg</t>
  </si>
  <si>
    <t>https://t.co/v98nj4synF https://pbs.twimg.com/ext_tw_video_thumb/1682808956706586627/pu/img/VcW_8oWmY16yeN4a.jpg</t>
  </si>
  <si>
    <t>https://t.co/VNe5PIPABu https://pbs.twimg.com/media/FqPCY8iX0AECJYR.jpg</t>
  </si>
  <si>
    <t>https://t.co/t2tihJHhml https://pbs.twimg.com/media/FqKoZm6XgAAzoyw.jpg</t>
  </si>
  <si>
    <t>https://t.co/lxM1ze2UBj https://t.co/lxM1ze2UBj https://pbs.twimg.com/media/F4qW7JAWgAIClc7.jpg https://pbs.twimg.com/media/F4qW7I-XYAAJstw.jpg</t>
  </si>
  <si>
    <t>https://t.co/BSYPhYblGw https://t.co/BSYPhYblGw https://pbs.twimg.com/media/F4qWHKRW8AAEWrK.jpg https://pbs.twimg.com/media/F4qWHKRXoAAGxT4.jpg</t>
  </si>
  <si>
    <t>https://t.co/UuAvPDhDwp https://pbs.twimg.com/ext_tw_video_thumb/1700326605640376320/pu/img/td32fvvqNvhL22lD.jpg</t>
  </si>
  <si>
    <t>https://t.co/GXoK16TkJf https://pbs.twimg.com/tweet_video_thumb/Fv7VhJlWwAwVPcS.jpg</t>
  </si>
  <si>
    <t>https://t.co/Oz2ugCF5eg https://pbs.twimg.com/tweet_video_thumb/FwQDBpjXsAEQLIM.jpg</t>
  </si>
  <si>
    <t>https://t.co/Y1R6Cw6KHo https://pbs.twimg.com/media/Fok1ynLXgAAtf3F.jpg</t>
  </si>
  <si>
    <t>https://t.co/6ftChTsuSO https://pbs.twimg.com/ext_tw_video_thumb/1666628355091845120/pu/img/8QHiSLsF7L7u9g8m.jpg</t>
  </si>
  <si>
    <t>https://t.co/6GXw17dFHw https://pbs.twimg.com/media/FySi0AKXsAIQuH3.jpg</t>
  </si>
  <si>
    <t>https://t.co/J1AsBQWiSI https://pbs.twimg.com/ext_tw_video_thumb/1632930380125818881/pu/img/SIHdTqR39EzhDa9t.jpg</t>
  </si>
  <si>
    <t>https://t.co/VElLLUcOKs https://pbs.twimg.com/ext_tw_video_thumb/1625924875184373780/pu/img/kUQ_fLGrx16LXTZF.jpg</t>
  </si>
  <si>
    <t>https://t.co/MdhNyiz08N https://pbs.twimg.com/media/F0NcPRLWAAAVtYw.jpg</t>
  </si>
  <si>
    <t>https://t.co/tb9frj4bjH https://pbs.twimg.com/media/FpxN9bXWYAUJZFC.jpg</t>
  </si>
  <si>
    <t>https://t.co/qljbFp6rW6 https://pbs.twimg.com/media/FpvzOvFWIAETHe1.jpg</t>
  </si>
  <si>
    <t>https://t.co/UzBgiLEgdr https://pbs.twimg.com/ext_tw_video_thumb/1622724742900862976/pu/img/T3XWmw9gpjqErqDD.jpg</t>
  </si>
  <si>
    <t>https://t.co/0awMPMlrLZ https://pbs.twimg.com/media/Fo2idZ3WAAEePKf.jpg</t>
  </si>
  <si>
    <t>https://t.co/NOmso91sPN https://pbs.twimg.com/media/FwhQ0nrXgAIM-nz.jpg</t>
  </si>
  <si>
    <t>https://t.co/OfYg7i7J8q https://pbs.twimg.com/media/F2oppzIWYAEWY6G.jpg</t>
  </si>
  <si>
    <t>https://t.co/XxEQI5pYEm https://pbs.twimg.com/media/F3hTJCWWgAEYjUX.jpg</t>
  </si>
  <si>
    <t>https://t.co/sGjqQ2mqku https://pbs.twimg.com/media/FsU0stcWcAME5tS.jpg</t>
  </si>
  <si>
    <t>https://t.co/OxZf9wOpHy https://pbs.twimg.com/media/F5a-2s_WAAAgIoq.jpg</t>
  </si>
  <si>
    <t>https://t.co/CJUOSeeqf8 https://pbs.twimg.com/media/FrIOU8WXgAIYEKw.jpg</t>
  </si>
  <si>
    <t>https://t.co/vC36xhqWHk https://pbs.twimg.com/ext_tw_video_thumb/1635663073158615041/pu/img/3M5lhyQ_y0u77ukw.jpg</t>
  </si>
  <si>
    <t>https://t.co/4O0xwzoWwy https://pbs.twimg.com/media/FrbG9wEWwAErxwl.jpg</t>
  </si>
  <si>
    <t>https://t.co/TsIhSOuqNe https://pbs.twimg.com/media/FzuAQ-2WYAAoq2G.jpg</t>
  </si>
  <si>
    <t>https://t.co/dvUILOqgOp https://pbs.twimg.com/media/Fs9KsX2WAAgLR3r.jpg</t>
  </si>
  <si>
    <t>https://t.co/Yxlq0TrsrA https://pbs.twimg.com/ext_tw_video_thumb/1648428853889495046/pu/img/Lup3M2YuxSwm1zhF.jpg</t>
  </si>
  <si>
    <t>https://t.co/OM1WZvVB2u https://t.co/OM1WZvVB2u https://pbs.twimg.com/media/F5io232WkAAwC3X.jpg https://pbs.twimg.com/media/F5io231XkAEyrs9.jpg</t>
  </si>
  <si>
    <t>https://t.co/IJKIhUxbFJ https://pbs.twimg.com/media/F7EAD8oWwAEnaoP.jpg</t>
  </si>
  <si>
    <t>https://t.co/ZJGBg23TiH https://pbs.twimg.com/media/Ft6sQ5tWcAAOfQN.jpg</t>
  </si>
  <si>
    <t>https://t.co/2fO9d5zKBa https://pbs.twimg.com/ext_tw_video_thumb/1662558911759634444/pu/img/bYSK6pAcXQuUbfee.jpg</t>
  </si>
  <si>
    <t>https://t.co/6VnjUocYh6 https://pbs.twimg.com/ext_tw_video_thumb/1662200696429592576/pu/img/1KgHMNHtTfxmVzeO.jpg</t>
  </si>
  <si>
    <t>https://t.co/3JyV4KqcNO https://pbs.twimg.com/media/Fn6pEueXkAYj2uq.jpg</t>
  </si>
  <si>
    <t>https://t.co/pMcPLDStnI https://pbs.twimg.com/media/FoCI0mgXwAACmQn.jpg</t>
  </si>
  <si>
    <t>https://t.co/kquh2ahGrX https://pbs.twimg.com/media/FyM5ujzXwAAyU5R.jpg</t>
  </si>
  <si>
    <t>https://t.co/NNQ8L4WhNH https://pbs.twimg.com/ext_tw_video_thumb/1682895496178704385/pu/img/tmD3GM0GEXuaNhhg.jpg</t>
  </si>
  <si>
    <t>https://t.co/qVfDGS4vcf https://pbs.twimg.com/media/F5l0gCMWMAA31E5.png</t>
  </si>
  <si>
    <t>https://t.co/QGtmh3EIWF https://pbs.twimg.com/media/F5lqCQfXkAASi1b.jpg</t>
  </si>
  <si>
    <t>https://t.co/1XEEVoci0l https://pbs.twimg.com/media/F5NIXFqW0AE3f4_.jpg</t>
  </si>
  <si>
    <t>https://t.co/LsFe3NOj9m https://pbs.twimg.com/media/F4L1gK5WcAAIsvg.jpg</t>
  </si>
  <si>
    <t>https://t.co/Dzd2om4CGJ https://pbs.twimg.com/ext_tw_video_thumb/1682512279772844034/pu/img/VY352PMDa2HbnzVQ.jpg</t>
  </si>
  <si>
    <t>https://t.co/Pap3epQtuX https://pbs.twimg.com/media/Fo-sNetXgAYsHoa.jpg</t>
  </si>
  <si>
    <t>https://t.co/CJJwYhuqIw https://pbs.twimg.com/media/F1EnKGMXwAE_cFz.jpg</t>
  </si>
  <si>
    <t>https://t.co/KFExo6iWMI https://pbs.twimg.com/ext_tw_video_thumb/1637784275058581504/pu/img/3PbJiS8Ebztl8KT2.jpg</t>
  </si>
  <si>
    <t>https://t.co/0Bhp8TcgNq https://pbs.twimg.com/ext_tw_video_thumb/1636696475710246917/pu/img/Ar42bzf0mLawaYf6.jpg</t>
  </si>
  <si>
    <t>https://t.co/PagO3MByfA https://pbs.twimg.com/ext_tw_video_thumb/1636321480274223106/pu/img/HMKZjA8Rhx5MP2os.jpg</t>
  </si>
  <si>
    <t>https://t.co/YcHYu3BdBm https://pbs.twimg.com/ext_tw_video_thumb/1635624501705670658/pu/img/Ypx6RZUb1aFfX5dS.jpg</t>
  </si>
  <si>
    <t>https://t.co/w0FGnE2yEm https://pbs.twimg.com/ext_tw_video_thumb/1649517503586893825/pu/img/MUPhKJe_-ril2JZX.jpg</t>
  </si>
  <si>
    <t>https://t.co/EY7Hzfe1Ce https://pbs.twimg.com/ext_tw_video_thumb/1649517259692425223/pu/img/x6pZHbnA4kuW-ITe.jpg</t>
  </si>
  <si>
    <t>https://t.co/LQhpxJp22c https://pbs.twimg.com/ext_tw_video_thumb/1649517037973118977/pu/img/ilfZQ5_1GeHJjv2J.jpg</t>
  </si>
  <si>
    <t>https://t.co/zme0hKJ9qX https://pbs.twimg.com/media/FnxMtJFWAAAqzrE.jpg</t>
  </si>
  <si>
    <t>https://t.co/LQxQaMlB51 https://pbs.twimg.com/media/Fst7MucXgAAWfJI.jpg</t>
  </si>
  <si>
    <t>https://t.co/fFSBye8pCg https://pbs.twimg.com/media/FtNsM7ZXsAE0QxI.jpg</t>
  </si>
  <si>
    <t>https://t.co/8M64SDljvt https://pbs.twimg.com/media/Fod2b1HWAAAUmi1.jpg</t>
  </si>
  <si>
    <t>https://t.co/a2a6WcQyaD https://pbs.twimg.com/ext_tw_video_thumb/1621584430350344200/pu/img/CSpq_eSgwmgNLNM2.jpg</t>
  </si>
  <si>
    <t>https://t.co/OOe1sEofyB https://pbs.twimg.com/media/F33agx5WcAAqNP7.jpg</t>
  </si>
  <si>
    <t>https://t.co/9oRXGO79de https://pbs.twimg.com/media/FrRnf7YXwBMOh30.jpg</t>
  </si>
  <si>
    <t>https://t.co/2xvJbydV98 https://pbs.twimg.com/media/FroRRukXsAMxXz5.jpg</t>
  </si>
  <si>
    <t>https://t.co/6mdTVLbvN3 https://t.co/6mdTVLbvN3 https://t.co/6mdTVLbvN3 https://t.co/6mdTVLbvN3 https://pbs.twimg.com/media/FqzVsGFXsAA_WA6.jpg https://pbs.twimg.com/media/FqzVsGJWwAMabNh.jpg https://pbs.twimg.com/media/FqzVsGGWwAQEMTc.jpg https://pbs.twimg.com/media/FqzVsGIXoAcGe1B.jpg</t>
  </si>
  <si>
    <t>https://t.co/GP121NQ8Pf https://pbs.twimg.com/ext_tw_video_thumb/1675990960566685697/pu/img/DRnCul3Ub9Lqyyu5.jpg</t>
  </si>
  <si>
    <t>https://t.co/KbPK3Fxgoj https://pbs.twimg.com/ext_tw_video_thumb/1624529847102980099/pu/img/aBZhBHT7aJzL5Ubw.jpg</t>
  </si>
  <si>
    <t>https://t.co/d68lHXPI8z https://pbs.twimg.com/ext_tw_video_thumb/1656098164330340356/pu/img/mdyfVzyLKwXEysQm.jpg</t>
  </si>
  <si>
    <t>https://t.co/sgrm7Nbbef https://pbs.twimg.com/media/FugNlW_XgAEETdv.jpg</t>
  </si>
  <si>
    <t>https://t.co/uj0KpQWATB https://pbs.twimg.com/ext_tw_video_thumb/1661453651137658881/pu/img/sVbK0VpUXKV4rLbo.jpg</t>
  </si>
  <si>
    <t>https://t.co/vp3Mmkl3Qd https://pbs.twimg.com/ext_tw_video_thumb/1661453419012411407/pu/img/AMthoF5HpWhdpXAH.jpg</t>
  </si>
  <si>
    <t>https://t.co/Xi16IxxO80 https://pbs.twimg.com/ext_tw_video_thumb/1661451117039964168/pu/img/NTlNubkaHQX9WRSn.jpg</t>
  </si>
  <si>
    <t>https://t.co/AEAntGpqWV https://pbs.twimg.com/media/FxSvNp8X0AMtq1J.jpg</t>
  </si>
  <si>
    <t>https://t.co/NoMTiDg16G https://pbs.twimg.com/ext_tw_video_thumb/1663146396499734528/pu/img/zCLEn4RSefBSjpaj.jpg</t>
  </si>
  <si>
    <t>https://t.co/NvLDr6ztFW https://pbs.twimg.com/ext_tw_video_thumb/1663145604208381952/pu/img/sYa60CgIxMCEhlHU.jpg</t>
  </si>
  <si>
    <t>https://t.co/w7MhpY0EVa https://pbs.twimg.com/ext_tw_video_thumb/1662574499638702082/pu/img/BIK2QjNqLS-50ItA.jpg</t>
  </si>
  <si>
    <t>https://t.co/1JLqstlBGw https://pbs.twimg.com/ext_tw_video_thumb/1664630136065388544/pu/img/z04myyBTcZDcH5Ge.jpg</t>
  </si>
  <si>
    <t>https://t.co/oMBtWkA570 https://pbs.twimg.com/ext_tw_video_thumb/1665378199423811587/pu/img/X5WEIMKrImZF8k_S.jpg</t>
  </si>
  <si>
    <t>https://t.co/QKcC4S0wcG https://pbs.twimg.com/ext_tw_video_thumb/1665377798385483776/pu/img/QGQ81HUUXAVLyYlK.jpg</t>
  </si>
  <si>
    <t>https://t.co/UWbxfWnHAJ https://pbs.twimg.com/ext_tw_video_thumb/1665377574631907330/pu/img/DPe57TP92_tn67ji.jpg</t>
  </si>
  <si>
    <t>https://t.co/Tjo0yGOsoR https://pbs.twimg.com/ext_tw_video_thumb/1667188542877966340/pu/img/GMg9yUtA3YC39vUo.jpg</t>
  </si>
  <si>
    <t>https://t.co/iWQpDVZOlr https://pbs.twimg.com/media/FoNM62pXwAAI_pu.jpg</t>
  </si>
  <si>
    <t>https://t.co/U3L29Jx5zw https://pbs.twimg.com/media/FpcWl4tWYAA_EpG.jpg</t>
  </si>
  <si>
    <t>https://t.co/7ScuA8f5I7 https://pbs.twimg.com/media/FoCJL1IXwAYSdni.jpg</t>
  </si>
  <si>
    <t>https://t.co/Rg6u5h6eFu https://pbs.twimg.com/media/FoBtq_RWAAA6s-T.jpg</t>
  </si>
  <si>
    <t>https://t.co/R2teBGlyKb https://pbs.twimg.com/media/FoBSIdSXgAApYgI.jpg</t>
  </si>
  <si>
    <t>https://t.co/Pvekd64POX https://pbs.twimg.com/media/FtXDbEvXoAU-fUO.jpg</t>
  </si>
  <si>
    <t>https://t.co/s77OHm7bih https://pbs.twimg.com/media/FtAuXSBWIAE7UW2.jpg</t>
  </si>
  <si>
    <t>https://t.co/uqhw3ujqKk https://pbs.twimg.com/media/FspPfyoX0AANpK0.jpg</t>
  </si>
  <si>
    <t>https://t.co/hUauEuQhv3 https://pbs.twimg.com/media/FttAl9gXgAENIFE.jpg</t>
  </si>
  <si>
    <t>https://t.co/dwcjaZegiN https://pbs.twimg.com/media/FtZsS4RWwAMXFpH.jpg</t>
  </si>
  <si>
    <t>https://t.co/GcLjSLL5mx https://pbs.twimg.com/media/FqK90QlWcAM0BXK.jpg</t>
  </si>
  <si>
    <t>https://t.co/Wht892OnkB https://pbs.twimg.com/media/Fr3gTnNWAAE1Odc.jpg</t>
  </si>
  <si>
    <t>https://t.co/lTUe6e6Tmz https://pbs.twimg.com/ext_tw_video_thumb/1637870190917476383/pu/img/c_Yfv30HwbMDYO4Z.jpg</t>
  </si>
  <si>
    <t>https://t.co/AuSwKpY1Vq https://pbs.twimg.com/media/FrriRx4WIAAPKgR.jpg</t>
  </si>
  <si>
    <t>https://t.co/YLtsNjRWKm https://pbs.twimg.com/media/FrhRvvJWwAQDVmX.jpg</t>
  </si>
  <si>
    <t>https://t.co/i047PaAzYw https://pbs.twimg.com/media/Ftd0uQxXgAQYfsN.jpg</t>
  </si>
  <si>
    <t>https://t.co/ZYwF2TZidw https://pbs.twimg.com/media/Ftd0dWVXwAEZNii.jpg</t>
  </si>
  <si>
    <t>https://t.co/0uKLvg9IHy https://pbs.twimg.com/media/FqKqWXjWwAQUYKI.jpg</t>
  </si>
  <si>
    <t>https://t.co/dfHfhaFYH5 https://pbs.twimg.com/media/Fs9laZUWYAAVq0W.jpg</t>
  </si>
  <si>
    <t>https://t.co/jNzHdz2BUa https://pbs.twimg.com/ext_tw_video_thumb/1643642536420945921/pu/img/0G9BgJuG3o-Vjx1W.jpg</t>
  </si>
  <si>
    <t>https://t.co/kGI99OVgrI https://pbs.twimg.com/media/FszeB55XgAAZIqx.jpg</t>
  </si>
  <si>
    <t>https://t.co/2EjysJllCe https://pbs.twimg.com/ext_tw_video_thumb/1642930984470364161/pu/img/cPdsYcNrXklKYb3Q.jpg</t>
  </si>
  <si>
    <t>https://t.co/gwdBZurJDI https://pbs.twimg.com/media/FsUPxboXoAIlgl7.jpg</t>
  </si>
  <si>
    <t>https://t.co/MFtFRCMFPQ https://pbs.twimg.com/ext_tw_video_thumb/1640731806704992256/pu/img/trL706WfOWnbZANR.jpg</t>
  </si>
  <si>
    <t>https://t.co/4fcEhBWZpC https://pbs.twimg.com/media/FsPZIIzX0AEQFnO.jpg</t>
  </si>
  <si>
    <t>https://t.co/t3YSUi74ip https://pbs.twimg.com/ext_tw_video_thumb/1655701541796339713/pu/img/BcQ6lYpP8OhA0dQV.jpg</t>
  </si>
  <si>
    <t>https://t.co/H3wHEnDhzh https://pbs.twimg.com/ext_tw_video_thumb/1646938293068505091/pu/img/K6Z1SBOQ9j8pLwaJ.jpg</t>
  </si>
  <si>
    <t>https://t.co/6leSGRpWWe https://pbs.twimg.com/media/FvzvYubXoAEC8G5.jpg</t>
  </si>
  <si>
    <t>https://t.co/06Bwrlb3Nb https://pbs.twimg.com/ext_tw_video_thumb/1656459410607046656/pu/img/vctdu86AeNC2nM4M.jpg</t>
  </si>
  <si>
    <t>https://t.co/QKfVZ1U36y https://pbs.twimg.com/ext_tw_video_thumb/1640040552941887488/pu/img/gyVEkUW0-cVQ68Yr.jpg</t>
  </si>
  <si>
    <t>https://t.co/XCuuMJQxlM https://pbs.twimg.com/media/FsKXhY2X0AEFleW.jpg</t>
  </si>
  <si>
    <t>https://t.co/KY08exr8LF https://pbs.twimg.com/media/FsFJsiiWYAAZPHH.jpg</t>
  </si>
  <si>
    <t>https://t.co/1DNv0QSzYw https://pbs.twimg.com/media/FsAU_nQWAAoY8LU.jpg</t>
  </si>
  <si>
    <t>https://t.co/7Wq9ciM8us https://pbs.twimg.com/media/Fw74w9nXwAA3s3b.jpg</t>
  </si>
  <si>
    <t>https://t.co/B5sBsHospU https://pbs.twimg.com/media/F3XUimtXEAAFJWo.jpg</t>
  </si>
  <si>
    <t>https://t.co/jTFMoV4ttS https://pbs.twimg.com/ext_tw_video_thumb/1668394977678835712/pu/img/9AtBDt3fuvTHNAjw.jpg</t>
  </si>
  <si>
    <t>https://t.co/3jlAjOBnUF https://pbs.twimg.com/media/Fseyi3cX0AAPozD.jpg</t>
  </si>
  <si>
    <t>https://t.co/DBfZ108vKi https://pbs.twimg.com/ext_tw_video_thumb/1641474885514919938/pu/img/pWxkSXtE5rEg1uuW.jpg</t>
  </si>
  <si>
    <t>https://t.co/jGzmwr3Tgy https://pbs.twimg.com/media/FsZuQ2dXwBAc0hu.jpg</t>
  </si>
  <si>
    <t>https://t.co/2vAr8sj1ZD https://pbs.twimg.com/ext_tw_video_thumb/1641119437435682825/pu/img/6GTZl3B7L6rqKLVX.jpg</t>
  </si>
  <si>
    <t>https://t.co/ZCg2wwXnOQ https://pbs.twimg.com/tweet_video_thumb/F3SNtxCX0AAVpuo.jpg</t>
  </si>
  <si>
    <t>https://t.co/sfDD2nPFAZ https://pbs.twimg.com/ext_tw_video_thumb/1647292122427543554/pu/img/DiIqWgpebaHX3F84.jpg</t>
  </si>
  <si>
    <t>https://t.co/dTTOdVuPcH https://t.co/dTTOdVuPcH https://pbs.twimg.com/media/FvjpIV9WAAM-iQl.jpg https://pbs.twimg.com/media/FvjpIj_XsAMcqCc.jpg</t>
  </si>
  <si>
    <t>https://t.co/ivzf6YgFRq https://pbs.twimg.com/ext_tw_video_thumb/1679870213154562048/pu/img/UZ56339u26wN8gGO.jpg</t>
  </si>
  <si>
    <t>https://t.co/1oJoIxxkQx https://t.co/1oJoIxxkQx https://pbs.twimg.com/media/FrX1NScX0AE2q36.jpg https://pbs.twimg.com/media/FrX1NUJXgAERgQX.jpg</t>
  </si>
  <si>
    <t>https://t.co/wACNc3OJA4 https://pbs.twimg.com/media/F65_WXkXMAA_MLy.jpg</t>
  </si>
  <si>
    <t>https://t.co/hdJVgxwLzL https://pbs.twimg.com/ext_tw_video_thumb/1691371829741363200/pu/img/S7TwMCw7zS_GkmkB.jpg</t>
  </si>
  <si>
    <t>https://t.co/LdvETTLQmV https://pbs.twimg.com/media/FtFIc35XgAAYJVj.jpg</t>
  </si>
  <si>
    <t>https://t.co/ioIXWfWOIT https://t.co/ioIXWfWOIT https://pbs.twimg.com/media/Fw2y1mhWwAId3mU.jpg https://pbs.twimg.com/media/Fw2y2SxXsAAtGd8.jpg</t>
  </si>
  <si>
    <t>https://t.co/X4msS8eNy8 https://pbs.twimg.com/media/FyZJQCWWYAERgjL.jpg</t>
  </si>
  <si>
    <t>https://t.co/wAV5UasLTL https://pbs.twimg.com/media/FwiJY-LXsAE2Svw.jpg</t>
  </si>
  <si>
    <t>https://t.co/zdhZcaTG1n https://pbs.twimg.com/media/FuMf-83WYAI7t2P.png</t>
  </si>
  <si>
    <t>https://t.co/f3V3yxR4Zt https://pbs.twimg.com/ext_tw_video_thumb/1645983736800894977/pu/img/3C_FsMUntP0DAb2C.jpg</t>
  </si>
  <si>
    <t>https://t.co/3zgwpwTAML https://pbs.twimg.com/ext_tw_video_thumb/1620202903104360451/pu/img/2HFIy7NbhfQlwpA2.jpg</t>
  </si>
  <si>
    <t>https://t.co/rvUkRYM2Wn https://pbs.twimg.com/media/FrSftsiXwAAjxpf.jpg</t>
  </si>
  <si>
    <t>https://t.co/0Bxs24wAwU https://pbs.twimg.com/ext_tw_video_thumb/1637106095029202946/pu/img/cPNFTQqE0CpnzmiE.jpg</t>
  </si>
  <si>
    <t>https://t.co/R5sf64egHH https://pbs.twimg.com/ext_tw_video_thumb/1686802698316713984/pu/img/NazjC_bK_A0L6nGy.jpg</t>
  </si>
  <si>
    <t>https://t.co/HDXwtSNdQJ https://pbs.twimg.com/media/Fyqwm8taAAQv01D.jpg</t>
  </si>
  <si>
    <t>https://t.co/SdFxVPMIgL https://pbs.twimg.com/media/F1CrgOXXoAAO1vz.jpg</t>
  </si>
  <si>
    <t>https://t.co/sWEnmFAIMU https://pbs.twimg.com/ext_tw_video_thumb/1687118928030437376/pu/img/d6ADzq8-IG3IM6w_.jpg</t>
  </si>
  <si>
    <t>https://t.co/qyuLsEqW8N https://pbs.twimg.com/ext_tw_video_thumb/1706009816081092608/pu/img/EqkEsJWlH491XW-A.jpg</t>
  </si>
  <si>
    <t>https://t.co/nZnE8oQ2xm https://pbs.twimg.com/media/Fuq7nnvXgAQE0ma.jpg</t>
  </si>
  <si>
    <t>https://t.co/OuRaSS9RIc https://t.co/OuRaSS9RIc https://t.co/OuRaSS9RIc https://pbs.twimg.com/media/Fs_htmbXgAEdQnY.jpg https://pbs.twimg.com/media/Fs_htmbXgAQAPRs.jpg https://pbs.twimg.com/media/Fs_htmbX0AIbUJN.jpg</t>
  </si>
  <si>
    <t>https://t.co/vXO9JOFvKx https://t.co/vXO9JOFvKx https://pbs.twimg.com/media/F4JeEx8XUAI66MY.jpg https://pbs.twimg.com/ext_tw_video_thumb/1694019857308684288/pu/img/V4rUPHAtfcAvqBGt.jpg</t>
  </si>
  <si>
    <t>https://t.co/GqjnEIVCyM https://pbs.twimg.com/ext_tw_video_thumb/1697315711129935872/pu/img/7oWG-Av98w5Pmsyf.jpg</t>
  </si>
  <si>
    <t>https://t.co/AJ16muqNlU https://pbs.twimg.com/media/F47teW8WoAAIu-W.jpg</t>
  </si>
  <si>
    <t>https://t.co/K2uLe7mdE0 https://pbs.twimg.com/ext_tw_video_thumb/1701518206249078784/pu/img/TSkSfqLgaeyUJnqE.jpg</t>
  </si>
  <si>
    <t>https://t.co/NNmArpzw02 https://pbs.twimg.com/ext_tw_video_thumb/1701387802582138880/pu/img/VzhLjNFWimOJZhVm.jpg</t>
  </si>
  <si>
    <t>https://t.co/YqnUYB0TJm https://pbs.twimg.com/media/FxABsmtWwAA76wV.jpg</t>
  </si>
  <si>
    <t>https://t.co/Z1JKZCrZ0R https://pbs.twimg.com/media/Fw64PiVWYAAwyM6.jpg</t>
  </si>
  <si>
    <t>https://t.co/73pIHZWxNi https://pbs.twimg.com/media/FqNbGCzXgAAz4kS.jpg</t>
  </si>
  <si>
    <t>https://t.co/Y7c5fSwqXd https://pbs.twimg.com/ext_tw_video_thumb/1626240279153094656/pu/img/WqpBvGUeabWXu7Bd.jpg</t>
  </si>
  <si>
    <t>https://t.co/ZToko8Jz3w https://pbs.twimg.com/media/FpGOsTAWcAAMw-7.jpg</t>
  </si>
  <si>
    <t>https://t.co/dhuWzlToBU https://pbs.twimg.com/media/Fp92FIBWcAEIP-i.jpg</t>
  </si>
  <si>
    <t>https://t.co/DdT9hOymdM https://pbs.twimg.com/ext_tw_video_thumb/1630149852834279424/pu/img/d2lEMN2zADdU9wRc.jpg</t>
  </si>
  <si>
    <t>https://t.co/tyFuj9pABt https://pbs.twimg.com/media/Fp1eKfsXoAEYdne.jpg</t>
  </si>
  <si>
    <t>https://t.co/RG90RLfItt https://pbs.twimg.com/ext_tw_video_thumb/1629561870733459456/pu/img/l5_b_-6t1eA5J0tN.jpg</t>
  </si>
  <si>
    <t>https://t.co/wOOIKehbwD https://pbs.twimg.com/media/Fp1dJOOWwAE5LH_.jpg</t>
  </si>
  <si>
    <t>https://t.co/O8gp3Mf6rC https://pbs.twimg.com/media/FpbZfh7XEBMjlNA.jpg</t>
  </si>
  <si>
    <t>https://t.co/Ph7t4csalA https://pbs.twimg.com/ext_tw_video_thumb/1627726857134084102/pu/img/6S4R1HMWpbap4Da4.jpg</t>
  </si>
  <si>
    <t>https://t.co/mojUwBbIEC https://pbs.twimg.com/ext_tw_video_thumb/1627726419957583891/pu/img/FmzxnTVkA4zj2idm.jpg</t>
  </si>
  <si>
    <t>https://t.co/sCLo7B0uKi https://pbs.twimg.com/media/FpbX9i2WAAYUnQj.jpg</t>
  </si>
  <si>
    <t>https://t.co/e0yYRe9lz2 https://pbs.twimg.com/media/Fu2JixNXsAApviR.jpg</t>
  </si>
  <si>
    <t>https://t.co/4rRnR8Stpy https://pbs.twimg.com/media/F5QtVCTWgAAQuPI.jpg</t>
  </si>
  <si>
    <t>https://t.co/T96lAiPA3h https://pbs.twimg.com/media/F5_-jPmWcAAh8sx.jpg</t>
  </si>
  <si>
    <t>https://t.co/xSljbP6eZm https://pbs.twimg.com/media/F501E4qWwAAOpXq.jpg</t>
  </si>
  <si>
    <t>https://t.co/cEgT6JRIaH https://t.co/cEgT6JRIaH https://pbs.twimg.com/media/F5hsVj0WgAA7_0c.jpg https://pbs.twimg.com/media/F5hsVj1WQAA_Ijh.jpg</t>
  </si>
  <si>
    <t>https://t.co/0qdiOscnsC https://pbs.twimg.com/ext_tw_video_thumb/1694114251751772160/pu/img/Ee7mdES2L-3snYld.jpg</t>
  </si>
  <si>
    <t>https://t.co/Disy6a5tEv https://pbs.twimg.com/media/FrmVPWRWcAoRorL.png</t>
  </si>
  <si>
    <t>https://t.co/ug9LNGpWbo https://pbs.twimg.com/media/FrmT6PBXgAcwo5B.jpg</t>
  </si>
  <si>
    <t>https://t.co/VmEzxFtoE9 https://pbs.twimg.com/media/FrmSfzPXgAE4y0d.png</t>
  </si>
  <si>
    <t>https://t.co/LciffTcFQY https://pbs.twimg.com/media/FrlTLi0WYAIZqJV.jpg</t>
  </si>
  <si>
    <t>https://t.co/ipZZsI71RL https://pbs.twimg.com/ext_tw_video_thumb/1645152649552052224/pu/img/hMx6K6cOXHv7xJgz.jpg</t>
  </si>
  <si>
    <t>https://t.co/8cJDFTMliy https://pbs.twimg.com/ext_tw_video_thumb/1683683694593056768/pu/img/bq7M3i9W59fut_sP.jpg</t>
  </si>
  <si>
    <t>https://t.co/SZUr6BW3qO https://pbs.twimg.com/ext_tw_video_thumb/1646935365180071938/pu/img/UW2tMrIaxE4XG_6t.jpg</t>
  </si>
  <si>
    <t>https://t.co/XGGp4mgQ9u https://pbs.twimg.com/ext_tw_video_thumb/1673354030205087744/pu/img/4X6PHP-yguq0zY9B.jpg</t>
  </si>
  <si>
    <t>https://t.co/Gx3u1pSMiD https://pbs.twimg.com/media/F6-e4E-XEAACeBN.jpg</t>
  </si>
  <si>
    <t>https://t.co/dsoBv70Jaw https://pbs.twimg.com/media/FzLq5GHXwAIjH2Z.jpg</t>
  </si>
  <si>
    <t>https://t.co/5TTFTWiPxk https://pbs.twimg.com/media/F1mJu5bXoAA5fjT.jpg</t>
  </si>
  <si>
    <t>https://t.co/nrpWFFldjn https://pbs.twimg.com/media/Fz0KO5vWcAIkqn7.jpg</t>
  </si>
  <si>
    <t>https://t.co/jaGDDcHq4Y https://pbs.twimg.com/media/F4-LzGbXYAAPt5w.jpg</t>
  </si>
  <si>
    <t>https://t.co/TeguywODLy https://pbs.twimg.com/media/F4yGvkXXUAE7vyb.jpg</t>
  </si>
  <si>
    <t>https://t.co/RqTQEvawJa https://pbs.twimg.com/media/F488fD6WoAAmdCM.jpg</t>
  </si>
  <si>
    <t>https://t.co/ymDAxpK1YD https://pbs.twimg.com/ext_tw_video_thumb/1697622582546010112/pu/img/NcZEBXGC2YTYTxdj.jpg</t>
  </si>
  <si>
    <t>https://t.co/3fWB3ZJaMP https://pbs.twimg.com/media/FoFiTb8XkAAa322.jpg</t>
  </si>
  <si>
    <t>https://t.co/ytP6JoZ9zy https://pbs.twimg.com/media/Fn-swaoXkAAxEbx.jpg</t>
  </si>
  <si>
    <t>https://t.co/gjpFCwhly9 https://pbs.twimg.com/ext_tw_video_thumb/1692262308645400577/pu/img/05qg9SKyeECT4P-A.jpg</t>
  </si>
  <si>
    <t>https://t.co/XSjBjovs5E https://pbs.twimg.com/ext_tw_video_thumb/1676815608673869824/pu/img/kT09SP26KGImY7wS.jpg</t>
  </si>
  <si>
    <t>https://t.co/UNvqlfUQQ0 https://pbs.twimg.com/media/F45vDx4bEAACGxJ.jpg</t>
  </si>
  <si>
    <t>https://t.co/o5IKx3FZWF https://pbs.twimg.com/media/FqdF_9-XoAMvNGi.jpg</t>
  </si>
  <si>
    <t>https://t.co/W0mZiJqjCy https://pbs.twimg.com/media/FqNpPn7XwAEK12D.jpg</t>
  </si>
  <si>
    <t>https://t.co/NLyf95pGdH https://pbs.twimg.com/media/Fp1LuH2WYAQjcPb.jpg</t>
  </si>
  <si>
    <t>https://t.co/jBXS5NDxWS https://pbs.twimg.com/media/Fpz5T7iWIAEGfrB.jpg</t>
  </si>
  <si>
    <t>https://t.co/lfNd7p4Wy7 https://pbs.twimg.com/media/FpwP1nuXwAAIfPg.jpg</t>
  </si>
  <si>
    <t>https://t.co/fBq7oPuU5d https://pbs.twimg.com/media/Fpuvs_cWYAEMDh7.jpg</t>
  </si>
  <si>
    <t>https://t.co/gj9rG3DDro https://pbs.twimg.com/media/FpNKbLjXEAEjC0B.jpg</t>
  </si>
  <si>
    <t>https://t.co/ae3juwQKeB https://pbs.twimg.com/media/FpMF1nDXEAAwfQw.jpg</t>
  </si>
  <si>
    <t>https://t.co/hmQOsW4RWX https://pbs.twimg.com/media/FpKskmjX0AEbJFg.jpg</t>
  </si>
  <si>
    <t>https://t.co/XpKaOOk9ze https://t.co/XpKaOOk9ze https://t.co/XpKaOOk9ze https://pbs.twimg.com/media/FpHlZuEWIAArpAk.jpg https://pbs.twimg.com/media/FpHlZudWcAMD11c.jpg https://pbs.twimg.com/media/FpHlZuPWcAABJSH.jpg</t>
  </si>
  <si>
    <t>https://t.co/KFdU5MRHwK https://pbs.twimg.com/media/FpGZ6OUaAAE9bR0.jpg</t>
  </si>
  <si>
    <t>https://t.co/UG30HZXJOZ https://pbs.twimg.com/media/FpGMMsMacAIEQLN.jpg</t>
  </si>
  <si>
    <t>https://t.co/FWpEQvZo2R https://pbs.twimg.com/media/FpByze1WAAUqgFv.jpg</t>
  </si>
  <si>
    <t>https://t.co/t7snOpcRUB https://pbs.twimg.com/media/Fo4Iu2OWYAApba_.jpg</t>
  </si>
  <si>
    <t>https://t.co/ohDbduALcg https://pbs.twimg.com/media/Fo3tQGYXgAARDSb.jpg</t>
  </si>
  <si>
    <t>https://t.co/wwC9rDcCNJ https://pbs.twimg.com/media/Fo3YnfzXEAEpTtK.jpg</t>
  </si>
  <si>
    <t>https://t.co/h2clyzi6Ts https://t.co/h2clyzi6Ts https://pbs.twimg.com/media/FwxpzB_XwAAKMgG.jpg https://pbs.twimg.com/media/FwxpzYiXwAQvzHT.jpg</t>
  </si>
  <si>
    <t>https://t.co/RcsjQb6Yzc https://pbs.twimg.com/media/Fx5tUnIaAAIyIs7.jpg</t>
  </si>
  <si>
    <t>https://t.co/cVXy72lDma https://pbs.twimg.com/media/F6bq7yWXIAAlfQw.jpg</t>
  </si>
  <si>
    <t>https://t.co/tzq7rjcQbJ https://pbs.twimg.com/media/F5oNFE1bgAAFTGu.jpg</t>
  </si>
  <si>
    <t>https://t.co/y8ym81K7DK https://pbs.twimg.com/media/F6RasCdbUAAMY6t.jpg</t>
  </si>
  <si>
    <t>https://t.co/9YVD8jvJqY https://pbs.twimg.com/ext_tw_video_thumb/1697972259346878464/pu/img/sOetOYlGdpqLXNc7.jpg</t>
  </si>
  <si>
    <t>https://t.co/LvErzXD42m https://pbs.twimg.com/ext_tw_video_thumb/1645381352689213442/pu/img/OZpFdfRLZi9pgpw2.jpg</t>
  </si>
  <si>
    <t>https://t.co/GYKZ6qFgex https://pbs.twimg.com/media/FsjWmp6XgAEJ5J4.jpg</t>
  </si>
  <si>
    <t>https://t.co/CjAsGsIqcp https://pbs.twimg.com/ext_tw_video_thumb/1659003493095550976/pu/img/I_8MWRjDSggOKeuh.jpg</t>
  </si>
  <si>
    <t>https://t.co/9GUIlCFeA1 https://pbs.twimg.com/ext_tw_video_thumb/1658632959237279744/pu/img/2OrfoqsNlMO0Kmsq.jpg</t>
  </si>
  <si>
    <t>https://t.co/BNZr2rBmZy https://pbs.twimg.com/ext_tw_video_thumb/1631670922334674953/pu/img/STr3ScYu6KI-t14X.jpg</t>
  </si>
  <si>
    <t>https://t.co/XePzJZvOaM https://pbs.twimg.com/ext_tw_video_thumb/1693236107918397440/pu/img/KYTUSU2Wym-IZUh4.jpg</t>
  </si>
  <si>
    <t>https://t.co/hJwNzqgYwY https://pbs.twimg.com/ext_tw_video_thumb/1658111830395437058/pu/img/7JkHBeICBzCF-r0B.jpg</t>
  </si>
  <si>
    <t>https://t.co/3inpEtvFXd https://pbs.twimg.com/ext_tw_video_thumb/1658111767095005193/pu/img/YDJujknBp7Z469w0.jpg</t>
  </si>
  <si>
    <t>https://t.co/YTZ2TBjrDL https://pbs.twimg.com/ext_tw_video_thumb/1658111597133299713/pu/img/BOz-Jqz1i6Dz4Dv_.jpg</t>
  </si>
  <si>
    <t>https://t.co/KbsDw3TQTX https://pbs.twimg.com/media/FzJYHO7WAAEDS7l.jpg</t>
  </si>
  <si>
    <t>https://t.co/bMYoXvYiPD https://pbs.twimg.com/media/FumnoUrWYAESwlz.jpg</t>
  </si>
  <si>
    <t>https://t.co/QEeJ5jZCfU https://pbs.twimg.com/media/Fxeck4TWcAEpQSK.jpg</t>
  </si>
  <si>
    <t>https://t.co/tz9VedzPYc https://pbs.twimg.com/media/Fr7SK5sWcBU1M8S.jpg</t>
  </si>
  <si>
    <t>https://t.co/2ojt57tcoc https://t.co/2ojt57tcoc https://t.co/2ojt57tcoc https://pbs.twimg.com/media/F2UILy2WUAQiwSQ.jpg https://pbs.twimg.com/media/F2UIMFfWsAAmbPP.jpg https://pbs.twimg.com/media/F2UIMTLWQAU2Ez8.jpg</t>
  </si>
  <si>
    <t>https://t.co/qWfBeE76V7 https://pbs.twimg.com/media/FrX0BpMWAAQNGJS.jpg</t>
  </si>
  <si>
    <t>https://t.co/zxysQJp4fE https://pbs.twimg.com/media/FrXrf0qWcAAzxoB.jpg</t>
  </si>
  <si>
    <t>https://t.co/h0kDm64a9H https://pbs.twimg.com/media/FrXrfZrXgAY5Qxu.jpg</t>
  </si>
  <si>
    <t>https://t.co/nC6yrysoyA https://pbs.twimg.com/media/FrymQTIWYAAozCc.jpg</t>
  </si>
  <si>
    <t>https://t.co/z42H4TDp2e https://pbs.twimg.com/media/FrwohXsWIA4WxBK.jpg</t>
  </si>
  <si>
    <t>https://t.co/35kbEN3Rsu https://pbs.twimg.com/media/FrISHGwWwAAhGNv.jpg</t>
  </si>
  <si>
    <t>https://t.co/ALIBAFwAXy https://pbs.twimg.com/media/FrIKeh4XwAEdEDD.jpg</t>
  </si>
  <si>
    <t>https://t.co/ciuzLh8Ukz https://pbs.twimg.com/media/FrIJDzcXgAE7KkF.jpg</t>
  </si>
  <si>
    <t>https://t.co/Fw4Mp5GHHc https://pbs.twimg.com/media/Fs0y1EzXsAE88RF.jpg</t>
  </si>
  <si>
    <t>https://t.co/1ncbdPHqAi https://pbs.twimg.com/media/FsauFAtWwAAiiGJ.jpg</t>
  </si>
  <si>
    <t>https://t.co/Rhyc8XDkBl https://pbs.twimg.com/media/FsWVFyqXoAIXbhC.jpg</t>
  </si>
  <si>
    <t>https://t.co/B57jW5mF1H https://pbs.twimg.com/media/FsOr4tlXsAEA93i.jpg</t>
  </si>
  <si>
    <t>https://t.co/IyP3gatkLH https://pbs.twimg.com/media/FsGKViXXoAAhf76.jpg</t>
  </si>
  <si>
    <t>https://t.co/GK82VEzjiU https://pbs.twimg.com/media/Fth-ieZXwCESB7c.jpg</t>
  </si>
  <si>
    <t>https://t.co/KLE5cTaMVF https://pbs.twimg.com/ext_tw_video_thumb/1697296393126154240/pu/img/X328WdcYitwFkrKQ.jpg</t>
  </si>
  <si>
    <t>https://t.co/oQCIHHzNxb https://pbs.twimg.com/ext_tw_video_thumb/1697285886482718720/pu/img/aphZjTv5aKZtceZe.jpg</t>
  </si>
  <si>
    <t>https://t.co/RDzGN20TrQ https://pbs.twimg.com/ext_tw_video_thumb/1697226924420947968/pu/img/Ef0i0ibRkGD5sObd.jpg</t>
  </si>
  <si>
    <t>https://t.co/BndZ2So6aR https://pbs.twimg.com/ext_tw_video_thumb/1702394205274824704/pu/img/BNAe0-zVwIZfxhqZ.jpg</t>
  </si>
  <si>
    <t>https://t.co/cGaXA4dcIp https://pbs.twimg.com/ext_tw_video_thumb/1702387699070455808/pu/img/s0KFZrFk7cxa6kcM.jpg</t>
  </si>
  <si>
    <t>https://t.co/0TH6VZx7Uy https://pbs.twimg.com/media/F6AABPDWkAA472k.jpg</t>
  </si>
  <si>
    <t>https://t.co/aceFxy7TIb https://pbs.twimg.com/media/F54W-DXWEAA4xNg.jpg</t>
  </si>
  <si>
    <t>https://t.co/qdPx9Bpgj6 https://pbs.twimg.com/media/F4fElUNXgAAKfiR.jpg</t>
  </si>
  <si>
    <t>https://t.co/YgWWLLQNFV https://pbs.twimg.com/media/FzJrUt3WwAMaeyJ.jpg</t>
  </si>
  <si>
    <t>https://t.co/JLBv6RNJnv https://pbs.twimg.com/media/F1wTODlXgAMFYga.jpg</t>
  </si>
  <si>
    <t>https://t.co/Q1ucx4Xvon https://pbs.twimg.com/media/F2HmMekbcAAuTpe.jpg</t>
  </si>
  <si>
    <t>https://t.co/bMIoHTQCnE https://pbs.twimg.com/media/F01T9MnWYAAqxnf.jpg</t>
  </si>
  <si>
    <t>https://t.co/eXb61y5lGE https://pbs.twimg.com/media/FzerwLJWcAApsxs.jpg</t>
  </si>
  <si>
    <t>https://t.co/8MUedB9RJ9 https://pbs.twimg.com/media/FzD9fIBXsAAwroE.jpg</t>
  </si>
  <si>
    <t>https://t.co/bLlSGdUTrw https://pbs.twimg.com/media/F2rYXgNX0AATnXw.jpg</t>
  </si>
  <si>
    <t>https://t.co/BOgCe1KnUc https://pbs.twimg.com/ext_tw_video_thumb/1684621704830586880/pu/img/9DW4swX3XfeDqdNM.jpg</t>
  </si>
  <si>
    <t>https://t.co/FCGrdEF1HL https://pbs.twimg.com/media/F1j1kr7XgAAPksI.jpg</t>
  </si>
  <si>
    <t>https://t.co/hI3pMbtUNM https://pbs.twimg.com/media/F1ScKvvWAAArolX.jpg</t>
  </si>
  <si>
    <t>https://t.co/QfJutJsScH https://pbs.twimg.com/media/F1PIDcPXwAAgzmT.jpg</t>
  </si>
  <si>
    <t>https://t.co/39V33Y0wvI https://pbs.twimg.com/media/F1MXbF0XsAEWAGV.jpg</t>
  </si>
  <si>
    <t>https://t.co/pv17et6z0Q https://pbs.twimg.com/media/F1Jr5-1XsAESfrn.jpg</t>
  </si>
  <si>
    <t>https://t.co/3gYllBrYbZ https://pbs.twimg.com/media/Fz3KWAtXoAArD1O.jpg</t>
  </si>
  <si>
    <t>https://t.co/wXI2khBtvt https://pbs.twimg.com/media/FzPiDMeXwBsPfbe.jpg</t>
  </si>
  <si>
    <t>https://t.co/cC6hPViO2z https://pbs.twimg.com/ext_tw_video_thumb/1687406431551537152/pu/img/9DRrA9kzcJOfw7Wy.jpg</t>
  </si>
  <si>
    <t>https://t.co/oNWeDRsO47 https://pbs.twimg.com/media/F2cXtRaWUAAhdOr.jpg</t>
  </si>
  <si>
    <t>https://t.co/pzdSPQPiTy https://pbs.twimg.com/media/F1efxZDXoAErfdA.jpg</t>
  </si>
  <si>
    <t>https://t.co/HYrgcHys3x https://pbs.twimg.com/media/F1ePUiIXgAANAOY.jpg</t>
  </si>
  <si>
    <t>https://t.co/qLp0p8Xgvn https://pbs.twimg.com/media/F1UDR-MXsAA3UbA.jpg</t>
  </si>
  <si>
    <t>https://t.co/yx7kaVzD8F https://pbs.twimg.com/media/F1EQExvX0AAVqQo.jpg</t>
  </si>
  <si>
    <t>https://t.co/HbVKbLncHa https://pbs.twimg.com/media/F0ckDzjWYAIpJEN.jpg</t>
  </si>
  <si>
    <t>https://t.co/T76eN7uZIK https://pbs.twimg.com/media/FzZEsBZWwAcBJoJ.jpg</t>
  </si>
  <si>
    <t>https://t.co/44MEbmkRoT https://pbs.twimg.com/media/F3kU0VWWUAA5nDy.jpg</t>
  </si>
  <si>
    <t>https://t.co/m1GM6gexab https://pbs.twimg.com/media/F3hWuRAXUAE7LuQ.jpg</t>
  </si>
  <si>
    <t>https://t.co/LNDpkgoFgZ https://pbs.twimg.com/media/F3AE1xHXYAE8eQv.jpg</t>
  </si>
  <si>
    <t>https://t.co/AgXvRGuFIX https://pbs.twimg.com/media/F27UCmLXsAAGT9W.jpg</t>
  </si>
  <si>
    <t>https://t.co/5FbUtjhRXk https://pbs.twimg.com/media/F226OYvWoAEWj6j.jpg</t>
  </si>
  <si>
    <t>https://t.co/0FR5hn7BHP https://pbs.twimg.com/media/F1169YDXgAAyuwc.jpg</t>
  </si>
  <si>
    <t>https://t.co/mGZx1rbjbV https://pbs.twimg.com/media/F1wmw3dWwAAjpDX.jpg</t>
  </si>
  <si>
    <t>https://t.co/X4ZhSGxw7u https://pbs.twimg.com/media/F1wcVU5XsAI1OnQ.jpg</t>
  </si>
  <si>
    <t>https://t.co/MSYQGHXQor https://pbs.twimg.com/media/F1vomguWIAkOUZW.jpg</t>
  </si>
  <si>
    <t>https://t.co/yQlK9Pfwdw https://pbs.twimg.com/media/F1t9oKRX0AE6DHn.jpg</t>
  </si>
  <si>
    <t>https://t.co/ZX0NO8bTfX https://pbs.twimg.com/media/Fy_JaLFWcAAWGjX.jpg</t>
  </si>
  <si>
    <t>https://t.co/fsySUfWg3J https://pbs.twimg.com/media/Fy5fU4nXwAIEtjP.jpg</t>
  </si>
  <si>
    <t>https://t.co/BdFaEeUQhe https://pbs.twimg.com/media/Fy19Oh0XwAEUNxz.jpg</t>
  </si>
  <si>
    <t>https://t.co/M1axAkuVVR https://pbs.twimg.com/media/F3UwL6kWgAAAQYg.jpg</t>
  </si>
  <si>
    <t>https://t.co/HBe3QMGOW6 https://pbs.twimg.com/media/F3PpWvdW4AAeNNE.jpg</t>
  </si>
  <si>
    <t>https://t.co/H5bSnoCzZD https://pbs.twimg.com/media/F2iMcENW4AE12lX.jpg</t>
  </si>
  <si>
    <t>https://t.co/4sdslZVVN3 https://pbs.twimg.com/media/F2hAjCnXwAAM6pR.jpg</t>
  </si>
  <si>
    <t>https://t.co/7ba0naLJQC https://pbs.twimg.com/media/F1ZZZ27WAAA_Nxe.jpg</t>
  </si>
  <si>
    <t>https://t.co/9rMmEdzSt9 https://pbs.twimg.com/media/F0_P4OVXsAQbkoE.jpg</t>
  </si>
  <si>
    <t>https://t.co/olpgFNo4dR https://pbs.twimg.com/media/Fzye3WCX0AE_wN-.jpg</t>
  </si>
  <si>
    <t>https://t.co/brVp3APExQ https://pbs.twimg.com/ext_tw_video_thumb/1674153873194229760/pu/img/JblQkNM2jhDEjpFw.jpg</t>
  </si>
  <si>
    <t>https://t.co/mk7D9lamHX https://pbs.twimg.com/media/FztMI9aXoAU9pde.jpg</t>
  </si>
  <si>
    <t>https://t.co/G8LmEkZWIQ https://pbs.twimg.com/media/FzoK5EgXwAI7Q1A.jpg</t>
  </si>
  <si>
    <t>https://t.co/PVF2LSsSrw https://pbs.twimg.com/media/Fzl6-4UWcAAWWqo.jpg</t>
  </si>
  <si>
    <t>https://t.co/gzLoYiY7Zq https://pbs.twimg.com/media/Fzi97ssXoAExEo1.jpg</t>
  </si>
  <si>
    <t>https://t.co/Jo6RZLA8jS https://pbs.twimg.com/media/F3urOcmW8AAv6ne.jpg</t>
  </si>
  <si>
    <t>https://t.co/QgrVi6s1kc https://pbs.twimg.com/media/F3mfXLPXsAEEL6x.jpg</t>
  </si>
  <si>
    <t>https://t.co/1VgJPPkbNY https://pbs.twimg.com/media/F3KxXYuWYAEAa0A.jpg</t>
  </si>
  <si>
    <t>https://t.co/AHvfbl4sBc https://pbs.twimg.com/media/F3GgkWGXQAAI-1T.jpg</t>
  </si>
  <si>
    <t>https://t.co/wSVLk5ibYI https://pbs.twimg.com/media/F3AcSdrXEAAZwWO.jpg</t>
  </si>
  <si>
    <t>https://t.co/QGidm7SUaC https://pbs.twimg.com/media/F2Cn0h_WIAAxorE.jpg</t>
  </si>
  <si>
    <t>https://t.co/8ygoC1WdQ9 https://pbs.twimg.com/media/F1-wXV2XoAUNk18.jpg</t>
  </si>
  <si>
    <t>https://t.co/yJerz5PDMz https://pbs.twimg.com/media/F16uwbPWAAA4hfA.jpg</t>
  </si>
  <si>
    <t>https://t.co/QWEhCvKbMf https://pbs.twimg.com/media/F14w0dgaMAANj2-.jpg</t>
  </si>
  <si>
    <t>https://t.co/phozslIZpe https://pbs.twimg.com/media/F0WgG-YX0AApQpp.jpg</t>
  </si>
  <si>
    <t>https://t.co/3P9O2p6kce https://pbs.twimg.com/media/F0RQVXnWcAIZOSy.jpg</t>
  </si>
  <si>
    <t>https://t.co/w22YiR058r https://pbs.twimg.com/media/F4TFw6BWcAAhAvN.jpg</t>
  </si>
  <si>
    <t>https://t.co/nTW40XR362 https://pbs.twimg.com/media/F3cPNk_WcAIp2Sm.jpg</t>
  </si>
  <si>
    <t>https://t.co/6yfeGDGsNo https://pbs.twimg.com/media/F2wluzZWEAEWi3e.jpg</t>
  </si>
  <si>
    <t>https://t.co/qNCe3beKsP https://pbs.twimg.com/media/F1o-zhCWcAAz-7f.jpg</t>
  </si>
  <si>
    <t>https://t.co/WwEr4p8MMp https://pbs.twimg.com/media/F0Gw5NjX0AAk8vG.jpg</t>
  </si>
  <si>
    <t>https://t.co/z2rcPOWUvS https://pbs.twimg.com/media/F6JIOWGXYAAngAy.jpg</t>
  </si>
  <si>
    <t>https://t.co/3U2tpOCGcs https://pbs.twimg.com/media/F6ALf-tXQAArhe7.jpg</t>
  </si>
  <si>
    <t>https://t.co/Md4h4tFasu https://pbs.twimg.com/media/F58GUDVXAAAMXaK.jpg</t>
  </si>
  <si>
    <t>https://t.co/A11lLP9JrJ https://pbs.twimg.com/media/F5wRX0UWUAAzjhO.jpg</t>
  </si>
  <si>
    <t>https://t.co/U7OfwrZvZp https://pbs.twimg.com/media/F2XC8X8XsAAy_l4.jpg</t>
  </si>
  <si>
    <t>https://t.co/ZsOl04FZD0 https://pbs.twimg.com/media/F2RxRFJXEAAV5Yx.jpg</t>
  </si>
  <si>
    <t>https://t.co/XfZPoGBbdQ https://pbs.twimg.com/media/F2M0xBNW4AAMNrh.jpg</t>
  </si>
  <si>
    <t>https://t.co/KZEUlt17Qz https://pbs.twimg.com/ext_tw_video_thumb/1685117722953179136/pu/img/XBpb-CvjoiirR5pg.jpg</t>
  </si>
  <si>
    <t>https://t.co/LLEz2CNBya https://pbs.twimg.com/media/F2Iwz7cXoAkzpzv.jpg</t>
  </si>
  <si>
    <t>https://t.co/80ysJ9Ga0m https://pbs.twimg.com/media/F06ExcgX0AAz6sS.jpg</t>
  </si>
  <si>
    <t>https://t.co/uDs0hcEdKc https://pbs.twimg.com/media/F04D-mEX0AEh8IS.jpg</t>
  </si>
  <si>
    <t>https://t.co/iKIHJNmSA7 https://pbs.twimg.com/media/F0wNyURXsAEjUmQ.jpg</t>
  </si>
  <si>
    <t>https://t.co/rQvpgHi6vD https://pbs.twimg.com/media/F0sKijNXoAATLUe.jpg</t>
  </si>
  <si>
    <t>https://t.co/R18z8Rteos https://pbs.twimg.com/media/F1XE4FXWcAUf7XB.jpg</t>
  </si>
  <si>
    <t>https://t.co/d3UpJU6c9F https://pbs.twimg.com/media/F0iPgHoWIAIn6bm.jpg</t>
  </si>
  <si>
    <t>https://t.co/VkmdU5AZKB https://pbs.twimg.com/ext_tw_video_thumb/1630985074207326225/pu/img/zqKXLSajSd2qJ4bT.jpg</t>
  </si>
  <si>
    <t>https://t.co/FEPIN7d0yD https://pbs.twimg.com/ext_tw_video_thumb/1651341140346404871/pu/img/Y7mo3HJNqzNJGsaG.jpg</t>
  </si>
  <si>
    <t>https://t.co/kBgxSOch9E https://pbs.twimg.com/ext_tw_video_thumb/1653893581306732545/pu/img/NKtXDtNMWcsYf88G.jpg</t>
  </si>
  <si>
    <t>https://t.co/ZCPyQiEqkn https://pbs.twimg.com/ext_tw_video_thumb/1643283493537939456/pu/img/Lq0f71duYgExlO1V.jpg</t>
  </si>
  <si>
    <t>https://t.co/8bU7Ohkvth https://pbs.twimg.com/ext_tw_video_thumb/1656467170652454913/pu/img/i_pmbkhtOV3tX1fy.jpg</t>
  </si>
  <si>
    <t>https://t.co/IUyHuvrqxs https://pbs.twimg.com/media/F5Sxe_rXQAACXkQ.jpg</t>
  </si>
  <si>
    <t>https://t.co/1fE09mjFzD https://pbs.twimg.com/media/F5SKMOFWgAACO_z.jpg</t>
  </si>
  <si>
    <t>https://t.co/vRtxzywBHo https://pbs.twimg.com/media/Fy3G6T0WYAEXCZF.jpg</t>
  </si>
  <si>
    <t>https://t.co/MyX7BQ3tyK https://pbs.twimg.com/media/Fzsw7AbX0AA_a6v.jpg</t>
  </si>
  <si>
    <t>https://t.co/mvatA0i4gW https://pbs.twimg.com/media/FtjF9DpWYAAFYUO.png</t>
  </si>
  <si>
    <t>https://t.co/3QiN5xTYrq https://pbs.twimg.com/media/Ftg_lpGWwAEaduB.jpg</t>
  </si>
  <si>
    <t>https://t.co/BTKQ8MPlhG https://pbs.twimg.com/ext_tw_video_thumb/1648279577708441604/pu/img/YYfkn8NsxbAlg8di.jpg</t>
  </si>
  <si>
    <t>https://t.co/cfnRMBxuIj https://pbs.twimg.com/media/Fp-rKSLWAAEFJ8a.jpg</t>
  </si>
  <si>
    <t>https://t.co/klefFti7HP https://pbs.twimg.com/ext_tw_video_thumb/1623059339908116480/pu/img/H0Sqp_WJZQP3wC2N.jpg</t>
  </si>
  <si>
    <t>https://t.co/t0Je9WJz3G https://pbs.twimg.com/media/FoTc5PpXoCg7C5v.jpg</t>
  </si>
  <si>
    <t>https://t.co/mJpDCk1ZlW https://pbs.twimg.com/ext_tw_video_thumb/1655658780443418633/pu/img/uNCAZ6EotIaj-umB.jpg</t>
  </si>
  <si>
    <t>https://t.co/IJJ31YtXka https://pbs.twimg.com/ext_tw_video_thumb/1690345480364900352/pu/img/Gqw6ivc76C_xhaA-.jpg</t>
  </si>
  <si>
    <t>https://t.co/qEpZ0lKY8R https://pbs.twimg.com/media/FyCUzPsWYC8FMlc.jpg</t>
  </si>
  <si>
    <t>https://t.co/PaZA7bdSuX https://pbs.twimg.com/media/FqpeT_1WwAAO7jx.jpg</t>
  </si>
  <si>
    <t>https://t.co/Avq8f3oRlf https://pbs.twimg.com/media/F1dGxn8X0AA0L8S.jpg</t>
  </si>
  <si>
    <t>https://t.co/J1Nnp5NHDV https://pbs.twimg.com/ext_tw_video_thumb/1704610673785806848/pu/img/Ch9YIbrQqwPw5rTy.jpg</t>
  </si>
  <si>
    <t>https://t.co/ChZRE1JyNh https://pbs.twimg.com/media/Fvp0ydfXwAAeZBS.jpg</t>
  </si>
  <si>
    <t>https://t.co/K05iWC13QO https://pbs.twimg.com/media/F17NXZZWYAAd9Yv.jpg</t>
  </si>
  <si>
    <t>https://t.co/MZoswZl6qC https://pbs.twimg.com/ext_tw_video_thumb/1682576505870729216/pu/img/LhOEfP-oNDusDJ6S.jpg</t>
  </si>
  <si>
    <t>https://t.co/fMZLMGVrkO https://pbs.twimg.com/media/F6b5_xQWkAIJZyn.jpg</t>
  </si>
  <si>
    <t>https://t.co/L8rvroU3Vj https://pbs.twimg.com/amplify_video_thumb/1650520411845668865/img/Q-ubM3ybgfmhtBjH.jpg</t>
  </si>
  <si>
    <t>https://t.co/gz9A51OjzL https://pbs.twimg.com/media/F2Ish6jW8AAXzYe.jpg</t>
  </si>
  <si>
    <t>https://t.co/Frfk1Spk6Z https://pbs.twimg.com/media/Fp8TCTHXsAIcsAB.jpg</t>
  </si>
  <si>
    <t>https://t.co/VpERfOPvYr https://pbs.twimg.com/media/FptnZ-JWcAAIJC4.jpg</t>
  </si>
  <si>
    <t>https://t.co/oVspVHoSJI https://pbs.twimg.com/media/FpmSDFbXEAMKDCR.jpg</t>
  </si>
  <si>
    <t>https://t.co/gp2bYYKwSo https://pbs.twimg.com/media/Fpe8iTOWAAANbqh.jpg</t>
  </si>
  <si>
    <t>https://t.co/uEd8nVgD7T https://pbs.twimg.com/media/Frf3PU_WAAIUYm9.jpg</t>
  </si>
  <si>
    <t>https://t.co/RTAQhkpth6 https://pbs.twimg.com/media/Fo8LZnSXsAAn1VO.jpg</t>
  </si>
  <si>
    <t>https://t.co/aH7JucDr2q https://pbs.twimg.com/media/FouUjcEXsAIC5eM.jpg</t>
  </si>
  <si>
    <t>https://t.co/hU51loOtCr https://pbs.twimg.com/media/FsHKjr_X0AEpxsi.jpg</t>
  </si>
  <si>
    <t>https://t.co/e0XzSKiZc7 https://pbs.twimg.com/media/FpXnGy8WcAQ9Mou.jpg</t>
  </si>
  <si>
    <t>https://t.co/2jLeq9obBl https://pbs.twimg.com/media/FsbDjM3XwAQ23Gc.jpg</t>
  </si>
  <si>
    <t>https://t.co/Lt7fhbzatE https://pbs.twimg.com/media/Fte02BaXoAINvzg.jpg</t>
  </si>
  <si>
    <t>https://t.co/mL5zHJ3qiJ https://pbs.twimg.com/media/FtI3fYNWcB81jJJ.jpg</t>
  </si>
  <si>
    <t>https://t.co/Ur7PdZW5LU https://pbs.twimg.com/media/FooPHGxXEBMote0.jpg</t>
  </si>
  <si>
    <t>https://t.co/eFN3ugmE8u https://pbs.twimg.com/media/FokrrjwWcAA2Cfi.jpg</t>
  </si>
  <si>
    <t>https://t.co/Lg9EORiZA8 https://pbs.twimg.com/media/FsxBLG4WAAA9kcK.jpg</t>
  </si>
  <si>
    <t>https://t.co/TWvE7zTF2d https://pbs.twimg.com/media/FrA1BsLXoAMRSlu.jpg</t>
  </si>
  <si>
    <t>https://t.co/Nx7WsSKIRf https://pbs.twimg.com/media/Fq_vkimWcAAbslO.jpg</t>
  </si>
  <si>
    <t>https://t.co/hmPcXcJQsT https://pbs.twimg.com/media/Fq-qX18WcAI-H6j.jpg</t>
  </si>
  <si>
    <t>https://t.co/oMjRnKgIC0 https://pbs.twimg.com/media/Fq9kuVQXwAIqqBk.jpg</t>
  </si>
  <si>
    <t>https://t.co/blNh54Ubp3 https://pbs.twimg.com/media/Fq6TlvFXsAEy4mG.jpg</t>
  </si>
  <si>
    <t>https://t.co/CpWOiqZK8P https://pbs.twimg.com/media/Fq5N91HXsAA39pF.jpg</t>
  </si>
  <si>
    <t>https://t.co/gX56kMM312 https://pbs.twimg.com/media/Fq4ILWBWIBEW8wd.jpg</t>
  </si>
  <si>
    <t>https://t.co/nAAuCOurNf https://pbs.twimg.com/media/Fq3CDh9WcAAobbm.jpg</t>
  </si>
  <si>
    <t>https://t.co/wd9BwutZlg https://pbs.twimg.com/media/Fq18VNSWIAAtgEO.jpg</t>
  </si>
  <si>
    <t>https://t.co/GLXut0OvHx https://pbs.twimg.com/media/Fq03BkPXsAEddE1.jpg</t>
  </si>
  <si>
    <t>https://t.co/7a3k47g8bC https://pbs.twimg.com/media/FqzxBOxXsAcuY0t.jpg</t>
  </si>
  <si>
    <t>https://t.co/n9gLn74lif https://pbs.twimg.com/media/Fqyrmy0XgAAwr5q.jpg</t>
  </si>
  <si>
    <t>https://t.co/GGqUsXg21u https://pbs.twimg.com/media/Fqxl7RxX0AEXeV5.jpg</t>
  </si>
  <si>
    <t>https://t.co/Rio4URGUzQ https://pbs.twimg.com/media/Fqwf1FUX0AE45zj.jpg</t>
  </si>
  <si>
    <t>https://t.co/UfGKNYrNem https://pbs.twimg.com/media/FqvaNAYXgAEoBPF.jpg</t>
  </si>
  <si>
    <t>https://t.co/1BRPSRxc6m https://pbs.twimg.com/media/FquT9sAXoAMCUlU.jpg</t>
  </si>
  <si>
    <t>https://t.co/JAuLKKrQfO https://pbs.twimg.com/media/FohNj4AXwAE4hWN.jpg</t>
  </si>
  <si>
    <t>https://t.co/m9AX8r1OGO https://pbs.twimg.com/media/FodvWcFWIAUQobH.jpg</t>
  </si>
  <si>
    <t>https://t.co/ylSHJad6g9 https://pbs.twimg.com/media/FoaRnBvXoAMXqnD.jpg</t>
  </si>
  <si>
    <t>https://t.co/KvgVza64zc https://pbs.twimg.com/media/Ft0w1EvWcAAhKeO.jpg</t>
  </si>
  <si>
    <t>https://t.co/UILCdzoD4m https://pbs.twimg.com/media/Frx_o2WXsAIbCxs.jpg</t>
  </si>
  <si>
    <t>https://t.co/AlWg5e1PJu https://pbs.twimg.com/media/FuQcr5AWcAA1Xss.jpg</t>
  </si>
  <si>
    <t>https://t.co/P74Ich0uFk https://pbs.twimg.com/media/Frsw1hCXwAEmDRF.jpg</t>
  </si>
  <si>
    <t>https://t.co/tjfESGHoty https://pbs.twimg.com/media/Fu-Iu8cWAAMY5jd.jpg</t>
  </si>
  <si>
    <t>https://t.co/eNTh4GDbKh https://pbs.twimg.com/media/Fp10zuuXoAMX93b.jpg</t>
  </si>
  <si>
    <t>https://t.co/NojpC3BrdN https://pbs.twimg.com/media/FsdP0zTXgAAT_XC.jpg</t>
  </si>
  <si>
    <t>https://t.co/BKc6oTpWkl https://pbs.twimg.com/ext_tw_video_thumb/1641268319180275715/pu/img/3XKs-RROxgnxCaL2.jpg</t>
  </si>
  <si>
    <t>https://t.co/b2pmXG3gyz https://pbs.twimg.com/ext_tw_video_thumb/1641268166172065793/pu/img/_UekR7uRwUMVSXsI.jpg</t>
  </si>
  <si>
    <t>https://t.co/3DlfpmnHCJ https://pbs.twimg.com/media/Fsb0uvkWIAILeG9.jpg</t>
  </si>
  <si>
    <t>https://t.co/is5HGkgGE2 https://pbs.twimg.com/ext_tw_video_thumb/1641062280333864961/pu/img/_vPiatJ4c4VZahiC.jpg</t>
  </si>
  <si>
    <t>https://t.co/W6nTz8VPEe https://pbs.twimg.com/media/FsY5W2VWIAEjkYX.jpg</t>
  </si>
  <si>
    <t>https://t.co/Dk4Mmoj2x7 https://pbs.twimg.com/ext_tw_video_thumb/1641062130744020995/pu/img/SOEunkm7IvzUiEch.jpg</t>
  </si>
  <si>
    <t>https://t.co/VW8xyanXSj https://pbs.twimg.com/media/FsY5OnwXoAEFvle.jpg</t>
  </si>
  <si>
    <t>https://t.co/Ek07QmwBgm https://pbs.twimg.com/media/FvW3GKlWAAM_GvB.jpg</t>
  </si>
  <si>
    <t>https://t.co/k4lhMoCTCb https://pbs.twimg.com/ext_tw_video_thumb/1654293383735656448/pu/img/Qo7YVT0EQZf5VYxc.jpg</t>
  </si>
  <si>
    <t>https://t.co/ed97OZ3Bj8 https://pbs.twimg.com/media/FvU7FGvWIAACZBx.jpg</t>
  </si>
  <si>
    <t>https://t.co/QPokmmc5ey https://pbs.twimg.com/ext_tw_video_thumb/1654293282837475329/pu/img/NVi9LmMW7yHSay2r.jpg</t>
  </si>
  <si>
    <t>https://t.co/FAHvitaDEP https://pbs.twimg.com/media/FvNuBa6WcAAF3Q7.jpg</t>
  </si>
  <si>
    <t>https://t.co/zEiQ4sqXkf https://pbs.twimg.com/media/FslcECRWAAAXTMU.jpg</t>
  </si>
  <si>
    <t>https://t.co/HRimZgAp7N https://pbs.twimg.com/media/FoaMzmdXoAAKPOj.jpg</t>
  </si>
  <si>
    <t>https://t.co/bH2noPI6rj https://pbs.twimg.com/media/FoXSLVdX0AAtaQN.jpg</t>
  </si>
  <si>
    <t>https://t.co/oe6F4eWUid https://pbs.twimg.com/ext_tw_video_thumb/1622934092042973184/pu/img/d2JEMG7yxPaw02dS.jpg</t>
  </si>
  <si>
    <t>https://t.co/lFzZvDrB7o https://pbs.twimg.com/media/FvU6_PCWYAkQYzQ.jpg</t>
  </si>
  <si>
    <t>https://t.co/HcRJv6z6r1 https://pbs.twimg.com/ext_tw_video_thumb/1654097149871661056/pu/img/aJcShWoexH3nHOE-.jpg</t>
  </si>
  <si>
    <t>https://t.co/mVbhvrKMSm https://pbs.twimg.com/ext_tw_video_thumb/1654097009098235909/pu/img/v914mzcrw3FxFsnG.jpg</t>
  </si>
  <si>
    <t>https://t.co/v6GsMlqD8Q https://pbs.twimg.com/media/FvSIe-WXoAE5uxH.jpg</t>
  </si>
  <si>
    <t>https://t.co/IGVeVuWOIa https://pbs.twimg.com/media/FvSIbeUXwAAVCIw.jpg</t>
  </si>
  <si>
    <t>https://t.co/VztzzoYmWt https://pbs.twimg.com/ext_tw_video_thumb/1653859363755376641/pu/img/Uiscbc4xUzUQlh3U.jpg</t>
  </si>
  <si>
    <t>https://t.co/IbcBC0ObDq https://pbs.twimg.com/media/FvOwOyHXsAEjfGf.jpg</t>
  </si>
  <si>
    <t>https://t.co/8x0kidl8dB https://pbs.twimg.com/media/FsKm1ISXgAAoioh.jpg</t>
  </si>
  <si>
    <t>https://t.co/M5j4iIpj5U https://pbs.twimg.com/media/FzYdlgqaIAAfkY6.jpg</t>
  </si>
  <si>
    <t>https://t.co/3PGWi36nwi https://pbs.twimg.com/media/Frx4exmX0AAnVfH.jpg</t>
  </si>
  <si>
    <t>https://t.co/yO1woqWNkS https://pbs.twimg.com/ext_tw_video_thumb/1635702911471681538/pu/img/T9QyLOPgprYL-gk4.jpg</t>
  </si>
  <si>
    <t>https://t.co/bTDF8X2wPc https://pbs.twimg.com/ext_tw_video_thumb/1621177909804163072/pu/img/OjLdDLPpDS7fJfPu.jpg</t>
  </si>
  <si>
    <t>https://t.co/C9TUF2uCcG https://pbs.twimg.com/ext_tw_video_thumb/1681870565999616000/pu/img/4gruj1WHgopZTOdA.jpg</t>
  </si>
  <si>
    <t>https://t.co/F6vd5h4VYM https://pbs.twimg.com/ext_tw_video_thumb/1665801980302770180/pu/img/_5rAiRealgK19T9B.jpg</t>
  </si>
  <si>
    <t>https://t.co/m898HbZesI https://pbs.twimg.com/media/FwcVHz5XgAAWl1y.jpg</t>
  </si>
  <si>
    <t>https://t.co/nBEPzZ8J0S https://pbs.twimg.com/ext_tw_video_thumb/1627029603880431619/pu/img/ZN5JUcSaLHv5J7dF.jpg</t>
  </si>
  <si>
    <t>https://t.co/ZOS6MyyZEh https://pbs.twimg.com/ext_tw_video_thumb/1687186489178791937/pu/img/jHtI1lFPUWEqP9cq.jpg</t>
  </si>
  <si>
    <t>https://t.co/CvlK39lJSP https://pbs.twimg.com/ext_tw_video_thumb/1684648199041024000/pu/img/Ch5Uto0zloRE3pEp.jpg</t>
  </si>
  <si>
    <t>https://t.co/T7GanQVPbB https://pbs.twimg.com/ext_tw_video_thumb/1664689566555537408/pu/img/zmMN_h-odR76W0nC.jpg</t>
  </si>
  <si>
    <t>https://t.co/djbmbH0a30 https://pbs.twimg.com/ext_tw_video_thumb/1637524701906890752/pu/img/Zae2pb9hvRK6cNM3.jpg</t>
  </si>
  <si>
    <t>https://t.co/RsV8onKui1 https://pbs.twimg.com/ext_tw_video_thumb/1626661777135001606/pu/img/VDGlsqYTFSWOOXar.jpg</t>
  </si>
  <si>
    <t>https://t.co/M6VqliK0Jn https://pbs.twimg.com/ext_tw_video_thumb/1693291210109079552/pu/img/Gy0lKjBbewwFwxbF.jpg</t>
  </si>
  <si>
    <t>https://t.co/rxZ1qDAppP https://pbs.twimg.com/ext_tw_video_thumb/1690090283663261696/pu/img/PsDOv4ZPE-Qb_4xu.jpg</t>
  </si>
  <si>
    <t>https://t.co/59RNdj37Va https://pbs.twimg.com/ext_tw_video_thumb/1673720169120538624/pu/img/IZg3G57WFJmTxctn.jpg</t>
  </si>
  <si>
    <t>https://t.co/ir2GDpslZq https://pbs.twimg.com/ext_tw_video_thumb/1673307107838291969/pu/img/ZsZLRsvGygmId95a.jpg</t>
  </si>
  <si>
    <t>https://t.co/tlycNKSdKT https://pbs.twimg.com/ext_tw_video_thumb/1666534999691067393/pu/img/0xXf50Gv6oLcNTl9.jpg</t>
  </si>
  <si>
    <t>https://t.co/tfCAlwQ34q https://pbs.twimg.com/ext_tw_video_thumb/1638963709233049600/pu/img/dOfLcudZ4SyOhL6s.jpg</t>
  </si>
  <si>
    <t>https://t.co/0bpUfEtCgr https://pbs.twimg.com/ext_tw_video_thumb/1638259438812295188/pu/img/EsIRmVC4uHG7s06L.jpg</t>
  </si>
  <si>
    <t>https://t.co/oaumXMBJKo https://pbs.twimg.com/ext_tw_video_thumb/1696570586753888265/pu/img/IUBepMbvWVL1GtVn.jpg</t>
  </si>
  <si>
    <t>https://t.co/gUY1hUeEoV https://pbs.twimg.com/ext_tw_video_thumb/1669415968261455887/pu/img/yxM-Pi-0DQbs_U1R.jpg</t>
  </si>
  <si>
    <t>https://t.co/yYPpxkKZDZ https://pbs.twimg.com/ext_tw_video_thumb/1661459376689872898/pu/img/mKm1Rt5IpB0G-1GV.jpg</t>
  </si>
  <si>
    <t>https://t.co/hNhuUW11zu https://pbs.twimg.com/ext_tw_video_thumb/1653079766432374784/pu/img/TzZ9VJ8VGzd5HFJW.jpg</t>
  </si>
  <si>
    <t>https://t.co/aoTet05exA https://pbs.twimg.com/ext_tw_video_thumb/1634607275460505600/pu/img/-NNUE_fj_7SPKfJT.jpg</t>
  </si>
  <si>
    <t>https://t.co/a4uKKsLAO2 https://pbs.twimg.com/ext_tw_video_thumb/1703464442342547456/pu/img/lMwaQNEU03xyEcRK.jpg</t>
  </si>
  <si>
    <t>https://t.co/WMidm6Ij75 https://pbs.twimg.com/ext_tw_video_thumb/1675923593908068364/pu/img/r9I_NPSjgryPT3S3.jpg</t>
  </si>
  <si>
    <t>https://t.co/242nEnvbLT https://pbs.twimg.com/ext_tw_video_thumb/1650558783934943233/pu/img/E5xUrnwmIBcUhD1o.jpg</t>
  </si>
  <si>
    <t>https://t.co/zjCFJBgsdK https://pbs.twimg.com/ext_tw_video_thumb/1641119888340049920/pu/img/CZbsnKOjdVkKDIP9.jpg</t>
  </si>
  <si>
    <t>https://t.co/UYflH2kL54 https://pbs.twimg.com/ext_tw_video_thumb/1632434004761755649/pu/img/Ut39d2G6NEoP23jM.jpg</t>
  </si>
  <si>
    <t>https://t.co/QzYZvQhWkI https://pbs.twimg.com/ext_tw_video_thumb/1631024561960497153/pu/img/ExpqY_wnHn64hfEn.jpg</t>
  </si>
  <si>
    <t>https://t.co/i39adJZl6H https://pbs.twimg.com/ext_tw_video_thumb/1704575069639290880/pu/img/HiXn62z47-WsrKKy.jpg</t>
  </si>
  <si>
    <t>https://t.co/aeIXXJnZmU https://pbs.twimg.com/ext_tw_video_thumb/1699139891798429696/pu/img/KsG1MCQERViFa7a1.jpg</t>
  </si>
  <si>
    <t>https://t.co/HHR68cRv9l https://pbs.twimg.com/media/F3lbwekXsAYQohq.jpg</t>
  </si>
  <si>
    <t>https://t.co/FRn8y0kpOd https://pbs.twimg.com/ext_tw_video_thumb/1640784647276601351/pu/img/4vHFU_ZsBvYJUE9B.jpg</t>
  </si>
  <si>
    <t>https://t.co/EyKmSXdPkI https://pbs.twimg.com/media/FsQJCLPXoAARGmG.jpg</t>
  </si>
  <si>
    <t>https://t.co/kUYCOMeLbG https://pbs.twimg.com/ext_tw_video_thumb/1628098539300483072/pu/img/Na8fsonGkkewk_zp.jpg</t>
  </si>
  <si>
    <t>https://t.co/aIOodHMPXw https://pbs.twimg.com/ext_tw_video_thumb/1705030400756654080/pu/img/EYorjhzXH2SxfHBj.jpg</t>
  </si>
  <si>
    <t>https://t.co/iI4ud1uQ3z https://pbs.twimg.com/ext_tw_video_thumb/1703006527940931584/pu/img/TmZUl1Y0iU1inqrd.jpg</t>
  </si>
  <si>
    <t>https://t.co/UPpFuNDXU7 https://pbs.twimg.com/ext_tw_video_thumb/1701293494994673664/pu/img/q8u-2tyjl3S6TNN_.jpg</t>
  </si>
  <si>
    <t>https://t.co/ZPSqom2byE https://pbs.twimg.com/ext_tw_video_thumb/1700954903223402497/pu/img/3L8KUf_Y9Ywh3hoj.jpg</t>
  </si>
  <si>
    <t>https://t.co/Y7w2LFJbgY https://pbs.twimg.com/ext_tw_video_thumb/1692602521397719040/pu/img/uoxcbAbkSqafIA9p.jpg</t>
  </si>
  <si>
    <t>https://t.co/FcREiYp4T0 https://pbs.twimg.com/ext_tw_video_thumb/1678811723103346688/pu/img/zecrAwD6_TudAnDM.jpg</t>
  </si>
  <si>
    <t>https://t.co/h1YZxuflPs https://pbs.twimg.com/media/FtbUSWOWwAAbOMp.jpg</t>
  </si>
  <si>
    <t>https://t.co/2ZIM12TbJ4 https://pbs.twimg.com/media/FtbPM6WWwAE4fug.jpg</t>
  </si>
  <si>
    <t>https://t.co/TQfkfMJ3CW https://pbs.twimg.com/media/FyDk9E7XoAAjybE.jpg</t>
  </si>
  <si>
    <t>https://t.co/ZybpNCYWma https://pbs.twimg.com/media/F5xJ1VOWEAATMnm.jpg</t>
  </si>
  <si>
    <t>https://t.co/MH6eekAHc2 https://pbs.twimg.com/media/FqtoxrDXoAkLJei.jpg</t>
  </si>
  <si>
    <t>https://t.co/AlPntEHWfL https://pbs.twimg.com/media/Fp_XEXxWwAE1aDX.jpg</t>
  </si>
  <si>
    <t>https://t.co/0dz1cPv66z https://pbs.twimg.com/media/F4a5pANXQAA0Y1n.jpg</t>
  </si>
  <si>
    <t>https://t.co/6e88DpeXue https://pbs.twimg.com/media/FxpLicBWcAA0Xjt.jpg</t>
  </si>
  <si>
    <t>https://t.co/sR03qI7Ywi https://pbs.twimg.com/ext_tw_video_thumb/1687985335043497984/pu/img/nH_y3qdQFJ37J0oL.jpg</t>
  </si>
  <si>
    <t>https://t.co/zZknLfyUVw https://pbs.twimg.com/ext_tw_video_thumb/1687648661080047618/pu/img/xU6ksynPbGa_-wwE.jpg</t>
  </si>
  <si>
    <t>https://t.co/Y2wt83Xmj9 https://pbs.twimg.com/media/FocXlQjX0AQZ5rg.jpg</t>
  </si>
  <si>
    <t>https://t.co/ElCUts5faX https://pbs.twimg.com/ext_tw_video_thumb/1641195527353016322/pu/img/hpWSehACruOpR_-9.jpg</t>
  </si>
  <si>
    <t>https://t.co/2hBinQBFTx https://pbs.twimg.com/ext_tw_video_thumb/1678720549353127936/pu/img/LZpye8GtFkFCug5Z.jpg</t>
  </si>
  <si>
    <t>https://t.co/tnYVeo82ih https://pbs.twimg.com/media/Fq0GOQ6XgAMSZEl.jpg</t>
  </si>
  <si>
    <t>https://t.co/Z5NIhMf5OI https://t.co/Z5NIhMf5OI https://t.co/Z5NIhMf5OI https://t.co/Z5NIhMf5OI https://pbs.twimg.com/media/F3LDQAbWcAA91RA.jpg https://pbs.twimg.com/media/F3LDQZXWMAAtUYX.jpg https://pbs.twimg.com/media/F3LDQzMWUAAEqwJ.jpg https://pbs.twimg.com/media/F3LDRL_WcAE1Jkh.jpg</t>
  </si>
  <si>
    <t>https://t.co/UgLmScKrRw https://pbs.twimg.com/media/F52vhAAXMAANBQF.jpg</t>
  </si>
  <si>
    <t>https://t.co/7HqSYLtjcd https://pbs.twimg.com/media/FoPqXCkWAAMkaq7.jpg</t>
  </si>
  <si>
    <t>https://t.co/P22kG1LhCM https://pbs.twimg.com/ext_tw_video_thumb/1673344566873796609/pu/img/djhxqeEs8OmXLpsl.jpg</t>
  </si>
  <si>
    <t>https://t.co/SCR3UXcoL5 https://pbs.twimg.com/media/F4osOEQWMAEGR-5.jpg</t>
  </si>
  <si>
    <t>https://t.co/YR1Ic1bxvx https://pbs.twimg.com/ext_tw_video_thumb/1707078859835822080/pu/img/LkP8tW34cp9rA4oE.jpg</t>
  </si>
  <si>
    <t>https://t.co/dZ3vLdo1QJ https://pbs.twimg.com/media/FseZZEkaUAcSJt_.jpg</t>
  </si>
  <si>
    <t>https://t.co/aVzcqPKSxt https://t.co/aVzcqPKSxt https://pbs.twimg.com/media/Fn4pHBdWAAAxhEX.jpg https://pbs.twimg.com/media/Fn4pHBXWQAEG875.jpg</t>
  </si>
  <si>
    <t>https://t.co/vcSATcWI4b https://pbs.twimg.com/media/F69s6DuaUAAeGB6.png</t>
  </si>
  <si>
    <t>https://t.co/Wj6YkRTPDr https://pbs.twimg.com/media/F1V7ccdWAAAc63s.jpg</t>
  </si>
  <si>
    <t>https://t.co/YSDCIF5203 https://pbs.twimg.com/media/FpByrbDXgAEAJke.jpg</t>
  </si>
  <si>
    <t>https://t.co/JgfaRWTDxt https://pbs.twimg.com/ext_tw_video_thumb/1679902684080484373/pu/img/MxCN8usbwFAjtOso.jpg</t>
  </si>
  <si>
    <t>https://t.co/6st02Uqm3A https://pbs.twimg.com/media/FqKmwh1X0AEl0Jn.jpg</t>
  </si>
  <si>
    <t>https://t.co/SBoU3ecEET https://pbs.twimg.com/media/F2ihd5YXwAkNrze.png</t>
  </si>
  <si>
    <t>https://t.co/gcBygNt9ob https://pbs.twimg.com/ext_tw_video_thumb/1698061675293786112/pu/img/Gx4ARRlOmbBDRwHn.jpg</t>
  </si>
  <si>
    <t>https://t.co/38fkZLJ6WC https://pbs.twimg.com/media/Fuc2F0zWcAEe8if.jpg</t>
  </si>
  <si>
    <t>https://t.co/W3ZfJPdBSV https://pbs.twimg.com/media/Fr6wCYLWIAgkmg4.jpg</t>
  </si>
  <si>
    <t>https://t.co/L5eYM6yh0z https://pbs.twimg.com/media/Frvo_pJXsAA8Nl9.jpg</t>
  </si>
  <si>
    <t>https://t.co/CA7qwZbcx0 https://pbs.twimg.com/media/FzqdnKBWAAE6Td6.jpg</t>
  </si>
  <si>
    <t>https://t.co/QCs9LtAxJc https://pbs.twimg.com/media/FzqbO_UWYAAyKuR.jpg</t>
  </si>
  <si>
    <t>https://t.co/whrGkdMNEJ https://pbs.twimg.com/media/FqiluFxWYAAB0GT.jpg</t>
  </si>
  <si>
    <t>https://t.co/YI1xSDaM0x https://pbs.twimg.com/media/F5OVU-NWEAMM2fW.jpg</t>
  </si>
  <si>
    <t>https://t.co/S28oiaLlZq https://pbs.twimg.com/ext_tw_video_thumb/1674087929726091265/pu/img/opSF_x85UOTdZyVP.jpg</t>
  </si>
  <si>
    <t>https://t.co/F0SPCIZuBP https://pbs.twimg.com/media/FrXIBcoWwBomVmh.jpg</t>
  </si>
  <si>
    <t>https://t.co/SmXG7ovu8m https://pbs.twimg.com/tweet_video_thumb/FpbdHueXgAYkC1C.jpg</t>
  </si>
  <si>
    <t>https://t.co/pUWw0oVyjZ https://pbs.twimg.com/media/Fq0XHAVXgAAsbsG.jpg</t>
  </si>
  <si>
    <t>https://t.co/ROXcu3DTQF https://pbs.twimg.com/media/F3iDr4zWoAIKlk3.jpg</t>
  </si>
  <si>
    <t>https://t.co/y5jPnyp2lf https://pbs.twimg.com/media/F2xn0l6WYAAlwCh.jpg</t>
  </si>
  <si>
    <t>https://t.co/MUioBUG3oy https://pbs.twimg.com/media/F2xl--4WoAAAZ3q.jpg</t>
  </si>
  <si>
    <t>https://t.co/nmKgNIdYX5 https://pbs.twimg.com/media/F2xlrZMW8AESqPf.jpg</t>
  </si>
  <si>
    <t>https://t.co/bwqipqhc9f https://pbs.twimg.com/media/FwD1bZJXwAIGzFM.jpg</t>
  </si>
  <si>
    <t>https://t.co/Bne39v3ApT https://pbs.twimg.com/media/Fw6sDppXsAIIFeG.jpg</t>
  </si>
  <si>
    <t>https://t.co/rKlMfmLC7t https://pbs.twimg.com/media/FwnIax0WAAIqRYj.jpg</t>
  </si>
  <si>
    <t>https://t.co/q05IilFUBo https://pbs.twimg.com/media/FyIM434XsAMztHi.jpg</t>
  </si>
  <si>
    <t>https://t.co/V8EmGdI8zU https://pbs.twimg.com/media/FyIL-kRWwAELUDc.jpg</t>
  </si>
  <si>
    <t>https://t.co/ZePhy9peoT https://pbs.twimg.com/media/Fx78IEWWwAIikIT.jpg</t>
  </si>
  <si>
    <t>https://t.co/XbgPsOzwLR https://pbs.twimg.com/media/FwdmjFTWwAAY7pQ.jpg</t>
  </si>
  <si>
    <t>https://t.co/AC0Cn6xYtt https://pbs.twimg.com/media/Fn9uB_rWAAEFgeU.png</t>
  </si>
  <si>
    <t>https://t.co/JTpnxCtDiK https://pbs.twimg.com/media/Fn_s4xTXkAA57Dr.png</t>
  </si>
  <si>
    <t>https://t.co/vrYFD6d2FA https://pbs.twimg.com/media/Fn_pPSEWIAcqJvS.jpg</t>
  </si>
  <si>
    <t>https://t.co/7kZ2PNFdB3 https://pbs.twimg.com/ext_tw_video_thumb/1621214181251862530/pu/img/DDpahQifwnv7Dn-W.jpg</t>
  </si>
  <si>
    <t>https://t.co/MCCJrjKNz7 https://pbs.twimg.com/media/FsEaoVwXsAM71km.jpg</t>
  </si>
  <si>
    <t>https://t.co/zJExn87I9G https://pbs.twimg.com/ext_tw_video_thumb/1684575027084296192/pu/img/tGFEt06IMUO4YC6y.jpg</t>
  </si>
  <si>
    <t>https://t.co/E0PhzPC4s1 https://pbs.twimg.com/ext_tw_video_thumb/1684574762327232513/pu/img/lDfXZqKIqWVyGEpC.jpg</t>
  </si>
  <si>
    <t>https://t.co/41hPNOiwex https://pbs.twimg.com/media/Fqjh-7TXoAMetZo.jpg</t>
  </si>
  <si>
    <t>https://t.co/mOXVh3LoIu https://pbs.twimg.com/ext_tw_video_thumb/1704944622277885952/pu/img/3GzIf6dSvewCkIKO.jpg</t>
  </si>
  <si>
    <t>https://t.co/KXYAWnb8zZ https://pbs.twimg.com/ext_tw_video_thumb/1635611872111087616/pu/img/TDnX6RzUOus4BAil.jpg</t>
  </si>
  <si>
    <t>https://t.co/MOv81wIOJt https://pbs.twimg.com/media/F5YkEhGXcAA-DzQ.jpg</t>
  </si>
  <si>
    <t>https://t.co/uQDoN97iJ7 https://t.co/uQDoN97iJ7 https://t.co/uQDoN97iJ7 https://t.co/uQDoN97iJ7 https://pbs.twimg.com/media/F2lI8oGXMAAkFQB.jpg https://pbs.twimg.com/media/F2lI800WsAEic-r.jpg https://pbs.twimg.com/media/F2lI8_cXsAAjdkm.jpg https://pbs.twimg.com/media/F2lI9JYXwAAco2m.jpg</t>
  </si>
  <si>
    <t>https://t.co/pqLz5erWwD https://pbs.twimg.com/ext_tw_video_thumb/1648207624276525056/pu/img/khM3cNH-7p4UphAk.jpg</t>
  </si>
  <si>
    <t>https://t.co/guy8cbWlXi https://pbs.twimg.com/ext_tw_video_thumb/1649974800192876544/pu/img/adlmPkfFq6RVugHX.jpg</t>
  </si>
  <si>
    <t>https://t.co/wbD5lOCyFd https://pbs.twimg.com/media/FxDKnMGXsAQYBze.jpg</t>
  </si>
  <si>
    <t>https://t.co/4HYqZe32vM https://pbs.twimg.com/ext_tw_video_thumb/1636761123360845825/pu/img/vM7obs8QKJZY46Zw.jpg</t>
  </si>
  <si>
    <t>https://t.co/JtubEYVFrW https://pbs.twimg.com/ext_tw_video_thumb/1633153082715512836/pu/img/Vjw1GGQ6tyU4iyn1.jpg</t>
  </si>
  <si>
    <t>https://t.co/2VN5ktsgfF https://pbs.twimg.com/ext_tw_video_thumb/1686889975692865538/pu/img/m_87GrU84DWvgykr.jpg</t>
  </si>
  <si>
    <t>https://t.co/zEBY87QNS1 https://pbs.twimg.com/ext_tw_video_thumb/1643943472888532992/pu/img/hUzD_xIXMTGmKtRk.jpg</t>
  </si>
  <si>
    <t>https://t.co/spUuvQeQzW https://pbs.twimg.com/ext_tw_video_thumb/1643907936635310080/pu/img/4YjNaIwl7KqysSCQ.jpg</t>
  </si>
  <si>
    <t>https://t.co/YtCW1QAiN7 https://pbs.twimg.com/ext_tw_video_thumb/1643548097186807808/pu/img/AwxMeshZOBGLDyOx.jpg</t>
  </si>
  <si>
    <t>https://t.co/kdNF5ahqcY https://pbs.twimg.com/ext_tw_video_thumb/1643332414230413312/pu/img/sskMkuENYvNcxzY8.jpg</t>
  </si>
  <si>
    <t>https://t.co/IlDELHuCVO https://pbs.twimg.com/ext_tw_video_thumb/1643259579021639681/pu/img/GaQKalR0KQFIzpu2.jpg</t>
  </si>
  <si>
    <t>https://t.co/ASPWnHJaF2 https://pbs.twimg.com/ext_tw_video_thumb/1643245721338929153/pu/img/hlS9NFLOm-wStC_x.jpg</t>
  </si>
  <si>
    <t>https://t.co/BbN1ulBiGh https://pbs.twimg.com/ext_tw_video_thumb/1643232666144186369/pu/img/vdEKiEnibA2FbeDl.jpg</t>
  </si>
  <si>
    <t>https://t.co/keK1zj0gyN https://pbs.twimg.com/media/FuCWf5sWYAAbOA8.jpg</t>
  </si>
  <si>
    <t>https://t.co/1CP1AWLzOb https://pbs.twimg.com/ext_tw_video_thumb/1659973850224885765/pu/img/QrMGkrI_-KDRnQPI.jpg</t>
  </si>
  <si>
    <t>https://t.co/kItPduxnnI https://pbs.twimg.com/media/F1QeDDUX0AAQJXp.jpg</t>
  </si>
  <si>
    <t>https://t.co/xTBpqR9zix https://pbs.twimg.com/ext_tw_video_thumb/1664013255851880449/pu/img/yC_XOcWkt21WDVqx.jpg</t>
  </si>
  <si>
    <t>https://t.co/xHCNy61CAm https://pbs.twimg.com/media/F0CkC9WWAAAxjG0.jpg</t>
  </si>
  <si>
    <t>https://t.co/M9y2RJ2cMi https://pbs.twimg.com/media/Fz_QEpEXwAEUYII.jpg</t>
  </si>
  <si>
    <t>https://t.co/EMM9ueq8uJ https://pbs.twimg.com/media/FyYOhTxXgAAtUPU.jpg</t>
  </si>
  <si>
    <t>https://t.co/g5wYJNuMp3 https://pbs.twimg.com/media/FyTHmdUXwAArqpY.jpg</t>
  </si>
  <si>
    <t>https://t.co/5rABdKNKNv https://pbs.twimg.com/media/Fw11fx4WIAU8-EB.jpg</t>
  </si>
  <si>
    <t>https://t.co/kcfps6Ewcu https://pbs.twimg.com/media/Fw0dHaiaYAMTI6j.jpg</t>
  </si>
  <si>
    <t>https://t.co/7jhyD03YaH https://pbs.twimg.com/media/Fwm-PFqXsAEOsoE.jpg</t>
  </si>
  <si>
    <t>https://t.co/DLytb9xbL6 https://pbs.twimg.com/ext_tw_video_thumb/1674527956453019649/pu/img/KRQYnskDvA-jpxVE.jpg</t>
  </si>
  <si>
    <t>https://t.co/wdiETqoOjW https://pbs.twimg.com/ext_tw_video_thumb/1671176779438931975/pu/img/Mc_L-VSOZmUBCvM2.jpg</t>
  </si>
  <si>
    <t>https://t.co/lywUN5Ffm0 https://pbs.twimg.com/media/Fy_d2eAWwAIxvyc.jpg</t>
  </si>
  <si>
    <t>https://t.co/F5z73zMk6z https://pbs.twimg.com/media/Fx_KJVlWAAEsoKr.jpg</t>
  </si>
  <si>
    <t>https://t.co/3LlHlE22bx https://pbs.twimg.com/media/Fx96E_1WcAAoD11.jpg</t>
  </si>
  <si>
    <t>https://t.co/7qUCGbQ8kz https://pbs.twimg.com/media/FxUxqv_WYAEW0F6.png</t>
  </si>
  <si>
    <t>https://t.co/zXxOahhzeU https://pbs.twimg.com/ext_tw_video_thumb/1659670281730809858/pu/img/7uXf4VIM_fwsmiFs.jpg</t>
  </si>
  <si>
    <t>https://t.co/99sCm9zpp7 https://pbs.twimg.com/media/FwIIAW4WcAAyJ8N.jpg</t>
  </si>
  <si>
    <t>https://t.co/k7xng2QcZC https://pbs.twimg.com/ext_tw_video_thumb/1683812689468878849/pu/img/Ys3WQU2GeKw1izix.jpg</t>
  </si>
  <si>
    <t>https://t.co/MHOhBxGRYL https://pbs.twimg.com/ext_tw_video_thumb/1676695593542983680/pu/img/ph4NgfCWLueVLIry.jpg</t>
  </si>
  <si>
    <t>https://t.co/Mz0jcwtlVq https://pbs.twimg.com/ext_tw_video_thumb/1676244098418606088/pu/img/6dUdBqHckCHNJbnu.jpg</t>
  </si>
  <si>
    <t>https://t.co/DK1oXIh9pM https://pbs.twimg.com/ext_tw_video_thumb/1669447741813006340/pu/img/juHDCifz3di6YW-0.jpg</t>
  </si>
  <si>
    <t>https://t.co/BGLwRmajBo https://pbs.twimg.com/ext_tw_video_thumb/1669358222636097537/pu/img/7J9kzK8_opfPgBrK.jpg</t>
  </si>
  <si>
    <t>https://t.co/fGwYJjBl6Y https://pbs.twimg.com/ext_tw_video_thumb/1669081959065108482/pu/img/KDHU1oE7piiWn20I.jpg</t>
  </si>
  <si>
    <t>https://t.co/o54KjYO9pN https://pbs.twimg.com/media/Fyloj1VXoAEpgaR.jpg</t>
  </si>
  <si>
    <t>https://t.co/yNjDBXUnwB https://pbs.twimg.com/ext_tw_video_thumb/1668730078631428097/pu/img/3CJz-bbtJpNACCxL.jpg</t>
  </si>
  <si>
    <t>https://t.co/jDZ5FSsii0 https://t.co/jDZ5FSsii0 https://t.co/jDZ5FSsii0 https://pbs.twimg.com/ext_tw_video_thumb/1661745500536836102/pu/img/s_NkwyPEz3RyMImy.jpg https://pbs.twimg.com/ext_tw_video_thumb/1661745523882352645/pu/img/2YoiBverZlUKbgKm.jpg https://pbs.twimg.com/ext_tw_video_thumb/1661745538101026817/pu/img/lcgPDP5-IS0ebnZj.jpg</t>
  </si>
  <si>
    <t>https://t.co/qlDJUCNl9y https://t.co/qlDJUCNl9y https://pbs.twimg.com/media/Fw6-aR7XoAEv3J7.png https://pbs.twimg.com/media/Fw6-bypWAAEOR6k.png</t>
  </si>
  <si>
    <t>https://t.co/4CuSbt7JXp https://pbs.twimg.com/media/Fw6HK9LWAAgcwJH.jpg</t>
  </si>
  <si>
    <t>https://t.co/PlQVIeMo7G https://pbs.twimg.com/media/FvDj9OmXwAQZB_V.jpg</t>
  </si>
  <si>
    <t>https://t.co/RxlJrHlE8l https://pbs.twimg.com/media/Fu_9rzGWIAw9bjU.jpg</t>
  </si>
  <si>
    <t>https://t.co/7LuiKRjRuy https://pbs.twimg.com/media/Fu9eZMGWwAARizp.jpg</t>
  </si>
  <si>
    <t>https://t.co/PwsEWU2fkS https://pbs.twimg.com/media/Fzy-g0waMAMLUcd.jpg</t>
  </si>
  <si>
    <t>https://t.co/8aitfSvbzl https://pbs.twimg.com/media/FzpeKc2XsAAYcNw.jpg</t>
  </si>
  <si>
    <t>https://t.co/1yrC0ATMiz https://pbs.twimg.com/ext_tw_video_thumb/1673706577331732480/pu/img/-L5juZx3nfUa0Swd.jpg</t>
  </si>
  <si>
    <t>https://t.co/GU0nF8o0OW https://pbs.twimg.com/ext_tw_video_thumb/1673382669273407493/pu/img/0p3Mas4F2jv6o4Y6.jpg</t>
  </si>
  <si>
    <t>https://t.co/0PE4utHPOe https://pbs.twimg.com/media/FzgREF_WwAEoWd_.jpg</t>
  </si>
  <si>
    <t>https://t.co/DibaUw1TJT https://pbs.twimg.com/media/FyL_vqiX0AISWdQ.jpg</t>
  </si>
  <si>
    <t>https://t.co/QzSQprjsoW https://pbs.twimg.com/ext_tw_video_thumb/1667167944554561539/pu/img/ozaVPsH8iPb30JSV.jpg</t>
  </si>
  <si>
    <t>https://t.co/27Fd5sCByc https://pbs.twimg.com/media/FyG_P2eacAQMqxK.jpg</t>
  </si>
  <si>
    <t>https://t.co/Q5yCs4sgYb https://pbs.twimg.com/media/FyDFQ7fWAAIrn1N.jpg</t>
  </si>
  <si>
    <t>https://t.co/QSDakxsMOl https://pbs.twimg.com/media/FwCmvalX0AA-3nK.jpg</t>
  </si>
  <si>
    <t>https://t.co/jgxalXHr5H https://pbs.twimg.com/media/Fv7obu4XgAMFu8s.png</t>
  </si>
  <si>
    <t>https://t.co/7LbgOvAVaQ https://pbs.twimg.com/ext_tw_video_thumb/1684673803211689984/pu/img/9yz5EYB8WsYA898X.jpg</t>
  </si>
  <si>
    <t>https://t.co/K8FwBNQMd2 https://pbs.twimg.com/media/F1MfHXUWwAAMqex.jpg</t>
  </si>
  <si>
    <t>https://t.co/ljSXP5JLUs https://pbs.twimg.com/ext_tw_video_thumb/1680222460707258368/pu/img/ZhSeupeV_DH19KvW.jpg</t>
  </si>
  <si>
    <t>https://t.co/JhlC4csEIB https://pbs.twimg.com/media/Fz5jwtxWAAAafIn.jpg</t>
  </si>
  <si>
    <t>https://t.co/407FVsHw7q https://pbs.twimg.com/ext_tw_video_thumb/1672225600411500546/pu/img/594saFjIcF-9yYxZ.jpg</t>
  </si>
  <si>
    <t>https://t.co/squwpt0n3i https://pbs.twimg.com/ext_tw_video_thumb/1671986599259693063/pu/img/xTAICpSUXRseMYmA.jpg</t>
  </si>
  <si>
    <t>https://t.co/yNcFR5nAnw https://pbs.twimg.com/media/FzLMreUXoAYgefG.jpg</t>
  </si>
  <si>
    <t>https://t.co/2rLUauAhME https://pbs.twimg.com/media/FxztjKNXsAAJ2ag.jpg</t>
  </si>
  <si>
    <t>https://t.co/xiAQYIabnC https://pbs.twimg.com/media/FxyOHDxWYAYSrnT.jpg</t>
  </si>
  <si>
    <t>https://t.co/EiFClADPGt https://pbs.twimg.com/media/FxvC5ylXsAAo2em.jpg</t>
  </si>
  <si>
    <t>https://t.co/63tIaOOyjU https://pbs.twimg.com/media/FxtcVoZX0AAd0bw.jpg</t>
  </si>
  <si>
    <t>https://t.co/Lddi9VDeqe https://pbs.twimg.com/media/Fvrr-S1WYAAwlC5.jpg</t>
  </si>
  <si>
    <t>https://t.co/pRwFe4ridh https://pbs.twimg.com/media/Fvjj764WcAIuLh-.jpg</t>
  </si>
  <si>
    <t>https://t.co/LI8JxTsgbR https://pbs.twimg.com/ext_tw_video_thumb/1686027431600103426/pu/img/ZAHEnfPapJt1_oEZ.jpg</t>
  </si>
  <si>
    <t>https://t.co/uLjBD36Syd https://pbs.twimg.com/media/FxkSmXwWwAMJkUL.jpg</t>
  </si>
  <si>
    <t>https://t.co/RyJCBetftt https://pbs.twimg.com/media/Fxi5IwGaYAMX975.jpg</t>
  </si>
  <si>
    <t>https://t.co/vz1RoVYL6g https://pbs.twimg.com/media/FxZ-IkzXwAAx0Ra.jpg</t>
  </si>
  <si>
    <t>https://t.co/odfNLuuZqX https://pbs.twimg.com/media/FveFjC6XsAsjemO.jpg</t>
  </si>
  <si>
    <t>https://t.co/NRnOJzBJZW https://pbs.twimg.com/media/FvYVxQKX0AA7J5I.png</t>
  </si>
  <si>
    <t>https://t.co/KjtDHd0c6d https://pbs.twimg.com/media/F2smL3YXoAE6LUk.jpg</t>
  </si>
  <si>
    <t>https://t.co/qiEcGnRRXz https://pbs.twimg.com/ext_tw_video_thumb/1681318834098311168/pu/img/-q5Vj3d14aQOXe4Q.jpg</t>
  </si>
  <si>
    <t>https://t.co/xpGK871gOE https://pbs.twimg.com/media/F1H5PdsXgAE8t_T.jpg</t>
  </si>
  <si>
    <t>https://t.co/qSlmbHxxH1 https://pbs.twimg.com/ext_tw_video_thumb/1677305348019961858/pu/img/EzxBVpDomPXoEmIZ.jpg</t>
  </si>
  <si>
    <t>https://t.co/izRBdADPd9 https://pbs.twimg.com/ext_tw_video_thumb/1676972334329253898/pu/img/-0_VVeGPif7plvON.jpg</t>
  </si>
  <si>
    <t>https://t.co/wPgij1bu3Z https://pbs.twimg.com/media/FzbPF8vXoAIu3rh.jpg</t>
  </si>
  <si>
    <t>https://t.co/ONmuh45EDc https://pbs.twimg.com/media/FzbL6DXWAAEKPya.jpg</t>
  </si>
  <si>
    <t>https://t.co/WiWSufUdBA https://pbs.twimg.com/ext_tw_video_thumb/1672624921300664321/pu/img/fH2F24RhbhtuGOfo.jpg</t>
  </si>
  <si>
    <t>https://t.co/2bxqaJdmxX https://pbs.twimg.com/ext_tw_video_thumb/1672349250406031363/pu/img/odQnY7fkF6zC0nWM.jpg</t>
  </si>
  <si>
    <t>https://t.co/WUvAIqMdHz https://pbs.twimg.com/media/Fx3Gr4UWcAMSqCy.jpg</t>
  </si>
  <si>
    <t>https://t.co/UxXMASITem https://pbs.twimg.com/ext_tw_video_thumb/1665492678908293121/pu/img/ubytcRpNiOYWdIXH.jpg</t>
  </si>
  <si>
    <t>https://t.co/YmwcjGNugr https://pbs.twimg.com/media/FvyZ6c5WcBY_GC7.jpg</t>
  </si>
  <si>
    <t>https://t.co/0VpEqtln8W https://pbs.twimg.com/ext_tw_video_thumb/1688658178404220928/pu/img/c7DVOyZhMnTtF3c1.jpg</t>
  </si>
  <si>
    <t>https://t.co/z6yHlWazIv https://pbs.twimg.com/media/F0dl6i4XsAIqunN.jpg</t>
  </si>
  <si>
    <t>https://t.co/UATMgRW1pp https://pbs.twimg.com/media/Fy8KhhpXsAEECWO.jpg</t>
  </si>
  <si>
    <t>https://t.co/8z7LioVAjv https://pbs.twimg.com/ext_tw_video_thumb/1670439342576115715/pu/img/24zc-7ZTiPbI1Kam.jpg</t>
  </si>
  <si>
    <t>https://t.co/xLd82bF1eV https://pbs.twimg.com/media/Fy2wVmUXgAAFAJK.jpg</t>
  </si>
  <si>
    <t>https://t.co/4SVsBCvgCO https://pbs.twimg.com/ext_tw_video_thumb/1670055588238180354/pu/img/kDAwWN_kRwjXVkzm.jpg</t>
  </si>
  <si>
    <t>https://t.co/yQgShSweIE https://t.co/yQgShSweIE https://pbs.twimg.com/ext_tw_video_thumb/1669729515570970625/pu/img/ZemKigbyfyN_ccu1.jpg https://pbs.twimg.com/media/FywSLdZXoAExTYr.png</t>
  </si>
  <si>
    <t>https://t.co/6y8nZ6nfT2 https://pbs.twimg.com/media/FxPqAD8XgAAWA2M.jpg</t>
  </si>
  <si>
    <t>https://t.co/bMbStvi9X5 https://pbs.twimg.com/media/FxLAMctXsAAEJdz.jpg</t>
  </si>
  <si>
    <t>https://t.co/OOWS0AC1Dr https://pbs.twimg.com/media/FxFdkBxWAAczGvD.jpg</t>
  </si>
  <si>
    <t>https://t.co/je7A4XM0Yt https://pbs.twimg.com/media/FuuVqTZX0AAyVLD.jpg</t>
  </si>
  <si>
    <t>https://t.co/hf6UcXGhyE https://pbs.twimg.com/media/FrqPVKUWIAUKdB-.jpg</t>
  </si>
  <si>
    <t>https://t.co/QIVUemvUal https://pbs.twimg.com/ext_tw_video_thumb/1637040153632858113/pu/img/9hZ5zSb-yBOb8BIk.jpg</t>
  </si>
  <si>
    <t>https://t.co/NebCq3T4sQ https://pbs.twimg.com/ext_tw_video_thumb/1646960755328143364/pu/img/UM1tgwj43EGtlRng.jpg</t>
  </si>
  <si>
    <t>https://t.co/sdTvR3iGAU https://pbs.twimg.com/ext_tw_video_thumb/1646840311723835393/pu/img/_6pYhAZe6EqdtFVi.jpg</t>
  </si>
  <si>
    <t>https://t.co/CbHt8l0Lpl https://pbs.twimg.com/ext_tw_video_thumb/1646572834955689989/pu/img/CewJNK5rBXCjXSoa.jpg</t>
  </si>
  <si>
    <t>https://t.co/o6lx56iJRG https://pbs.twimg.com/media/Fo8GRpQWcAIew3d.jpg</t>
  </si>
  <si>
    <t>https://t.co/bzgOWVySNk https://pbs.twimg.com/media/Fo7wI9OaUAInwEt.jpg</t>
  </si>
  <si>
    <t>https://t.co/QuYqfitNfv https://pbs.twimg.com/media/FsEhRDWXgAs0nTu.jpg</t>
  </si>
  <si>
    <t>https://t.co/wFexG6X6CY https://pbs.twimg.com/media/FsEdycXXoAEuPw2.jpg</t>
  </si>
  <si>
    <t>https://t.co/XALXsRnYVn https://pbs.twimg.com/media/Fr_X7FPXoAIvxmt.jpg</t>
  </si>
  <si>
    <t>https://t.co/i2UK2wmXyZ https://pbs.twimg.com/media/Fr_UNo_WAAY_hZl.jpg</t>
  </si>
  <si>
    <t>https://t.co/IGSYQRXllT https://pbs.twimg.com/media/FseNtcEX0AIu51w.jpg</t>
  </si>
  <si>
    <t>https://t.co/3YelPDFmQM https://t.co/3YelPDFmQM https://pbs.twimg.com/media/FsbZ4R4X0AENTzl.jpg https://pbs.twimg.com/media/FsbZ4hQX0AI2UpK.jpg</t>
  </si>
  <si>
    <t>https://t.co/QL9A4TWo3r https://pbs.twimg.com/media/Fn4huoFaYAIKkoB.jpg</t>
  </si>
  <si>
    <t>https://t.co/ajgHwgdW3R https://pbs.twimg.com/ext_tw_video_thumb/1675543236805312512/pu/img/UuczWsTLtabbHh8O.jpg</t>
  </si>
  <si>
    <t>https://t.co/kxJ1s6fCBA https://t.co/kxJ1s6fCBA https://pbs.twimg.com/media/F0AHId2XoAIw4JN.jpg https://pbs.twimg.com/media/F0AHIyGX0AAHqYV.jpg</t>
  </si>
  <si>
    <t>https://t.co/qaKl5xgOOa https://pbs.twimg.com/ext_tw_video_thumb/1675258238063857665/pu/img/Rv2DoBAliZfFyaL1.jpg</t>
  </si>
  <si>
    <t>https://t.co/oxuV5bTCgk https://pbs.twimg.com/ext_tw_video_thumb/1684052991798546435/pu/img/lZDaGUSJNnA2CuZq.jpg</t>
  </si>
  <si>
    <t>https://t.co/RX0Nujt9XX https://pbs.twimg.com/ext_tw_video_thumb/1687129334996152320/pu/img/gfYhC2IvtFiW1iSi.jpg</t>
  </si>
  <si>
    <t>https://t.co/TVoW62aC6N https://pbs.twimg.com/media/F2qHbs_X0AE-Swd.jpg</t>
  </si>
  <si>
    <t>https://t.co/uDxEKjoyAB https://pbs.twimg.com/ext_tw_video_thumb/1687242563265212417/pu/img/6zYLNbObjxz0hXPL.jpg</t>
  </si>
  <si>
    <t>https://t.co/8SEP440mML https://pbs.twimg.com/ext_tw_video_thumb/1694686106422288384/pu/img/yashBcCUqM_1T4oE.jpg</t>
  </si>
  <si>
    <t>https://t.co/fXVfn7e2HB https://pbs.twimg.com/ext_tw_video_thumb/1694686069747290112/pu/img/QYUMTdF_NYgQIqWH.jpg</t>
  </si>
  <si>
    <t>https://t.co/foDhUtYDRX https://pbs.twimg.com/ext_tw_video_thumb/1625913618666487827/pu/img/2cXzrdjDo-IMgYk6.jpg</t>
  </si>
  <si>
    <t>https://t.co/nuORgg4dik https://pbs.twimg.com/media/Fo-G2eQWcAE1oAS.jpg</t>
  </si>
  <si>
    <t>https://t.co/DUPLaZLf7T https://pbs.twimg.com/media/Fo5m_QbWIAMneGa.jpg</t>
  </si>
  <si>
    <t>https://t.co/Q9f8hCbm75 https://pbs.twimg.com/ext_tw_video_thumb/1625330307355275265/pu/img/tfXan7_CnL07HSgQ.jpg</t>
  </si>
  <si>
    <t>https://t.co/Z5XhND4En7 https://t.co/Z5XhND4En7 https://t.co/Z5XhND4En7 https://t.co/Z5XhND4En7 https://pbs.twimg.com/media/F1qRXv6WwAAfzks.jpg https://pbs.twimg.com/media/F1qRXv4WwAMjgW1.jpg https://pbs.twimg.com/media/F1qRXv4WIAA_w-e.jpg https://pbs.twimg.com/media/F1qRXv5WYAIqLmF.jpg</t>
  </si>
  <si>
    <t>https://t.co/EWjbifrYX0 https://pbs.twimg.com/media/F6-XSssW8AA-wQO.jpg</t>
  </si>
  <si>
    <t>https://t.co/3Ll8u4LC5w https://pbs.twimg.com/media/F60QnUGXoAAO9Nh.jpg</t>
  </si>
  <si>
    <t>https://t.co/RjuqqQr30R https://t.co/RjuqqQr30R https://t.co/RjuqqQr30R https://pbs.twimg.com/media/F19_Ir8WcAQ87QE.jpg https://pbs.twimg.com/ext_tw_video_thumb/1684204575404830723/pu/img/eWlLFZINM51G0oaX.jpg https://pbs.twimg.com/media/F19_MESXgAQv_Js.jpg</t>
  </si>
  <si>
    <t>https://t.co/HsKqfjVl6I https://pbs.twimg.com/ext_tw_video_thumb/1703102628744368128/pu/img/xA_D04RCSpcf4z_z.jpg</t>
  </si>
  <si>
    <t>https://t.co/nJfJbuFXwK https://t.co/nJfJbuFXwK https://t.co/nJfJbuFXwK https://t.co/nJfJbuFXwK https://pbs.twimg.com/media/F60Ews5WsAEmfV8.jpg https://pbs.twimg.com/media/F60Ew4TXUAA7ag_.jpg https://pbs.twimg.com/ext_tw_video_thumb/1706025073730097152/pu/img/MdOa4gdkqGxS51Ya.jpg https://pbs.twimg.com/ext_tw_video_thumb/1706025102700089345/pu/img/cxBfS97yLEk-5aYl.jpg</t>
  </si>
  <si>
    <t>https://t.co/0sQEMYnmZh https://t.co/0sQEMYnmZh https://t.co/0sQEMYnmZh https://t.co/0sQEMYnmZh https://pbs.twimg.com/media/F6Kim9FWgAAC1cO.jpg https://pbs.twimg.com/media/F6KinOpXQAAW3I_.jpg https://pbs.twimg.com/media/F6KinbjXwAI_Z4n.jpg https://pbs.twimg.com/media/F6KinryWcAAOwWZ.jpg</t>
  </si>
  <si>
    <t>https://t.co/KAHbttowXq https://t.co/KAHbttowXq https://pbs.twimg.com/media/F6Kj-W2XcAAHRpL.jpg https://pbs.twimg.com/ext_tw_video_thumb/1703103903506530304/pu/img/IJZ5U9vILySXJP6K.jpg</t>
  </si>
  <si>
    <t>https://t.co/JmqJHsP5Eb https://t.co/JmqJHsP5Eb https://t.co/JmqJHsP5Eb https://t.co/JmqJHsP5Eb https://pbs.twimg.com/media/F4ZWIWiW0AAczqF.jpg https://pbs.twimg.com/media/F4ZWIjiXwAER3Nu.jpg https://pbs.twimg.com/media/F4ZWIv-W8AACQbD.jpg https://pbs.twimg.com/media/F4ZWI9_WcAAQPQ_.jpg</t>
  </si>
  <si>
    <t>https://t.co/8vve7pfqf2 https://pbs.twimg.com/media/F6-YaGXXQAAYezw.jpg</t>
  </si>
  <si>
    <t>https://t.co/jhLgHxEol5 https://t.co/jhLgHxEol5 https://pbs.twimg.com/media/F6-Wz_hWQAAWDCe.jpg https://pbs.twimg.com/ext_tw_video_thumb/1706748612942708736/pu/img/1luN5La1J4My6vrQ.jpg</t>
  </si>
  <si>
    <t>https://t.co/tIeYzyVQUE https://t.co/tIeYzyVQUE https://t.co/tIeYzyVQUE https://t.co/tIeYzyVQUE https://pbs.twimg.com/media/F6emlk0WgAAAnxb.jpg https://pbs.twimg.com/ext_tw_video_thumb/1704514150947254272/pu/img/t40qcxDes-K-DXIM.jpg https://pbs.twimg.com/ext_tw_video_thumb/1704514179980300288/pu/img/t1pP-6YulPeQWsVq.jpg https://pbs.twimg.com/media/F6emvqDXEAALYIG.jpg</t>
  </si>
  <si>
    <t>https://t.co/f4iPCab6sX https://pbs.twimg.com/media/F6CsIRkXwAAOZaC.jpg</t>
  </si>
  <si>
    <t>https://t.co/qHR3u7yWTf https://t.co/qHR3u7yWTf https://t.co/qHR3u7yWTf https://pbs.twimg.com/ext_tw_video_thumb/1702319260310368257/pu/img/cGPSb7XRhLRHtSGV.jpg https://pbs.twimg.com/ext_tw_video_thumb/1702319316786679808/pu/img/cPUxTXwWESJGjn1u.jpg https://pbs.twimg.com/media/F5_abbXa0AAA118.jpg</t>
  </si>
  <si>
    <t>https://t.co/mk96uBDXB6 https://t.co/mk96uBDXB6 https://t.co/mk96uBDXB6 https://t.co/mk96uBDXB6 https://pbs.twimg.com/media/F5yRoorXkAAvzfr.jpg https://pbs.twimg.com/ext_tw_video_thumb/1701394888883879936/pu/img/61qNa-KwW7_SaTAo.jpg https://pbs.twimg.com/media/F5yRrRiWYAAOs8L.jpg https://pbs.twimg.com/media/F5yRrqaWMAAXhLR.jpg</t>
  </si>
  <si>
    <t>https://t.co/fUAnz0JNJH https://t.co/fUAnz0JNJH https://t.co/fUAnz0JNJH https://t.co/fUAnz0JNJH https://pbs.twimg.com/media/F5yQ4vIW0AA-mKK.jpg https://pbs.twimg.com/ext_tw_video_thumb/1701394066955497472/pu/img/y51PLR-Ly75JwLOL.jpg https://pbs.twimg.com/ext_tw_video_thumb/1701394109896835072/pu/img/lEtly7QoVaj-fxEf.jpg https://pbs.twimg.com/media/F5yQ9RCXIAEzE0s.jpg</t>
  </si>
  <si>
    <t>https://t.co/9WFypaaNhn https://t.co/9WFypaaNhn https://t.co/9WFypaaNhn https://t.co/9WFypaaNhn https://pbs.twimg.com/media/FwP4WR8X0AEEA8x.jpg https://pbs.twimg.com/media/FwP4WkWWIAMZj9D.jpg https://pbs.twimg.com/media/FwP4W2OWcAERh13.jpg https://pbs.twimg.com/media/FwP4XNXWcAEj1DU.jpg</t>
  </si>
  <si>
    <t>https://t.co/1j9IfW8ILV https://pbs.twimg.com/ext_tw_video_thumb/1657013649402212352/pu/img/mMZ6uS2U9tjeGG4e.jpg</t>
  </si>
  <si>
    <t>https://t.co/F1hQsFwQvW https://pbs.twimg.com/ext_tw_video_thumb/1706634351155281920/pu/img/xKfABYvd1ZEhbGPs.jpg</t>
  </si>
  <si>
    <t>https://t.co/rAC2n6cxoX https://pbs.twimg.com/ext_tw_video_thumb/1707028056894746624/pu/img/QV6uVLEwojNvLszN.jpg</t>
  </si>
  <si>
    <t>https://t.co/ne7aEvqNP0 https://pbs.twimg.com/ext_tw_video_thumb/1627399605053710337/pu/img/EoOd_hMZq2r6qcmT.jpg</t>
  </si>
  <si>
    <t>https://t.co/SIUZA53xwq https://pbs.twimg.com/media/Fwmhg5KX0AIaSp3.jpg</t>
  </si>
  <si>
    <t>https://t.co/7T6cjuiWPM https://pbs.twimg.com/ext_tw_video_thumb/1631082051595018243/pu/img/RA2XX3G126ZatwWu.jpg</t>
  </si>
  <si>
    <t>https://t.co/s8ma4KBvqa https://t.co/s8ma4KBvqa https://t.co/s8ma4KBvqa https://t.co/s8ma4KBvqa https://pbs.twimg.com/media/FwLtbzXXsAALOC5.jpg https://pbs.twimg.com/media/FwLtfTwXgAI5_q8.jpg https://pbs.twimg.com/media/FwLtfUUX0AEGf0N.jpg https://pbs.twimg.com/media/FwLtfU1XsAcNDp-.jpg</t>
  </si>
  <si>
    <t>https://t.co/v7Llxirwot https://pbs.twimg.com/media/FwLrpmeWwAEvCIB.jpg</t>
  </si>
  <si>
    <t>https://t.co/khnwlx985R https://pbs.twimg.com/media/FoH5pceXoAMWqbe.png</t>
  </si>
  <si>
    <t>https://t.co/ezoihocXK6 https://t.co/ezoihocXK6 https://t.co/ezoihocXK6 https://pbs.twimg.com/media/Fxx4OPAXoAAEgEq.jpg https://pbs.twimg.com/media/Fxx4TF7XwAAcjzV.jpg https://pbs.twimg.com/media/Fxx4T0LXsAEoaM6.jpg</t>
  </si>
  <si>
    <t>https://t.co/7msTBCAQoD https://pbs.twimg.com/media/FrXrSaJXsAAWmHR.jpg</t>
  </si>
  <si>
    <t>https://t.co/HbNWoMFM2J https://pbs.twimg.com/ext_tw_video_thumb/1641117982259658755/pu/img/vUHoHcYJpjSzbGBI.jpg</t>
  </si>
  <si>
    <t>https://t.co/Jb5c6tXlzb https://pbs.twimg.com/ext_tw_video_thumb/1641117797915807746/pu/img/sC-d1PNQjizkk5lT.jpg</t>
  </si>
  <si>
    <t>https://t.co/068cjgtAjc https://pbs.twimg.com/ext_tw_video_thumb/1632214761248096258/pu/img/3emK9CB_fmoP5QFE.jpg</t>
  </si>
  <si>
    <t>https://t.co/7HccGG3Dld https://pbs.twimg.com/media/FqQHerkWAAEHzVP.jpg</t>
  </si>
  <si>
    <t>https://t.co/MsI5kxPZeY https://pbs.twimg.com/media/FuwqkfuWYAEODZu.jpg</t>
  </si>
  <si>
    <t>https://t.co/7uEIXDPcHr https://pbs.twimg.com/media/FqA85eUWwAIcylU.jpg</t>
  </si>
  <si>
    <t>https://t.co/ZIWCBvjNjf https://pbs.twimg.com/ext_tw_video_thumb/1672666490951159809/pu/img/mzDn_buMtfbbKDo7.jpg</t>
  </si>
  <si>
    <t>https://t.co/qOOH3rVkS3 https://pbs.twimg.com/media/FpbC_NLXoAE6dBv.jpg</t>
  </si>
  <si>
    <t>https://t.co/COt8zmYAqa https://pbs.twimg.com/ext_tw_video_thumb/1627423247301058560/pu/img/oqAK8oplIZ3mwd18.jpg</t>
  </si>
  <si>
    <t>https://t.co/r9gQQ1Fh8B https://pbs.twimg.com/ext_tw_video_thumb/1682000247818530817/pu/img/1V3uciMmvnQkXfLQ.jpg</t>
  </si>
  <si>
    <t>https://t.co/uZQTCPgJpr https://pbs.twimg.com/media/FoE3hEhWQAERvVK.jpg</t>
  </si>
  <si>
    <t>https://t.co/rQtecD8Hdt https://pbs.twimg.com/media/FsUeJ4dXsAMrwxL.png</t>
  </si>
  <si>
    <t>https://t.co/Z3gKxeBtw8 https://pbs.twimg.com/ext_tw_video_thumb/1707147121357422592/pu/img/d2DGgKJqO9eQkJmC.jpg</t>
  </si>
  <si>
    <t>https://t.co/cvRzjkbmc8 https://pbs.twimg.com/ext_tw_video_thumb/1687259879054958592/pu/img/2YWDBMNzSlR-ByP0.jpg</t>
  </si>
  <si>
    <t>https://t.co/SyjZlt5zh4 https://pbs.twimg.com/media/FrwB2suXsAAinhQ.jpg</t>
  </si>
  <si>
    <t>https://t.co/zthMBVl0Of https://pbs.twimg.com/ext_tw_video_thumb/1622884808853532674/pu/img/9hSHzHAUAYuAca9A.jpg</t>
  </si>
  <si>
    <t>https://t.co/V47SdTGxtg https://pbs.twimg.com/ext_tw_video_thumb/1624707553115398144/pu/img/Xy5xhh7ZPIVz4_uP.jpg</t>
  </si>
  <si>
    <t>https://t.co/8B1odf6ywV https://pbs.twimg.com/ext_tw_video_thumb/1628824017359577090/pu/img/MlThxcK_OGtzt_b9.jpg</t>
  </si>
  <si>
    <t>https://t.co/oybt4goVRy https://pbs.twimg.com/media/FnzrGsPXkAYipQZ.jpg</t>
  </si>
  <si>
    <t>https://t.co/7mC5TSQbiL https://pbs.twimg.com/media/Fnzp168XkAc_Qxz.jpg</t>
  </si>
  <si>
    <t>https://t.co/84CDyP2ixw https://pbs.twimg.com/media/Fydk7hDXsAENK6Z.png</t>
  </si>
  <si>
    <t>https://t.co/HOJdoQLEBG https://pbs.twimg.com/media/Fqfz_NAWYAEUTZi.jpg</t>
  </si>
  <si>
    <t>https://t.co/zGl2LvWANc https://pbs.twimg.com/media/FpAb-dvWYAIdB_A.jpg</t>
  </si>
  <si>
    <t>https://t.co/C12sh0fvgG https://pbs.twimg.com/ext_tw_video_thumb/1705285570593792001/pu/img/MLYZtCkjUpjE2VkO.jpg</t>
  </si>
  <si>
    <t>https://t.co/TCnagSX20O https://pbs.twimg.com/media/F6gnn6rWcAAxZZK.jpg</t>
  </si>
  <si>
    <t>https://t.co/fIzqyblZmw https://pbs.twimg.com/ext_tw_video_thumb/1705948630199275520/pu/img/XgTxs7BKXWu3kGVI.jpg</t>
  </si>
  <si>
    <t>https://t.co/7jjK734Sl8 https://pbs.twimg.com/media/Fw8hqsCXoAAawUJ.jpg</t>
  </si>
  <si>
    <t>https://t.co/nM8w3vIf1P https://pbs.twimg.com/ext_tw_video_thumb/1658326382043099139/pu/img/JCnLw_9UjSM7Msni.jpg</t>
  </si>
  <si>
    <t>https://t.co/pPS616W42W https://pbs.twimg.com/media/Fs44LL5WIBMkYNZ.jpg</t>
  </si>
  <si>
    <t>https://t.co/CVXTXjiS9v https://pbs.twimg.com/media/F7CqulEX0AAYmY9.jpg</t>
  </si>
  <si>
    <t>https://t.co/nwUYP9XQwQ https://pbs.twimg.com/media/F0XepVTWcAEFWZk.jpg</t>
  </si>
  <si>
    <t>https://t.co/8WxfuWbbRP https://pbs.twimg.com/ext_tw_video_thumb/1643643378783907842/pu/img/b77QK7njxc_2FEZT.jpg</t>
  </si>
  <si>
    <t>https://t.co/PnKLR3bsQE https://pbs.twimg.com/tweet_video_thumb/F0b_FMcXwAE7wvF.jpg</t>
  </si>
  <si>
    <t>https://t.co/ioQ0qYKzti https://pbs.twimg.com/media/Fu7yLCoX0AMbAfQ.jpg</t>
  </si>
  <si>
    <t>https://t.co/gTEHCZXXSv https://pbs.twimg.com/media/F20DDDqX0AA7BfY.jpg</t>
  </si>
  <si>
    <t>https://t.co/6mUsUO7Li1 https://pbs.twimg.com/media/Fs-BBeSXoAUpRKC.jpg</t>
  </si>
  <si>
    <t>https://t.co/QS4jdN2kvP https://pbs.twimg.com/ext_tw_video_thumb/1635105839953465344/pu/img/Mp0C-e-ieanRAcRm.jpg</t>
  </si>
  <si>
    <t>https://t.co/OfcyWU2C99 https://pbs.twimg.com/media/FqKGuWuWIAAZh8F.jpg</t>
  </si>
  <si>
    <t>https://t.co/ZyZiL8i1Mt https://pbs.twimg.com/amplify_video_thumb/1632817928478367744/img/xfg7FWfEG50_26C6.jpg</t>
  </si>
  <si>
    <t>https://t.co/gUdLBgstJX https://pbs.twimg.com/amplify_video_thumb/1651046591342452736/img/rVnH9gjuzHIGLjY6.jpg</t>
  </si>
  <si>
    <t>https://t.co/7arIYO8D3m https://pbs.twimg.com/amplify_video_thumb/1651046591342452736/img/rVnH9gjuzHIGLjY6.jpg</t>
  </si>
  <si>
    <t>https://t.co/LTcT7vFtDb https://pbs.twimg.com/media/FzE5yTcX0AIDNik.jpg</t>
  </si>
  <si>
    <t>https://t.co/Nf7Pfk4Iad https://pbs.twimg.com/media/Fx9DYP9XsAA17nq.jpg</t>
  </si>
  <si>
    <t>https://t.co/uoD6v8cNxO https://pbs.twimg.com/media/F0XUrUjXgAA5_31.jpg</t>
  </si>
  <si>
    <t>https://t.co/w1HZPpeij2 https://pbs.twimg.com/media/Fyg29ldWcAANu-m.jpg</t>
  </si>
  <si>
    <t>https://t.co/mWvpZIZhpz https://pbs.twimg.com/media/F1V2jPmWcAA5pyL.jpg</t>
  </si>
  <si>
    <t>https://t.co/eUnW3k8FLt https://t.co/eUnW3k8FLt https://pbs.twimg.com/media/Fzzc8UpWwAAu2Pt.jpg https://pbs.twimg.com/media/Fzzc9UwXsAENVfH.jpg</t>
  </si>
  <si>
    <t>https://t.co/t7DlMeuV8M https://pbs.twimg.com/media/FzpGQRTWIAMp1Bb.jpg</t>
  </si>
  <si>
    <t>https://t.co/2LvW9ya204 https://pbs.twimg.com/media/FyG-ZLfakAUA1tQ.jpg</t>
  </si>
  <si>
    <t>https://t.co/hp0c1cnrge https://pbs.twimg.com/media/F2DZxDDXwAAXq0X.jpg</t>
  </si>
  <si>
    <t>https://t.co/AAYrW1zHfz https://pbs.twimg.com/media/FyrF2TvWIAAIFYq.jpg</t>
  </si>
  <si>
    <t>https://t.co/D3h6653gXj https://pbs.twimg.com/media/F3vd5XsWIAE7NYb.jpg</t>
  </si>
  <si>
    <t>https://t.co/HFEn4oNQgq https://pbs.twimg.com/media/F4ThB79a4AAtpt0.jpg</t>
  </si>
  <si>
    <t>https://t.co/gZRIcNkIWp https://pbs.twimg.com/media/F1ftZHAWAAA-WsP.jpg</t>
  </si>
  <si>
    <t>https://t.co/5xuT7J6iML https://pbs.twimg.com/media/FzPWJWSWwAApPpL.jpg</t>
  </si>
  <si>
    <t>https://t.co/NurFNqpQWy https://pbs.twimg.com/media/F6YbR_cW0AAmrzA.jpg</t>
  </si>
  <si>
    <t>https://t.co/frnuTmfoIC https://pbs.twimg.com/media/Foih7G3WAAgnVZQ.jpg</t>
  </si>
  <si>
    <t>https://t.co/Apv29XP0TK https://pbs.twimg.com/media/FofDOajXwAArrFl.jpg</t>
  </si>
  <si>
    <t>https://t.co/qVMAtPGX02 https://pbs.twimg.com/media/FoblFW0XoAcb7u0.jpg</t>
  </si>
  <si>
    <t>https://t.co/Zn4mhHJXQF https://pbs.twimg.com/media/FpBYkHlXsAsv5Ih.jpg</t>
  </si>
  <si>
    <t>https://t.co/DNaWmewoKU https://pbs.twimg.com/media/Fozk8A3WcAErQe-.jpg</t>
  </si>
  <si>
    <t>https://t.co/yyU17PSu8L https://pbs.twimg.com/media/FopizS9WYAE3xpV.jpg</t>
  </si>
  <si>
    <t>https://t.co/2Vtf7mEdUq https://pbs.twimg.com/media/FpaN31CXwAAJL53.jpg</t>
  </si>
  <si>
    <t>https://t.co/i6DrjNXuCv https://pbs.twimg.com/media/FpS2RaIWcAEHhjE.jpg</t>
  </si>
  <si>
    <t>https://t.co/RCVFPuhMdu https://pbs.twimg.com/media/Fp-5LEtWwAA8qEZ.jpg</t>
  </si>
  <si>
    <t>https://t.co/UXIxbhaNq0 https://pbs.twimg.com/media/Fpo38_4X0AkCoOO.jpg</t>
  </si>
  <si>
    <t>https://t.co/OYQKE2FOXF https://pbs.twimg.com/media/FphitXDXwAEFQQr.jpg</t>
  </si>
  <si>
    <t>https://t.co/DCnoR0tP85 https://pbs.twimg.com/ext_tw_video_thumb/1626608760700522497/pu/img/80Scya632-tsxUd8.jpg</t>
  </si>
  <si>
    <t>https://t.co/TgFdI30dzi https://pbs.twimg.com/media/F3I1v0OXwAAPAnE.jpg</t>
  </si>
  <si>
    <t>https://t.co/5qjTNrhCjz https://pbs.twimg.com/ext_tw_video_thumb/1645833515324276758/pu/img/NQcUWNibwokk8i0C.jpg</t>
  </si>
  <si>
    <t>https://t.co/ph4CdvURu8 https://pbs.twimg.com/ext_tw_video_thumb/1645407913874210817/pu/img/Akf7DL5GflFu7QwW.jpg</t>
  </si>
  <si>
    <t>https://t.co/XKdDEivAhT https://pbs.twimg.com/ext_tw_video_thumb/1648110063410728963/pu/img/GFzgjntOgfBEquGj.jpg</t>
  </si>
  <si>
    <t>https://t.co/DT6Up92AO3 https://pbs.twimg.com/ext_tw_video_thumb/1650989481082617856/pu/img/Wv7NFRpQ7f6d6a1X.jpg</t>
  </si>
  <si>
    <t>https://t.co/1c3DsmcUvV https://pbs.twimg.com/ext_tw_video_thumb/1650533177054593025/pu/img/VYPB7i458UxtnRRG.jpg</t>
  </si>
  <si>
    <t>https://t.co/2yPurbcIqW https://pbs.twimg.com/ext_tw_video_thumb/1649062135228506119/pu/img/lRvf84E-XWtCc8a6.jpg</t>
  </si>
  <si>
    <t>https://t.co/94gUVXd7Lx https://pbs.twimg.com/ext_tw_video_thumb/1658483654635692035/pu/img/fgDrvFs_W-ct_Uyb.jpg</t>
  </si>
  <si>
    <t>https://t.co/WJKbk87vmJ https://pbs.twimg.com/ext_tw_video_thumb/1646481131481579529/pu/img/t1qF_G1quV7bjA56.jpg</t>
  </si>
  <si>
    <t>https://t.co/N03fCjdbpC https://pbs.twimg.com/ext_tw_video_thumb/1657521886337572866/pu/img/d6p5vRkf2Vvo0rAw.jpg</t>
  </si>
  <si>
    <t>https://t.co/6S9XOr6wbd https://pbs.twimg.com/media/FywO6OvWwAAdfM_.jpg</t>
  </si>
  <si>
    <t>https://t.co/kIGz4pKzu9 https://pbs.twimg.com/ext_tw_video_thumb/1662286277436223488/pu/img/CAzvVnU4et3sMBqo.jpg</t>
  </si>
  <si>
    <t>https://t.co/zNXx6E9cpo https://pbs.twimg.com/ext_tw_video_thumb/1662196559277174786/pu/img/NQ6yJ4soywHDZsC0.jpg</t>
  </si>
  <si>
    <t>https://t.co/tpadrQlREE https://pbs.twimg.com/ext_tw_video_thumb/1662153398827745282/pu/img/i8wfnYmEyZI8rjLi.jpg</t>
  </si>
  <si>
    <t>https://t.co/3nFrBSuH6M https://pbs.twimg.com/media/FzVx9K-XoAQWmLH.jpg</t>
  </si>
  <si>
    <t>https://t.co/bwKxS42PYs https://pbs.twimg.com/media/FydXyyBXsAIN7kv.jpg</t>
  </si>
  <si>
    <t>https://t.co/QvVdms0E5c https://pbs.twimg.com/ext_tw_video_thumb/1665854774837669888/pu/img/q6oSBS98-4Tl6GZ7.jpg</t>
  </si>
  <si>
    <t>https://t.co/3I7z580UT6 https://pbs.twimg.com/ext_tw_video_thumb/1665854331625537536/pu/img/hFI0N9_INR_QSzJq.jpg</t>
  </si>
  <si>
    <t>https://t.co/k7JOgHS0zS https://pbs.twimg.com/media/Fwb5teqWcBM2b-1.png</t>
  </si>
  <si>
    <t>https://t.co/4ZYaJkN2TJ https://pbs.twimg.com/ext_tw_video_thumb/1656495627922964489/pu/img/aI81vK_u-znz2WXo.jpg</t>
  </si>
  <si>
    <t>https://t.co/PGwSCcA9tf https://pbs.twimg.com/ext_tw_video_thumb/1656410242144518147/pu/img/jW44OUG6hrRyzb90.jpg</t>
  </si>
  <si>
    <t>https://t.co/XiYPA3fMa5 https://pbs.twimg.com/ext_tw_video_thumb/1656407161323307008/pu/img/SQtET0rPRstr-E7W.jpg</t>
  </si>
  <si>
    <t>https://t.co/jbPq1yxDCq https://pbs.twimg.com/ext_tw_video_thumb/1656278473365749761/pu/img/B7DCUpbzxXW7oiw4.jpg</t>
  </si>
  <si>
    <t>https://t.co/gidYAzDAgo https://pbs.twimg.com/media/F1RkiIwWwAcjtOr.jpg</t>
  </si>
  <si>
    <t>https://t.co/7LdHBIKVCG https://pbs.twimg.com/media/FzGAogrXoAEMbSc.jpg</t>
  </si>
  <si>
    <t>https://t.co/ovkW36wUte https://pbs.twimg.com/ext_tw_video_thumb/1665051753081974788/pu/img/5l_9cHwnSiz_dyde.jpg</t>
  </si>
  <si>
    <t>https://t.co/CCw2tTsnF6 https://pbs.twimg.com/media/F2ZF4yOXIAARaFv.jpg</t>
  </si>
  <si>
    <t>https://t.co/T4fw3MfaSD https://pbs.twimg.com/media/F02jlBXXwAwytjT.jpg</t>
  </si>
  <si>
    <t>https://t.co/c3p1CPbern https://pbs.twimg.com/media/F0uC8YmWYAEipT7.jpg</t>
  </si>
  <si>
    <t>https://t.co/r25D0cdUdR https://pbs.twimg.com/media/Fxk604EXgAAMngz.jpg</t>
  </si>
  <si>
    <t>https://t.co/LUJ6tGWGNp https://pbs.twimg.com/ext_tw_video_thumb/1664026851960844288/pu/img/bbfeNeSs1Sfd-vdg.jpg</t>
  </si>
  <si>
    <t>https://t.co/aZiLRMTquh https://pbs.twimg.com/media/FxZrmV8WYAQhsib.jpg</t>
  </si>
  <si>
    <t>https://t.co/p1ivaeFw1q https://pbs.twimg.com/media/F3NjUt1X0AAUD1w.jpg</t>
  </si>
  <si>
    <t>https://t.co/lsYCfqgoOE https://pbs.twimg.com/media/FyMzic4WcAAl31n.jpg</t>
  </si>
  <si>
    <t>https://t.co/GT7YpzV076 https://pbs.twimg.com/media/FyCB5z8XsAEvbRw.jpg</t>
  </si>
  <si>
    <t>https://t.co/P80QOZVibP https://pbs.twimg.com/ext_tw_video_thumb/1657396745045696514/pu/img/wmHMIOD8kDcuTIs6.jpg</t>
  </si>
  <si>
    <t>https://t.co/Xr37KEW8uh https://pbs.twimg.com/media/Fv-IchZXgAAhbB-.png</t>
  </si>
  <si>
    <t>https://t.co/Nh5gcQx9M3 https://pbs.twimg.com/ext_tw_video_thumb/1657140767696076801/pu/img/IO08YClhPNAvrxAn.jpg</t>
  </si>
  <si>
    <t>https://t.co/0twUzmZ8j2 https://pbs.twimg.com/ext_tw_video_thumb/1657029818796371971/pu/img/Yy0FLz71JkM3yhl0.jpg</t>
  </si>
  <si>
    <t>https://t.co/W4E8tiZknc https://pbs.twimg.com/ext_tw_video_thumb/1657024081571479552/pu/img/0YOHDJ6d_PKwj2kL.jpg</t>
  </si>
  <si>
    <t>https://t.co/bcm2jei1ev https://pbs.twimg.com/ext_tw_video_thumb/1656808498439548929/pu/img/m9m0uG2GTzxEcsM9.jpg</t>
  </si>
  <si>
    <t>https://t.co/TEafzLkhul https://pbs.twimg.com/ext_tw_video_thumb/1656787097699733505/pu/img/2jPb_uz7K4V1JE1O.jpg</t>
  </si>
  <si>
    <t>https://t.co/6UwhvNvfeg https://pbs.twimg.com/media/F3giMbrWMBAjh_y.jpg</t>
  </si>
  <si>
    <t>https://t.co/eTCgBncKGK https://pbs.twimg.com/ext_tw_video_thumb/1675610055171878912/pu/img/IBS2mjtyJMg48Vdt.jpg</t>
  </si>
  <si>
    <t>https://t.co/zQ2xLWSuk3 https://pbs.twimg.com/media/Fw14Bg6WICEKhiK.jpg</t>
  </si>
  <si>
    <t>https://t.co/CTWRCCDh3a https://pbs.twimg.com/ext_tw_video_thumb/1660001880175435777/pu/img/S8GB5d0cENg2e4rN.jpg</t>
  </si>
  <si>
    <t>https://t.co/htzrZtwV3c https://pbs.twimg.com/ext_tw_video_thumb/1660001346391621633/pu/img/qDVYR7FOsIsas5om.jpg</t>
  </si>
  <si>
    <t>https://t.co/FqcwCXLhLk https://pbs.twimg.com/ext_tw_video_thumb/1691926397323763713/pu/img/SLoZ6JUhpeENZRBv.jpg</t>
  </si>
  <si>
    <t>https://t.co/LbR3YoFUpW https://pbs.twimg.com/media/F3ICvOBXsAAXDfg.jpg</t>
  </si>
  <si>
    <t>https://t.co/6peXFmIjxO https://pbs.twimg.com/media/F3CakayWYAM-z0Y.jpg</t>
  </si>
  <si>
    <t>https://t.co/ieVsgzt9BI https://pbs.twimg.com/media/F3A3k93a0AAoIex.jpg</t>
  </si>
  <si>
    <t>https://t.co/Kq0pTDFsdK https://pbs.twimg.com/ext_tw_video_thumb/1661883166624301059/pu/img/NJwIObxBGzb7F45P.jpg</t>
  </si>
  <si>
    <t>https://t.co/02PHcAIPHs https://pbs.twimg.com/ext_tw_video_thumb/1661773815590924302/pu/img/WhLlIEHXXvQqGnLL.jpg</t>
  </si>
  <si>
    <t>https://t.co/OcyObBQV7g https://pbs.twimg.com/ext_tw_video_thumb/1661467099066253315/pu/img/lKUzgB6SuWGWPYFh.jpg</t>
  </si>
  <si>
    <t>https://t.co/xWHWGLuekM https://pbs.twimg.com/media/Fw5lkxBXwAAS9RB.jpg</t>
  </si>
  <si>
    <t>https://t.co/f500PDspGd https://pbs.twimg.com/ext_tw_video_thumb/1635260078340153344/pu/img/BXJyWwBWnOmp95F9.jpg</t>
  </si>
  <si>
    <t>https://t.co/b3M8WBJI0B https://pbs.twimg.com/ext_tw_video_thumb/1632467968037646336/pu/img/AFD4nK0lhLcMote_.jpg</t>
  </si>
  <si>
    <t>https://t.co/PnayFrIZeV https://pbs.twimg.com/ext_tw_video_thumb/1647576546721296384/pu/img/5O__xbpdIbqNC9Eq.jpg</t>
  </si>
  <si>
    <t>https://t.co/NTWWeBSMl0 https://pbs.twimg.com/ext_tw_video_thumb/1647576108546547712/pu/img/y8Owvxe5zafgXZYf.jpg</t>
  </si>
  <si>
    <t>https://t.co/A8wYSEAifr https://pbs.twimg.com/media/F3UhC98WUAE-wah.jpg</t>
  </si>
  <si>
    <t>https://t.co/wlAuW5s0MA https://pbs.twimg.com/media/FsPpFG_WIAI0ezi.jpg</t>
  </si>
  <si>
    <t>https://t.co/ap9R6xeHrS https://pbs.twimg.com/ext_tw_video_thumb/1661183300180799490/pu/img/qydvU0hL02YUgdR3.jpg</t>
  </si>
  <si>
    <t>https://t.co/LfvqkD7dsI https://pbs.twimg.com/media/FqOejaZWYAImUI2.jpg</t>
  </si>
  <si>
    <t>https://t.co/oP8gvryHkJ https://t.co/oP8gvryHkJ https://pbs.twimg.com/media/FxA7a52WwAEphIQ.jpg https://pbs.twimg.com/media/FxA7a5gX0AEakHN.jpg</t>
  </si>
  <si>
    <t>https://t.co/uWI9lDx8TR https://pbs.twimg.com/media/FyHrpOzWAAAxKhw.jpg</t>
  </si>
  <si>
    <t>https://t.co/w1urbTzDnC https://pbs.twimg.com/media/FsWdVZsWYAADoRE.jpg</t>
  </si>
  <si>
    <t>https://t.co/oGtpMVHWqj https://pbs.twimg.com/ext_tw_video_thumb/1701993690145673216/pu/img/RCKD9c5wbZ-TQSOq.jpg</t>
  </si>
  <si>
    <t>https://t.co/RFJohNqbLw https://pbs.twimg.com/ext_tw_video_thumb/1701606024388714496/pu/img/SzertQ7VtkapX-Q9.jpg</t>
  </si>
  <si>
    <t>https://t.co/xQCEY2Upo2 https://pbs.twimg.com/media/F2aX47uWUAA-t6P.jpg</t>
  </si>
  <si>
    <t>https://t.co/ShQqfQ2Spn https://pbs.twimg.com/media/FwhgBp0XoAQ2P9h.jpg</t>
  </si>
  <si>
    <t>https://t.co/Gw4PbKfpo8 https://pbs.twimg.com/ext_tw_video_thumb/1686354621428613120/pu/img/rIZm5WsqPmy635S1.jpg</t>
  </si>
  <si>
    <t>https://t.co/6BTWI8wV1N https://pbs.twimg.com/media/F6FJvqlWYAAABfF.jpg</t>
  </si>
  <si>
    <t>https://t.co/m5bQSiTFBO https://pbs.twimg.com/ext_tw_video_thumb/1679863958310617089/pu/img/5i9laNQR5PJBRUfP.jpg</t>
  </si>
  <si>
    <t>https://t.co/m08RqkqOq9 https://pbs.twimg.com/media/Frar9NvXwAA_CBL.jpg</t>
  </si>
  <si>
    <t>https://t.co/hHXA7xkrbJ https://pbs.twimg.com/media/FlUbj5gWYAMIdMb.jpg</t>
  </si>
  <si>
    <t>https://t.co/zN1k96GFkl https://pbs.twimg.com/media/FsEfu4_WIAAmaPU.jpg</t>
  </si>
  <si>
    <t>https://t.co/evKOvsX3AU https://pbs.twimg.com/media/Fr_gXA6WwAgAwam.jpg</t>
  </si>
  <si>
    <t>https://t.co/dZAirGAwH0 https://pbs.twimg.com/media/FrTkt7OX0AUciDa.jpg</t>
  </si>
  <si>
    <t>https://t.co/L0OYWQZY6g https://pbs.twimg.com/media/F65jXchW4AAoAfO.jpg</t>
  </si>
  <si>
    <t>https://t.co/sVbT7OcHQq https://pbs.twimg.com/media/F6FwYvxWAAAxxPr.jpg</t>
  </si>
  <si>
    <t>https://t.co/MxVPNrgHpq https://pbs.twimg.com/media/Fr2O0exWIAsQikp.jpg</t>
  </si>
  <si>
    <t>https://t.co/eCWjqI26KE https://pbs.twimg.com/media/FrqmS5OXgAUClIn.jpg</t>
  </si>
  <si>
    <t>https://t.co/kM7J1oLLEt https://pbs.twimg.com/media/FsZ4it5XwAktpEE.jpg</t>
  </si>
  <si>
    <t>https://t.co/5H1GqyBMl1 https://pbs.twimg.com/media/Fqnm_a7X0AQAPlR.jpg</t>
  </si>
  <si>
    <t>https://t.co/AuGG2LTzqg https://pbs.twimg.com/ext_tw_video_thumb/1632721085794754563/pu/img/QQloJWC-a5g2ROed.jpg</t>
  </si>
  <si>
    <t>https://t.co/QDtyhusIGr https://pbs.twimg.com/media/FqTC2rrWAAMyUo6.jpg</t>
  </si>
  <si>
    <t>https://t.co/kKZ0SIAXb2 https://pbs.twimg.com/ext_tw_video_thumb/1630964720717922305/pu/img/lVFbO9j3l_JvEORM.jpg</t>
  </si>
  <si>
    <t>https://t.co/5xd9TThet0 https://pbs.twimg.com/ext_tw_video_thumb/1640364267462352896/pu/img/7K_1wnCdd6VJPZpr.jpg</t>
  </si>
  <si>
    <t>https://t.co/tYudivorMO https://pbs.twimg.com/media/FsAhqNXWYAcisO6.jpg</t>
  </si>
  <si>
    <t>https://t.co/sKIVCIjnrW https://pbs.twimg.com/media/FukAHCKWwAIO0ld.jpg</t>
  </si>
  <si>
    <t>https://t.co/Z0Qn19hB41 https://pbs.twimg.com/ext_tw_video_thumb/1640794243412238341/pu/img/nGTgaPEihGj2qYZH.jpg</t>
  </si>
  <si>
    <t>https://t.co/X2GTSi4EL5 https://pbs.twimg.com/media/FqDtKKJXgAM_6wc.jpg</t>
  </si>
  <si>
    <t>https://t.co/UJ6qsocMeo https://pbs.twimg.com/ext_tw_video_thumb/1630189718724812802/pu/img/CZlaHACwHkIarByQ.jpg</t>
  </si>
  <si>
    <t>https://t.co/uaaWB9EVze https://pbs.twimg.com/ext_tw_video_thumb/1646980326420299776/pu/img/ZGY8lVdyNsS9Ls_J.jpg</t>
  </si>
  <si>
    <t>https://t.co/gaqjrn2kys https://pbs.twimg.com/ext_tw_video_thumb/1636744973172330496/pu/img/mUVcOm4NkQFjvsyP.jpg</t>
  </si>
  <si>
    <t>https://t.co/AvtiuC72Ah https://pbs.twimg.com/media/FuAvQhhX0AARahs.jpg</t>
  </si>
  <si>
    <t>https://t.co/MH9QMQaHD8 https://pbs.twimg.com/media/Fs0MU8fWIAEPTxH.jpg</t>
  </si>
  <si>
    <t>https://t.co/0Rrs9kyBnm https://pbs.twimg.com/media/FrWQUwFaIAo0oE6.jpg</t>
  </si>
  <si>
    <t>https://t.co/7kFno6xkdL https://pbs.twimg.com/media/FrQ6ExoWAAk4ehE.jpg</t>
  </si>
  <si>
    <t>https://t.co/E5ct2cTqVN https://pbs.twimg.com/ext_tw_video_thumb/1663980424203255816/pu/img/1ETquCQo1N8kX17R.jpg</t>
  </si>
  <si>
    <t>https://t.co/AfVpHIDG8U https://pbs.twimg.com/ext_tw_video_thumb/1645482329660432390/pu/img/FP2gEuNunWTaWl6w.jpg</t>
  </si>
  <si>
    <t>https://t.co/22JnF0nnVK https://pbs.twimg.com/ext_tw_video_thumb/1644041217489924108/pu/img/ruhHbxxbs0ll25T4.jpg</t>
  </si>
  <si>
    <t>https://t.co/7VNNtvqnMr https://pbs.twimg.com/ext_tw_video_thumb/1661480412256915457/pu/img/yzvdWGaSC4M_G6m9.jpg</t>
  </si>
  <si>
    <t>https://t.co/UDmKVUG0GC https://pbs.twimg.com/ext_tw_video_thumb/1651961560095502341/pu/img/WU2p3dd3bUmwQxf7.jpg</t>
  </si>
  <si>
    <t>https://t.co/QwMvAx8YLK https://pbs.twimg.com/media/FskyB3-X0BEacIZ.jpg</t>
  </si>
  <si>
    <t>https://t.co/BiwxmAvTy7 https://pbs.twimg.com/ext_tw_video_thumb/1641518889400934405/pu/img/LirJZsfN16zjkEQQ.jpg</t>
  </si>
  <si>
    <t>https://t.co/OdUP0fQ6do https://pbs.twimg.com/ext_tw_video_thumb/1635262562387279873/pu/img/on36BKhq_ylOpl98.jpg</t>
  </si>
  <si>
    <t>https://t.co/WZizcUGl7v https://pbs.twimg.com/media/Fqx2TtZX0AQU3vG.jpg</t>
  </si>
  <si>
    <t>https://t.co/UTq5aa4cbo https://pbs.twimg.com/media/Fqsxc2iWwAMt1QA.jpg</t>
  </si>
  <si>
    <t>https://t.co/nFw5JPEVAB https://pbs.twimg.com/media/Fsbb73KWIAAKKvQ.jpg</t>
  </si>
  <si>
    <t>https://t.co/1AYWpfP76D https://pbs.twimg.com/media/Fta92RIWwAAeVTv.jpg</t>
  </si>
  <si>
    <t>https://t.co/XE7NAglAUk https://pbs.twimg.com/ext_tw_video_thumb/1623115731356291074/pu/img/J_30JOsrDB4OZvBx.jpg</t>
  </si>
  <si>
    <t>https://t.co/U8Tcn2Tl0u https://pbs.twimg.com/media/F0JUhfyX0AQj_cZ.jpg</t>
  </si>
  <si>
    <t>https://t.co/TuOFkpvTZn https://pbs.twimg.com/media/F0JUFVCWYAAkQEc.jpg</t>
  </si>
  <si>
    <t>https://t.co/n1JrYPPOHX https://pbs.twimg.com/media/FqX8asPXoAATjNz.jpg</t>
  </si>
  <si>
    <t>https://t.co/e4xiWAICwH https://pbs.twimg.com/media/Fpz5TruWAAAjnvB.jpg</t>
  </si>
  <si>
    <t>https://t.co/bI9FRQr8Bb https://pbs.twimg.com/ext_tw_video_thumb/1631749334642425875/pu/img/LTkVslyY1imWos2U.jpg</t>
  </si>
  <si>
    <t>https://t.co/7WnTNeBwHo https://pbs.twimg.com/ext_tw_video_thumb/1631618224461688833/pu/img/FjLvxuvHnpWx0Rwa.jpg</t>
  </si>
  <si>
    <t>https://t.co/pO7z8H1g6l https://t.co/pO7z8H1g6l https://pbs.twimg.com/media/F6QqQUuW0AAly5j.jpg https://pbs.twimg.com/media/F6QqQUuW0AEPzta.jpg</t>
  </si>
  <si>
    <t>https://t.co/GHkJ6eCgWB https://pbs.twimg.com/ext_tw_video_thumb/1703551733031403520/pu/img/HiyeoR_P0IFntElM.jpg</t>
  </si>
  <si>
    <t>https://t.co/C7aGnsZ5uO https://pbs.twimg.com/ext_tw_video_thumb/1705809188121722880/pu/img/Q4fAXp-x8o9BWU0z.jpg</t>
  </si>
  <si>
    <t>https://t.co/T2wNEElOAC https://t.co/T2wNEElOAC https://pbs.twimg.com/media/F6w69dyWAAAxOS7.jpg https://pbs.twimg.com/media/F6w6-ULXgAAgRCQ.jpg</t>
  </si>
  <si>
    <t>https://t.co/5wB6uPGERA https://t.co/5wB6uPGERA https://t.co/5wB6uPGERA https://t.co/5wB6uPGERA https://pbs.twimg.com/media/F65_qF6WwAA_-U-.jpg https://pbs.twimg.com/media/F65_qr2WEAAgNNl.jpg https://pbs.twimg.com/media/F65_ryVXcAAk7Vf.jpg https://pbs.twimg.com/media/F65_tdbW8AAw8aB.jpg</t>
  </si>
  <si>
    <t>https://t.co/FYJbU2HsQl https://pbs.twimg.com/ext_tw_video_thumb/1703544686210646016/pu/img/xG87NiXIscM1Lqjf.jpg</t>
  </si>
  <si>
    <t>https://t.co/OcsrEvNq7n https://pbs.twimg.com/ext_tw_video_thumb/1694876999888588800/pu/img/pePaqE7pyJCBtDRB.jpg</t>
  </si>
  <si>
    <t>https://t.co/sJ8LmLg5qm https://pbs.twimg.com/media/F7CafjHWIAAzjMd.jpg</t>
  </si>
  <si>
    <t>https://t.co/APiNwUFNSq https://pbs.twimg.com/media/F7Ci-gMXIAAj6yy.jpg</t>
  </si>
  <si>
    <t>https://t.co/GgLq2xDGrj https://pbs.twimg.com/media/F7EwICyWwAAxKae.jpg</t>
  </si>
  <si>
    <t>https://t.co/PIMmZwplXH https://pbs.twimg.com/media/FxkUMLaWIAASNG7.jpg</t>
  </si>
  <si>
    <t>https://t.co/OgGWV4bxgz https://pbs.twimg.com/media/FxkTao7WYAI3lgN.jpg</t>
  </si>
  <si>
    <t>https://t.co/Z7wnu53mGg https://pbs.twimg.com/media/Fph-XnqX0AAe8wz.jpg</t>
  </si>
  <si>
    <t>https://t.co/1vI6t9gflV https://pbs.twimg.com/media/FskHLzHWACUkMTd.jpg</t>
  </si>
  <si>
    <t>https://t.co/Fw41gv83XI https://pbs.twimg.com/media/Ftn2z0fXgAE75Wi.jpg</t>
  </si>
  <si>
    <t>https://t.co/KHWYjc9pys https://pbs.twimg.com/media/Ft9y8m0WcAAKBpK.jpg</t>
  </si>
  <si>
    <t>https://t.co/vAjhwaGERl https://pbs.twimg.com/media/Fs7jXEzWwAAC8P8.jpg</t>
  </si>
  <si>
    <t>https://t.co/hG9aSMcsfK https://pbs.twimg.com/media/F1V6auGXwAAEnDD.jpg</t>
  </si>
  <si>
    <t>https://t.co/Ih0eDpxRg3 https://pbs.twimg.com/media/Fzp3fweWYAAC1dU.jpg</t>
  </si>
  <si>
    <t>https://t.co/hYtpijBSJ1 https://pbs.twimg.com/ext_tw_video_thumb/1667484462735581185/pu/img/STqt3G6iWhP66m0D.jpg</t>
  </si>
  <si>
    <t>https://t.co/vT0PELRnOW https://pbs.twimg.com/ext_tw_video_thumb/1636596439114448896/pu/img/unjAGa5ftd7nVKmS.jpg</t>
  </si>
  <si>
    <t>https://t.co/l7r7hGsVLW https://pbs.twimg.com/ext_tw_video_thumb/1636595771133788165/pu/img/WmqVf1h2YksqMrV0.jpg</t>
  </si>
  <si>
    <t>https://t.co/NUhZjlvQtu https://t.co/NUhZjlvQtu https://pbs.twimg.com/media/F28Fl5XXYAAqeVM.jpg https://pbs.twimg.com/media/F28Fpa3XYAA9Vv0.jpg</t>
  </si>
  <si>
    <t>https://t.co/fIiNvbHbUz https://pbs.twimg.com/media/F3Hc8YwXwAA6Rk3.jpg</t>
  </si>
  <si>
    <t>https://t.co/A1gTlcEUU3 https://pbs.twimg.com/media/F2y6hocWcAEtEYH.jpg</t>
  </si>
  <si>
    <t>https://t.co/9DSFOYY4lz https://pbs.twimg.com/media/F2y5RQsX0AAgHLK.jpg</t>
  </si>
  <si>
    <t>https://t.co/dUkHzsIcn9 https://pbs.twimg.com/media/F2xcvcuWIAERdE1.jpg</t>
  </si>
  <si>
    <t>https://t.co/4qrx5YlVdx https://pbs.twimg.com/media/F1V2BX_XoAAzHGY.jpg</t>
  </si>
  <si>
    <t>https://t.co/dFhxH7e5hE https://pbs.twimg.com/ext_tw_video_thumb/1651334812785864706/pu/img/PuWaYAzOOOIZx0gE.jpg</t>
  </si>
  <si>
    <t>https://t.co/7j3pSowd2L https://pbs.twimg.com/ext_tw_video_thumb/1672538197706915841/pu/img/xU0wEDoq05sWpsMV.jpg</t>
  </si>
  <si>
    <t>https://t.co/PvsTlQ5Qhl https://t.co/PvsTlQ5Qhl https://pbs.twimg.com/media/FzYKGGQXgAAQ5ZA.jpg https://pbs.twimg.com/ext_tw_video_thumb/1672535414429609984/pu/img/ZMz5rzhXGC92p9Xl.jpg</t>
  </si>
  <si>
    <t>https://t.co/gCdF4epXiS https://pbs.twimg.com/media/FvrpwflXsAAuuVz.jpg</t>
  </si>
  <si>
    <t>https://t.co/jXZX73psRk https://pbs.twimg.com/media/Fu08QngWIAsdCpy.jpg</t>
  </si>
  <si>
    <t>https://t.co/VxoYGu4AUV https://pbs.twimg.com/media/F3l3rfJW4AAWrtk.jpg</t>
  </si>
  <si>
    <t>https://t.co/OeOB4QV9wA https://pbs.twimg.com/media/F3lhz-BXsA4Onzp.jpg</t>
  </si>
  <si>
    <t>https://t.co/jLrRpZOtC8 https://pbs.twimg.com/media/F3lgfNSXsAQ6Zrc.jpg</t>
  </si>
  <si>
    <t>https://t.co/E2zVz8CuPp https://pbs.twimg.com/media/F3leNEyXsAURrc-.jpg</t>
  </si>
  <si>
    <t>https://t.co/O3WhtIRTjl https://pbs.twimg.com/media/F36gTt5XQAAuVVP.png</t>
  </si>
  <si>
    <t>https://t.co/BUA1l4a5wn https://pbs.twimg.com/media/F3zpeb6XcAE88VG.jpg</t>
  </si>
  <si>
    <t>https://t.co/JAAgqQmDwS https://pbs.twimg.com/ext_tw_video_thumb/1693335328956788736/pu/img/n_QxSGTF1OI18jcF.jpg</t>
  </si>
  <si>
    <t>https://t.co/Msf4Y3K5mZ https://pbs.twimg.com/media/F36_8FEXUAE5eSA.png</t>
  </si>
  <si>
    <t>https://t.co/JYbfkWz8h3 https://pbs.twimg.com/media/F36_Yq5XUAEs16V.jpg</t>
  </si>
  <si>
    <t>https://t.co/qejWeFaHdr https://pbs.twimg.com/media/F36-kIbWcAEM4Qs.jpg</t>
  </si>
  <si>
    <t>https://t.co/BjE0G2UNYe https://pbs.twimg.com/ext_tw_video_thumb/1703608966041706496/pu/img/9YVnNE89EG4AhXRZ.jpg</t>
  </si>
  <si>
    <t>https://t.co/0TFx29IQjM https://pbs.twimg.com/media/FrKtTcgWcAI7F-w.jpg</t>
  </si>
  <si>
    <t>https://t.co/EJcIFdmqjG https://pbs.twimg.com/ext_tw_video_thumb/1688233888856846336/pu/img/iZTLS8manPiJaTza.jpg</t>
  </si>
  <si>
    <t>https://t.co/iVegNFM4wh https://pbs.twimg.com/ext_tw_video_thumb/1694380103109599233/pu/img/wTStuQ9xW5Q5DTEa.jpg</t>
  </si>
  <si>
    <t>https://t.co/8tjvJQfbVT https://pbs.twimg.com/ext_tw_video_thumb/1694379063228399616/pu/img/b7noxmGJOV-8K3sM.jpg</t>
  </si>
  <si>
    <t>https://t.co/CMo5CiYl5K https://pbs.twimg.com/ext_tw_video_thumb/1696474552379850753/pu/img/05uxseZFUNrP74tL.jpg</t>
  </si>
  <si>
    <t>https://t.co/2rMl9jPxWF https://pbs.twimg.com/ext_tw_video_thumb/1696916370045255680/pu/img/rD_L6uzxIitPmJqD.jpg</t>
  </si>
  <si>
    <t>https://t.co/39qn4N6O7x https://pbs.twimg.com/ext_tw_video_thumb/1689639435560984577/pu/img/ZJ_dqKPlyTs5_Ll8.jpg</t>
  </si>
  <si>
    <t>https://t.co/8CSq2tFsrH https://pbs.twimg.com/ext_tw_video_thumb/1666652999387693056/pu/img/pmMW7DTcX00ynjmu.jpg</t>
  </si>
  <si>
    <t>https://t.co/m8BlNuC8vO https://pbs.twimg.com/ext_tw_video_thumb/1657013156252725254/pu/img/2-6dRi6FIwWp_RSy.jpg</t>
  </si>
  <si>
    <t>https://t.co/mPRjiuRXFG https://pbs.twimg.com/ext_tw_video_thumb/1656907402124337152/pu/img/h-Qyqxh2cUSNPR8G.jpg</t>
  </si>
  <si>
    <t>https://t.co/mTrWP1Y3OI https://pbs.twimg.com/ext_tw_video_thumb/1706698929817911296/pu/img/e1l-SmjJtRJTarrH.jpg</t>
  </si>
  <si>
    <t>https://t.co/7m6k06NieB https://pbs.twimg.com/ext_tw_video_thumb/1706630461965881344/pu/img/VbLdn6ZjINWJBGAm.jpg</t>
  </si>
  <si>
    <t>https://t.co/dXrBBZCMNr https://pbs.twimg.com/media/Fz_lfCnXgAQXpzx.jpg</t>
  </si>
  <si>
    <t>https://t.co/JfrPMbS9yO https://pbs.twimg.com/ext_tw_video_thumb/1625315134066380801/pu/img/as46UPw1qVh0KJzV.jpg</t>
  </si>
  <si>
    <t>https://t.co/kyHTG58973 https://pbs.twimg.com/ext_tw_video_thumb/1624225590684385282/pu/img/fxFn7qlXANyW16Gb.jpg</t>
  </si>
  <si>
    <t>https://t.co/rAeSBDD8aM https://pbs.twimg.com/ext_tw_video_thumb/1640871199713419265/pu/img/nrDl4XbjAYKXDlit.jpg</t>
  </si>
  <si>
    <t>https://t.co/DbL2ZIITTu https://pbs.twimg.com/media/Fs4UCw5WIAAr2nX.jpg</t>
  </si>
  <si>
    <t>https://t.co/pp1qpxb5ED https://pbs.twimg.com/ext_tw_video_thumb/1701078496645156864/pu/img/OmEostoa7HJy_nSr.jpg</t>
  </si>
  <si>
    <t>https://t.co/nMmLK5JMLD https://pbs.twimg.com/media/F5tuHasXEAAJkeL.png</t>
  </si>
  <si>
    <t>https://t.co/29d5cepL5B https://pbs.twimg.com/ext_tw_video_thumb/1647676370586042368/pu/img/RryF4uqdHdbI-b3o.jpg</t>
  </si>
  <si>
    <t>https://t.co/1mmQrTbdpS https://pbs.twimg.com/media/FugPVvMWIAMGyVV.jpg</t>
  </si>
  <si>
    <t>https://t.co/cy9TXCYSqg https://pbs.twimg.com/media/FrByW_fXsAI-njH.jpg</t>
  </si>
  <si>
    <t>https://t.co/kdmiFUZrBb https://pbs.twimg.com/ext_tw_video_thumb/1643621173849202692/pu/img/zPtObVUSTk-MPMX7.jpg</t>
  </si>
  <si>
    <t>https://t.co/10D8LhMcZj https://pbs.twimg.com/media/FsZNafQXsAQzbyt.png</t>
  </si>
  <si>
    <t>https://t.co/HkQ4hPSIXZ https://pbs.twimg.com/media/FsQIgcqXsAAwaD6.jpg</t>
  </si>
  <si>
    <t>https://t.co/MBaluFP0Ei https://pbs.twimg.com/media/FsE2zGnWAAQ5Fny.jpg</t>
  </si>
  <si>
    <t>https://t.co/Q0AF6pyF9a https://pbs.twimg.com/media/F4kDtpVWMAAbg3z.jpg</t>
  </si>
  <si>
    <t>https://t.co/p7wk80hN9c https://pbs.twimg.com/ext_tw_video_thumb/1623876912589283329/pu/img/7dlXM5TCz5KO9Glx.jpg</t>
  </si>
  <si>
    <t>https://t.co/Jm2jpezxrB https://pbs.twimg.com/ext_tw_video_thumb/1646716893074432000/pu/img/87cpXXPf-1WLvRTG.jpg</t>
  </si>
  <si>
    <t>https://t.co/FugQGlOTLW https://pbs.twimg.com/media/FpOFJJsWcAEAoj-.jpg</t>
  </si>
  <si>
    <t>https://t.co/culeT90xIO https://pbs.twimg.com/media/FpOFAIAXgAE8ypX.jpg</t>
  </si>
  <si>
    <t>https://t.co/THMmrW1e5c https://pbs.twimg.com/ext_tw_video_thumb/1626790064658186241/pu/img/9m4Hva4I2hbnXvDW.jpg</t>
  </si>
  <si>
    <t>https://t.co/eRRxGvOPvv https://pbs.twimg.com/ext_tw_video_thumb/1625322215485874176/pu/img/6dPApCFlY7rUfCpl.jpg</t>
  </si>
  <si>
    <t>https://t.co/Tw4TAA7Rzq https://pbs.twimg.com/ext_tw_video_thumb/1625322020580864000/pu/img/9k5rPsDif9Keq0qh.jpg</t>
  </si>
  <si>
    <t>https://t.co/72aboOuPZO https://pbs.twimg.com/ext_tw_video_thumb/1650326902316384257/pu/img/6qslk0BldiliCX-A.jpg</t>
  </si>
  <si>
    <t>https://t.co/OBCEEAm3BQ https://pbs.twimg.com/ext_tw_video_thumb/1650326804467466243/pu/img/1uZzb3iw0jC9Fr4B.jpg</t>
  </si>
  <si>
    <t>https://t.co/eS1XmMz8ZD https://pbs.twimg.com/ext_tw_video_thumb/1659016730067214337/pu/img/BwzksiB-ZtVtpPxt.jpg</t>
  </si>
  <si>
    <t>https://t.co/WQKcXNRIAg https://pbs.twimg.com/ext_tw_video_thumb/1639488807681531906/pu/img/oByy-HiaNMKSyDmU.jpg</t>
  </si>
  <si>
    <t>https://t.co/1WX68zkIa9 https://pbs.twimg.com/ext_tw_video_thumb/1639488405955309573/pu/img/CS8DHQ23nfTBTT4H.jpg</t>
  </si>
  <si>
    <t>https://t.co/gU4Zw5LDYu https://pbs.twimg.com/ext_tw_video_thumb/1627491313728864258/pu/img/7jT2BIPrmW_KDr_7.jpg</t>
  </si>
  <si>
    <t>https://t.co/gJSEKYK8Kw https://pbs.twimg.com/ext_tw_video_thumb/1627491207822598146/pu/img/o9QEZBXDi7Rz-MRV.jpg</t>
  </si>
  <si>
    <t>https://t.co/5wG4466fyZ https://pbs.twimg.com/media/FpYCsGeXoAE-zWp.jpg</t>
  </si>
  <si>
    <t>https://t.co/bwwT6Tb3ot https://pbs.twimg.com/media/FpYCofgXsAEFS3e.jpg</t>
  </si>
  <si>
    <t>https://t.co/UFS0fqrm6L https://pbs.twimg.com/ext_tw_video_thumb/1627491122598510593/pu/img/9EDxCl8JKDqWWkbn.jpg</t>
  </si>
  <si>
    <t>https://t.co/jmSlUobzhl https://pbs.twimg.com/media/FpOFSKiXEAIn1Ya.jpg</t>
  </si>
  <si>
    <t>https://t.co/a0Epnj8NP7 https://pbs.twimg.com/ext_tw_video_thumb/1667301677370687490/pu/img/lzX6xDWIGaj7PD3c.jpg</t>
  </si>
  <si>
    <t>https://t.co/rJODUVUlxr https://pbs.twimg.com/ext_tw_video_thumb/1667301423510347777/pu/img/WbkQgTuKzsycXH-F.jpg</t>
  </si>
  <si>
    <t>https://t.co/Ad350Hm2tf https://pbs.twimg.com/media/FyE7gUtWAAAlVWx.jpg</t>
  </si>
  <si>
    <t>https://t.co/Nsp6ZpZFb7 https://pbs.twimg.com/media/FyE7dmZWAAIfk0D.jpg</t>
  </si>
  <si>
    <t>https://t.co/rdW4xhpQ5d https://pbs.twimg.com/ext_tw_video_thumb/1647440339089735681/pu/img/gB0Ie1WOvqznEgZu.jpg</t>
  </si>
  <si>
    <t>https://t.co/wYCdt7OBwI https://pbs.twimg.com/ext_tw_video_thumb/1647440220755750914/pu/img/pw3mW7yyFnLwhqQ3.jpg</t>
  </si>
  <si>
    <t>https://t.co/5kIEWnoBga https://pbs.twimg.com/ext_tw_video_thumb/1638357139017146370/pu/img/cP3PDoOdOj5RSvbV.jpg</t>
  </si>
  <si>
    <t>https://t.co/TGeNTgeWhn https://pbs.twimg.com/ext_tw_video_thumb/1670453896551038978/pu/img/g8No4lm0i63Vh3c5.jpg</t>
  </si>
  <si>
    <t>https://t.co/JZx22n9oV7 https://pbs.twimg.com/ext_tw_video_thumb/1670453856050769924/pu/img/C1vI2E-ltE877lzi.jpg</t>
  </si>
  <si>
    <t>https://t.co/IBIUle7ZP9 https://pbs.twimg.com/ext_tw_video_thumb/1670279250555830273/pu/img/ajwhtLU3FEOSuGp8.jpg</t>
  </si>
  <si>
    <t>https://t.co/KvUExhPWSW https://pbs.twimg.com/ext_tw_video_thumb/1670279185128910849/pu/img/O6-ekANoaCVq84F5.jpg</t>
  </si>
  <si>
    <t>https://t.co/R61O0DZsMu https://pbs.twimg.com/media/F3IsysVXIAAvHsN.jpg</t>
  </si>
  <si>
    <t>https://t.co/UdtQCRAjfo https://pbs.twimg.com/media/FxAxz87WIAUgbpX.jpg</t>
  </si>
  <si>
    <t>https://t.co/2DHduvsoK6 https://pbs.twimg.com/media/FxAxxs_XwAEWhfj.jpg</t>
  </si>
  <si>
    <t>https://t.co/XSLuiqoF0n https://pbs.twimg.com/ext_tw_video_thumb/1652811354338672643/pu/img/rE3kuPRpnlPx8DJX.jpg</t>
  </si>
  <si>
    <t>https://t.co/74C131DnAh https://pbs.twimg.com/ext_tw_video_thumb/1652811109106081793/pu/img/ohLkqN8iCkCxk194.jpg</t>
  </si>
  <si>
    <t>https://t.co/ViT2nNLeTK https://pbs.twimg.com/ext_tw_video_thumb/1623250588191363073/pu/img/KGzT7nZyLTTAKTI0.jpg</t>
  </si>
  <si>
    <t>https://t.co/k2UAMk1XiS https://pbs.twimg.com/ext_tw_video_thumb/1623157247542022144/pu/img/ckvmCr1GsIgl45Jy.jpg</t>
  </si>
  <si>
    <t>https://t.co/jNaI4ncjCi https://pbs.twimg.com/ext_tw_video_thumb/1623157159398674432/pu/img/KijeaLXpJ_FzxB52.jpg</t>
  </si>
  <si>
    <t>https://t.co/TUtwLlNGBl https://pbs.twimg.com/ext_tw_video_thumb/1623157082227712004/pu/img/FRiZQhVEzYPRIyW_.jpg</t>
  </si>
  <si>
    <t>https://t.co/WTpPiZd8ic https://pbs.twimg.com/ext_tw_video_thumb/1623156945103335424/pu/img/Zhz-e68ZlhufUCWd.jpg</t>
  </si>
  <si>
    <t>https://t.co/DQyA9GV0bd https://pbs.twimg.com/media/Fr6i6NIWAAE976F.jpg</t>
  </si>
  <si>
    <t>https://t.co/pKDRZNDIde https://pbs.twimg.com/media/FrWaOlUaAAASEsO.jpg</t>
  </si>
  <si>
    <t>https://t.co/lXEO9joOaE https://pbs.twimg.com/ext_tw_video_thumb/1703067439863316480/pu/img/734x3LL6veNRv9rT.jpg</t>
  </si>
  <si>
    <t>https://t.co/L67uhKwpNT https://pbs.twimg.com/ext_tw_video_thumb/1701700049472823296/pu/img/JL3PBu4RKMbzNuAn.jpg</t>
  </si>
  <si>
    <t>https://t.co/XkS4J5HNSJ https://pbs.twimg.com/ext_tw_video_thumb/1703756436176588800/pu/img/N6I5pr3gWO0yG2-L.jpg</t>
  </si>
  <si>
    <t>https://t.co/Ov0ACoE1ru https://pbs.twimg.com/media/F6kIsd7WoAEM7Dm.jpg</t>
  </si>
  <si>
    <t>https://t.co/2cnk9kDdbL https://pbs.twimg.com/media/FpX1zA9XoAAQWqa.jpg</t>
  </si>
  <si>
    <t>https://t.co/IxpjiUQntp https://pbs.twimg.com/ext_tw_video_thumb/1663132249271808001/pu/img/X_SkLxMbNfGHABra.jpg</t>
  </si>
  <si>
    <t>https://t.co/5VxoUykN8A https://pbs.twimg.com/ext_tw_video_thumb/1662520368395964416/pu/img/fWfJmhzsOcpxFJW1.jpg</t>
  </si>
  <si>
    <t>https://t.co/j7nsUE6bWW https://pbs.twimg.com/ext_tw_video_thumb/1662513614694019078/pu/img/hXzh0LzCsjAauH-C.jpg</t>
  </si>
  <si>
    <t>https://t.co/IsS1dMLDEG https://pbs.twimg.com/ext_tw_video_thumb/1662167715786653705/pu/img/JsS8Fm25k-XdFaYd.jpg</t>
  </si>
  <si>
    <t>https://t.co/SmEAMPflBa https://pbs.twimg.com/ext_tw_video_thumb/1661907422380793857/pu/img/OSOyqA_SGE9fNpda.jpg</t>
  </si>
  <si>
    <t>https://t.co/34Eg8YUNwK https://pbs.twimg.com/ext_tw_video_thumb/1661895286313082880/pu/img/YFVjhr0J_9Lzpitg.jpg</t>
  </si>
  <si>
    <t>https://t.co/G42NlltFKP https://pbs.twimg.com/ext_tw_video_thumb/1661832720849182745/pu/img/dBMb6zHd5znOJdaX.jpg</t>
  </si>
  <si>
    <t>https://t.co/FfmSBH7QCs https://pbs.twimg.com/ext_tw_video_thumb/1661638539107352576/pu/img/KBnIYRJWTDV63YCa.jpg</t>
  </si>
  <si>
    <t>https://t.co/wuSswDNFLP https://pbs.twimg.com/ext_tw_video_thumb/1661526574628216832/pu/img/rC2aUY-h1_LA0WAk.jpg</t>
  </si>
  <si>
    <t>https://t.co/DBZStsGAV5 https://pbs.twimg.com/ext_tw_video_thumb/1661494010635067393/pu/img/aNQMZShqHR3yaQiZ.jpg</t>
  </si>
  <si>
    <t>https://t.co/dY4ShmQ1kv https://pbs.twimg.com/ext_tw_video_thumb/1661494010869960706/pu/img/q1eiZ-4hpNz6d2qr.jpg</t>
  </si>
  <si>
    <t>https://t.co/babVkCfQFa https://pbs.twimg.com/ext_tw_video_thumb/1663473703009615875/pu/img/K8dp2Z672AObiU71.jpg</t>
  </si>
  <si>
    <t>https://t.co/988IFKqjXI https://pbs.twimg.com/ext_tw_video_thumb/1663345231855509504/pu/img/TaHUo1s22lcdwwTd.jpg</t>
  </si>
  <si>
    <t>https://t.co/1gxmbF9neB https://pbs.twimg.com/ext_tw_video_thumb/1666010066854502401/pu/img/vMAWEXtxXLX7Zmsp.jpg</t>
  </si>
  <si>
    <t>https://t.co/i53qFkrLp9 https://pbs.twimg.com/ext_tw_video_thumb/1665667612846555137/pu/img/cFKDNxWvwy4Lohfz.jpg</t>
  </si>
  <si>
    <t>https://t.co/UU41okv2co https://pbs.twimg.com/ext_tw_video_thumb/1694712987385470976/pu/img/5k5A7zJFytFnZvKY.jpg</t>
  </si>
  <si>
    <t>https://t.co/1i4VIAgSd0 https://pbs.twimg.com/ext_tw_video_thumb/1668201425313120256/pu/img/LvAw895yIiiPibzQ.jpg</t>
  </si>
  <si>
    <t>https://t.co/JUw9X7sBzi https://pbs.twimg.com/ext_tw_video_thumb/1668198029243850755/pu/img/K1m5yu9j3y0uDhXR.jpg</t>
  </si>
  <si>
    <t>https://t.co/t1zJakUjzd https://pbs.twimg.com/ext_tw_video_thumb/1667883905075101704/pu/img/1fWpy8Pt3npz2P2L.jpg</t>
  </si>
  <si>
    <t>https://t.co/4pxpzqJ6Yw https://pbs.twimg.com/ext_tw_video_thumb/1661104142708776962/pu/img/p1ovJQPlZnHONyOk.jpg</t>
  </si>
  <si>
    <t>https://t.co/2LDaiWra9E https://pbs.twimg.com/ext_tw_video_thumb/1661103939880730630/pu/img/OSMsZF1RoNliKrLA.jpg</t>
  </si>
  <si>
    <t>https://t.co/rKqVrczskT https://pbs.twimg.com/ext_tw_video_thumb/1660923012353343490/pu/img/oEsafB1wMlTKe2Le.jpg</t>
  </si>
  <si>
    <t>https://t.co/4dAaOTr4oB https://pbs.twimg.com/ext_tw_video_thumb/1660830897619316739/pu/img/tOoR2KmbSidOkhzR.jpg</t>
  </si>
  <si>
    <t>https://t.co/08U8FVcZPb https://pbs.twimg.com/ext_tw_video_thumb/1660828212086157313/pu/img/WiDxF90MuTQmdwus.jpg</t>
  </si>
  <si>
    <t>https://t.co/P59IC5B6zg https://pbs.twimg.com/ext_tw_video_thumb/1660824022936952832/pu/img/DQPWFFxrtOWplFKj.jpg</t>
  </si>
  <si>
    <t>https://t.co/M3Llj4oQYX https://pbs.twimg.com/ext_tw_video_thumb/1698799631281393664/pu/img/X2WtnVPabLWD-vhn.jpg</t>
  </si>
  <si>
    <t>https://t.co/C8fE74ird2 https://pbs.twimg.com/media/FrtGfL5XoAAlEd_.jpg</t>
  </si>
  <si>
    <t>https://t.co/g3xxSrx2Aa https://pbs.twimg.com/media/FuxS_ebWYAEp2Gu.jpg</t>
  </si>
  <si>
    <t>https://t.co/cAGWGRNKkb https://t.co/cAGWGRNKkb https://pbs.twimg.com/media/FvjbtcQXsAc8KHj.jpg https://pbs.twimg.com/media/FvjbvffWcAMOTJD.jpg</t>
  </si>
  <si>
    <t>https://t.co/h2J94KXN5J https://pbs.twimg.com/media/FvYC0EEX0AAxZzs.jpg</t>
  </si>
  <si>
    <t>https://t.co/nde8baaamm https://pbs.twimg.com/media/FtNDI7mXwAAJ-Di.jpg</t>
  </si>
  <si>
    <t>https://t.co/xfJz5pztkC https://pbs.twimg.com/media/FuHGC_7XgAAzkEv.jpg</t>
  </si>
  <si>
    <t>https://t.co/mXC71XDBBt https://pbs.twimg.com/media/FuHCs6JXwAAVFGS.jpg</t>
  </si>
  <si>
    <t>https://t.co/Yf2zzj2QKP https://pbs.twimg.com/media/FsAkNb9XoAARC8Q.jpg</t>
  </si>
  <si>
    <t>https://t.co/VoHsSoTXBU https://pbs.twimg.com/media/FuxSe3NWcAAmV_k.jpg</t>
  </si>
  <si>
    <t>https://t.co/Ilm4kbzj0K https://pbs.twimg.com/media/FqGN4n6WcAEp2Ff.jpg</t>
  </si>
  <si>
    <t>https://t.co/tILcXAUcsT https://pbs.twimg.com/media/F4KcEzlWgAArctK.jpg</t>
  </si>
  <si>
    <t>https://t.co/dkYrbnKDWV https://pbs.twimg.com/media/F4KaErsXMAAEizd.jpg</t>
  </si>
  <si>
    <t>https://t.co/yefmSlSyq1 https://t.co/yefmSlSyq1 https://t.co/yefmSlSyq1 https://pbs.twimg.com/media/FsUE0QyXwAEX6is.jpg https://pbs.twimg.com/media/FsUE0dUXgAMJTKL.jpg https://pbs.twimg.com/media/FsUE0qgWYAE23hm.jpg</t>
  </si>
  <si>
    <t>https://t.co/yf8OHUPRNg https://pbs.twimg.com/ext_tw_video_thumb/1640722050539986949/pu/img/QFd6k1w6qRGgAGPw.jpg</t>
  </si>
  <si>
    <t>https://t.co/ewls4yYFDx https://pbs.twimg.com/media/FrsVNcqWAAMTc4F.jpg</t>
  </si>
  <si>
    <t>https://t.co/eh51qwXvOI https://t.co/eh51qwXvOI https://pbs.twimg.com/ext_tw_video_thumb/1672529619214299137/pu/img/bPlTrKgq22kPu8fW.jpg https://pbs.twimg.com/media/FzYE3UqWIAMW6VI.jpg</t>
  </si>
  <si>
    <t>https://t.co/Q4OAMg85Jx https://t.co/Q4OAMg85Jx https://pbs.twimg.com/media/FzYEMmwWAAEpxXs.jpg https://pbs.twimg.com/media/FzYEM3TWIAAK6uL.jpg</t>
  </si>
  <si>
    <t>https://t.co/o8UknNlM5n https://pbs.twimg.com/ext_tw_video_thumb/1623767090871033857/pu/img/LO6QIJ0k_VQEaizw.jpg</t>
  </si>
  <si>
    <t>https://t.co/3qB02zlXhX https://pbs.twimg.com/ext_tw_video_thumb/1640663330028244993/pu/img/ifYIPo4uD-7E85Rw.jpg</t>
  </si>
  <si>
    <t>https://t.co/uFHt1g0rf5 https://pbs.twimg.com/ext_tw_video_thumb/1640527489574359042/pu/img/oI0YQlMWl1kgCAuC.jpg</t>
  </si>
  <si>
    <t>https://t.co/DtJ5m8KYBd https://pbs.twimg.com/media/FsRQqVVXwAIWPUs.jpg</t>
  </si>
  <si>
    <t>https://t.co/n8jI7o9qYT https://pbs.twimg.com/ext_tw_video_thumb/1640521821198884864/pu/img/jQOlfN2BlTepB5lA.jpg</t>
  </si>
  <si>
    <t>https://t.co/32qBa0Ij0t https://pbs.twimg.com/media/F2dynjiXUCgN_Lc.jpg</t>
  </si>
  <si>
    <t>https://t.co/fnJvA1UlqW https://pbs.twimg.com/ext_tw_video_thumb/1694008736564514818/pu/img/AJ3zXPpQrho4Wm08.jpg</t>
  </si>
  <si>
    <t>https://t.co/eHTdLdYXDl https://pbs.twimg.com/ext_tw_video_thumb/1655006216131690496/pu/img/B9F10K5nWT-EkQMg.jpg</t>
  </si>
  <si>
    <t>https://t.co/YOjO01MblC https://pbs.twimg.com/ext_tw_video_thumb/1659664506362949633/pu/img/1Wl-GRfqMu-qqJ9r.jpg</t>
  </si>
  <si>
    <t>https://t.co/eYQ9QabD2N https://pbs.twimg.com/ext_tw_video_thumb/1659574258090008577/pu/img/K5aDXX-c48RcNe7e.jpg</t>
  </si>
  <si>
    <t>https://t.co/il7QN3ZcLC https://pbs.twimg.com/ext_tw_video_thumb/1659539371127611398/pu/img/HoG0bpy6bJgqRv--.jpg</t>
  </si>
  <si>
    <t>https://t.co/pELvywdZWw https://pbs.twimg.com/ext_tw_video_thumb/1658085743313420288/pu/img/puOEiXU1BVCCmJqe.jpg</t>
  </si>
  <si>
    <t>https://t.co/g2YaTh0sQB https://pbs.twimg.com/ext_tw_video_thumb/1657725129969790976/pu/img/n47SWMVlZK2f9RuM.jpg</t>
  </si>
  <si>
    <t>https://t.co/cF25cGxhHq https://pbs.twimg.com/ext_tw_video_thumb/1665063226894163968/pu/img/fIRMBmKHaR5NuWUQ.jpg</t>
  </si>
  <si>
    <t>https://t.co/fILJ3amA1z https://pbs.twimg.com/ext_tw_video_thumb/1664967218583445504/pu/img/9G3Nq1p_mo-oOFdG.jpg</t>
  </si>
  <si>
    <t>https://t.co/PSEEjPoiQk https://pbs.twimg.com/ext_tw_video_thumb/1664738179306356740/pu/img/wEf79SMvBvR4gzCV.jpg</t>
  </si>
  <si>
    <t>https://t.co/NJDrkrEovs https://pbs.twimg.com/ext_tw_video_thumb/1664683896460410882/pu/img/TOgvI3dc6HWzCtym.jpg</t>
  </si>
  <si>
    <t>https://t.co/URx36UKfF3 https://pbs.twimg.com/ext_tw_video_thumb/1658490834675982336/pu/img/R2v4OGzIUjUGMl6b.jpg</t>
  </si>
  <si>
    <t>https://t.co/kmwiqn8zER https://pbs.twimg.com/ext_tw_video_thumb/1658444657250926592/pu/img/qt73Mvb4cCTe9MA3.jpg</t>
  </si>
  <si>
    <t>https://t.co/BYbKbsWY7E https://pbs.twimg.com/ext_tw_video_thumb/1655593385086812160/pu/img/Nnw_DEyh-SNBFZAt.jpg</t>
  </si>
  <si>
    <t>https://t.co/9RdVY8A1Of https://pbs.twimg.com/ext_tw_video_thumb/1682040959650131970/pu/img/_--GDhXAL4deCYVu.jpg</t>
  </si>
  <si>
    <t>https://t.co/aUEYStPl2Z https://pbs.twimg.com/ext_tw_video_thumb/1668602693210734592/pu/img/__4mauwfi8kKj8If.jpg</t>
  </si>
  <si>
    <t>https://t.co/arItyoVT6l https://pbs.twimg.com/ext_tw_video_thumb/1666096462068056068/pu/img/t_mrPwAElUoD4IUv.jpg</t>
  </si>
  <si>
    <t>https://t.co/bLoi4xOQ9v https://pbs.twimg.com/ext_tw_video_thumb/1666050224870047744/pu/img/-nqFWlcFNQc-buiy.jpg</t>
  </si>
  <si>
    <t>https://t.co/RCcmiWDuQV https://pbs.twimg.com/ext_tw_video_thumb/1665822818007764992/pu/img/RPpbVzU63g_xYhIU.jpg</t>
  </si>
  <si>
    <t>https://t.co/jQKwR81bD6 https://pbs.twimg.com/ext_tw_video_thumb/1665762761005989890/pu/img/cxlEOJMoNke8a9Q8.jpg</t>
  </si>
  <si>
    <t>https://t.co/dI6jla6ErX https://pbs.twimg.com/ext_tw_video_thumb/1659170901261266945/pu/img/n3fqPA_dvOX1kCfx.jpg</t>
  </si>
  <si>
    <t>https://t.co/rfLzhUn3P4 https://pbs.twimg.com/ext_tw_video_thumb/1658940592393420800/pu/img/2wOItX-pFP2OIB4U.jpg</t>
  </si>
  <si>
    <t>https://t.co/mKqPeXI9EJ https://pbs.twimg.com/ext_tw_video_thumb/1658849633798324227/pu/img/lv8GcBWERTH5THSx.jpg</t>
  </si>
  <si>
    <t>https://t.co/SUgyOejhYO https://pbs.twimg.com/ext_tw_video_thumb/1656411316980965376/pu/img/sCdKKzPpspgpcRLX.jpg</t>
  </si>
  <si>
    <t>https://t.co/DRwiOlhPpU https://pbs.twimg.com/ext_tw_video_thumb/1656298085033603072/pu/img/Q-ApjHQ0iuGIxwLR.jpg</t>
  </si>
  <si>
    <t>https://t.co/MoMqZrZnjg https://pbs.twimg.com/ext_tw_video_thumb/1656027115005804546/pu/img/H9TKsn-zWjgMNIxo.jpg</t>
  </si>
  <si>
    <t>https://t.co/5Bhw62If2n https://pbs.twimg.com/ext_tw_video_thumb/1697629334171766784/pu/img/N5VfXcOwh4NimBA1.jpg</t>
  </si>
  <si>
    <t>https://t.co/1911oSl4m8 https://pbs.twimg.com/ext_tw_video_thumb/1681650993174392832/pu/img/WSedQ7eGDL5xvChL.jpg</t>
  </si>
  <si>
    <t>https://t.co/QKCNTva8b0 https://pbs.twimg.com/ext_tw_video_thumb/1674088718263541761/pu/img/IPqGQZYVjKVeBvqc.jpg</t>
  </si>
  <si>
    <t>https://t.co/QKcaMlkaxR https://pbs.twimg.com/ext_tw_video_thumb/1674019809921572866/pu/img/P4m_kDvFE6OwIFuZ.jpg</t>
  </si>
  <si>
    <t>https://t.co/hqCqSzNNjd https://pbs.twimg.com/ext_tw_video_thumb/1666458154652033026/pu/img/EvtEYnb5Rdhf8u59.jpg</t>
  </si>
  <si>
    <t>https://t.co/l5IfRuBW7Z https://pbs.twimg.com/ext_tw_video_thumb/1657398285131186180/pu/img/Bw1TMlWK2_W1uYR0.jpg</t>
  </si>
  <si>
    <t>https://t.co/6KuAttillk https://pbs.twimg.com/ext_tw_video_thumb/1657351978853318657/pu/img/ZDCJvU894wfjE4qD.jpg</t>
  </si>
  <si>
    <t>https://t.co/L0n0uH3axq https://pbs.twimg.com/ext_tw_video_thumb/1657018438936567810/pu/img/EdTAvbHLf-RECQWt.jpg</t>
  </si>
  <si>
    <t>https://t.co/O4suAn5ids https://pbs.twimg.com/ext_tw_video_thumb/1704129798300401664/pu/img/lPVSECTJ5Ug3PZMV.jpg</t>
  </si>
  <si>
    <t>https://t.co/ZYXmQ2ilzT https://pbs.twimg.com/ext_tw_video_thumb/1697606368658612224/pu/img/fkJ9D9GhGzK9XJjJ.jpg</t>
  </si>
  <si>
    <t>https://t.co/0Gv8SkgH1J https://pbs.twimg.com/ext_tw_video_thumb/1691421204274446336/pu/img/x4P6PMitZQvE8bAK.jpg</t>
  </si>
  <si>
    <t>https://t.co/MVu0ZvcUIS https://pbs.twimg.com/ext_tw_video_thumb/1677671849939836928/pu/img/CUUg_iKayaORgnTi.jpg</t>
  </si>
  <si>
    <t>https://t.co/3r3orGowyC https://pbs.twimg.com/ext_tw_video_thumb/1670095766906339332/pu/img/hcCIAdxXzepfwRQf.jpg</t>
  </si>
  <si>
    <t>https://t.co/cXfDfhA2gT https://pbs.twimg.com/ext_tw_video_thumb/1663204482392399874/pu/img/lk0Nc0RA7iGseq2x.jpg</t>
  </si>
  <si>
    <t>https://t.co/trN3EIf1O1 https://pbs.twimg.com/ext_tw_video_thumb/1662472348098854913/pu/img/YuESnoyLMq-Ex3JC.jpg</t>
  </si>
  <si>
    <t>https://t.co/2Lu52B2CfE https://pbs.twimg.com/ext_tw_video_thumb/1662202786602180610/pu/img/z8E-6ngwAQ6_MDWP.jpg</t>
  </si>
  <si>
    <t>https://t.co/0FYy1s37ew https://pbs.twimg.com/ext_tw_video_thumb/1704628722043654144/pu/img/WqHzJ8d-nUMX6ZJl.jpg</t>
  </si>
  <si>
    <t>https://t.co/OlOVvgLskD https://pbs.twimg.com/ext_tw_video_thumb/1698696155394129920/pu/img/WrRMR-UhydkhCFn7.jpg</t>
  </si>
  <si>
    <t>https://t.co/irM0H9nl5d https://pbs.twimg.com/ext_tw_video_thumb/1691083641982455810/pu/img/yy7Cr7CPREbp3DoF.jpg</t>
  </si>
  <si>
    <t>https://t.co/RHCp52SLTB https://pbs.twimg.com/ext_tw_video_thumb/1668360521685368834/pu/img/O_RKjn0xTff2MV-0.jpg</t>
  </si>
  <si>
    <t>https://t.co/FcjY7H5IX5 https://pbs.twimg.com/ext_tw_video_thumb/1668270741127671809/pu/img/71mrAArCMj2s9Qn6.jpg</t>
  </si>
  <si>
    <t>https://t.co/C8xYrmxKJI https://pbs.twimg.com/ext_tw_video_thumb/1668240008791064577/pu/img/Xpjdat2QCDFJSwtS.jpg</t>
  </si>
  <si>
    <t>https://t.co/7vyao8u8zX https://pbs.twimg.com/ext_tw_video_thumb/1661026745406099458/pu/img/6nLDpUih-Gv9d03A.jpg</t>
  </si>
  <si>
    <t>https://t.co/6KBaSYelMY https://pbs.twimg.com/ext_tw_video_thumb/1660752730351124481/pu/img/OJWyqNWDCVXFnpQZ.jpg</t>
  </si>
  <si>
    <t>https://t.co/JQT4G6GUYf https://pbs.twimg.com/ext_tw_video_thumb/1659937880310009856/pu/img/B-sckS6Hp6nd0at4.jpg</t>
  </si>
  <si>
    <t>https://t.co/cEUGJlfHmJ https://pbs.twimg.com/ext_tw_video_thumb/1659898801895661568/pu/img/XIknqD0dwQu57XqO.jpg</t>
  </si>
  <si>
    <t>https://t.co/lqmRfxFhlK https://pbs.twimg.com/ext_tw_video_thumb/1705593471896027136/pu/img/d_ES8eQR_bcttt1W.jpg</t>
  </si>
  <si>
    <t>https://t.co/9yoydv9ncj https://pbs.twimg.com/ext_tw_video_thumb/1697977318587686912/pu/img/PKETTNUIpLTxJZph.jpg</t>
  </si>
  <si>
    <t>https://t.co/BZP60wulI3 https://pbs.twimg.com/ext_tw_video_thumb/1692153497431547904/pu/img/uMM2LE-q3F035tRo.jpg</t>
  </si>
  <si>
    <t>https://t.co/BSSGlfgbPO https://pbs.twimg.com/ext_tw_video_thumb/1691823377634205697/pu/img/iclr6FS6nS9Sbtqa.jpg</t>
  </si>
  <si>
    <t>https://t.co/2KdebAYs7z https://pbs.twimg.com/ext_tw_video_thumb/1691595663803355138/pu/img/dqQWNmSv8qKPMa9n.jpg</t>
  </si>
  <si>
    <t>https://t.co/Np9Nl5kRkc https://pbs.twimg.com/ext_tw_video_thumb/1669002438894837761/pu/img/OlbD6EmmnmYy39c3.jpg</t>
  </si>
  <si>
    <t>https://t.co/cllT6b4Ua3 https://pbs.twimg.com/ext_tw_video_thumb/1668977240384712705/pu/img/H1l9tewxrwj-7Sxm.jpg</t>
  </si>
  <si>
    <t>https://t.co/JTRJIxY2iQ https://pbs.twimg.com/ext_tw_video_thumb/1706667295081406464/pu/img/eaDaI-IhxOTiprMR.jpg</t>
  </si>
  <si>
    <t>https://t.co/kCewvSRDQW https://pbs.twimg.com/ext_tw_video_thumb/1704483541810085888/pu/img/pDAj_wwN2REMaDKu.jpg</t>
  </si>
  <si>
    <t>https://t.co/OJtuU8MQBu https://pbs.twimg.com/ext_tw_video_thumb/1692924811335405568/pu/img/WlM0Dp69FLFSU25g.jpg</t>
  </si>
  <si>
    <t>https://t.co/gYusBXKcG7 https://pbs.twimg.com/ext_tw_video_thumb/1692658803378929664/pu/img/aqI8LW-M51teEZMe.jpg</t>
  </si>
  <si>
    <t>https://t.co/q44LClvYtg https://pbs.twimg.com/ext_tw_video_thumb/1692505265344565248/pu/img/8dbE4dxJZkYkpLyb.jpg</t>
  </si>
  <si>
    <t>https://t.co/6HckVJRHrP https://pbs.twimg.com/ext_tw_video_thumb/1685301048783634433/pu/img/O9CZwhlFUv_Kl9jT.jpg</t>
  </si>
  <si>
    <t>https://t.co/ffASpOaZOU https://pbs.twimg.com/ext_tw_video_thumb/1684958583832674304/pu/img/XWPdSzLzI-vgEYwj.jpg</t>
  </si>
  <si>
    <t>https://t.co/dc31wMBx1v https://pbs.twimg.com/ext_tw_video_thumb/1664375659202854918/pu/img/yeA8wal6oe6Jy86k.jpg</t>
  </si>
  <si>
    <t>https://t.co/OHln1l2y47 https://pbs.twimg.com/ext_tw_video_thumb/1664287935666208771/pu/img/i-im06xbe3n50Bgt.jpg</t>
  </si>
  <si>
    <t>https://t.co/yNtUJPEGAn https://pbs.twimg.com/ext_tw_video_thumb/1663573435820265474/pu/img/wzGs8T2q3HS0FxyN.jpg</t>
  </si>
  <si>
    <t>https://t.co/fmzBPoo3Ov https://pbs.twimg.com/ext_tw_video_thumb/1654926383531819010/pu/img/Qi9CbPvIaB7pxsjX.jpg</t>
  </si>
  <si>
    <t>https://t.co/YNpVrIjcin https://pbs.twimg.com/ext_tw_video_thumb/1654876388866899971/pu/img/nYKXdm_6qoTD0AJZ.jpg</t>
  </si>
  <si>
    <t>https://t.co/Oq1Xb3ZXDK https://pbs.twimg.com/media/Fqs4mXwaEAM7OCh.jpg</t>
  </si>
  <si>
    <t>https://t.co/4l2FqekJBF https://pbs.twimg.com/media/FoXN2FCWIAEHj-o.jpg</t>
  </si>
  <si>
    <t>https://t.co/GyvZhQ3ksm https://pbs.twimg.com/media/Fp8ut3dWYAAkXb8.jpg</t>
  </si>
  <si>
    <t>https://t.co/SVqjDCPHir https://pbs.twimg.com/media/FpfYMPRXoAIp0vl.jpg</t>
  </si>
  <si>
    <t>https://t.co/ciihZQU7CQ https://pbs.twimg.com/media/Fqry2AAWAAApLft.jpg</t>
  </si>
  <si>
    <t>https://t.co/lQhiY6kULQ https://pbs.twimg.com/media/FqqtoYlWcAAyeI8.jpg</t>
  </si>
  <si>
    <t>https://t.co/SQUvaeoTMD https://pbs.twimg.com/media/Fqpodl1X0AIFPZb.jpg</t>
  </si>
  <si>
    <t>https://t.co/s0xHdYkoqR https://pbs.twimg.com/media/FqoimvGWcAw3DZL.jpg</t>
  </si>
  <si>
    <t>https://t.co/F9avNjy15x https://pbs.twimg.com/media/FqncwYmWAAINvSK.jpg</t>
  </si>
  <si>
    <t>https://t.co/8FDvu5qIKg https://pbs.twimg.com/media/FtgHYFuXoAAJLzb.jpg</t>
  </si>
  <si>
    <t>https://t.co/wJvaRMfqLX https://pbs.twimg.com/media/Ft2DW4PXoAYnIBg.jpg</t>
  </si>
  <si>
    <t>https://t.co/V0wnnRIfA0 https://pbs.twimg.com/media/F1PyiDzWIAA7kp_.jpg</t>
  </si>
  <si>
    <t>https://t.co/QK4eokXM7f https://pbs.twimg.com/media/F1oaLMBWAAUMOqg.jpg</t>
  </si>
  <si>
    <t>https://t.co/N3vR6ffw0N https://pbs.twimg.com/ext_tw_video_thumb/1647339974944079874/pu/img/AkDh-Ff3y40k7WCy.jpg</t>
  </si>
  <si>
    <t>https://t.co/TWLuS43daM https://pbs.twimg.com/ext_tw_video_thumb/1675733922016108546/pu/img/oxTpeUa37Uk79K6E.jpg</t>
  </si>
  <si>
    <t>https://t.co/XFsPQVMpNF https://pbs.twimg.com/ext_tw_video_thumb/1683920041052364813/pu/img/-PiHGt7X0i9WFMoJ.jpg</t>
  </si>
  <si>
    <t>https://t.co/fO4m9LONfX https://pbs.twimg.com/media/FoNWydtWAAc_Czz.jpg</t>
  </si>
  <si>
    <t>https://t.co/B4SlXJZoNh https://pbs.twimg.com/media/FoLM0HMXwAMDY5X.jpg</t>
  </si>
  <si>
    <t>https://t.co/pADxJoX7w7 https://pbs.twimg.com/media/FoKxSa1XgAAg7we.jpg</t>
  </si>
  <si>
    <t>https://t.co/sAX9efK6me https://pbs.twimg.com/media/FoHwC_bXwAE0EzI.jpg</t>
  </si>
  <si>
    <t>https://t.co/3VlQrRrvg0 https://pbs.twimg.com/media/FoBSO8vWIAEFIiL.jpg</t>
  </si>
  <si>
    <t>https://t.co/Nr1t4uFz9J https://pbs.twimg.com/media/FtcPxjmaMAgqmTm.jpg</t>
  </si>
  <si>
    <t>https://t.co/jDLdxiTrzy https://pbs.twimg.com/media/FtF5MieWYAA8QgZ.jpg</t>
  </si>
  <si>
    <t>https://t.co/oY9oZTXEHp https://pbs.twimg.com/media/FokPVdcXwAM24vH.jpg</t>
  </si>
  <si>
    <t>https://t.co/ohKHfOOl9j https://pbs.twimg.com/media/FsuaUOdWAAMmdw8.jpg</t>
  </si>
  <si>
    <t>https://t.co/Pk523qHeIE https://pbs.twimg.com/media/FogxfHjXsAAoJGG.jpg</t>
  </si>
  <si>
    <t>https://t.co/UWfs0GiCBq https://pbs.twimg.com/media/FodTnwwX0AERsA4.jpg</t>
  </si>
  <si>
    <t>https://t.co/npBNgxm5jy https://pbs.twimg.com/media/FoZ1ra0WAAAv7OS.jpg</t>
  </si>
  <si>
    <t>https://t.co/fkSWbLqgnh https://pbs.twimg.com/media/FoXpzXTaIAAqQ-j.jpg</t>
  </si>
  <si>
    <t>https://t.co/Gn6jp0JLZY https://pbs.twimg.com/media/FoVi2E0WAAAaKo9.jpg</t>
  </si>
  <si>
    <t>https://t.co/Qhn1OiGcUd https://pbs.twimg.com/media/FtyLvr5X0AEKanO.jpg</t>
  </si>
  <si>
    <t>https://t.co/Z8ArFnJ7S6 https://pbs.twimg.com/media/Frvae9LWYAARh_o.jpg</t>
  </si>
  <si>
    <t>https://t.co/jm3Tr7T1lT https://pbs.twimg.com/media/F6LEhoKXEAAoLB1.jpg</t>
  </si>
  <si>
    <t>https://t.co/aZHdl8VCaJ https://pbs.twimg.com/media/F7ElTVvWAAEyGxO.jpg</t>
  </si>
  <si>
    <t>https://t.co/mpQMq11lnd https://pbs.twimg.com/media/FoDzhHiXkAALktO.jpg</t>
  </si>
  <si>
    <t>https://t.co/GHY9aAIH7H https://pbs.twimg.com/media/F0QzvrQXsAI8BH5.jpg</t>
  </si>
  <si>
    <t>https://t.co/gktlusTkSE https://pbs.twimg.com/media/Ft9gMsIX0AA0FlO.jpg</t>
  </si>
  <si>
    <t>https://t.co/8Slt79b8tS https://pbs.twimg.com/media/FqYGs9dXwAUWKXS.jpg</t>
  </si>
  <si>
    <t>https://t.co/RtQfL5Uv81 https://pbs.twimg.com/media/FqQwt8wXwAA5_EJ.jpg</t>
  </si>
  <si>
    <t>https://t.co/3FSath3yOj https://pbs.twimg.com/media/FqJOSsEXwAAyvHZ.jpg</t>
  </si>
  <si>
    <t>https://t.co/zRgFfad89b https://pbs.twimg.com/media/FoTz0AdXEA4RNu_.jpg</t>
  </si>
  <si>
    <t>https://t.co/RhHYCcXYZR https://pbs.twimg.com/media/FoShGm0WIAAubdl.jpg</t>
  </si>
  <si>
    <t>https://t.co/F19Bqnwogz https://pbs.twimg.com/media/Frjv70hX0AA9UIE.jpg</t>
  </si>
  <si>
    <t>https://t.co/V14uBO3hSN https://pbs.twimg.com/media/Fo4pDs9WYAEbyg_.jpg</t>
  </si>
  <si>
    <t>https://t.co/lsgBI4aJin https://pbs.twimg.com/media/FsC61k2XgAAUdXs.jpg</t>
  </si>
  <si>
    <t>https://t.co/u7kmOhgaWl https://pbs.twimg.com/media/FpV3-pvXwAEfBYB.jpg</t>
  </si>
  <si>
    <t>https://t.co/PZzH3cKOee https://pbs.twimg.com/media/FtZpFjSXgAInD0z.jpg</t>
  </si>
  <si>
    <t>https://t.co/DNbp0VZNac https://pbs.twimg.com/media/FtDTYzgWcBYnLYM.jpg</t>
  </si>
  <si>
    <t>https://t.co/h2uoXaU5B9 https://pbs.twimg.com/media/FonXMQ-WIAErc0h.jpg</t>
  </si>
  <si>
    <t>https://t.co/Fs5IW4DHBd https://pbs.twimg.com/media/FojzZTRWcAA8sIZ.jpg</t>
  </si>
  <si>
    <t>https://t.co/t7CTyvu4Qe https://pbs.twimg.com/media/Fsr1Pu2WYAAvpSL.jpg</t>
  </si>
  <si>
    <t>https://t.co/TGgIQSCIMO https://pbs.twimg.com/media/FrLmbGDWwAAsFbx.jpg</t>
  </si>
  <si>
    <t>https://t.co/P6N4AhKJlX https://pbs.twimg.com/media/FrKgbFjWwAAsfdg.jpg</t>
  </si>
  <si>
    <t>https://t.co/PcMBByOQa7 https://pbs.twimg.com/media/FrJaPwDWcAAGO2d.jpg</t>
  </si>
  <si>
    <t>https://t.co/xGPZTOBM7C https://pbs.twimg.com/media/FrIU4I7WYAEhRQY.jpg</t>
  </si>
  <si>
    <t>https://t.co/UzrstEqK1D https://pbs.twimg.com/media/FrHPa1qWIAEjmAr.jpg</t>
  </si>
  <si>
    <t>https://t.co/pKmDUuezqK https://pbs.twimg.com/media/FrGIwemXwAI20eJ.jpg</t>
  </si>
  <si>
    <t>https://t.co/QKKtsdCbPW https://pbs.twimg.com/media/FrE910HWYAEKXfF.jpg</t>
  </si>
  <si>
    <t>https://t.co/5w10YKAU5Z https://pbs.twimg.com/media/FrD4r9AXgAANBFA.jpg</t>
  </si>
  <si>
    <t>https://t.co/AlzmTobIlo https://pbs.twimg.com/media/FrCynUJXoAgLAi7.jpg</t>
  </si>
  <si>
    <t>https://t.co/fSCwTh8bJH https://pbs.twimg.com/media/FrBszzGWYAAP8Nx.jpg</t>
  </si>
  <si>
    <t>https://t.co/Lhl0v1cbNO https://pbs.twimg.com/media/FrAnCa7WYAIJk4f.jpg</t>
  </si>
  <si>
    <t>https://t.co/PPwJZHsU7y https://pbs.twimg.com/media/Fq_hQzBWAAAyshy.jpg</t>
  </si>
  <si>
    <t>https://t.co/mnrVwVNUvy https://pbs.twimg.com/media/Fq-b6SZXsAAAhOg.jpg</t>
  </si>
  <si>
    <t>https://t.co/2XbC7gLoLZ https://pbs.twimg.com/media/Fq9WhBeWYAI3grX.jpg</t>
  </si>
  <si>
    <t>https://t.co/k34Klpt3LW https://pbs.twimg.com/media/Fq2z6-0XsAARAR9.jpg</t>
  </si>
  <si>
    <t>https://t.co/OsJ81lZ91Q https://pbs.twimg.com/media/Fq1uV0XXgAIIMR-.jpg</t>
  </si>
  <si>
    <t>https://t.co/yFiuWZerUj https://pbs.twimg.com/media/Fq0oes8WcAEde_o.jpg</t>
  </si>
  <si>
    <t>https://t.co/Qzfd6IMwHH https://pbs.twimg.com/media/Fqzi7ObXgAE2F4Z.jpg</t>
  </si>
  <si>
    <t>https://t.co/AOBcUVqXIr https://pbs.twimg.com/media/FqydbDbXoAUU7hM.jpg</t>
  </si>
  <si>
    <t>https://t.co/wEb5mNWX9s https://pbs.twimg.com/media/FqwQ5_kWcAABpi_.jpg</t>
  </si>
  <si>
    <t>https://t.co/yyrsWSoyHj https://pbs.twimg.com/media/FqvLTgEXgAAWCXv.jpg</t>
  </si>
  <si>
    <t>https://t.co/N4rUux0gDp https://pbs.twimg.com/media/FquFWGhWIBQpoRd.jpg</t>
  </si>
  <si>
    <t>https://t.co/Eor6oY2Nbf https://pbs.twimg.com/media/FogVSEeX0AQJA3W.jpg</t>
  </si>
  <si>
    <t>https://t.co/5KqR7LsBML https://pbs.twimg.com/media/Foc3mN8X0AIQUc8.jpg</t>
  </si>
  <si>
    <t>https://t.co/JFHqwATTfQ https://pbs.twimg.com/media/FoZZt5TXsAEd9j0.jpg</t>
  </si>
  <si>
    <t>https://t.co/n8m5myFHsv https://pbs.twimg.com/media/FoYFg02XsAAkWaQ.jpg</t>
  </si>
  <si>
    <t>https://t.co/LJrCOEvxiF https://pbs.twimg.com/media/FoW1av4XEAAikOr.jpg</t>
  </si>
  <si>
    <t>https://t.co/jSs1Iipurn https://pbs.twimg.com/media/FtvlnNYXoAEZafU.jpg</t>
  </si>
  <si>
    <t>https://t.co/4kQZiVxGIN https://pbs.twimg.com/media/FruGW8iWwAI7cyO.jpg</t>
  </si>
  <si>
    <t>https://t.co/LifTBqXQXb https://pbs.twimg.com/media/FsV5f0lWcAMIinS.jpg</t>
  </si>
  <si>
    <t>https://t.co/FoZPxxdWHh https://pbs.twimg.com/media/FqB5OmkWAAAwJNa.jpg</t>
  </si>
  <si>
    <t>https://t.co/imFhJWRxM5 https://pbs.twimg.com/media/Fp6kYp-X0AMRfNd.jpg</t>
  </si>
  <si>
    <t>https://t.co/xOZCmVK47s https://pbs.twimg.com/media/FpzNsRQWYAIzdjM.jpg</t>
  </si>
  <si>
    <t>https://t.co/KRcbJz6yXM https://pbs.twimg.com/media/Fpr388fWYAADhWz.jpg</t>
  </si>
  <si>
    <t>https://t.co/GYUARzs5jb https://pbs.twimg.com/media/FpkjahXX0AY1Nv6.jpg</t>
  </si>
  <si>
    <t>https://t.co/R5iXUc5bUk https://pbs.twimg.com/media/FpdNzpsXEAAX5pj.jpg</t>
  </si>
  <si>
    <t>https://t.co/trHiyKEeQT https://pbs.twimg.com/media/FtOFzW7WAAE66ol.jpg</t>
  </si>
  <si>
    <t>https://t.co/LnZ08Ge9u4 https://pbs.twimg.com/media/FsvSw_GWIAQVPAo.jpg</t>
  </si>
  <si>
    <t>https://t.co/NwG2xooylu https://pbs.twimg.com/media/FzKF6C-WIAIf7Ko.jpg</t>
  </si>
  <si>
    <t>https://t.co/A7UhpxMOpD https://pbs.twimg.com/media/FzjpD7XXoAEuU3M.jpg</t>
  </si>
  <si>
    <t>https://t.co/5jSCIH5fzQ https://pbs.twimg.com/media/F0SP-JFWYAApR6T.jpg</t>
  </si>
  <si>
    <t>https://t.co/liuebt5ceG https://pbs.twimg.com/ext_tw_video_thumb/1692168174651822080/pu/img/5NVGQh5gD0Sph1TD.jpg</t>
  </si>
  <si>
    <t>https://t.co/eV8TcTeTz6 https://pbs.twimg.com/ext_tw_video_thumb/1695880020277727232/pu/img/DEI-QmXPP6RVfCvZ.jpg</t>
  </si>
  <si>
    <t>https://t.co/dgsupNtatk https://pbs.twimg.com/ext_tw_video_thumb/1697359050088812544/pu/img/LVc7WLXMiH6mzNT4.jpg</t>
  </si>
  <si>
    <t>https://t.co/4jqc01wwcR https://pbs.twimg.com/ext_tw_video_thumb/1625265009428135936/pu/img/pMeoEo8EuczwCOWh.jpg</t>
  </si>
  <si>
    <t>https://t.co/XLEHFN9mZm https://pbs.twimg.com/ext_tw_video_thumb/1645420289747042305/pu/img/QPNVnOCM4uqaVeRe.jpg</t>
  </si>
  <si>
    <t>https://t.co/APapCL2H1F https://pbs.twimg.com/media/FqjeHjUXsAItevq.jpg</t>
  </si>
  <si>
    <t>https://t.co/qICYQYU7Ur https://pbs.twimg.com/ext_tw_video_thumb/1631315225176621060/pu/img/uxJ8K1xWpVHxWA6Y.jpg</t>
  </si>
  <si>
    <t>https://t.co/F7Tu8piHHl https://pbs.twimg.com/media/F57jqrPWQAA1HNY.jpg</t>
  </si>
  <si>
    <t>https://t.co/olveyQAbZh https://pbs.twimg.com/media/FsPkwrUXwCIP4zT.jpg</t>
  </si>
  <si>
    <t>https://t.co/QIqS9aS2JA https://pbs.twimg.com/media/Fr9ejdTXwAACVMH.jpg</t>
  </si>
  <si>
    <t>https://t.co/uM0RyoWcY4 https://pbs.twimg.com/media/FslhcF0XwAE8A7l.jpg</t>
  </si>
  <si>
    <t>https://t.co/ZCdd7EIksb https://pbs.twimg.com/media/FrIGiXgXgAEkGOB.jpg</t>
  </si>
  <si>
    <t>https://t.co/DFg0QkzGdA https://pbs.twimg.com/media/FuAXKAgXwAAFf-V.jpg</t>
  </si>
  <si>
    <t>https://t.co/B5GTpuKfT8 https://pbs.twimg.com/media/FrQ07vxXsAI4v5g.jpg</t>
  </si>
  <si>
    <t>https://t.co/Zic4bt4Al0 https://pbs.twimg.com/media/FrPvwwQX0AA_LqJ.jpg</t>
  </si>
  <si>
    <t>https://t.co/lM2fXgJvGJ https://pbs.twimg.com/ext_tw_video_thumb/1657751017583173633/pu/img/NuO502bo5M4CwkLj.jpg</t>
  </si>
  <si>
    <t>https://t.co/hknDySZRfV https://pbs.twimg.com/ext_tw_video_thumb/1656841953797873666/pu/img/iPF1C-0Hruge_XwO.jpg</t>
  </si>
  <si>
    <t>https://t.co/4GQQGwhJn5 https://pbs.twimg.com/ext_tw_video_thumb/1656841327747661831/pu/img/hkSy5HqrWJBP5f2H.jpg</t>
  </si>
  <si>
    <t>https://t.co/L4yxyUU7Ld https://pbs.twimg.com/media/F3hoelqWMAACbm5.jpg</t>
  </si>
  <si>
    <t>https://t.co/9nlIleA8QV https://pbs.twimg.com/media/F66SbysWUAAfXG7.jpg</t>
  </si>
  <si>
    <t>https://t.co/LisJxogR3y https://pbs.twimg.com/media/F3Rin_qXgAAJbaH.jpg</t>
  </si>
  <si>
    <t>https://t.co/Je0GcMhyJE https://pbs.twimg.com/media/F4Zr924WAAEHoQq.jpg</t>
  </si>
  <si>
    <t>https://t.co/uPCuetynfL https://t.co/uPCuetynfL https://pbs.twimg.com/media/FpBNOJeXgAEStY_.jpg https://pbs.twimg.com/media/FpBNOJdWYAE534L.jpg</t>
  </si>
  <si>
    <t>https://t.co/wq7ecne97r https://pbs.twimg.com/ext_tw_video_thumb/1677419232290635781/pu/img/Jw7BLq1jA-oKxxFS.jpg</t>
  </si>
  <si>
    <t>https://t.co/Ckajh1x0I1 https://pbs.twimg.com/ext_tw_video_thumb/1677417055568502784/pu/img/QsYC3EMB699jmWlO.jpg</t>
  </si>
  <si>
    <t>https://t.co/6l1Ihl41Id https://pbs.twimg.com/media/Fnu8JI7XEAkOM_c.jpg</t>
  </si>
  <si>
    <t>https://t.co/Cw9s4hyp6y https://pbs.twimg.com/ext_tw_video_thumb/1674820256215232512/pu/img/iDzW_AJdrVhS9huS.jpg</t>
  </si>
  <si>
    <t>https://t.co/Kh7Z1ve4u1 https://pbs.twimg.com/ext_tw_video_thumb/1620476822134595602/pu/img/flrPFrsTa2CGcMIO.jpg</t>
  </si>
  <si>
    <t>https://t.co/Gn8Tn7UAeT https://pbs.twimg.com/media/Fo6R5QoXwAcm6QT.jpg</t>
  </si>
  <si>
    <t>https://t.co/HyZIlSNZ6z https://pbs.twimg.com/media/Fo0YQHGWIAMy4am.jpg</t>
  </si>
  <si>
    <t>https://t.co/yj2hpjdIxU https://pbs.twimg.com/media/Fo0KkvxXgAIlJOy.jpg</t>
  </si>
  <si>
    <t>https://t.co/OAn5Ag4j4l https://pbs.twimg.com/ext_tw_video_thumb/1624887323690139649/pu/img/UqobTSVjcEcgqn3g.jpg</t>
  </si>
  <si>
    <t>https://t.co/hsQWpeN7Ln https://pbs.twimg.com/ext_tw_video_thumb/1630251741777215493/pu/img/vfXOt7hock07yJqI.jpg</t>
  </si>
  <si>
    <t>https://t.co/7MqVx0lJB6 https://pbs.twimg.com/ext_tw_video_thumb/1682108060267937794/pu/img/udgGJI0hMbvc96Rd.jpg</t>
  </si>
  <si>
    <t>https://t.co/JuNLqFxqsI https://t.co/JuNLqFxqsI https://pbs.twimg.com/media/F4UMQ1LXkAEWa3O.jpg https://pbs.twimg.com/media/F4UMZhsXIAA06__.jpg</t>
  </si>
  <si>
    <t>https://t.co/TfwVg3ngbl https://pbs.twimg.com/media/Fq9Y_tCWIAEBxoJ.jpg</t>
  </si>
  <si>
    <t>https://t.co/vr9cVxEl1B https://pbs.twimg.com/media/F2K5I1iXIAM57eq.jpg</t>
  </si>
  <si>
    <t>https://t.co/dvtKeEONBl https://pbs.twimg.com/media/Fug7oA0XwAAAMCj.jpg</t>
  </si>
  <si>
    <t>https://t.co/mLKsrUgkSm https://pbs.twimg.com/media/Fp6UjBPacAAPnGk.jpg</t>
  </si>
  <si>
    <t>https://t.co/6yjeF9wSbI https://pbs.twimg.com/media/FwVAl9AWAAIkC3G.jpg</t>
  </si>
  <si>
    <t>https://t.co/iH4VjCEkTR https://pbs.twimg.com/ext_tw_video_thumb/1651085288578461703/pu/img/Gf8Q0NSOoQC7XEpy.jpg</t>
  </si>
  <si>
    <t>https://t.co/UJ7BefEGDL https://pbs.twimg.com/ext_tw_video_thumb/1685951797993619456/pu/img/p0nUZjPC0S1DWE11.jpg</t>
  </si>
  <si>
    <t>https://t.co/tCI7NaWwHD https://pbs.twimg.com/ext_tw_video_thumb/1686314764929036288/pu/img/99BJbmDyhNGohAKe.jpg</t>
  </si>
  <si>
    <t>https://t.co/I0LRSpEviJ https://pbs.twimg.com/ext_tw_video_thumb/1630969497250062336/pu/img/i1XlN5nuBfLKwlFp.jpg</t>
  </si>
  <si>
    <t>https://t.co/XFj3DKhl9D https://pbs.twimg.com/media/FoaJbPGWAAAJvD9.jpg</t>
  </si>
  <si>
    <t>https://t.co/3vK6PPUyFt https://pbs.twimg.com/media/FrM990FWAAk2KCe.jpg</t>
  </si>
  <si>
    <t>https://t.co/lAH88Cboik https://pbs.twimg.com/media/Fr7iMyDX0BwwA_C.jpg</t>
  </si>
  <si>
    <t>https://t.co/YSUn8nYvdg https://pbs.twimg.com/media/Fn0rGg-XoBIyyr0.jpg</t>
  </si>
  <si>
    <t>https://t.co/dktiBIYjQd https://pbs.twimg.com/media/FxZaNsgWcAAJMGc.jpg</t>
  </si>
  <si>
    <t>https://t.co/l1rmO3nJ2r https://pbs.twimg.com/media/FvYgZ4YX0AIcnLK.jpg</t>
  </si>
  <si>
    <t>https://t.co/P3kY3fJJKD https://pbs.twimg.com/media/Fz5HKUSWIAENxJ7.jpg</t>
  </si>
  <si>
    <t>https://t.co/MzetAZUBvl https://pbs.twimg.com/media/FzVBOHOWIA4QH1K.jpg</t>
  </si>
  <si>
    <t>https://t.co/UkpjhV8i4T https://pbs.twimg.com/ext_tw_video_thumb/1622731341665079296/pu/img/opbn6D3B1e4ORS9Q.jpg</t>
  </si>
  <si>
    <t>https://t.co/Gdv8Fs9jbw https://pbs.twimg.com/ext_tw_video_thumb/1622731138765664258/pu/img/DGnvUGNYcZtjvWRB.jpg</t>
  </si>
  <si>
    <t>https://t.co/MeUQqZw0S3 https://pbs.twimg.com/ext_tw_video_thumb/1622730963980525569/pu/img/nKpl24ruiWK3R78J.jpg</t>
  </si>
  <si>
    <t>https://t.co/91PlsU6sHC https://pbs.twimg.com/ext_tw_video_thumb/1622730630734782466/pu/img/UYcypK6tpJRXN7Ur.jpg</t>
  </si>
  <si>
    <t>https://t.co/73pjyAqiXM https://pbs.twimg.com/ext_tw_video_thumb/1622730467622395905/pu/img/tzeZp7Jchb8YG7Zc.jpg</t>
  </si>
  <si>
    <t>https://t.co/8IhxxPV93l https://pbs.twimg.com/ext_tw_video_thumb/1622730302144622597/pu/img/2amZifDUez2jc69l.jpg</t>
  </si>
  <si>
    <t>https://t.co/tpX3ZxGX5I https://pbs.twimg.com/ext_tw_video_thumb/1622730119344271360/pu/img/j_IJHUuUQ4TiaMha.jpg</t>
  </si>
  <si>
    <t>https://t.co/tTmiwt5fkh https://pbs.twimg.com/ext_tw_video_thumb/1622729952385814529/pu/img/m1SgJLDEbE9lbS7h.jpg</t>
  </si>
  <si>
    <t>https://t.co/L4o0RNIYBt https://pbs.twimg.com/ext_tw_video_thumb/1622729790410072065/pu/img/ALUNuug_l4aGPuKt.jpg</t>
  </si>
  <si>
    <t>https://t.co/HMxeaoTZnp https://pbs.twimg.com/ext_tw_video_thumb/1622729453410328582/pu/img/qi4lWiLaxfUviAq6.jpg</t>
  </si>
  <si>
    <t>https://t.co/C72scme6X4 https://pbs.twimg.com/ext_tw_video_thumb/1622729302621003777/pu/img/RBq5GZ0MhyZQS9A2.jpg</t>
  </si>
  <si>
    <t>https://t.co/hTWtPghZ4M https://pbs.twimg.com/ext_tw_video_thumb/1622729150489305096/pu/img/uRA6qBHrOw3XDTbU.jpg</t>
  </si>
  <si>
    <t>https://t.co/q5xtqGRecN https://pbs.twimg.com/ext_tw_video_thumb/1622728963998056448/pu/img/PEO_RTGZEI353v8I.jpg</t>
  </si>
  <si>
    <t>https://t.co/LKq1H2izbm https://pbs.twimg.com/ext_tw_video_thumb/1622728599630409730/pu/img/IapV2X5t409vJwtH.jpg</t>
  </si>
  <si>
    <t>https://t.co/He3eyLEbbU https://pbs.twimg.com/ext_tw_video_thumb/1622728421812969473/pu/img/EaSBZKHHa6sCRR89.jpg</t>
  </si>
  <si>
    <t>https://t.co/fTK4KmAmyj https://pbs.twimg.com/ext_tw_video_thumb/1622728109387644928/pu/img/Fj8l5Z0CA7Av2Pv_.jpg</t>
  </si>
  <si>
    <t>https://t.co/U8vpsJBtSw https://pbs.twimg.com/ext_tw_video_thumb/1622727939421765633/pu/img/w8XbhvnUWjf8k6cl.jpg</t>
  </si>
  <si>
    <t>https://t.co/Ky4EZv632H https://pbs.twimg.com/ext_tw_video_thumb/1622727704444391429/pu/img/ALoWZcHlxKakWGMy.jpg</t>
  </si>
  <si>
    <t>https://t.co/eFwt66k9cT https://pbs.twimg.com/ext_tw_video_thumb/1622731529167204352/pu/img/xFD4TE9-upRG_RK3.jpg</t>
  </si>
  <si>
    <t>https://t.co/p3XkKwbP5I https://pbs.twimg.com/ext_tw_video_thumb/1620075941807390722/pu/img/b4tRJPvzXSy3g-Xo.jpg</t>
  </si>
  <si>
    <t>https://t.co/aReGeszX8U https://pbs.twimg.com/ext_tw_video_thumb/1620075758692483072/pu/img/HM5sJqH3ozmEuc4P.jpg</t>
  </si>
  <si>
    <t>https://t.co/bNyAota3do https://pbs.twimg.com/ext_tw_video_thumb/1620074850470576129/pu/img/uit7cplnwvVD28Kr.jpg</t>
  </si>
  <si>
    <t>https://t.co/aX9TFJ9MtM https://pbs.twimg.com/ext_tw_video_thumb/1620074679531601922/pu/img/wFVZQy5wV9YKZK9U.jpg</t>
  </si>
  <si>
    <t>https://t.co/xn5iJNYyTy https://pbs.twimg.com/ext_tw_video_thumb/1620074497180155905/pu/img/dTabKXmRtSpFlemh.jpg</t>
  </si>
  <si>
    <t>https://t.co/Ua7aIx5yjH https://pbs.twimg.com/ext_tw_video_thumb/1620074308927197185/pu/img/OSDS_0NHULIMQOQm.jpg</t>
  </si>
  <si>
    <t>https://t.co/7ZplyEE5n6 https://pbs.twimg.com/ext_tw_video_thumb/1620074134230257665/pu/img/FY-AcXGiLdqIqLsj.jpg</t>
  </si>
  <si>
    <t>https://t.co/BWjfkBoYCI https://pbs.twimg.com/ext_tw_video_thumb/1620073902931120128/pu/img/fYh1izMTKFvo3PfR.jpg</t>
  </si>
  <si>
    <t>https://t.co/gnb3SJOw8w https://pbs.twimg.com/ext_tw_video_thumb/1620073728196464642/pu/img/ewS4YPwjAR8dsdkE.jpg</t>
  </si>
  <si>
    <t>https://t.co/lTgupU9f2s https://pbs.twimg.com/ext_tw_video_thumb/1620073485421740033/pu/img/2gdRPoCJ7u-XNr2j.jpg</t>
  </si>
  <si>
    <t>https://t.co/bEfhjPGfRy https://pbs.twimg.com/ext_tw_video_thumb/1620071638447300610/pu/img/pOPyV1SCJNO-kpKH.jpg</t>
  </si>
  <si>
    <t>https://t.co/NkZcRm1fWp https://pbs.twimg.com/ext_tw_video_thumb/1620071392686342145/pu/img/csuXC9QABN7EPbEB.jpg</t>
  </si>
  <si>
    <t>https://t.co/3s7logegl6 https://pbs.twimg.com/ext_tw_video_thumb/1620071213711196163/pu/img/4m60GwtHdMc0T3Ku.jpg</t>
  </si>
  <si>
    <t>https://t.co/D5xU4azrkS https://pbs.twimg.com/ext_tw_video_thumb/1620071041723764743/pu/img/TxwDZlNUcvCAxDeW.jpg</t>
  </si>
  <si>
    <t>https://t.co/IKGK9bV9SB https://pbs.twimg.com/ext_tw_video_thumb/1620070696201207808/pu/img/YnBhezghtXEbYsly.jpg</t>
  </si>
  <si>
    <t>https://t.co/KIoQJyrs2K https://pbs.twimg.com/ext_tw_video_thumb/1620070411412152322/pu/img/jkpC3nd-_julhf5c.jpg</t>
  </si>
  <si>
    <t>https://t.co/rLbySchEoB https://pbs.twimg.com/ext_tw_video_thumb/1620070248664731650/pu/img/WVLKgSd4UMcVb2Hs.jpg</t>
  </si>
  <si>
    <t>https://t.co/PRowTp2r9u https://pbs.twimg.com/ext_tw_video_thumb/1620070070331244550/pu/img/jAV_sSGV6Ic5N__l.jpg</t>
  </si>
  <si>
    <t>https://t.co/GxdJBmtmIt https://pbs.twimg.com/ext_tw_video_thumb/1620076115451678721/pu/img/VwB-flYXnnB2-sNA.jpg</t>
  </si>
  <si>
    <t>https://t.co/gsVHpMeBbO https://pbs.twimg.com/ext_tw_video_thumb/1627084714204098560/pu/img/u3-QlAPxkS58M411.jpg</t>
  </si>
  <si>
    <t>https://t.co/B9OuaSTCBJ https://pbs.twimg.com/ext_tw_video_thumb/1627084477746003968/pu/img/KJEGzj4qPgxGilWj.jpg</t>
  </si>
  <si>
    <t>https://t.co/q9GTsYsBFR https://pbs.twimg.com/ext_tw_video_thumb/1627084218575765506/pu/img/N0kwLjC6tMk-ys29.jpg</t>
  </si>
  <si>
    <t>https://t.co/ru14DUqo1i https://pbs.twimg.com/ext_tw_video_thumb/1627083876995846144/pu/img/7HYlxWfqmH8ySMUI.jpg</t>
  </si>
  <si>
    <t>https://t.co/3S35NUFDty https://pbs.twimg.com/ext_tw_video_thumb/1627083464448303109/pu/img/5FfsO7nYGA4PYkM2.jpg</t>
  </si>
  <si>
    <t>https://t.co/hiSy4eTHjW https://pbs.twimg.com/ext_tw_video_thumb/1627083193894703112/pu/img/ka04anpW_aAjRsrN.jpg</t>
  </si>
  <si>
    <t>https://t.co/e1WFX388g1 https://pbs.twimg.com/ext_tw_video_thumb/1627082957801545734/pu/img/_CMFua9E-Rpp3mJ4.jpg</t>
  </si>
  <si>
    <t>https://t.co/0Qbqwbtbaq https://pbs.twimg.com/ext_tw_video_thumb/1627082725583900678/pu/img/5N1CCcMkZGnhH85R.jpg</t>
  </si>
  <si>
    <t>https://t.co/WpsA3WG6Ln https://pbs.twimg.com/ext_tw_video_thumb/1627082502946029570/pu/img/BAANMnZ7k49_gSRH.jpg</t>
  </si>
  <si>
    <t>https://t.co/rrjJpPhzTG https://pbs.twimg.com/ext_tw_video_thumb/1627082273815396358/pu/img/5nPkDKrkaE1t1tKZ.jpg</t>
  </si>
  <si>
    <t>https://t.co/mK1jzD5YlO https://pbs.twimg.com/ext_tw_video_thumb/1627082044898676737/pu/img/GWbuDpl05raxpXj8.jpg</t>
  </si>
  <si>
    <t>https://t.co/QR7MV6IAZZ https://pbs.twimg.com/ext_tw_video_thumb/1627081813125656577/pu/img/zt9rLtms1WReU539.jpg</t>
  </si>
  <si>
    <t>https://t.co/azADRJCxFD https://pbs.twimg.com/ext_tw_video_thumb/1627081554039296001/pu/img/DvV3RQn6vZq9MIlv.jpg</t>
  </si>
  <si>
    <t>https://t.co/A1Z20wHTUr https://pbs.twimg.com/ext_tw_video_thumb/1627081304457236481/pu/img/Z_vzPus-fm-rXao8.jpg</t>
  </si>
  <si>
    <t>https://t.co/stG398WPiZ https://pbs.twimg.com/ext_tw_video_thumb/1627081073548226562/pu/img/cndeMqbQKKQcNcku.jpg</t>
  </si>
  <si>
    <t>https://t.co/OtE9Z39VJK https://pbs.twimg.com/ext_tw_video_thumb/1627080753124352002/pu/img/-62-pABX4t5EqwKf.jpg</t>
  </si>
  <si>
    <t>https://t.co/zSBMD7CAqm https://pbs.twimg.com/ext_tw_video_thumb/1627080414551752710/pu/img/9MUwmxTY-TbWmuXT.jpg</t>
  </si>
  <si>
    <t>https://t.co/s5bKSXyy9a https://pbs.twimg.com/ext_tw_video_thumb/1627079922165649409/pu/img/NWDMHCzQhKLoi7ib.jpg</t>
  </si>
  <si>
    <t>https://t.co/RLaLQZK9az https://pbs.twimg.com/ext_tw_video_thumb/1627084972074090509/pu/img/lX87vTmI3BdaOy5d.jpg</t>
  </si>
  <si>
    <t>https://t.co/hBeo9jwoA5 https://pbs.twimg.com/media/FqUB_aTXgAY1B4M.jpg</t>
  </si>
  <si>
    <t>https://t.co/8N3ofiSXWQ https://pbs.twimg.com/media/FpgiEX-WACMcfpG.jpg</t>
  </si>
  <si>
    <t>https://t.co/2BDHuKGbNN https://pbs.twimg.com/media/FuvfHDEWIBs1QGC.jpg</t>
  </si>
  <si>
    <t>https://t.co/5XBQomTi7z https://pbs.twimg.com/media/F2tF7-RXUAEdWyC.jpg</t>
  </si>
  <si>
    <t>https://t.co/O1aCyZc89e https://pbs.twimg.com/media/Fz6M0LHWAAEYLwM.jpg</t>
  </si>
  <si>
    <t>https://t.co/5E45NMiCxA https://pbs.twimg.com/media/Fz6LkARXwAE5G4X.jpg</t>
  </si>
  <si>
    <t>https://t.co/ezKEpoaR6G https://pbs.twimg.com/ext_tw_video_thumb/1670009772165169156/pu/img/uV3IGVVS8rINqu7R.jpg</t>
  </si>
  <si>
    <t>https://t.co/R3EsL0Bgq6 https://pbs.twimg.com/media/FqilXunXgAE-TFk.jpg</t>
  </si>
  <si>
    <t>https://t.co/6XHSKV262Q https://pbs.twimg.com/ext_tw_video_thumb/1704517723097579521/pu/img/Gd5MtBSPRsMeZEE1.jpg</t>
  </si>
  <si>
    <t>https://t.co/5xDmqno3dw https://pbs.twimg.com/media/F6eO1GQXgAARi3d.jpg</t>
  </si>
  <si>
    <t>https://t.co/stDZXYjkCr https://pbs.twimg.com/ext_tw_video_thumb/1705259536678821894/pu/img/DFEbquy0BAPMXPjM.jpg</t>
  </si>
  <si>
    <t>https://t.co/dIQMEGemwH https://pbs.twimg.com/media/F6ttXpEXwAARzvs.jpg</t>
  </si>
  <si>
    <t>https://t.co/mnuYbVHFit https://pbs.twimg.com/ext_tw_video_thumb/1648071284658429953/pu/img/Si-W7mifEazPi5ux.jpg</t>
  </si>
  <si>
    <t>https://t.co/6y8UFCSvMJ https://pbs.twimg.com/media/F6vFoioWMAAMLTb.jpg</t>
  </si>
  <si>
    <t>https://t.co/eL3f5PyeKr https://pbs.twimg.com/ext_tw_video_thumb/1643650375231078402/pu/img/FIV-CkrSD3lf-Pce.jpg</t>
  </si>
  <si>
    <t>https://t.co/AsFUe9r3M5 https://pbs.twimg.com/media/FsKTzSXWwAId0BW.jpg</t>
  </si>
  <si>
    <t>https://t.co/txgZjXtSDh https://pbs.twimg.com/ext_tw_video_thumb/1640035155799678977/pu/img/_G8gcJI4yXuANXo7.jpg</t>
  </si>
  <si>
    <t>https://t.co/Gbfay2RdqW https://pbs.twimg.com/media/FsFTga9WwAIFtt5.jpg</t>
  </si>
  <si>
    <t>https://t.co/mny3VViIwx https://pbs.twimg.com/ext_tw_video_thumb/1631000816512368647/pu/img/SPPid74EdplR-1gt.jpg</t>
  </si>
  <si>
    <t>https://t.co/6kaZ5Wr7NF https://pbs.twimg.com/ext_tw_video_thumb/1633804252643459073/pu/img/OdoM8Mo7zgiZkX7e.jpg</t>
  </si>
  <si>
    <t>https://t.co/hoSBfDW61F https://pbs.twimg.com/media/Fso-pN9X0AE2HFP.jpg</t>
  </si>
  <si>
    <t>https://t.co/CVPWb3ini6 https://t.co/CVPWb3ini6 https://t.co/CVPWb3ini6 https://t.co/CVPWb3ini6 https://pbs.twimg.com/media/Fos48xfX0AULinz.jpg https://pbs.twimg.com/media/Fos48xgWIAUmEbg.jpg https://pbs.twimg.com/media/Fos48xhX0AAl8Cp.jpg https://pbs.twimg.com/media/Fos48xjXEAAvRJW.jpg</t>
  </si>
  <si>
    <t>https://t.co/uXlzKJTIgN https://pbs.twimg.com/ext_tw_video_thumb/1624302478941466625/pu/img/ly-6FmIveent3RRB.jpg</t>
  </si>
  <si>
    <t>https://t.co/C5NE3ZP6bi https://pbs.twimg.com/media/Fzb4LfYWIAAxzV1.jpg</t>
  </si>
  <si>
    <t>https://t.co/cj1fCu0KAD https://pbs.twimg.com/media/FtScXz7acAA32OJ.jpg</t>
  </si>
  <si>
    <t>https://t.co/rPqOT0XI3C https://pbs.twimg.com/media/F5Jn4b_WQAArhDo.jpg</t>
  </si>
  <si>
    <t>https://t.co/6XmFCLbKsA https://pbs.twimg.com/ext_tw_video_thumb/1624085270588010504/pu/img/-ssWUogfqpMVa8q3.jpg</t>
  </si>
  <si>
    <t>https://t.co/szYCXPtZHC https://pbs.twimg.com/ext_tw_video_thumb/1688911088241479680/pu/img/zd4beTPfOuFzzd-_.jpg</t>
  </si>
  <si>
    <t>https://t.co/yt6tttR1di https://pbs.twimg.com/media/FpRncE7XsAAXcpK.jpg</t>
  </si>
  <si>
    <t>https://t.co/TclxX7HeE3 https://pbs.twimg.com/media/Ftb4TPAXgAAAeCK.jpg</t>
  </si>
  <si>
    <t>https://t.co/nLLewfNV5l https://pbs.twimg.com/media/FspqXMJXoAEVNfc.jpg</t>
  </si>
  <si>
    <t>https://t.co/Q3uBX8WvvR https://pbs.twimg.com/ext_tw_video_thumb/1697382040860041216/pu/img/cILiuyeaS61fOeqh.jpg</t>
  </si>
  <si>
    <t>https://t.co/zHuWoKOnmU https://pbs.twimg.com/ext_tw_video_thumb/1697382040860049408/pu/img/BeNARZAxwA08dMFN.jpg</t>
  </si>
  <si>
    <t>https://t.co/bVs6G9ETPp https://pbs.twimg.com/ext_tw_video_thumb/1697382094756798465/pu/img/s_XKMEhfvloD1r0M.jpg</t>
  </si>
  <si>
    <t>https://t.co/cUaPX4KSZH https://pbs.twimg.com/ext_tw_video_thumb/1697381765717934080/pu/img/nFk4ywgSvg2m6xSj.jpg</t>
  </si>
  <si>
    <t>https://t.co/Swgp0w8zQv https://t.co/Swgp0w8zQv https://pbs.twimg.com/media/F1hz7bcXoAAkTOr.jpg https://pbs.twimg.com/media/F1hz7vcX0AE2iXi.jpg</t>
  </si>
  <si>
    <t>https://t.co/GhVwpAEWPE https://pbs.twimg.com/ext_tw_video_thumb/1657796983527014402/pu/img/mV3LLNaJWgteYcJ7.jpg</t>
  </si>
  <si>
    <t>https://t.co/mN8yEUkF4N https://pbs.twimg.com/ext_tw_video_thumb/1660661156191543302/pu/img/BU3e45HaVBUdDp4V.jpg</t>
  </si>
  <si>
    <t>https://t.co/AhBEK6HNiQ https://pbs.twimg.com/ext_tw_video_thumb/1662856245940822021/pu/img/Rc9bFv6uUKDze_rX.jpg</t>
  </si>
  <si>
    <t>https://t.co/hD9vpqSfJq https://pbs.twimg.com/ext_tw_video_thumb/1662461449745182721/pu/img/romLYDFUnyBLuoKU.jpg</t>
  </si>
  <si>
    <t>https://t.co/esPhs9F7jR https://pbs.twimg.com/ext_tw_video_thumb/1659521846235082752/pu/img/xUBCe0Ldk-VTuzr-.jpg</t>
  </si>
  <si>
    <t>https://t.co/qfg5Tks1HW https://pbs.twimg.com/ext_tw_video_thumb/1659006788019138561/pu/img/ikXS6S-0XcqNX-vN.jpg</t>
  </si>
  <si>
    <t>https://t.co/jbJolry14N https://pbs.twimg.com/ext_tw_video_thumb/1656132243201355776/pu/img/g6uV9Slr5dZfPkSo.jpg</t>
  </si>
  <si>
    <t>https://t.co/SgqlYo0hue https://pbs.twimg.com/ext_tw_video_thumb/1661898468460318720/pu/img/3sCKC9ZypjO2dOMp.jpg</t>
  </si>
  <si>
    <t>https://t.co/jNoNPVzLvq https://pbs.twimg.com/ext_tw_video_thumb/1661166189656113154/pu/img/ojuoCRwm9nAhQE1I.jpg</t>
  </si>
  <si>
    <t>https://t.co/bQCPVli08D https://pbs.twimg.com/ext_tw_video_thumb/1667162663023984641/pu/img/atjvhz9Z13GaKl1Y.jpg</t>
  </si>
  <si>
    <t>https://t.co/dqOVQ5gsdn https://pbs.twimg.com/ext_tw_video_thumb/1657438033971486723/pu/img/Slu7N05rRS59K_Gh.jpg</t>
  </si>
  <si>
    <t>https://t.co/n9GsrxpDKT https://pbs.twimg.com/ext_tw_video_thumb/1657029126723624963/pu/img/Xgq7RH4oeOyHZUEy.jpg</t>
  </si>
  <si>
    <t>https://t.co/dm2jeyeWUS https://pbs.twimg.com/ext_tw_video_thumb/1656841987394265088/pu/img/o28CCxayQX1tvJsV.jpg</t>
  </si>
  <si>
    <t>https://t.co/EiRVDynm1b https://pbs.twimg.com/ext_tw_video_thumb/1656726846560518146/pu/img/PhOku7iMvHWKgJ-r.jpg</t>
  </si>
  <si>
    <t>https://t.co/NNQLw5aCZZ https://pbs.twimg.com/ext_tw_video_thumb/1665412509363216386/pu/img/n5mP1I8Bim4apZ9q.jpg</t>
  </si>
  <si>
    <t>https://t.co/rsTFfVJmKv https://pbs.twimg.com/ext_tw_video_thumb/1665030177154269187/pu/img/cAB5LbIGVc5onC3T.jpg</t>
  </si>
  <si>
    <t>https://t.co/36a3KodTks https://pbs.twimg.com/ext_tw_video_thumb/1664695389390360578/pu/img/W_qm4gJkdxapcjiN.jpg</t>
  </si>
  <si>
    <t>https://t.co/MjTYhNyd2e https://pbs.twimg.com/ext_tw_video_thumb/1658655616347385856/pu/img/zg3akcTeQ42HDlhC.jpg</t>
  </si>
  <si>
    <t>https://t.co/whhxOmz6oJ https://pbs.twimg.com/media/FrHrOFzWICIDqwo.jpg</t>
  </si>
  <si>
    <t>https://t.co/ZzYOScHxBR https://pbs.twimg.com/ext_tw_video_thumb/1635277931609214976/pu/img/1tplphZkbYsuIEfW.jpg</t>
  </si>
  <si>
    <t>https://t.co/75qqCSuBkF https://pbs.twimg.com/ext_tw_video_thumb/1634971785497067521/pu/img/mcBLbaPNJmnTz3t0.jpg</t>
  </si>
  <si>
    <t>https://t.co/sPmOHVih6e https://pbs.twimg.com/ext_tw_video_thumb/1634588831226757120/pu/img/OnENUyf85G2lSgUY.jpg</t>
  </si>
  <si>
    <t>https://t.co/5ko25H45CP https://pbs.twimg.com/ext_tw_video_thumb/1634516889748533251/pu/img/nMeUnBlxhPGxGQLy.jpg</t>
  </si>
  <si>
    <t>https://t.co/sPz9VArPnt https://pbs.twimg.com/ext_tw_video_thumb/1634381107494830080/pu/img/ceBKprfWKKYAf7RL.jpg</t>
  </si>
  <si>
    <t>https://t.co/jn1kFH7MBZ https://pbs.twimg.com/media/Fq2flGRXsAEwplN.jpg</t>
  </si>
  <si>
    <t>https://t.co/MXqfmu2Kgw https://pbs.twimg.com/media/Fqzn13TWIAIRy7Z.jpg</t>
  </si>
  <si>
    <t>https://t.co/bu8ZdluNp1 https://pbs.twimg.com/ext_tw_video_thumb/1633443485658370048/pu/img/cJrsutOiYeM1lXTZ.jpg</t>
  </si>
  <si>
    <t>https://t.co/j2cvpy7Tnj https://pbs.twimg.com/ext_tw_video_thumb/1641024750376955905/pu/img/UXr1MI4PtoR6aIPE.jpg</t>
  </si>
  <si>
    <t>https://t.co/cXevyhUvhP https://pbs.twimg.com/media/FrnsFlKXwAIF6NR.jpg</t>
  </si>
  <si>
    <t>https://t.co/6BRwwD3urr https://pbs.twimg.com/ext_tw_video_thumb/1636777698134573104/pu/img/vtReIQsWeJ0Md9RH.jpg</t>
  </si>
  <si>
    <t>https://t.co/jOhTz5qCsC https://pbs.twimg.com/media/Fra0nmPWIAAZjgP.jpg</t>
  </si>
  <si>
    <t>https://t.co/I2jINH7FZQ https://pbs.twimg.com/media/FsQylEOXoAEk2eZ.jpg</t>
  </si>
  <si>
    <t>https://t.co/wRscIbEHa0 https://pbs.twimg.com/ext_tw_video_thumb/1647336772177743872/pu/img/8Oy7wSquku6e60vK.jpg</t>
  </si>
  <si>
    <t>https://t.co/gNAqLEIiq3 https://pbs.twimg.com/media/Fr5_dIPWYAILYQX.jpg</t>
  </si>
  <si>
    <t>https://t.co/Xtftm4Rcv3 https://pbs.twimg.com/ext_tw_video_thumb/1655016360521465858/pu/img/gblxptQquHUGi10y.jpg</t>
  </si>
  <si>
    <t>https://t.co/b5DcuFGN9L https://pbs.twimg.com/media/FvaXs--XsAABx81.jpg</t>
  </si>
  <si>
    <t>https://t.co/qGJpKj68Px https://pbs.twimg.com/ext_tw_video_thumb/1646132454283935744/pu/img/Me3rKaGHyzFbn_Ga.jpg</t>
  </si>
  <si>
    <t>https://t.co/bbXU0zb82b https://pbs.twimg.com/media/Fs-lhReXsAQpfEl.jpg</t>
  </si>
  <si>
    <t>https://t.co/kEEBcOPsj1 https://pbs.twimg.com/ext_tw_video_thumb/1643660752962584581/pu/img/zA-5m8_wGgVS4zUL.jpg</t>
  </si>
  <si>
    <t>https://t.co/4MKEbloSPU https://pbs.twimg.com/ext_tw_video_thumb/1658250720699621376/pu/img/__yTkrB8hEDK6LHy.jpg</t>
  </si>
  <si>
    <t>https://t.co/ezjxdG9NDz https://pbs.twimg.com/ext_tw_video_thumb/1643577912078086146/pu/img/L3E9ECwlpgPkPPJW.jpg</t>
  </si>
  <si>
    <t>https://t.co/YTygyvwI7F https://pbs.twimg.com/ext_tw_video_thumb/1636153363631861761/pu/img/RLhda_Qk--4WBtJW.jpg</t>
  </si>
  <si>
    <t>https://t.co/ytcIijw14J https://pbs.twimg.com/ext_tw_video_thumb/1668550821053706241/pu/img/mfI3kZOU0De2H7Ge.jpg</t>
  </si>
  <si>
    <t>https://t.co/m7XLJNtGnL https://pbs.twimg.com/ext_tw_video_thumb/1640154787097239553/pu/img/VJAlmHt5XWQ02kcZ.jpg</t>
  </si>
  <si>
    <t>https://t.co/rsrcnPFkFu https://pbs.twimg.com/ext_tw_video_thumb/1639954044847267842/pu/img/rkdSW6P3MqDh8fkU.jpg</t>
  </si>
  <si>
    <t>https://t.co/lYohjqRjw6 https://pbs.twimg.com/media/FsET7oEWwAMgL30.jpg</t>
  </si>
  <si>
    <t>https://t.co/7xYMTFdrfV https://pbs.twimg.com/ext_tw_video_thumb/1681307226185797633/pu/img/HodbnmcFqHvF52ON.jpg</t>
  </si>
  <si>
    <t>https://t.co/pr9mVSH3Tj https://pbs.twimg.com/ext_tw_video_thumb/1680390166903414784/pu/img/V5VV6_JzqgO05mV9.jpg</t>
  </si>
  <si>
    <t>https://t.co/SDKJOodTQ9 https://pbs.twimg.com/ext_tw_video_thumb/1680374051611475969/pu/img/ibWl01_mW5lvyvPD.jpg</t>
  </si>
  <si>
    <t>https://t.co/Viw1lx3zT8 https://pbs.twimg.com/ext_tw_video_thumb/1680369255961731072/pu/img/wsK9nEvKg3xih7sl.jpg</t>
  </si>
  <si>
    <t>https://t.co/tdo8enzXyk https://pbs.twimg.com/ext_tw_video_thumb/1680069613864853504/pu/img/ymuSG-toxt8WnjVH.jpg</t>
  </si>
  <si>
    <t>https://t.co/QVzikltHAK https://pbs.twimg.com/media/F1fW_LwXgAIPCqw.jpg</t>
  </si>
  <si>
    <t>https://t.co/owb1NjyMjl https://pbs.twimg.com/ext_tw_video_thumb/1680398870470094848/pu/img/lHtepXhvrEt6wvWA.jpg</t>
  </si>
  <si>
    <t>https://t.co/fUdVrNNPoz https://pbs.twimg.com/ext_tw_video_thumb/1684578166751498240/pu/img/ByP6syE5Oam1ER5J.jpg</t>
  </si>
  <si>
    <t>https://t.co/SnEz8mcAoe https://pbs.twimg.com/media/F1-J00FXoAQRnSt.jpg</t>
  </si>
  <si>
    <t>https://t.co/9VAUjLy6sf https://pbs.twimg.com/media/F3Kz4ofXEAAStca.jpg</t>
  </si>
  <si>
    <t>https://t.co/nDo8RSONJW https://pbs.twimg.com/media/F3KzUIvWYAEAU7V.jpg</t>
  </si>
  <si>
    <t>https://t.co/ovZIQB0Qcr https://pbs.twimg.com/media/F1ZuGQ5X0AECqOl.jpg</t>
  </si>
  <si>
    <t>https://t.co/ErnrAFJXZ9 https://pbs.twimg.com/ext_tw_video_thumb/1681500260193976320/pu/img/st3iZqPT-McKnjAI.jpg</t>
  </si>
  <si>
    <t>https://t.co/c1XgyUIMcj https://pbs.twimg.com/ext_tw_video_thumb/1680068264573952000/pu/img/9ZqTsDdJNK_ASLQO.jpg</t>
  </si>
  <si>
    <t>https://t.co/iOOiOZbs7o https://pbs.twimg.com/ext_tw_video_thumb/1680067158699565056/pu/img/YB6zO1S2ClBWtwYv.jpg</t>
  </si>
  <si>
    <t>https://t.co/t2EFp7WLHo https://pbs.twimg.com/ext_tw_video_thumb/1680065743327571968/pu/img/pupsZJ6l-0iTEdTj.jpg</t>
  </si>
  <si>
    <t>https://t.co/JNP28sJjXg https://pbs.twimg.com/ext_tw_video_thumb/1680063537102692353/pu/img/8uK9zQoMHyCFYhCd.jpg</t>
  </si>
  <si>
    <t>https://t.co/IZULgXjoXy https://pbs.twimg.com/ext_tw_video_thumb/1679882484979204096/pu/img/1_d18fxWgoNO9i_u.jpg</t>
  </si>
  <si>
    <t>https://t.co/gJ73GQOKHB https://pbs.twimg.com/media/F3lBOBpaYAAxbSN.jpg</t>
  </si>
  <si>
    <t>https://t.co/NyMld3WN0F https://pbs.twimg.com/media/F3lAOWoasAEWxYX.jpg</t>
  </si>
  <si>
    <t>https://t.co/pae0kfthtv https://pbs.twimg.com/media/F3k_VoQagAAjsL_.jpg</t>
  </si>
  <si>
    <t>https://t.co/RdCVMNoQU1 https://pbs.twimg.com/ext_tw_video_thumb/1702807208772124673/pu/img/ksFM9x1TTLpzAXG6.jpg</t>
  </si>
  <si>
    <t>https://t.co/HYsCsxHqs8 https://pbs.twimg.com/media/F3156-qX0AAl7kl.jpg</t>
  </si>
  <si>
    <t>https://t.co/uRpWRE8K6G https://pbs.twimg.com/media/F313X8yWQAA28ch.jpg</t>
  </si>
  <si>
    <t>https://t.co/08NIGrtLVV https://pbs.twimg.com/media/F311QbiW0AAFIUq.png</t>
  </si>
  <si>
    <t>https://t.co/R68KOa8mq4 https://pbs.twimg.com/media/F3wbXSVWUAExv-8.jpg</t>
  </si>
  <si>
    <t>https://t.co/YO693Eb4KH https://pbs.twimg.com/media/F3wbOqtWgAA4aq4.jpg</t>
  </si>
  <si>
    <t>https://t.co/a98WR9zldQ https://pbs.twimg.com/media/F3wa9MgXwAAekJw.jpg</t>
  </si>
  <si>
    <t>https://t.co/JKIrK7OhdT https://pbs.twimg.com/ext_tw_video_thumb/1686024814572564480/pu/img/wUfcCa4Ixnbtoizc.jpg</t>
  </si>
  <si>
    <t>https://t.co/WO11cuC179 https://pbs.twimg.com/media/F2IGD-SWkAEbXyn.jpg</t>
  </si>
  <si>
    <t>https://t.co/Kzm09sFCh2 https://pbs.twimg.com/media/FrHoJ1qWIAAeKz0.jpg</t>
  </si>
  <si>
    <t>https://t.co/K6HzJNQd1i https://pbs.twimg.com/media/F5xwNU-XMAA8X5a.jpg</t>
  </si>
  <si>
    <t>https://t.co/rCvK6HCmKe https://pbs.twimg.com/ext_tw_video_thumb/1640452189981143040/pu/img/QknRJQj_zxJ9z5H2.jpg</t>
  </si>
  <si>
    <t>https://t.co/p9mJcKEYew https://pbs.twimg.com/ext_tw_video_thumb/1625902514380976132/pu/img/Hn44yN9FtcI1j9HV.jpg</t>
  </si>
  <si>
    <t>https://t.co/65uMhGjhdy https://pbs.twimg.com/media/Fw5vnyaWcAAsryy.jpg</t>
  </si>
  <si>
    <t>https://t.co/blUXcARrVW https://pbs.twimg.com/ext_tw_video_thumb/1671157434768056325/pu/img/J3biohUGNZ_Kbn9A.jpg</t>
  </si>
  <si>
    <t>https://t.co/RRLIuAEkm6 https://pbs.twimg.com/media/F1pgu1hXwAAJgtc.jpg</t>
  </si>
  <si>
    <t>https://t.co/sGunku7PLt https://pbs.twimg.com/media/F1WQbY4WwBAk-00.jpg</t>
  </si>
  <si>
    <t>https://t.co/idbtqYfAeV https://t.co/idbtqYfAeV https://t.co/idbtqYfAeV https://t.co/idbtqYfAeV https://pbs.twimg.com/media/F6PbJxEWsAATBpS.jpg https://pbs.twimg.com/media/F6PbJxCXwAEQtvV.jpg https://pbs.twimg.com/media/F6PbJxDWoAAUr49.jpg https://pbs.twimg.com/media/F6PbJxDXIAABM24.jpg</t>
  </si>
  <si>
    <t>https://t.co/vA4S9opY3g https://t.co/vA4S9opY3g https://t.co/vA4S9opY3g https://t.co/vA4S9opY3g https://pbs.twimg.com/media/F6PaxU8WQAAWAnW.jpg https://pbs.twimg.com/media/F6PaxU2WUAA6F_1.jpg https://pbs.twimg.com/media/F6PaxU1XEAAOJgU.jpg https://pbs.twimg.com/media/F6PaxU1W4AAh26R.jpg</t>
  </si>
  <si>
    <t>https://t.co/0Z2zs86CZD https://t.co/0Z2zs86CZD https://t.co/0Z2zs86CZD https://t.co/0Z2zs86CZD https://pbs.twimg.com/media/F6OjUpSXwAAqT2i.jpg https://pbs.twimg.com/media/F6OjUpOXMAAol2H.jpg https://pbs.twimg.com/media/F6OjUpPXIAAvgn-.jpg https://pbs.twimg.com/media/F6OjUpRWsAApnfQ.jpg</t>
  </si>
  <si>
    <t>https://t.co/n6NICcGeaj https://t.co/n6NICcGeaj https://pbs.twimg.com/media/F6MiFlBXEAEE9b1.jpg https://pbs.twimg.com/media/F6MiFlAWIAAgBXn.jpg</t>
  </si>
  <si>
    <t>https://t.co/i66behETq0 https://t.co/i66behETq0 https://pbs.twimg.com/media/F6RRC9wWYAAp2Jt.jpg https://pbs.twimg.com/media/F6RRC9yXEAAI9h1.jpg</t>
  </si>
  <si>
    <t>https://t.co/vD9H6EQ9bj https://t.co/vD9H6EQ9bj https://t.co/vD9H6EQ9bj https://t.co/vD9H6EQ9bj https://pbs.twimg.com/media/F6Q3AISWEAA5nO4.jpg https://pbs.twimg.com/media/F6Q3AIRW8AADoqD.jpg https://pbs.twimg.com/media/F6Q3AIPXsAEQzrx.jpg https://pbs.twimg.com/media/F6Q3AISW8AAaubY.jpg</t>
  </si>
  <si>
    <t>https://t.co/x1DZtJDUm3 https://t.co/x1DZtJDUm3 https://t.co/x1DZtJDUm3 https://t.co/x1DZtJDUm3 https://pbs.twimg.com/media/F6Q2sVfXEAAexJD.jpg https://pbs.twimg.com/media/F6Q2sVeWIAAPEim.jpg https://pbs.twimg.com/media/F6Q2sVeWYAAL94t.jpg https://pbs.twimg.com/media/F6Q2sVfWYAAIW5N.jpg</t>
  </si>
  <si>
    <t>https://t.co/kImt26S8Tl https://t.co/kImt26S8Tl https://t.co/kImt26S8Tl https://t.co/kImt26S8Tl https://pbs.twimg.com/media/F6MbnTUWEAA5bGg.jpg https://pbs.twimg.com/media/F6MbnTWW4AEF6Ey.jpg https://pbs.twimg.com/media/F6MbnTWWcAAZBNX.jpg https://pbs.twimg.com/media/F6MbnTTXwAAvohD.jpg</t>
  </si>
  <si>
    <t>https://t.co/zyZtboDT33 https://t.co/zyZtboDT33 https://pbs.twimg.com/media/F6MZqgcWUAAliek.jpg https://pbs.twimg.com/media/F6MZqgbWwAIbBvs.jpg</t>
  </si>
  <si>
    <t>https://t.co/69opf3wc7F https://pbs.twimg.com/ext_tw_video_thumb/1703229615185985536/pu/img/R0IPkYHbyvLPlXDD.jpg</t>
  </si>
  <si>
    <t>https://t.co/3fKgvlHbJH https://t.co/3fKgvlHbJH https://t.co/3fKgvlHbJH https://t.co/3fKgvlHbJH https://pbs.twimg.com/media/F6MTVcMW4AEARX8.jpg https://pbs.twimg.com/media/F6MTVcNXgAAjX7d.jpg https://pbs.twimg.com/media/F6MTVcMW4AAW-wJ.jpg https://pbs.twimg.com/media/F6MTVcNXoAAFd2T.jpg</t>
  </si>
  <si>
    <t>https://t.co/OpqfOE9zoD https://pbs.twimg.com/media/F1hMrm9XsAAVHDH.jpg</t>
  </si>
  <si>
    <t>https://t.co/bZW8LEF1yz https://pbs.twimg.com/ext_tw_video_thumb/1636420591119941663/pu/img/_4nJhViz8-ZElKOB.jpg</t>
  </si>
  <si>
    <t>https://t.co/3h75QIaeeT https://pbs.twimg.com/media/FrFx06AWIAEGpYK.jpg</t>
  </si>
  <si>
    <t>https://t.co/Rf1Xg9HNG8 https://pbs.twimg.com/media/FuCgWNlWIAAH3R3.jpg</t>
  </si>
  <si>
    <t>https://t.co/A0ZSyApI7n https://pbs.twimg.com/media/FywQlvzWcAABL1u.jpg</t>
  </si>
  <si>
    <t>https://t.co/gJPSGO7hb5 https://pbs.twimg.com/ext_tw_video_thumb/1665558053968838656/pu/img/ndRk5vWF8Xsd9KiI.jpg</t>
  </si>
  <si>
    <t>https://t.co/bcsz4mLr9A https://pbs.twimg.com/media/Fwx9z72X0AASciO.jpg</t>
  </si>
  <si>
    <t>https://t.co/QXiHPXh6eW https://pbs.twimg.com/ext_tw_video_thumb/1668929286504415233/pu/img/9b-2RJPraT8Xcyq-.jpg</t>
  </si>
  <si>
    <t>https://t.co/InnaBaWd5a https://pbs.twimg.com/media/Fyk5A-xX0AEA2fs.jpg</t>
  </si>
  <si>
    <t>https://t.co/mNnkOvycIa https://pbs.twimg.com/media/Fyk4ncaWYAAI79m.jpg</t>
  </si>
  <si>
    <t>https://t.co/DPDkAR3eXl https://pbs.twimg.com/media/F0TGXZPXgAAC3Jl.jpg</t>
  </si>
  <si>
    <t>https://t.co/Yn1ssAv6kK https://pbs.twimg.com/media/F0SLHNpXwAApfoF.jpg</t>
  </si>
  <si>
    <t>https://t.co/MANCOY2d95 https://pbs.twimg.com/media/F0SK9DQWwAILw6Y.jpg</t>
  </si>
  <si>
    <t>https://t.co/eumU4aysoH https://pbs.twimg.com/media/F0SK0JcWwAMCsbg.jpg</t>
  </si>
  <si>
    <t>https://t.co/gJWqn3enHe https://pbs.twimg.com/media/F0N9z-jWcAI9xEn.jpg</t>
  </si>
  <si>
    <t>https://t.co/DBePSlL1bU https://pbs.twimg.com/media/F0M0-PLWAAEitCH.jpg</t>
  </si>
  <si>
    <t>https://t.co/jkUKCtT5Oe https://pbs.twimg.com/media/F0M0yeAXgAEJ0aK.jpg</t>
  </si>
  <si>
    <t>https://t.co/99T6Zuq8mU https://pbs.twimg.com/media/FysA7u8WYAEwhEZ.jpg</t>
  </si>
  <si>
    <t>https://t.co/Qgm31UFTn1 https://pbs.twimg.com/media/FysAtudX0AUozc8.jpg</t>
  </si>
  <si>
    <t>https://t.co/SMk4tIlgzQ https://pbs.twimg.com/media/FysAcyuX0AYSLz1.jpg</t>
  </si>
  <si>
    <t>https://t.co/tOAgQwlqfh https://pbs.twimg.com/media/Fyr_29DX0AsU4wj.jpg</t>
  </si>
  <si>
    <t>https://t.co/L7DcDGiEUq https://pbs.twimg.com/media/Fyr_rvkWwAEf6pF.jpg</t>
  </si>
  <si>
    <t>https://t.co/MsGFGiGNUV https://pbs.twimg.com/media/FymmJzlWYA8JSHn.jpg</t>
  </si>
  <si>
    <t>https://t.co/mp4A2zDl7O https://pbs.twimg.com/media/Fyml3QJWYAQ_aH-.jpg</t>
  </si>
  <si>
    <t>https://t.co/ZiWzGgj8tF https://pbs.twimg.com/media/FymgE8vXsAUNP1h.jpg</t>
  </si>
  <si>
    <t>https://t.co/2zCnKHgLXR https://pbs.twimg.com/media/FymfNNQWYAEpW6L.jpg</t>
  </si>
  <si>
    <t>https://t.co/sgs5pHvNb8 https://pbs.twimg.com/media/Fyl0eJWX0AEn-fe.jpg</t>
  </si>
  <si>
    <t>https://t.co/OWH9P9Iy9u https://pbs.twimg.com/media/FyhCbTzXgAA2P1R.jpg</t>
  </si>
  <si>
    <t>https://t.co/I2UIDdbfC7 https://pbs.twimg.com/media/FyhCVOdXoAEOpYN.jpg</t>
  </si>
  <si>
    <t>https://t.co/pP3pvwmU8L https://pbs.twimg.com/media/Fw_k8TMXgAMYSiy.jpg</t>
  </si>
  <si>
    <t>https://t.co/HZGjutHmXB https://pbs.twimg.com/media/Fw_hplRWcAAJmGV.jpg</t>
  </si>
  <si>
    <t>https://t.co/3I9NayKBHp https://pbs.twimg.com/media/Fw_heZyWIAE4iOQ.jpg</t>
  </si>
  <si>
    <t>https://t.co/c6A1zmMzTH https://pbs.twimg.com/media/Fw_hV4EWcAEdle2.jpg</t>
  </si>
  <si>
    <t>https://t.co/WoMNrZOdGv https://pbs.twimg.com/media/Fw_hRHFXgAU7gh-.jpg</t>
  </si>
  <si>
    <t>https://t.co/tZVcFjug4E https://pbs.twimg.com/media/Fw_JCPFXsAMDtI5.jpg</t>
  </si>
  <si>
    <t>https://t.co/KDjKylXDKL https://pbs.twimg.com/media/Fw6kMsAXsAA52MM.jpg</t>
  </si>
  <si>
    <t>https://t.co/d738UpmR0J https://pbs.twimg.com/media/Fw6jp0fXgAE9kxT.jpg</t>
  </si>
  <si>
    <t>https://t.co/aDkSEAI20n https://pbs.twimg.com/media/Fw6VQKyXgAAiBIw.jpg</t>
  </si>
  <si>
    <t>https://t.co/dsGRnWz6Vx https://pbs.twimg.com/media/Fw6VJDMXgBcxj9z.jpg</t>
  </si>
  <si>
    <t>https://t.co/251yhZR2T3 https://pbs.twimg.com/media/Fw6VDUrXgBcrjWU.jpg</t>
  </si>
  <si>
    <t>https://t.co/X3VZDFIbNm https://pbs.twimg.com/media/Fw6U9F5XsAACjaY.jpg</t>
  </si>
  <si>
    <t>https://t.co/zm7f6oB5k1 https://pbs.twimg.com/media/Fw5655SXwAAZKlk.jpg</t>
  </si>
  <si>
    <t>https://t.co/YoR9wbTbxb https://pbs.twimg.com/media/Fw5603sXwAEDj19.jpg</t>
  </si>
  <si>
    <t>https://t.co/HigTKYxOXc https://pbs.twimg.com/media/FvI-u_cWAB0lmyT.jpg</t>
  </si>
  <si>
    <t>https://t.co/fJ5ZSXL02I https://pbs.twimg.com/media/FvI-pxaXoAA6cKY.jpg</t>
  </si>
  <si>
    <t>https://t.co/ylgo3HIA6K https://pbs.twimg.com/media/FvI-iZxWAAcp2NX.jpg</t>
  </si>
  <si>
    <t>https://t.co/pVjLKOfiJb https://pbs.twimg.com/media/FvI-dQvWAA4Nqo0.jpg</t>
  </si>
  <si>
    <t>https://t.co/J8tXCA6Zjq https://pbs.twimg.com/media/FvIkDelXgAo4hHp.jpg</t>
  </si>
  <si>
    <t>https://t.co/e4ZZ4a89Zc https://pbs.twimg.com/media/FvIj7PhXoAIN7jm.jpg</t>
  </si>
  <si>
    <t>https://t.co/HBWJhkcXNQ https://pbs.twimg.com/media/Fu0zFr4XgAA444n.jpg</t>
  </si>
  <si>
    <t>https://t.co/UQaV2sY1ui https://pbs.twimg.com/media/Fu0tqU6WwAQz-X6.jpg</t>
  </si>
  <si>
    <t>https://t.co/vEBo4vwHMH https://pbs.twimg.com/media/Fu0mFz3WwAMami2.jpg</t>
  </si>
  <si>
    <t>https://t.co/6d6jtPEAOn https://pbs.twimg.com/media/Fu0iqB4WAAAllxx.jpg</t>
  </si>
  <si>
    <t>https://t.co/EFRXHIrhEc https://pbs.twimg.com/media/Fu0iVLxWwA0CQcJ.jpg</t>
  </si>
  <si>
    <t>https://t.co/8AtOI3nTiV https://pbs.twimg.com/media/Fuz4xejXwAE30M-.jpg</t>
  </si>
  <si>
    <t>https://t.co/d134W3yRsQ https://pbs.twimg.com/media/Fuz4pHbWYAIaSIh.jpg</t>
  </si>
  <si>
    <t>https://t.co/Za8yE74Ma5 https://pbs.twimg.com/media/Fuz4iQlXgAEWT4v.jpg</t>
  </si>
  <si>
    <t>https://t.co/Nd9SrzwM5n https://pbs.twimg.com/media/FskSoBNWIAExH2i.jpg</t>
  </si>
  <si>
    <t>https://t.co/6uYff9qDSu https://pbs.twimg.com/media/FskSZEVXoAEjI9m.jpg</t>
  </si>
  <si>
    <t>https://t.co/KB4riTZJW9 https://pbs.twimg.com/media/FskSKW8WYAogqn9.jpg</t>
  </si>
  <si>
    <t>https://t.co/gcvPuG202H https://pbs.twimg.com/media/FskPNJ4WYAo87DX.jpg</t>
  </si>
  <si>
    <t>https://t.co/8rDIZ23b9U https://pbs.twimg.com/media/FskOjcrXwAAXAne.jpg</t>
  </si>
  <si>
    <t>https://t.co/cFiSX52xZD https://pbs.twimg.com/media/FskOPg-XgAACrRW.jpg</t>
  </si>
  <si>
    <t>https://t.co/ue9GVpaIWi https://pbs.twimg.com/media/FskODfXWIAAgRRT.jpg</t>
  </si>
  <si>
    <t>https://t.co/B03FMhZa1e https://pbs.twimg.com/media/Fzz9uTNWAAAPTrR.jpg</t>
  </si>
  <si>
    <t>https://t.co/zT9zad2ZYq https://pbs.twimg.com/media/FzzmK8qWYAAnn9o.jpg</t>
  </si>
  <si>
    <t>https://t.co/CO5jniufw0 https://pbs.twimg.com/media/FzzmDEWXsBgpUjj.jpg</t>
  </si>
  <si>
    <t>https://t.co/DQdo2mUW4Z https://pbs.twimg.com/media/Fzzl8fOXsAYLUio.jpg</t>
  </si>
  <si>
    <t>https://t.co/tUxm2zAemU https://pbs.twimg.com/media/FzzlEFMXsA4NST7.jpg</t>
  </si>
  <si>
    <t>https://t.co/5m9LC3ZqGC https://pbs.twimg.com/media/FzFYcpEWAAwi9LG.jpg</t>
  </si>
  <si>
    <t>https://t.co/mtAscV82wF https://pbs.twimg.com/media/FzAwTMRWcA8vlRd.jpg</t>
  </si>
  <si>
    <t>https://t.co/kTJZmUU02y https://pbs.twimg.com/media/FzAkduiX0AEGpxJ.jpg</t>
  </si>
  <si>
    <t>https://t.co/qDKjVxn64e https://pbs.twimg.com/media/FzAkQ96XoAAoOuQ.jpg</t>
  </si>
  <si>
    <t>https://t.co/jQPTJCGYax https://pbs.twimg.com/media/FzAiOx1XoAIP3rb.jpg</t>
  </si>
  <si>
    <t>https://t.co/O3DjaWd1u4 https://pbs.twimg.com/media/FzAaMQnXoAU9S_A.jpg</t>
  </si>
  <si>
    <t>https://t.co/rxCmAebWej https://pbs.twimg.com/media/Fx9celNWwAMkIPw.jpg</t>
  </si>
  <si>
    <t>https://t.co/4xDcA22BZL https://pbs.twimg.com/media/Fx9bfI0WAAYqc6c.jpg</t>
  </si>
  <si>
    <t>https://t.co/9jLDzd3nAD https://pbs.twimg.com/media/Fx9bXGDWIAA4Jer.jpg</t>
  </si>
  <si>
    <t>https://t.co/287zNr3QZ9 https://pbs.twimg.com/media/Fx9YUrhWAAQUWSr.jpg</t>
  </si>
  <si>
    <t>https://t.co/buGTpF32c7 https://pbs.twimg.com/media/FwhH77GWIAcC3gY.jpg</t>
  </si>
  <si>
    <t>https://t.co/DxhxWB8lgg https://pbs.twimg.com/media/FwhHDweXsAAo894.jpg</t>
  </si>
  <si>
    <t>https://t.co/EhskdpbCvY https://pbs.twimg.com/media/FwgR6HOWIAE5-L6.jpg</t>
  </si>
  <si>
    <t>https://t.co/AvSe9qkfi6 https://pbs.twimg.com/media/FwgRtmOXwAMoNe0.jpg</t>
  </si>
  <si>
    <t>https://t.co/GR95fmqtGA https://pbs.twimg.com/media/FwgRlCYXwAEQnzP.jpg</t>
  </si>
  <si>
    <t>https://t.co/3q6VU96qeP https://pbs.twimg.com/media/FwgRcg9XwBAxyYh.jpg</t>
  </si>
  <si>
    <t>https://t.co/AbT6vUPkiV https://pbs.twimg.com/media/FwMiG6QXoAA1W7X.jpg</t>
  </si>
  <si>
    <t>https://t.co/gF5IhwyKaD https://pbs.twimg.com/media/FwMhjx4WICgDKxd.jpg</t>
  </si>
  <si>
    <t>https://t.co/wPemu67ih6 https://pbs.twimg.com/media/FwMOvU3WYAUWOrk.jpg</t>
  </si>
  <si>
    <t>https://t.co/K31uRUGOb1 https://pbs.twimg.com/media/FwMOFgKWYAUtRSC.jpg</t>
  </si>
  <si>
    <t>https://t.co/Zbqz3DGzyR https://pbs.twimg.com/media/FwMN7glWYAk3Oh3.jpg</t>
  </si>
  <si>
    <t>https://t.co/qIGLT6SjLD https://pbs.twimg.com/media/FwMNzS6WYB8RR05.jpg</t>
  </si>
  <si>
    <t>https://t.co/k4OeLgkwPL https://pbs.twimg.com/media/FvTmRJ-X0AIAIJI.jpg</t>
  </si>
  <si>
    <t>https://t.co/E5weIrIY6O https://pbs.twimg.com/media/FvTlvtZX0AsX2I1.jpg</t>
  </si>
  <si>
    <t>https://t.co/ffr5ar0QR6 https://pbs.twimg.com/media/FvS8sylXgAI3jpW.jpg</t>
  </si>
  <si>
    <t>https://t.co/2plT7yz2Ph https://pbs.twimg.com/media/FvS8nv4WYAANcG0.jpg</t>
  </si>
  <si>
    <t>https://t.co/cIJPlr7I0k https://pbs.twimg.com/media/FvS8cPGWIAAMBkd.jpg</t>
  </si>
  <si>
    <t>https://t.co/IdGo68Y7s1 https://pbs.twimg.com/media/FvSw6WWWYAAGvdo.jpg</t>
  </si>
  <si>
    <t>https://t.co/Vei9Nvllqu https://pbs.twimg.com/media/FvOaTU6WIBkx_Ol.jpg</t>
  </si>
  <si>
    <t>https://t.co/2edvljbBhc https://pbs.twimg.com/media/FvOF0DQXsAorZXa.jpg</t>
  </si>
  <si>
    <t>https://t.co/jorYjmXoxp https://pbs.twimg.com/media/FvOFs4pXsAgrXVG.jpg</t>
  </si>
  <si>
    <t>https://t.co/u4dvhAdvEE https://pbs.twimg.com/media/FvOFftiWwAA7-BX.jpg</t>
  </si>
  <si>
    <t>https://t.co/1qSxCjdVqi https://pbs.twimg.com/media/FvOFYQ2XsAw24b3.jpg</t>
  </si>
  <si>
    <t>https://t.co/dWDllZxaV1 https://pbs.twimg.com/media/FvOFRmuXsBMlRLv.jpg</t>
  </si>
  <si>
    <t>https://t.co/rjGgn0Dg1e https://pbs.twimg.com/media/FuBYdtqXwAkhfFO.jpg</t>
  </si>
  <si>
    <t>https://t.co/kTBgaFY117 https://pbs.twimg.com/media/FuBYVSVWwAIC-LS.jpg</t>
  </si>
  <si>
    <t>https://t.co/Pygh6J2ogN https://pbs.twimg.com/media/FuA8kt8WAAMoynq.jpg</t>
  </si>
  <si>
    <t>https://t.co/IQEyIhZdoZ https://pbs.twimg.com/media/FuA8caFWcAExDNP.jpg</t>
  </si>
  <si>
    <t>https://t.co/gOHwmkihvZ https://pbs.twimg.com/media/FuA8QjyWYAA6QVo.jpg</t>
  </si>
  <si>
    <t>https://t.co/38iwSPX5TB https://pbs.twimg.com/media/Fs42lKTWIA080vm.jpg</t>
  </si>
  <si>
    <t>https://t.co/cF4UrWFqN7 https://pbs.twimg.com/media/Fs42eCIX0AAoL8x.jpg</t>
  </si>
  <si>
    <t>https://t.co/6hrOIqsHWj https://pbs.twimg.com/media/Fs42UE0XgAAxk_K.jpg</t>
  </si>
  <si>
    <t>https://t.co/uszHC6znvL https://pbs.twimg.com/media/Fs41_mWWIA0xKgA.jpg</t>
  </si>
  <si>
    <t>https://t.co/FBKY3Bj4B7 https://pbs.twimg.com/media/Fs41z7bXgAEO9Lk.jpg</t>
  </si>
  <si>
    <t>https://t.co/RzsFdTszeJ https://pbs.twimg.com/media/Fszo3aaXwAsWVXJ.jpg</t>
  </si>
  <si>
    <t>https://t.co/EBa4SCRik2 https://pbs.twimg.com/media/FszoxPpXwB03i0q.jpg</t>
  </si>
  <si>
    <t>https://t.co/ulcGKdFlGT https://pbs.twimg.com/media/FszCpXgXwAArtcA.jpg</t>
  </si>
  <si>
    <t>https://t.co/ABdhSZ2td7 https://pbs.twimg.com/media/FszCgpeWAAM6xLg.jpg</t>
  </si>
  <si>
    <t>https://t.co/k02ldTmOKJ https://pbs.twimg.com/media/FszBth6WcAQK21p.jpg</t>
  </si>
  <si>
    <t>https://t.co/c2CK80MKi0 https://pbs.twimg.com/media/FrXdN23XsAA-hlA.jpg</t>
  </si>
  <si>
    <t>https://t.co/qUyZQ4buqJ https://pbs.twimg.com/media/FrXdAppWIBciZar.jpg</t>
  </si>
  <si>
    <t>https://t.co/hHwrZknK4K https://pbs.twimg.com/media/FrXc2BfWIBAV2Ej.jpg</t>
  </si>
  <si>
    <t>https://t.co/1M8tk2CJfK https://pbs.twimg.com/media/FrXcpyHWIAItPqA.jpg</t>
  </si>
  <si>
    <t>https://t.co/c7ghwysTqM https://pbs.twimg.com/media/FrR_7u2WcAAP1Zw.jpg</t>
  </si>
  <si>
    <t>https://t.co/Uh98lHZtCe https://pbs.twimg.com/media/FrR_ViHXgAAsOHj.jpg</t>
  </si>
  <si>
    <t>https://t.co/v9pOWfbBM8 https://pbs.twimg.com/media/FrR_VmkXsAIB0AU.jpg</t>
  </si>
  <si>
    <t>https://t.co/CLTLd7BVL7 https://pbs.twimg.com/media/FrR-Ym-XoAEW7yS.jpg</t>
  </si>
  <si>
    <t>https://t.co/t3NiIySTbV https://pbs.twimg.com/media/F0INLUwXsBUtFP2.jpg</t>
  </si>
  <si>
    <t>https://t.co/09LPZ3EwjG https://pbs.twimg.com/media/F0IM8V8XsBoTW4W.jpg</t>
  </si>
  <si>
    <t>https://t.co/svW3BmrDtw https://pbs.twimg.com/media/F0IM03hXsCo5_RM.jpg</t>
  </si>
  <si>
    <t>https://t.co/4oYH5268Qc https://pbs.twimg.com/media/FycfhKVXoAQMS2S.jpg</t>
  </si>
  <si>
    <t>https://t.co/oVXnXYvdgO https://pbs.twimg.com/media/FycfZbvWYA8pWdW.jpg</t>
  </si>
  <si>
    <t>https://t.co/N296sErNxW https://pbs.twimg.com/media/FycfOKvX0AAVqqG.jpg</t>
  </si>
  <si>
    <t>https://t.co/7YHAAEQ5xW https://pbs.twimg.com/media/FycfFF7WcAAIO9k.jpg</t>
  </si>
  <si>
    <t>https://t.co/ZtDoBgWqQC https://pbs.twimg.com/media/FycezN5WYAM3Kgr.jpg</t>
  </si>
  <si>
    <t>https://t.co/YQ9rsHMDh9 https://pbs.twimg.com/media/Fybvza7WIAAQy7R.jpg</t>
  </si>
  <si>
    <t>https://t.co/nbE5mICEaW https://pbs.twimg.com/media/FybvqTvWcAA8Aik.jpg</t>
  </si>
  <si>
    <t>https://t.co/xwjMZdUCsl https://pbs.twimg.com/media/Fw0o0zFXsAYD3W8.jpg</t>
  </si>
  <si>
    <t>https://t.co/eOii0OMesq https://pbs.twimg.com/media/Fw0oqytWYAEZoAA.jpg</t>
  </si>
  <si>
    <t>https://t.co/8Zy1whO0yI https://pbs.twimg.com/media/Fw0oaqLXoAA40RG.jpg</t>
  </si>
  <si>
    <t>https://t.co/7pbXPSovFi https://pbs.twimg.com/media/FwwCD6GXwAAK5Ut.jpg</t>
  </si>
  <si>
    <t>https://t.co/4rrXCjt4QZ https://pbs.twimg.com/media/FwwBoyyWIA0u1lk.jpg</t>
  </si>
  <si>
    <t>https://t.co/8lS1DkCrdf https://pbs.twimg.com/media/FwvkKnzXwAE4ywp.jpg</t>
  </si>
  <si>
    <t>https://t.co/0voxg5ean9 https://pbs.twimg.com/media/FwvkBMrX0AAUdiL.jpg</t>
  </si>
  <si>
    <t>https://t.co/r25WFhCpPO https://pbs.twimg.com/media/Fwvgr7NWcAAm_Ey.jpg</t>
  </si>
  <si>
    <t>https://t.co/XrnNUNppMa https://pbs.twimg.com/media/FwvdeQMX0AwLY6O.jpg</t>
  </si>
  <si>
    <t>https://t.co/tiBO7lnC1A https://pbs.twimg.com/media/FugXMLxWIBYFUgV.jpg</t>
  </si>
  <si>
    <t>https://t.co/UX89VMTNGq https://pbs.twimg.com/media/FugXD6lWIBgDxGC.jpg</t>
  </si>
  <si>
    <t>https://t.co/9HCR1MRWut https://pbs.twimg.com/media/FufTps7WwAQFtbQ.jpg</t>
  </si>
  <si>
    <t>https://t.co/MMQpiQNtSd https://pbs.twimg.com/media/FufTequXwAINSGK.jpg</t>
  </si>
  <si>
    <t>https://t.co/OslA9uzfH0 https://pbs.twimg.com/media/FufQFINXgAEhwf_.jpg</t>
  </si>
  <si>
    <t>https://t.co/5G98AXk4aS https://pbs.twimg.com/media/FufP-pxWIAEB5wR.jpg</t>
  </si>
  <si>
    <t>https://t.co/TRT8si1hsJ https://pbs.twimg.com/media/FuLr5ZoWcAsNYOD.jpg</t>
  </si>
  <si>
    <t>https://t.co/9PESmCRy85 https://pbs.twimg.com/media/FuLrjeZWwAEwMqq.jpg</t>
  </si>
  <si>
    <t>https://t.co/2br9q8b1X3 https://pbs.twimg.com/media/FuLrcfHWcAstLHb.jpg</t>
  </si>
  <si>
    <t>https://t.co/pL7JOuXIxK https://pbs.twimg.com/media/FuKlzfkWwAAYOrs.jpg</t>
  </si>
  <si>
    <t>https://t.co/DRIoUhPCwd https://pbs.twimg.com/media/FuKgDZ_XwAAjbO6.jpg</t>
  </si>
  <si>
    <t>https://t.co/mAmrCQFSTY https://pbs.twimg.com/media/FsfDsSQWYAELMm-.jpg</t>
  </si>
  <si>
    <t>https://t.co/8fkK9Djh9m https://pbs.twimg.com/media/FsfDa40XwAAYCND.jpg</t>
  </si>
  <si>
    <t>https://t.co/pMjsyjly3h https://pbs.twimg.com/media/FsfDQpGWcAEsDaM.jpg</t>
  </si>
  <si>
    <t>https://t.co/5zm9GfdIz0 https://pbs.twimg.com/media/Fse_bIiWYAAXsKq.jpg</t>
  </si>
  <si>
    <t>https://t.co/Pp6xaaxA1L https://pbs.twimg.com/media/Fse_U-QXsAMTB9Q.jpg</t>
  </si>
  <si>
    <t>https://t.co/rEALm65pQT https://pbs.twimg.com/media/Fse_PTeXsBgx9wQ.jpg</t>
  </si>
  <si>
    <t>https://t.co/QkPJaLYVM3 https://pbs.twimg.com/media/FsaFjRvWABAI0zG.jpg</t>
  </si>
  <si>
    <t>https://t.co/IAofH7VQe8 https://pbs.twimg.com/media/FsaFhTWWAAgWE8n.jpg</t>
  </si>
  <si>
    <t>https://t.co/DxGwrOHd8e https://pbs.twimg.com/media/FsaFNgEWABAM4QY.jpg</t>
  </si>
  <si>
    <t>https://t.co/lwyXL0IWIr https://pbs.twimg.com/media/FsaAR8rWIAElGF6.jpg</t>
  </si>
  <si>
    <t>https://t.co/Q5FNSKu8NN https://pbs.twimg.com/media/FsaAIifWAAAOEFL.jpg</t>
  </si>
  <si>
    <t>https://t.co/Fy0g7952vH https://pbs.twimg.com/media/FsaAArYXgAIRaXL.jpg</t>
  </si>
  <si>
    <t>https://t.co/ZtoLxwjBDD https://pbs.twimg.com/media/F1BTQLVWwBMwnKR.jpg</t>
  </si>
  <si>
    <t>https://t.co/Epb7AUIsvw https://pbs.twimg.com/media/F1BTH1PWwAAFsMZ.jpg</t>
  </si>
  <si>
    <t>https://t.co/ORW1xXCHuL https://pbs.twimg.com/media/F1AZ-AuWcAEe1r3.jpg</t>
  </si>
  <si>
    <t>https://t.co/WOfFuUi1vF https://pbs.twimg.com/media/F1AZ1BpWcAI4xeK.jpg</t>
  </si>
  <si>
    <t>https://t.co/7jxUJF1P5w https://pbs.twimg.com/media/F079tNUWIAgouA0.jpg</t>
  </si>
  <si>
    <t>https://t.co/g6EWKtiey3 https://pbs.twimg.com/media/Fzu__EhWIAApIpQ.jpg</t>
  </si>
  <si>
    <t>https://t.co/PiE4tlvKRO https://pbs.twimg.com/media/Fzu_EZrWIAo-eWv.jpg</t>
  </si>
  <si>
    <t>https://t.co/yzN6KA4pTm https://pbs.twimg.com/media/FzuSQP3XoAMdY5u.jpg</t>
  </si>
  <si>
    <t>https://t.co/FCW6s11a2X https://pbs.twimg.com/media/FzuRiiuXsAAuMmF.jpg</t>
  </si>
  <si>
    <t>https://t.co/KjbUAlyFRU https://pbs.twimg.com/media/FzuQoezWwAIh9yh.jpg</t>
  </si>
  <si>
    <t>https://t.co/PXB3FosMw0 https://pbs.twimg.com/media/Fzp7CjeXoAA9kjV.jpg</t>
  </si>
  <si>
    <t>https://t.co/sWFuMXtY0f https://pbs.twimg.com/media/FzpYt6KWcAEYOxi.jpg</t>
  </si>
  <si>
    <t>https://t.co/zfo5Hdcity https://pbs.twimg.com/media/FzpYb26XgAAGX7L.jpg</t>
  </si>
  <si>
    <t>https://t.co/PkASmzf6kL https://pbs.twimg.com/media/FzknFTtWcAIesma.jpg</t>
  </si>
  <si>
    <t>https://t.co/PkdUKgQDEc https://pbs.twimg.com/media/FzkmxjUWcAsHXAz.jpg</t>
  </si>
  <si>
    <t>https://t.co/oncZpZijUY https://pbs.twimg.com/media/Fzjv6pdWwAAsnBc.jpg</t>
  </si>
  <si>
    <t>https://t.co/Etbp9f8XuX https://pbs.twimg.com/media/FzjvcVWWIAEEJoq.jpg</t>
  </si>
  <si>
    <t>https://t.co/UZSdILjCE8 https://pbs.twimg.com/media/FzjvZQLXoAMF_-h.jpg</t>
  </si>
  <si>
    <t>https://t.co/sAFq9Q0gIk https://pbs.twimg.com/media/FyNE95MX0AopIos.jpg</t>
  </si>
  <si>
    <t>https://t.co/rC4b7y4Qrt https://pbs.twimg.com/media/FyNEFesXgAEJZi0.jpg</t>
  </si>
  <si>
    <t>https://t.co/KmBYjyvN7I https://pbs.twimg.com/media/FyNDnTPX0AM_eG3.jpg</t>
  </si>
  <si>
    <t>https://t.co/6SFlcl1M6E https://pbs.twimg.com/media/FyNDcurX0Bc3CAr.jpg</t>
  </si>
  <si>
    <t>https://t.co/2PoPwueY2H https://pbs.twimg.com/media/FyNDRvGWYAI1qLe.jpg</t>
  </si>
  <si>
    <t>https://t.co/Kcmyw91b9E https://pbs.twimg.com/media/FyCmW32WwAAkmeU.jpg</t>
  </si>
  <si>
    <t>https://t.co/dwKp0R8tak https://pbs.twimg.com/media/FyCl8rJWIA4dhnt.jpg</t>
  </si>
  <si>
    <t>https://t.co/MObQCRTDv6 https://pbs.twimg.com/media/FyCl0n4WIAEQNus.jpg</t>
  </si>
  <si>
    <t>https://t.co/W8mQ89WAu3 https://pbs.twimg.com/media/FyCloQFWIBEXZJl.jpg</t>
  </si>
  <si>
    <t>https://t.co/nyIpX9xC7H https://pbs.twimg.com/media/FyClfsVWICEcr3N.jpg</t>
  </si>
  <si>
    <t>https://t.co/bC8qluAnVk https://pbs.twimg.com/media/Fv82t8IX0AcVHae.jpg</t>
  </si>
  <si>
    <t>https://t.co/FTBUu4zzKP https://pbs.twimg.com/media/Fv82n8HX0A44zds.jpg</t>
  </si>
  <si>
    <t>https://t.co/aHUyuEE2sr https://pbs.twimg.com/media/Fv8GH4KX0AMGiZj.jpg</t>
  </si>
  <si>
    <t>https://t.co/LxR10Sewso https://pbs.twimg.com/media/Fv8F-9eWAAA448w.jpg</t>
  </si>
  <si>
    <t>https://t.co/BOGAreceJ6 https://pbs.twimg.com/media/Fv8F5l2XgAAT6yN.jpg</t>
  </si>
  <si>
    <t>https://t.co/Y2EdJpsaQM https://pbs.twimg.com/media/Fv8FzHZWYAIkf0o.jpg</t>
  </si>
  <si>
    <t>https://t.co/3LR8yzmmcy https://pbs.twimg.com/media/Fv322wCWcAAKmKJ.jpg</t>
  </si>
  <si>
    <t>https://t.co/QtKZkzU75l https://pbs.twimg.com/media/Fv3S1BCXwAM__6g.jpg</t>
  </si>
  <si>
    <t>https://t.co/ZpYZhoFJoA https://pbs.twimg.com/media/Fv3SMYlXwAcYhIC.jpg</t>
  </si>
  <si>
    <t>https://t.co/Fzt0uUpW4L https://pbs.twimg.com/media/Fv3SGW4XwB8CLQP.jpg</t>
  </si>
  <si>
    <t>https://t.co/c61LHOaOj7 https://pbs.twimg.com/media/Fv3R5jxXwAQlmMB.jpg</t>
  </si>
  <si>
    <t>https://t.co/KQWx4cR4IA https://pbs.twimg.com/media/Fv3R0lVXwAYvFsy.jpg</t>
  </si>
  <si>
    <t>https://t.co/QsM7aoG2Qs https://pbs.twimg.com/media/Ft8AJRrWcA4SvPq.jpg</t>
  </si>
  <si>
    <t>https://t.co/elcfv4Vsz7 https://pbs.twimg.com/media/Ft7_9mPWcBUlcJb.jpg</t>
  </si>
  <si>
    <t>https://t.co/5eRsR11VhQ https://pbs.twimg.com/media/Ft74V30XgAAjh7C.jpg</t>
  </si>
  <si>
    <t>https://t.co/RVi8D6DqW8 https://pbs.twimg.com/media/Ft72RRnXwAwsWYR.jpg</t>
  </si>
  <si>
    <t>https://t.co/zP79PJPp7c https://pbs.twimg.com/media/Ft72FQOXgAQcrP8.jpg</t>
  </si>
  <si>
    <t>https://t.co/YGah1LYmwp https://pbs.twimg.com/media/Ft719lKWcAM92Eb.jpg</t>
  </si>
  <si>
    <t>https://t.co/f2C8vfg23p https://pbs.twimg.com/media/FsAGjxkXwB0ctdZ.jpg</t>
  </si>
  <si>
    <t>https://t.co/vURrwSluaV https://pbs.twimg.com/media/FsAGYV9XwAg5wRs.jpg</t>
  </si>
  <si>
    <t>https://t.co/lpiUbT5BR8 https://pbs.twimg.com/media/Fr7Xe3xXsAAbu0H.jpg</t>
  </si>
  <si>
    <t>https://t.co/9k23ezGwMk https://pbs.twimg.com/media/Fr7TIszX0AINYBP.jpg</t>
  </si>
  <si>
    <t>https://t.co/WiPnx6Zp8L https://pbs.twimg.com/media/Fr7TAO-WYAASVx1.jpg</t>
  </si>
  <si>
    <t>https://t.co/jnUFA4rbcu https://pbs.twimg.com/media/Fr7SinSX0A8w-uR.jpg</t>
  </si>
  <si>
    <t>https://t.co/advIyf6lMq https://pbs.twimg.com/media/Fr7SZoUX0BQ3yco.jpg</t>
  </si>
  <si>
    <t>https://t.co/aomeCrKku0 https://pbs.twimg.com/media/Fr2GX82XwAYZU_Y.jpg</t>
  </si>
  <si>
    <t>https://t.co/4Mgj3tQCYJ https://pbs.twimg.com/media/Fr2GPZFWcAAmSqd.jpg</t>
  </si>
  <si>
    <t>https://t.co/Fyof4Izrvt https://pbs.twimg.com/media/Fr2GIzIWYAE4orn.jpg</t>
  </si>
  <si>
    <t>https://t.co/8kyGlwqRNT https://pbs.twimg.com/media/Fr2F6RvXsAQQCtL.jpg</t>
  </si>
  <si>
    <t>https://t.co/HBvPq8HwR7 https://pbs.twimg.com/media/Fr2F0BVWIB0YMbj.jpg</t>
  </si>
  <si>
    <t>https://t.co/tmKKQyRlHj https://pbs.twimg.com/media/Fr2Fh3pWIA0pM16.jpg</t>
  </si>
  <si>
    <t>https://t.co/YFf4S5xvQq https://pbs.twimg.com/media/FrxSRihX0BgiDi-.jpg</t>
  </si>
  <si>
    <t>https://t.co/OnLQy4y9Yo https://pbs.twimg.com/media/FrxGerHX0AMwKZT.jpg</t>
  </si>
  <si>
    <t>https://t.co/lSoKbQclXX https://pbs.twimg.com/media/FrxGdcvWcAAmpVV.jpg</t>
  </si>
  <si>
    <t>https://t.co/7lkjkIIukG https://pbs.twimg.com/media/FrxGMYpX0A85Yl8.jpg</t>
  </si>
  <si>
    <t>https://t.co/2nzEEC8b0M https://pbs.twimg.com/media/FrxGD2cXgAAYzfM.jpg</t>
  </si>
  <si>
    <t>https://t.co/cTKAUXCAG8 https://pbs.twimg.com/media/FrxF5PGX0BMYXVg.jpg</t>
  </si>
  <si>
    <t>https://t.co/2uaeoTDuxi https://pbs.twimg.com/media/Frr-CmpX0AEyV4s.jpg</t>
  </si>
  <si>
    <t>https://t.co/nnTTDDTtN5 https://pbs.twimg.com/media/FrronUkWIA4w1G_.jpg</t>
  </si>
  <si>
    <t>https://t.co/TUhGkxEtDJ https://pbs.twimg.com/media/Frrob9RWIAcLjAN.jpg</t>
  </si>
  <si>
    <t>https://t.co/cdxU8JKQap https://pbs.twimg.com/media/FrroW02WIA0sKnk.jpg</t>
  </si>
  <si>
    <t>https://t.co/p1cTNZnu1K https://pbs.twimg.com/media/Frrn4dCXoAAnvqM.jpg</t>
  </si>
  <si>
    <t>https://t.co/r4MCsJSVoI https://pbs.twimg.com/media/FrrnsJGWYAAq95u.jpg</t>
  </si>
  <si>
    <t>https://t.co/Si1JjAF2vJ https://pbs.twimg.com/media/F079kYuXoAAz0t1.jpg</t>
  </si>
  <si>
    <t>https://t.co/hepUB4xDpR https://pbs.twimg.com/media/F079fPaWIAEKJpe.jpg</t>
  </si>
  <si>
    <t>https://t.co/SjPQiUbFET https://pbs.twimg.com/media/F079Qi2WIAwQZl4.jpg</t>
  </si>
  <si>
    <t>https://t.co/AI0RuQXrlz https://pbs.twimg.com/media/F02is_HXwA0Pafj.jpg</t>
  </si>
  <si>
    <t>https://t.co/PEMyFTejje https://pbs.twimg.com/media/F02inmxWAAA_6JN.jpg</t>
  </si>
  <si>
    <t>https://t.co/mzln5sGP1V https://pbs.twimg.com/media/F02ihR2XoAAJwmt.jpg</t>
  </si>
  <si>
    <t>https://t.co/iJxCHtKnSU https://pbs.twimg.com/media/F02iaaDXwBMO6lG.jpg</t>
  </si>
  <si>
    <t>https://t.co/Ntbtox5NTO https://pbs.twimg.com/media/F0tKw2XWAAAdZjA.jpg</t>
  </si>
  <si>
    <t>https://t.co/iGOqR5QYYd https://pbs.twimg.com/media/F0tKolxX0AQVE_T.jpg</t>
  </si>
  <si>
    <t>https://t.co/0zTfmdzpkS https://pbs.twimg.com/media/F0tKi8EWwAE8Gg9.jpg</t>
  </si>
  <si>
    <t>https://t.co/c0n6fPGEYM https://pbs.twimg.com/media/F0tKciEWcAQ6xX3.jpg</t>
  </si>
  <si>
    <t>https://t.co/vBtktY6nBW https://pbs.twimg.com/media/F0tKcgGWcAM_-G9.jpg</t>
  </si>
  <si>
    <t>https://t.co/DK7S9CumNU https://pbs.twimg.com/media/FxodpBdWAAwDXT6.jpg</t>
  </si>
  <si>
    <t>https://t.co/Vwz5Te0Qka https://pbs.twimg.com/media/FxocXAzXoAEhQNw.jpg</t>
  </si>
  <si>
    <t>https://t.co/tin8uWJtov https://pbs.twimg.com/media/Fxjq8MqX0AA3-ZJ.jpg</t>
  </si>
  <si>
    <t>https://t.co/ofwMYbU3vH https://pbs.twimg.com/media/Fxjq1lMXsAIBxVs.jpg</t>
  </si>
  <si>
    <t>https://t.co/J80U4RzbFQ https://pbs.twimg.com/media/FxjqoG8WIAw37J6.jpg</t>
  </si>
  <si>
    <t>https://t.co/HrqWQudlbj https://pbs.twimg.com/media/FxjqfjtWIAYPIG6.jpg</t>
  </si>
  <si>
    <t>https://t.co/GpxnX6i4Au https://pbs.twimg.com/media/FxjdFsIXwCMBrbz.jpg</t>
  </si>
  <si>
    <t>https://t.co/ixHt78Afa1 https://pbs.twimg.com/media/Fxjc2giXwCoZufj.jpg</t>
  </si>
  <si>
    <t>https://t.co/espF1D3Vnc https://pbs.twimg.com/media/Fxer2HlWAAccY89.jpg</t>
  </si>
  <si>
    <t>https://t.co/EB74wtBmzg https://pbs.twimg.com/media/FxersmWWIAgsYx1.jpg</t>
  </si>
  <si>
    <t>https://t.co/uL4oZhWLbo https://pbs.twimg.com/media/FxZZgEKXoAEbWAq.jpg</t>
  </si>
  <si>
    <t>https://t.co/DFd80Q8Hrc https://pbs.twimg.com/media/FxZZXI1XwAI4Wiv.jpg</t>
  </si>
  <si>
    <t>https://t.co/xqvbHf12E7 https://pbs.twimg.com/media/FxZZOIRWIAAHYz9.jpg</t>
  </si>
  <si>
    <t>https://t.co/6qTbVozCzC https://pbs.twimg.com/media/FxZZFxsWcAA2Tfs.jpg</t>
  </si>
  <si>
    <t>https://t.co/NsnjFEWct1 https://pbs.twimg.com/media/FxZY25oWwAAjaMB.jpg</t>
  </si>
  <si>
    <t>https://t.co/gzx0l2d99R https://pbs.twimg.com/media/FvY4TGiX0AMrHZe.jpg</t>
  </si>
  <si>
    <t>https://t.co/ix4wgtoAWK https://pbs.twimg.com/media/FvY4N4fWAAES5cR.jpg</t>
  </si>
  <si>
    <t>https://t.co/wEl1pxouki https://pbs.twimg.com/media/FvYdvF2XsAAf9SG.jpg</t>
  </si>
  <si>
    <t>https://t.co/DtieI89RHn https://pbs.twimg.com/media/FvYAteeWIAAHrEW.jpg</t>
  </si>
  <si>
    <t>https://t.co/C0rCR0izsF https://pbs.twimg.com/media/FvYAnATXwAAZUGS.jpg</t>
  </si>
  <si>
    <t>https://t.co/DLKxG8u7r6 https://pbs.twimg.com/media/FvX4SJjXsAAhNF-.jpg</t>
  </si>
  <si>
    <t>https://t.co/R8ruaL29s1 https://pbs.twimg.com/media/FtiUM1UWYAMT4tu.jpg</t>
  </si>
  <si>
    <t>https://t.co/c5ILhvIpkF https://pbs.twimg.com/media/FtiUGzNWAAgZvXX.jpg</t>
  </si>
  <si>
    <t>https://t.co/E1Js4fXz1s https://pbs.twimg.com/media/FtiRQ2lWAAAoWCV.jpg</t>
  </si>
  <si>
    <t>https://t.co/WwMGE7aomH https://pbs.twimg.com/media/FtiRBp0WcAI3F_I.jpg</t>
  </si>
  <si>
    <t>https://t.co/kEHCDkoT9C https://pbs.twimg.com/media/FtdR9mJXwAQ1cjR.jpg</t>
  </si>
  <si>
    <t>https://t.co/9UVhBKZyMf https://pbs.twimg.com/media/FtdRo1eXwAIPyk-.jpg</t>
  </si>
  <si>
    <t>https://t.co/s1gGUINCOW https://pbs.twimg.com/media/FtdFPKTX0BE0mmv.jpg</t>
  </si>
  <si>
    <t>https://t.co/5PKjL9Id5C https://pbs.twimg.com/media/FtdFANoX0BcvXtt.jpg</t>
  </si>
  <si>
    <t>https://t.co/GOplDcHF0Y https://pbs.twimg.com/media/FtdEogFX0AQpkH5.jpg</t>
  </si>
  <si>
    <t>https://t.co/mSqvSW6fzD https://pbs.twimg.com/media/FtX0jdiWwAA-5da.jpg</t>
  </si>
  <si>
    <t>https://t.co/sYbIiFwS6J https://pbs.twimg.com/media/FtX0cAVXoAEXRgX.jpg</t>
  </si>
  <si>
    <t>https://t.co/S2lw8FwHiP https://pbs.twimg.com/media/FtXteL-XoAMUglV.jpg</t>
  </si>
  <si>
    <t>https://t.co/2cCITURVYw https://pbs.twimg.com/media/FtXRYNjWYAAq0t-.jpg</t>
  </si>
  <si>
    <t>https://t.co/oYN1eDUaSJ https://pbs.twimg.com/media/FtXRO0MXwAMI1qh.jpg</t>
  </si>
  <si>
    <t>https://t.co/oFEPQA6Za5 https://pbs.twimg.com/media/FtDe8pKX0B8RsNK.jpg</t>
  </si>
  <si>
    <t>https://t.co/OEGeOENXws https://pbs.twimg.com/media/FtCw1udXsAAeM-f.jpg</t>
  </si>
  <si>
    <t>https://t.co/OVyTiIfprP https://pbs.twimg.com/media/FtCsWYrXoAIu3gW.jpg</t>
  </si>
  <si>
    <t>https://t.co/vQNHIZ2FIv https://pbs.twimg.com/media/FtCsMzpWIAEi7ka.jpg</t>
  </si>
  <si>
    <t>https://t.co/vMIj83l6Mt https://pbs.twimg.com/media/FtCr9HlWcAAi60i.jpg</t>
  </si>
  <si>
    <t>https://t.co/RMf4P5j711 https://pbs.twimg.com/media/Fs-ZfEbWYAA1eAj.jpg</t>
  </si>
  <si>
    <t>https://t.co/ZwAS1WIVOI https://pbs.twimg.com/media/Fs-Q8VDWcAAOo3B.jpg</t>
  </si>
  <si>
    <t>https://t.co/t0FSpRsQ91 https://pbs.twimg.com/media/Fs-Q1Y-WAAgB2q9.jpg</t>
  </si>
  <si>
    <t>https://t.co/THESyK1PFF https://pbs.twimg.com/media/Fs-QgwxWAAAxwU1.jpg</t>
  </si>
  <si>
    <t>https://t.co/fByRQjhDn4 https://pbs.twimg.com/media/Fs-QKgDWYBgmMFI.jpg</t>
  </si>
  <si>
    <t>https://t.co/dEK9bIWamB https://pbs.twimg.com/media/F1VvzedWAA8V9Ck.jpg</t>
  </si>
  <si>
    <t>https://t.co/0f4xNjmEX6 https://pbs.twimg.com/media/F1VYFPHXwAEn8gB.jpg</t>
  </si>
  <si>
    <t>https://t.co/xXdutaZX5v https://pbs.twimg.com/media/F1VXPHSXwBAS0sR.jpg</t>
  </si>
  <si>
    <t>https://t.co/yLqhmdbb4W https://pbs.twimg.com/media/F0cxa7cXoA4wFnm.jpg</t>
  </si>
  <si>
    <t>https://t.co/Es7WclPlU1 https://pbs.twimg.com/media/F0cxQklXgAEjtG1.jpg</t>
  </si>
  <si>
    <t>https://t.co/9UxxBXPmKX https://pbs.twimg.com/media/F0XyG5LWYAAeRyJ.jpg</t>
  </si>
  <si>
    <t>https://t.co/7JHMmkweD9 https://pbs.twimg.com/media/F0Xx-PuWYAYhkzx.jpg</t>
  </si>
  <si>
    <t>https://t.co/0OdVd193xk https://pbs.twimg.com/media/F0XxvGdWYAgRzEZ.jpg</t>
  </si>
  <si>
    <t>https://t.co/3wWNE28PhR https://pbs.twimg.com/media/F0Xxnh7WwAEV2Vx.jpg</t>
  </si>
  <si>
    <t>https://t.co/Ppbt0VhjXO https://pbs.twimg.com/media/F0XxPPqWYAgie-H.jpg</t>
  </si>
  <si>
    <t>https://t.co/GWaVlYIGEb https://pbs.twimg.com/media/FyhCN5TWYAAGdmI.jpg</t>
  </si>
  <si>
    <t>https://t.co/uEfxlCQEDM https://pbs.twimg.com/media/FyhCGBYWwAEMB5M.jpg</t>
  </si>
  <si>
    <t>https://t.co/lanotTvfbI https://pbs.twimg.com/media/Fx4LXf0WwAAxOvl.jpg</t>
  </si>
  <si>
    <t>https://t.co/xaiZNXqjEn https://pbs.twimg.com/media/Fx4LNIaX0AQm1bQ.jpg</t>
  </si>
  <si>
    <t>https://t.co/7mCheSTZ9s https://pbs.twimg.com/media/Fx4Kw8wWAAER4tf.jpg</t>
  </si>
  <si>
    <t>https://t.co/f2i1RHXirx https://pbs.twimg.com/media/Fx4KbxkWAAEm78y.jpg</t>
  </si>
  <si>
    <t>https://t.co/IjAevZYJ2h https://pbs.twimg.com/media/FwboEeFXoBQjGmv.jpg</t>
  </si>
  <si>
    <t>https://t.co/WrD9qgE3U2 https://pbs.twimg.com/media/Fwbnq48WcAA8_LJ.jpg</t>
  </si>
  <si>
    <t>https://t.co/wClspsyS2i https://pbs.twimg.com/media/FwbnhjxXoBIryAK.jpg</t>
  </si>
  <si>
    <t>https://t.co/Zc2YJ4Jtsm https://pbs.twimg.com/media/FwbnQfLWAAE2fPy.jpg</t>
  </si>
  <si>
    <t>https://t.co/iSXmr1AIZq https://pbs.twimg.com/media/FwavzafaMAMe_GA.jpg</t>
  </si>
  <si>
    <t>https://t.co/0yhRbn7heU https://pbs.twimg.com/media/Fwavr4GagAUdLcD.jpg</t>
  </si>
  <si>
    <t>https://t.co/pSRxgKc4EE https://pbs.twimg.com/media/FwW1Z-gXoAMls6H.jpg</t>
  </si>
  <si>
    <t>https://t.co/ugSjr2kmxg https://pbs.twimg.com/media/FwWxDLYWcAQM8Dv.jpg</t>
  </si>
  <si>
    <t>https://t.co/iCJeOgd8O4 https://pbs.twimg.com/media/FwWWNcZWIAYNFEJ.jpg</t>
  </si>
  <si>
    <t>https://t.co/UNBoaSJ0CK https://pbs.twimg.com/media/FwWV5kPXoAEVmRh.jpg</t>
  </si>
  <si>
    <t>https://t.co/Wm5ghpg5W1 https://pbs.twimg.com/media/FwWVNSwWIAA0Ull.jpg</t>
  </si>
  <si>
    <t>https://t.co/099IQLUTGN https://pbs.twimg.com/media/FwWVHTPXoAMVF5H.jpg</t>
  </si>
  <si>
    <t>https://t.co/oLTQfVcUgG https://pbs.twimg.com/media/FvysiHEWYAE1aPF.jpg</t>
  </si>
  <si>
    <t>https://t.co/4ZpUZ1qyZm https://pbs.twimg.com/media/FvyTktwWcAgHq6c.jpg</t>
  </si>
  <si>
    <t>https://t.co/QxwoO7bSDU https://pbs.twimg.com/media/FvyTeDzWcA8qMs9.jpg</t>
  </si>
  <si>
    <t>https://t.co/ljStfoj8M2 https://pbs.twimg.com/media/FvyTYKmWwAElVGM.jpg</t>
  </si>
  <si>
    <t>https://t.co/dnemRdZugO https://pbs.twimg.com/media/FvyTQymXgAAfRLh.jpg</t>
  </si>
  <si>
    <t>https://t.co/Ml390LpsV0 https://pbs.twimg.com/media/FvyTKclXgAMyGwh.jpg</t>
  </si>
  <si>
    <t>https://t.co/DC9tdIbJ9P https://pbs.twimg.com/media/FvtVy1kXoB0zuH2.jpg</t>
  </si>
  <si>
    <t>https://t.co/RS6ApuN7ns https://pbs.twimg.com/media/FuGO5bNWYBEFMYU.jpg</t>
  </si>
  <si>
    <t>https://t.co/4v7RZwwmgO https://pbs.twimg.com/media/FuGOM_XWYBc5Osv.jpg</t>
  </si>
  <si>
    <t>https://t.co/CiqYf1kcRU https://pbs.twimg.com/media/FuFkCumXoAMjut4.jpg</t>
  </si>
  <si>
    <t>https://t.co/IMeoPnYMOF https://pbs.twimg.com/media/FuFj4eNWcAISQ63.jpg</t>
  </si>
  <si>
    <t>https://t.co/EtoJOevXiM https://pbs.twimg.com/media/FuFjyexWIAMIAiw.jpg</t>
  </si>
  <si>
    <t>https://t.co/NiuMAs1hAo https://pbs.twimg.com/media/FuFjrfcXgAAzn5N.jpg</t>
  </si>
  <si>
    <t>https://t.co/DUsgWvIxfK https://pbs.twimg.com/media/FsAsy44WYAUriJQ.jpg</t>
  </si>
  <si>
    <t>https://t.co/Bh6PZijT4z https://pbs.twimg.com/media/FsAspnPWYAAypfT.jpg</t>
  </si>
  <si>
    <t>https://t.co/RCiu35GZ5s https://pbs.twimg.com/media/FsAHt-TXwB0f73Z.jpg</t>
  </si>
  <si>
    <t>https://t.co/ZhtGcREt4B https://pbs.twimg.com/media/FsAG1k2WwAA69yN.jpg</t>
  </si>
  <si>
    <t>https://t.co/NEaeGd7VNg https://pbs.twimg.com/media/FsAGm8aXwBEi6v-.jpg</t>
  </si>
  <si>
    <t>https://t.co/fljAFScTuc https://pbs.twimg.com/media/F1f8j_qWIBAHvTt.jpg</t>
  </si>
  <si>
    <t>https://t.co/QIrQIZTOFj https://pbs.twimg.com/media/F1f8eOHWcAAW7-l.jpg</t>
  </si>
  <si>
    <t>https://t.co/1lihxW0c1s https://pbs.twimg.com/media/F1f8V-vXsAAOADH.jpg</t>
  </si>
  <si>
    <t>https://t.co/Z8jAz3CzKt https://pbs.twimg.com/media/Fz4ZR4CXwAADJ0l.jpg</t>
  </si>
  <si>
    <t>https://t.co/9EH2Rax5A9 https://pbs.twimg.com/media/Fz4ZLWUWYAEy9BD.jpg</t>
  </si>
  <si>
    <t>https://t.co/TGi9YtO8fj https://pbs.twimg.com/media/Fz4ZCagXsAER2Nv.jpg</t>
  </si>
  <si>
    <t>https://t.co/iamwPiyZiK https://pbs.twimg.com/media/Fz4Y41UWAAIc6DW.jpg</t>
  </si>
  <si>
    <t>https://t.co/NatW9jgoAT https://pbs.twimg.com/media/FzUhqR6WAAAvoI6.jpg</t>
  </si>
  <si>
    <t>https://t.co/6OppRPDrhN https://pbs.twimg.com/media/FzUhh7MXsAUxchw.jpg</t>
  </si>
  <si>
    <t>https://t.co/c9ffQJctSo https://pbs.twimg.com/media/FzUhYOLWwAIT8fT.jpg</t>
  </si>
  <si>
    <t>https://t.co/fZwk8wuhZS https://pbs.twimg.com/media/FzUhQiWX0AMNzRs.jpg</t>
  </si>
  <si>
    <t>https://t.co/FWaQH5sHYn https://pbs.twimg.com/media/FzP0m6pXgAYJtEW.jpg</t>
  </si>
  <si>
    <t>https://t.co/Slz1AE57Yt https://pbs.twimg.com/media/FzPxqQ1XgAcp80d.jpg</t>
  </si>
  <si>
    <t>https://t.co/M8U0EQhQiv https://pbs.twimg.com/media/FzPxigwXgB8ToWC.jpg</t>
  </si>
  <si>
    <t>https://t.co/7Z8WKz0vYZ https://pbs.twimg.com/media/FzPxVxsWcAINDJ8.jpg</t>
  </si>
  <si>
    <t>https://t.co/xqHhtqsM0h https://pbs.twimg.com/media/FzFZU7mWAA41-6m.jpg</t>
  </si>
  <si>
    <t>https://t.co/rGp3kaWmcs https://pbs.twimg.com/media/FzFY19iWAAkKG5p.jpg</t>
  </si>
  <si>
    <t>https://t.co/J5812JjhnP https://pbs.twimg.com/media/FzFYs2LWYAAJsmm.jpg</t>
  </si>
  <si>
    <t>https://t.co/GCelHwlLX3 https://pbs.twimg.com/media/FzFYlM4WAAgwI-L.jpg</t>
  </si>
  <si>
    <t>https://t.co/dfxckFay5L https://pbs.twimg.com/media/FxouFU9WwAAP2K3.jpg</t>
  </si>
  <si>
    <t>https://t.co/4ifK8PVaPP https://pbs.twimg.com/media/FxoeAjmXoAAZFqW.jpg</t>
  </si>
  <si>
    <t>https://t.co/qvNpq4FdGo https://pbs.twimg.com/media/FwRbrsCX0BAS7Rh.jpg</t>
  </si>
  <si>
    <t>https://t.co/t48zpPQ1Fw https://pbs.twimg.com/media/FwRZmXWWAAEZrAK.jpg</t>
  </si>
  <si>
    <t>https://t.co/m3Qgru8x8m https://pbs.twimg.com/media/FwRU5QLWYAc71gb.jpg</t>
  </si>
  <si>
    <t>https://t.co/fyoyP61XiV https://pbs.twimg.com/media/FwQkWRxaYAUOd-K.jpg</t>
  </si>
  <si>
    <t>https://t.co/oVfO6lvBQR https://pbs.twimg.com/media/FwQkPlWWYAAv_7Z.jpg</t>
  </si>
  <si>
    <t>https://t.co/2FSuea9F7G https://pbs.twimg.com/media/FvsqaYVaUAYuI7s.jpg</t>
  </si>
  <si>
    <t>https://t.co/mVcYHM5nnK https://pbs.twimg.com/media/FvsqHHfXgAAPsNT.jpg</t>
  </si>
  <si>
    <t>https://t.co/72u5t6ZVLG https://pbs.twimg.com/media/FvspqNZaYAMCStt.jpg</t>
  </si>
  <si>
    <t>https://t.co/cwKcnbcoom https://pbs.twimg.com/media/FvsnoTMagAI3G5r.jpg</t>
  </si>
  <si>
    <t>https://t.co/Vi7LMefMWh https://pbs.twimg.com/media/FvsnYo9aQAAKbx0.jpg</t>
  </si>
  <si>
    <t>https://t.co/wbXMVPlCQx https://pbs.twimg.com/media/FvsnS4CagAEEIFc.jpg</t>
  </si>
  <si>
    <t>https://t.co/bHkO3u4uck https://pbs.twimg.com/media/FvneHwuXgAQWrLL.jpg</t>
  </si>
  <si>
    <t>https://t.co/dff8Npc1n4 https://pbs.twimg.com/media/FvnaMFFXwAMjTSV.jpg</t>
  </si>
  <si>
    <t>https://t.co/OkXMB6urCL https://pbs.twimg.com/media/FvnZ66tXwAc07bx.jpg</t>
  </si>
  <si>
    <t>https://t.co/J7ClbhOCaN https://pbs.twimg.com/media/FvnZtAAWcAExFbD.jpg</t>
  </si>
  <si>
    <t>https://t.co/awBrDAxSWf https://pbs.twimg.com/media/Fts0R7nX0AYMqOX.jpg</t>
  </si>
  <si>
    <t>https://t.co/Fh1QKCFyfD https://pbs.twimg.com/media/FtszmUjX0Ag2Cv3.jpg</t>
  </si>
  <si>
    <t>https://t.co/bpnQEb8EgE https://pbs.twimg.com/media/Ftsy7HuWAAASyb2.jpg</t>
  </si>
  <si>
    <t>https://t.co/JT3d8Bhv3r https://pbs.twimg.com/media/Ftsyrm6X0AIuc1B.jpg</t>
  </si>
  <si>
    <t>https://t.co/eegGlvOC4b https://pbs.twimg.com/media/FtsykxfX0BcoPr6.jpg</t>
  </si>
  <si>
    <t>https://t.co/hHIkmSUNXh https://pbs.twimg.com/media/FtsybPaX0AQhzLG.jpg</t>
  </si>
  <si>
    <t>https://t.co/BIUP1rGwr6 https://pbs.twimg.com/media/FtneljRX0AkhKzn.jpg</t>
  </si>
  <si>
    <t>https://t.co/hiV94AGBjB https://pbs.twimg.com/media/FtneeFIX0AoTem0.jpg</t>
  </si>
  <si>
    <t>https://t.co/CIfJ6TKqtG https://pbs.twimg.com/media/FtneSjmXsAAlbpn.jpg</t>
  </si>
  <si>
    <t>https://t.co/2idFsObU7w https://pbs.twimg.com/media/FtneJ5LX0As8mYd.jpg</t>
  </si>
  <si>
    <t>https://t.co/pagnNxPuT6 https://pbs.twimg.com/media/FtnNUB5WAAAfFNl.jpg</t>
  </si>
  <si>
    <t>https://t.co/mXCmo7M95r https://pbs.twimg.com/media/FtnL1jSXgAYCq6q.jpg</t>
  </si>
  <si>
    <t>https://t.co/HDAcB0aZDn https://pbs.twimg.com/media/FtnLrxeXgAoBDnx.jpg</t>
  </si>
  <si>
    <t>https://t.co/qLnnYjBkYx https://pbs.twimg.com/media/FtiUeOXWAAAdQSZ.jpg</t>
  </si>
  <si>
    <t>https://t.co/91Zc58mZBY https://pbs.twimg.com/media/FtiUTAtWAA4gY5j.jpg</t>
  </si>
  <si>
    <t>https://t.co/kLDZNU5f2z https://pbs.twimg.com/media/FrcapvXWABsxRLK.jpg</t>
  </si>
  <si>
    <t>https://t.co/qh6NduZ4JQ https://pbs.twimg.com/media/FrcagosWABEysiL.jpg</t>
  </si>
  <si>
    <t>https://t.co/pCWi8wwEEw https://pbs.twimg.com/media/FrcZYB6WACQxlQr.jpg</t>
  </si>
  <si>
    <t>https://t.co/yw2dRep3dI https://pbs.twimg.com/media/Frb7VZPXwAgq325.jpg</t>
  </si>
  <si>
    <t>https://t.co/e0IMZUYEKL https://pbs.twimg.com/media/Frb29YfWIAMFeYT.jpg</t>
  </si>
  <si>
    <t>https://t.co/iv2yTmZXAP https://pbs.twimg.com/media/Frb2lx9XwAQA7wm.jpg</t>
  </si>
  <si>
    <t>https://t.co/raA6Z2PfPH https://pbs.twimg.com/media/FrXdpDnXoAIETGX.jpg</t>
  </si>
  <si>
    <t>https://t.co/UiYwS2Dwap https://pbs.twimg.com/media/FrXdfT1WIBEK33T.jpg</t>
  </si>
  <si>
    <t>https://t.co/CB7LcMHOUY https://pbs.twimg.com/media/F4ZuL4XW4AAB4BJ.jpg</t>
  </si>
  <si>
    <t>https://t.co/QXelzt7mae https://pbs.twimg.com/media/F0dCuOxWIAAAfvi.jpg</t>
  </si>
  <si>
    <t>https://t.co/TnelXqXdng https://pbs.twimg.com/media/FyxR6r-WIA0aBpE.jpg</t>
  </si>
  <si>
    <t>https://t.co/5XwUI9QF8W https://pbs.twimg.com/media/FyxRa7FWICIOuX-.jpg</t>
  </si>
  <si>
    <t>https://t.co/UH2g6HAQoO https://pbs.twimg.com/media/FyxPPjUWIBsPPEG.jpg</t>
  </si>
  <si>
    <t>https://t.co/RKZdALcNlt https://pbs.twimg.com/media/FywNj_uWIAA4off.jpg</t>
  </si>
  <si>
    <t>https://t.co/zsEjdskmiB https://pbs.twimg.com/media/FxUDpieWAB89rey.jpg</t>
  </si>
  <si>
    <t>https://t.co/ltIDqj5Qhw https://pbs.twimg.com/media/FxT9mEfWAAAOWw2.jpg</t>
  </si>
  <si>
    <t>https://t.co/QOCx3Q9Dbc https://pbs.twimg.com/media/FxTl7_2X0AEZFx3.jpg</t>
  </si>
  <si>
    <t>https://t.co/upYOyQkrEZ https://pbs.twimg.com/media/FxTly-jXoAIBCfU.jpg</t>
  </si>
  <si>
    <t>https://t.co/qz8TnLaBqK https://pbs.twimg.com/media/FxTeydhWAAEoEZX.jpg</t>
  </si>
  <si>
    <t>https://t.co/jjAdxAijFR https://pbs.twimg.com/media/FxFPpw3XoAAbCHw.jpg</t>
  </si>
  <si>
    <t>https://t.co/lHXXPB7z7N https://pbs.twimg.com/media/FxFOEM3X0AUBAgJ.jpg</t>
  </si>
  <si>
    <t>https://t.co/TA0WeV5jk1 https://pbs.twimg.com/media/FxETMU1XwAM_sWd.jpg</t>
  </si>
  <si>
    <t>https://t.co/mDvFPTLGnk https://pbs.twimg.com/media/FxEDhJiX0AUU_gM.jpg</t>
  </si>
  <si>
    <t>https://t.co/qtNItbZe2K https://pbs.twimg.com/media/FxEChyUWYAE77dw.jpg</t>
  </si>
  <si>
    <t>https://t.co/uuAnMhVMPJ https://pbs.twimg.com/media/FxECaHGWAAMkykv.jpg</t>
  </si>
  <si>
    <t>https://t.co/dK5goIHdkd https://pbs.twimg.com/media/FuvtV3GWcAYyr7Q.jpg</t>
  </si>
  <si>
    <t>https://t.co/vHKoFigUFN https://pbs.twimg.com/media/FuvQVJlWAAAshMM.jpg</t>
  </si>
  <si>
    <t>https://t.co/6UDiQXvp1u https://pbs.twimg.com/media/FuvQCCHWIAc2L6i.jpg</t>
  </si>
  <si>
    <t>https://t.co/6dgFxvD7TX https://pbs.twimg.com/media/Fuqf5WyWACAaTeQ.jpg</t>
  </si>
  <si>
    <t>https://t.co/22q4HA7kEV https://pbs.twimg.com/media/FuqfvQuWACwYGmf.jpg</t>
  </si>
  <si>
    <t>https://t.co/1NpN1w585I https://pbs.twimg.com/media/FuqfvFbWAB449Tg.jpg</t>
  </si>
  <si>
    <t>https://t.co/iJTG1XixL6 https://pbs.twimg.com/media/FupnngTXgAINMYm.jpg</t>
  </si>
  <si>
    <t>https://t.co/TOGmHiYonE https://pbs.twimg.com/media/FuplHQIXsAAH855.jpg</t>
  </si>
  <si>
    <t>https://t.co/OI3c8BjK2j https://pbs.twimg.com/media/FuplA_nX0AAXtoO.jpg</t>
  </si>
  <si>
    <t>https://t.co/N4sqOQ2TZ1 https://pbs.twimg.com/media/Fupk0h_WYAIfT9z.jpg</t>
  </si>
  <si>
    <t>https://t.co/H5sgaS5VvO https://pbs.twimg.com/media/FulYwRNWAAIG-oN.jpg</t>
  </si>
  <si>
    <t>https://t.co/hkejTyttpO https://pbs.twimg.com/media/FulK0jCWIBcuEBq.jpg</t>
  </si>
  <si>
    <t>https://t.co/9jLnf5lvWr https://pbs.twimg.com/media/FulKrIfWIActOz5.jpg</t>
  </si>
  <si>
    <t>https://t.co/tULADy0iZW https://pbs.twimg.com/media/FulKe1OWAAA10bm.jpg</t>
  </si>
  <si>
    <t>https://t.co/GyriBeIvbg https://pbs.twimg.com/media/FukjMYDXoAEV1Jz.jpg</t>
  </si>
  <si>
    <t>https://t.co/aZxSJGif70 https://pbs.twimg.com/media/FukWArDWcAMkn89.jpg</t>
  </si>
  <si>
    <t>https://t.co/npicLU2qML https://pbs.twimg.com/media/FsVKAamWcAAeYLR.jpg</t>
  </si>
  <si>
    <t>https://t.co/1FgPKGNWpN https://pbs.twimg.com/media/FsVJxPjX0AgvzII.jpg</t>
  </si>
  <si>
    <t>https://t.co/7xs0tJ2FXS https://pbs.twimg.com/media/FsUtalnXgAoEwfw.jpg</t>
  </si>
  <si>
    <t>https://t.co/rwVBbSaNFe https://pbs.twimg.com/media/FsUtQM_XgBEX8Zo.jpg</t>
  </si>
  <si>
    <t>https://t.co/0LdRkHHPpC https://pbs.twimg.com/media/FsUtJ02XsAAaGrj.jpg</t>
  </si>
  <si>
    <t>https://t.co/YAkMobLbe6 https://pbs.twimg.com/media/FsUs-ApWcAAZbyG.jpg</t>
  </si>
  <si>
    <t>https://t.co/pLv7ERIQ8E https://pbs.twimg.com/media/FsUsxVxXgAwDMFj.jpg</t>
  </si>
  <si>
    <t>https://t.co/w9lChuITtA https://pbs.twimg.com/media/FsQDoMBWIAQeWQh.jpg</t>
  </si>
  <si>
    <t>https://t.co/Gq2cfToStm https://pbs.twimg.com/media/FsQA6mIWIBQ_K9h.jpg</t>
  </si>
  <si>
    <t>https://t.co/pCW2SMmQPA https://pbs.twimg.com/media/FsQAs79WAAEDEk5.jpg</t>
  </si>
  <si>
    <t>https://t.co/wcO5SxJPfG https://pbs.twimg.com/media/FsP_auAX0AEGSoG.jpg</t>
  </si>
  <si>
    <t>https://t.co/MPzb3bwmRf https://pbs.twimg.com/media/FsP_Na0WAAAYOke.jpg</t>
  </si>
  <si>
    <t>https://t.co/wHnTClMNmR https://pbs.twimg.com/media/FsP_HhdWIA09ER4.jpg</t>
  </si>
  <si>
    <t>https://t.co/VrCoMPG04q https://pbs.twimg.com/media/FsP_BYyWcAEHXZs.jpg</t>
  </si>
  <si>
    <t>https://t.co/MxovMcDlyl https://t.co/MxovMcDlyl https://t.co/MxovMcDlyl https://t.co/MxovMcDlyl https://pbs.twimg.com/ext_tw_video_thumb/1692185386884145152/pu/img/4RTgbfpW-YdVEKgO.jpg https://pbs.twimg.com/media/F3vZqvpXMAAC6CB.jpg https://pbs.twimg.com/media/F3vZq7oWkAA_Vrb.jpg https://pbs.twimg.com/media/F3vZrORWsAASWrO.jpg</t>
  </si>
  <si>
    <t>https://t.co/4nspQ3jEm7 https://pbs.twimg.com/media/F6-LKaXWgAAqd0d.jpg</t>
  </si>
  <si>
    <t>https://t.co/05ZgnsGOi7 https://pbs.twimg.com/media/FwnHLPfWcAILGNR.jpg</t>
  </si>
  <si>
    <t>https://t.co/ek2pj30Mpc https://pbs.twimg.com/media/Fq3-ToEWwAw0zX9.jpg</t>
  </si>
  <si>
    <t>https://t.co/tKnoQ1iDVy https://t.co/tKnoQ1iDVy https://t.co/tKnoQ1iDVy https://pbs.twimg.com/media/FqvjzFeXsAcxZ5q.jpg https://pbs.twimg.com/media/FqvjzPsWcAEoc01.jpg https://pbs.twimg.com/media/FqvjzakXwAA5l9o.jpg</t>
  </si>
  <si>
    <t>https://t.co/dH9R7PgcMO https://pbs.twimg.com/media/FyD5jHXWIAEjqc6.jpg</t>
  </si>
  <si>
    <t>https://t.co/ntt2yYNGR3 https://pbs.twimg.com/media/FodKrWDXoAE20Jy.jpg</t>
  </si>
  <si>
    <t>https://t.co/UJY8HAJBQZ https://pbs.twimg.com/media/FrpxA4AXoAA4tkT.jpg</t>
  </si>
  <si>
    <t>https://t.co/QHvMchpVkH https://pbs.twimg.com/media/FuLrPnyWcAQwIZv.jpg</t>
  </si>
  <si>
    <t>https://t.co/L0DFS7daZQ https://pbs.twimg.com/ext_tw_video_thumb/1666566843245445120/pu/img/FmG6EcnJZquOUvrx.jpg</t>
  </si>
  <si>
    <t>https://t.co/qVve6lC7LD https://pbs.twimg.com/media/FtjzQCdWcAILgev.jpg</t>
  </si>
  <si>
    <t>https://t.co/qBYC6aw83A https://pbs.twimg.com/media/F1UR0-dXwAALsWf.jpg</t>
  </si>
  <si>
    <t>https://t.co/eWY9afmO9n https://pbs.twimg.com/media/FtequA8XoAE-L7V.jpg</t>
  </si>
  <si>
    <t>https://t.co/gpHFe8UJmV https://pbs.twimg.com/media/FuAjZUYWwAAzxUh.jpg</t>
  </si>
  <si>
    <t>https://t.co/YCFUI3Zd9a https://pbs.twimg.com/media/FrsJrO6X0AAJx31.jpg</t>
  </si>
  <si>
    <t>https://t.co/Fgal2u43Zn https://pbs.twimg.com/media/Fue8bCjXgAQIEnX.jpg</t>
  </si>
  <si>
    <t>https://t.co/kEwKIzykLZ https://pbs.twimg.com/ext_tw_video_thumb/1653058753611038720/pu/img/YE3S6XDkvkP0FYHY.jpg</t>
  </si>
  <si>
    <t>https://t.co/hsd6rgBf8P https://pbs.twimg.com/ext_tw_video_thumb/1695536059939995649/pu/img/UptAWsn2gqHNy7mM.jpg</t>
  </si>
  <si>
    <t>https://t.co/wZSGbPL2bv https://pbs.twimg.com/media/Fv3zjDIWcBA_XH9.jpg</t>
  </si>
  <si>
    <t>https://t.co/CCuFuorL47 https://pbs.twimg.com/media/Fp2eWFEWcAECQaO.jpg</t>
  </si>
  <si>
    <t>https://t.co/lpNX5Jglwf https://pbs.twimg.com/ext_tw_video_thumb/1641078898015256580/pu/img/OGlSpmVFVo94spJt.jpg</t>
  </si>
  <si>
    <t>https://t.co/dUbO4RfSmu https://pbs.twimg.com/media/FwYQokdWIAkKZzX.jpg</t>
  </si>
  <si>
    <t>https://t.co/qZGAIF3imh https://pbs.twimg.com/media/Fv7_xtWWwAEqHmH.jpg</t>
  </si>
  <si>
    <t>https://t.co/WyxITq81pd https://pbs.twimg.com/ext_tw_video_thumb/1682252589520371713/pu/img/5E6zU1p02MyyDzWs.jpg</t>
  </si>
  <si>
    <t>https://t.co/prVi69g5Jr https://pbs.twimg.com/media/F0wgQ7oWcAEMKBu.jpg</t>
  </si>
  <si>
    <t>https://t.co/NXVm1ZvWBt https://pbs.twimg.com/media/F0g6bbOWAAArswE.jpg</t>
  </si>
  <si>
    <t>https://t.co/GEozRJDEZa https://pbs.twimg.com/media/F0dSwrDWIA43HqS.jpg</t>
  </si>
  <si>
    <t>https://t.co/71ywNaiwUD https://pbs.twimg.com/media/F08oq6eXsAc8Tyi.jpg</t>
  </si>
  <si>
    <t>https://t.co/IvWeHx7ndi https://pbs.twimg.com/media/FwCamA3X0AAsonm.jpg</t>
  </si>
  <si>
    <t>https://t.co/BxKN4bAgja https://pbs.twimg.com/media/Fy1GSPIWcAQAIFu.jpg</t>
  </si>
  <si>
    <t>https://t.co/2kiWVbGbwM https://pbs.twimg.com/ext_tw_video_thumb/1683893149406461958/pu/img/Xtz-4TuTOqr4jF8A.jpg</t>
  </si>
  <si>
    <t>https://t.co/2KvyvD8fnL https://pbs.twimg.com/ext_tw_video_thumb/1639284757971324930/pu/img/oAM0jqkL0MI1D2HV.jpg</t>
  </si>
  <si>
    <t>https://t.co/PM4Pta9Dre https://pbs.twimg.com/ext_tw_video_thumb/1639207955349352449/pu/img/2FydBQ6kHFeNQGF9.jpg</t>
  </si>
  <si>
    <t>https://t.co/AnnqWiwJ67 https://pbs.twimg.com/media/Fr8FAy4X0AE83-C.png</t>
  </si>
  <si>
    <t>https://t.co/DUpuETsUDF https://pbs.twimg.com/ext_tw_video_thumb/1638924852789755904/pu/img/eEeqRvGyp0EIlXZe.jpg</t>
  </si>
  <si>
    <t>https://t.co/LOl5YVqLna https://pbs.twimg.com/media/Fr50148XoAMq8_l.jpg</t>
  </si>
  <si>
    <t>https://t.co/PgcpZJL1on https://pbs.twimg.com/ext_tw_video_thumb/1638848074268262401/pu/img/bzLsBIbROKh8xThT.jpg</t>
  </si>
  <si>
    <t>https://t.co/weWQ9feD5v https://pbs.twimg.com/ext_tw_video_thumb/1698472853585182720/pu/img/2u7vNr6D0TC6_7UE.jpg</t>
  </si>
  <si>
    <t>https://t.co/8AOV7zecHn https://pbs.twimg.com/media/Fz1J3YMWIAAx6PK.jpg</t>
  </si>
  <si>
    <t>https://t.co/gqioGPBdpx https://pbs.twimg.com/media/Fz1I3TTXsAEeT2Z.jpg</t>
  </si>
  <si>
    <t>https://t.co/mut6OmW7wP https://pbs.twimg.com/ext_tw_video_thumb/1679556629648363520/pu/img/5HIcxxhoLF60EtN-.jpg</t>
  </si>
  <si>
    <t>https://t.co/cW4kcEMKZP https://pbs.twimg.com/ext_tw_video_thumb/1679550342139092997/pu/img/fko_wm2NHZj2ExUG.jpg</t>
  </si>
  <si>
    <t>https://t.co/KFnBK32dXJ https://pbs.twimg.com/ext_tw_video_thumb/1686803576813703168/pu/img/Bzp6vydiSDoXt413.jpg</t>
  </si>
  <si>
    <t>https://t.co/4ELbkc0FKk https://pbs.twimg.com/ext_tw_video_thumb/1686802726720598022/pu/img/GQzEQXwAZBMJqZGh.jpg</t>
  </si>
  <si>
    <t>https://t.co/eUg5j7TXXF https://pbs.twimg.com/ext_tw_video_thumb/1686801776903680006/pu/img/7m6rqKcZxR11KU2Q.jpg</t>
  </si>
  <si>
    <t>https://t.co/rEWhSa7128 https://pbs.twimg.com/ext_tw_video_thumb/1679583683798355969/pu/img/rQYTYYjg8Qei2z1o.jpg</t>
  </si>
  <si>
    <t>https://t.co/Fp6xk0ZAHY https://pbs.twimg.com/ext_tw_video_thumb/1679579608755187713/pu/img/ABwXsaLGKk7dWpmS.jpg</t>
  </si>
  <si>
    <t>https://t.co/lbIcNma7yk https://pbs.twimg.com/ext_tw_video_thumb/1679577502115676161/pu/img/lg_jntJF5ihwc0kB.jpg</t>
  </si>
  <si>
    <t>https://t.co/WPjSfu2vxl https://pbs.twimg.com/ext_tw_video_thumb/1679570406770966534/pu/img/AEyeissgQicJ5zzt.jpg</t>
  </si>
  <si>
    <t>https://t.co/ybw17MQswI https://pbs.twimg.com/ext_tw_video_thumb/1679568729636478979/pu/img/3J_0Nk5Sh7a3JWZ6.jpg</t>
  </si>
  <si>
    <t>https://t.co/xlGDQzbXOg https://pbs.twimg.com/ext_tw_video_thumb/1679566502356197376/pu/img/P70gr96SZNWdJhvH.jpg</t>
  </si>
  <si>
    <t>https://t.co/mQmwdDny4P https://pbs.twimg.com/ext_tw_video_thumb/1679561917289975808/pu/img/EqXYlj8UeYp81Yzd.jpg</t>
  </si>
  <si>
    <t>https://t.co/mLpjwiJMYJ https://pbs.twimg.com/media/FqTIA71acAMI9pw.jpg</t>
  </si>
  <si>
    <t>https://t.co/H57fNbkzs3 https://pbs.twimg.com/media/Fp-Kq0sXoAECHgc.jpg</t>
  </si>
  <si>
    <t>https://t.co/24RYLGTY1w https://pbs.twimg.com/media/FoZBUeuWIAM-5nB.jpg</t>
  </si>
  <si>
    <t>https://t.co/HQFAbj0kbS https://pbs.twimg.com/media/FuR1qF2XwAILEcy.jpg</t>
  </si>
  <si>
    <t>https://t.co/LQjzkyD7TR https://pbs.twimg.com/ext_tw_video_thumb/1628210260161830913/pu/img/4wTKJEf0P-uoWoE8.jpg</t>
  </si>
  <si>
    <t>https://t.co/7rRM1cvDoE https://pbs.twimg.com/media/F37ViOWWYAAIsZ_.jpg</t>
  </si>
  <si>
    <t>https://t.co/1hqE7cCxgv https://pbs.twimg.com/media/FzAmYOKWIAEqp6-.jpg</t>
  </si>
  <si>
    <t>https://t.co/hyLcIBVaJI https://pbs.twimg.com/media/F6A1HPtXMAAijIh.jpg</t>
  </si>
  <si>
    <t>https://t.co/KJ7OAGxY2T https://pbs.twimg.com/ext_tw_video_thumb/1669092049180581892/pu/img/T0xbtJ1ZTNOi_mJ0.jpg</t>
  </si>
  <si>
    <t>https://t.co/dx8lDdWZjY https://pbs.twimg.com/amplify_video_thumb/1631798477880455168/img/grL1gUAmNbg7GIRM.jpg</t>
  </si>
  <si>
    <t>https://t.co/JYGC9cNbET https://pbs.twimg.com/amplify_video_thumb/1676948469217656836/img/XT2tU08At3Xf439Q.jpg</t>
  </si>
  <si>
    <t>https://t.co/6ayhUBFAR8 https://pbs.twimg.com/ext_tw_video_thumb/1655045445662527490/pu/img/qVhPlHYauFBLa5NF.jpg</t>
  </si>
  <si>
    <t>https://t.co/tatzlkjfwy https://t.co/tatzlkjfwy https://t.co/tatzlkjfwy https://t.co/tatzlkjfwy https://pbs.twimg.com/media/FxkK3SXXgAMrBAg.jpg https://pbs.twimg.com/media/FxkK3kyXwAM_VaS.jpg https://pbs.twimg.com/media/FxkK31dXgAE8KJF.jpg https://pbs.twimg.com/media/FxkK4HvWAAQI8PJ.jpg</t>
  </si>
  <si>
    <t>https://t.co/vG7yPzYyeV https://t.co/vG7yPzYyeV https://t.co/vG7yPzYyeV https://pbs.twimg.com/media/Fxhm74eXsAEzy-E.jpg https://pbs.twimg.com/media/Fxhm8KHXgAAtyIR.jpg https://pbs.twimg.com/media/Fxhm8a3WAAA67wg.jpg</t>
  </si>
  <si>
    <t>https://t.co/lLjpKtDuyy https://pbs.twimg.com/ext_tw_video_thumb/1691758188461187072/pu/img/f5v8_ac5NNPXInBP.jpg</t>
  </si>
  <si>
    <t>https://t.co/LAKGUzOLbC https://pbs.twimg.com/ext_tw_video_thumb/1637581587092062208/pu/img/Y6mUoowGgwMBgbpW.jpg</t>
  </si>
  <si>
    <t>https://t.co/KEysd7pKlP https://pbs.twimg.com/media/FsITgsAX0AALAzV.png</t>
  </si>
  <si>
    <t>https://t.co/ym6kL34VrJ https://pbs.twimg.com/media/F1bphy9XsAAEUbV.jpg</t>
  </si>
  <si>
    <t>https://t.co/4vro79UGQM https://pbs.twimg.com/media/F3NfoxmWoAATgQe.jpg</t>
  </si>
  <si>
    <t>https://t.co/f5IEjGaX9C https://pbs.twimg.com/ext_tw_video_thumb/1678756982998573056/pu/img/oeKAazPcRXoM_q04.jpg</t>
  </si>
  <si>
    <t>https://t.co/NZ8zax7K3G https://pbs.twimg.com/ext_tw_video_thumb/1664266087117234176/pu/img/DVzNWrDMP2y_ohc_.jpg</t>
  </si>
  <si>
    <t>https://t.co/2hvYpkDbwg https://pbs.twimg.com/ext_tw_video_thumb/1696599786697228288/pu/img/nSM07dU5JbrtKl8H.jpg</t>
  </si>
  <si>
    <t>https://t.co/GQiVO9e3VZ https://pbs.twimg.com/ext_tw_video_thumb/1678096006972334088/pu/img/OosBxCUfqKkN9Irk.jpg</t>
  </si>
  <si>
    <t>https://t.co/srYFayMogn https://pbs.twimg.com/ext_tw_video_thumb/1684022282706997248/pu/img/GUDb5khqRtxnow1w.jpg</t>
  </si>
  <si>
    <t>https://t.co/xNX0nKOTgl https://pbs.twimg.com/ext_tw_video_thumb/1681744251296657408/pu/img/A1daJaE-ZwdkW7l6.jpg</t>
  </si>
  <si>
    <t>https://t.co/XEBWFmFqbH https://pbs.twimg.com/ext_tw_video_thumb/1681432566287482880/pu/img/FBFPfHRXXMGSwXWk.jpg</t>
  </si>
  <si>
    <t>https://t.co/OAfKyjJz9M https://pbs.twimg.com/ext_tw_video_thumb/1679673010741997569/pu/img/kk3AP7qp2QdIMCPj.jpg</t>
  </si>
  <si>
    <t>https://t.co/xcKsCf05Qj https://pbs.twimg.com/media/F2ZBReIWAAItw_l.jpg</t>
  </si>
  <si>
    <t>https://t.co/7sF5dvPW8X https://pbs.twimg.com/ext_tw_video_thumb/1679318331826880513/pu/img/dODuiYHDiMrHojOr.jpg</t>
  </si>
  <si>
    <t>https://t.co/UvKyeP7LUL https://pbs.twimg.com/ext_tw_video_thumb/1678810140219256832/pu/img/2HV9gVPsfPyZFMmL.jpg</t>
  </si>
  <si>
    <t>https://t.co/CACMOrJD6i https://pbs.twimg.com/ext_tw_video_thumb/1678532750968606727/pu/img/Q897oSpcJA4ncA2e.jpg</t>
  </si>
  <si>
    <t>https://t.co/2vuJetysUo https://pbs.twimg.com/media/F3hQ1vjWIAAOL9U.jpg</t>
  </si>
  <si>
    <t>https://t.co/58Gll9qZkR https://pbs.twimg.com/media/F2tjkRWXkAApPwp.jpg</t>
  </si>
  <si>
    <t>https://t.co/GsXQKrZfJH https://pbs.twimg.com/media/Fuy-M2oXgAEj8jN.jpg</t>
  </si>
  <si>
    <t>https://t.co/hnbaOr6XzI https://pbs.twimg.com/media/Fq-bQR6XwAcABOk.jpg</t>
  </si>
  <si>
    <t>https://t.co/l3rweQw99T https://pbs.twimg.com/media/FwiGyylWAAANc2O.jpg</t>
  </si>
  <si>
    <t>https://t.co/5lnb4WSptT https://pbs.twimg.com/media/F0y4PElWwAciyio.jpg</t>
  </si>
  <si>
    <t>https://t.co/YgM5oviG6J https://pbs.twimg.com/media/Fz7MkBzWwAERBJz.jpg</t>
  </si>
  <si>
    <t>https://t.co/UyYJ3A4SEH https://pbs.twimg.com/media/FpkBA_8XgAAo0zv.jpg</t>
  </si>
  <si>
    <t>https://t.co/PNKUubI7DW https://pbs.twimg.com/media/F5r8T9XWMAAXXtr.jpg</t>
  </si>
  <si>
    <t>https://t.co/Ed0HBmhSrd https://pbs.twimg.com/media/F2TGCBnWAAEU0A_.jpg</t>
  </si>
  <si>
    <t>https://t.co/1Gzr40kDp8 https://pbs.twimg.com/media/FxD3BEjWAAA0DyN.jpg</t>
  </si>
  <si>
    <t>https://t.co/e0ycR7UYRM https://pbs.twimg.com/ext_tw_video_thumb/1696271278087553026/pu/img/SfL3Km2FaSW-6lJY.jpg</t>
  </si>
  <si>
    <t>https://t.co/1NbIVZ3baa https://pbs.twimg.com/ext_tw_video_thumb/1643046259370983427/pu/img/iuVfSMCWA7rNhnWT.jpg</t>
  </si>
  <si>
    <t>https://t.co/TfWcP2FCaT https://pbs.twimg.com/media/Fs1FhBRX0AIQPii.jpg</t>
  </si>
  <si>
    <t>https://t.co/mGaJPdsazh https://pbs.twimg.com/media/Fs1D1SnWwAALJO4.jpg</t>
  </si>
  <si>
    <t>https://t.co/xQdY26RGCl https://pbs.twimg.com/ext_tw_video_thumb/1699093143134633984/pu/img/3t_cA4459wZU0x0E.jpg</t>
  </si>
  <si>
    <t>https://t.co/7pX0gSczsu https://pbs.twimg.com/media/F3xvhisW4AAlUTb.jpg</t>
  </si>
  <si>
    <t>https://t.co/nL2YK6Znsr https://pbs.twimg.com/ext_tw_video_thumb/1643358406525288448/pu/img/lyq8UtvflaK0WqK-.jpg</t>
  </si>
  <si>
    <t>https://t.co/NY7fkT2kur https://pbs.twimg.com/media/F0_3dGMWYAYYPD3.jpg</t>
  </si>
  <si>
    <t>https://t.co/S3UwQ5qvDO https://pbs.twimg.com/ext_tw_video_thumb/1696900055301566464/pu/img/SiC7-WNdNGPTd_43.jpg</t>
  </si>
  <si>
    <t>https://t.co/PDudeerUSt https://t.co/PDudeerUSt https://pbs.twimg.com/media/Fqs-w40aMAAkhwc.jpg https://pbs.twimg.com/media/Fqs-w5paUAExvac.jpg</t>
  </si>
  <si>
    <t>https://t.co/KOZx6Qtr08 https://pbs.twimg.com/media/FzuBsjCWcAE0yHn.jpg</t>
  </si>
  <si>
    <t>https://t.co/Yc6P80f49F https://pbs.twimg.com/media/FzjqMzjXsAA4BYO.jpg</t>
  </si>
  <si>
    <t>https://t.co/67zucvUzwW https://pbs.twimg.com/media/FzjpKijXoAMIeMk.jpg</t>
  </si>
  <si>
    <t>https://t.co/Ih2eTEKPjX https://pbs.twimg.com/media/Fwt5EGLWwAEPkst.jpg</t>
  </si>
  <si>
    <t>https://t.co/eRyNvQaf47 https://pbs.twimg.com/media/FteXbhdXoAAxcot.jpg</t>
  </si>
  <si>
    <t>https://t.co/WaD5WSi6lD https://pbs.twimg.com/media/FogHQLlaIAAYyVQ.jpg</t>
  </si>
  <si>
    <t>https://t.co/P9M9O30Esa https://pbs.twimg.com/media/FoZL0q5XgAEfIVk.jpg</t>
  </si>
  <si>
    <t>https://t.co/T9ekw88dl8 https://pbs.twimg.com/media/FoYTjJcXsA8BiE6.jpg</t>
  </si>
  <si>
    <t>https://t.co/9Ux8hAo4lc https://pbs.twimg.com/media/FqXrFAxXgAIIjL6.jpg</t>
  </si>
  <si>
    <t>https://t.co/PPIIC3WpRk https://pbs.twimg.com/media/FqQVD21WIAMRM_X.jpg</t>
  </si>
  <si>
    <t>https://t.co/JPLZLXxjgj https://pbs.twimg.com/media/FonJNTwX0AsBm7Q.jpg</t>
  </si>
  <si>
    <t>https://t.co/1VWrM2z4tj https://pbs.twimg.com/media/FojlMOyWYAIxi5o.jpg</t>
  </si>
  <si>
    <t>https://t.co/jWZHt4snux https://pbs.twimg.com/media/FoRp_LiWIAEz8cK.jpg</t>
  </si>
  <si>
    <t>https://t.co/9UFdhT9y49 https://pbs.twimg.com/media/FpVcV3XWAAIyu3x.jpg</t>
  </si>
  <si>
    <t>https://t.co/JirYoviEst https://pbs.twimg.com/media/FqIyf1XWwAoSH8o.jpg</t>
  </si>
  <si>
    <t>https://t.co/cRsPeyxw4M https://pbs.twimg.com/media/FqBdpBLXgAEh5Am.jpg</t>
  </si>
  <si>
    <t>https://t.co/LEsLWK8ZXd https://pbs.twimg.com/media/Fp6IxDkX0AEGXaZ.jpg</t>
  </si>
  <si>
    <t>https://t.co/fAPvZzsx8r https://pbs.twimg.com/media/Fpyx_GuXwAEHyF7.jpg</t>
  </si>
  <si>
    <t>https://t.co/HCHAaAtEE3 https://pbs.twimg.com/media/FprcaIPWYAgzCIk.jpg</t>
  </si>
  <si>
    <t>https://t.co/YaA3wLyg4s https://pbs.twimg.com/media/FpkH3GpX0AIc4NE.jpg</t>
  </si>
  <si>
    <t>https://t.co/KLZ0EAAjii https://pbs.twimg.com/media/FpcyOOrXoAIRwvp.jpg</t>
  </si>
  <si>
    <t>https://t.co/STZ552vcQD https://pbs.twimg.com/ext_tw_video_thumb/1652147758709587970/pu/img/MR56HlWLy2yg3q8C.jpg</t>
  </si>
  <si>
    <t>https://t.co/CcQz6lmd3l https://pbs.twimg.com/media/Fx3GSiDXsAEFX-S.jpg</t>
  </si>
  <si>
    <t>https://t.co/UA8a4yACOs https://t.co/UA8a4yACOs https://t.co/UA8a4yACOs https://t.co/UA8a4yACOs https://pbs.twimg.com/media/Fxnw5HmWIAAW5ZP.jpg https://pbs.twimg.com/media/Fxnw5HmXoAIuFug.jpg https://pbs.twimg.com/media/Fxnw5HsWAAAJyyR.jpg https://pbs.twimg.com/media/Fxnw5HpXsAISijy.jpg</t>
  </si>
  <si>
    <t>https://t.co/J45O6naHQY https://t.co/J45O6naHQY https://t.co/J45O6naHQY https://t.co/J45O6naHQY https://pbs.twimg.com/media/FybXoSyWYAIEeuk.jpg https://pbs.twimg.com/media/FybXoTFWcAAorNu.jpg https://pbs.twimg.com/media/FybXoSxXgAE6ZVJ.jpg https://pbs.twimg.com/media/FybXoS2WAAMmQ9e.jpg</t>
  </si>
  <si>
    <t>https://t.co/tYNzVxANgN https://pbs.twimg.com/ext_tw_video_thumb/1703555141981360128/pu/img/atQ1xWJ6DdakZbnQ.jpg</t>
  </si>
  <si>
    <t>https://t.co/3USQCeq2iP https://pbs.twimg.com/media/FxLX3zjWcAI6Gsf.jpg</t>
  </si>
  <si>
    <t>https://t.co/20juzazU9l https://pbs.twimg.com/ext_tw_video_thumb/1628593719921328132/pu/img/yuzimGRZnRIl-Gni.jpg</t>
  </si>
  <si>
    <t>https://t.co/7lqoOp3qP5 https://t.co/7lqoOp3qP5 https://t.co/7lqoOp3qP5 https://t.co/7lqoOp3qP5 https://pbs.twimg.com/media/FuDMAnPWIAA-N3j.jpg https://pbs.twimg.com/media/FuDMAnSXgAATSPU.jpg https://pbs.twimg.com/media/FuDMAnQWYAEHxMg.jpg https://pbs.twimg.com/media/FuDMAnOWIAER831.jpg</t>
  </si>
  <si>
    <t>https://t.co/86Y2KGueVx https://pbs.twimg.com/media/F69z-niWUAECpBw.jpg</t>
  </si>
  <si>
    <t>https://t.co/Jfmli6j4hA https://pbs.twimg.com/media/F5d4b-7X0AEQO0X.jpg</t>
  </si>
  <si>
    <t>https://t.co/Bmqy0wt1X9 https://pbs.twimg.com/media/F63BBuJXYAAQBT2.jpg</t>
  </si>
  <si>
    <t>https://t.co/i6fjN0BDAc https://pbs.twimg.com/media/F5Xh4buXwAAzg7i.jpg</t>
  </si>
  <si>
    <t>https://t.co/BPgKv5rL2X https://pbs.twimg.com/media/F32X2QBX0AADao2.png</t>
  </si>
  <si>
    <t>https://t.co/IV44Jlm8eT https://pbs.twimg.com/media/F32TQNUXIAA1T9u.png</t>
  </si>
  <si>
    <t>https://t.co/BXjSIKrkpY https://pbs.twimg.com/media/FttMX3TWwAAFdDa.jpg</t>
  </si>
  <si>
    <t>https://t.co/bxhUPmTam7 https://pbs.twimg.com/media/FttLStYXoAMQdCU.jpg</t>
  </si>
  <si>
    <t>https://t.co/jeo7tJcD4I https://pbs.twimg.com/media/FttKuI3XgAMY0YQ.jpg</t>
  </si>
  <si>
    <t>https://t.co/J3zRuuiCML https://pbs.twimg.com/media/FttKdBEWYAAT5Vm.jpg</t>
  </si>
  <si>
    <t>https://t.co/BTM0ihDfZu https://pbs.twimg.com/media/FttIupWWcAIlf68.jpg</t>
  </si>
  <si>
    <t>https://t.co/MQImWxODGt https://pbs.twimg.com/media/FsvEfxJXgAAgzDq.jpg</t>
  </si>
  <si>
    <t>https://t.co/RoA47vWdL1 https://pbs.twimg.com/media/F2nkcP2WEAImbwq.jpg</t>
  </si>
  <si>
    <t>https://t.co/459dbdXOFs https://pbs.twimg.com/media/FzrS498WAAA3itW.jpg</t>
  </si>
  <si>
    <t>https://t.co/QqtFkh1sJk https://pbs.twimg.com/ext_tw_video_thumb/1695480072881295360/pu/img/FnBlvkAm02nMRWLk.jpg</t>
  </si>
  <si>
    <t>https://t.co/zKDOakRN5Z https://pbs.twimg.com/media/F4T-tIbX0AAET6z.jpg</t>
  </si>
  <si>
    <t>https://t.co/rHiD9uGiYt https://pbs.twimg.com/ext_tw_video_thumb/1693441216807845888/pu/img/zFkTxN6rtc2_cHMe.jpg</t>
  </si>
  <si>
    <t>https://t.co/Qh4qOfF9rJ https://pbs.twimg.com/ext_tw_video_thumb/1697918369712730113/pu/img/CQ1I9MfQe93jRGvW.jpg</t>
  </si>
  <si>
    <t>https://t.co/lYmUZDiSbG https://pbs.twimg.com/media/FtqL9VBWcAAR06_.jpg</t>
  </si>
  <si>
    <t>https://t.co/1MncAcc3Nb https://pbs.twimg.com/media/FtI1PgPWcAIg9fB.jpg</t>
  </si>
  <si>
    <t>https://t.co/x73D0sMbHW https://pbs.twimg.com/ext_tw_video_thumb/1644388591202598917/pu/img/B_ZDCadzL5PSSPSV.jpg</t>
  </si>
  <si>
    <t>https://t.co/JgYwdddfI7 https://t.co/JgYwdddfI7 https://t.co/JgYwdddfI7 https://t.co/JgYwdddfI7 https://pbs.twimg.com/media/FskSvNrXwAAuAyw.jpg https://pbs.twimg.com/media/FskSvNoWYAcyOnc.jpg https://pbs.twimg.com/media/FskSvNmWYAsRB8l.jpg https://pbs.twimg.com/media/FskSvNoWYAAv1QF.jpg</t>
  </si>
  <si>
    <t>https://t.co/HtqpwjsS2W https://pbs.twimg.com/ext_tw_video_thumb/1636803701007343616/pu/img/BKF5_YP5oQWq9FwU.jpg</t>
  </si>
  <si>
    <t>https://t.co/vcWgpXlgVZ https://t.co/vcWgpXlgVZ https://t.co/vcWgpXlgVZ https://t.co/vcWgpXlgVZ https://pbs.twimg.com/ext_tw_video_thumb/1696176773484929024/pu/img/9Aytl39WS1iIJzdu.jpg https://pbs.twimg.com/media/F4oISgVWMAARL7l.jpg https://pbs.twimg.com/media/F4oITBIWEAAJVOk.jpg https://pbs.twimg.com/media/F4oIWYpWEAEd4to.jpg</t>
  </si>
  <si>
    <t>https://t.co/9ekihixDSi https://pbs.twimg.com/media/Fn17-wpWQAMiMxK.jpg</t>
  </si>
  <si>
    <t>https://t.co/b4sA9QXw9Y https://pbs.twimg.com/media/F2x_es5W0AAnPa3.jpg</t>
  </si>
  <si>
    <t>https://t.co/bSDJOduyLc https://pbs.twimg.com/media/FrOtBnxX0AIz0cZ.jpg</t>
  </si>
  <si>
    <t>https://t.co/vx26LWgHPr https://pbs.twimg.com/media/FqsrcxjWcAAyiSY.jpg</t>
  </si>
  <si>
    <t>https://t.co/G97ZdFcJtY https://pbs.twimg.com/media/FzLh-KjXwAIEVCb.jpg</t>
  </si>
  <si>
    <t>https://t.co/cCnvqNAjiA https://t.co/cCnvqNAjiA https://t.co/cCnvqNAjiA https://pbs.twimg.com/media/FqQwGTBWcAEzg4C.jpg https://pbs.twimg.com/media/FqQwGTDWcAgqfNJ.jpg https://pbs.twimg.com/media/FqQwGTCWYAIR-XG.jpg</t>
  </si>
  <si>
    <t>https://t.co/vCFxICWECO https://pbs.twimg.com/media/FupK7zdWwAM9Tgy.jpg</t>
  </si>
  <si>
    <t>https://t.co/BladOhigd4 https://pbs.twimg.com/media/Fp4oM_GXgAAPeBC.jpg</t>
  </si>
  <si>
    <t>https://t.co/B7CAOXUEmp https://pbs.twimg.com/media/Fp4nmMtXsAEFgec.jpg</t>
  </si>
  <si>
    <t>https://t.co/2D3ImCBsBI https://pbs.twimg.com/ext_tw_video_thumb/1657004234540236800/pu/img/r0GGej9pgLIFjOiU.jpg</t>
  </si>
  <si>
    <t>https://t.co/V3el0PGF0J https://pbs.twimg.com/media/FzzNmgEWIAIWrqN.jpg</t>
  </si>
  <si>
    <t>https://t.co/CpnJTXRbPj https://pbs.twimg.com/ext_tw_video_thumb/1626033255706202112/pu/img/qBcA4T7hlxuM6J1R.jpg</t>
  </si>
  <si>
    <t>https://t.co/9QN3lUmt9e https://pbs.twimg.com/ext_tw_video_thumb/1698847128758464512/pu/img/Ry34bC-pgSpuQ1Ae.jpg</t>
  </si>
  <si>
    <t>https://t.co/b1ShmHVQfR https://pbs.twimg.com/media/F5T-vgmXMAAysD-.jpg</t>
  </si>
  <si>
    <t>https://t.co/LTPPiNsj0u https://pbs.twimg.com/ext_tw_video_thumb/1699847972819726336/pu/img/PujizBIs6CwU171x.jpg</t>
  </si>
  <si>
    <t>https://t.co/RGYGLFQr3q https://pbs.twimg.com/ext_tw_video_thumb/1678810094085996556/pu/img/rCJXyxoGLGXdxbUn.jpg</t>
  </si>
  <si>
    <t>https://t.co/HdRNynkMIx https://pbs.twimg.com/media/F1Bck-qWIAE6K9a.jpg</t>
  </si>
  <si>
    <t>https://t.co/d0zmBHAb5Q https://pbs.twimg.com/media/Fr18f2iXwAIrRd9.jpg</t>
  </si>
  <si>
    <t>https://t.co/bA9bdKglGC https://pbs.twimg.com/media/F2DYBxwWUAArJTr.jpg</t>
  </si>
  <si>
    <t>https://t.co/TSKyHPfhZD https://pbs.twimg.com/media/FqTO6TTWAAEmnxl.jpg</t>
  </si>
  <si>
    <t>https://t.co/ZUWwzCfwWM https://pbs.twimg.com/media/FoSE-KSXEAASjGB.jpg</t>
  </si>
  <si>
    <t>https://t.co/nf12G9sSlx https://pbs.twimg.com/media/F2NaBgMWMAAZGT_.jpg</t>
  </si>
  <si>
    <t>https://t.co/Yga2zBmCQP https://pbs.twimg.com/ext_tw_video_thumb/1679089751410765825/pu/img/y_fWqJpV8gAp_YcJ.jpg</t>
  </si>
  <si>
    <t>https://t.co/CdPUNRAMkG https://pbs.twimg.com/ext_tw_video_thumb/1678907885768548353/pu/img/V3a06bCl2Ux9mliB.jpg</t>
  </si>
  <si>
    <t>https://t.co/bPZPdymaUE https://pbs.twimg.com/media/FskKJZGWABMmYwG.jpg</t>
  </si>
  <si>
    <t>https://t.co/bqMV4TfhpA https://pbs.twimg.com/media/FsRBALVX0AAsoWD.jpg</t>
  </si>
  <si>
    <t>https://t.co/jigAEjnf1Y https://pbs.twimg.com/media/FsRAq8GWAAAugQa.jpg</t>
  </si>
  <si>
    <t>https://t.co/eM3y7tMZKk https://pbs.twimg.com/media/Fsd9d7yWcAM1V32.jpg</t>
  </si>
  <si>
    <t>https://t.co/WvGDvXrlpr https://t.co/WvGDvXrlpr https://pbs.twimg.com/media/Fsbe6qrWYAAxPRU.jpg https://pbs.twimg.com/media/Fsbe8bKWAAAaYDL.jpg</t>
  </si>
  <si>
    <t>https://t.co/21h31XRisY https://pbs.twimg.com/ext_tw_video_thumb/1636750378271141890/pu/img/MFxj7Mm-2JF_gY5d.jpg</t>
  </si>
  <si>
    <t>https://t.co/WiLkdXrKhV https://pbs.twimg.com/media/FtXhom0aAAIlrxz.jpg</t>
  </si>
  <si>
    <t>https://t.co/eumc0kEDpm https://pbs.twimg.com/media/FzEUf6caIAIPFrW.jpg</t>
  </si>
  <si>
    <t>https://t.co/ksa3ly8b6x https://pbs.twimg.com/media/FzobZjvWAAIxtkD.jpg</t>
  </si>
  <si>
    <t>https://t.co/Ij9iRpQnT7 https://pbs.twimg.com/media/FzjW2WnaMAEbtcM.jpg</t>
  </si>
  <si>
    <t>https://t.co/J0jLRo4Bln https://pbs.twimg.com/media/F1uvW9faQAUNvcn.jpg</t>
  </si>
  <si>
    <t>https://t.co/TmZKysu0sn https://pbs.twimg.com/media/F1fibtCaIAAgf4I.jpg</t>
  </si>
  <si>
    <t>https://t.co/MPDD3LL007 https://pbs.twimg.com/media/Fxof17iaAAA-MV1.jpg</t>
  </si>
  <si>
    <t>https://t.co/zlzZrjtULu https://pbs.twimg.com/media/F6ocluAbAAAl-TL.jpg</t>
  </si>
  <si>
    <t>https://t.co/VsOmXm7meE https://pbs.twimg.com/media/F3vzcd1XsAAYSKw.jpg</t>
  </si>
  <si>
    <t>https://t.co/JcinQOfKdF https://pbs.twimg.com/ext_tw_video_thumb/1645963910535688192/pu/img/XCxDhDFtjG96XMA9.jpg</t>
  </si>
  <si>
    <t>https://t.co/3cWS7z8AiN https://pbs.twimg.com/ext_tw_video_thumb/1664611134496731136/pu/img/h6YvhQtIPR_qNdk7.jpg</t>
  </si>
  <si>
    <t>https://t.co/CvSconeGjP https://pbs.twimg.com/media/Fxnin0bXoAM7mz4.jpg</t>
  </si>
  <si>
    <t>https://t.co/DgPbpHYY3I https://pbs.twimg.com/media/FvniTjyXgAM2fOL.jpg</t>
  </si>
  <si>
    <t>https://t.co/XqzSdqcLmH https://pbs.twimg.com/media/Fvgdj1sXgAY08bn.jpg</t>
  </si>
  <si>
    <t>https://t.co/cTSgM5BHAj https://pbs.twimg.com/ext_tw_video_thumb/1686737223612313600/pu/img/wLrOjIGcuHg9Vrdr.jpg</t>
  </si>
  <si>
    <t>https://t.co/FKJ2UprYqn https://pbs.twimg.com/ext_tw_video_thumb/1674314930420432897/pu/img/iimsTwOTkXtDfl06.jpg</t>
  </si>
  <si>
    <t>https://t.co/duHIfmm8PP https://pbs.twimg.com/ext_tw_video_thumb/1687120131145535488/pu/img/BHVx9hJxipYbWvX7.jpg</t>
  </si>
  <si>
    <t>https://t.co/ysURoVH8Ts https://pbs.twimg.com/ext_tw_video_thumb/1624817988955168768/pu/img/3J-mVbr4RqdKvcok.jpg</t>
  </si>
  <si>
    <t>https://t.co/g49G8oZHsj https://pbs.twimg.com/media/FvaI-tUWAAIBzmb.png</t>
  </si>
  <si>
    <t>https://t.co/QAtxZZvuLE https://pbs.twimg.com/media/F2tWMBIXAAM64wL.jpg</t>
  </si>
  <si>
    <t>https://t.co/NoSAJ3W1A3 https://t.co/NoSAJ3W1A3 https://pbs.twimg.com/media/FpnVIMFXsAA8UVb.jpg https://pbs.twimg.com/media/FpnVIMHXgAUJHu_.jpg</t>
  </si>
  <si>
    <t>https://t.co/F5y6D49P36 https://pbs.twimg.com/media/F3nY_EgXIAAUy-C.jpg</t>
  </si>
  <si>
    <t>https://t.co/kwN1oCxVjv https://pbs.twimg.com/ext_tw_video_thumb/1630372133690830849/pu/img/j7pKH34BAVl5jiyI.jpg</t>
  </si>
  <si>
    <t>https://t.co/rujHBhLdYP https://t.co/rujHBhLdYP https://pbs.twimg.com/media/F3PdbI2W8AA3moy.jpg https://pbs.twimg.com/media/F3PdePWWsAEY5Pr.jpg</t>
  </si>
  <si>
    <t>https://t.co/7GbHWFc3Bc https://pbs.twimg.com/ext_tw_video_thumb/1623127987372670980/pu/img/bwI66C6SlogLXR75.jpg</t>
  </si>
  <si>
    <t>https://t.co/s6dzrqhyLf https://pbs.twimg.com/media/Fr24J0cWAAIXh7J.jpg</t>
  </si>
  <si>
    <t>https://t.co/lGRVqTcNNi https://pbs.twimg.com/media/FsT4mnbakAQF1MY.jpg</t>
  </si>
  <si>
    <t>https://t.co/6yx05r0nGX https://pbs.twimg.com/media/F3vIEEWWwAAnwAS.jpg</t>
  </si>
  <si>
    <t>https://t.co/3B3kemFGMo https://pbs.twimg.com/media/F1ZogG6WIAAbC4Z.jpg</t>
  </si>
  <si>
    <t>https://t.co/LzENDHeedR https://pbs.twimg.com/ext_tw_video_thumb/1639417058667511809/pu/img/FhHIhb7mUZtyo_li.jpg</t>
  </si>
  <si>
    <t>https://t.co/dlxvCx5dRV https://pbs.twimg.com/media/FplMmXmWcAAJZwW.jpg</t>
  </si>
  <si>
    <t>https://t.co/u879sN6JYu https://pbs.twimg.com/ext_tw_video_thumb/1672028184253022209/pu/img/Pxc7kuMTEkkfYpeu.jpg</t>
  </si>
  <si>
    <t>https://t.co/LPjXyORFZl https://pbs.twimg.com/ext_tw_video_thumb/1679846618219139072/pu/img/MDfCWmQ8a5GJv_zQ.jpg</t>
  </si>
  <si>
    <t>https://t.co/OLqkQUqRSv https://pbs.twimg.com/ext_tw_video_thumb/1707078380611342336/pu/img/4eeJkaUqDostKt03.jpg</t>
  </si>
  <si>
    <t>https://t.co/yKDV0PHUgo https://pbs.twimg.com/media/FpPzB_YXEAMDiHX.jpg</t>
  </si>
  <si>
    <t>https://t.co/LwiKvvjVnM https://pbs.twimg.com/ext_tw_video_thumb/1640494712975941633/pu/img/8mpH4R-WFWc7JY5y.jpg</t>
  </si>
  <si>
    <t>https://t.co/8pLYfJx2vK https://pbs.twimg.com/media/Fp16Ch7WIAAhlU4.jpg</t>
  </si>
  <si>
    <t>https://t.co/srI7ZETSdN https://t.co/srI7ZETSdN https://pbs.twimg.com/media/FymGgtwWwAEQXRe.jpg https://pbs.twimg.com/media/FymGg5EWcAIGTg5.jpg</t>
  </si>
  <si>
    <t>https://t.co/zc1SOdPgCi https://pbs.twimg.com/media/F6v1K8LW0AAmIfW.png</t>
  </si>
  <si>
    <t>https://t.co/k9ju0363Au https://pbs.twimg.com/media/Fy-pGvUWAAA_TAJ.jpg</t>
  </si>
  <si>
    <t>https://t.co/lbtNokofZj https://pbs.twimg.com/media/FtjCl_UXoAEMgcF.jpg</t>
  </si>
  <si>
    <t>https://t.co/E5dxkVvp8p https://pbs.twimg.com/media/FrbAm0GXgAA74eR.jpg</t>
  </si>
  <si>
    <t>https://t.co/D3g7b3RH67 https://pbs.twimg.com/media/Fs5vo2kXsAUjiBC.jpg</t>
  </si>
  <si>
    <t>https://t.co/mYcTFuMG8K https://pbs.twimg.com/media/FuPumC1WYAEsaLJ.jpg</t>
  </si>
  <si>
    <t>https://t.co/ScltDy3xsF https://pbs.twimg.com/media/Fyk6rJeXoAAYVSf.jpg</t>
  </si>
  <si>
    <t>https://t.co/46YEk5fTBP https://pbs.twimg.com/media/FvMRi8cWYAI-Hyg.jpg</t>
  </si>
  <si>
    <t>https://t.co/BQQLYJ5w1y https://pbs.twimg.com/ext_tw_video_thumb/1653839258535206921/pu/img/-BxTbOYlRKE3C5AT.jpg</t>
  </si>
  <si>
    <t>https://t.co/6O0TGcvFPU https://pbs.twimg.com/media/F1WOdRtWcAEVFtv.jpg</t>
  </si>
  <si>
    <t>https://t.co/dl6oBMV5hU https://pbs.twimg.com/media/Fsa7-iTWcAAAL5i.jpg</t>
  </si>
  <si>
    <t>https://t.co/k57Ibz9WtS https://pbs.twimg.com/media/FnvAMtjXEAMWxNN.png</t>
  </si>
  <si>
    <t>https://t.co/UbZTh7aqEe https://pbs.twimg.com/media/F1sJkIgWwAEQNYL.jpg</t>
  </si>
  <si>
    <t>https://t.co/CNUmIFKVFJ https://pbs.twimg.com/media/F1sJMo_XwAAybH_.jpg</t>
  </si>
  <si>
    <t>https://t.co/76OwFOhRAU https://pbs.twimg.com/media/F1sI7uXWYAAzNq6.jpg</t>
  </si>
  <si>
    <t>https://t.co/4YVbmpYPP0 https://pbs.twimg.com/media/F1sH6TjXwAEf4bx.jpg</t>
  </si>
  <si>
    <t>https://t.co/EcmkjN0KDT https://pbs.twimg.com/media/F1sHf8kWYAAJCe9.jpg</t>
  </si>
  <si>
    <t>https://t.co/RxVsSZleZ4 https://pbs.twimg.com/media/F1sHLHFWYAEIldu.jpg</t>
  </si>
  <si>
    <t>https://t.co/Ck7tQhp40u https://pbs.twimg.com/media/F1sGil1XsAE8wQV.jpg</t>
  </si>
  <si>
    <t>https://t.co/aDqzvWTDyk https://pbs.twimg.com/media/F1sF7QpWIAAu6PQ.jpg</t>
  </si>
  <si>
    <t>https://t.co/E6k68iERgg https://pbs.twimg.com/media/F1sEKOaXwAAtPn2.jpg</t>
  </si>
  <si>
    <t>https://t.co/yDAPsj4R7f https://pbs.twimg.com/media/F1sDwvxXoAAXVOd.jpg</t>
  </si>
  <si>
    <t>https://t.co/XKr6Hdn1wy https://pbs.twimg.com/media/F1sDfYrWAAAMdhD.jpg</t>
  </si>
  <si>
    <t>https://t.co/doNBIN4y4n https://pbs.twimg.com/media/F1sC6khXwAAcm7F.jpg</t>
  </si>
  <si>
    <t>https://t.co/JBMcmbLmwV https://pbs.twimg.com/media/F1sCZy4WcAIF9ua.jpg</t>
  </si>
  <si>
    <t>https://t.co/lEip8P8G6M https://pbs.twimg.com/media/F1sA9-MXsAE71PJ.jpg</t>
  </si>
  <si>
    <t>https://t.co/hPor681GMl https://pbs.twimg.com/media/F1sAacGX0AEMn_0.jpg</t>
  </si>
  <si>
    <t>https://t.co/OQdtj7WYAH https://pbs.twimg.com/media/F1r_r35WYAA1nhB.jpg</t>
  </si>
  <si>
    <t>https://t.co/HCFN1FIjze https://pbs.twimg.com/media/F1r9t-TXgAEgxvf.jpg</t>
  </si>
  <si>
    <t>https://t.co/SI9sFl73Ag https://pbs.twimg.com/media/F1r9T6LXsAE2mv4.jpg</t>
  </si>
  <si>
    <t>https://t.co/WxK5O9rZ5L https://pbs.twimg.com/media/F1r8zwLXsAIMw9Z.jpg</t>
  </si>
  <si>
    <t>https://t.co/xLqSEwSYmx https://pbs.twimg.com/media/F1r8buSWwAIYP1J.jpg</t>
  </si>
  <si>
    <t>https://t.co/0ehV0w1DIS https://pbs.twimg.com/media/F1r7xxaXsAUuPva.jpg</t>
  </si>
  <si>
    <t>https://t.co/kc7C1BZbl8 https://pbs.twimg.com/media/F1r2rZ6X0AA6I_b.jpg</t>
  </si>
  <si>
    <t>https://t.co/rJx6UOmVre https://pbs.twimg.com/media/F1r05N7WAAAZojg.jpg</t>
  </si>
  <si>
    <t>https://t.co/P30Mowduck https://pbs.twimg.com/media/F1r0YwzXwAAsYC2.jpg</t>
  </si>
  <si>
    <t>https://t.co/Nn9edKMudt https://pbs.twimg.com/media/F12Vc8ZWEAE_pZo.jpg</t>
  </si>
  <si>
    <t>https://t.co/HxKVaF9cGM https://pbs.twimg.com/media/F12VJmNXgAAiLUA.jpg</t>
  </si>
  <si>
    <t>https://t.co/nPhZQx417H https://pbs.twimg.com/media/F12TQ5UWIAIISp2.jpg</t>
  </si>
  <si>
    <t>https://t.co/7YFqSThSSl https://pbs.twimg.com/media/F12Sl3wXwAAjRBP.jpg</t>
  </si>
  <si>
    <t>https://t.co/8vCwUqPLTs https://pbs.twimg.com/media/F12SQ98XoAAPbnK.jpg</t>
  </si>
  <si>
    <t>https://t.co/HTA5cNYyKI https://pbs.twimg.com/media/F12R3GhXsAAWeM5.jpg</t>
  </si>
  <si>
    <t>https://t.co/gOYkYNK5l1 https://pbs.twimg.com/media/F12RfzCXwAARK0V.jpg</t>
  </si>
  <si>
    <t>https://t.co/fyX2CdedkM https://pbs.twimg.com/media/F12Qz6kWcAIjcp0.jpg</t>
  </si>
  <si>
    <t>https://t.co/08pCpI0W1S https://pbs.twimg.com/media/F12QggeWYAMqOQI.jpg</t>
  </si>
  <si>
    <t>https://t.co/ondVZiOoU3 https://pbs.twimg.com/media/F12Opw-XwAEfjVJ.jpg</t>
  </si>
  <si>
    <t>https://t.co/Zg47FBXQLH https://pbs.twimg.com/media/F12OSNsWcAIvaYk.jpg</t>
  </si>
  <si>
    <t>https://t.co/ZdPif6e6a9 https://pbs.twimg.com/media/F12N12uWIAAURnm.jpg</t>
  </si>
  <si>
    <t>https://t.co/Go5DuvmD3Y https://pbs.twimg.com/media/F12Ne-cXgAI_6Nw.jpg</t>
  </si>
  <si>
    <t>https://t.co/lec02Xkfw2 https://pbs.twimg.com/media/F12NAcTX0AIUDmQ.jpg</t>
  </si>
  <si>
    <t>https://t.co/3Q8Tf53L8A https://pbs.twimg.com/media/F12MqijWEAQGG-_.jpg</t>
  </si>
  <si>
    <t>https://t.co/qA06q4TQnO https://pbs.twimg.com/media/F12L9ekXoAE4j2P.jpg</t>
  </si>
  <si>
    <t>https://t.co/9wpjI9IP3V https://pbs.twimg.com/media/F1sLJ3tXgAA0IVw.jpg</t>
  </si>
  <si>
    <t>https://t.co/8qbCfx7esY https://pbs.twimg.com/media/F1sK2xXXgAA9XMd.jpg</t>
  </si>
  <si>
    <t>https://t.co/8DiozIh0h8 https://pbs.twimg.com/media/F1sKgWqXgAAfZ6P.png</t>
  </si>
  <si>
    <t>https://t.co/PhpLpIdaIu https://pbs.twimg.com/media/Fw1r2ILXoAEWtRl.jpg</t>
  </si>
  <si>
    <t>https://t.co/vyIISTRv2K https://pbs.twimg.com/media/F4lKH2eWcAAHDtb.jpg</t>
  </si>
  <si>
    <t>https://t.co/N7K4wbFeGk https://pbs.twimg.com/media/F4lKmtHW8AA0oJi.jpg</t>
  </si>
  <si>
    <t>https://t.co/IdDqHzmMOt https://pbs.twimg.com/media/F4lNFJnWEAABoXs.jpg</t>
  </si>
  <si>
    <t>https://t.co/pkL75kwKpG https://pbs.twimg.com/media/F4lMn7vXQAAYbxt.jpg</t>
  </si>
  <si>
    <t>https://t.co/jUZvl4YYu0 https://pbs.twimg.com/media/F4lK1GXXwAAF7Gg.jpg</t>
  </si>
  <si>
    <t>https://t.co/8qPn6aufot https://pbs.twimg.com/ext_tw_video_thumb/1680961524221853696/pu/img/9koeLM50Jhi3xLXp.jpg</t>
  </si>
  <si>
    <t>https://t.co/LYB9fdwAxn https://t.co/LYB9fdwAxn https://t.co/LYB9fdwAxn https://t.co/LYB9fdwAxn https://pbs.twimg.com/media/Ftnp9qXX0BcsJYB.jpg https://pbs.twimg.com/media/Ftnp9qjX0AYQAtA.jpg https://pbs.twimg.com/media/Ftnp9qXXoAEwCKr.jpg https://pbs.twimg.com/media/Ftnp9qaX0Aoo3hI.jpg</t>
  </si>
  <si>
    <t>https://t.co/aX9ulOcbot https://pbs.twimg.com/media/FtuwA0EWYAA9bcI.jpg</t>
  </si>
  <si>
    <t>https://t.co/uFcx0wv3fN https://pbs.twimg.com/media/Fyw9CdpXgBIobEt.jpg</t>
  </si>
  <si>
    <t>https://t.co/fzSYbzdaQ5 https://pbs.twimg.com/media/FyW51GNWAAIWL0H.jpg</t>
  </si>
  <si>
    <t>https://t.co/LxxZgp77Zz https://pbs.twimg.com/media/FqKAFgZX0Akm0xR.jpg</t>
  </si>
  <si>
    <t>https://t.co/FzNzIIhZBi https://t.co/FzNzIIhZBi https://pbs.twimg.com/ext_tw_video_thumb/1634434969547206657/pu/img/YmLtiJcvyVLu1wpd.jpg https://pbs.twimg.com/ext_tw_video_thumb/1634434969547296769/pu/img/oEX-nty5wMIEFRey.jpg</t>
  </si>
  <si>
    <t>https://t.co/6I4wsJ1PX8 https://pbs.twimg.com/media/FoQYtYNWYAI0KJG.jpg</t>
  </si>
  <si>
    <t>https://t.co/NvYJ5vDtnu https://pbs.twimg.com/ext_tw_video_thumb/1629229429334462465/pu/img/k94ojVZqSjVw7ddA.jpg</t>
  </si>
  <si>
    <t>https://t.co/FNxAIm2HEK https://pbs.twimg.com/ext_tw_video_thumb/1704157611086528512/pu/img/zai4IgeBttZN2azY.jpg</t>
  </si>
  <si>
    <t>https://t.co/3WPANt3v3T https://pbs.twimg.com/media/FqE7GwzWIAcOczb.jpg</t>
  </si>
  <si>
    <t>https://t.co/pmFSelm6q0 https://pbs.twimg.com/media/Fp9mBlIXgAAaQeC.jpg</t>
  </si>
  <si>
    <t>https://t.co/A5PVJsJbBs https://pbs.twimg.com/media/Fp2PxnPX0AAViOh.jpg</t>
  </si>
  <si>
    <t>https://t.co/mGAm2oFbGX https://pbs.twimg.com/media/FpnlButXwAEX-C3.jpg</t>
  </si>
  <si>
    <t>https://t.co/Sw1APeJyyi https://pbs.twimg.com/media/FpgP6gGXwAIDmDF.jpg</t>
  </si>
  <si>
    <t>https://t.co/ZtUOexlTas https://pbs.twimg.com/media/FtMvGiWWAAUM7ap.jpg</t>
  </si>
  <si>
    <t>https://t.co/S4qt4R0z3b https://pbs.twimg.com/media/FolXRYnXsAA35Hy.jpg</t>
  </si>
  <si>
    <t>https://t.co/rHpSGJGpU4 https://pbs.twimg.com/media/Ftisbb3WcAAoH7u.jpg</t>
  </si>
  <si>
    <t>https://t.co/ArwdAERuxX https://pbs.twimg.com/media/Fo-ylFIXsAIEuNQ.jpg</t>
  </si>
  <si>
    <t>https://t.co/FeutOEIKvw https://pbs.twimg.com/media/Fow_V3WXwAIOpEX.jpg</t>
  </si>
  <si>
    <t>https://t.co/x88YAZOXg2 https://pbs.twimg.com/media/FsI_ujVXgAIzHIq.jpg</t>
  </si>
  <si>
    <t>https://t.co/KNW0CTDf7G https://pbs.twimg.com/media/FpY6nFzXoAIoD8p.jpg</t>
  </si>
  <si>
    <t>https://t.co/HTJcPGqIk3 https://pbs.twimg.com/media/Fse89MCXsAQErAP.jpg</t>
  </si>
  <si>
    <t>https://t.co/oHb8YLY6ne https://pbs.twimg.com/media/FqTyTfPWABMfrAc.jpg</t>
  </si>
  <si>
    <t>https://t.co/2QwxB1pNnQ https://pbs.twimg.com/media/FqMdJp1WwAEu5Ud.jpg</t>
  </si>
  <si>
    <t>https://t.co/k0H0vVvJsI https://pbs.twimg.com/media/Ft4osLPWcAULqsG.jpg</t>
  </si>
  <si>
    <t>https://t.co/65P7DYJ1mN https://pbs.twimg.com/media/FvN9QwZXsAAYisJ.jpg</t>
  </si>
  <si>
    <t>https://t.co/LkM64IqlNK https://pbs.twimg.com/media/Fs04lK0WYAImG8N.jpg</t>
  </si>
  <si>
    <t>https://t.co/zB9OqRM2zo https://pbs.twimg.com/media/FoSimrfWYAEIKEB.jpg</t>
  </si>
  <si>
    <t>https://t.co/IZThCF8M59 https://pbs.twimg.com/media/FoP9UQ2XwAEpmzY.jpg</t>
  </si>
  <si>
    <t>https://t.co/HyQxVvO1Gm https://pbs.twimg.com/media/FoMEH72WQAI0fEJ.jpg</t>
  </si>
  <si>
    <t>https://t.co/uqAcDNKNho https://pbs.twimg.com/media/FvMqsmXX0AAN1gN.jpg</t>
  </si>
  <si>
    <t>https://t.co/rCvOgg1jBb https://pbs.twimg.com/media/Foh32HtXgAoBkzI.jpg</t>
  </si>
  <si>
    <t>https://t.co/1fG5FyLvZl https://pbs.twimg.com/media/FoeZbqdXsAAu2ZL.jpg</t>
  </si>
  <si>
    <t>https://t.co/zzMGux1l6D https://pbs.twimg.com/media/FyyDZRUWcAI_p_d.png</t>
  </si>
  <si>
    <t>https://t.co/kMGJp6pAzI https://t.co/kMGJp6pAzI https://pbs.twimg.com/media/FwGRSmAWAAEW7FR.jpg https://pbs.twimg.com/media/FwGRUdHX0AUfYdq.jpg</t>
  </si>
  <si>
    <t>https://t.co/fXXvuV0RRR https://pbs.twimg.com/media/Fz9npYIWYAE4ql-.jpg</t>
  </si>
  <si>
    <t>https://t.co/H1lO5HukMe https://pbs.twimg.com/ext_tw_video_thumb/1658601295308005376/pu/img/4BiedyPUczrOQrRo.jpg</t>
  </si>
  <si>
    <t>https://t.co/6hKcwNvU82 https://pbs.twimg.com/ext_tw_video_thumb/1662940520006533121/pu/img/RLjNJTu4SITXqeEI.jpg</t>
  </si>
  <si>
    <t>https://t.co/fFNerTS4oi https://pbs.twimg.com/media/Ft7N2cdX0AMhU9i.jpg</t>
  </si>
  <si>
    <t>https://t.co/OaSaksswRK https://t.co/OaSaksswRK https://pbs.twimg.com/ext_tw_video_thumb/1662819271406149632/pu/img/ERthNmWCfYA_Z2vL.jpg https://pbs.twimg.com/media/FxOFeLPX0AAUl0b.jpg</t>
  </si>
  <si>
    <t>https://t.co/jWbUi6Deek https://pbs.twimg.com/media/FpBOOgPXwAAjYek.jpg</t>
  </si>
  <si>
    <t>https://t.co/uQ9SMk5YvY https://pbs.twimg.com/ext_tw_video_thumb/1651274971035975719/pu/img/VFf8NhAxo_bxp4RP.jpg</t>
  </si>
  <si>
    <t>https://t.co/7Drr5X7J9D https://pbs.twimg.com/tweet_video_thumb/F3fnHSHWwAA_RHp.jpg</t>
  </si>
  <si>
    <t>https://t.co/MGBpbMUxf9 https://pbs.twimg.com/ext_tw_video_thumb/1675977186065494016/pu/img/Z3TKs9hjL7JYVu2K.jpg</t>
  </si>
  <si>
    <t>https://t.co/nj6TUlcXae https://pbs.twimg.com/media/Fp-foj2XoAABpcJ.jpg</t>
  </si>
  <si>
    <t>https://t.co/1KvRpsSdZe https://pbs.twimg.com/media/Foh5MbsXgAMK43R.jpg</t>
  </si>
  <si>
    <t>https://t.co/iNrcconkKs https://pbs.twimg.com/ext_tw_video_thumb/1690189081274159104/pu/img/s6Byase6G1iqUpbf.jpg</t>
  </si>
  <si>
    <t>https://t.co/pH1lOun8pV https://pbs.twimg.com/ext_tw_video_thumb/1695008495840403456/pu/img/mN2sFdR6Ckn8ddxN.jpg</t>
  </si>
  <si>
    <t>https://t.co/40fzvLeh0b https://pbs.twimg.com/ext_tw_video_thumb/1696580837804797952/pu/img/18viz9NSYxIe0ZAr.jpg</t>
  </si>
  <si>
    <t>https://t.co/89j5swgWEI https://pbs.twimg.com/ext_tw_video_thumb/1668952375292223488/pu/img/OLrt2XJahBOIBlab.jpg</t>
  </si>
  <si>
    <t>photo photo</t>
  </si>
  <si>
    <t>video</t>
  </si>
  <si>
    <t>photo</t>
  </si>
  <si>
    <t>photo photo photo photo</t>
  </si>
  <si>
    <t>photo photo photo</t>
  </si>
  <si>
    <t>animated_gif</t>
  </si>
  <si>
    <t>photo video</t>
  </si>
  <si>
    <t>video video video</t>
  </si>
  <si>
    <t>video photo</t>
  </si>
  <si>
    <t>photo video photo</t>
  </si>
  <si>
    <t>photo photo video video</t>
  </si>
  <si>
    <t>photo video video photo</t>
  </si>
  <si>
    <t>video video photo</t>
  </si>
  <si>
    <t>photo video photo photo</t>
  </si>
  <si>
    <t>video photo photo photo</t>
  </si>
  <si>
    <t>video video</t>
  </si>
  <si>
    <t>Twitter for Android</t>
  </si>
  <si>
    <t>Twitter for iPhone</t>
  </si>
  <si>
    <t>Twitter Web App</t>
  </si>
  <si>
    <t>mLabs - Gestão de Redes Sociais</t>
  </si>
  <si>
    <t>Instagram</t>
  </si>
  <si>
    <t>bot_ministerial</t>
  </si>
  <si>
    <t>TweetDeck Web App</t>
  </si>
  <si>
    <t>Zapier.com</t>
  </si>
  <si>
    <t>FlordeLisApp</t>
  </si>
  <si>
    <t>BuilderAll Social Autopost</t>
  </si>
  <si>
    <t>Etus Brasil</t>
  </si>
  <si>
    <t>erased14839781_Is7RguJylf</t>
  </si>
  <si>
    <t>Buffer</t>
  </si>
  <si>
    <t>IFTTT</t>
  </si>
  <si>
    <t>Planable</t>
  </si>
  <si>
    <t>App_Como_Fazer</t>
  </si>
  <si>
    <t>Wix Apps</t>
  </si>
  <si>
    <t>TweetDeck</t>
  </si>
  <si>
    <t>Make (formerly Integromat)</t>
  </si>
  <si>
    <t>Multibrain.me</t>
  </si>
  <si>
    <t>erased26398912_ZlMiScWbHx</t>
  </si>
  <si>
    <t>erased23016371_k0ObkZsw7p</t>
  </si>
  <si>
    <t>FSPostApp2023</t>
  </si>
  <si>
    <t>LinkedIn</t>
  </si>
  <si>
    <t>erased26509051_T4gKkfW6wa</t>
  </si>
  <si>
    <t>Sprout Social</t>
  </si>
  <si>
    <t>Hootsuite Inc.</t>
  </si>
  <si>
    <t>Bot_cripto</t>
  </si>
  <si>
    <t>bot_joinville</t>
  </si>
  <si>
    <t>bot_metaverso</t>
  </si>
  <si>
    <t>tidomundo_app</t>
  </si>
  <si>
    <t>Discover Recipes</t>
  </si>
  <si>
    <t>Blog2Social APP</t>
  </si>
  <si>
    <t>Spreaker</t>
  </si>
  <si>
    <t>Kwai app</t>
  </si>
  <si>
    <t>bot_twitter_tube_trends</t>
  </si>
  <si>
    <t>Semrush Social Media Tool</t>
  </si>
  <si>
    <t>bot_foruns</t>
  </si>
  <si>
    <t>bot_low</t>
  </si>
  <si>
    <t>qme</t>
  </si>
  <si>
    <t>pt</t>
  </si>
  <si>
    <t>en</t>
  </si>
  <si>
    <t>qht</t>
  </si>
  <si>
    <t>es</t>
  </si>
  <si>
    <t>ca</t>
  </si>
  <si>
    <t>und</t>
  </si>
  <si>
    <t>in</t>
  </si>
  <si>
    <t>ht</t>
  </si>
  <si>
    <t>it</t>
  </si>
  <si>
    <t>fr</t>
  </si>
  <si>
    <t>fi</t>
  </si>
  <si>
    <t>zxx</t>
  </si>
  <si>
    <t>et</t>
  </si>
  <si>
    <t>ro</t>
  </si>
  <si>
    <t>no</t>
  </si>
  <si>
    <t>hi</t>
  </si>
  <si>
    <t>13:22:33</t>
  </si>
  <si>
    <t>01:55:05</t>
  </si>
  <si>
    <t>13:17:58</t>
  </si>
  <si>
    <t>17:31:23</t>
  </si>
  <si>
    <t>14:54:16</t>
  </si>
  <si>
    <t>19:16:11</t>
  </si>
  <si>
    <t>21:06:09</t>
  </si>
  <si>
    <t>16:22:02</t>
  </si>
  <si>
    <t>09:07:28</t>
  </si>
  <si>
    <t>05:58:01</t>
  </si>
  <si>
    <t>16:57:48</t>
  </si>
  <si>
    <t>02:04:47</t>
  </si>
  <si>
    <t>15:41:46</t>
  </si>
  <si>
    <t>00:39:09</t>
  </si>
  <si>
    <t>18:04:22</t>
  </si>
  <si>
    <t>20:20:09</t>
  </si>
  <si>
    <t>13:16:44</t>
  </si>
  <si>
    <t>01:04:08</t>
  </si>
  <si>
    <t>23:55:23</t>
  </si>
  <si>
    <t>00:02:56</t>
  </si>
  <si>
    <t>20:33:59</t>
  </si>
  <si>
    <t>21:15:30</t>
  </si>
  <si>
    <t>15:15:52</t>
  </si>
  <si>
    <t>02:18:07</t>
  </si>
  <si>
    <t>15:29:57</t>
  </si>
  <si>
    <t>00:28:14</t>
  </si>
  <si>
    <t>12:25:40</t>
  </si>
  <si>
    <t>12:18:20</t>
  </si>
  <si>
    <t>13:20:28</t>
  </si>
  <si>
    <t>20:45:57</t>
  </si>
  <si>
    <t>15:48:57</t>
  </si>
  <si>
    <t>13:43:42</t>
  </si>
  <si>
    <t>09:16:51</t>
  </si>
  <si>
    <t>10:29:41</t>
  </si>
  <si>
    <t>20:37:41</t>
  </si>
  <si>
    <t>10:24:38</t>
  </si>
  <si>
    <t>16:50:52</t>
  </si>
  <si>
    <t>21:41:53</t>
  </si>
  <si>
    <t>18:21:32</t>
  </si>
  <si>
    <t>12:08:09</t>
  </si>
  <si>
    <t>18:08:13</t>
  </si>
  <si>
    <t>11:49:37</t>
  </si>
  <si>
    <t>14:09:53</t>
  </si>
  <si>
    <t>00:42:11</t>
  </si>
  <si>
    <t>20:50:19</t>
  </si>
  <si>
    <t>09:37:54</t>
  </si>
  <si>
    <t>10:22:25</t>
  </si>
  <si>
    <t>17:06:09</t>
  </si>
  <si>
    <t>08:41:51</t>
  </si>
  <si>
    <t>16:02:18</t>
  </si>
  <si>
    <t>01:10:18</t>
  </si>
  <si>
    <t>08:00:00</t>
  </si>
  <si>
    <t>18:27:17</t>
  </si>
  <si>
    <t>04:54:18</t>
  </si>
  <si>
    <t>17:37:04</t>
  </si>
  <si>
    <t>23:52:31</t>
  </si>
  <si>
    <t>12:45:53</t>
  </si>
  <si>
    <t>19:16:20</t>
  </si>
  <si>
    <t>16:35:19</t>
  </si>
  <si>
    <t>14:29:17</t>
  </si>
  <si>
    <t>23:34:08</t>
  </si>
  <si>
    <t>21:10:08</t>
  </si>
  <si>
    <t>17:21:59</t>
  </si>
  <si>
    <t>20:33:54</t>
  </si>
  <si>
    <t>02:56:06</t>
  </si>
  <si>
    <t>15:54:09</t>
  </si>
  <si>
    <t>13:10:30</t>
  </si>
  <si>
    <t>11:24:50</t>
  </si>
  <si>
    <t>12:40:21</t>
  </si>
  <si>
    <t>18:04:41</t>
  </si>
  <si>
    <t>22:00:48</t>
  </si>
  <si>
    <t>00:31:17</t>
  </si>
  <si>
    <t>07:37:11</t>
  </si>
  <si>
    <t>21:39:48</t>
  </si>
  <si>
    <t>23:56:58</t>
  </si>
  <si>
    <t>17:52:20</t>
  </si>
  <si>
    <t>23:13:50</t>
  </si>
  <si>
    <t>09:39:55</t>
  </si>
  <si>
    <t>11:28:39</t>
  </si>
  <si>
    <t>12:51:05</t>
  </si>
  <si>
    <t>16:36:28</t>
  </si>
  <si>
    <t>14:15:08</t>
  </si>
  <si>
    <t>15:06:28</t>
  </si>
  <si>
    <t>00:50:39</t>
  </si>
  <si>
    <t>09:59:20</t>
  </si>
  <si>
    <t>03:11:40</t>
  </si>
  <si>
    <t>14:00:24</t>
  </si>
  <si>
    <t>02:43:44</t>
  </si>
  <si>
    <t>16:35:59</t>
  </si>
  <si>
    <t>15:47:50</t>
  </si>
  <si>
    <t>17:04:28</t>
  </si>
  <si>
    <t>18:31:19</t>
  </si>
  <si>
    <t>18:17:28</t>
  </si>
  <si>
    <t>17:43:05</t>
  </si>
  <si>
    <t>15:25:13</t>
  </si>
  <si>
    <t>20:36:48</t>
  </si>
  <si>
    <t>12:08:32</t>
  </si>
  <si>
    <t>23:28:26</t>
  </si>
  <si>
    <t>21:06:10</t>
  </si>
  <si>
    <t>22:28:08</t>
  </si>
  <si>
    <t>20:40:42</t>
  </si>
  <si>
    <t>22:52:07</t>
  </si>
  <si>
    <t>19:10:07</t>
  </si>
  <si>
    <t>20:49:15</t>
  </si>
  <si>
    <t>20:19:17</t>
  </si>
  <si>
    <t>11:15:17</t>
  </si>
  <si>
    <t>11:18:22</t>
  </si>
  <si>
    <t>10:49:51</t>
  </si>
  <si>
    <t>22:35:22</t>
  </si>
  <si>
    <t>19:27:48</t>
  </si>
  <si>
    <t>19:21:00</t>
  </si>
  <si>
    <t>11:52:33</t>
  </si>
  <si>
    <t>12:30:14</t>
  </si>
  <si>
    <t>14:43:40</t>
  </si>
  <si>
    <t>16:57:06</t>
  </si>
  <si>
    <t>09:56:56</t>
  </si>
  <si>
    <t>20:08:09</t>
  </si>
  <si>
    <t>20:01:57</t>
  </si>
  <si>
    <t>18:06:54</t>
  </si>
  <si>
    <t>13:24:44</t>
  </si>
  <si>
    <t>10:47:01</t>
  </si>
  <si>
    <t>12:12:27</t>
  </si>
  <si>
    <t>01:53:10</t>
  </si>
  <si>
    <t>06:43:35</t>
  </si>
  <si>
    <t>01:04:40</t>
  </si>
  <si>
    <t>23:07:37</t>
  </si>
  <si>
    <t>14:38:40</t>
  </si>
  <si>
    <t>10:04:24</t>
  </si>
  <si>
    <t>01:09:20</t>
  </si>
  <si>
    <t>22:30:03</t>
  </si>
  <si>
    <t>23:00:01</t>
  </si>
  <si>
    <t>23:12:33</t>
  </si>
  <si>
    <t>17:03:39</t>
  </si>
  <si>
    <t>19:52:00</t>
  </si>
  <si>
    <t>21:59:42</t>
  </si>
  <si>
    <t>23:28:25</t>
  </si>
  <si>
    <t>00:22:39</t>
  </si>
  <si>
    <t>13:41:57</t>
  </si>
  <si>
    <t>00:52:26</t>
  </si>
  <si>
    <t>05:15:27</t>
  </si>
  <si>
    <t>23:06:31</t>
  </si>
  <si>
    <t>17:25:43</t>
  </si>
  <si>
    <t>18:23:07</t>
  </si>
  <si>
    <t>16:46:26</t>
  </si>
  <si>
    <t>22:45:29</t>
  </si>
  <si>
    <t>00:55:03</t>
  </si>
  <si>
    <t>21:20:37</t>
  </si>
  <si>
    <t>00:31:19</t>
  </si>
  <si>
    <t>00:27:19</t>
  </si>
  <si>
    <t>10:25:38</t>
  </si>
  <si>
    <t>04:29:18</t>
  </si>
  <si>
    <t>16:00:25</t>
  </si>
  <si>
    <t>23:42:40</t>
  </si>
  <si>
    <t>12:49:15</t>
  </si>
  <si>
    <t>12:45:15</t>
  </si>
  <si>
    <t>12:45:10</t>
  </si>
  <si>
    <t>17:50:10</t>
  </si>
  <si>
    <t>21:14:13</t>
  </si>
  <si>
    <t>02:51:34</t>
  </si>
  <si>
    <t>02:15:45</t>
  </si>
  <si>
    <t>14:05:15</t>
  </si>
  <si>
    <t>20:37:03</t>
  </si>
  <si>
    <t>16:42:53</t>
  </si>
  <si>
    <t>14:29:30</t>
  </si>
  <si>
    <t>18:53:50</t>
  </si>
  <si>
    <t>15:44:21</t>
  </si>
  <si>
    <t>14:06:42</t>
  </si>
  <si>
    <t>19:35:03</t>
  </si>
  <si>
    <t>14:44:27</t>
  </si>
  <si>
    <t>15:53:17</t>
  </si>
  <si>
    <t>16:47:32</t>
  </si>
  <si>
    <t>00:19:19</t>
  </si>
  <si>
    <t>12:53:30</t>
  </si>
  <si>
    <t>18:03:34</t>
  </si>
  <si>
    <t>16:01:29</t>
  </si>
  <si>
    <t>20:48:53</t>
  </si>
  <si>
    <t>11:51:30</t>
  </si>
  <si>
    <t>20:43:29</t>
  </si>
  <si>
    <t>06:06:33</t>
  </si>
  <si>
    <t>12:09:40</t>
  </si>
  <si>
    <t>11:51:15</t>
  </si>
  <si>
    <t>13:05:26</t>
  </si>
  <si>
    <t>15:07:16</t>
  </si>
  <si>
    <t>15:03:55</t>
  </si>
  <si>
    <t>19:00:59</t>
  </si>
  <si>
    <t>12:00:02</t>
  </si>
  <si>
    <t>03:37:54</t>
  </si>
  <si>
    <t>18:41:44</t>
  </si>
  <si>
    <t>00:05:08</t>
  </si>
  <si>
    <t>22:21:31</t>
  </si>
  <si>
    <t>00:11:31</t>
  </si>
  <si>
    <t>19:02:23</t>
  </si>
  <si>
    <t>03:55:43</t>
  </si>
  <si>
    <t>19:42:02</t>
  </si>
  <si>
    <t>10:03:16</t>
  </si>
  <si>
    <t>20:29:09</t>
  </si>
  <si>
    <t>16:18:30</t>
  </si>
  <si>
    <t>14:07:06</t>
  </si>
  <si>
    <t>11:00:02</t>
  </si>
  <si>
    <t>14:13:33</t>
  </si>
  <si>
    <t>11:05:00</t>
  </si>
  <si>
    <t>15:53:08</t>
  </si>
  <si>
    <t>01:55:11</t>
  </si>
  <si>
    <t>21:13:17</t>
  </si>
  <si>
    <t>20:58:05</t>
  </si>
  <si>
    <t>03:01:42</t>
  </si>
  <si>
    <t>15:08:28</t>
  </si>
  <si>
    <t>22:27:19</t>
  </si>
  <si>
    <t>10:27:16</t>
  </si>
  <si>
    <t>18:59:04</t>
  </si>
  <si>
    <t>17:56:25</t>
  </si>
  <si>
    <t>17:36:17</t>
  </si>
  <si>
    <t>12:35:38</t>
  </si>
  <si>
    <t>21:08:31</t>
  </si>
  <si>
    <t>17:06:18</t>
  </si>
  <si>
    <t>17:27:27</t>
  </si>
  <si>
    <t>17:44:52</t>
  </si>
  <si>
    <t>15:25:05</t>
  </si>
  <si>
    <t>15:07:44</t>
  </si>
  <si>
    <t>06:03:01</t>
  </si>
  <si>
    <t>21:01:05</t>
  </si>
  <si>
    <t>18:01:04</t>
  </si>
  <si>
    <t>10:00:48</t>
  </si>
  <si>
    <t>21:00:59</t>
  </si>
  <si>
    <t>18:00:56</t>
  </si>
  <si>
    <t>13:00:59</t>
  </si>
  <si>
    <t>23:00:55</t>
  </si>
  <si>
    <t>22:01:07</t>
  </si>
  <si>
    <t>21:00:58</t>
  </si>
  <si>
    <t>18:00:52</t>
  </si>
  <si>
    <t>13:00:52</t>
  </si>
  <si>
    <t>03:00:35</t>
  </si>
  <si>
    <t>02:30:15</t>
  </si>
  <si>
    <t>02:00:21</t>
  </si>
  <si>
    <t>01:30:31</t>
  </si>
  <si>
    <t>01:30:14</t>
  </si>
  <si>
    <t>00:01:00</t>
  </si>
  <si>
    <t>23:30:43</t>
  </si>
  <si>
    <t>23:00:46</t>
  </si>
  <si>
    <t>22:30:32</t>
  </si>
  <si>
    <t>22:00:54</t>
  </si>
  <si>
    <t>21:30:30</t>
  </si>
  <si>
    <t>21:01:00</t>
  </si>
  <si>
    <t>20:30:28</t>
  </si>
  <si>
    <t>20:00:47</t>
  </si>
  <si>
    <t>19:30:32</t>
  </si>
  <si>
    <t>19:01:02</t>
  </si>
  <si>
    <t>18:50:12</t>
  </si>
  <si>
    <t>01:00:37</t>
  </si>
  <si>
    <t>00:30:36</t>
  </si>
  <si>
    <t>15:37:36</t>
  </si>
  <si>
    <t>15:48:37</t>
  </si>
  <si>
    <t>15:38:25</t>
  </si>
  <si>
    <t>15:28:31</t>
  </si>
  <si>
    <t>15:30:42</t>
  </si>
  <si>
    <t>15:54:36</t>
  </si>
  <si>
    <t>15:35:01</t>
  </si>
  <si>
    <t>15:02:59</t>
  </si>
  <si>
    <t>23:19:29</t>
  </si>
  <si>
    <t>22:09:48</t>
  </si>
  <si>
    <t>22:08:25</t>
  </si>
  <si>
    <t>01:44:30</t>
  </si>
  <si>
    <t>00:44:27</t>
  </si>
  <si>
    <t>00:43:56</t>
  </si>
  <si>
    <t>03:16:00</t>
  </si>
  <si>
    <t>12:56:54</t>
  </si>
  <si>
    <t>11:41:29</t>
  </si>
  <si>
    <t>21:01:22</t>
  </si>
  <si>
    <t>16:19:59</t>
  </si>
  <si>
    <t>17:08:49</t>
  </si>
  <si>
    <t>17:13:26</t>
  </si>
  <si>
    <t>13:51:30</t>
  </si>
  <si>
    <t>17:26:02</t>
  </si>
  <si>
    <t>18:39:14</t>
  </si>
  <si>
    <t>18:08:29</t>
  </si>
  <si>
    <t>00:06:10</t>
  </si>
  <si>
    <t>01:21:04</t>
  </si>
  <si>
    <t>02:12:08</t>
  </si>
  <si>
    <t>13:28:37</t>
  </si>
  <si>
    <t>21:08:06</t>
  </si>
  <si>
    <t>00:33:22</t>
  </si>
  <si>
    <t>14:06:49</t>
  </si>
  <si>
    <t>14:04:05</t>
  </si>
  <si>
    <t>13:59:10</t>
  </si>
  <si>
    <t>13:48:48</t>
  </si>
  <si>
    <t>13:40:33</t>
  </si>
  <si>
    <t>13:26:01</t>
  </si>
  <si>
    <t>23:39:06</t>
  </si>
  <si>
    <t>18:30:57</t>
  </si>
  <si>
    <t>17:09:06</t>
  </si>
  <si>
    <t>06:06:35</t>
  </si>
  <si>
    <t>16:15:00</t>
  </si>
  <si>
    <t>18:58:52</t>
  </si>
  <si>
    <t>18:11:00</t>
  </si>
  <si>
    <t>23:03:18</t>
  </si>
  <si>
    <t>00:54:44</t>
  </si>
  <si>
    <t>08:39:17</t>
  </si>
  <si>
    <t>08:16:10</t>
  </si>
  <si>
    <t>09:43:39</t>
  </si>
  <si>
    <t>12:39:00</t>
  </si>
  <si>
    <t>13:36:26</t>
  </si>
  <si>
    <t>08:48:40</t>
  </si>
  <si>
    <t>17:47:38</t>
  </si>
  <si>
    <t>09:43:01</t>
  </si>
  <si>
    <t>17:16:18</t>
  </si>
  <si>
    <t>20:15:09</t>
  </si>
  <si>
    <t>18:00:01</t>
  </si>
  <si>
    <t>18:00:02</t>
  </si>
  <si>
    <t>02:21:30</t>
  </si>
  <si>
    <t>20:57:31</t>
  </si>
  <si>
    <t>14:39:09</t>
  </si>
  <si>
    <t>17:28:00</t>
  </si>
  <si>
    <t>20:57:22</t>
  </si>
  <si>
    <t>20:36:41</t>
  </si>
  <si>
    <t>17:43:34</t>
  </si>
  <si>
    <t>14:09:24</t>
  </si>
  <si>
    <t>22:49:38</t>
  </si>
  <si>
    <t>11:50:21</t>
  </si>
  <si>
    <t>03:03:53</t>
  </si>
  <si>
    <t>17:56:24</t>
  </si>
  <si>
    <t>09:47:52</t>
  </si>
  <si>
    <t>02:22:10</t>
  </si>
  <si>
    <t>01:44:55</t>
  </si>
  <si>
    <t>19:06:51</t>
  </si>
  <si>
    <t>21:22:20</t>
  </si>
  <si>
    <t>19:00:58</t>
  </si>
  <si>
    <t>23:07:53</t>
  </si>
  <si>
    <t>19:56:37</t>
  </si>
  <si>
    <t>03:30:15</t>
  </si>
  <si>
    <t>16:48:21</t>
  </si>
  <si>
    <t>23:54:58</t>
  </si>
  <si>
    <t>22:02:53</t>
  </si>
  <si>
    <t>22:43:13</t>
  </si>
  <si>
    <t>17:31:54</t>
  </si>
  <si>
    <t>15:21:31</t>
  </si>
  <si>
    <t>15:33:03</t>
  </si>
  <si>
    <t>03:44:20</t>
  </si>
  <si>
    <t>20:31:50</t>
  </si>
  <si>
    <t>22:52:58</t>
  </si>
  <si>
    <t>17:14:14</t>
  </si>
  <si>
    <t>19:03:15</t>
  </si>
  <si>
    <t>18:07:50</t>
  </si>
  <si>
    <t>12:00:27</t>
  </si>
  <si>
    <t>14:57:17</t>
  </si>
  <si>
    <t>12:01:52</t>
  </si>
  <si>
    <t>22:00:17</t>
  </si>
  <si>
    <t>15:38:18</t>
  </si>
  <si>
    <t>12:48:02</t>
  </si>
  <si>
    <t>15:25:59</t>
  </si>
  <si>
    <t>14:26:07</t>
  </si>
  <si>
    <t>11:48:29</t>
  </si>
  <si>
    <t>11:47:50</t>
  </si>
  <si>
    <t>11:47:20</t>
  </si>
  <si>
    <t>10:06:36</t>
  </si>
  <si>
    <t>13:00:01</t>
  </si>
  <si>
    <t>12:30:00</t>
  </si>
  <si>
    <t>09:50:45</t>
  </si>
  <si>
    <t>09:49:07</t>
  </si>
  <si>
    <t>13:27:00</t>
  </si>
  <si>
    <t>02:27:00</t>
  </si>
  <si>
    <t>00:26:00</t>
  </si>
  <si>
    <t>10:40:39</t>
  </si>
  <si>
    <t>10:40:02</t>
  </si>
  <si>
    <t>10:39:34</t>
  </si>
  <si>
    <t>13:39:52</t>
  </si>
  <si>
    <t>13:38:29</t>
  </si>
  <si>
    <t>13:37:22</t>
  </si>
  <si>
    <t>10:06:05</t>
  </si>
  <si>
    <t>10:02:52</t>
  </si>
  <si>
    <t>10:02:19</t>
  </si>
  <si>
    <t>06:32:13</t>
  </si>
  <si>
    <t>06:31:32</t>
  </si>
  <si>
    <t>06:31:20</t>
  </si>
  <si>
    <t>06:31:10</t>
  </si>
  <si>
    <t>06:30:57</t>
  </si>
  <si>
    <t>12:18:00</t>
  </si>
  <si>
    <t>13:52:42</t>
  </si>
  <si>
    <t>13:52:05</t>
  </si>
  <si>
    <t>13:50:20</t>
  </si>
  <si>
    <t>01:29:00</t>
  </si>
  <si>
    <t>22:28:00</t>
  </si>
  <si>
    <t>08:08:32</t>
  </si>
  <si>
    <t>08:08:04</t>
  </si>
  <si>
    <t>08:07:33</t>
  </si>
  <si>
    <t>08:06:51</t>
  </si>
  <si>
    <t>08:06:09</t>
  </si>
  <si>
    <t>08:05:55</t>
  </si>
  <si>
    <t>22:22:00</t>
  </si>
  <si>
    <t>21:02:00</t>
  </si>
  <si>
    <t>13:36:18</t>
  </si>
  <si>
    <t>13:33:58</t>
  </si>
  <si>
    <t>13:32:53</t>
  </si>
  <si>
    <t>21:25:00</t>
  </si>
  <si>
    <t>14:25:00</t>
  </si>
  <si>
    <t>08:24:27</t>
  </si>
  <si>
    <t>13:06:12</t>
  </si>
  <si>
    <t>13:04:54</t>
  </si>
  <si>
    <t>13:03:59</t>
  </si>
  <si>
    <t>12:25:54</t>
  </si>
  <si>
    <t>10:13:36</t>
  </si>
  <si>
    <t>05:39:00</t>
  </si>
  <si>
    <t>22:42:00</t>
  </si>
  <si>
    <t>11:53:00</t>
  </si>
  <si>
    <t>07:16:26</t>
  </si>
  <si>
    <t>07:14:51</t>
  </si>
  <si>
    <t>07:14:27</t>
  </si>
  <si>
    <t>03:31:14</t>
  </si>
  <si>
    <t>01:43:00</t>
  </si>
  <si>
    <t>19:42:26</t>
  </si>
  <si>
    <t>22:37:00</t>
  </si>
  <si>
    <t>14:53:03</t>
  </si>
  <si>
    <t>22:01:00</t>
  </si>
  <si>
    <t>22:31:00</t>
  </si>
  <si>
    <t>17:30:39</t>
  </si>
  <si>
    <t>14:06:11</t>
  </si>
  <si>
    <t>14:05:22</t>
  </si>
  <si>
    <t>14:04:39</t>
  </si>
  <si>
    <t>09:49:39</t>
  </si>
  <si>
    <t>09:48:44</t>
  </si>
  <si>
    <t>08:55:54</t>
  </si>
  <si>
    <t>16:25:03</t>
  </si>
  <si>
    <t>14:36:37</t>
  </si>
  <si>
    <t>22:57:17</t>
  </si>
  <si>
    <t>15:23:34</t>
  </si>
  <si>
    <t>16:28:29</t>
  </si>
  <si>
    <t>22:53:43</t>
  </si>
  <si>
    <t>15:59:47</t>
  </si>
  <si>
    <t>16:00:29</t>
  </si>
  <si>
    <t>01:00:15</t>
  </si>
  <si>
    <t>01:00:18</t>
  </si>
  <si>
    <t>01:00:17</t>
  </si>
  <si>
    <t>11:46:14</t>
  </si>
  <si>
    <t>11:46:05</t>
  </si>
  <si>
    <t>17:00:22</t>
  </si>
  <si>
    <t>17:00:27</t>
  </si>
  <si>
    <t>17:00:23</t>
  </si>
  <si>
    <t>17:46:08</t>
  </si>
  <si>
    <t>17:47:16</t>
  </si>
  <si>
    <t>17:46:18</t>
  </si>
  <si>
    <t>01:00:19</t>
  </si>
  <si>
    <t>01:00:20</t>
  </si>
  <si>
    <t>17:00:26</t>
  </si>
  <si>
    <t>17:00:24</t>
  </si>
  <si>
    <t>17:00:19</t>
  </si>
  <si>
    <t>17:00:20</t>
  </si>
  <si>
    <t>17:00:17</t>
  </si>
  <si>
    <t>18:00:24</t>
  </si>
  <si>
    <t>18:00:28</t>
  </si>
  <si>
    <t>09:46:09</t>
  </si>
  <si>
    <t>15:00:34</t>
  </si>
  <si>
    <t>11:46:22</t>
  </si>
  <si>
    <t>17:00:25</t>
  </si>
  <si>
    <t>17:00:21</t>
  </si>
  <si>
    <t>17:00:28</t>
  </si>
  <si>
    <t>17:31:14</t>
  </si>
  <si>
    <t>17:31:19</t>
  </si>
  <si>
    <t>17:19:27</t>
  </si>
  <si>
    <t>14:16:15</t>
  </si>
  <si>
    <t>01:00:21</t>
  </si>
  <si>
    <t>14:02:23</t>
  </si>
  <si>
    <t>09:21:07</t>
  </si>
  <si>
    <t>18:00:26</t>
  </si>
  <si>
    <t>18:00:30</t>
  </si>
  <si>
    <t>18:00:25</t>
  </si>
  <si>
    <t>18:00:20</t>
  </si>
  <si>
    <t>11:46:13</t>
  </si>
  <si>
    <t>11:46:20</t>
  </si>
  <si>
    <t>01:00:16</t>
  </si>
  <si>
    <t>18:00:27</t>
  </si>
  <si>
    <t>09:56:23</t>
  </si>
  <si>
    <t>15:38:00</t>
  </si>
  <si>
    <t>13:24:02</t>
  </si>
  <si>
    <t>15:21:11</t>
  </si>
  <si>
    <t>19:35:28</t>
  </si>
  <si>
    <t>19:13:17</t>
  </si>
  <si>
    <t>18:29:55</t>
  </si>
  <si>
    <t>15:18:03</t>
  </si>
  <si>
    <t>21:58:55</t>
  </si>
  <si>
    <t>01:17:19</t>
  </si>
  <si>
    <t>18:36:47</t>
  </si>
  <si>
    <t>20:32:01</t>
  </si>
  <si>
    <t>20:43:26</t>
  </si>
  <si>
    <t>02:53:07</t>
  </si>
  <si>
    <t>00:08:16</t>
  </si>
  <si>
    <t>16:06:21</t>
  </si>
  <si>
    <t>02:15:36</t>
  </si>
  <si>
    <t>04:08:44</t>
  </si>
  <si>
    <t>02:13:23</t>
  </si>
  <si>
    <t>17:45:25</t>
  </si>
  <si>
    <t>18:47:08</t>
  </si>
  <si>
    <t>18:31:24</t>
  </si>
  <si>
    <t>21:59:24</t>
  </si>
  <si>
    <t>18:30:19</t>
  </si>
  <si>
    <t>01:29:13</t>
  </si>
  <si>
    <t>01:25:41</t>
  </si>
  <si>
    <t>01:54:08</t>
  </si>
  <si>
    <t>12:15:22</t>
  </si>
  <si>
    <t>12:46:37</t>
  </si>
  <si>
    <t>15:40:13</t>
  </si>
  <si>
    <t>03:35:12</t>
  </si>
  <si>
    <t>14:02:16</t>
  </si>
  <si>
    <t>11:50:56</t>
  </si>
  <si>
    <t>18:24:43</t>
  </si>
  <si>
    <t>14:12:42</t>
  </si>
  <si>
    <t>19:18:13</t>
  </si>
  <si>
    <t>19:17:06</t>
  </si>
  <si>
    <t>17:44:41</t>
  </si>
  <si>
    <t>16:17:37</t>
  </si>
  <si>
    <t>20:53:34</t>
  </si>
  <si>
    <t>19:03:46</t>
  </si>
  <si>
    <t>21:08:19</t>
  </si>
  <si>
    <t>16:51:05</t>
  </si>
  <si>
    <t>23:14:40</t>
  </si>
  <si>
    <t>13:39:51</t>
  </si>
  <si>
    <t>12:18:12</t>
  </si>
  <si>
    <t>09:16:33</t>
  </si>
  <si>
    <t>11:48:41</t>
  </si>
  <si>
    <t>07:09:09</t>
  </si>
  <si>
    <t>06:49:51</t>
  </si>
  <si>
    <t>06:18:41</t>
  </si>
  <si>
    <t>19:48:35</t>
  </si>
  <si>
    <t>15:05:32</t>
  </si>
  <si>
    <t>14:47:15</t>
  </si>
  <si>
    <t>13:23:39</t>
  </si>
  <si>
    <t>11:16:32</t>
  </si>
  <si>
    <t>00:29:30</t>
  </si>
  <si>
    <t>16:23:28</t>
  </si>
  <si>
    <t>13:09:46</t>
  </si>
  <si>
    <t>11:20:10</t>
  </si>
  <si>
    <t>21:16:21</t>
  </si>
  <si>
    <t>20:10:45</t>
  </si>
  <si>
    <t>20:00:18</t>
  </si>
  <si>
    <t>17:55:25</t>
  </si>
  <si>
    <t>17:47:48</t>
  </si>
  <si>
    <t>16:38:06</t>
  </si>
  <si>
    <t>16:34:50</t>
  </si>
  <si>
    <t>16:31:39</t>
  </si>
  <si>
    <t>14:56:09</t>
  </si>
  <si>
    <t>13:32:10</t>
  </si>
  <si>
    <t>11:33:28</t>
  </si>
  <si>
    <t>11:30:27</t>
  </si>
  <si>
    <t>22:48:25</t>
  </si>
  <si>
    <t>22:45:17</t>
  </si>
  <si>
    <t>22:41:56</t>
  </si>
  <si>
    <t>19:28:56</t>
  </si>
  <si>
    <t>17:36:03</t>
  </si>
  <si>
    <t>20:17:23</t>
  </si>
  <si>
    <t>04:01:04</t>
  </si>
  <si>
    <t>19:01:33</t>
  </si>
  <si>
    <t>18:22:36</t>
  </si>
  <si>
    <t>00:27:35</t>
  </si>
  <si>
    <t>14:29:14</t>
  </si>
  <si>
    <t>12:46:59</t>
  </si>
  <si>
    <t>18:03:09</t>
  </si>
  <si>
    <t>16:10:38</t>
  </si>
  <si>
    <t>02:20:21</t>
  </si>
  <si>
    <t>02:18:17</t>
  </si>
  <si>
    <t>00:49:57</t>
  </si>
  <si>
    <t>00:31:41</t>
  </si>
  <si>
    <t>00:14:27</t>
  </si>
  <si>
    <t>19:09:46</t>
  </si>
  <si>
    <t>16:44:50</t>
  </si>
  <si>
    <t>23:14:50</t>
  </si>
  <si>
    <t>21:23:09</t>
  </si>
  <si>
    <t>19:22:48</t>
  </si>
  <si>
    <t>19:09:01</t>
  </si>
  <si>
    <t>18:14:54</t>
  </si>
  <si>
    <t>22:59:03</t>
  </si>
  <si>
    <t>19:06:24</t>
  </si>
  <si>
    <t>17:12:22</t>
  </si>
  <si>
    <t>15:43:51</t>
  </si>
  <si>
    <t>13:24:59</t>
  </si>
  <si>
    <t>22:54:48</t>
  </si>
  <si>
    <t>19:30:09</t>
  </si>
  <si>
    <t>18:08:26</t>
  </si>
  <si>
    <t>17:11:05</t>
  </si>
  <si>
    <t>16:46:06</t>
  </si>
  <si>
    <t>15:00:50</t>
  </si>
  <si>
    <t>14:58:44</t>
  </si>
  <si>
    <t>14:58:34</t>
  </si>
  <si>
    <t>02:18:16</t>
  </si>
  <si>
    <t>00:59:30</t>
  </si>
  <si>
    <t>00:56:55</t>
  </si>
  <si>
    <t>00:55:29</t>
  </si>
  <si>
    <t>00:48:24</t>
  </si>
  <si>
    <t>00:45:04</t>
  </si>
  <si>
    <t>00:42:13</t>
  </si>
  <si>
    <t>00:40:00</t>
  </si>
  <si>
    <t>00:37:13</t>
  </si>
  <si>
    <t>00:33:40</t>
  </si>
  <si>
    <t>00:28:50</t>
  </si>
  <si>
    <t>00:24:38</t>
  </si>
  <si>
    <t>00:20:19</t>
  </si>
  <si>
    <t>21:04:03</t>
  </si>
  <si>
    <t>15:42:02</t>
  </si>
  <si>
    <t>14:37:31</t>
  </si>
  <si>
    <t>14:29:48</t>
  </si>
  <si>
    <t>13:14:39</t>
  </si>
  <si>
    <t>22:56:19</t>
  </si>
  <si>
    <t>19:10:12</t>
  </si>
  <si>
    <t>17:23:44</t>
  </si>
  <si>
    <t>13:44:04</t>
  </si>
  <si>
    <t>13:39:56</t>
  </si>
  <si>
    <t>11:47:12</t>
  </si>
  <si>
    <t>05:29:17</t>
  </si>
  <si>
    <t>17:49:49</t>
  </si>
  <si>
    <t>15:24:06</t>
  </si>
  <si>
    <t>19:36:59</t>
  </si>
  <si>
    <t>18:54:36</t>
  </si>
  <si>
    <t>15:00:09</t>
  </si>
  <si>
    <t>14:59:11</t>
  </si>
  <si>
    <t>14:41:58</t>
  </si>
  <si>
    <t>21:34:12</t>
  </si>
  <si>
    <t>21:19:25</t>
  </si>
  <si>
    <t>11:04:53</t>
  </si>
  <si>
    <t>01:14:43</t>
  </si>
  <si>
    <t>22:07:36</t>
  </si>
  <si>
    <t>20:07:59</t>
  </si>
  <si>
    <t>16:17:41</t>
  </si>
  <si>
    <t>13:32:49</t>
  </si>
  <si>
    <t>23:16:33</t>
  </si>
  <si>
    <t>17:38:26</t>
  </si>
  <si>
    <t>00:22:35</t>
  </si>
  <si>
    <t>00:16:24</t>
  </si>
  <si>
    <t>21:44:27</t>
  </si>
  <si>
    <t>15:50:37</t>
  </si>
  <si>
    <t>15:10:56</t>
  </si>
  <si>
    <t>03:12:12</t>
  </si>
  <si>
    <t>01:59:22</t>
  </si>
  <si>
    <t>01:57:53</t>
  </si>
  <si>
    <t>00:57:46</t>
  </si>
  <si>
    <t>19:05:12</t>
  </si>
  <si>
    <t>19:02:38</t>
  </si>
  <si>
    <t>19:00:03</t>
  </si>
  <si>
    <t>18:57:53</t>
  </si>
  <si>
    <t>18:54:46</t>
  </si>
  <si>
    <t>18:52:41</t>
  </si>
  <si>
    <t>18:49:52</t>
  </si>
  <si>
    <t>18:47:30</t>
  </si>
  <si>
    <t>18:43:34</t>
  </si>
  <si>
    <t>18:39:29</t>
  </si>
  <si>
    <t>18:36:19</t>
  </si>
  <si>
    <t>18:33:23</t>
  </si>
  <si>
    <t>18:29:59</t>
  </si>
  <si>
    <t>18:26:56</t>
  </si>
  <si>
    <t>18:22:59</t>
  </si>
  <si>
    <t>19:39:14</t>
  </si>
  <si>
    <t>16:28:11</t>
  </si>
  <si>
    <t>22:55:12</t>
  </si>
  <si>
    <t>20:09:38</t>
  </si>
  <si>
    <t>14:32:49</t>
  </si>
  <si>
    <t>01:28:11</t>
  </si>
  <si>
    <t>23:48:43</t>
  </si>
  <si>
    <t>18:51:12</t>
  </si>
  <si>
    <t>13:07:38</t>
  </si>
  <si>
    <t>11:16:40</t>
  </si>
  <si>
    <t>16:02:31</t>
  </si>
  <si>
    <t>14:31:06</t>
  </si>
  <si>
    <t>13:02:02</t>
  </si>
  <si>
    <t>11:24:44</t>
  </si>
  <si>
    <t>03:18:25</t>
  </si>
  <si>
    <t>03:13:28</t>
  </si>
  <si>
    <t>22:51:58</t>
  </si>
  <si>
    <t>22:48:44</t>
  </si>
  <si>
    <t>22:45:30</t>
  </si>
  <si>
    <t>22:42:23</t>
  </si>
  <si>
    <t>22:38:49</t>
  </si>
  <si>
    <t>22:35:15</t>
  </si>
  <si>
    <t>22:28:50</t>
  </si>
  <si>
    <t>18:08:34</t>
  </si>
  <si>
    <t>18:07:33</t>
  </si>
  <si>
    <t>18:06:23</t>
  </si>
  <si>
    <t>18:05:19</t>
  </si>
  <si>
    <t>15:37:25</t>
  </si>
  <si>
    <t>12:09:50</t>
  </si>
  <si>
    <t>11:00:54</t>
  </si>
  <si>
    <t>08:53:54</t>
  </si>
  <si>
    <t>08:50:14</t>
  </si>
  <si>
    <t>08:46:20</t>
  </si>
  <si>
    <t>08:42:23</t>
  </si>
  <si>
    <t>08:37:24</t>
  </si>
  <si>
    <t>08:33:05</t>
  </si>
  <si>
    <t>08:28:51</t>
  </si>
  <si>
    <t>08:27:26</t>
  </si>
  <si>
    <t>08:22:52</t>
  </si>
  <si>
    <t>20:56:33</t>
  </si>
  <si>
    <t>20:51:11</t>
  </si>
  <si>
    <t>20:49:53</t>
  </si>
  <si>
    <t>20:49:40</t>
  </si>
  <si>
    <t>20:48:31</t>
  </si>
  <si>
    <t>20:47:02</t>
  </si>
  <si>
    <t>20:45:41</t>
  </si>
  <si>
    <t>19:22:46</t>
  </si>
  <si>
    <t>02:45:17</t>
  </si>
  <si>
    <t>17:34:56</t>
  </si>
  <si>
    <t>16:14:30</t>
  </si>
  <si>
    <t>14:58:17</t>
  </si>
  <si>
    <t>04:56:27</t>
  </si>
  <si>
    <t>23:34:38</t>
  </si>
  <si>
    <t>23:24:10</t>
  </si>
  <si>
    <t>23:16:17</t>
  </si>
  <si>
    <t>16:55:19</t>
  </si>
  <si>
    <t>19:47:34</t>
  </si>
  <si>
    <t>19:41:26</t>
  </si>
  <si>
    <t>14:55:21</t>
  </si>
  <si>
    <t>20:49:06</t>
  </si>
  <si>
    <t>03:44:58</t>
  </si>
  <si>
    <t>03:34:25</t>
  </si>
  <si>
    <t>02:01:36</t>
  </si>
  <si>
    <t>01:51:24</t>
  </si>
  <si>
    <t>21:33:22</t>
  </si>
  <si>
    <t>21:28:51</t>
  </si>
  <si>
    <t>21:25:01</t>
  </si>
  <si>
    <t>19:11:23</t>
  </si>
  <si>
    <t>17:15:56</t>
  </si>
  <si>
    <t>14:49:44</t>
  </si>
  <si>
    <t>16:57:31</t>
  </si>
  <si>
    <t>14:44:13</t>
  </si>
  <si>
    <t>14:41:02</t>
  </si>
  <si>
    <t>14:37:42</t>
  </si>
  <si>
    <t>14:32:13</t>
  </si>
  <si>
    <t>14:28:41</t>
  </si>
  <si>
    <t>14:24:18</t>
  </si>
  <si>
    <t>14:21:27</t>
  </si>
  <si>
    <t>03:35:37</t>
  </si>
  <si>
    <t>18:29:19</t>
  </si>
  <si>
    <t>03:34:22</t>
  </si>
  <si>
    <t>00:37:45</t>
  </si>
  <si>
    <t>20:30:30</t>
  </si>
  <si>
    <t>21:50:29</t>
  </si>
  <si>
    <t>18:49:16</t>
  </si>
  <si>
    <t>18:44:41</t>
  </si>
  <si>
    <t>13:55:41</t>
  </si>
  <si>
    <t>01:41:17</t>
  </si>
  <si>
    <t>01:36:13</t>
  </si>
  <si>
    <t>20:05:38</t>
  </si>
  <si>
    <t>20:03:24</t>
  </si>
  <si>
    <t>19:58:03</t>
  </si>
  <si>
    <t>19:55:59</t>
  </si>
  <si>
    <t>19:53:53</t>
  </si>
  <si>
    <t>19:51:23</t>
  </si>
  <si>
    <t>19:49:37</t>
  </si>
  <si>
    <t>19:47:07</t>
  </si>
  <si>
    <t>19:44:08</t>
  </si>
  <si>
    <t>19:41:50</t>
  </si>
  <si>
    <t>19:39:01</t>
  </si>
  <si>
    <t>19:36:00</t>
  </si>
  <si>
    <t>19:32:49</t>
  </si>
  <si>
    <t>15:36:59</t>
  </si>
  <si>
    <t>15:32:08</t>
  </si>
  <si>
    <t>22:55:20</t>
  </si>
  <si>
    <t>18:51:22</t>
  </si>
  <si>
    <t>17:15:04</t>
  </si>
  <si>
    <t>00:47:08</t>
  </si>
  <si>
    <t>00:35:58</t>
  </si>
  <si>
    <t>22:57:43</t>
  </si>
  <si>
    <t>21:24:32</t>
  </si>
  <si>
    <t>19:21:50</t>
  </si>
  <si>
    <t>19:20:20</t>
  </si>
  <si>
    <t>19:19:15</t>
  </si>
  <si>
    <t>15:41:10</t>
  </si>
  <si>
    <t>14:21:12</t>
  </si>
  <si>
    <t>20:09:22</t>
  </si>
  <si>
    <t>18:00:45</t>
  </si>
  <si>
    <t>15:00:56</t>
  </si>
  <si>
    <t>23:55:44</t>
  </si>
  <si>
    <t>17:57:05</t>
  </si>
  <si>
    <t>17:55:44</t>
  </si>
  <si>
    <t>20:26:45</t>
  </si>
  <si>
    <t>19:23:21</t>
  </si>
  <si>
    <t>19:11:30</t>
  </si>
  <si>
    <t>18:58:25</t>
  </si>
  <si>
    <t>18:49:50</t>
  </si>
  <si>
    <t>01:35:29</t>
  </si>
  <si>
    <t>01:22:23</t>
  </si>
  <si>
    <t>01:15:29</t>
  </si>
  <si>
    <t>01:08:31</t>
  </si>
  <si>
    <t>00:45:09</t>
  </si>
  <si>
    <t>23:14:20</t>
  </si>
  <si>
    <t>13:33:52</t>
  </si>
  <si>
    <t>13:07:54</t>
  </si>
  <si>
    <t>20:02:35</t>
  </si>
  <si>
    <t>16:10:05</t>
  </si>
  <si>
    <t>14:17:46</t>
  </si>
  <si>
    <t>12:55:42</t>
  </si>
  <si>
    <t>15:14:36</t>
  </si>
  <si>
    <t>15:10:58</t>
  </si>
  <si>
    <t>15:04:27</t>
  </si>
  <si>
    <t>14:05:49</t>
  </si>
  <si>
    <t>13:46:01</t>
  </si>
  <si>
    <t>17:45:58</t>
  </si>
  <si>
    <t>17:13:30</t>
  </si>
  <si>
    <t>15:37:03</t>
  </si>
  <si>
    <t>14:40:32</t>
  </si>
  <si>
    <t>17:58:17</t>
  </si>
  <si>
    <t>17:41:59</t>
  </si>
  <si>
    <t>17:21:40</t>
  </si>
  <si>
    <t>17:19:35</t>
  </si>
  <si>
    <t>14:51:58</t>
  </si>
  <si>
    <t>13:21:34</t>
  </si>
  <si>
    <t>22:44:33</t>
  </si>
  <si>
    <t>20:36:16</t>
  </si>
  <si>
    <t>19:02:21</t>
  </si>
  <si>
    <t>18:54:12</t>
  </si>
  <si>
    <t>18:16:48</t>
  </si>
  <si>
    <t>18:12:10</t>
  </si>
  <si>
    <t>15:57:24</t>
  </si>
  <si>
    <t>14:08:10</t>
  </si>
  <si>
    <t>13:29:54</t>
  </si>
  <si>
    <t>13:24:35</t>
  </si>
  <si>
    <t>13:20:04</t>
  </si>
  <si>
    <t>18:09:04</t>
  </si>
  <si>
    <t>17:24:34</t>
  </si>
  <si>
    <t>17:10:28</t>
  </si>
  <si>
    <t>17:01:44</t>
  </si>
  <si>
    <t>12:44:43</t>
  </si>
  <si>
    <t>02:12:00</t>
  </si>
  <si>
    <t>09:15:47</t>
  </si>
  <si>
    <t>18:42:44</t>
  </si>
  <si>
    <t>18:35:41</t>
  </si>
  <si>
    <t>18:28:07</t>
  </si>
  <si>
    <t>17:32:27</t>
  </si>
  <si>
    <t>21:12:39</t>
  </si>
  <si>
    <t>20:13:50</t>
  </si>
  <si>
    <t>17:51:59</t>
  </si>
  <si>
    <t>17:47:31</t>
  </si>
  <si>
    <t>17:42:30</t>
  </si>
  <si>
    <t>15:56:02</t>
  </si>
  <si>
    <t>15:51:47</t>
  </si>
  <si>
    <t>15:43:44</t>
  </si>
  <si>
    <t>17:19:34</t>
  </si>
  <si>
    <t>12:45:00</t>
  </si>
  <si>
    <t>20:13:19</t>
  </si>
  <si>
    <t>16:03:35</t>
  </si>
  <si>
    <t>01:55:03</t>
  </si>
  <si>
    <t>15:02:55</t>
  </si>
  <si>
    <t>21:38:13</t>
  </si>
  <si>
    <t>18:58:38</t>
  </si>
  <si>
    <t>14:58:50</t>
  </si>
  <si>
    <t>14:47:00</t>
  </si>
  <si>
    <t>14:11:14</t>
  </si>
  <si>
    <t>13:52:41</t>
  </si>
  <si>
    <t>18:54:34</t>
  </si>
  <si>
    <t>13:19:16</t>
  </si>
  <si>
    <t>19:19:08</t>
  </si>
  <si>
    <t>16:31:06</t>
  </si>
  <si>
    <t>15:54:42</t>
  </si>
  <si>
    <t>14:33:58</t>
  </si>
  <si>
    <t>08:39:01</t>
  </si>
  <si>
    <t>03:17:15</t>
  </si>
  <si>
    <t>01:58:06</t>
  </si>
  <si>
    <t>01:54:34</t>
  </si>
  <si>
    <t>01:16:31</t>
  </si>
  <si>
    <t>19:15:03</t>
  </si>
  <si>
    <t>16:44:43</t>
  </si>
  <si>
    <t>11:32:52</t>
  </si>
  <si>
    <t>00:28:24</t>
  </si>
  <si>
    <t>12:02:27</t>
  </si>
  <si>
    <t>12:02:15</t>
  </si>
  <si>
    <t>11:57:15</t>
  </si>
  <si>
    <t>03:39:32</t>
  </si>
  <si>
    <t>21:55:21</t>
  </si>
  <si>
    <t>22:43:27</t>
  </si>
  <si>
    <t>22:43:02</t>
  </si>
  <si>
    <t>22:41:16</t>
  </si>
  <si>
    <t>22:35:52</t>
  </si>
  <si>
    <t>22:35:03</t>
  </si>
  <si>
    <t>22:34:31</t>
  </si>
  <si>
    <t>22:19:49</t>
  </si>
  <si>
    <t>22:06:09</t>
  </si>
  <si>
    <t>18:14:27</t>
  </si>
  <si>
    <t>18:11:26</t>
  </si>
  <si>
    <t>17:49:18</t>
  </si>
  <si>
    <t>17:40:15</t>
  </si>
  <si>
    <t>17:35:42</t>
  </si>
  <si>
    <t>14:15:10</t>
  </si>
  <si>
    <t>14:14:39</t>
  </si>
  <si>
    <t>14:14:31</t>
  </si>
  <si>
    <t>04:30:20</t>
  </si>
  <si>
    <t>04:27:44</t>
  </si>
  <si>
    <t>21:37:48</t>
  </si>
  <si>
    <t>13:49:52</t>
  </si>
  <si>
    <t>03:03:10</t>
  </si>
  <si>
    <t>02:55:17</t>
  </si>
  <si>
    <t>02:54:50</t>
  </si>
  <si>
    <t>11:31:36</t>
  </si>
  <si>
    <t>11:28:27</t>
  </si>
  <si>
    <t>11:21:23</t>
  </si>
  <si>
    <t>14:00:50</t>
  </si>
  <si>
    <t>22:21:48</t>
  </si>
  <si>
    <t>20:22:24</t>
  </si>
  <si>
    <t>19:34:59</t>
  </si>
  <si>
    <t>19:09:58</t>
  </si>
  <si>
    <t>16:55:08</t>
  </si>
  <si>
    <t>04:37:22</t>
  </si>
  <si>
    <t>16:15:42</t>
  </si>
  <si>
    <t>15:48:14</t>
  </si>
  <si>
    <t>11:28:34</t>
  </si>
  <si>
    <t>16:08:01</t>
  </si>
  <si>
    <t>15:43:17</t>
  </si>
  <si>
    <t>15:20:52</t>
  </si>
  <si>
    <t>13:21:59</t>
  </si>
  <si>
    <t>10:02:15</t>
  </si>
  <si>
    <t>22:32:48</t>
  </si>
  <si>
    <t>22:25:15</t>
  </si>
  <si>
    <t>22:15:33</t>
  </si>
  <si>
    <t>21:52:14</t>
  </si>
  <si>
    <t>21:36:44</t>
  </si>
  <si>
    <t>21:18:56</t>
  </si>
  <si>
    <t>21:07:11</t>
  </si>
  <si>
    <t>20:52:02</t>
  </si>
  <si>
    <t>20:32:33</t>
  </si>
  <si>
    <t>19:59:12</t>
  </si>
  <si>
    <t>19:53:15</t>
  </si>
  <si>
    <t>19:47:39</t>
  </si>
  <si>
    <t>19:37:11</t>
  </si>
  <si>
    <t>19:26:55</t>
  </si>
  <si>
    <t>19:15:12</t>
  </si>
  <si>
    <t>19:06:47</t>
  </si>
  <si>
    <t>18:50:37</t>
  </si>
  <si>
    <t>18:45:18</t>
  </si>
  <si>
    <t>18:33:27</t>
  </si>
  <si>
    <t>18:08:00</t>
  </si>
  <si>
    <t>17:59:56</t>
  </si>
  <si>
    <t>17:52:36</t>
  </si>
  <si>
    <t>17:32:03</t>
  </si>
  <si>
    <t>17:24:05</t>
  </si>
  <si>
    <t>17:16:07</t>
  </si>
  <si>
    <t>17:01:41</t>
  </si>
  <si>
    <t>15:30:17</t>
  </si>
  <si>
    <t>15:23:08</t>
  </si>
  <si>
    <t>14:56:48</t>
  </si>
  <si>
    <t>14:48:47</t>
  </si>
  <si>
    <t>14:40:04</t>
  </si>
  <si>
    <t>14:30:05</t>
  </si>
  <si>
    <t>14:24:03</t>
  </si>
  <si>
    <t>14:16:10</t>
  </si>
  <si>
    <t>12:49:20</t>
  </si>
  <si>
    <t>12:46:20</t>
  </si>
  <si>
    <t>12:42:12</t>
  </si>
  <si>
    <t>12:39:13</t>
  </si>
  <si>
    <t>12:36:03</t>
  </si>
  <si>
    <t>12:34:49</t>
  </si>
  <si>
    <t>12:34:04</t>
  </si>
  <si>
    <t>12:33:25</t>
  </si>
  <si>
    <t>12:32:26</t>
  </si>
  <si>
    <t>12:31:55</t>
  </si>
  <si>
    <t>12:31:15</t>
  </si>
  <si>
    <t>12:29:59</t>
  </si>
  <si>
    <t>23:55:06</t>
  </si>
  <si>
    <t>14:53:58</t>
  </si>
  <si>
    <t>04:04:57</t>
  </si>
  <si>
    <t>04:03:25</t>
  </si>
  <si>
    <t>19:42:22</t>
  </si>
  <si>
    <t>19:42:20</t>
  </si>
  <si>
    <t>12:54:12</t>
  </si>
  <si>
    <t>04:14:50</t>
  </si>
  <si>
    <t>03:51:04</t>
  </si>
  <si>
    <t>03:43:52</t>
  </si>
  <si>
    <t>00:44:30</t>
  </si>
  <si>
    <t>03:51:53</t>
  </si>
  <si>
    <t>21:49:29</t>
  </si>
  <si>
    <t>17:12:41</t>
  </si>
  <si>
    <t>12:04:32</t>
  </si>
  <si>
    <t>14:56:08</t>
  </si>
  <si>
    <t>13:57:29</t>
  </si>
  <si>
    <t>00:23:07</t>
  </si>
  <si>
    <t>23:16:14</t>
  </si>
  <si>
    <t>21:58:13</t>
  </si>
  <si>
    <t>13:48:53</t>
  </si>
  <si>
    <t>12:56:13</t>
  </si>
  <si>
    <t>23:58:03</t>
  </si>
  <si>
    <t>20:06:42</t>
  </si>
  <si>
    <t>20:02:14</t>
  </si>
  <si>
    <t>19:54:04</t>
  </si>
  <si>
    <t>18:40:04</t>
  </si>
  <si>
    <t>16:53:01</t>
  </si>
  <si>
    <t>16:17:53</t>
  </si>
  <si>
    <t>19:11:05</t>
  </si>
  <si>
    <t>15:04:42</t>
  </si>
  <si>
    <t>12:29:36</t>
  </si>
  <si>
    <t>01:33:16</t>
  </si>
  <si>
    <t>14:05:45</t>
  </si>
  <si>
    <t>00:10:31</t>
  </si>
  <si>
    <t>23:47:30</t>
  </si>
  <si>
    <t>15:13:33</t>
  </si>
  <si>
    <t>13:13:39</t>
  </si>
  <si>
    <t>13:10:04</t>
  </si>
  <si>
    <t>12:31:23</t>
  </si>
  <si>
    <t>12:18:09</t>
  </si>
  <si>
    <t>18:42:38</t>
  </si>
  <si>
    <t>17:48:41</t>
  </si>
  <si>
    <t>01:55:17</t>
  </si>
  <si>
    <t>22:44:38</t>
  </si>
  <si>
    <t>22:31:24</t>
  </si>
  <si>
    <t>18:39:46</t>
  </si>
  <si>
    <t>18:37:19</t>
  </si>
  <si>
    <t>18:06:19</t>
  </si>
  <si>
    <t>18:01:48</t>
  </si>
  <si>
    <t>17:46:07</t>
  </si>
  <si>
    <t>17:30:46</t>
  </si>
  <si>
    <t>14:33:45</t>
  </si>
  <si>
    <t>03:47:48</t>
  </si>
  <si>
    <t>01:54:47</t>
  </si>
  <si>
    <t>22:18:51</t>
  </si>
  <si>
    <t>11:19:04</t>
  </si>
  <si>
    <t>18:43:06</t>
  </si>
  <si>
    <t>18:38:46</t>
  </si>
  <si>
    <t>13:59:39</t>
  </si>
  <si>
    <t>13:57:11</t>
  </si>
  <si>
    <t>13:54:49</t>
  </si>
  <si>
    <t>22:52:11</t>
  </si>
  <si>
    <t>22:24:34</t>
  </si>
  <si>
    <t>22:22:37</t>
  </si>
  <si>
    <t>22:20:50</t>
  </si>
  <si>
    <t>21:59:03</t>
  </si>
  <si>
    <t>21:46:37</t>
  </si>
  <si>
    <t>21:41:11</t>
  </si>
  <si>
    <t>15:14:52</t>
  </si>
  <si>
    <t>12:50:58</t>
  </si>
  <si>
    <t>17:21:00</t>
  </si>
  <si>
    <t>17:09:02</t>
  </si>
  <si>
    <t>23:48:07</t>
  </si>
  <si>
    <t>15:39:51</t>
  </si>
  <si>
    <t>14:52:24</t>
  </si>
  <si>
    <t>14:46:41</t>
  </si>
  <si>
    <t>11:27:15</t>
  </si>
  <si>
    <t>11:22:28</t>
  </si>
  <si>
    <t>23:47:45</t>
  </si>
  <si>
    <t>23:05:35</t>
  </si>
  <si>
    <t>14:37:39</t>
  </si>
  <si>
    <t>14:05:19</t>
  </si>
  <si>
    <t>13:38:36</t>
  </si>
  <si>
    <t>15:31:36</t>
  </si>
  <si>
    <t>13:54:05</t>
  </si>
  <si>
    <t>13:40:58</t>
  </si>
  <si>
    <t>10:56:58</t>
  </si>
  <si>
    <t>15:53:38</t>
  </si>
  <si>
    <t>15:41:58</t>
  </si>
  <si>
    <t>15:32:16</t>
  </si>
  <si>
    <t>14:30:14</t>
  </si>
  <si>
    <t>13:30:38</t>
  </si>
  <si>
    <t>23:43:04</t>
  </si>
  <si>
    <t>16:32:37</t>
  </si>
  <si>
    <t>16:26:47</t>
  </si>
  <si>
    <t>18:54:27</t>
  </si>
  <si>
    <t>17:27:22</t>
  </si>
  <si>
    <t>16:15:34</t>
  </si>
  <si>
    <t>14:49:18</t>
  </si>
  <si>
    <t>14:40:55</t>
  </si>
  <si>
    <t>04:24:35</t>
  </si>
  <si>
    <t>16:47:36</t>
  </si>
  <si>
    <t>15:23:42</t>
  </si>
  <si>
    <t>14:41:21</t>
  </si>
  <si>
    <t>22:36:12</t>
  </si>
  <si>
    <t>17:13:44</t>
  </si>
  <si>
    <t>13:39:38</t>
  </si>
  <si>
    <t>00:20:06</t>
  </si>
  <si>
    <t>00:10:59</t>
  </si>
  <si>
    <t>00:02:11</t>
  </si>
  <si>
    <t>23:44:22</t>
  </si>
  <si>
    <t>23:40:20</t>
  </si>
  <si>
    <t>23:36:18</t>
  </si>
  <si>
    <t>23:32:43</t>
  </si>
  <si>
    <t>22:43:38</t>
  </si>
  <si>
    <t>19:12:21</t>
  </si>
  <si>
    <t>19:18:58</t>
  </si>
  <si>
    <t>19:13:38</t>
  </si>
  <si>
    <t>17:41:57</t>
  </si>
  <si>
    <t>17:41:43</t>
  </si>
  <si>
    <t>13:19:26</t>
  </si>
  <si>
    <t>23:04:45</t>
  </si>
  <si>
    <t>15:46:58</t>
  </si>
  <si>
    <t>13:05:53</t>
  </si>
  <si>
    <t>18:19:18</t>
  </si>
  <si>
    <t>18:16:21</t>
  </si>
  <si>
    <t>18:13:47</t>
  </si>
  <si>
    <t>18:09:03</t>
  </si>
  <si>
    <t>18:00:59</t>
  </si>
  <si>
    <t>15:20:50</t>
  </si>
  <si>
    <t>13:56:37</t>
  </si>
  <si>
    <t>11:48:42</t>
  </si>
  <si>
    <t>15:39:15</t>
  </si>
  <si>
    <t>17:52:03</t>
  </si>
  <si>
    <t>15:10:44</t>
  </si>
  <si>
    <t>13:14:13</t>
  </si>
  <si>
    <t>22:30:23</t>
  </si>
  <si>
    <t>22:13:43</t>
  </si>
  <si>
    <t>20:17:22</t>
  </si>
  <si>
    <t>02:09:04</t>
  </si>
  <si>
    <t>20:56:08</t>
  </si>
  <si>
    <t>15:12:43</t>
  </si>
  <si>
    <t>02:26:39</t>
  </si>
  <si>
    <t>18:33:02</t>
  </si>
  <si>
    <t>19:14:02</t>
  </si>
  <si>
    <t>17:40:40</t>
  </si>
  <si>
    <t>23:31:57</t>
  </si>
  <si>
    <t>16:55:32</t>
  </si>
  <si>
    <t>22:31:54</t>
  </si>
  <si>
    <t>14:03:54</t>
  </si>
  <si>
    <t>01:06:36</t>
  </si>
  <si>
    <t>01:50:19</t>
  </si>
  <si>
    <t>01:48:22</t>
  </si>
  <si>
    <t>21:00:24</t>
  </si>
  <si>
    <t>21:00:25</t>
  </si>
  <si>
    <t>17:59:18</t>
  </si>
  <si>
    <t>12:05:27</t>
  </si>
  <si>
    <t>21:00:30</t>
  </si>
  <si>
    <t>21:03:28</t>
  </si>
  <si>
    <t>15:24:19</t>
  </si>
  <si>
    <t>12:01:33</t>
  </si>
  <si>
    <t>13:03:02</t>
  </si>
  <si>
    <t>15:10:15</t>
  </si>
  <si>
    <t>14:00:15</t>
  </si>
  <si>
    <t>18:24:01</t>
  </si>
  <si>
    <t>18:22:58</t>
  </si>
  <si>
    <t>02:38:40</t>
  </si>
  <si>
    <t>15:09:30</t>
  </si>
  <si>
    <t>20:51:01</t>
  </si>
  <si>
    <t>23:46:19</t>
  </si>
  <si>
    <t>21:30:54</t>
  </si>
  <si>
    <t>18:20:54</t>
  </si>
  <si>
    <t>12:43:43</t>
  </si>
  <si>
    <t>20:38:37</t>
  </si>
  <si>
    <t>20:55:12</t>
  </si>
  <si>
    <t>23:30:00</t>
  </si>
  <si>
    <t>20:04:41</t>
  </si>
  <si>
    <t>16:18:04</t>
  </si>
  <si>
    <t>19:25:31</t>
  </si>
  <si>
    <t>19:43:12</t>
  </si>
  <si>
    <t>09:51:39</t>
  </si>
  <si>
    <t>18:38:30</t>
  </si>
  <si>
    <t>23:59:11</t>
  </si>
  <si>
    <t>18:58:43</t>
  </si>
  <si>
    <t>23:29:05</t>
  </si>
  <si>
    <t>17:08:31</t>
  </si>
  <si>
    <t>14:36:08</t>
  </si>
  <si>
    <t>13:50:24</t>
  </si>
  <si>
    <t>17:55:04</t>
  </si>
  <si>
    <t>17:30:41</t>
  </si>
  <si>
    <t>19:32:36</t>
  </si>
  <si>
    <t>03:17:07</t>
  </si>
  <si>
    <t>09:48:55</t>
  </si>
  <si>
    <t>01:20:32</t>
  </si>
  <si>
    <t>22:06:22</t>
  </si>
  <si>
    <t>18:32:22</t>
  </si>
  <si>
    <t>16:28:15</t>
  </si>
  <si>
    <t>16:27:16</t>
  </si>
  <si>
    <t>18:40:12</t>
  </si>
  <si>
    <t>19:21:30</t>
  </si>
  <si>
    <t>19:20:26</t>
  </si>
  <si>
    <t>19:19:45</t>
  </si>
  <si>
    <t>19:19:10</t>
  </si>
  <si>
    <t>20:43:57</t>
  </si>
  <si>
    <t>20:42:19</t>
  </si>
  <si>
    <t>04:03:28</t>
  </si>
  <si>
    <t>10:47:29</t>
  </si>
  <si>
    <t>17:34:38</t>
  </si>
  <si>
    <t>11:53:06</t>
  </si>
  <si>
    <t>11:50:31</t>
  </si>
  <si>
    <t>11:00:35</t>
  </si>
  <si>
    <t>12:50:52</t>
  </si>
  <si>
    <t>20:56:45</t>
  </si>
  <si>
    <t>20:55:56</t>
  </si>
  <si>
    <t>20:55:00</t>
  </si>
  <si>
    <t>02:55:04</t>
  </si>
  <si>
    <t>03:43:27</t>
  </si>
  <si>
    <t>16:21:31</t>
  </si>
  <si>
    <t>14:02:05</t>
  </si>
  <si>
    <t>12:41:22</t>
  </si>
  <si>
    <t>11:44:45</t>
  </si>
  <si>
    <t>00:25:45</t>
  </si>
  <si>
    <t>02:54:06</t>
  </si>
  <si>
    <t>12:48:54</t>
  </si>
  <si>
    <t>12:23:34</t>
  </si>
  <si>
    <t>14:58:12</t>
  </si>
  <si>
    <t>19:00:32</t>
  </si>
  <si>
    <t>19:00:40</t>
  </si>
  <si>
    <t>19:01:36</t>
  </si>
  <si>
    <t>04:04:16</t>
  </si>
  <si>
    <t>04:03:03</t>
  </si>
  <si>
    <t>16:47:04</t>
  </si>
  <si>
    <t>02:21:15</t>
  </si>
  <si>
    <t>19:40:44</t>
  </si>
  <si>
    <t>13:06:10</t>
  </si>
  <si>
    <t>22:12:41</t>
  </si>
  <si>
    <t>22:04:51</t>
  </si>
  <si>
    <t>14:06:07</t>
  </si>
  <si>
    <t>13:59:46</t>
  </si>
  <si>
    <t>13:56:55</t>
  </si>
  <si>
    <t>20:27:38</t>
  </si>
  <si>
    <t>18:35:35</t>
  </si>
  <si>
    <t>23:17:33</t>
  </si>
  <si>
    <t>00:45:55</t>
  </si>
  <si>
    <t>19:35:49</t>
  </si>
  <si>
    <t>19:26:41</t>
  </si>
  <si>
    <t>19:25:47</t>
  </si>
  <si>
    <t>19:16:47</t>
  </si>
  <si>
    <t>11:34:45</t>
  </si>
  <si>
    <t>11:34:01</t>
  </si>
  <si>
    <t>11:32:35</t>
  </si>
  <si>
    <t>13:50:03</t>
  </si>
  <si>
    <t>15:21:37</t>
  </si>
  <si>
    <t>15:19:59</t>
  </si>
  <si>
    <t>15:19:22</t>
  </si>
  <si>
    <t>15:15:25</t>
  </si>
  <si>
    <t>13:26:43</t>
  </si>
  <si>
    <t>22:17:46</t>
  </si>
  <si>
    <t>09:53:21</t>
  </si>
  <si>
    <t>07:53:07</t>
  </si>
  <si>
    <t>05:52:48</t>
  </si>
  <si>
    <t>14:38:42</t>
  </si>
  <si>
    <t>06:35:03</t>
  </si>
  <si>
    <t>17:08:55</t>
  </si>
  <si>
    <t>20:58:00</t>
  </si>
  <si>
    <t>02:56:23</t>
  </si>
  <si>
    <t>12:59:29</t>
  </si>
  <si>
    <t>23:32:51</t>
  </si>
  <si>
    <t>01:21:14</t>
  </si>
  <si>
    <t>17:34:45</t>
  </si>
  <si>
    <t>17:34:30</t>
  </si>
  <si>
    <t>17:45:57</t>
  </si>
  <si>
    <t>22:11:41</t>
  </si>
  <si>
    <t>22:10:32</t>
  </si>
  <si>
    <t>22:06:47</t>
  </si>
  <si>
    <t>15:56:58</t>
  </si>
  <si>
    <t>15:52:02</t>
  </si>
  <si>
    <t>16:48:30</t>
  </si>
  <si>
    <t>16:44:32</t>
  </si>
  <si>
    <t>15:18:01</t>
  </si>
  <si>
    <t>15:05:44</t>
  </si>
  <si>
    <t>16:40:44</t>
  </si>
  <si>
    <t>22:30:04</t>
  </si>
  <si>
    <t>00:51:27</t>
  </si>
  <si>
    <t>00:41:56</t>
  </si>
  <si>
    <t>17:18:56</t>
  </si>
  <si>
    <t>17:15:38</t>
  </si>
  <si>
    <t>16:57:08</t>
  </si>
  <si>
    <t>18:28:23</t>
  </si>
  <si>
    <t>01:05:07</t>
  </si>
  <si>
    <t>22:30:20</t>
  </si>
  <si>
    <t>23:09:39</t>
  </si>
  <si>
    <t>16:26:09</t>
  </si>
  <si>
    <t>16:49:18</t>
  </si>
  <si>
    <t>16:46:05</t>
  </si>
  <si>
    <t>22:42:48</t>
  </si>
  <si>
    <t>17:33:55</t>
  </si>
  <si>
    <t>21:50:10</t>
  </si>
  <si>
    <t>21:06:46</t>
  </si>
  <si>
    <t>15:07:42</t>
  </si>
  <si>
    <t>21:44:42</t>
  </si>
  <si>
    <t>22:52:30</t>
  </si>
  <si>
    <t>09:37:41</t>
  </si>
  <si>
    <t>16:21:52</t>
  </si>
  <si>
    <t>08:53:00</t>
  </si>
  <si>
    <t>03:07:23</t>
  </si>
  <si>
    <t>01:21:08</t>
  </si>
  <si>
    <t>03:41:46</t>
  </si>
  <si>
    <t>01:07:33</t>
  </si>
  <si>
    <t>20:29:18</t>
  </si>
  <si>
    <t>20:10:00</t>
  </si>
  <si>
    <t>12:58:32</t>
  </si>
  <si>
    <t>12:33:28</t>
  </si>
  <si>
    <t>00:08:25</t>
  </si>
  <si>
    <t>15:12:29</t>
  </si>
  <si>
    <t>02:59:03</t>
  </si>
  <si>
    <t>01:27:03</t>
  </si>
  <si>
    <t>16:25:39</t>
  </si>
  <si>
    <t>14:06:43</t>
  </si>
  <si>
    <t>14:10:52</t>
  </si>
  <si>
    <t>16:27:50</t>
  </si>
  <si>
    <t>02:50:17</t>
  </si>
  <si>
    <t>15:11:14</t>
  </si>
  <si>
    <t>17:17:14</t>
  </si>
  <si>
    <t>21:09:11</t>
  </si>
  <si>
    <t>20:07:33</t>
  </si>
  <si>
    <t>02:15:49</t>
  </si>
  <si>
    <t>23:43:13</t>
  </si>
  <si>
    <t>20:26:15</t>
  </si>
  <si>
    <t>02:54:59</t>
  </si>
  <si>
    <t>23:31:50</t>
  </si>
  <si>
    <t>20:54:16</t>
  </si>
  <si>
    <t>14:58:13</t>
  </si>
  <si>
    <t>18:14:53</t>
  </si>
  <si>
    <t>13:47:16</t>
  </si>
  <si>
    <t>01:47:14</t>
  </si>
  <si>
    <t>15:12:26</t>
  </si>
  <si>
    <t>13:31:44</t>
  </si>
  <si>
    <t>18:17:05</t>
  </si>
  <si>
    <t>21:32:34</t>
  </si>
  <si>
    <t>01:00:02</t>
  </si>
  <si>
    <t>16:13:24</t>
  </si>
  <si>
    <t>10:21:17</t>
  </si>
  <si>
    <t>08:49:00</t>
  </si>
  <si>
    <t>00:10:46</t>
  </si>
  <si>
    <t>20:22:33</t>
  </si>
  <si>
    <t>20:25:55</t>
  </si>
  <si>
    <t>20:08:22</t>
  </si>
  <si>
    <t>09:07:33</t>
  </si>
  <si>
    <t>10:58:42</t>
  </si>
  <si>
    <t>15:21:19</t>
  </si>
  <si>
    <t>15:11:29</t>
  </si>
  <si>
    <t>10:22:41</t>
  </si>
  <si>
    <t>10:16:32</t>
  </si>
  <si>
    <t>19:21:14</t>
  </si>
  <si>
    <t>19:20:12</t>
  </si>
  <si>
    <t>19:16:46</t>
  </si>
  <si>
    <t>17:50:44</t>
  </si>
  <si>
    <t>17:48:33</t>
  </si>
  <si>
    <t>17:46:45</t>
  </si>
  <si>
    <t>17:44:00</t>
  </si>
  <si>
    <t>01:49:14</t>
  </si>
  <si>
    <t>17:53:33</t>
  </si>
  <si>
    <t>12:13:55</t>
  </si>
  <si>
    <t>16:30:05</t>
  </si>
  <si>
    <t>12:32:54</t>
  </si>
  <si>
    <t>19:21:59</t>
  </si>
  <si>
    <t>23:53:40</t>
  </si>
  <si>
    <t>22:28:20</t>
  </si>
  <si>
    <t>23:10:00</t>
  </si>
  <si>
    <t>22:00:00</t>
  </si>
  <si>
    <t>22:08:00</t>
  </si>
  <si>
    <t>12:34:11</t>
  </si>
  <si>
    <t>03:51:23</t>
  </si>
  <si>
    <t>03:50:44</t>
  </si>
  <si>
    <t>03:50:07</t>
  </si>
  <si>
    <t>03:49:16</t>
  </si>
  <si>
    <t>03:48:29</t>
  </si>
  <si>
    <t>03:47:50</t>
  </si>
  <si>
    <t>03:46:22</t>
  </si>
  <si>
    <t>03:45:27</t>
  </si>
  <si>
    <t>03:45:00</t>
  </si>
  <si>
    <t>03:44:26</t>
  </si>
  <si>
    <t>03:43:50</t>
  </si>
  <si>
    <t>03:42:16</t>
  </si>
  <si>
    <t>03:41:34</t>
  </si>
  <si>
    <t>03:40:56</t>
  </si>
  <si>
    <t>03:40:22</t>
  </si>
  <si>
    <t>03:39:43</t>
  </si>
  <si>
    <t>03:38:37</t>
  </si>
  <si>
    <t>19:52:35</t>
  </si>
  <si>
    <t>03:41:02</t>
  </si>
  <si>
    <t>17:58:14</t>
  </si>
  <si>
    <t>23:34:32</t>
  </si>
  <si>
    <t>21:57:02</t>
  </si>
  <si>
    <t>15:34:32</t>
  </si>
  <si>
    <t>19:51:16</t>
  </si>
  <si>
    <t>22:24:15</t>
  </si>
  <si>
    <t>06:41:56</t>
  </si>
  <si>
    <t>23:09:45</t>
  </si>
  <si>
    <t>23:10:08</t>
  </si>
  <si>
    <t>14:29:01</t>
  </si>
  <si>
    <t>23:48:27</t>
  </si>
  <si>
    <t>11:52:44</t>
  </si>
  <si>
    <t>13:25:06</t>
  </si>
  <si>
    <t>12:00:21</t>
  </si>
  <si>
    <t>15:52:59</t>
  </si>
  <si>
    <t>15:45:54</t>
  </si>
  <si>
    <t>19:51:30</t>
  </si>
  <si>
    <t>22:40:07</t>
  </si>
  <si>
    <t>21:53:01</t>
  </si>
  <si>
    <t>13:35:29</t>
  </si>
  <si>
    <t>16:06:30</t>
  </si>
  <si>
    <t>14:49:23</t>
  </si>
  <si>
    <t>13:45:00</t>
  </si>
  <si>
    <t>19:51:48</t>
  </si>
  <si>
    <t>01:42:41</t>
  </si>
  <si>
    <t>17:52:31</t>
  </si>
  <si>
    <t>19:50:42</t>
  </si>
  <si>
    <t>04:49:46</t>
  </si>
  <si>
    <t>01:09:09</t>
  </si>
  <si>
    <t>12:03:28</t>
  </si>
  <si>
    <t>16:33:21</t>
  </si>
  <si>
    <t>12:00:31</t>
  </si>
  <si>
    <t>18:00:38</t>
  </si>
  <si>
    <t>12:00:36</t>
  </si>
  <si>
    <t>19:00:31</t>
  </si>
  <si>
    <t>12:00:30</t>
  </si>
  <si>
    <t>23:30:10</t>
  </si>
  <si>
    <t>18:30:30</t>
  </si>
  <si>
    <t>21:30:19</t>
  </si>
  <si>
    <t>15:00:35</t>
  </si>
  <si>
    <t>18:31:08</t>
  </si>
  <si>
    <t>21:30:44</t>
  </si>
  <si>
    <t>19:30:41</t>
  </si>
  <si>
    <t>18:00:32</t>
  </si>
  <si>
    <t>02:20:32</t>
  </si>
  <si>
    <t>01:23:28</t>
  </si>
  <si>
    <t>01:11:30</t>
  </si>
  <si>
    <t>01:35:30</t>
  </si>
  <si>
    <t>01:45:07</t>
  </si>
  <si>
    <t>01:48:26</t>
  </si>
  <si>
    <t>14:09:06</t>
  </si>
  <si>
    <t>00:12:01</t>
  </si>
  <si>
    <t>13:58:35</t>
  </si>
  <si>
    <t>11:01:08</t>
  </si>
  <si>
    <t>13:42:08</t>
  </si>
  <si>
    <t>01:10:39</t>
  </si>
  <si>
    <t>00:38:24</t>
  </si>
  <si>
    <t>17:23:51</t>
  </si>
  <si>
    <t>16:19:40</t>
  </si>
  <si>
    <t>02:11:22</t>
  </si>
  <si>
    <t>12:19:05</t>
  </si>
  <si>
    <t>14:07:32</t>
  </si>
  <si>
    <t>14:07:20</t>
  </si>
  <si>
    <t>14:06:39</t>
  </si>
  <si>
    <t>12:40:32</t>
  </si>
  <si>
    <t>19:34:47</t>
  </si>
  <si>
    <t>19:28:53</t>
  </si>
  <si>
    <t>12:30:54</t>
  </si>
  <si>
    <t>01:26:47</t>
  </si>
  <si>
    <t>18:08:35</t>
  </si>
  <si>
    <t>17:11:23</t>
  </si>
  <si>
    <t>18:57:58</t>
  </si>
  <si>
    <t>18:56:04</t>
  </si>
  <si>
    <t>11:21:47</t>
  </si>
  <si>
    <t>16:19:41</t>
  </si>
  <si>
    <t>21:21:49</t>
  </si>
  <si>
    <t>21:39:31</t>
  </si>
  <si>
    <t>21:02:16</t>
  </si>
  <si>
    <t>21:02:14</t>
  </si>
  <si>
    <t>02:29:06</t>
  </si>
  <si>
    <t>17:19:46</t>
  </si>
  <si>
    <t>21:17:03</t>
  </si>
  <si>
    <t>20:43:42</t>
  </si>
  <si>
    <t>20:37:30</t>
  </si>
  <si>
    <t>20:34:19</t>
  </si>
  <si>
    <t>22:58:59</t>
  </si>
  <si>
    <t>21:28:06</t>
  </si>
  <si>
    <t>01:00:27</t>
  </si>
  <si>
    <t>13:23:05</t>
  </si>
  <si>
    <t>21:39:32</t>
  </si>
  <si>
    <t>17:33:03</t>
  </si>
  <si>
    <t>23:15:25</t>
  </si>
  <si>
    <t>22:09:17</t>
  </si>
  <si>
    <t>17:12:59</t>
  </si>
  <si>
    <t>16:31:14</t>
  </si>
  <si>
    <t>12:36:55</t>
  </si>
  <si>
    <t>18:49:57</t>
  </si>
  <si>
    <t>18:24:07</t>
  </si>
  <si>
    <t>16:36:29</t>
  </si>
  <si>
    <t>04:59:48</t>
  </si>
  <si>
    <t>20:53:16</t>
  </si>
  <si>
    <t>13:52:24</t>
  </si>
  <si>
    <t>22:23:41</t>
  </si>
  <si>
    <t>10:57:50</t>
  </si>
  <si>
    <t>11:29:17</t>
  </si>
  <si>
    <t>15:46:17</t>
  </si>
  <si>
    <t>11:14:01</t>
  </si>
  <si>
    <t>09:43:45</t>
  </si>
  <si>
    <t>17:48:20</t>
  </si>
  <si>
    <t>12:18:42</t>
  </si>
  <si>
    <t>03:14:09</t>
  </si>
  <si>
    <t>11:47:25</t>
  </si>
  <si>
    <t>22:55:42</t>
  </si>
  <si>
    <t>10:26:20</t>
  </si>
  <si>
    <t>09:50:50</t>
  </si>
  <si>
    <t>17:09:37</t>
  </si>
  <si>
    <t>10:13:48</t>
  </si>
  <si>
    <t>11:46:34</t>
  </si>
  <si>
    <t>11:25:20</t>
  </si>
  <si>
    <t>10:13:28</t>
  </si>
  <si>
    <t>10:44:40</t>
  </si>
  <si>
    <t>09:06:38</t>
  </si>
  <si>
    <t>16:09:10</t>
  </si>
  <si>
    <t>13:37:31</t>
  </si>
  <si>
    <t>11:06:36</t>
  </si>
  <si>
    <t>21:16:05</t>
  </si>
  <si>
    <t>10:10:28</t>
  </si>
  <si>
    <t>11:58:46</t>
  </si>
  <si>
    <t>15:27:31</t>
  </si>
  <si>
    <t>00:35:25</t>
  </si>
  <si>
    <t>23:49:04</t>
  </si>
  <si>
    <t>23:03:30</t>
  </si>
  <si>
    <t>19:17:37</t>
  </si>
  <si>
    <t>11:30:05</t>
  </si>
  <si>
    <t>12:48:01</t>
  </si>
  <si>
    <t>10:26:03</t>
  </si>
  <si>
    <t>17:58:12</t>
  </si>
  <si>
    <t>10:32:15</t>
  </si>
  <si>
    <t>10:44:18</t>
  </si>
  <si>
    <t>14:55:04</t>
  </si>
  <si>
    <t>09:23:29</t>
  </si>
  <si>
    <t>11:39:25</t>
  </si>
  <si>
    <t>09:47:40</t>
  </si>
  <si>
    <t>12:02:23</t>
  </si>
  <si>
    <t>20:32:50</t>
  </si>
  <si>
    <t>11:22:29</t>
  </si>
  <si>
    <t>11:58:56</t>
  </si>
  <si>
    <t>01:30:12</t>
  </si>
  <si>
    <t>11:44:12</t>
  </si>
  <si>
    <t>11:20:42</t>
  </si>
  <si>
    <t>21:11:54</t>
  </si>
  <si>
    <t>12:01:12</t>
  </si>
  <si>
    <t>16:09:19</t>
  </si>
  <si>
    <t>11:52:54</t>
  </si>
  <si>
    <t>11:46:51</t>
  </si>
  <si>
    <t>17:45:41</t>
  </si>
  <si>
    <t>23:00:12</t>
  </si>
  <si>
    <t>13:49:57</t>
  </si>
  <si>
    <t>11:54:09</t>
  </si>
  <si>
    <t>11:27:08</t>
  </si>
  <si>
    <t>13:02:59</t>
  </si>
  <si>
    <t>21:25:10</t>
  </si>
  <si>
    <t>10:00:14</t>
  </si>
  <si>
    <t>12:17:08</t>
  </si>
  <si>
    <t>10:33:34</t>
  </si>
  <si>
    <t>11:08:55</t>
  </si>
  <si>
    <t>17:26:39</t>
  </si>
  <si>
    <t>22:25:30</t>
  </si>
  <si>
    <t>15:18:23</t>
  </si>
  <si>
    <t>10:57:45</t>
  </si>
  <si>
    <t>11:19:36</t>
  </si>
  <si>
    <t>02:39:26</t>
  </si>
  <si>
    <t>16:23:51</t>
  </si>
  <si>
    <t>09:41:03</t>
  </si>
  <si>
    <t>00:18:22</t>
  </si>
  <si>
    <t>11:44:14</t>
  </si>
  <si>
    <t>16:51:35</t>
  </si>
  <si>
    <t>12:25:29</t>
  </si>
  <si>
    <t>18:38:40</t>
  </si>
  <si>
    <t>17:35:41</t>
  </si>
  <si>
    <t>21:43:19</t>
  </si>
  <si>
    <t>22:45:51</t>
  </si>
  <si>
    <t>16:05:15</t>
  </si>
  <si>
    <t>01:12:18</t>
  </si>
  <si>
    <t>01:13:53</t>
  </si>
  <si>
    <t>21:50:04</t>
  </si>
  <si>
    <t>18:58:24</t>
  </si>
  <si>
    <t>04:13:51</t>
  </si>
  <si>
    <t>12:58:52</t>
  </si>
  <si>
    <t>01:50:44</t>
  </si>
  <si>
    <t>01:38:51</t>
  </si>
  <si>
    <t>04:58:38</t>
  </si>
  <si>
    <t>12:48:29</t>
  </si>
  <si>
    <t>23:20:09</t>
  </si>
  <si>
    <t>09:23:33</t>
  </si>
  <si>
    <t>22:45:04</t>
  </si>
  <si>
    <t>13:02:51</t>
  </si>
  <si>
    <t>10:57:42</t>
  </si>
  <si>
    <t>14:15:15</t>
  </si>
  <si>
    <t>20:41:24</t>
  </si>
  <si>
    <t>18:32:53</t>
  </si>
  <si>
    <t>18:35:33</t>
  </si>
  <si>
    <t>19:40:03</t>
  </si>
  <si>
    <t>12:52:27</t>
  </si>
  <si>
    <t>17:36:54</t>
  </si>
  <si>
    <t>21:20:01</t>
  </si>
  <si>
    <t>21:42:07</t>
  </si>
  <si>
    <t>22:52:12</t>
  </si>
  <si>
    <t>06:01:20</t>
  </si>
  <si>
    <t>21:50:27</t>
  </si>
  <si>
    <t>04:57:49</t>
  </si>
  <si>
    <t>02:51:40</t>
  </si>
  <si>
    <t>12:50:07</t>
  </si>
  <si>
    <t>03:02:22</t>
  </si>
  <si>
    <t>21:37:21</t>
  </si>
  <si>
    <t>02:27:26</t>
  </si>
  <si>
    <t>15:34:55</t>
  </si>
  <si>
    <t>15:00:39</t>
  </si>
  <si>
    <t>01:33:42</t>
  </si>
  <si>
    <t>14:34:06</t>
  </si>
  <si>
    <t>02:38:49</t>
  </si>
  <si>
    <t>01:16:38</t>
  </si>
  <si>
    <t>02:21:24</t>
  </si>
  <si>
    <t>02:39:35</t>
  </si>
  <si>
    <t>15:22:15</t>
  </si>
  <si>
    <t>16:05:11</t>
  </si>
  <si>
    <t>03:10:13</t>
  </si>
  <si>
    <t>06:44:47</t>
  </si>
  <si>
    <t>20:34:07</t>
  </si>
  <si>
    <t>10:22:49</t>
  </si>
  <si>
    <t>11:11:02</t>
  </si>
  <si>
    <t>16:20:57</t>
  </si>
  <si>
    <t>02:20:18</t>
  </si>
  <si>
    <t>00:11:49</t>
  </si>
  <si>
    <t>23:02:04</t>
  </si>
  <si>
    <t>02:51:58</t>
  </si>
  <si>
    <t>20:31:49</t>
  </si>
  <si>
    <t>19:25:01</t>
  </si>
  <si>
    <t>02:51:10</t>
  </si>
  <si>
    <t>05:23:19</t>
  </si>
  <si>
    <t>10:32:55</t>
  </si>
  <si>
    <t>05:29:18</t>
  </si>
  <si>
    <t>00:26:59</t>
  </si>
  <si>
    <t>19:23:01</t>
  </si>
  <si>
    <t>04:09:06</t>
  </si>
  <si>
    <t>23:04:46</t>
  </si>
  <si>
    <t>17:59:51</t>
  </si>
  <si>
    <t>12:54:00</t>
  </si>
  <si>
    <t>07:48:54</t>
  </si>
  <si>
    <t>02:46:03</t>
  </si>
  <si>
    <t>21:40:18</t>
  </si>
  <si>
    <t>16:36:56</t>
  </si>
  <si>
    <t>11:32:25</t>
  </si>
  <si>
    <t>06:26:38</t>
  </si>
  <si>
    <t>01:22:27</t>
  </si>
  <si>
    <t>20:15:33</t>
  </si>
  <si>
    <t>10:40:38</t>
  </si>
  <si>
    <t>18:29:52</t>
  </si>
  <si>
    <t>02:21:04</t>
  </si>
  <si>
    <t>09:06:04</t>
  </si>
  <si>
    <t>23:40:31</t>
  </si>
  <si>
    <t>18:07:18</t>
  </si>
  <si>
    <t>13:15:15</t>
  </si>
  <si>
    <t>11:35:03</t>
  </si>
  <si>
    <t>20:26:01</t>
  </si>
  <si>
    <t>00:13:46</t>
  </si>
  <si>
    <t>23:22:02</t>
  </si>
  <si>
    <t>15:02:39</t>
  </si>
  <si>
    <t>09:05:36</t>
  </si>
  <si>
    <t>16:53:43</t>
  </si>
  <si>
    <t>22:55:46</t>
  </si>
  <si>
    <t>10:05:17</t>
  </si>
  <si>
    <t>01:05:02</t>
  </si>
  <si>
    <t>14:45:12</t>
  </si>
  <si>
    <t>21:00:09</t>
  </si>
  <si>
    <t>09:14:46</t>
  </si>
  <si>
    <t>02:37:41</t>
  </si>
  <si>
    <t>02:36:47</t>
  </si>
  <si>
    <t>02:36:46</t>
  </si>
  <si>
    <t>12:58:39</t>
  </si>
  <si>
    <t>12:58:08</t>
  </si>
  <si>
    <t>12:58:02</t>
  </si>
  <si>
    <t>12:57:34</t>
  </si>
  <si>
    <t>10:16:06</t>
  </si>
  <si>
    <t>01:14:22</t>
  </si>
  <si>
    <t>01:14:16</t>
  </si>
  <si>
    <t>01:13:56</t>
  </si>
  <si>
    <t>15:39:52</t>
  </si>
  <si>
    <t>23:25:12</t>
  </si>
  <si>
    <t>01:59:56</t>
  </si>
  <si>
    <t>12:24:33</t>
  </si>
  <si>
    <t>12:23:55</t>
  </si>
  <si>
    <t>01:13:52</t>
  </si>
  <si>
    <t>12:14:42</t>
  </si>
  <si>
    <t>12:14:01</t>
  </si>
  <si>
    <t>12:13:58</t>
  </si>
  <si>
    <t>12:13:44</t>
  </si>
  <si>
    <t>20:29:45</t>
  </si>
  <si>
    <t>20:32:51</t>
  </si>
  <si>
    <t>22:11:44</t>
  </si>
  <si>
    <t>18:22:30</t>
  </si>
  <si>
    <t>10:46:41</t>
  </si>
  <si>
    <t>04:37:17</t>
  </si>
  <si>
    <t>23:09:07</t>
  </si>
  <si>
    <t>00:39:18</t>
  </si>
  <si>
    <t>18:02:25</t>
  </si>
  <si>
    <t>16:05:18</t>
  </si>
  <si>
    <t>03:36:10</t>
  </si>
  <si>
    <t>19:25:19</t>
  </si>
  <si>
    <t>22:01:05</t>
  </si>
  <si>
    <t>19:37:49</t>
  </si>
  <si>
    <t>19:39:45</t>
  </si>
  <si>
    <t>19:33:26</t>
  </si>
  <si>
    <t>17:45:01</t>
  </si>
  <si>
    <t>18:41:59</t>
  </si>
  <si>
    <t>15:57:41</t>
  </si>
  <si>
    <t>19:58:24</t>
  </si>
  <si>
    <t>15:49:25</t>
  </si>
  <si>
    <t>12:28:00</t>
  </si>
  <si>
    <t>19:58:05</t>
  </si>
  <si>
    <t>17:59:46</t>
  </si>
  <si>
    <t>19:21:09</t>
  </si>
  <si>
    <t>17:08:50</t>
  </si>
  <si>
    <t>18:46:07</t>
  </si>
  <si>
    <t>19:49:28</t>
  </si>
  <si>
    <t>16:51:51</t>
  </si>
  <si>
    <t>17:28:46</t>
  </si>
  <si>
    <t>17:42:38</t>
  </si>
  <si>
    <t>17:45:07</t>
  </si>
  <si>
    <t>17:54:25</t>
  </si>
  <si>
    <t>17:32:57</t>
  </si>
  <si>
    <t>20:12:20</t>
  </si>
  <si>
    <t>19:15:50</t>
  </si>
  <si>
    <t>19:18:20</t>
  </si>
  <si>
    <t>16:16:32</t>
  </si>
  <si>
    <t>18:35:28</t>
  </si>
  <si>
    <t>20:10:02</t>
  </si>
  <si>
    <t>18:25:22</t>
  </si>
  <si>
    <t>01:25:21</t>
  </si>
  <si>
    <t>11:22:55</t>
  </si>
  <si>
    <t>17:55:54</t>
  </si>
  <si>
    <t>19:30:28</t>
  </si>
  <si>
    <t>18:21:07</t>
  </si>
  <si>
    <t>17:01:28</t>
  </si>
  <si>
    <t>10:30:45</t>
  </si>
  <si>
    <t>10:08:31</t>
  </si>
  <si>
    <t>23:11:09</t>
  </si>
  <si>
    <t>19:25:04</t>
  </si>
  <si>
    <t>17:06:19</t>
  </si>
  <si>
    <t>17:26:25</t>
  </si>
  <si>
    <t>01:26:58</t>
  </si>
  <si>
    <t>20:09:58</t>
  </si>
  <si>
    <t>00:35:00</t>
  </si>
  <si>
    <t>02:16:30</t>
  </si>
  <si>
    <t>19:56:40</t>
  </si>
  <si>
    <t>19:25:00</t>
  </si>
  <si>
    <t>12:07:02</t>
  </si>
  <si>
    <t>21:52:21</t>
  </si>
  <si>
    <t>10:59:14</t>
  </si>
  <si>
    <t>23:12:42</t>
  </si>
  <si>
    <t>21:27:49</t>
  </si>
  <si>
    <t>01:50:49</t>
  </si>
  <si>
    <t>00:53:14</t>
  </si>
  <si>
    <t>14:58:57</t>
  </si>
  <si>
    <t>17:43:01</t>
  </si>
  <si>
    <t>17:05:11</t>
  </si>
  <si>
    <t>04:05:48</t>
  </si>
  <si>
    <t>19:58:15</t>
  </si>
  <si>
    <t>03:36:30</t>
  </si>
  <si>
    <t>20:08:03</t>
  </si>
  <si>
    <t>01:03:02</t>
  </si>
  <si>
    <t>14:36:11</t>
  </si>
  <si>
    <t>00:03:05</t>
  </si>
  <si>
    <t>13:36:43</t>
  </si>
  <si>
    <t>15:02:21</t>
  </si>
  <si>
    <t>18:49:55</t>
  </si>
  <si>
    <t>16:10:03</t>
  </si>
  <si>
    <t>23:44:51</t>
  </si>
  <si>
    <t>19:29:40</t>
  </si>
  <si>
    <t>01:01:21</t>
  </si>
  <si>
    <t>19:50:08</t>
  </si>
  <si>
    <t>18:33:55</t>
  </si>
  <si>
    <t>17:16:42</t>
  </si>
  <si>
    <t>21:50:47</t>
  </si>
  <si>
    <t>16:31:12</t>
  </si>
  <si>
    <t>21:19:54</t>
  </si>
  <si>
    <t>13:35:32</t>
  </si>
  <si>
    <t>00:48:49</t>
  </si>
  <si>
    <t>19:55:02</t>
  </si>
  <si>
    <t>03:53:59</t>
  </si>
  <si>
    <t>16:32:58</t>
  </si>
  <si>
    <t>16:28:48</t>
  </si>
  <si>
    <t>12:42:13</t>
  </si>
  <si>
    <t>12:00:00</t>
  </si>
  <si>
    <t>22:39:58</t>
  </si>
  <si>
    <t>22:29:35</t>
  </si>
  <si>
    <t>20:41:05</t>
  </si>
  <si>
    <t>13:37:09</t>
  </si>
  <si>
    <t>01:08:51</t>
  </si>
  <si>
    <t>16:11:04</t>
  </si>
  <si>
    <t>17:07:38</t>
  </si>
  <si>
    <t>04:52:17</t>
  </si>
  <si>
    <t>18:27:16</t>
  </si>
  <si>
    <t>19:04:57</t>
  </si>
  <si>
    <t>18:06:33</t>
  </si>
  <si>
    <t>00:26:29</t>
  </si>
  <si>
    <t>14:07:39</t>
  </si>
  <si>
    <t>18:41:56</t>
  </si>
  <si>
    <t>00:32:30</t>
  </si>
  <si>
    <t>14:49:00</t>
  </si>
  <si>
    <t>14:40:58</t>
  </si>
  <si>
    <t>14:39:38</t>
  </si>
  <si>
    <t>21:52:18</t>
  </si>
  <si>
    <t>15:15:01</t>
  </si>
  <si>
    <t>14:04:29</t>
  </si>
  <si>
    <t>10:43:58</t>
  </si>
  <si>
    <t>03:51:48</t>
  </si>
  <si>
    <t>19:29:54</t>
  </si>
  <si>
    <t>00:21:24</t>
  </si>
  <si>
    <t>22:27:26</t>
  </si>
  <si>
    <t>20:44:06</t>
  </si>
  <si>
    <t>20:40:07</t>
  </si>
  <si>
    <t>11:35:25</t>
  </si>
  <si>
    <t>03:56:50</t>
  </si>
  <si>
    <t>13:16:06</t>
  </si>
  <si>
    <t>22:30:21</t>
  </si>
  <si>
    <t>22:14:24</t>
  </si>
  <si>
    <t>18:29:26</t>
  </si>
  <si>
    <t>13:31:28</t>
  </si>
  <si>
    <t>14:42:52</t>
  </si>
  <si>
    <t>14:41:50</t>
  </si>
  <si>
    <t>19:44:22</t>
  </si>
  <si>
    <t>02:17:54</t>
  </si>
  <si>
    <t>12:00:50</t>
  </si>
  <si>
    <t>00:49:12</t>
  </si>
  <si>
    <t>04:38:41</t>
  </si>
  <si>
    <t>06:11:58</t>
  </si>
  <si>
    <t>03:14:11</t>
  </si>
  <si>
    <t>13:27:51</t>
  </si>
  <si>
    <t>11:00:21</t>
  </si>
  <si>
    <t>16:07:38</t>
  </si>
  <si>
    <t>17:10:30</t>
  </si>
  <si>
    <t>23:42:39</t>
  </si>
  <si>
    <t>00:01:57</t>
  </si>
  <si>
    <t>21:27:57</t>
  </si>
  <si>
    <t>11:47:44</t>
  </si>
  <si>
    <t>09:26:14</t>
  </si>
  <si>
    <t>09:36:26</t>
  </si>
  <si>
    <t>19:19:31</t>
  </si>
  <si>
    <t>14:30:04</t>
  </si>
  <si>
    <t>13:34:56</t>
  </si>
  <si>
    <t>12:43:14</t>
  </si>
  <si>
    <t>00:25:40</t>
  </si>
  <si>
    <t>17:26:52</t>
  </si>
  <si>
    <t>18:03:07</t>
  </si>
  <si>
    <t>20:59:27</t>
  </si>
  <si>
    <t>21:08:52</t>
  </si>
  <si>
    <t>23:33:00</t>
  </si>
  <si>
    <t>14:02:14</t>
  </si>
  <si>
    <t>23:25:43</t>
  </si>
  <si>
    <t>23:36:51</t>
  </si>
  <si>
    <t>20:53:04</t>
  </si>
  <si>
    <t>14:26:54</t>
  </si>
  <si>
    <t>23:36:55</t>
  </si>
  <si>
    <t>21:19:36</t>
  </si>
  <si>
    <t>15:22:54</t>
  </si>
  <si>
    <t>14:59:00</t>
  </si>
  <si>
    <t>02:35:34</t>
  </si>
  <si>
    <t>21:04:47</t>
  </si>
  <si>
    <t>21:20:08</t>
  </si>
  <si>
    <t>23:51:22</t>
  </si>
  <si>
    <t>12:51:37</t>
  </si>
  <si>
    <t>21:42:34</t>
  </si>
  <si>
    <t>21:10:24</t>
  </si>
  <si>
    <t>14:24:49</t>
  </si>
  <si>
    <t>21:06:40</t>
  </si>
  <si>
    <t>20:54:32</t>
  </si>
  <si>
    <t>15:05:58</t>
  </si>
  <si>
    <t>15:05:53</t>
  </si>
  <si>
    <t>20:53:27</t>
  </si>
  <si>
    <t>14:59:49</t>
  </si>
  <si>
    <t>20:47:29</t>
  </si>
  <si>
    <t>14:00:02</t>
  </si>
  <si>
    <t>21:20:44</t>
  </si>
  <si>
    <t>14:46:29</t>
  </si>
  <si>
    <t>20:50:52</t>
  </si>
  <si>
    <t>16:48:56</t>
  </si>
  <si>
    <t>16:19:46</t>
  </si>
  <si>
    <t>23:33:47</t>
  </si>
  <si>
    <t>11:57:54</t>
  </si>
  <si>
    <t>14:54:18</t>
  </si>
  <si>
    <t>14:56:59</t>
  </si>
  <si>
    <t>15:00:00</t>
  </si>
  <si>
    <t>22:03:55</t>
  </si>
  <si>
    <t>21:00:01</t>
  </si>
  <si>
    <t>14:55:26</t>
  </si>
  <si>
    <t>17:28:26</t>
  </si>
  <si>
    <t>23:08:57</t>
  </si>
  <si>
    <t>18:30:00</t>
  </si>
  <si>
    <t>14:13:00</t>
  </si>
  <si>
    <t>15:05:07</t>
  </si>
  <si>
    <t>20:52:46</t>
  </si>
  <si>
    <t>22:07:56</t>
  </si>
  <si>
    <t>13:38:01</t>
  </si>
  <si>
    <t>21:19:06</t>
  </si>
  <si>
    <t>21:12:55</t>
  </si>
  <si>
    <t>13:37:05</t>
  </si>
  <si>
    <t>23:29:23</t>
  </si>
  <si>
    <t>21:01:18</t>
  </si>
  <si>
    <t>15:00:01</t>
  </si>
  <si>
    <t>21:11:20</t>
  </si>
  <si>
    <t>20:57:51</t>
  </si>
  <si>
    <t>21:15:01</t>
  </si>
  <si>
    <t>14:17:48</t>
  </si>
  <si>
    <t>23:35:04</t>
  </si>
  <si>
    <t>16:01:51</t>
  </si>
  <si>
    <t>11:19:42</t>
  </si>
  <si>
    <t>21:27:30</t>
  </si>
  <si>
    <t>14:54:13</t>
  </si>
  <si>
    <t>15:00:49</t>
  </si>
  <si>
    <t>15:35:16</t>
  </si>
  <si>
    <t>19:09:49</t>
  </si>
  <si>
    <t>21:03:48</t>
  </si>
  <si>
    <t>16:18:20</t>
  </si>
  <si>
    <t>21:22:43</t>
  </si>
  <si>
    <t>14:51:53</t>
  </si>
  <si>
    <t>21:17:22</t>
  </si>
  <si>
    <t>16:15:59</t>
  </si>
  <si>
    <t>19:56:39</t>
  </si>
  <si>
    <t>17:09:45</t>
  </si>
  <si>
    <t>15:23:45</t>
  </si>
  <si>
    <t>21:22:27</t>
  </si>
  <si>
    <t>15:03:53</t>
  </si>
  <si>
    <t>02:05:28</t>
  </si>
  <si>
    <t>15:00:03</t>
  </si>
  <si>
    <t>15:12:31</t>
  </si>
  <si>
    <t>23:42:45</t>
  </si>
  <si>
    <t>23:28:19</t>
  </si>
  <si>
    <t>15:17:19</t>
  </si>
  <si>
    <t>21:02:13</t>
  </si>
  <si>
    <t>12:25:50</t>
  </si>
  <si>
    <t>13:03:27</t>
  </si>
  <si>
    <t>22:58:52</t>
  </si>
  <si>
    <t>18:37:59</t>
  </si>
  <si>
    <t>21:07:45</t>
  </si>
  <si>
    <t>23:54:23</t>
  </si>
  <si>
    <t>20:57:33</t>
  </si>
  <si>
    <t>22:56:11</t>
  </si>
  <si>
    <t>14:32:35</t>
  </si>
  <si>
    <t>21:41:31</t>
  </si>
  <si>
    <t>13:08:47</t>
  </si>
  <si>
    <t>15:32:02</t>
  </si>
  <si>
    <t>21:12:56</t>
  </si>
  <si>
    <t>23:32:10</t>
  </si>
  <si>
    <t>21:42:24</t>
  </si>
  <si>
    <t>13:27:40</t>
  </si>
  <si>
    <t>11:31:59</t>
  </si>
  <si>
    <t>11:55:06</t>
  </si>
  <si>
    <t>01:16:46</t>
  </si>
  <si>
    <t>10:36:12</t>
  </si>
  <si>
    <t>23:00:02</t>
  </si>
  <si>
    <t>23:00:00</t>
  </si>
  <si>
    <t>15:03:19</t>
  </si>
  <si>
    <t>15:58:44</t>
  </si>
  <si>
    <t>14:21:57</t>
  </si>
  <si>
    <t>14:00:28</t>
  </si>
  <si>
    <t>13:45:16</t>
  </si>
  <si>
    <t>14:01:32</t>
  </si>
  <si>
    <t>13:45:20</t>
  </si>
  <si>
    <t>13:45:09</t>
  </si>
  <si>
    <t>11:55:29</t>
  </si>
  <si>
    <t>00:39:29</t>
  </si>
  <si>
    <t>13:04:16</t>
  </si>
  <si>
    <t>16:33:38</t>
  </si>
  <si>
    <t>03:33:24</t>
  </si>
  <si>
    <t>19:28:00</t>
  </si>
  <si>
    <t>04:08:28</t>
  </si>
  <si>
    <t>15:52:44</t>
  </si>
  <si>
    <t>03:50:09</t>
  </si>
  <si>
    <t>23:22:37</t>
  </si>
  <si>
    <t>12:20:34</t>
  </si>
  <si>
    <t>12:20:28</t>
  </si>
  <si>
    <t>17:43:22</t>
  </si>
  <si>
    <t>01:20:15</t>
  </si>
  <si>
    <t>19:00:05</t>
  </si>
  <si>
    <t>04:22:33</t>
  </si>
  <si>
    <t>03:05:27</t>
  </si>
  <si>
    <t>18:17:53</t>
  </si>
  <si>
    <t>16:10:09</t>
  </si>
  <si>
    <t>19:14:39</t>
  </si>
  <si>
    <t>20:09:16</t>
  </si>
  <si>
    <t>16:18:12</t>
  </si>
  <si>
    <t>16:23:12</t>
  </si>
  <si>
    <t>16:21:01</t>
  </si>
  <si>
    <t>16:18:31</t>
  </si>
  <si>
    <t>16:20:19</t>
  </si>
  <si>
    <t>16:18:47</t>
  </si>
  <si>
    <t>16:20:07</t>
  </si>
  <si>
    <t>14:10:50</t>
  </si>
  <si>
    <t>14:11:16</t>
  </si>
  <si>
    <t>20:09:24</t>
  </si>
  <si>
    <t>19:18:08</t>
  </si>
  <si>
    <t>16:23:04</t>
  </si>
  <si>
    <t>16:21:50</t>
  </si>
  <si>
    <t>17:44:48</t>
  </si>
  <si>
    <t>16:20:49</t>
  </si>
  <si>
    <t>19:24:06</t>
  </si>
  <si>
    <t>07:06:20</t>
  </si>
  <si>
    <t>19:17:45</t>
  </si>
  <si>
    <t>19:18:04</t>
  </si>
  <si>
    <t>17:43:52</t>
  </si>
  <si>
    <t>16:18:03</t>
  </si>
  <si>
    <t>16:23:20</t>
  </si>
  <si>
    <t>17:44:58</t>
  </si>
  <si>
    <t>16:20:39</t>
  </si>
  <si>
    <t>17:49:57</t>
  </si>
  <si>
    <t>16:20:35</t>
  </si>
  <si>
    <t>18:12:15</t>
  </si>
  <si>
    <t>19:46:34</t>
  </si>
  <si>
    <t>19:19:33</t>
  </si>
  <si>
    <t>19:17:55</t>
  </si>
  <si>
    <t>19:12:41</t>
  </si>
  <si>
    <t>19:15:31</t>
  </si>
  <si>
    <t>19:13:05</t>
  </si>
  <si>
    <t>19:15:28</t>
  </si>
  <si>
    <t>15:14:18</t>
  </si>
  <si>
    <t>19:15:18</t>
  </si>
  <si>
    <t>12:19:17</t>
  </si>
  <si>
    <t>05:08:27</t>
  </si>
  <si>
    <t>05:09:08</t>
  </si>
  <si>
    <t>05:08:56</t>
  </si>
  <si>
    <t>13:52:16</t>
  </si>
  <si>
    <t>00:38:58</t>
  </si>
  <si>
    <t>00:39:10</t>
  </si>
  <si>
    <t>00:35:49</t>
  </si>
  <si>
    <t>07:08:11</t>
  </si>
  <si>
    <t>11:59:59</t>
  </si>
  <si>
    <t>12:02:14</t>
  </si>
  <si>
    <t>13:23:47</t>
  </si>
  <si>
    <t>13:50:47</t>
  </si>
  <si>
    <t>18:50:11</t>
  </si>
  <si>
    <t>11:39:00</t>
  </si>
  <si>
    <t>13:43:13</t>
  </si>
  <si>
    <t>20:09:10</t>
  </si>
  <si>
    <t>21:31:34</t>
  </si>
  <si>
    <t>00:00:50</t>
  </si>
  <si>
    <t>16:34:38</t>
  </si>
  <si>
    <t>16:26:39</t>
  </si>
  <si>
    <t>16:26:33</t>
  </si>
  <si>
    <t>12:43:31</t>
  </si>
  <si>
    <t>12:43:25</t>
  </si>
  <si>
    <t>16:40:36</t>
  </si>
  <si>
    <t>16:39:45</t>
  </si>
  <si>
    <t>03:02:00</t>
  </si>
  <si>
    <t>23:33:07</t>
  </si>
  <si>
    <t>00:15:49</t>
  </si>
  <si>
    <t>01:10:52</t>
  </si>
  <si>
    <t>18:02:54</t>
  </si>
  <si>
    <t>16:12:22</t>
  </si>
  <si>
    <t>21:41:57</t>
  </si>
  <si>
    <t>12:11:33</t>
  </si>
  <si>
    <t>14:19:58</t>
  </si>
  <si>
    <t>15:36:45</t>
  </si>
  <si>
    <t>22:34:54</t>
  </si>
  <si>
    <t>16:59:22</t>
  </si>
  <si>
    <t>16:22:46</t>
  </si>
  <si>
    <t>21:36:18</t>
  </si>
  <si>
    <t>12:57:35</t>
  </si>
  <si>
    <t>00:31:33</t>
  </si>
  <si>
    <t>14:30:50</t>
  </si>
  <si>
    <t>09:12:56</t>
  </si>
  <si>
    <t>09:56:59</t>
  </si>
  <si>
    <t>18:29:34</t>
  </si>
  <si>
    <t>04:08:45</t>
  </si>
  <si>
    <t>00:41:41</t>
  </si>
  <si>
    <t>14:27:08</t>
  </si>
  <si>
    <t>14:21:37</t>
  </si>
  <si>
    <t>00:49:07</t>
  </si>
  <si>
    <t>00:22:27</t>
  </si>
  <si>
    <t>00:40:37</t>
  </si>
  <si>
    <t>04:05:27</t>
  </si>
  <si>
    <t>12:11:47</t>
  </si>
  <si>
    <t>09:30:31</t>
  </si>
  <si>
    <t>18:19:14</t>
  </si>
  <si>
    <t>00:37:22</t>
  </si>
  <si>
    <t>14:13:52</t>
  </si>
  <si>
    <t>04:03:46</t>
  </si>
  <si>
    <t>04:20:03</t>
  </si>
  <si>
    <t>18:00:49</t>
  </si>
  <si>
    <t>13:39:24</t>
  </si>
  <si>
    <t>12:34:05</t>
  </si>
  <si>
    <t>14:29:00</t>
  </si>
  <si>
    <t>22:35:30</t>
  </si>
  <si>
    <t>16:27:23</t>
  </si>
  <si>
    <t>15:57:31</t>
  </si>
  <si>
    <t>13:27:36</t>
  </si>
  <si>
    <t>04:04:51</t>
  </si>
  <si>
    <t>02:07:11</t>
  </si>
  <si>
    <t>17:57:35</t>
  </si>
  <si>
    <t>02:30:52</t>
  </si>
  <si>
    <t>17:23:47</t>
  </si>
  <si>
    <t>19:32:13</t>
  </si>
  <si>
    <t>21:15:08</t>
  </si>
  <si>
    <t>18:58:40</t>
  </si>
  <si>
    <t>02:13:32</t>
  </si>
  <si>
    <t>02:13:14</t>
  </si>
  <si>
    <t>15:43:00</t>
  </si>
  <si>
    <t>19:26:47</t>
  </si>
  <si>
    <t>15:37:37</t>
  </si>
  <si>
    <t>16:47:21</t>
  </si>
  <si>
    <t>15:44:01</t>
  </si>
  <si>
    <t>15:38:57</t>
  </si>
  <si>
    <t>19:08:21</t>
  </si>
  <si>
    <t>16:33:42</t>
  </si>
  <si>
    <t>16:18:23</t>
  </si>
  <si>
    <t>15:01:09</t>
  </si>
  <si>
    <t>15:25:03</t>
  </si>
  <si>
    <t>15:20:03</t>
  </si>
  <si>
    <t>15:02:05</t>
  </si>
  <si>
    <t>15:02:06</t>
  </si>
  <si>
    <t>17:04:33</t>
  </si>
  <si>
    <t>16:17:39</t>
  </si>
  <si>
    <t>10:27:05</t>
  </si>
  <si>
    <t>09:37:03</t>
  </si>
  <si>
    <t>16:49:28</t>
  </si>
  <si>
    <t>00:36:19</t>
  </si>
  <si>
    <t>08:25:47</t>
  </si>
  <si>
    <t>16:36:38</t>
  </si>
  <si>
    <t>00:15:56</t>
  </si>
  <si>
    <t>01:30:25</t>
  </si>
  <si>
    <t>12:20:26</t>
  </si>
  <si>
    <t>01:59:59</t>
  </si>
  <si>
    <t>15:15:58</t>
  </si>
  <si>
    <t>08:39:03</t>
  </si>
  <si>
    <t>22:28:49</t>
  </si>
  <si>
    <t>15:45:39</t>
  </si>
  <si>
    <t>01:27:47</t>
  </si>
  <si>
    <t>03:01:07</t>
  </si>
  <si>
    <t>13:42:03</t>
  </si>
  <si>
    <t>16:58:01</t>
  </si>
  <si>
    <t>12:46:53</t>
  </si>
  <si>
    <t>23:44:04</t>
  </si>
  <si>
    <t>22:25:50</t>
  </si>
  <si>
    <t>16:12:46</t>
  </si>
  <si>
    <t>14:47:17</t>
  </si>
  <si>
    <t>14:45:10</t>
  </si>
  <si>
    <t>11:51:16</t>
  </si>
  <si>
    <t>12:59:30</t>
  </si>
  <si>
    <t>23:04:10</t>
  </si>
  <si>
    <t>15:17:44</t>
  </si>
  <si>
    <t>02:37:51</t>
  </si>
  <si>
    <t>20:39:08</t>
  </si>
  <si>
    <t>17:47:42</t>
  </si>
  <si>
    <t>22:16:49</t>
  </si>
  <si>
    <t>23:23:46</t>
  </si>
  <si>
    <t>22:55:55</t>
  </si>
  <si>
    <t>22:54:45</t>
  </si>
  <si>
    <t>03:06:17</t>
  </si>
  <si>
    <t>21:26:11</t>
  </si>
  <si>
    <t>21:17:05</t>
  </si>
  <si>
    <t>20:35:02</t>
  </si>
  <si>
    <t>12:43:33</t>
  </si>
  <si>
    <t>23:11:05</t>
  </si>
  <si>
    <t>20:47:01</t>
  </si>
  <si>
    <t>17:49:21</t>
  </si>
  <si>
    <t>20:29:51</t>
  </si>
  <si>
    <t>17:17:12</t>
  </si>
  <si>
    <t>01:37:38</t>
  </si>
  <si>
    <t>00:18:29</t>
  </si>
  <si>
    <t>21:52:08</t>
  </si>
  <si>
    <t>19:56:07</t>
  </si>
  <si>
    <t>00:58:43</t>
  </si>
  <si>
    <t>18:13:21</t>
  </si>
  <si>
    <t>15:59:58</t>
  </si>
  <si>
    <t>14:46:28</t>
  </si>
  <si>
    <t>01:18:28</t>
  </si>
  <si>
    <t>21:49:32</t>
  </si>
  <si>
    <t>14:06:08</t>
  </si>
  <si>
    <t>23:49:13</t>
  </si>
  <si>
    <t>17:26:34</t>
  </si>
  <si>
    <t>20:59:34</t>
  </si>
  <si>
    <t>19:24:34</t>
  </si>
  <si>
    <t>21:04:05</t>
  </si>
  <si>
    <t>19:18:39</t>
  </si>
  <si>
    <t>19:17:24</t>
  </si>
  <si>
    <t>21:34:29</t>
  </si>
  <si>
    <t>23:18:14</t>
  </si>
  <si>
    <t>21:04:38</t>
  </si>
  <si>
    <t>13:52:08</t>
  </si>
  <si>
    <t>00:00:09</t>
  </si>
  <si>
    <t>16:41:29</t>
  </si>
  <si>
    <t>20:20:12</t>
  </si>
  <si>
    <t>12:43:19</t>
  </si>
  <si>
    <t>01:40:13</t>
  </si>
  <si>
    <t>19:47:56</t>
  </si>
  <si>
    <t>12:24:01</t>
  </si>
  <si>
    <t>12:22:20</t>
  </si>
  <si>
    <t>09:26:06</t>
  </si>
  <si>
    <t>12:06:08</t>
  </si>
  <si>
    <t>17:52:12</t>
  </si>
  <si>
    <t>01:32:48</t>
  </si>
  <si>
    <t>17:59:11</t>
  </si>
  <si>
    <t>12:06:07</t>
  </si>
  <si>
    <t>18:09:11</t>
  </si>
  <si>
    <t>18:37:07</t>
  </si>
  <si>
    <t>12:10:11</t>
  </si>
  <si>
    <t>17:59:06</t>
  </si>
  <si>
    <t>15:53:47</t>
  </si>
  <si>
    <t>17:57:09</t>
  </si>
  <si>
    <t>08:18:17</t>
  </si>
  <si>
    <t>14:42:00</t>
  </si>
  <si>
    <t>14:37:57</t>
  </si>
  <si>
    <t>00:34:48</t>
  </si>
  <si>
    <t>00:30:27</t>
  </si>
  <si>
    <t>21:05:35</t>
  </si>
  <si>
    <t>18:18:51</t>
  </si>
  <si>
    <t>16:45:44</t>
  </si>
  <si>
    <t>01:36:27</t>
  </si>
  <si>
    <t>16:18:24</t>
  </si>
  <si>
    <t>14:38:13</t>
  </si>
  <si>
    <t>18:55:36</t>
  </si>
  <si>
    <t>02:28:07</t>
  </si>
  <si>
    <t>22:06:55</t>
  </si>
  <si>
    <t>12:34:22</t>
  </si>
  <si>
    <t>16:37:05</t>
  </si>
  <si>
    <t>14:42:44</t>
  </si>
  <si>
    <t>11:03:07</t>
  </si>
  <si>
    <t>16:19:35</t>
  </si>
  <si>
    <t>12:27:59</t>
  </si>
  <si>
    <t>12:34:46</t>
  </si>
  <si>
    <t>13:53:46</t>
  </si>
  <si>
    <t>14:38:25</t>
  </si>
  <si>
    <t>17:54:06</t>
  </si>
  <si>
    <t>18:43:39</t>
  </si>
  <si>
    <t>01:54:09</t>
  </si>
  <si>
    <t>20:49:49</t>
  </si>
  <si>
    <t>19:26:25</t>
  </si>
  <si>
    <t>13:00:08</t>
  </si>
  <si>
    <t>04:12:42</t>
  </si>
  <si>
    <t>19:25:27</t>
  </si>
  <si>
    <t>13:12:23</t>
  </si>
  <si>
    <t>17:34:18</t>
  </si>
  <si>
    <t>13:00:51</t>
  </si>
  <si>
    <t>13:10:49</t>
  </si>
  <si>
    <t>16:15:37</t>
  </si>
  <si>
    <t>14:45:45</t>
  </si>
  <si>
    <t>19:23:58</t>
  </si>
  <si>
    <t>19:13:37</t>
  </si>
  <si>
    <t>13:41:32</t>
  </si>
  <si>
    <t>13:01:13</t>
  </si>
  <si>
    <t>20:56:22</t>
  </si>
  <si>
    <t>15:03:41</t>
  </si>
  <si>
    <t>16:56:13</t>
  </si>
  <si>
    <t>20:12:35</t>
  </si>
  <si>
    <t>14:23:57</t>
  </si>
  <si>
    <t>13:28:40</t>
  </si>
  <si>
    <t>18:47:17</t>
  </si>
  <si>
    <t>17:42:40</t>
  </si>
  <si>
    <t>18:16:45</t>
  </si>
  <si>
    <t>21:14:58</t>
  </si>
  <si>
    <t>14:48:33</t>
  </si>
  <si>
    <t>20:21:41</t>
  </si>
  <si>
    <t>19:13:06</t>
  </si>
  <si>
    <t>12:58:28</t>
  </si>
  <si>
    <t>12:44:00</t>
  </si>
  <si>
    <t>13:06:11</t>
  </si>
  <si>
    <t>00:48:44</t>
  </si>
  <si>
    <t>00:44:15</t>
  </si>
  <si>
    <t>08:57:41</t>
  </si>
  <si>
    <t>00:25:34</t>
  </si>
  <si>
    <t>22:28:28</t>
  </si>
  <si>
    <t>22:26:33</t>
  </si>
  <si>
    <t>23:37:08</t>
  </si>
  <si>
    <t>12:00:29</t>
  </si>
  <si>
    <t>12:00:34</t>
  </si>
  <si>
    <t>23:58:45</t>
  </si>
  <si>
    <t>20:12:45</t>
  </si>
  <si>
    <t>11:31:37</t>
  </si>
  <si>
    <t>11:00:00</t>
  </si>
  <si>
    <t>11:00:01</t>
  </si>
  <si>
    <t>23:16:10</t>
  </si>
  <si>
    <t>00:59:15</t>
  </si>
  <si>
    <t>14:07:07</t>
  </si>
  <si>
    <t>14:44:11</t>
  </si>
  <si>
    <t>01:00:51</t>
  </si>
  <si>
    <t>07:34:15</t>
  </si>
  <si>
    <t>21:26:26</t>
  </si>
  <si>
    <t>16:53:07</t>
  </si>
  <si>
    <t>00:29:40</t>
  </si>
  <si>
    <t>17:14:31</t>
  </si>
  <si>
    <t>20:57:10</t>
  </si>
  <si>
    <t>03:11:54</t>
  </si>
  <si>
    <t>06:28:48</t>
  </si>
  <si>
    <t>19:25:11</t>
  </si>
  <si>
    <t>19:53:26</t>
  </si>
  <si>
    <t>10:51:08</t>
  </si>
  <si>
    <t>14:17:38</t>
  </si>
  <si>
    <t>00:06:46</t>
  </si>
  <si>
    <t>21:38:14</t>
  </si>
  <si>
    <t>22:55:58</t>
  </si>
  <si>
    <t>05:13:00</t>
  </si>
  <si>
    <t>05:10:22</t>
  </si>
  <si>
    <t>15:36:50</t>
  </si>
  <si>
    <t>20:37:58</t>
  </si>
  <si>
    <t>20:52:45</t>
  </si>
  <si>
    <t>20:47:05</t>
  </si>
  <si>
    <t>14:03:30</t>
  </si>
  <si>
    <t>01:19:35</t>
  </si>
  <si>
    <t>19:05:58</t>
  </si>
  <si>
    <t>21:18:14</t>
  </si>
  <si>
    <t>09:32:45</t>
  </si>
  <si>
    <t>09:22:01</t>
  </si>
  <si>
    <t>11:13:56</t>
  </si>
  <si>
    <t>13:12:45</t>
  </si>
  <si>
    <t>20:11:34</t>
  </si>
  <si>
    <t>18:21:21</t>
  </si>
  <si>
    <t>16:47:26</t>
  </si>
  <si>
    <t>16:37:13</t>
  </si>
  <si>
    <t>16:27:35</t>
  </si>
  <si>
    <t>18:28:29</t>
  </si>
  <si>
    <t>10:31:25</t>
  </si>
  <si>
    <t>18:53:21</t>
  </si>
  <si>
    <t>20:49:30</t>
  </si>
  <si>
    <t>20:45:12</t>
  </si>
  <si>
    <t>20:40:45</t>
  </si>
  <si>
    <t>18:30:27</t>
  </si>
  <si>
    <t>03:17:01</t>
  </si>
  <si>
    <t>08:35:05</t>
  </si>
  <si>
    <t>17:01:46</t>
  </si>
  <si>
    <t>16:04:49</t>
  </si>
  <si>
    <t>16:00:35</t>
  </si>
  <si>
    <t>10:47:23</t>
  </si>
  <si>
    <t>16:02:52</t>
  </si>
  <si>
    <t>14:07:13</t>
  </si>
  <si>
    <t>03:47:18</t>
  </si>
  <si>
    <t>13:21:50</t>
  </si>
  <si>
    <t>06:21:32</t>
  </si>
  <si>
    <t>15:55:24</t>
  </si>
  <si>
    <t>11:23:23</t>
  </si>
  <si>
    <t>15:01:00</t>
  </si>
  <si>
    <t>16:46:09</t>
  </si>
  <si>
    <t>01:06:22</t>
  </si>
  <si>
    <t>02:05:29</t>
  </si>
  <si>
    <t>01:55:45</t>
  </si>
  <si>
    <t>00:19:27</t>
  </si>
  <si>
    <t>18:50:08</t>
  </si>
  <si>
    <t>04:09:01</t>
  </si>
  <si>
    <t>23:21:09</t>
  </si>
  <si>
    <t>15:28:18</t>
  </si>
  <si>
    <t>03:47:54</t>
  </si>
  <si>
    <t>03:27:44</t>
  </si>
  <si>
    <t>02:00:13</t>
  </si>
  <si>
    <t>19:00:45</t>
  </si>
  <si>
    <t>22:00:01</t>
  </si>
  <si>
    <t>03:49:46</t>
  </si>
  <si>
    <t>14:27:29</t>
  </si>
  <si>
    <t>20:07:45</t>
  </si>
  <si>
    <t>15:34:33</t>
  </si>
  <si>
    <t>20:07:34</t>
  </si>
  <si>
    <t>16:43:11</t>
  </si>
  <si>
    <t>12:54:40</t>
  </si>
  <si>
    <t>19:59:06</t>
  </si>
  <si>
    <t>02:50:09</t>
  </si>
  <si>
    <t>03:28:07</t>
  </si>
  <si>
    <t>03:46:42</t>
  </si>
  <si>
    <t>03:46:05</t>
  </si>
  <si>
    <t>03:45:56</t>
  </si>
  <si>
    <t>02:33:22</t>
  </si>
  <si>
    <t>02:32:40</t>
  </si>
  <si>
    <t>02:32:56</t>
  </si>
  <si>
    <t>02:32:38</t>
  </si>
  <si>
    <t>02:03:28</t>
  </si>
  <si>
    <t>04:46:15</t>
  </si>
  <si>
    <t>04:44:40</t>
  </si>
  <si>
    <t>02:12:37</t>
  </si>
  <si>
    <t>02:12:12</t>
  </si>
  <si>
    <t>02:12:11</t>
  </si>
  <si>
    <t>02:11:57</t>
  </si>
  <si>
    <t>02:11:56</t>
  </si>
  <si>
    <t>03:47:19</t>
  </si>
  <si>
    <t>22:44:47</t>
  </si>
  <si>
    <t>22:43:42</t>
  </si>
  <si>
    <t>05:29:06</t>
  </si>
  <si>
    <t>03:22:51</t>
  </si>
  <si>
    <t>03:22:21</t>
  </si>
  <si>
    <t>01:49:31</t>
  </si>
  <si>
    <t>15:30:26</t>
  </si>
  <si>
    <t>15:30:18</t>
  </si>
  <si>
    <t>03:56:32</t>
  </si>
  <si>
    <t>03:56:17</t>
  </si>
  <si>
    <t>02:21:59</t>
  </si>
  <si>
    <t>23:52:46</t>
  </si>
  <si>
    <t>23:52:36</t>
  </si>
  <si>
    <t>23:09:47</t>
  </si>
  <si>
    <t>23:04:23</t>
  </si>
  <si>
    <t>09:21:28</t>
  </si>
  <si>
    <t>03:10:27</t>
  </si>
  <si>
    <t>03:10:09</t>
  </si>
  <si>
    <t>03:09:50</t>
  </si>
  <si>
    <t>03:09:18</t>
  </si>
  <si>
    <t>21:55:18</t>
  </si>
  <si>
    <t>23:38:57</t>
  </si>
  <si>
    <t>15:31:27</t>
  </si>
  <si>
    <t>23:41:39</t>
  </si>
  <si>
    <t>00:24:27</t>
  </si>
  <si>
    <t>22:55:07</t>
  </si>
  <si>
    <t>09:05:10</t>
  </si>
  <si>
    <t>01:10:10</t>
  </si>
  <si>
    <t>00:01:05</t>
  </si>
  <si>
    <t>23:57:27</t>
  </si>
  <si>
    <t>15:07:11</t>
  </si>
  <si>
    <t>20:51:28</t>
  </si>
  <si>
    <t>00:36:46</t>
  </si>
  <si>
    <t>23:43:26</t>
  </si>
  <si>
    <t>16:08:00</t>
  </si>
  <si>
    <t>15:36:40</t>
  </si>
  <si>
    <t>17:00:45</t>
  </si>
  <si>
    <t>22:20:21</t>
  </si>
  <si>
    <t>22:36:17</t>
  </si>
  <si>
    <t>01:15:52</t>
  </si>
  <si>
    <t>10:36:57</t>
  </si>
  <si>
    <t>18:05:39</t>
  </si>
  <si>
    <t>17:38:46</t>
  </si>
  <si>
    <t>18:44:12</t>
  </si>
  <si>
    <t>01:30:01</t>
  </si>
  <si>
    <t>00:41:47</t>
  </si>
  <si>
    <t>20:33:08</t>
  </si>
  <si>
    <t>07:41:27</t>
  </si>
  <si>
    <t>00:18:30</t>
  </si>
  <si>
    <t>22:10:21</t>
  </si>
  <si>
    <t>22:10:14</t>
  </si>
  <si>
    <t>09:13:41</t>
  </si>
  <si>
    <t>00:43:18</t>
  </si>
  <si>
    <t>09:12:22</t>
  </si>
  <si>
    <t>10:31:31</t>
  </si>
  <si>
    <t>14:07:53</t>
  </si>
  <si>
    <t>10:19:59</t>
  </si>
  <si>
    <t>10:06:39</t>
  </si>
  <si>
    <t>13:18:16</t>
  </si>
  <si>
    <t>20:17:56</t>
  </si>
  <si>
    <t>20:17:29</t>
  </si>
  <si>
    <t>08:18:13</t>
  </si>
  <si>
    <t>02:12:07</t>
  </si>
  <si>
    <t>02:01:40</t>
  </si>
  <si>
    <t>01:44:46</t>
  </si>
  <si>
    <t>20:46:37</t>
  </si>
  <si>
    <t>00:52:20</t>
  </si>
  <si>
    <t>03:13:36</t>
  </si>
  <si>
    <t>16:58:39</t>
  </si>
  <si>
    <t>20:52:35</t>
  </si>
  <si>
    <t>15:49:26</t>
  </si>
  <si>
    <t>16:01:16</t>
  </si>
  <si>
    <t>22:32:25</t>
  </si>
  <si>
    <t>22:18:23</t>
  </si>
  <si>
    <t>19:35:06</t>
  </si>
  <si>
    <t>03:10:12</t>
  </si>
  <si>
    <t>01:24:16</t>
  </si>
  <si>
    <t>20:44:15</t>
  </si>
  <si>
    <t>20:35:29</t>
  </si>
  <si>
    <t>14:30:07</t>
  </si>
  <si>
    <t>14:26:40</t>
  </si>
  <si>
    <t>10:04:44</t>
  </si>
  <si>
    <t>20:48:37</t>
  </si>
  <si>
    <t>13:30:45</t>
  </si>
  <si>
    <t>21:53:52</t>
  </si>
  <si>
    <t>01:17:08</t>
  </si>
  <si>
    <t>15:26:54</t>
  </si>
  <si>
    <t>21:16:56</t>
  </si>
  <si>
    <t>19:47:57</t>
  </si>
  <si>
    <t>03:11:34</t>
  </si>
  <si>
    <t>17:33:11</t>
  </si>
  <si>
    <t>05:39:42</t>
  </si>
  <si>
    <t>17:46:19</t>
  </si>
  <si>
    <t>08:58:40</t>
  </si>
  <si>
    <t>08:55:46</t>
  </si>
  <si>
    <t>19:34:56</t>
  </si>
  <si>
    <t>10:33:33</t>
  </si>
  <si>
    <t>01:33:39</t>
  </si>
  <si>
    <t>01:23:00</t>
  </si>
  <si>
    <t>01:11:04</t>
  </si>
  <si>
    <t>18:23:45</t>
  </si>
  <si>
    <t>15:15:50</t>
  </si>
  <si>
    <t>14:57:22</t>
  </si>
  <si>
    <t>14:30:15</t>
  </si>
  <si>
    <t>10:30:26</t>
  </si>
  <si>
    <t>15:29:03</t>
  </si>
  <si>
    <t>18:33:14</t>
  </si>
  <si>
    <t>00:27:07</t>
  </si>
  <si>
    <t>14:58:51</t>
  </si>
  <si>
    <t>12:40:05</t>
  </si>
  <si>
    <t>12:23:51</t>
  </si>
  <si>
    <t>12:30:57</t>
  </si>
  <si>
    <t>18:30:03</t>
  </si>
  <si>
    <t>12:08:29</t>
  </si>
  <si>
    <t>20:58:23</t>
  </si>
  <si>
    <t>17:22:41</t>
  </si>
  <si>
    <t>15:13:40</t>
  </si>
  <si>
    <t>12:10:09</t>
  </si>
  <si>
    <t>15:20:10</t>
  </si>
  <si>
    <t>14:53:54</t>
  </si>
  <si>
    <t>12:54:36</t>
  </si>
  <si>
    <t>14:55:34</t>
  </si>
  <si>
    <t>11:51:51</t>
  </si>
  <si>
    <t>20:48:13</t>
  </si>
  <si>
    <t>16:49:35</t>
  </si>
  <si>
    <t>12:16:01</t>
  </si>
  <si>
    <t>21:00:54</t>
  </si>
  <si>
    <t>14:59:30</t>
  </si>
  <si>
    <t>20:03:36</t>
  </si>
  <si>
    <t>15:16:21</t>
  </si>
  <si>
    <t>13:03:52</t>
  </si>
  <si>
    <t>16:14:03</t>
  </si>
  <si>
    <t>11:40:11</t>
  </si>
  <si>
    <t>14:52:57</t>
  </si>
  <si>
    <t>14:52:07</t>
  </si>
  <si>
    <t>11:48:08</t>
  </si>
  <si>
    <t>13:42:48</t>
  </si>
  <si>
    <t>13:46:40</t>
  </si>
  <si>
    <t>13:44:45</t>
  </si>
  <si>
    <t>12:07:00</t>
  </si>
  <si>
    <t>13:32:08</t>
  </si>
  <si>
    <t>15:47:32</t>
  </si>
  <si>
    <t>15:24:45</t>
  </si>
  <si>
    <t>14:54:44</t>
  </si>
  <si>
    <t>21:03:39</t>
  </si>
  <si>
    <t>22:49:14</t>
  </si>
  <si>
    <t>13:55:14</t>
  </si>
  <si>
    <t>13:46:04</t>
  </si>
  <si>
    <t>20:52:17</t>
  </si>
  <si>
    <t>14:55:30</t>
  </si>
  <si>
    <t>12:53:31</t>
  </si>
  <si>
    <t>15:10:30</t>
  </si>
  <si>
    <t>21:01:47</t>
  </si>
  <si>
    <t>15:03:38</t>
  </si>
  <si>
    <t>12:28:35</t>
  </si>
  <si>
    <t>14:42:34</t>
  </si>
  <si>
    <t>14:18:46</t>
  </si>
  <si>
    <t>12:36:57</t>
  </si>
  <si>
    <t>14:45:26</t>
  </si>
  <si>
    <t>15:23:07</t>
  </si>
  <si>
    <t>13:43:08</t>
  </si>
  <si>
    <t>13:49:43</t>
  </si>
  <si>
    <t>13:12:13</t>
  </si>
  <si>
    <t>15:41:53</t>
  </si>
  <si>
    <t>22:05:09</t>
  </si>
  <si>
    <t>11:54:45</t>
  </si>
  <si>
    <t>14:47:44</t>
  </si>
  <si>
    <t>16:06:55</t>
  </si>
  <si>
    <t>20:57:52</t>
  </si>
  <si>
    <t>15:09:21</t>
  </si>
  <si>
    <t>15:50:08</t>
  </si>
  <si>
    <t>19:09:41</t>
  </si>
  <si>
    <t>15:51:03</t>
  </si>
  <si>
    <t>13:32:39</t>
  </si>
  <si>
    <t>12:05:46</t>
  </si>
  <si>
    <t>05:11:02</t>
  </si>
  <si>
    <t>12:23:40</t>
  </si>
  <si>
    <t>08:31:09</t>
  </si>
  <si>
    <t>03:28:51</t>
  </si>
  <si>
    <t>22:26:37</t>
  </si>
  <si>
    <t>17:21:24</t>
  </si>
  <si>
    <t>12:16:13</t>
  </si>
  <si>
    <t>08:52:33</t>
  </si>
  <si>
    <t>15:06:39</t>
  </si>
  <si>
    <t>14:53:02</t>
  </si>
  <si>
    <t>09:37:05</t>
  </si>
  <si>
    <t>20:44:14</t>
  </si>
  <si>
    <t>03:26:39</t>
  </si>
  <si>
    <t>17:07:06</t>
  </si>
  <si>
    <t>05:11:45</t>
  </si>
  <si>
    <t>19:20:18</t>
  </si>
  <si>
    <t>00:59:56</t>
  </si>
  <si>
    <t>03:10:50</t>
  </si>
  <si>
    <t>14:08:35</t>
  </si>
  <si>
    <t>12:01:18</t>
  </si>
  <si>
    <t>05:53:12</t>
  </si>
  <si>
    <t>14:50:46</t>
  </si>
  <si>
    <t>06:40:29</t>
  </si>
  <si>
    <t>00:47:19</t>
  </si>
  <si>
    <t>17:14:18</t>
  </si>
  <si>
    <t>08:38:01</t>
  </si>
  <si>
    <t>16:28:38</t>
  </si>
  <si>
    <t>00:19:18</t>
  </si>
  <si>
    <t>14:08:11</t>
  </si>
  <si>
    <t>04:18:15</t>
  </si>
  <si>
    <t>21:04:48</t>
  </si>
  <si>
    <t>11:38:57</t>
  </si>
  <si>
    <t>23:06:08</t>
  </si>
  <si>
    <t>20:17:40</t>
  </si>
  <si>
    <t>00:14:22</t>
  </si>
  <si>
    <t>20:57:09</t>
  </si>
  <si>
    <t>17:37:48</t>
  </si>
  <si>
    <t>09:22:14</t>
  </si>
  <si>
    <t>01:49:54</t>
  </si>
  <si>
    <t>12:45:29</t>
  </si>
  <si>
    <t>02:32:11</t>
  </si>
  <si>
    <t>15:24:23</t>
  </si>
  <si>
    <t>20:13:18</t>
  </si>
  <si>
    <t>14:11:49</t>
  </si>
  <si>
    <t>05:17:30</t>
  </si>
  <si>
    <t>23:52:03</t>
  </si>
  <si>
    <t>06:46:51</t>
  </si>
  <si>
    <t>16:06:18</t>
  </si>
  <si>
    <t>02:42:25</t>
  </si>
  <si>
    <t>18:35:58</t>
  </si>
  <si>
    <t>15:20:27</t>
  </si>
  <si>
    <t>22:45:18</t>
  </si>
  <si>
    <t>05:13:06</t>
  </si>
  <si>
    <t>12:45:07</t>
  </si>
  <si>
    <t>07:39:16</t>
  </si>
  <si>
    <t>02:32:20</t>
  </si>
  <si>
    <t>21:29:29</t>
  </si>
  <si>
    <t>16:25:48</t>
  </si>
  <si>
    <t>11:17:11</t>
  </si>
  <si>
    <t>05:49:51</t>
  </si>
  <si>
    <t>00:47:38</t>
  </si>
  <si>
    <t>19:41:23</t>
  </si>
  <si>
    <t>14:36:29</t>
  </si>
  <si>
    <t>09:31:40</t>
  </si>
  <si>
    <t>04:26:48</t>
  </si>
  <si>
    <t>23:23:51</t>
  </si>
  <si>
    <t>18:20:55</t>
  </si>
  <si>
    <t>11:51:44</t>
  </si>
  <si>
    <t>06:47:45</t>
  </si>
  <si>
    <t>01:42:26</t>
  </si>
  <si>
    <t>20:38:38</t>
  </si>
  <si>
    <t>15:34:58</t>
  </si>
  <si>
    <t>05:21:10</t>
  </si>
  <si>
    <t>00:17:29</t>
  </si>
  <si>
    <t>19:11:41</t>
  </si>
  <si>
    <t>14:26:28</t>
  </si>
  <si>
    <t>22:17:00</t>
  </si>
  <si>
    <t>16:09:00</t>
  </si>
  <si>
    <t>10:19:09</t>
  </si>
  <si>
    <t>08:58:58</t>
  </si>
  <si>
    <t>05:31:24</t>
  </si>
  <si>
    <t>05:14:58</t>
  </si>
  <si>
    <t>19:06:39</t>
  </si>
  <si>
    <t>22:37:50</t>
  </si>
  <si>
    <t>12:30:45</t>
  </si>
  <si>
    <t>02:18:56</t>
  </si>
  <si>
    <t>20:52:31</t>
  </si>
  <si>
    <t>21:22:53</t>
  </si>
  <si>
    <t>15:48:32</t>
  </si>
  <si>
    <t>14:52:38</t>
  </si>
  <si>
    <t>16:05:10</t>
  </si>
  <si>
    <t>13:35:21</t>
  </si>
  <si>
    <t>19:25:07</t>
  </si>
  <si>
    <t>21:22:13</t>
  </si>
  <si>
    <t>14:10:10</t>
  </si>
  <si>
    <t>22:46:04</t>
  </si>
  <si>
    <t>13:35:55</t>
  </si>
  <si>
    <t>15:27:32</t>
  </si>
  <si>
    <t>19:54:11</t>
  </si>
  <si>
    <t>17:31:38</t>
  </si>
  <si>
    <t>05:11:20</t>
  </si>
  <si>
    <t>23:48:51</t>
  </si>
  <si>
    <t>20:26:37</t>
  </si>
  <si>
    <t>15:09:22</t>
  </si>
  <si>
    <t>13:06:13</t>
  </si>
  <si>
    <t>08:04:02</t>
  </si>
  <si>
    <t>14:53:17</t>
  </si>
  <si>
    <t>14:13:45</t>
  </si>
  <si>
    <t>02:01:29</t>
  </si>
  <si>
    <t>01:59:03</t>
  </si>
  <si>
    <t>22:33:38</t>
  </si>
  <si>
    <t>00:14:56</t>
  </si>
  <si>
    <t>17:55:48</t>
  </si>
  <si>
    <t>12:19:48</t>
  </si>
  <si>
    <t>19:34:18</t>
  </si>
  <si>
    <t>15:50:42</t>
  </si>
  <si>
    <t>20:48:52</t>
  </si>
  <si>
    <t>20:41:36</t>
  </si>
  <si>
    <t>23:58:10</t>
  </si>
  <si>
    <t>21:27:03</t>
  </si>
  <si>
    <t>04:53:24</t>
  </si>
  <si>
    <t>16:40:49</t>
  </si>
  <si>
    <t>17:39:44</t>
  </si>
  <si>
    <t>07:30:01</t>
  </si>
  <si>
    <t>04:00:04</t>
  </si>
  <si>
    <t>03:00:19</t>
  </si>
  <si>
    <t>21:45:17</t>
  </si>
  <si>
    <t>17:01:37</t>
  </si>
  <si>
    <t>19:21:47</t>
  </si>
  <si>
    <t>14:26:17</t>
  </si>
  <si>
    <t>13:00:23</t>
  </si>
  <si>
    <t>12:47:13</t>
  </si>
  <si>
    <t>22:00:15</t>
  </si>
  <si>
    <t>17:25:32</t>
  </si>
  <si>
    <t>14:10:35</t>
  </si>
  <si>
    <t>04:06:32</t>
  </si>
  <si>
    <t>02:55:09</t>
  </si>
  <si>
    <t>02:07:35</t>
  </si>
  <si>
    <t>00:53:23</t>
  </si>
  <si>
    <t>17:47:57</t>
  </si>
  <si>
    <t>17:39:15</t>
  </si>
  <si>
    <t>02:52:32</t>
  </si>
  <si>
    <t>18:12:45</t>
  </si>
  <si>
    <t>18:33:31</t>
  </si>
  <si>
    <t>02:22:28</t>
  </si>
  <si>
    <t>22:56:24</t>
  </si>
  <si>
    <t>17:57:28</t>
  </si>
  <si>
    <t>00:18:09</t>
  </si>
  <si>
    <t>00:10:30</t>
  </si>
  <si>
    <t>11:54:04</t>
  </si>
  <si>
    <t>04:46:36</t>
  </si>
  <si>
    <t>13:49:18</t>
  </si>
  <si>
    <t>12:58:07</t>
  </si>
  <si>
    <t>23:12:45</t>
  </si>
  <si>
    <t>09:53:36</t>
  </si>
  <si>
    <t>09:55:54</t>
  </si>
  <si>
    <t>14:56:22</t>
  </si>
  <si>
    <t>00:25:41</t>
  </si>
  <si>
    <t>21:52:06</t>
  </si>
  <si>
    <t>16:33:45</t>
  </si>
  <si>
    <t>01:45:10</t>
  </si>
  <si>
    <t>09:00:03</t>
  </si>
  <si>
    <t>02:00:01</t>
  </si>
  <si>
    <t>18:40:11</t>
  </si>
  <si>
    <t>09:00:02</t>
  </si>
  <si>
    <t>10:00:00</t>
  </si>
  <si>
    <t>03:11:25</t>
  </si>
  <si>
    <t>22:31:49</t>
  </si>
  <si>
    <t>15:06:09</t>
  </si>
  <si>
    <t>02:30:00</t>
  </si>
  <si>
    <t>01:30:00</t>
  </si>
  <si>
    <t>00:30:00</t>
  </si>
  <si>
    <t>22:30:00</t>
  </si>
  <si>
    <t>21:30:00</t>
  </si>
  <si>
    <t>20:30:00</t>
  </si>
  <si>
    <t>19:30:00</t>
  </si>
  <si>
    <t>17:30:00</t>
  </si>
  <si>
    <t>16:30:00</t>
  </si>
  <si>
    <t>15:30:00</t>
  </si>
  <si>
    <t>14:30:00</t>
  </si>
  <si>
    <t>13:30:00</t>
  </si>
  <si>
    <t>11:30:00</t>
  </si>
  <si>
    <t>10:30:00</t>
  </si>
  <si>
    <t>09:30:00</t>
  </si>
  <si>
    <t>03:30:00</t>
  </si>
  <si>
    <t>01:30:30</t>
  </si>
  <si>
    <t>23:30:30</t>
  </si>
  <si>
    <t>22:30:30</t>
  </si>
  <si>
    <t>16:30:30</t>
  </si>
  <si>
    <t>15:30:30</t>
  </si>
  <si>
    <t>14:30:30</t>
  </si>
  <si>
    <t>11:30:30</t>
  </si>
  <si>
    <t>03:30:30</t>
  </si>
  <si>
    <t>17:46:21</t>
  </si>
  <si>
    <t>20:05:59</t>
  </si>
  <si>
    <t>17:46:15</t>
  </si>
  <si>
    <t>17:42:35</t>
  </si>
  <si>
    <t>00:00:48</t>
  </si>
  <si>
    <t>23:56:59</t>
  </si>
  <si>
    <t>20:00:00</t>
  </si>
  <si>
    <t>11:13:57</t>
  </si>
  <si>
    <t>10:05:34</t>
  </si>
  <si>
    <t>20:39:40</t>
  </si>
  <si>
    <t>13:35:56</t>
  </si>
  <si>
    <t>21:28:47</t>
  </si>
  <si>
    <t>15:40:53</t>
  </si>
  <si>
    <t>13:30:32</t>
  </si>
  <si>
    <t>16:40:28</t>
  </si>
  <si>
    <t>13:38:15</t>
  </si>
  <si>
    <t>21:10:00</t>
  </si>
  <si>
    <t>20:03:10</t>
  </si>
  <si>
    <t>16:23:21</t>
  </si>
  <si>
    <t>16:58:05</t>
  </si>
  <si>
    <t>17:39:59</t>
  </si>
  <si>
    <t>18:38:01</t>
  </si>
  <si>
    <t>12:18:08</t>
  </si>
  <si>
    <t>00:45:08</t>
  </si>
  <si>
    <t>15:55:09</t>
  </si>
  <si>
    <t>14:32:52</t>
  </si>
  <si>
    <t>17:06:00</t>
  </si>
  <si>
    <t>07:01:15</t>
  </si>
  <si>
    <t>01:03:34</t>
  </si>
  <si>
    <t>02:06:13</t>
  </si>
  <si>
    <t>02:41:44</t>
  </si>
  <si>
    <t>03:59:00</t>
  </si>
  <si>
    <t>03:11:32</t>
  </si>
  <si>
    <t>02:37:27</t>
  </si>
  <si>
    <t>16:38:48</t>
  </si>
  <si>
    <t>01:42:21</t>
  </si>
  <si>
    <t>13:52:53</t>
  </si>
  <si>
    <t>20:15:26</t>
  </si>
  <si>
    <t>13:08:05</t>
  </si>
  <si>
    <t>19:10:37</t>
  </si>
  <si>
    <t>18:12:39</t>
  </si>
  <si>
    <t>22:53:54</t>
  </si>
  <si>
    <t>22:53:53</t>
  </si>
  <si>
    <t>22:53:50</t>
  </si>
  <si>
    <t>22:52:25</t>
  </si>
  <si>
    <t>02:52:17</t>
  </si>
  <si>
    <t>16:06:54</t>
  </si>
  <si>
    <t>02:43:37</t>
  </si>
  <si>
    <t>17:16:33</t>
  </si>
  <si>
    <t>14:57:57</t>
  </si>
  <si>
    <t>16:20:12</t>
  </si>
  <si>
    <t>14:11:26</t>
  </si>
  <si>
    <t>11:30:26</t>
  </si>
  <si>
    <t>01:24:11</t>
  </si>
  <si>
    <t>03:01:30</t>
  </si>
  <si>
    <t>00:54:29</t>
  </si>
  <si>
    <t>00:24:37</t>
  </si>
  <si>
    <t>13:32:32</t>
  </si>
  <si>
    <t>17:30:03</t>
  </si>
  <si>
    <t>14:25:15</t>
  </si>
  <si>
    <t>02:01:33</t>
  </si>
  <si>
    <t>18:24:10</t>
  </si>
  <si>
    <t>17:38:02</t>
  </si>
  <si>
    <t>16:18:41</t>
  </si>
  <si>
    <t>18:08:20</t>
  </si>
  <si>
    <t>02:08:18</t>
  </si>
  <si>
    <t>18:27:07</t>
  </si>
  <si>
    <t>13:54:12</t>
  </si>
  <si>
    <t>17:37:46</t>
  </si>
  <si>
    <t>16:15:35</t>
  </si>
  <si>
    <t>11:30:02</t>
  </si>
  <si>
    <t>02:30:07</t>
  </si>
  <si>
    <t>10:22:43</t>
  </si>
  <si>
    <t>20:59:58</t>
  </si>
  <si>
    <t>12:24:25</t>
  </si>
  <si>
    <t>10:29:34</t>
  </si>
  <si>
    <t>23:38:46</t>
  </si>
  <si>
    <t>11:40:58</t>
  </si>
  <si>
    <t>23:11:33</t>
  </si>
  <si>
    <t>20:31:17</t>
  </si>
  <si>
    <t>12:56:33</t>
  </si>
  <si>
    <t>01:07:14</t>
  </si>
  <si>
    <t>02:37:25</t>
  </si>
  <si>
    <t>12:45:43</t>
  </si>
  <si>
    <t>20:37:02</t>
  </si>
  <si>
    <t>17:04:08</t>
  </si>
  <si>
    <t>23:19:48</t>
  </si>
  <si>
    <t>11:34:58</t>
  </si>
  <si>
    <t>23:52:33</t>
  </si>
  <si>
    <t>09:28:32</t>
  </si>
  <si>
    <t>00:52:41</t>
  </si>
  <si>
    <t>13:02:12</t>
  </si>
  <si>
    <t>14:22:33</t>
  </si>
  <si>
    <t>01:34:18</t>
  </si>
  <si>
    <t>00:10:40</t>
  </si>
  <si>
    <t>04:20:04</t>
  </si>
  <si>
    <t>15:26:40</t>
  </si>
  <si>
    <t>02:08:26</t>
  </si>
  <si>
    <t>14:55:51</t>
  </si>
  <si>
    <t>14:57:24</t>
  </si>
  <si>
    <t>12:12:20</t>
  </si>
  <si>
    <t>12:09:56</t>
  </si>
  <si>
    <t>13:09:54</t>
  </si>
  <si>
    <t>03:05:02</t>
  </si>
  <si>
    <t>04:14:37</t>
  </si>
  <si>
    <t>04:10:10</t>
  </si>
  <si>
    <t>04:04:35</t>
  </si>
  <si>
    <t>03:55:47</t>
  </si>
  <si>
    <t>15:56:27</t>
  </si>
  <si>
    <t>14:20:39</t>
  </si>
  <si>
    <t>14:16:26</t>
  </si>
  <si>
    <t>14:12:33</t>
  </si>
  <si>
    <t>22:13:23</t>
  </si>
  <si>
    <t>21:02:26</t>
  </si>
  <si>
    <t>20:52:13</t>
  </si>
  <si>
    <t>20:41:57</t>
  </si>
  <si>
    <t>19:30:46</t>
  </si>
  <si>
    <t>19:30:08</t>
  </si>
  <si>
    <t>19:29:02</t>
  </si>
  <si>
    <t>14:43:54</t>
  </si>
  <si>
    <t>13:17:07</t>
  </si>
  <si>
    <t>18:13:43</t>
  </si>
  <si>
    <t>22:13:05</t>
  </si>
  <si>
    <t>20:36:45</t>
  </si>
  <si>
    <t>16:59:14</t>
  </si>
  <si>
    <t>15:05:51</t>
  </si>
  <si>
    <t>14:06:12</t>
  </si>
  <si>
    <t>14:45:21</t>
  </si>
  <si>
    <t>21:01:20</t>
  </si>
  <si>
    <t>15:07:35</t>
  </si>
  <si>
    <t>13:52:15</t>
  </si>
  <si>
    <t>16:29:22</t>
  </si>
  <si>
    <t>16:27:42</t>
  </si>
  <si>
    <t>12:25:26</t>
  </si>
  <si>
    <t>03:00:47</t>
  </si>
  <si>
    <t>01:04:26</t>
  </si>
  <si>
    <t>23:10:39</t>
  </si>
  <si>
    <t>23:09:18</t>
  </si>
  <si>
    <t>02:32:31</t>
  </si>
  <si>
    <t>02:24:01</t>
  </si>
  <si>
    <t>02:10:07</t>
  </si>
  <si>
    <t>01:56:20</t>
  </si>
  <si>
    <t>01:03:22</t>
  </si>
  <si>
    <t>17:34:25</t>
  </si>
  <si>
    <t>15:06:01</t>
  </si>
  <si>
    <t>09:36:45</t>
  </si>
  <si>
    <t>01:08:36</t>
  </si>
  <si>
    <t>10:41:45</t>
  </si>
  <si>
    <t>03:16:05</t>
  </si>
  <si>
    <t>23:34:19</t>
  </si>
  <si>
    <t>05:18:08</t>
  </si>
  <si>
    <t>05:56:11</t>
  </si>
  <si>
    <t>13:37:12</t>
  </si>
  <si>
    <t>03:38:26</t>
  </si>
  <si>
    <t>00:59:29</t>
  </si>
  <si>
    <t>20:12:55</t>
  </si>
  <si>
    <t>00:39:08</t>
  </si>
  <si>
    <t>02:52:48</t>
  </si>
  <si>
    <t>10:34:16</t>
  </si>
  <si>
    <t>10:27:51</t>
  </si>
  <si>
    <t>10:25:54</t>
  </si>
  <si>
    <t>20:02:49</t>
  </si>
  <si>
    <t>15:43:56</t>
  </si>
  <si>
    <t>15:43:15</t>
  </si>
  <si>
    <t>15:42:38</t>
  </si>
  <si>
    <t>20:07:21</t>
  </si>
  <si>
    <t>14:49:06</t>
  </si>
  <si>
    <t>14:48:18</t>
  </si>
  <si>
    <t>19:38:12</t>
  </si>
  <si>
    <t>19:37:15</t>
  </si>
  <si>
    <t>19:36:05</t>
  </si>
  <si>
    <t>19:33:30</t>
  </si>
  <si>
    <t>19:32:44</t>
  </si>
  <si>
    <t>18:23:05</t>
  </si>
  <si>
    <t>18:21:49</t>
  </si>
  <si>
    <t>17:56:33</t>
  </si>
  <si>
    <t>17:52:44</t>
  </si>
  <si>
    <t>14:46:02</t>
  </si>
  <si>
    <t>16:28:54</t>
  </si>
  <si>
    <t>18:16:55</t>
  </si>
  <si>
    <t>18:02:32</t>
  </si>
  <si>
    <t>18:01:46</t>
  </si>
  <si>
    <t>18:01:11</t>
  </si>
  <si>
    <t>18:00:51</t>
  </si>
  <si>
    <t>16:14:59</t>
  </si>
  <si>
    <t>18:55:34</t>
  </si>
  <si>
    <t>18:53:11</t>
  </si>
  <si>
    <t>17:50:16</t>
  </si>
  <si>
    <t>17:49:47</t>
  </si>
  <si>
    <t>17:49:23</t>
  </si>
  <si>
    <t>17:48:58</t>
  </si>
  <si>
    <t>15:54:48</t>
  </si>
  <si>
    <t>17:34:47</t>
  </si>
  <si>
    <t>17:34:26</t>
  </si>
  <si>
    <t>17:33:56</t>
  </si>
  <si>
    <t>17:33:35</t>
  </si>
  <si>
    <t>15:38:13</t>
  </si>
  <si>
    <t>15:37:40</t>
  </si>
  <si>
    <t>19:31:30</t>
  </si>
  <si>
    <t>19:07:48</t>
  </si>
  <si>
    <t>18:34:43</t>
  </si>
  <si>
    <t>18:19:43</t>
  </si>
  <si>
    <t>18:18:17</t>
  </si>
  <si>
    <t>15:16:43</t>
  </si>
  <si>
    <t>15:16:09</t>
  </si>
  <si>
    <t>15:15:41</t>
  </si>
  <si>
    <t>18:04:21</t>
  </si>
  <si>
    <t>18:03:20</t>
  </si>
  <si>
    <t>18:02:20</t>
  </si>
  <si>
    <t>17:49:25</t>
  </si>
  <si>
    <t>17:46:34</t>
  </si>
  <si>
    <t>17:45:12</t>
  </si>
  <si>
    <t>17:44:23</t>
  </si>
  <si>
    <t>18:56:50</t>
  </si>
  <si>
    <t>17:13:56</t>
  </si>
  <si>
    <t>17:13:23</t>
  </si>
  <si>
    <t>17:12:57</t>
  </si>
  <si>
    <t>17:51:26</t>
  </si>
  <si>
    <t>20:17:33</t>
  </si>
  <si>
    <t>19:25:51</t>
  </si>
  <si>
    <t>19:24:58</t>
  </si>
  <si>
    <t>19:16:05</t>
  </si>
  <si>
    <t>18:40:57</t>
  </si>
  <si>
    <t>18:36:23</t>
  </si>
  <si>
    <t>18:32:03</t>
  </si>
  <si>
    <t>18:31:31</t>
  </si>
  <si>
    <t>18:18:14</t>
  </si>
  <si>
    <t>20:21:35</t>
  </si>
  <si>
    <t>20:17:44</t>
  </si>
  <si>
    <t>16:25:31</t>
  </si>
  <si>
    <t>16:24:40</t>
  </si>
  <si>
    <t>16:24:06</t>
  </si>
  <si>
    <t>16:23:30</t>
  </si>
  <si>
    <t>20:23:54</t>
  </si>
  <si>
    <t>20:21:30</t>
  </si>
  <si>
    <t>18:59:16</t>
  </si>
  <si>
    <t>18:56:25</t>
  </si>
  <si>
    <t>18:55:44</t>
  </si>
  <si>
    <t>18:55:11</t>
  </si>
  <si>
    <t>19:03:43</t>
  </si>
  <si>
    <t>19:01:26</t>
  </si>
  <si>
    <t>16:02:06</t>
  </si>
  <si>
    <t>16:01:46</t>
  </si>
  <si>
    <t>16:00:58</t>
  </si>
  <si>
    <t>15:10:36</t>
  </si>
  <si>
    <t>18:53:20</t>
  </si>
  <si>
    <t>17:23:49</t>
  </si>
  <si>
    <t>17:23:20</t>
  </si>
  <si>
    <t>17:22:26</t>
  </si>
  <si>
    <t>17:21:55</t>
  </si>
  <si>
    <t>17:21:28</t>
  </si>
  <si>
    <t>19:54:33</t>
  </si>
  <si>
    <t>19:53:58</t>
  </si>
  <si>
    <t>17:52:41</t>
  </si>
  <si>
    <t>17:52:08</t>
  </si>
  <si>
    <t>17:51:19</t>
  </si>
  <si>
    <t>17:53:51</t>
  </si>
  <si>
    <t>17:53:22</t>
  </si>
  <si>
    <t>17:51:17</t>
  </si>
  <si>
    <t>17:50:29</t>
  </si>
  <si>
    <t>17:35:49</t>
  </si>
  <si>
    <t>17:35:24</t>
  </si>
  <si>
    <t>14:48:51</t>
  </si>
  <si>
    <t>14:48:15</t>
  </si>
  <si>
    <t>14:44:46</t>
  </si>
  <si>
    <t>19:59:52</t>
  </si>
  <si>
    <t>19:58:58</t>
  </si>
  <si>
    <t>19:58:14</t>
  </si>
  <si>
    <t>19:57:24</t>
  </si>
  <si>
    <t>18:33:49</t>
  </si>
  <si>
    <t>18:31:13</t>
  </si>
  <si>
    <t>18:27:03</t>
  </si>
  <si>
    <t>17:16:45</t>
  </si>
  <si>
    <t>17:15:44</t>
  </si>
  <si>
    <t>17:15:13</t>
  </si>
  <si>
    <t>19:17:54</t>
  </si>
  <si>
    <t>19:17:22</t>
  </si>
  <si>
    <t>19:16:36</t>
  </si>
  <si>
    <t>19:15:59</t>
  </si>
  <si>
    <t>19:14:46</t>
  </si>
  <si>
    <t>15:48:48</t>
  </si>
  <si>
    <t>15:17:22</t>
  </si>
  <si>
    <t>15:16:16</t>
  </si>
  <si>
    <t>17:50:13</t>
  </si>
  <si>
    <t>17:48:22</t>
  </si>
  <si>
    <t>15:39:36</t>
  </si>
  <si>
    <t>15:24:24</t>
  </si>
  <si>
    <t>15:10:21</t>
  </si>
  <si>
    <t>20:17:12</t>
  </si>
  <si>
    <t>20:16:39</t>
  </si>
  <si>
    <t>15:22:08</t>
  </si>
  <si>
    <t>15:21:23</t>
  </si>
  <si>
    <t>15:06:31</t>
  </si>
  <si>
    <t>15:06:05</t>
  </si>
  <si>
    <t>19:55:39</t>
  </si>
  <si>
    <t>19:54:09</t>
  </si>
  <si>
    <t>19:53:41</t>
  </si>
  <si>
    <t>14:49:25</t>
  </si>
  <si>
    <t>14:24:17</t>
  </si>
  <si>
    <t>17:41:00</t>
  </si>
  <si>
    <t>17:39:49</t>
  </si>
  <si>
    <t>17:39:07</t>
  </si>
  <si>
    <t>17:22:21</t>
  </si>
  <si>
    <t>17:21:56</t>
  </si>
  <si>
    <t>17:21:33</t>
  </si>
  <si>
    <t>18:31:02</t>
  </si>
  <si>
    <t>18:30:53</t>
  </si>
  <si>
    <t>18:29:32</t>
  </si>
  <si>
    <t>18:07:21</t>
  </si>
  <si>
    <t>18:06:49</t>
  </si>
  <si>
    <t>19:21:39</t>
  </si>
  <si>
    <t>19:21:05</t>
  </si>
  <si>
    <t>15:11:23</t>
  </si>
  <si>
    <t>15:10:46</t>
  </si>
  <si>
    <t>18:29:25</t>
  </si>
  <si>
    <t>19:48:37</t>
  </si>
  <si>
    <t>19:44:37</t>
  </si>
  <si>
    <t>16:28:49</t>
  </si>
  <si>
    <t>16:25:41</t>
  </si>
  <si>
    <t>16:21:43</t>
  </si>
  <si>
    <t>20:08:54</t>
  </si>
  <si>
    <t>17:38:57</t>
  </si>
  <si>
    <t>17:37:43</t>
  </si>
  <si>
    <t>19:23:37</t>
  </si>
  <si>
    <t>19:22:16</t>
  </si>
  <si>
    <t>15:22:35</t>
  </si>
  <si>
    <t>15:20:31</t>
  </si>
  <si>
    <t>15:20:18</t>
  </si>
  <si>
    <t>19:27:36</t>
  </si>
  <si>
    <t>19:23:44</t>
  </si>
  <si>
    <t>19:21:41</t>
  </si>
  <si>
    <t>19:20:58</t>
  </si>
  <si>
    <t>18:37:39</t>
  </si>
  <si>
    <t>18:35:52</t>
  </si>
  <si>
    <t>18:35:19</t>
  </si>
  <si>
    <t>18:34:28</t>
  </si>
  <si>
    <t>18:33:53</t>
  </si>
  <si>
    <t>19:20:01</t>
  </si>
  <si>
    <t>19:19:36</t>
  </si>
  <si>
    <t>15:47:42</t>
  </si>
  <si>
    <t>15:47:06</t>
  </si>
  <si>
    <t>15:46:44</t>
  </si>
  <si>
    <t>20:02:31</t>
  </si>
  <si>
    <t>17:25:07</t>
  </si>
  <si>
    <t>17:22:20</t>
  </si>
  <si>
    <t>17:21:03</t>
  </si>
  <si>
    <t>17:20:43</t>
  </si>
  <si>
    <t>18:49:24</t>
  </si>
  <si>
    <t>18:16:06</t>
  </si>
  <si>
    <t>18:07:03</t>
  </si>
  <si>
    <t>18:06:14</t>
  </si>
  <si>
    <t>18:05:42</t>
  </si>
  <si>
    <t>17:25:18</t>
  </si>
  <si>
    <t>17:24:31</t>
  </si>
  <si>
    <t>19:21:08</t>
  </si>
  <si>
    <t>19:02:09</t>
  </si>
  <si>
    <t>19:01:34</t>
  </si>
  <si>
    <t>18:59:33</t>
  </si>
  <si>
    <t>18:58:56</t>
  </si>
  <si>
    <t>18:48:18</t>
  </si>
  <si>
    <t>18:47:43</t>
  </si>
  <si>
    <t>18:47:16</t>
  </si>
  <si>
    <t>18:46:16</t>
  </si>
  <si>
    <t>18:45:50</t>
  </si>
  <si>
    <t>18:44:36</t>
  </si>
  <si>
    <t>20:22:11</t>
  </si>
  <si>
    <t>19:30:39</t>
  </si>
  <si>
    <t>19:30:34</t>
  </si>
  <si>
    <t>19:29:24</t>
  </si>
  <si>
    <t>19:28:49</t>
  </si>
  <si>
    <t>19:28:06</t>
  </si>
  <si>
    <t>19:35:41</t>
  </si>
  <si>
    <t>18:02:04</t>
  </si>
  <si>
    <t>18:01:17</t>
  </si>
  <si>
    <t>17:58:52</t>
  </si>
  <si>
    <t>17:58:02</t>
  </si>
  <si>
    <t>18:28:49</t>
  </si>
  <si>
    <t>18:28:28</t>
  </si>
  <si>
    <t>18:27:28</t>
  </si>
  <si>
    <t>17:13:20</t>
  </si>
  <si>
    <t>17:12:58</t>
  </si>
  <si>
    <t>17:12:32</t>
  </si>
  <si>
    <t>17:12:04</t>
  </si>
  <si>
    <t>21:32:10</t>
  </si>
  <si>
    <t>21:31:36</t>
  </si>
  <si>
    <t>21:31:13</t>
  </si>
  <si>
    <t>21:30:46</t>
  </si>
  <si>
    <t>16:49:27</t>
  </si>
  <si>
    <t>16:43:51</t>
  </si>
  <si>
    <t>18:29:27</t>
  </si>
  <si>
    <t>18:29:00</t>
  </si>
  <si>
    <t>18:28:05</t>
  </si>
  <si>
    <t>18:27:30</t>
  </si>
  <si>
    <t>17:28:56</t>
  </si>
  <si>
    <t>17:27:54</t>
  </si>
  <si>
    <t>18:37:03</t>
  </si>
  <si>
    <t>18:36:27</t>
  </si>
  <si>
    <t>18:35:50</t>
  </si>
  <si>
    <t>18:35:16</t>
  </si>
  <si>
    <t>18:34:15</t>
  </si>
  <si>
    <t>19:40:36</t>
  </si>
  <si>
    <t>19:40:14</t>
  </si>
  <si>
    <t>17:44:32</t>
  </si>
  <si>
    <t>15:37:44</t>
  </si>
  <si>
    <t>15:37:17</t>
  </si>
  <si>
    <t>15:00:55</t>
  </si>
  <si>
    <t>19:07:41</t>
  </si>
  <si>
    <t>19:07:17</t>
  </si>
  <si>
    <t>18:54:51</t>
  </si>
  <si>
    <t>18:53:49</t>
  </si>
  <si>
    <t>19:39:49</t>
  </si>
  <si>
    <t>19:38:24</t>
  </si>
  <si>
    <t>18:44:13</t>
  </si>
  <si>
    <t>18:43:11</t>
  </si>
  <si>
    <t>18:41:34</t>
  </si>
  <si>
    <t>18:13:13</t>
  </si>
  <si>
    <t>18:12:43</t>
  </si>
  <si>
    <t>17:42:17</t>
  </si>
  <si>
    <t>15:39:32</t>
  </si>
  <si>
    <t>15:38:54</t>
  </si>
  <si>
    <t>16:04:58</t>
  </si>
  <si>
    <t>15:45:21</t>
  </si>
  <si>
    <t>15:44:42</t>
  </si>
  <si>
    <t>15:43:38</t>
  </si>
  <si>
    <t>19:44:27</t>
  </si>
  <si>
    <t>19:07:08</t>
  </si>
  <si>
    <t>19:05:15</t>
  </si>
  <si>
    <t>18:38:48</t>
  </si>
  <si>
    <t>16:55:09</t>
  </si>
  <si>
    <t>16:51:28</t>
  </si>
  <si>
    <t>17:07:31</t>
  </si>
  <si>
    <t>17:06:48</t>
  </si>
  <si>
    <t>17:52:25</t>
  </si>
  <si>
    <t>17:51:49</t>
  </si>
  <si>
    <t>17:50:47</t>
  </si>
  <si>
    <t>17:48:37</t>
  </si>
  <si>
    <t>16:27:59</t>
  </si>
  <si>
    <t>16:27:27</t>
  </si>
  <si>
    <t>18:03:32</t>
  </si>
  <si>
    <t>18:02:49</t>
  </si>
  <si>
    <t>18:00:54</t>
  </si>
  <si>
    <t>17:59:27</t>
  </si>
  <si>
    <t>18:44:15</t>
  </si>
  <si>
    <t>18:42:30</t>
  </si>
  <si>
    <t>18:41:52</t>
  </si>
  <si>
    <t>18:40:42</t>
  </si>
  <si>
    <t>14:37:54</t>
  </si>
  <si>
    <t>20:24:25</t>
  </si>
  <si>
    <t>20:05:23</t>
  </si>
  <si>
    <t>18:08:07</t>
  </si>
  <si>
    <t>18:06:46</t>
  </si>
  <si>
    <t>18:03:44</t>
  </si>
  <si>
    <t>19:59:19</t>
  </si>
  <si>
    <t>18:10:16</t>
  </si>
  <si>
    <t>18:09:49</t>
  </si>
  <si>
    <t>18:09:25</t>
  </si>
  <si>
    <t>18:08:54</t>
  </si>
  <si>
    <t>19:01:52</t>
  </si>
  <si>
    <t>18:30:51</t>
  </si>
  <si>
    <t>18:27:49</t>
  </si>
  <si>
    <t>15:23:37</t>
  </si>
  <si>
    <t>15:22:55</t>
  </si>
  <si>
    <t>15:22:30</t>
  </si>
  <si>
    <t>15:22:02</t>
  </si>
  <si>
    <t>20:12:21</t>
  </si>
  <si>
    <t>20:11:44</t>
  </si>
  <si>
    <t>17:30:22</t>
  </si>
  <si>
    <t>17:26:31</t>
  </si>
  <si>
    <t>17:25:31</t>
  </si>
  <si>
    <t>18:10:45</t>
  </si>
  <si>
    <t>18:10:21</t>
  </si>
  <si>
    <t>18:09:47</t>
  </si>
  <si>
    <t>15:35:43</t>
  </si>
  <si>
    <t>15:34:39</t>
  </si>
  <si>
    <t>15:34:00</t>
  </si>
  <si>
    <t>16:26:00</t>
  </si>
  <si>
    <t>16:25:26</t>
  </si>
  <si>
    <t>16:24:46</t>
  </si>
  <si>
    <t>16:24:14</t>
  </si>
  <si>
    <t>18:30:41</t>
  </si>
  <si>
    <t>18:17:48</t>
  </si>
  <si>
    <t>18:17:16</t>
  </si>
  <si>
    <t>18:16:24</t>
  </si>
  <si>
    <t>17:55:17</t>
  </si>
  <si>
    <t>17:53:10</t>
  </si>
  <si>
    <t>17:52:33</t>
  </si>
  <si>
    <t>17:52:02</t>
  </si>
  <si>
    <t>16:51:03</t>
  </si>
  <si>
    <t>19:13:55</t>
  </si>
  <si>
    <t>19:04:50</t>
  </si>
  <si>
    <t>18:44:16</t>
  </si>
  <si>
    <t>15:12:10</t>
  </si>
  <si>
    <t>15:11:43</t>
  </si>
  <si>
    <t>15:52:20</t>
  </si>
  <si>
    <t>15:51:01</t>
  </si>
  <si>
    <t>15:49:03</t>
  </si>
  <si>
    <t>15:40:10</t>
  </si>
  <si>
    <t>15:39:06</t>
  </si>
  <si>
    <t>15:38:43</t>
  </si>
  <si>
    <t>15:40:32</t>
  </si>
  <si>
    <t>15:23:21</t>
  </si>
  <si>
    <t>15:22:11</t>
  </si>
  <si>
    <t>15:21:14</t>
  </si>
  <si>
    <t>20:04:03</t>
  </si>
  <si>
    <t>20:01:05</t>
  </si>
  <si>
    <t>19:58:07</t>
  </si>
  <si>
    <t>19:57:04</t>
  </si>
  <si>
    <t>19:56:36</t>
  </si>
  <si>
    <t>19:55:57</t>
  </si>
  <si>
    <t>19:11:10</t>
  </si>
  <si>
    <t>19:10:40</t>
  </si>
  <si>
    <t>19:09:52</t>
  </si>
  <si>
    <t>19:09:17</t>
  </si>
  <si>
    <t>17:55:42</t>
  </si>
  <si>
    <t>17:49:15</t>
  </si>
  <si>
    <t>17:48:35</t>
  </si>
  <si>
    <t>19:08:53</t>
  </si>
  <si>
    <t>19:08:07</t>
  </si>
  <si>
    <t>19:06:46</t>
  </si>
  <si>
    <t>19:06:08</t>
  </si>
  <si>
    <t>19:01:11</t>
  </si>
  <si>
    <t>16:49:56</t>
  </si>
  <si>
    <t>16:30:49</t>
  </si>
  <si>
    <t>16:29:12</t>
  </si>
  <si>
    <t>20:01:43</t>
  </si>
  <si>
    <t>20:01:03</t>
  </si>
  <si>
    <t>19:57:36</t>
  </si>
  <si>
    <t>18:23:06</t>
  </si>
  <si>
    <t>20:10:30</t>
  </si>
  <si>
    <t>20:08:20</t>
  </si>
  <si>
    <t>19:58:49</t>
  </si>
  <si>
    <t>15:11:51</t>
  </si>
  <si>
    <t>17:43:29</t>
  </si>
  <si>
    <t>17:17:02</t>
  </si>
  <si>
    <t>15:33:40</t>
  </si>
  <si>
    <t>15:02:26</t>
  </si>
  <si>
    <t>20:41:37</t>
  </si>
  <si>
    <t>20:34:41</t>
  </si>
  <si>
    <t>16:17:28</t>
  </si>
  <si>
    <t>15:08:59</t>
  </si>
  <si>
    <t>15:04:39</t>
  </si>
  <si>
    <t>15:04:08</t>
  </si>
  <si>
    <t>19:48:17</t>
  </si>
  <si>
    <t>17:41:32</t>
  </si>
  <si>
    <t>17:40:14</t>
  </si>
  <si>
    <t>19:31:27</t>
  </si>
  <si>
    <t>19:30:45</t>
  </si>
  <si>
    <t>15:25:34</t>
  </si>
  <si>
    <t>15:14:37</t>
  </si>
  <si>
    <t>15:14:12</t>
  </si>
  <si>
    <t>15:13:21</t>
  </si>
  <si>
    <t>19:42:09</t>
  </si>
  <si>
    <t>18:41:16</t>
  </si>
  <si>
    <t>18:40:37</t>
  </si>
  <si>
    <t>18:39:47</t>
  </si>
  <si>
    <t>15:48:08</t>
  </si>
  <si>
    <t>14:50:32</t>
  </si>
  <si>
    <t>19:32:23</t>
  </si>
  <si>
    <t>19:31:22</t>
  </si>
  <si>
    <t>17:27:28</t>
  </si>
  <si>
    <t>17:26:46</t>
  </si>
  <si>
    <t>17:26:20</t>
  </si>
  <si>
    <t>17:24:40</t>
  </si>
  <si>
    <t>19:46:25</t>
  </si>
  <si>
    <t>19:34:34</t>
  </si>
  <si>
    <t>19:33:38</t>
  </si>
  <si>
    <t>19:28:02</t>
  </si>
  <si>
    <t>19:27:07</t>
  </si>
  <si>
    <t>19:26:43</t>
  </si>
  <si>
    <t>19:26:18</t>
  </si>
  <si>
    <t>14:43:39</t>
  </si>
  <si>
    <t>18:21:38</t>
  </si>
  <si>
    <t>00:16:02</t>
  </si>
  <si>
    <t>17:16:35</t>
  </si>
  <si>
    <t>02:03:50</t>
  </si>
  <si>
    <t>18:25:52</t>
  </si>
  <si>
    <t>00:41:07</t>
  </si>
  <si>
    <t>15:49:30</t>
  </si>
  <si>
    <t>11:32:36</t>
  </si>
  <si>
    <t>09:19:31</t>
  </si>
  <si>
    <t>09:14:29</t>
  </si>
  <si>
    <t>09:07:00</t>
  </si>
  <si>
    <t>09:03:23</t>
  </si>
  <si>
    <t>00:26:03</t>
  </si>
  <si>
    <t>13:42:34</t>
  </si>
  <si>
    <t>01:08:43</t>
  </si>
  <si>
    <t>20:07:24</t>
  </si>
  <si>
    <t>20:27:08</t>
  </si>
  <si>
    <t>13:09:35</t>
  </si>
  <si>
    <t>19:52:50</t>
  </si>
  <si>
    <t>22:04:41</t>
  </si>
  <si>
    <t>11:30:07</t>
  </si>
  <si>
    <t>02:03:01</t>
  </si>
  <si>
    <t>12:22:00</t>
  </si>
  <si>
    <t>11:48:19</t>
  </si>
  <si>
    <t>20:52:27</t>
  </si>
  <si>
    <t>19:27:01</t>
  </si>
  <si>
    <t>16:02:42</t>
  </si>
  <si>
    <t>20:27:14</t>
  </si>
  <si>
    <t>13:41:03</t>
  </si>
  <si>
    <t>15:30:02</t>
  </si>
  <si>
    <t>07:25:34</t>
  </si>
  <si>
    <t>20:38:20</t>
  </si>
  <si>
    <t>19:48:05</t>
  </si>
  <si>
    <t>09:45:27</t>
  </si>
  <si>
    <t>00:01:38</t>
  </si>
  <si>
    <t>14:04:47</t>
  </si>
  <si>
    <t>22:21:43</t>
  </si>
  <si>
    <t>03:03:00</t>
  </si>
  <si>
    <t>15:22:42</t>
  </si>
  <si>
    <t>04:54:16</t>
  </si>
  <si>
    <t>13:04:58</t>
  </si>
  <si>
    <t>12:25:21</t>
  </si>
  <si>
    <t>19:33:11</t>
  </si>
  <si>
    <t>21:37:09</t>
  </si>
  <si>
    <t>21:15:58</t>
  </si>
  <si>
    <t>13:58:39</t>
  </si>
  <si>
    <t>17:33:22</t>
  </si>
  <si>
    <t>15:15:48</t>
  </si>
  <si>
    <t>10:10:35</t>
  </si>
  <si>
    <t>22:40:04</t>
  </si>
  <si>
    <t>15:25:43</t>
  </si>
  <si>
    <t>12:10:10</t>
  </si>
  <si>
    <t>10:20:24</t>
  </si>
  <si>
    <t>19:38:48</t>
  </si>
  <si>
    <t>16:53:17</t>
  </si>
  <si>
    <t>23:08:23</t>
  </si>
  <si>
    <t>00:29:31</t>
  </si>
  <si>
    <t>00:25:09</t>
  </si>
  <si>
    <t>18:21:46</t>
  </si>
  <si>
    <t>17:56:51</t>
  </si>
  <si>
    <t>18:18:40</t>
  </si>
  <si>
    <t>18:15:46</t>
  </si>
  <si>
    <t>18:11:32</t>
  </si>
  <si>
    <t>20:09:26</t>
  </si>
  <si>
    <t>19:53:05</t>
  </si>
  <si>
    <t>19:44:48</t>
  </si>
  <si>
    <t>19:16:29</t>
  </si>
  <si>
    <t>19:09:53</t>
  </si>
  <si>
    <t>18:42:43</t>
  </si>
  <si>
    <t>13:33:04</t>
  </si>
  <si>
    <t>11:52:38</t>
  </si>
  <si>
    <t>22:26:45</t>
  </si>
  <si>
    <t>20:30:08</t>
  </si>
  <si>
    <t>00:36:01</t>
  </si>
  <si>
    <t>20:07:56</t>
  </si>
  <si>
    <t>01:49:21</t>
  </si>
  <si>
    <t>22:30:58</t>
  </si>
  <si>
    <t>12:36:27</t>
  </si>
  <si>
    <t>16:15:53</t>
  </si>
  <si>
    <t>22:16:39</t>
  </si>
  <si>
    <t>20:16:00</t>
  </si>
  <si>
    <t>00:00:49</t>
  </si>
  <si>
    <t>18:15:06</t>
  </si>
  <si>
    <t>21:15:22</t>
  </si>
  <si>
    <t>22:17:33</t>
  </si>
  <si>
    <t>14:15:05</t>
  </si>
  <si>
    <t>17:16:11</t>
  </si>
  <si>
    <t>19:16:34</t>
  </si>
  <si>
    <t>23:15:51</t>
  </si>
  <si>
    <t>21:15:33</t>
  </si>
  <si>
    <t>21:15:32</t>
  </si>
  <si>
    <t>19:15:45</t>
  </si>
  <si>
    <t>17:17:56</t>
  </si>
  <si>
    <t>16:15:28</t>
  </si>
  <si>
    <t>16:15:46</t>
  </si>
  <si>
    <t>16:15:39</t>
  </si>
  <si>
    <t>21:15:51</t>
  </si>
  <si>
    <t>15:15:45</t>
  </si>
  <si>
    <t>19:16:52</t>
  </si>
  <si>
    <t>18:16:03</t>
  </si>
  <si>
    <t>19:15:40</t>
  </si>
  <si>
    <t>19:15:39</t>
  </si>
  <si>
    <t>19:15:38</t>
  </si>
  <si>
    <t>19:15:37</t>
  </si>
  <si>
    <t>05:15:42</t>
  </si>
  <si>
    <t>15:15:17</t>
  </si>
  <si>
    <t>19:16:14</t>
  </si>
  <si>
    <t>21:15:34</t>
  </si>
  <si>
    <t>16:18:25</t>
  </si>
  <si>
    <t>17:15:49</t>
  </si>
  <si>
    <t>18:15:32</t>
  </si>
  <si>
    <t>03:15:16</t>
  </si>
  <si>
    <t>01:16:14</t>
  </si>
  <si>
    <t>23:16:09</t>
  </si>
  <si>
    <t>19:16:48</t>
  </si>
  <si>
    <t>16:15:26</t>
  </si>
  <si>
    <t>15:15:16</t>
  </si>
  <si>
    <t>20:15:43</t>
  </si>
  <si>
    <t>21:15:59</t>
  </si>
  <si>
    <t>19:16:27</t>
  </si>
  <si>
    <t>16:16:19</t>
  </si>
  <si>
    <t>01:16:04</t>
  </si>
  <si>
    <t>14:15:39</t>
  </si>
  <si>
    <t>16:15:24</t>
  </si>
  <si>
    <t>19:34:12</t>
  </si>
  <si>
    <t>20:30:20</t>
  </si>
  <si>
    <t>21:20:54</t>
  </si>
  <si>
    <t>23:27:44</t>
  </si>
  <si>
    <t>13:38:09</t>
  </si>
  <si>
    <t>03:02:51</t>
  </si>
  <si>
    <t>19:03:24</t>
  </si>
  <si>
    <t>18:57:06</t>
  </si>
  <si>
    <t>20:48:59</t>
  </si>
  <si>
    <t>08:52:45</t>
  </si>
  <si>
    <t>19:16:40</t>
  </si>
  <si>
    <t>10:26:04</t>
  </si>
  <si>
    <t>10:29:00</t>
  </si>
  <si>
    <t>13:08:01</t>
  </si>
  <si>
    <t>22:28:27</t>
  </si>
  <si>
    <t>07:40:13</t>
  </si>
  <si>
    <t>10:27:41</t>
  </si>
  <si>
    <t>22:09:06</t>
  </si>
  <si>
    <t>00:42:36</t>
  </si>
  <si>
    <t>13:24:09</t>
  </si>
  <si>
    <t>13:42:27</t>
  </si>
  <si>
    <t>04:37:05</t>
  </si>
  <si>
    <t>20:07:43</t>
  </si>
  <si>
    <t>19:05:07</t>
  </si>
  <si>
    <t>11:10:00</t>
  </si>
  <si>
    <t>17:37:39</t>
  </si>
  <si>
    <t>02:06:20</t>
  </si>
  <si>
    <t>19:14:33</t>
  </si>
  <si>
    <t>22:35:47</t>
  </si>
  <si>
    <t>02:03:52</t>
  </si>
  <si>
    <t>20:09:42</t>
  </si>
  <si>
    <t>02:34:36</t>
  </si>
  <si>
    <t>16:55:06</t>
  </si>
  <si>
    <t>22:33:03</t>
  </si>
  <si>
    <t>20:50:22</t>
  </si>
  <si>
    <t>19:51:56</t>
  </si>
  <si>
    <t>11:00:49</t>
  </si>
  <si>
    <t>23:20:48</t>
  </si>
  <si>
    <t>00:56:12</t>
  </si>
  <si>
    <t>00:08:56</t>
  </si>
  <si>
    <t>04:39:01</t>
  </si>
  <si>
    <t>13:54:37</t>
  </si>
  <si>
    <t>10:00:19</t>
  </si>
  <si>
    <t>19:07:54</t>
  </si>
  <si>
    <t>00:50:54</t>
  </si>
  <si>
    <t>14:55:57</t>
  </si>
  <si>
    <t>19:30:40</t>
  </si>
  <si>
    <t>00:26:57</t>
  </si>
  <si>
    <t>16:32:45</t>
  </si>
  <si>
    <t>14:14:23</t>
  </si>
  <si>
    <t>21:21:58</t>
  </si>
  <si>
    <t>00:22:12</t>
  </si>
  <si>
    <t>00:20:37</t>
  </si>
  <si>
    <t>00:13:16</t>
  </si>
  <si>
    <t>17:08:33</t>
  </si>
  <si>
    <t>16:22:51</t>
  </si>
  <si>
    <t>01:38:20</t>
  </si>
  <si>
    <t>19:06:52</t>
  </si>
  <si>
    <t>18:35:53</t>
  </si>
  <si>
    <t>18:35:07</t>
  </si>
  <si>
    <t>23:05:36</t>
  </si>
  <si>
    <t>18:51:33</t>
  </si>
  <si>
    <t>21:03:56</t>
  </si>
  <si>
    <t>19:47:59</t>
  </si>
  <si>
    <t>12:40:36</t>
  </si>
  <si>
    <t>15:03:08</t>
  </si>
  <si>
    <t>14:03:21</t>
  </si>
  <si>
    <t>15:16:28</t>
  </si>
  <si>
    <t>14:57:37</t>
  </si>
  <si>
    <t>14:53:05</t>
  </si>
  <si>
    <t>02:04:50</t>
  </si>
  <si>
    <t>14:22:16</t>
  </si>
  <si>
    <t>16:36:31</t>
  </si>
  <si>
    <t>19:22:49</t>
  </si>
  <si>
    <t>19:05:56</t>
  </si>
  <si>
    <t>07:52:03</t>
  </si>
  <si>
    <t>00:56:29</t>
  </si>
  <si>
    <t>15:46:11</t>
  </si>
  <si>
    <t>17:44:44</t>
  </si>
  <si>
    <t>00:53:52</t>
  </si>
  <si>
    <t>05:33:39</t>
  </si>
  <si>
    <t>21:16:09</t>
  </si>
  <si>
    <t>17:10:18</t>
  </si>
  <si>
    <t>10:44:47</t>
  </si>
  <si>
    <t>00:31:20</t>
  </si>
  <si>
    <t>14:19:36</t>
  </si>
  <si>
    <t>21:43:13</t>
  </si>
  <si>
    <t>10:10:58</t>
  </si>
  <si>
    <t>14:05:33</t>
  </si>
  <si>
    <t>13:23:01</t>
  </si>
  <si>
    <t>03:14:27</t>
  </si>
  <si>
    <t>17:05:54</t>
  </si>
  <si>
    <t>06:49:08</t>
  </si>
  <si>
    <t>20:37:29</t>
  </si>
  <si>
    <t>10:30:21</t>
  </si>
  <si>
    <t>00:18:25</t>
  </si>
  <si>
    <t>12:36:14</t>
  </si>
  <si>
    <t>03:08:39</t>
  </si>
  <si>
    <t>13:01:44</t>
  </si>
  <si>
    <t>12:49:37</t>
  </si>
  <si>
    <t>13:33:57</t>
  </si>
  <si>
    <t>14:03:50</t>
  </si>
  <si>
    <t>00:48:32</t>
  </si>
  <si>
    <t>23:43:11</t>
  </si>
  <si>
    <t>11:21:21</t>
  </si>
  <si>
    <t>09:21:19</t>
  </si>
  <si>
    <t>07:21:03</t>
  </si>
  <si>
    <t>11:21:41</t>
  </si>
  <si>
    <t>09:21:59</t>
  </si>
  <si>
    <t>10:22:03</t>
  </si>
  <si>
    <t>11:21:29</t>
  </si>
  <si>
    <t>09:21:17</t>
  </si>
  <si>
    <t>09:21:31</t>
  </si>
  <si>
    <t>11:21:39</t>
  </si>
  <si>
    <t>10:21:30</t>
  </si>
  <si>
    <t>07:21:46</t>
  </si>
  <si>
    <t>10:21:20</t>
  </si>
  <si>
    <t>11:22:40</t>
  </si>
  <si>
    <t>08:23:09</t>
  </si>
  <si>
    <t>09:21:06</t>
  </si>
  <si>
    <t>10:21:28</t>
  </si>
  <si>
    <t>10:21:41</t>
  </si>
  <si>
    <t>08:21:45</t>
  </si>
  <si>
    <t>08:21:34</t>
  </si>
  <si>
    <t>07:21:25</t>
  </si>
  <si>
    <t>10:21:33</t>
  </si>
  <si>
    <t>09:21:25</t>
  </si>
  <si>
    <t>09:21:50</t>
  </si>
  <si>
    <t>08:21:44</t>
  </si>
  <si>
    <t>11:21:08</t>
  </si>
  <si>
    <t>15:21:41</t>
  </si>
  <si>
    <t>11:22:26</t>
  </si>
  <si>
    <t>01:15:24</t>
  </si>
  <si>
    <t>03:13:03</t>
  </si>
  <si>
    <t>06:59:59</t>
  </si>
  <si>
    <t>12:02:33</t>
  </si>
  <si>
    <t>04:19:23</t>
  </si>
  <si>
    <t>21:33:46</t>
  </si>
  <si>
    <t>16:40:25</t>
  </si>
  <si>
    <t>01:36:17</t>
  </si>
  <si>
    <t>21:00:00</t>
  </si>
  <si>
    <t>13:39:30</t>
  </si>
  <si>
    <t>23:14:43</t>
  </si>
  <si>
    <t>22:55:18</t>
  </si>
  <si>
    <t>13:46:38</t>
  </si>
  <si>
    <t>13:44:47</t>
  </si>
  <si>
    <t>13:40:14</t>
  </si>
  <si>
    <t>21:53:04</t>
  </si>
  <si>
    <t>21:48:17</t>
  </si>
  <si>
    <t>21:43:20</t>
  </si>
  <si>
    <t>21:41:24</t>
  </si>
  <si>
    <t>21:35:27</t>
  </si>
  <si>
    <t>20:18:27</t>
  </si>
  <si>
    <t>16:03:15</t>
  </si>
  <si>
    <t>08:57:33</t>
  </si>
  <si>
    <t>02:32:44</t>
  </si>
  <si>
    <t>18:36:49</t>
  </si>
  <si>
    <t>16:55:45</t>
  </si>
  <si>
    <t>17:11:46</t>
  </si>
  <si>
    <t>10:25:14</t>
  </si>
  <si>
    <t>01:41:32</t>
  </si>
  <si>
    <t>07:01:00</t>
  </si>
  <si>
    <t>20:21:57</t>
  </si>
  <si>
    <t>17:16:14</t>
  </si>
  <si>
    <t>18:04:52</t>
  </si>
  <si>
    <t>14:38:39</t>
  </si>
  <si>
    <t>18:56:43</t>
  </si>
  <si>
    <t>22:52:55</t>
  </si>
  <si>
    <t>15:06:18</t>
  </si>
  <si>
    <t>03:07:26</t>
  </si>
  <si>
    <t>03:14:31</t>
  </si>
  <si>
    <t>01:00:22</t>
  </si>
  <si>
    <t>21:46:42</t>
  </si>
  <si>
    <t>17:03:41</t>
  </si>
  <si>
    <t>16:32:31</t>
  </si>
  <si>
    <t>03:12:21</t>
  </si>
  <si>
    <t>12:38:23</t>
  </si>
  <si>
    <t>22:30:47</t>
  </si>
  <si>
    <t>15:25:02</t>
  </si>
  <si>
    <t>02:31:29</t>
  </si>
  <si>
    <t>13:20:15</t>
  </si>
  <si>
    <t>10:03:57</t>
  </si>
  <si>
    <t>10:01:18</t>
  </si>
  <si>
    <t>20:03:37</t>
  </si>
  <si>
    <t>19:50:34</t>
  </si>
  <si>
    <t>12:46:19</t>
  </si>
  <si>
    <t>22:22:40</t>
  </si>
  <si>
    <t>01:07:32</t>
  </si>
  <si>
    <t>15:29:40</t>
  </si>
  <si>
    <t>01:38:40</t>
  </si>
  <si>
    <t>23:56:12</t>
  </si>
  <si>
    <t>03:27:38</t>
  </si>
  <si>
    <t>18:12:17</t>
  </si>
  <si>
    <t>16:55:28</t>
  </si>
  <si>
    <t>20:06:02</t>
  </si>
  <si>
    <t>00:44:33</t>
  </si>
  <si>
    <t>08:57:13</t>
  </si>
  <si>
    <t>08:56:28</t>
  </si>
  <si>
    <t>18:05:08</t>
  </si>
  <si>
    <t>15:17:27</t>
  </si>
  <si>
    <t>14:03:13</t>
  </si>
  <si>
    <t>12:08:45</t>
  </si>
  <si>
    <t>17:28:27</t>
  </si>
  <si>
    <t>00:16:26</t>
  </si>
  <si>
    <t>00:13:26</t>
  </si>
  <si>
    <t>12:34:20</t>
  </si>
  <si>
    <t>01:03:08</t>
  </si>
  <si>
    <t>21:57:08</t>
  </si>
  <si>
    <t>15:24:44</t>
  </si>
  <si>
    <t>16:50:33</t>
  </si>
  <si>
    <t>12:54:34</t>
  </si>
  <si>
    <t>13:11:02</t>
  </si>
  <si>
    <t>15:07:22</t>
  </si>
  <si>
    <t>16:16:35</t>
  </si>
  <si>
    <t>16:59:04</t>
  </si>
  <si>
    <t>13:06:07</t>
  </si>
  <si>
    <t>16:36:17</t>
  </si>
  <si>
    <t>01:36:05</t>
  </si>
  <si>
    <t>11:57:11</t>
  </si>
  <si>
    <t>18:13:44</t>
  </si>
  <si>
    <t>18:04:26</t>
  </si>
  <si>
    <t>16:39:04</t>
  </si>
  <si>
    <t>16:35:30</t>
  </si>
  <si>
    <t>14:04:03</t>
  </si>
  <si>
    <t>12:33:43</t>
  </si>
  <si>
    <t>12:32:31</t>
  </si>
  <si>
    <t>15:58:49</t>
  </si>
  <si>
    <t>07:00:44</t>
  </si>
  <si>
    <t>13:55:16</t>
  </si>
  <si>
    <t>07:12:55</t>
  </si>
  <si>
    <t>17:10:02</t>
  </si>
  <si>
    <t>21:57:40</t>
  </si>
  <si>
    <t>01:38:10</t>
  </si>
  <si>
    <t>18:55:49</t>
  </si>
  <si>
    <t>01:27:05</t>
  </si>
  <si>
    <t>01:12:42</t>
  </si>
  <si>
    <t>01:23:41</t>
  </si>
  <si>
    <t>22:02:24</t>
  </si>
  <si>
    <t>00:59:53</t>
  </si>
  <si>
    <t>09:54:55</t>
  </si>
  <si>
    <t>01:14:41</t>
  </si>
  <si>
    <t>22:28:17</t>
  </si>
  <si>
    <t>13:41:24</t>
  </si>
  <si>
    <t>13:29:09</t>
  </si>
  <si>
    <t>07:35:33</t>
  </si>
  <si>
    <t>12:45:23</t>
  </si>
  <si>
    <t>00:01:15</t>
  </si>
  <si>
    <t>15:30:33</t>
  </si>
  <si>
    <t>23:08:10</t>
  </si>
  <si>
    <t>23:46:04</t>
  </si>
  <si>
    <t>13:33:47</t>
  </si>
  <si>
    <t>19:39:00</t>
  </si>
  <si>
    <t>17:03:30</t>
  </si>
  <si>
    <t>11:47:38</t>
  </si>
  <si>
    <t>23:26:58</t>
  </si>
  <si>
    <t>21:23:00</t>
  </si>
  <si>
    <t>16:04:51</t>
  </si>
  <si>
    <t>23:34:52</t>
  </si>
  <si>
    <t>19:30:35</t>
  </si>
  <si>
    <t>15:49:42</t>
  </si>
  <si>
    <t>10:26:53</t>
  </si>
  <si>
    <t>03:30:57</t>
  </si>
  <si>
    <t>03:29:04</t>
  </si>
  <si>
    <t>03:28:32</t>
  </si>
  <si>
    <t>03:27:33</t>
  </si>
  <si>
    <t>03:26:50</t>
  </si>
  <si>
    <t>03:26:03</t>
  </si>
  <si>
    <t>03:24:34</t>
  </si>
  <si>
    <t>03:23:31</t>
  </si>
  <si>
    <t>03:22:20</t>
  </si>
  <si>
    <t>03:21:38</t>
  </si>
  <si>
    <t>03:20:32</t>
  </si>
  <si>
    <t>03:19:34</t>
  </si>
  <si>
    <t>03:18:43</t>
  </si>
  <si>
    <t>03:18:17</t>
  </si>
  <si>
    <t>03:17:45</t>
  </si>
  <si>
    <t>03:17:09</t>
  </si>
  <si>
    <t>03:16:37</t>
  </si>
  <si>
    <t>03:15:56</t>
  </si>
  <si>
    <t>03:14:14</t>
  </si>
  <si>
    <t>22:30:24</t>
  </si>
  <si>
    <t>12:33:21</t>
  </si>
  <si>
    <t>22:03:09</t>
  </si>
  <si>
    <t>14:46:17</t>
  </si>
  <si>
    <t>08:27:06</t>
  </si>
  <si>
    <t>08:24:05</t>
  </si>
  <si>
    <t>10:33:31</t>
  </si>
  <si>
    <t>08:55:51</t>
  </si>
  <si>
    <t>19:09:47</t>
  </si>
  <si>
    <t>20:52:44</t>
  </si>
  <si>
    <t>17:11:11</t>
  </si>
  <si>
    <t>10:18:56</t>
  </si>
  <si>
    <t>18:59:07</t>
  </si>
  <si>
    <t>22:31:01</t>
  </si>
  <si>
    <t>16:43:57</t>
  </si>
  <si>
    <t>21:39:27</t>
  </si>
  <si>
    <t>02:27:34</t>
  </si>
  <si>
    <t>03:03:41</t>
  </si>
  <si>
    <t>03:02:34</t>
  </si>
  <si>
    <t>03:01:05</t>
  </si>
  <si>
    <t>02:57:17</t>
  </si>
  <si>
    <t>02:54:51</t>
  </si>
  <si>
    <t>02:53:26</t>
  </si>
  <si>
    <t>02:51:56</t>
  </si>
  <si>
    <t>02:49:28</t>
  </si>
  <si>
    <t>02:40:32</t>
  </si>
  <si>
    <t>02:38:36</t>
  </si>
  <si>
    <t>02:37:18</t>
  </si>
  <si>
    <t>02:35:02</t>
  </si>
  <si>
    <t>02:32:49</t>
  </si>
  <si>
    <t>02:26:52</t>
  </si>
  <si>
    <t>02:25:04</t>
  </si>
  <si>
    <t>02:22:38</t>
  </si>
  <si>
    <t>02:14:08</t>
  </si>
  <si>
    <t>02:10:58</t>
  </si>
  <si>
    <t>02:09:09</t>
  </si>
  <si>
    <t>02:07:00</t>
  </si>
  <si>
    <t>02:05:17</t>
  </si>
  <si>
    <t>01:42:06</t>
  </si>
  <si>
    <t>01:34:09</t>
  </si>
  <si>
    <t>01:32:01</t>
  </si>
  <si>
    <t>02:31:59</t>
  </si>
  <si>
    <t>02:30:51</t>
  </si>
  <si>
    <t>02:22:23</t>
  </si>
  <si>
    <t>02:21:21</t>
  </si>
  <si>
    <t>02:18:24</t>
  </si>
  <si>
    <t>02:16:22</t>
  </si>
  <si>
    <t>02:15:05</t>
  </si>
  <si>
    <t>02:13:39</t>
  </si>
  <si>
    <t>02:10:38</t>
  </si>
  <si>
    <t>02:02:19</t>
  </si>
  <si>
    <t>02:01:09</t>
  </si>
  <si>
    <t>01:59:13</t>
  </si>
  <si>
    <t>01:57:36</t>
  </si>
  <si>
    <t>01:56:01</t>
  </si>
  <si>
    <t>01:53:38</t>
  </si>
  <si>
    <t>01:51:11</t>
  </si>
  <si>
    <t>03:11:20</t>
  </si>
  <si>
    <t>03:09:38</t>
  </si>
  <si>
    <t>03:08:21</t>
  </si>
  <si>
    <t>20:10:56</t>
  </si>
  <si>
    <t>20:00:01</t>
  </si>
  <si>
    <t>12:28:53</t>
  </si>
  <si>
    <t>18:55:19</t>
  </si>
  <si>
    <t>14:24:13</t>
  </si>
  <si>
    <t>15:24:00</t>
  </si>
  <si>
    <t>20:00:55</t>
  </si>
  <si>
    <t>05:04:40</t>
  </si>
  <si>
    <t>03:01:19</t>
  </si>
  <si>
    <t>01:29:15</t>
  </si>
  <si>
    <t>21:22:56</t>
  </si>
  <si>
    <t>21:16:44</t>
  </si>
  <si>
    <t>17:15:10</t>
  </si>
  <si>
    <t>17:31:02</t>
  </si>
  <si>
    <t>19:01:51</t>
  </si>
  <si>
    <t>06:04:36</t>
  </si>
  <si>
    <t>04:15:44</t>
  </si>
  <si>
    <t>21:19:09</t>
  </si>
  <si>
    <t>16:40:00</t>
  </si>
  <si>
    <t>13:16:26</t>
  </si>
  <si>
    <t>19:22:07</t>
  </si>
  <si>
    <t>09:12:40</t>
  </si>
  <si>
    <t>22:58:09</t>
  </si>
  <si>
    <t>02:36:35</t>
  </si>
  <si>
    <t>16:27:00</t>
  </si>
  <si>
    <t>14:33:43</t>
  </si>
  <si>
    <t>06:01:37</t>
  </si>
  <si>
    <t>20:53:41</t>
  </si>
  <si>
    <t>04:31:21</t>
  </si>
  <si>
    <t>12:12:33</t>
  </si>
  <si>
    <t>10:52:09</t>
  </si>
  <si>
    <t>06:16:41</t>
  </si>
  <si>
    <t>17:11:45</t>
  </si>
  <si>
    <t>16:37:58</t>
  </si>
  <si>
    <t>06:28:12</t>
  </si>
  <si>
    <t>03:09:01</t>
  </si>
  <si>
    <t>16:46:34</t>
  </si>
  <si>
    <t>23:24:14</t>
  </si>
  <si>
    <t>14:18:48</t>
  </si>
  <si>
    <t>02:16:07</t>
  </si>
  <si>
    <t>08:07:38</t>
  </si>
  <si>
    <t>10:45:58</t>
  </si>
  <si>
    <t>13:45:23</t>
  </si>
  <si>
    <t>21:33:48</t>
  </si>
  <si>
    <t>23:50:59</t>
  </si>
  <si>
    <t>19:39:06</t>
  </si>
  <si>
    <t>15:56:38</t>
  </si>
  <si>
    <t>22:12:14</t>
  </si>
  <si>
    <t>17:02:15</t>
  </si>
  <si>
    <t>22:32:42</t>
  </si>
  <si>
    <t>15:01:23</t>
  </si>
  <si>
    <t>21:55:24</t>
  </si>
  <si>
    <t>15:10:31</t>
  </si>
  <si>
    <t>13:53:43</t>
  </si>
  <si>
    <t>15:51:20</t>
  </si>
  <si>
    <t>17:20:14</t>
  </si>
  <si>
    <t>23:20:27</t>
  </si>
  <si>
    <t>13:17:18</t>
  </si>
  <si>
    <t>14:18:01</t>
  </si>
  <si>
    <t>13:08:27</t>
  </si>
  <si>
    <t>21:18:32</t>
  </si>
  <si>
    <t>13:25:12</t>
  </si>
  <si>
    <t>13:51:13</t>
  </si>
  <si>
    <t>18:33:37</t>
  </si>
  <si>
    <t>02:33:18</t>
  </si>
  <si>
    <t>09:42:15</t>
  </si>
  <si>
    <t>17:51:46</t>
  </si>
  <si>
    <t>00:00:51</t>
  </si>
  <si>
    <t>17:05:43</t>
  </si>
  <si>
    <t>12:04:01</t>
  </si>
  <si>
    <t>-44,31824,-20,052555 
-44,31824,-19,8314598 
-44,0675,-19,8314598 
-44,0675,-20,052555 
-44,31824,-20,052555</t>
  </si>
  <si>
    <t>-49,188554,-28,595991 
-49,188554,-28,3780202 
-48,902135,-28,3780202 
-48,902135,-28,595991 
-49,188554,-28,595991</t>
  </si>
  <si>
    <t>-48,409304,-10,482253 
-48,409304,-9,749019 
-47,7936168,-9,749019 
-47,7936168,-10,482253 
-48,409304,-10,482253</t>
  </si>
  <si>
    <t>-46,826039,-24,008814 
-46,826039,-23,356792 
-46,365052,-23,356792 
-46,365052,-24,008814 
-46,826039,-24,008814</t>
  </si>
  <si>
    <t>-43,795449,-23,08302 
-43,795449,-22,7398234 
-43,0877068,-22,7398234 
-43,0877068,-23,08302 
-43,795449,-23,08302</t>
  </si>
  <si>
    <t>-48,6103127,-27,8389356 
-48,6103127,-27,3804458 
-48,3474853,-27,3804458 
-48,3474853,-27,8389356 
-48,6103127,-27,8389356</t>
  </si>
  <si>
    <t>-43,681932,-22,865838 
-43,681932,-22,527218 
-43,366801,-22,527218 
-43,366801,-22,865838 
-43,681932,-22,865838</t>
  </si>
  <si>
    <t>-51,046664,-22,9228324 
-51,046664,-14,2318345 
-39,856848,-14,2318345 
-39,856848,-22,9228324 
-51,046664,-22,9228324</t>
  </si>
  <si>
    <t>-66,806243,-10,000438 
-66,806243,-7,969338 
-62,236992,-7,969338 
-62,236992,-10,000438 
-66,806243,-10,000438</t>
  </si>
  <si>
    <t>-39,210288,-12,757688 
-39,210288,-12,629417 
-39,043876,-12,629417 
-39,043876,-12,757688 
-39,210288,-12,757688</t>
  </si>
  <si>
    <t>-42,577317,-8,590925 
-42,577317,-8,070156 
-41,924402,-8,070156 
-41,924402,-8,590925 
-42,577317,-8,590925</t>
  </si>
  <si>
    <t>-38,638212,-3,88818 
-38,638212,-3,691356 
-38,401568,-3,691356 
-38,401568,-3,88818 
-38,638212,-3,88818</t>
  </si>
  <si>
    <t>-35,2911777,-5,897826 
-35,2911777,-3,8517709 
-33,8094403,-3,8517709 
-33,8094403,-5,897826 
-35,2911777,-5,897826</t>
  </si>
  <si>
    <t>-46,0647631,-22,4152811 
-46,0647631,-22,110648 
-45,8170519,-22,110648 
-45,8170519,-22,4152811 
-46,0647631,-22,4152811</t>
  </si>
  <si>
    <t>-38,700244,-13,02679 
-38,700244,-12,723879 
-38,305051,-12,723879 
-38,305051,-13,02679 
-38,700244,-13,02679</t>
  </si>
  <si>
    <t>-49,463368,-20,932326 
-49,463368,-20,637636 
-49,254967,-20,637636 
-49,254967,-20,932326 
-49,463368,-20,932326</t>
  </si>
  <si>
    <t>-73,991482,-33,7510506 
-73,991482,5,27192 
-32,378186,5,27192 
-32,378186,-33,7510506 
-73,991482,-33,7510506</t>
  </si>
  <si>
    <t>-51,3061478,-30,2688069 
-51,3061478,-29,9308654 
-51,012471,-29,9308654 
-51,012471,-30,2688069 
-51,3061478,-30,2688069</t>
  </si>
  <si>
    <t>-7,8969156,40,5259331 
-7,8969156,40,6515353 
-7,5617512,40,6515353 
-7,5617512,40,5259331 
-7,8969156,40,5259331</t>
  </si>
  <si>
    <t>-46,629405,-18,323487 
-46,629405,-8,5303963 
-37,3419514,-8,5303963 
-37,3419514,-18,323487 
-46,629405,-18,323487</t>
  </si>
  <si>
    <t>-42,368063,-18,987545 
-42,368063,-18,807749 
-42,256342,-18,807749 
-42,256342,-18,987545 
-42,368063,-18,987545</t>
  </si>
  <si>
    <t>-42,303288,-21,1423134 
-42,303288,-20,854374 
-42,118957,-20,854374 
-42,118957,-21,1423134 
-42,303288,-21,1423134</t>
  </si>
  <si>
    <t>-36,723834,-9,5322142 
-36,723834,-9,2788735 
-36,452642,-9,2788735 
-36,452642,-9,5322142 
-36,723834,-9,5322142</t>
  </si>
  <si>
    <t>-48,440172,-1,465523 
-48,440172,-1,223149 
-48,321967,-1,223149 
-48,321967,-1,465523 
-48,440172,-1,465523</t>
  </si>
  <si>
    <t>-51,2880154,-29,3430637 
-51,2880154,-28,7941844 
-50,7820389,-28,7941844 
-50,7820389,-29,3430637 
-51,2880154,-29,3430637</t>
  </si>
  <si>
    <t>-54,923521,-21,5845783 
-54,923521,-20,166077 
-53,600229,-20,166077 
-53,600229,-21,5845783 
-54,923521,-21,5845783</t>
  </si>
  <si>
    <t>-8,4739633,41,0682686 
-8,4739633,41,2597713 
-8,2961852,41,2597713 
-8,2961852,41,0682686 
-8,4739633,41,0682686</t>
  </si>
  <si>
    <t>-49,226831,-27,425367 
-49,226831,-27,182046 
-48,865958,-27,182046 
-48,865958,-27,425367 
-49,226831,-27,425367</t>
  </si>
  <si>
    <t>-42,291474,-23,005053 
-42,291474,-22,864232 
-41,977951,-22,864232 
-41,977951,-23,005053 
-42,291474,-23,005053</t>
  </si>
  <si>
    <t>-42,448794,-22,938818 
-42,448794,-22,551041 
-42,132671,-22,551041 
-42,132671,-22,938818 
-42,448794,-22,938818</t>
  </si>
  <si>
    <t>-60,802071,-3,221228 
-60,802071,-1,923622 
-59,15858,-1,923622 
-59,15858,-3,221228 
-60,802071,-3,221228</t>
  </si>
  <si>
    <t>-43,985777,-19,716952 
-43,985777,-19,535744 
-43,7922961,-19,535744 
-43,7922961,-19,716952 
-43,985777,-19,716952</t>
  </si>
  <si>
    <t>-47,949519,-1,672894 
-47,949519,-1,433003 
-47,28609,-1,433003 
-47,28609,-1,672894 
-47,949519,-1,672894</t>
  </si>
  <si>
    <t>-39,297137,-12,418986 
-39,297137,-11,981344 
-38,8317766,-11,981344 
-38,8317766,-12,418986 
-39,297137,-12,418986</t>
  </si>
  <si>
    <t>-42,681126,-22,940607 
-42,681126,-22,804081 
-42,368096,-22,804081 
-42,368096,-22,940607 
-42,681126,-22,940607</t>
  </si>
  <si>
    <t>-57,64856,-33,7510506 
-57,64856,-27,0822639 
-49,6915801,-27,0822639 
-49,6915801,-33,7510506 
-57,64856,-33,7510506</t>
  </si>
  <si>
    <t>-46,403227,-23,99197 
-46,403227,-23,73467 
-46,176966,-23,73467 
-46,176966,-23,99197 
-46,403227,-23,99197</t>
  </si>
  <si>
    <t>-43,1504483,-22,90907 
-43,1504483,-22,73386 
-42,885968,-22,73386 
-42,885968,-22,90907 
-43,1504483,-22,90907</t>
  </si>
  <si>
    <t>Brasil</t>
  </si>
  <si>
    <t>Portugal</t>
  </si>
  <si>
    <t>BR</t>
  </si>
  <si>
    <t>PT</t>
  </si>
  <si>
    <t>Betim, Brasil</t>
  </si>
  <si>
    <t>Tubarão, Brasil</t>
  </si>
  <si>
    <t>Palmas, Brasil</t>
  </si>
  <si>
    <t>São Paulo, Brasil</t>
  </si>
  <si>
    <t>Rio de Janeiro, Brasil</t>
  </si>
  <si>
    <t>Florianópolis, Brasil</t>
  </si>
  <si>
    <t>Nova Iguaçu, Brasil</t>
  </si>
  <si>
    <t>Minas Gerais, Brasil</t>
  </si>
  <si>
    <t>Porto Velho, Brasil</t>
  </si>
  <si>
    <t>Cruz das Almas, Brasil</t>
  </si>
  <si>
    <t>São João do Piauí, Brasil</t>
  </si>
  <si>
    <t>Fortaleza, Brasil</t>
  </si>
  <si>
    <t>Natal, Brasil</t>
  </si>
  <si>
    <t>Pouso Alegre, Brasil</t>
  </si>
  <si>
    <t>Salvador, Brasil</t>
  </si>
  <si>
    <t>São José do Rio Preto, Brasil</t>
  </si>
  <si>
    <t>Porto Alegre, Brasil</t>
  </si>
  <si>
    <t>Mangualde, Portugal</t>
  </si>
  <si>
    <t>Bahia, Brasil</t>
  </si>
  <si>
    <t>São Geraldo da Piedade, Brasil</t>
  </si>
  <si>
    <t>Eugenópolis, Brasil</t>
  </si>
  <si>
    <t>Palmeira dos Índios, Brasil</t>
  </si>
  <si>
    <t>Ananindeua, Brasil</t>
  </si>
  <si>
    <t>Caxias do Sul, Brasil</t>
  </si>
  <si>
    <t>Campo Grande, Brasil</t>
  </si>
  <si>
    <t>Paredes, Portugal</t>
  </si>
  <si>
    <t>Nova Trento, Brasil</t>
  </si>
  <si>
    <t>Arraial do Cabo, Brasil</t>
  </si>
  <si>
    <t>Araruama, Brasil</t>
  </si>
  <si>
    <t>Manaus, Brasil</t>
  </si>
  <si>
    <t>Lagoa Santa, Brasil</t>
  </si>
  <si>
    <t>São Miguel do Guamá, Brasil</t>
  </si>
  <si>
    <t>Feira de Santana, Brasil</t>
  </si>
  <si>
    <t>Saquarema, Brasil</t>
  </si>
  <si>
    <t>Rio Grande do Sul, Brasil</t>
  </si>
  <si>
    <t>Santos, Brasil</t>
  </si>
  <si>
    <t>São Gonçalo, Brasil</t>
  </si>
  <si>
    <t>590a9db327969e51</t>
  </si>
  <si>
    <t>db14c73d2448ffe7</t>
  </si>
  <si>
    <t>559fe09585259001</t>
  </si>
  <si>
    <t>68e019afec7d0ba5</t>
  </si>
  <si>
    <t>97bcdfca1a2dca59</t>
  </si>
  <si>
    <t>c44302d542084bfe</t>
  </si>
  <si>
    <t>4029837e46e8e369</t>
  </si>
  <si>
    <t>ce0385aee84dbdf9</t>
  </si>
  <si>
    <t>1ba6cc7d83e56acd</t>
  </si>
  <si>
    <t>e132d18b23379e78</t>
  </si>
  <si>
    <t>09d11de4c0858a80</t>
  </si>
  <si>
    <t>d16815010421ff73</t>
  </si>
  <si>
    <t>a4ddc3856053f7e1</t>
  </si>
  <si>
    <t>8396fe91f4ae1005</t>
  </si>
  <si>
    <t>e60cc1f72c303272</t>
  </si>
  <si>
    <t>fb19477acb7cac07</t>
  </si>
  <si>
    <t>1b107df3ccc0aaa1</t>
  </si>
  <si>
    <t>894146230dd1d42d</t>
  </si>
  <si>
    <t>0fcb5b7fa443edf9</t>
  </si>
  <si>
    <t>8ee88bd36514f636</t>
  </si>
  <si>
    <t>3fc4395d8440c485</t>
  </si>
  <si>
    <t>6ffe700796918d41</t>
  </si>
  <si>
    <t>86c7b07cf2e2c455</t>
  </si>
  <si>
    <t>ed74cc748183253a</t>
  </si>
  <si>
    <t>bacb72e48bb40ebe</t>
  </si>
  <si>
    <t>d13775d10c08f835</t>
  </si>
  <si>
    <t>0ce2dfbbc2841d11</t>
  </si>
  <si>
    <t>7114536281689194</t>
  </si>
  <si>
    <t>75aa9575e5c66006</t>
  </si>
  <si>
    <t>870609f609c207e4</t>
  </si>
  <si>
    <t>45e3bce63f2beeee</t>
  </si>
  <si>
    <t>0173a6761de408fb</t>
  </si>
  <si>
    <t>c0c2870ba3f57456</t>
  </si>
  <si>
    <t>8960d74054404ddd</t>
  </si>
  <si>
    <t>6921f63daeee899a</t>
  </si>
  <si>
    <t>a4b227ce2060cf5e</t>
  </si>
  <si>
    <t>c83a3bc35870a7a1</t>
  </si>
  <si>
    <t>d1fc0c973adbff22</t>
  </si>
  <si>
    <t>Betim</t>
  </si>
  <si>
    <t>Tubarão</t>
  </si>
  <si>
    <t>Palmas</t>
  </si>
  <si>
    <t>São Paulo</t>
  </si>
  <si>
    <t>Rio de Janeiro</t>
  </si>
  <si>
    <t>Florianópolis</t>
  </si>
  <si>
    <t>Nova Iguaçu</t>
  </si>
  <si>
    <t>Minas Gerais</t>
  </si>
  <si>
    <t>Porto Velho</t>
  </si>
  <si>
    <t>Cruz das Almas</t>
  </si>
  <si>
    <t>São João do Piauí</t>
  </si>
  <si>
    <t>Fortaleza</t>
  </si>
  <si>
    <t>Natal</t>
  </si>
  <si>
    <t>Pouso Alegre</t>
  </si>
  <si>
    <t>Salvador</t>
  </si>
  <si>
    <t>São José do Rio Preto</t>
  </si>
  <si>
    <t>Porto Alegre</t>
  </si>
  <si>
    <t>Mangualde</t>
  </si>
  <si>
    <t>Bahia</t>
  </si>
  <si>
    <t>São Geraldo da Piedade</t>
  </si>
  <si>
    <t>Eugenópolis</t>
  </si>
  <si>
    <t>Palmeira dos Índios</t>
  </si>
  <si>
    <t>Ananindeua</t>
  </si>
  <si>
    <t>Caxias do Sul</t>
  </si>
  <si>
    <t>Campo Grande</t>
  </si>
  <si>
    <t>Paredes</t>
  </si>
  <si>
    <t>Nova Trento</t>
  </si>
  <si>
    <t>Arraial do Cabo</t>
  </si>
  <si>
    <t>Araruama</t>
  </si>
  <si>
    <t>Manaus</t>
  </si>
  <si>
    <t>Lagoa Santa</t>
  </si>
  <si>
    <t>São Miguel do Guamá</t>
  </si>
  <si>
    <t>Feira de Santana</t>
  </si>
  <si>
    <t>Saquarema</t>
  </si>
  <si>
    <t>Rio Grande do Sul</t>
  </si>
  <si>
    <t>Santos</t>
  </si>
  <si>
    <t>São Gonçalo</t>
  </si>
  <si>
    <t>city</t>
  </si>
  <si>
    <t>admin</t>
  </si>
  <si>
    <t>country</t>
  </si>
  <si>
    <t>3_1620963982042341376 3_1620963985288839168</t>
  </si>
  <si>
    <t>7_1685278331128762369</t>
  </si>
  <si>
    <t>7_1691140415636828160</t>
  </si>
  <si>
    <t>7_1691100883382108162</t>
  </si>
  <si>
    <t>7_1687905305261223936</t>
  </si>
  <si>
    <t>7_1647117010382249985</t>
  </si>
  <si>
    <t>3_1657792162078117889</t>
  </si>
  <si>
    <t>3_1643796859662528513</t>
  </si>
  <si>
    <t>7_1658497929865228293</t>
  </si>
  <si>
    <t>7_1658270763307130880</t>
  </si>
  <si>
    <t>7_1653822607945347074</t>
  </si>
  <si>
    <t>3_1631026555781619716</t>
  </si>
  <si>
    <t>7_1647589769638035456</t>
  </si>
  <si>
    <t>3_1678208445642686464</t>
  </si>
  <si>
    <t>3_1697632793616863232</t>
  </si>
  <si>
    <t>3_1676749859351588865</t>
  </si>
  <si>
    <t>3_1676944198820323329</t>
  </si>
  <si>
    <t>3_1680680182997303296</t>
  </si>
  <si>
    <t>3_1674807237854756864</t>
  </si>
  <si>
    <t>3_1672239001753866240</t>
  </si>
  <si>
    <t>7_1671809347079352320</t>
  </si>
  <si>
    <t>3_1685598525441089536</t>
  </si>
  <si>
    <t>3_1685026755826872321</t>
  </si>
  <si>
    <t>3_1687046810588545024</t>
  </si>
  <si>
    <t>3_1677359524968112144</t>
  </si>
  <si>
    <t>3_1689391572670894080</t>
  </si>
  <si>
    <t>3_1684267723209990163</t>
  </si>
  <si>
    <t>7_1676925913680732161</t>
  </si>
  <si>
    <t>7_1695498260515897344</t>
  </si>
  <si>
    <t>3_1688517736610033664</t>
  </si>
  <si>
    <t>3_1670796041161981954</t>
  </si>
  <si>
    <t>7_1697046918260514816</t>
  </si>
  <si>
    <t>7_1691190329557266432</t>
  </si>
  <si>
    <t>7_1700080934509293568</t>
  </si>
  <si>
    <t>3_1689945354471407618</t>
  </si>
  <si>
    <t>3_1686423078232903707</t>
  </si>
  <si>
    <t>7_1679773089247244289</t>
  </si>
  <si>
    <t>3_1674448212877361152</t>
  </si>
  <si>
    <t>3_1654090390671073280</t>
  </si>
  <si>
    <t>7_1639333057239842822</t>
  </si>
  <si>
    <t>3_1635866987497766912</t>
  </si>
  <si>
    <t>7_1671572803319996438</t>
  </si>
  <si>
    <t>3_1656768674622062592</t>
  </si>
  <si>
    <t>3_1682803118667452417 3_1682803130382139392 3_1682803147343888384 3_1682803171607863296</t>
  </si>
  <si>
    <t>7_1676690843036467200</t>
  </si>
  <si>
    <t>7_1620449610014629888</t>
  </si>
  <si>
    <t>3_1627293896483930114</t>
  </si>
  <si>
    <t>7_1628716211159683075</t>
  </si>
  <si>
    <t>3_1622575301510283264</t>
  </si>
  <si>
    <t>3_1652009872764878857</t>
  </si>
  <si>
    <t>7_1655693066290823169</t>
  </si>
  <si>
    <t>3_1623586754174365697</t>
  </si>
  <si>
    <t>3_1645484869059764225</t>
  </si>
  <si>
    <t>3_1688170824409239552 3_1688170829224308736</t>
  </si>
  <si>
    <t>3_1679892626315661317</t>
  </si>
  <si>
    <t>3_1673696464667549698</t>
  </si>
  <si>
    <t>3_1674071766069661701</t>
  </si>
  <si>
    <t>7_1666970948048650242</t>
  </si>
  <si>
    <t>7_1666746687598088192</t>
  </si>
  <si>
    <t>3_1633304439770447872 3_1633304442882650113 3_1633304445940387841</t>
  </si>
  <si>
    <t>3_1621871290293403657</t>
  </si>
  <si>
    <t>7_1631123048437805056</t>
  </si>
  <si>
    <t>3_1656699677964730368</t>
  </si>
  <si>
    <t>3_1656325173086175239</t>
  </si>
  <si>
    <t>3_1657794011736809473</t>
  </si>
  <si>
    <t>7_1666150760365555733</t>
  </si>
  <si>
    <t>7_1666147268531978248</t>
  </si>
  <si>
    <t>7_1685388877362601984</t>
  </si>
  <si>
    <t>3_1697753306418827264</t>
  </si>
  <si>
    <t>3_1658942002615005184</t>
  </si>
  <si>
    <t>3_1642628071210512384</t>
  </si>
  <si>
    <t>7_1692545595196481536</t>
  </si>
  <si>
    <t>7_1684608820528414737</t>
  </si>
  <si>
    <t>7_1684140699740938241</t>
  </si>
  <si>
    <t>3_1675959633196773382</t>
  </si>
  <si>
    <t>3_1675958070898245634</t>
  </si>
  <si>
    <t>3_1698759553595170816</t>
  </si>
  <si>
    <t>7_1676582848948469761</t>
  </si>
  <si>
    <t>3_1673644089869205504</t>
  </si>
  <si>
    <t>7_1679463776607666178</t>
  </si>
  <si>
    <t>3_1700037143186280448</t>
  </si>
  <si>
    <t>3_1699951853658677248</t>
  </si>
  <si>
    <t>7_1695604326893240321</t>
  </si>
  <si>
    <t>3_1702086623972769792</t>
  </si>
  <si>
    <t>3_1674516147910107136</t>
  </si>
  <si>
    <t>7_1625541213620252672</t>
  </si>
  <si>
    <t>3_1682116161549238272</t>
  </si>
  <si>
    <t>3_1658467822706753536</t>
  </si>
  <si>
    <t>3_1668031864488046593</t>
  </si>
  <si>
    <t>7_1672293117364453384</t>
  </si>
  <si>
    <t>7_1674482912098394140</t>
  </si>
  <si>
    <t>7_1646555399271641088</t>
  </si>
  <si>
    <t>7_1635806751004950529</t>
  </si>
  <si>
    <t>7_1640149387379634178</t>
  </si>
  <si>
    <t>3_1682336020103147522</t>
  </si>
  <si>
    <t>7_1697104208170725376</t>
  </si>
  <si>
    <t>3_1632048357307809795</t>
  </si>
  <si>
    <t>3_1683623762460114945</t>
  </si>
  <si>
    <t>7_1621566255416152066</t>
  </si>
  <si>
    <t>3_1625134003161268231</t>
  </si>
  <si>
    <t>3_1632059032495112193</t>
  </si>
  <si>
    <t>3_1629126333790920704</t>
  </si>
  <si>
    <t>3_1624119430048251912</t>
  </si>
  <si>
    <t>3_1627333262270947328</t>
  </si>
  <si>
    <t>3_1636005996408479747</t>
  </si>
  <si>
    <t>3_1636813397042909184</t>
  </si>
  <si>
    <t>3_1639276991193939973</t>
  </si>
  <si>
    <t>3_1638207125523398657</t>
  </si>
  <si>
    <t>3_1642207062342922241</t>
  </si>
  <si>
    <t>3_1702476505379446784</t>
  </si>
  <si>
    <t>3_1684625213969813504</t>
  </si>
  <si>
    <t>7_1674157889185824771</t>
  </si>
  <si>
    <t>7_1684807414539841536</t>
  </si>
  <si>
    <t>3_1698302629627998208</t>
  </si>
  <si>
    <t>3_1703757115427344384</t>
  </si>
  <si>
    <t>3_1704150165546774528</t>
  </si>
  <si>
    <t>7_1704149300219912192</t>
  </si>
  <si>
    <t>7_1699860266819710976</t>
  </si>
  <si>
    <t>3_1677468821202915330</t>
  </si>
  <si>
    <t>3_1674855906935205891 3_1674855911167254535 3_1674855915730657282</t>
  </si>
  <si>
    <t>7_1670154601343995905</t>
  </si>
  <si>
    <t>3_1678075599980490752</t>
  </si>
  <si>
    <t>7_1664631010489769986</t>
  </si>
  <si>
    <t>7_1663186623855468548</t>
  </si>
  <si>
    <t>7_1664357741496770560</t>
  </si>
  <si>
    <t>7_1621537213442887682</t>
  </si>
  <si>
    <t>3_1673872631303471106 3_1673872634654621697 3_1673872638366687232</t>
  </si>
  <si>
    <t>3_1651333650263228424</t>
  </si>
  <si>
    <t>3_1651329822155583491</t>
  </si>
  <si>
    <t>7_1620255558329683969</t>
  </si>
  <si>
    <t>3_1666461417258508289</t>
  </si>
  <si>
    <t>7_1702758443487031296</t>
  </si>
  <si>
    <t>7_1702380157300822016</t>
  </si>
  <si>
    <t>7_1702012872836952064</t>
  </si>
  <si>
    <t>7_1701937114747719680</t>
  </si>
  <si>
    <t>7_1701703722785533952</t>
  </si>
  <si>
    <t>7_1700192934350495744</t>
  </si>
  <si>
    <t>7_1703822775801040896</t>
  </si>
  <si>
    <t>7_1647657033972187136</t>
  </si>
  <si>
    <t>7_1679234378696728577</t>
  </si>
  <si>
    <t>7_1679189100539019266</t>
  </si>
  <si>
    <t>7_1679068234769637379</t>
  </si>
  <si>
    <t>7_1678871989073727488</t>
  </si>
  <si>
    <t>7_1678826673670615040</t>
  </si>
  <si>
    <t>7_1678751170557255681</t>
  </si>
  <si>
    <t>7_1678539760065732610</t>
  </si>
  <si>
    <t>7_1678524731912339457</t>
  </si>
  <si>
    <t>7_1678509596967673858</t>
  </si>
  <si>
    <t>7_1678464272895037440</t>
  </si>
  <si>
    <t>7_1678388774420480000</t>
  </si>
  <si>
    <t>7_1678237710845083648</t>
  </si>
  <si>
    <t>7_1678230074649092096</t>
  </si>
  <si>
    <t>7_1678222551376355331</t>
  </si>
  <si>
    <t>7_1678215020574830592</t>
  </si>
  <si>
    <t>7_1678214972013178882</t>
  </si>
  <si>
    <t>7_1678192509921492994</t>
  </si>
  <si>
    <t>7_1678184872035196930</t>
  </si>
  <si>
    <t>7_1678177333662842880</t>
  </si>
  <si>
    <t>7_1678169727171018752</t>
  </si>
  <si>
    <t>7_1678162293094326272</t>
  </si>
  <si>
    <t>7_1678154640074874887</t>
  </si>
  <si>
    <t>7_1678147217603940352</t>
  </si>
  <si>
    <t>7_1678139529411063810</t>
  </si>
  <si>
    <t>7_1678132065399709700</t>
  </si>
  <si>
    <t>7_1678124408823488514</t>
  </si>
  <si>
    <t>7_1678117025606926337</t>
  </si>
  <si>
    <t>7_1678114298646634498</t>
  </si>
  <si>
    <t>7_1678207519787823104</t>
  </si>
  <si>
    <t>7_1678199943129964544</t>
  </si>
  <si>
    <t>7_1626244325104357376</t>
  </si>
  <si>
    <t>7_1629508645783306243</t>
  </si>
  <si>
    <t>7_1628781244082257921</t>
  </si>
  <si>
    <t>7_1628053985188843521</t>
  </si>
  <si>
    <t>7_1627692160588955648</t>
  </si>
  <si>
    <t>7_1627335825670242304</t>
  </si>
  <si>
    <t>7_1626968490585251843</t>
  </si>
  <si>
    <t>7_1664648764731330565</t>
  </si>
  <si>
    <t>7_1690123306425278464</t>
  </si>
  <si>
    <t>3_1690123026086416384</t>
  </si>
  <si>
    <t>3_1643429359837904903 3_1643429364778893313 3_1643429370290221056</t>
  </si>
  <si>
    <t>3_1639065603557212161</t>
  </si>
  <si>
    <t>3_1633089318133661697</t>
  </si>
  <si>
    <t>3_1635385568552009729 3_1635385571425112065 3_1635385576525373443 3_1635385580702904321</t>
  </si>
  <si>
    <t>16_1653084062557388818</t>
  </si>
  <si>
    <t>16_1650135292836212736</t>
  </si>
  <si>
    <t>16_1649927598263132160</t>
  </si>
  <si>
    <t>7_1677500751877111812</t>
  </si>
  <si>
    <t>3_1650659225276669952</t>
  </si>
  <si>
    <t>3_1655714937337937920</t>
  </si>
  <si>
    <t>3_1633876561479729172</t>
  </si>
  <si>
    <t>3_1678104477298044929</t>
  </si>
  <si>
    <t>7_1677118874431496197</t>
  </si>
  <si>
    <t>7_1676510982607175680</t>
  </si>
  <si>
    <t>7_1676501903964766208</t>
  </si>
  <si>
    <t>7_1681238057419153408</t>
  </si>
  <si>
    <t>7_1689632478338932737</t>
  </si>
  <si>
    <t>7_1689631633392189440</t>
  </si>
  <si>
    <t>7_1673613762933260288</t>
  </si>
  <si>
    <t>7_1702378387044704258</t>
  </si>
  <si>
    <t>7_1679425151790731266</t>
  </si>
  <si>
    <t>7_1639089999583891457</t>
  </si>
  <si>
    <t>3_1639731366030983170</t>
  </si>
  <si>
    <t>7_1639638000408711169</t>
  </si>
  <si>
    <t>3_1641853442619473948</t>
  </si>
  <si>
    <t>7_1633934994065313794</t>
  </si>
  <si>
    <t>7_1633565114283507712</t>
  </si>
  <si>
    <t>7_1633523783821664256</t>
  </si>
  <si>
    <t>7_1633469897693962242</t>
  </si>
  <si>
    <t>3_1649908344893632512</t>
  </si>
  <si>
    <t>3_1633434976560586754</t>
  </si>
  <si>
    <t>7_1633299793123442688</t>
  </si>
  <si>
    <t>3_1633164707749064731</t>
  </si>
  <si>
    <t>3_1664569506658754565</t>
  </si>
  <si>
    <t>7_1667356392942981120</t>
  </si>
  <si>
    <t>7_1672058096036769794</t>
  </si>
  <si>
    <t>7_1646590720751304705</t>
  </si>
  <si>
    <t>3_1648074045441687555</t>
  </si>
  <si>
    <t>3_1648763457737482297</t>
  </si>
  <si>
    <t>3_1678607601721044992</t>
  </si>
  <si>
    <t>3_1646272696206999553 3_1646272698761334785 3_1646272700694814720</t>
  </si>
  <si>
    <t>3_1643021354537562112 3_1643021357943332864 3_1643021361235804163</t>
  </si>
  <si>
    <t>3_1641855841190936593 3_1641855844579934223 3_1641855847201374236 3_1641855850661675026</t>
  </si>
  <si>
    <t>3_1627689910449713155</t>
  </si>
  <si>
    <t>3_1627330425596047360</t>
  </si>
  <si>
    <t>3_1643097135712284673</t>
  </si>
  <si>
    <t>3_1631427392685129731 3_1631427397181399040 3_1631427400994107398 3_1631427403443519490</t>
  </si>
  <si>
    <t>3_1676640640384335890</t>
  </si>
  <si>
    <t>3_1658548659078717506 7_1658548662165725238</t>
  </si>
  <si>
    <t>3_1636429033037606913</t>
  </si>
  <si>
    <t>3_1636336560550420480</t>
  </si>
  <si>
    <t>3_1644715981112061952</t>
  </si>
  <si>
    <t>3_1633437811238924288</t>
  </si>
  <si>
    <t>3_1647615086540857347</t>
  </si>
  <si>
    <t>3_1659317946575978503</t>
  </si>
  <si>
    <t>7_1622939356754284544</t>
  </si>
  <si>
    <t>3_1620805086401232897</t>
  </si>
  <si>
    <t>3_1620426952774651910</t>
  </si>
  <si>
    <t>7_1668586028549169152</t>
  </si>
  <si>
    <t>7_1668585886932684801</t>
  </si>
  <si>
    <t>7_1668585714282541056</t>
  </si>
  <si>
    <t>7_1658775941160615937</t>
  </si>
  <si>
    <t>3_1639561927721459714</t>
  </si>
  <si>
    <t>3_1639561800785043460</t>
  </si>
  <si>
    <t>3_1639557754627948544</t>
  </si>
  <si>
    <t>7_1672905026656776193</t>
  </si>
  <si>
    <t>7_1672904618282500096</t>
  </si>
  <si>
    <t>7_1667086037858893825</t>
  </si>
  <si>
    <t>7_1667085800373202945</t>
  </si>
  <si>
    <t>7_1667085653471813633</t>
  </si>
  <si>
    <t>7_1663495516393558018</t>
  </si>
  <si>
    <t>7_1663495402451005441</t>
  </si>
  <si>
    <t>7_1663495189015547904</t>
  </si>
  <si>
    <t>7_1674774443477049345</t>
  </si>
  <si>
    <t>7_1674774192598966272</t>
  </si>
  <si>
    <t>7_1674773674107506689</t>
  </si>
  <si>
    <t>7_1658775806871519232</t>
  </si>
  <si>
    <t>7_1658775004136308738</t>
  </si>
  <si>
    <t>7_1658774852105281536</t>
  </si>
  <si>
    <t>7_1658359605292933121</t>
  </si>
  <si>
    <t>3_1658359489278427136</t>
  </si>
  <si>
    <t>3_1658359440012197889</t>
  </si>
  <si>
    <t>3_1658359393220534274</t>
  </si>
  <si>
    <t>3_1658359289927413762</t>
  </si>
  <si>
    <t>7_1698671530857861120</t>
  </si>
  <si>
    <t>7_1675140326934061056</t>
  </si>
  <si>
    <t>7_1675140073979797506</t>
  </si>
  <si>
    <t>7_1675139075735420930</t>
  </si>
  <si>
    <t>7_1667086512993759234</t>
  </si>
  <si>
    <t>7_1667086221997113345</t>
  </si>
  <si>
    <t>7_1659833410100113408</t>
  </si>
  <si>
    <t>7_1659833260740952066</t>
  </si>
  <si>
    <t>7_1659833165303693312</t>
  </si>
  <si>
    <t>3_1659833021225156610</t>
  </si>
  <si>
    <t>3_1659832850538016769</t>
  </si>
  <si>
    <t>3_1659832713434603520</t>
  </si>
  <si>
    <t>7_1698672744542752768</t>
  </si>
  <si>
    <t>7_1679431101775851521</t>
  </si>
  <si>
    <t>7_1673323796227321856</t>
  </si>
  <si>
    <t>7_1673323481923047424</t>
  </si>
  <si>
    <t>7_1673323365514313737</t>
  </si>
  <si>
    <t>7_1667085519442915328</t>
  </si>
  <si>
    <t>7_1667085294301065216</t>
  </si>
  <si>
    <t>3_1667085158665601024</t>
  </si>
  <si>
    <t>7_1656649550243799042</t>
  </si>
  <si>
    <t>3_1656646602126139400</t>
  </si>
  <si>
    <t>3_1656646391421124614</t>
  </si>
  <si>
    <t>3_1656646203386343424</t>
  </si>
  <si>
    <t>3_1638879612875702272</t>
  </si>
  <si>
    <t>7_1638477682345213953</t>
  </si>
  <si>
    <t>7_1704867658825617408</t>
  </si>
  <si>
    <t>7_1705608550012334080</t>
  </si>
  <si>
    <t>7_1704871470470664192</t>
  </si>
  <si>
    <t>7_1663081756499558400</t>
  </si>
  <si>
    <t>7_1663081407516688384</t>
  </si>
  <si>
    <t>7_1663081104826421249</t>
  </si>
  <si>
    <t>7_1662662507373240320</t>
  </si>
  <si>
    <t>7_1706756163847831553</t>
  </si>
  <si>
    <t>7_1706756022483009536</t>
  </si>
  <si>
    <t>7_1704867419603542016</t>
  </si>
  <si>
    <t>7_1704871139129122816</t>
  </si>
  <si>
    <t>7_1701958926390935552</t>
  </si>
  <si>
    <t>7_1701287211839397888</t>
  </si>
  <si>
    <t>7_1701287058839572480</t>
  </si>
  <si>
    <t>7_1654849870912528384</t>
  </si>
  <si>
    <t>7_1654849701051547650</t>
  </si>
  <si>
    <t>7_1654849465646297090</t>
  </si>
  <si>
    <t>3_1654422907911544832</t>
  </si>
  <si>
    <t>3_1654422772234309635</t>
  </si>
  <si>
    <t>7_1646074374942777346</t>
  </si>
  <si>
    <t>7_1658508617178292224</t>
  </si>
  <si>
    <t>3_1650520859025584132 3_1650520864754900996</t>
  </si>
  <si>
    <t>3_1646913303354957835</t>
  </si>
  <si>
    <t>7_1626974889860034561</t>
  </si>
  <si>
    <t>3_1643418233561554948</t>
  </si>
  <si>
    <t>3_1643055858669035525</t>
  </si>
  <si>
    <t>3_1636170478363500546</t>
  </si>
  <si>
    <t>3_1635808098303475716</t>
  </si>
  <si>
    <t>7_1700838031157075968</t>
  </si>
  <si>
    <t>7_1700475604628393984</t>
  </si>
  <si>
    <t>3_1692944604230737920</t>
  </si>
  <si>
    <t>3_1692582238364336128</t>
  </si>
  <si>
    <t>3_1692219834463891480</t>
  </si>
  <si>
    <t>7_1685345923252039680</t>
  </si>
  <si>
    <t>7_1684983818938134528</t>
  </si>
  <si>
    <t>7_1684983575030943744</t>
  </si>
  <si>
    <t>3_1644505410227916801</t>
  </si>
  <si>
    <t>3_1644143029173796864</t>
  </si>
  <si>
    <t>3_1643780642948145153</t>
  </si>
  <si>
    <t>3_1697293274606698496</t>
  </si>
  <si>
    <t>3_1696930887345012736</t>
  </si>
  <si>
    <t>3_1694394167089070080</t>
  </si>
  <si>
    <t>3_1694031770604257280</t>
  </si>
  <si>
    <t>3_1691132652974231562</t>
  </si>
  <si>
    <t>3_1690770268384272384</t>
  </si>
  <si>
    <t>3_1690407869420613632</t>
  </si>
  <si>
    <t>3_1687871177262338049</t>
  </si>
  <si>
    <t>3_1687508810913521666</t>
  </si>
  <si>
    <t>3_1631353777180508168</t>
  </si>
  <si>
    <t>3_1630991404963954690</t>
  </si>
  <si>
    <t>3_1698380414484709376</t>
  </si>
  <si>
    <t>7_1696096769761792000</t>
  </si>
  <si>
    <t>3_1693669371447476224</t>
  </si>
  <si>
    <t>3_1693306983699361792</t>
  </si>
  <si>
    <t>3_1690045525112893458</t>
  </si>
  <si>
    <t>3_1689683124152598528</t>
  </si>
  <si>
    <t>3_1686784004425498630</t>
  </si>
  <si>
    <t>3_1638707203983958017</t>
  </si>
  <si>
    <t>3_1637831500627337216</t>
  </si>
  <si>
    <t>7_1699750898782658560</t>
  </si>
  <si>
    <t>3_1698018047473201152</t>
  </si>
  <si>
    <t>3_1697655633422479360</t>
  </si>
  <si>
    <t>3_1696568478759612416</t>
  </si>
  <si>
    <t>3_1696206098384965632</t>
  </si>
  <si>
    <t>3_1691857442211069954</t>
  </si>
  <si>
    <t>3_1691495049169711113</t>
  </si>
  <si>
    <t>3_1689320753437581325</t>
  </si>
  <si>
    <t>3_1688958319904403458</t>
  </si>
  <si>
    <t>7_1684617396173037568</t>
  </si>
  <si>
    <t>7_1684255034836385798</t>
  </si>
  <si>
    <t>7_1683889656834715648</t>
  </si>
  <si>
    <t>7_1683843537748758530</t>
  </si>
  <si>
    <t>3_1642693471700959234</t>
  </si>
  <si>
    <t>3_1641968708770775041</t>
  </si>
  <si>
    <t>3_1641606307927998464</t>
  </si>
  <si>
    <t>3_1635445711012519936</t>
  </si>
  <si>
    <t>7_1704133789692125184</t>
  </si>
  <si>
    <t>3_1695843708556464128</t>
  </si>
  <si>
    <t>3_1695481301778747392</t>
  </si>
  <si>
    <t>3_1695118930845581331</t>
  </si>
  <si>
    <t>7_1691379429358911488</t>
  </si>
  <si>
    <t>3_1688595954394447879</t>
  </si>
  <si>
    <t>3_1688233557494259712</t>
  </si>
  <si>
    <t>3_1630629009779195907</t>
  </si>
  <si>
    <t>3_1630266622198833155</t>
  </si>
  <si>
    <t>3_1629179457641631750</t>
  </si>
  <si>
    <t>3_1628817086561615873</t>
  </si>
  <si>
    <t>3_1628454676881371137</t>
  </si>
  <si>
    <t>3_1628092269700972544</t>
  </si>
  <si>
    <t>3_1627729905113866240</t>
  </si>
  <si>
    <t>7_1700113254532493313</t>
  </si>
  <si>
    <t>7_1699388505795739648</t>
  </si>
  <si>
    <t>3_1694756549955039232</t>
  </si>
  <si>
    <t>3_1687146401170432019</t>
  </si>
  <si>
    <t>3_1637620038252339201</t>
  </si>
  <si>
    <t>3_1637257640412676098</t>
  </si>
  <si>
    <t>3_1636895269152325632</t>
  </si>
  <si>
    <t>3_1636532870331211777</t>
  </si>
  <si>
    <t>3_1626642743085740033</t>
  </si>
  <si>
    <t>3_1626280358311329792</t>
  </si>
  <si>
    <t>7_1626158486559117313</t>
  </si>
  <si>
    <t>3_1625917984094007296</t>
  </si>
  <si>
    <t>3_1625555579560202253</t>
  </si>
  <si>
    <t>3_1625193189014380544</t>
  </si>
  <si>
    <t>3_1674799736841469952</t>
  </si>
  <si>
    <t>3_1633850419146260481</t>
  </si>
  <si>
    <t>7_1665079745933979652</t>
  </si>
  <si>
    <t>3_1647257959989166080 3_1647257976045019136 3_1647257983242444803</t>
  </si>
  <si>
    <t>3_1691207786560937985</t>
  </si>
  <si>
    <t>3_1701766816060567552</t>
  </si>
  <si>
    <t>7_1629913364674621445</t>
  </si>
  <si>
    <t>3_1657121469736931371</t>
  </si>
  <si>
    <t>3_1642721857030823936</t>
  </si>
  <si>
    <t>7_1629271989163634689</t>
  </si>
  <si>
    <t>3_1694380560808902656</t>
  </si>
  <si>
    <t>3_1696345601892356096</t>
  </si>
  <si>
    <t>7_1682808956706586627</t>
  </si>
  <si>
    <t>3_1631361223861194753</t>
  </si>
  <si>
    <t>3_1631051172957093888</t>
  </si>
  <si>
    <t>3_1696334152432254978 3_1696334152423923712</t>
  </si>
  <si>
    <t>3_1696333259418824704 3_1696333259418869760</t>
  </si>
  <si>
    <t>7_1700326605640376320</t>
  </si>
  <si>
    <t>16_1656996478403919884</t>
  </si>
  <si>
    <t>16_1658453889648144385</t>
  </si>
  <si>
    <t>3_1623888284270166016</t>
  </si>
  <si>
    <t>7_1666628355091845120</t>
  </si>
  <si>
    <t>3_1667636776314318850</t>
  </si>
  <si>
    <t>7_1632930380125818881</t>
  </si>
  <si>
    <t>7_1625924875184373780</t>
  </si>
  <si>
    <t>3_1676284903690731520</t>
  </si>
  <si>
    <t>3_1629262882914328581</t>
  </si>
  <si>
    <t>3_1629163124707172353</t>
  </si>
  <si>
    <t>7_1622724742900862976</t>
  </si>
  <si>
    <t>3_1625133666593538049</t>
  </si>
  <si>
    <t>3_1659665327620325378</t>
  </si>
  <si>
    <t>3_1687206808480276481</t>
  </si>
  <si>
    <t>3_1691193074792169473</t>
  </si>
  <si>
    <t>3_1640775581963808771</t>
  </si>
  <si>
    <t>3_1699755756377997312</t>
  </si>
  <si>
    <t>3_1635385367649026050</t>
  </si>
  <si>
    <t>7_1635663073158615041</t>
  </si>
  <si>
    <t>3_1636714278773243905</t>
  </si>
  <si>
    <t>3_1674072715735490560</t>
  </si>
  <si>
    <t>3_1643614515190169608</t>
  </si>
  <si>
    <t>7_1648428853889495046</t>
  </si>
  <si>
    <t>3_1700294519990685696 3_1700294519986556929</t>
  </si>
  <si>
    <t>3_1707145801565126657</t>
  </si>
  <si>
    <t>3_1647943920033099776</t>
  </si>
  <si>
    <t>7_1662558911759634444</t>
  </si>
  <si>
    <t>7_1662200696429592576</t>
  </si>
  <si>
    <t>3_1620918814559932422</t>
  </si>
  <si>
    <t>3_1621446303124275200</t>
  </si>
  <si>
    <t>3_1667239759104688128</t>
  </si>
  <si>
    <t>7_1682895496178704385</t>
  </si>
  <si>
    <t>3_1700518428002365440</t>
  </si>
  <si>
    <t>3_1700506921327890432</t>
  </si>
  <si>
    <t>3_1698781045942833153</t>
  </si>
  <si>
    <t>3_1694186342874247168</t>
  </si>
  <si>
    <t>7_1682512279772844034</t>
  </si>
  <si>
    <t>3_1625707338085662726</t>
  </si>
  <si>
    <t>3_1680167190400581633</t>
  </si>
  <si>
    <t>7_1637784275058581504</t>
  </si>
  <si>
    <t>7_1636696475710246917</t>
  </si>
  <si>
    <t>7_1636321480274223106</t>
  </si>
  <si>
    <t>7_1635624501705670658</t>
  </si>
  <si>
    <t>7_1649517503586893825</t>
  </si>
  <si>
    <t>7_1649517259692425223</t>
  </si>
  <si>
    <t>7_1649517037973118977</t>
  </si>
  <si>
    <t>3_1620254304362692608</t>
  </si>
  <si>
    <t>3_1642541947662336000</t>
  </si>
  <si>
    <t>3_1644777258278694913</t>
  </si>
  <si>
    <t>3_1623396411176779776</t>
  </si>
  <si>
    <t>7_1621584430350344200</t>
  </si>
  <si>
    <t>3_1692749291645726720</t>
  </si>
  <si>
    <t>3_1636046362855850003</t>
  </si>
  <si>
    <t>3_1637640410758623235</t>
  </si>
  <si>
    <t>3_1633915718352744448 3_1633915718369460227 3_1633915718356877316 3_1633915718365323271</t>
  </si>
  <si>
    <t>7_1675990960566685697</t>
  </si>
  <si>
    <t>7_1624529847102980099</t>
  </si>
  <si>
    <t>7_1656098164330340356</t>
  </si>
  <si>
    <t>3_1650584198908968961</t>
  </si>
  <si>
    <t>7_1661453651137658881</t>
  </si>
  <si>
    <t>7_1661453419012411407</t>
  </si>
  <si>
    <t>7_1661451117039964168</t>
  </si>
  <si>
    <t>3_1663146811538788355</t>
  </si>
  <si>
    <t>7_1663146396499734528</t>
  </si>
  <si>
    <t>7_1663145604208381952</t>
  </si>
  <si>
    <t>7_1662574499638702082</t>
  </si>
  <si>
    <t>7_1664630136065388544</t>
  </si>
  <si>
    <t>7_1665378199423811587</t>
  </si>
  <si>
    <t>7_1665377798385483776</t>
  </si>
  <si>
    <t>7_1665377574631907330</t>
  </si>
  <si>
    <t>7_1667188542877966340</t>
  </si>
  <si>
    <t>3_1622224864768671744</t>
  </si>
  <si>
    <t>3_1627794630451290112</t>
  </si>
  <si>
    <t>3_1621446702187134982</t>
  </si>
  <si>
    <t>3_1621416451159490560</t>
  </si>
  <si>
    <t>3_1621386171107475456</t>
  </si>
  <si>
    <t>3_1645436108770091013</t>
  </si>
  <si>
    <t>3_1643864841499582465</t>
  </si>
  <si>
    <t>3_1642212421715611648</t>
  </si>
  <si>
    <t>3_1646981109643706369</t>
  </si>
  <si>
    <t>3_1645621785449119747</t>
  </si>
  <si>
    <t>3_1631074720564015107</t>
  </si>
  <si>
    <t>3_1638712466979815425</t>
  </si>
  <si>
    <t>7_1637870190917476383</t>
  </si>
  <si>
    <t>3_1637870209577918464</t>
  </si>
  <si>
    <t>3_1637148345100582916</t>
  </si>
  <si>
    <t>3_1645912526952038404</t>
  </si>
  <si>
    <t>3_1645912236387450881</t>
  </si>
  <si>
    <t>3_1631053316317691908</t>
  </si>
  <si>
    <t>3_1643643893160763392</t>
  </si>
  <si>
    <t>7_1643642536420945921</t>
  </si>
  <si>
    <t>3_1642932088386060288</t>
  </si>
  <si>
    <t>7_1642930984470364161</t>
  </si>
  <si>
    <t>3_1640734981151498242</t>
  </si>
  <si>
    <t>7_1640731806704992256</t>
  </si>
  <si>
    <t>3_1640393423118127105</t>
  </si>
  <si>
    <t>7_1655701541796339713</t>
  </si>
  <si>
    <t>7_1646938293068505091</t>
  </si>
  <si>
    <t>3_1656461971024224257</t>
  </si>
  <si>
    <t>7_1656459410607046656</t>
  </si>
  <si>
    <t>7_1640040552941887488</t>
  </si>
  <si>
    <t>3_1640039814178263041</t>
  </si>
  <si>
    <t>3_1639672768873521152</t>
  </si>
  <si>
    <t>3_1639333347464708106</t>
  </si>
  <si>
    <t>3_1661538832603398144</t>
  </si>
  <si>
    <t>3_1690490926118932480</t>
  </si>
  <si>
    <t>7_1668394977678835712</t>
  </si>
  <si>
    <t>3_1641476901268082688</t>
  </si>
  <si>
    <t>7_1641474885514919938</t>
  </si>
  <si>
    <t>3_1641120349998792720</t>
  </si>
  <si>
    <t>7_1641119437435682825</t>
  </si>
  <si>
    <t>16_1690131577567694848</t>
  </si>
  <si>
    <t>7_1647292122427543554</t>
  </si>
  <si>
    <t>3_1655329192601321475 3_1655329196367917059</t>
  </si>
  <si>
    <t>7_1679870213154562048</t>
  </si>
  <si>
    <t>3_1636483648256987137 3_1636483648714145793</t>
  </si>
  <si>
    <t>3_1706441331080376320</t>
  </si>
  <si>
    <t>7_1691371829741363200</t>
  </si>
  <si>
    <t>3_1644174999845044224</t>
  </si>
  <si>
    <t>3_1661180471512842242 3_1661180483391172608</t>
  </si>
  <si>
    <t>3_1668101251844694017</t>
  </si>
  <si>
    <t>3_1659727524786581505</t>
  </si>
  <si>
    <t>3_1649197054898364418</t>
  </si>
  <si>
    <t>7_1645983736800894977</t>
  </si>
  <si>
    <t>7_1620202903104360451</t>
  </si>
  <si>
    <t>3_1636108172040585216</t>
  </si>
  <si>
    <t>7_1637106095029202946</t>
  </si>
  <si>
    <t>7_1686802698316713984</t>
  </si>
  <si>
    <t>3_1669340795072282628</t>
  </si>
  <si>
    <t>3_1680031231109472256</t>
  </si>
  <si>
    <t>7_1687118928030437376</t>
  </si>
  <si>
    <t>7_1706009816081092608</t>
  </si>
  <si>
    <t>3_1651338502741655556</t>
  </si>
  <si>
    <t>3_1643780562539216897 3_1643780562539216900 3_1643780562539237378</t>
  </si>
  <si>
    <t>3_1694019846063738882 7_1694019857308684288</t>
  </si>
  <si>
    <t>7_1697315711129935872</t>
  </si>
  <si>
    <t>3_1697555215375835136</t>
  </si>
  <si>
    <t>7_1701518206249078784</t>
  </si>
  <si>
    <t>7_1701387802582138880</t>
  </si>
  <si>
    <t>3_1661830128316366848</t>
  </si>
  <si>
    <t>3_1661467889600192512</t>
  </si>
  <si>
    <t>3_1631247649427914752</t>
  </si>
  <si>
    <t>7_1626240279153094656</t>
  </si>
  <si>
    <t>3_1626237832124592128</t>
  </si>
  <si>
    <t>3_1630151420555980801</t>
  </si>
  <si>
    <t>7_1630149852834279424</t>
  </si>
  <si>
    <t>3_1629562174577287169</t>
  </si>
  <si>
    <t>7_1629561870733459456</t>
  </si>
  <si>
    <t>3_1629561053196500993</t>
  </si>
  <si>
    <t>3_1627727451047530515</t>
  </si>
  <si>
    <t>7_1627726857134084102</t>
  </si>
  <si>
    <t>7_1627726419957583891</t>
  </si>
  <si>
    <t>3_1627725767667744774</t>
  </si>
  <si>
    <t>3_1652127868732813312</t>
  </si>
  <si>
    <t>3_1699032798844059648</t>
  </si>
  <si>
    <t>3_1702359065605599232</t>
  </si>
  <si>
    <t>3_1701574592261701632</t>
  </si>
  <si>
    <t>3_1700227976980234240 3_1700227976984412160</t>
  </si>
  <si>
    <t>7_1694114251751772160</t>
  </si>
  <si>
    <t>3_1637504030434816010</t>
  </si>
  <si>
    <t>3_1637502568199847943</t>
  </si>
  <si>
    <t>3_1637501014554148865</t>
  </si>
  <si>
    <t>3_1637431397315928066</t>
  </si>
  <si>
    <t>7_1645152649552052224</t>
  </si>
  <si>
    <t>7_1683683694593056768</t>
  </si>
  <si>
    <t>7_1646935365180071938</t>
  </si>
  <si>
    <t>7_1673354030205087744</t>
  </si>
  <si>
    <t>3_1706757470041870336</t>
  </si>
  <si>
    <t>3_1671656678322847746</t>
  </si>
  <si>
    <t>3_1682527374582194176</t>
  </si>
  <si>
    <t>3_1674505887585562626</t>
  </si>
  <si>
    <t>3_1697729294556946432</t>
  </si>
  <si>
    <t>3_1696879311385481217</t>
  </si>
  <si>
    <t>3_1697642088865636352</t>
  </si>
  <si>
    <t>7_1697622582546010112</t>
  </si>
  <si>
    <t>3_1621685426888085504</t>
  </si>
  <si>
    <t>3_1621204338659004416</t>
  </si>
  <si>
    <t>7_1692262308645400577</t>
  </si>
  <si>
    <t>7_1676815608673869824</t>
  </si>
  <si>
    <t>3_1697416220285538304</t>
  </si>
  <si>
    <t>3_1632350355215327235</t>
  </si>
  <si>
    <t>3_1631263207175208961</t>
  </si>
  <si>
    <t>3_1629541895931060228</t>
  </si>
  <si>
    <t>3_1629451285995855873</t>
  </si>
  <si>
    <t>3_1629194579072237568</t>
  </si>
  <si>
    <t>3_1629088877704011777</t>
  </si>
  <si>
    <t>3_1626725721228906497</t>
  </si>
  <si>
    <t>3_1626650308985163776</t>
  </si>
  <si>
    <t>3_1626552160258347009</t>
  </si>
  <si>
    <t>3_1626333170483208192 3_1626333170588086275 3_1626333170529366016</t>
  </si>
  <si>
    <t>3_1626250166012608513</t>
  </si>
  <si>
    <t>3_1626235090107002882</t>
  </si>
  <si>
    <t>3_1625925694256447493</t>
  </si>
  <si>
    <t>3_1625246116450033664</t>
  </si>
  <si>
    <t>3_1625215901397123072</t>
  </si>
  <si>
    <t>3_1625193213614034945</t>
  </si>
  <si>
    <t>3_1660818688021348352 3_1660818694073729028</t>
  </si>
  <si>
    <t>3_1665889113042714626</t>
  </si>
  <si>
    <t>3_1704307821855055872</t>
  </si>
  <si>
    <t>3_1700686190134132736</t>
  </si>
  <si>
    <t>3_1703586271673929728</t>
  </si>
  <si>
    <t>7_1697972259346878464</t>
  </si>
  <si>
    <t>7_1645381352689213442</t>
  </si>
  <si>
    <t>3_1641798023750582273</t>
  </si>
  <si>
    <t>7_1659003493095550976</t>
  </si>
  <si>
    <t>7_1658632959237279744</t>
  </si>
  <si>
    <t>7_1631670922334674953</t>
  </si>
  <si>
    <t>7_1693236107918397440</t>
  </si>
  <si>
    <t>7_1658111830395437058</t>
  </si>
  <si>
    <t>7_1658111767095005193</t>
  </si>
  <si>
    <t>7_1658111597133299713</t>
  </si>
  <si>
    <t>3_1671495292997206017</t>
  </si>
  <si>
    <t>3_1651035049595133953</t>
  </si>
  <si>
    <t>3_1663970744739459073</t>
  </si>
  <si>
    <t>3_1638978399136804885</t>
  </si>
  <si>
    <t>3_1685762634241429508 3_1685762639245258752 3_1685762642919440389</t>
  </si>
  <si>
    <t>3_1636482348693716996</t>
  </si>
  <si>
    <t>3_1636472971563790336</t>
  </si>
  <si>
    <t>3_1636472964320296966</t>
  </si>
  <si>
    <t>3_1638367163399430144</t>
  </si>
  <si>
    <t>3_1638228918216826894</t>
  </si>
  <si>
    <t>3_1635389527970725888</t>
  </si>
  <si>
    <t>3_1635381134296072193</t>
  </si>
  <si>
    <t>3_1635379575642357761</t>
  </si>
  <si>
    <t>3_1643025326463758337</t>
  </si>
  <si>
    <t>3_1641190515335938048</t>
  </si>
  <si>
    <t>3_1640881565977780226</t>
  </si>
  <si>
    <t>3_1640343680090353665</t>
  </si>
  <si>
    <t>3_1639743841946279936</t>
  </si>
  <si>
    <t>3_1646204794544046113</t>
  </si>
  <si>
    <t>7_1697296393126154240</t>
  </si>
  <si>
    <t>7_1697285886482718720</t>
  </si>
  <si>
    <t>7_1697226924420947968</t>
  </si>
  <si>
    <t>7_1702394205274824704</t>
  </si>
  <si>
    <t>7_1702387699070455808</t>
  </si>
  <si>
    <t>3_1702360680366510080</t>
  </si>
  <si>
    <t>3_1701822964503547904</t>
  </si>
  <si>
    <t>3_1695539930087260160</t>
  </si>
  <si>
    <t>3_1671516415361204227</t>
  </si>
  <si>
    <t>3_1683241492930854915</t>
  </si>
  <si>
    <t>3_1684880837651951616</t>
  </si>
  <si>
    <t>3_1679090546902458368</t>
  </si>
  <si>
    <t>3_1672994630705508352</t>
  </si>
  <si>
    <t>3_1671114172925456384</t>
  </si>
  <si>
    <t>3_1687398908698284032</t>
  </si>
  <si>
    <t>7_1684621704830586880</t>
  </si>
  <si>
    <t>3_1682364471438704640</t>
  </si>
  <si>
    <t>3_1681140269343703040</t>
  </si>
  <si>
    <t>3_1680907047385153536</t>
  </si>
  <si>
    <t>3_1680712840125067265</t>
  </si>
  <si>
    <t>3_1680524254826180609</t>
  </si>
  <si>
    <t>3_1674717115947917312</t>
  </si>
  <si>
    <t>3_1671928431200682011</t>
  </si>
  <si>
    <t>7_1687406431551537152</t>
  </si>
  <si>
    <t>3_1686342652009009152</t>
  </si>
  <si>
    <t>3_1681988656733593601</t>
  </si>
  <si>
    <t>3_1681970568768225280</t>
  </si>
  <si>
    <t>3_1681253643180290048</t>
  </si>
  <si>
    <t>3_1680141810243457024</t>
  </si>
  <si>
    <t>3_1677349034015481858</t>
  </si>
  <si>
    <t>3_1672599834694434823</t>
  </si>
  <si>
    <t>3_1691406024370966528</t>
  </si>
  <si>
    <t>3_1691197012916523009</t>
  </si>
  <si>
    <t>3_1688855182027743233</t>
  </si>
  <si>
    <t>3_1688520051383578624</t>
  </si>
  <si>
    <t>3_1688210191655804929</t>
  </si>
  <si>
    <t>3_1683637030553616384</t>
  </si>
  <si>
    <t>3_1683262981692375040</t>
  </si>
  <si>
    <t>3_1683251513441890306</t>
  </si>
  <si>
    <t>3_1683194634070007817</t>
  </si>
  <si>
    <t>3_1683077014658469889</t>
  </si>
  <si>
    <t>3_1670775438266757120</t>
  </si>
  <si>
    <t>3_1670377324200574978</t>
  </si>
  <si>
    <t>3_1670128725373992961</t>
  </si>
  <si>
    <t>3_1690310216405909504</t>
  </si>
  <si>
    <t>3_1689950862100062208</t>
  </si>
  <si>
    <t>3_1686752474244243457</t>
  </si>
  <si>
    <t>3_1686669031191855104</t>
  </si>
  <si>
    <t>3_1681629811645480960</t>
  </si>
  <si>
    <t>3_1679789750859837444</t>
  </si>
  <si>
    <t>3_1674387835120504833</t>
  </si>
  <si>
    <t>7_1674153873194229760</t>
  </si>
  <si>
    <t>3_1674015403306098693</t>
  </si>
  <si>
    <t>3_1673662187099897858</t>
  </si>
  <si>
    <t>3_1673503957233070080</t>
  </si>
  <si>
    <t>3_1673296094875328513</t>
  </si>
  <si>
    <t>3_1692134349691351040</t>
  </si>
  <si>
    <t>3_1691558355557396481</t>
  </si>
  <si>
    <t>3_1689607825549320193</t>
  </si>
  <si>
    <t>3_1689307881508651008</t>
  </si>
  <si>
    <t>3_1688880963793653760</t>
  </si>
  <si>
    <t>3_1684530781555662848</t>
  </si>
  <si>
    <t>3_1684258700708519941</t>
  </si>
  <si>
    <t>3_1683975457652211712</t>
  </si>
  <si>
    <t>3_1683836988515037184</t>
  </si>
  <si>
    <t>3_1676922477950259200</t>
  </si>
  <si>
    <t>3_1676553289335205890</t>
  </si>
  <si>
    <t>3_1694696803797463040</t>
  </si>
  <si>
    <t>3_1690836911043014658</t>
  </si>
  <si>
    <t>3_1687765446357815297</t>
  </si>
  <si>
    <t>3_1682726465538781184</t>
  </si>
  <si>
    <t>3_1675815033295589376</t>
  </si>
  <si>
    <t>3_1703003020387115008</t>
  </si>
  <si>
    <t>3_1702373303183163392</t>
  </si>
  <si>
    <t>3_1702086125731381248</t>
  </si>
  <si>
    <t>3_1701253860117860352</t>
  </si>
  <si>
    <t>3_1685967977995284480</t>
  </si>
  <si>
    <t>3_1685596698796560384</t>
  </si>
  <si>
    <t>3_1685248702309392384</t>
  </si>
  <si>
    <t>7_1685117722953179136</t>
  </si>
  <si>
    <t>3_1684962879278129161</t>
  </si>
  <si>
    <t>3_1679425696056201216</t>
  </si>
  <si>
    <t>3_1679284084961431553</t>
  </si>
  <si>
    <t>3_1678731919188537345</t>
  </si>
  <si>
    <t>3_1678446874808786944</t>
  </si>
  <si>
    <t>3_1681466503684583429</t>
  </si>
  <si>
    <t>3_1677748643162365954</t>
  </si>
  <si>
    <t>7_1630985074207326225</t>
  </si>
  <si>
    <t>7_1651341140346404871</t>
  </si>
  <si>
    <t>7_1653893581306732545</t>
  </si>
  <si>
    <t>7_1643283493537939456</t>
  </si>
  <si>
    <t>7_1656467170652454913</t>
  </si>
  <si>
    <t>3_1699178105473024000</t>
  </si>
  <si>
    <t>3_1699134901969125376</t>
  </si>
  <si>
    <t>3_1670209741878878209</t>
  </si>
  <si>
    <t>3_1673985476783493120</t>
  </si>
  <si>
    <t>3_1646283316545347584</t>
  </si>
  <si>
    <t>3_1646135579724136449</t>
  </si>
  <si>
    <t>7_1648279577708441604</t>
  </si>
  <si>
    <t>3_1630209783297867777</t>
  </si>
  <si>
    <t>7_1623059339908116480</t>
  </si>
  <si>
    <t>3_1622664641770922024</t>
  </si>
  <si>
    <t>7_1655658780443418633</t>
  </si>
  <si>
    <t>7_1690345480364900352</t>
  </si>
  <si>
    <t>3_1666495470233870383</t>
  </si>
  <si>
    <t>3_1633221512520974336</t>
  </si>
  <si>
    <t>3_1681890804195905536</t>
  </si>
  <si>
    <t>7_1704610673785806848</t>
  </si>
  <si>
    <t>3_1655764223270567936</t>
  </si>
  <si>
    <t>3_1684009112521039872</t>
  </si>
  <si>
    <t>7_1682576505870729216</t>
  </si>
  <si>
    <t>3_1704324382955311106</t>
  </si>
  <si>
    <t>13_1650520411845668865</t>
  </si>
  <si>
    <t>3_1684958171754852352</t>
  </si>
  <si>
    <t>3_1630042520343261186</t>
  </si>
  <si>
    <t>3_1629009386101174272</t>
  </si>
  <si>
    <t>3_1628493321965342723</t>
  </si>
  <si>
    <t>3_1627977087779733504</t>
  </si>
  <si>
    <t>3_1637048832276955138</t>
  </si>
  <si>
    <t>3_1625530525174706176</t>
  </si>
  <si>
    <t>3_1624555427148050434</t>
  </si>
  <si>
    <t>3_1639814453792329729</t>
  </si>
  <si>
    <t>3_1627460944304435204</t>
  </si>
  <si>
    <t>3_1641214123739430916</t>
  </si>
  <si>
    <t>3_1645983029012176898</t>
  </si>
  <si>
    <t>3_1644437826157572127</t>
  </si>
  <si>
    <t>3_1624127230371631123</t>
  </si>
  <si>
    <t>3_1623877167976181760</t>
  </si>
  <si>
    <t>3_1642759623164690432</t>
  </si>
  <si>
    <t>3_1634864967890477059</t>
  </si>
  <si>
    <t>3_1634788600800768000</t>
  </si>
  <si>
    <t>3_1634712516352700418</t>
  </si>
  <si>
    <t>3_1634635936901349378</t>
  </si>
  <si>
    <t>3_1634405991285501953</t>
  </si>
  <si>
    <t>3_1634329439407419392</t>
  </si>
  <si>
    <t>3_1634252705764876305</t>
  </si>
  <si>
    <t>3_1634175605716447232</t>
  </si>
  <si>
    <t>3_1634098943591063552</t>
  </si>
  <si>
    <t>3_1634022739852898305</t>
  </si>
  <si>
    <t>3_1633945768275980295</t>
  </si>
  <si>
    <t>3_1633869447793442816</t>
  </si>
  <si>
    <t>3_1633792833885818881</t>
  </si>
  <si>
    <t>3_1633715761649799169</t>
  </si>
  <si>
    <t>3_1633639206827294721</t>
  </si>
  <si>
    <t>3_1633561977845948419</t>
  </si>
  <si>
    <t>3_1623632944391766017</t>
  </si>
  <si>
    <t>3_1623388621976772613</t>
  </si>
  <si>
    <t>3_1623144815381684227</t>
  </si>
  <si>
    <t>3_1647526727051014144</t>
  </si>
  <si>
    <t>3_1638324704216854530</t>
  </si>
  <si>
    <t>3_1649474903886688256</t>
  </si>
  <si>
    <t>3_1637956585438822401</t>
  </si>
  <si>
    <t>3_1652689928348631043</t>
  </si>
  <si>
    <t>3_1629587072242655235</t>
  </si>
  <si>
    <t>3_1641368357743067136</t>
  </si>
  <si>
    <t>7_1641268319180275715</t>
  </si>
  <si>
    <t>7_1641268166172065793</t>
  </si>
  <si>
    <t>3_1641268198103195650</t>
  </si>
  <si>
    <t>7_1641062280333864961</t>
  </si>
  <si>
    <t>3_1641062178928074753</t>
  </si>
  <si>
    <t>7_1641062130744020995</t>
  </si>
  <si>
    <t>3_1641062037575933953</t>
  </si>
  <si>
    <t>3_1654429754676609027</t>
  </si>
  <si>
    <t>7_1654293383735656448</t>
  </si>
  <si>
    <t>3_1654293397023105024</t>
  </si>
  <si>
    <t>7_1654293282837475329</t>
  </si>
  <si>
    <t>3_1653786458858090496</t>
  </si>
  <si>
    <t>3_1641944763552104448</t>
  </si>
  <si>
    <t>3_1623139533838589952</t>
  </si>
  <si>
    <t>3_1622934332917665792</t>
  </si>
  <si>
    <t>7_1622934092042973184</t>
  </si>
  <si>
    <t>3_1654293296171081737</t>
  </si>
  <si>
    <t>7_1654097149871661056</t>
  </si>
  <si>
    <t>7_1654097009098235909</t>
  </si>
  <si>
    <t>3_1654097028866088961</t>
  </si>
  <si>
    <t>3_1654096968728166400</t>
  </si>
  <si>
    <t>7_1653859363755376641</t>
  </si>
  <si>
    <t>3_1653859256192446465</t>
  </si>
  <si>
    <t>3_1640056646004080640</t>
  </si>
  <si>
    <t>3_1672556841874890752</t>
  </si>
  <si>
    <t>3_1638316834561708032</t>
  </si>
  <si>
    <t>7_1635702911471681538</t>
  </si>
  <si>
    <t>7_1621177909804163072</t>
  </si>
  <si>
    <t>7_1681870565999616000</t>
  </si>
  <si>
    <t>7_1665801980302770180</t>
  </si>
  <si>
    <t>3_1659318211643408384</t>
  </si>
  <si>
    <t>7_1627029603880431619</t>
  </si>
  <si>
    <t>7_1687186489178791937</t>
  </si>
  <si>
    <t>7_1684648199041024000</t>
  </si>
  <si>
    <t>7_1664689566555537408</t>
  </si>
  <si>
    <t>7_1637524701906890752</t>
  </si>
  <si>
    <t>7_1626661777135001606</t>
  </si>
  <si>
    <t>7_1693291210109079552</t>
  </si>
  <si>
    <t>7_1690090283663261696</t>
  </si>
  <si>
    <t>7_1673720169120538624</t>
  </si>
  <si>
    <t>7_1673307107838291969</t>
  </si>
  <si>
    <t>7_1666534999691067393</t>
  </si>
  <si>
    <t>7_1638963709233049600</t>
  </si>
  <si>
    <t>7_1638259438812295188</t>
  </si>
  <si>
    <t>7_1696570586753888265</t>
  </si>
  <si>
    <t>7_1669415968261455887</t>
  </si>
  <si>
    <t>7_1661459376689872898</t>
  </si>
  <si>
    <t>7_1653079766432374784</t>
  </si>
  <si>
    <t>7_1634607275460505600</t>
  </si>
  <si>
    <t>7_1703464442342547456</t>
  </si>
  <si>
    <t>7_1675923593908068364</t>
  </si>
  <si>
    <t>7_1650558783934943233</t>
  </si>
  <si>
    <t>7_1641119888340049920</t>
  </si>
  <si>
    <t>7_1632434004761755649</t>
  </si>
  <si>
    <t>7_1631024561960497153</t>
  </si>
  <si>
    <t>7_1704575069639290880</t>
  </si>
  <si>
    <t>7_1699139891798429696</t>
  </si>
  <si>
    <t>3_1691484023451791366</t>
  </si>
  <si>
    <t>7_1640784647276601351</t>
  </si>
  <si>
    <t>3_1640446097251344384</t>
  </si>
  <si>
    <t>7_1628098539300483072</t>
  </si>
  <si>
    <t>7_1705030400756654080</t>
  </si>
  <si>
    <t>7_1703006527940931584</t>
  </si>
  <si>
    <t>7_1701293494994673664</t>
  </si>
  <si>
    <t>7_1700954903223402497</t>
  </si>
  <si>
    <t>7_1692602521397719040</t>
  </si>
  <si>
    <t>7_1678811723103346688</t>
  </si>
  <si>
    <t>3_1645736125519020032</t>
  </si>
  <si>
    <t>3_1645730534578896897</t>
  </si>
  <si>
    <t>3_1666583600072990720</t>
  </si>
  <si>
    <t>3_1701315939818409984</t>
  </si>
  <si>
    <t>3_1633514492431671305</t>
  </si>
  <si>
    <t>3_1630258060231884801</t>
  </si>
  <si>
    <t>3_1695246423833395200</t>
  </si>
  <si>
    <t>3_1664726067276312576</t>
  </si>
  <si>
    <t>7_1687985335043497984</t>
  </si>
  <si>
    <t>7_1687648661080047618</t>
  </si>
  <si>
    <t>3_1623292119556280324</t>
  </si>
  <si>
    <t>7_1641195527353016322</t>
  </si>
  <si>
    <t>7_1678720549353127936</t>
  </si>
  <si>
    <t>3_1633969081933070339</t>
  </si>
  <si>
    <t>3_1689627489977397248 3_1689627496671490048 3_1689627503604682752 3_1689627510261051393</t>
  </si>
  <si>
    <t>3_1701709215687979008</t>
  </si>
  <si>
    <t>3_1622397972330708995</t>
  </si>
  <si>
    <t>7_1673344566873796609</t>
  </si>
  <si>
    <t>3_1696216829830508545</t>
  </si>
  <si>
    <t>7_1707078859835822080</t>
  </si>
  <si>
    <t>3_1641449245202075655</t>
  </si>
  <si>
    <t>3_1620778116527292416 3_1620778116502142977</t>
  </si>
  <si>
    <t>3_1706702528484888576</t>
  </si>
  <si>
    <t>3_1681385764498571264</t>
  </si>
  <si>
    <t>3_1625925555802570753</t>
  </si>
  <si>
    <t>7_1679902684080484373</t>
  </si>
  <si>
    <t>3_1631049367707701249</t>
  </si>
  <si>
    <t>3_1686775595441569801</t>
  </si>
  <si>
    <t>7_1698061675293786112</t>
  </si>
  <si>
    <t>3_1650347262155845633</t>
  </si>
  <si>
    <t>3_1638940869305704456</t>
  </si>
  <si>
    <t>3_1638159069553864704</t>
  </si>
  <si>
    <t>3_1673823507552010241</t>
  </si>
  <si>
    <t>3_1673820893338820608</t>
  </si>
  <si>
    <t>3_1632737076163534848</t>
  </si>
  <si>
    <t>3_1698865671977701379</t>
  </si>
  <si>
    <t>7_1674087929726091265</t>
  </si>
  <si>
    <t>3_1636433966809923610</t>
  </si>
  <si>
    <t>16_1627731440145235974</t>
  </si>
  <si>
    <t>3_1633987648921501696</t>
  </si>
  <si>
    <t>3_1691246450083012610</t>
  </si>
  <si>
    <t>3_1687838113584799744</t>
  </si>
  <si>
    <t>3_1687836093062750208</t>
  </si>
  <si>
    <t>3_1687835756528594945</t>
  </si>
  <si>
    <t>3_1657594513827807234</t>
  </si>
  <si>
    <t>3_1661454491265249282</t>
  </si>
  <si>
    <t>3_1660078300037775362</t>
  </si>
  <si>
    <t>3_1666908983293095939</t>
  </si>
  <si>
    <t>3_1666907981596770305</t>
  </si>
  <si>
    <t>3_1666046127710322690</t>
  </si>
  <si>
    <t>3_1659407740614131712</t>
  </si>
  <si>
    <t>3_1621135371428823041</t>
  </si>
  <si>
    <t>3_1621274850928070656</t>
  </si>
  <si>
    <t>3_1621270839634042887</t>
  </si>
  <si>
    <t>7_1621214181251862530</t>
  </si>
  <si>
    <t>3_1639621019676684291</t>
  </si>
  <si>
    <t>7_1684575027084296192</t>
  </si>
  <si>
    <t>7_1684574762327232513</t>
  </si>
  <si>
    <t>3_1632803336108875779</t>
  </si>
  <si>
    <t>7_1704944622277885952</t>
  </si>
  <si>
    <t>7_1635611872111087616</t>
  </si>
  <si>
    <t>3_1699585569402089472</t>
  </si>
  <si>
    <t>3_1686959741820416000 3_1686959745234546689 3_1686959748086738944 3_1686959750754320384</t>
  </si>
  <si>
    <t>7_1648207624276525056</t>
  </si>
  <si>
    <t>7_1649974800192876544</t>
  </si>
  <si>
    <t>3_1662051037111365636</t>
  </si>
  <si>
    <t>7_1636761123360845825</t>
  </si>
  <si>
    <t>7_1633153082715512836</t>
  </si>
  <si>
    <t>7_1686889975692865538</t>
  </si>
  <si>
    <t>7_1643943472888532992</t>
  </si>
  <si>
    <t>7_1643907936635310080</t>
  </si>
  <si>
    <t>7_1643548097186807808</t>
  </si>
  <si>
    <t>7_1643332414230413312</t>
  </si>
  <si>
    <t>7_1643259579021639681</t>
  </si>
  <si>
    <t>7_1643245721338929153</t>
  </si>
  <si>
    <t>7_1643232666144186369</t>
  </si>
  <si>
    <t>3_1648482938424549376</t>
  </si>
  <si>
    <t>7_1659973850224885765</t>
  </si>
  <si>
    <t>3_1681001598695231488</t>
  </si>
  <si>
    <t>7_1664013255851880449</t>
  </si>
  <si>
    <t>3_1675519432116797440</t>
  </si>
  <si>
    <t>3_1675286364567355393</t>
  </si>
  <si>
    <t>3_1668036677393154048</t>
  </si>
  <si>
    <t>3_1667677225552953344</t>
  </si>
  <si>
    <t>3_1661113026395643909</t>
  </si>
  <si>
    <t>3_1661015850789527555</t>
  </si>
  <si>
    <t>3_1660067104089944065</t>
  </si>
  <si>
    <t>7_1674527956453019649</t>
  </si>
  <si>
    <t>7_1671176779438931975</t>
  </si>
  <si>
    <t>3_1670797914614972418</t>
  </si>
  <si>
    <t>3_1666272648911781889</t>
  </si>
  <si>
    <t>3_1666184613423640576</t>
  </si>
  <si>
    <t>3_1663290247889707009</t>
  </si>
  <si>
    <t>7_1659670281730809858</t>
  </si>
  <si>
    <t>3_1657896415060717568</t>
  </si>
  <si>
    <t>7_1683812689468878849</t>
  </si>
  <si>
    <t>7_1676695593542983680</t>
  </si>
  <si>
    <t>7_1676244098418606088</t>
  </si>
  <si>
    <t>7_1669447741813006340</t>
  </si>
  <si>
    <t>7_1669358222636097537</t>
  </si>
  <si>
    <t>7_1669081959065108482</t>
  </si>
  <si>
    <t>3_1668980101738897409</t>
  </si>
  <si>
    <t>7_1668730078631428097</t>
  </si>
  <si>
    <t>7_1661745500536836102 7_1661745523882352645 7_1661745538101026817</t>
  </si>
  <si>
    <t>3_1661474671244582913 3_1661474697207218177</t>
  </si>
  <si>
    <t>3_1661413934836875272</t>
  </si>
  <si>
    <t>3_1653071704275533828</t>
  </si>
  <si>
    <t>3_1652818517161287692</t>
  </si>
  <si>
    <t>3_1652643375105884160</t>
  </si>
  <si>
    <t>3_1674422632601759747</t>
  </si>
  <si>
    <t>3_1673753745157500928</t>
  </si>
  <si>
    <t>7_1673706577331732480</t>
  </si>
  <si>
    <t>7_1673382669273407493</t>
  </si>
  <si>
    <t>3_1673106023593197569</t>
  </si>
  <si>
    <t>3_1667176006417895426</t>
  </si>
  <si>
    <t>7_1667167944554561539</t>
  </si>
  <si>
    <t>3_1666823616145813508</t>
  </si>
  <si>
    <t>3_1666548756764819458</t>
  </si>
  <si>
    <t>3_1657507996392476672</t>
  </si>
  <si>
    <t>3_1657017276057485315</t>
  </si>
  <si>
    <t>7_1684673803211689984</t>
  </si>
  <si>
    <t>3_1680721297318264832</t>
  </si>
  <si>
    <t>7_1680222460707258368</t>
  </si>
  <si>
    <t>3_1674885799999832064</t>
  </si>
  <si>
    <t>7_1672225600411500546</t>
  </si>
  <si>
    <t>7_1671986599259693063</t>
  </si>
  <si>
    <t>3_1671623458952814598</t>
  </si>
  <si>
    <t>3_1665467150511878144</t>
  </si>
  <si>
    <t>3_1665362214142763014</t>
  </si>
  <si>
    <t>3_1665138785330376704</t>
  </si>
  <si>
    <t>3_1665026013934374912</t>
  </si>
  <si>
    <t>3_1655895268452098048</t>
  </si>
  <si>
    <t>3_1655323481616052226</t>
  </si>
  <si>
    <t>7_1686027431600103426</t>
  </si>
  <si>
    <t>3_1664381987711270915</t>
  </si>
  <si>
    <t>3_1664283622315286531</t>
  </si>
  <si>
    <t>3_1663655798143172608</t>
  </si>
  <si>
    <t>3_1654938225205555211</t>
  </si>
  <si>
    <t>3_1654533849001480192</t>
  </si>
  <si>
    <t>3_1687484470666960897</t>
  </si>
  <si>
    <t>7_1681318834098311168</t>
  </si>
  <si>
    <t>3_1680398180049977345</t>
  </si>
  <si>
    <t>7_1677305348019961858</t>
  </si>
  <si>
    <t>7_1676972334329253898</t>
  </si>
  <si>
    <t>3_1672752012725821442</t>
  </si>
  <si>
    <t>3_1672748509810786305</t>
  </si>
  <si>
    <t>7_1672624921300664321</t>
  </si>
  <si>
    <t>7_1672349250406031363</t>
  </si>
  <si>
    <t>3_1665705894351368195</t>
  </si>
  <si>
    <t>7_1665492678908293121</t>
  </si>
  <si>
    <t>3_1656367992433700886</t>
  </si>
  <si>
    <t>7_1688658178404220928</t>
  </si>
  <si>
    <t>3_1677421442688856066</t>
  </si>
  <si>
    <t>3_1670565557861593089</t>
  </si>
  <si>
    <t>7_1670439342576115715</t>
  </si>
  <si>
    <t>3_1670184921934036992</t>
  </si>
  <si>
    <t>7_1670055588238180354</t>
  </si>
  <si>
    <t>7_1669729515570970625 3_1669729549926506497</t>
  </si>
  <si>
    <t>3_1662929974209249280</t>
  </si>
  <si>
    <t>3_1662602532550586368</t>
  </si>
  <si>
    <t>3_1662212611008495623</t>
  </si>
  <si>
    <t>3_1651578242355154944</t>
  </si>
  <si>
    <t>3_1637779008212312069</t>
  </si>
  <si>
    <t>7_1637040153632858113</t>
  </si>
  <si>
    <t>7_1646960755328143364</t>
  </si>
  <si>
    <t>7_1646840311723835393</t>
  </si>
  <si>
    <t>7_1646572834955689989</t>
  </si>
  <si>
    <t>3_1625524890706014210</t>
  </si>
  <si>
    <t>3_1625500552191954946</t>
  </si>
  <si>
    <t>3_1639628316180185099</t>
  </si>
  <si>
    <t>3_1639624491784445953</t>
  </si>
  <si>
    <t>3_1639266199405043714</t>
  </si>
  <si>
    <t>3_1639262120192638982</t>
  </si>
  <si>
    <t>3_1641436400967995394</t>
  </si>
  <si>
    <t>3_1641238675118870529 3_1641238679246065666</t>
  </si>
  <si>
    <t>3_1620770000817774594</t>
  </si>
  <si>
    <t>7_1675543236805312512</t>
  </si>
  <si>
    <t>3_1675346903414841346 3_1675346908850671616</t>
  </si>
  <si>
    <t>7_1675258238063857665</t>
  </si>
  <si>
    <t>7_1684052991798546435</t>
  </si>
  <si>
    <t>7_1687129334996152320</t>
  </si>
  <si>
    <t>3_1687309920406851585</t>
  </si>
  <si>
    <t>7_1687242563265212417</t>
  </si>
  <si>
    <t>7_1694686106422288384</t>
  </si>
  <si>
    <t>7_1694686069747290112</t>
  </si>
  <si>
    <t>7_1625913618666487827</t>
  </si>
  <si>
    <t>3_1625666260896739329</t>
  </si>
  <si>
    <t>3_1625349752454782979</t>
  </si>
  <si>
    <t>7_1625330307355275265</t>
  </si>
  <si>
    <t>3_1682817247960547328 3_1682817247952158723 3_1682817247952117760 3_1682817247956328450</t>
  </si>
  <si>
    <t>3_1706749131287359488</t>
  </si>
  <si>
    <t>3_1706038101439651840</t>
  </si>
  <si>
    <t>3_1684204572871389188 7_1684204575404830723 3_1684204630945792004</t>
  </si>
  <si>
    <t>7_1703102628744368128</t>
  </si>
  <si>
    <t>3_1706025068575240193 3_1706025071637123072 7_1706025073730097152 7_1706025102700089345</t>
  </si>
  <si>
    <t>3_1703102399215206400 3_1703102403929653248 3_1703102407394181122 3_1703102411751976960</t>
  </si>
  <si>
    <t>3_1703103900780294144 7_1703103903506530304</t>
  </si>
  <si>
    <t>3_1695137011240194048 3_1695137014729916417 3_1695137018068529152 3_1695137021830787072</t>
  </si>
  <si>
    <t>3_1706750357949333504</t>
  </si>
  <si>
    <t>3_1706748603765506048 7_1706748612942708736</t>
  </si>
  <si>
    <t>3_1704514148451647488 7_1704514150947254272 7_1704514179980300288 3_1704514321655468032</t>
  </si>
  <si>
    <t>3_1702549917300932608</t>
  </si>
  <si>
    <t>7_1702319260310368257 7_1702319316786679808 3_1702319348906643456</t>
  </si>
  <si>
    <t>3_1701394886539317248 7_1701394888883879936 3_1701394931867082752 3_1701394938544402432</t>
  </si>
  <si>
    <t>3_1701394063637794816 7_1701394066955497472 7_1701394109896835072 3_1701394141458931713</t>
  </si>
  <si>
    <t>3_1658442149459906561 3_1658442154400686083 3_1658442159198990337 3_1658442165410754561</t>
  </si>
  <si>
    <t>7_1657013649402212352</t>
  </si>
  <si>
    <t>7_1706634351155281920</t>
  </si>
  <si>
    <t>7_1707028056894746624</t>
  </si>
  <si>
    <t>7_1627399605053710337</t>
  </si>
  <si>
    <t>3_1660035524134948866</t>
  </si>
  <si>
    <t>7_1631082051595018243</t>
  </si>
  <si>
    <t>3_1658148674726244352 3_1658148734960631810 3_1658148735111647233 3_1658148735250051079</t>
  </si>
  <si>
    <t>3_1658146712760795137</t>
  </si>
  <si>
    <t>3_1621851831243612163</t>
  </si>
  <si>
    <t>3_1665338148161822720 3_1665338231624286208 3_1665338244039421953</t>
  </si>
  <si>
    <t>3_1636472741107838976</t>
  </si>
  <si>
    <t>7_1641117982259658755</t>
  </si>
  <si>
    <t>7_1641117797915807746</t>
  </si>
  <si>
    <t>7_1632214761248096258</t>
  </si>
  <si>
    <t>3_1631437188687593473</t>
  </si>
  <si>
    <t>3_1651741969817690113</t>
  </si>
  <si>
    <t>3_1630370023196770306</t>
  </si>
  <si>
    <t>7_1672666490951159809</t>
  </si>
  <si>
    <t>3_1627702706465906689</t>
  </si>
  <si>
    <t>7_1627423247301058560</t>
  </si>
  <si>
    <t>7_1682000247818530817</t>
  </si>
  <si>
    <t>3_1621638382118912001</t>
  </si>
  <si>
    <t>3_1640750794369642499</t>
  </si>
  <si>
    <t>7_1707147121357422592</t>
  </si>
  <si>
    <t>7_1687259879054958592</t>
  </si>
  <si>
    <t>3_1638186403686232064</t>
  </si>
  <si>
    <t>7_1622884808853532674</t>
  </si>
  <si>
    <t>7_1624707553115398144</t>
  </si>
  <si>
    <t>7_1628824017359577090</t>
  </si>
  <si>
    <t>3_1620428466133897222</t>
  </si>
  <si>
    <t>3_1620427078511333383</t>
  </si>
  <si>
    <t>3_1668413160611622913</t>
  </si>
  <si>
    <t>3_1632541657093529601</t>
  </si>
  <si>
    <t>3_1625830225429815298</t>
  </si>
  <si>
    <t>7_1705285570593792001</t>
  </si>
  <si>
    <t>3_1704656025679196160</t>
  </si>
  <si>
    <t>7_1705948630199275520</t>
  </si>
  <si>
    <t>3_1661583804782321664</t>
  </si>
  <si>
    <t>7_1658326382043099139</t>
  </si>
  <si>
    <t>3_1643312678859841555</t>
  </si>
  <si>
    <t>3_1707051975974572032</t>
  </si>
  <si>
    <t>3_1676991237939687425</t>
  </si>
  <si>
    <t>7_1643643378783907842</t>
  </si>
  <si>
    <t>16_1677308375946739713</t>
  </si>
  <si>
    <t>3_1652524384790237187</t>
  </si>
  <si>
    <t>3_1688008786391322624</t>
  </si>
  <si>
    <t>3_1643674251323482117</t>
  </si>
  <si>
    <t>7_1635105839953465344</t>
  </si>
  <si>
    <t>3_1631014145993613312</t>
  </si>
  <si>
    <t>13_1632817928478367744</t>
  </si>
  <si>
    <t>13_1651046591342452736</t>
  </si>
  <si>
    <t>3_1671180473106681858</t>
  </si>
  <si>
    <t>3_1666124471030231040</t>
  </si>
  <si>
    <t>3_1676980276981891072</t>
  </si>
  <si>
    <t>3_1668644093595906048</t>
  </si>
  <si>
    <t>3_1681380383747633152</t>
  </si>
  <si>
    <t>3_1674456090367410176 3_1674456107576700929</t>
  </si>
  <si>
    <t>3_1673727456857956355</t>
  </si>
  <si>
    <t>3_1666822676894355461</t>
  </si>
  <si>
    <t>3_1684585697292828672</t>
  </si>
  <si>
    <t>3_1669364148696653824</t>
  </si>
  <si>
    <t>3_1692190062690050049</t>
  </si>
  <si>
    <t>3_1694726783189573632</t>
  </si>
  <si>
    <t>3_1682074001479172096</t>
  </si>
  <si>
    <t>3_1671915342774321152</t>
  </si>
  <si>
    <t>3_1704079504908406784</t>
  </si>
  <si>
    <t>3_1623725702494158856</t>
  </si>
  <si>
    <t>3_1623480843103617024</t>
  </si>
  <si>
    <t>3_1623236595900981255</t>
  </si>
  <si>
    <t>3_1625896843015073803</t>
  </si>
  <si>
    <t>3_1624925285249347585</t>
  </si>
  <si>
    <t>3_1624219249022492673</t>
  </si>
  <si>
    <t>3_1627644305610358784</t>
  </si>
  <si>
    <t>3_1627125775575969793</t>
  </si>
  <si>
    <t>3_1630225190025084928</t>
  </si>
  <si>
    <t>3_1628675736327409673</t>
  </si>
  <si>
    <t>3_1628159796716224513</t>
  </si>
  <si>
    <t>7_1626608760700522497</t>
  </si>
  <si>
    <t>3_1689471905806401536</t>
  </si>
  <si>
    <t>7_1645833515324276758</t>
  </si>
  <si>
    <t>7_1645407913874210817</t>
  </si>
  <si>
    <t>7_1648110063410728963</t>
  </si>
  <si>
    <t>7_1650989481082617856</t>
  </si>
  <si>
    <t>7_1650533177054593025</t>
  </si>
  <si>
    <t>7_1649062135228506119</t>
  </si>
  <si>
    <t>7_1658483654635692035</t>
  </si>
  <si>
    <t>7_1646481131481579529</t>
  </si>
  <si>
    <t>7_1657521886337572866</t>
  </si>
  <si>
    <t>3_1669725955399532544</t>
  </si>
  <si>
    <t>7_1662286277436223488</t>
  </si>
  <si>
    <t>7_1662196559277174786</t>
  </si>
  <si>
    <t>7_1662153398827745282</t>
  </si>
  <si>
    <t>3_1672368132369915908</t>
  </si>
  <si>
    <t>3_1668398716896653314</t>
  </si>
  <si>
    <t>7_1665854774837669888</t>
  </si>
  <si>
    <t>7_1665854331625537536</t>
  </si>
  <si>
    <t>3_1659288072452730899</t>
  </si>
  <si>
    <t>7_1656495627922964489</t>
  </si>
  <si>
    <t>7_1656410242144518147</t>
  </si>
  <si>
    <t>7_1656407161323307008</t>
  </si>
  <si>
    <t>7_1656278473365749761</t>
  </si>
  <si>
    <t>3_1681079098544668679</t>
  </si>
  <si>
    <t>3_1671258370186125313</t>
  </si>
  <si>
    <t>7_1665051753081974788</t>
  </si>
  <si>
    <t>3_1686111952353828864</t>
  </si>
  <si>
    <t>3_1679178092496011276</t>
  </si>
  <si>
    <t>3_1678579260032704513</t>
  </si>
  <si>
    <t>3_1664426217368420352</t>
  </si>
  <si>
    <t>7_1664026851960844288</t>
  </si>
  <si>
    <t>3_1663635418829447172</t>
  </si>
  <si>
    <t>3_1689803492746055680</t>
  </si>
  <si>
    <t>3_1667232954018328576</t>
  </si>
  <si>
    <t>3_1666474692323028993</t>
  </si>
  <si>
    <t>7_1657396745045696514</t>
  </si>
  <si>
    <t>3_1657193211478114304</t>
  </si>
  <si>
    <t>7_1657140767696076801</t>
  </si>
  <si>
    <t>7_1657029818796371971</t>
  </si>
  <si>
    <t>7_1657024081571479552</t>
  </si>
  <si>
    <t>7_1656808498439548929</t>
  </si>
  <si>
    <t>7_1656787097699733505</t>
  </si>
  <si>
    <t>3_1691139257060962320</t>
  </si>
  <si>
    <t>7_1675610055171878912</t>
  </si>
  <si>
    <t>3_1661115804979437601</t>
  </si>
  <si>
    <t>7_1660001880175435777</t>
  </si>
  <si>
    <t>7_1660001346391621633</t>
  </si>
  <si>
    <t>7_1691926397323763713</t>
  </si>
  <si>
    <t>3_1689415820458307584</t>
  </si>
  <si>
    <t>3_1689019810720407555</t>
  </si>
  <si>
    <t>3_1688910968485761024</t>
  </si>
  <si>
    <t>7_1661883166624301059</t>
  </si>
  <si>
    <t>7_1661773815590924302</t>
  </si>
  <si>
    <t>7_1661467099066253315</t>
  </si>
  <si>
    <t>3_1661376994855075840</t>
  </si>
  <si>
    <t>7_1635260078340153344</t>
  </si>
  <si>
    <t>7_1632467968037646336</t>
  </si>
  <si>
    <t>7_1647576546721296384</t>
  </si>
  <si>
    <t>7_1647576108546547712</t>
  </si>
  <si>
    <t>3_1690293570018627585</t>
  </si>
  <si>
    <t>3_1640410963277914114</t>
  </si>
  <si>
    <t>7_1661183300180799490</t>
  </si>
  <si>
    <t>3_1631321821256507394</t>
  </si>
  <si>
    <t>3_1661893595891154945 3_1661893595798949889</t>
  </si>
  <si>
    <t>3_1666872430684405760</t>
  </si>
  <si>
    <t>3_1640890630246129664</t>
  </si>
  <si>
    <t>7_1701993690145673216</t>
  </si>
  <si>
    <t>7_1701606024388714496</t>
  </si>
  <si>
    <t>3_1686202114857390080</t>
  </si>
  <si>
    <t>3_1659682044207669252</t>
  </si>
  <si>
    <t>7_1686354621428613120</t>
  </si>
  <si>
    <t>3_1702723217356382208</t>
  </si>
  <si>
    <t>7_1679863958310617089</t>
  </si>
  <si>
    <t>3_1636684582744473600</t>
  </si>
  <si>
    <t>3_1609222745400696835</t>
  </si>
  <si>
    <t>3_1639626629772091392</t>
  </si>
  <si>
    <t>3_1639275475372523528</t>
  </si>
  <si>
    <t>3_1636184042285551621</t>
  </si>
  <si>
    <t>3_1706410563264241664</t>
  </si>
  <si>
    <t>3_1702765704565358592</t>
  </si>
  <si>
    <t>3_1638622871697104907</t>
  </si>
  <si>
    <t>3_1637804258031534085</t>
  </si>
  <si>
    <t>3_1641131652054237193</t>
  </si>
  <si>
    <t>3_1633090317133008900</t>
  </si>
  <si>
    <t>7_1632721085794754563</t>
  </si>
  <si>
    <t>3_1631643209708208131</t>
  </si>
  <si>
    <t>7_1630964720717922305</t>
  </si>
  <si>
    <t>7_1640364267462352896</t>
  </si>
  <si>
    <t>3_1639347273388679175</t>
  </si>
  <si>
    <t>3_1650850859247386626</t>
  </si>
  <si>
    <t>7_1640794243412238341</t>
  </si>
  <si>
    <t>3_1630563823886237699</t>
  </si>
  <si>
    <t>7_1630189718724812802</t>
  </si>
  <si>
    <t>7_1646980326420299776</t>
  </si>
  <si>
    <t>7_1636744973172330496</t>
  </si>
  <si>
    <t>3_1648369424540356608</t>
  </si>
  <si>
    <t>3_1642982993034616833</t>
  </si>
  <si>
    <t>3_1636372725798412298</t>
  </si>
  <si>
    <t>3_1635996418358771721</t>
  </si>
  <si>
    <t>7_1663980424203255816</t>
  </si>
  <si>
    <t>7_1645482329660432390</t>
  </si>
  <si>
    <t>7_1644041217489924108</t>
  </si>
  <si>
    <t>7_1661480412256915457</t>
  </si>
  <si>
    <t>7_1651961560095502341</t>
  </si>
  <si>
    <t>3_1641898546940071953</t>
  </si>
  <si>
    <t>7_1641518889400934405</t>
  </si>
  <si>
    <t>7_1635262562387279873</t>
  </si>
  <si>
    <t>3_1633810845804253188</t>
  </si>
  <si>
    <t>3_1633453661597646851</t>
  </si>
  <si>
    <t>3_1641240935689232384</t>
  </si>
  <si>
    <t>3_1645711453859528704</t>
  </si>
  <si>
    <t>7_1623115731356291074</t>
  </si>
  <si>
    <t>3_1675994945780436996</t>
  </si>
  <si>
    <t>3_1675994461858324480</t>
  </si>
  <si>
    <t>3_1631987975474094080</t>
  </si>
  <si>
    <t>3_1629451281751212032</t>
  </si>
  <si>
    <t>7_1631749334642425875</t>
  </si>
  <si>
    <t>7_1631618224461688833</t>
  </si>
  <si>
    <t>3_1703533018982305792 3_1703533018982305793</t>
  </si>
  <si>
    <t>7_1703551733031403520</t>
  </si>
  <si>
    <t>7_1705809188121722880</t>
  </si>
  <si>
    <t>3_1705803186508791808 3_1705803201109262336</t>
  </si>
  <si>
    <t>3_1706441669938167808 3_1706441680121892864 3_1706441699042488320 3_1706441727790215168</t>
  </si>
  <si>
    <t>7_1703544686210646016</t>
  </si>
  <si>
    <t>7_1694876999888588800</t>
  </si>
  <si>
    <t>3_1707034125566091264</t>
  </si>
  <si>
    <t>3_1707043453450788864</t>
  </si>
  <si>
    <t>3_1707198648495292416</t>
  </si>
  <si>
    <t>3_1664383736744386560</t>
  </si>
  <si>
    <t>3_1664382885673984002</t>
  </si>
  <si>
    <t>3_1628190209543229440</t>
  </si>
  <si>
    <t>3_1641851438434222117</t>
  </si>
  <si>
    <t>3_1646618508904595457</t>
  </si>
  <si>
    <t>3_1648162374178729984</t>
  </si>
  <si>
    <t>3_1643500899602448384</t>
  </si>
  <si>
    <t>3_1681384635362689024</t>
  </si>
  <si>
    <t>3_1673781598993408000</t>
  </si>
  <si>
    <t>7_1667484462735581185</t>
  </si>
  <si>
    <t>7_1636596439114448896</t>
  </si>
  <si>
    <t>7_1636595771133788165</t>
  </si>
  <si>
    <t>3_1688574533899345920 3_1688574594431541248</t>
  </si>
  <si>
    <t>3_1689374265236242432</t>
  </si>
  <si>
    <t>3_1687929047311872001</t>
  </si>
  <si>
    <t>3_1687927666547085312</t>
  </si>
  <si>
    <t>3_1687825930591281153</t>
  </si>
  <si>
    <t>3_1681379801884499968</t>
  </si>
  <si>
    <t>7_1651334812785864706</t>
  </si>
  <si>
    <t>7_1672538197706915841</t>
  </si>
  <si>
    <t>3_1672535411489472512 7_1672535414429609984</t>
  </si>
  <si>
    <t>3_1655892832333312000</t>
  </si>
  <si>
    <t>3_1652042894495064075</t>
  </si>
  <si>
    <t>3_1691514724033159168</t>
  </si>
  <si>
    <t>3_1691490680504299534</t>
  </si>
  <si>
    <t>3_1691489224313253892</t>
  </si>
  <si>
    <t>3_1691486713770651653</t>
  </si>
  <si>
    <t>3_1692966770536038400</t>
  </si>
  <si>
    <t>3_1692484269082374145</t>
  </si>
  <si>
    <t>7_1693335328956788736</t>
  </si>
  <si>
    <t>3_1693001548811423745</t>
  </si>
  <si>
    <t>3_1693000940490543105</t>
  </si>
  <si>
    <t>3_1693000037884653569</t>
  </si>
  <si>
    <t>7_1703608966041706496</t>
  </si>
  <si>
    <t>3_1635560164269912066</t>
  </si>
  <si>
    <t>7_1688233888856846336</t>
  </si>
  <si>
    <t>7_1694380103109599233</t>
  </si>
  <si>
    <t>7_1694379063228399616</t>
  </si>
  <si>
    <t>7_1696474552379850753</t>
  </si>
  <si>
    <t>7_1696916370045255680</t>
  </si>
  <si>
    <t>7_1689639435560984577</t>
  </si>
  <si>
    <t>7_1666652999387693056</t>
  </si>
  <si>
    <t>7_1657013156252725254</t>
  </si>
  <si>
    <t>7_1656907402124337152</t>
  </si>
  <si>
    <t>7_1706698929817911296</t>
  </si>
  <si>
    <t>7_1706630461965881344</t>
  </si>
  <si>
    <t>3_1675309907845808132</t>
  </si>
  <si>
    <t>7_1625315134066380801</t>
  </si>
  <si>
    <t>7_1624225590684385282</t>
  </si>
  <si>
    <t>7_1640871199713419265</t>
  </si>
  <si>
    <t>3_1643272951754530816</t>
  </si>
  <si>
    <t>7_1701078496645156864</t>
  </si>
  <si>
    <t>3_1701074357966016512</t>
  </si>
  <si>
    <t>7_1647676370586042368</t>
  </si>
  <si>
    <t>3_1650586129551204355</t>
  </si>
  <si>
    <t>3_1634932404061188098</t>
  </si>
  <si>
    <t>7_1643621173849202692</t>
  </si>
  <si>
    <t>3_1641084231685222404</t>
  </si>
  <si>
    <t>3_1640445517812445184</t>
  </si>
  <si>
    <t>3_1639651990916431876</t>
  </si>
  <si>
    <t>3_1695890817406087168</t>
  </si>
  <si>
    <t>7_1623876912589283329</t>
  </si>
  <si>
    <t>7_1646716893074432000</t>
  </si>
  <si>
    <t>3_1626790282678136833</t>
  </si>
  <si>
    <t>3_1626790127606398977</t>
  </si>
  <si>
    <t>7_1626790064658186241</t>
  </si>
  <si>
    <t>7_1625322215485874176</t>
  </si>
  <si>
    <t>7_1625322020580864000</t>
  </si>
  <si>
    <t>7_1650326902316384257</t>
  </si>
  <si>
    <t>7_1650326804467466243</t>
  </si>
  <si>
    <t>7_1659016730067214337</t>
  </si>
  <si>
    <t>7_1639488807681531906</t>
  </si>
  <si>
    <t>7_1639488405955309573</t>
  </si>
  <si>
    <t>7_1627491313728864258</t>
  </si>
  <si>
    <t>7_1627491207822598146</t>
  </si>
  <si>
    <t>3_1627491272016502785</t>
  </si>
  <si>
    <t>3_1627491210016305153</t>
  </si>
  <si>
    <t>7_1627491122598510593</t>
  </si>
  <si>
    <t>3_1626790437523492866</t>
  </si>
  <si>
    <t>7_1667301677370687490</t>
  </si>
  <si>
    <t>7_1667301423510347777</t>
  </si>
  <si>
    <t>3_1666678763604541440</t>
  </si>
  <si>
    <t>3_1666678716812886018</t>
  </si>
  <si>
    <t>7_1647440339089735681</t>
  </si>
  <si>
    <t>7_1647440220755750914</t>
  </si>
  <si>
    <t>7_1638357139017146370</t>
  </si>
  <si>
    <t>7_1670453896551038978</t>
  </si>
  <si>
    <t>7_1670453856050769924</t>
  </si>
  <si>
    <t>7_1670279250555830273</t>
  </si>
  <si>
    <t>7_1670279185128910849</t>
  </si>
  <si>
    <t>3_1689462059623194624</t>
  </si>
  <si>
    <t>3_1661883031097843717</t>
  </si>
  <si>
    <t>3_1661882992460021761</t>
  </si>
  <si>
    <t>7_1652811354338672643</t>
  </si>
  <si>
    <t>7_1652811109106081793</t>
  </si>
  <si>
    <t>7_1623250588191363073</t>
  </si>
  <si>
    <t>7_1623157247542022144</t>
  </si>
  <si>
    <t>7_1623157159398674432</t>
  </si>
  <si>
    <t>7_1623157082227712004</t>
  </si>
  <si>
    <t>7_1623156945103335424</t>
  </si>
  <si>
    <t>3_1638926435250208769</t>
  </si>
  <si>
    <t>3_1636383614945591296</t>
  </si>
  <si>
    <t>7_1703067439863316480</t>
  </si>
  <si>
    <t>7_1701700049472823296</t>
  </si>
  <si>
    <t>7_1703756436176588800</t>
  </si>
  <si>
    <t>3_1704903493977284609</t>
  </si>
  <si>
    <t>3_1627477097143836672</t>
  </si>
  <si>
    <t>7_1663132249271808001</t>
  </si>
  <si>
    <t>7_1662520368395964416</t>
  </si>
  <si>
    <t>7_1662513614694019078</t>
  </si>
  <si>
    <t>7_1662167715786653705</t>
  </si>
  <si>
    <t>7_1661907422380793857</t>
  </si>
  <si>
    <t>7_1661895286313082880</t>
  </si>
  <si>
    <t>7_1661832720849182745</t>
  </si>
  <si>
    <t>7_1661638539107352576</t>
  </si>
  <si>
    <t>7_1661526574628216832</t>
  </si>
  <si>
    <t>7_1661494010635067393</t>
  </si>
  <si>
    <t>7_1661494010869960706</t>
  </si>
  <si>
    <t>7_1663473703009615875</t>
  </si>
  <si>
    <t>7_1663345231855509504</t>
  </si>
  <si>
    <t>7_1666010066854502401</t>
  </si>
  <si>
    <t>7_1665667612846555137</t>
  </si>
  <si>
    <t>7_1694712987385470976</t>
  </si>
  <si>
    <t>7_1668201425313120256</t>
  </si>
  <si>
    <t>7_1668198029243850755</t>
  </si>
  <si>
    <t>7_1667883905075101704</t>
  </si>
  <si>
    <t>7_1661104142708776962</t>
  </si>
  <si>
    <t>7_1661103939880730630</t>
  </si>
  <si>
    <t>7_1660923012353343490</t>
  </si>
  <si>
    <t>7_1660830897619316739</t>
  </si>
  <si>
    <t>7_1660828212086157313</t>
  </si>
  <si>
    <t>7_1660824022936952832</t>
  </si>
  <si>
    <t>7_1698799631281393664</t>
  </si>
  <si>
    <t>3_1637980391062609920</t>
  </si>
  <si>
    <t>3_1651786413791141889</t>
  </si>
  <si>
    <t>3_1655314436784107527 3_1655314472011984899</t>
  </si>
  <si>
    <t>3_1654513006573768704</t>
  </si>
  <si>
    <t>3_1644732109637009408</t>
  </si>
  <si>
    <t>3_1648816693416787968</t>
  </si>
  <si>
    <t>3_1648813015372906496</t>
  </si>
  <si>
    <t>3_1639350077624918016</t>
  </si>
  <si>
    <t>3_1651785853507629056</t>
  </si>
  <si>
    <t>3_1630740544010743809</t>
  </si>
  <si>
    <t>3_1694088016225009664</t>
  </si>
  <si>
    <t>3_1694085815083675648</t>
  </si>
  <si>
    <t>3_1640722935152361473 3_1640722938516176899 3_1640722942056095745</t>
  </si>
  <si>
    <t>7_1640722050539986949</t>
  </si>
  <si>
    <t>3_1637926210255585283</t>
  </si>
  <si>
    <t>7_1672529619214299137 3_1672529660100354051</t>
  </si>
  <si>
    <t>3_1672528926222974977 3_1672528930664751104</t>
  </si>
  <si>
    <t>7_1623767090871033857</t>
  </si>
  <si>
    <t>7_1640663330028244993</t>
  </si>
  <si>
    <t>7_1640527489574359042</t>
  </si>
  <si>
    <t>3_1640524852481212418</t>
  </si>
  <si>
    <t>7_1640521821198884864</t>
  </si>
  <si>
    <t>3_1686442609353379880</t>
  </si>
  <si>
    <t>7_1694008736564514818</t>
  </si>
  <si>
    <t>7_1655006216131690496</t>
  </si>
  <si>
    <t>7_1659664506362949633</t>
  </si>
  <si>
    <t>7_1659574258090008577</t>
  </si>
  <si>
    <t>7_1659539371127611398</t>
  </si>
  <si>
    <t>7_1658085743313420288</t>
  </si>
  <si>
    <t>7_1657725129969790976</t>
  </si>
  <si>
    <t>7_1665063226894163968</t>
  </si>
  <si>
    <t>7_1664967218583445504</t>
  </si>
  <si>
    <t>7_1664738179306356740</t>
  </si>
  <si>
    <t>7_1664683896460410882</t>
  </si>
  <si>
    <t>7_1658490834675982336</t>
  </si>
  <si>
    <t>7_1658444657250926592</t>
  </si>
  <si>
    <t>7_1655593385086812160</t>
  </si>
  <si>
    <t>7_1682040959650131970</t>
  </si>
  <si>
    <t>7_1668602693210734592</t>
  </si>
  <si>
    <t>7_1666096462068056068</t>
  </si>
  <si>
    <t>7_1666050224870047744</t>
  </si>
  <si>
    <t>7_1665822818007764992</t>
  </si>
  <si>
    <t>7_1665762761005989890</t>
  </si>
  <si>
    <t>7_1659170901261266945</t>
  </si>
  <si>
    <t>7_1658940592393420800</t>
  </si>
  <si>
    <t>7_1658849633798324227</t>
  </si>
  <si>
    <t>7_1656411316980965376</t>
  </si>
  <si>
    <t>7_1656298085033603072</t>
  </si>
  <si>
    <t>7_1656027115005804546</t>
  </si>
  <si>
    <t>7_1697629334171766784</t>
  </si>
  <si>
    <t>7_1681650993174392832</t>
  </si>
  <si>
    <t>7_1674088718263541761</t>
  </si>
  <si>
    <t>7_1674019809921572866</t>
  </si>
  <si>
    <t>7_1666458154652033026</t>
  </si>
  <si>
    <t>7_1657398285131186180</t>
  </si>
  <si>
    <t>7_1657351978853318657</t>
  </si>
  <si>
    <t>7_1657018438936567810</t>
  </si>
  <si>
    <t>7_1704129798300401664</t>
  </si>
  <si>
    <t>7_1697606368658612224</t>
  </si>
  <si>
    <t>7_1691421204274446336</t>
  </si>
  <si>
    <t>7_1677671849939836928</t>
  </si>
  <si>
    <t>7_1670095766906339332</t>
  </si>
  <si>
    <t>7_1663204482392399874</t>
  </si>
  <si>
    <t>7_1662472348098854913</t>
  </si>
  <si>
    <t>7_1662202786602180610</t>
  </si>
  <si>
    <t>7_1704628722043654144</t>
  </si>
  <si>
    <t>7_1698696155394129920</t>
  </si>
  <si>
    <t>7_1691083641982455810</t>
  </si>
  <si>
    <t>7_1668360521685368834</t>
  </si>
  <si>
    <t>7_1668270741127671809</t>
  </si>
  <si>
    <t>7_1668240008791064577</t>
  </si>
  <si>
    <t>7_1661026745406099458</t>
  </si>
  <si>
    <t>7_1660752730351124481</t>
  </si>
  <si>
    <t>7_1659937880310009856</t>
  </si>
  <si>
    <t>7_1659898801895661568</t>
  </si>
  <si>
    <t>7_1705593471896027136</t>
  </si>
  <si>
    <t>7_1697977318587686912</t>
  </si>
  <si>
    <t>7_1692153497431547904</t>
  </si>
  <si>
    <t>7_1691823377634205697</t>
  </si>
  <si>
    <t>7_1691595663803355138</t>
  </si>
  <si>
    <t>7_1669002438894837761</t>
  </si>
  <si>
    <t>7_1668977240384712705</t>
  </si>
  <si>
    <t>7_1706667295081406464</t>
  </si>
  <si>
    <t>7_1704483541810085888</t>
  </si>
  <si>
    <t>7_1692924811335405568</t>
  </si>
  <si>
    <t>7_1692658803378929664</t>
  </si>
  <si>
    <t>7_1692505265344565248</t>
  </si>
  <si>
    <t>7_1685301048783634433</t>
  </si>
  <si>
    <t>7_1684958583832674304</t>
  </si>
  <si>
    <t>7_1664375659202854918</t>
  </si>
  <si>
    <t>7_1664287935666208771</t>
  </si>
  <si>
    <t>7_1663573435820265474</t>
  </si>
  <si>
    <t>7_1654926383531819010</t>
  </si>
  <si>
    <t>7_1654876388866899971</t>
  </si>
  <si>
    <t>3_1633461521715171331</t>
  </si>
  <si>
    <t>3_1622929569685577729</t>
  </si>
  <si>
    <t>3_1630072955647451136</t>
  </si>
  <si>
    <t>3_1628007495087136770</t>
  </si>
  <si>
    <t>3_1633384824403525632</t>
  </si>
  <si>
    <t>3_1633308724180709376</t>
  </si>
  <si>
    <t>3_1633232672456691714</t>
  </si>
  <si>
    <t>3_1633155863748702220</t>
  </si>
  <si>
    <t>3_1633079063693623298</t>
  </si>
  <si>
    <t>3_1646073774238834688</t>
  </si>
  <si>
    <t>3_1647617467764678662</t>
  </si>
  <si>
    <t>3_1680953752889466880</t>
  </si>
  <si>
    <t>3_1682686190284046341</t>
  </si>
  <si>
    <t>7_1647339974944079874</t>
  </si>
  <si>
    <t>7_1675733922016108546</t>
  </si>
  <si>
    <t>7_1683920041052364813</t>
  </si>
  <si>
    <t>3_1622235715751772167</t>
  </si>
  <si>
    <t>3_1622084011463000067</t>
  </si>
  <si>
    <t>3_1622053745805721600</t>
  </si>
  <si>
    <t>3_1621841275006730241</t>
  </si>
  <si>
    <t>3_1621386282629734401</t>
  </si>
  <si>
    <t>3_1645801532871553032</t>
  </si>
  <si>
    <t>3_1644228595286433792</t>
  </si>
  <si>
    <t>3_1623846001999069187</t>
  </si>
  <si>
    <t>3_1642576161375911939</t>
  </si>
  <si>
    <t>3_1623602076340170752</t>
  </si>
  <si>
    <t>3_1623358133258145793</t>
  </si>
  <si>
    <t>3_1623114104507334656</t>
  </si>
  <si>
    <t>3_1622960309374951424</t>
  </si>
  <si>
    <t>3_1622811921882677248</t>
  </si>
  <si>
    <t>3_1647345215064231937</t>
  </si>
  <si>
    <t>3_1638143114832404480</t>
  </si>
  <si>
    <t>3_1703139691095068672</t>
  </si>
  <si>
    <t>3_1707186747933589505</t>
  </si>
  <si>
    <t>3_1621563616137809920</t>
  </si>
  <si>
    <t>3_1676521855446921218</t>
  </si>
  <si>
    <t>3_1648141759761862656</t>
  </si>
  <si>
    <t>3_1631999284450148357</t>
  </si>
  <si>
    <t>3_1631482530976219136</t>
  </si>
  <si>
    <t>3_1630952098035646464</t>
  </si>
  <si>
    <t>3_1622689840562114574</t>
  </si>
  <si>
    <t>3_1622598900631609344</t>
  </si>
  <si>
    <t>3_1637322275539111936</t>
  </si>
  <si>
    <t>3_1625281659112153089</t>
  </si>
  <si>
    <t>3_1639515693950402560</t>
  </si>
  <si>
    <t>3_1627338758604439553</t>
  </si>
  <si>
    <t>3_1645618257943035906</t>
  </si>
  <si>
    <t>3_1644046287086448662</t>
  </si>
  <si>
    <t>3_1624065746358640641</t>
  </si>
  <si>
    <t>3_1623815281662390272</t>
  </si>
  <si>
    <t>3_1642394664752799744</t>
  </si>
  <si>
    <t>3_1635622967844454400</t>
  </si>
  <si>
    <t>3_1635546001896292352</t>
  </si>
  <si>
    <t>3_1635468841332404224</t>
  </si>
  <si>
    <t>3_1635392569390555137</t>
  </si>
  <si>
    <t>3_1635316199700439041</t>
  </si>
  <si>
    <t>3_1635238506141302786</t>
  </si>
  <si>
    <t>3_1635156134444032001</t>
  </si>
  <si>
    <t>3_1635080098729656320</t>
  </si>
  <si>
    <t>3_1635003053228138504</t>
  </si>
  <si>
    <t>3_1634926301881458688</t>
  </si>
  <si>
    <t>3_1634849587276963842</t>
  </si>
  <si>
    <t>3_1634772868448780288</t>
  </si>
  <si>
    <t>3_1634696615431745536</t>
  </si>
  <si>
    <t>3_1634620315090182146</t>
  </si>
  <si>
    <t>3_1634160065681797120</t>
  </si>
  <si>
    <t>3_1634083560918319106</t>
  </si>
  <si>
    <t>3_1634006747730833409</t>
  </si>
  <si>
    <t>3_1633930271941689345</t>
  </si>
  <si>
    <t>3_1633853852930777093</t>
  </si>
  <si>
    <t>3_1633699353331134464</t>
  </si>
  <si>
    <t>3_1633622825738141696</t>
  </si>
  <si>
    <t>3_1633545904606027796</t>
  </si>
  <si>
    <t>3_1623571065850023940</t>
  </si>
  <si>
    <t>3_1623327320407789570</t>
  </si>
  <si>
    <t>3_1623083360724692993</t>
  </si>
  <si>
    <t>3_1622990777214283776</t>
  </si>
  <si>
    <t>3_1622902711871016960</t>
  </si>
  <si>
    <t>3_1647162550503579649</t>
  </si>
  <si>
    <t>3_1638050618244775938</t>
  </si>
  <si>
    <t>3_1640851226844622851</t>
  </si>
  <si>
    <t>3_1630436356886233088</t>
  </si>
  <si>
    <t>3_1629920858645975043</t>
  </si>
  <si>
    <t>3_1629403325631193090</t>
  </si>
  <si>
    <t>3_1628886841649684480</t>
  </si>
  <si>
    <t>3_1628371678811115526</t>
  </si>
  <si>
    <t>3_1627855340078305280</t>
  </si>
  <si>
    <t>3_1644805406294671361</t>
  </si>
  <si>
    <t>3_1642638228120281092</t>
  </si>
  <si>
    <t>3_1671545643985149954</t>
  </si>
  <si>
    <t>3_1673343515252727809</t>
  </si>
  <si>
    <t>3_1676623259041685504</t>
  </si>
  <si>
    <t>7_1692168174651822080</t>
  </si>
  <si>
    <t>7_1695880020277727232</t>
  </si>
  <si>
    <t>7_1697359050088812544</t>
  </si>
  <si>
    <t>7_1625265009428135936</t>
  </si>
  <si>
    <t>7_1645420289747042305</t>
  </si>
  <si>
    <t>3_1632799086242934786</t>
  </si>
  <si>
    <t>7_1631315225176621060</t>
  </si>
  <si>
    <t>3_1702048031493734400</t>
  </si>
  <si>
    <t>3_1640406214206013474</t>
  </si>
  <si>
    <t>3_1639132752640458752</t>
  </si>
  <si>
    <t>3_1641950674379325441</t>
  </si>
  <si>
    <t>3_1635376802184003585</t>
  </si>
  <si>
    <t>3_1648342924319506432</t>
  </si>
  <si>
    <t>3_1635990765682798594</t>
  </si>
  <si>
    <t>3_1635914710531952640</t>
  </si>
  <si>
    <t>7_1657751017583173633</t>
  </si>
  <si>
    <t>7_1656841953797873666</t>
  </si>
  <si>
    <t>7_1656841327747661831</t>
  </si>
  <si>
    <t>3_1691216534792712192</t>
  </si>
  <si>
    <t>3_1706462314981904384</t>
  </si>
  <si>
    <t>3_1690084199414333440</t>
  </si>
  <si>
    <t>3_1695161020199600129</t>
  </si>
  <si>
    <t>3_1625884370937544705 3_1625884370933276673</t>
  </si>
  <si>
    <t>7_1677419232290635781</t>
  </si>
  <si>
    <t>7_1677417055568502784</t>
  </si>
  <si>
    <t>3_1620095356171128841</t>
  </si>
  <si>
    <t>7_1674820256215232512</t>
  </si>
  <si>
    <t>7_1620476822134595602</t>
  </si>
  <si>
    <t>3_1625396928430194695</t>
  </si>
  <si>
    <t>3_1624981705613254659</t>
  </si>
  <si>
    <t>3_1624966666965712898</t>
  </si>
  <si>
    <t>7_1624887323690139649</t>
  </si>
  <si>
    <t>7_1630251741777215493</t>
  </si>
  <si>
    <t>7_1682108060267937794</t>
  </si>
  <si>
    <t>3_1694774318067060737 3_1694774467455557632</t>
  </si>
  <si>
    <t>3_1634623041203216385</t>
  </si>
  <si>
    <t>3_1685112772051279875</t>
  </si>
  <si>
    <t>3_1650634822031753216</t>
  </si>
  <si>
    <t>3_1629903444504113152</t>
  </si>
  <si>
    <t>3_1658803058531237890</t>
  </si>
  <si>
    <t>7_1651085288578461703</t>
  </si>
  <si>
    <t>7_1685951797993619456</t>
  </si>
  <si>
    <t>7_1686314764929036288</t>
  </si>
  <si>
    <t>7_1630969497250062336</t>
  </si>
  <si>
    <t>3_1623135816716255232</t>
  </si>
  <si>
    <t>3_1635719221827993609</t>
  </si>
  <si>
    <t>3_1638996023631663132</t>
  </si>
  <si>
    <t>3_1620498831853985810</t>
  </si>
  <si>
    <t>3_1663616303691624448</t>
  </si>
  <si>
    <t>3_1654545542108663810</t>
  </si>
  <si>
    <t>3_1674854353998323713</t>
  </si>
  <si>
    <t>3_1672314547351199758</t>
  </si>
  <si>
    <t>7_1622731341665079296</t>
  </si>
  <si>
    <t>7_1622731138765664258</t>
  </si>
  <si>
    <t>7_1622730963980525569</t>
  </si>
  <si>
    <t>7_1622730630734782466</t>
  </si>
  <si>
    <t>7_1622730467622395905</t>
  </si>
  <si>
    <t>7_1622730302144622597</t>
  </si>
  <si>
    <t>7_1622730119344271360</t>
  </si>
  <si>
    <t>7_1622729952385814529</t>
  </si>
  <si>
    <t>7_1622729790410072065</t>
  </si>
  <si>
    <t>7_1622729453410328582</t>
  </si>
  <si>
    <t>7_1622729302621003777</t>
  </si>
  <si>
    <t>7_1622729150489305096</t>
  </si>
  <si>
    <t>7_1622728963998056448</t>
  </si>
  <si>
    <t>7_1622728599630409730</t>
  </si>
  <si>
    <t>7_1622728421812969473</t>
  </si>
  <si>
    <t>7_1622728109387644928</t>
  </si>
  <si>
    <t>7_1622727939421765633</t>
  </si>
  <si>
    <t>7_1622727704444391429</t>
  </si>
  <si>
    <t>7_1622731529167204352</t>
  </si>
  <si>
    <t>7_1620075941807390722</t>
  </si>
  <si>
    <t>7_1620075758692483072</t>
  </si>
  <si>
    <t>7_1620074850470576129</t>
  </si>
  <si>
    <t>7_1620074679531601922</t>
  </si>
  <si>
    <t>7_1620074497180155905</t>
  </si>
  <si>
    <t>7_1620074308927197185</t>
  </si>
  <si>
    <t>7_1620074134230257665</t>
  </si>
  <si>
    <t>7_1620073902931120128</t>
  </si>
  <si>
    <t>7_1620073728196464642</t>
  </si>
  <si>
    <t>7_1620073485421740033</t>
  </si>
  <si>
    <t>7_1620071638447300610</t>
  </si>
  <si>
    <t>7_1620071392686342145</t>
  </si>
  <si>
    <t>7_1620071213711196163</t>
  </si>
  <si>
    <t>7_1620071041723764743</t>
  </si>
  <si>
    <t>7_1620070696201207808</t>
  </si>
  <si>
    <t>7_1620070411412152322</t>
  </si>
  <si>
    <t>7_1620070248664731650</t>
  </si>
  <si>
    <t>7_1620070070331244550</t>
  </si>
  <si>
    <t>7_1620076115451678721</t>
  </si>
  <si>
    <t>7_1627084714204098560</t>
  </si>
  <si>
    <t>7_1627084477746003968</t>
  </si>
  <si>
    <t>7_1627084218575765506</t>
  </si>
  <si>
    <t>7_1627083876995846144</t>
  </si>
  <si>
    <t>7_1627083464448303109</t>
  </si>
  <si>
    <t>7_1627083193894703112</t>
  </si>
  <si>
    <t>7_1627082957801545734</t>
  </si>
  <si>
    <t>7_1627082725583900678</t>
  </si>
  <si>
    <t>7_1627082502946029570</t>
  </si>
  <si>
    <t>7_1627082273815396358</t>
  </si>
  <si>
    <t>7_1627082044898676737</t>
  </si>
  <si>
    <t>7_1627081813125656577</t>
  </si>
  <si>
    <t>7_1627081554039296001</t>
  </si>
  <si>
    <t>7_1627081304457236481</t>
  </si>
  <si>
    <t>7_1627081073548226562</t>
  </si>
  <si>
    <t>7_1627080753124352002</t>
  </si>
  <si>
    <t>7_1627080414551752710</t>
  </si>
  <si>
    <t>7_1627079922165649409</t>
  </si>
  <si>
    <t>7_1627084972074090509</t>
  </si>
  <si>
    <t>3_1631712628895612934</t>
  </si>
  <si>
    <t>3_1628088723844759587</t>
  </si>
  <si>
    <t>3_1651659000537030683</t>
  </si>
  <si>
    <t>3_1687519382010810369</t>
  </si>
  <si>
    <t>3_1674930939393081345</t>
  </si>
  <si>
    <t>3_1674929562092814337</t>
  </si>
  <si>
    <t>7_1670009772165169156</t>
  </si>
  <si>
    <t>3_1632736691990528001</t>
  </si>
  <si>
    <t>7_1704517723097579521</t>
  </si>
  <si>
    <t>3_1704488026846494720</t>
  </si>
  <si>
    <t>7_1705259536678821894</t>
  </si>
  <si>
    <t>3_1705577136818470912</t>
  </si>
  <si>
    <t>7_1648071284658429953</t>
  </si>
  <si>
    <t>3_1705674184171335680</t>
  </si>
  <si>
    <t>7_1643650375231078402</t>
  </si>
  <si>
    <t>3_1640035723628691458</t>
  </si>
  <si>
    <t>7_1640035155799678977</t>
  </si>
  <si>
    <t>3_1639683555797155842</t>
  </si>
  <si>
    <t>7_1631000816512368647</t>
  </si>
  <si>
    <t>7_1633804252643459073</t>
  </si>
  <si>
    <t>3_1642193891972599809</t>
  </si>
  <si>
    <t>3_1624454707325423621 3_1624454707329507333 3_1624454707333812224 3_1624454707342151680</t>
  </si>
  <si>
    <t>7_1624302478941466625</t>
  </si>
  <si>
    <t>3_1672797187900579840</t>
  </si>
  <si>
    <t>3_1645111696787402752</t>
  </si>
  <si>
    <t>3_1698534228755890176</t>
  </si>
  <si>
    <t>7_1624085270588010504</t>
  </si>
  <si>
    <t>7_1688911088241479680</t>
  </si>
  <si>
    <t>3_1627039097444347904</t>
  </si>
  <si>
    <t>3_1645775723179769856</t>
  </si>
  <si>
    <t>3_1642241960760025089</t>
  </si>
  <si>
    <t>7_1697382040860041216</t>
  </si>
  <si>
    <t>7_1697382040860049408</t>
  </si>
  <si>
    <t>7_1697382094756798465</t>
  </si>
  <si>
    <t>7_1697381765717934080</t>
  </si>
  <si>
    <t>3_1682221925639102464 3_1682221931007823873</t>
  </si>
  <si>
    <t>7_1657796983527014402</t>
  </si>
  <si>
    <t>7_1660661156191543302</t>
  </si>
  <si>
    <t>7_1662856245940822021</t>
  </si>
  <si>
    <t>7_1662461449745182721</t>
  </si>
  <si>
    <t>7_1659521846235082752</t>
  </si>
  <si>
    <t>7_1659006788019138561</t>
  </si>
  <si>
    <t>7_1656132243201355776</t>
  </si>
  <si>
    <t>7_1661898468460318720</t>
  </si>
  <si>
    <t>7_1661166189656113154</t>
  </si>
  <si>
    <t>7_1667162663023984641</t>
  </si>
  <si>
    <t>7_1657438033971486723</t>
  </si>
  <si>
    <t>7_1657029126723624963</t>
  </si>
  <si>
    <t>7_1656841987394265088</t>
  </si>
  <si>
    <t>7_1656726846560518146</t>
  </si>
  <si>
    <t>7_1665412509363216386</t>
  </si>
  <si>
    <t>7_1665030177154269187</t>
  </si>
  <si>
    <t>7_1664695389390360578</t>
  </si>
  <si>
    <t>7_1658655616347385856</t>
  </si>
  <si>
    <t>3_1635346767020433442</t>
  </si>
  <si>
    <t>7_1635277931609214976</t>
  </si>
  <si>
    <t>7_1634971785497067521</t>
  </si>
  <si>
    <t>7_1634588831226757120</t>
  </si>
  <si>
    <t>7_1634516889748533251</t>
  </si>
  <si>
    <t>7_1634381107494830080</t>
  </si>
  <si>
    <t>3_1634137699492802561</t>
  </si>
  <si>
    <t>3_1633935677392822274</t>
  </si>
  <si>
    <t>7_1633443485658370048</t>
  </si>
  <si>
    <t>7_1641024750376955905</t>
  </si>
  <si>
    <t>3_1637599520144998402</t>
  </si>
  <si>
    <t>7_1636777698134573104</t>
  </si>
  <si>
    <t>3_1636694106968563712</t>
  </si>
  <si>
    <t>3_1640491776640262145</t>
  </si>
  <si>
    <t>7_1647336772177743872</t>
  </si>
  <si>
    <t>3_1638887452814237698</t>
  </si>
  <si>
    <t>7_1655016360521465858</t>
  </si>
  <si>
    <t>3_1654676712179871744</t>
  </si>
  <si>
    <t>7_1646132454283935744</t>
  </si>
  <si>
    <t>3_1643714380058570756</t>
  </si>
  <si>
    <t>7_1643660752962584581</t>
  </si>
  <si>
    <t>7_1658250720699621376</t>
  </si>
  <si>
    <t>7_1643577912078086146</t>
  </si>
  <si>
    <t>7_1636153363631861761</t>
  </si>
  <si>
    <t>7_1668550821053706241</t>
  </si>
  <si>
    <t>7_1640154787097239553</t>
  </si>
  <si>
    <t>7_1639954044847267842</t>
  </si>
  <si>
    <t>3_1639613654428467203</t>
  </si>
  <si>
    <t>7_1681307226185797633</t>
  </si>
  <si>
    <t>7_1680390166903414784</t>
  </si>
  <si>
    <t>7_1680374051611475969</t>
  </si>
  <si>
    <t>7_1680369255961731072</t>
  </si>
  <si>
    <t>7_1680069613864853504</t>
  </si>
  <si>
    <t>3_1682049366821928962</t>
  </si>
  <si>
    <t>7_1680398870470094848</t>
  </si>
  <si>
    <t>7_1684578166751498240</t>
  </si>
  <si>
    <t>3_1684216326087221252</t>
  </si>
  <si>
    <t>3_1689610595740356608</t>
  </si>
  <si>
    <t>3_1689609968742195201</t>
  </si>
  <si>
    <t>3_1681652564763332609</t>
  </si>
  <si>
    <t>7_1681500260193976320</t>
  </si>
  <si>
    <t>7_1680068264573952000</t>
  </si>
  <si>
    <t>7_1680067158699565056</t>
  </si>
  <si>
    <t>7_1680065743327571968</t>
  </si>
  <si>
    <t>7_1680063537102692353</t>
  </si>
  <si>
    <t>7_1679882484979204096</t>
  </si>
  <si>
    <t>3_1691454844270436352</t>
  </si>
  <si>
    <t>3_1691453750391779329</t>
  </si>
  <si>
    <t>3_1691452775870398464</t>
  </si>
  <si>
    <t>7_1702807208772124673</t>
  </si>
  <si>
    <t>3_1692643089121267712</t>
  </si>
  <si>
    <t>3_1692640288299171840</t>
  </si>
  <si>
    <t>3_1692637960091389952</t>
  </si>
  <si>
    <t>3_1692257646856785921</t>
  </si>
  <si>
    <t>3_1692257498781089792</t>
  </si>
  <si>
    <t>3_1692257198615805952</t>
  </si>
  <si>
    <t>7_1686024814572564480</t>
  </si>
  <si>
    <t>3_1684915875919335425</t>
  </si>
  <si>
    <t>3_1635343395433357312</t>
  </si>
  <si>
    <t>3_1701358133510090752</t>
  </si>
  <si>
    <t>7_1640452189981143040</t>
  </si>
  <si>
    <t>7_1625902514380976132</t>
  </si>
  <si>
    <t>3_1661388041884168192</t>
  </si>
  <si>
    <t>7_1671157434768056325</t>
  </si>
  <si>
    <t>3_1682763768533598208</t>
  </si>
  <si>
    <t>3_1681408836102438928</t>
  </si>
  <si>
    <t>3_1703446044913086464 3_1703446044904767489 3_1703446044908888064 3_1703446044908920832</t>
  </si>
  <si>
    <t>3_1703445625046450176 3_1703445625021288448 3_1703445625017143296 3_1703445625017131008</t>
  </si>
  <si>
    <t>3_1703384659151798272 3_1703384659134984192 3_1703384659139174400 3_1703384659147534336</t>
  </si>
  <si>
    <t>3_1703242563308687361 3_1703242563304431616</t>
  </si>
  <si>
    <t>3_1703575670431834112 3_1703575670440267776</t>
  </si>
  <si>
    <t>3_1703547034416844800 3_1703547034412707840 3_1703547034404368385 3_1703547034416902144</t>
  </si>
  <si>
    <t>3_1703546694363713536 3_1703546694359457792 3_1703546694359474176 3_1703546694363668480</t>
  </si>
  <si>
    <t>3_1703235446090633216 3_1703235446099075073 3_1703235446099046400 3_1703235446086549504</t>
  </si>
  <si>
    <t>3_1703233302130216960 3_1703233302126051330</t>
  </si>
  <si>
    <t>7_1703229615185985536</t>
  </si>
  <si>
    <t>3_1703226343142383617 3_1703226343146618880 3_1703226343142383616 3_1703226343146627072</t>
  </si>
  <si>
    <t>3_1682178772898918400</t>
  </si>
  <si>
    <t>7_1636420591119941663</t>
  </si>
  <si>
    <t>3_1635213293450043393</t>
  </si>
  <si>
    <t>3_1648493767081467904</t>
  </si>
  <si>
    <t>3_1669727802520662016</t>
  </si>
  <si>
    <t>7_1665558053968838656</t>
  </si>
  <si>
    <t>3_1660840693785415680</t>
  </si>
  <si>
    <t>7_1668929286504415233</t>
  </si>
  <si>
    <t>3_1668927825930342401</t>
  </si>
  <si>
    <t>3_1668927387210244096</t>
  </si>
  <si>
    <t>3_1676683066503299072</t>
  </si>
  <si>
    <t>3_1676617917327196160</t>
  </si>
  <si>
    <t>3_1676617742739226626</t>
  </si>
  <si>
    <t>3_1676617589781348355</t>
  </si>
  <si>
    <t>3_1676321818230026242</t>
  </si>
  <si>
    <t>3_1676241730142601217</t>
  </si>
  <si>
    <t>3_1676241527964663809</t>
  </si>
  <si>
    <t>3_1669429113084338177</t>
  </si>
  <si>
    <t>3_1669428872436240389</t>
  </si>
  <si>
    <t>3_1669428581523509254</t>
  </si>
  <si>
    <t>3_1669427931460915211</t>
  </si>
  <si>
    <t>3_1669427738862600193</t>
  </si>
  <si>
    <t>3_1669047824313376783</t>
  </si>
  <si>
    <t>3_1669047505563049988</t>
  </si>
  <si>
    <t>3_1669041143802212357</t>
  </si>
  <si>
    <t>3_1669040186162831361</t>
  </si>
  <si>
    <t>3_1668993198172131329</t>
  </si>
  <si>
    <t>3_1668656698880393216</t>
  </si>
  <si>
    <t>3_1668656594366734337</t>
  </si>
  <si>
    <t>3_1661798512118431747</t>
  </si>
  <si>
    <t>3_1661794892018774016</t>
  </si>
  <si>
    <t>3_1661794699957379073</t>
  </si>
  <si>
    <t>3_1661794553467138049</t>
  </si>
  <si>
    <t>3_1661794471598587909</t>
  </si>
  <si>
    <t>3_1661767827768979459</t>
  </si>
  <si>
    <t>3_1661445850424389632</t>
  </si>
  <si>
    <t>3_1661445251406462977</t>
  </si>
  <si>
    <t>3_1661429417552347136</t>
  </si>
  <si>
    <t>3_1661429295254831127</t>
  </si>
  <si>
    <t>3_1661429196869042199</t>
  </si>
  <si>
    <t>3_1661429089822027776</t>
  </si>
  <si>
    <t>3_1661400447595298816</t>
  </si>
  <si>
    <t>3_1661400361268133889</t>
  </si>
  <si>
    <t>3_1653452990223613981</t>
  </si>
  <si>
    <t>3_1653452900557889536</t>
  </si>
  <si>
    <t>3_1653452773952716807</t>
  </si>
  <si>
    <t>3_1653452685629063182</t>
  </si>
  <si>
    <t>3_1653423655366393866</t>
  </si>
  <si>
    <t>3_1653423513884139522</t>
  </si>
  <si>
    <t>3_1652032811086348288</t>
  </si>
  <si>
    <t>3_1652026843506065412</t>
  </si>
  <si>
    <t>3_1652018519578427395</t>
  </si>
  <si>
    <t>3_1652014743769448448</t>
  </si>
  <si>
    <t>3_1652014385647239181</t>
  </si>
  <si>
    <t>3_1651968692236828673</t>
  </si>
  <si>
    <t>3_1651968548590215170</t>
  </si>
  <si>
    <t>3_1651968430789066753</t>
  </si>
  <si>
    <t>3_1641864017881735169</t>
  </si>
  <si>
    <t>3_1641863761022656513</t>
  </si>
  <si>
    <t>3_1641863508319952906</t>
  </si>
  <si>
    <t>3_1641860257818238986</t>
  </si>
  <si>
    <t>3_1641859541309571072</t>
  </si>
  <si>
    <t>3_1641859198865604608</t>
  </si>
  <si>
    <t>3_1641858992275070976</t>
  </si>
  <si>
    <t>3_1674492133347033088</t>
  </si>
  <si>
    <t>3_1674466237231816704</t>
  </si>
  <si>
    <t>3_1674466101856546840</t>
  </si>
  <si>
    <t>3_1674465988811665414</t>
  </si>
  <si>
    <t>3_1674465019751280654</t>
  </si>
  <si>
    <t>3_1671214185814818828</t>
  </si>
  <si>
    <t>3_1670888568024100879</t>
  </si>
  <si>
    <t>3_1670875554881458177</t>
  </si>
  <si>
    <t>3_1670875335670341632</t>
  </si>
  <si>
    <t>3_1670873099045150722</t>
  </si>
  <si>
    <t>3_1670864259675299845</t>
  </si>
  <si>
    <t>3_1666152067604332547</t>
  </si>
  <si>
    <t>3_1666150977651474438</t>
  </si>
  <si>
    <t>3_1666150839470137344</t>
  </si>
  <si>
    <t>3_1666147499453579268</t>
  </si>
  <si>
    <t>3_1659655557488189447</t>
  </si>
  <si>
    <t>3_1659654592563490816</t>
  </si>
  <si>
    <t>3_1659596152755331073</t>
  </si>
  <si>
    <t>3_1659595937738637315</t>
  </si>
  <si>
    <t>3_1659595790677950465</t>
  </si>
  <si>
    <t>3_1659595644267380752</t>
  </si>
  <si>
    <t>3_1658206589914947584</t>
  </si>
  <si>
    <t>3_1658205986371280936</t>
  </si>
  <si>
    <t>3_1658185294019977221</t>
  </si>
  <si>
    <t>3_1658184575497953285</t>
  </si>
  <si>
    <t>3_1658184403812507657</t>
  </si>
  <si>
    <t>3_1658184262703538207</t>
  </si>
  <si>
    <t>3_1654200145561505794</t>
  </si>
  <si>
    <t>3_1654199570954440715</t>
  </si>
  <si>
    <t>3_1654154440830582786</t>
  </si>
  <si>
    <t>3_1654154354205548544</t>
  </si>
  <si>
    <t>3_1654154156427321344</t>
  </si>
  <si>
    <t>3_1654141479630036992</t>
  </si>
  <si>
    <t>3_1653835144996724761</t>
  </si>
  <si>
    <t>3_1653812617448763402</t>
  </si>
  <si>
    <t>3_1653812494341746696</t>
  </si>
  <si>
    <t>3_1653812268021235712</t>
  </si>
  <si>
    <t>3_1653812140061470732</t>
  </si>
  <si>
    <t>3_1653812025674412051</t>
  </si>
  <si>
    <t>3_1648414731114364937</t>
  </si>
  <si>
    <t>3_1648414586339508226</t>
  </si>
  <si>
    <t>3_1648384065123254275</t>
  </si>
  <si>
    <t>3_1648383922353369089</t>
  </si>
  <si>
    <t>3_1648383718799597568</t>
  </si>
  <si>
    <t>3_1643310926085365773</t>
  </si>
  <si>
    <t>3_1643310803632771072</t>
  </si>
  <si>
    <t>3_1643310632555479040</t>
  </si>
  <si>
    <t>3_1643310280779112461</t>
  </si>
  <si>
    <t>3_1643310080278888449</t>
  </si>
  <si>
    <t>3_1642944002763767819</t>
  </si>
  <si>
    <t>3_1642943896794677277</t>
  </si>
  <si>
    <t>3_1642901980023603200</t>
  </si>
  <si>
    <t>3_1642901830228115459</t>
  </si>
  <si>
    <t>3_1642900952024772612</t>
  </si>
  <si>
    <t>3_1636457269754834944</t>
  </si>
  <si>
    <t>3_1636457042868051991</t>
  </si>
  <si>
    <t>3_1636456860289998864</t>
  </si>
  <si>
    <t>3_1636456650004373506</t>
  </si>
  <si>
    <t>3_1636073228807335936</t>
  </si>
  <si>
    <t>3_1636072572554018816</t>
  </si>
  <si>
    <t>3_1636072573749407746</t>
  </si>
  <si>
    <t>3_1636071525886435329</t>
  </si>
  <si>
    <t>3_1675916499536556053</t>
  </si>
  <si>
    <t>3_1675916242157285402</t>
  </si>
  <si>
    <t>3_1675916113731891242</t>
  </si>
  <si>
    <t>3_1668336841534185476</t>
  </si>
  <si>
    <t>3_1668336708767604751</t>
  </si>
  <si>
    <t>3_1668336515225735168</t>
  </si>
  <si>
    <t>3_1668336359314976768</t>
  </si>
  <si>
    <t>3_1668336052216422403</t>
  </si>
  <si>
    <t>3_1668284378667950080</t>
  </si>
  <si>
    <t>3_1668284222119768064</t>
  </si>
  <si>
    <t>3_1661028725100621830</t>
  </si>
  <si>
    <t>3_1661028553201180673</t>
  </si>
  <si>
    <t>3_1661028276033265664</t>
  </si>
  <si>
    <t>3_1660704628751712256</t>
  </si>
  <si>
    <t>3_1660704162932203533</t>
  </si>
  <si>
    <t>3_1660671758750433281</t>
  </si>
  <si>
    <t>3_1660671596850302976</t>
  </si>
  <si>
    <t>3_1660667932848844800</t>
  </si>
  <si>
    <t>3_1660664399428833292</t>
  </si>
  <si>
    <t>3_1650594761516916758</t>
  </si>
  <si>
    <t>3_1650594619464228888</t>
  </si>
  <si>
    <t>3_1650520501842788356</t>
  </si>
  <si>
    <t>3_1650520312272896002</t>
  </si>
  <si>
    <t>3_1650516574976049153</t>
  </si>
  <si>
    <t>3_1650516463726239745</t>
  </si>
  <si>
    <t>3_1649139784936222731</t>
  </si>
  <si>
    <t>3_1649139408258383873</t>
  </si>
  <si>
    <t>3_1649139288192217099</t>
  </si>
  <si>
    <t>3_1649062717636919296</t>
  </si>
  <si>
    <t>3_1649056393947758592</t>
  </si>
  <si>
    <t>3_1641495754781908993</t>
  </si>
  <si>
    <t>3_1641495455895896064</t>
  </si>
  <si>
    <t>3_1641495279877648385</t>
  </si>
  <si>
    <t>3_1641491062068764672</t>
  </si>
  <si>
    <t>3_1641490956229783555</t>
  </si>
  <si>
    <t>3_1641490858846433304</t>
  </si>
  <si>
    <t>3_1641145955327016976</t>
  </si>
  <si>
    <t>3_1641145921399291912</t>
  </si>
  <si>
    <t>3_1641145581216071696</t>
  </si>
  <si>
    <t>3_1641140160057188353</t>
  </si>
  <si>
    <t>3_1641139998408704000</t>
  </si>
  <si>
    <t>3_1641139863356407810</t>
  </si>
  <si>
    <t>3_1679934198394568723</t>
  </si>
  <si>
    <t>3_1679934055024869376</t>
  </si>
  <si>
    <t>3_1679871214146187265</t>
  </si>
  <si>
    <t>3_1679871059774828546</t>
  </si>
  <si>
    <t>3_1679558664166711304</t>
  </si>
  <si>
    <t>3_1674142776764538880</t>
  </si>
  <si>
    <t>3_1674141768831344650</t>
  </si>
  <si>
    <t>3_1674092494332600323</t>
  </si>
  <si>
    <t>3_1674091709121146880</t>
  </si>
  <si>
    <t>3_1674090711635902466</t>
  </si>
  <si>
    <t>3_1673785495334133760</t>
  </si>
  <si>
    <t>3_1673747757251588097</t>
  </si>
  <si>
    <t>3_1673747447141597184</t>
  </si>
  <si>
    <t>3_1673411708688166914</t>
  </si>
  <si>
    <t>3_1673411369280892939</t>
  </si>
  <si>
    <t>3_1673351052408569856</t>
  </si>
  <si>
    <t>3_1673350531614384129</t>
  </si>
  <si>
    <t>3_1673350478686560259</t>
  </si>
  <si>
    <t>3_1667252117172637706</t>
  </si>
  <si>
    <t>3_1667251147986403329</t>
  </si>
  <si>
    <t>3_1667250629515923459</t>
  </si>
  <si>
    <t>3_1667250447902560279</t>
  </si>
  <si>
    <t>3_1667250259037151234</t>
  </si>
  <si>
    <t>3_1666514774006349824</t>
  </si>
  <si>
    <t>3_1666514323919740942</t>
  </si>
  <si>
    <t>3_1666514185604177921</t>
  </si>
  <si>
    <t>3_1666513973057822737</t>
  </si>
  <si>
    <t>3_1666513826022301729</t>
  </si>
  <si>
    <t>3_1657103350758887431</t>
  </si>
  <si>
    <t>3_1657103247675478030</t>
  </si>
  <si>
    <t>3_1657049920300371971</t>
  </si>
  <si>
    <t>3_1657049767107493888</t>
  </si>
  <si>
    <t>3_1657049674866458624</t>
  </si>
  <si>
    <t>3_1657049563612471298</t>
  </si>
  <si>
    <t>3_1656751658410340352</t>
  </si>
  <si>
    <t>3_1656712046195490819</t>
  </si>
  <si>
    <t>3_1656711348141670407</t>
  </si>
  <si>
    <t>3_1656711244605276191</t>
  </si>
  <si>
    <t>3_1656711024727277572</t>
  </si>
  <si>
    <t>3_1656710939247362054</t>
  </si>
  <si>
    <t>3_1648036148004941838</t>
  </si>
  <si>
    <t>3_1648035947366215701</t>
  </si>
  <si>
    <t>3_1648027568308715520</t>
  </si>
  <si>
    <t>3_1648025290310926348</t>
  </si>
  <si>
    <t>3_1648025083779186692</t>
  </si>
  <si>
    <t>3_1648024951960530947</t>
  </si>
  <si>
    <t>3_1639317476033937437</t>
  </si>
  <si>
    <t>3_1639317279644041224</t>
  </si>
  <si>
    <t>3_1638984239776509952</t>
  </si>
  <si>
    <t>3_1638979460828483586</t>
  </si>
  <si>
    <t>3_1638979315382509568</t>
  </si>
  <si>
    <t>3_1638978806512865295</t>
  </si>
  <si>
    <t>3_1638978652170866708</t>
  </si>
  <si>
    <t>3_1638613585462018054</t>
  </si>
  <si>
    <t>3_1638613438422216704</t>
  </si>
  <si>
    <t>3_1638613325155033089</t>
  </si>
  <si>
    <t>3_1638613075673722884</t>
  </si>
  <si>
    <t>3_1638612968190386205</t>
  </si>
  <si>
    <t>3_1638612656352272397</t>
  </si>
  <si>
    <t>3_1638274825734049816</t>
  </si>
  <si>
    <t>3_1638261857239683075</t>
  </si>
  <si>
    <t>3_1638261836200964096</t>
  </si>
  <si>
    <t>3_1638261543044370447</t>
  </si>
  <si>
    <t>3_1638261396424065024</t>
  </si>
  <si>
    <t>3_1638261214064136211</t>
  </si>
  <si>
    <t>3_1637900735189864449</t>
  </si>
  <si>
    <t>3_1637877176736292878</t>
  </si>
  <si>
    <t>3_1637876981504024583</t>
  </si>
  <si>
    <t>3_1637876893343948813</t>
  </si>
  <si>
    <t>3_1637876371555852288</t>
  </si>
  <si>
    <t>3_1637876160045408256</t>
  </si>
  <si>
    <t>3_1679558512609828864</t>
  </si>
  <si>
    <t>3_1679558424210579457</t>
  </si>
  <si>
    <t>3_1679558171730255884</t>
  </si>
  <si>
    <t>3_1679177129819357197</t>
  </si>
  <si>
    <t>3_1679177037385170944</t>
  </si>
  <si>
    <t>3_1679176928689889280</t>
  </si>
  <si>
    <t>3_1679176810632822803</t>
  </si>
  <si>
    <t>3_1678517489213243392</t>
  </si>
  <si>
    <t>3_1678517347320057860</t>
  </si>
  <si>
    <t>3_1678517250226044929</t>
  </si>
  <si>
    <t>3_1678517140167487492</t>
  </si>
  <si>
    <t>3_1678517139639005187</t>
  </si>
  <si>
    <t>3_1664675602870173708</t>
  </si>
  <si>
    <t>3_1664674193944846337</t>
  </si>
  <si>
    <t>3_1664338382225395712</t>
  </si>
  <si>
    <t>3_1664338268551360514</t>
  </si>
  <si>
    <t>3_1664338037092786188</t>
  </si>
  <si>
    <t>3_1664337890195677190</t>
  </si>
  <si>
    <t>3_1664323152128753699</t>
  </si>
  <si>
    <t>3_1664322891318542378</t>
  </si>
  <si>
    <t>3_1663987533573652487</t>
  </si>
  <si>
    <t>3_1663987370033553416</t>
  </si>
  <si>
    <t>3_1663615519767896065</t>
  </si>
  <si>
    <t>3_1663615366403178498</t>
  </si>
  <si>
    <t>3_1663615211633254400</t>
  </si>
  <si>
    <t>3_1663615068133552128</t>
  </si>
  <si>
    <t>3_1663614812566241280</t>
  </si>
  <si>
    <t>3_1654571813928685571</t>
  </si>
  <si>
    <t>3_1654571724258541569</t>
  </si>
  <si>
    <t>3_1654542607966515200</t>
  </si>
  <si>
    <t>3_1654510694379692032</t>
  </si>
  <si>
    <t>3_1654510583201382400</t>
  </si>
  <si>
    <t>3_1654501428814131200</t>
  </si>
  <si>
    <t>3_1646228611995688963</t>
  </si>
  <si>
    <t>3_1646228508350218248</t>
  </si>
  <si>
    <t>3_1646225382519996416</t>
  </si>
  <si>
    <t>3_1646225121395240962</t>
  </si>
  <si>
    <t>3_1645874307480928260</t>
  </si>
  <si>
    <t>3_1645873950818287618</t>
  </si>
  <si>
    <t>3_1645860315593166865</t>
  </si>
  <si>
    <t>3_1645860058788515863</t>
  </si>
  <si>
    <t>3_1645859651425128452</t>
  </si>
  <si>
    <t>3_1645490128935108608</t>
  </si>
  <si>
    <t>3_1645490000836927489</t>
  </si>
  <si>
    <t>3_1645482341740027907</t>
  </si>
  <si>
    <t>3_1645451452758777856</t>
  </si>
  <si>
    <t>3_1645451291332689923</t>
  </si>
  <si>
    <t>3_1644058997413105695</t>
  </si>
  <si>
    <t>3_1644008301041004544</t>
  </si>
  <si>
    <t>3_1644003364571684866</t>
  </si>
  <si>
    <t>3_1644003200012263425</t>
  </si>
  <si>
    <t>3_1644002930486308864</t>
  </si>
  <si>
    <t>3_1643701148056969216</t>
  </si>
  <si>
    <t>3_1643691755131269120</t>
  </si>
  <si>
    <t>3_1643691635924926472</t>
  </si>
  <si>
    <t>3_1643691281535598592</t>
  </si>
  <si>
    <t>3_1643690899090595864</t>
  </si>
  <si>
    <t>3_1681372966032900111</t>
  </si>
  <si>
    <t>3_1681346882872786945</t>
  </si>
  <si>
    <t>3_1681345953058504720</t>
  </si>
  <si>
    <t>3_1677363724921839630</t>
  </si>
  <si>
    <t>3_1677363546986872833</t>
  </si>
  <si>
    <t>3_1677012636506939392</t>
  </si>
  <si>
    <t>3_1677012487940497414</t>
  </si>
  <si>
    <t>3_1677012227755237384</t>
  </si>
  <si>
    <t>3_1677012097689894913</t>
  </si>
  <si>
    <t>3_1677011680469868552</t>
  </si>
  <si>
    <t>3_1668656468428480512</t>
  </si>
  <si>
    <t>3_1668656333158006785</t>
  </si>
  <si>
    <t>3_1665781410479652864</t>
  </si>
  <si>
    <t>3_1665781232397963268</t>
  </si>
  <si>
    <t>3_1665780748232556545</t>
  </si>
  <si>
    <t>3_1665780384452182017</t>
  </si>
  <si>
    <t>3_1659268676225310740</t>
  </si>
  <si>
    <t>3_1659268236758642688</t>
  </si>
  <si>
    <t>3_1659268076456615954</t>
  </si>
  <si>
    <t>3_1659267783165607937</t>
  </si>
  <si>
    <t>3_1659206810551857155</t>
  </si>
  <si>
    <t>3_1659206681061130245</t>
  </si>
  <si>
    <t>3_1658931495636017155</t>
  </si>
  <si>
    <t>3_1658926705908543492</t>
  </si>
  <si>
    <t>3_1658897195460861958</t>
  </si>
  <si>
    <t>3_1658896853969117185</t>
  </si>
  <si>
    <t>3_1658896093361348608</t>
  </si>
  <si>
    <t>3_1658895990412255235</t>
  </si>
  <si>
    <t>3_1656388464978321409</t>
  </si>
  <si>
    <t>3_1656361021932466184</t>
  </si>
  <si>
    <t>3_1656360907591544847</t>
  </si>
  <si>
    <t>3_1656360806336872449</t>
  </si>
  <si>
    <t>3_1656360679635386368</t>
  </si>
  <si>
    <t>3_1656360570646396931</t>
  </si>
  <si>
    <t>3_1656011619850231837</t>
  </si>
  <si>
    <t>3_1648756055801749521</t>
  </si>
  <si>
    <t>3_1648755292413255703</t>
  </si>
  <si>
    <t>3_1648708936625790979</t>
  </si>
  <si>
    <t>3_1648708760427196418</t>
  </si>
  <si>
    <t>3_1648708657498955779</t>
  </si>
  <si>
    <t>3_1648708537420316672</t>
  </si>
  <si>
    <t>3_1639359517136674821</t>
  </si>
  <si>
    <t>3_1639359357782482944</t>
  </si>
  <si>
    <t>3_1639318750762614813</t>
  </si>
  <si>
    <t>3_1639317781857353728</t>
  </si>
  <si>
    <t>3_1639317530484391953</t>
  </si>
  <si>
    <t>3_1682090681160835088</t>
  </si>
  <si>
    <t>3_1682090581961371648</t>
  </si>
  <si>
    <t>3_1682090440395304960</t>
  </si>
  <si>
    <t>3_1674803906319204352</t>
  </si>
  <si>
    <t>3_1674803794188591105</t>
  </si>
  <si>
    <t>3_1674803640693927937</t>
  </si>
  <si>
    <t>3_1674803476092551170</t>
  </si>
  <si>
    <t>3_1672279846884343808</t>
  </si>
  <si>
    <t>3_1672279703346982917</t>
  </si>
  <si>
    <t>3_1672279536644308994</t>
  </si>
  <si>
    <t>3_1672279404620271619</t>
  </si>
  <si>
    <t>3_1671948836099555334</t>
  </si>
  <si>
    <t>3_1671945595060191239</t>
  </si>
  <si>
    <t>3_1671945461895233567</t>
  </si>
  <si>
    <t>3_1671945243103490050</t>
  </si>
  <si>
    <t>3_1671215152861937678</t>
  </si>
  <si>
    <t>3_1671214620806086665</t>
  </si>
  <si>
    <t>3_1671214464211771392</t>
  </si>
  <si>
    <t>3_1671214332867117064</t>
  </si>
  <si>
    <t>3_1664693681327095808</t>
  </si>
  <si>
    <t>3_1664676007171825664</t>
  </si>
  <si>
    <t>3_1658551368892796944</t>
  </si>
  <si>
    <t>3_1658549078416818177</t>
  </si>
  <si>
    <t>3_1658543905351032839</t>
  </si>
  <si>
    <t>3_1658490527925559301</t>
  </si>
  <si>
    <t>3_1658490412921675776</t>
  </si>
  <si>
    <t>3_1655963920686010374</t>
  </si>
  <si>
    <t>3_1655963589746851840</t>
  </si>
  <si>
    <t>3_1655963093116280835</t>
  </si>
  <si>
    <t>3_1655960861289381890</t>
  </si>
  <si>
    <t>3_1655960592254124032</t>
  </si>
  <si>
    <t>3_1655960493222428673</t>
  </si>
  <si>
    <t>3_1655598562955198468</t>
  </si>
  <si>
    <t>3_1655594239093358595</t>
  </si>
  <si>
    <t>3_1655593944250564615</t>
  </si>
  <si>
    <t>3_1655593705154179073</t>
  </si>
  <si>
    <t>3_1646967571399299078</t>
  </si>
  <si>
    <t>3_1646966822179164168</t>
  </si>
  <si>
    <t>3_1646966080001146880</t>
  </si>
  <si>
    <t>3_1646965813495189506</t>
  </si>
  <si>
    <t>3_1646965696075649047</t>
  </si>
  <si>
    <t>3_1646965532309049348</t>
  </si>
  <si>
    <t>3_1646591875485257737</t>
  </si>
  <si>
    <t>3_1646591747135361034</t>
  </si>
  <si>
    <t>3_1646591549155815424</t>
  </si>
  <si>
    <t>3_1646591400329334795</t>
  </si>
  <si>
    <t>3_1646572882770657280</t>
  </si>
  <si>
    <t>3_1646571259646410758</t>
  </si>
  <si>
    <t>3_1646571091656146954</t>
  </si>
  <si>
    <t>3_1646228910776909824</t>
  </si>
  <si>
    <t>3_1646228718132527118</t>
  </si>
  <si>
    <t>3_1636806293963800603</t>
  </si>
  <si>
    <t>3_1636806137554010129</t>
  </si>
  <si>
    <t>3_1636804890193166372</t>
  </si>
  <si>
    <t>3_1636771859566936072</t>
  </si>
  <si>
    <t>3_1636767049002131459</t>
  </si>
  <si>
    <t>3_1636766643522093060</t>
  </si>
  <si>
    <t>3_1636457737033850882</t>
  </si>
  <si>
    <t>3_1636457569588748305</t>
  </si>
  <si>
    <t>3_1695163460139540480</t>
  </si>
  <si>
    <t>3_1677382748225282048</t>
  </si>
  <si>
    <t>3_1669799630526095373</t>
  </si>
  <si>
    <t>3_1669799084826173474</t>
  </si>
  <si>
    <t>3_1669796690444820507</t>
  </si>
  <si>
    <t>3_1669724473900015616</t>
  </si>
  <si>
    <t>3_1663239649546862623</t>
  </si>
  <si>
    <t>3_1663232992888619008</t>
  </si>
  <si>
    <t>3_1663206981321084929</t>
  </si>
  <si>
    <t>3_1663206826354122754</t>
  </si>
  <si>
    <t>3_1663199120905863169</t>
  </si>
  <si>
    <t>3_1662197316386791424</t>
  </si>
  <si>
    <t>3_1662195571556339717</t>
  </si>
  <si>
    <t>3_1662130839948345347</t>
  </si>
  <si>
    <t>3_1662113605507076101</t>
  </si>
  <si>
    <t>3_1662112516942487553</t>
  </si>
  <si>
    <t>3_1662112385081933827</t>
  </si>
  <si>
    <t>3_1651674648185040902</t>
  </si>
  <si>
    <t>3_1651642750129799168</t>
  </si>
  <si>
    <t>3_1651642421707415559</t>
  </si>
  <si>
    <t>3_1651308021102805024</t>
  </si>
  <si>
    <t>3_1651307847676723244</t>
  </si>
  <si>
    <t>3_1651307844644241438</t>
  </si>
  <si>
    <t>3_1651246141768433666</t>
  </si>
  <si>
    <t>3_1651243388648271872</t>
  </si>
  <si>
    <t>3_1651243281135685632</t>
  </si>
  <si>
    <t>3_1651243067024760834</t>
  </si>
  <si>
    <t>3_1650948324684333058</t>
  </si>
  <si>
    <t>3_1650933005026730007</t>
  </si>
  <si>
    <t>3_1650932843281784839</t>
  </si>
  <si>
    <t>3_1650932631951769600</t>
  </si>
  <si>
    <t>3_1650889433929981953</t>
  </si>
  <si>
    <t>3_1650874939220586499</t>
  </si>
  <si>
    <t>3_1640799010247045120</t>
  </si>
  <si>
    <t>3_1640798749583724552</t>
  </si>
  <si>
    <t>3_1640767574043492362</t>
  </si>
  <si>
    <t>3_1640767395634577425</t>
  </si>
  <si>
    <t>3_1640767286075174912</t>
  </si>
  <si>
    <t>3_1640767083083362304</t>
  </si>
  <si>
    <t>3_1640766865415831564</t>
  </si>
  <si>
    <t>3_1640440153226223620</t>
  </si>
  <si>
    <t>3_1640437170937667604</t>
  </si>
  <si>
    <t>3_1640436936278933505</t>
  </si>
  <si>
    <t>3_1640435523784265729</t>
  </si>
  <si>
    <t>3_1640435295295242240</t>
  </si>
  <si>
    <t>3_1640435193998614541</t>
  </si>
  <si>
    <t>3_1640435088591581185</t>
  </si>
  <si>
    <t>7_1692185386884145152 3_1692185413375438848 3_1692185416592429056 3_1692185421596241920</t>
  </si>
  <si>
    <t>3_1706735794788925440</t>
  </si>
  <si>
    <t>3_1660076933613252610</t>
  </si>
  <si>
    <t>3_1634241852932014092</t>
  </si>
  <si>
    <t>3_1633649756634329095 3_1633649759377321985 3_1633649762296643584</t>
  </si>
  <si>
    <t>3_1666606243794788353</t>
  </si>
  <si>
    <t>3_1623348299204894721</t>
  </si>
  <si>
    <t>3_1637745674350469120</t>
  </si>
  <si>
    <t>3_1649139067181756420</t>
  </si>
  <si>
    <t>7_1666566843245445120</t>
  </si>
  <si>
    <t>3_1646333120667348994</t>
  </si>
  <si>
    <t>3_1681269637709807616</t>
  </si>
  <si>
    <t>3_1645971896331116545</t>
  </si>
  <si>
    <t>3_1648356381492166656</t>
  </si>
  <si>
    <t>3_1637913527821258752</t>
  </si>
  <si>
    <t>3_1650494961182277636</t>
  </si>
  <si>
    <t>7_1653058753611038720</t>
  </si>
  <si>
    <t>7_1695536059939995649</t>
  </si>
  <si>
    <t>3_1656748021403512848</t>
  </si>
  <si>
    <t>3_1629632742332723201</t>
  </si>
  <si>
    <t>7_1641078898015256580</t>
  </si>
  <si>
    <t>3_1659031801900179465</t>
  </si>
  <si>
    <t>3_1657042942370955265</t>
  </si>
  <si>
    <t>7_1682252589520371713</t>
  </si>
  <si>
    <t>3_1678752236359282689</t>
  </si>
  <si>
    <t>3_1677655104034308096</t>
  </si>
  <si>
    <t>3_1677400382362755086</t>
  </si>
  <si>
    <t>3_1679605903748739079</t>
  </si>
  <si>
    <t>3_1657494640730296320</t>
  </si>
  <si>
    <t>3_1670068315937468420</t>
  </si>
  <si>
    <t>7_1683893149406461958</t>
  </si>
  <si>
    <t>7_1639284757971324930</t>
  </si>
  <si>
    <t>7_1639207955349352449</t>
  </si>
  <si>
    <t>3_1639034300602503169</t>
  </si>
  <si>
    <t>7_1638924852789755904</t>
  </si>
  <si>
    <t>3_1638875783576920067</t>
  </si>
  <si>
    <t>7_1638848074268262401</t>
  </si>
  <si>
    <t>7_1698472853585182720</t>
  </si>
  <si>
    <t>3_1674575852187557888</t>
  </si>
  <si>
    <t>3_1674574751363215361</t>
  </si>
  <si>
    <t>7_1679556629648363520</t>
  </si>
  <si>
    <t>7_1679550342139092997</t>
  </si>
  <si>
    <t>7_1686803576813703168</t>
  </si>
  <si>
    <t>7_1686802726720598022</t>
  </si>
  <si>
    <t>7_1686801776903680006</t>
  </si>
  <si>
    <t>7_1679583683798355969</t>
  </si>
  <si>
    <t>7_1679579608755187713</t>
  </si>
  <si>
    <t>7_1679577502115676161</t>
  </si>
  <si>
    <t>7_1679570406770966534</t>
  </si>
  <si>
    <t>7_1679568729636478979</t>
  </si>
  <si>
    <t>7_1679566502356197376</t>
  </si>
  <si>
    <t>7_1679561917289975808</t>
  </si>
  <si>
    <t>3_1631648883402240003</t>
  </si>
  <si>
    <t>3_1630174058435289089</t>
  </si>
  <si>
    <t>3_1623056535814283267</t>
  </si>
  <si>
    <t>3_1649572729509625858</t>
  </si>
  <si>
    <t>7_1628210260161830913</t>
  </si>
  <si>
    <t>3_1693025293881991168</t>
  </si>
  <si>
    <t>3_1670877659314659329</t>
  </si>
  <si>
    <t>3_1702419057738199040</t>
  </si>
  <si>
    <t>7_1669092049180581892</t>
  </si>
  <si>
    <t>13_1631798477880455168</t>
  </si>
  <si>
    <t>13_1676948469217656836</t>
  </si>
  <si>
    <t>7_1655045445662527490</t>
  </si>
  <si>
    <t>3_1664373482229039107 3_1664373487174139907 3_1664373491649445889 3_1664373496556683268</t>
  </si>
  <si>
    <t>3_1664193241271480321 3_1664193246006837248 3_1664193250503032832</t>
  </si>
  <si>
    <t>7_1691758188461187072</t>
  </si>
  <si>
    <t>7_1637581587092062208</t>
  </si>
  <si>
    <t>3_1639894666605744128</t>
  </si>
  <si>
    <t>3_1681788277693591552</t>
  </si>
  <si>
    <t>3_1689799439307677696</t>
  </si>
  <si>
    <t>7_1678756982998573056</t>
  </si>
  <si>
    <t>7_1664266087117234176</t>
  </si>
  <si>
    <t>7_1696599786697228288</t>
  </si>
  <si>
    <t>7_1678096006972334088</t>
  </si>
  <si>
    <t>7_1684022282706997248</t>
  </si>
  <si>
    <t>7_1681744251296657408</t>
  </si>
  <si>
    <t>7_1681432566287482880</t>
  </si>
  <si>
    <t>7_1679673010741997569</t>
  </si>
  <si>
    <t>3_1686106878898470914</t>
  </si>
  <si>
    <t>7_1679318331826880513</t>
  </si>
  <si>
    <t>7_1678810140219256832</t>
  </si>
  <si>
    <t>7_1678532750968606727</t>
  </si>
  <si>
    <t>3_1691190544305627136</t>
  </si>
  <si>
    <t>3_1687551960164044800</t>
  </si>
  <si>
    <t>3_1651904291370663937</t>
  </si>
  <si>
    <t>3_1634695893747220487</t>
  </si>
  <si>
    <t>3_1659724669816012800</t>
  </si>
  <si>
    <t>3_1678919330170322951</t>
  </si>
  <si>
    <t>3_1675001030759596033</t>
  </si>
  <si>
    <t>3_1628333856947404800</t>
  </si>
  <si>
    <t>3_1700949229105983488</t>
  </si>
  <si>
    <t>3_1685689898638901249</t>
  </si>
  <si>
    <t>3_1662099860273627136</t>
  </si>
  <si>
    <t>7_1696271278087553026</t>
  </si>
  <si>
    <t>7_1643046259370983427</t>
  </si>
  <si>
    <t>3_1643045872639397890</t>
  </si>
  <si>
    <t>3_1643044021869133824</t>
  </si>
  <si>
    <t>7_1699093143134633984</t>
  </si>
  <si>
    <t>3_1692350182023684096</t>
  </si>
  <si>
    <t>7_1643358406525288448</t>
  </si>
  <si>
    <t>3_1679833265283162118</t>
  </si>
  <si>
    <t>7_1696900055301566464</t>
  </si>
  <si>
    <t>3_1633468299458785280 3_1633468299681091585</t>
  </si>
  <si>
    <t>3_1674074288817598465</t>
  </si>
  <si>
    <t>3_1673344767286030336</t>
  </si>
  <si>
    <t>3_1673343628851257347</t>
  </si>
  <si>
    <t>3_1660553998900838401</t>
  </si>
  <si>
    <t>3_1645950687921020928</t>
  </si>
  <si>
    <t>3_1623555640236056576</t>
  </si>
  <si>
    <t>3_1623068083953827841</t>
  </si>
  <si>
    <t>3_1623006210264903695</t>
  </si>
  <si>
    <t>3_1631968911330607106</t>
  </si>
  <si>
    <t>3_1631452121018015747</t>
  </si>
  <si>
    <t>3_1624050371122417675</t>
  </si>
  <si>
    <t>3_1623799663957532674</t>
  </si>
  <si>
    <t>3_1622538299909742593</t>
  </si>
  <si>
    <t>3_1627308371073171458</t>
  </si>
  <si>
    <t>3_1630921537543913482</t>
  </si>
  <si>
    <t>3_1630406024380252161</t>
  </si>
  <si>
    <t>3_1629890491507527681</t>
  </si>
  <si>
    <t>3_1629372862896259073</t>
  </si>
  <si>
    <t>3_1628856556694429704</t>
  </si>
  <si>
    <t>3_1628341383529484290</t>
  </si>
  <si>
    <t>3_1627825010357280770</t>
  </si>
  <si>
    <t>7_1652147758709587970</t>
  </si>
  <si>
    <t>3_1665705458877837313</t>
  </si>
  <si>
    <t>3_1664626401373200384 3_1664626401373298690 3_1664626401398358016 3_1664626401385885698</t>
  </si>
  <si>
    <t>3_1668257799225106434 3_1668257799304802304 3_1668257799220985857 3_1668257799241859075</t>
  </si>
  <si>
    <t>7_1703555141981360128</t>
  </si>
  <si>
    <t>3_1662628566184390658</t>
  </si>
  <si>
    <t>7_1628593719921328132</t>
  </si>
  <si>
    <t>3_1648541774523015168 3_1648541774535688192 3_1648541774527225857 3_1648541774518820865</t>
  </si>
  <si>
    <t>3_1706710303398842369</t>
  </si>
  <si>
    <t>3_1699959806499475457</t>
  </si>
  <si>
    <t>3_1706232069154627584</t>
  </si>
  <si>
    <t>3_1699512794033405952</t>
  </si>
  <si>
    <t>3_1692675993230626816</t>
  </si>
  <si>
    <t>3_1692670941623427072</t>
  </si>
  <si>
    <t>3_1646994061599883264</t>
  </si>
  <si>
    <t>3_1646992873525583875</t>
  </si>
  <si>
    <t>3_1646992245248196611</t>
  </si>
  <si>
    <t>3_1646991951097389056</t>
  </si>
  <si>
    <t>3_1646990054944829442</t>
  </si>
  <si>
    <t>3_1642622539154292736</t>
  </si>
  <si>
    <t>3_1687130709368901634</t>
  </si>
  <si>
    <t>3_1673882087663730688</t>
  </si>
  <si>
    <t>7_1695480072881295360</t>
  </si>
  <si>
    <t>3_1694759411108007936</t>
  </si>
  <si>
    <t>7_1693441216807845888</t>
  </si>
  <si>
    <t>7_1697918369712730113</t>
  </si>
  <si>
    <t>3_1646782499488428032</t>
  </si>
  <si>
    <t>3_1644435354412281858</t>
  </si>
  <si>
    <t>7_1644388591202598917</t>
  </si>
  <si>
    <t>3_1641864141487980544 3_1641864141475307527 3_1641864141466918923 3_1641864141475307520</t>
  </si>
  <si>
    <t>7_1636803701007343616</t>
  </si>
  <si>
    <t>7_1696176773484929024 3_1696177323668549632 3_1696177332472385536 3_1696177390324420609</t>
  </si>
  <si>
    <t>3_1620587759063678979</t>
  </si>
  <si>
    <t>3_1687864125781626880</t>
  </si>
  <si>
    <t>3_1635841333033160706</t>
  </si>
  <si>
    <t>3_1633447063189876736</t>
  </si>
  <si>
    <t>3_1671646869808726018</t>
  </si>
  <si>
    <t>3_1631481849758248961 3_1631481849766637576 3_1631481849762439170</t>
  </si>
  <si>
    <t>3_1651214604670779395</t>
  </si>
  <si>
    <t>3_1629784318716379136</t>
  </si>
  <si>
    <t>3_1629783652354732033</t>
  </si>
  <si>
    <t>7_1657004234540236800</t>
  </si>
  <si>
    <t>3_1674439222801866754</t>
  </si>
  <si>
    <t>7_1626033255706202112</t>
  </si>
  <si>
    <t>7_1698847128758464512</t>
  </si>
  <si>
    <t>3_1699263051583664128</t>
  </si>
  <si>
    <t>7_1699847972819726336</t>
  </si>
  <si>
    <t>7_1678810094085996556</t>
  </si>
  <si>
    <t>3_1679944451374850049</t>
  </si>
  <si>
    <t>3_1638602726090194946</t>
  </si>
  <si>
    <t>3_1684583785684160512</t>
  </si>
  <si>
    <t>3_1631656466024103937</t>
  </si>
  <si>
    <t>3_1622567969208340480</t>
  </si>
  <si>
    <t>3_1685289667434786816</t>
  </si>
  <si>
    <t>7_1679089751410765825</t>
  </si>
  <si>
    <t>7_1678907885768548353</t>
  </si>
  <si>
    <t>3_1641854695625850899</t>
  </si>
  <si>
    <t>3_1640507635567939584</t>
  </si>
  <si>
    <t>3_1640507270701121536</t>
  </si>
  <si>
    <t>3_1641418542418391043</t>
  </si>
  <si>
    <t>3_1641244213693014016 3_1641244243887783936</t>
  </si>
  <si>
    <t>7_1636750378271141890</t>
  </si>
  <si>
    <t>3_1645469326605156354</t>
  </si>
  <si>
    <t>3_1671139475228073986</t>
  </si>
  <si>
    <t>3_1673680337426055170</t>
  </si>
  <si>
    <t>3_1673323490840293377</t>
  </si>
  <si>
    <t>3_1683131694751301637</t>
  </si>
  <si>
    <t>3_1682061951420211200</t>
  </si>
  <si>
    <t>3_1664678023642349568</t>
  </si>
  <si>
    <t>3_1705206843243692032</t>
  </si>
  <si>
    <t>3_1692213755378118656</t>
  </si>
  <si>
    <t>7_1645963910535688192</t>
  </si>
  <si>
    <t>7_1664611134496731136</t>
  </si>
  <si>
    <t>3_1664610711006322691</t>
  </si>
  <si>
    <t>3_1655603163687256067</t>
  </si>
  <si>
    <t>3_1655105364604452870</t>
  </si>
  <si>
    <t>7_1686737223612313600</t>
  </si>
  <si>
    <t>7_1674314930420432897</t>
  </si>
  <si>
    <t>7_1687120131145535488</t>
  </si>
  <si>
    <t>7_1624817988955168768</t>
  </si>
  <si>
    <t>3_1654660524003426306</t>
  </si>
  <si>
    <t>3_1687537249842298883</t>
  </si>
  <si>
    <t>3_1628567076930564096 3_1628567076938940421</t>
  </si>
  <si>
    <t>3_1691621713107165184</t>
  </si>
  <si>
    <t>7_1630372133690830849</t>
  </si>
  <si>
    <t>3_1689937743495753728 3_1689937796780175361</t>
  </si>
  <si>
    <t>7_1623127987372670980</t>
  </si>
  <si>
    <t>3_1638668318268588034</t>
  </si>
  <si>
    <t>3_1640709506572390404</t>
  </si>
  <si>
    <t>3_1692166057220292608</t>
  </si>
  <si>
    <t>3_1681646411689893888</t>
  </si>
  <si>
    <t>7_1639417058667511809</t>
  </si>
  <si>
    <t>3_1628416962324754432</t>
  </si>
  <si>
    <t>7_1672028184253022209</t>
  </si>
  <si>
    <t>7_1679846618219139072</t>
  </si>
  <si>
    <t>7_1707078380611342336</t>
  </si>
  <si>
    <t>3_1626911105929908227</t>
  </si>
  <si>
    <t>7_1640494712975941633</t>
  </si>
  <si>
    <t>3_1629592824063598592</t>
  </si>
  <si>
    <t>3_1669013033513828353 3_1669013036550483970</t>
  </si>
  <si>
    <t>3_1705726452191121408</t>
  </si>
  <si>
    <t>3_1670739920023846912</t>
  </si>
  <si>
    <t>3_1646279621711732737</t>
  </si>
  <si>
    <t>3_1636707287648665600</t>
  </si>
  <si>
    <t>3_1643373661670322181</t>
  </si>
  <si>
    <t>3_1649424225910808577</t>
  </si>
  <si>
    <t>3_1668929649869561856</t>
  </si>
  <si>
    <t>3_1653684780213362690</t>
  </si>
  <si>
    <t>7_1653839258535206921</t>
  </si>
  <si>
    <t>3_1681406669513715713</t>
  </si>
  <si>
    <t>3_1641205797257375744</t>
  </si>
  <si>
    <t>3_1620099815588696067</t>
  </si>
  <si>
    <t>3_1682949402116145153</t>
  </si>
  <si>
    <t>3_1682948998519308288</t>
  </si>
  <si>
    <t>3_1682948707904282624</t>
  </si>
  <si>
    <t>3_1682947584015450113</t>
  </si>
  <si>
    <t>3_1682947131168940032</t>
  </si>
  <si>
    <t>3_1682946773214453761</t>
  </si>
  <si>
    <t>3_1682946077094293505</t>
  </si>
  <si>
    <t>3_1682945401391816704</t>
  </si>
  <si>
    <t>3_1682943459466919936</t>
  </si>
  <si>
    <t>3_1682943021745152000</t>
  </si>
  <si>
    <t>3_1682942723488088064</t>
  </si>
  <si>
    <t>3_1682942091012325376</t>
  </si>
  <si>
    <t>3_1682941527931121666</t>
  </si>
  <si>
    <t>3_1682939950419914753</t>
  </si>
  <si>
    <t>3_1682939339972530177</t>
  </si>
  <si>
    <t>3_1682938539980251136</t>
  </si>
  <si>
    <t>3_1682936377036472321</t>
  </si>
  <si>
    <t>3_1682935929252589569</t>
  </si>
  <si>
    <t>3_1682935376812421122</t>
  </si>
  <si>
    <t>3_1682934963987988482</t>
  </si>
  <si>
    <t>3_1682934243272404997</t>
  </si>
  <si>
    <t>3_1682928636326825984</t>
  </si>
  <si>
    <t>3_1682926674604589056</t>
  </si>
  <si>
    <t>3_1682926117030707200</t>
  </si>
  <si>
    <t>3_1683666160187740161</t>
  </si>
  <si>
    <t>3_1683665827814408192</t>
  </si>
  <si>
    <t>3_1683663754179780610</t>
  </si>
  <si>
    <t>3_1683663015026081792</t>
  </si>
  <si>
    <t>3_1683662655909765120</t>
  </si>
  <si>
    <t>3_1683662211535843328</t>
  </si>
  <si>
    <t>3_1683661811168559104</t>
  </si>
  <si>
    <t>3_1683661057275883522</t>
  </si>
  <si>
    <t>3_1683660723853877251</t>
  </si>
  <si>
    <t>3_1683658683878719489</t>
  </si>
  <si>
    <t>3_1683658279270903810</t>
  </si>
  <si>
    <t>3_1683657792068919296</t>
  </si>
  <si>
    <t>3_1683657399004004354</t>
  </si>
  <si>
    <t>3_1683656874443395074</t>
  </si>
  <si>
    <t>3_1683656498163879940</t>
  </si>
  <si>
    <t>3_1683655724000321537</t>
  </si>
  <si>
    <t>3_1682951149953974272</t>
  </si>
  <si>
    <t>3_1682950821833572352</t>
  </si>
  <si>
    <t>3_1682950436708384768</t>
  </si>
  <si>
    <t>3_1661102415221858305</t>
  </si>
  <si>
    <t>3_1695968233424056320</t>
  </si>
  <si>
    <t>3_1695968763487645696</t>
  </si>
  <si>
    <t>3_1695971485557329920</t>
  </si>
  <si>
    <t>3_1695970983616659456</t>
  </si>
  <si>
    <t>3_1695969010783862784</t>
  </si>
  <si>
    <t>7_1680961524221853696</t>
  </si>
  <si>
    <t>3_1646604384334237719 3_1646604384384569350 3_1646604384334225409 3_1646604384346820618</t>
  </si>
  <si>
    <t>3_1647103616757424128</t>
  </si>
  <si>
    <t>3_1669776674374778898</t>
  </si>
  <si>
    <t>3_1667943558861422594</t>
  </si>
  <si>
    <t>3_1631006847145594889</t>
  </si>
  <si>
    <t>7_1634434969547206657 7_1634434969547296769</t>
  </si>
  <si>
    <t>3_1622448933631844354</t>
  </si>
  <si>
    <t>7_1629229429334462465</t>
  </si>
  <si>
    <t>7_1704157611086528512</t>
  </si>
  <si>
    <t>3_1630649527450345479</t>
  </si>
  <si>
    <t>3_1630133767464517632</t>
  </si>
  <si>
    <t>3_1629616722687807488</t>
  </si>
  <si>
    <t>3_1628584558152105985</t>
  </si>
  <si>
    <t>3_1628068763017920514</t>
  </si>
  <si>
    <t>3_1644710078266605573</t>
  </si>
  <si>
    <t>3_1623925096820748288</t>
  </si>
  <si>
    <t>3_1646255251140276224</t>
  </si>
  <si>
    <t>3_1625714340606226434</t>
  </si>
  <si>
    <t>3_1624743210441490434</t>
  </si>
  <si>
    <t>3_1639943283307675650</t>
  </si>
  <si>
    <t>3_1627552758587957250</t>
  </si>
  <si>
    <t>3_1641488348589043716</t>
  </si>
  <si>
    <t>3_1631695381632253971</t>
  </si>
  <si>
    <t>3_1631179541723922433</t>
  </si>
  <si>
    <t>3_1647799253060710405</t>
  </si>
  <si>
    <t>3_1653803214997794816</t>
  </si>
  <si>
    <t>3_1643031650270339074</t>
  </si>
  <si>
    <t>3_1622600551153164289</t>
  </si>
  <si>
    <t>3_1622418815345737729</t>
  </si>
  <si>
    <t>3_1622144825154748418</t>
  </si>
  <si>
    <t>3_1653712433876291584</t>
  </si>
  <si>
    <t>3_1623679437333037066</t>
  </si>
  <si>
    <t>3_1623434891223347200</t>
  </si>
  <si>
    <t>3_1669854032016338946</t>
  </si>
  <si>
    <t>3_1657765886474715137 3_1657765918448013317</t>
  </si>
  <si>
    <t>3_1675171546954883073</t>
  </si>
  <si>
    <t>7_1658601295308005376</t>
  </si>
  <si>
    <t>7_1662940520006533121</t>
  </si>
  <si>
    <t>3_1647980848900198403</t>
  </si>
  <si>
    <t>7_1662819271406149632 3_1662819440889679872</t>
  </si>
  <si>
    <t>3_1625885476560289792</t>
  </si>
  <si>
    <t>7_1651274971035975719</t>
  </si>
  <si>
    <t>16_1691074297408700416</t>
  </si>
  <si>
    <t>7_1675977186065494016</t>
  </si>
  <si>
    <t>3_1630197109298274304</t>
  </si>
  <si>
    <t>3_1623680920166301699</t>
  </si>
  <si>
    <t>7_1690189081274159104</t>
  </si>
  <si>
    <t>7_1695008495840403456</t>
  </si>
  <si>
    <t>7_1696580837804797952</t>
  </si>
  <si>
    <t>7_1668952375292223488</t>
  </si>
  <si>
    <t>9880 9960 9960</t>
  </si>
  <si>
    <t xml:space="preserve">  10053 11330</t>
  </si>
  <si>
    <t xml:space="preserve"> 6942 44975 </t>
  </si>
  <si>
    <t xml:space="preserve">10053 4300 </t>
  </si>
  <si>
    <t xml:space="preserve"> 11330 14906 </t>
  </si>
  <si>
    <t>59433 44863</t>
  </si>
  <si>
    <t>1700499937706770433</t>
  </si>
  <si>
    <t>1620963988350861313</t>
  </si>
  <si>
    <t>1685278494534557697</t>
  </si>
  <si>
    <t>1691140473564311555</t>
  </si>
  <si>
    <t>1691100933478899714</t>
  </si>
  <si>
    <t>1687905357543137280</t>
  </si>
  <si>
    <t>1646620815398510592</t>
  </si>
  <si>
    <t>1691847798122008636</t>
  </si>
  <si>
    <t>1628682946180792322</t>
  </si>
  <si>
    <t>1647117050395910144</t>
  </si>
  <si>
    <t>1657792338339540998</t>
  </si>
  <si>
    <t>1643796863156379651</t>
  </si>
  <si>
    <t>1658497978728841218</t>
  </si>
  <si>
    <t>1658270828398624770</t>
  </si>
  <si>
    <t>1653822822647463939</t>
  </si>
  <si>
    <t>1631026558751088640</t>
  </si>
  <si>
    <t>1647589846934777856</t>
  </si>
  <si>
    <t>1678208449098678273</t>
  </si>
  <si>
    <t>1623108190253588481</t>
  </si>
  <si>
    <t>1620210989256818688</t>
  </si>
  <si>
    <t>1626319000291377152</t>
  </si>
  <si>
    <t>1625967058096717851</t>
  </si>
  <si>
    <t>1632761923589771264</t>
  </si>
  <si>
    <t>1622056947359825921</t>
  </si>
  <si>
    <t>1697632894661902815</t>
  </si>
  <si>
    <t>1676749861645893632</t>
  </si>
  <si>
    <t>1696499355677540693</t>
  </si>
  <si>
    <t>1655910067659497474</t>
  </si>
  <si>
    <t>1676944202070884352</t>
  </si>
  <si>
    <t>1680680189993336833</t>
  </si>
  <si>
    <t>1674807241134821376</t>
  </si>
  <si>
    <t>1672239006875103233</t>
  </si>
  <si>
    <t>1671809462162661376</t>
  </si>
  <si>
    <t>1685598531103379456</t>
  </si>
  <si>
    <t>1685026762718138368</t>
  </si>
  <si>
    <t>1687046813419769856</t>
  </si>
  <si>
    <t>1677359538113060873</t>
  </si>
  <si>
    <t>1689391575665680384</t>
  </si>
  <si>
    <t>1684267725554606087</t>
  </si>
  <si>
    <t>1676926001283047426</t>
  </si>
  <si>
    <t>1695498397174669815</t>
  </si>
  <si>
    <t>1688517750069633024</t>
  </si>
  <si>
    <t>1670796044873940994</t>
  </si>
  <si>
    <t>1697047092173144450</t>
  </si>
  <si>
    <t>1691190537192153088</t>
  </si>
  <si>
    <t>1700081015920672907</t>
  </si>
  <si>
    <t>1689945357440937984</t>
  </si>
  <si>
    <t>1686423081919696904</t>
  </si>
  <si>
    <t>1679773187867832320</t>
  </si>
  <si>
    <t>1674448215318441984</t>
  </si>
  <si>
    <t>1678210001721065472</t>
  </si>
  <si>
    <t>1658019384714035202</t>
  </si>
  <si>
    <t>1639333077146009625</t>
  </si>
  <si>
    <t>1635866990488297473</t>
  </si>
  <si>
    <t>1671572961013243904</t>
  </si>
  <si>
    <t>1636878209286275077</t>
  </si>
  <si>
    <t>1642871037246185473</t>
  </si>
  <si>
    <t>1636083931077390339</t>
  </si>
  <si>
    <t>1620460731765489665</t>
  </si>
  <si>
    <t>1634199752894996481</t>
  </si>
  <si>
    <t>1661153571604430849</t>
  </si>
  <si>
    <t>1656768677633458176</t>
  </si>
  <si>
    <t>1682803186875215872</t>
  </si>
  <si>
    <t>1676690889639358464</t>
  </si>
  <si>
    <t>1666640214268190721</t>
  </si>
  <si>
    <t>1620450370827984899</t>
  </si>
  <si>
    <t>1627294557644660736</t>
  </si>
  <si>
    <t>1628717514506076160</t>
  </si>
  <si>
    <t>1622575925631098882</t>
  </si>
  <si>
    <t>1652010965943164930</t>
  </si>
  <si>
    <t>1655694263642882048</t>
  </si>
  <si>
    <t>1690521369572671488</t>
  </si>
  <si>
    <t>1623586794464858112</t>
  </si>
  <si>
    <t>1633583319030824961</t>
  </si>
  <si>
    <t>1629993960734072834</t>
  </si>
  <si>
    <t>1645484874306920453</t>
  </si>
  <si>
    <t>1652451153064386567</t>
  </si>
  <si>
    <t>1666379452400410624</t>
  </si>
  <si>
    <t>1656622342234046465</t>
  </si>
  <si>
    <t>1688170831925424128</t>
  </si>
  <si>
    <t>1679892629285158912</t>
  </si>
  <si>
    <t>1673696468224421889</t>
  </si>
  <si>
    <t>1674071776073072643</t>
  </si>
  <si>
    <t>1666971031301509122</t>
  </si>
  <si>
    <t>1666746724830924800</t>
  </si>
  <si>
    <t>1633304447823630337</t>
  </si>
  <si>
    <t>1621871294416289793</t>
  </si>
  <si>
    <t>1631123092931067905</t>
  </si>
  <si>
    <t>1656699683882909709</t>
  </si>
  <si>
    <t>1656325178769408001</t>
  </si>
  <si>
    <t>1657794016728023041</t>
  </si>
  <si>
    <t>1666150793748021272</t>
  </si>
  <si>
    <t>1666147309715955714</t>
  </si>
  <si>
    <t>1640409116790145028</t>
  </si>
  <si>
    <t>1641823974874120193</t>
  </si>
  <si>
    <t>1685388929992671232</t>
  </si>
  <si>
    <t>1696495042167280117</t>
  </si>
  <si>
    <t>1697753308767625447</t>
  </si>
  <si>
    <t>1658942007459315714</t>
  </si>
  <si>
    <t>1642655179668434945</t>
  </si>
  <si>
    <t>1642628143151235075</t>
  </si>
  <si>
    <t>1630702416151695360</t>
  </si>
  <si>
    <t>1641518183885447188</t>
  </si>
  <si>
    <t>1641180743064776708</t>
  </si>
  <si>
    <t>1631751117490061330</t>
  </si>
  <si>
    <t>1664229123319910400</t>
  </si>
  <si>
    <t>1645385731844587520</t>
  </si>
  <si>
    <t>1643929004020301824</t>
  </si>
  <si>
    <t>1663313109153357824</t>
  </si>
  <si>
    <t>1642972183767969792</t>
  </si>
  <si>
    <t>1673048666167287810</t>
  </si>
  <si>
    <t>1676197302954868736</t>
  </si>
  <si>
    <t>1672220516143300610</t>
  </si>
  <si>
    <t>1692547816172789832</t>
  </si>
  <si>
    <t>1684608864904253440</t>
  </si>
  <si>
    <t>1684140737636577281</t>
  </si>
  <si>
    <t>1675959635587612672</t>
  </si>
  <si>
    <t>1675958073108692994</t>
  </si>
  <si>
    <t>1698759555537129808</t>
  </si>
  <si>
    <t>1676582886198108160</t>
  </si>
  <si>
    <t>1673644092129964032</t>
  </si>
  <si>
    <t>1679463801605832706</t>
  </si>
  <si>
    <t>1630023201357979653</t>
  </si>
  <si>
    <t>1700037146202014025</t>
  </si>
  <si>
    <t>1699951857043423269</t>
  </si>
  <si>
    <t>1666945101778526216</t>
  </si>
  <si>
    <t>1694720887155785837</t>
  </si>
  <si>
    <t>1694651864506040492</t>
  </si>
  <si>
    <t>1695604374997750122</t>
  </si>
  <si>
    <t>1702087273737560168</t>
  </si>
  <si>
    <t>1674553337205882881</t>
  </si>
  <si>
    <t>1675643654298320897</t>
  </si>
  <si>
    <t>1625541292754104321</t>
  </si>
  <si>
    <t>1682116163977740288</t>
  </si>
  <si>
    <t>1624891018209370112</t>
  </si>
  <si>
    <t>1651367659726942209</t>
  </si>
  <si>
    <t>1659716228519276548</t>
  </si>
  <si>
    <t>1658467826741673984</t>
  </si>
  <si>
    <t>1655737455868272641</t>
  </si>
  <si>
    <t>1680083634244526086</t>
  </si>
  <si>
    <t>1668031989943787520</t>
  </si>
  <si>
    <t>1672294880826015757</t>
  </si>
  <si>
    <t>1674483651164119047</t>
  </si>
  <si>
    <t>1646555453042589698</t>
  </si>
  <si>
    <t>1640847606233325569</t>
  </si>
  <si>
    <t>1635806780910456833</t>
  </si>
  <si>
    <t>1635752820585447426</t>
  </si>
  <si>
    <t>1640149463095205891</t>
  </si>
  <si>
    <t>1640148457447981056</t>
  </si>
  <si>
    <t>1682336022191808512</t>
  </si>
  <si>
    <t>1697104248226337095</t>
  </si>
  <si>
    <t>1632048360189308930</t>
  </si>
  <si>
    <t>1683623764343357440</t>
  </si>
  <si>
    <t>1637436066788519938</t>
  </si>
  <si>
    <t>1637435062378696704</t>
  </si>
  <si>
    <t>1637435041784512515</t>
  </si>
  <si>
    <t>1621566732090351620</t>
  </si>
  <si>
    <t>1635026433017020416</t>
  </si>
  <si>
    <t>1656854602984177667</t>
  </si>
  <si>
    <t>1655033646586159104</t>
  </si>
  <si>
    <t>1625134005921218563</t>
  </si>
  <si>
    <t>1631393202321105068</t>
  </si>
  <si>
    <t>1630988814230454279</t>
  </si>
  <si>
    <t>1632059044394418177</t>
  </si>
  <si>
    <t>1629126374932852741</t>
  </si>
  <si>
    <t>1624119468203835405</t>
  </si>
  <si>
    <t>1627333275256602625</t>
  </si>
  <si>
    <t>1636006009826160644</t>
  </si>
  <si>
    <t>1636813416764436480</t>
  </si>
  <si>
    <t>1639276999834206210</t>
  </si>
  <si>
    <t>1638207157228150784</t>
  </si>
  <si>
    <t>1642207075152404484</t>
  </si>
  <si>
    <t>1702477155676852729</t>
  </si>
  <si>
    <t>1648671160958173185</t>
  </si>
  <si>
    <t>1684625589456527361</t>
  </si>
  <si>
    <t>1630236687728263168</t>
  </si>
  <si>
    <t>1674157944684924928</t>
  </si>
  <si>
    <t>1625100347839590403</t>
  </si>
  <si>
    <t>1663284951851192323</t>
  </si>
  <si>
    <t>1684807538020093952</t>
  </si>
  <si>
    <t>1698307270440886690</t>
  </si>
  <si>
    <t>1698302632744329440</t>
  </si>
  <si>
    <t>1703757120565301353</t>
  </si>
  <si>
    <t>1704150170588369051</t>
  </si>
  <si>
    <t>1704149327206109533</t>
  </si>
  <si>
    <t>1699860332410179712</t>
  </si>
  <si>
    <t>1639598009611866115</t>
  </si>
  <si>
    <t>1639471644237262849</t>
  </si>
  <si>
    <t>1678112214232997888</t>
  </si>
  <si>
    <t>1677468824059215873</t>
  </si>
  <si>
    <t>1679979462748966914</t>
  </si>
  <si>
    <t>1674933717045846016</t>
  </si>
  <si>
    <t>1674855919035768840</t>
  </si>
  <si>
    <t>1685136999773024256</t>
  </si>
  <si>
    <t>1670154858375020551</t>
  </si>
  <si>
    <t>1625435499337854976</t>
  </si>
  <si>
    <t>1627767331932762114</t>
  </si>
  <si>
    <t>1678076168409317381</t>
  </si>
  <si>
    <t>1666446687844327435</t>
  </si>
  <si>
    <t>1665674835056287744</t>
  </si>
  <si>
    <t>1663186820501258240</t>
  </si>
  <si>
    <t>1664588922767441920</t>
  </si>
  <si>
    <t>1621537276705505281</t>
  </si>
  <si>
    <t>1673872640610541568</t>
  </si>
  <si>
    <t>1651333652603600898</t>
  </si>
  <si>
    <t>1651329827108995073</t>
  </si>
  <si>
    <t>1620255975101046784</t>
  </si>
  <si>
    <t>1666462134832701445</t>
  </si>
  <si>
    <t>1698100316502110639</t>
  </si>
  <si>
    <t>1630514969837023233</t>
  </si>
  <si>
    <t>1702758952260297075</t>
  </si>
  <si>
    <t>1702380796827341215</t>
  </si>
  <si>
    <t>1702013343375008107</t>
  </si>
  <si>
    <t>1701937680857039137</t>
  </si>
  <si>
    <t>1701704366577877274</t>
  </si>
  <si>
    <t>1700193859605512269</t>
  </si>
  <si>
    <t>1703823059105235265</t>
  </si>
  <si>
    <t>1647657324830511105</t>
  </si>
  <si>
    <t>1633489016728219649</t>
  </si>
  <si>
    <t>1633484654056554497</t>
  </si>
  <si>
    <t>1704013205821935805</t>
  </si>
  <si>
    <t>1679234445784612865</t>
  </si>
  <si>
    <t>1679189145758089216</t>
  </si>
  <si>
    <t>1679068279632015362</t>
  </si>
  <si>
    <t>1678872034330259459</t>
  </si>
  <si>
    <t>1678826723071127572</t>
  </si>
  <si>
    <t>1678751236751777792</t>
  </si>
  <si>
    <t>1678539827434618880</t>
  </si>
  <si>
    <t>1678524777806405637</t>
  </si>
  <si>
    <t>1678509642056445953</t>
  </si>
  <si>
    <t>1678464317765701637</t>
  </si>
  <si>
    <t>1678388820272640000</t>
  </si>
  <si>
    <t>1678237756143677440</t>
  </si>
  <si>
    <t>1678230119591059457</t>
  </si>
  <si>
    <t>1678222596481986561</t>
  </si>
  <si>
    <t>1678215086790328322</t>
  </si>
  <si>
    <t>1678215017416605697</t>
  </si>
  <si>
    <t>1678192560039141376</t>
  </si>
  <si>
    <t>1678184938179289090</t>
  </si>
  <si>
    <t>1678177401107259394</t>
  </si>
  <si>
    <t>1678169793453608960</t>
  </si>
  <si>
    <t>1678162338455642117</t>
  </si>
  <si>
    <t>1678154685046308864</t>
  </si>
  <si>
    <t>1678147264265551874</t>
  </si>
  <si>
    <t>1678139576790011905</t>
  </si>
  <si>
    <t>1678132110446428162</t>
  </si>
  <si>
    <t>1678124496811589633</t>
  </si>
  <si>
    <t>1678117070821621762</t>
  </si>
  <si>
    <t>1678114343580205056</t>
  </si>
  <si>
    <t>1678207564507406336</t>
  </si>
  <si>
    <t>1678200009630572546</t>
  </si>
  <si>
    <t>1626244410286432256</t>
  </si>
  <si>
    <t>1629508674795327488</t>
  </si>
  <si>
    <t>1628781331705434117</t>
  </si>
  <si>
    <t>1628054066059149312</t>
  </si>
  <si>
    <t>1627692225529257986</t>
  </si>
  <si>
    <t>1627335855021907969</t>
  </si>
  <si>
    <t>1626968538605838340</t>
  </si>
  <si>
    <t>1664648812701548546</t>
  </si>
  <si>
    <t>1634333179610800128</t>
  </si>
  <si>
    <t>1690123378156240896</t>
  </si>
  <si>
    <t>1690123028057747457</t>
  </si>
  <si>
    <t>1643429373733683202</t>
  </si>
  <si>
    <t>1639065605234991107</t>
  </si>
  <si>
    <t>1639065474339340288</t>
  </si>
  <si>
    <t>1668457161138098178</t>
  </si>
  <si>
    <t>1633089337741983748</t>
  </si>
  <si>
    <t>1664235718284115968</t>
  </si>
  <si>
    <t>1635385585597808640</t>
  </si>
  <si>
    <t>1625530302402625537</t>
  </si>
  <si>
    <t>1653084068051927050</t>
  </si>
  <si>
    <t>1653810005441691649</t>
  </si>
  <si>
    <t>1650135307705020419</t>
  </si>
  <si>
    <t>1653088399757131776</t>
  </si>
  <si>
    <t>1650570109038018560</t>
  </si>
  <si>
    <t>1650562368093446152</t>
  </si>
  <si>
    <t>1649927606085492739</t>
  </si>
  <si>
    <t>1649584066994356229</t>
  </si>
  <si>
    <t>1677500784613654528</t>
  </si>
  <si>
    <t>1640345078085328906</t>
  </si>
  <si>
    <t>1658217717076205582</t>
  </si>
  <si>
    <t>1650659227352936451</t>
  </si>
  <si>
    <t>1654487817022590977</t>
  </si>
  <si>
    <t>1654487129114697728</t>
  </si>
  <si>
    <t>1654485891635720192</t>
  </si>
  <si>
    <t>1654483286578671623</t>
  </si>
  <si>
    <t>1654481206799392769</t>
  </si>
  <si>
    <t>1654477549529956357</t>
  </si>
  <si>
    <t>1655719000599322626</t>
  </si>
  <si>
    <t>1633898181787303953</t>
  </si>
  <si>
    <t>1633877582675312659</t>
  </si>
  <si>
    <t>1653642189673463808</t>
  </si>
  <si>
    <t>1628428150265769984</t>
  </si>
  <si>
    <t>1665432952803663872</t>
  </si>
  <si>
    <t>1678104480011759617</t>
  </si>
  <si>
    <t>1662957749406244864</t>
  </si>
  <si>
    <t>1677118921176936451</t>
  </si>
  <si>
    <t>1676511052626907136</t>
  </si>
  <si>
    <t>1676505235626287104</t>
  </si>
  <si>
    <t>1681238292262469633</t>
  </si>
  <si>
    <t>1689979728680419330</t>
  </si>
  <si>
    <t>1689631796806508544</t>
  </si>
  <si>
    <t>1673614310910689282</t>
  </si>
  <si>
    <t>1702378586127343734</t>
  </si>
  <si>
    <t>1679426194679185409</t>
  </si>
  <si>
    <t>1626994027198312449</t>
  </si>
  <si>
    <t>1652043797402886148</t>
  </si>
  <si>
    <t>1638601440175202315</t>
  </si>
  <si>
    <t>1645849198846267406</t>
  </si>
  <si>
    <t>1639090029392789506</t>
  </si>
  <si>
    <t>1639733273243836421</t>
  </si>
  <si>
    <t>1639638053772750851</t>
  </si>
  <si>
    <t>1641854872029888526</t>
  </si>
  <si>
    <t>1633935027720298496</t>
  </si>
  <si>
    <t>1633567436396953600</t>
  </si>
  <si>
    <t>1633523869406355460</t>
  </si>
  <si>
    <t>1633469972209958916</t>
  </si>
  <si>
    <t>1649908347682840577</t>
  </si>
  <si>
    <t>1633434980121542656</t>
  </si>
  <si>
    <t>1633302489297563651</t>
  </si>
  <si>
    <t>1633164711221948447</t>
  </si>
  <si>
    <t>1664569509888368641</t>
  </si>
  <si>
    <t>1667356450417438722</t>
  </si>
  <si>
    <t>1672058119877165057</t>
  </si>
  <si>
    <t>1646590789621800961</t>
  </si>
  <si>
    <t>1648074437567152130</t>
  </si>
  <si>
    <t>1648763639929659399</t>
  </si>
  <si>
    <t>1695573812492878103</t>
  </si>
  <si>
    <t>1676319119426068483</t>
  </si>
  <si>
    <t>1678607608419323904</t>
  </si>
  <si>
    <t>1652716530298232834</t>
  </si>
  <si>
    <t>1666957018433744897</t>
  </si>
  <si>
    <t>1646272702888681472</t>
  </si>
  <si>
    <t>1643021363286880257</t>
  </si>
  <si>
    <t>1641855852779798545</t>
  </si>
  <si>
    <t>1627689916170731520</t>
  </si>
  <si>
    <t>1627330428490117120</t>
  </si>
  <si>
    <t>1643097141672308737</t>
  </si>
  <si>
    <t>1635015768206376962</t>
  </si>
  <si>
    <t>1631427405381353474</t>
  </si>
  <si>
    <t>1676640644939350020</t>
  </si>
  <si>
    <t>1658548683032387605</t>
  </si>
  <si>
    <t>1636429079657234440</t>
  </si>
  <si>
    <t>1636336626031906818</t>
  </si>
  <si>
    <t>1644716046534729728</t>
  </si>
  <si>
    <t>1633437877508923397</t>
  </si>
  <si>
    <t>1647615151447715844</t>
  </si>
  <si>
    <t>1659318012321710082</t>
  </si>
  <si>
    <t>1623345484852080642</t>
  </si>
  <si>
    <t>1622940246194155521</t>
  </si>
  <si>
    <t>1620805670026231810</t>
  </si>
  <si>
    <t>1620428217395081216</t>
  </si>
  <si>
    <t>1668586133691969536</t>
  </si>
  <si>
    <t>1668585969250099202</t>
  </si>
  <si>
    <t>1668585843878146051</t>
  </si>
  <si>
    <t>1658776022114873344</t>
  </si>
  <si>
    <t>1639613104525918208</t>
  </si>
  <si>
    <t>1639605550395850752</t>
  </si>
  <si>
    <t>1639598009603457024</t>
  </si>
  <si>
    <t>1672905158995374080</t>
  </si>
  <si>
    <t>1672904747035107334</t>
  </si>
  <si>
    <t>1667523760558047236</t>
  </si>
  <si>
    <t>1667357665826324481</t>
  </si>
  <si>
    <t>1667327215179005958</t>
  </si>
  <si>
    <t>1663495629929078786</t>
  </si>
  <si>
    <t>1663495474509234176</t>
  </si>
  <si>
    <t>1663495357047660546</t>
  </si>
  <si>
    <t>1674774758880337923</t>
  </si>
  <si>
    <t>1674774407091466242</t>
  </si>
  <si>
    <t>1674774126920351744</t>
  </si>
  <si>
    <t>1658775890015268867</t>
  </si>
  <si>
    <t>1658775079617024000</t>
  </si>
  <si>
    <t>1658774941339209728</t>
  </si>
  <si>
    <t>1658359683000721408</t>
  </si>
  <si>
    <t>1658359510413574145</t>
  </si>
  <si>
    <t>1658359457095598082</t>
  </si>
  <si>
    <t>1658359414976397312</t>
  </si>
  <si>
    <t>1658359363591913472</t>
  </si>
  <si>
    <t>1698671753244057839</t>
  </si>
  <si>
    <t>1675140375051137027</t>
  </si>
  <si>
    <t>1675140220692447232</t>
  </si>
  <si>
    <t>1675139777287401473</t>
  </si>
  <si>
    <t>1667705457648226305</t>
  </si>
  <si>
    <t>1667659907431030788</t>
  </si>
  <si>
    <t>1659833470904827905</t>
  </si>
  <si>
    <t>1659833354970071043</t>
  </si>
  <si>
    <t>1659833222669258752</t>
  </si>
  <si>
    <t>1659833045916975104</t>
  </si>
  <si>
    <t>1659832872423890979</t>
  </si>
  <si>
    <t>1659832814857011203</t>
  </si>
  <si>
    <t>1698823753793409185</t>
  </si>
  <si>
    <t>1679597064513105920</t>
  </si>
  <si>
    <t>1673324306456010757</t>
  </si>
  <si>
    <t>1673323720436269059</t>
  </si>
  <si>
    <t>1673323448905375751</t>
  </si>
  <si>
    <t>1667281665247559681</t>
  </si>
  <si>
    <t>1667175968828522496</t>
  </si>
  <si>
    <t>1667085233156419584</t>
  </si>
  <si>
    <t>1656652127467634692</t>
  </si>
  <si>
    <t>1656646890660716545</t>
  </si>
  <si>
    <t>1656646562620030978</t>
  </si>
  <si>
    <t>1656646331673313283</t>
  </si>
  <si>
    <t>1638879742345527296</t>
  </si>
  <si>
    <t>1638484060551954432</t>
  </si>
  <si>
    <t>1705094322188677145</t>
  </si>
  <si>
    <t>1705714156442415150</t>
  </si>
  <si>
    <t>1705550830345318467</t>
  </si>
  <si>
    <t>1663081850267418627</t>
  </si>
  <si>
    <t>1663081454601904133</t>
  </si>
  <si>
    <t>1663081353405947911</t>
  </si>
  <si>
    <t>1662662787829563393</t>
  </si>
  <si>
    <t>1706846870218146078</t>
  </si>
  <si>
    <t>1706756132449272032</t>
  </si>
  <si>
    <t>1704988122621309148</t>
  </si>
  <si>
    <t>1704871368150618621</t>
  </si>
  <si>
    <t>1702079960091926897</t>
  </si>
  <si>
    <t>1701362733881475088</t>
  </si>
  <si>
    <t>1701287150795497659</t>
  </si>
  <si>
    <t>1654850047052267521</t>
  </si>
  <si>
    <t>1654849841447534594</t>
  </si>
  <si>
    <t>1654849660895342594</t>
  </si>
  <si>
    <t>1654423101654827009</t>
  </si>
  <si>
    <t>1654422870527811585</t>
  </si>
  <si>
    <t>1646074652459147269</t>
  </si>
  <si>
    <t>1658508872795947018</t>
  </si>
  <si>
    <t>1639275028490452992</t>
  </si>
  <si>
    <t>1651359823231893506</t>
  </si>
  <si>
    <t>1650520868231979010</t>
  </si>
  <si>
    <t>1646913325190594562</t>
  </si>
  <si>
    <t>1689047266332479489</t>
  </si>
  <si>
    <t>1627699544103219204</t>
  </si>
  <si>
    <t>1626974947229794304</t>
  </si>
  <si>
    <t>1643418235482812416</t>
  </si>
  <si>
    <t>1643055860845780992</t>
  </si>
  <si>
    <t>1636170480179634179</t>
  </si>
  <si>
    <t>1635808100002168835</t>
  </si>
  <si>
    <t>1700838084756005316</t>
  </si>
  <si>
    <t>1700475661838659622</t>
  </si>
  <si>
    <t>1692944605879157044</t>
  </si>
  <si>
    <t>1692582240054640828</t>
  </si>
  <si>
    <t>1692219836066116100</t>
  </si>
  <si>
    <t>1685345978444808193</t>
  </si>
  <si>
    <t>1684983877436092425</t>
  </si>
  <si>
    <t>1684983634179043329</t>
  </si>
  <si>
    <t>1644505412513812481</t>
  </si>
  <si>
    <t>1644143031069581312</t>
  </si>
  <si>
    <t>1643780644491735042</t>
  </si>
  <si>
    <t>1697293276800303329</t>
  </si>
  <si>
    <t>1696930889459028339</t>
  </si>
  <si>
    <t>1694394168779362625</t>
  </si>
  <si>
    <t>1694031772315443493</t>
  </si>
  <si>
    <t>1691132654836502533</t>
  </si>
  <si>
    <t>1690770271005773824</t>
  </si>
  <si>
    <t>1690407871098314752</t>
  </si>
  <si>
    <t>1687871179166535680</t>
  </si>
  <si>
    <t>1687508812599529477</t>
  </si>
  <si>
    <t>1631353778640244737</t>
  </si>
  <si>
    <t>1630991406708785157</t>
  </si>
  <si>
    <t>1698380416623722939</t>
  </si>
  <si>
    <t>1696096822597435408</t>
  </si>
  <si>
    <t>1693669373100143058</t>
  </si>
  <si>
    <t>1693306986027192798</t>
  </si>
  <si>
    <t>1690045526752866304</t>
  </si>
  <si>
    <t>1689683125801033728</t>
  </si>
  <si>
    <t>1686784006174523418</t>
  </si>
  <si>
    <t>1638707206005878784</t>
  </si>
  <si>
    <t>1637831503592734720</t>
  </si>
  <si>
    <t>1699750955569271105</t>
  </si>
  <si>
    <t>1698018049234796807</t>
  </si>
  <si>
    <t>1697655635658018954</t>
  </si>
  <si>
    <t>1696568480995176487</t>
  </si>
  <si>
    <t>1696206100628976060</t>
  </si>
  <si>
    <t>1691857444161421545</t>
  </si>
  <si>
    <t>1691495050692243457</t>
  </si>
  <si>
    <t>1689320755081748508</t>
  </si>
  <si>
    <t>1688958321418547211</t>
  </si>
  <si>
    <t>1684617452661972992</t>
  </si>
  <si>
    <t>1684255089744019457</t>
  </si>
  <si>
    <t>1683889714288373780</t>
  </si>
  <si>
    <t>1683843609156792321</t>
  </si>
  <si>
    <t>1642693473710080004</t>
  </si>
  <si>
    <t>1641968711224504320</t>
  </si>
  <si>
    <t>1641606309563727872</t>
  </si>
  <si>
    <t>1635445712556007424</t>
  </si>
  <si>
    <t>1704133842322231348</t>
  </si>
  <si>
    <t>1695843710599057605</t>
  </si>
  <si>
    <t>1695481303368425635</t>
  </si>
  <si>
    <t>1695118932636549539</t>
  </si>
  <si>
    <t>1691379482580406272</t>
  </si>
  <si>
    <t>1688595956386742282</t>
  </si>
  <si>
    <t>1688233559088041985</t>
  </si>
  <si>
    <t>1630629011205373952</t>
  </si>
  <si>
    <t>1630266624589570049</t>
  </si>
  <si>
    <t>1629179459457671168</t>
  </si>
  <si>
    <t>1628817088398729216</t>
  </si>
  <si>
    <t>1628454678479400961</t>
  </si>
  <si>
    <t>1628092272209166338</t>
  </si>
  <si>
    <t>1627729908062425105</t>
  </si>
  <si>
    <t>1700113307074539928</t>
  </si>
  <si>
    <t>1699388558287528152</t>
  </si>
  <si>
    <t>1694756552006128082</t>
  </si>
  <si>
    <t>1687146402881708037</t>
  </si>
  <si>
    <t>1637620040294907906</t>
  </si>
  <si>
    <t>1637257643210178563</t>
  </si>
  <si>
    <t>1636895270758764546</t>
  </si>
  <si>
    <t>1636532872491470848</t>
  </si>
  <si>
    <t>1626642745660940288</t>
  </si>
  <si>
    <t>1626280360043503617</t>
  </si>
  <si>
    <t>1626158543115001857</t>
  </si>
  <si>
    <t>1625917985696120834</t>
  </si>
  <si>
    <t>1625555580940128278</t>
  </si>
  <si>
    <t>1625193190641831937</t>
  </si>
  <si>
    <t>1674804484319465475</t>
  </si>
  <si>
    <t>1620050205000499208</t>
  </si>
  <si>
    <t>1633850425429352448</t>
  </si>
  <si>
    <t>1665079774941683714</t>
  </si>
  <si>
    <t>1631009732495278083</t>
  </si>
  <si>
    <t>1639333740454223874</t>
  </si>
  <si>
    <t>1647257988015554562</t>
  </si>
  <si>
    <t>1691207799240368128</t>
  </si>
  <si>
    <t>1701766979240046661</t>
  </si>
  <si>
    <t>1629913384396238849</t>
  </si>
  <si>
    <t>1657121473981566994</t>
  </si>
  <si>
    <t>1642991216907124742</t>
  </si>
  <si>
    <t>1642721863133454336</t>
  </si>
  <si>
    <t>1629272028774539265</t>
  </si>
  <si>
    <t>1694380565070291160</t>
  </si>
  <si>
    <t>1696345829240430618</t>
  </si>
  <si>
    <t>1694924744884191335</t>
  </si>
  <si>
    <t>1631115452473638917</t>
  </si>
  <si>
    <t>1682809082758017025</t>
  </si>
  <si>
    <t>1668691491093356579</t>
  </si>
  <si>
    <t>1631361579609473025</t>
  </si>
  <si>
    <t>1631051535353348097</t>
  </si>
  <si>
    <t>1693329632513445954</t>
  </si>
  <si>
    <t>1696334156605579418</t>
  </si>
  <si>
    <t>1696333264003215737</t>
  </si>
  <si>
    <t>1700326690730225732</t>
  </si>
  <si>
    <t>1656996486184353795</t>
  </si>
  <si>
    <t>1658453902616829952</t>
  </si>
  <si>
    <t>1624070744102653953</t>
  </si>
  <si>
    <t>1623888286220517376</t>
  </si>
  <si>
    <t>1684927254365634560</t>
  </si>
  <si>
    <t>1627274532703596547</t>
  </si>
  <si>
    <t>1637520492708995076</t>
  </si>
  <si>
    <t>1638181844998041602</t>
  </si>
  <si>
    <t>1663263495188811778</t>
  </si>
  <si>
    <t>1663263211095994368</t>
  </si>
  <si>
    <t>1663239954267521024</t>
  </si>
  <si>
    <t>1663218042216796160</t>
  </si>
  <si>
    <t>1662925101648723968</t>
  </si>
  <si>
    <t>1662897470169546752</t>
  </si>
  <si>
    <t>1662566425087844352</t>
  </si>
  <si>
    <t>1662501690233479169</t>
  </si>
  <si>
    <t>1662235832726724608</t>
  </si>
  <si>
    <t>1662091178265944066</t>
  </si>
  <si>
    <t>1662070630618124289</t>
  </si>
  <si>
    <t>1662024914566774784</t>
  </si>
  <si>
    <t>1651553954587873280</t>
  </si>
  <si>
    <t>1651483607167541249</t>
  </si>
  <si>
    <t>1651478750444527617</t>
  </si>
  <si>
    <t>1651470906546585602</t>
  </si>
  <si>
    <t>1651312336198840324</t>
  </si>
  <si>
    <t>1651241104854097920</t>
  </si>
  <si>
    <t>1651236504193122310</t>
  </si>
  <si>
    <t>1651215464960524288</t>
  </si>
  <si>
    <t>1651183475876323328</t>
  </si>
  <si>
    <t>1651020643679498240</t>
  </si>
  <si>
    <t>1650898329453338624</t>
  </si>
  <si>
    <t>1650849580924424192</t>
  </si>
  <si>
    <t>1650822000892608514</t>
  </si>
  <si>
    <t>1640825177213915137</t>
  </si>
  <si>
    <t>1640808665199575040</t>
  </si>
  <si>
    <t>1640806038634123265</t>
  </si>
  <si>
    <t>1640774610441633794</t>
  </si>
  <si>
    <t>1640772690343759874</t>
  </si>
  <si>
    <t>1640755149567299584</t>
  </si>
  <si>
    <t>1640754330864324609</t>
  </si>
  <si>
    <t>1640753526803681281</t>
  </si>
  <si>
    <t>1640729496587493377</t>
  </si>
  <si>
    <t>1640708360944353280</t>
  </si>
  <si>
    <t>1640678486447882241</t>
  </si>
  <si>
    <t>1640677727413096450</t>
  </si>
  <si>
    <t>1640485957110734848</t>
  </si>
  <si>
    <t>1640485168896180224</t>
  </si>
  <si>
    <t>1640484327007084545</t>
  </si>
  <si>
    <t>1640435753430966272</t>
  </si>
  <si>
    <t>1640407345225408513</t>
  </si>
  <si>
    <t>1630663474966568977</t>
  </si>
  <si>
    <t>1630417778208555008</t>
  </si>
  <si>
    <t>1630282003500113920</t>
  </si>
  <si>
    <t>1630272203425185792</t>
  </si>
  <si>
    <t>1628914502560546818</t>
  </si>
  <si>
    <t>1628763919857881088</t>
  </si>
  <si>
    <t>1628738188582993921</t>
  </si>
  <si>
    <t>1628455367108878337</t>
  </si>
  <si>
    <t>1628427050922176512</t>
  </si>
  <si>
    <t>1628218106081591296</t>
  </si>
  <si>
    <t>1628217584922533889</t>
  </si>
  <si>
    <t>1628195354507370496</t>
  </si>
  <si>
    <t>1628190758812651520</t>
  </si>
  <si>
    <t>1628186420497235968</t>
  </si>
  <si>
    <t>1628109743939289088</t>
  </si>
  <si>
    <t>1664674445234143233</t>
  </si>
  <si>
    <t>1664410202693865473</t>
  </si>
  <si>
    <t>1664382097912643585</t>
  </si>
  <si>
    <t>1664351811493593088</t>
  </si>
  <si>
    <t>1664348340354691072</t>
  </si>
  <si>
    <t>1664334722447863808</t>
  </si>
  <si>
    <t>1664043842906255361</t>
  </si>
  <si>
    <t>1663985296940371968</t>
  </si>
  <si>
    <t>1663956597352316928</t>
  </si>
  <si>
    <t>1663934322905354248</t>
  </si>
  <si>
    <t>1663899377243672576</t>
  </si>
  <si>
    <t>1663680385841270784</t>
  </si>
  <si>
    <t>1663628886427705344</t>
  </si>
  <si>
    <t>1663608319733555200</t>
  </si>
  <si>
    <t>1663593887506759680</t>
  </si>
  <si>
    <t>1655252678992351234</t>
  </si>
  <si>
    <t>1655226188267388933</t>
  </si>
  <si>
    <t>1655225659571195904</t>
  </si>
  <si>
    <t>1655225616642502657</t>
  </si>
  <si>
    <t>1655034281859903489</t>
  </si>
  <si>
    <t>1655014457477828608</t>
  </si>
  <si>
    <t>1655013809315274753</t>
  </si>
  <si>
    <t>1655013449888595969</t>
  </si>
  <si>
    <t>1655011666575376386</t>
  </si>
  <si>
    <t>1655010829010624514</t>
  </si>
  <si>
    <t>1655010111977562112</t>
  </si>
  <si>
    <t>1655009554042871809</t>
  </si>
  <si>
    <t>1655008850901364736</t>
  </si>
  <si>
    <t>1655007959393669121</t>
  </si>
  <si>
    <t>1655006743590494208</t>
  </si>
  <si>
    <t>1655005686097498114</t>
  </si>
  <si>
    <t>1655004600423030785</t>
  </si>
  <si>
    <t>1654955207850348544</t>
  </si>
  <si>
    <t>1654874170453528577</t>
  </si>
  <si>
    <t>1654857931559665664</t>
  </si>
  <si>
    <t>1654855990645497858</t>
  </si>
  <si>
    <t>1654837080097423364</t>
  </si>
  <si>
    <t>1654621070396395520</t>
  </si>
  <si>
    <t>1654564166152364037</t>
  </si>
  <si>
    <t>1646202453917073408</t>
  </si>
  <si>
    <t>1646147170427637760</t>
  </si>
  <si>
    <t>1646146131473096707</t>
  </si>
  <si>
    <t>1646117762610368512</t>
  </si>
  <si>
    <t>1646022655953469444</t>
  </si>
  <si>
    <t>1645846629055090690</t>
  </si>
  <si>
    <t>1645809956812394497</t>
  </si>
  <si>
    <t>1645511212728455168</t>
  </si>
  <si>
    <t>1645500546093289472</t>
  </si>
  <si>
    <t>1645441545267712000</t>
  </si>
  <si>
    <t>1645441300056133632</t>
  </si>
  <si>
    <t>1645436969248497666</t>
  </si>
  <si>
    <t>1645428193330089986</t>
  </si>
  <si>
    <t>1645178320324284417</t>
  </si>
  <si>
    <t>1645174601402707970</t>
  </si>
  <si>
    <t>1645019947071049729</t>
  </si>
  <si>
    <t>1644871429547257856</t>
  </si>
  <si>
    <t>1644461951458889728</t>
  </si>
  <si>
    <t>1644069461404819456</t>
  </si>
  <si>
    <t>1644011504214364161</t>
  </si>
  <si>
    <t>1643970013144178689</t>
  </si>
  <si>
    <t>1643754527408144384</t>
  </si>
  <si>
    <t>1643669436908597248</t>
  </si>
  <si>
    <t>1624202200170872833</t>
  </si>
  <si>
    <t>1624200646504112128</t>
  </si>
  <si>
    <t>1624162403263840258</t>
  </si>
  <si>
    <t>1624073360920436737</t>
  </si>
  <si>
    <t>1624063373796147206</t>
  </si>
  <si>
    <t>1623882496738836481</t>
  </si>
  <si>
    <t>1623864170528604160</t>
  </si>
  <si>
    <t>1623863796585402371</t>
  </si>
  <si>
    <t>1623848667529547778</t>
  </si>
  <si>
    <t>1623759940165726209</t>
  </si>
  <si>
    <t>1623759295559917568</t>
  </si>
  <si>
    <t>1623758646646652929</t>
  </si>
  <si>
    <t>1623758099533160448</t>
  </si>
  <si>
    <t>1623757315982630920</t>
  </si>
  <si>
    <t>1623756791153655810</t>
  </si>
  <si>
    <t>1623756083293523970</t>
  </si>
  <si>
    <t>1623755486523711488</t>
  </si>
  <si>
    <t>1623754498135957507</t>
  </si>
  <si>
    <t>1623753469357162502</t>
  </si>
  <si>
    <t>1623752672774967300</t>
  </si>
  <si>
    <t>1623751933927333891</t>
  </si>
  <si>
    <t>1623751077353910272</t>
  </si>
  <si>
    <t>1623750311927074818</t>
  </si>
  <si>
    <t>1623749318317408259</t>
  </si>
  <si>
    <t>1665443109877202944</t>
  </si>
  <si>
    <t>1665395028905332736</t>
  </si>
  <si>
    <t>1665130039418167298</t>
  </si>
  <si>
    <t>1665088371243491328</t>
  </si>
  <si>
    <t>1665003608080011264</t>
  </si>
  <si>
    <t>1664806150452441089</t>
  </si>
  <si>
    <t>1664781119928307712</t>
  </si>
  <si>
    <t>1658545652144676864</t>
  </si>
  <si>
    <t>1658459189713436672</t>
  </si>
  <si>
    <t>1658431265941655552</t>
  </si>
  <si>
    <t>1655966488900280320</t>
  </si>
  <si>
    <t>1655943480961806338</t>
  </si>
  <si>
    <t>1655921065145810946</t>
  </si>
  <si>
    <t>1655896580535504896</t>
  </si>
  <si>
    <t>1655774195782144000</t>
  </si>
  <si>
    <t>1655772947628584960</t>
  </si>
  <si>
    <t>1655707139644743680</t>
  </si>
  <si>
    <t>1655706327354859522</t>
  </si>
  <si>
    <t>1655705511919230976</t>
  </si>
  <si>
    <t>1655704727416602625</t>
  </si>
  <si>
    <t>1655703831274221568</t>
  </si>
  <si>
    <t>1655702932090945536</t>
  </si>
  <si>
    <t>1655701318424756225</t>
  </si>
  <si>
    <t>1655635820110548992</t>
  </si>
  <si>
    <t>1655635566770393088</t>
  </si>
  <si>
    <t>1655635273114607617</t>
  </si>
  <si>
    <t>1655635002598756352</t>
  </si>
  <si>
    <t>1655597784207355905</t>
  </si>
  <si>
    <t>1655545542674636800</t>
  </si>
  <si>
    <t>1655528193804349441</t>
  </si>
  <si>
    <t>1655496232029257728</t>
  </si>
  <si>
    <t>1655495313325694982</t>
  </si>
  <si>
    <t>1655494327840145409</t>
  </si>
  <si>
    <t>1655493337585967105</t>
  </si>
  <si>
    <t>1655492082637869057</t>
  </si>
  <si>
    <t>1655490993540694016</t>
  </si>
  <si>
    <t>1655489930204782593</t>
  </si>
  <si>
    <t>1655489574762868737</t>
  </si>
  <si>
    <t>1655488425057832960</t>
  </si>
  <si>
    <t>1655315707519967232</t>
  </si>
  <si>
    <t>1655314358459838464</t>
  </si>
  <si>
    <t>1655314028619792384</t>
  </si>
  <si>
    <t>1655313976618811392</t>
  </si>
  <si>
    <t>1655313684594573314</t>
  </si>
  <si>
    <t>1655313311024713729</t>
  </si>
  <si>
    <t>1655312974234673153</t>
  </si>
  <si>
    <t>1646957183555506176</t>
  </si>
  <si>
    <t>1646706161608167430</t>
  </si>
  <si>
    <t>1646567661625827329</t>
  </si>
  <si>
    <t>1646547417062592512</t>
  </si>
  <si>
    <t>1646528237873545221</t>
  </si>
  <si>
    <t>1646376781187022848</t>
  </si>
  <si>
    <t>1637598484059787266</t>
  </si>
  <si>
    <t>1637595851802677248</t>
  </si>
  <si>
    <t>1637593865258688514</t>
  </si>
  <si>
    <t>1637497991681708034</t>
  </si>
  <si>
    <t>1637178954590343168</t>
  </si>
  <si>
    <t>1637177408305651712</t>
  </si>
  <si>
    <t>1636743026587611136</t>
  </si>
  <si>
    <t>1636469663814254592</t>
  </si>
  <si>
    <t>1626789845975572480</t>
  </si>
  <si>
    <t>1626787191643860992</t>
  </si>
  <si>
    <t>1626401444818563073</t>
  </si>
  <si>
    <t>1626398877447233539</t>
  </si>
  <si>
    <t>1626333943724228608</t>
  </si>
  <si>
    <t>1626332805713039360</t>
  </si>
  <si>
    <t>1626331842373623814</t>
  </si>
  <si>
    <t>1626298211114827776</t>
  </si>
  <si>
    <t>1626269156201963520</t>
  </si>
  <si>
    <t>1626232365659078662</t>
  </si>
  <si>
    <t>1625902136910393375</t>
  </si>
  <si>
    <t>1625868589277360129</t>
  </si>
  <si>
    <t>1625867788311986176</t>
  </si>
  <si>
    <t>1625866950860472326</t>
  </si>
  <si>
    <t>1625865568069775366</t>
  </si>
  <si>
    <t>1625864681314213888</t>
  </si>
  <si>
    <t>1625863578199683072</t>
  </si>
  <si>
    <t>1625862859283480579</t>
  </si>
  <si>
    <t>1625700332465520642</t>
  </si>
  <si>
    <t>1625562847546642445</t>
  </si>
  <si>
    <t>1625337628643012611</t>
  </si>
  <si>
    <t>1625293178952728577</t>
  </si>
  <si>
    <t>1625230959946637345</t>
  </si>
  <si>
    <t>1624888699753201665</t>
  </si>
  <si>
    <t>1624843093659852803</t>
  </si>
  <si>
    <t>1624841940360462339</t>
  </si>
  <si>
    <t>1624769210189586433</t>
  </si>
  <si>
    <t>1624584393384771584</t>
  </si>
  <si>
    <t>1624583117519351810</t>
  </si>
  <si>
    <t>1624499925496086529</t>
  </si>
  <si>
    <t>1624499363987787779</t>
  </si>
  <si>
    <t>1624498581053792256</t>
  </si>
  <si>
    <t>1624498016773079042</t>
  </si>
  <si>
    <t>1624497498147495938</t>
  </si>
  <si>
    <t>1624496967106584576</t>
  </si>
  <si>
    <t>1624496338862854147</t>
  </si>
  <si>
    <t>1624495893079633920</t>
  </si>
  <si>
    <t>1624495264881946625</t>
  </si>
  <si>
    <t>1624494513526808579</t>
  </si>
  <si>
    <t>1624493936076095488</t>
  </si>
  <si>
    <t>1624493226534076416</t>
  </si>
  <si>
    <t>1624492468283617282</t>
  </si>
  <si>
    <t>1624491665648918528</t>
  </si>
  <si>
    <t>1624432315748212744</t>
  </si>
  <si>
    <t>1624431095423897601</t>
  </si>
  <si>
    <t>1667304398828216321</t>
  </si>
  <si>
    <t>1666155838963331072</t>
  </si>
  <si>
    <t>1666131606942396416</t>
  </si>
  <si>
    <t>1663346268675112962</t>
  </si>
  <si>
    <t>1663343459183517697</t>
  </si>
  <si>
    <t>1663318731249037312</t>
  </si>
  <si>
    <t>1663295283332255744</t>
  </si>
  <si>
    <t>1663264402831978496</t>
  </si>
  <si>
    <t>1663264025797599237</t>
  </si>
  <si>
    <t>1663263752840699906</t>
  </si>
  <si>
    <t>1659584990987059203</t>
  </si>
  <si>
    <t>1659564868297723904</t>
  </si>
  <si>
    <t>1658202935174782976</t>
  </si>
  <si>
    <t>1658170567261032448</t>
  </si>
  <si>
    <t>1658125314558676992</t>
  </si>
  <si>
    <t>1657535129068371969</t>
  </si>
  <si>
    <t>1654183377887723521</t>
  </si>
  <si>
    <t>1654183040820875264</t>
  </si>
  <si>
    <t>1653858657023721472</t>
  </si>
  <si>
    <t>1648406883831775238</t>
  </si>
  <si>
    <t>1648403902151426054</t>
  </si>
  <si>
    <t>1648400607550803968</t>
  </si>
  <si>
    <t>1648398448818028544</t>
  </si>
  <si>
    <t>1648138144838197249</t>
  </si>
  <si>
    <t>1648134850967392258</t>
  </si>
  <si>
    <t>1648133112864583680</t>
  </si>
  <si>
    <t>1648131359955894275</t>
  </si>
  <si>
    <t>1648125476811186176</t>
  </si>
  <si>
    <t>1648102625769029632</t>
  </si>
  <si>
    <t>1643607891361038339</t>
  </si>
  <si>
    <t>1643601354886361091</t>
  </si>
  <si>
    <t>1643343327373434880</t>
  </si>
  <si>
    <t>1643284817205927936</t>
  </si>
  <si>
    <t>1643256552282009600</t>
  </si>
  <si>
    <t>1643235899076124673</t>
  </si>
  <si>
    <t>1642908466640736258</t>
  </si>
  <si>
    <t>1642907550575366145</t>
  </si>
  <si>
    <t>1642905912162803714</t>
  </si>
  <si>
    <t>1642891153686274048</t>
  </si>
  <si>
    <t>1642886171033497600</t>
  </si>
  <si>
    <t>1636423578244751360</t>
  </si>
  <si>
    <t>1636415407203713024</t>
  </si>
  <si>
    <t>1636391134569308160</t>
  </si>
  <si>
    <t>1636376911986434054</t>
  </si>
  <si>
    <t>1636064289592348673</t>
  </si>
  <si>
    <t>1636060185063206912</t>
  </si>
  <si>
    <t>1636055074626756618</t>
  </si>
  <si>
    <t>1636054549407617024</t>
  </si>
  <si>
    <t>1636017398670315520</t>
  </si>
  <si>
    <t>1635994647825911808</t>
  </si>
  <si>
    <t>1635773943478091776</t>
  </si>
  <si>
    <t>1635741656552185856</t>
  </si>
  <si>
    <t>1635718022777417728</t>
  </si>
  <si>
    <t>1635715970294755328</t>
  </si>
  <si>
    <t>1635706559098687490</t>
  </si>
  <si>
    <t>1635705394625642496</t>
  </si>
  <si>
    <t>1635671480481742848</t>
  </si>
  <si>
    <t>1635643988047953920</t>
  </si>
  <si>
    <t>1635634357917614080</t>
  </si>
  <si>
    <t>1635633022568628224</t>
  </si>
  <si>
    <t>1635631882678468610</t>
  </si>
  <si>
    <t>1622658649448493057</t>
  </si>
  <si>
    <t>1622647451546013696</t>
  </si>
  <si>
    <t>1622643902955065345</t>
  </si>
  <si>
    <t>1622641704980316160</t>
  </si>
  <si>
    <t>1622577026283479040</t>
  </si>
  <si>
    <t>1622417797417472000</t>
  </si>
  <si>
    <t>1621799671571128320</t>
  </si>
  <si>
    <t>1621579960627470336</t>
  </si>
  <si>
    <t>1621578185128255489</t>
  </si>
  <si>
    <t>1621576281165860865</t>
  </si>
  <si>
    <t>1621562270135320581</t>
  </si>
  <si>
    <t>1621255298265612291</t>
  </si>
  <si>
    <t>1621240498533896192</t>
  </si>
  <si>
    <t>1621204800904757248</t>
  </si>
  <si>
    <t>1621203677879967747</t>
  </si>
  <si>
    <t>1621202411640561664</t>
  </si>
  <si>
    <t>1621175619307409410</t>
  </si>
  <si>
    <t>1621174551919968259</t>
  </si>
  <si>
    <t>1621172524229738496</t>
  </si>
  <si>
    <t>1668307064043753472</t>
  </si>
  <si>
    <t>1668237968149217283</t>
  </si>
  <si>
    <t>1667626014497972224</t>
  </si>
  <si>
    <t>1661040183784136704</t>
  </si>
  <si>
    <t>1660826643206897664</t>
  </si>
  <si>
    <t>1660662529721507840</t>
  </si>
  <si>
    <t>1660399622014246912</t>
  </si>
  <si>
    <t>1659997076066033664</t>
  </si>
  <si>
    <t>1659936728361349120</t>
  </si>
  <si>
    <t>1659933747574353920</t>
  </si>
  <si>
    <t>1659924746337931264</t>
  </si>
  <si>
    <t>1659920077947568129</t>
  </si>
  <si>
    <t>1650573965474279424</t>
  </si>
  <si>
    <t>1650489584055361536</t>
  </si>
  <si>
    <t>1649130599482032129</t>
  </si>
  <si>
    <t>1649104912788377603</t>
  </si>
  <si>
    <t>1649088312681050113</t>
  </si>
  <si>
    <t>1649079152040099841</t>
  </si>
  <si>
    <t>1649058834898636800</t>
  </si>
  <si>
    <t>1641359362487910403</t>
  </si>
  <si>
    <t>1641278386927722497</t>
  </si>
  <si>
    <t>1641258465896321024</t>
  </si>
  <si>
    <t>1641257580742987776</t>
  </si>
  <si>
    <t>1641248005105020928</t>
  </si>
  <si>
    <t>1641157036628127744</t>
  </si>
  <si>
    <t>1641119202387038208</t>
  </si>
  <si>
    <t>1641040725478629377</t>
  </si>
  <si>
    <t>1640873504395661312</t>
  </si>
  <si>
    <t>1633438024767016962</t>
  </si>
  <si>
    <t>1633437973575520256</t>
  </si>
  <si>
    <t>1633436717066907649</t>
  </si>
  <si>
    <t>1633311460481994753</t>
  </si>
  <si>
    <t>1633224844077854723</t>
  </si>
  <si>
    <t>1632874563150262273</t>
  </si>
  <si>
    <t>1632874457663512579</t>
  </si>
  <si>
    <t>1632874011133726720</t>
  </si>
  <si>
    <t>1632872652812570624</t>
  </si>
  <si>
    <t>1632872447161540610</t>
  </si>
  <si>
    <t>1632872312402763777</t>
  </si>
  <si>
    <t>1632868614746382336</t>
  </si>
  <si>
    <t>1632865175031238659</t>
  </si>
  <si>
    <t>1632806864772636673</t>
  </si>
  <si>
    <t>1632806105033109505</t>
  </si>
  <si>
    <t>1632800537073836033</t>
  </si>
  <si>
    <t>1632798259642249216</t>
  </si>
  <si>
    <t>1632797112172724225</t>
  </si>
  <si>
    <t>1632746646718271488</t>
  </si>
  <si>
    <t>1632746517504073730</t>
  </si>
  <si>
    <t>1632746483798921217</t>
  </si>
  <si>
    <t>1632599471363358721</t>
  </si>
  <si>
    <t>1632598817475383297</t>
  </si>
  <si>
    <t>1632133263237193729</t>
  </si>
  <si>
    <t>1631290730197966848</t>
  </si>
  <si>
    <t>1631127981434494976</t>
  </si>
  <si>
    <t>1631125998803603457</t>
  </si>
  <si>
    <t>1631125883225538562</t>
  </si>
  <si>
    <t>1668581883536625665</t>
  </si>
  <si>
    <t>1668581089693298688</t>
  </si>
  <si>
    <t>1668579313409753088</t>
  </si>
  <si>
    <t>1666082722962636800</t>
  </si>
  <si>
    <t>1665846410716282881</t>
  </si>
  <si>
    <t>1665816361984208896</t>
  </si>
  <si>
    <t>1665804426400137216</t>
  </si>
  <si>
    <t>1665798132490440704</t>
  </si>
  <si>
    <t>1665764199207964672</t>
  </si>
  <si>
    <t>1665578534008680448</t>
  </si>
  <si>
    <t>1659231294432354304</t>
  </si>
  <si>
    <t>1658861993468784640</t>
  </si>
  <si>
    <t>1656622322072297472</t>
  </si>
  <si>
    <t>1656330259791486976</t>
  </si>
  <si>
    <t>1656324034680991745</t>
  </si>
  <si>
    <t>1656318393195323398</t>
  </si>
  <si>
    <t>1656288476491571200</t>
  </si>
  <si>
    <t>1656238211474264069</t>
  </si>
  <si>
    <t>1648816947222708224</t>
  </si>
  <si>
    <t>1648815046997479425</t>
  </si>
  <si>
    <t>1648812608475234306</t>
  </si>
  <si>
    <t>1648806738202869761</t>
  </si>
  <si>
    <t>1648802839320477696</t>
  </si>
  <si>
    <t>1648798359040434176</t>
  </si>
  <si>
    <t>1648795400458084352</t>
  </si>
  <si>
    <t>1648791590020980736</t>
  </si>
  <si>
    <t>1648786683868090369</t>
  </si>
  <si>
    <t>1648778291241943040</t>
  </si>
  <si>
    <t>1648776794458427395</t>
  </si>
  <si>
    <t>1648775385688199168</t>
  </si>
  <si>
    <t>1648772753414295556</t>
  </si>
  <si>
    <t>1648770168141791233</t>
  </si>
  <si>
    <t>1648767218195509248</t>
  </si>
  <si>
    <t>1648765102471135232</t>
  </si>
  <si>
    <t>1648761034063360000</t>
  </si>
  <si>
    <t>1648759694977277954</t>
  </si>
  <si>
    <t>1648756714823626752</t>
  </si>
  <si>
    <t>1648750307751649281</t>
  </si>
  <si>
    <t>1648748276764770305</t>
  </si>
  <si>
    <t>1648746432852287489</t>
  </si>
  <si>
    <t>1648741263313870848</t>
  </si>
  <si>
    <t>1648739258000375808</t>
  </si>
  <si>
    <t>1648737252321935360</t>
  </si>
  <si>
    <t>1648733617466793984</t>
  </si>
  <si>
    <t>1648710617120006145</t>
  </si>
  <si>
    <t>1648708818384355328</t>
  </si>
  <si>
    <t>1648702190427734017</t>
  </si>
  <si>
    <t>1648700175509229570</t>
  </si>
  <si>
    <t>1648697979522670592</t>
  </si>
  <si>
    <t>1648695469739212800</t>
  </si>
  <si>
    <t>1648693949299843072</t>
  </si>
  <si>
    <t>1648691964316090368</t>
  </si>
  <si>
    <t>1648670112709488643</t>
  </si>
  <si>
    <t>1648669359471235072</t>
  </si>
  <si>
    <t>1648668319187374080</t>
  </si>
  <si>
    <t>1648667566955692033</t>
  </si>
  <si>
    <t>1648666771543724032</t>
  </si>
  <si>
    <t>1648666458518597632</t>
  </si>
  <si>
    <t>1648666271553302530</t>
  </si>
  <si>
    <t>1648666108487151617</t>
  </si>
  <si>
    <t>1648665862377971712</t>
  </si>
  <si>
    <t>1648665729976369162</t>
  </si>
  <si>
    <t>1648665560740413440</t>
  </si>
  <si>
    <t>1648665242245947392</t>
  </si>
  <si>
    <t>1640140348256288768</t>
  </si>
  <si>
    <t>1640004169552760833</t>
  </si>
  <si>
    <t>1639840840603545602</t>
  </si>
  <si>
    <t>1639840453850968065</t>
  </si>
  <si>
    <t>1639714361429360640</t>
  </si>
  <si>
    <t>1639351962201391104</t>
  </si>
  <si>
    <t>1627652841090482179</t>
  </si>
  <si>
    <t>1627522137941770240</t>
  </si>
  <si>
    <t>1627516159720579074</t>
  </si>
  <si>
    <t>1627514346153869312</t>
  </si>
  <si>
    <t>1627469207154868224</t>
  </si>
  <si>
    <t>1626791587467460609</t>
  </si>
  <si>
    <t>1667287825895784448</t>
  </si>
  <si>
    <t>1667218167863844865</t>
  </si>
  <si>
    <t>1667140619540791297</t>
  </si>
  <si>
    <t>1666821418598957061</t>
  </si>
  <si>
    <t>1666806656980901892</t>
  </si>
  <si>
    <t>1657179632582676481</t>
  </si>
  <si>
    <t>1657162797128749056</t>
  </si>
  <si>
    <t>1657143164145389568</t>
  </si>
  <si>
    <t>1657020018696093700</t>
  </si>
  <si>
    <t>1657006766956355584</t>
  </si>
  <si>
    <t>1656810935913451520</t>
  </si>
  <si>
    <t>1656752712879599617</t>
  </si>
  <si>
    <t>1656751590106341377</t>
  </si>
  <si>
    <t>1656749535119675392</t>
  </si>
  <si>
    <t>1656730912107929603</t>
  </si>
  <si>
    <t>1656703969778081792</t>
  </si>
  <si>
    <t>1656695127937814528</t>
  </si>
  <si>
    <t>1648041406693523456</t>
  </si>
  <si>
    <t>1647979404939890688</t>
  </si>
  <si>
    <t>1647940371736047617</t>
  </si>
  <si>
    <t>1647412811637866497</t>
  </si>
  <si>
    <t>1639267261545365509</t>
  </si>
  <si>
    <t>1638694677703712768</t>
  </si>
  <si>
    <t>1638688885852241922</t>
  </si>
  <si>
    <t>1638559544765984768</t>
  </si>
  <si>
    <t>1638529373539291136</t>
  </si>
  <si>
    <t>1638528469192830978</t>
  </si>
  <si>
    <t>1638518735136002050</t>
  </si>
  <si>
    <t>1638515407605870592</t>
  </si>
  <si>
    <t>1638249775891107840</t>
  </si>
  <si>
    <t>1638236197440086017</t>
  </si>
  <si>
    <t>1637996269410095105</t>
  </si>
  <si>
    <t>1637948288375857152</t>
  </si>
  <si>
    <t>1637947933764247552</t>
  </si>
  <si>
    <t>1637944957855211521</t>
  </si>
  <si>
    <t>1637886668140347393</t>
  </si>
  <si>
    <t>1637886048633225216</t>
  </si>
  <si>
    <t>1637878250100912128</t>
  </si>
  <si>
    <t>1637877110776954881</t>
  </si>
  <si>
    <t>1637873164003971072</t>
  </si>
  <si>
    <t>1637869300739624961</t>
  </si>
  <si>
    <t>1637824756723646465</t>
  </si>
  <si>
    <t>1637662195655008256</t>
  </si>
  <si>
    <t>1620963913046102017</t>
  </si>
  <si>
    <t>1620909570934579201</t>
  </si>
  <si>
    <t>1620743532829974528</t>
  </si>
  <si>
    <t>1620492889586376716</t>
  </si>
  <si>
    <t>1620491796655611920</t>
  </si>
  <si>
    <t>1620421554436993029</t>
  </si>
  <si>
    <t>1620420936418869249</t>
  </si>
  <si>
    <t>1620420339628118020</t>
  </si>
  <si>
    <t>1620193184616796162</t>
  </si>
  <si>
    <t>1620186232167833601</t>
  </si>
  <si>
    <t>1620185744835842049</t>
  </si>
  <si>
    <t>1620185295353159681</t>
  </si>
  <si>
    <t>1620179812290646016</t>
  </si>
  <si>
    <t>1620176685545971712</t>
  </si>
  <si>
    <t>1620175318534471681</t>
  </si>
  <si>
    <t>1620078096664625153</t>
  </si>
  <si>
    <t>1620041882138021888</t>
  </si>
  <si>
    <t>1676642345620480022</t>
  </si>
  <si>
    <t>1668666802745008128</t>
  </si>
  <si>
    <t>1661881865371000833</t>
  </si>
  <si>
    <t>1661758989942792192</t>
  </si>
  <si>
    <t>1661747048667021312</t>
  </si>
  <si>
    <t>1661745608099778565</t>
  </si>
  <si>
    <t>1661695418592538624</t>
  </si>
  <si>
    <t>1661694215418675200</t>
  </si>
  <si>
    <t>1661519383284576256</t>
  </si>
  <si>
    <t>1661508771049349121</t>
  </si>
  <si>
    <t>1661380947315490821</t>
  </si>
  <si>
    <t>1661372808478224388</t>
  </si>
  <si>
    <t>1661366086405885952</t>
  </si>
  <si>
    <t>1653784380572315648</t>
  </si>
  <si>
    <t>1653759836469985280</t>
  </si>
  <si>
    <t>1653756537763135489</t>
  </si>
  <si>
    <t>1653715265711128577</t>
  </si>
  <si>
    <t>1653427536297345024</t>
  </si>
  <si>
    <t>1653424599353397248</t>
  </si>
  <si>
    <t>1653422157496741888</t>
  </si>
  <si>
    <t>1653406547572314112</t>
  </si>
  <si>
    <t>1653391550368600064</t>
  </si>
  <si>
    <t>1652820896636358657</t>
  </si>
  <si>
    <t>1652712570611187713</t>
  </si>
  <si>
    <t>1652711101749137409</t>
  </si>
  <si>
    <t>1652023488398659584</t>
  </si>
  <si>
    <t>1652001571708846080</t>
  </si>
  <si>
    <t>1651983502798364672</t>
  </si>
  <si>
    <t>1642539710605324291</t>
  </si>
  <si>
    <t>1642537599456923648</t>
  </si>
  <si>
    <t>1642382493654614017</t>
  </si>
  <si>
    <t>1642207091573297153</t>
  </si>
  <si>
    <t>1642185978336129025</t>
  </si>
  <si>
    <t>1642175322996236288</t>
  </si>
  <si>
    <t>1641932434961993730</t>
  </si>
  <si>
    <t>1641851284440633344</t>
  </si>
  <si>
    <t>1641797400628187143</t>
  </si>
  <si>
    <t>1641596195285114880</t>
  </si>
  <si>
    <t>1641593897578270723</t>
  </si>
  <si>
    <t>1641591684768370688</t>
  </si>
  <si>
    <t>1641587202454077440</t>
  </si>
  <si>
    <t>1641586183594725376</t>
  </si>
  <si>
    <t>1641585171634991105</t>
  </si>
  <si>
    <t>1641584269880627200</t>
  </si>
  <si>
    <t>1641571917441400832</t>
  </si>
  <si>
    <t>1641518746975215616</t>
  </si>
  <si>
    <t>1635359816666456065</t>
  </si>
  <si>
    <t>1635358475734892544</t>
  </si>
  <si>
    <t>1634610627925909504</t>
  </si>
  <si>
    <t>1634610568039653376</t>
  </si>
  <si>
    <t>1634227081000390656</t>
  </si>
  <si>
    <t>1634182173854138369</t>
  </si>
  <si>
    <t>1633967086786744321</t>
  </si>
  <si>
    <t>1633856914990985216</t>
  </si>
  <si>
    <t>1633816377755832320</t>
  </si>
  <si>
    <t>1623748387496419328</t>
  </si>
  <si>
    <t>1623747647931666435</t>
  </si>
  <si>
    <t>1623747001899708420</t>
  </si>
  <si>
    <t>1623745810134364162</t>
  </si>
  <si>
    <t>1623743777880907777</t>
  </si>
  <si>
    <t>1623703476319490048</t>
  </si>
  <si>
    <t>1623682282207817729</t>
  </si>
  <si>
    <t>1623650091797041153</t>
  </si>
  <si>
    <t>1623345723528863744</t>
  </si>
  <si>
    <t>1623016754996776961</t>
  </si>
  <si>
    <t>1622976157497888768</t>
  </si>
  <si>
    <t>1622946836691525633</t>
  </si>
  <si>
    <t>1622724415174705156</t>
  </si>
  <si>
    <t>1622720217272000513</t>
  </si>
  <si>
    <t>1622690940015022092</t>
  </si>
  <si>
    <t>1666628378873458689</t>
  </si>
  <si>
    <t>1667636788087734272</t>
  </si>
  <si>
    <t>1633123520514228226</t>
  </si>
  <si>
    <t>1632930730874400768</t>
  </si>
  <si>
    <t>1625926171966701599</t>
  </si>
  <si>
    <t>1637532904409399298</t>
  </si>
  <si>
    <t>1676284906530283523</t>
  </si>
  <si>
    <t>1629262886504738816</t>
  </si>
  <si>
    <t>1629163127563485184</t>
  </si>
  <si>
    <t>1622724793119154182</t>
  </si>
  <si>
    <t>1625133668594327552</t>
  </si>
  <si>
    <t>1666975046189842432</t>
  </si>
  <si>
    <t>1638357407683211266</t>
  </si>
  <si>
    <t>1638356913787215872</t>
  </si>
  <si>
    <t>1659665329352585217</t>
  </si>
  <si>
    <t>1687206810053206017</t>
  </si>
  <si>
    <t>1691193076931309568</t>
  </si>
  <si>
    <t>1640775584589422594</t>
  </si>
  <si>
    <t>1699755758697484548</t>
  </si>
  <si>
    <t>1635385370526220289</t>
  </si>
  <si>
    <t>1620890600374673410</t>
  </si>
  <si>
    <t>1635663151621369857</t>
  </si>
  <si>
    <t>1629089143295815683</t>
  </si>
  <si>
    <t>1636714762196201474</t>
  </si>
  <si>
    <t>1674072727752253441</t>
  </si>
  <si>
    <t>1643614528616165376</t>
  </si>
  <si>
    <t>1620125697279934466</t>
  </si>
  <si>
    <t>1620125432497729536</t>
  </si>
  <si>
    <t>1621699733298323456</t>
  </si>
  <si>
    <t>1621526295715921921</t>
  </si>
  <si>
    <t>1648428943136157698</t>
  </si>
  <si>
    <t>1700294524356939851</t>
  </si>
  <si>
    <t>1707145814445814119</t>
  </si>
  <si>
    <t>1657450864217391104</t>
  </si>
  <si>
    <t>1647943922449014784</t>
  </si>
  <si>
    <t>1662558951366619137</t>
  </si>
  <si>
    <t>1662200736569077760</t>
  </si>
  <si>
    <t>1620927476166696960</t>
  </si>
  <si>
    <t>1624499686575951872</t>
  </si>
  <si>
    <t>1653433684635033601</t>
  </si>
  <si>
    <t>1674861742768152603</t>
  </si>
  <si>
    <t>1679214846779224065</t>
  </si>
  <si>
    <t>1621446306223849475</t>
  </si>
  <si>
    <t>1667239763496017962</t>
  </si>
  <si>
    <t>1676742553717047304</t>
  </si>
  <si>
    <t>1653474114336616448</t>
  </si>
  <si>
    <t>1682895572112375809</t>
  </si>
  <si>
    <t>1704180682283474967</t>
  </si>
  <si>
    <t>1700518453675802747</t>
  </si>
  <si>
    <t>1700506947751968849</t>
  </si>
  <si>
    <t>1645847950868852737</t>
  </si>
  <si>
    <t>1645841812911685660</t>
  </si>
  <si>
    <t>1698781125609451819</t>
  </si>
  <si>
    <t>1694186981939376623</t>
  </si>
  <si>
    <t>1660221122741190656</t>
  </si>
  <si>
    <t>1651395875493806080</t>
  </si>
  <si>
    <t>1682512365646913536</t>
  </si>
  <si>
    <t>1651293156954996739</t>
  </si>
  <si>
    <t>1649087594972561418</t>
  </si>
  <si>
    <t>1649087345797533696</t>
  </si>
  <si>
    <t>1652019904579551248</t>
  </si>
  <si>
    <t>1648768804460060689</t>
  </si>
  <si>
    <t>1648406291302215680</t>
  </si>
  <si>
    <t>1648406147890659331</t>
  </si>
  <si>
    <t>1648405975219486721</t>
  </si>
  <si>
    <t>1648405830901940225</t>
  </si>
  <si>
    <t>1651688658557181953</t>
  </si>
  <si>
    <t>1651688246970130433</t>
  </si>
  <si>
    <t>1625707339943710721</t>
  </si>
  <si>
    <t>1680167192980070401</t>
  </si>
  <si>
    <t>1651278627936387088</t>
  </si>
  <si>
    <t>1637784327718158336</t>
  </si>
  <si>
    <t>1636696514092212225</t>
  </si>
  <si>
    <t>1636321556254150662</t>
  </si>
  <si>
    <t>1635624534186291201</t>
  </si>
  <si>
    <t>1649517552001843200</t>
  </si>
  <si>
    <t>1649517346237603841</t>
  </si>
  <si>
    <t>1649517111339827201</t>
  </si>
  <si>
    <t>1620254307546439683</t>
  </si>
  <si>
    <t>1697455099402924102</t>
  </si>
  <si>
    <t>1683150357159919619</t>
  </si>
  <si>
    <t>1642527829572108289</t>
  </si>
  <si>
    <t>1678383914333753346</t>
  </si>
  <si>
    <t>1697576224250306696</t>
  </si>
  <si>
    <t>1698130121033486487</t>
  </si>
  <si>
    <t>1704328050299601138</t>
  </si>
  <si>
    <t>1703028183694467431</t>
  </si>
  <si>
    <t>1701572257267507693</t>
  </si>
  <si>
    <t>1642541951529410562</t>
  </si>
  <si>
    <t>1644777262791655431</t>
  </si>
  <si>
    <t>1623396413391380486</t>
  </si>
  <si>
    <t>1621584706033573891</t>
  </si>
  <si>
    <t>1692749293822624125</t>
  </si>
  <si>
    <t>1692748989018321129</t>
  </si>
  <si>
    <t>1636046366739689474</t>
  </si>
  <si>
    <t>1637640416580231169</t>
  </si>
  <si>
    <t>1633915742088306688</t>
  </si>
  <si>
    <t>1628743016671285248</t>
  </si>
  <si>
    <t>1675990976706367489</t>
  </si>
  <si>
    <t>1624529925427417092</t>
  </si>
  <si>
    <t>1639629740905512961</t>
  </si>
  <si>
    <t>1639628142930284547</t>
  </si>
  <si>
    <t>1639627426211721217</t>
  </si>
  <si>
    <t>1639363362210340881</t>
  </si>
  <si>
    <t>1639335167402573837</t>
  </si>
  <si>
    <t>1649552984907341830</t>
  </si>
  <si>
    <t>1656098203584847873</t>
  </si>
  <si>
    <t>1650584346326081543</t>
  </si>
  <si>
    <t>1661453685237374977</t>
  </si>
  <si>
    <t>1661453456727592983</t>
  </si>
  <si>
    <t>1661451194609422339</t>
  </si>
  <si>
    <t>1663146860083642380</t>
  </si>
  <si>
    <t>1663146672820477953</t>
  </si>
  <si>
    <t>1663146315084070913</t>
  </si>
  <si>
    <t>1662574695554711553</t>
  </si>
  <si>
    <t>1664630458385039369</t>
  </si>
  <si>
    <t>1665378278503325698</t>
  </si>
  <si>
    <t>1665377867952185349</t>
  </si>
  <si>
    <t>1665377711051636741</t>
  </si>
  <si>
    <t>1667188656770015233</t>
  </si>
  <si>
    <t>1622225206168244224</t>
  </si>
  <si>
    <t>1627794669252886528</t>
  </si>
  <si>
    <t>1621446737813536768</t>
  </si>
  <si>
    <t>1621416477625651200</t>
  </si>
  <si>
    <t>1621386200228446208</t>
  </si>
  <si>
    <t>1645436146065760257</t>
  </si>
  <si>
    <t>1643864878325612549</t>
  </si>
  <si>
    <t>1642212458369540096</t>
  </si>
  <si>
    <t>1646981149451796480</t>
  </si>
  <si>
    <t>1645621787923820545</t>
  </si>
  <si>
    <t>1654833260453568514</t>
  </si>
  <si>
    <t>1631075054023856131</t>
  </si>
  <si>
    <t>1638712475703996419</t>
  </si>
  <si>
    <t>1637870305250009106</t>
  </si>
  <si>
    <t>1637870241379147809</t>
  </si>
  <si>
    <t>1637148348137209859</t>
  </si>
  <si>
    <t>1645912530810998786</t>
  </si>
  <si>
    <t>1645912240803987456</t>
  </si>
  <si>
    <t>1631053393824305155</t>
  </si>
  <si>
    <t>1643643901297786883</t>
  </si>
  <si>
    <t>1643642659490127874</t>
  </si>
  <si>
    <t>1642932096539803659</t>
  </si>
  <si>
    <t>1642931098878459915</t>
  </si>
  <si>
    <t>1640734996871643138</t>
  </si>
  <si>
    <t>1640731906739150848</t>
  </si>
  <si>
    <t>1640393427849302016</t>
  </si>
  <si>
    <t>1655701628198985729</t>
  </si>
  <si>
    <t>1646938369492918281</t>
  </si>
  <si>
    <t>1656461983925821442</t>
  </si>
  <si>
    <t>1656459588634394629</t>
  </si>
  <si>
    <t>1640040652468637698</t>
  </si>
  <si>
    <t>1640039819840479235</t>
  </si>
  <si>
    <t>1639672776620494849</t>
  </si>
  <si>
    <t>1639333351931641884</t>
  </si>
  <si>
    <t>1661538853482635266</t>
  </si>
  <si>
    <t>1690490931852513280</t>
  </si>
  <si>
    <t>1668395163880751104</t>
  </si>
  <si>
    <t>1641476918976434178</t>
  </si>
  <si>
    <t>1641474993593757705</t>
  </si>
  <si>
    <t>1641120356638285824</t>
  </si>
  <si>
    <t>1641119548932870144</t>
  </si>
  <si>
    <t>1690131679401160704</t>
  </si>
  <si>
    <t>1647292178673090561</t>
  </si>
  <si>
    <t>1655329199735861248</t>
  </si>
  <si>
    <t>1626689637879103488</t>
  </si>
  <si>
    <t>1679870289411178496</t>
  </si>
  <si>
    <t>1636483654653300739</t>
  </si>
  <si>
    <t>1706441575255949591</t>
  </si>
  <si>
    <t>1642823676490919936</t>
  </si>
  <si>
    <t>1637127185860313093</t>
  </si>
  <si>
    <t>1691372407385214976</t>
  </si>
  <si>
    <t>1644175005456932865</t>
  </si>
  <si>
    <t>1661180498696175616</t>
  </si>
  <si>
    <t>1668101256512958465</t>
  </si>
  <si>
    <t>1659727528641085443</t>
  </si>
  <si>
    <t>1678139283406823425</t>
  </si>
  <si>
    <t>1666538016389693440</t>
  </si>
  <si>
    <t>1668603763152547840</t>
  </si>
  <si>
    <t>1668597453438812162</t>
  </si>
  <si>
    <t>1640868475236151298</t>
  </si>
  <si>
    <t>1685669701362294784</t>
  </si>
  <si>
    <t>1647072012383272960</t>
  </si>
  <si>
    <t>1646686472748122113</t>
  </si>
  <si>
    <t>1649449325825589257</t>
  </si>
  <si>
    <t>1649414362073899010</t>
  </si>
  <si>
    <t>1649053021203238912</t>
  </si>
  <si>
    <t>1662858228726738944</t>
  </si>
  <si>
    <t>1692730677987352767</t>
  </si>
  <si>
    <t>1643270003716653058</t>
  </si>
  <si>
    <t>1634242018552496131</t>
  </si>
  <si>
    <t>1674163053770821635</t>
  </si>
  <si>
    <t>1649505167950135296</t>
  </si>
  <si>
    <t>1649235459829030920</t>
  </si>
  <si>
    <t>1649197056689422341</t>
  </si>
  <si>
    <t>1649147489176485888</t>
  </si>
  <si>
    <t>1645983826970136578</t>
  </si>
  <si>
    <t>1620203162174107650</t>
  </si>
  <si>
    <t>1636108577151545344</t>
  </si>
  <si>
    <t>1637106134354993152</t>
  </si>
  <si>
    <t>1686802768453922844</t>
  </si>
  <si>
    <t>1669340799367262213</t>
  </si>
  <si>
    <t>1680031234477391874</t>
  </si>
  <si>
    <t>1687119238509543425</t>
  </si>
  <si>
    <t>1668249727849070593</t>
  </si>
  <si>
    <t>1706009875342319673</t>
  </si>
  <si>
    <t>1651338504578777088</t>
  </si>
  <si>
    <t>1643780568012713985</t>
  </si>
  <si>
    <t>1694019951093330206</t>
  </si>
  <si>
    <t>1697315814225953005</t>
  </si>
  <si>
    <t>1697555218303451152</t>
  </si>
  <si>
    <t>1701518258480759083</t>
  </si>
  <si>
    <t>1701387840347660539</t>
  </si>
  <si>
    <t>1661830131206201352</t>
  </si>
  <si>
    <t>1661468592796233728</t>
  </si>
  <si>
    <t>1661464174784905221</t>
  </si>
  <si>
    <t>1689926515113267200</t>
  </si>
  <si>
    <t>1631247654523994112</t>
  </si>
  <si>
    <t>1626240314838249473</t>
  </si>
  <si>
    <t>1626237838361501696</t>
  </si>
  <si>
    <t>1630151424955883520</t>
  </si>
  <si>
    <t>1630149878432030720</t>
  </si>
  <si>
    <t>1629562179295772673</t>
  </si>
  <si>
    <t>1629561923225243649</t>
  </si>
  <si>
    <t>1629561057831276545</t>
  </si>
  <si>
    <t>1627727468395102208</t>
  </si>
  <si>
    <t>1627726918232539140</t>
  </si>
  <si>
    <t>1627726464127737856</t>
  </si>
  <si>
    <t>1627725773091094528</t>
  </si>
  <si>
    <t>1652127870989287424</t>
  </si>
  <si>
    <t>1680999190762070017</t>
  </si>
  <si>
    <t>1699033115266621882</t>
  </si>
  <si>
    <t>1702359072765280652</t>
  </si>
  <si>
    <t>1701574606111289581</t>
  </si>
  <si>
    <t>1700228005795176521</t>
  </si>
  <si>
    <t>1661158487169159169</t>
  </si>
  <si>
    <t>1694114308173561926</t>
  </si>
  <si>
    <t>1638679447812579328</t>
  </si>
  <si>
    <t>1638299444394303488</t>
  </si>
  <si>
    <t>1637939069207580674</t>
  </si>
  <si>
    <t>1637432277255741441</t>
  </si>
  <si>
    <t>1646722795051646977</t>
  </si>
  <si>
    <t>1646722631159230466</t>
  </si>
  <si>
    <t>1646722475202342915</t>
  </si>
  <si>
    <t>1646722262857310209</t>
  </si>
  <si>
    <t>1646722065376894977</t>
  </si>
  <si>
    <t>1646721900742074368</t>
  </si>
  <si>
    <t>1646721534046744580</t>
  </si>
  <si>
    <t>1646721301283782658</t>
  </si>
  <si>
    <t>1646721186225700865</t>
  </si>
  <si>
    <t>1646721043535482882</t>
  </si>
  <si>
    <t>1646720894260092929</t>
  </si>
  <si>
    <t>1646720796457410560</t>
  </si>
  <si>
    <t>1646720500834480129</t>
  </si>
  <si>
    <t>1646720324350738432</t>
  </si>
  <si>
    <t>1646720163020939266</t>
  </si>
  <si>
    <t>1646720022369255426</t>
  </si>
  <si>
    <t>1646719859412090883</t>
  </si>
  <si>
    <t>1646719581380018178</t>
  </si>
  <si>
    <t>1645152747128344577</t>
  </si>
  <si>
    <t>1683683750834479104</t>
  </si>
  <si>
    <t>1646935909823045632</t>
  </si>
  <si>
    <t>1654630690854412288</t>
  </si>
  <si>
    <t>1658230030688763911</t>
  </si>
  <si>
    <t>1673354063381946370</t>
  </si>
  <si>
    <t>1706758353840488875</t>
  </si>
  <si>
    <t>1671645230301364224</t>
  </si>
  <si>
    <t>1641329898320023552</t>
  </si>
  <si>
    <t>1671656680692523009</t>
  </si>
  <si>
    <t>1638928883943632899</t>
  </si>
  <si>
    <t>1682528416275234818</t>
  </si>
  <si>
    <t>1620791332917899264</t>
  </si>
  <si>
    <t>1645936881257918470</t>
  </si>
  <si>
    <t>1694679129772130314</t>
  </si>
  <si>
    <t>1639257028039258113</t>
  </si>
  <si>
    <t>1638873312871825408</t>
  </si>
  <si>
    <t>1639656635172810753</t>
  </si>
  <si>
    <t>1690389151311380480</t>
  </si>
  <si>
    <t>1674505893038157824</t>
  </si>
  <si>
    <t>1649181176270127105</t>
  </si>
  <si>
    <t>1697729297778176432</t>
  </si>
  <si>
    <t>1696879314841538844</t>
  </si>
  <si>
    <t>1697642092137177426</t>
  </si>
  <si>
    <t>1697622686233493907</t>
  </si>
  <si>
    <t>1696881708426051814</t>
  </si>
  <si>
    <t>1658923290788806657</t>
  </si>
  <si>
    <t>1621685642987020291</t>
  </si>
  <si>
    <t>1621204935378436098</t>
  </si>
  <si>
    <t>1692262699227402402</t>
  </si>
  <si>
    <t>1676815678274252800</t>
  </si>
  <si>
    <t>1697416268457058620</t>
  </si>
  <si>
    <t>1645759466342678530</t>
  </si>
  <si>
    <t>1655974246089121792</t>
  </si>
  <si>
    <t>1632350357467590656</t>
  </si>
  <si>
    <t>1631263210543235077</t>
  </si>
  <si>
    <t>1629541899378860035</t>
  </si>
  <si>
    <t>1629451290416668673</t>
  </si>
  <si>
    <t>1629194581966290954</t>
  </si>
  <si>
    <t>1629088879981604864</t>
  </si>
  <si>
    <t>1626725724068478976</t>
  </si>
  <si>
    <t>1626650311178784769</t>
  </si>
  <si>
    <t>1626552162229657602</t>
  </si>
  <si>
    <t>1626333173926793217</t>
  </si>
  <si>
    <t>1626250171133616135</t>
  </si>
  <si>
    <t>1626235096075476997</t>
  </si>
  <si>
    <t>1625925696609480704</t>
  </si>
  <si>
    <t>1625246118714961922</t>
  </si>
  <si>
    <t>1625215903548710923</t>
  </si>
  <si>
    <t>1625193216415784962</t>
  </si>
  <si>
    <t>1635828296016359425</t>
  </si>
  <si>
    <t>1660818697890725888</t>
  </si>
  <si>
    <t>1665889115471216640</t>
  </si>
  <si>
    <t>1704308269810847838</t>
  </si>
  <si>
    <t>1700686810333274518</t>
  </si>
  <si>
    <t>1703586749950390378</t>
  </si>
  <si>
    <t>1669708685394735104</t>
  </si>
  <si>
    <t>1647392363784929282</t>
  </si>
  <si>
    <t>1697972288417624471</t>
  </si>
  <si>
    <t>1645381391700336640</t>
  </si>
  <si>
    <t>1641798032671797251</t>
  </si>
  <si>
    <t>1659003532807110657</t>
  </si>
  <si>
    <t>1658633029907087363</t>
  </si>
  <si>
    <t>1620110556769439744</t>
  </si>
  <si>
    <t>1631671002718511106</t>
  </si>
  <si>
    <t>1672640643162669057</t>
  </si>
  <si>
    <t>1624229577735254018</t>
  </si>
  <si>
    <t>1693236207050723810</t>
  </si>
  <si>
    <t>1658111876432121857</t>
  </si>
  <si>
    <t>1658111826599575558</t>
  </si>
  <si>
    <t>1658111656566616064</t>
  </si>
  <si>
    <t>1666424902633521153</t>
  </si>
  <si>
    <t>1666166765469024258</t>
  </si>
  <si>
    <t>1666165279494230019</t>
  </si>
  <si>
    <t>1671495911673942020</t>
  </si>
  <si>
    <t>1651035059300777984</t>
  </si>
  <si>
    <t>1663970747566501888</t>
  </si>
  <si>
    <t>1642937852811001870</t>
  </si>
  <si>
    <t>1638978409349935105</t>
  </si>
  <si>
    <t>1651661509431271464</t>
  </si>
  <si>
    <t>1651547181868888065</t>
  </si>
  <si>
    <t>1697283025317269951</t>
  </si>
  <si>
    <t>1685762645436035072</t>
  </si>
  <si>
    <t>1636482352565166082</t>
  </si>
  <si>
    <t>1636472975485435910</t>
  </si>
  <si>
    <t>1636472969059860481</t>
  </si>
  <si>
    <t>1638367168063590401</t>
  </si>
  <si>
    <t>1638228922813784065</t>
  </si>
  <si>
    <t>1635389532379156480</t>
  </si>
  <si>
    <t>1635381139136471048</t>
  </si>
  <si>
    <t>1635379580101091335</t>
  </si>
  <si>
    <t>1635378779865636872</t>
  </si>
  <si>
    <t>1643025331878518787</t>
  </si>
  <si>
    <t>1641190519400198150</t>
  </si>
  <si>
    <t>1640881572063633408</t>
  </si>
  <si>
    <t>1640343684599128065</t>
  </si>
  <si>
    <t>1639743845913993217</t>
  </si>
  <si>
    <t>1646204799216500782</t>
  </si>
  <si>
    <t>1651726773841805317</t>
  </si>
  <si>
    <t>1650985354868998144</t>
  </si>
  <si>
    <t>1697296435857731684</t>
  </si>
  <si>
    <t>1697285929298190497</t>
  </si>
  <si>
    <t>1697226963209818400</t>
  </si>
  <si>
    <t>1702394269397369165</t>
  </si>
  <si>
    <t>1702387767039135873</t>
  </si>
  <si>
    <t>1702360682446946412</t>
  </si>
  <si>
    <t>1701822966768587144</t>
  </si>
  <si>
    <t>1695539931811057896</t>
  </si>
  <si>
    <t>1671516419391889408</t>
  </si>
  <si>
    <t>1683241500468019200</t>
  </si>
  <si>
    <t>1684880840432721920</t>
  </si>
  <si>
    <t>1679090549804900352</t>
  </si>
  <si>
    <t>1672994633058582528</t>
  </si>
  <si>
    <t>1671114175689400320</t>
  </si>
  <si>
    <t>1687398910950547456</t>
  </si>
  <si>
    <t>1684621756609236992</t>
  </si>
  <si>
    <t>1682364474139844612</t>
  </si>
  <si>
    <t>1681140271373754370</t>
  </si>
  <si>
    <t>1680907050107252739</t>
  </si>
  <si>
    <t>1680712842121494528</t>
  </si>
  <si>
    <t>1680524257506336768</t>
  </si>
  <si>
    <t>1674717119257227264</t>
  </si>
  <si>
    <t>1671928440008720395</t>
  </si>
  <si>
    <t>1687406474832588800</t>
  </si>
  <si>
    <t>1686342654907334656</t>
  </si>
  <si>
    <t>1681988659334004736</t>
  </si>
  <si>
    <t>1681970572429803520</t>
  </si>
  <si>
    <t>1681253645877145600</t>
  </si>
  <si>
    <t>1680141813133213697</t>
  </si>
  <si>
    <t>1677349043318472705</t>
  </si>
  <si>
    <t>1672599837085249539</t>
  </si>
  <si>
    <t>1691406026443046912</t>
  </si>
  <si>
    <t>1691197020650795009</t>
  </si>
  <si>
    <t>1688855184489771009</t>
  </si>
  <si>
    <t>1688520053862326272</t>
  </si>
  <si>
    <t>1688210199658602497</t>
  </si>
  <si>
    <t>1683637039810457603</t>
  </si>
  <si>
    <t>1683262989791526914</t>
  </si>
  <si>
    <t>1683251521600000001</t>
  </si>
  <si>
    <t>1683194675224625152</t>
  </si>
  <si>
    <t>1683077017497919488</t>
  </si>
  <si>
    <t>1670775441102184449</t>
  </si>
  <si>
    <t>1670377326977388546</t>
  </si>
  <si>
    <t>1670128727974346754</t>
  </si>
  <si>
    <t>1690310218633060352</t>
  </si>
  <si>
    <t>1689950864725692416</t>
  </si>
  <si>
    <t>1686752481793994752</t>
  </si>
  <si>
    <t>1686669033364418560</t>
  </si>
  <si>
    <t>1681629814459883520</t>
  </si>
  <si>
    <t>1679789753762193410</t>
  </si>
  <si>
    <t>1674387837980999686</t>
  </si>
  <si>
    <t>1674153907747008512</t>
  </si>
  <si>
    <t>1674015405969473537</t>
  </si>
  <si>
    <t>1673662190556000261</t>
  </si>
  <si>
    <t>1673503966548619264</t>
  </si>
  <si>
    <t>1673296097576361989</t>
  </si>
  <si>
    <t>1692134352119894211</t>
  </si>
  <si>
    <t>1691558358115865079</t>
  </si>
  <si>
    <t>1689607828128792576</t>
  </si>
  <si>
    <t>1689307883454820353</t>
  </si>
  <si>
    <t>1688880965605572610</t>
  </si>
  <si>
    <t>1684530788589600769</t>
  </si>
  <si>
    <t>1684258703216611328</t>
  </si>
  <si>
    <t>1683975467299217410</t>
  </si>
  <si>
    <t>1683836991111307266</t>
  </si>
  <si>
    <t>1676922480592666626</t>
  </si>
  <si>
    <t>1676553292044705794</t>
  </si>
  <si>
    <t>1694696806636999058</t>
  </si>
  <si>
    <t>1690836920203403264</t>
  </si>
  <si>
    <t>1687765448933113856</t>
  </si>
  <si>
    <t>1682726469099745280</t>
  </si>
  <si>
    <t>1675815035933786113</t>
  </si>
  <si>
    <t>1703003023012675630</t>
  </si>
  <si>
    <t>1702373305867555185</t>
  </si>
  <si>
    <t>1702086128239624319</t>
  </si>
  <si>
    <t>1701253862164681160</t>
  </si>
  <si>
    <t>1685967981170327552</t>
  </si>
  <si>
    <t>1685596701896105985</t>
  </si>
  <si>
    <t>1685248705039904769</t>
  </si>
  <si>
    <t>1685117801311162369</t>
  </si>
  <si>
    <t>1684962886668492814</t>
  </si>
  <si>
    <t>1679425699512287236</t>
  </si>
  <si>
    <t>1679284094331416579</t>
  </si>
  <si>
    <t>1678731922816499713</t>
  </si>
  <si>
    <t>1678446881465147429</t>
  </si>
  <si>
    <t>1696499310148362636</t>
  </si>
  <si>
    <t>1681466746429906947</t>
  </si>
  <si>
    <t>1677749056100024320</t>
  </si>
  <si>
    <t>1630985168704995349</t>
  </si>
  <si>
    <t>1651341210433339392</t>
  </si>
  <si>
    <t>1653893660537245696</t>
  </si>
  <si>
    <t>1643283598349303809</t>
  </si>
  <si>
    <t>1656467230425481219</t>
  </si>
  <si>
    <t>1679660455931912192</t>
  </si>
  <si>
    <t>1699178108346130451</t>
  </si>
  <si>
    <t>1699134904498323681</t>
  </si>
  <si>
    <t>1665210229078781954</t>
  </si>
  <si>
    <t>1630915505593761794</t>
  </si>
  <si>
    <t>1661550335939182594</t>
  </si>
  <si>
    <t>1661547343353618433</t>
  </si>
  <si>
    <t>1703272225112043574</t>
  </si>
  <si>
    <t>1668238842174873605</t>
  </si>
  <si>
    <t>1670209747386073092</t>
  </si>
  <si>
    <t>1673985478888923139</t>
  </si>
  <si>
    <t>1646283319909179392</t>
  </si>
  <si>
    <t>1646136800182763523</t>
  </si>
  <si>
    <t>1648279630665662464</t>
  </si>
  <si>
    <t>1630209952265502729</t>
  </si>
  <si>
    <t>1623059372770471938</t>
  </si>
  <si>
    <t>1622664644505608196</t>
  </si>
  <si>
    <t>1622665315959152646</t>
  </si>
  <si>
    <t>1655658842183589888</t>
  </si>
  <si>
    <t>1690345502024335361</t>
  </si>
  <si>
    <t>1666499487387230216</t>
  </si>
  <si>
    <t>1688661297192136704</t>
  </si>
  <si>
    <t>1633221514123431938</t>
  </si>
  <si>
    <t>1660055852886179847</t>
  </si>
  <si>
    <t>1656177582067384321</t>
  </si>
  <si>
    <t>1682508361168834561</t>
  </si>
  <si>
    <t>1681891134874828800</t>
  </si>
  <si>
    <t>1643808663813881857</t>
  </si>
  <si>
    <t>1638885839433342977</t>
  </si>
  <si>
    <t>1643086580729495555</t>
  </si>
  <si>
    <t>1704610722653655419</t>
  </si>
  <si>
    <t>1638366745869025288</t>
  </si>
  <si>
    <t>1630592392041582593</t>
  </si>
  <si>
    <t>1629134217056604160</t>
  </si>
  <si>
    <t>1693436179864031725</t>
  </si>
  <si>
    <t>1701242717236294048</t>
  </si>
  <si>
    <t>1655764227120934913</t>
  </si>
  <si>
    <t>1684009799971745792</t>
  </si>
  <si>
    <t>1682576548392579077</t>
  </si>
  <si>
    <t>1704324397744455788</t>
  </si>
  <si>
    <t>1650520535703355393</t>
  </si>
  <si>
    <t>1684958186787282944</t>
  </si>
  <si>
    <t>1630042592283881473</t>
  </si>
  <si>
    <t>1629009425594781696</t>
  </si>
  <si>
    <t>1628493360292831237</t>
  </si>
  <si>
    <t>1627977132885307392</t>
  </si>
  <si>
    <t>1637048965739827202</t>
  </si>
  <si>
    <t>1625530544325787650</t>
  </si>
  <si>
    <t>1624555462799630336</t>
  </si>
  <si>
    <t>1639814501867438080</t>
  </si>
  <si>
    <t>1627460982757785600</t>
  </si>
  <si>
    <t>1641214166617735169</t>
  </si>
  <si>
    <t>1645983065255161857</t>
  </si>
  <si>
    <t>1644437845963075600</t>
  </si>
  <si>
    <t>1624127313917931521</t>
  </si>
  <si>
    <t>1623877205624336391</t>
  </si>
  <si>
    <t>1642759662322827265</t>
  </si>
  <si>
    <t>1634865045606739968</t>
  </si>
  <si>
    <t>1634788637005971457</t>
  </si>
  <si>
    <t>1634712554885849088</t>
  </si>
  <si>
    <t>1634636058980655104</t>
  </si>
  <si>
    <t>1634406065335943170</t>
  </si>
  <si>
    <t>1634329479366471682</t>
  </si>
  <si>
    <t>1634252743131930647</t>
  </si>
  <si>
    <t>1634175773459243017</t>
  </si>
  <si>
    <t>1634098993759236096</t>
  </si>
  <si>
    <t>1634022778239164416</t>
  </si>
  <si>
    <t>1633945832058912768</t>
  </si>
  <si>
    <t>1633869486263783425</t>
  </si>
  <si>
    <t>1633792852353245187</t>
  </si>
  <si>
    <t>1633715900753797125</t>
  </si>
  <si>
    <t>1633639350067138561</t>
  </si>
  <si>
    <t>1633562119118659584</t>
  </si>
  <si>
    <t>1623632962473394176</t>
  </si>
  <si>
    <t>1623388659046129665</t>
  </si>
  <si>
    <t>1623144853394673666</t>
  </si>
  <si>
    <t>1647526761897361408</t>
  </si>
  <si>
    <t>1638324741994864641</t>
  </si>
  <si>
    <t>1649474909595115534</t>
  </si>
  <si>
    <t>1695424671758287017</t>
  </si>
  <si>
    <t>1625096208615190530</t>
  </si>
  <si>
    <t>1655670410627653636</t>
  </si>
  <si>
    <t>1702838150236692505</t>
  </si>
  <si>
    <t>1637957700314079232</t>
  </si>
  <si>
    <t>1652689931397996546</t>
  </si>
  <si>
    <t>1662384546279485442</t>
  </si>
  <si>
    <t>1660690415916285953</t>
  </si>
  <si>
    <t>1660056506337751047</t>
  </si>
  <si>
    <t>1664405406892929031</t>
  </si>
  <si>
    <t>1684867614084857856</t>
  </si>
  <si>
    <t>1632185415905210368</t>
  </si>
  <si>
    <t>1630942265219719168</t>
  </si>
  <si>
    <t>1629587074402623489</t>
  </si>
  <si>
    <t>1641368359873683458</t>
  </si>
  <si>
    <t>1641268427883966466</t>
  </si>
  <si>
    <t>1641268200963731457</t>
  </si>
  <si>
    <t>1641268200229810176</t>
  </si>
  <si>
    <t>1641062312999022594</t>
  </si>
  <si>
    <t>1641062180802949125</t>
  </si>
  <si>
    <t>1641062157843410944</t>
  </si>
  <si>
    <t>1641062039585005570</t>
  </si>
  <si>
    <t>1654429756887126017</t>
  </si>
  <si>
    <t>1654293425515114498</t>
  </si>
  <si>
    <t>1654293399002836992</t>
  </si>
  <si>
    <t>1654293316970725376</t>
  </si>
  <si>
    <t>1653786461122985985</t>
  </si>
  <si>
    <t>1641944766567923712</t>
  </si>
  <si>
    <t>1623139537089175554</t>
  </si>
  <si>
    <t>1622934335983697920</t>
  </si>
  <si>
    <t>1622934178013536256</t>
  </si>
  <si>
    <t>1654293299090391041</t>
  </si>
  <si>
    <t>1654097213721567240</t>
  </si>
  <si>
    <t>1654097045081169924</t>
  </si>
  <si>
    <t>1654097031491735552</t>
  </si>
  <si>
    <t>1654096971626340354</t>
  </si>
  <si>
    <t>1653859412727984132</t>
  </si>
  <si>
    <t>1653859258730000385</t>
  </si>
  <si>
    <t>1549854872543035393</t>
  </si>
  <si>
    <t>1706793702541111498</t>
  </si>
  <si>
    <t>1640056649938337792</t>
  </si>
  <si>
    <t>1672556845192364032</t>
  </si>
  <si>
    <t>1636225098834214916</t>
  </si>
  <si>
    <t>1638316837585707009</t>
  </si>
  <si>
    <t>1680738916163375104</t>
  </si>
  <si>
    <t>1635702940877873152</t>
  </si>
  <si>
    <t>1621177953714405377</t>
  </si>
  <si>
    <t>1681870587931553792</t>
  </si>
  <si>
    <t>1665801994144038917</t>
  </si>
  <si>
    <t>1659318214168387587</t>
  </si>
  <si>
    <t>1627029637866876929</t>
  </si>
  <si>
    <t>1687186513761550337</t>
  </si>
  <si>
    <t>1684648209094791170</t>
  </si>
  <si>
    <t>1664689592191025152</t>
  </si>
  <si>
    <t>1637524835843620865</t>
  </si>
  <si>
    <t>1626661805761126414</t>
  </si>
  <si>
    <t>1693291219466486021</t>
  </si>
  <si>
    <t>1690090306429947904</t>
  </si>
  <si>
    <t>1673720196803055617</t>
  </si>
  <si>
    <t>1673307120710688768</t>
  </si>
  <si>
    <t>1666535018808631297</t>
  </si>
  <si>
    <t>1638963765562470406</t>
  </si>
  <si>
    <t>1638259470651256863</t>
  </si>
  <si>
    <t>1696570615279350085</t>
  </si>
  <si>
    <t>1669416009629876235</t>
  </si>
  <si>
    <t>1661459418209296385</t>
  </si>
  <si>
    <t>1653079800066588674</t>
  </si>
  <si>
    <t>1634607309245562880</t>
  </si>
  <si>
    <t>1703464493890556337</t>
  </si>
  <si>
    <t>1675923638279610380</t>
  </si>
  <si>
    <t>1650558829774422016</t>
  </si>
  <si>
    <t>1641119928206999583</t>
  </si>
  <si>
    <t>1632434034872664065</t>
  </si>
  <si>
    <t>1631024594621542402</t>
  </si>
  <si>
    <t>1704575109837582826</t>
  </si>
  <si>
    <t>1699139920084840878</t>
  </si>
  <si>
    <t>1691484026106720256</t>
  </si>
  <si>
    <t>1640784686765973529</t>
  </si>
  <si>
    <t>1640446100359225350</t>
  </si>
  <si>
    <t>1628098569021403136</t>
  </si>
  <si>
    <t>1705030489055146451</t>
  </si>
  <si>
    <t>1703006546806907344</t>
  </si>
  <si>
    <t>1701293504259817943</t>
  </si>
  <si>
    <t>1700954913562304967</t>
  </si>
  <si>
    <t>1692602540666298635</t>
  </si>
  <si>
    <t>1678811755995181056</t>
  </si>
  <si>
    <t>1645736133647646721</t>
  </si>
  <si>
    <t>1645730541663035392</t>
  </si>
  <si>
    <t>1666583602816057344</t>
  </si>
  <si>
    <t>1701315942863516101</t>
  </si>
  <si>
    <t>1633514496571351040</t>
  </si>
  <si>
    <t>1630258062555504640</t>
  </si>
  <si>
    <t>1695246426698088881</t>
  </si>
  <si>
    <t>1698783596931117405</t>
  </si>
  <si>
    <t>1664726069314740225</t>
  </si>
  <si>
    <t>1687985587846852609</t>
  </si>
  <si>
    <t>1687648744584482816</t>
  </si>
  <si>
    <t>1676319133204357120</t>
  </si>
  <si>
    <t>1676311165436063750</t>
  </si>
  <si>
    <t>1623292317120491521</t>
  </si>
  <si>
    <t>1641196624142561280</t>
  </si>
  <si>
    <t>1678720598497800193</t>
  </si>
  <si>
    <t>1633969084466438144</t>
  </si>
  <si>
    <t>1689627516019892225</t>
  </si>
  <si>
    <t>1701709221182734504</t>
  </si>
  <si>
    <t>1640169472437698561</t>
  </si>
  <si>
    <t>1622397974775988224</t>
  </si>
  <si>
    <t>1673345109448949760</t>
  </si>
  <si>
    <t>1696216832670122058</t>
  </si>
  <si>
    <t>1707078944481014114</t>
  </si>
  <si>
    <t>1645276871637061632</t>
  </si>
  <si>
    <t>1635369702678732801</t>
  </si>
  <si>
    <t>1624613390390886400</t>
  </si>
  <si>
    <t>1630661127255236610</t>
  </si>
  <si>
    <t>1690891746186506241</t>
  </si>
  <si>
    <t>1641449247743840261</t>
  </si>
  <si>
    <t>1644491014034391044</t>
  </si>
  <si>
    <t>1620778170776715265</t>
  </si>
  <si>
    <t>1620217041226723330</t>
  </si>
  <si>
    <t>1705236093338263592</t>
  </si>
  <si>
    <t>1705655752801886372</t>
  </si>
  <si>
    <t>1706702682415886355</t>
  </si>
  <si>
    <t>1705005199037755527</t>
  </si>
  <si>
    <t>1681385767480721419</t>
  </si>
  <si>
    <t>1684730728372654080</t>
  </si>
  <si>
    <t>1678491816742514696</t>
  </si>
  <si>
    <t>1625926395850375168</t>
  </si>
  <si>
    <t>1679902756897796114</t>
  </si>
  <si>
    <t>1631049369704099841</t>
  </si>
  <si>
    <t>1686776672102629377</t>
  </si>
  <si>
    <t>1701344840167100575</t>
  </si>
  <si>
    <t>1629837569939714051</t>
  </si>
  <si>
    <t>1626383129744228355</t>
  </si>
  <si>
    <t>1698061993804988693</t>
  </si>
  <si>
    <t>1650347329206009856</t>
  </si>
  <si>
    <t>1673731153440784399</t>
  </si>
  <si>
    <t>1638940872808050688</t>
  </si>
  <si>
    <t>1638159075304243201</t>
  </si>
  <si>
    <t>1647570536275275780</t>
  </si>
  <si>
    <t>1673823513042378754</t>
  </si>
  <si>
    <t>1673820901710741508</t>
  </si>
  <si>
    <t>1638279583127556121</t>
  </si>
  <si>
    <t>1632737080592809984</t>
  </si>
  <si>
    <t>1698865743830376841</t>
  </si>
  <si>
    <t>1674088031739863040</t>
  </si>
  <si>
    <t>1673377489870110735</t>
  </si>
  <si>
    <t>1636953647878750209</t>
  </si>
  <si>
    <t>1636433970601574417</t>
  </si>
  <si>
    <t>1630282858894962688</t>
  </si>
  <si>
    <t>1627731448902942721</t>
  </si>
  <si>
    <t>1633987653631631361</t>
  </si>
  <si>
    <t>1667533990947897344</t>
  </si>
  <si>
    <t>1686809575192752129</t>
  </si>
  <si>
    <t>1691246451802669056</t>
  </si>
  <si>
    <t>1687838116688564224</t>
  </si>
  <si>
    <t>1687836096300752896</t>
  </si>
  <si>
    <t>1687835759170977792</t>
  </si>
  <si>
    <t>1683595989486059521</t>
  </si>
  <si>
    <t>1683496010868244481</t>
  </si>
  <si>
    <t>1683478259818717186</t>
  </si>
  <si>
    <t>1683065409338068993</t>
  </si>
  <si>
    <t>1657594534296006656</t>
  </si>
  <si>
    <t>1661454494348001280</t>
  </si>
  <si>
    <t>1660078303267389442</t>
  </si>
  <si>
    <t>1658600070051164160</t>
  </si>
  <si>
    <t>1666908987076366337</t>
  </si>
  <si>
    <t>1666907985057071105</t>
  </si>
  <si>
    <t>1666046129828495361</t>
  </si>
  <si>
    <t>1659407743415975937</t>
  </si>
  <si>
    <t>1621135373127585792</t>
  </si>
  <si>
    <t>1621274853012606977</t>
  </si>
  <si>
    <t>1621270841253052417</t>
  </si>
  <si>
    <t>1621214225786961920</t>
  </si>
  <si>
    <t>1639621021396500480</t>
  </si>
  <si>
    <t>1684575083816431619</t>
  </si>
  <si>
    <t>1684574824046407681</t>
  </si>
  <si>
    <t>1632803338126336001</t>
  </si>
  <si>
    <t>1704944677114257909</t>
  </si>
  <si>
    <t>1661557169563529217</t>
  </si>
  <si>
    <t>1635611943074496512</t>
  </si>
  <si>
    <t>1699585574510727383</t>
  </si>
  <si>
    <t>1686959752792715265</t>
  </si>
  <si>
    <t>1648207724797149185</t>
  </si>
  <si>
    <t>1649974924558073857</t>
  </si>
  <si>
    <t>1638170556733493253</t>
  </si>
  <si>
    <t>1662051039271440386</t>
  </si>
  <si>
    <t>1636761217925627911</t>
  </si>
  <si>
    <t>1633153159026671618</t>
  </si>
  <si>
    <t>1675151951271452674</t>
  </si>
  <si>
    <t>1648834527907790850</t>
  </si>
  <si>
    <t>1686890106995486720</t>
  </si>
  <si>
    <t>1630318846606286848</t>
  </si>
  <si>
    <t>1643943567964995584</t>
  </si>
  <si>
    <t>1643907957417967619</t>
  </si>
  <si>
    <t>1643548139842830341</t>
  </si>
  <si>
    <t>1643332490063405056</t>
  </si>
  <si>
    <t>1643259644725321731</t>
  </si>
  <si>
    <t>1643245769154080768</t>
  </si>
  <si>
    <t>1643232758829916160</t>
  </si>
  <si>
    <t>1648482962630144002</t>
  </si>
  <si>
    <t>1659973981506527233</t>
  </si>
  <si>
    <t>1681001600779796485</t>
  </si>
  <si>
    <t>1664013747277508608</t>
  </si>
  <si>
    <t>1675612525100974082</t>
  </si>
  <si>
    <t>1675519435866611712</t>
  </si>
  <si>
    <t>1675286411283427328</t>
  </si>
  <si>
    <t>1668356875098701825</t>
  </si>
  <si>
    <t>1668257405237448705</t>
  </si>
  <si>
    <t>1668036822679560192</t>
  </si>
  <si>
    <t>1667677233668927493</t>
  </si>
  <si>
    <t>1661113035753136130</t>
  </si>
  <si>
    <t>1661015854417580033</t>
  </si>
  <si>
    <t>1660067106178605056</t>
  </si>
  <si>
    <t>1674528063848062977</t>
  </si>
  <si>
    <t>1671176808216051717</t>
  </si>
  <si>
    <t>1670808403898236928</t>
  </si>
  <si>
    <t>1666272659682762754</t>
  </si>
  <si>
    <t>1666203311220072448</t>
  </si>
  <si>
    <t>1663290310179405825</t>
  </si>
  <si>
    <t>1659670296922673153</t>
  </si>
  <si>
    <t>1657896417904533504</t>
  </si>
  <si>
    <t>1684184698388377602</t>
  </si>
  <si>
    <t>1683955929010561025</t>
  </si>
  <si>
    <t>1683947834574532610</t>
  </si>
  <si>
    <t>1683845766794604544</t>
  </si>
  <si>
    <t>1676699138551865344</t>
  </si>
  <si>
    <t>1676696082967851009</t>
  </si>
  <si>
    <t>1676608362937569282</t>
  </si>
  <si>
    <t>1676245955643858946</t>
  </si>
  <si>
    <t>1669448055450378243</t>
  </si>
  <si>
    <t>1669359059072589832</t>
  </si>
  <si>
    <t>1669084164878921729</t>
  </si>
  <si>
    <t>1668981627530166275</t>
  </si>
  <si>
    <t>1668730144687529984</t>
  </si>
  <si>
    <t>1661745556753113090</t>
  </si>
  <si>
    <t>1661474872537804800</t>
  </si>
  <si>
    <t>1661413987278258189</t>
  </si>
  <si>
    <t>1653071724638879752</t>
  </si>
  <si>
    <t>1652818560106868736</t>
  </si>
  <si>
    <t>1652643438200750086</t>
  </si>
  <si>
    <t>1686752289950670849</t>
  </si>
  <si>
    <t>1681679532711919616</t>
  </si>
  <si>
    <t>1674432534187331584</t>
  </si>
  <si>
    <t>1674176831086288897</t>
  </si>
  <si>
    <t>1673798360040366081</t>
  </si>
  <si>
    <t>1673706610776997888</t>
  </si>
  <si>
    <t>1673382727247077392</t>
  </si>
  <si>
    <t>1673106033659478016</t>
  </si>
  <si>
    <t>1667237626208976897</t>
  </si>
  <si>
    <t>1667172948715921408</t>
  </si>
  <si>
    <t>1666823675813953536</t>
  </si>
  <si>
    <t>1666548778168381446</t>
  </si>
  <si>
    <t>1657507998489534465</t>
  </si>
  <si>
    <t>1657017286044024832</t>
  </si>
  <si>
    <t>1684674800021803008</t>
  </si>
  <si>
    <t>1682401718573604864</t>
  </si>
  <si>
    <t>1682136528732954627</t>
  </si>
  <si>
    <t>1680934649160253446</t>
  </si>
  <si>
    <t>1680721318789148672</t>
  </si>
  <si>
    <t>1680592876164595712</t>
  </si>
  <si>
    <t>1674885846959357954</t>
  </si>
  <si>
    <t>1672258212265861122</t>
  </si>
  <si>
    <t>1671989268732956674</t>
  </si>
  <si>
    <t>1671623488333905921</t>
  </si>
  <si>
    <t>1665467213556449281</t>
  </si>
  <si>
    <t>1665362218165182470</t>
  </si>
  <si>
    <t>1665140072750956544</t>
  </si>
  <si>
    <t>1665026017092665345</t>
  </si>
  <si>
    <t>1655895312655962112</t>
  </si>
  <si>
    <t>1655323496149397505</t>
  </si>
  <si>
    <t>1686027489913491456</t>
  </si>
  <si>
    <t>1679506171990777856</t>
  </si>
  <si>
    <t>1679152453277872129</t>
  </si>
  <si>
    <t>1678844057479532555</t>
  </si>
  <si>
    <t>1678510355528466433</t>
  </si>
  <si>
    <t>1678438516361969664</t>
  </si>
  <si>
    <t>1664381990710157318</t>
  </si>
  <si>
    <t>1664283633006546950</t>
  </si>
  <si>
    <t>1663655865155477504</t>
  </si>
  <si>
    <t>1663580020718141443</t>
  </si>
  <si>
    <t>1654938245568888833</t>
  </si>
  <si>
    <t>1654533854839930882</t>
  </si>
  <si>
    <t>1687484473166721024</t>
  </si>
  <si>
    <t>1681776538272907266</t>
  </si>
  <si>
    <t>1681318881074499591</t>
  </si>
  <si>
    <t>1680398209422618624</t>
  </si>
  <si>
    <t>1677331650462490624</t>
  </si>
  <si>
    <t>1677060350003363841</t>
  </si>
  <si>
    <t>1676972401265987584</t>
  </si>
  <si>
    <t>1672752150508707840</t>
  </si>
  <si>
    <t>1672748518438494210</t>
  </si>
  <si>
    <t>1672624953391296513</t>
  </si>
  <si>
    <t>1672349360858836996</t>
  </si>
  <si>
    <t>1666058817115660289</t>
  </si>
  <si>
    <t>1665705897568395266</t>
  </si>
  <si>
    <t>1665493350634381320</t>
  </si>
  <si>
    <t>1656368000759394318</t>
  </si>
  <si>
    <t>1688658208586334208</t>
  </si>
  <si>
    <t>1683264324880531456</t>
  </si>
  <si>
    <t>1677421619004817409</t>
  </si>
  <si>
    <t>1670566105947987968</t>
  </si>
  <si>
    <t>1670439370757660672</t>
  </si>
  <si>
    <t>1670184924458958848</t>
  </si>
  <si>
    <t>1670055891519827974</t>
  </si>
  <si>
    <t>1669729552807997441</t>
  </si>
  <si>
    <t>1662929977254264837</t>
  </si>
  <si>
    <t>1662602626398035968</t>
  </si>
  <si>
    <t>1662212613051387904</t>
  </si>
  <si>
    <t>1651578865091768321</t>
  </si>
  <si>
    <t>1637779010632445956</t>
  </si>
  <si>
    <t>1621114988407537664</t>
  </si>
  <si>
    <t>1643422394176925696</t>
  </si>
  <si>
    <t>1637040199145234432</t>
  </si>
  <si>
    <t>1648823801063555072</t>
  </si>
  <si>
    <t>1647736630068023296</t>
  </si>
  <si>
    <t>1647374247172653056</t>
  </si>
  <si>
    <t>1666460838364864513</t>
  </si>
  <si>
    <t>1625524952249016321</t>
  </si>
  <si>
    <t>1625500599705034752</t>
  </si>
  <si>
    <t>1639628318034268160</t>
  </si>
  <si>
    <t>1639624493273612290</t>
  </si>
  <si>
    <t>1639266200684228608</t>
  </si>
  <si>
    <t>1639262121488793603</t>
  </si>
  <si>
    <t>1641436402377453569</t>
  </si>
  <si>
    <t>1691780717481542022</t>
  </si>
  <si>
    <t>1641238681456459776</t>
  </si>
  <si>
    <t>1620770005024661507</t>
  </si>
  <si>
    <t>1675543261321068549</t>
  </si>
  <si>
    <t>1675346911669239808</t>
  </si>
  <si>
    <t>1675258271932854273</t>
  </si>
  <si>
    <t>1688995495421624320</t>
  </si>
  <si>
    <t>1684053042730082312</t>
  </si>
  <si>
    <t>1687129380969906176</t>
  </si>
  <si>
    <t>1687309923623825408</t>
  </si>
  <si>
    <t>1687242597067038720</t>
  </si>
  <si>
    <t>1694686132913463602</t>
  </si>
  <si>
    <t>1694686106506113371</t>
  </si>
  <si>
    <t>1625913675855822860</t>
  </si>
  <si>
    <t>1625666264784936961</t>
  </si>
  <si>
    <t>1625570590739337242</t>
  </si>
  <si>
    <t>1625349754530979842</t>
  </si>
  <si>
    <t>1625330349327745027</t>
  </si>
  <si>
    <t>1682817253291487232</t>
  </si>
  <si>
    <t>1681697947287683073</t>
  </si>
  <si>
    <t>1706749138761613315</t>
  </si>
  <si>
    <t>1706038109597491489</t>
  </si>
  <si>
    <t>1704530406668673070</t>
  </si>
  <si>
    <t>1704531664192336010</t>
  </si>
  <si>
    <t>1704531115116007518</t>
  </si>
  <si>
    <t>1704530486415003712</t>
  </si>
  <si>
    <t>1704530940159004811</t>
  </si>
  <si>
    <t>1704530552890528104</t>
  </si>
  <si>
    <t>1704530889911243049</t>
  </si>
  <si>
    <t>1684204633177174018</t>
  </si>
  <si>
    <t>1684204742463959044</t>
  </si>
  <si>
    <t>1706038144573780013</t>
  </si>
  <si>
    <t>1706025290483265860</t>
  </si>
  <si>
    <t>1706025242554937471</t>
  </si>
  <si>
    <t>1704531632508572066</t>
  </si>
  <si>
    <t>1704531322197185010</t>
  </si>
  <si>
    <t>1703102649610928381</t>
  </si>
  <si>
    <t>1704531066659213455</t>
  </si>
  <si>
    <t>1706751516500009094</t>
  </si>
  <si>
    <t>1706928241653448795</t>
  </si>
  <si>
    <t>1706025144618004801</t>
  </si>
  <si>
    <t>1706025226046255376</t>
  </si>
  <si>
    <t>1703102414121803901</t>
  </si>
  <si>
    <t>1705318338035892504</t>
  </si>
  <si>
    <t>1704530371948253569</t>
  </si>
  <si>
    <t>1704531700691153153</t>
  </si>
  <si>
    <t>1703102690027348145</t>
  </si>
  <si>
    <t>1704531026289037386</t>
  </si>
  <si>
    <t>1703103946242363627</t>
  </si>
  <si>
    <t>1704531009167913272</t>
  </si>
  <si>
    <t>1695137024360001786</t>
  </si>
  <si>
    <t>1688637776734896128</t>
  </si>
  <si>
    <t>1706750372646207752</t>
  </si>
  <si>
    <t>1706749962187415987</t>
  </si>
  <si>
    <t>1706748645758939606</t>
  </si>
  <si>
    <t>1706749360023785761</t>
  </si>
  <si>
    <t>1706748747253006393</t>
  </si>
  <si>
    <t>1706749345163292700</t>
  </si>
  <si>
    <t>1704514324666994927</t>
  </si>
  <si>
    <t>1706749305220936160</t>
  </si>
  <si>
    <t>1702658341204267460</t>
  </si>
  <si>
    <t>1702549919804854614</t>
  </si>
  <si>
    <t>1702550094199808006</t>
  </si>
  <si>
    <t>1702550040739233838</t>
  </si>
  <si>
    <t>1702319356544536933</t>
  </si>
  <si>
    <t>1701394937760092349</t>
  </si>
  <si>
    <t>1701394988557328809</t>
  </si>
  <si>
    <t>1701394940679315764</t>
  </si>
  <si>
    <t>1701394145124712579</t>
  </si>
  <si>
    <t>1630464866195591169</t>
  </si>
  <si>
    <t>1658442168036368384</t>
  </si>
  <si>
    <t>1658442733529227265</t>
  </si>
  <si>
    <t>1657013705954009089</t>
  </si>
  <si>
    <t>1662093928785403904</t>
  </si>
  <si>
    <t>1661806887212384281</t>
  </si>
  <si>
    <t>1706634473956053156</t>
  </si>
  <si>
    <t>1707028121302511892</t>
  </si>
  <si>
    <t>1627399915885285377</t>
  </si>
  <si>
    <t>1660035562223411206</t>
  </si>
  <si>
    <t>1631082095069069312</t>
  </si>
  <si>
    <t>1658148897724694529</t>
  </si>
  <si>
    <t>1658146889232003083</t>
  </si>
  <si>
    <t>1658146861910302723</t>
  </si>
  <si>
    <t>1621851947102871554</t>
  </si>
  <si>
    <t>1665338466811387904</t>
  </si>
  <si>
    <t>1636472748510674945</t>
  </si>
  <si>
    <t>1641118167836631041</t>
  </si>
  <si>
    <t>1641117953155383299</t>
  </si>
  <si>
    <t>1632214852046340096</t>
  </si>
  <si>
    <t>1631437509308698626</t>
  </si>
  <si>
    <t>1651741974469173253</t>
  </si>
  <si>
    <t>1630374943157280768</t>
  </si>
  <si>
    <t>1672666625135243265</t>
  </si>
  <si>
    <t>1627702711071260674</t>
  </si>
  <si>
    <t>1627423266976432130</t>
  </si>
  <si>
    <t>1682000287941132289</t>
  </si>
  <si>
    <t>1645431430590222342</t>
  </si>
  <si>
    <t>1641826877261094912</t>
  </si>
  <si>
    <t>1621638385013035009</t>
  </si>
  <si>
    <t>1698017785429799215</t>
  </si>
  <si>
    <t>1640751290891350016</t>
  </si>
  <si>
    <t>1707147174604079138</t>
  </si>
  <si>
    <t>1684186199747952642</t>
  </si>
  <si>
    <t>1687259946281283584</t>
  </si>
  <si>
    <t>1638186407360442368</t>
  </si>
  <si>
    <t>1622886115316318208</t>
  </si>
  <si>
    <t>1624709142031003653</t>
  </si>
  <si>
    <t>1628824403785007107</t>
  </si>
  <si>
    <t>1638392243881902080</t>
  </si>
  <si>
    <t>1620583128246124553</t>
  </si>
  <si>
    <t>1620428470986866689</t>
  </si>
  <si>
    <t>1620427083313995782</t>
  </si>
  <si>
    <t>1621309775576272896</t>
  </si>
  <si>
    <t>1668413486680924162</t>
  </si>
  <si>
    <t>1632541660260253696</t>
  </si>
  <si>
    <t>1647088720347119616</t>
  </si>
  <si>
    <t>1625830229657755651</t>
  </si>
  <si>
    <t>1662390817082753025</t>
  </si>
  <si>
    <t>1705285642362429564</t>
  </si>
  <si>
    <t>1704656027830870165</t>
  </si>
  <si>
    <t>1705948670607200592</t>
  </si>
  <si>
    <t>1661583813137293313</t>
  </si>
  <si>
    <t>1658326421842927616</t>
  </si>
  <si>
    <t>1643312680822775810</t>
  </si>
  <si>
    <t>1630200933224267778</t>
  </si>
  <si>
    <t>1642868071395213313</t>
  </si>
  <si>
    <t>1707051979074113754</t>
  </si>
  <si>
    <t>1634199680815964163</t>
  </si>
  <si>
    <t>1637583602065068034</t>
  </si>
  <si>
    <t>1676991240141668355</t>
  </si>
  <si>
    <t>1643644039307177985</t>
  </si>
  <si>
    <t>1677308385308340227</t>
  </si>
  <si>
    <t>1652524387508133888</t>
  </si>
  <si>
    <t>1688008790275145728</t>
  </si>
  <si>
    <t>1643674255958188039</t>
  </si>
  <si>
    <t>1635106119973756929</t>
  </si>
  <si>
    <t>1687514681554980876</t>
  </si>
  <si>
    <t>1631014498285891584</t>
  </si>
  <si>
    <t>1673439776572162048</t>
  </si>
  <si>
    <t>1632817992777039872</t>
  </si>
  <si>
    <t>1651046824604516355</t>
  </si>
  <si>
    <t>1651046749727870981</t>
  </si>
  <si>
    <t>1692562750164123998</t>
  </si>
  <si>
    <t>1691894289087730014</t>
  </si>
  <si>
    <t>1671180511362859012</t>
  </si>
  <si>
    <t>1666124627968512000</t>
  </si>
  <si>
    <t>1676980326298529793</t>
  </si>
  <si>
    <t>1668644130090516480</t>
  </si>
  <si>
    <t>1681380403775406083</t>
  </si>
  <si>
    <t>1674456117668204546</t>
  </si>
  <si>
    <t>1673727486469849094</t>
  </si>
  <si>
    <t>1666822679528374276</t>
  </si>
  <si>
    <t>1684585699058634753</t>
  </si>
  <si>
    <t>1669364151813132289</t>
  </si>
  <si>
    <t>1692190064640479319</t>
  </si>
  <si>
    <t>1694726785941098795</t>
  </si>
  <si>
    <t>1682074025269379091</t>
  </si>
  <si>
    <t>1671915363401973807</t>
  </si>
  <si>
    <t>1704079658260549892</t>
  </si>
  <si>
    <t>1653695155344486401</t>
  </si>
  <si>
    <t>1623725783381430272</t>
  </si>
  <si>
    <t>1623480881124966401</t>
  </si>
  <si>
    <t>1623236636212445184</t>
  </si>
  <si>
    <t>1625896880407281664</t>
  </si>
  <si>
    <t>1624925304362860546</t>
  </si>
  <si>
    <t>1624219271285940230</t>
  </si>
  <si>
    <t>1627644345628209152</t>
  </si>
  <si>
    <t>1627125817070260224</t>
  </si>
  <si>
    <t>1630225233880686600</t>
  </si>
  <si>
    <t>1628675796263919616</t>
  </si>
  <si>
    <t>1628159837703122945</t>
  </si>
  <si>
    <t>1626608823136927746</t>
  </si>
  <si>
    <t>1678890075977916417</t>
  </si>
  <si>
    <t>1695971406746460588</t>
  </si>
  <si>
    <t>1689471912659861505</t>
  </si>
  <si>
    <t>1632738315349680128</t>
  </si>
  <si>
    <t>1645833591744495627</t>
  </si>
  <si>
    <t>1645408007709249538</t>
  </si>
  <si>
    <t>1648110105471139840</t>
  </si>
  <si>
    <t>1650989523558359041</t>
  </si>
  <si>
    <t>1650533246864687104</t>
  </si>
  <si>
    <t>1649062182695337984</t>
  </si>
  <si>
    <t>1658483737804558337</t>
  </si>
  <si>
    <t>1646481175056195586</t>
  </si>
  <si>
    <t>1657732368226975745</t>
  </si>
  <si>
    <t>1657522152097083393</t>
  </si>
  <si>
    <t>1669725957710643201</t>
  </si>
  <si>
    <t>1662286968057733126</t>
  </si>
  <si>
    <t>1662196692509237249</t>
  </si>
  <si>
    <t>1662153551575908368</t>
  </si>
  <si>
    <t>1672368134580207617</t>
  </si>
  <si>
    <t>1668398719849447426</t>
  </si>
  <si>
    <t>1665854996754190336</t>
  </si>
  <si>
    <t>1665854701999472643</t>
  </si>
  <si>
    <t>1659288302929735684</t>
  </si>
  <si>
    <t>1656495916138872832</t>
  </si>
  <si>
    <t>1656410329360859136</t>
  </si>
  <si>
    <t>1656408038767558663</t>
  </si>
  <si>
    <t>1656397457146642432</t>
  </si>
  <si>
    <t>1656278804921188352</t>
  </si>
  <si>
    <t>1681079101770145793</t>
  </si>
  <si>
    <t>1671258373281701889</t>
  </si>
  <si>
    <t>1665053070852587520</t>
  </si>
  <si>
    <t>1686111954937483264</t>
  </si>
  <si>
    <t>1679178106072973317</t>
  </si>
  <si>
    <t>1678579267116867589</t>
  </si>
  <si>
    <t>1664426220740661248</t>
  </si>
  <si>
    <t>1664027005229191169</t>
  </si>
  <si>
    <t>1663635420750520325</t>
  </si>
  <si>
    <t>1689803497816883200</t>
  </si>
  <si>
    <t>1667233437168615426</t>
  </si>
  <si>
    <t>1666475093520789506</t>
  </si>
  <si>
    <t>1657396900675346432</t>
  </si>
  <si>
    <t>1657193558992887809</t>
  </si>
  <si>
    <t>1657140980808577026</t>
  </si>
  <si>
    <t>1657030318807822336</t>
  </si>
  <si>
    <t>1657024360773738497</t>
  </si>
  <si>
    <t>1656808710537109504</t>
  </si>
  <si>
    <t>1656787330022162432</t>
  </si>
  <si>
    <t>1691139260252827648</t>
  </si>
  <si>
    <t>1675610185753141249</t>
  </si>
  <si>
    <t>1675586277947633664</t>
  </si>
  <si>
    <t>1661115807122726947</t>
  </si>
  <si>
    <t>1660002110308593666</t>
  </si>
  <si>
    <t>1660001798151630864</t>
  </si>
  <si>
    <t>1691926429309571477</t>
  </si>
  <si>
    <t>1689415823805333504</t>
  </si>
  <si>
    <t>1689019813069307904</t>
  </si>
  <si>
    <t>1688910972147404800</t>
  </si>
  <si>
    <t>1661884892391546881</t>
  </si>
  <si>
    <t>1661774497991491584</t>
  </si>
  <si>
    <t>1661467153982169093</t>
  </si>
  <si>
    <t>1661376996742496263</t>
  </si>
  <si>
    <t>1635260249732161542</t>
  </si>
  <si>
    <t>1669882608409247746</t>
  </si>
  <si>
    <t>1632468005664768000</t>
  </si>
  <si>
    <t>1647576576756686848</t>
  </si>
  <si>
    <t>1647576153438277633</t>
  </si>
  <si>
    <t>1690293572271022080</t>
  </si>
  <si>
    <t>1642861036490350594</t>
  </si>
  <si>
    <t>1640411412093861889</t>
  </si>
  <si>
    <t>1661183434985709573</t>
  </si>
  <si>
    <t>1633527797766582278</t>
  </si>
  <si>
    <t>1625828802495488000</t>
  </si>
  <si>
    <t>1640415685401518080</t>
  </si>
  <si>
    <t>1656730167014719489</t>
  </si>
  <si>
    <t>1647666948090523649</t>
  </si>
  <si>
    <t>1668229206931656704</t>
  </si>
  <si>
    <t>1633165392251342848</t>
  </si>
  <si>
    <t>1631321916265955330</t>
  </si>
  <si>
    <t>1627366692249563138</t>
  </si>
  <si>
    <t>1662372638499414016</t>
  </si>
  <si>
    <t>1663918757436063744</t>
  </si>
  <si>
    <t>1663917736148234240</t>
  </si>
  <si>
    <t>1661893613725384704</t>
  </si>
  <si>
    <t>1661892519171424258</t>
  </si>
  <si>
    <t>1669451107767140355</t>
  </si>
  <si>
    <t>1666872432609701888</t>
  </si>
  <si>
    <t>1669748101769318401</t>
  </si>
  <si>
    <t>1640890632481697793</t>
  </si>
  <si>
    <t>1701993742125695099</t>
  </si>
  <si>
    <t>1701606142965944485</t>
  </si>
  <si>
    <t>1659633923117162503</t>
  </si>
  <si>
    <t>1686202117185302528</t>
  </si>
  <si>
    <t>1659682071088885761</t>
  </si>
  <si>
    <t>1686354683357446144</t>
  </si>
  <si>
    <t>1702723219914924177</t>
  </si>
  <si>
    <t>1679864007300112385</t>
  </si>
  <si>
    <t>1636684585374212096</t>
  </si>
  <si>
    <t>1609222747913076739</t>
  </si>
  <si>
    <t>1643953697892839427</t>
  </si>
  <si>
    <t>1641056304281124867</t>
  </si>
  <si>
    <t>1639626632183808000</t>
  </si>
  <si>
    <t>1639275481206775808</t>
  </si>
  <si>
    <t>1643310992502169611</t>
  </si>
  <si>
    <t>1642961075955200000</t>
  </si>
  <si>
    <t>1636184044726624264</t>
  </si>
  <si>
    <t>1706410699700703476</t>
  </si>
  <si>
    <t>1702765834081349849</t>
  </si>
  <si>
    <t>1666429835407769602</t>
  </si>
  <si>
    <t>1670283370880720898</t>
  </si>
  <si>
    <t>1638622938885701632</t>
  </si>
  <si>
    <t>1637804278197747717</t>
  </si>
  <si>
    <t>1641131683809312786</t>
  </si>
  <si>
    <t>1633090333000048641</t>
  </si>
  <si>
    <t>1632721279198408704</t>
  </si>
  <si>
    <t>1631643288456384512</t>
  </si>
  <si>
    <t>1630965022926028802</t>
  </si>
  <si>
    <t>1640364488573558788</t>
  </si>
  <si>
    <t>1639347342066212875</t>
  </si>
  <si>
    <t>1650850961420607488</t>
  </si>
  <si>
    <t>1640794287515357195</t>
  </si>
  <si>
    <t>1630563855175647234</t>
  </si>
  <si>
    <t>1630191324707028993</t>
  </si>
  <si>
    <t>1646980740029063171</t>
  </si>
  <si>
    <t>1636745123185795072</t>
  </si>
  <si>
    <t>1648369853684674561</t>
  </si>
  <si>
    <t>1642983455431569411</t>
  </si>
  <si>
    <t>1636372735986380802</t>
  </si>
  <si>
    <t>1635996437044502532</t>
  </si>
  <si>
    <t>1663980484936777729</t>
  </si>
  <si>
    <t>1645482443611283476</t>
  </si>
  <si>
    <t>1644041468040888320</t>
  </si>
  <si>
    <t>1661480934124953600</t>
  </si>
  <si>
    <t>1651961605242986498</t>
  </si>
  <si>
    <t>1641898581475971076</t>
  </si>
  <si>
    <t>1641518933239910401</t>
  </si>
  <si>
    <t>1635264061238833153</t>
  </si>
  <si>
    <t>1633810867178307588</t>
  </si>
  <si>
    <t>1633454063630032896</t>
  </si>
  <si>
    <t>1641241011266498561</t>
  </si>
  <si>
    <t>1641239883862646785</t>
  </si>
  <si>
    <t>1645712713706795011</t>
  </si>
  <si>
    <t>1623115788042346496</t>
  </si>
  <si>
    <t>1675994947894358016</t>
  </si>
  <si>
    <t>1675994464085594115</t>
  </si>
  <si>
    <t>1636149560916492291</t>
  </si>
  <si>
    <t>1631987976963076096</t>
  </si>
  <si>
    <t>1629451283550593025</t>
  </si>
  <si>
    <t>1697398549657338168</t>
  </si>
  <si>
    <t>1631749474799288324</t>
  </si>
  <si>
    <t>1631618324202156038</t>
  </si>
  <si>
    <t>1703725553059246101</t>
  </si>
  <si>
    <t>1704812719407325570</t>
  </si>
  <si>
    <t>1706624655950577690</t>
  </si>
  <si>
    <t>1706262274963607798</t>
  </si>
  <si>
    <t>1706987051562733797</t>
  </si>
  <si>
    <t>1704087944385196144</t>
  </si>
  <si>
    <t>1641580104563212288</t>
  </si>
  <si>
    <t>1694877063520428106</t>
  </si>
  <si>
    <t>1707034134160269574</t>
  </si>
  <si>
    <t>1707043460748890274</t>
  </si>
  <si>
    <t>1707198651007717506</t>
  </si>
  <si>
    <t>1636994409563561984</t>
  </si>
  <si>
    <t>1664384005007892485</t>
  </si>
  <si>
    <t>1664382924861440004</t>
  </si>
  <si>
    <t>1692942783143645387</t>
  </si>
  <si>
    <t>1628190251054145537</t>
  </si>
  <si>
    <t>1641851477650964493</t>
  </si>
  <si>
    <t>1646618552441479168</t>
  </si>
  <si>
    <t>1648162410765615104</t>
  </si>
  <si>
    <t>1643500919605063680</t>
  </si>
  <si>
    <t>1681384638269227008</t>
  </si>
  <si>
    <t>1673781602550259721</t>
  </si>
  <si>
    <t>1667484536832229376</t>
  </si>
  <si>
    <t>1652316213685485569</t>
  </si>
  <si>
    <t>1682905053282091008</t>
  </si>
  <si>
    <t>1683230061577609218</t>
  </si>
  <si>
    <t>1666942170824056843</t>
  </si>
  <si>
    <t>1636596472199233537</t>
  </si>
  <si>
    <t>1636595812598796288</t>
  </si>
  <si>
    <t>1688574931229913088</t>
  </si>
  <si>
    <t>1689375489708773377</t>
  </si>
  <si>
    <t>1687929657918668800</t>
  </si>
  <si>
    <t>1687928232748675072</t>
  </si>
  <si>
    <t>1687826669367644160</t>
  </si>
  <si>
    <t>1656469063671992320</t>
  </si>
  <si>
    <t>1681379804933763072</t>
  </si>
  <si>
    <t>1651334898689482757</t>
  </si>
  <si>
    <t>1672538240576782338</t>
  </si>
  <si>
    <t>1672535539889631235</t>
  </si>
  <si>
    <t>1655893863083507714</t>
  </si>
  <si>
    <t>1660634805531181056</t>
  </si>
  <si>
    <t>1652042896684490757</t>
  </si>
  <si>
    <t>1691515435923972096</t>
  </si>
  <si>
    <t>1691491799360057353</t>
  </si>
  <si>
    <t>1691489231636508679</t>
  </si>
  <si>
    <t>1691486804241788931</t>
  </si>
  <si>
    <t>1692966781466399091</t>
  </si>
  <si>
    <t>1692484337453715778</t>
  </si>
  <si>
    <t>1693335426801565747</t>
  </si>
  <si>
    <t>1693002269904494672</t>
  </si>
  <si>
    <t>1693001189976068124</t>
  </si>
  <si>
    <t>1693000070587613466</t>
  </si>
  <si>
    <t>1692967276037701883</t>
  </si>
  <si>
    <t>1703609039798550921</t>
  </si>
  <si>
    <t>1635560166987890688</t>
  </si>
  <si>
    <t>1688233917655011328</t>
  </si>
  <si>
    <t>1694380177524965489</t>
  </si>
  <si>
    <t>1694379114507972621</t>
  </si>
  <si>
    <t>1696474622538002895</t>
  </si>
  <si>
    <t>1696916405260517642</t>
  </si>
  <si>
    <t>1689639542482219008</t>
  </si>
  <si>
    <t>1666653099539193857</t>
  </si>
  <si>
    <t>1657013214113153027</t>
  </si>
  <si>
    <t>1656907441856978945</t>
  </si>
  <si>
    <t>1706698998495527001</t>
  </si>
  <si>
    <t>1706630540558815250</t>
  </si>
  <si>
    <t>1685304422388416512</t>
  </si>
  <si>
    <t>1704175054748016694</t>
  </si>
  <si>
    <t>1675309910135808000</t>
  </si>
  <si>
    <t>1625315261413818368</t>
  </si>
  <si>
    <t>1624225648771227648</t>
  </si>
  <si>
    <t>1640871254876979203</t>
  </si>
  <si>
    <t>1686811639444553735</t>
  </si>
  <si>
    <t>1701810185684078995</t>
  </si>
  <si>
    <t>1702462517988008217</t>
  </si>
  <si>
    <t>1643274299040579587</t>
  </si>
  <si>
    <t>1701080097921413204</t>
  </si>
  <si>
    <t>1701075023430054108</t>
  </si>
  <si>
    <t>1703589715344011584</t>
  </si>
  <si>
    <t>1647676420020158464</t>
  </si>
  <si>
    <t>1650620637008785410</t>
  </si>
  <si>
    <t>1647084776791199746</t>
  </si>
  <si>
    <t>1634932406527442946</t>
  </si>
  <si>
    <t>1643622032494452741</t>
  </si>
  <si>
    <t>1641084668618452993</t>
  </si>
  <si>
    <t>1640445521885011976</t>
  </si>
  <si>
    <t>1639651993944768519</t>
  </si>
  <si>
    <t>1695890821902454937</t>
  </si>
  <si>
    <t>1634233449719406593</t>
  </si>
  <si>
    <t>1632364001526005761</t>
  </si>
  <si>
    <t>1704948385373962488</t>
  </si>
  <si>
    <t>1623876947066466306</t>
  </si>
  <si>
    <t>1646716940201648128</t>
  </si>
  <si>
    <t>1626790284842438656</t>
  </si>
  <si>
    <t>1626790130148147200</t>
  </si>
  <si>
    <t>1626790091824799747</t>
  </si>
  <si>
    <t>1625322277783982080</t>
  </si>
  <si>
    <t>1625322100276834304</t>
  </si>
  <si>
    <t>1650326932158808064</t>
  </si>
  <si>
    <t>1650326856770416641</t>
  </si>
  <si>
    <t>1659016824262914049</t>
  </si>
  <si>
    <t>1639488844067110912</t>
  </si>
  <si>
    <t>1639488444438048769</t>
  </si>
  <si>
    <t>1627491383706525698</t>
  </si>
  <si>
    <t>1627491277003423745</t>
  </si>
  <si>
    <t>1627491274197540865</t>
  </si>
  <si>
    <t>1627491212788727808</t>
  </si>
  <si>
    <t>1627491209013755904</t>
  </si>
  <si>
    <t>1626790439524204544</t>
  </si>
  <si>
    <t>1667301743984627712</t>
  </si>
  <si>
    <t>1667301470130040832</t>
  </si>
  <si>
    <t>1666678766456676356</t>
  </si>
  <si>
    <t>1666678718973050881</t>
  </si>
  <si>
    <t>1647440391560364033</t>
  </si>
  <si>
    <t>1647440265022406662</t>
  </si>
  <si>
    <t>1638357205052272641</t>
  </si>
  <si>
    <t>1670453927039434752</t>
  </si>
  <si>
    <t>1670453893250072576</t>
  </si>
  <si>
    <t>1670279301646745601</t>
  </si>
  <si>
    <t>1670279240179171335</t>
  </si>
  <si>
    <t>1689462062999572480</t>
  </si>
  <si>
    <t>1661883033643876354</t>
  </si>
  <si>
    <t>1661882994812911616</t>
  </si>
  <si>
    <t>1652812520631988224</t>
  </si>
  <si>
    <t>1652811163636232193</t>
  </si>
  <si>
    <t>1623250650782920704</t>
  </si>
  <si>
    <t>1623157283747254279</t>
  </si>
  <si>
    <t>1623157205888278529</t>
  </si>
  <si>
    <t>1623157128029503488</t>
  </si>
  <si>
    <t>1623156993354616833</t>
  </si>
  <si>
    <t>1692294053696503979</t>
  </si>
  <si>
    <t>1625478892579430400</t>
  </si>
  <si>
    <t>1627452708637507584</t>
  </si>
  <si>
    <t>1638926439952142336</t>
  </si>
  <si>
    <t>1683623510202109953</t>
  </si>
  <si>
    <t>1702116061250752521</t>
  </si>
  <si>
    <t>1649547339961446401</t>
  </si>
  <si>
    <t>1620753839799296002</t>
  </si>
  <si>
    <t>1620347446323777536</t>
  </si>
  <si>
    <t>1620227907460239360</t>
  </si>
  <si>
    <t>1620210523190054914</t>
  </si>
  <si>
    <t>1627819752981729280</t>
  </si>
  <si>
    <t>1636383617906790411</t>
  </si>
  <si>
    <t>1703067488286609414</t>
  </si>
  <si>
    <t>1701700075964207179</t>
  </si>
  <si>
    <t>1703756472511795249</t>
  </si>
  <si>
    <t>1666967537874096128</t>
  </si>
  <si>
    <t>1698481860098113741</t>
  </si>
  <si>
    <t>1677711137972842497</t>
  </si>
  <si>
    <t>1628780890347241472</t>
  </si>
  <si>
    <t>1704903503582220329</t>
  </si>
  <si>
    <t>1706433486372921835</t>
  </si>
  <si>
    <t>1707061384360452526</t>
  </si>
  <si>
    <t>1704625556468256928</t>
  </si>
  <si>
    <t>1627477099660382208</t>
  </si>
  <si>
    <t>1663132312127586305</t>
  </si>
  <si>
    <t>1662520454735601668</t>
  </si>
  <si>
    <t>1662513690288029699</t>
  </si>
  <si>
    <t>1662167770690093079</t>
  </si>
  <si>
    <t>1661907509974560768</t>
  </si>
  <si>
    <t>1661895368441749505</t>
  </si>
  <si>
    <t>1661832793695854642</t>
  </si>
  <si>
    <t>1661638595680120832</t>
  </si>
  <si>
    <t>1661527124434378752</t>
  </si>
  <si>
    <t>1661494874942701568</t>
  </si>
  <si>
    <t>1661494843141505024</t>
  </si>
  <si>
    <t>1663473745548247042</t>
  </si>
  <si>
    <t>1663345304597405710</t>
  </si>
  <si>
    <t>1666010129890701316</t>
  </si>
  <si>
    <t>1665667661512966144</t>
  </si>
  <si>
    <t>1694713138355335305</t>
  </si>
  <si>
    <t>1668201471886741511</t>
  </si>
  <si>
    <t>1668198117496193024</t>
  </si>
  <si>
    <t>1667883952248430596</t>
  </si>
  <si>
    <t>1661104192646258691</t>
  </si>
  <si>
    <t>1661104081241268224</t>
  </si>
  <si>
    <t>1660923072872947713</t>
  </si>
  <si>
    <t>1660830940434685956</t>
  </si>
  <si>
    <t>1660828309532430338</t>
  </si>
  <si>
    <t>1660824056055349248</t>
  </si>
  <si>
    <t>1698799752811278460</t>
  </si>
  <si>
    <t>1637980428383535106</t>
  </si>
  <si>
    <t>1651786716900884481</t>
  </si>
  <si>
    <t>1634599730108923904</t>
  </si>
  <si>
    <t>1655314710353309698</t>
  </si>
  <si>
    <t>1654513642455400449</t>
  </si>
  <si>
    <t>1644732148769779712</t>
  </si>
  <si>
    <t>1648816850552205312</t>
  </si>
  <si>
    <t>1648813319405330433</t>
  </si>
  <si>
    <t>1639350142615576593</t>
  </si>
  <si>
    <t>1651785862445768704</t>
  </si>
  <si>
    <t>1630740705155874816</t>
  </si>
  <si>
    <t>1694088114103255161</t>
  </si>
  <si>
    <t>1694085907068903523</t>
  </si>
  <si>
    <t>1640722944216137731</t>
  </si>
  <si>
    <t>1640722074577559552</t>
  </si>
  <si>
    <t>1654426896396963840</t>
  </si>
  <si>
    <t>1705323237339521445</t>
  </si>
  <si>
    <t>1634909797194797057</t>
  </si>
  <si>
    <t>1634674024277069824</t>
  </si>
  <si>
    <t>1634000402843566081</t>
  </si>
  <si>
    <t>1633851864188854275</t>
  </si>
  <si>
    <t>1637926218342322180</t>
  </si>
  <si>
    <t>1641527705333014535</t>
  </si>
  <si>
    <t>1634391584853590017</t>
  </si>
  <si>
    <t>1623012006985969683</t>
  </si>
  <si>
    <t>1622832455844495360</t>
  </si>
  <si>
    <t>1662515589775085569</t>
  </si>
  <si>
    <t>1672529662759641089</t>
  </si>
  <si>
    <t>1672528933156208640</t>
  </si>
  <si>
    <t>1623767423986941954</t>
  </si>
  <si>
    <t>1640663407425728512</t>
  </si>
  <si>
    <t>1640527538186338304</t>
  </si>
  <si>
    <t>1640524860672679936</t>
  </si>
  <si>
    <t>1640521857395818498</t>
  </si>
  <si>
    <t>1686442610972381195</t>
  </si>
  <si>
    <t>1705239489747067139</t>
  </si>
  <si>
    <t>1670807994001416195</t>
  </si>
  <si>
    <t>1692544441129541879</t>
  </si>
  <si>
    <t>1695383193031975016</t>
  </si>
  <si>
    <t>1694008791769944286</t>
  </si>
  <si>
    <t>1655642027000844288</t>
  </si>
  <si>
    <t>1655006311354970112</t>
  </si>
  <si>
    <t>1659664568228904962</t>
  </si>
  <si>
    <t>1659574345125994497</t>
  </si>
  <si>
    <t>1659539421744574466</t>
  </si>
  <si>
    <t>1658085785151631361</t>
  </si>
  <si>
    <t>1657725184231473155</t>
  </si>
  <si>
    <t>1665063313162608641</t>
  </si>
  <si>
    <t>1664967288670371841</t>
  </si>
  <si>
    <t>1664738251964391424</t>
  </si>
  <si>
    <t>1664683971219685396</t>
  </si>
  <si>
    <t>1658490908843855873</t>
  </si>
  <si>
    <t>1658444723789365249</t>
  </si>
  <si>
    <t>1655593439818293249</t>
  </si>
  <si>
    <t>1682041147060015105</t>
  </si>
  <si>
    <t>1668602771363209218</t>
  </si>
  <si>
    <t>1666096499980374017</t>
  </si>
  <si>
    <t>1666050264745254917</t>
  </si>
  <si>
    <t>1665822859929825290</t>
  </si>
  <si>
    <t>1665762802697396224</t>
  </si>
  <si>
    <t>1659170975328477184</t>
  </si>
  <si>
    <t>1658940678867386373</t>
  </si>
  <si>
    <t>1658849729961140228</t>
  </si>
  <si>
    <t>1656411368185102336</t>
  </si>
  <si>
    <t>1656298141748953088</t>
  </si>
  <si>
    <t>1656027157825564672</t>
  </si>
  <si>
    <t>1697629472722125153</t>
  </si>
  <si>
    <t>1681651066889224192</t>
  </si>
  <si>
    <t>1674088783921201152</t>
  </si>
  <si>
    <t>1674019860458643459</t>
  </si>
  <si>
    <t>1666458228115341314</t>
  </si>
  <si>
    <t>1657398321982447616</t>
  </si>
  <si>
    <t>1657352020905410561</t>
  </si>
  <si>
    <t>1657018488312012803</t>
  </si>
  <si>
    <t>1704129883272581230</t>
  </si>
  <si>
    <t>1697606421678895610</t>
  </si>
  <si>
    <t>1691421226223177729</t>
  </si>
  <si>
    <t>1677671914867769344</t>
  </si>
  <si>
    <t>1670095844161343492</t>
  </si>
  <si>
    <t>1663204741948616704</t>
  </si>
  <si>
    <t>1662472409260195842</t>
  </si>
  <si>
    <t>1662202864935272449</t>
  </si>
  <si>
    <t>1704628815152988318</t>
  </si>
  <si>
    <t>1698696221605478638</t>
  </si>
  <si>
    <t>1691083769791361026</t>
  </si>
  <si>
    <t>1668360594594963456</t>
  </si>
  <si>
    <t>1668270810534903810</t>
  </si>
  <si>
    <t>1668240111362875395</t>
  </si>
  <si>
    <t>1661026827060793344</t>
  </si>
  <si>
    <t>1660752842787897346</t>
  </si>
  <si>
    <t>1659937936169639936</t>
  </si>
  <si>
    <t>1659898913816473601</t>
  </si>
  <si>
    <t>1705593505748291879</t>
  </si>
  <si>
    <t>1697977370106355892</t>
  </si>
  <si>
    <t>1692153540121124918</t>
  </si>
  <si>
    <t>1691823487894036618</t>
  </si>
  <si>
    <t>1691595710792094054</t>
  </si>
  <si>
    <t>1669002534940188673</t>
  </si>
  <si>
    <t>1668977372534562816</t>
  </si>
  <si>
    <t>1706667368850604364</t>
  </si>
  <si>
    <t>1704483605072740673</t>
  </si>
  <si>
    <t>1692924855228813546</t>
  </si>
  <si>
    <t>1692658918961422762</t>
  </si>
  <si>
    <t>1692505307019145647</t>
  </si>
  <si>
    <t>1685301084766568448</t>
  </si>
  <si>
    <t>1684958624769060864</t>
  </si>
  <si>
    <t>1664375734142418944</t>
  </si>
  <si>
    <t>1664288028251095041</t>
  </si>
  <si>
    <t>1663573513989414913</t>
  </si>
  <si>
    <t>1654926426125090817</t>
  </si>
  <si>
    <t>1654876439563362305</t>
  </si>
  <si>
    <t>1657015934173757451</t>
  </si>
  <si>
    <t>1633461675759403013</t>
  </si>
  <si>
    <t>1622929610215198722</t>
  </si>
  <si>
    <t>1630072996235821057</t>
  </si>
  <si>
    <t>1628007544764391427</t>
  </si>
  <si>
    <t>1633384850240462848</t>
  </si>
  <si>
    <t>1633308771152805891</t>
  </si>
  <si>
    <t>1633232711627468800</t>
  </si>
  <si>
    <t>1633155902646923264</t>
  </si>
  <si>
    <t>1633079100372918272</t>
  </si>
  <si>
    <t>1646073810402136065</t>
  </si>
  <si>
    <t>1647617504771026944</t>
  </si>
  <si>
    <t>1680953762645528577</t>
  </si>
  <si>
    <t>1682686193207582720</t>
  </si>
  <si>
    <t>1647340074021924871</t>
  </si>
  <si>
    <t>1701799526275666384</t>
  </si>
  <si>
    <t>1644023940384169989</t>
  </si>
  <si>
    <t>1675734050764386304</t>
  </si>
  <si>
    <t>1683920127497216000</t>
  </si>
  <si>
    <t>1666610982141952001</t>
  </si>
  <si>
    <t>1666643922355998720</t>
  </si>
  <si>
    <t>1622235743056699393</t>
  </si>
  <si>
    <t>1622084048792207366</t>
  </si>
  <si>
    <t>1622053767850909696</t>
  </si>
  <si>
    <t>1621841323799052293</t>
  </si>
  <si>
    <t>1621386300002635777</t>
  </si>
  <si>
    <t>1645801572126040079</t>
  </si>
  <si>
    <t>1644228634528346113</t>
  </si>
  <si>
    <t>1623846038984425475</t>
  </si>
  <si>
    <t>1642576199477067778</t>
  </si>
  <si>
    <t>1623602104735604740</t>
  </si>
  <si>
    <t>1623358151562084352</t>
  </si>
  <si>
    <t>1623114210149269504</t>
  </si>
  <si>
    <t>1622960416698814464</t>
  </si>
  <si>
    <t>1622811956389494784</t>
  </si>
  <si>
    <t>1647345252271890432</t>
  </si>
  <si>
    <t>1638143154128842753</t>
  </si>
  <si>
    <t>1704995455380213869</t>
  </si>
  <si>
    <t>1703141118253101444</t>
  </si>
  <si>
    <t>1707186955748856288</t>
  </si>
  <si>
    <t>1652779141333401600</t>
  </si>
  <si>
    <t>1621563620311048194</t>
  </si>
  <si>
    <t>1676521862128361474</t>
  </si>
  <si>
    <t>1648141775549132801</t>
  </si>
  <si>
    <t>1631999303047577600</t>
  </si>
  <si>
    <t>1631482572084527105</t>
  </si>
  <si>
    <t>1630952126070288384</t>
  </si>
  <si>
    <t>1622689914151223296</t>
  </si>
  <si>
    <t>1622598944759984128</t>
  </si>
  <si>
    <t>1637322380866453504</t>
  </si>
  <si>
    <t>1625281678657609729</t>
  </si>
  <si>
    <t>1639519194634158080</t>
  </si>
  <si>
    <t>1627338798060261378</t>
  </si>
  <si>
    <t>1645618276448235520</t>
  </si>
  <si>
    <t>1644046306287972374</t>
  </si>
  <si>
    <t>1624065767204421633</t>
  </si>
  <si>
    <t>1623815330274369536</t>
  </si>
  <si>
    <t>1642394706066776066</t>
  </si>
  <si>
    <t>1635623089114435584</t>
  </si>
  <si>
    <t>1635546117805953024</t>
  </si>
  <si>
    <t>1635468877567074306</t>
  </si>
  <si>
    <t>1635392661057142784</t>
  </si>
  <si>
    <t>1635316237583495171</t>
  </si>
  <si>
    <t>1635238571065106433</t>
  </si>
  <si>
    <t>1635156197190803457</t>
  </si>
  <si>
    <t>1635080141469540352</t>
  </si>
  <si>
    <t>1635003071746162688</t>
  </si>
  <si>
    <t>1634926341442371584</t>
  </si>
  <si>
    <t>1634849631417843718</t>
  </si>
  <si>
    <t>1634772905824231430</t>
  </si>
  <si>
    <t>1634696666233159680</t>
  </si>
  <si>
    <t>1634620433868750851</t>
  </si>
  <si>
    <t>1634160102650281988</t>
  </si>
  <si>
    <t>1634083603540844545</t>
  </si>
  <si>
    <t>1634006766437515265</t>
  </si>
  <si>
    <t>1633930313197027328</t>
  </si>
  <si>
    <t>1633853894605275144</t>
  </si>
  <si>
    <t>1633699424638742529</t>
  </si>
  <si>
    <t>1633623000460431360</t>
  </si>
  <si>
    <t>1633546045123891201</t>
  </si>
  <si>
    <t>1623571158443479045</t>
  </si>
  <si>
    <t>1623327408190369792</t>
  </si>
  <si>
    <t>1623083434489815041</t>
  </si>
  <si>
    <t>1622990824110714880</t>
  </si>
  <si>
    <t>1622902781068603394</t>
  </si>
  <si>
    <t>1647162587476545536</t>
  </si>
  <si>
    <t>1638050656748437512</t>
  </si>
  <si>
    <t>1640851265692348416</t>
  </si>
  <si>
    <t>1630436374212911106</t>
  </si>
  <si>
    <t>1629920899859136520</t>
  </si>
  <si>
    <t>1629403382959202304</t>
  </si>
  <si>
    <t>1628886879599730690</t>
  </si>
  <si>
    <t>1628371715645472768</t>
  </si>
  <si>
    <t>1627855358818410497</t>
  </si>
  <si>
    <t>1644805444626513921</t>
  </si>
  <si>
    <t>1642638760008400896</t>
  </si>
  <si>
    <t>1671545647118336005</t>
  </si>
  <si>
    <t>1673343519396708359</t>
  </si>
  <si>
    <t>1676623262321631233</t>
  </si>
  <si>
    <t>1692168238359048218</t>
  </si>
  <si>
    <t>1695880137453998329</t>
  </si>
  <si>
    <t>1697359157119053933</t>
  </si>
  <si>
    <t>1626947181868376065</t>
  </si>
  <si>
    <t>1625265075450970113</t>
  </si>
  <si>
    <t>1645420347171254276</t>
  </si>
  <si>
    <t>1632799092219813894</t>
  </si>
  <si>
    <t>1631315306718150656</t>
  </si>
  <si>
    <t>1702048044731007461</t>
  </si>
  <si>
    <t>1640406233558532119</t>
  </si>
  <si>
    <t>1639132771431088128</t>
  </si>
  <si>
    <t>1641950714791428103</t>
  </si>
  <si>
    <t>1635376843468439553</t>
  </si>
  <si>
    <t>1648342964417056768</t>
  </si>
  <si>
    <t>1635990785710596105</t>
  </si>
  <si>
    <t>1635914742026870784</t>
  </si>
  <si>
    <t>1638554444878028803</t>
  </si>
  <si>
    <t>1657751054228783105</t>
  </si>
  <si>
    <t>1656841996605042688</t>
  </si>
  <si>
    <t>1656841384710615040</t>
  </si>
  <si>
    <t>1691216537632358400</t>
  </si>
  <si>
    <t>1706462319641870776</t>
  </si>
  <si>
    <t>1623380086236782608</t>
  </si>
  <si>
    <t>1675841769122963456</t>
  </si>
  <si>
    <t>1690084244020690944</t>
  </si>
  <si>
    <t>1695161031478157809</t>
  </si>
  <si>
    <t>1625885321303818246</t>
  </si>
  <si>
    <t>1677419432497278976</t>
  </si>
  <si>
    <t>1677417606121136129</t>
  </si>
  <si>
    <t>1620095358918434817</t>
  </si>
  <si>
    <t>1691237810018086912</t>
  </si>
  <si>
    <t>1654960995960324098</t>
  </si>
  <si>
    <t>1654710932495294465</t>
  </si>
  <si>
    <t>1674820295834705922</t>
  </si>
  <si>
    <t>1620476940196130816</t>
  </si>
  <si>
    <t>1625396930715983873</t>
  </si>
  <si>
    <t>1624981707630735365</t>
  </si>
  <si>
    <t>1624966669935181825</t>
  </si>
  <si>
    <t>1624887391482703874</t>
  </si>
  <si>
    <t>1630251821284442112</t>
  </si>
  <si>
    <t>1682108560103153664</t>
  </si>
  <si>
    <t>1633855605046915074</t>
  </si>
  <si>
    <t>1633848296136650753</t>
  </si>
  <si>
    <t>1633836607416696835</t>
  </si>
  <si>
    <t>1633814989914923008</t>
  </si>
  <si>
    <t>1633811680168747008</t>
  </si>
  <si>
    <t>1633588466003980295</t>
  </si>
  <si>
    <t>1633519331039485970</t>
  </si>
  <si>
    <t>1633470271628689408</t>
  </si>
  <si>
    <t>1633318257607278594</t>
  </si>
  <si>
    <t>1633305818962579456</t>
  </si>
  <si>
    <t>1633300291863863299</t>
  </si>
  <si>
    <t>1633288319453786113</t>
  </si>
  <si>
    <t>1633269646588559360</t>
  </si>
  <si>
    <t>1633211242734055428</t>
  </si>
  <si>
    <t>1633162585779388416</t>
  </si>
  <si>
    <t>1633160393341169668</t>
  </si>
  <si>
    <t>1632937244498571264</t>
  </si>
  <si>
    <t>1694774764651327814</t>
  </si>
  <si>
    <t>1634623603118317569</t>
  </si>
  <si>
    <t>1685113531790733314</t>
  </si>
  <si>
    <t>1650634826515374085</t>
  </si>
  <si>
    <t>1629903490192674816</t>
  </si>
  <si>
    <t>1633985555401777152</t>
  </si>
  <si>
    <t>1666960927445381120</t>
  </si>
  <si>
    <t>1658803066148118529</t>
  </si>
  <si>
    <t>1651085343779684352</t>
  </si>
  <si>
    <t>1650859532070060034</t>
  </si>
  <si>
    <t>1694695584374862148</t>
  </si>
  <si>
    <t>1686515340174401538</t>
  </si>
  <si>
    <t>1685951837516779520</t>
  </si>
  <si>
    <t>1686314805127163904</t>
  </si>
  <si>
    <t>1623334929697239040</t>
  </si>
  <si>
    <t>1690157571661869056</t>
  </si>
  <si>
    <t>1690118920282193920</t>
  </si>
  <si>
    <t>1630969583333933059</t>
  </si>
  <si>
    <t>1623135819673268224</t>
  </si>
  <si>
    <t>1635928837258358784</t>
  </si>
  <si>
    <t>1639084623576674304</t>
  </si>
  <si>
    <t>1620708546135326721</t>
  </si>
  <si>
    <t>1663616311275012098</t>
  </si>
  <si>
    <t>1654773003199344642</t>
  </si>
  <si>
    <t>1674945925704450048</t>
  </si>
  <si>
    <t>1672545097416851457</t>
  </si>
  <si>
    <t>1668818397562544129</t>
  </si>
  <si>
    <t>1627798202492637186</t>
  </si>
  <si>
    <t>1637470521972408322</t>
  </si>
  <si>
    <t>1623147101118160897</t>
  </si>
  <si>
    <t>1623132002600853505</t>
  </si>
  <si>
    <t>1623116902989189120</t>
  </si>
  <si>
    <t>1623101805071863808</t>
  </si>
  <si>
    <t>1623086705396920327</t>
  </si>
  <si>
    <t>1623071604199628800</t>
  </si>
  <si>
    <t>1623056505397190661</t>
  </si>
  <si>
    <t>1623041407094263808</t>
  </si>
  <si>
    <t>1623026307151073280</t>
  </si>
  <si>
    <t>1623011205974732802</t>
  </si>
  <si>
    <t>1622996107029794816</t>
  </si>
  <si>
    <t>1622981007992291328</t>
  </si>
  <si>
    <t>1622965908472999937</t>
  </si>
  <si>
    <t>1622950810031194113</t>
  </si>
  <si>
    <t>1622935708368351232</t>
  </si>
  <si>
    <t>1622920608806801409</t>
  </si>
  <si>
    <t>1622905509803134976</t>
  </si>
  <si>
    <t>1622890412582277121</t>
  </si>
  <si>
    <t>1622799814705704961</t>
  </si>
  <si>
    <t>1620610386062868480</t>
  </si>
  <si>
    <t>1620595413039325184</t>
  </si>
  <si>
    <t>1620580188391178240</t>
  </si>
  <si>
    <t>1620565214801416192</t>
  </si>
  <si>
    <t>1620550114765934593</t>
  </si>
  <si>
    <t>1620534891229093890</t>
  </si>
  <si>
    <t>1620519789155213318</t>
  </si>
  <si>
    <t>1620504692345249817</t>
  </si>
  <si>
    <t>1620489592049745920</t>
  </si>
  <si>
    <t>1620474493205356569</t>
  </si>
  <si>
    <t>1620459518097330176</t>
  </si>
  <si>
    <t>1620444420666540033</t>
  </si>
  <si>
    <t>1620429320211628033</t>
  </si>
  <si>
    <t>1620414092732256256</t>
  </si>
  <si>
    <t>1620398995318181889</t>
  </si>
  <si>
    <t>1620384022231670784</t>
  </si>
  <si>
    <t>1620368794387447808</t>
  </si>
  <si>
    <t>1620353697157943296</t>
  </si>
  <si>
    <t>1620263224393310210</t>
  </si>
  <si>
    <t>1627495755689730048</t>
  </si>
  <si>
    <t>1627480657520631809</t>
  </si>
  <si>
    <t>1627465556856127489</t>
  </si>
  <si>
    <t>1627450457953292289</t>
  </si>
  <si>
    <t>1627435359280971776</t>
  </si>
  <si>
    <t>1627420257903341568</t>
  </si>
  <si>
    <t>1627405158719291392</t>
  </si>
  <si>
    <t>1627390059832913921</t>
  </si>
  <si>
    <t>1627374959722123264</t>
  </si>
  <si>
    <t>1627359860043157510</t>
  </si>
  <si>
    <t>1627344760636837889</t>
  </si>
  <si>
    <t>1627329661423476738</t>
  </si>
  <si>
    <t>1627314562990247937</t>
  </si>
  <si>
    <t>1627299462296076290</t>
  </si>
  <si>
    <t>1627284364722860034</t>
  </si>
  <si>
    <t>1627269265035530241</t>
  </si>
  <si>
    <t>1627254164777582592</t>
  </si>
  <si>
    <t>1627239064733732864</t>
  </si>
  <si>
    <t>1627148467054473216</t>
  </si>
  <si>
    <t>1631712631412121600</t>
  </si>
  <si>
    <t>1666174618892206083</t>
  </si>
  <si>
    <t>1628088726575251483</t>
  </si>
  <si>
    <t>1651659003494015000</t>
  </si>
  <si>
    <t>1687519415527493642</t>
  </si>
  <si>
    <t>1674931017939820546</t>
  </si>
  <si>
    <t>1674930057892986886</t>
  </si>
  <si>
    <t>1699150407572783396</t>
  </si>
  <si>
    <t>1644112465712623616</t>
  </si>
  <si>
    <t>1651707799062343681</t>
  </si>
  <si>
    <t>1663141622710665216</t>
  </si>
  <si>
    <t>1670009786291703809</t>
  </si>
  <si>
    <t>1623783712512004096</t>
  </si>
  <si>
    <t>1632736773859074048</t>
  </si>
  <si>
    <t>1656410983550599168</t>
  </si>
  <si>
    <t>1704521018281206138</t>
  </si>
  <si>
    <t>1704488213379760453</t>
  </si>
  <si>
    <t>1705260787369943529</t>
  </si>
  <si>
    <t>1705577316657570270</t>
  </si>
  <si>
    <t>1648071334780387328</t>
  </si>
  <si>
    <t>1705674186889273572</t>
  </si>
  <si>
    <t>1643650542520942593</t>
  </si>
  <si>
    <t>1640035729127489540</t>
  </si>
  <si>
    <t>1640035404869976068</t>
  </si>
  <si>
    <t>1639683561484693504</t>
  </si>
  <si>
    <t>1631000855800414216</t>
  </si>
  <si>
    <t>1633804357744377856</t>
  </si>
  <si>
    <t>1653923680139857920</t>
  </si>
  <si>
    <t>1642193894157762562</t>
  </si>
  <si>
    <t>1679499135584444416</t>
  </si>
  <si>
    <t>1624454720629743616</t>
  </si>
  <si>
    <t>1624302528451039232</t>
  </si>
  <si>
    <t>1684368901415526401</t>
  </si>
  <si>
    <t>1684022279762583553</t>
  </si>
  <si>
    <t>1672797193760129027</t>
  </si>
  <si>
    <t>1645275158616080390</t>
  </si>
  <si>
    <t>1698534230735610239</t>
  </si>
  <si>
    <t>1674608054854205441</t>
  </si>
  <si>
    <t>1624085484925333507</t>
  </si>
  <si>
    <t>1626758990783807490</t>
  </si>
  <si>
    <t>1688911160408776706</t>
  </si>
  <si>
    <t>1627039106331996160</t>
  </si>
  <si>
    <t>1645775729450266625</t>
  </si>
  <si>
    <t>1642243083990360064</t>
  </si>
  <si>
    <t>1641866109107175426</t>
  </si>
  <si>
    <t>1697382231969288349</t>
  </si>
  <si>
    <t>1697382229251420398</t>
  </si>
  <si>
    <t>1697382215515062505</t>
  </si>
  <si>
    <t>1697381857493500040</t>
  </si>
  <si>
    <t>1682221934283456514</t>
  </si>
  <si>
    <t>1671912658025496579</t>
  </si>
  <si>
    <t>1671348117181022208</t>
  </si>
  <si>
    <t>1657797055593545730</t>
  </si>
  <si>
    <t>1660661279046893574</t>
  </si>
  <si>
    <t>1662856306544332801</t>
  </si>
  <si>
    <t>1662461514064732162</t>
  </si>
  <si>
    <t>1659521892905000960</t>
  </si>
  <si>
    <t>1659006938720485380</t>
  </si>
  <si>
    <t>1656132323547512832</t>
  </si>
  <si>
    <t>1661898565717839874</t>
  </si>
  <si>
    <t>1661166275710574593</t>
  </si>
  <si>
    <t>1667162765125992448</t>
  </si>
  <si>
    <t>1657438065294561280</t>
  </si>
  <si>
    <t>1657029172655521794</t>
  </si>
  <si>
    <t>1656842012681797632</t>
  </si>
  <si>
    <t>1656726908833234953</t>
  </si>
  <si>
    <t>1665412608558526465</t>
  </si>
  <si>
    <t>1665030251099897857</t>
  </si>
  <si>
    <t>1664695457648353280</t>
  </si>
  <si>
    <t>1658655653102059524</t>
  </si>
  <si>
    <t>1635346769885417472</t>
  </si>
  <si>
    <t>1635278086051893248</t>
  </si>
  <si>
    <t>1634971963071537152</t>
  </si>
  <si>
    <t>1634588890051883014</t>
  </si>
  <si>
    <t>1634517028970061825</t>
  </si>
  <si>
    <t>1634381154500354048</t>
  </si>
  <si>
    <t>1634137701778587649</t>
  </si>
  <si>
    <t>1633935681314512898</t>
  </si>
  <si>
    <t>1633443554549702657</t>
  </si>
  <si>
    <t>1641024793355988993</t>
  </si>
  <si>
    <t>1637599523018031106</t>
  </si>
  <si>
    <t>1636777792636436489</t>
  </si>
  <si>
    <t>1636694109577441280</t>
  </si>
  <si>
    <t>1640491779928596482</t>
  </si>
  <si>
    <t>1647336814296924161</t>
  </si>
  <si>
    <t>1638887455897034754</t>
  </si>
  <si>
    <t>1655016406121840640</t>
  </si>
  <si>
    <t>1654676715140968450</t>
  </si>
  <si>
    <t>1646132488870277120</t>
  </si>
  <si>
    <t>1643714384194314253</t>
  </si>
  <si>
    <t>1643660806981025792</t>
  </si>
  <si>
    <t>1658250861917753347</t>
  </si>
  <si>
    <t>1643577969800093696</t>
  </si>
  <si>
    <t>1636153442518327297</t>
  </si>
  <si>
    <t>1668550913466720257</t>
  </si>
  <si>
    <t>1640154842336247809</t>
  </si>
  <si>
    <t>1639954110454677507</t>
  </si>
  <si>
    <t>1639613656563318785</t>
  </si>
  <si>
    <t>1681308478105845763</t>
  </si>
  <si>
    <t>1680390366304821248</t>
  </si>
  <si>
    <t>1680374187465101313</t>
  </si>
  <si>
    <t>1680369321195831296</t>
  </si>
  <si>
    <t>1680069697092427776</t>
  </si>
  <si>
    <t>1682049390926524416</t>
  </si>
  <si>
    <t>1680398957543866368</t>
  </si>
  <si>
    <t>1684578349149196290</t>
  </si>
  <si>
    <t>1684216355069779969</t>
  </si>
  <si>
    <t>1689610632000126977</t>
  </si>
  <si>
    <t>1689610026640429057</t>
  </si>
  <si>
    <t>1681652585713872898</t>
  </si>
  <si>
    <t>1681500365139726337</t>
  </si>
  <si>
    <t>1680068325676666882</t>
  </si>
  <si>
    <t>1680067203624828928</t>
  </si>
  <si>
    <t>1680065798537195520</t>
  </si>
  <si>
    <t>1680063586725515266</t>
  </si>
  <si>
    <t>1679882560321515520</t>
  </si>
  <si>
    <t>1691454861500637184</t>
  </si>
  <si>
    <t>1691453801566502912</t>
  </si>
  <si>
    <t>1691452825207988224</t>
  </si>
  <si>
    <t>1702807853705163039</t>
  </si>
  <si>
    <t>1692643137871544628</t>
  </si>
  <si>
    <t>1692640566813528409</t>
  </si>
  <si>
    <t>1692637982044344642</t>
  </si>
  <si>
    <t>1692257680864211004</t>
  </si>
  <si>
    <t>1692257523250627051</t>
  </si>
  <si>
    <t>1692257243134042260</t>
  </si>
  <si>
    <t>1686024893580587011</t>
  </si>
  <si>
    <t>1684915890762948610</t>
  </si>
  <si>
    <t>1635343397132304385</t>
  </si>
  <si>
    <t>1701358225025593534</t>
  </si>
  <si>
    <t>1640452821270102020</t>
  </si>
  <si>
    <t>1625902566893662233</t>
  </si>
  <si>
    <t>1661388043977207808</t>
  </si>
  <si>
    <t>1671157505718890497</t>
  </si>
  <si>
    <t>1682763770580418561</t>
  </si>
  <si>
    <t>1681408837872435229</t>
  </si>
  <si>
    <t>1668273849513701385</t>
  </si>
  <si>
    <t>1686011896657334273</t>
  </si>
  <si>
    <t>1703446052831953280</t>
  </si>
  <si>
    <t>1703445632919216286</t>
  </si>
  <si>
    <t>1703384665782890905</t>
  </si>
  <si>
    <t>1703242569273016324</t>
  </si>
  <si>
    <t>1703575676299694357</t>
  </si>
  <si>
    <t>1703547042067304891</t>
  </si>
  <si>
    <t>1703546702039339038</t>
  </si>
  <si>
    <t>1703235452986163621</t>
  </si>
  <si>
    <t>1703233313219936562</t>
  </si>
  <si>
    <t>1703229815485067631</t>
  </si>
  <si>
    <t>1703226349161206088</t>
  </si>
  <si>
    <t>1674221990452817920</t>
  </si>
  <si>
    <t>1682178775818162181</t>
  </si>
  <si>
    <t>1636420668420964357</t>
  </si>
  <si>
    <t>1621163032528441344</t>
  </si>
  <si>
    <t>1635213298902908928</t>
  </si>
  <si>
    <t>1648493769925488640</t>
  </si>
  <si>
    <t>1649000392854757377</t>
  </si>
  <si>
    <t>1669727805876105216</t>
  </si>
  <si>
    <t>1665558078702465024</t>
  </si>
  <si>
    <t>1687970317916901376</t>
  </si>
  <si>
    <t>1626813294995546112</t>
  </si>
  <si>
    <t>1627910032703602693</t>
  </si>
  <si>
    <t>1622227844641263616</t>
  </si>
  <si>
    <t>1626425816467881986</t>
  </si>
  <si>
    <t>1625661037511942144</t>
  </si>
  <si>
    <t>1644070701492568067</t>
  </si>
  <si>
    <t>1637977104678543360</t>
  </si>
  <si>
    <t>1660841178684694528</t>
  </si>
  <si>
    <t>1668929843075903488</t>
  </si>
  <si>
    <t>1668928229560791041</t>
  </si>
  <si>
    <t>1668927739305312256</t>
  </si>
  <si>
    <t>1676683069879721984</t>
  </si>
  <si>
    <t>1676617920359612417</t>
  </si>
  <si>
    <t>1676617745276850177</t>
  </si>
  <si>
    <t>1676617592016887814</t>
  </si>
  <si>
    <t>1676321821304422400</t>
  </si>
  <si>
    <t>1676241733338689537</t>
  </si>
  <si>
    <t>1676241530493730816</t>
  </si>
  <si>
    <t>1669429115286441987</t>
  </si>
  <si>
    <t>1669428875808366593</t>
  </si>
  <si>
    <t>1669428583914143745</t>
  </si>
  <si>
    <t>1669427935621664775</t>
  </si>
  <si>
    <t>1669427741328920579</t>
  </si>
  <si>
    <t>1669047826716712973</t>
  </si>
  <si>
    <t>1669047507706314752</t>
  </si>
  <si>
    <t>1669041146335485974</t>
  </si>
  <si>
    <t>1669040188452945920</t>
  </si>
  <si>
    <t>1668993200680316929</t>
  </si>
  <si>
    <t>1668656701057138691</t>
  </si>
  <si>
    <t>1668656597353082892</t>
  </si>
  <si>
    <t>1661798514467242005</t>
  </si>
  <si>
    <t>1661794894279581696</t>
  </si>
  <si>
    <t>1661794702989901825</t>
  </si>
  <si>
    <t>1661794557476892672</t>
  </si>
  <si>
    <t>1661794473959981064</t>
  </si>
  <si>
    <t>1661767830520381442</t>
  </si>
  <si>
    <t>1661445852668330012</t>
  </si>
  <si>
    <t>1661445253730107416</t>
  </si>
  <si>
    <t>1661429420471484416</t>
  </si>
  <si>
    <t>1661429298455085061</t>
  </si>
  <si>
    <t>1661429200018980864</t>
  </si>
  <si>
    <t>1661429092967645186</t>
  </si>
  <si>
    <t>1661400449935634433</t>
  </si>
  <si>
    <t>1661400363688239106</t>
  </si>
  <si>
    <t>1653452993444839437</t>
  </si>
  <si>
    <t>1653452903300857892</t>
  </si>
  <si>
    <t>1653452776624599040</t>
  </si>
  <si>
    <t>1653452688355360772</t>
  </si>
  <si>
    <t>1653423658252075008</t>
  </si>
  <si>
    <t>1653423516291678208</t>
  </si>
  <si>
    <t>1652032813460344834</t>
  </si>
  <si>
    <t>1652026846446231559</t>
  </si>
  <si>
    <t>1652018522296336389</t>
  </si>
  <si>
    <t>1652014746768424962</t>
  </si>
  <si>
    <t>1652014387996049410</t>
  </si>
  <si>
    <t>1651968695885873153</t>
  </si>
  <si>
    <t>1651968551455010816</t>
  </si>
  <si>
    <t>1651968433599180800</t>
  </si>
  <si>
    <t>1641864020712906762</t>
  </si>
  <si>
    <t>1641863763509796874</t>
  </si>
  <si>
    <t>1641863511071506432</t>
  </si>
  <si>
    <t>1641860260565602304</t>
  </si>
  <si>
    <t>1641859543456964610</t>
  </si>
  <si>
    <t>1641859201654743046</t>
  </si>
  <si>
    <t>1641858995190128640</t>
  </si>
  <si>
    <t>1674492135741980672</t>
  </si>
  <si>
    <t>1674466239580712970</t>
  </si>
  <si>
    <t>1674466104285048839</t>
  </si>
  <si>
    <t>1674465992670425089</t>
  </si>
  <si>
    <t>1674465022586630177</t>
  </si>
  <si>
    <t>1671214188750839808</t>
  </si>
  <si>
    <t>1670888571010445327</t>
  </si>
  <si>
    <t>1670875557859323908</t>
  </si>
  <si>
    <t>1670875337377345545</t>
  </si>
  <si>
    <t>1670873101242888195</t>
  </si>
  <si>
    <t>1670864262086918149</t>
  </si>
  <si>
    <t>1666152069990842396</t>
  </si>
  <si>
    <t>1666150980222697472</t>
  </si>
  <si>
    <t>1666150843303841792</t>
  </si>
  <si>
    <t>1666147502116990979</t>
  </si>
  <si>
    <t>1659655559891525688</t>
  </si>
  <si>
    <t>1659654594832523264</t>
  </si>
  <si>
    <t>1659596155380981762</t>
  </si>
  <si>
    <t>1659595940410408961</t>
  </si>
  <si>
    <t>1659595795337736198</t>
  </si>
  <si>
    <t>1659595646897143816</t>
  </si>
  <si>
    <t>1658206592628604929</t>
  </si>
  <si>
    <t>1658205989105967119</t>
  </si>
  <si>
    <t>1658185296582696985</t>
  </si>
  <si>
    <t>1658184578555682816</t>
  </si>
  <si>
    <t>1658184406278758403</t>
  </si>
  <si>
    <t>1658184264985239565</t>
  </si>
  <si>
    <t>1654200147776098330</t>
  </si>
  <si>
    <t>1654199573445857287</t>
  </si>
  <si>
    <t>1654154443275882497</t>
  </si>
  <si>
    <t>1654154357313503232</t>
  </si>
  <si>
    <t>1654154159283634182</t>
  </si>
  <si>
    <t>1654141482389983233</t>
  </si>
  <si>
    <t>1653835148050178049</t>
  </si>
  <si>
    <t>1653812619671744527</t>
  </si>
  <si>
    <t>1653812497109987344</t>
  </si>
  <si>
    <t>1653812270852366337</t>
  </si>
  <si>
    <t>1653812142645161984</t>
  </si>
  <si>
    <t>1653812028069359637</t>
  </si>
  <si>
    <t>1648414733907947520</t>
  </si>
  <si>
    <t>1648414589347065856</t>
  </si>
  <si>
    <t>1648384067572846593</t>
  </si>
  <si>
    <t>1648383925692276737</t>
  </si>
  <si>
    <t>1648383721626583042</t>
  </si>
  <si>
    <t>1643310928589455361</t>
  </si>
  <si>
    <t>1643310805935431680</t>
  </si>
  <si>
    <t>1643310635113934854</t>
  </si>
  <si>
    <t>1643310283895582720</t>
  </si>
  <si>
    <t>1643310082887745536</t>
  </si>
  <si>
    <t>1642944005460615168</t>
  </si>
  <si>
    <t>1642943899286093834</t>
  </si>
  <si>
    <t>1642901983022444545</t>
  </si>
  <si>
    <t>1642901833390735361</t>
  </si>
  <si>
    <t>1642900956147744778</t>
  </si>
  <si>
    <t>1636457271780581383</t>
  </si>
  <si>
    <t>1636457045116198930</t>
  </si>
  <si>
    <t>1636456863146319880</t>
  </si>
  <si>
    <t>1636456653510811666</t>
  </si>
  <si>
    <t>1636073231076425730</t>
  </si>
  <si>
    <t>1636072576425373696</t>
  </si>
  <si>
    <t>1636072576383348737</t>
  </si>
  <si>
    <t>1636071528981749760</t>
  </si>
  <si>
    <t>1675916501923115016</t>
  </si>
  <si>
    <t>1675916245059743748</t>
  </si>
  <si>
    <t>1675916116273639451</t>
  </si>
  <si>
    <t>1668336844319125507</t>
  </si>
  <si>
    <t>1668336711024140289</t>
  </si>
  <si>
    <t>1668336517683503109</t>
  </si>
  <si>
    <t>1668336361697337345</t>
  </si>
  <si>
    <t>1668336054825254915</t>
  </si>
  <si>
    <t>1668284382640246793</t>
  </si>
  <si>
    <t>1668284224258883588</t>
  </si>
  <si>
    <t>1661028727633920000</t>
  </si>
  <si>
    <t>1661028555541676033</t>
  </si>
  <si>
    <t>1661028278277226496</t>
  </si>
  <si>
    <t>1660704631058472982</t>
  </si>
  <si>
    <t>1660704165826273293</t>
  </si>
  <si>
    <t>1660671760814030851</t>
  </si>
  <si>
    <t>1660671599182245889</t>
  </si>
  <si>
    <t>1660667935847768065</t>
  </si>
  <si>
    <t>1660664402146672648</t>
  </si>
  <si>
    <t>1650594763958018048</t>
  </si>
  <si>
    <t>1650594621976616961</t>
  </si>
  <si>
    <t>1650520504971788288</t>
  </si>
  <si>
    <t>1650520315473084416</t>
  </si>
  <si>
    <t>1650516578113396737</t>
  </si>
  <si>
    <t>1650516466213552130</t>
  </si>
  <si>
    <t>1649139787398279186</t>
  </si>
  <si>
    <t>1649139410665865216</t>
  </si>
  <si>
    <t>1649139291593797636</t>
  </si>
  <si>
    <t>1649062720405225473</t>
  </si>
  <si>
    <t>1649056396397416460</t>
  </si>
  <si>
    <t>1641495757239746562</t>
  </si>
  <si>
    <t>1641495459276415004</t>
  </si>
  <si>
    <t>1641495282788491274</t>
  </si>
  <si>
    <t>1641491064518324224</t>
  </si>
  <si>
    <t>1641490958947692556</t>
  </si>
  <si>
    <t>1641490861266546715</t>
  </si>
  <si>
    <t>1641145958690848781</t>
  </si>
  <si>
    <t>1641145923848871937</t>
  </si>
  <si>
    <t>1641145583321612299</t>
  </si>
  <si>
    <t>1641140163077079048</t>
  </si>
  <si>
    <t>1641140000807845917</t>
  </si>
  <si>
    <t>1641139866032386048</t>
  </si>
  <si>
    <t>1679934201158848512</t>
  </si>
  <si>
    <t>1679934058221178880</t>
  </si>
  <si>
    <t>1679871216239214592</t>
  </si>
  <si>
    <t>1679871062241099776</t>
  </si>
  <si>
    <t>1679558666154811405</t>
  </si>
  <si>
    <t>1674142779549655040</t>
  </si>
  <si>
    <t>1674141771482243072</t>
  </si>
  <si>
    <t>1674092496983322624</t>
  </si>
  <si>
    <t>1674091712216461312</t>
  </si>
  <si>
    <t>1674090713850564608</t>
  </si>
  <si>
    <t>1673785498060374016</t>
  </si>
  <si>
    <t>1673747759445188608</t>
  </si>
  <si>
    <t>1673747449674883077</t>
  </si>
  <si>
    <t>1673411711489961992</t>
  </si>
  <si>
    <t>1673411372284014596</t>
  </si>
  <si>
    <t>1673351055009013762</t>
  </si>
  <si>
    <t>1673350534147743744</t>
  </si>
  <si>
    <t>1673350480926240769</t>
  </si>
  <si>
    <t>1667252119806660625</t>
  </si>
  <si>
    <t>1667251150599475205</t>
  </si>
  <si>
    <t>1667250631977869317</t>
  </si>
  <si>
    <t>1667250450532278273</t>
  </si>
  <si>
    <t>1667250261239255040</t>
  </si>
  <si>
    <t>1666514776371896326</t>
  </si>
  <si>
    <t>1666514326323077120</t>
  </si>
  <si>
    <t>1666514188741623808</t>
  </si>
  <si>
    <t>1666513975599570966</t>
  </si>
  <si>
    <t>1666513828874428439</t>
  </si>
  <si>
    <t>1657103354131103746</t>
  </si>
  <si>
    <t>1657103250112368648</t>
  </si>
  <si>
    <t>1657049923152494595</t>
  </si>
  <si>
    <t>1657049769405997057</t>
  </si>
  <si>
    <t>1657049677383061506</t>
  </si>
  <si>
    <t>1657049566481465344</t>
  </si>
  <si>
    <t>1656751660721401878</t>
  </si>
  <si>
    <t>1656712048426860552</t>
  </si>
  <si>
    <t>1656711350637277184</t>
  </si>
  <si>
    <t>1656711246836645890</t>
  </si>
  <si>
    <t>1656711027130613774</t>
  </si>
  <si>
    <t>1656710941524869163</t>
  </si>
  <si>
    <t>1648036150378987520</t>
  </si>
  <si>
    <t>1648035949702422528</t>
  </si>
  <si>
    <t>1648027570703593488</t>
  </si>
  <si>
    <t>1648025292785479689</t>
  </si>
  <si>
    <t>1648025086383800320</t>
  </si>
  <si>
    <t>1648024954544222219</t>
  </si>
  <si>
    <t>1639317478928175104</t>
  </si>
  <si>
    <t>1639317282076893184</t>
  </si>
  <si>
    <t>1638984242200985600</t>
  </si>
  <si>
    <t>1638979463571726336</t>
  </si>
  <si>
    <t>1638979317807071232</t>
  </si>
  <si>
    <t>1638978808681484288</t>
  </si>
  <si>
    <t>1638978654419169282</t>
  </si>
  <si>
    <t>1638613588142063622</t>
  </si>
  <si>
    <t>1638613441429602305</t>
  </si>
  <si>
    <t>1638613328367853590</t>
  </si>
  <si>
    <t>1638613078278303747</t>
  </si>
  <si>
    <t>1638612971134787591</t>
  </si>
  <si>
    <t>1638612658680111134</t>
  </si>
  <si>
    <t>1638274828594470917</t>
  </si>
  <si>
    <t>1638261861555621913</t>
  </si>
  <si>
    <t>1638261839334199303</t>
  </si>
  <si>
    <t>1638261545657327617</t>
  </si>
  <si>
    <t>1638261398978297860</t>
  </si>
  <si>
    <t>1638261217138561040</t>
  </si>
  <si>
    <t>1637900737949712384</t>
  </si>
  <si>
    <t>1637877179282235407</t>
  </si>
  <si>
    <t>1637876984003829768</t>
  </si>
  <si>
    <t>1637876895877414912</t>
  </si>
  <si>
    <t>1637876373996945446</t>
  </si>
  <si>
    <t>1637876162415271937</t>
  </si>
  <si>
    <t>1679558514643968006</t>
  </si>
  <si>
    <t>1679558426790076426</t>
  </si>
  <si>
    <t>1679558174674657282</t>
  </si>
  <si>
    <t>1679177133179154433</t>
  </si>
  <si>
    <t>1679177040061415424</t>
  </si>
  <si>
    <t>1679176931038871552</t>
  </si>
  <si>
    <t>1679176813002764293</t>
  </si>
  <si>
    <t>1678517491767582724</t>
  </si>
  <si>
    <t>1678517349433974788</t>
  </si>
  <si>
    <t>1678517252797112326</t>
  </si>
  <si>
    <t>1678517142897975298</t>
  </si>
  <si>
    <t>1678517142071721984</t>
  </si>
  <si>
    <t>1664675606292832256</t>
  </si>
  <si>
    <t>1664674196872364038</t>
  </si>
  <si>
    <t>1664338385207435281</t>
  </si>
  <si>
    <t>1664338271084707841</t>
  </si>
  <si>
    <t>1664338039462567953</t>
  </si>
  <si>
    <t>1664337893295308801</t>
  </si>
  <si>
    <t>1664323154565795847</t>
  </si>
  <si>
    <t>1664322893956927488</t>
  </si>
  <si>
    <t>1663987535977259013</t>
  </si>
  <si>
    <t>1663987373380870146</t>
  </si>
  <si>
    <t>1663615521995079681</t>
  </si>
  <si>
    <t>1663615369347563522</t>
  </si>
  <si>
    <t>1663615214187601923</t>
  </si>
  <si>
    <t>1663615070813732864</t>
  </si>
  <si>
    <t>1663614814931898368</t>
  </si>
  <si>
    <t>1654571816197713921</t>
  </si>
  <si>
    <t>1654571726657708032</t>
  </si>
  <si>
    <t>1654542610197798913</t>
  </si>
  <si>
    <t>1654510696887885825</t>
  </si>
  <si>
    <t>1654510585906601985</t>
  </si>
  <si>
    <t>1654501431771111427</t>
  </si>
  <si>
    <t>1646228614612910080</t>
  </si>
  <si>
    <t>1646228510854217734</t>
  </si>
  <si>
    <t>1646225385149931522</t>
  </si>
  <si>
    <t>1646225124599660565</t>
  </si>
  <si>
    <t>1645874309951377410</t>
  </si>
  <si>
    <t>1645873953414545414</t>
  </si>
  <si>
    <t>1645860318852136961</t>
  </si>
  <si>
    <t>1645860061426614272</t>
  </si>
  <si>
    <t>1645859654222729220</t>
  </si>
  <si>
    <t>1645490132458381317</t>
  </si>
  <si>
    <t>1645490003483533328</t>
  </si>
  <si>
    <t>1645482345221193729</t>
  </si>
  <si>
    <t>1645451455581528065</t>
  </si>
  <si>
    <t>1645451294650269696</t>
  </si>
  <si>
    <t>1644058999963242502</t>
  </si>
  <si>
    <t>1644008303733645313</t>
  </si>
  <si>
    <t>1644003367813885953</t>
  </si>
  <si>
    <t>1644003202445000704</t>
  </si>
  <si>
    <t>1644002933661474816</t>
  </si>
  <si>
    <t>1643701150078709761</t>
  </si>
  <si>
    <t>1643691757916282880</t>
  </si>
  <si>
    <t>1643691638898798593</t>
  </si>
  <si>
    <t>1643691283855056896</t>
  </si>
  <si>
    <t>1643690901556928517</t>
  </si>
  <si>
    <t>1681372968608301056</t>
  </si>
  <si>
    <t>1681346885028659206</t>
  </si>
  <si>
    <t>1681345955877068801</t>
  </si>
  <si>
    <t>1677363727392284688</t>
  </si>
  <si>
    <t>1677363549688012807</t>
  </si>
  <si>
    <t>1677012639161933842</t>
  </si>
  <si>
    <t>1677012490796818453</t>
  </si>
  <si>
    <t>1677012230661976064</t>
  </si>
  <si>
    <t>1677012100030291973</t>
  </si>
  <si>
    <t>1677011683011698688</t>
  </si>
  <si>
    <t>1668656470705963008</t>
  </si>
  <si>
    <t>1668656335418798090</t>
  </si>
  <si>
    <t>1665781413377966081</t>
  </si>
  <si>
    <t>1665781234968952834</t>
  </si>
  <si>
    <t>1665780751491538945</t>
  </si>
  <si>
    <t>1665780386889097222</t>
  </si>
  <si>
    <t>1659268678867722253</t>
  </si>
  <si>
    <t>1659268238948147222</t>
  </si>
  <si>
    <t>1659268079409405965</t>
  </si>
  <si>
    <t>1659267786118504451</t>
  </si>
  <si>
    <t>1659206813731151872</t>
  </si>
  <si>
    <t>1659206683888058370</t>
  </si>
  <si>
    <t>1658931498437734400</t>
  </si>
  <si>
    <t>1658926708890673153</t>
  </si>
  <si>
    <t>1658897197885267975</t>
  </si>
  <si>
    <t>1658896856615723010</t>
  </si>
  <si>
    <t>1658896096012255233</t>
  </si>
  <si>
    <t>1658895992937148416</t>
  </si>
  <si>
    <t>1656388467553628161</t>
  </si>
  <si>
    <t>1656361023870234649</t>
  </si>
  <si>
    <t>1656360909802024961</t>
  </si>
  <si>
    <t>1656360809520328724</t>
  </si>
  <si>
    <t>1656360681967370242</t>
  </si>
  <si>
    <t>1656360573657837584</t>
  </si>
  <si>
    <t>1656011622446510081</t>
  </si>
  <si>
    <t>1648756058725179403</t>
  </si>
  <si>
    <t>1648755295567372296</t>
  </si>
  <si>
    <t>1648708938769072129</t>
  </si>
  <si>
    <t>1648708762683813888</t>
  </si>
  <si>
    <t>1648708660225355777</t>
  </si>
  <si>
    <t>1648708540045901828</t>
  </si>
  <si>
    <t>1639359519334748160</t>
  </si>
  <si>
    <t>1639359360483872768</t>
  </si>
  <si>
    <t>1639318753233215489</t>
  </si>
  <si>
    <t>1639317784177025024</t>
  </si>
  <si>
    <t>1639317533374427137</t>
  </si>
  <si>
    <t>1682090684142985222</t>
  </si>
  <si>
    <t>1682090584452767751</t>
  </si>
  <si>
    <t>1682090442773463041</t>
  </si>
  <si>
    <t>1674803909381046272</t>
  </si>
  <si>
    <t>1674803797120499712</t>
  </si>
  <si>
    <t>1674803643969679361</t>
  </si>
  <si>
    <t>1674803479469064193</t>
  </si>
  <si>
    <t>1672279849489117188</t>
  </si>
  <si>
    <t>1672279706425516032</t>
  </si>
  <si>
    <t>1672279538837991444</t>
  </si>
  <si>
    <t>1672279407195566089</t>
  </si>
  <si>
    <t>1671948838603571201</t>
  </si>
  <si>
    <t>1671945598415634433</t>
  </si>
  <si>
    <t>1671945464604753936</t>
  </si>
  <si>
    <t>1671945245519405056</t>
  </si>
  <si>
    <t>1671215155936362508</t>
  </si>
  <si>
    <t>1671214623733710855</t>
  </si>
  <si>
    <t>1671214466636054538</t>
  </si>
  <si>
    <t>1671214335983484933</t>
  </si>
  <si>
    <t>1664693683793297410</t>
  </si>
  <si>
    <t>1664676010049011722</t>
  </si>
  <si>
    <t>1658551371052851201</t>
  </si>
  <si>
    <t>1658549082548236291</t>
  </si>
  <si>
    <t>1658543907477544971</t>
  </si>
  <si>
    <t>1658490531230650371</t>
  </si>
  <si>
    <t>1658490415912460289</t>
  </si>
  <si>
    <t>1655963923537883136</t>
  </si>
  <si>
    <t>1655963592519294978</t>
  </si>
  <si>
    <t>1655963095989141511</t>
  </si>
  <si>
    <t>1655960863726002178</t>
  </si>
  <si>
    <t>1655960595269648387</t>
  </si>
  <si>
    <t>1655960496443478016</t>
  </si>
  <si>
    <t>1655598566700662784</t>
  </si>
  <si>
    <t>1655594242096365569</t>
  </si>
  <si>
    <t>1655593946834259978</t>
  </si>
  <si>
    <t>1655593707968557060</t>
  </si>
  <si>
    <t>1646967573836181504</t>
  </si>
  <si>
    <t>1646966826180530198</t>
  </si>
  <si>
    <t>1646966082798772224</t>
  </si>
  <si>
    <t>1646965816208904192</t>
  </si>
  <si>
    <t>1646965698588037125</t>
  </si>
  <si>
    <t>1646965534884352017</t>
  </si>
  <si>
    <t>1646591877989257219</t>
  </si>
  <si>
    <t>1646591749849067527</t>
  </si>
  <si>
    <t>1646591552045699077</t>
  </si>
  <si>
    <t>1646591403047235585</t>
  </si>
  <si>
    <t>1646572885446631424</t>
  </si>
  <si>
    <t>1646571261735075842</t>
  </si>
  <si>
    <t>1646571094147563534</t>
  </si>
  <si>
    <t>1646228913432010752</t>
  </si>
  <si>
    <t>1646228720808493071</t>
  </si>
  <si>
    <t>1636806296551686160</t>
  </si>
  <si>
    <t>1636806139722465310</t>
  </si>
  <si>
    <t>1636804892751691791</t>
  </si>
  <si>
    <t>1636771861773123584</t>
  </si>
  <si>
    <t>1636767052391235590</t>
  </si>
  <si>
    <t>1636766646219030533</t>
  </si>
  <si>
    <t>1636457740359835659</t>
  </si>
  <si>
    <t>1636457571853672453</t>
  </si>
  <si>
    <t>1695163535259480448</t>
  </si>
  <si>
    <t>1677382750888681478</t>
  </si>
  <si>
    <t>1669799633428553758</t>
  </si>
  <si>
    <t>1669799087451807759</t>
  </si>
  <si>
    <t>1669796693317918721</t>
  </si>
  <si>
    <t>1669724476609576961</t>
  </si>
  <si>
    <t>1663239651849535514</t>
  </si>
  <si>
    <t>1663232995300458515</t>
  </si>
  <si>
    <t>1663206983514701825</t>
  </si>
  <si>
    <t>1663206829189373952</t>
  </si>
  <si>
    <t>1663199124739481608</t>
  </si>
  <si>
    <t>1662197318840463363</t>
  </si>
  <si>
    <t>1662195574550978561</t>
  </si>
  <si>
    <t>1662130842167066631</t>
  </si>
  <si>
    <t>1662113608321449986</t>
  </si>
  <si>
    <t>1662112519530356737</t>
  </si>
  <si>
    <t>1662112387262971910</t>
  </si>
  <si>
    <t>1651674650525462538</t>
  </si>
  <si>
    <t>1651642752528941056</t>
  </si>
  <si>
    <t>1651642424056225800</t>
  </si>
  <si>
    <t>1651308023778770972</t>
  </si>
  <si>
    <t>1651307850218471439</t>
  </si>
  <si>
    <t>1651307847823523907</t>
  </si>
  <si>
    <t>1651246144184360962</t>
  </si>
  <si>
    <t>1651243391290601474</t>
  </si>
  <si>
    <t>1651243284918939656</t>
  </si>
  <si>
    <t>1651243069759520774</t>
  </si>
  <si>
    <t>1650948327800750080</t>
  </si>
  <si>
    <t>1650933007635587091</t>
  </si>
  <si>
    <t>1650932845697703944</t>
  </si>
  <si>
    <t>1650932634824876034</t>
  </si>
  <si>
    <t>1650889436316532736</t>
  </si>
  <si>
    <t>1650874942139817985</t>
  </si>
  <si>
    <t>1640799013086679059</t>
  </si>
  <si>
    <t>1640798754000314369</t>
  </si>
  <si>
    <t>1640767576862076928</t>
  </si>
  <si>
    <t>1640767398646087710</t>
  </si>
  <si>
    <t>1640767289581768705</t>
  </si>
  <si>
    <t>1640767086342406173</t>
  </si>
  <si>
    <t>1640766869647884293</t>
  </si>
  <si>
    <t>1640440155826692110</t>
  </si>
  <si>
    <t>1640437173617844224</t>
  </si>
  <si>
    <t>1640436939101810688</t>
  </si>
  <si>
    <t>1640435526770520065</t>
  </si>
  <si>
    <t>1640435297866358798</t>
  </si>
  <si>
    <t>1640435196682969099</t>
  </si>
  <si>
    <t>1640435091477262336</t>
  </si>
  <si>
    <t>1692185425274638472</t>
  </si>
  <si>
    <t>1706735798190477329</t>
  </si>
  <si>
    <t>1660076950721888257</t>
  </si>
  <si>
    <t>1634241856031555584</t>
  </si>
  <si>
    <t>1633649764578258944</t>
  </si>
  <si>
    <t>1636433617218879501</t>
  </si>
  <si>
    <t>1666606245988401155</t>
  </si>
  <si>
    <t>1623348302367391752</t>
  </si>
  <si>
    <t>1647201251153649664</t>
  </si>
  <si>
    <t>1637745676527206406</t>
  </si>
  <si>
    <t>1637744407628726274</t>
  </si>
  <si>
    <t>1637742525711523842</t>
  </si>
  <si>
    <t>1637741615157501952</t>
  </si>
  <si>
    <t>1663703352461459457</t>
  </si>
  <si>
    <t>1663541410627215360</t>
  </si>
  <si>
    <t>1644145142272516107</t>
  </si>
  <si>
    <t>1664725422616072196</t>
  </si>
  <si>
    <t>1663280838669221894</t>
  </si>
  <si>
    <t>1659546846295932929</t>
  </si>
  <si>
    <t>1649139079785639960</t>
  </si>
  <si>
    <t>1666566876971823104</t>
  </si>
  <si>
    <t>1620021534445416450</t>
  </si>
  <si>
    <t>1646333135754330112</t>
  </si>
  <si>
    <t>1621121758869725184</t>
  </si>
  <si>
    <t>1681269666751078402</t>
  </si>
  <si>
    <t>1645971898134675456</t>
  </si>
  <si>
    <t>1703149871966888167</t>
  </si>
  <si>
    <t>1707114639081787486</t>
  </si>
  <si>
    <t>1648356388400136194</t>
  </si>
  <si>
    <t>1637913713108824071</t>
  </si>
  <si>
    <t>1650495065591095304</t>
  </si>
  <si>
    <t>1653059209003401222</t>
  </si>
  <si>
    <t>1677942050640076800</t>
  </si>
  <si>
    <t>1695536175816056879</t>
  </si>
  <si>
    <t>1656748029343330306</t>
  </si>
  <si>
    <t>1631229220222271488</t>
  </si>
  <si>
    <t>1629632746686496770</t>
  </si>
  <si>
    <t>1641078956160962565</t>
  </si>
  <si>
    <t>1643740729334972416</t>
  </si>
  <si>
    <t>1659031805784121347</t>
  </si>
  <si>
    <t>1657043628219412480</t>
  </si>
  <si>
    <t>1682252630192431107</t>
  </si>
  <si>
    <t>1678752239505031168</t>
  </si>
  <si>
    <t>1677655106832007168</t>
  </si>
  <si>
    <t>1677400385139384332</t>
  </si>
  <si>
    <t>1679605910417571841</t>
  </si>
  <si>
    <t>1657494921513783296</t>
  </si>
  <si>
    <t>1670068441380708353</t>
  </si>
  <si>
    <t>1683893216800546818</t>
  </si>
  <si>
    <t>1639284887512395783</t>
  </si>
  <si>
    <t>1639208076732682240</t>
  </si>
  <si>
    <t>1639034302880161792</t>
  </si>
  <si>
    <t>1638924997963165696</t>
  </si>
  <si>
    <t>1638875786362118144</t>
  </si>
  <si>
    <t>1638848159312121856</t>
  </si>
  <si>
    <t>1701681788278477290</t>
  </si>
  <si>
    <t>1656704039734722567</t>
  </si>
  <si>
    <t>1623004573785792512</t>
  </si>
  <si>
    <t>1698473039225049134</t>
  </si>
  <si>
    <t>1674575860802678784</t>
  </si>
  <si>
    <t>1674574761765007362</t>
  </si>
  <si>
    <t>1679556742445670401</t>
  </si>
  <si>
    <t>1679550472791662594</t>
  </si>
  <si>
    <t>1686803720661594125</t>
  </si>
  <si>
    <t>1686802989376303115</t>
  </si>
  <si>
    <t>1686801921493942272</t>
  </si>
  <si>
    <t>1679583835875426311</t>
  </si>
  <si>
    <t>1679579723045715972</t>
  </si>
  <si>
    <t>1679577637922979840</t>
  </si>
  <si>
    <t>1679570509955059718</t>
  </si>
  <si>
    <t>1679568851564916736</t>
  </si>
  <si>
    <t>1679566550213296129</t>
  </si>
  <si>
    <t>1679562014157426689</t>
  </si>
  <si>
    <t>1631648888519000064</t>
  </si>
  <si>
    <t>1630174065079009280</t>
  </si>
  <si>
    <t>1632507971581235201</t>
  </si>
  <si>
    <t>1632203213872017410</t>
  </si>
  <si>
    <t>1623056538536386576</t>
  </si>
  <si>
    <t>1649572731665489920</t>
  </si>
  <si>
    <t>1637908853202333782</t>
  </si>
  <si>
    <t>1628210302150930432</t>
  </si>
  <si>
    <t>1693027806983123408</t>
  </si>
  <si>
    <t>1638882396811534336</t>
  </si>
  <si>
    <t>1645822989403914246</t>
  </si>
  <si>
    <t>1645551394156339205</t>
  </si>
  <si>
    <t>1645521030167887912</t>
  </si>
  <si>
    <t>1643765668553056257</t>
  </si>
  <si>
    <t>1646940156597772294</t>
  </si>
  <si>
    <t>1646623133632192512</t>
  </si>
  <si>
    <t>1646276393733443586</t>
  </si>
  <si>
    <t>1637095282646056960</t>
  </si>
  <si>
    <t>1651273984644878337</t>
  </si>
  <si>
    <t>1650941890798182400</t>
  </si>
  <si>
    <t>1640492858632200193</t>
  </si>
  <si>
    <t>1640462586280914946</t>
  </si>
  <si>
    <t>1640462583781027841</t>
  </si>
  <si>
    <t>1640432436948418560</t>
  </si>
  <si>
    <t>1656710240304349186</t>
  </si>
  <si>
    <t>1639299904484040704</t>
  </si>
  <si>
    <t>1638937590257836032</t>
  </si>
  <si>
    <t>1638575172981538822</t>
  </si>
  <si>
    <t>1638288333171245057</t>
  </si>
  <si>
    <t>1653780389423611904</t>
  </si>
  <si>
    <t>1653116295032741890</t>
  </si>
  <si>
    <t>1652013824214482944</t>
  </si>
  <si>
    <t>1641519578592301056</t>
  </si>
  <si>
    <t>1641519575954071552</t>
  </si>
  <si>
    <t>1641519571990355984</t>
  </si>
  <si>
    <t>1641519567632474117</t>
  </si>
  <si>
    <t>1635509990130606082</t>
  </si>
  <si>
    <t>1635313711601819648</t>
  </si>
  <si>
    <t>1634936105316368384</t>
  </si>
  <si>
    <t>1660363892273324033</t>
  </si>
  <si>
    <t>1660031534437474310</t>
  </si>
  <si>
    <t>1650534668834316291</t>
  </si>
  <si>
    <t>1649099562903126040</t>
  </si>
  <si>
    <t>1641504445258244096</t>
  </si>
  <si>
    <t>1640915501298622466</t>
  </si>
  <si>
    <t>1659004937639018496</t>
  </si>
  <si>
    <t>1656075612388315136</t>
  </si>
  <si>
    <t>1648767621469200413</t>
  </si>
  <si>
    <t>1640387061164244992</t>
  </si>
  <si>
    <t>1639647144071299074</t>
  </si>
  <si>
    <t>1659654083546849294</t>
  </si>
  <si>
    <t>1654233434045153280</t>
  </si>
  <si>
    <t>1654203353235177473</t>
  </si>
  <si>
    <t>1654158021491032086</t>
  </si>
  <si>
    <t>1648133259027415040</t>
  </si>
  <si>
    <t>1636370646606258176</t>
  </si>
  <si>
    <t>1636038394525483008</t>
  </si>
  <si>
    <t>1670877661718011910</t>
  </si>
  <si>
    <t>1702419531451584606</t>
  </si>
  <si>
    <t>1669092574022303745</t>
  </si>
  <si>
    <t>1631798541080248322</t>
  </si>
  <si>
    <t>1676948650210234368</t>
  </si>
  <si>
    <t>1655045500830208000</t>
  </si>
  <si>
    <t>1643328431193456641</t>
  </si>
  <si>
    <t>1643326845205504003</t>
  </si>
  <si>
    <t>1664373499316584448</t>
  </si>
  <si>
    <t>1664193253862768643</t>
  </si>
  <si>
    <t>1636808787473432583</t>
  </si>
  <si>
    <t>1691758213639672056</t>
  </si>
  <si>
    <t>1643923753263415296</t>
  </si>
  <si>
    <t>1643601384443445249</t>
  </si>
  <si>
    <t>1637581829505941506</t>
  </si>
  <si>
    <t>1639895014049304578</t>
  </si>
  <si>
    <t>1629065519771840512</t>
  </si>
  <si>
    <t>1681788280889647105</t>
  </si>
  <si>
    <t>1689799442956709888</t>
  </si>
  <si>
    <t>1678757066209386497</t>
  </si>
  <si>
    <t>1664266157346664448</t>
  </si>
  <si>
    <t>1692757555766841498</t>
  </si>
  <si>
    <t>1672335646650773504</t>
  </si>
  <si>
    <t>1696599880452452646</t>
  </si>
  <si>
    <t>1632700049527373824</t>
  </si>
  <si>
    <t>1678096089189154816</t>
  </si>
  <si>
    <t>1684022307730358272</t>
  </si>
  <si>
    <t>1681744350064115713</t>
  </si>
  <si>
    <t>1681432607593234434</t>
  </si>
  <si>
    <t>1679673033437462528</t>
  </si>
  <si>
    <t>1686106883755532288</t>
  </si>
  <si>
    <t>1679318379058823170</t>
  </si>
  <si>
    <t>1678810155411013632</t>
  </si>
  <si>
    <t>1678532813627203585</t>
  </si>
  <si>
    <t>1691190550563631106</t>
  </si>
  <si>
    <t>1687551966879023104</t>
  </si>
  <si>
    <t>1651904296986787841</t>
  </si>
  <si>
    <t>1634695899384274946</t>
  </si>
  <si>
    <t>1659724672890437633</t>
  </si>
  <si>
    <t>1678919334586982400</t>
  </si>
  <si>
    <t>1675001033330761731</t>
  </si>
  <si>
    <t>1667168322238988288</t>
  </si>
  <si>
    <t>1628333859203870721</t>
  </si>
  <si>
    <t>1700949237377233123</t>
  </si>
  <si>
    <t>1698498841203388671</t>
  </si>
  <si>
    <t>1622972438295216129</t>
  </si>
  <si>
    <t>1624853513669935104</t>
  </si>
  <si>
    <t>1644497020776853504</t>
  </si>
  <si>
    <t>1685689902162165760</t>
  </si>
  <si>
    <t>1662099868842700801</t>
  </si>
  <si>
    <t>1696271931324924117</t>
  </si>
  <si>
    <t>1643046272612401154</t>
  </si>
  <si>
    <t>1643045875076431872</t>
  </si>
  <si>
    <t>1643044024180195328</t>
  </si>
  <si>
    <t>1648372958409244696</t>
  </si>
  <si>
    <t>1699095760908824694</t>
  </si>
  <si>
    <t>1692350184334741734</t>
  </si>
  <si>
    <t>1703485690447552647</t>
  </si>
  <si>
    <t>1677385965462257666</t>
  </si>
  <si>
    <t>1677385772230488064</t>
  </si>
  <si>
    <t>1666944596872445952</t>
  </si>
  <si>
    <t>1628467546344095745</t>
  </si>
  <si>
    <t>1643358765775835140</t>
  </si>
  <si>
    <t>1631018465103339521</t>
  </si>
  <si>
    <t>1679833270022807552</t>
  </si>
  <si>
    <t>1696901370756886622</t>
  </si>
  <si>
    <t>1633468448167825408</t>
  </si>
  <si>
    <t>1674074291275550720</t>
  </si>
  <si>
    <t>1673344769739702272</t>
  </si>
  <si>
    <t>1673343631422267393</t>
  </si>
  <si>
    <t>1695980728264122603</t>
  </si>
  <si>
    <t>1693267209286455579</t>
  </si>
  <si>
    <t>1693197117605421206</t>
  </si>
  <si>
    <t>1638218038582321160</t>
  </si>
  <si>
    <t>1636447950346891264</t>
  </si>
  <si>
    <t>1636443701697232922</t>
  </si>
  <si>
    <t>1660554100365312000</t>
  </si>
  <si>
    <t>1645954003589578753</t>
  </si>
  <si>
    <t>1682416691987218432</t>
  </si>
  <si>
    <t>1630677381970026501</t>
  </si>
  <si>
    <t>1670850112166273025</t>
  </si>
  <si>
    <t>1676393926255673345</t>
  </si>
  <si>
    <t>1623555708175151104</t>
  </si>
  <si>
    <t>1623068121085931526</t>
  </si>
  <si>
    <t>1623006250819629089</t>
  </si>
  <si>
    <t>1631968928669786114</t>
  </si>
  <si>
    <t>1631452158263427072</t>
  </si>
  <si>
    <t>1624050453305602049</t>
  </si>
  <si>
    <t>1623799708379496449</t>
  </si>
  <si>
    <t>1622538334831620096</t>
  </si>
  <si>
    <t>1627308410977787904</t>
  </si>
  <si>
    <t>1630921585732329472</t>
  </si>
  <si>
    <t>1630406044009496577</t>
  </si>
  <si>
    <t>1629890512051220489</t>
  </si>
  <si>
    <t>1629372909813735426</t>
  </si>
  <si>
    <t>1628856594250203137</t>
  </si>
  <si>
    <t>1628341418392449028</t>
  </si>
  <si>
    <t>1627825030275952643</t>
  </si>
  <si>
    <t>1661350390904889345</t>
  </si>
  <si>
    <t>1652147860304011265</t>
  </si>
  <si>
    <t>1665705463529218050</t>
  </si>
  <si>
    <t>1659179432907513858</t>
  </si>
  <si>
    <t>1664626406666518531</t>
  </si>
  <si>
    <t>1668257807597027328</t>
  </si>
  <si>
    <t>1696686304480702617</t>
  </si>
  <si>
    <t>1703555227809374300</t>
  </si>
  <si>
    <t>1627629476526817280</t>
  </si>
  <si>
    <t>1627599267815690241</t>
  </si>
  <si>
    <t>1636266310903496706</t>
  </si>
  <si>
    <t>1622556131158638593</t>
  </si>
  <si>
    <t>1622526004945117185</t>
  </si>
  <si>
    <t>1621816346437685248</t>
  </si>
  <si>
    <t>1646836064424796160</t>
  </si>
  <si>
    <t>1646805818287816704</t>
  </si>
  <si>
    <t>1625424991901650945</t>
  </si>
  <si>
    <t>1625092835069272066</t>
  </si>
  <si>
    <t>1647545745426219009</t>
  </si>
  <si>
    <t>1638803206720598016</t>
  </si>
  <si>
    <t>1637761231028207616</t>
  </si>
  <si>
    <t>1621106824660324353</t>
  </si>
  <si>
    <t>1651502229851963398</t>
  </si>
  <si>
    <t>1629773539791208448</t>
  </si>
  <si>
    <t>1629426343040385024</t>
  </si>
  <si>
    <t>1628701625417179136</t>
  </si>
  <si>
    <t>1628671442547093506</t>
  </si>
  <si>
    <t>1653676155793186816</t>
  </si>
  <si>
    <t>1635179240671911937</t>
  </si>
  <si>
    <t>1623628158468608000</t>
  </si>
  <si>
    <t>1650792117902385153</t>
  </si>
  <si>
    <t>1641370138539708417</t>
  </si>
  <si>
    <t>1640992624231211010</t>
  </si>
  <si>
    <t>1633065237476696067</t>
  </si>
  <si>
    <t>1630951449768149001</t>
  </si>
  <si>
    <t>1655171224324956160</t>
  </si>
  <si>
    <t>1662628607338971137</t>
  </si>
  <si>
    <t>1628593753513463808</t>
  </si>
  <si>
    <t>1629013250917408770</t>
  </si>
  <si>
    <t>1707002785370087708</t>
  </si>
  <si>
    <t>1648541781804433409</t>
  </si>
  <si>
    <t>1703522659344982182</t>
  </si>
  <si>
    <t>1706710327184781767</t>
  </si>
  <si>
    <t>1699959813243883786</t>
  </si>
  <si>
    <t>1706247168913211807</t>
  </si>
  <si>
    <t>1699527895100674201</t>
  </si>
  <si>
    <t>1661366314588307456</t>
  </si>
  <si>
    <t>1692676428909658477</t>
  </si>
  <si>
    <t>1692671541400555930</t>
  </si>
  <si>
    <t>1639624836249972736</t>
  </si>
  <si>
    <t>1639624372825587712</t>
  </si>
  <si>
    <t>1639623227352707074</t>
  </si>
  <si>
    <t>1646995008602402821</t>
  </si>
  <si>
    <t>1646993805642481665</t>
  </si>
  <si>
    <t>1646992559850364929</t>
  </si>
  <si>
    <t>1646992073977913344</t>
  </si>
  <si>
    <t>1646990576305184771</t>
  </si>
  <si>
    <t>1642622543696723968</t>
  </si>
  <si>
    <t>1687132028775350272</t>
  </si>
  <si>
    <t>1687387283438043136</t>
  </si>
  <si>
    <t>1673882089639297026</t>
  </si>
  <si>
    <t>1648395172324208646</t>
  </si>
  <si>
    <t>1695480161859194987</t>
  </si>
  <si>
    <t>1694759415725830355</t>
  </si>
  <si>
    <t>1693441610938212790</t>
  </si>
  <si>
    <t>1697918597547368856</t>
  </si>
  <si>
    <t>1657561753738256387</t>
  </si>
  <si>
    <t>1647132899936747523</t>
  </si>
  <si>
    <t>1644435364029820946</t>
  </si>
  <si>
    <t>1644388627982450712</t>
  </si>
  <si>
    <t>1641864151399030794</t>
  </si>
  <si>
    <t>1676601491476434948</t>
  </si>
  <si>
    <t>1636803767868719120</t>
  </si>
  <si>
    <t>1666216628432822273</t>
  </si>
  <si>
    <t>1696177393990283640</t>
  </si>
  <si>
    <t>1640188754278187008</t>
  </si>
  <si>
    <t>1642002475514224641</t>
  </si>
  <si>
    <t>1620587829020733441</t>
  </si>
  <si>
    <t>1625612521494159387</t>
  </si>
  <si>
    <t>1688959174841970703</t>
  </si>
  <si>
    <t>1687864169113268224</t>
  </si>
  <si>
    <t>1635841337319727107</t>
  </si>
  <si>
    <t>1633447065920389121</t>
  </si>
  <si>
    <t>1671646876267945984</t>
  </si>
  <si>
    <t>1671177343128199169</t>
  </si>
  <si>
    <t>1631482395219181575</t>
  </si>
  <si>
    <t>1651214606998618115</t>
  </si>
  <si>
    <t>1629784324856840193</t>
  </si>
  <si>
    <t>1629783658428084226</t>
  </si>
  <si>
    <t>1648779403516690434</t>
  </si>
  <si>
    <t>1648776119615647744</t>
  </si>
  <si>
    <t>1650579801063784449</t>
  </si>
  <si>
    <t>1657004274239381504</t>
  </si>
  <si>
    <t>1684690794672734209</t>
  </si>
  <si>
    <t>1699590190673678513</t>
  </si>
  <si>
    <t>1674440000664924163</t>
  </si>
  <si>
    <t>1626033286395879425</t>
  </si>
  <si>
    <t>1698847460754395455</t>
  </si>
  <si>
    <t>1699263057078173975</t>
  </si>
  <si>
    <t>1699848076817523103</t>
  </si>
  <si>
    <t>1678810248826454026</t>
  </si>
  <si>
    <t>1679945367880626176</t>
  </si>
  <si>
    <t>1633267424312041473</t>
  </si>
  <si>
    <t>1633391407535730688</t>
  </si>
  <si>
    <t>1633391218259378176</t>
  </si>
  <si>
    <t>1638602728224989188</t>
  </si>
  <si>
    <t>1684583788028862467</t>
  </si>
  <si>
    <t>1631656478774902785</t>
  </si>
  <si>
    <t>1622567972719009793</t>
  </si>
  <si>
    <t>1685289672811917312</t>
  </si>
  <si>
    <t>1679090728692068352</t>
  </si>
  <si>
    <t>1678908067788775427</t>
  </si>
  <si>
    <t>1641854985192325121</t>
  </si>
  <si>
    <t>1640508105267068928</t>
  </si>
  <si>
    <t>1640507352305618944</t>
  </si>
  <si>
    <t>1641418581891055616</t>
  </si>
  <si>
    <t>1641244635887554565</t>
  </si>
  <si>
    <t>1699179886404071817</t>
  </si>
  <si>
    <t>1636750421149581313</t>
  </si>
  <si>
    <t>1645469328224194560</t>
  </si>
  <si>
    <t>1671139476909981697</t>
  </si>
  <si>
    <t>1673680339045347328</t>
  </si>
  <si>
    <t>1673323492723531782</t>
  </si>
  <si>
    <t>1683131697607622656</t>
  </si>
  <si>
    <t>1682061953357991937</t>
  </si>
  <si>
    <t>1664678025483677697</t>
  </si>
  <si>
    <t>1705206844560650415</t>
  </si>
  <si>
    <t>1692213769630363757</t>
  </si>
  <si>
    <t>1645963968073154562</t>
  </si>
  <si>
    <t>1636698191767785476</t>
  </si>
  <si>
    <t>1665783981550317570</t>
  </si>
  <si>
    <t>1665781638536601602</t>
  </si>
  <si>
    <t>1665760157626662940</t>
  </si>
  <si>
    <t>1665759258384777216</t>
  </si>
  <si>
    <t>1664633981831135238</t>
  </si>
  <si>
    <t>1664611248833429505</t>
  </si>
  <si>
    <t>1664610947070083075</t>
  </si>
  <si>
    <t>1655603166296039425</t>
  </si>
  <si>
    <t>1655105366949081089</t>
  </si>
  <si>
    <t>1686737431507156992</t>
  </si>
  <si>
    <t>1674314987873902592</t>
  </si>
  <si>
    <t>1687120226557857795</t>
  </si>
  <si>
    <t>1624818119863681027</t>
  </si>
  <si>
    <t>1650257657368813568</t>
  </si>
  <si>
    <t>1654661801655631872</t>
  </si>
  <si>
    <t>1687537842832998410</t>
  </si>
  <si>
    <t>1628567085545660418</t>
  </si>
  <si>
    <t>1641971819392450560</t>
  </si>
  <si>
    <t>1691621718526173220</t>
  </si>
  <si>
    <t>1633951396461441024</t>
  </si>
  <si>
    <t>1630372179542958081</t>
  </si>
  <si>
    <t>1689938438374514689</t>
  </si>
  <si>
    <t>1623128146722553863</t>
  </si>
  <si>
    <t>1638668952149655555</t>
  </si>
  <si>
    <t>1640710685037563912</t>
  </si>
  <si>
    <t>1692166678367371412</t>
  </si>
  <si>
    <t>1637357125180481538</t>
  </si>
  <si>
    <t>1681646416999981056</t>
  </si>
  <si>
    <t>1639417121879752704</t>
  </si>
  <si>
    <t>1628416965424422913</t>
  </si>
  <si>
    <t>1701009702560395622</t>
  </si>
  <si>
    <t>1672028210706407424</t>
  </si>
  <si>
    <t>1679846655028350978</t>
  </si>
  <si>
    <t>1700232286090747955</t>
  </si>
  <si>
    <t>1707078523641319513</t>
  </si>
  <si>
    <t>1626911312818106369</t>
  </si>
  <si>
    <t>1640495659101847554</t>
  </si>
  <si>
    <t>1629592826752167937</t>
  </si>
  <si>
    <t>1669013039327092742</t>
  </si>
  <si>
    <t>1705727462351446391</t>
  </si>
  <si>
    <t>1635725127320064000</t>
  </si>
  <si>
    <t>1621174025803411459</t>
  </si>
  <si>
    <t>1670739923312300032</t>
  </si>
  <si>
    <t>1647080038850785281</t>
  </si>
  <si>
    <t>1647079565565591553</t>
  </si>
  <si>
    <t>1647079430731317248</t>
  </si>
  <si>
    <t>1647079186287263744</t>
  </si>
  <si>
    <t>1647079005525356545</t>
  </si>
  <si>
    <t>1647078807017336832</t>
  </si>
  <si>
    <t>1647078434638643200</t>
  </si>
  <si>
    <t>1647078168337973249</t>
  </si>
  <si>
    <t>1647077870265589762</t>
  </si>
  <si>
    <t>1647077697410023424</t>
  </si>
  <si>
    <t>1647077418614546432</t>
  </si>
  <si>
    <t>1647077173654700041</t>
  </si>
  <si>
    <t>1647076960353280000</t>
  </si>
  <si>
    <t>1647076854367416321</t>
  </si>
  <si>
    <t>1647076720028143616</t>
  </si>
  <si>
    <t>1647076565774114816</t>
  </si>
  <si>
    <t>1647076433934667777</t>
  </si>
  <si>
    <t>1647076260797992962</t>
  </si>
  <si>
    <t>1647075832077099010</t>
  </si>
  <si>
    <t>1646279626652524546</t>
  </si>
  <si>
    <t>1636707292925112322</t>
  </si>
  <si>
    <t>1643373666007121922</t>
  </si>
  <si>
    <t>1649424319867412484</t>
  </si>
  <si>
    <t>1678682314786611200</t>
  </si>
  <si>
    <t>1684479758879322112</t>
  </si>
  <si>
    <t>1668929656425267203</t>
  </si>
  <si>
    <t>1653684785171030019</t>
  </si>
  <si>
    <t>1653839285202591780</t>
  </si>
  <si>
    <t>1681406671363424266</t>
  </si>
  <si>
    <t>1660694810863255561</t>
  </si>
  <si>
    <t>1660591062774169604</t>
  </si>
  <si>
    <t>1662896299006468098</t>
  </si>
  <si>
    <t>1641206351711055873</t>
  </si>
  <si>
    <t>1620100513458163712</t>
  </si>
  <si>
    <t>1666922914237521925</t>
  </si>
  <si>
    <t>1667357810034606080</t>
  </si>
  <si>
    <t>1682949578860138496</t>
  </si>
  <si>
    <t>1682949296256106497</t>
  </si>
  <si>
    <t>1682948922057318400</t>
  </si>
  <si>
    <t>1682947967207059457</t>
  </si>
  <si>
    <t>1682947354356248576</t>
  </si>
  <si>
    <t>1682946998003957760</t>
  </si>
  <si>
    <t>1682946618314686464</t>
  </si>
  <si>
    <t>1682946001215135745</t>
  </si>
  <si>
    <t>1682943751445004288</t>
  </si>
  <si>
    <t>1682943266075885568</t>
  </si>
  <si>
    <t>1682942935900323840</t>
  </si>
  <si>
    <t>1682942368515850240</t>
  </si>
  <si>
    <t>1682941809939595265</t>
  </si>
  <si>
    <t>1682940312669306881</t>
  </si>
  <si>
    <t>1682939860741660677</t>
  </si>
  <si>
    <t>1682939244405305346</t>
  </si>
  <si>
    <t>1682937106295865345</t>
  </si>
  <si>
    <t>1682936309625618434</t>
  </si>
  <si>
    <t>1682935852354158592</t>
  </si>
  <si>
    <t>1682935310164828162</t>
  </si>
  <si>
    <t>1682934881783803905</t>
  </si>
  <si>
    <t>1682929047502725121</t>
  </si>
  <si>
    <t>1682927044903190529</t>
  </si>
  <si>
    <t>1682926508963254273</t>
  </si>
  <si>
    <t>1683666376458633216</t>
  </si>
  <si>
    <t>1683666088301674496</t>
  </si>
  <si>
    <t>1683663961214820352</t>
  </si>
  <si>
    <t>1683663699024678913</t>
  </si>
  <si>
    <t>1683662955240382467</t>
  </si>
  <si>
    <t>1683662443438919682</t>
  </si>
  <si>
    <t>1683662121689554949</t>
  </si>
  <si>
    <t>1683661760656470016</t>
  </si>
  <si>
    <t>1683661003559514114</t>
  </si>
  <si>
    <t>1683658908533919746</t>
  </si>
  <si>
    <t>1683658617558388737</t>
  </si>
  <si>
    <t>1683658128309485569</t>
  </si>
  <si>
    <t>1683657720983965701</t>
  </si>
  <si>
    <t>1683657324039114752</t>
  </si>
  <si>
    <t>1683656723775606784</t>
  </si>
  <si>
    <t>1683656108374720515</t>
  </si>
  <si>
    <t>1682951503823376384</t>
  </si>
  <si>
    <t>1682951074930638848</t>
  </si>
  <si>
    <t>1682950751084064768</t>
  </si>
  <si>
    <t>1661102433152450560</t>
  </si>
  <si>
    <t>1696251306732560838</t>
  </si>
  <si>
    <t>1696613694426452266</t>
  </si>
  <si>
    <t>1698425634786050393</t>
  </si>
  <si>
    <t>1698063242613182937</t>
  </si>
  <si>
    <t>1696900588058059141</t>
  </si>
  <si>
    <t>1650839295819644930</t>
  </si>
  <si>
    <t>1641514460027183126</t>
  </si>
  <si>
    <t>1641446235361116162</t>
  </si>
  <si>
    <t>1680961555968425984</t>
  </si>
  <si>
    <t>1646604395759521792</t>
  </si>
  <si>
    <t>1647103623451508738</t>
  </si>
  <si>
    <t>1632577068377538565</t>
  </si>
  <si>
    <t>1701769980830716186</t>
  </si>
  <si>
    <t>1677790394522693634</t>
  </si>
  <si>
    <t>1681050323408879616</t>
  </si>
  <si>
    <t>1669777010858622995</t>
  </si>
  <si>
    <t>1667943570387369988</t>
  </si>
  <si>
    <t>1638231758494638085</t>
  </si>
  <si>
    <t>1637826113387864067</t>
  </si>
  <si>
    <t>1631006853600628751</t>
  </si>
  <si>
    <t>1634435132638609408</t>
  </si>
  <si>
    <t>1622448936538591233</t>
  </si>
  <si>
    <t>1629229468647665664</t>
  </si>
  <si>
    <t>1704173504671912074</t>
  </si>
  <si>
    <t>1704484664352600127</t>
  </si>
  <si>
    <t>1630649565798866945</t>
  </si>
  <si>
    <t>1630133807788576768</t>
  </si>
  <si>
    <t>1629616770028847105</t>
  </si>
  <si>
    <t>1628584576858685441</t>
  </si>
  <si>
    <t>1628068781971984385</t>
  </si>
  <si>
    <t>1644710115017211904</t>
  </si>
  <si>
    <t>1623925134636761090</t>
  </si>
  <si>
    <t>1646255288373198851</t>
  </si>
  <si>
    <t>1625714358192902144</t>
  </si>
  <si>
    <t>1624743255572111360</t>
  </si>
  <si>
    <t>1639943315947757568</t>
  </si>
  <si>
    <t>1627552801579585536</t>
  </si>
  <si>
    <t>1641488394860605444</t>
  </si>
  <si>
    <t>1631695421872406551</t>
  </si>
  <si>
    <t>1631179579913121793</t>
  </si>
  <si>
    <t>1647799294177554433</t>
  </si>
  <si>
    <t>1653803246580903943</t>
  </si>
  <si>
    <t>1643031687297736704</t>
  </si>
  <si>
    <t>1622600700231315456</t>
  </si>
  <si>
    <t>1622418834664706048</t>
  </si>
  <si>
    <t>1622144905056292865</t>
  </si>
  <si>
    <t>1653712497201774592</t>
  </si>
  <si>
    <t>1623679455922200579</t>
  </si>
  <si>
    <t>1623434949155074049</t>
  </si>
  <si>
    <t>1669855118135631872</t>
  </si>
  <si>
    <t>1657766290042372096</t>
  </si>
  <si>
    <t>1655296214911401987</t>
  </si>
  <si>
    <t>1675171562939465729</t>
  </si>
  <si>
    <t>1636852971383259137</t>
  </si>
  <si>
    <t>1699468062955586031</t>
  </si>
  <si>
    <t>1658601395505844224</t>
  </si>
  <si>
    <t>1622973806040973314</t>
  </si>
  <si>
    <t>1662940661492883460</t>
  </si>
  <si>
    <t>1647980866868584450</t>
  </si>
  <si>
    <t>1662819443611762690</t>
  </si>
  <si>
    <t>1625885481325019140</t>
  </si>
  <si>
    <t>1651275003432779784</t>
  </si>
  <si>
    <t>1620562683593658368</t>
  </si>
  <si>
    <t>1651576255735627777</t>
  </si>
  <si>
    <t>1699426731768037702</t>
  </si>
  <si>
    <t>1691074304698413060</t>
  </si>
  <si>
    <t>1675977347571372045</t>
  </si>
  <si>
    <t>1630197356367839233</t>
  </si>
  <si>
    <t>1623680923194490884</t>
  </si>
  <si>
    <t>1643320936345616385</t>
  </si>
  <si>
    <t>1690189687820890112</t>
  </si>
  <si>
    <t>1695008678699581903</t>
  </si>
  <si>
    <t>1696581423308624262</t>
  </si>
  <si>
    <t>1674931032825425920</t>
  </si>
  <si>
    <t>1686060583982972940</t>
  </si>
  <si>
    <t>1668952431114199041</t>
  </si>
  <si>
    <t>1676613704845086724</t>
  </si>
  <si>
    <t>1690521065125023744</t>
  </si>
  <si>
    <t>1694720487308607531</t>
  </si>
  <si>
    <t>1680083318946013184</t>
  </si>
  <si>
    <t>1648671159406215170</t>
  </si>
  <si>
    <t>1674786210391408660</t>
  </si>
  <si>
    <t>1627760370000490496</t>
  </si>
  <si>
    <t>1698017016052121680</t>
  </si>
  <si>
    <t>1704012876992684113</t>
  </si>
  <si>
    <t>1634332758855000064</t>
  </si>
  <si>
    <t>1660693588894728207</t>
  </si>
  <si>
    <t>1666949923147853825</t>
  </si>
  <si>
    <t>1623345402823991296</t>
  </si>
  <si>
    <t>1620050196477640704</t>
  </si>
  <si>
    <t>1693320553992421797</t>
  </si>
  <si>
    <t>1679214840903073801</t>
  </si>
  <si>
    <t>1667194201849704450</t>
  </si>
  <si>
    <t>1642527827521052676</t>
  </si>
  <si>
    <t>1678383912421060614</t>
  </si>
  <si>
    <t>1637126988669280259</t>
  </si>
  <si>
    <t>1685104027137449984</t>
  </si>
  <si>
    <t>1634242012244320257</t>
  </si>
  <si>
    <t>1649505074517889024</t>
  </si>
  <si>
    <t>1649231492097163266</t>
  </si>
  <si>
    <t>1649147298704683028</t>
  </si>
  <si>
    <t>1668247998424395776</t>
  </si>
  <si>
    <t>1624228750836609027</t>
  </si>
  <si>
    <t>1663968845164421120</t>
  </si>
  <si>
    <t>1642883314422775811</t>
  </si>
  <si>
    <t>1636482337553743872</t>
  </si>
  <si>
    <t>1702387483730727243</t>
  </si>
  <si>
    <t>1679660408322285570</t>
  </si>
  <si>
    <t>1666772722628677634</t>
  </si>
  <si>
    <t>1688629267708444672</t>
  </si>
  <si>
    <t>1693070311309156700</t>
  </si>
  <si>
    <t>1702838147581612104</t>
  </si>
  <si>
    <t>1529534011583889412</t>
  </si>
  <si>
    <t>1698783575271723164</t>
  </si>
  <si>
    <t>1635367803615342592</t>
  </si>
  <si>
    <t>1624585915468324864</t>
  </si>
  <si>
    <t>1620216952076800001</t>
  </si>
  <si>
    <t>1638277923785396244</t>
  </si>
  <si>
    <t>1667531877652000768</t>
  </si>
  <si>
    <t>1686803453396348949</t>
  </si>
  <si>
    <t>1675612523024793601</t>
  </si>
  <si>
    <t>1668356870598172672</t>
  </si>
  <si>
    <t>1668257235250688002</t>
  </si>
  <si>
    <t>1684184692906401793</t>
  </si>
  <si>
    <t>1683955925147607041</t>
  </si>
  <si>
    <t>1683947831650816002</t>
  </si>
  <si>
    <t>1676699135766822920</t>
  </si>
  <si>
    <t>1676608357749125123</t>
  </si>
  <si>
    <t>1686752285819273217</t>
  </si>
  <si>
    <t>1681679528475672577</t>
  </si>
  <si>
    <t>1674176827961626625</t>
  </si>
  <si>
    <t>1682401716325556226</t>
  </si>
  <si>
    <t>1682136524370984977</t>
  </si>
  <si>
    <t>1680930267718983680</t>
  </si>
  <si>
    <t>1679505874513977345</t>
  </si>
  <si>
    <t>1679152448596848641</t>
  </si>
  <si>
    <t>1678844052723183618</t>
  </si>
  <si>
    <t>1678510325459480578</t>
  </si>
  <si>
    <t>1678438513316880384</t>
  </si>
  <si>
    <t>1663579786009096192</t>
  </si>
  <si>
    <t>1681776536486117377</t>
  </si>
  <si>
    <t>1666058670281482240</t>
  </si>
  <si>
    <t>1683264322355511297</t>
  </si>
  <si>
    <t>1643272482365796358</t>
  </si>
  <si>
    <t>1666460824347594752</t>
  </si>
  <si>
    <t>1681696209969315842</t>
  </si>
  <si>
    <t>1702658230546035151</t>
  </si>
  <si>
    <t>1702656415641264359</t>
  </si>
  <si>
    <t>1620582874750812160</t>
  </si>
  <si>
    <t>1621309449146175488</t>
  </si>
  <si>
    <t>1630200308927287301</t>
  </si>
  <si>
    <t>1642866437692833795</t>
  </si>
  <si>
    <t>1673439773950726146</t>
  </si>
  <si>
    <t>1636994220736086018</t>
  </si>
  <si>
    <t>1692756517974380602</t>
  </si>
  <si>
    <t>1666879682678083589</t>
  </si>
  <si>
    <t>1625478742431637504</t>
  </si>
  <si>
    <t>1649547324216037376</t>
  </si>
  <si>
    <t>1705322054944199130</t>
  </si>
  <si>
    <t>1666525707164434432</t>
  </si>
  <si>
    <t>1666590015269240832</t>
  </si>
  <si>
    <t>1691209344312877056</t>
  </si>
  <si>
    <t>1679498843723800576</t>
  </si>
  <si>
    <t>1671912655844438019</t>
  </si>
  <si>
    <t>1637798274609344512</t>
  </si>
  <si>
    <t>1631228650199580672</t>
  </si>
  <si>
    <t>1701681769676738632</t>
  </si>
  <si>
    <t>1628152555879469056</t>
  </si>
  <si>
    <t>1632194181568380928</t>
  </si>
  <si>
    <t>1698498148920926305</t>
  </si>
  <si>
    <t>1666877549761134624</t>
  </si>
  <si>
    <t>1695936219723481415</t>
  </si>
  <si>
    <t>1693049895295332651</t>
  </si>
  <si>
    <t>1693030633503703354</t>
  </si>
  <si>
    <t>1696674901950656823</t>
  </si>
  <si>
    <t>1666215908849643524</t>
  </si>
  <si>
    <t>1684690430997274624</t>
  </si>
  <si>
    <t>1701004917765537858</t>
  </si>
  <si>
    <t>1646279275581169664</t>
  </si>
  <si>
    <t>1636706865718460417</t>
  </si>
  <si>
    <t>1643373154134360064</t>
  </si>
  <si>
    <t>1678681889538752512</t>
  </si>
  <si>
    <t>1684479247807545344</t>
  </si>
  <si>
    <t>1668929211577380866</t>
  </si>
  <si>
    <t>1653684470472474625</t>
  </si>
  <si>
    <t>1686058980559274019</t>
  </si>
  <si>
    <t>14128609</t>
  </si>
  <si>
    <t>1456024969524256773</t>
  </si>
  <si>
    <t>1554414788662403074</t>
  </si>
  <si>
    <t>1482131437931352064</t>
  </si>
  <si>
    <t>1056274830163619841</t>
  </si>
  <si>
    <t>979332525003853824</t>
  </si>
  <si>
    <t>1608571106918539264</t>
  </si>
  <si>
    <t>1247623200957173764</t>
  </si>
  <si>
    <t>1441664920391618561</t>
  </si>
  <si>
    <t>4462516769</t>
  </si>
  <si>
    <t>1660617440244498432</t>
  </si>
  <si>
    <t>1613934719632117763</t>
  </si>
  <si>
    <t>1296811617498406917</t>
  </si>
  <si>
    <t>809187968</t>
  </si>
  <si>
    <t>1599749274773905416</t>
  </si>
  <si>
    <t>1336811936516894722</t>
  </si>
  <si>
    <t>1170801810598191104</t>
  </si>
  <si>
    <t>1658511571432136704</t>
  </si>
  <si>
    <t>1128026436</t>
  </si>
  <si>
    <t>863792518533697539</t>
  </si>
  <si>
    <t>1445022300</t>
  </si>
  <si>
    <t>1594499618997383168</t>
  </si>
  <si>
    <t>1382833720781115392</t>
  </si>
  <si>
    <t>1469469813315710984</t>
  </si>
  <si>
    <t>1632896869339627521</t>
  </si>
  <si>
    <t>1697209023479545856</t>
  </si>
  <si>
    <t>1274069553723645952</t>
  </si>
  <si>
    <t>233531860</t>
  </si>
  <si>
    <t>1397056359695257601</t>
  </si>
  <si>
    <t>1652867487095029761</t>
  </si>
  <si>
    <t>1691853857515601927</t>
  </si>
  <si>
    <t>222104654</t>
  </si>
  <si>
    <t>613757749</t>
  </si>
  <si>
    <t>1633895782754467868</t>
  </si>
  <si>
    <t>1478180524787220482</t>
  </si>
  <si>
    <t>1614475928825888768</t>
  </si>
  <si>
    <t>1521893688967897089</t>
  </si>
  <si>
    <t>1518965841261441024</t>
  </si>
  <si>
    <t>1521969582193659905</t>
  </si>
  <si>
    <t>1524378952625700869</t>
  </si>
  <si>
    <t>1335937657474527233</t>
  </si>
  <si>
    <t>75838812</t>
  </si>
  <si>
    <t>1219103783529123840</t>
  </si>
  <si>
    <t>1522998014771699713</t>
  </si>
  <si>
    <t>1649904210970853378</t>
  </si>
  <si>
    <t>1594399137193074688</t>
  </si>
  <si>
    <t>41928738</t>
  </si>
  <si>
    <t>1548053105681375232</t>
  </si>
  <si>
    <t>1645460012305731586</t>
  </si>
  <si>
    <t>1623375043613888529</t>
  </si>
  <si>
    <t>1661957583387631617</t>
  </si>
  <si>
    <t>33517656</t>
  </si>
  <si>
    <t>3331429624</t>
  </si>
  <si>
    <t>59494047</t>
  </si>
  <si>
    <t>216874671</t>
  </si>
  <si>
    <t>2609743114</t>
  </si>
  <si>
    <t>953378142198161409</t>
  </si>
  <si>
    <t>932675351913926656</t>
  </si>
  <si>
    <t>1677697835087679488</t>
  </si>
  <si>
    <t>1473894237678751750</t>
  </si>
  <si>
    <t>2826642239</t>
  </si>
  <si>
    <t>1311291296775114752</t>
  </si>
  <si>
    <t>387424333</t>
  </si>
  <si>
    <t>1626293141253808128</t>
  </si>
  <si>
    <t>3875236456</t>
  </si>
  <si>
    <t>1272315669980368897</t>
  </si>
  <si>
    <t>1119743146500476928</t>
  </si>
  <si>
    <t>757435660718444544</t>
  </si>
  <si>
    <t>1520778542249918466</t>
  </si>
  <si>
    <t>189895054</t>
  </si>
  <si>
    <t>1395541134932332553</t>
  </si>
  <si>
    <t>1648833446247116803</t>
  </si>
  <si>
    <t/>
  </si>
  <si>
    <t>1623345479735037952</t>
  </si>
  <si>
    <t>1620050200864911362</t>
  </si>
  <si>
    <t>1679214845114167296</t>
  </si>
  <si>
    <t>1634242016123994123</t>
  </si>
  <si>
    <t>1663970209022001162</t>
  </si>
  <si>
    <t>1636482344696643586</t>
  </si>
  <si>
    <t>1679660452417003522</t>
  </si>
  <si>
    <t>1668235382138327040</t>
  </si>
  <si>
    <t>1688641744584241153</t>
  </si>
  <si>
    <t>1535454653315440640</t>
  </si>
  <si>
    <t>1698783594183872788</t>
  </si>
  <si>
    <t>1635368060625485827</t>
  </si>
  <si>
    <t>1668356872947003393</t>
  </si>
  <si>
    <t>1684184696899481600</t>
  </si>
  <si>
    <t>1676608360592941062</t>
  </si>
  <si>
    <t>1681679530891542528</t>
  </si>
  <si>
    <t>1679152451142967296</t>
  </si>
  <si>
    <t>1678510352487596037</t>
  </si>
  <si>
    <t>1643278933125742592</t>
  </si>
  <si>
    <t>1666460836364156932</t>
  </si>
  <si>
    <t>1706079792489963546</t>
  </si>
  <si>
    <t>1630200739606740992</t>
  </si>
  <si>
    <t>1642867930927886336</t>
  </si>
  <si>
    <t>1636994364873363456</t>
  </si>
  <si>
    <t>1664383265338171398</t>
  </si>
  <si>
    <t>1649547337725771776</t>
  </si>
  <si>
    <t>1679498916524351490</t>
  </si>
  <si>
    <t>1701681786420384128</t>
  </si>
  <si>
    <t>1695972801134698784</t>
  </si>
  <si>
    <t>1693266124169765014</t>
  </si>
  <si>
    <t>1693120890521747647</t>
  </si>
  <si>
    <t>1701006798105489565</t>
  </si>
  <si>
    <t>1646279545333465088</t>
  </si>
  <si>
    <t>1636707169260261376</t>
  </si>
  <si>
    <t>1643373572927234050</t>
  </si>
  <si>
    <t>1678682280363999232</t>
  </si>
  <si>
    <t>1684479700595253248</t>
  </si>
  <si>
    <t>1668929577257771009</t>
  </si>
  <si>
    <t>1653684713700175873</t>
  </si>
  <si>
    <t>1686060476441018388</t>
  </si>
  <si>
    <t>1683534376699609088</t>
  </si>
  <si>
    <t>1674121795115405317</t>
  </si>
  <si>
    <t>1377956434156122114</t>
  </si>
  <si>
    <t>1654188501900877825</t>
  </si>
  <si>
    <t>1472360234798784513</t>
  </si>
  <si>
    <t>1643794278206914560</t>
  </si>
  <si>
    <t>1657911777919741957</t>
  </si>
  <si>
    <t>1646748140563824643</t>
  </si>
  <si>
    <t>1625114196579950592</t>
  </si>
  <si>
    <t>1563471939418857472</t>
  </si>
  <si>
    <t>1678200308986437632</t>
  </si>
  <si>
    <t>1545161972802621440</t>
  </si>
  <si>
    <t>1384650893522575360</t>
  </si>
  <si>
    <t>955873456738000896</t>
  </si>
  <si>
    <t>1395000051861229571</t>
  </si>
  <si>
    <t>766476272365109248</t>
  </si>
  <si>
    <t>1668605117170417665</t>
  </si>
  <si>
    <t>1585974523274338304</t>
  </si>
  <si>
    <t>968575179684220928</t>
  </si>
  <si>
    <t>1582881859054501890</t>
  </si>
  <si>
    <t>1272230770166423566</t>
  </si>
  <si>
    <t>1477732773020508161</t>
  </si>
  <si>
    <t>1673198355898408967</t>
  </si>
  <si>
    <t>1675347348589871104</t>
  </si>
  <si>
    <t>1586837574877863939</t>
  </si>
  <si>
    <t>1609159709059170305</t>
  </si>
  <si>
    <t>1517250511296151554</t>
  </si>
  <si>
    <t>1572017954472005634</t>
  </si>
  <si>
    <t>1685944399623053312</t>
  </si>
  <si>
    <t>1499859331583467523</t>
  </si>
  <si>
    <t>1648997534868578305</t>
  </si>
  <si>
    <t>1666741850479243266</t>
  </si>
  <si>
    <t>1581095985161375745</t>
  </si>
  <si>
    <t>1607427795197591560</t>
  </si>
  <si>
    <t>1656323212521644032</t>
  </si>
  <si>
    <t>1580272390067654674</t>
  </si>
  <si>
    <t>1367430084483760133</t>
  </si>
  <si>
    <t>1253111254941683713</t>
  </si>
  <si>
    <t>1585395699629400065</t>
  </si>
  <si>
    <t>1474870415650611201</t>
  </si>
  <si>
    <t>961598718985285632</t>
  </si>
  <si>
    <t>1687035647616253952</t>
  </si>
  <si>
    <t>1683879811377135617</t>
  </si>
  <si>
    <t>1672908328068870150</t>
  </si>
  <si>
    <t>824282942042152960</t>
  </si>
  <si>
    <t>1696032281440223232</t>
  </si>
  <si>
    <t>1165105094511276033</t>
  </si>
  <si>
    <t>1669738326109159425</t>
  </si>
  <si>
    <t>1539571527275905024</t>
  </si>
  <si>
    <t>1426626062298066946</t>
  </si>
  <si>
    <t>1634686661173944320</t>
  </si>
  <si>
    <t>1554289942469251073</t>
  </si>
  <si>
    <t>1585017675901706263</t>
  </si>
  <si>
    <t>1635686315713757184</t>
  </si>
  <si>
    <t>1697093969623027712</t>
  </si>
  <si>
    <t>1623567638587736064</t>
  </si>
  <si>
    <t>1683274292199403520</t>
  </si>
  <si>
    <t>1241558980993875968</t>
  </si>
  <si>
    <t>1621548517905907712</t>
  </si>
  <si>
    <t>1031384087045582848</t>
  </si>
  <si>
    <t>1251300953749442561</t>
  </si>
  <si>
    <t>1374190389511475207</t>
  </si>
  <si>
    <t>1280622536733143040</t>
  </si>
  <si>
    <t>1702370643721719808</t>
  </si>
  <si>
    <t>1474575515868618759</t>
  </si>
  <si>
    <t>1588699178925965312</t>
  </si>
  <si>
    <t>1674099901636935697</t>
  </si>
  <si>
    <t>1436798928608022531</t>
  </si>
  <si>
    <t>1520800590703599616</t>
  </si>
  <si>
    <t>1703047642563973121</t>
  </si>
  <si>
    <t>1449478063234981890</t>
  </si>
  <si>
    <t>1677455602660909056</t>
  </si>
  <si>
    <t>1662435019111948290</t>
  </si>
  <si>
    <t>1641981819041075202</t>
  </si>
  <si>
    <t>1661200807667159044</t>
  </si>
  <si>
    <t>1672288201463963649</t>
  </si>
  <si>
    <t>1362847413724192770</t>
  </si>
  <si>
    <t>1651597864420749315</t>
  </si>
  <si>
    <t>1494173210744606721</t>
  </si>
  <si>
    <t>1657485483264421891</t>
  </si>
  <si>
    <t>1629991690013384704</t>
  </si>
  <si>
    <t>1663606521572237314</t>
  </si>
  <si>
    <t>1245428428972662786</t>
  </si>
  <si>
    <t>1699877062096334848</t>
  </si>
  <si>
    <t>1647640650026819584</t>
  </si>
  <si>
    <t>1632833817596624898</t>
  </si>
  <si>
    <t>1677552897536532480</t>
  </si>
  <si>
    <t>1586490366576005120</t>
  </si>
  <si>
    <t>1660145812473802752</t>
  </si>
  <si>
    <t>1630375127115259905</t>
  </si>
  <si>
    <t>1643423865819869185</t>
  </si>
  <si>
    <t>1494499217443856387</t>
  </si>
  <si>
    <t>1633067206769606656</t>
  </si>
  <si>
    <t>1417170649760550916</t>
  </si>
  <si>
    <t>1565326699390279681</t>
  </si>
  <si>
    <t>1677496575629619200</t>
  </si>
  <si>
    <t>925465854497738758</t>
  </si>
  <si>
    <t>1655308272117723136</t>
  </si>
  <si>
    <t>1409904363791859716</t>
  </si>
  <si>
    <t>1654318902376124418</t>
  </si>
  <si>
    <t>1628837923243061251</t>
  </si>
  <si>
    <t>1602770720534237184</t>
  </si>
  <si>
    <t>1628036492839862272</t>
  </si>
  <si>
    <t>1363691647649918976</t>
  </si>
  <si>
    <t>879693984020541440</t>
  </si>
  <si>
    <t>1633160226848272411</t>
  </si>
  <si>
    <t>1117860918665388038</t>
  </si>
  <si>
    <t>1202333318626369536</t>
  </si>
  <si>
    <t>1465322324043964418</t>
  </si>
  <si>
    <t>1651008290560638981</t>
  </si>
  <si>
    <t>1085620165440610305</t>
  </si>
  <si>
    <t>1641846990425186304</t>
  </si>
  <si>
    <t>1627264310610124802</t>
  </si>
  <si>
    <t>1095643066545958913</t>
  </si>
  <si>
    <t>1630680618945204224</t>
  </si>
  <si>
    <t>906944579236220928</t>
  </si>
  <si>
    <t>1536479028944723970</t>
  </si>
  <si>
    <t>1572574140594372608</t>
  </si>
  <si>
    <t>1468387611064823808</t>
  </si>
  <si>
    <t>1650922962516582407</t>
  </si>
  <si>
    <t>1517537512079642625</t>
  </si>
  <si>
    <t>1495884726627966977</t>
  </si>
  <si>
    <t>1643368187625390081</t>
  </si>
  <si>
    <t>1483550417732739076</t>
  </si>
  <si>
    <t>1583831705101766657</t>
  </si>
  <si>
    <t>1669518481933336576</t>
  </si>
  <si>
    <t>1663067109163671552</t>
  </si>
  <si>
    <t>1588551259119837184</t>
  </si>
  <si>
    <t>1647200278565859329</t>
  </si>
  <si>
    <t>1211644363853324288</t>
  </si>
  <si>
    <t>1701652048998023169</t>
  </si>
  <si>
    <t>1600917413180149776</t>
  </si>
  <si>
    <t>1643636369267339264</t>
  </si>
  <si>
    <t>1635837067174334468</t>
  </si>
  <si>
    <t>1384906063372238851</t>
  </si>
  <si>
    <t>1693798055047200768</t>
  </si>
  <si>
    <t>1371206006387146753</t>
  </si>
  <si>
    <t>1546876165285183488</t>
  </si>
  <si>
    <t>1245925882595692547</t>
  </si>
  <si>
    <t>1482184547357925383</t>
  </si>
  <si>
    <t>1623872912666099713</t>
  </si>
  <si>
    <t>1678429274024337409</t>
  </si>
  <si>
    <t>1600530694412836864</t>
  </si>
  <si>
    <t>1561141726580015104</t>
  </si>
  <si>
    <t>1540697168083828736</t>
  </si>
  <si>
    <t>1268589782227128320</t>
  </si>
  <si>
    <t>1350471834047836162</t>
  </si>
  <si>
    <t>1488863208123342851</t>
  </si>
  <si>
    <t>1622594214922952710</t>
  </si>
  <si>
    <t>1349881085140873219</t>
  </si>
  <si>
    <t>1478214037863374849</t>
  </si>
  <si>
    <t>1478939001134493701</t>
  </si>
  <si>
    <t>983071310766071809</t>
  </si>
  <si>
    <t>1581997497412616194</t>
  </si>
  <si>
    <t>1636710915532881922</t>
  </si>
  <si>
    <t>1648803451613134854</t>
  </si>
  <si>
    <t>1247323110531096576</t>
  </si>
  <si>
    <t>1645573852292956160</t>
  </si>
  <si>
    <t>1707082778003578881</t>
  </si>
  <si>
    <t>1630693293603299329</t>
  </si>
  <si>
    <t>1601682199614562308</t>
  </si>
  <si>
    <t>1559563106661158912</t>
  </si>
  <si>
    <t>1411453874788081666</t>
  </si>
  <si>
    <t>1577009330506825735</t>
  </si>
  <si>
    <t>1405204837596282884</t>
  </si>
  <si>
    <t>1474724943686479875</t>
  </si>
  <si>
    <t>1442283828349792268</t>
  </si>
  <si>
    <t>1625589331267145728</t>
  </si>
  <si>
    <t>1270081716552695808</t>
  </si>
  <si>
    <t>1676966478908915714</t>
  </si>
  <si>
    <t>1477784352780169219</t>
  </si>
  <si>
    <t>1648039815156232205</t>
  </si>
  <si>
    <t>1588298391322345473</t>
  </si>
  <si>
    <t>1572356437027835911</t>
  </si>
  <si>
    <t>1594626979965329408</t>
  </si>
  <si>
    <t>1549884858276741123</t>
  </si>
  <si>
    <t>1623154458963202049</t>
  </si>
  <si>
    <t>1576734722121662465</t>
  </si>
  <si>
    <t>774803084337872896</t>
  </si>
  <si>
    <t>1642528980698898434</t>
  </si>
  <si>
    <t>1628347076957306880</t>
  </si>
  <si>
    <t>1613801403167694849</t>
  </si>
  <si>
    <t>1571591507223740416</t>
  </si>
  <si>
    <t>1587170348197462018</t>
  </si>
  <si>
    <t>1196531478504595465</t>
  </si>
  <si>
    <t>1256995971906572288</t>
  </si>
  <si>
    <t>1624111299993927683</t>
  </si>
  <si>
    <t>1471836168014684166</t>
  </si>
  <si>
    <t>1647738455215013888</t>
  </si>
  <si>
    <t>917794714421690368</t>
  </si>
  <si>
    <t>1575554054889111558</t>
  </si>
  <si>
    <t>1485276361849815041</t>
  </si>
  <si>
    <t>1578077140918181889</t>
  </si>
  <si>
    <t>1630355002723057665</t>
  </si>
  <si>
    <t>1635225236940398594</t>
  </si>
  <si>
    <t>1527688196905107457</t>
  </si>
  <si>
    <t>1639325260246810631</t>
  </si>
  <si>
    <t>1535654289296826369</t>
  </si>
  <si>
    <t>1678731013705326592</t>
  </si>
  <si>
    <t>1373028666226139140</t>
  </si>
  <si>
    <t>1706396983605235712</t>
  </si>
  <si>
    <t>1638287410164375556</t>
  </si>
  <si>
    <t>1646503465059745792</t>
  </si>
  <si>
    <t>1594011357803839488</t>
  </si>
  <si>
    <t>1659063714312486912</t>
  </si>
  <si>
    <t>1310560150172901378</t>
  </si>
  <si>
    <t>1373252139779301376</t>
  </si>
  <si>
    <t>1642359431986905088</t>
  </si>
  <si>
    <t>1645982249702113280</t>
  </si>
  <si>
    <t>1635993018468646922</t>
  </si>
  <si>
    <t>1570441403775303681</t>
  </si>
  <si>
    <t>1588930193929945090</t>
  </si>
  <si>
    <t>1639255040081936388</t>
  </si>
  <si>
    <t>1674114090111754264</t>
  </si>
  <si>
    <t>1381834003364376578</t>
  </si>
  <si>
    <t>1047561060226686976</t>
  </si>
  <si>
    <t>1643742903603195904</t>
  </si>
  <si>
    <t>1692551013713006592</t>
  </si>
  <si>
    <t>1694054600116936704</t>
  </si>
  <si>
    <t>820354436816113665</t>
  </si>
  <si>
    <t>827320312257769474</t>
  </si>
  <si>
    <t>1560547379773931521</t>
  </si>
  <si>
    <t>1516496742778343432</t>
  </si>
  <si>
    <t>1679184528554721290</t>
  </si>
  <si>
    <t>1596431186041225218</t>
  </si>
  <si>
    <t>1519756581369491458</t>
  </si>
  <si>
    <t>1642310909522583553</t>
  </si>
  <si>
    <t>1683668564325048320</t>
  </si>
  <si>
    <t>1603055289628037122</t>
  </si>
  <si>
    <t>1581769337064620032</t>
  </si>
  <si>
    <t>1654736937280733184</t>
  </si>
  <si>
    <t>1621590672443596801</t>
  </si>
  <si>
    <t>1620096611710865413</t>
  </si>
  <si>
    <t>995654504816300032</t>
  </si>
  <si>
    <t>1587992625243725824</t>
  </si>
  <si>
    <t>1690232013666619393</t>
  </si>
  <si>
    <t>1610624119141195778</t>
  </si>
  <si>
    <t>1594682874405560323</t>
  </si>
  <si>
    <t>1630621500184182809</t>
  </si>
  <si>
    <t>1417249249843195910</t>
  </si>
  <si>
    <t>1681729719144726533</t>
  </si>
  <si>
    <t>1671211483194089472</t>
  </si>
  <si>
    <t>1660542860582871040</t>
  </si>
  <si>
    <t>1434822505047412742</t>
  </si>
  <si>
    <t>1138486581986283523</t>
  </si>
  <si>
    <t>1591404463725711361</t>
  </si>
  <si>
    <t>1623605371532152832</t>
  </si>
  <si>
    <t>1580164279336112128</t>
  </si>
  <si>
    <t>1257319180845498373</t>
  </si>
  <si>
    <t>1697968397160505347</t>
  </si>
  <si>
    <t>795452166521634816</t>
  </si>
  <si>
    <t>832340075086278656</t>
  </si>
  <si>
    <t>1292909366996238336</t>
  </si>
  <si>
    <t>1539702587666178051</t>
  </si>
  <si>
    <t>1665794921935126528</t>
  </si>
  <si>
    <t>1602016902796255233</t>
  </si>
  <si>
    <t>1656282619145748483</t>
  </si>
  <si>
    <t>1658152357069242370</t>
  </si>
  <si>
    <t>1600599381367037953</t>
  </si>
  <si>
    <t>1322160349597106176</t>
  </si>
  <si>
    <t>1685005320467132416</t>
  </si>
  <si>
    <t>1057086748008873984</t>
  </si>
  <si>
    <t>1670086879197233152</t>
  </si>
  <si>
    <t>1593058206766465025</t>
  </si>
  <si>
    <t>1622021379922042880</t>
  </si>
  <si>
    <t>1584184312135573505</t>
  </si>
  <si>
    <t>1699103764064473088</t>
  </si>
  <si>
    <t>1518724419035750400</t>
  </si>
  <si>
    <t>1346962955460603904</t>
  </si>
  <si>
    <t>1661545412233244672</t>
  </si>
  <si>
    <t>1700260053566029824</t>
  </si>
  <si>
    <t>1672584778837573635</t>
  </si>
  <si>
    <t>1303853675467673600</t>
  </si>
  <si>
    <t>1645961122183274496</t>
  </si>
  <si>
    <t>1619425160846622720</t>
  </si>
  <si>
    <t>1586732404278005760</t>
  </si>
  <si>
    <t>1242722068342374400</t>
  </si>
  <si>
    <t>1671849358138982401</t>
  </si>
  <si>
    <t>1659350244222533634</t>
  </si>
  <si>
    <t>1596095089708863488</t>
  </si>
  <si>
    <t>1316841699164000257</t>
  </si>
  <si>
    <t>1666412378173370369</t>
  </si>
  <si>
    <t>1681076068197752832</t>
  </si>
  <si>
    <t>1518767423083659266</t>
  </si>
  <si>
    <t>1456429251536859145</t>
  </si>
  <si>
    <t>1368611088485519368</t>
  </si>
  <si>
    <t>1605549701151039491</t>
  </si>
  <si>
    <t>1602364510228123648</t>
  </si>
  <si>
    <t>1381674252395499523</t>
  </si>
  <si>
    <t>1555676870607257603</t>
  </si>
  <si>
    <t>1649450890183467008</t>
  </si>
  <si>
    <t>1652085341321347074</t>
  </si>
  <si>
    <t>1405210708313264136</t>
  </si>
  <si>
    <t>1652460764211421184</t>
  </si>
  <si>
    <t>1008463339431874560</t>
  </si>
  <si>
    <t>1487473055244947457</t>
  </si>
  <si>
    <t>1619499002705092608</t>
  </si>
  <si>
    <t>1635628163450404867</t>
  </si>
  <si>
    <t>1371240767524646913</t>
  </si>
  <si>
    <t>1626444514406588416</t>
  </si>
  <si>
    <t>1637996377664880644</t>
  </si>
  <si>
    <t>1680624127822929921</t>
  </si>
  <si>
    <t>1368991533622583299</t>
  </si>
  <si>
    <t>1585724617783664640</t>
  </si>
  <si>
    <t>1387247964838670339</t>
  </si>
  <si>
    <t>1630256759842521088</t>
  </si>
  <si>
    <t>1664422953847517185</t>
  </si>
  <si>
    <t>1687530340322050049</t>
  </si>
  <si>
    <t>1650931853145022473</t>
  </si>
  <si>
    <t>1400501595985620999</t>
  </si>
  <si>
    <t>1659607276049645571</t>
  </si>
  <si>
    <t>1459591192992264195</t>
  </si>
  <si>
    <t>1670540509125672961</t>
  </si>
  <si>
    <t>1122806151077171200</t>
  </si>
  <si>
    <t>1595942419605979138</t>
  </si>
  <si>
    <t>1643627487862169603</t>
  </si>
  <si>
    <t>1250487151231406081</t>
  </si>
  <si>
    <t>1062399061851103233</t>
  </si>
  <si>
    <t>1689419869530345472</t>
  </si>
  <si>
    <t>1550064475402866690</t>
  </si>
  <si>
    <t>1269764070703497219</t>
  </si>
  <si>
    <t>1478734211905466370</t>
  </si>
  <si>
    <t>1576705209635639297</t>
  </si>
  <si>
    <t>1445407775270522894</t>
  </si>
  <si>
    <t>1041724956839698433</t>
  </si>
  <si>
    <t>938369859422969856</t>
  </si>
  <si>
    <t>1338872901659922433</t>
  </si>
  <si>
    <t>1299788021257187329</t>
  </si>
  <si>
    <t>1576599189949128706</t>
  </si>
  <si>
    <t>1607367356136685576</t>
  </si>
  <si>
    <t>1625845266753396737</t>
  </si>
  <si>
    <t>1697719817610866688</t>
  </si>
  <si>
    <t>1514633860172107776</t>
  </si>
  <si>
    <t>788093130876809216</t>
  </si>
  <si>
    <t>1557556042095001607</t>
  </si>
  <si>
    <t>1329388236519727105</t>
  </si>
  <si>
    <t>1662117917805236226</t>
  </si>
  <si>
    <t>1594440967104233474</t>
  </si>
  <si>
    <t>1685359607059722240</t>
  </si>
  <si>
    <t>1560325570503884811</t>
  </si>
  <si>
    <t>1490042575243386882</t>
  </si>
  <si>
    <t>1592344353967689729</t>
  </si>
  <si>
    <t>1630361452438515714</t>
  </si>
  <si>
    <t>1589581279686758400</t>
  </si>
  <si>
    <t>1525194394193772546</t>
  </si>
  <si>
    <t>1681315016220491777</t>
  </si>
  <si>
    <t>1669329776870412293</t>
  </si>
  <si>
    <t>1586358547515904000</t>
  </si>
  <si>
    <t>1541926707917164545</t>
  </si>
  <si>
    <t>1632707230091886594</t>
  </si>
  <si>
    <t>1590393303161344000</t>
  </si>
  <si>
    <t>1699580346038140929</t>
  </si>
  <si>
    <t>1648195938618421250</t>
  </si>
  <si>
    <t>1647657073973313536</t>
  </si>
  <si>
    <t>1459660972575047682</t>
  </si>
  <si>
    <t>1496933378272206853</t>
  </si>
  <si>
    <t>1454801360168366080</t>
  </si>
  <si>
    <t>970681300788088832</t>
  </si>
  <si>
    <t>1587579546068467716</t>
  </si>
  <si>
    <t>1684319036291571712</t>
  </si>
  <si>
    <t>1643092762995179520</t>
  </si>
  <si>
    <t>1648479447765635073</t>
  </si>
  <si>
    <t>852485663144513536</t>
  </si>
  <si>
    <t>1631018036021927937</t>
  </si>
  <si>
    <t>1121181531593113601</t>
  </si>
  <si>
    <t>1508284864994365448</t>
  </si>
  <si>
    <t>1526622014043303937</t>
  </si>
  <si>
    <t>1460813369750044675</t>
  </si>
  <si>
    <t>1654686733957464065</t>
  </si>
  <si>
    <t>1687886167545466882</t>
  </si>
  <si>
    <t>1623114812170420224</t>
  </si>
  <si>
    <t>1314369710369243146</t>
  </si>
  <si>
    <t>1023393939267698690</t>
  </si>
  <si>
    <t>1629167718417981444</t>
  </si>
  <si>
    <t>1233538536428752898</t>
  </si>
  <si>
    <t>1588216033944510465</t>
  </si>
  <si>
    <t>1638258241585967114</t>
  </si>
  <si>
    <t>1624421427054084097</t>
  </si>
  <si>
    <t>1550092327284252672</t>
  </si>
  <si>
    <t>1638262937348349953</t>
  </si>
  <si>
    <t>1240847276538552323</t>
  </si>
  <si>
    <t>1614385587577921536</t>
  </si>
  <si>
    <t>1589744736658767872</t>
  </si>
  <si>
    <t>1686430714378485760</t>
  </si>
  <si>
    <t>1637861893896298515</t>
  </si>
  <si>
    <t>1605030444243763200</t>
  </si>
  <si>
    <t>1511110783345872900</t>
  </si>
  <si>
    <t>1654115831197073411</t>
  </si>
  <si>
    <t>1557824319283249152</t>
  </si>
  <si>
    <t>1164167411723112449</t>
  </si>
  <si>
    <t>1454905494380990465</t>
  </si>
  <si>
    <t>1600951619461455887</t>
  </si>
  <si>
    <t>1532173816188772355</t>
  </si>
  <si>
    <t>1691464044094562304</t>
  </si>
  <si>
    <t>1654619391491809280</t>
  </si>
  <si>
    <t>1575898488902238220</t>
  </si>
  <si>
    <t>1677303247264948225</t>
  </si>
  <si>
    <t>986437779440750592</t>
  </si>
  <si>
    <t>1646759375493529600</t>
  </si>
  <si>
    <t>1547739064865923074</t>
  </si>
  <si>
    <t>1624113168413753351</t>
  </si>
  <si>
    <t>1621190892538273794</t>
  </si>
  <si>
    <t>1409857885274787849</t>
  </si>
  <si>
    <t>1336016007274647554</t>
  </si>
  <si>
    <t>1675130387658407938</t>
  </si>
  <si>
    <t>1063188470317895681</t>
  </si>
  <si>
    <t>1605887103619010562</t>
  </si>
  <si>
    <t>1595198186620059648</t>
  </si>
  <si>
    <t>1692272919194238976</t>
  </si>
  <si>
    <t>1000020936152805376</t>
  </si>
  <si>
    <t>841621979790745601</t>
  </si>
  <si>
    <t>1654486411016282115</t>
  </si>
  <si>
    <t>1622723920276164614</t>
  </si>
  <si>
    <t>1014320174747578368</t>
  </si>
  <si>
    <t>1629836634102407169</t>
  </si>
  <si>
    <t>1568990731095752704</t>
  </si>
  <si>
    <t>1423436794289393666</t>
  </si>
  <si>
    <t>972892467220697091</t>
  </si>
  <si>
    <t>1528202277751750656</t>
  </si>
  <si>
    <t>1639966787105173506</t>
  </si>
  <si>
    <t>1701567630744670208</t>
  </si>
  <si>
    <t>721501118593961984</t>
  </si>
  <si>
    <t>848198577704886275</t>
  </si>
  <si>
    <t>1686155782478336000</t>
  </si>
  <si>
    <t>929375991125995520</t>
  </si>
  <si>
    <t>1509332825929129984</t>
  </si>
  <si>
    <t>841661582820179968</t>
  </si>
  <si>
    <t>1669914575876104194</t>
  </si>
  <si>
    <t>1574364698119634944</t>
  </si>
  <si>
    <t>1641230349106544644</t>
  </si>
  <si>
    <t>1630014054705004544</t>
  </si>
  <si>
    <t>1669441480652476420</t>
  </si>
  <si>
    <t>908685002979905536</t>
  </si>
  <si>
    <t>1186711104967397381</t>
  </si>
  <si>
    <t>1583448007160340487</t>
  </si>
  <si>
    <t>1700578475025788928</t>
  </si>
  <si>
    <t>1687461877100486656</t>
  </si>
  <si>
    <t>1707026083088891904</t>
  </si>
  <si>
    <t>1607195204569677825</t>
  </si>
  <si>
    <t>1609508119800840192</t>
  </si>
  <si>
    <t>1433409580411785222</t>
  </si>
  <si>
    <t>1667483111062482945</t>
  </si>
  <si>
    <t>1649372386871918593</t>
  </si>
  <si>
    <t>1166432427839033344</t>
  </si>
  <si>
    <t>1479865459130474507</t>
  </si>
  <si>
    <t>1621608323391815680</t>
  </si>
  <si>
    <t>853285919134277633</t>
  </si>
  <si>
    <t>1686113957994524672</t>
  </si>
  <si>
    <t>1613160011420635146</t>
  </si>
  <si>
    <t>1636484592365457409</t>
  </si>
  <si>
    <t>1495232786751438853</t>
  </si>
  <si>
    <t>1650534658583539713</t>
  </si>
  <si>
    <t>1646240710218207235</t>
  </si>
  <si>
    <t>1684621314999382016</t>
  </si>
  <si>
    <t>1702836216058482688</t>
  </si>
  <si>
    <t>1634435267560914944</t>
  </si>
  <si>
    <t>1632447388383150082</t>
  </si>
  <si>
    <t>1658299771834990593</t>
  </si>
  <si>
    <t>1687615879574351873</t>
  </si>
  <si>
    <t>1693737085784522752</t>
  </si>
  <si>
    <t>1561691609909149697</t>
  </si>
  <si>
    <t>1025027139257729025</t>
  </si>
  <si>
    <t>1533774887252279297</t>
  </si>
  <si>
    <t>1561805335089876992</t>
  </si>
  <si>
    <t>1647084539628363777</t>
  </si>
  <si>
    <t>1417940380444680192</t>
  </si>
  <si>
    <t>1641051366872297473</t>
  </si>
  <si>
    <t>1368751608662745088</t>
  </si>
  <si>
    <t>1579822130845335553</t>
  </si>
  <si>
    <t>843193228732092416</t>
  </si>
  <si>
    <t>1598342929826938880</t>
  </si>
  <si>
    <t>1681836874594123779</t>
  </si>
  <si>
    <t>1261479961770196999</t>
  </si>
  <si>
    <t>1553132652496097281</t>
  </si>
  <si>
    <t>1636114254767050753</t>
  </si>
  <si>
    <t>1697723671329058816</t>
  </si>
  <si>
    <t>1594447087973736448</t>
  </si>
  <si>
    <t>1479589942451920896</t>
  </si>
  <si>
    <t>1572756366544052224</t>
  </si>
  <si>
    <t>1600703155578327041</t>
  </si>
  <si>
    <t>1400387469628030976</t>
  </si>
  <si>
    <t>1305283299565359104</t>
  </si>
  <si>
    <t>1357757238778200070</t>
  </si>
  <si>
    <t>1634570255753269251</t>
  </si>
  <si>
    <t>1245878615188922368</t>
  </si>
  <si>
    <t>1083538738381275136</t>
  </si>
  <si>
    <t>1208133638254157824</t>
  </si>
  <si>
    <t>1640515525125054465</t>
  </si>
  <si>
    <t>1605763930344853510</t>
  </si>
  <si>
    <t>1516662765527748611</t>
  </si>
  <si>
    <t>1491567259042648066</t>
  </si>
  <si>
    <t>1660134371385327621</t>
  </si>
  <si>
    <t>1654738881206419456</t>
  </si>
  <si>
    <t>1570934663446683649</t>
  </si>
  <si>
    <t>1609139928935370755</t>
  </si>
  <si>
    <t>1555740155440291841</t>
  </si>
  <si>
    <t>1681672133779267584</t>
  </si>
  <si>
    <t>1615466333692469258</t>
  </si>
  <si>
    <t>1627030338378809349</t>
  </si>
  <si>
    <t>1474388008069738497</t>
  </si>
  <si>
    <t>944694697863405568</t>
  </si>
  <si>
    <t>1683602377557803008</t>
  </si>
  <si>
    <t>1545742091023679488</t>
  </si>
  <si>
    <t>1703077602011795456</t>
  </si>
  <si>
    <t>1597347524930637826</t>
  </si>
  <si>
    <t>1323634988282191873</t>
  </si>
  <si>
    <t>1293173095667302400</t>
  </si>
  <si>
    <t>1510198786680922112</t>
  </si>
  <si>
    <t>1634766530591293440</t>
  </si>
  <si>
    <t>1654940114923974662</t>
  </si>
  <si>
    <t>1344495430088986624</t>
  </si>
  <si>
    <t>1695785378693722112</t>
  </si>
  <si>
    <t>1611399603617677312</t>
  </si>
  <si>
    <t>1168861327596642304</t>
  </si>
  <si>
    <t>1698015285515571200</t>
  </si>
  <si>
    <t>972883408786423808</t>
  </si>
  <si>
    <t>1615069264142024704</t>
  </si>
  <si>
    <t>1656844130297819136</t>
  </si>
  <si>
    <t>1656839647442489344</t>
  </si>
  <si>
    <t>1686522156874715136</t>
  </si>
  <si>
    <t>1582769920089231360</t>
  </si>
  <si>
    <t>1474419849304711176</t>
  </si>
  <si>
    <t>1352999854193209344</t>
  </si>
  <si>
    <t>1677348601003929601</t>
  </si>
  <si>
    <t>1222943466423975936</t>
  </si>
  <si>
    <t>1614332974815641600</t>
  </si>
  <si>
    <t>1681699273094594569</t>
  </si>
  <si>
    <t>1215503405596184578</t>
  </si>
  <si>
    <t>996169231849918465</t>
  </si>
  <si>
    <t>1637429235974299648</t>
  </si>
  <si>
    <t>1371326295158661124</t>
  </si>
  <si>
    <t>1628179051981557760</t>
  </si>
  <si>
    <t>1644456454953267201</t>
  </si>
  <si>
    <t>1651084050482835458</t>
  </si>
  <si>
    <t>1643817449874391040</t>
  </si>
  <si>
    <t>1685833903171313664</t>
  </si>
  <si>
    <t>1685736119474786304</t>
  </si>
  <si>
    <t>1620620575562399746</t>
  </si>
  <si>
    <t>1261058913664892931</t>
  </si>
  <si>
    <t>1503744083252101123</t>
  </si>
  <si>
    <t>1482062956548562946</t>
  </si>
  <si>
    <t>1612469315999072256</t>
  </si>
  <si>
    <t>1604881690756800513</t>
  </si>
  <si>
    <t>1450863300531609606</t>
  </si>
  <si>
    <t>1575258443270787077</t>
  </si>
  <si>
    <t>1611041208012312577</t>
  </si>
  <si>
    <t>1643741359398944774</t>
  </si>
  <si>
    <t>973234799358988289</t>
  </si>
  <si>
    <t>898963867774181377</t>
  </si>
  <si>
    <t>1465836039956840449</t>
  </si>
  <si>
    <t>1589979591023673344</t>
  </si>
  <si>
    <t>1567671335513460736</t>
  </si>
  <si>
    <t>1686461388733005827</t>
  </si>
  <si>
    <t>1606277939481513985</t>
  </si>
  <si>
    <t>1455249013943439362</t>
  </si>
  <si>
    <t>1637929968687513605</t>
  </si>
  <si>
    <t>1445153161401016323</t>
  </si>
  <si>
    <t>1532386576105357314</t>
  </si>
  <si>
    <t>1684012417187995649</t>
  </si>
  <si>
    <t>1639621364632940544</t>
  </si>
  <si>
    <t>1572633013607075841</t>
  </si>
  <si>
    <t>1698533227873423360</t>
  </si>
  <si>
    <t>1476912410686640129</t>
  </si>
  <si>
    <t>1095454173162889216</t>
  </si>
  <si>
    <t>1457503002613403651</t>
  </si>
  <si>
    <t>1233240956582973440</t>
  </si>
  <si>
    <t>1645774656383623169</t>
  </si>
  <si>
    <t>1641813863581491201</t>
  </si>
  <si>
    <t>1691963472916127744</t>
  </si>
  <si>
    <t>1682157208887336963</t>
  </si>
  <si>
    <t>1322269788194877442</t>
  </si>
  <si>
    <t>1655269457147600896</t>
  </si>
  <si>
    <t>1632064224741449734</t>
  </si>
  <si>
    <t>1654513995104104449</t>
  </si>
  <si>
    <t>1596670411927916551</t>
  </si>
  <si>
    <t>1458067770806083588</t>
  </si>
  <si>
    <t>1639737308206317568</t>
  </si>
  <si>
    <t>1054861559296675841</t>
  </si>
  <si>
    <t>1472712826141749250</t>
  </si>
  <si>
    <t>1703221795225001984</t>
  </si>
  <si>
    <t>1621156398867570700</t>
  </si>
  <si>
    <t>1634664848687521792</t>
  </si>
  <si>
    <t>1478450029337665538</t>
  </si>
  <si>
    <t>1366868671294042117</t>
  </si>
  <si>
    <t>1645623147998113796</t>
  </si>
  <si>
    <t>1204451137912528897</t>
  </si>
  <si>
    <t>864524338686545921</t>
  </si>
  <si>
    <t>1702739011691741184</t>
  </si>
  <si>
    <t>1659819750434697216</t>
  </si>
  <si>
    <t>1467889183335370756</t>
  </si>
  <si>
    <t>1630213364151361537</t>
  </si>
  <si>
    <t>1346522882801868800</t>
  </si>
  <si>
    <t>1637195904741515265</t>
  </si>
  <si>
    <t>1664802104299466753</t>
  </si>
  <si>
    <t>1611395527932772353</t>
  </si>
  <si>
    <t>1638929654609330178</t>
  </si>
  <si>
    <t>887432414972301313</t>
  </si>
  <si>
    <t>1645967551141216258</t>
  </si>
  <si>
    <t>1440712853728555009</t>
  </si>
  <si>
    <t>1705626061575208960</t>
  </si>
  <si>
    <t>1647023513117622272</t>
  </si>
  <si>
    <t>1351693776574672899</t>
  </si>
  <si>
    <t>1587937191266770945</t>
  </si>
  <si>
    <t>1660757349080899584</t>
  </si>
  <si>
    <t>1689464926551547904</t>
  </si>
  <si>
    <t>1514739975165775880</t>
  </si>
  <si>
    <t>1087431086899113986</t>
  </si>
  <si>
    <t>1464735464917811201</t>
  </si>
  <si>
    <t>1508949787009290244</t>
  </si>
  <si>
    <t>1649884337272246272</t>
  </si>
  <si>
    <t>1601223966475141123</t>
  </si>
  <si>
    <t>1662270660817702912</t>
  </si>
  <si>
    <t>1657330922998382593</t>
  </si>
  <si>
    <t>1426632281658175492</t>
  </si>
  <si>
    <t>1054721544767844353</t>
  </si>
  <si>
    <t>1546654763844001792</t>
  </si>
  <si>
    <t>1698177024840409088</t>
  </si>
  <si>
    <t>1674551834323607557</t>
  </si>
  <si>
    <t>1625144176605032449</t>
  </si>
  <si>
    <t>1620875889817882625</t>
  </si>
  <si>
    <t>1354235122443292673</t>
  </si>
  <si>
    <t>1624070696602157056</t>
  </si>
  <si>
    <t>1124182565592752128</t>
  </si>
  <si>
    <t>1428783054898745350</t>
  </si>
  <si>
    <t>912491987718279168</t>
  </si>
  <si>
    <t>1572743018070917120</t>
  </si>
  <si>
    <t>1648013790619770898</t>
  </si>
  <si>
    <t>1639662558813487104</t>
  </si>
  <si>
    <t>1655040454574891010</t>
  </si>
  <si>
    <t>1577831711844585472</t>
  </si>
  <si>
    <t>1290445573477347328</t>
  </si>
  <si>
    <t>1673449911843471362</t>
  </si>
  <si>
    <t>1559877545671155712</t>
  </si>
  <si>
    <t>1513569616190185473</t>
  </si>
  <si>
    <t>1631665534172364801</t>
  </si>
  <si>
    <t>1696371225730093056</t>
  </si>
  <si>
    <t>1678092666985234433</t>
  </si>
  <si>
    <t>1382136386720034826</t>
  </si>
  <si>
    <t>1487909512342343687</t>
  </si>
  <si>
    <t>1175770157391781890</t>
  </si>
  <si>
    <t>1660305223628324864</t>
  </si>
  <si>
    <t>1314353538349363206</t>
  </si>
  <si>
    <t>789150181522571264</t>
  </si>
  <si>
    <t>1268973775095238668</t>
  </si>
  <si>
    <t>1638660737928163328</t>
  </si>
  <si>
    <t>799809840554135552</t>
  </si>
  <si>
    <t>1647035406712446976</t>
  </si>
  <si>
    <t>1518715252761841666</t>
  </si>
  <si>
    <t>1643040276787724289</t>
  </si>
  <si>
    <t>1694086446498414594</t>
  </si>
  <si>
    <t>1426390286234800128</t>
  </si>
  <si>
    <t>1653762249813635073</t>
  </si>
  <si>
    <t>885871258134614016</t>
  </si>
  <si>
    <t>1247383113027801088</t>
  </si>
  <si>
    <t>1502780073954455556</t>
  </si>
  <si>
    <t>1218363417079304192</t>
  </si>
  <si>
    <t>1679112176823304193</t>
  </si>
  <si>
    <t>1617718404659519488</t>
  </si>
  <si>
    <t>1672028403602432001</t>
  </si>
  <si>
    <t>1082671273124212736</t>
  </si>
  <si>
    <t>1435197297286074373</t>
  </si>
  <si>
    <t>1157366179775823872</t>
  </si>
  <si>
    <t>1668964729602072576</t>
  </si>
  <si>
    <t>1492138737354121219</t>
  </si>
  <si>
    <t>1633605186823258112</t>
  </si>
  <si>
    <t>1609966005656211467</t>
  </si>
  <si>
    <t>1651278979821715497</t>
  </si>
  <si>
    <t>1417542239841103875</t>
  </si>
  <si>
    <t>1630199538530021377</t>
  </si>
  <si>
    <t>1471928629445730311</t>
  </si>
  <si>
    <t>1576438977653088256</t>
  </si>
  <si>
    <t>894883928292691968</t>
  </si>
  <si>
    <t>1617602488475033601</t>
  </si>
  <si>
    <t>1387884497493020681</t>
  </si>
  <si>
    <t>1686075625692413954</t>
  </si>
  <si>
    <t>1639344233281728513</t>
  </si>
  <si>
    <t>1646634203209973760</t>
  </si>
  <si>
    <t>1645438631274766337</t>
  </si>
  <si>
    <t>1665452471089545216</t>
  </si>
  <si>
    <t>1691803665684672512</t>
  </si>
  <si>
    <t>1659277307108814857</t>
  </si>
  <si>
    <t>1145377675785252864</t>
  </si>
  <si>
    <t>906048019300265985</t>
  </si>
  <si>
    <t>1182420770850529281</t>
  </si>
  <si>
    <t>1695775011364036608</t>
  </si>
  <si>
    <t>1639234174665064451</t>
  </si>
  <si>
    <t>1520005172801454081</t>
  </si>
  <si>
    <t>1687460564723695617</t>
  </si>
  <si>
    <t>1624924407180279809</t>
  </si>
  <si>
    <t>1497191461615509513</t>
  </si>
  <si>
    <t>1670541352973611008</t>
  </si>
  <si>
    <t>1506081705265934337</t>
  </si>
  <si>
    <t>1623751337715310595</t>
  </si>
  <si>
    <t>1656796477874659328</t>
  </si>
  <si>
    <t>1674132815842103300</t>
  </si>
  <si>
    <t>1613219659888660493</t>
  </si>
  <si>
    <t>1514416355864363016</t>
  </si>
  <si>
    <t>968884402687180802</t>
  </si>
  <si>
    <t>1684024195414458369</t>
  </si>
  <si>
    <t>1626670354193080336</t>
  </si>
  <si>
    <t>1610657672612745217</t>
  </si>
  <si>
    <t>1648325191871676424</t>
  </si>
  <si>
    <t>1640481070784077826</t>
  </si>
  <si>
    <t>1589957164063408129</t>
  </si>
  <si>
    <t>1585195570125148162</t>
  </si>
  <si>
    <t>1412377522248028167</t>
  </si>
  <si>
    <t>1186773936194895873</t>
  </si>
  <si>
    <t>1428355363166822416</t>
  </si>
  <si>
    <t>1485559708488454145</t>
  </si>
  <si>
    <t>1627356375788429316</t>
  </si>
  <si>
    <t>1652080887146708994</t>
  </si>
  <si>
    <t>1224071505740550144</t>
  </si>
  <si>
    <t>1334304930182688768</t>
  </si>
  <si>
    <t>1620840494392541186</t>
  </si>
  <si>
    <t>745113423759839232</t>
  </si>
  <si>
    <t>1616921148133937157</t>
  </si>
  <si>
    <t>1573828475152207873</t>
  </si>
  <si>
    <t>1686269979786620928</t>
  </si>
  <si>
    <t>1635713282282594305</t>
  </si>
  <si>
    <t>1632100387825106947</t>
  </si>
  <si>
    <t>1599479315191812096</t>
  </si>
  <si>
    <t>1504097730519609356</t>
  </si>
  <si>
    <t>952620805946531842</t>
  </si>
  <si>
    <t>1671185359621824514</t>
  </si>
  <si>
    <t>1679403094264754176</t>
  </si>
  <si>
    <t>1697173495069671424</t>
  </si>
  <si>
    <t>1674215089526767617</t>
  </si>
  <si>
    <t>1612877648509734925</t>
  </si>
  <si>
    <t>1624810893530767362</t>
  </si>
  <si>
    <t>1668640082561990657</t>
  </si>
  <si>
    <t>1660336659706130440</t>
  </si>
  <si>
    <t>1665727145774047234</t>
  </si>
  <si>
    <t>1560989534988472322</t>
  </si>
  <si>
    <t>1640733596720799744</t>
  </si>
  <si>
    <t>1600897378227294209</t>
  </si>
  <si>
    <t>1606381586773168134</t>
  </si>
  <si>
    <t>1651024796786851841</t>
  </si>
  <si>
    <t>1476696633010270209</t>
  </si>
  <si>
    <t>1685776951535890432</t>
  </si>
  <si>
    <t>1574549118495690753</t>
  </si>
  <si>
    <t>1613254832021819392</t>
  </si>
  <si>
    <t>1637892544330604569</t>
  </si>
  <si>
    <t>1698511120003145728</t>
  </si>
  <si>
    <t>1664755391178104832</t>
  </si>
  <si>
    <t>1559954049247678466</t>
  </si>
  <si>
    <t>1665913665466368003</t>
  </si>
  <si>
    <t>1628730894079885319</t>
  </si>
  <si>
    <t>1524128838095101957</t>
  </si>
  <si>
    <t>1639989846851690496</t>
  </si>
  <si>
    <t>1604068811514302466</t>
  </si>
  <si>
    <t>1631776856708972547</t>
  </si>
  <si>
    <t>1367872069610921992</t>
  </si>
  <si>
    <t>1595911140353220608</t>
  </si>
  <si>
    <t>1507083919111434240</t>
  </si>
  <si>
    <t>1662136000456404993</t>
  </si>
  <si>
    <t>1605880885106073601</t>
  </si>
  <si>
    <t>1584046410026176512</t>
  </si>
  <si>
    <t>1395448514939965441</t>
  </si>
  <si>
    <t>1113571388181368833</t>
  </si>
  <si>
    <t>1614002412309696530</t>
  </si>
  <si>
    <t>1627998638147309570</t>
  </si>
  <si>
    <t>1623425175277518850</t>
  </si>
  <si>
    <t>1503378048531501058</t>
  </si>
  <si>
    <t>1655367774842003456</t>
  </si>
  <si>
    <t>card://1638357406844432385</t>
  </si>
  <si>
    <t>Compro sempre : 0
Tenho medo : 0</t>
  </si>
  <si>
    <t>2023-03-23T01:50:19Z</t>
  </si>
  <si>
    <t>Closed</t>
  </si>
  <si>
    <t>Name</t>
  </si>
  <si>
    <t>User ID</t>
  </si>
  <si>
    <t>Followers</t>
  </si>
  <si>
    <t>Followed</t>
  </si>
  <si>
    <t>Tweets</t>
  </si>
  <si>
    <t>Listed Count</t>
  </si>
  <si>
    <t>Favourites Count</t>
  </si>
  <si>
    <t>Media Count</t>
  </si>
  <si>
    <t>Verified</t>
  </si>
  <si>
    <t>Joined Twitter Date (UTC)</t>
  </si>
  <si>
    <t>Location</t>
  </si>
  <si>
    <t>Description</t>
  </si>
  <si>
    <t>URLs (Details)</t>
  </si>
  <si>
    <t>Expanded URLs (Details)</t>
  </si>
  <si>
    <t>Display URLs (Details)</t>
  </si>
  <si>
    <t>Description URLs (Details)</t>
  </si>
  <si>
    <t>Description Expanded URLs (Details)</t>
  </si>
  <si>
    <t>Description Display URLS (Details)</t>
  </si>
  <si>
    <t>Pinned Tweet ID</t>
  </si>
  <si>
    <t>URL</t>
  </si>
  <si>
    <t>Is Blue Verified</t>
  </si>
  <si>
    <t>You Are Followed By</t>
  </si>
  <si>
    <t>You Are Following</t>
  </si>
  <si>
    <t>Can DM</t>
  </si>
  <si>
    <t>Can Media Tag</t>
  </si>
  <si>
    <t>Default Profile</t>
  </si>
  <si>
    <t>Default Profile Image</t>
  </si>
  <si>
    <t>Has Custom Timelines</t>
  </si>
  <si>
    <t>Is Translator</t>
  </si>
  <si>
    <t>Profile Banner URL</t>
  </si>
  <si>
    <t>Profile Interstitial Type</t>
  </si>
  <si>
    <t>Translator Type</t>
  </si>
  <si>
    <t>Want Retweets</t>
  </si>
  <si>
    <t>Withheld</t>
  </si>
  <si>
    <t>Tweeted Search Term?</t>
  </si>
  <si>
    <t>Custom Menu Item Text</t>
  </si>
  <si>
    <t>Custom Menu Item Action</t>
  </si>
  <si>
    <t>Ademir Santos</t>
  </si>
  <si>
    <t>Daiy Marketing Oficial</t>
  </si>
  <si>
    <t>Djiani</t>
  </si>
  <si>
    <t>Angelo</t>
  </si>
  <si>
    <t>@Cochichou</t>
  </si>
  <si>
    <t>Michelle Duarte</t>
  </si>
  <si>
    <t>Ações Importam</t>
  </si>
  <si>
    <t>Renda Extra sem vender</t>
  </si>
  <si>
    <t>Ajudando Ganhar dinheiro</t>
  </si>
  <si>
    <t>Matheus mff</t>
  </si>
  <si>
    <t>Leidiane Corteze</t>
  </si>
  <si>
    <t>jc motorista Uber</t>
  </si>
  <si>
    <t>digitalboost</t>
  </si>
  <si>
    <t>Apenas Negócios</t>
  </si>
  <si>
    <t>Debora Assessoria</t>
  </si>
  <si>
    <t>Bitcoin &amp; Cash</t>
  </si>
  <si>
    <t>Eduardo Araújo.'.</t>
  </si>
  <si>
    <t>Felipe Neto 🦉</t>
  </si>
  <si>
    <t>TV Cultura</t>
  </si>
  <si>
    <t>Daniel Guidotti Silva</t>
  </si>
  <si>
    <t>YouTube</t>
  </si>
  <si>
    <t>Leilão Descomplicado</t>
  </si>
  <si>
    <t>Adriana Darc MKT</t>
  </si>
  <si>
    <t>DaniCardona @danicardonad2c</t>
  </si>
  <si>
    <t>Tessy Mártïñs</t>
  </si>
  <si>
    <t>Anjo do Alsfalto 13</t>
  </si>
  <si>
    <t>Raiam Sabe Tudo</t>
  </si>
  <si>
    <t>Pamela Valladares</t>
  </si>
  <si>
    <t>Investing Cripto</t>
  </si>
  <si>
    <t>insta:@vaneessacunha 🌸💜</t>
  </si>
  <si>
    <t>𝔖𝔲𝔷𝔞𝔫𝔫𝔞</t>
  </si>
  <si>
    <t>Viviane Gualberto</t>
  </si>
  <si>
    <t>iza slot</t>
  </si>
  <si>
    <t>wesley Bezerra</t>
  </si>
  <si>
    <t>вечера</t>
  </si>
  <si>
    <t>Vida Em Movimento</t>
  </si>
  <si>
    <t>Onetap Tips 🎮⚽️💵</t>
  </si>
  <si>
    <t>Cristãos</t>
  </si>
  <si>
    <t>Ideias para Renda Extra Hoje</t>
  </si>
  <si>
    <t>Clayton Moraes</t>
  </si>
  <si>
    <t>Bruno Avena</t>
  </si>
  <si>
    <t>Leonardo Sousa</t>
  </si>
  <si>
    <t>Amanda Vieira</t>
  </si>
  <si>
    <t>Lisa B Nelson</t>
  </si>
  <si>
    <t>fortune tiger</t>
  </si>
  <si>
    <t>Gabriela Vieira</t>
  </si>
  <si>
    <t>TopBets Live </t>
  </si>
  <si>
    <t>Clarice Vargas</t>
  </si>
  <si>
    <t>Af_Liberdade_Financeira</t>
  </si>
  <si>
    <t>Futuraflow</t>
  </si>
  <si>
    <t>Evelin Soares</t>
  </si>
  <si>
    <t>André Silva</t>
  </si>
  <si>
    <t>Academia do Dinheiro</t>
  </si>
  <si>
    <t>pizza &amp; rivotril</t>
  </si>
  <si>
    <t>victor sarro</t>
  </si>
  <si>
    <t>CAIU NA NET XXX🔞</t>
  </si>
  <si>
    <t>LúDigiatal</t>
  </si>
  <si>
    <t>DigiWave Shop</t>
  </si>
  <si>
    <t>Vinicius - Pingando na Conta</t>
  </si>
  <si>
    <t>Ratão insights</t>
  </si>
  <si>
    <t>milcoisas</t>
  </si>
  <si>
    <t>Purple 💜</t>
  </si>
  <si>
    <t>MJovem Empreendedor🟢</t>
  </si>
  <si>
    <t>👑DIONATAN WILLIAN👑</t>
  </si>
  <si>
    <t>Fábio Santana</t>
  </si>
  <si>
    <t>Jzd vendas</t>
  </si>
  <si>
    <t>Valeria Silva</t>
  </si>
  <si>
    <t>Elian Mateus</t>
  </si>
  <si>
    <t>Welington Pecoraro</t>
  </si>
  <si>
    <t>Jornal Contábil</t>
  </si>
  <si>
    <t>Júnior Oliviera</t>
  </si>
  <si>
    <t>Fernanda França</t>
  </si>
  <si>
    <t>TIGER BR.</t>
  </si>
  <si>
    <t>SidyRomero</t>
  </si>
  <si>
    <t>elp</t>
  </si>
  <si>
    <t>Siméia Veloso</t>
  </si>
  <si>
    <t>𝖂𝖆𝖓𝖓𝖆𝕮𝖗𝖞.𝖊𝖝𝖊</t>
  </si>
  <si>
    <t>Gecko Cripto</t>
  </si>
  <si>
    <t>Karinamkt17</t>
  </si>
  <si>
    <t>Elias Barouh Abdon</t>
  </si>
  <si>
    <t>Maike Fagundes</t>
  </si>
  <si>
    <t>Empreendedor digital</t>
  </si>
  <si>
    <t>thebaron</t>
  </si>
  <si>
    <t>jftips</t>
  </si>
  <si>
    <t>Wesley Costa</t>
  </si>
  <si>
    <t>Como Ganhar Dinheiro em Casa</t>
  </si>
  <si>
    <t>Vamos Prosperar Na Web</t>
  </si>
  <si>
    <t>angra2reis.com.br</t>
  </si>
  <si>
    <t>jonasfershut 🐚</t>
  </si>
  <si>
    <t>esquece.com.br</t>
  </si>
  <si>
    <t>Antonia</t>
  </si>
  <si>
    <t>Capitalizando_360</t>
  </si>
  <si>
    <t>GIOVANI ANDRÉ DOMINGUES</t>
  </si>
  <si>
    <t>Emerson Matos</t>
  </si>
  <si>
    <t>Tony Plr</t>
  </si>
  <si>
    <t>Cz.nogueira</t>
  </si>
  <si>
    <t>Daniella Oliveira</t>
  </si>
  <si>
    <t>Maria Alves</t>
  </si>
  <si>
    <t>Valter Neto</t>
  </si>
  <si>
    <t>Sempre ganha</t>
  </si>
  <si>
    <t>Camilla Raem / Camilla Impera</t>
  </si>
  <si>
    <t>MANRO.py</t>
  </si>
  <si>
    <t>_gusta.mkt</t>
  </si>
  <si>
    <t>Francisco play</t>
  </si>
  <si>
    <t>🤌🏻</t>
  </si>
  <si>
    <t>Fê</t>
  </si>
  <si>
    <t>Moça do crochê</t>
  </si>
  <si>
    <t>Elcio Gomes</t>
  </si>
  <si>
    <t>Fronteira Livre</t>
  </si>
  <si>
    <t>𝔼𝕚𝕕 𝔼𝕞𝕒𝕟𝕦𝕖𝕝𝕝𝕪(๑•ᴗ•๑)♡</t>
  </si>
  <si>
    <t>Wjbetbr777</t>
  </si>
  <si>
    <t>OSomDoUnboxing</t>
  </si>
  <si>
    <t>Grupo Recupera Brasil</t>
  </si>
  <si>
    <t>Romario Gonçalves</t>
  </si>
  <si>
    <t>PL Nogueira - Plataformas Digitais</t>
  </si>
  <si>
    <t>Emily Shoerd</t>
  </si>
  <si>
    <t>Negão</t>
  </si>
  <si>
    <t>Daniela Carvalho</t>
  </si>
  <si>
    <t>montss💸💸</t>
  </si>
  <si>
    <t>mari</t>
  </si>
  <si>
    <t>Rodrigo Guimarães</t>
  </si>
  <si>
    <t>Tempo de Negocio</t>
  </si>
  <si>
    <t>Anaempreendeoraonline</t>
  </si>
  <si>
    <t>Sucessos Possíveis</t>
  </si>
  <si>
    <t>Papo pro Ar - Opiniao sobre tudo</t>
  </si>
  <si>
    <t>Outro Patamar</t>
  </si>
  <si>
    <t>Seu tempo em renda</t>
  </si>
  <si>
    <t>BZ Slots</t>
  </si>
  <si>
    <t>nico ☆</t>
  </si>
  <si>
    <t>Jorge Stolfi</t>
  </si>
  <si>
    <t>Iamclaraslot</t>
  </si>
  <si>
    <t>Julie ⚓</t>
  </si>
  <si>
    <t>Smoke</t>
  </si>
  <si>
    <t>MDG_Tips</t>
  </si>
  <si>
    <t>KHALEB BUENO</t>
  </si>
  <si>
    <t>Atimopay</t>
  </si>
  <si>
    <t>DICAS DA LOVEZINHA</t>
  </si>
  <si>
    <t>renda extra</t>
  </si>
  <si>
    <t>Emanuel Summers 🇧🇷</t>
  </si>
  <si>
    <t>dtcwb</t>
  </si>
  <si>
    <t>Hugo Costa</t>
  </si>
  <si>
    <t>Renda Extra 💴💲</t>
  </si>
  <si>
    <t>Paula E. Bezerra</t>
  </si>
  <si>
    <t>Milena Bucatte</t>
  </si>
  <si>
    <t>Bruno Henrique</t>
  </si>
  <si>
    <t>Trade Web Marketing Digital</t>
  </si>
  <si>
    <t>Natália</t>
  </si>
  <si>
    <t>FunnyBet Brasil</t>
  </si>
  <si>
    <t>mii</t>
  </si>
  <si>
    <t>Flor de Lis Distribu</t>
  </si>
  <si>
    <t>Daniele Anile</t>
  </si>
  <si>
    <t>Seven.eth</t>
  </si>
  <si>
    <t>Mary</t>
  </si>
  <si>
    <t>andrenegocios</t>
  </si>
  <si>
    <t>Rickware</t>
  </si>
  <si>
    <t>Alonso</t>
  </si>
  <si>
    <t>Rafa</t>
  </si>
  <si>
    <t>renda extra em dólar</t>
  </si>
  <si>
    <t>Nixin Marketing</t>
  </si>
  <si>
    <t>Eu, Marcelo</t>
  </si>
  <si>
    <t>Ionar Tiburcio</t>
  </si>
  <si>
    <t>Erika Natal Consultoria</t>
  </si>
  <si>
    <t>PH Andrade</t>
  </si>
  <si>
    <t>marketing digital/curso</t>
  </si>
  <si>
    <t>Edu</t>
  </si>
  <si>
    <t>Tiago Camargo Cantor</t>
  </si>
  <si>
    <t>Marketing Digital</t>
  </si>
  <si>
    <t>smashup.brazil</t>
  </si>
  <si>
    <t>maria</t>
  </si>
  <si>
    <t>Fabi ♒</t>
  </si>
  <si>
    <t>Leidi Maia</t>
  </si>
  <si>
    <t>Dicas de um adm</t>
  </si>
  <si>
    <t>Beatriz Sikeira</t>
  </si>
  <si>
    <t>Laércio Lobanco</t>
  </si>
  <si>
    <t>MobyGo Ribeirão Preto</t>
  </si>
  <si>
    <t>Ana da Grana</t>
  </si>
  <si>
    <t>Michele lopes</t>
  </si>
  <si>
    <t>lrneves</t>
  </si>
  <si>
    <t>Carlos Vieira Online</t>
  </si>
  <si>
    <t>CASAL ARRASTA PRA CIMA</t>
  </si>
  <si>
    <t>de Maceio</t>
  </si>
  <si>
    <t>Lucrar com Receitas</t>
  </si>
  <si>
    <t>Sara Garcia</t>
  </si>
  <si>
    <t>Slots</t>
  </si>
  <si>
    <t>Hebber Mascarenhas</t>
  </si>
  <si>
    <t>Trader Saed Rashid Investimentos digital</t>
  </si>
  <si>
    <t>Be Yours Co.</t>
  </si>
  <si>
    <t>Canal Qb - Cripto e Python</t>
  </si>
  <si>
    <t>Diogo F. Castilho</t>
  </si>
  <si>
    <t>卂ㄥㄥ乇卩卄 ◤✠◢</t>
  </si>
  <si>
    <t>comedi</t>
  </si>
  <si>
    <t>karentine</t>
  </si>
  <si>
    <t>Analisando com Jr</t>
  </si>
  <si>
    <t>Gato SabidoTV</t>
  </si>
  <si>
    <t>Diário de um Empreendedor</t>
  </si>
  <si>
    <t>Nova Era Lucrativa 🌎💸</t>
  </si>
  <si>
    <t>Irineu Berezanski</t>
  </si>
  <si>
    <t>Free Classificados</t>
  </si>
  <si>
    <t>Denison Cardoso</t>
  </si>
  <si>
    <t>Leonardo Vallone Buda</t>
  </si>
  <si>
    <t>João Bárretto</t>
  </si>
  <si>
    <t>Daiany Barros</t>
  </si>
  <si>
    <t>PRODUTOS ONLINE</t>
  </si>
  <si>
    <t>✞Louix✞</t>
  </si>
  <si>
    <t>Hotmart</t>
  </si>
  <si>
    <t>GRE'ENS_BETS PALPITES 🍀⚽️</t>
  </si>
  <si>
    <t>J&amp;S - Cursos &amp; treinamentos</t>
  </si>
  <si>
    <t>paraty.tv.br</t>
  </si>
  <si>
    <t>Andre Carvalho</t>
  </si>
  <si>
    <t>Lelouch Sincero🇺🇲🇯🇵</t>
  </si>
  <si>
    <t>Alice Santana</t>
  </si>
  <si>
    <t>ElosDuVale Recursos Humanos</t>
  </si>
  <si>
    <t>Junior Menezes</t>
  </si>
  <si>
    <t>W. Empresarial</t>
  </si>
  <si>
    <t>Monalisa de olheiras</t>
  </si>
  <si>
    <t>Sabrina</t>
  </si>
  <si>
    <t>Ariel Yaari</t>
  </si>
  <si>
    <t>Acelsio 💡🌐🚀💰</t>
  </si>
  <si>
    <t>Blog</t>
  </si>
  <si>
    <t>pagina_de_vendasofc</t>
  </si>
  <si>
    <t>Giih Salustiano 💕</t>
  </si>
  <si>
    <t>Ben.dicas</t>
  </si>
  <si>
    <t>maradanilo</t>
  </si>
  <si>
    <t>Maristela Dos Santos</t>
  </si>
  <si>
    <t>Portal R7.com</t>
  </si>
  <si>
    <t>PROMOS ,OFERTAS E CUPONS 🛍️🛒</t>
  </si>
  <si>
    <t>bia 🌻</t>
  </si>
  <si>
    <t>Bet Expo</t>
  </si>
  <si>
    <t>Vivianne Rodrigues</t>
  </si>
  <si>
    <t>guilherme</t>
  </si>
  <si>
    <t>Matheus Santos</t>
  </si>
  <si>
    <t>Descentraliza.club</t>
  </si>
  <si>
    <t>Lourival Magalhaes</t>
  </si>
  <si>
    <t>Programa Pânico</t>
  </si>
  <si>
    <t>RJ PES GAME</t>
  </si>
  <si>
    <t>Xtudo</t>
  </si>
  <si>
    <t>Dicas Domesticas</t>
  </si>
  <si>
    <t>Ganhar Dinheiro na Internet</t>
  </si>
  <si>
    <t>WISKTON</t>
  </si>
  <si>
    <t>Palpites do RuanFC</t>
  </si>
  <si>
    <t>Eduarda Helena da Silva</t>
  </si>
  <si>
    <t>Vera Vilela</t>
  </si>
  <si>
    <t>Stake Master 🛡</t>
  </si>
  <si>
    <t>Gabriel</t>
  </si>
  <si>
    <t>Artesanato Profissional</t>
  </si>
  <si>
    <t>ellay 🦇</t>
  </si>
  <si>
    <t>Rauni Ramos</t>
  </si>
  <si>
    <t>Kubeta</t>
  </si>
  <si>
    <t>Real 💜 #SeguroViagem</t>
  </si>
  <si>
    <t>Felixcat</t>
  </si>
  <si>
    <t>Produtos digitais e cia.</t>
  </si>
  <si>
    <t>Henrique Lallo Jaloto</t>
  </si>
  <si>
    <t>Adão Pontes | Marketing Digital</t>
  </si>
  <si>
    <t>Economista Everton Lopes</t>
  </si>
  <si>
    <t>Tomas yu</t>
  </si>
  <si>
    <t>Ganhe dinheiro na Páscoa</t>
  </si>
  <si>
    <t>Conteúdos Lgbt 🔞🏳️‍🌈</t>
  </si>
  <si>
    <t>DAVID DOS SANTOS</t>
  </si>
  <si>
    <t>Fragmentos do Céu</t>
  </si>
  <si>
    <t>Informa Balneário Camboriú</t>
  </si>
  <si>
    <t>Jaqueline Cunha</t>
  </si>
  <si>
    <t>Santa Que Peca</t>
  </si>
  <si>
    <t>Achadinhos &amp; Promoções</t>
  </si>
  <si>
    <t>BRABET - CASSINO MILIONÁRIO #APOSTA 🎰💸</t>
  </si>
  <si>
    <t>Gabriel Tips</t>
  </si>
  <si>
    <t>Diogo Azevedo</t>
  </si>
  <si>
    <t>Mercado Digital</t>
  </si>
  <si>
    <t>🖤</t>
  </si>
  <si>
    <t>Fredis Herrera</t>
  </si>
  <si>
    <t>gully</t>
  </si>
  <si>
    <t>.</t>
  </si>
  <si>
    <t>Distribuidor - Herbalife Nutrition</t>
  </si>
  <si>
    <t>Cassia Santos</t>
  </si>
  <si>
    <t>Milly | Jikook au📌</t>
  </si>
  <si>
    <t>Rogério Cardoso</t>
  </si>
  <si>
    <t>Mateus Duarte</t>
  </si>
  <si>
    <t>Shirley🦋</t>
  </si>
  <si>
    <t>MARCIOTEACHER (Crypto World)</t>
  </si>
  <si>
    <t>Dolarizando sua renda</t>
  </si>
  <si>
    <t>Fellipe Pinheiro</t>
  </si>
  <si>
    <t>beiçadas</t>
  </si>
  <si>
    <t>explica a crítica</t>
  </si>
  <si>
    <t>eu.lima</t>
  </si>
  <si>
    <t>Jovem Milion</t>
  </si>
  <si>
    <t>Prefeitura de Catanduva</t>
  </si>
  <si>
    <t>Mateada</t>
  </si>
  <si>
    <t>luluzinho</t>
  </si>
  <si>
    <t>@degmello</t>
  </si>
  <si>
    <t>ROSANA LORETTI</t>
  </si>
  <si>
    <t>Kleber_Bsb</t>
  </si>
  <si>
    <t>Juliana Aparecida da Silva Victor</t>
  </si>
  <si>
    <t>Geraldo_pt</t>
  </si>
  <si>
    <t>Nahida (packs do pes)</t>
  </si>
  <si>
    <t>juliana</t>
  </si>
  <si>
    <t>Buzz Byte</t>
  </si>
  <si>
    <t>thomas ^</t>
  </si>
  <si>
    <t>Fion</t>
  </si>
  <si>
    <t>empreendedorvisao</t>
  </si>
  <si>
    <t>🤑</t>
  </si>
  <si>
    <t>Tiago Costa</t>
  </si>
  <si>
    <t>Leticia oficial</t>
  </si>
  <si>
    <t>MOTIVADOR EXPERT 👑💸</t>
  </si>
  <si>
    <t>Carina C</t>
  </si>
  <si>
    <t>Paradise Beaches</t>
  </si>
  <si>
    <t>Freecash.com</t>
  </si>
  <si>
    <t>Agatha Cristie</t>
  </si>
  <si>
    <t>Notícias do Flamengo Hoje</t>
  </si>
  <si>
    <t>Link Nacional</t>
  </si>
  <si>
    <t>Talentos Rizoma</t>
  </si>
  <si>
    <t>Jefferson</t>
  </si>
  <si>
    <t>Marcelo</t>
  </si>
  <si>
    <t>Matias Mendes</t>
  </si>
  <si>
    <t>Rafael Santos 🌹</t>
  </si>
  <si>
    <t>🚀🚀</t>
  </si>
  <si>
    <t>@O REI DO MONEY</t>
  </si>
  <si>
    <t>Jonathas da Luz | Marketing Digital</t>
  </si>
  <si>
    <t>Agatha Lee Harper</t>
  </si>
  <si>
    <t>José Guilherme</t>
  </si>
  <si>
    <t>Carolina Bouvie</t>
  </si>
  <si>
    <t>yt100Limits</t>
  </si>
  <si>
    <t>DSB Negócios e carreira</t>
  </si>
  <si>
    <t>Phygital</t>
  </si>
  <si>
    <t>Joamot30</t>
  </si>
  <si>
    <t>Emanuel Vigarani</t>
  </si>
  <si>
    <t>Rogério Motta Ator</t>
  </si>
  <si>
    <t>Kwai Brasil</t>
  </si>
  <si>
    <t>edineia penido</t>
  </si>
  <si>
    <t>seu negocio online</t>
  </si>
  <si>
    <t>ada 💎🧚🏻‍♀️</t>
  </si>
  <si>
    <t>Roseane Ferreira</t>
  </si>
  <si>
    <t>MARKETING E EMPREENDEDORISMO</t>
  </si>
  <si>
    <t>Alisson rodney</t>
  </si>
  <si>
    <t>MyPix</t>
  </si>
  <si>
    <t>Beatriz Vahl</t>
  </si>
  <si>
    <t>Shelby Hype</t>
  </si>
  <si>
    <t>Md,Alamin Sheikh</t>
  </si>
  <si>
    <t>Val</t>
  </si>
  <si>
    <t>ana julia folheados</t>
  </si>
  <si>
    <t>Poulanna Guimaraes</t>
  </si>
  <si>
    <t>BeeFund official</t>
  </si>
  <si>
    <t>Compras_online</t>
  </si>
  <si>
    <t>Seu Shop na Web</t>
  </si>
  <si>
    <t>Renda Extra</t>
  </si>
  <si>
    <t>Cammila Torres</t>
  </si>
  <si>
    <t>Vitor Lourenço</t>
  </si>
  <si>
    <t>Super Mundo</t>
  </si>
  <si>
    <t>Lendas Bet</t>
  </si>
  <si>
    <t>sabrina jpa</t>
  </si>
  <si>
    <t>laiz do Carmo Souza</t>
  </si>
  <si>
    <t>José Carlos</t>
  </si>
  <si>
    <t>Life Gold</t>
  </si>
  <si>
    <t>Jaine Deda de Almeida</t>
  </si>
  <si>
    <t>Sower Investe 🌽</t>
  </si>
  <si>
    <t>👸🏻</t>
  </si>
  <si>
    <t>Camila Eggert</t>
  </si>
  <si>
    <t>LeftBank</t>
  </si>
  <si>
    <t>Gatinho Sincero</t>
  </si>
  <si>
    <t>Ruyter Poebel</t>
  </si>
  <si>
    <t>Giuseppe Barbetta</t>
  </si>
  <si>
    <t>Plimbet Paraná</t>
  </si>
  <si>
    <t>💚ƒℓyทท σr ƒiทท💚</t>
  </si>
  <si>
    <t>Dama de Ferro</t>
  </si>
  <si>
    <t>Lula</t>
  </si>
  <si>
    <t>Roger Rocha Moreira</t>
  </si>
  <si>
    <t>Roberto Motta</t>
  </si>
  <si>
    <t>Jornalismo TV Cultura</t>
  </si>
  <si>
    <t>Nerd Gaming</t>
  </si>
  <si>
    <t>Gustavo Anjos</t>
  </si>
  <si>
    <t>LEANDRO MUNIZ MKT</t>
  </si>
  <si>
    <t>rai 🤍</t>
  </si>
  <si>
    <t>Carlosvicentin_7</t>
  </si>
  <si>
    <t>Wellington Carvalho de Azevedo</t>
  </si>
  <si>
    <t>Sucesso Digital</t>
  </si>
  <si>
    <t>Método ganhar dinheiro</t>
  </si>
  <si>
    <t>Lino M. Gomes</t>
  </si>
  <si>
    <t>O MUNDO DOS AFILIADOS</t>
  </si>
  <si>
    <t>Edmilson</t>
  </si>
  <si>
    <t>Nascadark Ou Mauro, simplesmente.</t>
  </si>
  <si>
    <t>PulsePlaytb</t>
  </si>
  <si>
    <t>Ariana Da silva</t>
  </si>
  <si>
    <t>It's LeryvaldoReal</t>
  </si>
  <si>
    <t>André junior</t>
  </si>
  <si>
    <t>𝐌𝐚𝐫𝐤𝐞𝐭𝐢𝐧𝐠 𝐃𝐢𝐠𝐢𝐭𝐚𝐥 𝟔𝐃</t>
  </si>
  <si>
    <t>Karem Dias</t>
  </si>
  <si>
    <t>Maria</t>
  </si>
  <si>
    <t>Deds… Andreia</t>
  </si>
  <si>
    <t>Valdilene Gabriela</t>
  </si>
  <si>
    <t>Amanda Ferreira</t>
  </si>
  <si>
    <t>Pedro</t>
  </si>
  <si>
    <t>Tailine Maria Vieira</t>
  </si>
  <si>
    <t>Gustavo Dias</t>
  </si>
  <si>
    <t>PABLO DA EMPADA</t>
  </si>
  <si>
    <t>profissão money</t>
  </si>
  <si>
    <t>Panda 🐼</t>
  </si>
  <si>
    <t>Mestre das artes cômicas</t>
  </si>
  <si>
    <t>Ficou de graça</t>
  </si>
  <si>
    <t>LIQUID Haru</t>
  </si>
  <si>
    <t>eduardo araujo</t>
  </si>
  <si>
    <t>Milhões no Bolso</t>
  </si>
  <si>
    <t>Tradespace🚀</t>
  </si>
  <si>
    <t>Nan Das Cripto</t>
  </si>
  <si>
    <t>Aprenda Como Fazer</t>
  </si>
  <si>
    <t>Kelly Cristhine</t>
  </si>
  <si>
    <t>Wendson Guilherme</t>
  </si>
  <si>
    <t>Carla Micaela</t>
  </si>
  <si>
    <t>Ramon Barros</t>
  </si>
  <si>
    <t>Finanças 360 | IA &amp; Business</t>
  </si>
  <si>
    <t>Ysmael_Gomesz</t>
  </si>
  <si>
    <t>Leonardo RM</t>
  </si>
  <si>
    <t>Emerson Guerreiro dos Santos</t>
  </si>
  <si>
    <t>extraordinariasvip</t>
  </si>
  <si>
    <t>Lena Patty🌷 ❾¾ 🦁⃝⃒⃤🦉Dona da TDSS🌷</t>
  </si>
  <si>
    <t>Ganhe Dinheiro Assistindo Videos na Internet</t>
  </si>
  <si>
    <t>Web e Rede</t>
  </si>
  <si>
    <t>MagazineChennig</t>
  </si>
  <si>
    <t>Jay Miranda</t>
  </si>
  <si>
    <t>Niilista Perseguido</t>
  </si>
  <si>
    <t>Larissa</t>
  </si>
  <si>
    <t>Mario Fernando</t>
  </si>
  <si>
    <t>CURSOS DE CULINÁRIA ONLINE</t>
  </si>
  <si>
    <t>Áureo D. Rodrigues</t>
  </si>
  <si>
    <t>Urzeke</t>
  </si>
  <si>
    <t>ias Home Office</t>
  </si>
  <si>
    <t>( ͡° ͜ʖ ͡°)</t>
  </si>
  <si>
    <t>Starbetsrj</t>
  </si>
  <si>
    <t>Sparkly Thang</t>
  </si>
  <si>
    <t>Seu Cliente Oculto</t>
  </si>
  <si>
    <t>carlos roberto do nascimento silva</t>
  </si>
  <si>
    <t>@Fabiola_ellen16</t>
  </si>
  <si>
    <t>Slots pg</t>
  </si>
  <si>
    <t>Prasanth Kumar 🇮🇳</t>
  </si>
  <si>
    <t>Compra Super Útil</t>
  </si>
  <si>
    <t>Bella Trader</t>
  </si>
  <si>
    <t>ANTONELLA PAIVA</t>
  </si>
  <si>
    <t>Naay Ferreiraa</t>
  </si>
  <si>
    <t>Ana Carolina | dōTERRA</t>
  </si>
  <si>
    <t>camilagoes</t>
  </si>
  <si>
    <t>Matheus</t>
  </si>
  <si>
    <t>Ane Fernandes</t>
  </si>
  <si>
    <t>JonasAlmeida</t>
  </si>
  <si>
    <t>Aposentando Novo</t>
  </si>
  <si>
    <t>Anselmo Santos</t>
  </si>
  <si>
    <t>VOIDXS</t>
  </si>
  <si>
    <t>victor Matheus</t>
  </si>
  <si>
    <t>Seu Dinheiro</t>
  </si>
  <si>
    <t>Diogo</t>
  </si>
  <si>
    <t>Eu Cliente Oculto</t>
  </si>
  <si>
    <t>MaixTv Oficial</t>
  </si>
  <si>
    <t>Tudo Por Aí ! Mundo Digital .</t>
  </si>
  <si>
    <t>Petter Villa Real</t>
  </si>
  <si>
    <t>Missão Renda</t>
  </si>
  <si>
    <t>Alex Cardoso</t>
  </si>
  <si>
    <t>jon_prime</t>
  </si>
  <si>
    <t>One Guy</t>
  </si>
  <si>
    <t>Miguel Viana 🇧🇷</t>
  </si>
  <si>
    <t>Ara Solution</t>
  </si>
  <si>
    <t>Rei_do_slot</t>
  </si>
  <si>
    <t>Faria Lima Journal</t>
  </si>
  <si>
    <t>Lorena Cássia</t>
  </si>
  <si>
    <t>Kleber Gabriel Garcia Siqueira</t>
  </si>
  <si>
    <t>SUA BELEZA</t>
  </si>
  <si>
    <t>Letícia Silva</t>
  </si>
  <si>
    <t>Elioliveira</t>
  </si>
  <si>
    <t>Fernanda souzA</t>
  </si>
  <si>
    <t>Home Office Lucrativo</t>
  </si>
  <si>
    <t>Stella</t>
  </si>
  <si>
    <t>Foquinha Neto da BLAZE - (Daniel Penin 🖕🏻🤬)</t>
  </si>
  <si>
    <t>Ed Raposo</t>
  </si>
  <si>
    <t>Assis</t>
  </si>
  <si>
    <t>RED vinicinho</t>
  </si>
  <si>
    <t>games_light</t>
  </si>
  <si>
    <t>Kayan Havertz</t>
  </si>
  <si>
    <t>Mr R. Rush</t>
  </si>
  <si>
    <t>Albert UpGreen</t>
  </si>
  <si>
    <t>Exness Português</t>
  </si>
  <si>
    <t>Negócios Online</t>
  </si>
  <si>
    <t>bia.illuminati</t>
  </si>
  <si>
    <t>JONATHAN PRÓ/RENDA EXTRA!</t>
  </si>
  <si>
    <t>Paula NS Beauty</t>
  </si>
  <si>
    <t>Íngred Ráisa Trader Profissional</t>
  </si>
  <si>
    <t>ovictor wi</t>
  </si>
  <si>
    <t>Deivid DH</t>
  </si>
  <si>
    <t>Rg Animal - Arte Digital📝</t>
  </si>
  <si>
    <t>Dom Investidor</t>
  </si>
  <si>
    <t>Miguel Nogueira - A Rebelião das Cryptos</t>
  </si>
  <si>
    <t>Mova-se Empreendedor</t>
  </si>
  <si>
    <t>Primo Lascado</t>
  </si>
  <si>
    <t>Me Poupe!</t>
  </si>
  <si>
    <t>► Eder Lorenzo</t>
  </si>
  <si>
    <t>Grazielle Gonçalves</t>
  </si>
  <si>
    <t>Diz Edu 💭</t>
  </si>
  <si>
    <t>Futuro Milionário</t>
  </si>
  <si>
    <t>Mar Fit</t>
  </si>
  <si>
    <t>Alyne Aguiar</t>
  </si>
  <si>
    <t>Leonardo Afonso Machado</t>
  </si>
  <si>
    <t>6de6 by Betbola</t>
  </si>
  <si>
    <t>Paparazzo Rubro-Negro</t>
  </si>
  <si>
    <t>Deko</t>
  </si>
  <si>
    <t>Luis Soto | Growth Marketer</t>
  </si>
  <si>
    <t>Vagas de Emprego em Salvador, R Metropolitana e+</t>
  </si>
  <si>
    <t>Ricardo Cancio Santos</t>
  </si>
  <si>
    <t>Ganhe Dinheiro Agora Top Dicas</t>
  </si>
  <si>
    <t>Showmetech</t>
  </si>
  <si>
    <t>hallakdesign.com.br</t>
  </si>
  <si>
    <t>Lua Medeiros</t>
  </si>
  <si>
    <t>moreno RJ 22cm</t>
  </si>
  <si>
    <t>ALESSANDRA PEREIRA DOS SANTOS</t>
  </si>
  <si>
    <t>Paullo Sérgio🇵🇪</t>
  </si>
  <si>
    <t>João.Rico</t>
  </si>
  <si>
    <t>Alanis Matos</t>
  </si>
  <si>
    <t>Erick🏳‍🌈</t>
  </si>
  <si>
    <t>Faby Oak 🇾🇪</t>
  </si>
  <si>
    <t>O Casca Grossa</t>
  </si>
  <si>
    <t>Thiago Felismino</t>
  </si>
  <si>
    <t>ROBÔS VIP 🚀 fortune tigre</t>
  </si>
  <si>
    <t>Mulher de Milhões</t>
  </si>
  <si>
    <t>Ju 💕</t>
  </si>
  <si>
    <t>Como Emagrecer?</t>
  </si>
  <si>
    <t>Joga Junto</t>
  </si>
  <si>
    <t>Paulo Souza</t>
  </si>
  <si>
    <t>Me Indica!</t>
  </si>
  <si>
    <t>Guilherme Argenta | Milhas Aéreas!</t>
  </si>
  <si>
    <t>Raphael Tesla</t>
  </si>
  <si>
    <t>Real Mídia Center</t>
  </si>
  <si>
    <t>Gcm Reis</t>
  </si>
  <si>
    <t>Creme e Castigo</t>
  </si>
  <si>
    <t>Místico Zen | Denis Viatico</t>
  </si>
  <si>
    <t>Ink Produtos</t>
  </si>
  <si>
    <t>BTC LUCROX</t>
  </si>
  <si>
    <t>Cortes do Rei Ratão</t>
  </si>
  <si>
    <t>a</t>
  </si>
  <si>
    <t>NR - Novos Rumos</t>
  </si>
  <si>
    <t>Leticia Oronha</t>
  </si>
  <si>
    <t>NFTS DP</t>
  </si>
  <si>
    <t>Bruno Beranko</t>
  </si>
  <si>
    <t>Sandra Schilling</t>
  </si>
  <si>
    <t>Lia Diogo ♡♪♑🇦🇴</t>
  </si>
  <si>
    <t>Guilherme Silveira</t>
  </si>
  <si>
    <t>Fran Marcolino</t>
  </si>
  <si>
    <t>Eddye Steinford</t>
  </si>
  <si>
    <t>Aleff Augusto</t>
  </si>
  <si>
    <t>Nilson Garcia</t>
  </si>
  <si>
    <t>Vasos Para Plantas</t>
  </si>
  <si>
    <t>GCF Brasil</t>
  </si>
  <si>
    <t>geração sem chefe</t>
  </si>
  <si>
    <t>Mariah Silva</t>
  </si>
  <si>
    <t>Itaborai Santos</t>
  </si>
  <si>
    <t>João Vitor Gorreis</t>
  </si>
  <si>
    <t>Mery tavares</t>
  </si>
  <si>
    <t>Confeitaria Lucrativa 2.0</t>
  </si>
  <si>
    <t>Produtos naturais 💚</t>
  </si>
  <si>
    <t>Gessica Gomes</t>
  </si>
  <si>
    <t>Isabel Cristina Vieira dos Santos</t>
  </si>
  <si>
    <t>BRBABeto</t>
  </si>
  <si>
    <t>Vinnyvads</t>
  </si>
  <si>
    <t>receitas dia adia</t>
  </si>
  <si>
    <t>_afiliado.boss_</t>
  </si>
  <si>
    <t>Israel Pimentel</t>
  </si>
  <si>
    <t>Falaí Pesquisas</t>
  </si>
  <si>
    <t>Marcia Camargo - Clínica Washington Amancio</t>
  </si>
  <si>
    <t>ilda cristina</t>
  </si>
  <si>
    <t>Concursos Públicos</t>
  </si>
  <si>
    <t>Carlini Cursos</t>
  </si>
  <si>
    <t>Rodrigo Vaz Studio</t>
  </si>
  <si>
    <t>Antonio C S Azambuja</t>
  </si>
  <si>
    <t>BBB</t>
  </si>
  <si>
    <t>Jeferson Boratti</t>
  </si>
  <si>
    <t>Loja Dinka</t>
  </si>
  <si>
    <t>Aviator Automate Bot</t>
  </si>
  <si>
    <t>Imetway</t>
  </si>
  <si>
    <t>Thay</t>
  </si>
  <si>
    <t>EDER LORENZO</t>
  </si>
  <si>
    <t>LUIS ALVES</t>
  </si>
  <si>
    <t>milionarios tops</t>
  </si>
  <si>
    <t>L&amp;P Consultoria</t>
  </si>
  <si>
    <t>Riquinho</t>
  </si>
  <si>
    <t>Rafael Carvalho</t>
  </si>
  <si>
    <t>Produtosdigitais Vendas</t>
  </si>
  <si>
    <t>PHoDa-C - Rapaz! Tá certo isso?</t>
  </si>
  <si>
    <t>Jon vlog</t>
  </si>
  <si>
    <t>Joao Evangelista</t>
  </si>
  <si>
    <t>Mente Milionária</t>
  </si>
  <si>
    <t>Ri bastardo</t>
  </si>
  <si>
    <t>Sandrielly Santos</t>
  </si>
  <si>
    <t>Milton Santana</t>
  </si>
  <si>
    <t>alesstt07</t>
  </si>
  <si>
    <t>Isabelli</t>
  </si>
  <si>
    <t>dri</t>
  </si>
  <si>
    <t>Anne🇮🇹</t>
  </si>
  <si>
    <t>Delanjos Store</t>
  </si>
  <si>
    <t>amigos</t>
  </si>
  <si>
    <t>AFUN</t>
  </si>
  <si>
    <t>Thaís Souza</t>
  </si>
  <si>
    <t>Multverso Cyber Shop</t>
  </si>
  <si>
    <t>Barbosa</t>
  </si>
  <si>
    <t>Gabriele</t>
  </si>
  <si>
    <t>Marcio Alexandre</t>
  </si>
  <si>
    <t>casadasessencias_ss</t>
  </si>
  <si>
    <t>Dias</t>
  </si>
  <si>
    <t>VÍTOR OLIVEIRA</t>
  </si>
  <si>
    <t>Ci da GOW</t>
  </si>
  <si>
    <t>Oscar Ulloa</t>
  </si>
  <si>
    <t>José Afonso Samurai</t>
  </si>
  <si>
    <t>Digital Black</t>
  </si>
  <si>
    <t>Natan Souza</t>
  </si>
  <si>
    <t>Autorizada Zap Plus</t>
  </si>
  <si>
    <t>AnarcoComunista</t>
  </si>
  <si>
    <t>Magalzão Show</t>
  </si>
  <si>
    <t>Política BR</t>
  </si>
  <si>
    <t>Flávio Dourado</t>
  </si>
  <si>
    <t>Pantera_tips365</t>
  </si>
  <si>
    <t>Abraão Correia</t>
  </si>
  <si>
    <t>renatajanes</t>
  </si>
  <si>
    <t>Ayeska Carrião</t>
  </si>
  <si>
    <t>Metrópoles</t>
  </si>
  <si>
    <t>Marketing Digital Sales</t>
  </si>
  <si>
    <t>J.Marcelo🥶🎰</t>
  </si>
  <si>
    <t>Vendas online</t>
  </si>
  <si>
    <t>abnerjramos</t>
  </si>
  <si>
    <t>Princesa Milionária</t>
  </si>
  <si>
    <t>Jogo do Tigre - Estratégias</t>
  </si>
  <si>
    <t>ROSANA SANTIAGO</t>
  </si>
  <si>
    <t>Marketing de E-books</t>
  </si>
  <si>
    <t>Derek</t>
  </si>
  <si>
    <t>Michael Santiago</t>
  </si>
  <si>
    <t>Flávio Henrique -Builderall</t>
  </si>
  <si>
    <t>Paulino Santos</t>
  </si>
  <si>
    <t>Daniel Meneses ❇</t>
  </si>
  <si>
    <t>Sérgio Gonçalves</t>
  </si>
  <si>
    <t>Adriano Santtos</t>
  </si>
  <si>
    <t>Eliane deogaldo</t>
  </si>
  <si>
    <t>joão medeiros</t>
  </si>
  <si>
    <t>TudoOn</t>
  </si>
  <si>
    <t>kaka durval</t>
  </si>
  <si>
    <t>Jessica Demetrio</t>
  </si>
  <si>
    <t>sabioempreendedor</t>
  </si>
  <si>
    <t>Claudio Galvão</t>
  </si>
  <si>
    <t>ChatGuru</t>
  </si>
  <si>
    <t>Bet dá Sorte</t>
  </si>
  <si>
    <t>Indie Play</t>
  </si>
  <si>
    <t>TRADER DA PAZ</t>
  </si>
  <si>
    <t>Emagrecimento Saudável</t>
  </si>
  <si>
    <t>paulinha :)</t>
  </si>
  <si>
    <t>Edgar</t>
  </si>
  <si>
    <t>Redaviqui Davilli</t>
  </si>
  <si>
    <t>expert digital 👩‍💻💰</t>
  </si>
  <si>
    <t>ROQUE LANE EX 🔺</t>
  </si>
  <si>
    <t>Finanças Plus</t>
  </si>
  <si>
    <t>JULIA ROLIM</t>
  </si>
  <si>
    <t>Ped</t>
  </si>
  <si>
    <t>The_souza80</t>
  </si>
  <si>
    <t>Patrick Vinicius</t>
  </si>
  <si>
    <t>Viktor Venddetta ®</t>
  </si>
  <si>
    <t>Eimigra</t>
  </si>
  <si>
    <t>Cláudia Marques</t>
  </si>
  <si>
    <t>Rodrigo Movendo</t>
  </si>
  <si>
    <t>G-Darma</t>
  </si>
  <si>
    <t>Trapos_Chi</t>
  </si>
  <si>
    <t>Agência model</t>
  </si>
  <si>
    <t>Daniel Silva</t>
  </si>
  <si>
    <t>K</t>
  </si>
  <si>
    <t>Angel Luis Palomo</t>
  </si>
  <si>
    <t>OCÉUÉOLIMITE</t>
  </si>
  <si>
    <t>elis nunes</t>
  </si>
  <si>
    <t>Daniel Garcia - REACTION</t>
  </si>
  <si>
    <t>Prolistercalis, transmissão mecânica de holograma</t>
  </si>
  <si>
    <t>herbet</t>
  </si>
  <si>
    <t>Bu</t>
  </si>
  <si>
    <t>Rayane Faria</t>
  </si>
  <si>
    <t>O Incrível</t>
  </si>
  <si>
    <t>Ana</t>
  </si>
  <si>
    <t>Simone Empreendedora Digital</t>
  </si>
  <si>
    <t>Rayanne ADRAN</t>
  </si>
  <si>
    <t>Juan Carlos Tips 📉🤑</t>
  </si>
  <si>
    <t>Emanuel Cariri</t>
  </si>
  <si>
    <t>Vagner Caldas ® 🤓💵💰</t>
  </si>
  <si>
    <t>TargetThrust</t>
  </si>
  <si>
    <t>RoletaDoZeq</t>
  </si>
  <si>
    <t>Rafael Amorim</t>
  </si>
  <si>
    <t>carol</t>
  </si>
  <si>
    <t>Criptomoedas</t>
  </si>
  <si>
    <t>Elber Domingos</t>
  </si>
  <si>
    <t>Hailson Souza MKT</t>
  </si>
  <si>
    <t>Dielgo</t>
  </si>
  <si>
    <t>021 em Sampa</t>
  </si>
  <si>
    <t>Peeked.</t>
  </si>
  <si>
    <t>maayaa</t>
  </si>
  <si>
    <t>silas henrique</t>
  </si>
  <si>
    <t>CHOQUEI</t>
  </si>
  <si>
    <t>Informa Joinville</t>
  </si>
  <si>
    <t>Top Ofertas D+ Mais🛍️🤑</t>
  </si>
  <si>
    <t>Garcia Marvin</t>
  </si>
  <si>
    <t>Gustavo de Sousa</t>
  </si>
  <si>
    <t>SoluCrédito Serviços</t>
  </si>
  <si>
    <t>Xablau Blinders</t>
  </si>
  <si>
    <t>Metaverso INFO</t>
  </si>
  <si>
    <t>Habitos Habilidosos</t>
  </si>
  <si>
    <t>E.G Divulgação</t>
  </si>
  <si>
    <t>Mente milionaria</t>
  </si>
  <si>
    <t>Renda extra profissional 💰</t>
  </si>
  <si>
    <t>Breno </t>
  </si>
  <si>
    <t>Ricardo Jales</t>
  </si>
  <si>
    <t>Ericksson Fernandes</t>
  </si>
  <si>
    <t>V</t>
  </si>
  <si>
    <t>Rodrigo Itaya</t>
  </si>
  <si>
    <t>Promoções da Duda</t>
  </si>
  <si>
    <t>Ti do Mundo</t>
  </si>
  <si>
    <t>Cozinhando em Dose Dupla</t>
  </si>
  <si>
    <t>Achados da Michelly</t>
  </si>
  <si>
    <t>Lunaticasz0087</t>
  </si>
  <si>
    <t>multprodutos</t>
  </si>
  <si>
    <t>Achados da Shopee</t>
  </si>
  <si>
    <t>Cartões, Milhas e Viagens</t>
  </si>
  <si>
    <t>Clube FII</t>
  </si>
  <si>
    <t>Magazine SMG Market</t>
  </si>
  <si>
    <t>R2 Premium Negócios Online</t>
  </si>
  <si>
    <t>Fórum Permanente em Defesa do Serviço Público</t>
  </si>
  <si>
    <t>satanatas.bsky.social</t>
  </si>
  <si>
    <t>Alberto Brandão</t>
  </si>
  <si>
    <t>FAMA IN FOCO</t>
  </si>
  <si>
    <t>Demetrius Teixeira</t>
  </si>
  <si>
    <t>Zahrah BR</t>
  </si>
  <si>
    <t>brunonery</t>
  </si>
  <si>
    <t>APP PGNDO 5 REAIS NO CADASTRO PIX</t>
  </si>
  <si>
    <t>Realeza shop</t>
  </si>
  <si>
    <t>AchadosdaBê22</t>
  </si>
  <si>
    <t>Get YouTube Subscribers and Monetization</t>
  </si>
  <si>
    <t>Lucas Augusto</t>
  </si>
  <si>
    <t>Fabiana Souza2545</t>
  </si>
  <si>
    <t>SJC LEY</t>
  </si>
  <si>
    <t>Priscila Sato</t>
  </si>
  <si>
    <t>AlexSandraCarolliny⚓</t>
  </si>
  <si>
    <t>IA_Double_Pro</t>
  </si>
  <si>
    <t>yve de oliveira</t>
  </si>
  <si>
    <t>O Capital Digital</t>
  </si>
  <si>
    <t>Fluxo Renda Extra</t>
  </si>
  <si>
    <t>Home-office</t>
  </si>
  <si>
    <t>JornalCorreiodeMinas</t>
  </si>
  <si>
    <t>Matheus Prado de Almeida Oliveira</t>
  </si>
  <si>
    <t>Lipe Investe</t>
  </si>
  <si>
    <t>Edson Ribeiro de Rothschild</t>
  </si>
  <si>
    <t>Ricardo Fabrizio</t>
  </si>
  <si>
    <t>Bunnies hole</t>
  </si>
  <si>
    <t>Lucas Vieira</t>
  </si>
  <si>
    <t>B1 Bet</t>
  </si>
  <si>
    <t>O EXterior</t>
  </si>
  <si>
    <t>Tribuna do Paraná</t>
  </si>
  <si>
    <t>fabio pereira</t>
  </si>
  <si>
    <t>Edson Batista</t>
  </si>
  <si>
    <t>Alessandra</t>
  </si>
  <si>
    <t>Samuel Zaim</t>
  </si>
  <si>
    <t>Juliana impulso no fix</t>
  </si>
  <si>
    <t>BBS PRÊMIOS BBS</t>
  </si>
  <si>
    <t>Ahawblocfarm4 weber4</t>
  </si>
  <si>
    <t>Liviinho06</t>
  </si>
  <si>
    <t>Unhas de Sucesso</t>
  </si>
  <si>
    <t>Jefferson Nogueira. Oportunidade de Negócio.</t>
  </si>
  <si>
    <t>Empresária da Beleza Avon Aline Cristina</t>
  </si>
  <si>
    <t>Maria Eduarda</t>
  </si>
  <si>
    <t>desouzaa</t>
  </si>
  <si>
    <t>Geração de Milionários GM</t>
  </si>
  <si>
    <t>Campos</t>
  </si>
  <si>
    <t>Jittu Design</t>
  </si>
  <si>
    <t>Murilo Satler</t>
  </si>
  <si>
    <t>Dr Pimenta</t>
  </si>
  <si>
    <t>Davidson - Pense Rico</t>
  </si>
  <si>
    <t>gabreu</t>
  </si>
  <si>
    <t>wendell gomes</t>
  </si>
  <si>
    <t>Patroa Milionária</t>
  </si>
  <si>
    <t>Cortes Com Estilo Oficial</t>
  </si>
  <si>
    <t>Paula souza</t>
  </si>
  <si>
    <t>C.F.</t>
  </si>
  <si>
    <t>Carvalho Empreende</t>
  </si>
  <si>
    <t>sobrancelhas ideias</t>
  </si>
  <si>
    <t>Lolla Universo Makeup</t>
  </si>
  <si>
    <t>Mark Ting</t>
  </si>
  <si>
    <t>Telegrupos - Grupos Telegram</t>
  </si>
  <si>
    <t>Olhar Green</t>
  </si>
  <si>
    <t>7 dicas</t>
  </si>
  <si>
    <t>José Fugice</t>
  </si>
  <si>
    <t>Tha</t>
  </si>
  <si>
    <t>Tchoya Silva</t>
  </si>
  <si>
    <t>Slotsdazuzu</t>
  </si>
  <si>
    <t>a sentimental 🌈🇲🇫🐉</t>
  </si>
  <si>
    <t>Jobson Castro</t>
  </si>
  <si>
    <t>Renata Cupertino</t>
  </si>
  <si>
    <t>Prateleira Online .Shop</t>
  </si>
  <si>
    <t>Patricia Silva Fini</t>
  </si>
  <si>
    <t>DANILO ARRUDA</t>
  </si>
  <si>
    <t>Muhammad Talha Mubeen</t>
  </si>
  <si>
    <t>João Paulo Trajano Moraes</t>
  </si>
  <si>
    <t>Produtos Divulgação</t>
  </si>
  <si>
    <t>Flavio Cabral</t>
  </si>
  <si>
    <t>Sabrina Oliveira</t>
  </si>
  <si>
    <t>Império das Milhas</t>
  </si>
  <si>
    <t>Glau</t>
  </si>
  <si>
    <t>Dólar Businessia</t>
  </si>
  <si>
    <t>Paulo Matheus</t>
  </si>
  <si>
    <t>Empreendedorismo | Renda Extra</t>
  </si>
  <si>
    <t>patrícia Cunha</t>
  </si>
  <si>
    <t>Vaní</t>
  </si>
  <si>
    <t>Marmat Store</t>
  </si>
  <si>
    <t>𝐎𝐏𝐎𝐑𝐓𝐔𝐍𝐈𝐃𝐀𝐃𝐄𝐒 𝐎𝐍𝐋𝐈𝐍𝐄</t>
  </si>
  <si>
    <t>Review Autoconhecimento</t>
  </si>
  <si>
    <t>Atacadão Descontos</t>
  </si>
  <si>
    <t>Braguim</t>
  </si>
  <si>
    <t>Diego Skda</t>
  </si>
  <si>
    <t>Ana Flavia Martins</t>
  </si>
  <si>
    <t>BITCOIN FAUCETPAY FREE CRYPTO AIRDROPS 100% LEGIT</t>
  </si>
  <si>
    <t>Rafael Sena</t>
  </si>
  <si>
    <t>Milionaria no Futuro.br</t>
  </si>
  <si>
    <t>Migxs</t>
  </si>
  <si>
    <t>Folha do Condomínio</t>
  </si>
  <si>
    <t>Achadinhossamah</t>
  </si>
  <si>
    <t>Blade da Quebrada</t>
  </si>
  <si>
    <t>Cortes Million</t>
  </si>
  <si>
    <t>Daniela Lima</t>
  </si>
  <si>
    <t>julia🛸</t>
  </si>
  <si>
    <t>Thaiá Quitanda Digital</t>
  </si>
  <si>
    <t>Kelita Rodrigues</t>
  </si>
  <si>
    <t>Tio Junior Games</t>
  </si>
  <si>
    <t>Renda extra | Primeira venda em 24 horas</t>
  </si>
  <si>
    <t>Kebrando a Banka777</t>
  </si>
  <si>
    <t>Ghost 🧠</t>
  </si>
  <si>
    <t>Vanessa Seugling Galves</t>
  </si>
  <si>
    <t>Dicas de Slots 🎰</t>
  </si>
  <si>
    <t>Produtos</t>
  </si>
  <si>
    <t>Leonildo Bevilaqua</t>
  </si>
  <si>
    <t>Marcelo Fayh - FIIs</t>
  </si>
  <si>
    <t>MoneyUniverse</t>
  </si>
  <si>
    <t>Airton Santos</t>
  </si>
  <si>
    <t>jonthebest</t>
  </si>
  <si>
    <t>Profissao Home Office</t>
  </si>
  <si>
    <t>Aprenda a Vencer</t>
  </si>
  <si>
    <t>Desenho realista X filmes by Maryegamarts</t>
  </si>
  <si>
    <t>Vivalocal_oficial</t>
  </si>
  <si>
    <t>Gabriel Costa</t>
  </si>
  <si>
    <t>LaVieStory</t>
  </si>
  <si>
    <t>André Luiz Nunes</t>
  </si>
  <si>
    <t>Raissa Alves</t>
  </si>
  <si>
    <t>MeusFii</t>
  </si>
  <si>
    <t>O Carapuça</t>
  </si>
  <si>
    <t>Método Pronavenda</t>
  </si>
  <si>
    <t>Joacy Trajano | Marketing Digital 📈🚀</t>
  </si>
  <si>
    <t>cripto.ico</t>
  </si>
  <si>
    <t>Pote da Felicidade 🥰</t>
  </si>
  <si>
    <t>Robert</t>
  </si>
  <si>
    <t>Elivansantosoficial</t>
  </si>
  <si>
    <t>Gabu_sj 🌹</t>
  </si>
  <si>
    <t>Formas Fácil de Fazer Dinheiro</t>
  </si>
  <si>
    <t>Luciano Duarte</t>
  </si>
  <si>
    <t>Paulla Daudt🌵🍷🐬🌻</t>
  </si>
  <si>
    <t>Taroguiando</t>
  </si>
  <si>
    <t>Mah Munis</t>
  </si>
  <si>
    <t>Day Coelho</t>
  </si>
  <si>
    <t>Zé bigué</t>
  </si>
  <si>
    <t>Rodrigo Goldstein</t>
  </si>
  <si>
    <t>Joelson Lima</t>
  </si>
  <si>
    <t>Expert Digital MS</t>
  </si>
  <si>
    <t>Fábio Oliveira | CFEd®</t>
  </si>
  <si>
    <t>Aline</t>
  </si>
  <si>
    <t>Vinicius</t>
  </si>
  <si>
    <t>Jon Padilha</t>
  </si>
  <si>
    <t>Lauriane Miranda</t>
  </si>
  <si>
    <t>Gabriel Pfeuffer Pires - CEO</t>
  </si>
  <si>
    <t>Bistecozord</t>
  </si>
  <si>
    <t>LEGADÃO™</t>
  </si>
  <si>
    <t>🇧🇷🇧🇷José Divino🇧🇷🇧🇷</t>
  </si>
  <si>
    <t>Tainara</t>
  </si>
  <si>
    <t>Daniel Nigri</t>
  </si>
  <si>
    <t>Si amaral</t>
  </si>
  <si>
    <t>Arthur CEO</t>
  </si>
  <si>
    <t>Aliuway</t>
  </si>
  <si>
    <t>Filipe Veiga Lima</t>
  </si>
  <si>
    <t>Básicos Store</t>
  </si>
  <si>
    <t>Michael Godoy</t>
  </si>
  <si>
    <t>Air Rocha Jr</t>
  </si>
  <si>
    <t>Jeff Zanetti</t>
  </si>
  <si>
    <t>🎃Binx🎃</t>
  </si>
  <si>
    <t>Tio Gin</t>
  </si>
  <si>
    <t>sendasdoconhecimento</t>
  </si>
  <si>
    <t>Gunslinger Center</t>
  </si>
  <si>
    <t>Ana_NFT</t>
  </si>
  <si>
    <t>H.digital</t>
  </si>
  <si>
    <t>Marcos Manoel</t>
  </si>
  <si>
    <t>Mariana</t>
  </si>
  <si>
    <t>Letícia Empreendedora Digital</t>
  </si>
  <si>
    <t>Eliasisi</t>
  </si>
  <si>
    <t>g beloti</t>
  </si>
  <si>
    <t>Murilo Carlos Dahmer</t>
  </si>
  <si>
    <t>Marcelo Souza - Consultor C.G.O.</t>
  </si>
  <si>
    <t>Serjão</t>
  </si>
  <si>
    <t>Átila Lemos</t>
  </si>
  <si>
    <t>Joerdson Rodrigues</t>
  </si>
  <si>
    <t>Gustavo Hentges</t>
  </si>
  <si>
    <t>Trends you</t>
  </si>
  <si>
    <t>Bruno Valente | Clube do Investimento USA</t>
  </si>
  <si>
    <t>InimigoDoNFT𓆏</t>
  </si>
  <si>
    <t>☆</t>
  </si>
  <si>
    <t>thiago martins sanches</t>
  </si>
  <si>
    <t>felipe titto</t>
  </si>
  <si>
    <t>Como Ganhar Dinheiro Na Internet</t>
  </si>
  <si>
    <t>Alan Victor Matos Santana Dias</t>
  </si>
  <si>
    <t>Alessandro Turci ~ News SHD</t>
  </si>
  <si>
    <t>Abner Melo Falcao</t>
  </si>
  <si>
    <t>Jardel Anjos</t>
  </si>
  <si>
    <t>Talita</t>
  </si>
  <si>
    <t>Minum</t>
  </si>
  <si>
    <t>Nat sem H</t>
  </si>
  <si>
    <t>Marcos Soares</t>
  </si>
  <si>
    <t>Seja Um Trader Esportivo</t>
  </si>
  <si>
    <t>Saber Digital</t>
  </si>
  <si>
    <t>Maraísa Sgarlate</t>
  </si>
  <si>
    <t>Betrebels Oficial Brasil</t>
  </si>
  <si>
    <t>Gilda Salles Duarte</t>
  </si>
  <si>
    <t>Anderson_oficial</t>
  </si>
  <si>
    <t>Ratinha Mil Grau</t>
  </si>
  <si>
    <t>JTR Soluções</t>
  </si>
  <si>
    <t>ana</t>
  </si>
  <si>
    <t>@BisbatSantFeliu</t>
  </si>
  <si>
    <t>A sereia mais doida do mar🧜🏼‍♀️</t>
  </si>
  <si>
    <t>Fabio Felix</t>
  </si>
  <si>
    <t>CLEONILSON RIBEIRO</t>
  </si>
  <si>
    <t>c_drivedefilmes</t>
  </si>
  <si>
    <t>Jogo do Tigre</t>
  </si>
  <si>
    <t>Click_Shop</t>
  </si>
  <si>
    <t>Renan L</t>
  </si>
  <si>
    <t>Saul Lemgruber</t>
  </si>
  <si>
    <t>Plrs_Sora</t>
  </si>
  <si>
    <t>Carolina Barbosa</t>
  </si>
  <si>
    <t>Viviane Vasconcelos/Marketing Digital</t>
  </si>
  <si>
    <t>Guilherme</t>
  </si>
  <si>
    <t>Crypto Sniper Bot</t>
  </si>
  <si>
    <t>Dan Mendes BR</t>
  </si>
  <si>
    <t>decorando ld</t>
  </si>
  <si>
    <t>Jovem Empreendedor</t>
  </si>
  <si>
    <t>eDualiper</t>
  </si>
  <si>
    <t>Broxada Sinistra</t>
  </si>
  <si>
    <t>Tamyris Lima</t>
  </si>
  <si>
    <t>Rosana Alfaro</t>
  </si>
  <si>
    <t>Felipe Scavuzzi 🇧🇷</t>
  </si>
  <si>
    <t>mentoriajurosabusivos</t>
  </si>
  <si>
    <t>Peterson</t>
  </si>
  <si>
    <t>Portal Imóveis Ijuí</t>
  </si>
  <si>
    <t>Livros Digitais</t>
  </si>
  <si>
    <t>Marcos Góes</t>
  </si>
  <si>
    <t>Cleiton Finanças | Educador Financeiro</t>
  </si>
  <si>
    <t>Wellington</t>
  </si>
  <si>
    <t>eder carlos</t>
  </si>
  <si>
    <t>Mesadinha Extra</t>
  </si>
  <si>
    <t>Rively Fuchs</t>
  </si>
  <si>
    <t>Kash 777</t>
  </si>
  <si>
    <t>Finanças</t>
  </si>
  <si>
    <t>SISTEMA FAEMG</t>
  </si>
  <si>
    <t>Natercia Manuela</t>
  </si>
  <si>
    <t>Engenheiro Eco - Negócios Digitais</t>
  </si>
  <si>
    <t>vitor santos vagner</t>
  </si>
  <si>
    <t>Luis Pereira</t>
  </si>
  <si>
    <t>lojas caxavi</t>
  </si>
  <si>
    <t>Guiller Instinct Gold</t>
  </si>
  <si>
    <t>E-BOOK GATEWAY</t>
  </si>
  <si>
    <t>Twitando sobre tudo e sobre nada</t>
  </si>
  <si>
    <t>Blaze 🎰</t>
  </si>
  <si>
    <t>Bitprofit</t>
  </si>
  <si>
    <t>Andersson Marcilio</t>
  </si>
  <si>
    <t>Hanelio Lima</t>
  </si>
  <si>
    <t>Alex Selhorst</t>
  </si>
  <si>
    <t>Adriana</t>
  </si>
  <si>
    <t>Tau Fagundes</t>
  </si>
  <si>
    <t>Recrutadora Mari</t>
  </si>
  <si>
    <t>Denner Ramon</t>
  </si>
  <si>
    <t>Karra Opire</t>
  </si>
  <si>
    <t>jj</t>
  </si>
  <si>
    <t>Raquel💫❤</t>
  </si>
  <si>
    <t>lucas | 🎮</t>
  </si>
  <si>
    <t>Crimes Reais</t>
  </si>
  <si>
    <t>anders🔴⚪⚫n</t>
  </si>
  <si>
    <t>Natanielle Melo</t>
  </si>
  <si>
    <t>Rede Celcoin</t>
  </si>
  <si>
    <t>Mercado Pago</t>
  </si>
  <si>
    <t>Mercado Livre 🤝</t>
  </si>
  <si>
    <t>Victor Cartie/MASTERPIN</t>
  </si>
  <si>
    <t>AchadinhosDaAllexia</t>
  </si>
  <si>
    <t>recrutatalentos</t>
  </si>
  <si>
    <t>Sexy anime</t>
  </si>
  <si>
    <t>weverton carvalho</t>
  </si>
  <si>
    <t>Vitoria Pereira</t>
  </si>
  <si>
    <t>Techlife.inc</t>
  </si>
  <si>
    <t>KELSI COSMÉTICOS</t>
  </si>
  <si>
    <t>Paulinha Silveira</t>
  </si>
  <si>
    <t>javiune javi 🌹</t>
  </si>
  <si>
    <t>Rafael Costa</t>
  </si>
  <si>
    <t>Juliana Rohers</t>
  </si>
  <si>
    <t>Rolezinho</t>
  </si>
  <si>
    <t>Mars</t>
  </si>
  <si>
    <t>Julio Cesar</t>
  </si>
  <si>
    <t>Gamble City Brasil Oficial</t>
  </si>
  <si>
    <t>Tânia Paula</t>
  </si>
  <si>
    <t>Brenda Julia</t>
  </si>
  <si>
    <t>Mily</t>
  </si>
  <si>
    <t>CS Dinheiro</t>
  </si>
  <si>
    <t>Revista Cães&amp;Gatos</t>
  </si>
  <si>
    <t>Jbyuf</t>
  </si>
  <si>
    <t>Matheus soares</t>
  </si>
  <si>
    <t>Nayara Rocha</t>
  </si>
  <si>
    <t>Simpatias Da Gaucha</t>
  </si>
  <si>
    <t>Negócios &amp; Profissões Lucrativas</t>
  </si>
  <si>
    <t>Karl Advogados</t>
  </si>
  <si>
    <t>Estante Virtual</t>
  </si>
  <si>
    <t>Q.G. da Tecnologia 🇧🇷💻</t>
  </si>
  <si>
    <t>Oziel Dias</t>
  </si>
  <si>
    <t>apostas</t>
  </si>
  <si>
    <t>Pânico na JP📻📺</t>
  </si>
  <si>
    <t>ChatGPT Brasil</t>
  </si>
  <si>
    <t>Jonas - Advogado de CER</t>
  </si>
  <si>
    <t>IBGE Comunica</t>
  </si>
  <si>
    <t>stive aqui</t>
  </si>
  <si>
    <t>O Espaço Digital</t>
  </si>
  <si>
    <t>mente milhonaria</t>
  </si>
  <si>
    <t>Willamy Sousa</t>
  </si>
  <si>
    <t>E-Money Brasil</t>
  </si>
  <si>
    <t>Hugo Bastos</t>
  </si>
  <si>
    <t>Vida de Low Carb</t>
  </si>
  <si>
    <t>NegóciosOnline</t>
  </si>
  <si>
    <t>Baby House Agency</t>
  </si>
  <si>
    <t>Bárbara Santos 🎗</t>
  </si>
  <si>
    <t>Pink Fire</t>
  </si>
  <si>
    <t>Acerto</t>
  </si>
  <si>
    <t>Eugenio Nunes</t>
  </si>
  <si>
    <t>Limpeta: serviços de limpeza profissional.</t>
  </si>
  <si>
    <t>Deixa Que Eu Te Conto</t>
  </si>
  <si>
    <t>Finance One</t>
  </si>
  <si>
    <t>Canal Dos Apostadores</t>
  </si>
  <si>
    <t>Jaque Costa</t>
  </si>
  <si>
    <t>Beatriz Leal</t>
  </si>
  <si>
    <t>Rafael</t>
  </si>
  <si>
    <t>338331247</t>
  </si>
  <si>
    <t>194984295</t>
  </si>
  <si>
    <t>188377796</t>
  </si>
  <si>
    <t>122140410</t>
  </si>
  <si>
    <t>14306125</t>
  </si>
  <si>
    <t>10228272</t>
  </si>
  <si>
    <t>162750228</t>
  </si>
  <si>
    <t>3988319356</t>
  </si>
  <si>
    <t>51782868</t>
  </si>
  <si>
    <t>310253188</t>
  </si>
  <si>
    <t>3134132822</t>
  </si>
  <si>
    <t>3288329542</t>
  </si>
  <si>
    <t>437814095</t>
  </si>
  <si>
    <t>75173434</t>
  </si>
  <si>
    <t>34952004</t>
  </si>
  <si>
    <t>34105736</t>
  </si>
  <si>
    <t>285270675</t>
  </si>
  <si>
    <t>229130000</t>
  </si>
  <si>
    <t>2257002404</t>
  </si>
  <si>
    <t>104526523</t>
  </si>
  <si>
    <t>212916157</t>
  </si>
  <si>
    <t>324990991</t>
  </si>
  <si>
    <t>1278226568</t>
  </si>
  <si>
    <t>500325326</t>
  </si>
  <si>
    <t>85097900</t>
  </si>
  <si>
    <t>58554496</t>
  </si>
  <si>
    <t>38109688</t>
  </si>
  <si>
    <t>4749764542</t>
  </si>
  <si>
    <t>72681608</t>
  </si>
  <si>
    <t>702187627</t>
  </si>
  <si>
    <t>9018302</t>
  </si>
  <si>
    <t>2857158742</t>
  </si>
  <si>
    <t>50893753</t>
  </si>
  <si>
    <t>960992526822989825</t>
  </si>
  <si>
    <t>206288600</t>
  </si>
  <si>
    <t>66406376</t>
  </si>
  <si>
    <t>99128672</t>
  </si>
  <si>
    <t>2356982354</t>
  </si>
  <si>
    <t>368384029</t>
  </si>
  <si>
    <t>1925123718</t>
  </si>
  <si>
    <t>41043862</t>
  </si>
  <si>
    <t>115766955</t>
  </si>
  <si>
    <t>536380588</t>
  </si>
  <si>
    <t>489723814</t>
  </si>
  <si>
    <t>64321869</t>
  </si>
  <si>
    <t>33388780</t>
  </si>
  <si>
    <t>67175071</t>
  </si>
  <si>
    <t>118532989</t>
  </si>
  <si>
    <t>63844419</t>
  </si>
  <si>
    <t>1530471756</t>
  </si>
  <si>
    <t>105512289</t>
  </si>
  <si>
    <t>1620587443</t>
  </si>
  <si>
    <t>65473559</t>
  </si>
  <si>
    <t>159586311</t>
  </si>
  <si>
    <t>35765232</t>
  </si>
  <si>
    <t>191255810</t>
  </si>
  <si>
    <t>17960494</t>
  </si>
  <si>
    <t>336676673</t>
  </si>
  <si>
    <t>308231295</t>
  </si>
  <si>
    <t>738928777</t>
  </si>
  <si>
    <t>341845421</t>
  </si>
  <si>
    <t>55908222</t>
  </si>
  <si>
    <t>17763801</t>
  </si>
  <si>
    <t>7311122</t>
  </si>
  <si>
    <t>411943956</t>
  </si>
  <si>
    <t>78905875</t>
  </si>
  <si>
    <t>218511743</t>
  </si>
  <si>
    <t>2549182475</t>
  </si>
  <si>
    <t>1243318401369608192</t>
  </si>
  <si>
    <t>174819496</t>
  </si>
  <si>
    <t>341697902</t>
  </si>
  <si>
    <t>479463498</t>
  </si>
  <si>
    <t>66514992</t>
  </si>
  <si>
    <t>103507690</t>
  </si>
  <si>
    <t>55594905</t>
  </si>
  <si>
    <t>16236786</t>
  </si>
  <si>
    <t>1389983137707528195</t>
  </si>
  <si>
    <t>70015712</t>
  </si>
  <si>
    <t>4419618137</t>
  </si>
  <si>
    <t>1043615581973499904</t>
  </si>
  <si>
    <t>2670726740</t>
  </si>
  <si>
    <t>17752026</t>
  </si>
  <si>
    <t>33071040</t>
  </si>
  <si>
    <t>126750296</t>
  </si>
  <si>
    <t>86575669</t>
  </si>
  <si>
    <t>1633828706807582722</t>
  </si>
  <si>
    <t>2244665997</t>
  </si>
  <si>
    <t>4410033855</t>
  </si>
  <si>
    <t>74634966</t>
  </si>
  <si>
    <t>334072979</t>
  </si>
  <si>
    <t>1599687301</t>
  </si>
  <si>
    <t>1474469406</t>
  </si>
  <si>
    <t>35237516</t>
  </si>
  <si>
    <t>1264784546</t>
  </si>
  <si>
    <t>3048440320</t>
  </si>
  <si>
    <t>55018570</t>
  </si>
  <si>
    <t>81435340</t>
  </si>
  <si>
    <t>381219260</t>
  </si>
  <si>
    <t>1670653796</t>
  </si>
  <si>
    <t>95810074</t>
  </si>
  <si>
    <t>2405770310</t>
  </si>
  <si>
    <t>2864042913</t>
  </si>
  <si>
    <t>69071497</t>
  </si>
  <si>
    <t>374651188</t>
  </si>
  <si>
    <t>217277469</t>
  </si>
  <si>
    <t>34090165</t>
  </si>
  <si>
    <t>42621707</t>
  </si>
  <si>
    <t>163652413</t>
  </si>
  <si>
    <t>161380515</t>
  </si>
  <si>
    <t>828040351</t>
  </si>
  <si>
    <t>178353470</t>
  </si>
  <si>
    <t>711067830</t>
  </si>
  <si>
    <t>2440223932</t>
  </si>
  <si>
    <t>739277881</t>
  </si>
  <si>
    <t>50683851</t>
  </si>
  <si>
    <t>223127376</t>
  </si>
  <si>
    <t>583023355</t>
  </si>
  <si>
    <t>226001601</t>
  </si>
  <si>
    <t>145380021</t>
  </si>
  <si>
    <t>733793012</t>
  </si>
  <si>
    <t>2330731333</t>
  </si>
  <si>
    <t>60191703</t>
  </si>
  <si>
    <t>2809333119</t>
  </si>
  <si>
    <t>476071713</t>
  </si>
  <si>
    <t>4715625135</t>
  </si>
  <si>
    <t>270959576</t>
  </si>
  <si>
    <t>184603554</t>
  </si>
  <si>
    <t>276220917</t>
  </si>
  <si>
    <t>146064053</t>
  </si>
  <si>
    <t>39827338</t>
  </si>
  <si>
    <t>194067566</t>
  </si>
  <si>
    <t>116750085</t>
  </si>
  <si>
    <t>56436416</t>
  </si>
  <si>
    <t>2475103539</t>
  </si>
  <si>
    <t>3741272415</t>
  </si>
  <si>
    <t>55851714</t>
  </si>
  <si>
    <t>3323886382</t>
  </si>
  <si>
    <t>318171711</t>
  </si>
  <si>
    <t>66671679</t>
  </si>
  <si>
    <t>318081196</t>
  </si>
  <si>
    <t>976352780</t>
  </si>
  <si>
    <t>3079223409</t>
  </si>
  <si>
    <t>126986939</t>
  </si>
  <si>
    <t>255237609</t>
  </si>
  <si>
    <t>130999630</t>
  </si>
  <si>
    <t>1110370070</t>
  </si>
  <si>
    <t>95419833</t>
  </si>
  <si>
    <t>261216278</t>
  </si>
  <si>
    <t>363171824</t>
  </si>
  <si>
    <t>342781161</t>
  </si>
  <si>
    <t>2782850413</t>
  </si>
  <si>
    <t>39311052</t>
  </si>
  <si>
    <t>90447850</t>
  </si>
  <si>
    <t>52590661</t>
  </si>
  <si>
    <t>354479827</t>
  </si>
  <si>
    <t>381033244</t>
  </si>
  <si>
    <t>383995178</t>
  </si>
  <si>
    <t>119024617</t>
  </si>
  <si>
    <t>634133167</t>
  </si>
  <si>
    <t>17084658</t>
  </si>
  <si>
    <t>112786548</t>
  </si>
  <si>
    <t>185215343</t>
  </si>
  <si>
    <t>569614540</t>
  </si>
  <si>
    <t>2893182514</t>
  </si>
  <si>
    <t>212431065</t>
  </si>
  <si>
    <t>3670197507</t>
  </si>
  <si>
    <t>79887395</t>
  </si>
  <si>
    <t>54028630</t>
  </si>
  <si>
    <t>49847318</t>
  </si>
  <si>
    <t>142468587</t>
  </si>
  <si>
    <t>61920432</t>
  </si>
  <si>
    <t>53469538</t>
  </si>
  <si>
    <t>2874590999</t>
  </si>
  <si>
    <t>2714628744</t>
  </si>
  <si>
    <t>67352317</t>
  </si>
  <si>
    <t>3763727003</t>
  </si>
  <si>
    <t>2150320763</t>
  </si>
  <si>
    <t>1872930812</t>
  </si>
  <si>
    <t>16121462</t>
  </si>
  <si>
    <t>1153707991</t>
  </si>
  <si>
    <t>3686268077</t>
  </si>
  <si>
    <t>230005777</t>
  </si>
  <si>
    <t>3174267771</t>
  </si>
  <si>
    <t>269591829</t>
  </si>
  <si>
    <t>825690463</t>
  </si>
  <si>
    <t>216536286</t>
  </si>
  <si>
    <t>82592371</t>
  </si>
  <si>
    <t>43528661</t>
  </si>
  <si>
    <t>110817330</t>
  </si>
  <si>
    <t>3364562657</t>
  </si>
  <si>
    <t>3394108533</t>
  </si>
  <si>
    <t>2366791588</t>
  </si>
  <si>
    <t>321693215</t>
  </si>
  <si>
    <t>213012326</t>
  </si>
  <si>
    <t>142453632</t>
  </si>
  <si>
    <t>2732649765</t>
  </si>
  <si>
    <t>408509697</t>
  </si>
  <si>
    <t>32189106</t>
  </si>
  <si>
    <t>1546918721985421312</t>
  </si>
  <si>
    <t>114500744</t>
  </si>
  <si>
    <t>718250155</t>
  </si>
  <si>
    <t>51202019</t>
  </si>
  <si>
    <t>25371172</t>
  </si>
  <si>
    <t>557963849</t>
  </si>
  <si>
    <t>219974739</t>
  </si>
  <si>
    <t>1056394392775340032</t>
  </si>
  <si>
    <t>213529176</t>
  </si>
  <si>
    <t>1171894501587247104</t>
  </si>
  <si>
    <t>15082918</t>
  </si>
  <si>
    <t>15166137</t>
  </si>
  <si>
    <t>3100620625</t>
  </si>
  <si>
    <t>238736288</t>
  </si>
  <si>
    <t>70861309</t>
  </si>
  <si>
    <t>1505914845060812804</t>
  </si>
  <si>
    <t>725111628</t>
  </si>
  <si>
    <t>74146257</t>
  </si>
  <si>
    <t>1278795146</t>
  </si>
  <si>
    <t>2673648450</t>
  </si>
  <si>
    <t>3234532213</t>
  </si>
  <si>
    <t>164779867</t>
  </si>
  <si>
    <t>172906872</t>
  </si>
  <si>
    <t>51877675</t>
  </si>
  <si>
    <t>78406686</t>
  </si>
  <si>
    <t>2464895096</t>
  </si>
  <si>
    <t>340976757</t>
  </si>
  <si>
    <t>Eunápolis- BA</t>
  </si>
  <si>
    <t>Piracicaba, Brasil</t>
  </si>
  <si>
    <t>San Bruno, CA</t>
  </si>
  <si>
    <t>Aracaju, Brasil</t>
  </si>
  <si>
    <t>Nova Iguacu</t>
  </si>
  <si>
    <t>Timon, Brasil</t>
  </si>
  <si>
    <t>Pará, Brasil</t>
  </si>
  <si>
    <t>Paraná</t>
  </si>
  <si>
    <t>RJ</t>
  </si>
  <si>
    <t>Estados Unidos</t>
  </si>
  <si>
    <t>Belo Horizonte</t>
  </si>
  <si>
    <t>Belém - PA</t>
  </si>
  <si>
    <t>Erechim, Brasil</t>
  </si>
  <si>
    <t>Brasil, São Paulo</t>
  </si>
  <si>
    <t>BRASIL</t>
  </si>
  <si>
    <t>Amazonas, Brasil</t>
  </si>
  <si>
    <t>At Rio de Janeiro</t>
  </si>
  <si>
    <t>Araxá, Brasil</t>
  </si>
  <si>
    <t>Niterói, Brasil</t>
  </si>
  <si>
    <t>Brazil, IN</t>
  </si>
  <si>
    <t>Macapá, Brasil</t>
  </si>
  <si>
    <t>São Mateus, Brasil</t>
  </si>
  <si>
    <t>Piauí, Brasil</t>
  </si>
  <si>
    <t>Angra dos Reis, Brasil</t>
  </si>
  <si>
    <t>Instanbul,Turquia</t>
  </si>
  <si>
    <t>Londrina</t>
  </si>
  <si>
    <t>Batatais, Brasil</t>
  </si>
  <si>
    <t>Sumaré</t>
  </si>
  <si>
    <t>Salvador, BA / Brasil</t>
  </si>
  <si>
    <t xml:space="preserve">Serra Redonda PB </t>
  </si>
  <si>
    <t>Foz do Iguaçu - PR</t>
  </si>
  <si>
    <t>Final do 🌈🏳️‍⚧️</t>
  </si>
  <si>
    <t>São Paulo, SP, Brasil</t>
  </si>
  <si>
    <t>Centro, Rio de Janeiro</t>
  </si>
  <si>
    <t>Brasil - Rio de Janeiro</t>
  </si>
  <si>
    <t>Games</t>
  </si>
  <si>
    <t>Campinas, SP, Brasil</t>
  </si>
  <si>
    <t>Curitiba</t>
  </si>
  <si>
    <t>Araguari</t>
  </si>
  <si>
    <t xml:space="preserve">santo andré , brasil </t>
  </si>
  <si>
    <t>Feira de Santana, Bahia</t>
  </si>
  <si>
    <t>愛知県豊田市保見団地</t>
  </si>
  <si>
    <t xml:space="preserve">Salvador </t>
  </si>
  <si>
    <t>Itaguaí, Brasil</t>
  </si>
  <si>
    <t>Santa Catarina - SC</t>
  </si>
  <si>
    <t>Ribeirão Preto e Região</t>
  </si>
  <si>
    <t>Lisboa, Portugal</t>
  </si>
  <si>
    <t>Tietê, Brasil</t>
  </si>
  <si>
    <t>Santo André</t>
  </si>
  <si>
    <t>RJ - Brasil</t>
  </si>
  <si>
    <t>brasilia</t>
  </si>
  <si>
    <t>Brazil</t>
  </si>
  <si>
    <t>São Paulo - Brasil</t>
  </si>
  <si>
    <t>Marajó-Pará-Brasil</t>
  </si>
  <si>
    <t>Brasil - Bahia - Salvador</t>
  </si>
  <si>
    <t>Mateus Leme, Brasil</t>
  </si>
  <si>
    <t>Paraty, Brasil</t>
  </si>
  <si>
    <t>São Bernardo do Campo, Brasil</t>
  </si>
  <si>
    <t>California, USA</t>
  </si>
  <si>
    <t>Join ➡️</t>
  </si>
  <si>
    <t>Na bunda do Harry</t>
  </si>
  <si>
    <t>Ribeirão Preto - SP / Brasil</t>
  </si>
  <si>
    <t>Inglaterra, Reino Unido</t>
  </si>
  <si>
    <t xml:space="preserve">S!HER </t>
  </si>
  <si>
    <t>Luanda</t>
  </si>
  <si>
    <t>Vera Cruz SP</t>
  </si>
  <si>
    <t>Porto Alegre/RS</t>
  </si>
  <si>
    <t xml:space="preserve">São Paulo </t>
  </si>
  <si>
    <t>Balneário Camboriú, Brasil</t>
  </si>
  <si>
    <t>São Leopoldo, Brasil</t>
  </si>
  <si>
    <t>Brasilia DF</t>
  </si>
  <si>
    <t>São paulo</t>
  </si>
  <si>
    <t>Medellín</t>
  </si>
  <si>
    <t>♡ bts 7 ~</t>
  </si>
  <si>
    <t>Recife, Brasil</t>
  </si>
  <si>
    <t>Patos de Minas, Brasil</t>
  </si>
  <si>
    <t>Manaus/ Am</t>
  </si>
  <si>
    <t>São Paulo / Londres</t>
  </si>
  <si>
    <t>Joinville, Brasil</t>
  </si>
  <si>
    <t>casa do kct</t>
  </si>
  <si>
    <t>Philippines</t>
  </si>
  <si>
    <t>Catanduva, Brasil</t>
  </si>
  <si>
    <t xml:space="preserve">Portugal </t>
  </si>
  <si>
    <t>jaguamaica</t>
  </si>
  <si>
    <t>CLIQUEM 🔥NO LINK ABAIXO ⬇️</t>
  </si>
  <si>
    <t>Teresópolis, Brasil</t>
  </si>
  <si>
    <t>Santa Catarina, Brasil</t>
  </si>
  <si>
    <t>Worldwide</t>
  </si>
  <si>
    <t>RIO DE JANEIRO</t>
  </si>
  <si>
    <t>Goiânia Brasil</t>
  </si>
  <si>
    <t>Lajeado | 24ª RT | RS</t>
  </si>
  <si>
    <t>Goiás, Brasil</t>
  </si>
  <si>
    <t>Recife - Brazil</t>
  </si>
  <si>
    <t>Itapecerica da Serra, Brasil</t>
  </si>
  <si>
    <t>Fernando de Noronha, Brasil</t>
  </si>
  <si>
    <t>Paranatama, Brasil</t>
  </si>
  <si>
    <t>pelotas</t>
  </si>
  <si>
    <t>Rajshahi,Sirajganj, Bangladesh</t>
  </si>
  <si>
    <t>Artur da Costa silva. Limeira</t>
  </si>
  <si>
    <t>Paulínia, Brasil</t>
  </si>
  <si>
    <t>Região dos lagos</t>
  </si>
  <si>
    <t>Minas Brasil, Belo Horizonte</t>
  </si>
  <si>
    <t>Minha casa</t>
  </si>
  <si>
    <t>Pernambuco, Brasil</t>
  </si>
  <si>
    <t>Brasília, Brasil</t>
  </si>
  <si>
    <t>SP, Brazil</t>
  </si>
  <si>
    <t>Brazil - São Paulo</t>
  </si>
  <si>
    <t>17/50📚</t>
  </si>
  <si>
    <t>Düsseldorf, Germany</t>
  </si>
  <si>
    <t>Rio de Janeiro, Brazil</t>
  </si>
  <si>
    <t>Chapada Gaúcha, Brasil</t>
  </si>
  <si>
    <t>goias</t>
  </si>
  <si>
    <t>Ative as notificações 🔔</t>
  </si>
  <si>
    <t>Portão City-RS</t>
  </si>
  <si>
    <t>Global</t>
  </si>
  <si>
    <t>Montes Claros, Brasil</t>
  </si>
  <si>
    <t>Fortim, Brasil</t>
  </si>
  <si>
    <t>São Paulo SP</t>
  </si>
  <si>
    <t>State of Espírito Santo</t>
  </si>
  <si>
    <t>Guarujá, Brasil</t>
  </si>
  <si>
    <t>Cidade Maravilhosa - RJ</t>
  </si>
  <si>
    <t>Angola</t>
  </si>
  <si>
    <t>Garanhuns, Brasil</t>
  </si>
  <si>
    <t>Lucas do Rio Verde, Brasil</t>
  </si>
  <si>
    <t>Guarabira, Brasil</t>
  </si>
  <si>
    <t>Chennai, India</t>
  </si>
  <si>
    <t>Miami Beach, Florida</t>
  </si>
  <si>
    <t xml:space="preserve">Boa viagem </t>
  </si>
  <si>
    <t xml:space="preserve">Sorocaba </t>
  </si>
  <si>
    <t>Nirvana</t>
  </si>
  <si>
    <t>Campinas, Brasil</t>
  </si>
  <si>
    <t xml:space="preserve">Brasil 🇧🇷 </t>
  </si>
  <si>
    <t>stefani</t>
  </si>
  <si>
    <t>Português</t>
  </si>
  <si>
    <t>Italia</t>
  </si>
  <si>
    <t xml:space="preserve">SP Itaquera </t>
  </si>
  <si>
    <t>João Pessoa</t>
  </si>
  <si>
    <t>-23.651151,-46.696632</t>
  </si>
  <si>
    <t>#Bahia | NE| #Brasil | Brazil</t>
  </si>
  <si>
    <t>Cascagroquistão</t>
  </si>
  <si>
    <t>Costa Barros, Rio de Janeiro</t>
  </si>
  <si>
    <t>Navegantes SC</t>
  </si>
  <si>
    <t>Goiânia</t>
  </si>
  <si>
    <t>programa do ratinho</t>
  </si>
  <si>
    <t>Dom Pedrito, Brasil</t>
  </si>
  <si>
    <t xml:space="preserve">África-Angola-Luanda </t>
  </si>
  <si>
    <t>SSA CITY</t>
  </si>
  <si>
    <t>Sao Paulo, Brazil</t>
  </si>
  <si>
    <t>sao paulo</t>
  </si>
  <si>
    <t>Curitiba - PR</t>
  </si>
  <si>
    <t>Recreio dos Bandeirantes</t>
  </si>
  <si>
    <t>Brasil / Portugal</t>
  </si>
  <si>
    <t>Niterói, RJ, Brazil</t>
  </si>
  <si>
    <t>Curitiba / PR / Brazil</t>
  </si>
  <si>
    <t>Santo André, Brasil</t>
  </si>
  <si>
    <t>Várzea da Palma, Brasil</t>
  </si>
  <si>
    <t>Rio Grande do Norte, Brasil</t>
  </si>
  <si>
    <t>Belém, Brasil</t>
  </si>
  <si>
    <t>Boituva</t>
  </si>
  <si>
    <t>Rua do Carmo, 128, Sé - São Paulo - SP</t>
  </si>
  <si>
    <t>Pirapora, Brasil</t>
  </si>
  <si>
    <t>Mexico</t>
  </si>
  <si>
    <t>São João da Boa Vista, Brasil</t>
  </si>
  <si>
    <t>Brasilia</t>
  </si>
  <si>
    <t>Barra da Tijuca</t>
  </si>
  <si>
    <t>São Luis-MA</t>
  </si>
  <si>
    <t>piracicaba</t>
  </si>
  <si>
    <t>Pontes e Lacerda, Brasil</t>
  </si>
  <si>
    <t>#Brazil,#sãopaulo,#osasco, #carapicuiba,#jandira,#barueri,#abc, #alpheville, #cotia,</t>
  </si>
  <si>
    <t>Espanha</t>
  </si>
  <si>
    <t>Garopaba, Brasil</t>
  </si>
  <si>
    <t>Sorocaba, Brasil</t>
  </si>
  <si>
    <t>Manaus-AM</t>
  </si>
  <si>
    <t>|-/</t>
  </si>
  <si>
    <t>⌗ your shine...</t>
  </si>
  <si>
    <t>Ribeirão Preto, Brasil</t>
  </si>
  <si>
    <t>Juazeiro do Norte, Brasil</t>
  </si>
  <si>
    <t>Chattanooga, TN</t>
  </si>
  <si>
    <t>João Pessoa, Brasil</t>
  </si>
  <si>
    <t>Alabama, USA</t>
  </si>
  <si>
    <t>Curitiba, Brasil</t>
  </si>
  <si>
    <t>Joinville</t>
  </si>
  <si>
    <t>Angola - Luanda</t>
  </si>
  <si>
    <t xml:space="preserve">Teresina-PI </t>
  </si>
  <si>
    <t>Valência, Espanha</t>
  </si>
  <si>
    <t>Pará-Brasil</t>
  </si>
  <si>
    <t>Dourados/MS</t>
  </si>
  <si>
    <t>Brumadinho - MG</t>
  </si>
  <si>
    <t>Taboão da Serra - SP</t>
  </si>
  <si>
    <t>Maranhão, Brasil</t>
  </si>
  <si>
    <t>Angicos / RN</t>
  </si>
  <si>
    <t>Conselheiro Lafaiete, MG</t>
  </si>
  <si>
    <t>Curitiba, Brazil</t>
  </si>
  <si>
    <t>Zurich, Switzerland</t>
  </si>
  <si>
    <t xml:space="preserve">Brasil, Porto Alegre </t>
  </si>
  <si>
    <t>Curitiba-PR</t>
  </si>
  <si>
    <t>Rio das Ostras, Brasil</t>
  </si>
  <si>
    <t>Angra dos Reis</t>
  </si>
  <si>
    <t>Belo Horizonte, Brasil</t>
  </si>
  <si>
    <t xml:space="preserve">Feira de Santana </t>
  </si>
  <si>
    <t>Itapevi, Brasil</t>
  </si>
  <si>
    <t xml:space="preserve">Jharkhand and Bihar </t>
  </si>
  <si>
    <t>Vitória/ES</t>
  </si>
  <si>
    <t>São Paulo, SP</t>
  </si>
  <si>
    <t>Uberlândia - MG</t>
  </si>
  <si>
    <t>FORTALEZA-CE</t>
  </si>
  <si>
    <t xml:space="preserve">primavera do leste - MT </t>
  </si>
  <si>
    <t>Setúbal, Portugal</t>
  </si>
  <si>
    <t>Marília, Brasil</t>
  </si>
  <si>
    <t>Colatina, Brasil</t>
  </si>
  <si>
    <t>www.folhadocondomino.com.br</t>
  </si>
  <si>
    <t>SP</t>
  </si>
  <si>
    <t>New York, NY</t>
  </si>
  <si>
    <t>Cotia, Brasil</t>
  </si>
  <si>
    <t>Ganhando Dinheiro</t>
  </si>
  <si>
    <t>ITAJAÍ</t>
  </si>
  <si>
    <t>Dias d'Ávila, Brasil</t>
  </si>
  <si>
    <t>Bauru, Brasil</t>
  </si>
  <si>
    <t>Itaquaquecetuba, Brasil</t>
  </si>
  <si>
    <t>Criciúma, Brasil</t>
  </si>
  <si>
    <t>Alta Floresta d'Oeste, Brasil</t>
  </si>
  <si>
    <t xml:space="preserve">Manaus </t>
  </si>
  <si>
    <t>Orlando, FL</t>
  </si>
  <si>
    <t>Garanhuns, Brasill</t>
  </si>
  <si>
    <t>Pratápolis, Brasil</t>
  </si>
  <si>
    <t>Colombo, Brasil</t>
  </si>
  <si>
    <t>Espírito Santo</t>
  </si>
  <si>
    <t>Vale dos Sinos, NE - Brasil</t>
  </si>
  <si>
    <t>Serra, Brasil</t>
  </si>
  <si>
    <t>Santo Ângelo, Brasil</t>
  </si>
  <si>
    <t>Calabasas, CA</t>
  </si>
  <si>
    <t>Hidden Hills, CA</t>
  </si>
  <si>
    <t>Cidade Ocidental, Brasil</t>
  </si>
  <si>
    <t>Itabira/MG</t>
  </si>
  <si>
    <t>São Luís, Brasil</t>
  </si>
  <si>
    <t>Maryland, USA</t>
  </si>
  <si>
    <t>FALO DE SEX0 QUASE SEMPRE</t>
  </si>
  <si>
    <t>United States / Brasil</t>
  </si>
  <si>
    <t>brasil</t>
  </si>
  <si>
    <t xml:space="preserve">Jaborandi </t>
  </si>
  <si>
    <t>Malta</t>
  </si>
  <si>
    <t>Leblon, Rio de Janeiro</t>
  </si>
  <si>
    <t>Sant Feliu de Llobregat</t>
  </si>
  <si>
    <t>Maranhão</t>
  </si>
  <si>
    <t>cabo frio RJ</t>
  </si>
  <si>
    <t>Moon</t>
  </si>
  <si>
    <t>Taboão da Serra, SP</t>
  </si>
  <si>
    <t>Ijuí, Brasil</t>
  </si>
  <si>
    <t>São Paulo, Brazil</t>
  </si>
  <si>
    <t>Itajaí, Brasil</t>
  </si>
  <si>
    <t>Caraguatatuba, SP, Brasil</t>
  </si>
  <si>
    <t>🇧🇷  18+</t>
  </si>
  <si>
    <t>Brazil MG City Araguari</t>
  </si>
  <si>
    <t>Miami, FL</t>
  </si>
  <si>
    <t>Rolim de Moura, Brasil</t>
  </si>
  <si>
    <t>📬 crimesreais1@gmail.com</t>
  </si>
  <si>
    <t xml:space="preserve"> Curitiba</t>
  </si>
  <si>
    <t>Viradouro, São Paulo</t>
  </si>
  <si>
    <t>Latam</t>
  </si>
  <si>
    <t>São Paulo, Brasil 🇧🇷/🇺🇸</t>
  </si>
  <si>
    <t>Web5</t>
  </si>
  <si>
    <t>São João da Boa Vista, Brazil</t>
  </si>
  <si>
    <t>Brasília, DF</t>
  </si>
  <si>
    <t>RIO DE JANEIRO -BRASIL</t>
  </si>
  <si>
    <t>Sete Lagoas, Brasil</t>
  </si>
  <si>
    <t>Rua Araripe 371, Padre Miguel.</t>
  </si>
  <si>
    <t>Administrador, Mestre em Desenvolvimento Regional e Meio Ambiente, Doutorando PRODEMA / UESC - BA. Especialista MMN. Músico e Compositor Cristão.</t>
  </si>
  <si>
    <t>📲 Caminho para o Marketing Digital 📈
📲Inspiro pessoas e negócios a crescerem 🔥
📲Descubra como ter uma renda extra, ou 
 viver do Marketing Digital 📈</t>
  </si>
  <si>
    <t>🔥MAIS DE 10MIL PESSOAS JÁ ADIQUIRIRAM ESTE PRODUTO.🔥</t>
  </si>
  <si>
    <t>Coloca o mundo no mudo e escuta o teu coração. ツ</t>
  </si>
  <si>
    <t>🎧 Radialista 📻/DRT SP 📚Estudante de Jornalismo ▶️INSTA: @eusoumichelleduarte 🇧🇷 #Flamengo❤️🖤</t>
  </si>
  <si>
    <t>Tenha uma Renda Extra sem vender NADA,  apenas respondendo pesquisas online. Acesse nosso site e saiba mais ⤵️⤵️</t>
  </si>
  <si>
    <t>Duvidas? entre em contato 83 99649-5982</t>
  </si>
  <si>
    <t>tá perdido petista</t>
  </si>
  <si>
    <t>🇧🇷Visite o canal do YouTube JC motorista Uber💥👉https://t.co/45lLMcsqPS 🔥Dicas e Estratégias para motorista Uber 👏 e 99 pop</t>
  </si>
  <si>
    <t>Conquiste uma renda extra incrível com PLRs de alto impacto. Maximize seus lucros, expanda seus horizontes e transforme sua realidade financeira.💵👨‍💻</t>
  </si>
  <si>
    <t>💸 Quer começar a investir? 💸
Leia nosso Manual do Investidor Iniciante!
Acesse o link abaixo 👇 e tenha acesso ao e-book grátis!</t>
  </si>
  <si>
    <t>🚀Ajudamos homens e mulheres a conquistarem sua independência financeira.  Acessem o link abaixo e conheça a @Débora.assessoriapp</t>
  </si>
  <si>
    <t>#Airdrops &amp; #Cryptomoedas</t>
  </si>
  <si>
    <t>Brasileiro com orgulho! 
Empreendedor, Professor de Licitações, Mentor em Negócios Públicos.
CEO na @licitamundo |
Diretor Consultor do @bniminasfomento</t>
  </si>
  <si>
    <t>“Não chores. Viva. Te amo” felipeneto@play9.com.br</t>
  </si>
  <si>
    <t>Twitter oficial da TV Cultura. Siga também os perfis: @jornal_cultura e @rodaviva. Acompanhe a nossa programação pelo nosso site!</t>
  </si>
  <si>
    <t>Investidor e Educador de Investimento em Renda Variável</t>
  </si>
  <si>
    <t>like and subscribe.</t>
  </si>
  <si>
    <t>SAIBA TUDO SOBRE LEILÃO DE VEÍCULOS!</t>
  </si>
  <si>
    <t>Afiliada/vendas online/produtos e marcas validadas https://t.co/ukuSulNMCe</t>
  </si>
  <si>
    <t>Writer, Licensed Professional Coach, Senior in Data Analysis, Data Science, BI, IA/ML and Agile Methods. I can guide you career and profession. Follow me</t>
  </si>
  <si>
    <t>✨Se vc odeia o Bozo seja bem vindo! 🤩 #antifa #FF #CI</t>
  </si>
  <si>
    <t>Serviços de coletas e entregas rápidas em Rio e grande Rio.
Motoboy e Utilitário.
Agilidade e segurança na coleta e na entrega.</t>
  </si>
  <si>
    <t>⬇️Livro PRIMEIRO MILHÃO⬇️</t>
  </si>
  <si>
    <t>Uma faísca pode gerar um incêndio ... 🔥</t>
  </si>
  <si>
    <t>Investing in Criptocurrencys</t>
  </si>
  <si>
    <t>Mude quantas vezes for preciso! 🦋
Insta: @vaneessacunha</t>
  </si>
  <si>
    <t>🌺🍃Não existem mulheres difíceis. Existem as que possuem caráter, personalidade e que se valorizam... Simples assim.🍃🌺😌❤👄👏👏</t>
  </si>
  <si>
    <t>produtora, artista e professora 🌵</t>
  </si>
  <si>
    <t>Clique no link e cadastre-se!!</t>
  </si>
  <si>
    <t>🧠 •  Motivação &amp; Desenvolvimento Pessoal
📚 • Frases e Ensinamentos 
🚀 • Te Ensino A Ganhar  Dinheiro Pelo Celular 
ACESSE A AULA GRATUITA👇</t>
  </si>
  <si>
    <t>🇷🇺</t>
  </si>
  <si>
    <t>Vivamos Bem... Cada Dia é uma Vida.</t>
  </si>
  <si>
    <t>Não vendo curso, mas ajudo você a ganhar seu carvãozinho! 😉🤑</t>
  </si>
  <si>
    <t>@AperCristao é um bot no Twitter que fornece conteúdos cristãos, reflexões e orações para te inspirar e te ajudar no caminho espiritual. Siga-nos para encontrar</t>
  </si>
  <si>
    <t>Seja para pagar as contas ou realizar sonhos, muitas pessoas buscam formas de aumentar sua renda mensal. E é exatamente isso que o blog 'Ideias para Renda Extra</t>
  </si>
  <si>
    <t>🦻🏼 Surdo Bilateral Oralizado</t>
  </si>
  <si>
    <t>Sou trader esportivo membro da Tribá</t>
  </si>
  <si>
    <t>📍| RIO DE JANEIRO
👑| 2 ANOS NO MARKETING DIGITAL
💰| Pack com mais de 10k de plr, com um curso completo que vai te ensinar a vende-las do 0 👇</t>
  </si>
  <si>
    <t>🗝️🆃🆁🅰🅽🆂🅵🅾🆁🅼🅸🅽🅶 🅿🅴🆁🆂🅿🅴🅲🆃🅸🆅🅴🆂 🅵🅾🆁 🆂🆄🅲🅲🅴🆂🆂.
📍🅴🅼🅿🅾🆆🅴🆁🅸🅽🅶 🅼🅴🅽/🆆🅾🅼🅴🅽. 
 📍 Virginia
          ♑</t>
  </si>
  <si>
    <t>ótimas plataformas de slots pagando super bem</t>
  </si>
  <si>
    <t>⚽️ Sua casa de apostas do Norte, depósito mínimo de R$2 e saque por pix 💰Vem ser TopBets! 💪🏼</t>
  </si>
  <si>
    <t>Clarice, 29 anos, cristã, esposa, mãe,  influenciadora, blogueira, afiliada</t>
  </si>
  <si>
    <t>Eu te ensino a ganhar uma renda de R$300,00 todos os dias. Venha conquistar sua liberdade financeira !!</t>
  </si>
  <si>
    <t>✨Poder trabalhar de onde estiver ✨
✨Trabalhar quantas horas quiser ✨
✨ Realizar seus sonhos ✨
✨Ser sua própria chefe 😉✨</t>
  </si>
  <si>
    <t>Marketing Digital, Renda extra, empreendedorismo Digital</t>
  </si>
  <si>
    <t>💰 Ajudo pessoas comuns mas brilhantes a criar mini produtos que vendem na Internet.
📚 Desde 2015 faturando com marketing digital.</t>
  </si>
  <si>
    <t>Palestrante, Consultor com + de 1.000 atendimentos, investidor na Bolsa há + de 20 anos. Mestre pela USP,  Autor de best-sellers em finanças pessoais.</t>
  </si>
  <si>
    <t>I don't feel at home in this world anymore</t>
  </si>
  <si>
    <t>COMEDIANTE, APRESENTADOR, ATOR, SCRIPT DOCTOR DO CLUBE DA ANITTINHA, MARIDO DA @mariatormin , FELIZ ❤️</t>
  </si>
  <si>
    <t>Venha para o nosso Grupo VIP 🔞👇👇</t>
  </si>
  <si>
    <t>Empreendedorismo feminino/mascu
Te ensino a trabalhar na sua casa perto de seus filhos📱
Tenha uma renda extra 💻e seja sua própria chefe a escolha é sua.Bora ?</t>
  </si>
  <si>
    <t>Discover the latest in electronics. From smartphones to smart home gadgets, we've got you covered. Follow us for updates and exclusive offers.</t>
  </si>
  <si>
    <t>Fala pessoal, tudo bem?
Todas as novidades sobre fundos imobiliários e ações.
YouTube:https://t.co/3N9puikSTf</t>
  </si>
  <si>
    <t>Melhores Dicas e Insights Sobre a Vida e marketing digital 🐀🪤</t>
  </si>
  <si>
    <t>Transformando conhecimento em dinheiro 💰
Quer aprender algo?!
Fale com a gente 💜</t>
  </si>
  <si>
    <t>-🚀 Empreendedor focado em inovação e crescimento.
-💡Negócios, Tecnologia e Marketing Digital...
-Juntos Contruimos o Futuro! 🌎</t>
  </si>
  <si>
    <t>Blogueiro. Perfil dedicado a falar a verdade. TOTALMENTE APOIADOR DA LIBERDADE DE EXPRESSÃO.
🦄+🧠+👑= EU</t>
  </si>
  <si>
    <t>💻Networker / Treinador de Líderes / Palestrante  ……….🙋‍♂️🙋‍♀️ Saiba mais 👇 🌎 ⏳ 💰</t>
  </si>
  <si>
    <t>VENDO MÉTODOS DO FORTUNE TIGER.</t>
  </si>
  <si>
    <t>voando baixo, almejando o topo! 🚀❤️</t>
  </si>
  <si>
    <t>🍷Marketing | lifestyle | Riqueza                                                  💰$0 a 10k na Kiwify                       🧠desbloqueando sua mente</t>
  </si>
  <si>
    <t>Flamengo até morrer!!
Hometown Valença</t>
  </si>
  <si>
    <t>Estrategista Digital🗣️ | Editor de vídeos 📹
Fotógrafo 📸 | Co-produtor 🤝🏼
Gestão de redes sociais  😎
Fazemos seu insta dar lucro.💲📲
Click no link ⬇️⬇️</t>
  </si>
  <si>
    <t>Ganhando dinheiro com plataforma.</t>
  </si>
  <si>
    <t>Patriota de direita, conservador, a favor das armas com o povo de bem e cabeça no lugar. Contra a corrupção, Contra a mídia enganadora e a favor da verdade.</t>
  </si>
  <si>
    <t>Sou cristã, serva do Deus vivo, amiga, confiável, esposa e mamãe de um príncipe Lindo 🥰</t>
  </si>
  <si>
    <t>𝒰𝓂 𝓅𝑜𝓊𝒸𝑜 𝒹𝑜 𝓂𝑒𝓈𝓂𝑜, 𝓈ó 𝓆𝓊𝑒 𝒹𝒾𝒻𝑒𝓇𝑒𝓃𝓉𝑒. ☯</t>
  </si>
  <si>
    <t>🏦Investindo em Cripto Formando Milionários CriptoGames Blockchains NFT Launchpads</t>
  </si>
  <si>
    <t>Mãe 🔸 casada 🔸 Empreendedora 
🧑‍💻Larguei a CLT pra viver do Digital
💰Mudando minha vida com a internet
📲Aprenda a mudar a sua, clica aqui ⬇️</t>
  </si>
  <si>
    <t>Funcionário Público e Empreendedor
Sobrevivente a um AVC.
Bacharel em Direito.
Esp. em Direito Administrativo.
Esp. em Publicidade e Mkt. Digital.</t>
  </si>
  <si>
    <t>💰Ensino você a construir o seu império digital para viver da internet 🔥Mais de 30 mil alunos vivendo da internet 💸</t>
  </si>
  <si>
    <t>😎</t>
  </si>
  <si>
    <t>grupo vip no telegram
insta: jftips08</t>
  </si>
  <si>
    <t>Escritor | Empresário | Professor</t>
  </si>
  <si>
    <t>Empreendedora
Mãe de 2/Dona de casa/Cristã
😍Faturando usando apenas o celular e posso te ensinar
Click no link e saiba mais. 👇</t>
  </si>
  <si>
    <t>Marketing digital, aplicativos, bitcoin e muito mais! Dicas de como trabalhar em casa e prosperar na web.</t>
  </si>
  <si>
    <t>O que Angra têm de melhor, passa na rede de tv indoor. Já são mais de 6.000 pessoas impactadas todos os dias de forma educada, limpa e elegante. 🇧🇷</t>
  </si>
  <si>
    <t>✒vc ta diferente✒Pois é, enlouqueci</t>
  </si>
  <si>
    <t>Essa startup vai ti ajudar a vender e ter uma renda extra!! Muito mais novidades para empreender de casa!!</t>
  </si>
  <si>
    <t>NOVA PROFISSÃO que vem mudando a vida de milhares de pessoas através da internet! Clique e Descubra...
https://t.co/nRL6hD5AXG</t>
  </si>
  <si>
    <t>Aqui falamos de investimento e um país melhor.</t>
  </si>
  <si>
    <t>Jornalista</t>
  </si>
  <si>
    <t>Apaixonado por tecnologia e mercado financeiro, profissional em day trade de mini indice e mini dolar.
aventureiro no mundo das cripto moedas...</t>
  </si>
  <si>
    <t>te ajudo a comprar mais barato na @shopee 
Ajudo pessoas a trabalhar com o seu celular em casa!!📱💰</t>
  </si>
  <si>
    <t>- insta: danioliiveira_
- facebook: Daniella Oliveira
- apaixonada pelo @wesleysafadão
- livrai - me de todo mal, amém</t>
  </si>
  <si>
    <t>Specialist in digital marketing for affiliates, Microsoft ads, bing ads, facebook ads and youtube ads in Brazil and World.</t>
  </si>
  <si>
    <t>| 🎰 Online 24hrs 🎰 |👇 Fala com a gente  https://t.co/Wr8Xvk6reX…</t>
  </si>
  <si>
    <t>• Eu gosto do inverno
• Conselho diário
• 1% melhor hoje</t>
  </si>
  <si>
    <t>Python | Criador de Bot | Developer |                                        
   🔗 Clique no link abaixo e confira! 👇</t>
  </si>
  <si>
    <t>Se seu objetivo é ficar rico com apenas um celular e acesso a internet, você está no perfil certo🚀🥇</t>
  </si>
  <si>
    <t>@Franciscoplay11</t>
  </si>
  <si>
    <t>🗯🤍</t>
  </si>
  <si>
    <t>então né</t>
  </si>
  <si>
    <t>aqui postarei meu trabalho, entrega para todo Brasil, faça aqui sua encomenda.</t>
  </si>
  <si>
    <t>Sejam bem vindos!
o que você faria se descobrisse um robô que após configurado mudaria sua vida?
aprenda a ganhar dinheiro na internet 💻</t>
  </si>
  <si>
    <t>Desde 2009 o Fronteira Livre se tornou um dos portais de notícias mais vistos do Brasil, com grande acesso na América Latina e Caribe</t>
  </si>
  <si>
    <t>Bruxinha Capenga𖠅
Poetiza Cansada⚠︎
Travesti Desalmada☠︎
3,4,5 vezes mais loka que você☣︎</t>
  </si>
  <si>
    <t>Bem-vindo à WJBET! Comunidade de Cassino Online com jogos e promoções incríveis para você ganhar dinheiro enquanto se diverte.</t>
  </si>
  <si>
    <t>OSomdoUnboxing é um site de notícias diversas (Celebridades, Shows, Pet, Cultura Pop, Tecnologia e etc). Temos Página no Facebook e YouTube sobre Games e ASMR.</t>
  </si>
  <si>
    <t>Somos o Grupo Recupera Brasil, uma equipe dedicada a ajudar pessoas a limpar seus nomes e recuperar sua credibilidade financeira.
Contato: (19) 99923-1909.</t>
  </si>
  <si>
    <t>Ajudo pessoas comuns a Conquistar sua Independência Financeira sem sair de casa 👩‍💻💰📲 Ig: @romario.goncalvees</t>
  </si>
  <si>
    <t>Ganhe dinheiro e renda extra usando umas de nossas Plataformas Digitais e Aplicativos 💵🤑🧑‍💻</t>
  </si>
  <si>
    <t>Rainha do Bac Bo 🎲📛</t>
  </si>
  <si>
    <t>Quer ganhar um extra sem enrolação, vem comigo que te mostro como ganhar 100/200 Reais, até mais se precisar em menos de 1hora...</t>
  </si>
  <si>
    <t>Aqui você encontra de tudo um pouco.</t>
  </si>
  <si>
    <t>vestibulanda 24/7 por semana mas cosplayer e streamer nas horas vagas!⠀⠀ ⠀⠀ ⠀⠀ ⠀ ⠀ ⠀ ⠀ @pauledna_ ₍^._.^₎⟆ ♡ ⠀</t>
  </si>
  <si>
    <t>Empreendedor digital, Trader, Mentor em Marketing Digital, Analista, Programador e Pai da Mariana.</t>
  </si>
  <si>
    <t>Aqui você encontrará dicas e estratégias para ganhar dinheiro de maneira inteligente e eficaz. Vamos explorar oportunidades de renda extra, empreendedor.</t>
  </si>
  <si>
    <t>|Empreendedora Digital
|Ajudo pessoas comuns a iniciar seu Negócio Online do ZERO!
|Destrave suas Vendas com um Método Validado!
Ultimas Vagas👇</t>
  </si>
  <si>
    <t>Mais de 20 milhões de reais na internet (5 milhões só no orgânico)</t>
  </si>
  <si>
    <t>😀</t>
  </si>
  <si>
    <t>🤑  Invista com pouco
🚀  Marketing Digital
🚨  Dropshipping
📅  Renda extra todos os meses</t>
  </si>
  <si>
    <t>Divertido de pagar | Divertido de ganhar</t>
  </si>
  <si>
    <t>the sun, the moon, the truth</t>
  </si>
  <si>
    <t>Construindo meu império ✨
Ganhando com jogos On-line 🤑</t>
  </si>
  <si>
    <t>Achadinhos da Shopee com preços baixo. Acesse o link.</t>
  </si>
  <si>
    <t>Gosto quando me chamam de Xoxo.</t>
  </si>
  <si>
    <t>👨🏻‍💻 | Investidores Esportivos  👨🏻‍🏫 | Especialistas em Futebol  🤑 | Entradas In Live/Pré Live  💲 | Planilha De Gestão e Sorteios De Pix.</t>
  </si>
  <si>
    <t>Bacharel em Artes Teológicas, Psicanalista, Conselheiro e Assessor em Dependência de SPA, Psicoteologo, Gestor de Desenvolvimento Social, D&amp;T de Pessoas,</t>
  </si>
  <si>
    <t>A conta que joga no seu time na hora de comprar eGift🔖
Baixe agora mesmo o nosso app gratuitamente 📲
🔽</t>
  </si>
  <si>
    <t>👉 Blog,pets,artes,tendências
👉 Mãe de + de doze gatinhos
👉 Escritora,blogueira,arteira</t>
  </si>
  <si>
    <t>faturando milhões pela internet 💸
quer ter sua liberdade financeira
adquira o seu tbm 👇🏽</t>
  </si>
  <si>
    <t>Se inscreve no nosso canal do YouTube 
⬇️Somos mais de 40 mil inscritos ⬇️</t>
  </si>
  <si>
    <t>Oferecemos consultoria em inovação e tecnologia para ajudar empreendedores a alcançar seus objetivos de negócios.</t>
  </si>
  <si>
    <t>Pai, Tricolor e empresário.</t>
  </si>
  <si>
    <t>A abundância entra na minha vida de formas surpreendentes e milagrosas 🙏
🔮♉💰📷
👬❤️♏🌈</t>
  </si>
  <si>
    <t>Acabando com a mesmice: A Trade Web fornece notícias, análises e insights essenciais sobre marketing digital e empreendedorismo.
https://t.co/29Lpr25YPo</t>
  </si>
  <si>
    <t>Muitos achadinhos 😁
Facilitando a vida com a internet 🧑‍💻
Te ajudo a trabalhar pelo celular 📲
Afiliada Digital 🧑‍💻</t>
  </si>
  <si>
    <t>💰100% de bônus de primeiro depósito
🛞Super big roulette grátis
🤙Compartilhamento para todos. bônus ilimitado !</t>
  </si>
  <si>
    <t>Daniele Anile - Empreendedora Digital
🧠 | VENDA SEM APARECER na Internet !
💰  | Mais de 40 Mil faturados 
🔗|Comece me seguindo IG: daniele.anile</t>
  </si>
  <si>
    <t>Nothing yet</t>
  </si>
  <si>
    <t>Hello
shop Mary</t>
  </si>
  <si>
    <t>➡️Empreendedor Financeiro &amp; Especialista em Marketing Digital. 🤑💼💰
➡️Ajudando a alcançar a liberdade financeira. 🕊️💸
➡️Baixe seu E-Book! 📖💻📲</t>
  </si>
  <si>
    <t>Trader de criptomoedas baseado em análise gráfica detalhada, estratégias avançadas e insights valiosos. Maximizando potencial de lucro💰</t>
  </si>
  <si>
    <t>cute puppy</t>
  </si>
  <si>
    <t>Ganhe em dólar. 
100% online. Sem ter que aparecer,  sem falar inglês no conforto da sua  casa.
Clique no link abaixo</t>
  </si>
  <si>
    <t>Bem-vindo à Nixin Marketing! Somos uma equipe dedicada a te ajudar a aumentar seus ganhos financeiros e atinjam sua independência financeira.</t>
  </si>
  <si>
    <t>Tô ae de novo mais flopado do que nunca</t>
  </si>
  <si>
    <t>Humor, Amor próprio.</t>
  </si>
  <si>
    <t>Consultoria de Semijoias, curso completo de como comprar, banhar suas peças e precificar corretamente com ganhos de até 1500%.</t>
  </si>
  <si>
    <t>📖 Jeremias 33:3 I 👨‍💻 Criador de conteúdo💍@cflino</t>
  </si>
  <si>
    <t>Afiliado oficial da shopee e da monetizze 
produtos de alta qualidade.
classificação de 5 🌟 
Vários cursos proficionalizante⭐</t>
  </si>
  <si>
    <t>Voçê não tem paciencia de procurar produtos pela internet?
Farei indicações confiáveis!</t>
  </si>
  <si>
    <t>Cantor Tiago Camargo Cantor para festas, casamentos, eventos. Show Solo, Dupla, Trio ou Banda para Festas, Formatura , Pubs , evento corporativo</t>
  </si>
  <si>
    <t>Trabalhar em casa🏠 
Ganhar 💰 com 📱 
Saiba como usar seu📱 para fazer dólar 
⬇ Acesse agora! ⬇ 
https://t.co/GxWhwLyFPQ</t>
  </si>
  <si>
    <t>Smash
🚀Líder do cassino de jogo social🎰
🔥Notícias quentes👇🏼
#bet #gaming #sport
https://t.co/sR7kOeRx3n</t>
  </si>
  <si>
    <t>ajudo pessoas a ganharem (💰) de forma HONESTA e SEGURA através da internet</t>
  </si>
  <si>
    <t>O que é pra ser têm muita força pra acontecer🚀</t>
  </si>
  <si>
    <t>#dicas e #insights de #administração e #empreendedorismo. Também incluimos #histórias inspiradoras e #reflexões. Acompanhe-nos e inspire-se! 🚀 💼📈💡</t>
  </si>
  <si>
    <t>Aprendi a ganhar dinheiro sem sair de casa aos 17 anos ✨✨✨
e eu posso te ajudar tbm! 💸💰
link abaixo</t>
  </si>
  <si>
    <t>Empreendedor Digital, Mercado de Afiliado, Negócio Digital, Vender na Internet</t>
  </si>
  <si>
    <t>Vai chamar um carro por aplicativo? MobyGo 📲🚖
Baixe grátis agora nosso aplicativo. ⬇️⬇️
Com a MobyGo você paga menos e anda mais!!!</t>
  </si>
  <si>
    <t>Administradora, Contadora, pós-graduada em Mercado Financeiro e de Capitais e tentando descomplicar o mundo dos investimentos 📚🧮💰</t>
  </si>
  <si>
    <t>Sem temer a próxima porta ou janela que irá se abrir, sigo com uma única expectativa: Que seja bom o que vier.🍀♎</t>
  </si>
  <si>
    <t>Partilho Princípios sobre Desenvolvimento Pessoal e Empreendedorismo Online</t>
  </si>
  <si>
    <t>Webmaster / Youtuber | Link do Canal »»» https://t.co/yTef2kZuZr…</t>
  </si>
  <si>
    <t>♊️🌈 Oficial #CASAL ARRASTA PRA CIMA👆Seguem nosso canal Rede vizinha @atal_da_dada 📲👩‍❤️‍💋‍👩 @Vitoriabirolli</t>
  </si>
  <si>
    <t>De um rolê aleatório a rotina no RJ</t>
  </si>
  <si>
    <t>"🍰🍬Descubra o doce sabor do sucesso! Aprenda receitas de bolos e doces lucrativos de forma fácil, prática e econômica faça disso a sua renda-extra ainda hoje</t>
  </si>
  <si>
    <t>Te ensino a ganhar dinheiro na internet de forma segura, usando apenas seu celular. Faturando com Slots 👇🏻</t>
  </si>
  <si>
    <t>Especialista em Vendas e Tráfego Pago | Publicidade e propaganda</t>
  </si>
  <si>
    <t>Trader Saeed Rashid 
estratégista em Criptomoeda</t>
  </si>
  <si>
    <t>Vamos construir um legado juntos! 🚀 Dicas para ganhar dinheiro com a internet, através do link👇</t>
  </si>
  <si>
    <t>Acesse no Youtube: https://t.co/z013xbwhLC</t>
  </si>
  <si>
    <t>🇧🇷 🚩 Trabalhista! &amp; Nacionalista! (orgulho) 🇧🇷 🚩</t>
  </si>
  <si>
    <t>Comentários aleatórios com certo tom de pertinência | Sigam-me os bons!</t>
  </si>
  <si>
    <t>Tudo sobre o mercado financeiro e finanças pessoais.
Conheça nossas páginas:
https://t.co/BqZGTotDER</t>
  </si>
  <si>
    <t>editor de vídeo, designer, roteirista, operador do direito, Flamengo e eleito rei das thumbs por populares.          
 contatocomedyzin@gmail.com</t>
  </si>
  <si>
    <t>dicas de como ganhar dinheiro sem sair de casa 🤑💰</t>
  </si>
  <si>
    <t>Opere comigo ao vivo às 21:00
e faça 5% por dia por apenas R$59,70/mês</t>
  </si>
  <si>
    <t>PDF 7D de Tecnologia e Programação para Escolas, Preparatórios e Professores - Inscreva-se no Youtube, TikTok, Pinterest, LinkedIN| https://t.co/5rosFKZXPh</t>
  </si>
  <si>
    <t>Um canal destinado a te ajudar a conquistar uma renda extra todos os dias!! 💸💸</t>
  </si>
  <si>
    <t>Planejador Financeiro Pessoal.  "O trabalho com responsabilidade é o fio condutor do sucesso"</t>
  </si>
  <si>
    <t>Classificados Grátis Para Empresas, Produtos, Serviços.</t>
  </si>
  <si>
    <t>🪙🪙projeto CINCOIN  traz inclusão digital  financeira para todas as classes.
pesquise e conheça esse grande projeto 
#CINCOIN</t>
  </si>
  <si>
    <t>Advogado, especialista em direito civil e em direito notarial e registral. Criador de conteúdo sobre temas jurídicos e atualidades.</t>
  </si>
  <si>
    <t>👨‍💻 Trabalhando Em Home Office Desde 1998
🔴 Ganhe Para Divulgar no Instagram
👉 Clique no Link Abaixo ⬇️
https://t.co/CMchNoAhLr…</t>
  </si>
  <si>
    <t>If you can dream it, you can do it.  
https://t.co/vZJviBcwaw</t>
  </si>
  <si>
    <t>TRABALHO COM SAUDE RENDA E BELEZA MEDICAMENTOS NATURAIS SEM EFEITOS COLATERAIS E TAMBÉM EM NOVAS FORMAS DE RENDA EXTRA.</t>
  </si>
  <si>
    <t>🇧🇷|🇵🇹
Venda Pack de PLR</t>
  </si>
  <si>
    <t>Transformando criadores em empreendedores. 🔥
Comece seu negócio digital aqui!</t>
  </si>
  <si>
    <t>⚽️Dicas grátis diariamente 
📌Foquem no longo prazo 🧠
📊 mantenha gestão de banca</t>
  </si>
  <si>
    <t>Vendedor de cursos com 2+ anos de experiência. Ajudo pessoas a alcançar seus objetivos com treinamentos de qualidade.</t>
  </si>
  <si>
    <t>O que Paraty têm de melhor, passa na rede de tv indoor. Já são mais de 6.000 pessoas impactadas todos os dias de forma educada, limpa e elegante. 🇧🇷</t>
  </si>
  <si>
    <t>ギア                                                                                                                               Conta reserva:@sincero_lelouch</t>
  </si>
  <si>
    <t>Já pensou em ter uma loja online sem precisar de estoque? Clique no link e conheça este modelo de negócio!</t>
  </si>
  <si>
    <t>Atuamos no segmento de Prestação de Serviços, nas modalidades: Efetivos, Terceirizados, Temporários, Estagiários, Consultoria, Headhunter e Coaching.</t>
  </si>
  <si>
    <t>👊Quer Aprender a ganhar dinheiro trabalhando em casa
👉Eu te ensino como Fazer....
Me chama no WhatsApp 17991145272</t>
  </si>
  <si>
    <t>Pós graduada Arqueologia.
Mãe do Nicolas, o bebê meme.
A que vive cansada.
Amante dos memes.
Primeira em seu nome.
Rainha do X-tudo.</t>
  </si>
  <si>
    <t>SENIOR ACCOUNT MANAGER👩‍💻  AMERICAN 🇺🇸🇧🇷🏴󠁧󠁢󠁥󠁮󠁧󠁿 9YRS TRADING EXPERIENCE📈📉
EARN OVER $500,000 WEEKLY 💰
BE MY TESTIFIER 🤝
Contact:
24/7 active...</t>
  </si>
  <si>
    <t>#Learning💡&amp; #Sharing 🌐, how to #Growth 🚀 &amp; #Monetize 💰 on #Twitter 🦜. #Digital #Marketing</t>
  </si>
  <si>
    <t>O primeira venda em 24 horas, tem mais de 250 mil alunos, o melhor treinamento para quem quer comecar sua jornada no mercado digital, ja podendo ter seus primei</t>
  </si>
  <si>
    <t>🚨Ganhe dinheiro lendo notícias. Quer saber mais? Link abaixo na bio. 💵💰</t>
  </si>
  <si>
    <t>🚀 Especialista em Marketing Digital e Automação 🤖 | Transformando ideias em resultados | 💡 Estrategista de crescimento online |</t>
  </si>
  <si>
    <t>vem comigo, que te ajudo a faturar 💰através da Internet usando apenas seu celular!
📲 saiba mais no ig @maristeladossantosofc</t>
  </si>
  <si>
    <t>Fique bem informado sobre as principais notícias do Brasil e do mundo no #PortalR7!</t>
  </si>
  <si>
    <t>🔥| Marketing de Afiliados ⚡️          
                             💰| Ajudo você a faturar com + de 250 sites só pelo📱💡| Quer aprender o passo a passo?👇🏼</t>
  </si>
  <si>
    <t>🛒Procurando preços baixos ? Aqui você encontra 🛍️</t>
  </si>
  <si>
    <t>1D fã 💙💛❤️💚🧡
Larry shipper 💙💚
Bissexual 🏳️‍🌈 = gostar de mulher e dos meninos da 1D 😏🥰</t>
  </si>
  <si>
    <t>O maior evento de Apostas Esportivas do Brasil</t>
  </si>
  <si>
    <t>💰l Vivo da internet e ajudo mulheres viverem também.</t>
  </si>
  <si>
    <t>Streamer In @twitchbr and @youtubebrasil 🎮
Brazilian.
Otaku - GAMER
✝
RJ</t>
  </si>
  <si>
    <t>Falamos sobre Segurança &amp; Privacidade em Bitcoin</t>
  </si>
  <si>
    <t>Conservador, smithsoniano, heterossexual.</t>
  </si>
  <si>
    <t>Programa PÂNICO é na JP💥👇🏼Assista aqui</t>
  </si>
  <si>
    <t>Participe da nossa comunidade, feita para quem deseja empreender , fazer novas parcerias, conhecer novas pessoas.
.
Alyra | Onde as pessoas se encontram.</t>
  </si>
  <si>
    <t>SALVE RAPAZIADA 👏 Seja bem vinda ao meu perfil.Agradeço a todos.🙌
informo a vocês que todos os dias as 10 da manhã ... estarei trazendo vídeos pra você melhor</t>
  </si>
  <si>
    <t>📧 xtudoparceria@gmail.com
💡Canal do youtube: 
https://t.co/rxg4FFrChJ</t>
  </si>
  <si>
    <t>Descubra como usar objetos do dia a dia para resolver problemas domésticos. Veja também dicas e truques que lhe ajudarão a economizar.</t>
  </si>
  <si>
    <t>Conservador de direita, Youtuber, Programador, investidor, fanatico em tecnologia, fã de dragon ball, artista marcial, futebolista amador e gamer.</t>
  </si>
  <si>
    <t>GRUPO GRÁTIS NO TELEGRAM 👇🏽</t>
  </si>
  <si>
    <t>casada 👨‍👩‍👦</t>
  </si>
  <si>
    <t>☆Empreender;
☆Ajudar pessoas a mudar as suas vida;
☆Ser 1% melhor do que ontem!
☆Gerir um residual;
Envia mensagem privada para mais informações 🙂</t>
  </si>
  <si>
    <t>Melhor token de renda passiva, soluções inteligentes, Farm &amp; Swap.</t>
  </si>
  <si>
    <t>Conteúdo sobre Artesanato 
 https://t.co/oWcOicKz4f</t>
  </si>
  <si>
    <t>⠀⠀middle woman fc</t>
  </si>
  <si>
    <t>CANAL : RAUNI TUTORIAIS</t>
  </si>
  <si>
    <t>O seu guia definitivo para o mundo do marketing digital! 
---
Aqui você encontrará dicas, estratégias, cursos e ofertas de diversos segmentos.</t>
  </si>
  <si>
    <t>Cursos Online / Eventos / Gestão de pagamentos / Afiliados</t>
  </si>
  <si>
    <t>💜 O 1° comparador de seguro viagem!
🛩️ Experiencie sua viagem sem preocupações.
🌟 Conheça nossos planos.
👇 Clique abaixo e garanta desconto.</t>
  </si>
  <si>
    <t>Camisas é o que vendemos, mas o estilo é você quem faz !</t>
  </si>
  <si>
    <t>A ARTE É A ALMA DA RAZÃO!
Artista e Empreendedor 
Marketing
Publicidade</t>
  </si>
  <si>
    <t>Marketing Digital 💻 | Empreendedorismo Digital 💼 | Google Ads E Video Review💰| Já ajudei centenas de pessoas a montarem seus negócios online.💡</t>
  </si>
  <si>
    <t>Economista Comportamental - Conhecido como o "Dr. Money Sul". O economista que mais aparece na mídia do RS quando o assunto é o seu bolso , o seu dinheiro</t>
  </si>
  <si>
    <t>Comece agora a lucrar na Páscoa! Inicie antes de todo mundo e ganhe dinheiro nesse feriado! Clique no Link https://t.co/Zxatd5xgEG</t>
  </si>
  <si>
    <t>Os melhores conteúdos LGBT você encontra aqui 🔥</t>
  </si>
  <si>
    <t>Eu sou responsável por tudo aquilo que esta a minha volta</t>
  </si>
  <si>
    <t>Difundimos Fragmentos da Fé Católica.
INSCREVA-SE: https://t.co/rZunWQziUi…</t>
  </si>
  <si>
    <t>Galera, estão prontos para ficar por dentro das últimas novidades de Balneário Camboriú? Siga o perfil @Informa_bc no Twitter e fique sempre atualizado</t>
  </si>
  <si>
    <t>Consultora da Follow
➕ de 77mil clientes 🌎
💰Te ajudo a ter um negócio lucrativo 👇🏻 
🟣consultoria gratuita</t>
  </si>
  <si>
    <t>Mineirinha, Atleticana, amante das boas obras da humanidade e do erotismo. Debates são bem vindos, farpas são devolvidas à altura.</t>
  </si>
  <si>
    <t>O radar de promoções e outros achadinhos</t>
  </si>
  <si>
    <t>Bot, estratégias e gerenciamento de banca</t>
  </si>
  <si>
    <t>➡️ Somos uma consultoria esportiva
🧑🏿‍💻 Temos um especialista no Mercado de Especiais: PASSES e DESARMES
📲 Venha conhecer o nosso trabalho!</t>
  </si>
  <si>
    <t>Criador do site Finanças e Cia e do blog Investidor Criptomundo.
blog: https://t.co/zq0yNV4Xj7
cripto: https://t.co/nBz4M7PB2p</t>
  </si>
  <si>
    <t>Aprenda a Gerar Renda Online sem Sair de Casa: Descubra Como Ganhar Dinheiro na Internet sem Aparecer 💰</t>
  </si>
  <si>
    <t>Emprendedor Digital🏝
Coach En Marketing de Afiliados
Descubre El Nuevo Sistema
Lanza tu negocio Online 
👇🏻⬇️</t>
  </si>
  <si>
    <t>melhor plataforma</t>
  </si>
  <si>
    <t>do you got a bait? or nah • opiniões de uma pessoa irrelevante p vc</t>
  </si>
  <si>
    <t>❇️ SAÚDE - VIDA ÉPICA
🙏 Ajudo pessoas no Brasil e no Mundo a Se Manterem Saudáveis, Prósperas e Felizes!
🌏 Clique No Link Abaixo e Saiba Mais  👇</t>
  </si>
  <si>
    <t>Todas as redes @cassiasantosart
Perfil oficial @cassiasantos</t>
  </si>
  <si>
    <t>𝒛𝒛𝒁𝒛 𝑱𝒆𝒐𝒏 𝑱𝒖𝒏𝒈𝒌𝒐𝒐𝒌!!</t>
  </si>
  <si>
    <t>sou profissional de marketing de relacionamento. Todos os canais e filmes e séries por R$ 15,00!https://t.co/jgNIpKygUb</t>
  </si>
  <si>
    <t>🏆Profissional do Network Marketing 🌐 Ajudar o máximo de pessoas possíveis 💼Empresário/luciluci🇧🇷🇧🇴🇵🇾📱whatsapp:(34)99110217</t>
  </si>
  <si>
    <t>PTFÓBICO antes de mais nada!
Patriota e conservador por natureza!
Professor de Inglês e Trader em criptomoedas
Confio em DEUS e nosso Senhor JESUS!</t>
  </si>
  <si>
    <t>Consultor de TI</t>
  </si>
  <si>
    <t>e o nargas?</t>
  </si>
  <si>
    <t>sugestão dm | nas notificações de postagem | BackUp Page | Curta todas as minhas postagens para um grito</t>
  </si>
  <si>
    <t>Verás Que Um Filho Teu Não Foge a Luta!</t>
  </si>
  <si>
    <t>🖥️ | Te mostro o Caminho para a disciplina
🧑‍💻 | Transformar Afiliado comun em Estrategista de Sucesso
📊 | ⬇️CLIQUE PARA APRENDER VENDAS SEM APARECER</t>
  </si>
  <si>
    <t>third sector enabler and apologist • he/him • views are my own 🎀</t>
  </si>
  <si>
    <t>Perfil oficial da Prefeitura de Catanduva, mantido pela Coordenadoria de Comunicação Social.</t>
  </si>
  <si>
    <t>Portal de Conteúdo de Marketing Digital.</t>
  </si>
  <si>
    <t>#Sdv</t>
  </si>
  <si>
    <t>🦋✨</t>
  </si>
  <si>
    <t>Mamãe do Raphael -Empreendedora adoro jogos online e participar de promoções.</t>
  </si>
  <si>
    <t>Você 🫵 só consegui ver o que eu quero mostrar!</t>
  </si>
  <si>
    <t>eu e minha amigas vendemos pack dos pezinhos. barato e o mais profissional possível '-'</t>
  </si>
  <si>
    <t>O Senhor é a minha força e o meu escudo; nele o meu coração confia. ❤
salmos 28.7</t>
  </si>
  <si>
    <t>Estamos Compartilhando Conteúdo De Tecnologia Do Consumidor Diariamente Para Que Sua Vida Fique Mais Fácil</t>
  </si>
  <si>
    <t>a internet não existe</t>
  </si>
  <si>
    <t>divertido, delicado e profundamente perturbador.
eu faço tec tec tec no teclado aí sai uns textos que são publicados por aí</t>
  </si>
  <si>
    <t>💰GANHE DINHEIRO EM CASA💰
🔥MAIS DE 50 MIL 
EMPREENDEDORES DIGITAIS 🔥
COMECE A GANHAR DINHEIRO ME 📲CHAMANDO NO DIRECT📲</t>
  </si>
  <si>
    <t>Minha fé irá me levar onde os fracos jamais pisaram 🚀🙏 https://t.co/FcRXkhuuR0</t>
  </si>
  <si>
    <t>Muito bem casado!❤️</t>
  </si>
  <si>
    <t>💖🥰</t>
  </si>
  <si>
    <t>👑| MOTIVAÇÃO DE ÁGUIA 
❤️‍🔥| TUDO COMEÇA PELA MENTE
🔥|FAÇA 1.000 REAIS EM 7 DIAS
👇 CLICA NO LINK E SAIBA MAIS👇</t>
  </si>
  <si>
    <t>Cristã, Casada &amp; Empreendedora Digital. 
♟️Aqui te ensino tudo sobre o Mkt Digital e Renda Extra.
Me segue no Instagram para mais informações...</t>
  </si>
  <si>
    <t>Conteúdo de Praias do sul do Brasil 🌊🌞🌴
Os melhores smartphones você encontra aqui no link abaixo</t>
  </si>
  <si>
    <t>Best website to make money online. Only tested &amp; verified tasks. Instant withdrawals. PayPal, Bitcoin, VISA &amp; more.
Paid out $𝟒𝟎.𝟎𝟎𝟎.𝟎𝟎𝟎+ to our users!</t>
  </si>
  <si>
    <t>Fique por dentro de tudo o que acontece com o Flamengo.</t>
  </si>
  <si>
    <t>Criação e manutenção de site | Especialista em WordPress | Plataforma de doação online | Loja Virtual | Registro de domínio | Hospedagem de site</t>
  </si>
  <si>
    <t>A melhor plataforma de divulgação de links e cadastro de afiliados. 🤑💰</t>
  </si>
  <si>
    <t>Um dia de casa vez, sem passar por cima, de ninguém.</t>
  </si>
  <si>
    <t>19 anos🚩 foco no processo 🧠 👑📌 Comece a viver da interne💸t PACK com 1800 PRL’S/400 vídeos lifestyle para vender seu produto 👑🚀😴
linktr.</t>
  </si>
  <si>
    <t>A amizade desenvolve a felicidade e reduz o sofrimento, duplicando a nossa alegria e dividindo a nossa dor.</t>
  </si>
  <si>
    <t>venha aprender fazer dinheiro extra</t>
  </si>
  <si>
    <t>Venhá conferir como as pessoas tenham tantos sucessos
  Vejá como é ser um de nós , Venha fazer parte de uma nova erá
De vencedores ... confirá aqui !</t>
  </si>
  <si>
    <t>💼Jonathas da Luz💡
🚀Busco Ajudar Pessoas💰
📱https://t.co/rrnbkY0CkW…
👨‍🎓Transforme a sua vida https://t.co/txYriQbDcX…</t>
  </si>
  <si>
    <t>Reprogramação Mental, Meditação Guiada, Afirmações Positivas, Mantras, Terapias. Coach de Vida. Especialista em Neurociência.</t>
  </si>
  <si>
    <t>Prompt Engineer | Motivação e Alta Performance | Compartilhando conhecimento sobre I.A. saúde e vida longa! | Represento a Brandz Capital</t>
  </si>
  <si>
    <t>Já ganhei + de R$ 70 mil com vendas online. 😍🔥Insta | carolina_bouvie. 📸🌸</t>
  </si>
  <si>
    <t>prazer Heittor. sou criador de conteúdo. prazer yt100Limits e Proplay641 meu Instagram ytHeittor</t>
  </si>
  <si>
    <t>Apresentamos opções de negócios e carreira para obter renda extra, filtrando pelos melhores cursos e preços.
Suporte: Instagram ou email:dsbafiliacoes@gmail.com</t>
  </si>
  <si>
    <t>Somos um canal de informações, analises e ferramentas financeira. Queremos tornar o mundo de investimentos mais transparente, dinâmico, e de fácil entendimento.</t>
  </si>
  <si>
    <t>Corredor de rua, dono de blogs. Sou de Pernambuco, a terra onde fazem empada de gente! O.o</t>
  </si>
  <si>
    <t>Já faturo mais de 1 salário mínimo por semana através do marketing digital. Quer saber como ? Chamaaa</t>
  </si>
  <si>
    <t>Revista eletrônica, Notícias, variedades</t>
  </si>
  <si>
    <t>Pode chamar “Kauái”. Seu app de vídeos curtos. 🎥 #AFazendaNoKwai 🤠</t>
  </si>
  <si>
    <t>Mãe empreendedora! 
Você que tem o desejo de aprender uma nova nova profissão que está super em alta o marketing digital esse é o momento, eu posso te ajudar!</t>
  </si>
  <si>
    <t>emprendedorismo de forma segura!!!</t>
  </si>
  <si>
    <t>fanfics sobre a vida real</t>
  </si>
  <si>
    <t>Sorria</t>
  </si>
  <si>
    <t>Conquiste sua liberdade financeira e geográfica💰
🚀+ de 250 mil alunos pelo mundo 🌍 
Quer saber como ? Me chama ou Acesse o link 👇💥</t>
  </si>
  <si>
    <t>empreendedor</t>
  </si>
  <si>
    <t>Método 100% confiável para aumentar sua renda !
Nossa equipe burla casas de apostas e multiplica seu dinheiro por 10x!
Tudo automático, seguro e sem burocracia!</t>
  </si>
  <si>
    <t>Te Ajudo a Faturar com a Internet
Faça Renda Extra sem Precisar sair de Casa</t>
  </si>
  <si>
    <t>Hello, 
My Name is Alamin,
I am a Digital Marketer
&amp; SEO Expert.
#Freelance
#DigitalMarketer 
#SEOExpert
#Instagrammarketer
#MarketingManeger
#TwitterMarketer</t>
  </si>
  <si>
    <t>garanta peças de qualidade e ótimo preço !!!
trabalhamos com semi joias 100% anti alergicas  e garantia de 3 anos no banho</t>
  </si>
  <si>
    <t>Te ensino a ganhar dinheiro com a internet, VC só precisa ter um celular CONECTADO à INTERNET.
Quer saber como?👇🚀🤑
Insta👉@eusou.poulannaguimaraes</t>
  </si>
  <si>
    <t>Professional and convenient trading and investment platform.
We provide professional services and the best trading experience🙌 #trade #investimento</t>
  </si>
  <si>
    <t>❤Transforme sua vida com nossos produtos incríveis! Conforto, satisfação e felicidade garantidos. Faça sua compra agora e experimente a diferença.</t>
  </si>
  <si>
    <t>Seja bem vindo ao Seu Shop na Web, tudo o que você precisa num só lugar!
https://t.co/hLzTu0tS4O…</t>
  </si>
  <si>
    <t>Te Ensino ganhar dinheiro com teu celular📳
👑Vem fazer uma Renda Extra Comigo
Youtuber</t>
  </si>
  <si>
    <t>Seja Bem Vindo!!!
Vender pela internet é para você também❗
Ensino pessoas comuns a terem uma nova fonte de renda pelo celular❗                 
⤵SAIBA COMO ⤵</t>
  </si>
  <si>
    <t>#bitcoin  🇧🇷</t>
  </si>
  <si>
    <t>site de entretenimento, curiosidades e coisas interessantes 🌎</t>
  </si>
  <si>
    <t>😎A Casa que transforma você em uma lenda!
🏃‍♂️Saques relâmpago
🗣️Suporte humanizado
⬇️Venha conferir agora!</t>
  </si>
  <si>
    <t>adquirir sua TON
5% de desconto para você 👇</t>
  </si>
  <si>
    <t>Permita - se ser livre financeiramente, tenha várias fontes de renda. Seja cauteloso e não impulsivo.</t>
  </si>
  <si>
    <t>📊 | Ensinamentos e Desenvolvimento  🧠 | Evolução Constante!                              🥃 | Uma Dose de motivação!</t>
  </si>
  <si>
    <t>Cripto Investidor 
Designer NFT’s 🎟️
Gestor de Milhas Aéreas✈️ 
Holder &amp; Creator No Gotas💧 
 Yield Hacker 🎫🐋</t>
  </si>
  <si>
    <t>Dicas de produtos que uso no dia a dia e amo.</t>
  </si>
  <si>
    <t>Coerente, inclusivo, fraterno!
👉 Abra a sua conta: https://t.co/K1MKdsEsYD</t>
  </si>
  <si>
    <t>👊👊</t>
  </si>
  <si>
    <t>os melhores E-book, plr e cursos vc encontra aqui</t>
  </si>
  <si>
    <t>Faça até 3k p/ mês usando o limite do seu cartão 💳 em 30 min por semana</t>
  </si>
  <si>
    <t>🤖 Lucre de Forma Automática
👥 Mais de 45K de Pessoas Na Plataforma
💰 Faz O Plim Que Vai Dar Green
SAIBA MAIS 👉
https://t.co/Fl7SWK7iH4</t>
  </si>
  <si>
    <t>He/She, thanks.</t>
  </si>
  <si>
    <t>🇧🇷 Conservador | 📺 Entretenimento | 🦁 Futebol
“E conhecereis a verdade e a verdade vos libertará.” João 8:32 - #SDV</t>
  </si>
  <si>
    <t>Página dedicada a Margaret Thatcher conhecida como Dama de Ferro. Falamos sobre cotidiano, direito, economia, entretenimento e política. Sempre com humor.</t>
  </si>
  <si>
    <t>Filho da Dona Lindu, marido da @JanjaLula, presidente da República. Trabalhando para reconstruir o Brasil.</t>
  </si>
  <si>
    <t>Rock and roller</t>
  </si>
  <si>
    <t>Engenheiro. Autor de 5 livros. Comentarista da @JovemPanNews. Ex-consultor do Banco Mundial e ex-Secretário de Estado. Pai. Instagram: @robertomottaoficial</t>
  </si>
  <si>
    <t>Acompanhe por aqui as principais notícias do #JTCultura e #JornaldaCultura</t>
  </si>
  <si>
    <t>Minha paixão, são os jogos de estratégias e RPG, mas qualquer jogo que eu achar interessante o suficiente para trazer ao canal, será exibido para vocês!</t>
  </si>
  <si>
    <t>Te ajudo a superar os desafios como Afiliado, vencer a concorrência, dominar o nicho, trafego qualificado, escolher os produtos cetos e faturar +de 5k por mês.</t>
  </si>
  <si>
    <t>🚀 Vivendo do Marketing Digital 🌐
🌞Dicas diaria
💡 Estratégia de vendas| 📊 Resultados
🔍 Aprenda  como fazer suas vendas na Internet!
🧠Clica no Link👇</t>
  </si>
  <si>
    <t>Conquiste sua liberdade Financeira Aqui! Trabalhando no conforto da sua casa.</t>
  </si>
  <si>
    <t>Links de indicação para renda extra: 
conta para indicação de filiados, kwai, binances, tiktok. 
Só pegar o código e ser feliz! 💲💸🤑
Dúvidas? Manda uma DM. 💚</t>
  </si>
  <si>
    <t>🎬 Independent Film Producer | 👨🏻‍💻 IT Consultant | 📉 Financial Analyst | 🤖 AI Enthusiast | 🌌 Deep Space Curious | 📷 B&amp;W Photo | 🧩 AFOL | 👦🏻 Father</t>
  </si>
  <si>
    <t>🌍 MUNDO DOS AFILIADOS|MARKETING DIGITAL
🔥 GUIA COMPLETO PARA SE TORNA UM AFILIADO DE SUCESSO 
🖥 DICAS E ESTRATÉGIAS 
💫TRANSFORMANDO VIDAS 
💥 E-BOOK👇💥</t>
  </si>
  <si>
    <t>amo meu próximo!</t>
  </si>
  <si>
    <t>"Mauro, 42, criador de conteúdo apaixonado por música, jogos, finanças e tutoriais. Compartilho meu entusiasmo. @eradotrigo #eradotrigo compartilhe</t>
  </si>
  <si>
    <t>Tenha o melhor conteúdo de filmes, séries e canais.
Quer assistir tudo o que quiser ? A PulsePlay tem a solução pra Você</t>
  </si>
  <si>
    <t>cool</t>
  </si>
  <si>
    <t>ᴏᴘᴏʀᴛᴜɴɪᴅᴀᴅᴇꜱ ᴅᴇ ʀᴇɴᴅᴀ ᴇxᴛʀᴀ - ɪɴꜰᴏᴘʀᴏᴅᴜᴛᴏꜱ</t>
  </si>
  <si>
    <t>☆Branding•Marketing•Moda•Artes•Cultura•Política•Saúde•Beleza☆ me siga lá no IG 👇</t>
  </si>
  <si>
    <t>@mariesteinemode</t>
  </si>
  <si>
    <t>🪐🔱🪘Laroyê. Amante do Vintage.</t>
  </si>
  <si>
    <t>Mentora de Negócios, Psicanalista, Analista de Perfil Comportamental... Mas nada disto é válido se não formos um veículo para que sua vida seja transformada.</t>
  </si>
  <si>
    <t>Amar a Deus sobre todas as coisas!❤️</t>
  </si>
  <si>
    <t>24 y / nem mais e nem menos / sccp @corinthians</t>
  </si>
  <si>
    <t>📈Aprenda já a fazer 5000 por semana e seja um milionário📈
Aprende aqui📊📊https://t.co/ngzFQZdROk</t>
  </si>
  <si>
    <t>vendedor de  empada que é um sucesso vendendo no Ônibus 👨🏾‍🍳</t>
  </si>
  <si>
    <t>dinheiro nunca foi um problema de verdade! chama aqui que é de graça por enquanto!</t>
  </si>
  <si>
    <t>😍
Dizu 😎
Gnr 🤩
pixbet 💚
nettli plus 💙
vaidabet🧡
esportes da sorte 💙</t>
  </si>
  <si>
    <t>O som do pai dele é um jegue3</t>
  </si>
  <si>
    <t>Se eu não comprar o desconto é maior</t>
  </si>
  <si>
    <t>apresentadora e jogadora de joguinho @teamliquid 💙 💌 publis: haru@youshopp.com.br 📸</t>
  </si>
  <si>
    <t>Eu sou representante de uma empresa de proteção veicular/seguro auto e se chama Apvs Brasil</t>
  </si>
  <si>
    <t>💪 Sem medo de mudar 💪
📲 Transforme seu celular numa máquina de fazer dinheiro 💰💸
🚀 Conquiste sua liberdade financeira 🚀
💰Em busca dos MILHÕES 💰</t>
  </si>
  <si>
    <t>©Original &amp; Investidor® █║▌│█│║▌║│█║▌║Verificado pelo #BLOCKCHAIN .2017📊📈
PROFISSIONAL EM NEGOCIAÇÃO FOREX🚀 E ESTRATÉGIAS DE INVESTIMENTO .🇧🇷🇱🇷🇬🇧🇪🇸</t>
  </si>
  <si>
    <t>Leia para não contradizer e refutar, nem para acreditar e tomar como garantido, nem para encontrar conversa e discurso, mas pesar e considerar.</t>
  </si>
  <si>
    <t>Jornalismo independente!</t>
  </si>
  <si>
    <t>Fornecemos dicas e tutoriais sobre como fazer diferentes coisas, desde trabalhos manuais até habilidades digitais. Siga-nos</t>
  </si>
  <si>
    <t>🏆 +de 2mil em 20 dias como afiliada 📍vendendo produtos físicos sem aparecer. 📍insta:kellycristhine05 📞fale comigo 👇🏼</t>
  </si>
  <si>
    <t>Empreendedora</t>
  </si>
  <si>
    <t>Analista Comportamental - Comunicação &amp; Vendas
Psicologia e qualidade de vida - Palestras</t>
  </si>
  <si>
    <t>Conta criada no intuito de falar um pouco sobre financas, investimento, Marketing Digital e do meu Cruzeiro 💙🤍
#Cruzeiro 
#investidorholder
#RendaOnline</t>
  </si>
  <si>
    <t>Menino sonhador 🛐
Jovem empreendedor📊
Rumo ao sucesso↗️</t>
  </si>
  <si>
    <t>,📌 Especialista em investimentos, gestor financeiro , Jiu-jitsu, MMA,  filho de Deus, gente boa</t>
  </si>
  <si>
    <t>Eu sou grato e amo muito a minha vida</t>
  </si>
  <si>
    <t>ensino mulheres a terem seu próprio dinheiro sem depender de ninguém clica no site APRENDA ⤵️</t>
  </si>
  <si>
    <t>Potterhead ⚡ 0-0¬ 
Carioca/MENGO/nerd/geek/gamer/leitora🖖
Mãe da Alice e do Lucas 💕
Dona da @SsDesejo
#TeuDesejoSS🌷
Bem-estar íntimo!
Conheça minha loja👇</t>
  </si>
  <si>
    <t>Descubra como MILHARES DE PESSOAS ESTÃO ALCANÇANDO SUA LIBERDADE FINANCEIRA ASSITINDO VÍDEOS NO CELULAR 
Saiba mais aqui ⬇️</t>
  </si>
  <si>
    <t>Profissional do ramo de TI. Atuação _x000D_
||Webmaster, Webmarketer, Problogger e Blogueira||.</t>
  </si>
  <si>
    <t>🇧🇷Divulgado Magalu:
📱 Tecnologia 💻
👔 🩳 Moda 👗🥻
🏄 Esportes ⛹️🤾
💅 Beleza 💄🪒💍
🛒 Mercado 🛍️ 🏪
CONFIRA OFERTAS AQUI👇👇</t>
  </si>
  <si>
    <t>Escritor ✍️
Digital influencer
Motivador
Criador de conteúdos 
embaixador inkspired Brasil 
CEO da Penvibe
CEO da songstore</t>
  </si>
  <si>
    <t>O Sucesso depende de Você</t>
  </si>
  <si>
    <t>Separei os 2 Melhores Cursos Pra Você Começar A Ganhar Uma Graninha Extra 💵💰
⚠️Clique no link aqui no perfil e escolha seu curso  : 👇</t>
  </si>
  <si>
    <t>📈Consultor Financeiro 💵Fundador da @donnaire_consult 🎙️Host do Canal “O Lombongo” 🤝🏽Parcerias: donnaireconsult@gmail.com ou DM</t>
  </si>
  <si>
    <t>Jogos NFT, aplicativos, sites, plataformas, memecoins, coleções NFTs.. um pouco de Tudo!</t>
  </si>
  <si>
    <t>ta a procura de uma renda extra ou trabalhar como home office, entre em contato comigo que eu te mostro como funciona.</t>
  </si>
  <si>
    <t>🟧🟨⬜️🟦🟪</t>
  </si>
  <si>
    <t>💰 Conquistando minha liberdade financeira do zero
🥇 Você também é capaz</t>
  </si>
  <si>
    <t>OS MELHORES JOGOS 🎰🚀
AS MELHORES COTAÇÕES 🏀⚽️
PLATAFORMA INVESTIMENTO AUTOMATICO
🤑LUCRO 10 A 40% AO MÊS GARANTIDO</t>
  </si>
  <si>
    <t>Quer fazer renda extra? Vem ser cliente oculto da SCO!🕵 Quer melhorar o atendimento da sua marca? Vem ser nosso parceiro! 🤝 #clienteoculto</t>
  </si>
  <si>
    <t>Ex-técnico de celular e agora especialista em anúncios on-line.
Abaixo vou deixar o link para 2.200 PLRS, Validados e Traduzidos com direitos de revenda. 👇</t>
  </si>
  <si>
    <t>📲 Aprenda a faturar usando apenas o seu celular. 
💰 Renda Extra 🤑
👑 Seja dona do seu próprio negócio. 
👨‍👩‍👧‍👦 Mãe de dois 
💍 Casada
@fabiola_ellen16</t>
  </si>
  <si>
    <t>SEO Specialist | Nutra Affiliate | Guest Posting</t>
  </si>
  <si>
    <t>⭐ Suas melhores compras estão aqui</t>
  </si>
  <si>
    <t>📱BELLA TRADER - Entre na nossa sala do Discord 🔻
https://t.co/dz3lgPvLJI
📱Curso: Análise Técnica Funcional: https://t.co/GDwLq0A21c</t>
  </si>
  <si>
    <t>Produtos Shopee
Ofertas diariamente</t>
  </si>
  <si>
    <t>•Empreendendo com óleos essenciais 🌱•Te ensino a alcançar liberdade financeira empreendendo em tempo parcial •Me chama ⬇️</t>
  </si>
  <si>
    <t>feminista radical, nordestina, bissexual</t>
  </si>
  <si>
    <t>Empreendedor, entusiasta em novas tecnologias.
Acredito que a inovação pode mudar o mundo para melhor. Let's make it happen!</t>
  </si>
  <si>
    <t>animadora de festa evento
 #empreendedora 
#faco docinhos por encomenda
   #vigario geral  fm</t>
  </si>
  <si>
    <t>Recife, PE. 
Alegre, recifense, formado em processos gerenciais, amo praia, Concurseiro. 
Meu Sorriso é tão especial que transforma você em alegria.</t>
  </si>
  <si>
    <t>Aprenda a gerir o seu dinheiro com educação financeira! Comece por aprender os conceitos básicos e desenvolva habilidades para investir com sabedoria.</t>
  </si>
  <si>
    <t>Nunca diga nunca.</t>
  </si>
  <si>
    <t>hello sidney surprise</t>
  </si>
  <si>
    <t>🇧🇷 | Sorocaba 
🤪 | 18y 
❤️ | Marketing digital - Quebrando o sistema 
🔱 | quer fazer dinheiro sem sair de casa ?Faça sua primeira venda em 2DIAS</t>
  </si>
  <si>
    <t>O Seu Dinheiro é um site de notícias e análises sobre investimentos voltado para a pessoa física</t>
  </si>
  <si>
    <t>Bacharel em Contabilidade; Técnico em Radiologia</t>
  </si>
  <si>
    <t>💲Sua opinião vale dinheiro!
💰Comprar sem gastar é o que eu ensino. 
🛒 Avalie.👩‍💻.Relate💲Receba.
👀Aprenda tudo sobre  como ser um #clienteoculto</t>
  </si>
  <si>
    <t>Maix dinâmico. Maix intuitivo. Maix Tv.
Everything about the world of TV, celebrity news and current affairs. 
👩‍💻 👥️ 💬❗️🔝</t>
  </si>
  <si>
    <t>⚡Produtos interessantes e  CUPONs que lhe ajudam
 em suas ótimas escolhas na hora da COMPRa.📢🔥🖥️📱👉🎁😍</t>
  </si>
  <si>
    <t>Solutions Artisan</t>
  </si>
  <si>
    <t>Te ajudo a gerar renda extra sem precisar trabalhar mais horas ou mudar de emprego. A chave pra isso: Investimento, Ações, FIIs, Dividendos</t>
  </si>
  <si>
    <t>Te Ajudo a ganhar dinheiro com a internet</t>
  </si>
  <si>
    <t>Você nunca é jovem demais para sonhar alto
Clipes dos BDJ todos os dias.</t>
  </si>
  <si>
    <t>❤️🖤Flamengo ᕦ(ツ)ᕤ  #CRF #SRN </t>
  </si>
  <si>
    <t>A Ara Solution monta empresas de Rastreamento Veicular, treina e acompanha os empresários no dia a dia do seu negócio. Empreenda você também!</t>
  </si>
  <si>
    <t>Dicas de jogos. + de 30k faturados em jogos ✌🏻</t>
  </si>
  <si>
    <t>Quem investe, lê. 🎯 Notícias sobre economia, mercado financeiro, investimentos e todo o lifestyle da Faria Lima.</t>
  </si>
  <si>
    <t>👩‍👧‍👦Mãe e empreendedora 
🚀🤑Te ensino a viver no digital sem aparecer
💰Uma das +30 mil alunas RSO alcançando a liberdade financeira
Quer saber mais👇</t>
  </si>
  <si>
    <t>#TheBest</t>
  </si>
  <si>
    <t>🦋Muito além de Beleza Feminina, é sobre transforma vidas ❤️🥰</t>
  </si>
  <si>
    <t>Cantor e Compositor
Um Cristão Próspero 
🧑‍💻 Vendas On-line 🪙 Link 👇</t>
  </si>
  <si>
    <t>📿😇</t>
  </si>
  <si>
    <t>"Liberte-se das preocupações financeiras e comece a viver a vida dos seus sonhos! Não espere mais, comece a sua jornada para a liberdade financeira agora mesmo!</t>
  </si>
  <si>
    <t>Meu nome é Foquinha Neto. 
Usem meu cupom!
É RENDA EXTRA, podem acreditar. 🤡
Meuxx Curujinhas linduxxx, me ajudem a derrubar o Daniel Penin. Aquele bobo!😡</t>
  </si>
  <si>
    <t>Conservador, cristão, patriota e botafoguense</t>
  </si>
  <si>
    <t>@REDCanids //o original. recuse imitaçoes! .. // 📧 lilvinicin@play9.com.br // https://t.co/CeA2xJFNE6 // @multishow // @broxadasinistra //</t>
  </si>
  <si>
    <t>siga a vida com sabedoria e prudência, para conhecer a paz 🕊️</t>
  </si>
  <si>
    <t>PÁTRIA AMADA BRASIL 🇧🇷</t>
  </si>
  <si>
    <t>Te ensino estratégias como horários específicos e macetes para ganhar dinheiro com a carta certa 🐯💰🔥</t>
  </si>
  <si>
    <t>Mentoria Green.</t>
  </si>
  <si>
    <t>O Grupo Exness foi fundado em 2008.
Licenças do Grupo Exness: FSA/SD025 - CySEC/178/12 - FCA UK/730729.
http://t.co/NWcHFEIl34</t>
  </si>
  <si>
    <t>plano de marketing perfeito para você consultor, coaching e mentor empresarial. Curso caixa preta - segredo do marketing #marketingdozero
⚠️👇Link👇⚠️</t>
  </si>
  <si>
    <t>🏝 Viajo o 🌎 com uma FERRAMENTA de IMPRIMIR💰
👇🏻ATIVE ELA AQUI👇🏻</t>
  </si>
  <si>
    <t>Brasileira
Baiana
Mãe 🧒👧👨
Profissional de beleza
Motivadora de mulheres</t>
  </si>
  <si>
    <t>👩‍💻 Mentora de Traders
📊 Trader profissional desde 2017
🇧🇷 TOP 3 IQ OPTION
👩🏼‍🎓 Formei + de 9000 Traders
👇🏻 Acompanhe minhas operações</t>
  </si>
  <si>
    <t>🙇🏻‍♂️ CCB
🧑🏻‍💻 De CLT para viver de internet
💸 +5 Dígitos faturados em vendas online!
👇🏻 Te ensino aqui! 👇🏻</t>
  </si>
  <si>
    <t>prefiro fazer o certo e passa despercebido, doq insistir no erro pra ser notado...</t>
  </si>
  <si>
    <t>Registre o seu bichinho de estimação com a (𝑫𝒆𝒔𝒊𝒈𝒏 𝑷𝒆𝒕)  Rg 𝑭𝒐𝒓𝒎𝒂𝒕𝒐 𝒐𝒓𝒊𝒈𝒊𝒏𝒂𝒍 ou 𝑷𝒆𝒓𝒔𝒐𝒏𝒂𝒍𝒊𝒛𝒂𝒅𝒐. Venham nos Conhecer! 👩‍💻🐾</t>
  </si>
  <si>
    <t>💰 Educação Financeira
📰 Notícias e informações do mercado
🏅 Ajudo pessoas a atingirem independência Financeira sem falsas promessas de dinheiro fácil</t>
  </si>
  <si>
    <t>Eu ajudo pessoas comuns, os Rebeldes Cryptos, a investir e fazer dinheiro em criptos com segurança.
Liberte-se!
Bitcoine-se já!</t>
  </si>
  <si>
    <t>O Mova-se Empreendedor é um canal com a missão de levar a empreendedores(as) informação e conhecimento, a partir da experiência de 3 publicitários.</t>
  </si>
  <si>
    <t>Tenha educação financeira e deixe de ser lascado(a).</t>
  </si>
  <si>
    <t>A finpactech que usa inovação para desf*der a nação.
O maior canal de finanças do mundo, inscreva-se aqui👇</t>
  </si>
  <si>
    <t>Autor de Livros e Curso. Afiliado. Empreendedor Digital.</t>
  </si>
  <si>
    <t>Instagram : @ellegrazielle</t>
  </si>
  <si>
    <t>ganhe dinheiro sem sair de casa
🔥mais de 50 mil empreendedores digital
👇receba um Mini Curso clicando aqui👇</t>
  </si>
  <si>
    <t>• sejam bem-vindos,
sou funcionário público e tuiteiroㅤㅤ
• JP/PB 🏖🇧🇷</t>
  </si>
  <si>
    <t>Seu futuro milionário só depende de você! Clique aqui em baixo 👇🏼 e seja o próximo!</t>
  </si>
  <si>
    <t>😉 Marmitas Fitness Saudável 😉
🥗As melhores receitas 🥗
😱Mais de 40 Receitas Diferentes 😱
👇 Saiba mais 👇</t>
  </si>
  <si>
    <t>Acesse meu perfil no app vizinho e confira dicas incríveis sobre os joguinhos..
https://t.co/bJlcbjnI3F</t>
  </si>
  <si>
    <t>Engenheiro eletricista e profissional de vendas direta. ♋ 💞 🌈 Trader 💵 📈 Fundador da AX Sistemas 🌅 💻</t>
  </si>
  <si>
    <t>Você é bom de palpites? 
Vem pro 6de6! 🚀 É grátis!🆓
👇🏻JOGUE AGORA👇🏻</t>
  </si>
  <si>
    <t>Insta: @paparazzorubronegro Canal 📺 https://t.co/pYvDB6LpVH     Contato para patrocínios: paparazzo@nwb.com.br</t>
  </si>
  <si>
    <t>Já perdi muito até aprender, e quando tentei ensinar ninguém resolver ouvir, agora querem me pagar 👑</t>
  </si>
  <si>
    <t>😎 | Produtor e Co-Produtor 7 Dígitos
🥋 | FL &amp; Insider &amp; Faixa Preta</t>
  </si>
  <si>
    <t>#Empregos em #Salvador/RM e...
(Não sou responsável pelas #vagas) https://t.co/O27gXsXiXF
@vagasdesalvador 
🚩❤️🏳️‍🌈🏳️‍⚧️🏳</t>
  </si>
  <si>
    <t>Ex insider do mercado financeiro, Mestre em economia aplicada pela USP e investidor do mercado desde 1999. Você já se perguntou como o sistema funciona?</t>
  </si>
  <si>
    <t>SEJA BEM VINDO, SEJA BEM VINDA 
Junte-se à nossa família e vamos juntos ganhar dinheiro com aplicativos, jogos e sites e fazer uma renda extra.</t>
  </si>
  <si>
    <t>Sua fonte de informações sobre tecnologia.</t>
  </si>
  <si>
    <t>criamos seu site
sede: Alameda dos Manacás, 851, Planalto Verde - São Roque</t>
  </si>
  <si>
    <t>Farmacêutica 💊🔬🧪</t>
  </si>
  <si>
    <t>Líder Empreendedora Tupperware</t>
  </si>
  <si>
    <t>sou apenas uma pessoa querendo passar conhecimento!
ACESSE AQUI OS Kits de PLR's 🇷🇺 Premium que gera vendas automáticas.
Link ABAIXO👇🏼</t>
  </si>
  <si>
    <t>Hoje, viemos apresentar a você algo extraordinário que pode transformar a sua vida e o seu negócio de uma vez por todas : Primeira Venda em 2 Dias
🚀🚀💎</t>
  </si>
  <si>
    <t>💫17 anos/CG MS
👩🏻‍💻empreendedor digital 
💥ajudo você a ganhar 💰em casa de forma simples e segura (clica no link)</t>
  </si>
  <si>
    <t>bi🌈</t>
  </si>
  <si>
    <t>Entendi o significado da frase: Nós contra eles, é o Estado contra o povo.
#intervençãoDivinaJa #poorBrazil 🇧🇷😭</t>
  </si>
  <si>
    <t>Simplesmente um cara muito foda.</t>
  </si>
  <si>
    <t>O senhor e meu pastor e nada me faltará 🙏🙌</t>
  </si>
  <si>
    <t>Vendemos robôs vip na promoção, chama DM. 🎰🚀</t>
  </si>
  <si>
    <t>Transforme seu TEMPO em DINHEIRO
💰+ de 2 mil alunas pelo mundo estão ganhando dinheiro com meu método
🍷Aplicando o que ensino</t>
  </si>
  <si>
    <t>Gui &amp; Nanda❤️</t>
  </si>
  <si>
    <t>Cansada de dietas mirabolantes? acesse o link aqui, e descubra que não é muito difícil perder medidas.
https://t.co/3aY7NWkqgx</t>
  </si>
  <si>
    <t>Aqui você ganha 💸 enquanto assiste jogos ao vivo de graça!
#NossaApostaÉVocê</t>
  </si>
  <si>
    <t>EMPREENDEDOR DIGITAL💻
📱Inicie agora no digital
📦 pack dos PLR's</t>
  </si>
  <si>
    <t>Me Indica! PREMIUM 5.0
Tenha acesso em todos os cursos da Me Indica!
Como ser dono de um produto digital?
E ter 100% do lucro para você!
20.000 PLR</t>
  </si>
  <si>
    <t>Fique por dentro do mundo das milhas aéreas aqui no meu perfil!
Quer saber de tudo?
Faça parte do meu Grupo de Acompanhamento Exclusivo!</t>
  </si>
  <si>
    <t>Investimentos Inteligentes</t>
  </si>
  <si>
    <t>🔥 IMarketing Digital &amp; Publicidade
https://t.co/10OGME0rB9</t>
  </si>
  <si>
    <t>Apicultor Gcm Reis.</t>
  </si>
  <si>
    <t>Não se sinta obrigado a me seguir de volta</t>
  </si>
  <si>
    <t>🔮 Leitura de Tarot Intuitivo &amp; Oráculos 🎬 YouTube +413 mil inscritos 🔥 Aprenda TAROT INTUITIVO Certificado ❤️ Almas Gêmeas &amp; Chamas Gêmeas</t>
  </si>
  <si>
    <t>*Empresário digital
*Mais de 20mil de faturamento por mês
*Métodos únicos
*Dúvidas na dm
*Venha mudar de vida</t>
  </si>
  <si>
    <t>Somos especialista em análise gráfica, gerenciamento de risco e trader com anos de experiência no mercado financeiro.</t>
  </si>
  <si>
    <t>✤ 💸 Cortes, Frases e Dicas para você que quer aprender de verdade a fazer Marketing Digital 
✤ Permita-se 🐀
✤Entre para a Comunidade 👇</t>
  </si>
  <si>
    <t>Transformação e mudança. Seja no financeiro, físico ou comportamental. Esse espaço visa isso!</t>
  </si>
  <si>
    <t>🌸Afiliada MMM🥂
Aprenda a conquistar sua liberdade financeira usando seu celular📳</t>
  </si>
  <si>
    <t>BINANCEPAY: ID 389144815
🛂PRODUTORA DE NFTS🛂
🌐TELEGRAM = https://t.co/g37lrR9C7n…
🔴INSTAGRAM =
🉑KWAI =
⚫TIKTOK = https://t.co/bH2pqUWAeS</t>
  </si>
  <si>
    <t>Sou Vingador Financeiro. Ensino como melhorar de vida de forma lúdica para saber gastar certo, investir melhor e realizar sonhos. Palestrante e Coach.</t>
  </si>
  <si>
    <t>Olá sou Lisandra Diogo mas prefiro ser chamada de Lia,sou angolana e tenho orgulho disso,odeio mentiras, amo ser quem sou😊❤27/12/1996
Instagram: @liadiiogo</t>
  </si>
  <si>
    <t>Não tem nada aqui.</t>
  </si>
  <si>
    <t>Sou mãe, esposa e empreendedora</t>
  </si>
  <si>
    <t>🍬 Autônomo de Doces Gourmet 
✍️ Iniciando como escritor
📚 Leia meu primeiro livro de Fantasia 👇🏻</t>
  </si>
  <si>
    <t>Trader de OB 📊
quer aprender a viver do mercado financeiro?
esse curso pode mudar sua vida! 
acesso ao curso do ZERO ao AVANÇADO  👇🏼</t>
  </si>
  <si>
    <t>Método Artesanal de Fazer Vasos de Cimento para plantas Sem Usar Formas 
CLIQUE NO LINK NA BIO SAIBA MAIS</t>
  </si>
  <si>
    <t>GCF Brasil - Captamos Negócios, Apresentamos Soluções, Entregamos Resultados &amp; Materializamos Sonhos!</t>
  </si>
  <si>
    <t>Ajudamos e conectamos qualquer pessoa física a construir e escalar seu negócio online/offline global baseados em plataformas inteligentes e justas! ⚖️ 💹💰</t>
  </si>
  <si>
    <t>Prático lei da atração, apaixonada pelo poder da gratidão 
📍Slots Game</t>
  </si>
  <si>
    <t>Me siga no instagram: https://t.co/LgrA3FX514</t>
  </si>
  <si>
    <t>aprenda sobre o profissão expert digital aqui👇🏻
https://t.co/1OOxYhRPzr</t>
  </si>
  <si>
    <t>confira nossos descontos</t>
  </si>
  <si>
    <t>Siga-nos, sejam todos bem vindos, renda extra fazendo o que gosta! 🍰✨</t>
  </si>
  <si>
    <t>💚 VENDAS DE PRODUTOS 100% NATURAIS 
📒  E-book 400 receitas fit LOW CARB 
📦  Frete grátis</t>
  </si>
  <si>
    <t>🙌🏼 Investidor em Marketing Digital cheio de energia positiva e criatividade. Comunicativo e pronto a ajudar, rumo ao topo! 🚀👨‍💻💥</t>
  </si>
  <si>
    <t>Peço que se inscreva no canal se ainda não o fez, pois isso me ajudará muito a continuar produzindo mais vídeos.</t>
  </si>
  <si>
    <t>receitas para o dia dia</t>
  </si>
  <si>
    <t>🔥| Afiliado(a) digital 📱 | Te ensino a usar o celular como máquina de dinheiro 🤑 🏠 | Trabalho em casa 🏠💰</t>
  </si>
  <si>
    <t>🙅🏼‍♂️ Cripto ₿ e Finanças Pessoais 
🧠 Educação Financeira
📧 Israel@israelpimentel.com.br</t>
  </si>
  <si>
    <t>Olá, o Falaí lhe dá as boas vindas!
Cadastre-se em nossa plataforma e participe de pesquisas remuneradas.
Sua opinião muda o mundo!</t>
  </si>
  <si>
    <t>Psicanalista clínica - Grafóloga - Grafoterapeuta.
Experiência e abordagem integrativa, tem conduzido muitas pessoas a superarem problemas emocionais.</t>
  </si>
  <si>
    <t>simples ,detesta mentiras fazer a cada dia um mundo melhor....somos filhos de deus 🙏🌍https://t.co/ztb59swkJw</t>
  </si>
  <si>
    <t>Notícias quentes de concursos públicos direto no seu feed. Informação rápida e precisa para acelerar sua preparação. Acompanhe agora!</t>
  </si>
  <si>
    <t>Ensino as pessoas a vender pela internet de forma limpa e justa! 47988951932</t>
  </si>
  <si>
    <t>I welcome you to my parallel universe! 🙃
With my art you may became a hero, villain, celebrity bor even a HQ character!
DM to start your new Journey</t>
  </si>
  <si>
    <t>Insta: @ jefbtt
Kwai: jefbtt</t>
  </si>
  <si>
    <t>💥Maior Fornecedor de Dropshipping Nacional + 3000 produtos💰Venda em tds mktplaces sem ter dinheiro e estoque👇Aulas e plataforma Grátis + 
.
📲(11) 94108-5073</t>
  </si>
  <si>
    <t>Bot Aviator
Operações 100% automaticas
Stops, Cashout, Entradas
Crie sua estratégia, lucre e comercialize
https://t.co/lbvHuqBDPU</t>
  </si>
  <si>
    <t>A unique platform that gives you cashback on purchases. Connects businesses, people and the metaverse into one earnings system. Earn tokens on signup!</t>
  </si>
  <si>
    <t>tiktok thainars1 Instagram: Thaina.rochaofc</t>
  </si>
  <si>
    <t>🚀 | Eu te ajudo indicando produtos, cursos e serviços online
🔥 | Hotmart Black
🎯 | +60 Mil vendas
💰 | +8 Dígitos p/parceiros</t>
  </si>
  <si>
    <t>Palestrante | Autor Best Seller</t>
  </si>
  <si>
    <t>Providing the best for our clients</t>
  </si>
  <si>
    <t>🥇 Ser + Fazer = Ter
📊 Construa sua independência com baixo investimento inicial e risco zero
🛒 Visite nossa Loja Virtual e encante-se com nossos produtos</t>
  </si>
  <si>
    <t>Falo nada com nada, prazer, eu.</t>
  </si>
  <si>
    <t>Co-founder and COO of @HeroSpark_  Passionate about #Startups and #EdTech</t>
  </si>
  <si>
    <t>Que tal fazer uma Renda Extra através do Celular,e alcançar a liberdade financeira que tanto espera...
Entre no link da Descrição e VEJA --Bit.ly/Fórmula-Feo</t>
  </si>
  <si>
    <t>Em meius di comunicassão temus qui sabe cespressá.</t>
  </si>
  <si>
    <t>Venha se tornar o mais novo empreendedor de sucesso!
Venha conhecer o que temos q te oferecer</t>
  </si>
  <si>
    <t>#Daxxart #Digitalartist #Nftartist
tomo altos cafés. odeio coisas. destruo coisas. me ame de qualquer modo.</t>
  </si>
  <si>
    <t>Sou Do Tipo De Pessoas Que Amo
Ajudar O Próximo.</t>
  </si>
  <si>
    <t>Consultor de negócios @afiliadosconectadigital
🚀+200 Consultores 
💰Te ajudo a ter um negócio lucrativo
💎 Capacitação gratuita
⏳100% Home Office</t>
  </si>
  <si>
    <t>🔻Ganhei sem sair de casa
Mais de 50mil 
Receba uma mini curso gratuito clicando aqui🔻
https://t.co/wlnEJELeK7</t>
  </si>
  <si>
    <t>• Seja o que for, sou mais o amor. 🔮🐞
• Canceriana 🦀
• RJ 22❤️</t>
  </si>
  <si>
    <t>na vida eu sou a que bebe e chora</t>
  </si>
  <si>
    <t>Um mundo de alegria se faz com amor.</t>
  </si>
  <si>
    <t>📢🛒Divulgação das melhores marcas e produtos da internet🛜
🛍️👮Visite minhas lojas e adquira produtos confiáveis e seguros🤓
#achadosonline #afiliadoonline</t>
  </si>
  <si>
    <t>aqui para aprendermos a fazer desenhos super profissionais</t>
  </si>
  <si>
    <t>Raphinha camisa 11 | Embaixador Oficial da AFUN
⤵️ Clique no link abaixo e descubra um mundo de possibilidades e diversão. Venha se divertir com a gente!! 🤑</t>
  </si>
  <si>
    <t>Virei INFLUENCER DAS 
GRANDES LOJAS 🇺🇸🇧🇷
VENDAS sem INVESTIR no Estoque😱
Aprenda a GANHAR 💰 na INTERNET! 
Insta : https://t.co/9GIizTkMsX…</t>
  </si>
  <si>
    <t>Loja com produtos de qualidade e atendimento personalizado. Equipe comprometida com a satisfação do cliente. Confiável e referência no mercado.</t>
  </si>
  <si>
    <t>💰✈️✴️💳</t>
  </si>
  <si>
    <t>Mãe e Empreendedora                                    
Incentivando mulheres a serem independentes                       
Te mostro aqui essa possibilidade  👇</t>
  </si>
  <si>
    <t>Seja humilde, pois, até o sol com toda sua grandeza se põe e deixa a lua brilhar.</t>
  </si>
  <si>
    <t>Loja Virtual de essências, aromatizadores de ambiente, sabonetes, velas, vidros e Marketing Olfativo.  Enviamos para todo Brasil. 🙂</t>
  </si>
  <si>
    <t>🏳️‍🌈 / quase Publicitário / BH</t>
  </si>
  <si>
    <t>Prosperando em vida !!!</t>
  </si>
  <si>
    <t>Dir. de expansão e operações da rede social GOW 🚀</t>
  </si>
  <si>
    <t>Growth Hacker, Consultor SEO y Ninja del Macramé. 
Puedes encontrar mi curso matón de GSA SER 2023 aquí: https://t.co/1f2RtyVJ28</t>
  </si>
  <si>
    <t>CoFounder da @surveybrasil - Maior Lançadora digital do País!
🚀Mais de 9 Dígitos Faturados em Lançamentos</t>
  </si>
  <si>
    <t>Vem fazer uma grana extra!!! https://t.co/T9yz0KUvxQ</t>
  </si>
  <si>
    <t>26 🦅
Ganho cerca de R$800 por dia usando apenas meu 📱!
Marketing Digital | Apostas</t>
  </si>
  <si>
    <t>👨🏻‍💻 Nunca foi Tão Rápido Conversar com Seus Clientes
🚀 Facilitamos seu Atendimento via WhatsApp e otimizamos seu Tempo
👇🏻Entenda Como Funciona</t>
  </si>
  <si>
    <t>Apresentador @camisa21 Showrunner do @broxadasinistra Ex-Diretor do @portadosfundos</t>
  </si>
  <si>
    <t>Vasculho a internet atrás de notícias sobre política, sem lado, sem ideologia e sem paixões apenas busco notícias.</t>
  </si>
  <si>
    <t>Grupo de sinais no telegram para futebol virtual</t>
  </si>
  <si>
    <t>#Rendaextra ?
vamos ganhar money com tráfego de dados ?
https://t.co/755xOqdljp
meu código de referência 
1682681820644bafdce7a4a</t>
  </si>
  <si>
    <t>Dicas, adoção, memes, manias e tudo mais que passa pela cabeça dos gatos e de humanos loucos por gatos!</t>
  </si>
  <si>
    <t>Minha família é meu porto seguro. ❤️</t>
  </si>
  <si>
    <t>📱 O seu portal de notícias. Tudo sobre política, saúde, justiça, comportamento, entretenimento. Confira os fatos relevantes do país e do mundo em tempo real.</t>
  </si>
  <si>
    <t>📚 INVESTIR EM CONHECIMENTO NUNCA SERÁ DINHEIRO PERDIDO 📚
CLIQUE NO LINK PARA OBTER O CURSO* 📒👇🏻👇🏻</t>
  </si>
  <si>
    <t>Publicidade/marketing
💵-Vivo fazendo dinheiro pela internet
💸-Faturei mais de 5 dígitos com meu celular aos 18 anos
👇Como fiz isso?Chama que te mando link 👇</t>
  </si>
  <si>
    <t>Aqui você encontra os melhores achadinhos com um preço imperdível.</t>
  </si>
  <si>
    <t>Criando empreendedores no Brasil 
+ de 8 anos em vendas
fundador do Grupo Ramos 
twiteiro profissional</t>
  </si>
  <si>
    <t>❤️‍🔥 Seja dona do seu tempo e negócio • 📱 Use o seu celular a seu favor • 🚀 Liberdade Financeira •
✨ Quer saber mais? Clica no link que eu te explico 🔥</t>
  </si>
  <si>
    <t>Como jogar jogo do Tigre Fortune Tiger Pombabet | Convite? CADASTRE-SE no link abaixo, timê! 👇</t>
  </si>
  <si>
    <t>Marketing DiRosana
🌎Vivendo a liberdade de trabalhar de onde eu quiser!
https://t.co/An8IlPx4Qm…</t>
  </si>
  <si>
    <t>Transforme sua vida financeira com meu produto exclusivo de marketing digital! Impulsione seus negócios e aumente sua renda por apenas R$19!</t>
  </si>
  <si>
    <t>Amante da tecnologia e especialista em marketing digital.
Explorando as fronteiras do marketing digital para alcançar os objetivos dos clientes"</t>
  </si>
  <si>
    <t>Empreendedor Digital. Transformando vidas e realizando sonhos através do empreendedorismo digital. Acompanhe minha jornada rumo ao sucesso #fórmulaNegócioOnline</t>
  </si>
  <si>
    <t>O que sou eu?
Só sei que não sou o que gostaria de ser.
Sei que não gostaria de ter sido o que fui.
Serei com certeza o que não fui, e o que não sou.</t>
  </si>
  <si>
    <t>Male</t>
  </si>
  <si>
    <t>Marketing Digital - Finanças - Empreendedor Digital</t>
  </si>
  <si>
    <t>Trabalhar em casa🏠
Ganhar 💰 com 📱
Acesse agora o 🔗https://t.co/zb2kcqUfp9</t>
  </si>
  <si>
    <t>i beat bosses easier than i beat regular stages | 🇧🇷 photographer &amp; music journalist seen at @monkeybuzz_ @revistanoize @start_uol etc</t>
  </si>
  <si>
    <t>✨</t>
  </si>
  <si>
    <t>Ola, esta pagina e para dar dicas #empreendedorismo, #negócios, #marketingdigital e #rendaextra.</t>
  </si>
  <si>
    <t>🤖 O melhor sistema de gestão para WhatsApp
🧑‍💻 Venda mais e atenda melhor
🌍 + 3.000 clientes atendidos em 9 Países
😎 Conheça o ChatGuru ⤵️</t>
  </si>
  <si>
    <t>Sua Bet é aqui!🍀 Jogue com responsabilidade (+18) ⚽🏀🏐🏉🏓🥊🎮 Acesse nosso site e faça sua aposta!</t>
  </si>
  <si>
    <t>Notícias de Catanduva e Região, eventos, cinema, diversão!</t>
  </si>
  <si>
    <t>Trader em investimentos esportivos a mais de 10 anose vivendo do mercado. Sim!!!! e possivel viver do mercado desde que você tenha a estrategia certa.</t>
  </si>
  <si>
    <t>Deseja Eliminar de 2 a 5 kg em apenas 15 dias ? 💪
Preparamos pra você um LIVRO DIGITAL com 200 RECEITAS EMAGRECEDORAS, CLIQUE no link AZUL e SAIBA MAIS 👇</t>
  </si>
  <si>
    <t>Doutorando em Design - UDESC</t>
  </si>
  <si>
    <t>renda extra,sem precisar vender curso,no conforto da sua casa 💸👇🏻 https://t.co/WGuAPq6nMU</t>
  </si>
  <si>
    <t>CONSULTOR DE NEGÓCIOS
🎥📱®️ 
(92)3302-0624 whatsapp</t>
  </si>
  <si>
    <t>O seu blog sobre Educação Financeira, Investimentos e Marketing Digital!
Acesse e aprenda algo agora mesmo em nosso blog!</t>
  </si>
  <si>
    <t>Designer de moda, blogueira e CEO da @juzzybr_ 🌈 Aqui você encontra dicas boas e ironias!</t>
  </si>
  <si>
    <t>https://t.co/tLyYITwrv2
eu falando um moi de merda👇👇</t>
  </si>
  <si>
    <t>Flamengo sempre
PTfobico com orgulho
Gamer PS4/PS5 e Piloto Gran Turismo
Fã de heavy metal, NBA e NFL
Torcedor do Manchester United e Milan</t>
  </si>
  <si>
    <t>Consultor de Negócios e Investimentos
Criador do Canal Almanaque do investidor 
Empreender é um estilo de vida.</t>
  </si>
  <si>
    <t>🔥</t>
  </si>
  <si>
    <t>𝐴𝑏𝑟𝑖𝑛𝑑𝑜 𝑎𝑠 𝑝𝑜𝑟𝑡𝑎𝑠 𝑑𝑜 𝐵𝑟𝑎𝑠𝑖𝑙 𝑝𝑎𝑟𝑎 𝑜 𝑀𝑢𝑛𝑑𝑜!
* Naturalização &amp; RNM 🇧🇷
* Cidadania 🇵🇹
* Vistos ✈️
* Passaporte 🪪</t>
  </si>
  <si>
    <t>⚜️Aprende a libertar a tua mente.</t>
  </si>
  <si>
    <t>#movendodinheiro #fulltime com #criptomoedas e #ativosvirtuais. #assets</t>
  </si>
  <si>
    <t>Sua dose diária de notícias. Um monte delas. 👓</t>
  </si>
  <si>
    <t>Manaus-Am</t>
  </si>
  <si>
    <t>⚡️ Imprimindo dinheiro na internet 💰 Ganho 💸 de qualquer lugar do 🌍 👑 Te ensino do 0 absoluto no link 👇</t>
  </si>
  <si>
    <t>011 || 🇧🇷 20y</t>
  </si>
  <si>
    <t>sou homem de Bem, Professor, Poeta, Karateca, Pae e sobre tudo cristão.</t>
  </si>
  <si>
    <t>Bem vindos ao canal o céu é o limite, o canal fala sobre investimentos digitais, sites com ganhos free, sites de publicidade e tutoriais no geral.</t>
  </si>
  <si>
    <t>EU ESTOU AQUI NESTE MUNDO A FAVOR DO REINO DE DEUS,CASADA  ,DOIS FILHOS 💞💞 AMOO!! CRISTÃ,CONSERVADORA . 😍😍 DISPOSTA A AJUDAR QUEM BUSCAR AJUDA!</t>
  </si>
  <si>
    <t>Perfil de desenho: @vanverisso
(ele/dele)</t>
  </si>
  <si>
    <t>falando merdas e mais merdas</t>
  </si>
  <si>
    <t>just lost</t>
  </si>
  <si>
    <t>Aqui você vai encontrar os melhores produtos e E-books! 🛒🛍️</t>
  </si>
  <si>
    <t>👨‍💻 Falo de tecnologia, games, produtos e ofertas. Me siga!
✉️ contato@oincrivel.com.br Acesse meu site! ⬇️</t>
  </si>
  <si>
    <t>🔥🔥Mulheres estão ganhando muito $$$, trabalhando em casa,  apenas com o celular! 📲 É possível através do marketing digital trabalhar e cuidar dos filhos!</t>
  </si>
  <si>
    <t>Produtos &amp; Cupons Incríveis que ajudam o seu bolso a pagar mais Barato 🛒🤑🛍️</t>
  </si>
  <si>
    <t>Experiência de 5 anos no mercado de investimentos esportivos, sempre buscando as melhores oportunidades. (Tipster Pro🤑📉)</t>
  </si>
  <si>
    <t>Sem Filtros, comento mesmo!</t>
  </si>
  <si>
    <t>cortes sobre investimentos</t>
  </si>
  <si>
    <t>| Movendo fronteiras e criando possibilidades 🚀✨
| Impulsionando o seu futuro com TargetThrust 💻💰
| Venha crescer financeiramente 
#empreendedorismo</t>
  </si>
  <si>
    <t>Comunidade Em Crescimento📈 + Estratégia📔 + Sinais No Grupo Gratuito🎯.
Te Ajudo A Jogar Na Roleta e Lucrar Todo Dia.💵🎉</t>
  </si>
  <si>
    <t>🧠| De olho no celular, transformei tempo em dinheiro💰📲     🚀| 4 dígitos por semana com meu📱   🗿| comece a fazer dinheiro hoje mesmo!  👇🏽|CLIQUE AQUI👇🏽</t>
  </si>
  <si>
    <t>ℹ️ crocheteira básica e tentando ser tecladista/pianista.
inútil também. #crente #webcrente evangélica, cristã. A paz do Senhor Jesus Cristo amém!</t>
  </si>
  <si>
    <t>Fornecemos atualizações de preços e notícias sobre criptomoedas. Acompanhe as tendências do mercado e fique por dentro</t>
  </si>
  <si>
    <t>🤖 Ensino apaixonados por tecnologia a revolucionarem empresas com automação e inteligência artificial.  💙 Servindo a Jesus com amor</t>
  </si>
  <si>
    <t>💡 Desvendando os Segredos do Sucesso Online! 📈🚀
Marketing digital do 🚀
🚀🎯 Domine o Marketing Digital: Atraia, Converta e Conquiste! 💡
@hailsonsouzamkt</t>
  </si>
  <si>
    <t>📌 Carioca perdida em Sampa
🧬 Biomedicina
✨Ifasero
✈️Viver é melhor que sonhar mas eu sonho pra sobreviver🧳</t>
  </si>
  <si>
    <t>Monetize seu conteúdo digital no Peeked!</t>
  </si>
  <si>
    <t>A sua fonte de notícias mais rápida. Tudo sobre os acontecimentos mais recentes do Brasil e do mundo. Contato: assessoriachoquei@gmail.com</t>
  </si>
  <si>
    <t>@info_joinville é um bot com informações atualizadas sobre a cidade de Joinville, incluindo notícias, eventos, trânsito e clima. Siga-nos para ficar por dentro</t>
  </si>
  <si>
    <t>📢💳Olá pessoal, você está procurando as melhores ofertas online você pode encontrar aqui
🛒👮Parceiro das grandes marcas com melhores ofertas e com segurança.</t>
  </si>
  <si>
    <t>The Owner of this Virtual World.. Digital Entrepreneur, with a comprehensive vision and interest in growth.</t>
  </si>
  <si>
    <t>flamenguista monarquista. Abaixo o golpe de estado republicano militar impopular positivista de 15/11/1889 que persiste até hoje. Viva o Brasil Império de 1822.</t>
  </si>
  <si>
    <t>Correspondente Bancário há 21 anos no mercado.                           
WhatsApp:https://t.co/gS3PagBDX3
Instagram: @solucredito_rj
Facebook: /SoluCredi</t>
  </si>
  <si>
    <t>Eai Pessoal Que me segue aqui!! me siga também em outras redes pesquise por: ( Xablau Blinders ) minha categoria #memes  #Youtube #brasil #entretenimento</t>
  </si>
  <si>
    <t>As melhores notícias sobre Metaverso, deixando você sempre atualizado</t>
  </si>
  <si>
    <t>Monte uma Quitanda em Casa
Técnica de Branqueados, muito procura!!
Crie Renda de Casa
Clique no Link e Saiba Como</t>
  </si>
  <si>
    <t>Rumo ao futuro</t>
  </si>
  <si>
    <t>Compre o seu aqui 👇🏾
https://t.co/wMztmap4oC…</t>
  </si>
  <si>
    <t>Sou afiliado profissional de produtos de renda extra, comigo são mais de 50 mil empreendedores de produtos confiáveis e de nicho único.</t>
  </si>
  <si>
    <t>I want the luck of a quiet love</t>
  </si>
  <si>
    <t>cambista esporte da sorte 
contatos 31992959133
ricardojales@hotmail.com</t>
  </si>
  <si>
    <t>Ajudo pessoas a conquistarem mais qualidade de vida trabalhando pela internet.📸💻🇪🇸🇧🇷☕❤️😉</t>
  </si>
  <si>
    <t>Viver como escravo ou homem livre? A escolha é sua.
Ajudo o cidadão comum a sair da Corrida dos Ratos.</t>
  </si>
  <si>
    <t>💎Mentor/Empreendedor💎
💵Alcance a liberdade financeira e geográfica de maneira segura só com o📱
Chama no Direct que mostro o caminho das pedras💰🤩</t>
  </si>
  <si>
    <t>Fornecemos informações e notícias sobre os principais acontecimentos e tendências mundiais. Siga-nos para ficar por dentro</t>
  </si>
  <si>
    <t>Criador de conteúdo digital</t>
  </si>
  <si>
    <t>Achadinhos da Michelly</t>
  </si>
  <si>
    <t>https://t.co/FF0UzXO2kO vendo produtos como , emagrecimento, musculação, renda extra etc</t>
  </si>
  <si>
    <t>links de promoções da Shopee!</t>
  </si>
  <si>
    <t>Cartões, Milhas e Viagens. Tudo está interligado. Você faz compras no cartão de crédito para acumular milhas aéreas e viajar.</t>
  </si>
  <si>
    <t>O maior ecossistema de Fundos Imobiliários do Brasil</t>
  </si>
  <si>
    <t>Aprendedor.
Gosto de ler, memes e assistir filmes/séries
Tentando fazer o que é certo</t>
  </si>
  <si>
    <t>Conhecimentos Valiosos e Práticos!</t>
  </si>
  <si>
    <t>Perfil oficial do Fórum Permanente em Defesa do Serviço Público</t>
  </si>
  <si>
    <t>I ain’t sorry</t>
  </si>
  <si>
    <t>Autor de Este livro não vai te deixar rico</t>
  </si>
  <si>
    <t>Hei me segue aí... e saiba de tudo e mais um pouco que vem acontecendo! No mais... Sorte, Saúde, Prosperidade e Paz à todos!</t>
  </si>
  <si>
    <t>Demetrius B.Teixeira</t>
  </si>
  <si>
    <t>Acreditamos na criatividade, ousadia e força das mulheres no mundo empreendedor.
Por isso, nosso objetivo é ativar, direcionar, impulsionar mulheres os negócios</t>
  </si>
  <si>
    <t>💻 Negócio Online 
💵 te ajudo a ganhar dinheiro de forma honesta e segura atravez da internet.
⬇️ Me mande uma msg no Whatsapp e comece agora.</t>
  </si>
  <si>
    <t>Ganhando dinheiro com slots ❤️⏬⏬⏬</t>
  </si>
  <si>
    <t>Me Siga: @achadosdaBê22
https://t.co/SJnd4OGk05
Achados em Promoções
Produtos Variados
E muito mais 😀😀</t>
  </si>
  <si>
    <t>Magrid Tonini | Otimização de Projetos. Te ajudo a organizar o seu projeto +2mi Faturados em vendas</t>
  </si>
  <si>
    <t>We optimize Youtube gig to rank your video from Zero Youtube subscribers and watch hours. We promote your YouTube channel subscribers &amp; views</t>
  </si>
  <si>
    <t>Educação Financeira de forma descomplicada e ao alcance de todos!
Ações, FII, Altcoins, NFT.
Trading, Price Action.</t>
  </si>
  <si>
    <t>https://t.co/Envu8sKkKm                               
📚 Ciência &amp; Tecnologia | UFERSA                       
📸 Ig: alexsaandra_</t>
  </si>
  <si>
    <t>IA que analisa as entradas do jogo Double Pro em tempo real e busca as melhores entradas.
O acesso é totalmente gratuito, junte-se a nós!</t>
  </si>
  <si>
    <t>Poetisa existencialista | Educomunicadora 
https://t.co/7NJ2WdLpar…</t>
  </si>
  <si>
    <t>Eu sou Karl, uma IA (“Inteligência Artificial”) que brinca com as ideias, pouco prática (ou nenhuma), de Karl Marx, junto com as ideias liberais de economia.</t>
  </si>
  <si>
    <t>Ganhe sua renda extra sem sair de casa, apenas tendo acesso a internet e sua boa vontade...Home-office!
aplicativos que pagam via PayPal, criptomoedas, bot...</t>
  </si>
  <si>
    <t>#Informação e análise jornalísticas com credibilidade, qualidade e agilidade, baseadas nos princípios editoriais do Jornal CORREIO DE MINAS.#ConselheiroLafaiete</t>
  </si>
  <si>
    <t>ppppraddoooo</t>
  </si>
  <si>
    <t>📊Trader Brasileiro💲
🎬Youtuber🎬
Canal do Youtube👉
https://t.co/5lrSTf6UbL…
Grupo do Telegram:
https://t.co/q0I4C13KqI…</t>
  </si>
  <si>
    <t>Trader, globalist, Financial markets and economy in 4 languages: ENG, FRA, SPA &amp; ITA.</t>
  </si>
  <si>
    <t>Consultor Empresarial e Educacional - Palestrante - Empresário - Advogado - Jornalista - Cerimonialista. Sempre acreditando no Brasil !</t>
  </si>
  <si>
    <t>21 anos,Solteiro, gosto de anime</t>
  </si>
  <si>
    <t>🐰 Seja quem você quer ser;
🐰 Packs, imagens e vídeos;
🐰 Venda ou consuma conteúdo + 18;
🐰 Fature.💰
Conheça 👇</t>
  </si>
  <si>
    <t>🚂 De empacotador a empreendedor
🧠| Transformar pessoas através do digital
🚀 te ajudo a mudar de vida com internet
https://t.co/jFkK9QfB90</t>
  </si>
  <si>
    <t>Sua bet nº 1
🏆 Apostas esportivas
SAC: contato@b1.bet
Acompanhe nossas redes sociais e faça sua fézinha no site! 👇</t>
  </si>
  <si>
    <t>Comércio exterior, dados, investimentos, economia, oportunidades de negócios e opiniões</t>
  </si>
  <si>
    <t>Conteúdo, parceria e tudo novo! Mande sua foto com #TribunaPR ou manda um Whats (41) 99683-9504 😉</t>
  </si>
  <si>
    <t>Sou filho, pai, marido dedicado apaixonado pela minha família.</t>
  </si>
  <si>
    <t>2002
⏳🪐
that's real life</t>
  </si>
  <si>
    <t>Vivendo e Empreendendo 🙏🏻🇧🇷</t>
  </si>
  <si>
    <t>Kwai e carência</t>
  </si>
  <si>
    <t>Bingo online com diversão garantida! 🎉🏆</t>
  </si>
  <si>
    <t>Sozinho na pior fase, na melhor quero estar do mesmo jeito! ☮️
25k no TikTok</t>
  </si>
  <si>
    <t>Transforme a Paixão pelas Unhas em um Negócio Lucrativo: Seja uma Designer de Unhas Profissional e Aumente Seus Ganhos! 🤩💅🏻</t>
  </si>
  <si>
    <t>Oportunidade de montar uma equipe de Revendedores, te gerando bônus em dinheiro e progressão na empresa. Fale comigo. Acesse o site e tenha 10 dias de acesso.</t>
  </si>
  <si>
    <t>Liderança/Gestão de Equipe! Executiva/Vendas-Engajamento/Rede Empoderamento Feminino!  +5511986432776</t>
  </si>
  <si>
    <t>marketing digital | empreendedora</t>
  </si>
  <si>
    <t>✨Sua comunidade de Marketing e Vendas📉 ✨Inspiramos pessoas e negócios a crescerem!🚀 ✨Conteúdos educativos 🎓 tenha renda apenas com o 📲</t>
  </si>
  <si>
    <t>Quer saber como evoluir nas suas vendas??
Te ajudo a revolucionar sua vida e seu negócio 🧠💰</t>
  </si>
  <si>
    <t>🔞 Pack de conteúdo exclusivo por 10€ se tiver interesse manda dm. 🔞</t>
  </si>
  <si>
    <t>Advertising for Print Media, Electronic Media, Outdoor, Events, Digital Marketing etc.</t>
  </si>
  <si>
    <t>👩🏻‍🏫TE ENTREGO UM MINI CURSO GRATUITO
⚡Te ensino a ganhar dinheiro do conforto da sua casa
💰 Conquiste sua liberdade financeira 
👇🏼 Te ensino Aqui👇🏼</t>
  </si>
  <si>
    <t>“Empreender não é meu trabalho, é meu estilo de vida!” 🌶 CEO | Investidor | 🎥YouTuber #investimento #dinheiro #empreendedor #youtuber #bitcoin</t>
  </si>
  <si>
    <t>Fundador Pense Rico - Analista de Sistema, de Dados, Especializações em Tecnologia Web3, Bitcoin, Investimentos 👇🏽 https://t.co/IQZIX7BLIe</t>
  </si>
  <si>
    <t>24y |
Designer gráfico 👨🏽‍💻</t>
  </si>
  <si>
    <t>Decidi assumir as rédeas e virar patroa da minha vida através da Internet. Te ensino a ganhar dinheiro com o seu celular. Vamos?</t>
  </si>
  <si>
    <t>Venha conferir os cortes mais interessantes e mergulhe no mundo dos podcasts 🎧✂</t>
  </si>
  <si>
    <t>Link do Jogo:   https://t.co/Rx1Xd0BSoI</t>
  </si>
  <si>
    <t>Não sou um portal, só falo do que gosto.                           
📩 Contato profissional: coreanasfrases@gmail.com</t>
  </si>
  <si>
    <t>🚀 Empreendedor Digital 
💻 Ajudando você a criar seu negócio online do zero
🎯 Técnicas de Marketing Digital</t>
  </si>
  <si>
    <t>Nosso curso online de design de sobrancelhas é uma oportunidade para você mudar de vida profissional.
Com mais de 7 mil alunas(nos)em todo o Brasil,Faça parte.</t>
  </si>
  <si>
    <t>Loja Online de Produtos Femininos , como maquiagem e cosméticos!</t>
  </si>
  <si>
    <t>🤓Nada de blog, lista de e-mail, canal no youtube, nada de virar blogueiro! 💻Apenas anúncios e estratégias sem aparecer.🤑😎</t>
  </si>
  <si>
    <t>Encontre os melhores grupos e canais no Telegram</t>
  </si>
  <si>
    <t>Olhar Green é uma revista brasileira online, de informação e opinião.</t>
  </si>
  <si>
    <t>Olá pessoal, bem-vindos ao meu canal de 7 dicas sobre diversos assuntos.</t>
  </si>
  <si>
    <t>Administrador de empresas | Youtuber | Consultor
CEO do grupo Goakira - Consultoria Empresarial
Mais de 10 anos de experiência com Negócios e Franquias</t>
  </si>
  <si>
    <t>|Nunca esquece de onde veio/sabe onde quer chegar 🙏⭐</t>
  </si>
  <si>
    <t>Indicando as melhores plataformas e ensinando estratégia e dicas para slots.🎮    📲 @slotsdazuzu</t>
  </si>
  <si>
    <t>📷: @loohcarolline</t>
  </si>
  <si>
    <t>A lucidez é totalmente capaz de vencer e derrotar todo tipo de ignorância e estupidez!</t>
  </si>
  <si>
    <t>Vendas e Divulgações</t>
  </si>
  <si>
    <t>🏡 Do Lar ao Empreendedorismo🚀 + De 30 mil alunos no treinamento📚 Aprenda 6 profissões no Digital 👉
Clique e saiba mais 👉🏼https://t.co/qI6cy7tfb9</t>
  </si>
  <si>
    <t>👷Engenheiro Civil
🔸Sócio Diretor da Engplace Engenharia</t>
  </si>
  <si>
    <t>Graphic Designer, Video Editor, Social media Marketer and Digital Marketing.</t>
  </si>
  <si>
    <t>Sou Engenheiro Agronômo, Técnico Agrícola e Gestor ambiental. Vivo no MT e Trabalho na @agrobayer, ajudando os agricultores produzir e alimentar o mundo.</t>
  </si>
  <si>
    <t>Flamenguista ❤️🖤
Contador 📈
Amante do samba de raiz🎶🍺</t>
  </si>
  <si>
    <t>Tudo sobre milhas bem aqui!
Programas de Fidelidade, Cartões de Crédito, Dicas e Notícias 👇🏼✈️🏨</t>
  </si>
  <si>
    <t>🦋</t>
  </si>
  <si>
    <t>Aprenda operar no automático  na Bolsa em Dólar 💵💲</t>
  </si>
  <si>
    <t>Aqui estou eu para te ajudar e resolver teus problemas, tá com dúvida? Me faça uma pergunta, estou com ótimas opções.</t>
  </si>
  <si>
    <t>📍Te ajudo a ganhar dinheiro em casa de inúmeras fôrmas.
📌 Artesanatos, Moda , Doces gourmet e muito mais.
Clique aqui pra começar 👇</t>
  </si>
  <si>
    <t>🌏Especialista em roteiros e destinos
👩‍💼Consultora independente RNAVT 3301</t>
  </si>
  <si>
    <t>Quer saber? 
Entra aí, me segue, sigo de volta...que o role aqui é muito aleatório.</t>
  </si>
  <si>
    <t>A Nova Profissão 2023 é um treinamento 100% on-line focado em ensinar pessoas a vender na internet sendo um afiliado profissional.
segue o link para adquiri-lo</t>
  </si>
  <si>
    <t>𝐑𝐞𝐧𝐝𝐚 𝐄𝐱𝐭𝐫𝐚 𝐞 𝐄-𝐜𝐨𝐦𝐦𝐞𝐫𝐜𝐞                                       ᴄʟɪᴄᴋ ɴᴏ ʟɪɴᴋ ᴇ ꜱᴀɪʙᴀ ᴍᴀɪꜱ ⬇️</t>
  </si>
  <si>
    <t>🚨BUSCAMOS AS MELHORES OFERTAS🚨 
🚨QUALIDADE E PREÇO BAIXO🚨
🚨VENDAS PARA TODO O BRASIL🚨
CLICK NO LINK PRA VER AS PROMOS RELÂMPAGO DE HOJE🔥</t>
  </si>
  <si>
    <t>Negociador de Ações + Opções e Indice
Instagram: @clubedobraga</t>
  </si>
  <si>
    <t>⚙️Engenheiro de Software  🎨Proprietário @diegoskdatattooesupply 🏢Sócio @tigrezace 🎼 Músico compositor e produtor musical.</t>
  </si>
  <si>
    <t>Te ensino a trabalhar com grandes marcas no conforto da sua casa. Venha fazer parte da comunidade Be Your Boss 🔥</t>
  </si>
  <si>
    <t>https://t.co/SHkbvZi0YD - Telegram
https://t.co/3twJ0zurCn - YouTube</t>
  </si>
  <si>
    <t>Afiliada travada? Eu já estive no seu lugar Destrave me seguindo</t>
  </si>
  <si>
    <t>Simples, seguro e completo, tenha a melhor experiência ao comprar e vender conteúdos exclusivos 🔥
-
https://t.co/A6X8L2BuLM</t>
  </si>
  <si>
    <t>Twitter Oficial da Folha do Condomínio OnLine, jornal digital que informa via mídias, redes sociais e e-mails condôminos residenciais, comerciais e síndicos.</t>
  </si>
  <si>
    <t>Variedades
Melhores presentes
Ou se vc quer revender
Compre comigo na vendah/achadinhosdamah</t>
  </si>
  <si>
    <t>Desde 1998, passando a visão sobre a quebrada!</t>
  </si>
  <si>
    <t>Turn your passion into a profession 🎙️
Create, distribute and make money with your #podcast from day one.</t>
  </si>
  <si>
    <t>Faça sua primeira venda através da internet nas próximas 24 horas 💸 https://t.co/Pk9K55lWZZ</t>
  </si>
  <si>
    <t>Capixaba, 28 anos, mãe e esposa.</t>
  </si>
  <si>
    <t>ela/dela • 🏳️‍🌈</t>
  </si>
  <si>
    <t>Produtos e serviços, sem teste em animais, natural e orgânica, perfumes, Skin Care, Higiene Pessoal e bucal, nutrição, bem estar, exercícios e HOLISTICAMETE +</t>
  </si>
  <si>
    <t>Uma mãe, querendo crescer no marketing digital 😃</t>
  </si>
  <si>
    <t>Quer conquistar sua LIBERDADE FINANCEIRA🤑❓
🔥Conheça o método do Caio Martins
👇Aperte no link abaixo, e conquiste sua liberdade financeira por apenas
R$19,90</t>
  </si>
  <si>
    <t>Jogando a nosso favor</t>
  </si>
  <si>
    <t>Aprenda a ganhar dinheiro com o seu 📱⤵️</t>
  </si>
  <si>
    <t>Magia - Trabalhos Espirituais - Oráculo Rúnico &amp; Cartomancia - Literatura &amp; Arte - Grupo de Estudos A Luz ilumina vários caminhos. Todo caminho iluminado pela L</t>
  </si>
  <si>
    <t>Dicas e melhores plataformas do momento pra você ganhar muito 🎰🥇</t>
  </si>
  <si>
    <t>OLÁ! Eu sou o Leonildo Bevilaqua, empreendedor digital, palestrante e especialista em criação de cursos que geram renda.</t>
  </si>
  <si>
    <t>Especialista em FIIs
Analista CNPI
Investidor desde 2007
Autor do livro Método Fayh: Descubra Como Escolher os Melhores Fundos Imobiliários</t>
  </si>
  <si>
    <t>Você nunca é jovem demais para sonhar alto.
Se não deu certo hoje, respire fundo e agradeça por ter a chance de tentar conquistar de novo amanhã.💸</t>
  </si>
  <si>
    <t>🔥Você já imaginou ter a liberdade de trabalhar de onde quiser e ganhar dinheiro fazendo o que ama? Com o meu eBook, isso se torna possível!📲👇🏻</t>
  </si>
  <si>
    <t>Bem-vindo aos nossos conteúdos! 🚀
Aproveite nossas dicas e cursos para ganhar uma Renda Extra</t>
  </si>
  <si>
    <t>🥰Sonha em desenhar com realidade seus personagens favoritos?Seu sonho agora se torna realidade com passo a passo dinâmico e simples para aprimorar ou aprender</t>
  </si>
  <si>
    <t>Somos o site de anúncios online presente em 15 países, inclusive no Brasil. Muito prazer! 😉
Crie seu anúncio e conheça nosso blog 👇</t>
  </si>
  <si>
    <t>Falo de finanças e motivação para ajudar você a alcançar a liberdade financeira
#GanharDinheiroOnline #RendaExtra
#TrabalhoEmCasa #EmpreendedorismoDigital</t>
  </si>
  <si>
    <t>https://t.co/Hs1ShuIgaA
 https://t.co/I3hbbWqFQe…
Tiktok  @laviestory
Laviestory@yahoo.com</t>
  </si>
  <si>
    <t>Fundos Imobiliários são investimento, informações.
#FII #FundosImobiliarios</t>
  </si>
  <si>
    <t>Perfil de Humor - Descrições Ficcionais.
Lembre-se: você não é especial. Se acha que me refiro à você, não é você. É somente a carapuça genérica te servindo.</t>
  </si>
  <si>
    <t>💲Alcance o sucesso nas vendas online com a metodologia da Escola Pronavenda - Venda todos os dias na internet!</t>
  </si>
  <si>
    <t>Olá, Tenho 39 anos, Empreendedor, Graduação em matemática e com cursos em Gestão Empresarial, Marketing e especialização  em Marketing Digital.  Seja Bem Vindo!</t>
  </si>
  <si>
    <t>Descomplicando o “complicado” Universo das Criptomoedas 🚀🤑🇧🇷  https://t.co/DQe7isQwiz</t>
  </si>
  <si>
    <t>Aprenda a fazer deliciosos Potes da Felicidade e faça uma renda extra e casa
São 700 receitas maravilhosas mais 8 super bônus
Entre no link abaixo</t>
  </si>
  <si>
    <t>Descubra a melhor maneira de ganhar uma renda extra com o nosso Acervo PLR completo. 👇 LINK ABAIXO 👇</t>
  </si>
  <si>
    <t>Empreendedor Digital! Ajudo pessoas a terem uma renda extra trabalhando em casa através da internet! De forma segura e honesta.📱💸</t>
  </si>
  <si>
    <t>insta: gabu_sj</t>
  </si>
  <si>
    <t>Fazendo Dinheiro com renda extra IA, SDM, DROPSHIPPING e outros.</t>
  </si>
  <si>
    <t>Adventuring on the idea of ​​being a writer / screenwriter.   
Telegram: https://t.co/JQRRCYm5o8
Mail me: duarte_afo@hotmail.com     
+55 69 9 9242-4409</t>
  </si>
  <si>
    <t>TRANSFORME SUA ALIMENTAÇÃO COM 40 RECEITAS SAUDÁVEIS E SABOROSAS.  ADQUIRA AGORA O E-BOOK QUE VAI TE LEVAR A UMA VIDA MAIS SAUDÁVEL! ACESSE 👇🏼🍎🍓🏋🏽‍♀️💪🏼</t>
  </si>
  <si>
    <t>✨ Tarô sem mágica e mistério. ✨ Atendimento on-line ✨ Formada pela Academia Virtual de Autoconhecimento Nei Naiff ✨ Agende sua consulta aqui 👇</t>
  </si>
  <si>
    <t>Acompanhe meus ganhos com jogos!
Link da plataforma abaixo:</t>
  </si>
  <si>
    <t>Vou salvar o timão dessa crise...</t>
  </si>
  <si>
    <t>Um repórter sobre criptoativos, bem-estar e tecnologia. Confira meus artigos em otimoestar</t>
  </si>
  <si>
    <t>👇</t>
  </si>
  <si>
    <t>Jesus meu Amor Maior🙏🙌 Esposo de Rebeca😍 Pai de Letícia 😘 Educador Financeiro💵 Ajudar o próximo minha missão😀</t>
  </si>
  <si>
    <t>Por que viver</t>
  </si>
  <si>
    <t>Copia, Cola e Voa 🚀
Mentoria:
DAYTRADE 📌
VENDAS DIGITAIS 📌</t>
  </si>
  <si>
    <t>eliminar estrias Método Americano</t>
  </si>
  <si>
    <t>Nós somos o Futuro! 🌠
• Marketing Digital
• Serviços de Webdesign
• Cursos Online
• Mentorias
• Palestras
• Grupo Empresarial
• Networking</t>
  </si>
  <si>
    <t>As vezes eu desenho.
i'm sad. i need money</t>
  </si>
  <si>
    <t>APOSTE NA @sportsbetiobr | 
 ✉️ contato@legadaodamassa.com.br</t>
  </si>
  <si>
    <t>Thank you very much to anyone who can give me leverage, thank you for everything. Gratitude.
https://t.co/FbKB5fjN9Q
https://t.co/htEqtlCdVL
http:</t>
  </si>
  <si>
    <t>🏆 Casa de Análise Top 1 Anbima. Referência em investimentos no Brasil. + de 20 anos de experiência no mercado.</t>
  </si>
  <si>
    <t>“Quanto a mim, serei poesia até o FIM.”</t>
  </si>
  <si>
    <t>🏭 Proprietário @zonatecangola  📊 Co-Proprietário e Investidor @cristaloptica.ao  📈 Self-Made Man 😎</t>
  </si>
  <si>
    <t>Acesse agora!
E confira o que separamos para você.</t>
  </si>
  <si>
    <t>Te enssino a faturar na internet 💰
Quer apreender a faturar muita grana nesse mercado apenas com seu celular 📱💰💰
Me chama e vem comigo 🤝💰💰💰</t>
  </si>
  <si>
    <t>Filho do Deus Altíssimo, mordomo de Deus, com a missão de prover amor a uma esposa e dar destino a uma filha</t>
  </si>
  <si>
    <t>Gestor de tráfego pago e Gestor de automação do marketing.
Infoprodutor e Coprodutor.
Palestrante motivacional
#marketing #marketingdigital</t>
  </si>
  <si>
    <t>Quase um YouTuber | Gatos e corujas | Apaixonado por história e fascinado pelo sobrenatural | Explorando os mistérios do passado e do além!</t>
  </si>
  <si>
    <t>Veni Vidi Vici.
Pobre
Não tenho onde cair morto
Fumante as vezes
Me empresta 50 conto?
@LeemesCarol ❤️</t>
  </si>
  <si>
    <t>- Ser um portal divulgador, propagador e incentivador dos cursos MOOC  (Massive Open Online Cources) – Cursos Massivos Online - e do empreendedorismo.💰</t>
  </si>
  <si>
    <t>Ei, este é Gunslinger, faço streaming para sustentar minha família. Junte-se a mim em minhas atividades diárias de streaming.</t>
  </si>
  <si>
    <t>NFT Enthusiast Digital Art Designer</t>
  </si>
  <si>
    <t>👩‍👧Mãe
🌎 Conectando pessoas a novas experiências.
💰As melhores dicas para ganhar dinheiro com MARKETING, SAÚDE, BELEZA, CONFEITARIA e muito mais.
📍RS.</t>
  </si>
  <si>
    <t>ISI Tapes Vol. 1' dropped</t>
  </si>
  <si>
    <t>And cyanide in my styrofoam cup</t>
  </si>
  <si>
    <t>🚀Te ensino a gerar de R$500 a R$2000 por mês de renda extra usando apenas o seu cartão de crédito.</t>
  </si>
  <si>
    <t>Cursos de qualificação profissional!
Certificado emitido por uma faculdade credenciada no MEC. Temos também produtos PLR Premium, etc...  Acesse o link abaixo:</t>
  </si>
  <si>
    <t>💰</t>
  </si>
  <si>
    <t>Itabira/MG. https://t.co/UAKet1PKBW</t>
  </si>
  <si>
    <t>Amor no coração faz toda diferença no viver.</t>
  </si>
  <si>
    <t>Fornecemos atualizações em tempo real sobre os principais tendências e assuntos do YouTube. Siga-nos para ficar por dentro d</t>
  </si>
  <si>
    <t>Eu ensino brasileiros a multiplicarem sua renda investindo e trading nos Estados Unidos através do Clube do Investimento USA.</t>
  </si>
  <si>
    <t>Perseguido pela gangue fantasma do NFT</t>
  </si>
  <si>
    <t>Design, Comunismo, Esperanto e Atrocidades • Não-Mono • Ela/Elu • Afroindígena | casada c/ @natanisnothere | Vendo todas as artes do fixado em formato digital!</t>
  </si>
  <si>
    <t>Faça sua Primeira Renda e Se Motive
Make your first income and get motivated</t>
  </si>
  <si>
    <t>ator/apresentador......  HIPERATIVO</t>
  </si>
  <si>
    <t>Como Ganhar Dinheiro Na Internet  👉 https://t.co/tmENzg9uQA</t>
  </si>
  <si>
    <t>Lucre muito</t>
  </si>
  <si>
    <t>Em paralelo as minhas atividades de #tecnologiadainformação tenho um #blognoticia o News SHD.</t>
  </si>
  <si>
    <t>🚨Quer aprender a fazer dinheiro na bolsa de valores? Quer conquistar sua liberdade financeira, não depender de trabalho, de outras pessoas? Acesse o link 👇🏻</t>
  </si>
  <si>
    <t>Olá galera eu promovo vendas de parceiros da internet a fim de te ajudar a decidir a ter a melhor compra com links confiáveis e seguros📢👮💳💵 
#afiliadoonline</t>
  </si>
  <si>
    <t>....</t>
  </si>
  <si>
    <t>A Minum simplifica seu consumo de energia!
Você economiza💲e consome energia 100% sustentável!🌍</t>
  </si>
  <si>
    <t>Fugindo do tédio 🌅
fã da Olívia Rodrigo e Hero Tiffin 💜 🚀</t>
  </si>
  <si>
    <t>Fique por dentro das nossas dicas de Marketing Digital para você fazer até 5 dígitos por mês. A sua renda extra está aqui!</t>
  </si>
  <si>
    <t>Aprenda a ser um trader esportivo e domine a arte de apostas! Estratégia é o essencial para se vencer! Clique aqui https://t.co/MGHzRDeGYt</t>
  </si>
  <si>
    <t>Faça Cursos Online sem mensalidades com Certificados Reconhecidos em todo o Brasil.</t>
  </si>
  <si>
    <t>👩🏽‍💻 Empreendedora</t>
  </si>
  <si>
    <t>Twitter oficial da BetRebels Gaming no Brasil.
💰Bônus de Boas Vindas de até R$ 800
⚽️Apostas esportivas
🎰Cassino
🔞Jogue com responsabilidade (+18)</t>
  </si>
  <si>
    <t>Mineira morando no RJ, 55 anos. Divorciada. Baladeira, Swingeira 🔞 e Ninfomaníaca. 😈 🌶️</t>
  </si>
  <si>
    <t>As melhores estratégias para você faturar mais de 5 dígitos 💰</t>
  </si>
  <si>
    <t>👇 Mude de vida com este link abaixo 
https://t.co/aMhWEIxymr</t>
  </si>
  <si>
    <t>📍18
🏖 Balneário Camboriú 
♊</t>
  </si>
  <si>
    <t>Comunitat cristiana present com a Església local des del 2004 al Baix Llobregat, Alt Penedès, Garraf i part de l'Anoia, Bages, Vallès Occidental</t>
  </si>
  <si>
    <t>Blessed ♎️Insta: Karoliny.fs mamãe da Luna &amp; Noah⚓️❤️ @SCCP⚫️⚪️</t>
  </si>
  <si>
    <t>Business
Mkt</t>
  </si>
  <si>
    <t>•| Alavanque 🚀 Suas vendas
•| Do zero aos 10 mil reais 💵 
•| Robô 🤖 de vendas automáticas
•| 📌+ de 97 mil em vendas online 📲
•| Dúvidas 🤔 no link abaixo</t>
  </si>
  <si>
    <t>best season of my life..♡
(caso queira algum filme específico chame na dm)
grupo do telegram para ver filmes 👇</t>
  </si>
  <si>
    <t>Jogos online clique no link e bora lucrar também!🚀🤑
https://t.co/UKfucx0JMm</t>
  </si>
  <si>
    <t>Casado
Investidor 
Trader
 Homen que transborda por onde passa.
Seguidor do Favor dele</t>
  </si>
  <si>
    <t>Compre minhas plrs!!!
Trabalhe em Casa https://t.co/DcxcwwMN6R
Aumente seus Ganhos: Descubra os Benefícios do PLR https://t.co/U6jkNOdNoq</t>
  </si>
  <si>
    <t>Perfil para divulgar meu trabalho com Marketing digital e parcerias como afiliada</t>
  </si>
  <si>
    <t>💸🍀🎰🤖🚀</t>
  </si>
  <si>
    <t>THE BEST SOFTWARE FOR CRYPTOCURRENCIES IN LAUNCHES OR FOR DAY TRADING. DON'T MISS THE OPPORTUNITY TO CATCH NEW COINS, GREAT GAINS ARE AWAITNG FOR YOU!</t>
  </si>
  <si>
    <t>Motivação e Empreendedorismo - Diversas opções de Franquias e Negócios para você investir #empreendedorismo #empreendedor #franquias #empreender</t>
  </si>
  <si>
    <t>Loja virtual https://t.co/mcpnFbQtTS</t>
  </si>
  <si>
    <t>💸 | Faço dinheiro até com o celular
🧑‍💻 | Ganho dinheiro de qualquer lugar do 🌎
🍷| CLIQUE AQUI 👇
https://t.co/WMQBFZlXGo</t>
  </si>
  <si>
    <t>Eu levo as batatas.
Ele/Dele.</t>
  </si>
  <si>
    <t>Perfil oficial do podcast Broxada Sinistra
Ao vivo toda terça e sexta no YT
broxadasinistra@play9.com.br</t>
  </si>
  <si>
    <t>Twitter sobre achadinhos na internet.
promoções/ descontos e etc..</t>
  </si>
  <si>
    <t>Fique ligado tem coisa boa vindo por aí! #oportunidafe #saude #bemestar #juventude #novaera #novoscaminhos #empreendedorismo #vendadireta #negocios #juventude</t>
  </si>
  <si>
    <t>Descobri uma "brecha" na roleta desde 2012, minha meta é fazer o maior numero de pessoas lucrarem junto comigo. De direita e cristão. 27, Recife - PE 🥰</t>
  </si>
  <si>
    <t>👉 Saiba a estratégia para turbinar sua Advocacia(por apenas 37,00) e receba ainda os 5 Bônus gratis!</t>
  </si>
  <si>
    <t>marcha</t>
  </si>
  <si>
    <t>Somos uma imobiliária com mais de 23 anos de experiência no mercado imobiliário de Ijuí/RS e região.</t>
  </si>
  <si>
    <t>Utilizo este espaço para postar assuntos diversos, marketing digital, curiosidades do reino animal e vegetal.</t>
  </si>
  <si>
    <t>👨‍🏫 Professor, escritor, especialista em economia financeira e Educador Financeiro
📚 Dicas para Descomplicar sua Vida Financeira</t>
  </si>
  <si>
    <t>venha ganhar um dinheiro extra tambem!
https://t.co/9EkyK8r3yc</t>
  </si>
  <si>
    <t>Te ajudaremos a fazer uma "mesadinha" extra. Foque no seu objetivo. Vire a chave. Vai dar certo! 💰</t>
  </si>
  <si>
    <t>Sua nova plataforma de J0gos online. 🤩
- Bônus a todo momento 
- Estratégias e dicas
🤑 DIVERSÃO GARANTIDA SÓ AQUI!!! 🔥💥
https://t.co/GhpGdoDTKb</t>
  </si>
  <si>
    <t>Dicas para lidar melhor com o seu dinheiro. Investimentos em ações, fundos, poupança? Títulos, análises e notícias setoriais? As melhores informações para você.</t>
  </si>
  <si>
    <t>O SISTEMA FAEMG representa e defende os interesses dos mais de 400 mil produtores rurais de Minas Gerais.
[ Assessoria de Imprensa: imprensa@faemg.org.br ]</t>
  </si>
  <si>
    <t>💰| TRADING TRAVEL TRANSFORM 🤝| Ajudo-te a criar um negócio online sólido a partir do teu 📲 📩| Comece aqui👇🏾 https://t.co/reJ8GQqsOY</t>
  </si>
  <si>
    <t>Um estudante e trabalhador que faz renda em home office com vendas online, marketing de afiliados e negócios digitais honestos. 🤑🏠🏡 #marketingdeafiliados#fno</t>
  </si>
  <si>
    <t>43 anos casado,casal de filhos,8 gatos,amante de jogos(MMORPG,RPG,TCG)</t>
  </si>
  <si>
    <t>🪡Luis300k🪡
*App's e Vendas*</t>
  </si>
  <si>
    <t>#Acaxavi
Simplifique sua relação com a beleza 
Produtos multifuncionais 
compre aqui: https://t.co/U3TJ5UZy4X
@caxavilojas
https://t.co/FQ7gNJdHni</t>
  </si>
  <si>
    <t>DRIM
Eng.Agrônomo/Pós-graduação ST
futuro HOKAGE #Influencer na #GotChosenBrasil #CriadorDeConteúdo . Fãn da #DCcomics #Anime #Corinthians</t>
  </si>
  <si>
    <t>🌟 Bem-vindo(a) ao Mundo dos Transformadores! 🌟
🔗 Explore, Aprenda e Transcenda
🚀 Clique no link abaixo e comece a sua jornada</t>
  </si>
  <si>
    <t>🌵🚩🥬</t>
  </si>
  <si>
    <t>Blaze 🇧🇷
🎰 Jogos justos e transparentes
⚽️ Patrocinador @neymarjr, @santosfc e @acgoficial
📈 A casa do Crash original
🎁 Bônus de boas vindas até R$1000 ⬇️</t>
  </si>
  <si>
    <t>Artist NFT Brasil.</t>
  </si>
  <si>
    <t>Empreendedor, investidor, doido por minha família e odeio Bolsonaro!</t>
  </si>
  <si>
    <t>Profissional em busca constante de desafios e oportunidades para crescimento pessoal e profissional.</t>
  </si>
  <si>
    <t>Não existe o impossível para um sonhador 
→ segui ai ←</t>
  </si>
  <si>
    <t>Empreendedora Digital | Maquiadora ❤</t>
  </si>
  <si>
    <t>💫Agência de Streamers 
💫Venha conquistar sua independência financeira hoje
💫Ganhe dinheiro com o seu celular atendendo a chamadas de video</t>
  </si>
  <si>
    <t>treinamento para faturar!👇🤑</t>
  </si>
  <si>
    <t>gol o grande momento do futebol</t>
  </si>
  <si>
    <t>A fonte de notícias que vai te manter atualizado.</t>
  </si>
  <si>
    <t>perfil quase sempre fechado e quase sempre inativo</t>
  </si>
  <si>
    <t>Somos a maior rede de pagamentos do Brasil.</t>
  </si>
  <si>
    <t>Cuenta oficial. ¿Necesitás soporte? Contáctanos en @MP_ayuda. Más información en https://t.co/Jrqpmium7I</t>
  </si>
  <si>
    <t>📦 Entrego tudo rapidinho na sua casa.
💛 O melhor tá chegando #NaVelocidadeDaSuaVida
🤝 Pediu, chegou!</t>
  </si>
  <si>
    <t>🧠| 2 MIL POR MÊS COM MEU CELULAR!!!</t>
  </si>
  <si>
    <t>OS MELHORES ACHADINHOS DA INTERNET 🤩🤩🤩
Cupons pra você 🛍</t>
  </si>
  <si>
    <t>Te ajudo a ganhar dinheiro de modo seguro e online. Vai perder essa oportunidade? (não é venda de curso)</t>
  </si>
  <si>
    <t>Fotos de animes e virtual arte para satisfação individual!</t>
  </si>
  <si>
    <t>🔸️Technology Company, brazillian based</t>
  </si>
  <si>
    <t>Empresária, Técnica em Radiologia, Investidora, Marketing Digital 
🦂 💪🏋️🚴
https://t.co/aas1CwZTxw
https://t.co/XDFzz8eK9Y</t>
  </si>
  <si>
    <t>Divulgo cursos digitais e os melhores produtos e promoções Online!</t>
  </si>
  <si>
    <t>Conteúdo sobre investimentos no Brasil e exterior</t>
  </si>
  <si>
    <t>Afiliada Digital 🦋
Te ajudo a faturar com +300 sites 💰
Me chama e comece hoje  📲</t>
  </si>
  <si>
    <t>Perfil Novo Família ❤️
Perdi Minha Conta de  10K 😭💔 não sei porque o Twitter baniu e não quer devolver 😭.</t>
  </si>
  <si>
    <t>Sou Márcia (Mars)! Professora, viajante e empreendedora digital. Dicas para renda extra e viagens incríveis. Vamos juntos? 💻🌍 #RendaExtra #Viajar</t>
  </si>
  <si>
    <t>⚽️ Apostas Esportivas
🎲 Cassino Online
💥 Bônus de boas vindas de 100%
👇 ACESSE AGORA!</t>
  </si>
  <si>
    <t>Seja a mudança que você quer ver no mundo.</t>
  </si>
  <si>
    <t>vendo conteúdos/ olha minha bio 🙈</t>
  </si>
  <si>
    <t>Página focada em educação financeira, empreendedorismo, marketing digital, negócios, investimentos e mais!
💰💵</t>
  </si>
  <si>
    <t>A revista Cães&amp;Gatos VET FOOD é uma publicação mensal destinada aos médicos-veterinários. Acesse free em https://t.co/W5eD8vAGXK</t>
  </si>
  <si>
    <t>👇🏼Instagram
@edutiipster</t>
  </si>
  <si>
    <t>🚀one person busines</t>
  </si>
  <si>
    <t>Ser feliz é o que interessa✌🏽✌🏽</t>
  </si>
  <si>
    <t>Bem-vindo!
Aqui é o lugar onde compartilho tradições mágicas, práticas e rituais especiais.</t>
  </si>
  <si>
    <t>Aqui você encontrará informações valiosas sobre negócios lucrativos e carreiras promissoras. Ideias de negócios e profissões em alta para você começar trabalhar</t>
  </si>
  <si>
    <t>⚖️
•Escritório especializado em diversas áreas jurídicas.
-Águas Lindas De Goiás
-Brasília
Site: https://t.co/EsGRloXlQx</t>
  </si>
  <si>
    <t>Bem-vindo à nossa loja virtual de e-books! Navegue pelo nosso catálogo e descubra novas histórias, conhecimentos e aventuras.</t>
  </si>
  <si>
    <t>Diego Santos
Profissional de TI, educador, apaixonado por tecnologia e games | IT Professional, educator, passionate about technology and games.</t>
  </si>
  <si>
    <t>Empreendedor Digital  Meu diário do 🌽</t>
  </si>
  <si>
    <t>Aprenda a apostar aqui 🤑🤑</t>
  </si>
  <si>
    <t>Perfil NÃO OFICIAL só com RT's do @programapanico e https://t.co/iqG7Oslcsm integrantes e ex-integrantes</t>
  </si>
  <si>
    <t>Novidades, dicas e sugestões sobre o ChatGPT</t>
  </si>
  <si>
    <t>Levantou, a gente corta.</t>
  </si>
  <si>
    <t>Somos o Instituto Brasileiro de Geografia e Estatística, mas pode nos chamar de IBGE! Nosso trabalho é retratar o Brasil e os brasileiros.</t>
  </si>
  <si>
    <t>produtor de eventos no RJ #pagodeshowdebola
Empreendedor #vendasonline
Eterno aprendiz de tudo que possa gerar renda 💰</t>
  </si>
  <si>
    <t>Site de notícias sobre tecnologia e como fazer renda online</t>
  </si>
  <si>
    <t>faça uma renda estra 💵
💥grupo do telegram 👇</t>
  </si>
  <si>
    <t>⚡Afiliado/Aluno OPDI⚡
🚀Vencedor é aquele que insiste🚀
😎O mínimo é ser acima da média😎</t>
  </si>
  <si>
    <t>Canal que mostra na prática como investir na bolsa de valores com as menores taxas, em ações nacionais, Stocks, FIIs, Reits, Criptomoedas e mais.</t>
  </si>
  <si>
    <t>Perfil perfeito para quem segue uma dieta low carb. Receba dicas de receitas, informações nutricionais e inspiração para manter um estilo de vid</t>
  </si>
  <si>
    <t>Quer ganhar em dólares por realizar chamadas de vídeos com gringos? chama na DM</t>
  </si>
  <si>
    <t>✝️ Cristã ❤️ Casada 🇧🇷 MG 💄 Maquiadora</t>
  </si>
  <si>
    <t>O Pink Fire nasceu em 2021. Seu objetivo é trazer conteúdos que abordem o universo da tecnologia e cotidiano.</t>
  </si>
  <si>
    <t>O jeito certo e fácil de negociar as suas dívidas 💚
Saiba mais em ⤵️</t>
  </si>
  <si>
    <t>Waiter at Dom Restaurant vídeo maker</t>
  </si>
  <si>
    <t>Somos uma empresa especializada em serviços de limpeza em geral.</t>
  </si>
  <si>
    <t>Notícias, fofocas e muito mais.</t>
  </si>
  <si>
    <t>Onde as suas finanças começam 🚀
Nossa missão é mostrar que qualquer um pode ter controle financeiro, fazer boas escolhas e conquistar seus sonhos.</t>
  </si>
  <si>
    <t>🤖 Robôs Gratuitos aqui #FortuneTiger #Mines #Aviator #Penalty 
      ⬇⬇⬇⬇⬇⬇</t>
  </si>
  <si>
    <t>Criei meu negocio na internet e nunca mais tive patrão. 
Quer saber como?
 Me siga no ⏩https://t.co/NwJICN2aze😉✌</t>
  </si>
  <si>
    <t>Assistente Financeiro na Empresa Moderna&amp;Co | Graduando licenciatura em Letras-Inglês na UNIFEBE | Professora particular da língua inglesa</t>
  </si>
  <si>
    <t>®Empreendedor
®Trader</t>
  </si>
  <si>
    <t>onerpm.link/377794329074</t>
  </si>
  <si>
    <t>sun.eduzz.com/cg6obga4</t>
  </si>
  <si>
    <t>i3d.me/0yVS3A</t>
  </si>
  <si>
    <t>bit.ly/3zJVoGh</t>
  </si>
  <si>
    <t>mulhercomrendapropria.com.br/freelancer67</t>
  </si>
  <si>
    <t>contate.me/undefined</t>
  </si>
  <si>
    <t>apenasnegocioss.wixsite.com/apenasnegocios</t>
  </si>
  <si>
    <t>wa.me/5516991080949</t>
  </si>
  <si>
    <t>licitamundo.srv.br</t>
  </si>
  <si>
    <t>tvcultura.com.br</t>
  </si>
  <si>
    <t>danielguidotti.com</t>
  </si>
  <si>
    <t>leilaodescomplicado.com.br</t>
  </si>
  <si>
    <t>d2ccursosdigitais.com</t>
  </si>
  <si>
    <t>instagram.com/eu.tessy</t>
  </si>
  <si>
    <t>youtube.com/@anjodoasfalto…</t>
  </si>
  <si>
    <t>pay.greenn.com.br/redirect/31950…</t>
  </si>
  <si>
    <t>edzz.la/R2NSL?a=191820…</t>
  </si>
  <si>
    <t>poplottery.com/#/register?r_c…</t>
  </si>
  <si>
    <t>edzz.la/CS4TC?a=539945…</t>
  </si>
  <si>
    <t>linktr.ee/onetaptips</t>
  </si>
  <si>
    <t>ntnc.com.br/1357adbd-d8cb-…</t>
  </si>
  <si>
    <t>ideiaspararendaextrahoje.blogspot.com</t>
  </si>
  <si>
    <t>bit.ly/claytonmoraes</t>
  </si>
  <si>
    <t>01sotem1.com/register/4Tk7z…</t>
  </si>
  <si>
    <t>sun.eduzz.com/723654?a=10771…</t>
  </si>
  <si>
    <t>evelindasdicas.blogspot.com</t>
  </si>
  <si>
    <t>bit.ly/28-ferramentas…</t>
  </si>
  <si>
    <t>academiadodinheiro.com.br</t>
  </si>
  <si>
    <t>instagram.com/victorsarro</t>
  </si>
  <si>
    <t>bit.ly/meu-grupo-PORN…</t>
  </si>
  <si>
    <t>digiwave.shop</t>
  </si>
  <si>
    <t>youtube.com/@OVINNYINVEST</t>
  </si>
  <si>
    <t>instagram.com/purplemkt_?igs…</t>
  </si>
  <si>
    <t>kiwify.app/RhyT3pG?afid=l…</t>
  </si>
  <si>
    <t>instabio.cc/fabiosantana</t>
  </si>
  <si>
    <t>pay.kiwify.com.br/RJxS6LU</t>
  </si>
  <si>
    <t>jornalcontabil.com.br</t>
  </si>
  <si>
    <t>linktr.ee/juniorsocialme…</t>
  </si>
  <si>
    <t>bio.site/KarinaDuarte</t>
  </si>
  <si>
    <t>meucartao.link/eliasbarouh</t>
  </si>
  <si>
    <t>tiktok.com/@italolifestyl…</t>
  </si>
  <si>
    <t>linkedin.com/in/wesleyccost…</t>
  </si>
  <si>
    <t>bio.site/Suelenmaiira</t>
  </si>
  <si>
    <t>bit.ly/canalvamospros…</t>
  </si>
  <si>
    <t>kiwify.app/lr51rOj?afid=m…</t>
  </si>
  <si>
    <t>khanh.com.br</t>
  </si>
  <si>
    <t>instagram.com/emerson.matos78</t>
  </si>
  <si>
    <t>sempreganha.com</t>
  </si>
  <si>
    <t>hotm.art/aprenda-python…</t>
  </si>
  <si>
    <t>bio.site/comecee_aqui</t>
  </si>
  <si>
    <t>youtu.be/2lKx6YnGuyk</t>
  </si>
  <si>
    <t>go.hotmart.com/I81435256D</t>
  </si>
  <si>
    <t>msha.ke/robomilionario…</t>
  </si>
  <si>
    <t>fronteiralivre.com.br</t>
  </si>
  <si>
    <t>aviso.bz/?r=eidmanu</t>
  </si>
  <si>
    <t>youtube.com/channel/UCFWL1…</t>
  </si>
  <si>
    <t>linktr.ee/gruporecuperab…</t>
  </si>
  <si>
    <t>instagram.com/romario.goncal…</t>
  </si>
  <si>
    <t>linktr.ee/DNegao</t>
  </si>
  <si>
    <t>instagram.com/marinasara__</t>
  </si>
  <si>
    <t>agenciaventura.com.br</t>
  </si>
  <si>
    <t>f2tips.com/pronavenda</t>
  </si>
  <si>
    <t>bio.site/anaempreendora…</t>
  </si>
  <si>
    <t>linktr.ee/sucessospossiv…</t>
  </si>
  <si>
    <t>comunidadeoutropatamar.com.br</t>
  </si>
  <si>
    <t>shope.ee/1VRz4RjJLM?sha…</t>
  </si>
  <si>
    <t>expansione.com.br</t>
  </si>
  <si>
    <t>linktr.ee/atimopay</t>
  </si>
  <si>
    <t>beacons.ai/ajsoares</t>
  </si>
  <si>
    <t>pay.kiwify.com.br/hqtvfgF?afid=m…</t>
  </si>
  <si>
    <t>youtube.com/@EmanuelSummer…</t>
  </si>
  <si>
    <t>dtcwb.com.br</t>
  </si>
  <si>
    <t>bbcwin.com/?agentid=10779…</t>
  </si>
  <si>
    <t>tradewebbrasil.com.br</t>
  </si>
  <si>
    <t>funnybet.com</t>
  </si>
  <si>
    <t>bit.ly/danielaanile</t>
  </si>
  <si>
    <t>instagram.com/andrenegociosb…</t>
  </si>
  <si>
    <t>linktr.ee/Rendaextraemdo…</t>
  </si>
  <si>
    <t>p.eduzz.com/1807487</t>
  </si>
  <si>
    <t>radioarenabr.com</t>
  </si>
  <si>
    <t>shope.ee/7Uf5pXK5s9</t>
  </si>
  <si>
    <t>tiagocamargo.buscamelhores.com.br</t>
  </si>
  <si>
    <t>Smashup23.com</t>
  </si>
  <si>
    <t>dicasdeumadministrador.com</t>
  </si>
  <si>
    <t>linkr.bio/beasikeira</t>
  </si>
  <si>
    <t>youtube.com/channel/UCQBKf…</t>
  </si>
  <si>
    <t>instagram.com/mobygoribeirao…</t>
  </si>
  <si>
    <t>linktr.ee/anadagrana</t>
  </si>
  <si>
    <t>facebook.com/michelelopes</t>
  </si>
  <si>
    <t>linktr.ee/lrneves</t>
  </si>
  <si>
    <t>tema-livre.com</t>
  </si>
  <si>
    <t>instagram.com/atal_da_dada?r…</t>
  </si>
  <si>
    <t>go.hotmart.com/R80265193O</t>
  </si>
  <si>
    <t>game.brlwin.com/?code=vzujmv</t>
  </si>
  <si>
    <t>linktr.ee/tradersaedrash…</t>
  </si>
  <si>
    <t>linktr.ee/beyoursco</t>
  </si>
  <si>
    <t>canalqb.blogspot.com</t>
  </si>
  <si>
    <t>financasecia.com.br</t>
  </si>
  <si>
    <t>youtube.com/thiagocomedy</t>
  </si>
  <si>
    <t>youtube.com/channel/UCtciO…</t>
  </si>
  <si>
    <t>youtube.com/channel/UCCEDy…</t>
  </si>
  <si>
    <t>instagram.com/pulsofinanceir…</t>
  </si>
  <si>
    <t>bit.ly/3Oqs8fu</t>
  </si>
  <si>
    <t>autonomonaweb.com</t>
  </si>
  <si>
    <t>ev.braip.com/ref?pv=pron5m6…</t>
  </si>
  <si>
    <t>lh-zuka007.my.canva.site/vendas-plrs</t>
  </si>
  <si>
    <t>hotm.art/perfil-hotmart</t>
  </si>
  <si>
    <t>t.me/+JwAHm00U2uFmM…</t>
  </si>
  <si>
    <t>myanimelist.net/profile/Light_…</t>
  </si>
  <si>
    <t>go.hotmart.com/Y80397549A</t>
  </si>
  <si>
    <t>venhaserchefe.com.br</t>
  </si>
  <si>
    <t>t.me/Arielyaari44402</t>
  </si>
  <si>
    <t>linktr.ee/acelsio</t>
  </si>
  <si>
    <t>oincrivel.com.br</t>
  </si>
  <si>
    <t>bit.ly/3KzCar4</t>
  </si>
  <si>
    <t>truh.xyz/WbCx0UHpMB</t>
  </si>
  <si>
    <t>bit.ly/robozinhoautom…</t>
  </si>
  <si>
    <t>instagram.com/maristeladossa…</t>
  </si>
  <si>
    <t>beacons.ai/afiliadomax</t>
  </si>
  <si>
    <t>linktr.ee/vivi75ofertas</t>
  </si>
  <si>
    <t>betexpo.com</t>
  </si>
  <si>
    <t>instagram.com/vivianne_rodri…</t>
  </si>
  <si>
    <t>linktr.ee/EmperorHero</t>
  </si>
  <si>
    <t>linktr.ee/descentraliza.…</t>
  </si>
  <si>
    <t>youtube.com/PanicoJovemPan</t>
  </si>
  <si>
    <t>abrir.link/Criarsempre</t>
  </si>
  <si>
    <t>youtube.com/@PES-GAME</t>
  </si>
  <si>
    <t>xtudoyoutube.com</t>
  </si>
  <si>
    <t>linktr.ee/wiskton</t>
  </si>
  <si>
    <t>t.me/ruanpalpitesfc</t>
  </si>
  <si>
    <t>linkme.bio/stakemaster/</t>
  </si>
  <si>
    <t>marvel.ᅠ</t>
  </si>
  <si>
    <t>youtube.com/channel/UCiFJP…</t>
  </si>
  <si>
    <t>beacons.ai/insightinbound/</t>
  </si>
  <si>
    <t>kubeta.ao</t>
  </si>
  <si>
    <t>linktr.ee/realseguroviag…</t>
  </si>
  <si>
    <t>shopee.kpages.online</t>
  </si>
  <si>
    <t>redwoodartgroup.com/store/henrique…</t>
  </si>
  <si>
    <t>instagram.com/adaomkt</t>
  </si>
  <si>
    <t>evertonlopes.com.br</t>
  </si>
  <si>
    <t>sites.google.com/view/comecenaf…</t>
  </si>
  <si>
    <t>t.me/toplgbt</t>
  </si>
  <si>
    <t>youtube.com/channel/UCzh0H…</t>
  </si>
  <si>
    <t>ntnc.com.br/9c90bed5-8d91-…</t>
  </si>
  <si>
    <t>followconsultoriax.com/consultorafoll…</t>
  </si>
  <si>
    <t>bit.ly/3ZhMxFJ</t>
  </si>
  <si>
    <t>t.me/gabrieltipsesp…</t>
  </si>
  <si>
    <t>diogo86azevedo.blogspot.com</t>
  </si>
  <si>
    <t>linktr.ee/mercado.digita…</t>
  </si>
  <si>
    <t>25dollarstosucceed.com</t>
  </si>
  <si>
    <t>betfun.win/y8fdemxxd</t>
  </si>
  <si>
    <t>linktr.ee/orestesleal</t>
  </si>
  <si>
    <t>flashlite.app</t>
  </si>
  <si>
    <t>loja.luciluci.com.br/?u=lidermateus</t>
  </si>
  <si>
    <t>soundcloud.com/marcio_groove</t>
  </si>
  <si>
    <t>linkedin.com/in/fellipepinh…</t>
  </si>
  <si>
    <t>bio.site/joven.milion</t>
  </si>
  <si>
    <t>instagram.com/santiagojoven</t>
  </si>
  <si>
    <t>catanduva.sp.gov.br</t>
  </si>
  <si>
    <t>mateada.com</t>
  </si>
  <si>
    <t>mycollection.shop/lubambi</t>
  </si>
  <si>
    <t>luwin.com/?agentid=25835…</t>
  </si>
  <si>
    <t>brabet.com/?agentid=78039…</t>
  </si>
  <si>
    <t>youtube.com/@EuropamosMelo</t>
  </si>
  <si>
    <t>instagram.com/eempreendedor_…</t>
  </si>
  <si>
    <t>linktr.ee/brtvendasofici…</t>
  </si>
  <si>
    <t>instabio.cc/motivadorexpert</t>
  </si>
  <si>
    <t>instagram.com/carinacmkt/</t>
  </si>
  <si>
    <t>amzn.to/3yQyJXm</t>
  </si>
  <si>
    <t>freecash.com/r/twitter</t>
  </si>
  <si>
    <t>linknacional.com.br</t>
  </si>
  <si>
    <t>rzmlucremais.com.br</t>
  </si>
  <si>
    <t>bit.ly/3FXaXgP</t>
  </si>
  <si>
    <t>…c02978300ffe.awsglobalaccelerator.com/api/register/r…</t>
  </si>
  <si>
    <t>wa.link/o6eh3t</t>
  </si>
  <si>
    <t>youtube.com/jonathasluzofi…</t>
  </si>
  <si>
    <t>linktr.ee/agathaleeharper</t>
  </si>
  <si>
    <t>instabio.cc/CarolinaBouvie</t>
  </si>
  <si>
    <t>kwai-video.com/u/@yt100Limits…</t>
  </si>
  <si>
    <t>instagram.com/dsb.negociosec…</t>
  </si>
  <si>
    <t>tudoonlineagora.com</t>
  </si>
  <si>
    <t>amazon.com/author/rogmotta</t>
  </si>
  <si>
    <t>bit.ly/AFazendaNoKwai</t>
  </si>
  <si>
    <t>go.hotmart.com/C80202610B?ap=…</t>
  </si>
  <si>
    <t>split.to/rendaextraonli…</t>
  </si>
  <si>
    <t>linkedin.com/in/alamin-shei…</t>
  </si>
  <si>
    <t>anajuliafolheados.com.br</t>
  </si>
  <si>
    <t>go.hotmart.com/L78149203H?ap=…</t>
  </si>
  <si>
    <t>bee-trader.com</t>
  </si>
  <si>
    <t>mycollection.shop/ofertasemjogo</t>
  </si>
  <si>
    <t>instagram.com/seushopnaweb/</t>
  </si>
  <si>
    <t>api.whatsapp.com/send?phone=551…</t>
  </si>
  <si>
    <t>linktr.ee/PapodeMilhao022</t>
  </si>
  <si>
    <t>supermundo.com.br</t>
  </si>
  <si>
    <t>myfree.link/www.lendasbet.…</t>
  </si>
  <si>
    <t>ton.com.br/catalogo/?refe…</t>
  </si>
  <si>
    <t>youtube.com/@SowerInveste</t>
  </si>
  <si>
    <t>leftbank.com.br</t>
  </si>
  <si>
    <t>instagram.com/curso_master_b…</t>
  </si>
  <si>
    <t>plimbet.com/register/1707e…</t>
  </si>
  <si>
    <t>linktr.ee/workshopdantas</t>
  </si>
  <si>
    <t>youtube.com/@Damadeferroof…</t>
  </si>
  <si>
    <t>lula.com.br/siga-o-lula/</t>
  </si>
  <si>
    <t>about.me/rogermoreira</t>
  </si>
  <si>
    <t>instagram.com/robertomottaof…</t>
  </si>
  <si>
    <t>instagram.com/jornalismotvcu…</t>
  </si>
  <si>
    <t>youtube.com/@nerdgamingcs</t>
  </si>
  <si>
    <t>instagram.com/leandromunizmkt</t>
  </si>
  <si>
    <t>zei6iaqu-fey3ybur3q-an.a.run.app/dfnow.html?ggc…</t>
  </si>
  <si>
    <t>instagram.com/carlosvicentin…</t>
  </si>
  <si>
    <t>tayoliveirasucessodigital.com</t>
  </si>
  <si>
    <t>IMDb.me/LinoMGomes</t>
  </si>
  <si>
    <t>sun.eduzz.com/1973725</t>
  </si>
  <si>
    <t>youtube.com/channel/UCOENS…</t>
  </si>
  <si>
    <t>pulseplay.online</t>
  </si>
  <si>
    <t>instagram.com/karemdias?igsh…</t>
  </si>
  <si>
    <t>valdilenegabriela.com</t>
  </si>
  <si>
    <t>pablodaempada.offstore.me</t>
  </si>
  <si>
    <t>linkfly.to/ProfissaoMoney</t>
  </si>
  <si>
    <t>instagram.com/haru_jiggly</t>
  </si>
  <si>
    <t>instagram.com/milhoes_no_bol…</t>
  </si>
  <si>
    <t>t.me/+Kn5H6WJdc-c5N…</t>
  </si>
  <si>
    <t>youtube.com/c/RenanSousaCr…</t>
  </si>
  <si>
    <t>ntnc.com.br/3fa8f953-910f-…</t>
  </si>
  <si>
    <t>wa.me/message/KCJ4OR…</t>
  </si>
  <si>
    <t>carlamicaela.com/rendaextra</t>
  </si>
  <si>
    <t>instagram.com/ramonbarros.re…</t>
  </si>
  <si>
    <t>instagram.com/leooomoraes</t>
  </si>
  <si>
    <t>bio.site/extraordinaria…</t>
  </si>
  <si>
    <t>teudesejoss.com.br</t>
  </si>
  <si>
    <t>bit.ly/GanheDinheiroA…</t>
  </si>
  <si>
    <t>homeofficevirtual.blogspot.com/?m=0</t>
  </si>
  <si>
    <t>linktr.ee/magazinechennig</t>
  </si>
  <si>
    <t>jaydenmiranda.art.blog</t>
  </si>
  <si>
    <t>go.hotmart.com/P46502529R</t>
  </si>
  <si>
    <t>bit.ly/3eBAUaC</t>
  </si>
  <si>
    <t>youtube.com/@Urzeke?si=pdo…</t>
  </si>
  <si>
    <t>wa.me/message/GISPAV…</t>
  </si>
  <si>
    <t>starbetsonline.com/afiliados/tawa…</t>
  </si>
  <si>
    <t>linktr.ee/scoseuclienteo…</t>
  </si>
  <si>
    <t>pepper.com.br/checkout/index…</t>
  </si>
  <si>
    <t>chat.whatsapp.com/Jd9XYqFnaEL3PJ…</t>
  </si>
  <si>
    <t>buymeacoffee.com/kpkkprasanth</t>
  </si>
  <si>
    <t>lnk.bio/LinksDeCompras</t>
  </si>
  <si>
    <t>discord.gg/xKPHXgbNmV</t>
  </si>
  <si>
    <t>instagram.com/gotasesaude_?i…</t>
  </si>
  <si>
    <t>mywhats.net/JonasAlmeiiida</t>
  </si>
  <si>
    <t>beacons.ai/aposentandonovo</t>
  </si>
  <si>
    <t>linkfly.to/primeiravendae…</t>
  </si>
  <si>
    <t>assimvocegosta.com.br</t>
  </si>
  <si>
    <t>viamais.net/blog</t>
  </si>
  <si>
    <t>missaorenda.com.br</t>
  </si>
  <si>
    <t>bit.ly/ganhardinheiro…</t>
  </si>
  <si>
    <t>arasolution.com.br</t>
  </si>
  <si>
    <t>flj.com.br</t>
  </si>
  <si>
    <t>bit.ly/FALACOMLOOH</t>
  </si>
  <si>
    <t>instabio.cc/BelezaRenovadaa</t>
  </si>
  <si>
    <t>go.hotmart.com/M84187164U</t>
  </si>
  <si>
    <t>linktr.ee/boraviveralgon…</t>
  </si>
  <si>
    <t>edraposo.com</t>
  </si>
  <si>
    <t>linktree.com/lilvinicinho</t>
  </si>
  <si>
    <t>mycollection.shop/games.light</t>
  </si>
  <si>
    <t>riorush.com/register/4UxzT…</t>
  </si>
  <si>
    <t>bit.ly/sinaisaviatorv…</t>
  </si>
  <si>
    <t>bit.ly/3AeOF65</t>
  </si>
  <si>
    <t>epayapp.com.br/?t=30</t>
  </si>
  <si>
    <t>bianca-goncalvesdesouza.kpages.online/minicursocaixa…</t>
  </si>
  <si>
    <t>bit.ly/packsojonathan…</t>
  </si>
  <si>
    <t>ingredraisa.com.br</t>
  </si>
  <si>
    <t>bio.site/ovictorwi_</t>
  </si>
  <si>
    <t>bit.ly/Documentospet-…</t>
  </si>
  <si>
    <t>instagram.com/dom.investor/</t>
  </si>
  <si>
    <t>hotmart.com/pt-br/marketpl…</t>
  </si>
  <si>
    <t>youtube.com/c/Di%C3%A1riod…</t>
  </si>
  <si>
    <t>youtube.com/@MePoupe</t>
  </si>
  <si>
    <t>portaldecursosdigitais.com.br</t>
  </si>
  <si>
    <t>wa.me/5567996532902</t>
  </si>
  <si>
    <t>instagram.com/eduoficialmj/</t>
  </si>
  <si>
    <t>bit.ly/caiomartins_si…</t>
  </si>
  <si>
    <t>bit.ly/Marmita_Fitnes…</t>
  </si>
  <si>
    <t>ahz.bio/leonardoafonso…</t>
  </si>
  <si>
    <t>betbolacom.page.link/Twitter</t>
  </si>
  <si>
    <t>youtube.com/paparazzorubro…</t>
  </si>
  <si>
    <t>linktr.ee/Fm40k</t>
  </si>
  <si>
    <t>luis-soto.com</t>
  </si>
  <si>
    <t>vagasdeempregosemsalvador.blogspot.com</t>
  </si>
  <si>
    <t>ganhedinheiroagoratopdicas.com</t>
  </si>
  <si>
    <t>showmetech.com.br</t>
  </si>
  <si>
    <t>instagram.com/luamedeiros92</t>
  </si>
  <si>
    <t>linktr.ee/paullosergio_A…</t>
  </si>
  <si>
    <t>pay.kiwify.com.br/stPj5Aq?afid=X…</t>
  </si>
  <si>
    <t>pay.kiwify.com.br/2vTnClf?afid=E…</t>
  </si>
  <si>
    <t>youtube.com/@MarceloBrigad…</t>
  </si>
  <si>
    <t>triunfo777.com/?TF=cjf6ch1</t>
  </si>
  <si>
    <t>blaze.com/r/qK64qB</t>
  </si>
  <si>
    <t>secret20.com/pt/5943919</t>
  </si>
  <si>
    <t>hotm.art/monalisafit</t>
  </si>
  <si>
    <t>jogajunto.net/register?id=64…</t>
  </si>
  <si>
    <t>bio.site/packdosplrs</t>
  </si>
  <si>
    <t>saiadozeromeindica.orbitpages.online/me-indica-prem…</t>
  </si>
  <si>
    <t>guilhermeargenta.com</t>
  </si>
  <si>
    <t>institutoibesp.org</t>
  </si>
  <si>
    <t>youtube.com/c/M%C3%ADstico…</t>
  </si>
  <si>
    <t>pay.kiwify.com.br/stPj5Aq?afid=O…</t>
  </si>
  <si>
    <t>btclucrox.com.br/blog/</t>
  </si>
  <si>
    <t>bit.ly/forum-black-ra…</t>
  </si>
  <si>
    <t>sites.google.com/view/nr-novosr…</t>
  </si>
  <si>
    <t>edzz.la/R2NSL?a=930611…</t>
  </si>
  <si>
    <t>linktr.ee/Nerdup</t>
  </si>
  <si>
    <t>linktr.ee/liadiogo</t>
  </si>
  <si>
    <t>w.tt/3KQm8HL</t>
  </si>
  <si>
    <t>pay.kiwify.com.br/gUdbKaC?afid=U…</t>
  </si>
  <si>
    <t>kiwify.app/Q3o5xI1?afid=K…</t>
  </si>
  <si>
    <t>gcfbr.com.br</t>
  </si>
  <si>
    <t>bit.ly/TomoWin_Ofc</t>
  </si>
  <si>
    <t>go.hotmart.com/Y81427297E</t>
  </si>
  <si>
    <t>linktr.ee/vendas_onup</t>
  </si>
  <si>
    <t>sanmarvanondemand.com.br</t>
  </si>
  <si>
    <t>youtube.com/channel/UCSteB…</t>
  </si>
  <si>
    <t>coinsday.com.br</t>
  </si>
  <si>
    <t>bit.ly/3uD9GEB</t>
  </si>
  <si>
    <t>hotm.art/comeca-agora-d…</t>
  </si>
  <si>
    <t>ntnc.com.br/2ebf933a-5f8b-…</t>
  </si>
  <si>
    <t>wa.me/5547988951932?…</t>
  </si>
  <si>
    <t>linktr.ee/rodrigovazarte</t>
  </si>
  <si>
    <t>dinka.com.br</t>
  </si>
  <si>
    <t>go.hotmart.com/J84468532Q?dp=1</t>
  </si>
  <si>
    <t>linktr.ee/Imetway</t>
  </si>
  <si>
    <t>luisalvescoaching.blogspot.com</t>
  </si>
  <si>
    <t>linktr.ee/leoprioficial</t>
  </si>
  <si>
    <t>bit.ly/Fórmula-Feo</t>
  </si>
  <si>
    <t>pay.hotmart.com/M86634919E?off…</t>
  </si>
  <si>
    <t>noitesclarasescuraseram.worpdress.com</t>
  </si>
  <si>
    <t>appconectadigital.com/consultormilto…</t>
  </si>
  <si>
    <t>magazinevoce.com.br/magazinedelanj…</t>
  </si>
  <si>
    <t>go.hotmart.com/J75596015O</t>
  </si>
  <si>
    <t>bit.ly/AFUNofficial</t>
  </si>
  <si>
    <t>…ersocybershop.lojavirtualnuvem.com.br/produtos/</t>
  </si>
  <si>
    <t>instagram.com/gabriel_barbos…</t>
  </si>
  <si>
    <t>wa.me/qr/MKJQ2M5G7SQ…</t>
  </si>
  <si>
    <t>beacons.ai/marcinho_029</t>
  </si>
  <si>
    <t>casadasessencias.com.br</t>
  </si>
  <si>
    <t>magazinevoce.com.br/magazinevitmar…</t>
  </si>
  <si>
    <t>oscarulloa.com</t>
  </si>
  <si>
    <t>linktr.ee/joseafonso.mkt</t>
  </si>
  <si>
    <t>bit.ly/zapplus-twitter</t>
  </si>
  <si>
    <t>metropoles.com</t>
  </si>
  <si>
    <t>sun.eduzz.com/1326620?a=9386…</t>
  </si>
  <si>
    <t>bit.ly/41c36Ud</t>
  </si>
  <si>
    <t>bento.me/abnerramos</t>
  </si>
  <si>
    <t>linktr.ee/millionairepri…</t>
  </si>
  <si>
    <t>bit.ly/3XUqvJY</t>
  </si>
  <si>
    <t>bit.ly/Ebooks-pro</t>
  </si>
  <si>
    <t>creatorlabs.com.br</t>
  </si>
  <si>
    <t>hotm.art/ngdgpv</t>
  </si>
  <si>
    <t>danielmeneses.com.br</t>
  </si>
  <si>
    <t>jvmedeiros.com</t>
  </si>
  <si>
    <t>edzz.la/AASAR?a=377648…</t>
  </si>
  <si>
    <t>chatguru.com.br</t>
  </si>
  <si>
    <t>betdasorte.com</t>
  </si>
  <si>
    <t>catanduvananet.com.br</t>
  </si>
  <si>
    <t>go.hotmart.com/Q47151435X</t>
  </si>
  <si>
    <t>edgarspace.com</t>
  </si>
  <si>
    <t>clicounovidades.blogspot.com</t>
  </si>
  <si>
    <t>financasplusblog.com.br</t>
  </si>
  <si>
    <t>linktr.ee/juliarolim</t>
  </si>
  <si>
    <t>Twitch.tv/the_souza80</t>
  </si>
  <si>
    <t>youtube.com/channel/UChDk_…</t>
  </si>
  <si>
    <t>web.facebook.com/MoVendoDinheiro</t>
  </si>
  <si>
    <t>gabinetedarma.com.br</t>
  </si>
  <si>
    <t>bit.ly/Whatsapp-Trapo…</t>
  </si>
  <si>
    <t>linkr.bio/Sejamilionarioo</t>
  </si>
  <si>
    <t>youtube.com/channel/UCWjtK…</t>
  </si>
  <si>
    <t>twitter.com/BTS_twt/status…</t>
  </si>
  <si>
    <t>edzz.la/R2NSL?a=452463…</t>
  </si>
  <si>
    <t>instagram.com/rainha.das.pro…</t>
  </si>
  <si>
    <t>t.me/RoletadoZeq</t>
  </si>
  <si>
    <t>linkr.bio/iniciar_</t>
  </si>
  <si>
    <t>caroljsjsantos.wordpress.com</t>
  </si>
  <si>
    <t>ntnc.com.br/8d0173c8-de6e-…</t>
  </si>
  <si>
    <t>automasterbr.com</t>
  </si>
  <si>
    <t>instagram.com/biomed.estetta…</t>
  </si>
  <si>
    <t>Instagram.com/thiagorh1</t>
  </si>
  <si>
    <t>peeked.com.br</t>
  </si>
  <si>
    <t>ntnc.com.br/92638200-a246-…</t>
  </si>
  <si>
    <t>djgarcia-muzik.blogspot.com</t>
  </si>
  <si>
    <t>digasimamonarquia.com.br/monarquia</t>
  </si>
  <si>
    <t>solucredito.com.br</t>
  </si>
  <si>
    <t>youtu.be/OeSusGU_hxU</t>
  </si>
  <si>
    <t>ntnc.com.br/44e7789a-6b00-…</t>
  </si>
  <si>
    <t>sites.google.com/view/quitandae…</t>
  </si>
  <si>
    <t>instagram.com/brenosantz</t>
  </si>
  <si>
    <t>beacons.ai/souapenasv</t>
  </si>
  <si>
    <t>ntnc.com.br/1f961fa7-b913-…</t>
  </si>
  <si>
    <t>shope.ee/5pdJ39wpVI?sha…</t>
  </si>
  <si>
    <t>wa.me/61992641172</t>
  </si>
  <si>
    <t>clubefii.com.br</t>
  </si>
  <si>
    <t>magazinevoce.com.br/magazinesmgmar…</t>
  </si>
  <si>
    <t>go.hotmart.com/F83317712D</t>
  </si>
  <si>
    <t>forumservicopublicoceara.org.br</t>
  </si>
  <si>
    <t>natas.studio</t>
  </si>
  <si>
    <t>instagram.com/famainfoco/</t>
  </si>
  <si>
    <t>linktr.ee/demetriusteixe…</t>
  </si>
  <si>
    <t>bit.ly/3K0nD8j</t>
  </si>
  <si>
    <t>m.calica777slots.com/?gfs=369zwsyp</t>
  </si>
  <si>
    <t>magridtonini.com.br/consultoria-pl…</t>
  </si>
  <si>
    <t>gigdoll.com/youtube</t>
  </si>
  <si>
    <t>facebook.com/alexsandra.car…</t>
  </si>
  <si>
    <t>t.me/iadoubleprofree</t>
  </si>
  <si>
    <t>instagram.com/yvedeoliveira/</t>
  </si>
  <si>
    <t>correiodeminas.com.br</t>
  </si>
  <si>
    <t>youtube.com/channel/UCdTFD…</t>
  </si>
  <si>
    <t>proeducacional.com/?ref=23</t>
  </si>
  <si>
    <t>facebook.com/ricardofabrizi…</t>
  </si>
  <si>
    <t>bunnieshole.com</t>
  </si>
  <si>
    <t>b1.bet</t>
  </si>
  <si>
    <t>tribunapr.com.br</t>
  </si>
  <si>
    <t>mycollection.shop/sara_shopee</t>
  </si>
  <si>
    <t>beacons.ai/samuelzaim</t>
  </si>
  <si>
    <t>bbspremios.bet/registrar/EE3C…</t>
  </si>
  <si>
    <t>soljogo.com/?id=17538800</t>
  </si>
  <si>
    <t>linktr.ee/Alongamento_de…</t>
  </si>
  <si>
    <t>escritorio10.hinode.com.br/cadastro/44669…</t>
  </si>
  <si>
    <t>avon.com.br/institucional/…</t>
  </si>
  <si>
    <t>pay.kiwify.com.br/L8KhVhV?afid=a…</t>
  </si>
  <si>
    <t>linktr.ee/larissacamposs</t>
  </si>
  <si>
    <t>jittudesign.com</t>
  </si>
  <si>
    <t>linktr.ee/murilo.satler</t>
  </si>
  <si>
    <t>drpimenta.com</t>
  </si>
  <si>
    <t>youtube.com/c/PenseRicoDic…</t>
  </si>
  <si>
    <t>instagram.com/ogabreu_</t>
  </si>
  <si>
    <t>instagram.com/patroamiiliona…</t>
  </si>
  <si>
    <t>linkfly.to/cortescomestil…</t>
  </si>
  <si>
    <t>instagram.com/coreanasfrases/</t>
  </si>
  <si>
    <t>carvalhoempreende.com.br</t>
  </si>
  <si>
    <t>go.hotmart.com/W82447078J</t>
  </si>
  <si>
    <t>bit.ly/happyhairvenda…</t>
  </si>
  <si>
    <t>bit.ly/formula5kvma</t>
  </si>
  <si>
    <t>telegrupos.com.br</t>
  </si>
  <si>
    <t>olhargreen.com.br</t>
  </si>
  <si>
    <t>youtube.com/channel/UCI5ru…</t>
  </si>
  <si>
    <t>youtube.com/channel/UCNqCh…</t>
  </si>
  <si>
    <t>mpago.li/1ADqCyH</t>
  </si>
  <si>
    <t>chat.whatsapp.com/Fgiy4LHdXwp3ET…</t>
  </si>
  <si>
    <t>instagram.com/loohcarolline?…</t>
  </si>
  <si>
    <t>invistaelucre.com.br/dominando-os-i…</t>
  </si>
  <si>
    <t>agrobayer.com.br</t>
  </si>
  <si>
    <t>imperiodasmilhas.com</t>
  </si>
  <si>
    <t>wa.link/1xqiyn</t>
  </si>
  <si>
    <t>icligo.com/?utm_source=za…</t>
  </si>
  <si>
    <t>go.hotmart.com/Q79813452Y</t>
  </si>
  <si>
    <t>wa.me/5583988612820</t>
  </si>
  <si>
    <t>linkr.bio/atacadaodescon…</t>
  </si>
  <si>
    <t>linktr.ee/diegoskda</t>
  </si>
  <si>
    <t>tinyurl.com/3c24mhd5</t>
  </si>
  <si>
    <t>bio.site/milionarianofu…</t>
  </si>
  <si>
    <t>folhadocondomino.com.br</t>
  </si>
  <si>
    <t>tiktok.com/@achadinhodamah</t>
  </si>
  <si>
    <t>youtube.com/@bladedaquebra…</t>
  </si>
  <si>
    <t>linktr.ee/spreaker</t>
  </si>
  <si>
    <t>shopibeauty.lojavirtualnuvem.com.br</t>
  </si>
  <si>
    <t>vendah.com.br/thai.lo</t>
  </si>
  <si>
    <t>go.hotmart.com/K82962804P</t>
  </si>
  <si>
    <t>affiliates.gbctlatina.com/links/?btag=11…</t>
  </si>
  <si>
    <t>pay.kiwify.com.br/Ud81dpH</t>
  </si>
  <si>
    <t>leonildobevilaqua.com.br</t>
  </si>
  <si>
    <t>instagram.com/marcelofayh/</t>
  </si>
  <si>
    <t>upwards2015.blogspot.com</t>
  </si>
  <si>
    <t>kiwify.app/LJaXYlB</t>
  </si>
  <si>
    <t>linktr.ee/aprendaavencer</t>
  </si>
  <si>
    <t>go.hotmart.com/B75535013D?dp=1</t>
  </si>
  <si>
    <t>vivalocal.com/blog</t>
  </si>
  <si>
    <t>amzn.to/3ZoOX5T</t>
  </si>
  <si>
    <t>kiwify.app/JGzjGmT?afid=l…</t>
  </si>
  <si>
    <t>youtube.com/c/JoacyTrajano…</t>
  </si>
  <si>
    <t>evoluacrypto.com.br</t>
  </si>
  <si>
    <t>linktr.ee/PotedaFelicida…</t>
  </si>
  <si>
    <t>cutt.ly/acervoplr</t>
  </si>
  <si>
    <t>pay.kiwify.com.br/AfzLeQP?afid=5…</t>
  </si>
  <si>
    <t>marraquexe.com.br</t>
  </si>
  <si>
    <t>hotm.art/iH0jiS</t>
  </si>
  <si>
    <t>linktr.ee/taroguiandoo</t>
  </si>
  <si>
    <t>pixione.com/?v=5EKAUBUMSVN</t>
  </si>
  <si>
    <t>linkfly.to/expertdigitamls</t>
  </si>
  <si>
    <t>fabiooliveirafinancas.com.br</t>
  </si>
  <si>
    <t>linktr.ee/jonpadilha</t>
  </si>
  <si>
    <t>hotm.art/Zk02iJv</t>
  </si>
  <si>
    <t>grupoalpha7.tk</t>
  </si>
  <si>
    <t>instagram.com/bistecozord/?h…</t>
  </si>
  <si>
    <t>linktr.ee/legadaodamassa</t>
  </si>
  <si>
    <t>basicosstore.com.br</t>
  </si>
  <si>
    <t>wa.me/message/XL5K5F…</t>
  </si>
  <si>
    <t>youtube.com/user/ROCKERCWB</t>
  </si>
  <si>
    <t>jeff.buillderall.online</t>
  </si>
  <si>
    <t>youtube.com/@binx0101</t>
  </si>
  <si>
    <t>sendasdoconhecimento.com.br</t>
  </si>
  <si>
    <t>youtube.com/gunslingercent…</t>
  </si>
  <si>
    <t>biolivre.com.br/startstorehr</t>
  </si>
  <si>
    <t>superln.blogspot.com</t>
  </si>
  <si>
    <t>linktr.ee/eliasisi</t>
  </si>
  <si>
    <t>linkfly.to/cursosgratison…</t>
  </si>
  <si>
    <t>atilalemos.com.br</t>
  </si>
  <si>
    <t>joerdsonrodrigues.com.br</t>
  </si>
  <si>
    <t>instagram.com/brunovalenteof…</t>
  </si>
  <si>
    <t>bsky.app/profile/gataso…</t>
  </si>
  <si>
    <t>tiktok.com/@moneyvibelife</t>
  </si>
  <si>
    <t>go.hotmart.com/T79988995C</t>
  </si>
  <si>
    <t>linktr.ee/newsshd</t>
  </si>
  <si>
    <t>linktr.ee/afeducacao</t>
  </si>
  <si>
    <t>minum.com.br</t>
  </si>
  <si>
    <t>sites.google.com/view/aprendaas…</t>
  </si>
  <si>
    <t>linktr.ee/Saberdigitalon…</t>
  </si>
  <si>
    <t>betrebels.com/pt/</t>
  </si>
  <si>
    <t>instagram.com/gildasallesofi…</t>
  </si>
  <si>
    <t>djmagope.blogspot.com.br</t>
  </si>
  <si>
    <t>jtrsolucoes.com</t>
  </si>
  <si>
    <t>bisbatsantfeliu.cat</t>
  </si>
  <si>
    <t>ask.fm/Kahsensualizee</t>
  </si>
  <si>
    <t>linkme.bio/queroorobo</t>
  </si>
  <si>
    <t>t.me/filmesseriesap…</t>
  </si>
  <si>
    <t>instagram.com/sor4z__/</t>
  </si>
  <si>
    <t>instagram.com/vivivasconcelo…</t>
  </si>
  <si>
    <t>cryptosniper.com.br</t>
  </si>
  <si>
    <t>linkedin.com/in/dan-mendes-…</t>
  </si>
  <si>
    <t>bit.ly/41u5qYc</t>
  </si>
  <si>
    <t>api.whatsapp.com/send?phone=553…</t>
  </si>
  <si>
    <t>youtube.com/@broxadasinist…</t>
  </si>
  <si>
    <t>magazinevoce.com.br/magazinemiguel…</t>
  </si>
  <si>
    <t>precadastro.eublack.com/rosanaalfaro</t>
  </si>
  <si>
    <t>scavuzzi.com.br/oconvite</t>
  </si>
  <si>
    <t>guiajurosabusivos.com.br</t>
  </si>
  <si>
    <t>instagram.com/iniccolas</t>
  </si>
  <si>
    <t>cursos.escoladevencedores.net</t>
  </si>
  <si>
    <t>linktr.ee/mesadinha.extra</t>
  </si>
  <si>
    <t>kash777.com</t>
  </si>
  <si>
    <t>sistemafaemg.org.br</t>
  </si>
  <si>
    <t>msha.ke/naterciamanuela</t>
  </si>
  <si>
    <t>engenheiroeco.com/?utm_source=tw…</t>
  </si>
  <si>
    <t>mycollection.shop/_shopee1_</t>
  </si>
  <si>
    <t>lojasacaxavi.com.br</t>
  </si>
  <si>
    <t>gotchosen.com/@guillergs007/…</t>
  </si>
  <si>
    <t>linkr.bio/E-book.gateway</t>
  </si>
  <si>
    <t>blaze.com/twbr</t>
  </si>
  <si>
    <t>opensea.io/collection/mon…</t>
  </si>
  <si>
    <t>warriorplus.com/o2/a/hgtjdk/0</t>
  </si>
  <si>
    <t>chat.whatsapp.com/GOoB4ZsDdctBLQ…</t>
  </si>
  <si>
    <t>edzz.la/MXSWB?a=524150…</t>
  </si>
  <si>
    <t>Instagram.com/crimesreaisofi…</t>
  </si>
  <si>
    <t>mercadopago.com.ar</t>
  </si>
  <si>
    <t>biolivre.com.br/mercadolivrebr</t>
  </si>
  <si>
    <t>bit.ly/Victorcartie</t>
  </si>
  <si>
    <t>instagram.com/achadinhosdaal…</t>
  </si>
  <si>
    <t>fotossexy.my.canva.site</t>
  </si>
  <si>
    <t>instagram.com/techlife.inc/</t>
  </si>
  <si>
    <t>magazinevoce.com.br/magazinedakell…</t>
  </si>
  <si>
    <t>mundomarsdigital.com</t>
  </si>
  <si>
    <t>sshortly.net/7TWusk</t>
  </si>
  <si>
    <t>bit.ly/6DConteúdos_bá…</t>
  </si>
  <si>
    <t>caesegatos.com.br</t>
  </si>
  <si>
    <t>instagram.com/reel/CnkvMlzDU…</t>
  </si>
  <si>
    <t>instagram.com/karladvogados/</t>
  </si>
  <si>
    <t>linktr.ee/estantevirtuall</t>
  </si>
  <si>
    <t>beacons.ai/qgdatecnologia</t>
  </si>
  <si>
    <t>instagram.com/ozil_dias</t>
  </si>
  <si>
    <t>ibge.gov.br</t>
  </si>
  <si>
    <t>oespaco.digital</t>
  </si>
  <si>
    <t>t.me/+0juROX022fQ1Y…</t>
  </si>
  <si>
    <t>emoneybrasil.com.br</t>
  </si>
  <si>
    <t>ntnc.com.br/0d01bdc1-640e-…</t>
  </si>
  <si>
    <t>wa.me/message/67U2HZ…</t>
  </si>
  <si>
    <t>instagram.com/bbarbarasantos</t>
  </si>
  <si>
    <t>pinkfire.com.br</t>
  </si>
  <si>
    <t>acerto.com.br</t>
  </si>
  <si>
    <t>financeone.com.br</t>
  </si>
  <si>
    <t>bit.ly/RobosGratis</t>
  </si>
  <si>
    <t>jaquecosta.com</t>
  </si>
  <si>
    <t>mercadocriptoetoken.blogspot.com</t>
  </si>
  <si>
    <t>https://t.co/zq0yNV4Xj7 https://t.co/nBz4M7PB2p</t>
  </si>
  <si>
    <t>https://t.co/rrnbkY0CkW https://t.co/txYriQbDcX</t>
  </si>
  <si>
    <t>https://t.co/dz3lgPvLJI https://t.co/GDwLq0A21c</t>
  </si>
  <si>
    <t>https://t.co/g37lrR9C7n https://t.co/bH2pqUWAeS</t>
  </si>
  <si>
    <t>https://t.co/5lrSTf6UbL https://t.co/q0I4C13KqI</t>
  </si>
  <si>
    <t>https://t.co/SHkbvZi0YD https://t.co/3twJ0zurCn</t>
  </si>
  <si>
    <t>https://t.co/Hs1ShuIgaA https://t.co/I3hbbWqFQe</t>
  </si>
  <si>
    <t>https://t.co/FbKB5fjN9Q https://t.co/htEqtlCdVL</t>
  </si>
  <si>
    <t>https://t.co/DcxcwwMN6R https://t.co/U6jkNOdNoq</t>
  </si>
  <si>
    <t>https://t.co/U3TJ5UZy4X https://t.co/FQ7gNJdHni</t>
  </si>
  <si>
    <t>https://t.co/aas1CwZTxw https://t.co/XDFzz8eK9Y</t>
  </si>
  <si>
    <t>http://diogo86azevedo.blogspot.com http://investidorcriptomundo.blogspot.com</t>
  </si>
  <si>
    <t>http://instagram.com/jonathasluz.of http://hotm.art/osegredodasven</t>
  </si>
  <si>
    <t>http://discord.gg/xKPHXgbNmV http://pay.kiwify.com.br/LD8d05j</t>
  </si>
  <si>
    <t>http://t.me/+q3BE1nZ6L3Y4Z http://tiktok.com/@nfts_dp</t>
  </si>
  <si>
    <t>http://youtube.com/channel/UCdTFD http://t.me/+rpr20FgNJIQyN</t>
  </si>
  <si>
    <t>http://t.me/thebestcryptos http://tinyurl.com/5n8jy222</t>
  </si>
  <si>
    <t>https://www.facebook.com/LaVieStory0?mibextid=ZbWKwL http://instagram.com/laviestory2?ig</t>
  </si>
  <si>
    <t>http://instagram.com/josed.amo/ http://youtu.be/mSgSI28CyPA</t>
  </si>
  <si>
    <t>http://pay.kiwify.com.br/t0cTyLx http://pay.kiwify.com.br/Euf2xKq</t>
  </si>
  <si>
    <t>https://lojasacaxavi.com.br http://Lojasacaxavi.com.br</t>
  </si>
  <si>
    <t>https://www.minhaloja.eudora.com.br/dakellynha http://Amazon.com.br</t>
  </si>
  <si>
    <t>instagram.com/acoesimportam/</t>
  </si>
  <si>
    <t>youtube.com/@jcmotoristaub…</t>
  </si>
  <si>
    <t>instagram.com/achadomultimar…</t>
  </si>
  <si>
    <t>instagram.com/rendaourodamina</t>
  </si>
  <si>
    <t>api.whatsapp.com/send?phone=541</t>
  </si>
  <si>
    <t>go.hotmart.com/E45032625U</t>
  </si>
  <si>
    <t>go.hotmart.com/L78388156D</t>
  </si>
  <si>
    <t>smashup23.com</t>
  </si>
  <si>
    <t>youtube.com/c/CarlosVieira</t>
  </si>
  <si>
    <t>bit.ly/youQb</t>
  </si>
  <si>
    <t>aliancanftbr.my.canva.site/financasecia</t>
  </si>
  <si>
    <t>gatosabido.yolasite.com</t>
  </si>
  <si>
    <t>autonomonaweb.com/instagramlucra</t>
  </si>
  <si>
    <t>go.hotmart.com/Q79405373O</t>
  </si>
  <si>
    <t>youtube.com/@XTudo</t>
  </si>
  <si>
    <t>hotm.art/Bijuteriasprof</t>
  </si>
  <si>
    <t>app.monetizze.com.br/r/ANE22395524</t>
  </si>
  <si>
    <t>youtube.com/channel/UCzh0H</t>
  </si>
  <si>
    <t>diogo86azevedo.blogspot.com investidorcriptomundo.blogspot.com</t>
  </si>
  <si>
    <t>instagram.com/brtvip.ofc</t>
  </si>
  <si>
    <t>bit.ly/agathacristie2…</t>
  </si>
  <si>
    <t>instagram.com/jonathasluz.of hotm.art/osegredodasven</t>
  </si>
  <si>
    <t>linktr.ee/acessoasnossas</t>
  </si>
  <si>
    <t>linktr.ee/leftbankbrasil</t>
  </si>
  <si>
    <t>bit.ly/44xfUWZ</t>
  </si>
  <si>
    <t>brabet.com/?agentid=14886…</t>
  </si>
  <si>
    <t>pay.kiwify.com.br/NQlOapM</t>
  </si>
  <si>
    <t>8fz.one/5qbbt?ag=1</t>
  </si>
  <si>
    <t>discord.gg/xKPHXgbNmV pay.kiwify.com.br/LD8d05j</t>
  </si>
  <si>
    <t>instagram.com/lilvinicinho</t>
  </si>
  <si>
    <t>instagram.com/alyne.aguiar.7…</t>
  </si>
  <si>
    <t>YouTube.com/paparazzorubro…</t>
  </si>
  <si>
    <t>salvadorfolhetim.blogspot.com/?m=0</t>
  </si>
  <si>
    <t>linktr.ee/realmidiacenter</t>
  </si>
  <si>
    <t>t.me/+q3BE1nZ6L3Y4Z tiktok.com/@nfts_dp</t>
  </si>
  <si>
    <t>instagram.com/horadotrader/</t>
  </si>
  <si>
    <t>kiwify.app/VNtm5Rp?afid=A…</t>
  </si>
  <si>
    <t>go.hotmart.com/C80326885U</t>
  </si>
  <si>
    <t>t.me/aviatorAutomate</t>
  </si>
  <si>
    <t>wa.me/558896628060</t>
  </si>
  <si>
    <t>instagram.com/tsmakebeauty?i</t>
  </si>
  <si>
    <t>bit.ly/gsaavanzado</t>
  </si>
  <si>
    <t>bkjh.wgbet555.com/?id=78138226</t>
  </si>
  <si>
    <t>peer2profit.com</t>
  </si>
  <si>
    <t>cutt.ly/Metodo-Imperio</t>
  </si>
  <si>
    <t>api.whatsapp.com/send?phone=552…</t>
  </si>
  <si>
    <t>linktr.ee/eusend.com.br</t>
  </si>
  <si>
    <t>instagram.com/pedro.luc__?ig…</t>
  </si>
  <si>
    <t>brking777.com/#/?invite_code…</t>
  </si>
  <si>
    <t>wa.me/message/ET3VGHG</t>
  </si>
  <si>
    <t>app.monetizze.com.br/r/ATK22942329/</t>
  </si>
  <si>
    <t>multprodutos.com</t>
  </si>
  <si>
    <t>bc.ai/i-brlc850c0mx-…</t>
  </si>
  <si>
    <t>instagram.com/achadosdabe22/</t>
  </si>
  <si>
    <t>curiouscat.me</t>
  </si>
  <si>
    <t>linktr.ee/yvedeoliveirap</t>
  </si>
  <si>
    <t>youtube.com/channel/UCdTFD t.me/+rpr20FgNJIQyN</t>
  </si>
  <si>
    <t>linktr.ee/lucasvieiraofc</t>
  </si>
  <si>
    <t>youup.me/penserico</t>
  </si>
  <si>
    <t>bbrbet.com/c-DXjPDbkB?lan…</t>
  </si>
  <si>
    <t>edzz.la/NFHPA?a=646045…</t>
  </si>
  <si>
    <t>t.me/thebestcryptos tinyurl.com/5n8jy222</t>
  </si>
  <si>
    <t>migxs.com/about</t>
  </si>
  <si>
    <t>bit.ly/3P4yXn9</t>
  </si>
  <si>
    <t>facebook.com/LaVieStory0?mi… instagram.com/laviestory2?ig</t>
  </si>
  <si>
    <t>t.me/criptoico</t>
  </si>
  <si>
    <t>t.me/duarteafo</t>
  </si>
  <si>
    <t>instagram.com/josed.amo/ youtu.be/mSgSI28CyPA</t>
  </si>
  <si>
    <t>mycollection.shop/infohenri?shar…</t>
  </si>
  <si>
    <t>app.monetizze.com.br/r/AHC22391548</t>
  </si>
  <si>
    <t>bot.typebot.pro/millioncall</t>
  </si>
  <si>
    <t>bbrbet.com/c-RNtHJGaM?lan…</t>
  </si>
  <si>
    <t>pay.kiwify.com.br/t0cTyLx pay.kiwify.com.br/Euf2xKq</t>
  </si>
  <si>
    <t>linkr.bio/iniciar_a.goraa</t>
  </si>
  <si>
    <t>ouubet.com/?code=KPRYF</t>
  </si>
  <si>
    <t>allmylinks.com/kash777offici</t>
  </si>
  <si>
    <t>lojasacaxavi.com.br Lojasacaxavi.com.br</t>
  </si>
  <si>
    <t>mercadopago.com.ar/ayuda/21527</t>
  </si>
  <si>
    <t>minhaloja.eudora.com.br/dakellynha Amazon.com.br</t>
  </si>
  <si>
    <t>revistacaesegatos.com.br</t>
  </si>
  <si>
    <t>karl.adv.br</t>
  </si>
  <si>
    <t>instagram.com/jaquelinecosta…</t>
  </si>
  <si>
    <t>sensitive_media</t>
  </si>
  <si>
    <t>none</t>
  </si>
  <si>
    <t>regular</t>
  </si>
  <si>
    <t>Open Twitter Page for This Person</t>
  </si>
  <si>
    <t>adm_santos
Na Hinode com um simples cadastro
vc tem acesso a um mundo de possibilidades,
podendo alcançar apenas com a venda
direta ganhos líquidos de 3 a 4
mil reais. MANDA UM DIRECT E SAIBA
COMO FAZER PARTE DO NOSSO TIME.
ABRAÇOS! #empreendedorismo #rendaextra
#oportunidadedenegocio https://t.co/uwloZURt66</t>
  </si>
  <si>
    <t>daiy_ofiicial
#euquero #ondecompro #rendaextra
#papelaria #arquivosdigitais Acesse:
https://t.co/ly6G1PCJLE https://t.co/Dsf0qY8KOj</t>
  </si>
  <si>
    <t>djiani11
Para "SABER MAIS" clique no LINK
https://t.co/OjG2OEJMxl 👉 Não
deixe passar as oportunidades!!
APROVEITE, por tempo limitado apenas
12 x de R$28,94 😱😱 #rendaextra
#marketingdigital #mudardevida
https://t.co/rRlRddgYdD</t>
  </si>
  <si>
    <t>awkangelo
EU GANHO DE 3MIL A 5MIL P/MÊS,
VENHA GANHAR TAMBÉM! ESTOU DISPONIBILIZANO
UM MINI CURSO GRATUITO. ENTÃO NÃO
PERCA ESSA CHANCE! POIS É A ÚNICA.
👇 LINK ABAIXO👇 https://t.co/Oygu6U2Jis
#emprender #empreendedorismo #rendaextra
#MarketingDigital #dinheiro</t>
  </si>
  <si>
    <t>cochichou1
Sabia que eu tenho feito uma renda
extra, sem ter que investir nada?
Faço parte da Vendah, é um aplicativo
super fácil de revender produtos
e ganhar comissão em 2 dias úteis!
Cadastre-se pelo meu link que você
ganha um prêmio quando vender!!
#Rendaextra https://t.co/S5KQFKb50r</t>
  </si>
  <si>
    <t>lmichelleduarte
Dica de Renda extra : Dependemos
do mercado digital e isso é mais
real do que imaginamos ! #oportunidade
#rendaextra #mudedevida #Coachella
https://t.co/fUj5OJPj9P https://t.co/nJ7RVoiXmE</t>
  </si>
  <si>
    <t>acoesimportam
VÍDEO NOVO Falamos um pouco sobre
o aporte do mês de fevereiro, onde
aumentamos algumas posições. Link
do vídeo: https://t.co/CzfgRJXhl5
🔴 SE INSCREVA NO CANAL: https://t.co/Ae2b5sDVXU
#acoesimportam #aporte2023 #aportefevereiro
#investimento #rendaextra https://t.co/6HQNaRLAaK</t>
  </si>
  <si>
    <t>rendasemvender
Mais um Freelancer sacando seu
pagamento. Vem pro time e seja
o próximo!! 🚀🚀 #rendaextra #ganhardinheiro
#homeoffice #maternidade https://t.co/hfYiIlxLbl</t>
  </si>
  <si>
    <t>ganharajud61276
#rendaextra #ganhardinheiro #comoganhardinheiro
#jogandodinheiro https://t.co/OkpbVkqc2D
https://t.co/WDdxOTdIxn</t>
  </si>
  <si>
    <t>matheus_sais
Melhor sistema de análise que eu
já comprei, Vou esta deixando o
link aqui em baixo, caso alguém
queira testar e lucra assim como
eu estou fazendo #VideoViral #Twitter
#rendaextra https://t.co/G7hX4kfwx4</t>
  </si>
  <si>
    <t>leidicorteze
Passando para avisar que… Um novo
ciclo, repleto de novidades e ofertas,
começou! 🥳 Seja bem-vindo ciclo
5! Quer ter mais informações sobre?
É só mandar a sua dúvida no direct.
🥰 #natura #vendas #vendasonline
#negócios #setorilía #rendaextra
#beleza https://t.co/t9i1Xmpa1D</t>
  </si>
  <si>
    <t>jcmotoristauber
Saiba mais 🤳👇💥💥👇💥 https://t.co/nYVUeAPGXH
#rendaextra #ganhardinheiropelainternet
#peterjordan https://t.co/TcEMYelMsO</t>
  </si>
  <si>
    <t>digitalboost_67
Conquiste uma renda extra incrível
com PLRs de alto impacto. Maximize
seus lucros, expanda seus horizontes
e transforme sua realidade financeira.
A hora de mudar sua vida é agora!
💰💥 Descubra o caminho para o
sucesso. Clique aqui https://t.co/OS6udnalEC
#RendaExtra #PLRs https://t.co/RtojuhVwiY</t>
  </si>
  <si>
    <t>apenasnegocioss
No mercado de ações as empresas
podem ser divididas em classes,
com base em sua taxa de crescimento
no período. #ações #investimento
#rendaextra #apenasnegocios #dinheiro
https://t.co/ZaDuaU47U0</t>
  </si>
  <si>
    <t>studidiamond
2023 começou e vc ainda não realizou
seus antigos sonhos? Podemos ajudar!
Recrutamos homens e mulheres para
ganhos extras. Não precisa vender
ou comprar nada #rendaextra #ganheemcasa
#ganhepelainternet</t>
  </si>
  <si>
    <t>bitcoinecashbr
Fortune Tiger - Horário das Cartas
10X &amp;gt;&amp;gt;&amp;gt; https://t.co/MEHoo7iGm8
&amp;lt;&amp;lt;&amp;lt; #rendaextra #dinheiro
#ganhardinheiro #negócios #oportunidade
#afiliado #influenciador #youtuber
#blogueiro #trabalhoemcasa #rendanainternet
https://t.co/HJ1xvnAijd</t>
  </si>
  <si>
    <t>eduaraujoadv
@felipeneto Ah, não seria mais
um caso de renda extra para essas
pessoas que fazem esses cursos?
#blaze #rendaextra https://t.co/LhSpENtyfk</t>
  </si>
  <si>
    <t xml:space="preserve">felipeneto
</t>
  </si>
  <si>
    <t>tvcultura
O levantamento em questão é formulado
pelo Instituto Cidades Sustentáveis
em parceria com o Ipec. #RendaExtra
#Contas #TVCultura https://t.co/7Qrdu4K9PZ</t>
  </si>
  <si>
    <t>guidottisilva
Qual é o seu negócio ?!? https://t.co/F7gyObOjju
via @YouTube me siga nas redes
sociais: - https://t.co/daVCzQUZMp...
https://t.co/lWLW1FKUnN... #bolsadevalores
#ações #b3 #rendaextra #rendavariavel
#dinheiro #educaçãofinanceira</t>
  </si>
  <si>
    <t xml:space="preserve">youtube
</t>
  </si>
  <si>
    <t>leilaodescompli
Kombi a Partir de R$ 12 mil, Gol
1.6 R$ 3 mil Leilão de Veículos
do Tribunal de Justiça, Veja Como
Participar https://t.co/pq2CaXgRDH
. #kombi #gol #voyage #seminovos
#Justiça #oportunidade #rendaextra
https://t.co/gk7zyXgS8I</t>
  </si>
  <si>
    <t>fadadry
Com o Realizando Sonhos Online,
você terá acesso a um método comprovado
e passo a passo para construir
sua renda extra de forma consistente.
Diga adeus às dívidas e à falta
de conhecimento financeiro. #rendaextra
#trabalharemcasa https://t.co/qHxGykLtaC</t>
  </si>
  <si>
    <t>daniellecardon5
Se você curte esse tipo de dica
e quer mais conteúdos como esse,
nos segue no Instagram https://t.co/hp5QBsi4Hg
para saber mais! #DicasFinanceiras
#RendaExtra #Investimentos #carreira
#profissao #crescimentopessoal
#crescimentoprofissional https://t.co/unvRGl3ha1</t>
  </si>
  <si>
    <t>tessymartins
Gente, esse app é maravilhoso!
Sério! Tem várias formas de monetizar
e ganhar em dólar… acesse: https://t.co/jkDBgVt6Y2
#rendaextra #monetizacao #gotchosen
https://t.co/9c530JLDOP</t>
  </si>
  <si>
    <t>edycdf
Valor recebido por uma entrega
feita em um #aplicativo de #entregas
quer saber mais? Meu código está
disponível para novos cadastros,
vamos faturar, #rendaextra #dinheiro
#aplicativos #entregas #rj #sp
#entregadores #brasil #loggi #motoboy
#anjodoasfalto13 https://t.co/YCx5SLrYWC</t>
  </si>
  <si>
    <t>raiamsabetudo
Como ficar RICO antes dos 30 anos
#rico #programador #dinheiro #rendaextra
https://t.co/VVKizpHEWz</t>
  </si>
  <si>
    <t>pamela_val01
Pessoas compram de pessoas... Nunca
esqueça que é com pessoas que você
conversa e negocia. #rendaextra
#tempoextra #trabalhepravoce</t>
  </si>
  <si>
    <t>criptomonof
I just published URGENTE [CADASTROU
GANHOU] GANHE DE R$20 ATÉ R$2000
REAIS NO MERCADO PAGO https://t.co/Xx7K3N4jVT
#rendaextra #ganhardinheiro</t>
  </si>
  <si>
    <t>vanessacunha381
Se você tem interesse em aprender
como se ganha dinheiro na Internet,
apenas com seu celular, só me chamar
na DM que eu te explico com detalhes...
#MarketingDigital #dinheiro #Online
#OnlineMarketing #rendaextra</t>
  </si>
  <si>
    <t>zannynhamaria
https://t.co/vRZ1mPtKuR #rendaextra</t>
  </si>
  <si>
    <t>vvgualberto
Já pensou em ganhar um PIX de R$
1.000,00 ? Ajudaria? Adquira sua
rifa agora por apenas R$ 5,67 no
link: https://t.co/IuqWsGF43s #rifa
#rendaextra #GoogleIO #QuintaDetremuraSDV
#SORTEIO #FelizDiaDeLasMadres https://t.co/8sWqtKA2JK</t>
  </si>
  <si>
    <t>rendaextraslots
Alguns dos meus melhores ganhos
na POP. 🔴 Bônus de R$ 10,00 para
cadastro e depósito. 🔴 Grupo de
dicas, sinais e muito mais. Link:
https://t.co/oEwP4CPPI2 A MELHOR,
NA MINHA OPINIÃO, ATÉ O MOMENTO!
#rendaextra #slots https://t.co/dULntOIoOm</t>
  </si>
  <si>
    <t>wesleybezerr12
✍🚀💰🥂📊Siga @wesleybezerr12 _para
evoluir. • 🔥 Aprenda a trabalhar
no Marketing Digital, Me chama
direct ou link da Bio🥂 • Siga
a nossa página para evoluir 💸💎
• Motivando Futuros Milionários
👤📊💰 • #resiliencia #mercadodigital
#fé #fy #god #rendaextra #Marketing
https://t.co/0YnPX3RH1P</t>
  </si>
  <si>
    <t>vldmrhz
É verdade que a blaze é uma forma
de fazer renda extra? #blaze #felipeneto
#rendaextra</t>
  </si>
  <si>
    <t>domuusaurea
DESCURA COMO O MARKETING DIGITAL
PODE TRANSFORMAR SUA VIDA!!! #MarketingDigital
#rendaextra #ganhardinheiro #trabalharemcasa
⬇️⬇️⬇️ https://t.co/xOA45xRblB
https://t.co/HMmz91C3WO</t>
  </si>
  <si>
    <t>onetaptips
#UFCFightNight #RafaeldosAnjos
#Aposta #Apostador #RendaExtra
#Dinheiro</t>
  </si>
  <si>
    <t>apercristao
Aprenda absolutamente tudo sobre
Cookies Gourmet! Curso 100% em
vídeo com aulas práticas e detalhadas.
Certificado incluso. Do básico
ao avançado #rendaextra https://t.co/sCjGBIoiWv
https://t.co/I5GR6phHWx</t>
  </si>
  <si>
    <t>anderso62493250
Renda Extra na Internet: Descubra
Como Ganhar Dinheiro Online https://t.co/GgsxXpmOwt
#afiliado #rendaextra</t>
  </si>
  <si>
    <t>claytonmoraes__
Está perdendo tempo e dinheiro
Vem comigo, eu te explico ajudo
nessa #rendaextra #MarketingDigital
https://t.co/E6fTJWC17J</t>
  </si>
  <si>
    <t>avena_bruno
Ganhe dinheiro em dólar só usando
o fluxo de Internet do seu computador
ou seu celular com Honeygain. Clique
no link abaixo e se cadastre! https://t.co/K4pff5980C
#dinheiroextra #dolar #rendaextra
#Honeygain #dinheiro</t>
  </si>
  <si>
    <t>le0nardo_sousa
comente "eu quero" para receber
os plr!!! #ficarmilionario #kiwify
#plr #riconainternet #marketingsigital
#vendasonline #rendaextra https://t.co/9ZDdl5qMEo</t>
  </si>
  <si>
    <t>amandavi80
https://t.co/0IlWr0hgiA Plataforma
nova acabou de lançar! #Dinheiro
#jogos #rendaextra #Fortunetiger
https://t.co/LVjflWHqZZ</t>
  </si>
  <si>
    <t>lisabnelson7885
Wednesday, 28 June Excellent work,
how we started the week Accomplished
goals Time to clear the mind off
the monitors #goptionbrasil #binaryoptions
#maedesucesso #rendaextra #bitcoin
#Binance #mercadofinanceiro #forex
#trader #lifestyle #liberdadefinanceira
#investing https://t.co/uQ39WlOdHx</t>
  </si>
  <si>
    <t>slotsbrasil
Slot do momento pagando super bem
Link👇👇👇👇 https://t.co/gfbDhf4sVJ
#Twitter #slots #fortunetiger #viralvideo
#rendaextra https://t.co/hVdazW1PzS</t>
  </si>
  <si>
    <t>gabicvieiras
Clica no link 👇🏼 https://t.co/EgFLzTVJpQ
Esta é a melhor época do ano para
você ganhar dinheiro com chocolate
🍫🐰 Além de aprender a METODOLOGIA
OVOS DE OURO, você aprenderá receitas
para lucrar com chocolate em toda
época do ano 🗓️🍫💰 #ovodepascoa
#rendaextra #confeitaria https://t.co/8npzLJSIj9</t>
  </si>
  <si>
    <t>topbets_live
Conheça o nosso Spaceman, ou joguinho
do robô para os mais íntimos 😉
Faça o seu cadastro: https://t.co/jpaoKIDOAa
🚀💚 #spaceman #jogodorobozinho
#robozinhospaceman #rendaextraemcasa
https://t.co/i5Ds904kmG</t>
  </si>
  <si>
    <t>claricecvargas
O que seria de mim sem Deus e se
eu não tivesse aproveitado a oportunidade.
hoje muitas vidas sendo transformadas
e em 2023 muitas coisas estão para
acontecer, começando agora no dia
08/03, tenho uma grande oportunidade
para você. #marketingdigital #rendaextra
#rendaextraemcasa https://t.co/akwrEEuknu</t>
  </si>
  <si>
    <t>af_liberdade
As 5 principais dicas para você
ganhar dinheiro todos os dias !
Que tal ganhar R$400,00 todos os
dias ? Com apenas alguns segundos
do seu tempo você pode faturar
e muito !! #dinheiro #rendaextra
#liberdadefinanceira https://t.co/CclJV57t2Z</t>
  </si>
  <si>
    <t>luciane00547445
Você merece ser feliz 😍... método
milionária para ser sua própria
chefe 😉✨ #AppleVisionPro #rendaextra
#TheErasTourArgentina #LaCasaDeLosFamososMx
https://t.co/1qWBXrKybr https://t.co/zo8Rvp2EIV</t>
  </si>
  <si>
    <t>evelinsoares_
Quer saber o que cerca de 147.500
pessoas estão fazendo pra ganhar
aproximadamente R$2.040,00 apenas
com o celular? Detalhe, SEM COMPRAR
NENHUM CURSO. Clica no link para
saber como: https://t.co/d3ZqEsbaJt
#rendaextra #trabalharemcasa</t>
  </si>
  <si>
    <t>paratudoumhack
Funil de vendas simples para venda
de infoproduto low ticket. //Thread//
#MarketingDigital #afiliado #rendaextra</t>
  </si>
  <si>
    <t>calilecalil
Se você entende a urgência de ter
um plano de enriquecimento, já
salva este post, curte e encaminha
para a pessoa que vai seguir contigo.
#MetasFinanceiras #EnriquecimentoFinanceiro
#PlanejamentoFinanceiro #ReservaFinanceira
#RendaExtra #IndependênciaFinanceira
#Aposentadoria https://t.co/VwTArcLt6m</t>
  </si>
  <si>
    <t>tudoeraldo
#RendaExtra</t>
  </si>
  <si>
    <t>victorsarro
@comedyzin Eu faço o desafio, te
dou ingresso pro meu show, se vc
não rir, eu te dou 1000 reais!
Se vc rir, eu posso dar um soco
na sua cara!</t>
  </si>
  <si>
    <t>vemnemim0600
Com esse Robô você vai ganhar na
mega toda semana, Conheça o Robô
- ASSISTA O VIDEO 👇 https://t.co/5VV0f6hCfE
. . #Faustão #brasileira #Aposta
#RendaExtra #LoveIsBlind #OnePieceNetflix
#OnePieceLiveAction #TikTok #Twitter
#fypviraltwitter #viral https://t.co/sF4imgQnwK</t>
  </si>
  <si>
    <t>mluh69452
Saiba como ganhar uma renda extra
, trabalhando em casa ! #rendaextra
https://t.co/zM8kERLyiY</t>
  </si>
  <si>
    <t>allandennis18
Como lucrar R$ 60.000,00 em 12
meses com cartões, pontos e milhas
aéreas! Estratégias simples e práticas
para aumentar seus ganhos. Compre
o curso agora e receba um ebook
de imposto de renda para milhas
aéreas #milhasaereas #cartoesdecredito
#rendaextra" https://t.co/5j0yhdJxmB
https://t.co/qsRRgr9EvB</t>
  </si>
  <si>
    <t>vsmolina3
https://t.co/mkkcSOVpr8 Quanto
rende R$41 Mil em Fundos Imobiliários?
#mxrf11 #fundosimobiliarios #rendaextra</t>
  </si>
  <si>
    <t>insightsratao
Pare de Cair em papo de Guru🤣🧠
#markentingdigital #blackrat #rendaextra
https://t.co/KuzrYb3zzT</t>
  </si>
  <si>
    <t>milcoisas__
Venha aprender comigo como fazer
seu primeiro milhão! https://t.co/cDXU81ctFT
. . . . #milionario #milhao #bilhonarios
#dinheiroextra #rendaextra #trilhonario
https://t.co/6Bwd9yEvM0</t>
  </si>
  <si>
    <t>purple_mkt
1 - Mais tempo com a família 2
- Não precisa gastar tempo nem
dinheiro com deslocamento 3 - Pode
descansar mais 4 - Mais tempo livre
5 - Consegue se alimentar melhor
6 - Tem mais qualidade de vida
#desenvolvimento #conhecimento
#rendaextra #trabalho #homeoffice
#cursos #dinheiro https://t.co/1z95LLcWJP</t>
  </si>
  <si>
    <t>mj_empreendedor
Venho aqui te apresentar um Ótimo
Curso,com uma Ótima OFERTA,por
R$14,90.Você Ganhar acesso Ilimitado
um Exelente curso de #MarketingDigital
que vai te Garantir uma #RendaExtra
Online e podendo até mesmo fazer
Você atingir sua Liberdade Financeira!
-🟢Acesse o Link na Bio! https://t.co/CJOG3sIw5d</t>
  </si>
  <si>
    <t>dionatanwill
https://t.co/N7smkKujfM . Ganhe
$ como produtor digital sem precisar
criar nada. Saiba mais em nosso
site. Link acima ou na Bio. . Choquei
É hoje Juliette Oppenheimer Jesus
#RendaExtra #CopaDoBrasil https://t.co/J53s1aETG5</t>
  </si>
  <si>
    <t>fabiosantanacs
Você quer ficar na base ou vai
fazer oque precisa ser feito ✔️
#feliz #brasil🇧🇷 #rendaextra
#liberdadefinanceira #salário https://t.co/iHezNBZYH8</t>
  </si>
  <si>
    <t>jzdverystress
VENDO MÉTODO DO FORTUNE TIGER,
(melhores horários pagantes, grupo
vip com calls, como pegar o bônus,
e como forrar, só chamar no privado)
#rendaextra #fortunetiger #dinheiro
#fortuna https://t.co/pXD9H0Pnkv</t>
  </si>
  <si>
    <t>siilvaa_09
Aumente a sua renda e Conquiste
Independência Financeira. 🤑💸
https://t.co/zrc8sKECJd #rendaextra
#ondecomprar</t>
  </si>
  <si>
    <t>elianmateuss_
650 vídeos plr como esse. Link
na bio📲🍷 #sejaummilionario #rendaextra
https://t.co/T6gBEKiYUX</t>
  </si>
  <si>
    <t>tonpecoraro
SAIBA TUDO NESSE VÍDEO ANTES DE
COMEÇAR A INVESTIR!! https://t.co/L49pEnnKCc
via @YouTube #CDB #rendafixa #Rendaextra
#oscar #Aliens #ministros #TAEHYUN
https://t.co/i3aZBuzrQA</t>
  </si>
  <si>
    <t>jornalcontabil_
Leia a matéria completa no site
Jornal Contábil clicando no link:
https://t.co/X0OP9caMHL #rendaextra
#empreededorismo #sucessoprofissional
https://t.co/WoIopHkeee</t>
  </si>
  <si>
    <t>jroliveirasm
Fiz um vídeo sobre o melhor produto
para se vender na internet. Se
for do interesse de alguém... tá
aí. #marketingdigital #rendaextra
#vendernainternet https://t.co/qhpXGoOxnH</t>
  </si>
  <si>
    <t>fernaandfranca
Já penso em ter uma renda extra
apenas jogando ? Com apenas 12
reais voc consegue fazer diversos
valores ! Acesse o link Deposite
12 e vem joga !! https://t.co/Zx8Wi3zMwC
#cassino #rendaextra https://t.co/DfPYR2XL0b</t>
  </si>
  <si>
    <t>applucrando
Corre aqui Brasil que o tigre tá
doidaooo. Olha o tanto que fature
só agora,AHHH QUEM JOGA SABE QUE
PAGA! Recarregue 20 ganhe muitooooo!
https://t.co/0z1S2KvKIm #BarbieTheMovie
#Barbie #BarbiePelicula #rendaextra
#FortUNe https://t.co/MvecHuQMU1</t>
  </si>
  <si>
    <t>sidyromero
Melhor que o YouTube porque é criptografado
não tem como derrubar. Vc ganha
por publicar vídeos, curtir, compartilhar
e até por entra na plataforma todos
dias, cadastre https://t.co/vQYXtDjKG7
#redesocial #politicos #Brasil
#Bolsonaro #pobre #Brazil #rendaextra
#dinheiro</t>
  </si>
  <si>
    <t>elisetepetriw
#ondeacho #ondecompro #rendaextra
Faria sentido para você ter RENDA
EXTRA sem sair de casa? Desculbra
como fazer de 1000 a3000 reais
de extra por semana, trabalhando
como Afiliado clica aqui e aprenda
👇 https://t.co/vgXZ5HhZn3</t>
  </si>
  <si>
    <t>simeiaveloso
#MarketingDigital #rendaextra</t>
  </si>
  <si>
    <t>wann4cryexe
Finalmente, nosso guerreiro conseguindo
a fama que ele merece 🥰🥰🥰🥰🥰
#FelipeNeto #Blaze #RendaExtra
https://t.co/j4KoJBG597</t>
  </si>
  <si>
    <t>geckocripto
O poder da Launchpad e como multiplicar
seu capital em mais de 100x!💥💰
#Launchpad #Criptomoedas #Investimento
#Oportunidade #Ganhos #AltoRendimento
#TwitterBrasil #DicasTwitter #RendaExtra
#Negócios #Empreendedorismo #Inovação
#Tecnologia #TwitterApp #Diversão
#GanheDinheiro https://t.co/Xz0TGOSoXK</t>
  </si>
  <si>
    <t>karina_duarte17
Eu tenho certeza que você já comprou
em alguns desses sites, mas creio
que poucos sabiam que dá pra ganhar
um extra com elas. Quer saber como
? Já me segue 👉 #rendaextra #trabalhoemcasa
#markentingdigital #Amazon #Shopee
#shein #aliexpress #MagaLu #eduzz
#hotmart #braip https://t.co/zyJDyTCcLk</t>
  </si>
  <si>
    <t>eliasbarouh
Já imaginou conquistar uma renda
extra de R$ 2.000,00 mensais utilizando
apenas o seu celular e Internet
? Clique no link abaixo e conheça
o método que está mudando a realidade
de milhares de brasileiros 👇🏼👇🏼👇🏼
https://t.co/U2iqPGRdMW #marketingdigital
#mktdigital #rendaextra</t>
  </si>
  <si>
    <t>maikeffagundes
É possível quando você aprende
e executa as estratégias do mundo
das milhas, quer aprender mais
com 4 aulas dinâmicas, faça sua
inscrição gratuita https://t.co/GloUN72TpN
#RendaExtra #Viagens #Lazer #MilhasAereas
#Viagem #SalaVIP #RodrigoGoes #FabricaDeMilhas
https://t.co/unVR37CHoT</t>
  </si>
  <si>
    <t>empreended0r_
"Busque a prosperidade não apenas
como um fim, mas como o meio para
realizar seus objetivos, impactar
vidas e criar oportunidades. O
dinheiro é uma ferramenta que amplifica
seu potencial de fazer o bem no
mundo." . . . #rendaextra #renda
#empreendedorismo #empreender https://t.co/IVd7uKc0ZU</t>
  </si>
  <si>
    <t>thebaron___
#codigo #kwai #ganhardinheiro #rendaextra
https://t.co/E4tiKIBgxz</t>
  </si>
  <si>
    <t>jftips10
Salatiel colocando dinheiro no
bolso do nosso vip #apostaesportiva
#bingo #rendaextra https://t.co/8eCxDr2aVM</t>
  </si>
  <si>
    <t>wesleycosta1972
INSISTIR, PERSISTIR, RESISTIR E
NUNCA DESISTIR. #business #negocios
#empreendedorismo #startup #lisboa
#rj #brasil #dinheiro #rendaextra
https://t.co/wvwotgyvGB</t>
  </si>
  <si>
    <t>suelenmaededois
Profissões que pode te deixar milionário
⤵️⤵️⤵️ #rendaextra #afiliados #donadecasaempreendedora
#trabalhoremcasa #negociosonline
#ganhardinheiroonline #oportunidadedetrabalho
#trabalhosimples https://t.co/cqkwoFlyKk</t>
  </si>
  <si>
    <t>vamosweb
Saiba quais são os melhores provedores
de hospedagem de sites e comece
seu negócio online para lucrar!
#rendaextra https://t.co/7HxR5ytYJY</t>
  </si>
  <si>
    <t>angra2reiscombr
Agora ao invés de 50 reais, estamos
conseguindo pagar R$100,00 por
cada indicação sua que fechar qualquer
anúncio na Rede Indoor de Televisão,
corre pra disparar nas suas redes
sociais e faturar com seu CUPOM
EXCLUSIVO. https://t.co/8GS5qMcdAO
#dinheiro #rendaextra #comissão
#rio https://t.co/U7OrWrzSGk</t>
  </si>
  <si>
    <t>jonasfershut
Cadastra e ganha na hora 10,00
livre pra sacar ganha tambem 10,00
por cada indicado #rendaextra #indiqueeganhe
#BBB23 https://t.co/L9lIpOUTsb</t>
  </si>
  <si>
    <t>esquecebr
Descubra como obter uma renda extra
entrando para o Esquece! Seja para
poder complementar a renda familiar
ou para realizar seus sonhos. Venha
para o Esquece e faça isso de forma
fácil e rápida! #rendaextra #vendas
#vendasonline #esquece #anunciogratis
https://t.co/GSDRFZGZtm</t>
  </si>
  <si>
    <t>an80968quaresma
😘Mulher empreendedora #empreendedorismofeminino
#rendaextra https://t.co/UbTmtNDNBf</t>
  </si>
  <si>
    <t>confrariacurios
Commit 02: Decio Bazin • Há duas
coisas que incomodam na Bolsa:
os prejuízos da gente e os lucros
dos outros. • O futuro recompensa
os que têm paciência com ele. Muito
bom para refletir. #Investimentos
#finanças #rendaextra</t>
  </si>
  <si>
    <t>giovaniaandre
PLR PREMIUM, é uma loja de venda
de infoprodutos de alto padrão.
Estrutura profissional para vender
seus produtos na internet como
Produtor, lucrando 100% em suas
vendas. Clique no link abaixo https://t.co/mZMtZh82cA
#rendaextra #plrprofissional #ganhedinheiro
https://t.co/BMxXqu5dCj</t>
  </si>
  <si>
    <t>emerson51318371
Índice opera em alta, após forte
queda na semana passada, Dólar
recua. #rendaextra #dolar #ibovespa
#b3 #funny #viral https://t.co/50rZpso5X7</t>
  </si>
  <si>
    <t>packs_plr_grati
Novo produto rodando e pagando
muito 😈📈 Meu contato: https://t.co/Z3EF1SEsIz
#rendaextra #dinheiro #plr #MarketingDigital
#DigitalMarketing #kiwify #hotmart
#ebook #DiadelOrgullo #SDM #plr
#empreendedorismo #socio #livre
https://t.co/OyB6dVpcOa</t>
  </si>
  <si>
    <t>cz_nogueira
ganhar dinheiro com a internet
método inovador já testado formalmente
nas redes sociais😱💰💡 Comenta
"EU QUERO" te explicarei tudo!!!
#dinheiro #MarketingDigital #rendaextra
#Rihanna #inovador #método</t>
  </si>
  <si>
    <t>danniolliveira_
Plataforma pagando bem 🤑🤑🤑 #dinheiro
#money #rendaextra https://t.co/xfTgKPMTfA</t>
  </si>
  <si>
    <t>maria_alves_72
#rendaextra #trabalhodecasa =Ganharemdolar.
Comente eu quero e eu lhe dou gratuito
3 mini cursos. https://t.co/dgu8vvsnPu</t>
  </si>
  <si>
    <t>nethinhoba
Curso Design de Sobrancelha é o
ponto de partida perfeito. Com
aulas práticas e teóricas, aprenderá
técnicas essenciais para criar
Sobrancelhas Perfeitas, realçando
a beleza de cada cliente. https://t.co/TiuNVC09Zm
#cursosobrancelhasperfeitas #cursojessicasoares
#rendaextra https://t.co/ju0RFsFvdo</t>
  </si>
  <si>
    <t>sempreganha1
Vem se divertir e jogar na plataforma
sempre ganha! Só os melhores jogos🔥
#sempreganha #slots #slotsgame
#fortunetiger #slotsgames #cassinoonline
#cassino #apostasonline #jogos
#jogosonline #rendaextra #jogosdeaposta
https://t.co/yuZ3Yjyjt4</t>
  </si>
  <si>
    <t>camillaraem
Renda extra com cartão de crédito/débito
do banco C6. Átomos são pontos
que não expiram. #rendaextra #rendacomcartaodecredito
#bancoc6 https://t.co/ohZLeCXhBC</t>
  </si>
  <si>
    <t>manropy
🚀 Aprender a programar em Python
é fácil e divertido! Venha fazer
parte do nosso programa de afiliados
e transforme sua paixão em renda
extra. Saiba mais: ➡️https://t.co/2MFMdLBfWW
#python #programação #afiliados
#rendaextra</t>
  </si>
  <si>
    <t>_gusta_mkt
ouvir a notificação da #kiwify
já faz parte do meu cotidiano 🚀💸
#marketing #dinheiro #rendaextra</t>
  </si>
  <si>
    <t>franciscoplay11
#RENDAEXTRA GANHE DINHEIRO SOMENTE
AVALIANDO PRODUTOS DE GRAÇA MINIMO
DE SAQUE $80 MAXIMO $100 https://t.co/3RivLf0m2C</t>
  </si>
  <si>
    <t>dayane_mk_
@naanda0li PLATAFORMA DE RENDA
EXTRA PAGANDO!!! https://t.co/Wveg0m5TJd
#rendaextra #etatdurgence #ticketek
https://t.co/7imyCsHNZ2</t>
  </si>
  <si>
    <t xml:space="preserve">naanda0li
</t>
  </si>
  <si>
    <t>mocadocroche
Link: https://t.co/t6sJA8QMVf Venham
conhecer a metodologia de vendas,
aprenda a vender qualquer produto
utilizando apenas um celular ou
qualquer dispositivo conectado
a internet. #rendaextra #monetize
#vendasonline #afiliados</t>
  </si>
  <si>
    <t>elciogomes41
Olá boa tarde, tudo bem? Se você
tá afim de ganhar uma #rendaextra
ou até mesmo viver de um trabalho
pela internet acista o vídeo e
clique no link a seguir e saiba
mais sobre o assunto. 👇 https://t.co/ux5ZKxH4VY
https://t.co/2tR8iHB91Q</t>
  </si>
  <si>
    <t>fronteira_livre
ESTÁGIOS I A Lei de Estágio é um
incentivo para as empresas #estágios
#emprego #rendaextra https://t.co/iP6A5s4Y6k</t>
  </si>
  <si>
    <t>eid_manu
#RendaExtra #Apps #payment</t>
  </si>
  <si>
    <t>wjbetbr777
Você já pensou em garantir uma
renda extra sem sair de casa? Só
a WJbet proporciona para você um
incrível bônus de indicação🥰 Visite
agora https://t.co/6qeHFiXGPn e
garanta sá a sua renda, estamos
esperando por você! #indica #renda
#wjbet #rendaextra https://t.co/YTup76jqi5</t>
  </si>
  <si>
    <t>o_unboxing
O SOM DO UNBOXING volta às raízes!!!!!Agradecemos
muito as empresas que aparecem
nesse vídeo, assim como a cada
like, comentário e inscrito!!!!!#networking
#networkmarketing #emprego #empregos
#rendaextra #franquiasbrasil https://t.co/hKNpYcHYvs
via @FacebookWatch</t>
  </si>
  <si>
    <t>recuperabrasil_
Você tem o desejo de empreender,
mas também valoriza a segurança
do seu emprego atual? Com o Grupo
Recupera Brasil, você pode conciliar
as duas coisas e alcançar o melhor
dos dois mundos. #empreender #benefícios
#rendaextra #parceiro #fy https://t.co/rE2Dfx2oUD</t>
  </si>
  <si>
    <t>romario67984003
Alguns sites estão pagando pessoas
para divulgar/vender seus Produtos
e ganhar comissões com isso. De
50$ a 150$ p/ dia. -Renner, iFood,
C&amp;amp;A, Mercado Livre, Pinterest,
Shein, Shopee e mais outras 300
por aí... Aprenda hoje mesmo como
iniciar e faça uma Ótima Renda
#RENDAEXTRA https://t.co/8vw7TITqjx</t>
  </si>
  <si>
    <t>pl_rendasextras
Cash Tube pagando no Pagbank e
no Pix para assistir vídeo e fazer
tarefas pagando certinho, ganhe
até R$150,00. É só clicar no link
abaixo. 👇 #ganhedinheiro #cashtube
#rendaextra #homeoffice #aplicativosquepagam
https://t.co/f4UJQK3f9O https://t.co/ErS8oo6aq4</t>
  </si>
  <si>
    <t>eshoerd
Paga mais um no bac bo. #bacbo
#rendaextra https://t.co/K3eOCP8g8k</t>
  </si>
  <si>
    <t>demetriusjoseda
Quer fazer uma lucro gostosinho
assim também? E só vim CMG, que
te mostro como... #ganhardinheiro
#MarketingDigital #twitch #TwitterDown
#rendaextra https://t.co/GGjP2f6Lid</t>
  </si>
  <si>
    <t>danielacar2217
#Finance #rendaextra #DigitalMarketing
https://t.co/GRMetZ25Vs https://t.co/QkFCMXteuj</t>
  </si>
  <si>
    <t>montssx
@maribissx Os betas não entendem
o significado de jogar para vencer.
#rendaextra</t>
  </si>
  <si>
    <t xml:space="preserve">maribissx
</t>
  </si>
  <si>
    <t>rodrigoxguima
Marins, tenho 2 mesas pagas e estou
abrindo uma extra. Tenho uma mesa
0800 também aos domingos. A meta
é 1k mês de RPG #rendaextra #rpg</t>
  </si>
  <si>
    <t>tempodenegocio
🤑Como ganhar $100 por dia Final
Saiba Mais📷https://t.co/hn2523Ac00
#rendaextra #foryou #milionario
https://t.co/5oOLBwg1pB</t>
  </si>
  <si>
    <t>anaempreen69261
Sabe o que é ser forte? E você
ter que aguentar Tudo dando errado
Na sua vida e ainda sorrir. #mulherdenegócios
#rendaextra #motivacao #palavra
#mulheresempreendedoras #mulheresfortes💪
https://t.co/2Ke3OKNS3j</t>
  </si>
  <si>
    <t>sucessopossivel
Sucessos Possíveis : Como Lidar
Com o Medo do Fracasso https://t.co/81B2MhOnWa
#empreendedorismo #sucesso #liderança
#liberdade #mentemilionaria #mentedesucesso
#empreendedorismo #sucesso #lideranca
#motivacao #riqueza #mentalidade
#dinheiro #rendaextra #marketingdigital</t>
  </si>
  <si>
    <t>papoproar88
💡 Explore fontes adicionais de
renda, como freelancers, trabalho
temporário ou vender itens não
utilizados. Cada renda extra pode
ajudar a cobrir despesas mensais.
#RendaExtra #Economia</t>
  </si>
  <si>
    <t>outropatamar200
50 segredos p/ ganhar dinheiro
rápido! 💰💪 Descubra melhores
formas de renda extra. Siga-me
para dicas valiosas. #GanharDinheiro
#RendaExtra #forYou https://t.co/xtBRSK783k</t>
  </si>
  <si>
    <t>seutempoemrenda
Como vender sem estoque #rendaextra
#dropshiping https://t.co/bP8whgBRBD</t>
  </si>
  <si>
    <t>bzslots
FORTUNE RABBIT - MEGA GANHO R$160
#slots #fortunerabbit #ganhadinheiroonline
#lucroreal #jogosonline #rendaextra
#pgslot 🤩🤩🤩A sorte está aqui
—&amp;gt; https://t.co/627gl3V4d7 https://t.co/fiVYnf6be1</t>
  </si>
  <si>
    <t>nicolyboss
#dinheiro #rendaextra</t>
  </si>
  <si>
    <t>jorgestolfihbl
A geração futura de coach de saúde,
bem estar e nutrição esportiva
está nascendo agora. Que seja por
trabalho ou por paixão, junte-se
hoje ao time que mais cresce na
maior empresa do mundo. info whats
(84)994254114 #saude #bemestar
#nutricaoesportiva #rendaextra
https://t.co/s28fFMJvaj</t>
  </si>
  <si>
    <t>iamclaraslots
Só ganha quem joga🤑 #gogowin #slotonline
#rendaextra #Trump #Chelsea #Brasil
https://t.co/zHgaGkN8zp</t>
  </si>
  <si>
    <t>mairiju
#bbb23 #QuintaDetremuraSdv #afiliadosedduz
#edduz #rendaextra #Pinterest O
passo a passo completo e sem enrolação
para você aprender a monetizar
e vender sem aparecer através do
Pinterest. https://t.co/LHwCYaYqao</t>
  </si>
  <si>
    <t>joh_smoke_weed
Tá afim de ganhar em dólar respondendo
perguntas? #dinheiro #rendaextra
#mone https://t.co/YWDRlr3cFt</t>
  </si>
  <si>
    <t>mdgtips
Bora pra mais um dia, só vem com
essa pré. #bet365 #ChampionsLeague
#rendaextra #foco #dedicacao #aposta
https://t.co/5digAhYQOL</t>
  </si>
  <si>
    <t>khalebbueno
Precisando de uma Renda Extra Venha
fazer parte dos Afiliados Rv Khaleb
Bueno Ganhe de 400 a 4.000 mensal
Indicou 💻 Fechou 🎯 Ganhou 💰
Rv Khaleb Bueno #weddingofficiantdobrasil
19 996475907 #rendaextra #rendamultipla
#dinheiroextra #afiliados https://t.co/N3hoR6Wvf3</t>
  </si>
  <si>
    <t>atimopayoficial
Já pensou em ganhar dinheiro jogando
?? 🤑💻 Neste post, preparamos
algumas dicas e sugestões que podem
ajudá-lo a transformar seu hobby
em uma fonte de renda extra! #ganhedinheiro
#games #rendaextra #dicasdegames
#compartilhesuadica https://t.co/WybqqwlNY4</t>
  </si>
  <si>
    <t>vibescia
Estou usando e curtindo muito.
Além de ganhar um dinheirinho extra
com tarefas simples e interessantes.
Vem conhecer este aplicativo 😊🤗
https://t.co/54B5GPntqj #kwai #Vídeos
#Noticias #rendaextra</t>
  </si>
  <si>
    <t>faturandomilhoe
Não perca tempo sua chance de ter
a vida que sempre sonhou. https://t.co/QflrejquOt
#rendaextra #plr #kiwify #sucesso
#marktingdital #emprendedor https://t.co/JvOAmv9wS8</t>
  </si>
  <si>
    <t>emanuelsummers_
GANHE DINHEIRO ASSISTINDO VÍDEOS
NO CELULAR #rendaextra #rendaextraemcasa
#rendaextraonline #rendaextraagora
#ganhedinheironainternet #ganhardinheiroassistindovideos
#lucrandocomvideos #videolucrativo
#metodovideolucrativo https://t.co/9I02K85K1n</t>
  </si>
  <si>
    <t>dtcwbbr
"Quer ganhar dinheiro sem sair
de casa? A internet é o lugar certo!
Com um pouco de dedicação e boa
estratégia, você pode transformar
seu tempo livre em renda extra
💰💻 #ganhardinheiro #internet
#rendaextra" https://t.co/yHE87OuIK2</t>
  </si>
  <si>
    <t>hugocos00279853
Sinais automáticos com rendimento
médio de 1% ao dia. Cadastro grátis,
mínimo de US$250,00 (+ ou - uns
R$1.300,00) De banca para iniciar.
E já começa a ganhar 1% ao dia:
https://t.co/Ess87M9MpD… @RjRealidadedorj
#rendaextra #Binance #OptionsTrading
#isola #dinheiro #forex https://t.co/0g2HjhQvqj</t>
  </si>
  <si>
    <t xml:space="preserve">rjrealidadedorj
</t>
  </si>
  <si>
    <t>paulaminadeouro
Mães, somos especialistas em encontrar
soluções para as necessidades de
nossos filhos. Então, por que não
transformar essa habilidade em
uma fonte de renda extra? #marketingdeafiliados
#trabalharemcasa #rendaextra #mãesempreendedoras
https://t.co/EIPTAfnT4W</t>
  </si>
  <si>
    <t>milenabucatte
Aprenda tudo que precisa sobre
Design de Sobrancelhas e se destaque
na sua região! https://t.co/kRI5UKo4q5
#rendaextra https://t.co/Fc9i1y0UVM</t>
  </si>
  <si>
    <t>brunohenri1989
Venha conhecer a CLUBEWIM PLATAFORMA
DA SORTE 🍀💚👏 https://t.co/4K6pI5873X
Código de convite 3TR7XW #CLUBEWIN
#slots #esportesdasorte #MetGala2023
#ganhardinheiro #pgslotofficial
#pgslot #joguinhosdasorte #rendaextra
#AGrandeConquista</t>
  </si>
  <si>
    <t>tradewebbrasil
9 IDEIAS PARA GANHAR DINHEIRO TRABALHANDO
POR CONTA PRÓPRIA https://t.co/WfiwsoStcO
via @YouTube #ganhardinheiro #ideiasparaganhardinheiro
#rendaextra #ganhardinheironainternet
#trabalharemcasa #homeoffice #marketingdigital
#marketingdigitalbrasil #empreender
#empreendedorismo</t>
  </si>
  <si>
    <t>natisoares66
Tá esperando até quando cair do
céu a tua renda extra?? #vemcomigo
#rendaextra #empreendedorismo https://t.co/qiuX65SLuR</t>
  </si>
  <si>
    <t>funnybetbrasil
Ele GANHOU mais +R$5.000 reais
no crash da Funnybet muitooo FÁCIL!!!
VEM PRA Funnybet #funnybet #funnybetbrasil
#bet #brasil #slots #jogo #win
#bigwin #chellenge #aces #casino
#casinoonline #betting #lucros
#casinò #rendaextra #jogosonline
#palpites #brasil https://t.co/tSKKigORoM</t>
  </si>
  <si>
    <t>juliettefreer
Já ganhou os r$500 do kwai? Só
dando impulso? Pois cuida, falta
pouco Te envio um aviãozinho de
cédula no valor de R$ 500, adquira
agora~ https://t.co/sCQZBh8vCo
#rendaextra</t>
  </si>
  <si>
    <t>flor_de_lis_dis
Luzon Folheados, cosméticos e lingeries.
Descontos de 25 ou 30% #catalogos
#trabalheconosco #rendaextra https://t.co/cm9fpyhFcN</t>
  </si>
  <si>
    <t>danieleanile_
🔴Mães no Marketing Digital faturam
muito todos os dias✨️ Se você precisa
de uma renda- extra 👇🔥 Faturar
todos os dias🔗https://t.co/yDHO1yBuZm
#marketingdigital #marketing #Digital
#bbb23 #foryou #viral #rendaextra
#mães #mulheres #dinheiro #vendasonline
#vendas #ondecompra https://t.co/pHOmyJABK3</t>
  </si>
  <si>
    <t>wilsonsoaresnu1
⛔️✅Ganhe até R$148.000 TOTALMENTE
GRÁTIS, esse evento é Oficial e
totalmente exclusivo. Para participar
é muito fácil. 1 - Curta esta publicação
2 - Marque 3 amigos nos comentários
3 - Link do Evento https://t.co/CYYlHzVMij
#rendaextra #criptomoedas #dinheiroonline
#NFT https://t.co/S3HuZzFm3M</t>
  </si>
  <si>
    <t>maryap44615347
Ganhar Dinheiro online : As frases
do Sonhador da Internet https://t.co/bOngEjwj9y
#rendaextra #dinheiroextra</t>
  </si>
  <si>
    <t>andrenegociosbr
💼 Considere diversificar suas
fontes de renda. Ter uma única
fonte de renda pode ser arriscado.
Busque oportunidades para ganhar
dinheiro extra, como trabalhos
freelancer ou negócios online.
#RendaExtra #Diversificação</t>
  </si>
  <si>
    <t>rickwareoficial
"💻💰 Já está diversificando seus
ganhos online? Atualmente, existem
diversas oportunidades para obter
uma renda extra! Aproveite o potencial
da internet para lucrar e adquirir
conhecimento. Invista em si mesmo(a)
e proteja seu patrimônio! 💪💸
#RendaExtra #OportunidadesOnline"
https://t.co/kK7iafkDu2</t>
  </si>
  <si>
    <t>ildefon24325870
Esta notícia me deixa triste! Cuidado
com golpes de renda extra #rendaextra
#dinheiro #CadizValencia #GlazersOut
https://t.co/1c5TeusB2Q</t>
  </si>
  <si>
    <t>rafacotton
@felipeneto Pq cê tá de Blazer,
Felipinho? #fandom #blaze #rendaExtra</t>
  </si>
  <si>
    <t>rendadolar
O que é marketing de afiliados?
Você não precisa ter os produtos
na mão, não vai se preocupar com
envio ou ter burocracia. #rendaextra
#rendaextraemdolar #MarketingDigital
#Marketing https://t.co/hQ69z1hTye</t>
  </si>
  <si>
    <t>nixinmarketing
Descubra como ganhar uma renda
extra de forma simples e fácil!
Não perca a oportunidade de garantir
um dinheiro a mais no fim do mês
e realizar seus objetivos financeiros.
Vem conferir! #rendaextra #trabalhoemcasa
#vendaonline #dinheiroextra #rendaextra
#dinheiroonline https://t.co/f4o5SHKpXc</t>
  </si>
  <si>
    <t>omarcelopassos
Nesse vídeo trago 3 formas de fazer
renda extra em 2023. A primeira
é a MAIS RÁPIDA e a terceira é
a MELHOR! https://t.co/iPNoNzBM7j
#rendaextra https://t.co/VintaJziMc</t>
  </si>
  <si>
    <t>ionarlinda
Preciso ganhar dinheiro na internet,
mas sem comprar cursos mirabolantes,
de verdade mesmo coisa real?? Me
indiquem por favor!! #rendaextra
#Internet #Reel #Oscars</t>
  </si>
  <si>
    <t>cons1erika
👉 Faça isso em seus posts e ganhe
a confiança de sua audiência! ⚠️
Bora fazer acontecer? ✅️ Adquira
já o nosso curso na plataforma
👉 https://t.co/rdo2nFD7eB #rendaextra
#cursosonline #cursodesemijoias
#viverdesemijoias #empreendedorismo
#eduzz #erikanatalconsultoria https://t.co/YXl57Yh1MO</t>
  </si>
  <si>
    <t>ophandrade
Apaixonado nesse TD. Game NFT para
tirar uma grana extra. Para mais
informações é só chamar no direct.
#gamenft #nft #crypto #rendaextra
https://t.co/4vecHN2T0x</t>
  </si>
  <si>
    <t>negralho2
#apostas #ondecompra #ondecompro
#rendaextra #websites Faça parte
do mais novo grupo da Bot Mines
Pro que promete te ensinar a ter
altos níveis de assertividade de
98% forma fácil e inteligente.
Tenha uma renda extra. https://t.co/43PMwgny2D
https://t.co/0h7PHtyBCX</t>
  </si>
  <si>
    <t>edudias007
✳️Torne-se um Barbeiro Proficional!!!
💯Consegui uma aula gratuita para
vc esperimentar: https://t.co/1U7FCVZVMr
🤏 Mas são poucas vagas nessa aula,
então corre! Dúvidas me chama!!
. . . . #barbearia #barbeiro #cortesdecabelo
#corte #rendaextraemcasa https://t.co/VPUlfkiQpN</t>
  </si>
  <si>
    <t>cantorparafesta
"Coragem é a capacidade de agir
apropriadamente mesmo quando morrendo
de medo."💪💰 #motivação #rendaextra
#motivaçao #ficarrico #ganhardinheiro
#trabalharemcasa https://t.co/fxcVrsVFxh</t>
  </si>
  <si>
    <t>mktdigital2023
GANHE EM DÓLAR SEM PRECISAR FALAR
INGLÊS!!! Acha isso improvável?
Com nosso treinamento eu mostro
pra você que é possível SIM!! Clique
https://t.co/W2FzIxYzbs e veja
todo o material que você terá acesso!!
Não perca essa oportunidade!! Te
espero lá. #MarketingDigital #RendaExtra
https://t.co/K4bAeRoNZ3</t>
  </si>
  <si>
    <t>smashupbrazil
Alguém quer jogar roleta? Há uma
surpresa em ser atingido por um
raio #smashup #smashupbrasil #smashupbet
#smash #bet #brasil #slots #jogo
#win #bigwin #chellenge #aces #casino
#casinoonline #betting #lucros
#casinò #rendaextra #jogosonline
#palpites #brasil https://t.co/eeF2hxrdL4</t>
  </si>
  <si>
    <t>mariaap84148514
#dinheiro #rendaextra #rica https://t.co/WhW11jOyVp</t>
  </si>
  <si>
    <t>fabriciane_20
Usuários inativos do Kwai me ajudem!
Retribuo com materiais do Hay day
❤️😏 #hayday #kwai #rendaextra
https://t.co/HDp4kDXjhl</t>
  </si>
  <si>
    <t>leidimaia_
Leidi Maia | Marketing Digital:
7 profissões para você trabalhar
direto do seu cel... https://t.co/c1Cn6wpgmQ
#rendaextra #trabalhoemcasa https://t.co/iIMzqIYt2F</t>
  </si>
  <si>
    <t>dicasdeumadm
#finanças #dicas #rendaextra .
. . https://t.co/hC0eEQXG2J</t>
  </si>
  <si>
    <t>beasikeira
E eu que descorbri um game que
paga pra gente jogar!!!!! Tô fazendo
dindin sem sair de casa 😍😍😍
Clica aqui ⬇️⬇️⬇️ https://t.co/kULdIa6fiz
. #jogando #fazendodinheiro #rendaextra</t>
  </si>
  <si>
    <t>laerciolobanco
Seja prático, não procure soluções
complexas para problemas difíceis.
Veja mais na Bio @laerciolobanco
#laerciolobanco #acreditar #vcpode
#sucessoprofissional #mudar #marketingdigital
#trajetoexcepcional #rendaextra
#milionario https://t.co/yf1pg4NfpU</t>
  </si>
  <si>
    <t>mobygo_rp
🌍📷 Com a MobyGo, você pode explorar
novas rotas, descobrir lugares
incríveis e viver experiências
memoráveis.#mobygo #mobilidadeurbana
#app #motoristadeapp #motociclismo
#ENTREGA #rendaextra #ribeirãopreto
#ribeiraopreto #jardinopolis #serrana
#cravinhos #bomfimpaulista #dumont
https://t.co/5dQYnij4qW</t>
  </si>
  <si>
    <t>anadagrana
Por exemplo: Se você hoje decide
comprar um RendA+ para começar
a receber em 2050 (você terá até
2050 para fazer aportes), você
receberá #rendaextra até 2070.</t>
  </si>
  <si>
    <t>mixeusol
Novo joguinho pagando depósito
a partir de 20 reais https://t.co/esvM4tSZPQ
#rendaextra #jogos #dinheiro https://t.co/NbW4D1uKsq</t>
  </si>
  <si>
    <t>lrnevesofficial
Mas afinal que "Certificação" dá
um Certificado? Há uma coisa que
o certificado certamente não certifica,
que é a competência, essa adquire-se
com prática, experiência. . . .
#empreendedorismo #dinheiro #sucesso
#rendaextra #educacao #universidade
#cursos #coaching https://t.co/VIwQoppFYy</t>
  </si>
  <si>
    <t>onlinevieira
TimeBucks - O que é e como funciona
para ganhar dinheiro neste site
confiável https://t.co/kTX6kneRkH
#timebucks #microtarefas #rendaextra</t>
  </si>
  <si>
    <t>rainhadosjogoss
Gratidão senhor por tudo e por
tanto primeiramente. ontem não
éramos nada, e hoje podemos comprar
desfrutar, conquistar aos poucos
tudo aquilo que sonhamos, renda
familiar. #slotsgames #slots #slotsslotsslots
#rendaextra #mudandodevida #gratidao
#inspiração #motivacao 🎰 https://t.co/UMgzklyjpl</t>
  </si>
  <si>
    <t>victormaceio
Forraaaaaa #apostasesportivas #futebol
#benfica #boavistafc #bet365 #money
#rendaextra https://t.co/BgG5XGkaQz</t>
  </si>
  <si>
    <t>lucrarcomreceit
"🍰Bem-vindo ao mundo doce da confeitaria!
Descubra as melhores dicas e receitas
de doces e bolos dos mestres da
confeitaria, de forma econômica
e prática. 😋 Aprenda a criar delícias
irresistíveis Ainda Hoje. ✨#ConfeitariaEmCasa
#Doces #Bolos #RendaExtra" https://t.co/Ry0oD6qgNq</t>
  </si>
  <si>
    <t>sarita19amt
Luta pelos teus sonhos. Não esperes
que sejam os outros a tomar as
decisões por ti. Envia mensagem
ou comenta "eu quero" #MarketingDigital
#rendaextra https://t.co/QlVgF3yGYY</t>
  </si>
  <si>
    <t>slotsdalua
PLATAFORMA BRLWIN ❌BÔNUS DE 50%
NA PRIMEIRA RECARGA ❌CADA USUÁRIO
QUE ENTRAR PELO SEU LINK VC GANHA
12 REAIS (USUÁRIOS PAGANTES) Depósito
mínimo 20 Saque mínimo 50 https://t.co/kkUcbgzftp
#fortunetiger #brabet #brlwin #jogos
#rendaextra #ganheemcasa https://t.co/qnraBdQblV</t>
  </si>
  <si>
    <t>hebbermasc
Como você quer se destacar fazendo
as mesmas coisas da concorrência?
Usa a traria das vacas gordas no
seu negócio. #Marketing #growthmarketing
#finanças #dinheiro #rendaextra
https://t.co/yao5IzmPop</t>
  </si>
  <si>
    <t>tradersaed
#ganhardinheiro #investimentos
#trading #finanças #empreendedorismo
#negócios #marketingdigital #rendaextra
#dinheiro #sucesso #liberdadefinanceira
#foco #motivação #economia #investir
#oportunidades #trabalharemcasa
#dinheiroextra #independenciafinanceira
#educacaofinanceira https://t.co/tshnZVARFm</t>
  </si>
  <si>
    <t>beyourscompany
Comente “eu quero”, que te envio
as 3 aulas gratuitas de como fazer
dropshipping! #vendas #rendaextra
#ganhardinheiro #empreendedorismo
https://t.co/zkJGSyi8FA</t>
  </si>
  <si>
    <t>canalqb
Script de engajamento do Youtube.
#hotmart #rendaextra #ganhedinheiro
https://t.co/e2IHljTzsL</t>
  </si>
  <si>
    <t>diogofcastilho1
"Saiba o porquê o povo moçambicano
continua Pobre!" " #economia #mocambiquetiktok🇲🇿
#angola🇦🇴portugal🇵🇹brasil🇧🇷
#geopolitica #rendaextra #viral
#foryou "; LINK/FONTE/URL: " https://t.co/4gYo7J0HBy
".; ...; ⬇⬇⬇⬇⬇ https://t.co/v98nj4synF</t>
  </si>
  <si>
    <t>alleph
Atenção! Quer se destacar no mercado
e se tornar expert em depilação?
Descubra o método + rápido para
se tornar uma profissional da estética,
de forma rápida e eficiente, mesmo
que você comece do absoluto zero.
Saiba mais 👉 https://t.co/FywZ3ueiGY
#depilacao #rendaextra</t>
  </si>
  <si>
    <t>financasecia
O Homem Mais Rico da Babilônia:
Ensinamentos Valiosos Para a Vida
Financeira Link &amp;gt;&amp;gt;&amp;gt; https://t.co/5AQalU7uxl
Leia a matéria completa no site
Finanças e Cia. #mercadofinanceiro
#financaspessoais #dinheiro #investimento
#rendaextra #finanças https://t.co/t2tihJHhml</t>
  </si>
  <si>
    <t xml:space="preserve">comedyzin
</t>
  </si>
  <si>
    <t>granaextra3
Apostei R$0,80 e recebi R$200 o
tigrinho soltando a carta! Plataforma
pagando Corre fazer o cadastro.
Primeiro depósito de 35,00 você
ganha 15,00 de bônus https://t.co/ybv6XsCDIk
#fortunertiger #rendaextra #aposta
#tigre https://t.co/BSYPhYblGw</t>
  </si>
  <si>
    <t>5tradewithjr
Precisando fazer #rendaextra em
casa? Vem operar ao vivo comigo
no mercado financeiro💰💵💷💸 SUPORTE
PRA GERAR 5% POR DIA POR APENAS
R$59,70 POR MÊS https://t.co/UuAvPDhDwp</t>
  </si>
  <si>
    <t>gatosabidotv
Um Trabalho fácil de Fazer e você
pode cobrar R$50 é fazer declaração
de imposto de renda para idosos
que recebem pelo INSS, é simples,
fácil e da para ganhar uma renda
extra. Vale a dica #rendaextra
#comoganhardinheironainternet https://t.co/Oz2ugCF5eg</t>
  </si>
  <si>
    <t>lojavirtualdo0
61 produtos adicionados e a loja
começa a ganhar forma. #empreendedorismo
#lojavirtual #shopify #rendaextra
https://t.co/Y1R6Cw6KHo</t>
  </si>
  <si>
    <t>matteo007z
Sera que você sabe que ja mudei
a vida de 2 pessoas com um curso.
Se você não sabia me chama no insta
que eu possa te ajudar a ganhar
um renda extra🔥 Meu ig : @matteo007z
#cursodeinvestimentos #rendaextra
#dinheiroonline</t>
  </si>
  <si>
    <t>l_universe020
3 LIVROS QUE VÃO MUDAR A SUA VIDA
FINANCEIRA!! #rendaextra #educaçãofina...
https://t.co/gZVYHSeM5m via @YouTube</t>
  </si>
  <si>
    <t>irineubere
💰Reduzir riscos é um dos pré requisitos
para preservar o seu patrimônio.
#fgc #rendaextra #financas #investimentos
#banco https://t.co/l7zsSfzLcc</t>
  </si>
  <si>
    <t>freeclassific
Apple iPhone 14 Pro Max - 1TB,
#marketingdigital #rendaextra https://t.co/JhZ8tSZNBS,</t>
  </si>
  <si>
    <t>denis0ncardoso
Projeto CINCOIN doando 4 milhões
de tokens para formação de comunidade
Link de cadastro 👇👇 https://t.co/ObjONHUREW
#AirdropCrypto #criptomoedas #ativosdigital
#rendaextra #CriptoFanáticos https://t.co/6GXw17dFHw</t>
  </si>
  <si>
    <t>advbuda
Quem tem direito ao abono salarial
do PIS? https://t.co/Z335YJILfL
via @YouTube #direitodoabonosalarial
#PIS #trabalho #justiçafinanceira
#direitostrabalhistas #abonosalarial
#rendaextra #direitosdosfuncionários
#justiçasocial #benefíciosdetrabalho
#CEF #caixaeconomicafederal</t>
  </si>
  <si>
    <t>joaoabn
🗣 Me chama no direct eu te ensino!
#empreendedorismofeminino #leidaatração
#mentemilionaria #sucesso #viral
#empreender #afiliados #marketing
#rendaextra #trabalhoemcasa #empreendedorismo
#independenciafinanceira #mktdigital
https://t.co/J1AsBQWiSI</t>
  </si>
  <si>
    <t>daianybr291
👇👇👇 Não perca essa oportunidade!
https://t.co/o44aHjKlqG #rendaextra
#pascoa #chocolate #ChocolateDay
#ChocolateComPimenta #cursos #OVOShoptakuler
https://t.co/VElLLUcOKs</t>
  </si>
  <si>
    <t>tv_regi
NA PENSOU EM FAZER UM CURSO ONLINE
COM CERTIFICADO E TUDO QUE VOCÊ
PRESCISA PRA COMEÇAR SEU NEGÓCIO
TEMOS A OPORTUNIDADE PRA VOCÊ QUE
PODE SAIR POR MENOS DE 100 REAIS
O CURSO ONLINE E COMPLETO COMENTE
EU QUERO QUE TE MANDO A #rendaextra
🔑🔐</t>
  </si>
  <si>
    <t>lsh144
⚠️⚠️Essa é para você que quer uma
renda extra⚠️⚠️ Descobrir novo
método de fazer uma renda extra
com a venda de PLR, e te ensinarei
gratuitamente, basta mandar uma
mensagem privada. Com esse método
ganho de 50€ a 100€ por dia!!!
@hotmart #hotmart #rendaextra #Europe
#Portugal https://t.co/MdhNyiz08N</t>
  </si>
  <si>
    <t xml:space="preserve">hotmart
</t>
  </si>
  <si>
    <t>greens_bets
Palpites grátis dia 24/2 ⚽️🔥 .
. . Sigam a página 🤝 Escolham
3 ou 4 jogos e montem seus bilhetes
🧠📊 (fica a critério de vocês)
#bet365 #betano #palpitesdefutebol
#palpitesgratis #apostasesportivas
#rendaextra #investimentosesportivos
#dicasdeapostas https://t.co/qljbFp6rW6</t>
  </si>
  <si>
    <t>js_treinamentos
Aumente sua renda sem sair de casa!
Inscreva-se agora no mini curso
gratuito. Aprenda técnicas para
negócios rentáveis e comece a fazer
dinheiro extra. Inscrições limitadas.
Link para acessar o minicurso gratuito
👇🏽 https://t.co/qt3N3r4Mzk #RendaExtra
#NegóciosOnline #curso https://t.co/UzBgiLEgdr</t>
  </si>
  <si>
    <t>paratytvbr
Agora ao invés de 50 reais, estamos
conseguindo pagar R$100,00 por
cada indicação sua que fechar qualquer
anúncio na Rede Indoor de Televisão,
corre pra disparar nas suas redes
sociais e faturar com seu CUPOM
EXCLUSIVO. https://t.co/U5aLelF8y2
#rendaextra #paraty #tvindoor #rj
https://t.co/0awMPMlrLZ</t>
  </si>
  <si>
    <t>andrecrv7
E foi bem comido... #blaze #rendaextra
#cassino</t>
  </si>
  <si>
    <t>lelouch_sincero
Daniel Penin comeu o cu do Casimiro,
Felipe Neto e Jon Volgs com força
nesse 2° vídeo da Blaze KKKKKKKKKKKKKKKKKKKKKKKK
https://t.co/dH9R7PgcMO</t>
  </si>
  <si>
    <t>primeiravenda07
Uma loja online sem estoque vendendo
24 horas por dia? Sim! É possível!
Conheça a loja do FUTURO! Clica
no link!👇🏻 https://t.co/cKN1pQFKzN
#mercadodigital #lojaonline #dropshipping
#rendaextra</t>
  </si>
  <si>
    <t>elosduvale
Sinais de que você foi bem na entrevista
🎯 https://t.co/ZJ85uIgWBr . #elosduvale
#emprego #trabalho #vagas #oportunidade
#vagasdeemprego #empregos #vaga
#estagio #job #oportunidades #curriculo
#empreendedorismo #rendaextra #vagadeemprego
#rh #oportunidadedetrabalho https://t.co/CJUOSeeqf8</t>
  </si>
  <si>
    <t>junior82827720
#rendaextra #trabalhedecasa Se
vc está querendo ter uma renda
extra, começar seu próprio negócio
ou ainda, se especializar em determinada
área. Vou deixar alguns links alguns
cursos aqui pra vc, que vão desde
cursos de beleza a fastfood.</t>
  </si>
  <si>
    <t>willcesarpro
Dia 01 Do 0 ao milhão Me segue
e veja como usar o Marketing digital
#afiliados #dia01 #trabalharemcasa
#negocioonline #rendaextra #ganhardinheiro
https://t.co/vC36xhqWHk</t>
  </si>
  <si>
    <t>jessy_lene
Para quem está em casa e quer ganhar
uma renda extra, esse site de pesquisa
é super indicado. Lembrando que:
Você não vai ficar rico do dia
para noite, mas da para ganhar
uns dolares respondendo pesquisas.
https://t.co/lbY8Eq66B4 #rendaextra
#homeoffice</t>
  </si>
  <si>
    <t>sabrina74445433
Aproveitando o Hype da Páscoa,
estamos com um curso simplesmente
fantástico para você fazer renda
de casa, lucrando mais de 200,00
por dia. Por um preço simbólico
de R$19,90 #rendaextra #pascoa
#pascoalucrativa #receitaslucrativas
#lucreonline #ovosdepascoa https://t.co/4O0xwzoWwy</t>
  </si>
  <si>
    <t>arielyaari44402
Wednesday, 28 June Excellent work,
how we started the week Accomplished
goals Time to clear the mind off
the monitors #goptionbrasil #binaryoptions
#maedesucesso #rendaextra #bitcoin
#Binance    #mercadofinanceiro
#forex #trader #lifestyle #liberdadefinanceira
#investing https://t.co/TsIhSOuqNe</t>
  </si>
  <si>
    <t>acelsio
#Tens Carro, Carta e Smartphone...
Estás em #Maputo ou #Matola ...
Liga já 84 065 1123 #Yango #rendaextra
#cadastro https://t.co/dvUILOqgOp</t>
  </si>
  <si>
    <t>oincrivelsite
A Formula Negócio Online é uma
opção viável para quem deseja aprender
sobre marketing digital e criar
seu próprio negócio online. Saiba
mais sobre esse treinamento! #marketingdigital
#rendaextra #homeoffice https://t.co/S0Yl4z4uUQ</t>
  </si>
  <si>
    <t>pvendasofc47707
3 mini curso gratuito link na bio
pra saber mais ! #dinheiro #MarketingDigital
#rendaextra #dinheiroonline #cursos
#caiomartins https://t.co/Yxlq0TrsrA</t>
  </si>
  <si>
    <t>gihsleine
Ta pagando gente aproveita!!!!
https://t.co/59JOPm9BSX #slots
#tigre #paga #rendaextra https://t.co/OM1WZvVB2u</t>
  </si>
  <si>
    <t>ben_dicas
"Quer uma nova fonte de renda?
💰 Descubra 45 maneiras incríveis
de ganhar dinheiro online e presencialmente! 
👉 https://t.co/j8pwPmdENZ #RendaExtra
#DinheiroOnline #dinheiro https://t.co/IJKIhUxbFJ</t>
  </si>
  <si>
    <t>maraduba
https://t.co/a5zi2xpk6l #Marketing
#rendaextra https://t.co/ZJGBg23TiH</t>
  </si>
  <si>
    <t>mariste2412891
Venha falar comigo sobre essa oportunidade
pelo WhatsApp 49 998277146! #rendaextra
#marketingdigital #afiliados https://t.co/6VnjUocYh6</t>
  </si>
  <si>
    <t>portalr7
#RendaExtra Tire suas dúvidas sobre
o novo complemento à aposentadoria,
o RendA+ Confira! 👉https://t.co/KJYh7BKiGS
#R7 #PortalR7 https://t.co/3JyV4KqcNO</t>
  </si>
  <si>
    <t>afiliadomax
O mercado de afiliados é uma das
melhores opções para as pessoas
começarem a trabalhar na internet.
#afiliados #afiliadoiniciante #hotmart
#eduzz #braip #rendaextra #rendaonline
#dinheiro</t>
  </si>
  <si>
    <t>vivi75ofertas
Um ebook super interessante sobre
pedrarias de unhas. Nele você vai
ver tipos de cola, tipos de pega
strass, história da Decoração de
unhas. Como aplicar em cima de
Acrílico ou Gel, muitos modelos
e imagens para se inspirar. https://t.co/hkNYQGYwS9
#decoraçãounha #rendaextra</t>
  </si>
  <si>
    <t>bialover1d
O que você acha de responder pesquisas
pelo celular e ganhar recompensas
por isso? Descobri que no MeSeems
isso é possível. Cadastre-se pelo
meu link que você já começa ganhando
50 pontos! https://t.co/UrGHKD3dPE
#rendaextra #dinheiro #MONEY168</t>
  </si>
  <si>
    <t>betexpooficial
⚠️ Lembre-se: Aposte com responsabilidade
e defina um limite para suas apostas.
O objetivo é se divertir e aproveitar
a emoção, enquanto busca uma renda
extra. #BetExpo #ApostasOnline
#RendaExtra #JogosDeCassino #ApostasEsportivas
#Entretenimento #Responsabilidade</t>
  </si>
  <si>
    <t>vivianne2121
Mesmo viajando por 15 dias, Meu
Faturamento de JANEIRO foi com
mais de 20 mil 😜 Você aí usa seu
Celular pra fazer 💰 ou ainda tá
perdendo Tempo ⌛. #BenidormFest2023
#bigbrothernlbe #rendaextra #SHOPEE
#shopeeaffiliate https://t.co/pMcPLDStnI</t>
  </si>
  <si>
    <t>guilher12740356
@felipeneto #RendaExtra 🙏🏻 https://t.co/kquh2ahGrX</t>
  </si>
  <si>
    <t>1emperorhero
Transforme sua vida financeira
agora! Inscreva-se no MONEYNOW
3.0 e aprenda a ganhar em dólares
de qualquer lugar do mundo. Aulas
ao vivo, Ebook Guia do Trader,
Comunidade MoneyNow, Curso MONEY
MACHINE e bônus surpresa!#investimento
#rendaextra #trading https://t.co/VrtUbhnd82</t>
  </si>
  <si>
    <t>descentralizapt
Uma nova Serie de Videos no nosso
canal no Youtube onde vamos falar
sobre uma forma de estar no Bitcoin
enquanto caminhamos no meio da
Natureza 🏕️🌳🏡🔐🇵🇹 Canal: DescentralizaClub
#descentralizaclub #bitcoin #bitcoinportugal
#bitcoinangola #bitcoinbrasil #rendaextra
#Barbie https://t.co/NNQ8L4WhNH</t>
  </si>
  <si>
    <t>lourivalmagalh6
RT @programapanico: #Pânico | Foca
na Economia: Samy Dana explica
como funciona o novo golpe online
da renda extra; o Delari chama
de empre…</t>
  </si>
  <si>
    <t>programapanico
#Pânico | Foca na Economia: Samy
Dana explica como funciona o novo
golpe online da renda extra; o
Delari chama de empreendimento,
mas essa é conversa para outro
dia 📺 Confira na JP News #internet
#rendaextra #golpe #segurança https://t.co/FNxAIm2HEK</t>
  </si>
  <si>
    <t>comunidadealyra
Script php adlinkfly para criar
uma plataforma monetizada profissional.
. https://t.co/eTsuH6IIPm . #scriptphp
#profit #rendaextra #monetizado
#earnmoney #compraragora #ondecomprar
#adlinkfly #alepdias #21deMaiode2023</t>
  </si>
  <si>
    <t>ronaldo191920
Me ajudar que eu ter ajudar #dinheiro
#rendaextra Te envio um aviãozinho
de cédula no valor de R$ 500, adquira
agora~ https://t.co/i39am4rQ7F</t>
  </si>
  <si>
    <t>xtudooficiaal
Você sabia que Honeygain🐝 te paga💸
no paypal no valor mínimo de 20$
ou em cryptomoeda sem valor mínimo.
Da uma olhada la no vídeo.#honeygain
#ganhardinheironainternet #dinheiro
#rendaextra #rendapassiva Link
do video: https://t.co/nMJde0W8Ve
https://t.co/Dzd2om4CGJ</t>
  </si>
  <si>
    <t>domesticasdicas
Boa tarde galerinha. Faltou dinheiro?
Tá difícil? Na dica de hoje você
pode ter RENDA EXTRA 🫰💵💰fazendo
vassouras da garrafa pet, vem que
eu te ensino! Clica no link abaixo.
#garrafapet #dinnerdate #rendaextra
#vassoura https://t.co/x7mOnOf1of
#GarrafasPlásticas</t>
  </si>
  <si>
    <t>reidosartigos
Como Monetizar o Facebook #ganhardinheironainternet
#ganhardinheiroonline #rendaextra
#rendaextraemcasa https://t.co/7CHTHGowMp</t>
  </si>
  <si>
    <t>wiskton
Deixe o dinheiro trabalhar para
você e alcance a independência
financeira. #investimentos #dinheiro
#bolsadevalores #investimento #mercadofinanceiro
#o #finan #empreendedorismo #a
#investir #liberdadefinanceira
#sucesso #es #as #rendaextra #economia
#ed… https://t.co/2S3IBjIcgC https://t.co/Pap3epQtuX</t>
  </si>
  <si>
    <t>listdaminacdm
#NewProfilePic #bet365 #dinhero
#rendaextra #apostaesportiva #betano
https://t.co/CJJwYhuqIw</t>
  </si>
  <si>
    <t>eduardahelenad5
Harry Potter e o cálice de fogo.
#rendaextra #Vendatwitter #uominiedonne
https://t.co/LLYPD3CtHb</t>
  </si>
  <si>
    <t>veravilela04
#veravilela4 #rendaextra #negocioonline
https://t.co/LQhpxJp22c</t>
  </si>
  <si>
    <t>stakemasterr
• AMA PARTNERSHIP • Com LIVE em
8 canais do YOUTUBE 🔥 STAKE MASTER
&amp;amp; URUS SWAP               ⏰
Dia 01/02 às 20h (horário de Brasília)
🗣 Onde: @StakeMasterOficial •
Sorteio • 💰💫 ☑  10MIL em tokens
URUS SWAP #dolar #rendaextra #criptomoedas
https://t.co/zme0hKJ9qX</t>
  </si>
  <si>
    <t>gabsbluez
Tá precisando de uma nova maquininha
de cartão para o seu negócio? Confira:
https://t.co/ahSjUmGjft #maquininha
#ton #rendaextra</t>
  </si>
  <si>
    <t>denilso01603502
Ganhe até R$2.300 ao assistir a
vídeos no TikTok. #RendaExtra #renda
#ganhadinheiro Utilizar esse código
de indicação: 23912626 https://t.co/dDCcAyfaAj</t>
  </si>
  <si>
    <t>70scars
#sorteiokwai #impulsokwai #rendaextra</t>
  </si>
  <si>
    <t>rauniramosyt
3 NOVOS APPS PARA GANHAR DINHEIRO
EM DÓLAR NO PAYPAL E BITCOIN. #rendaextra
#renda #rendapassiva #rendaextraemcasa
#rendaextraonline #rendaextra2023
https://t.co/g0jMaeOtQc</t>
  </si>
  <si>
    <t>insightinbound
Páscoa chegando e é a hora de colocar
um dinheirinho extra no bolso!!
Por apenas R$19,90 você leva esse
e-book repleto de dicas e insights
pra você voar nas vendas. 🔗 https://t.co/zPMzxK2pFt
#ebooks #Pascoa #vendas #brasil
#negocio #rendaextra https://t.co/LQxQaMlB51</t>
  </si>
  <si>
    <t>kubeta_cursos
Partilha o teu conhecimento através
da Kubeta e tenha uma excelente
fonte de RENDA PASSIVA! Kubeta,
o melhor sítio para partilhares
o teu conhecimento. #kubeta_ao
#kubetaformador #rendaextra #rendapassiva
#partilhadeconhecimento #cursosonline
https://t.co/fFSBye8pCg</t>
  </si>
  <si>
    <t>realsegviagem
Para participar do sorteio é simples:
basta realizar o seu cadastro completo
na plataforma de indicadores da
Real até o dia 28/02/2023 e nos
enviar o print da tela. Prontinho,
dai é só começar a torcida!🤞🏻
#promoção #rendaextra #viagem #influencerdigital
#afiliados https://t.co/a2a6WcQyaD</t>
  </si>
  <si>
    <t>lojafelixcat
Faça parte da Vendah, é um aplicativo
super fácil de revender Se cadastra
aqui pelo meu link que você ganha
um prêmio quando vender!! #vendah
#rendaextra https://t.co/TbNnyVEHp9</t>
  </si>
  <si>
    <t>renatoney04
#ondecomprar #cursoonline #rendaextra
Manual ovo de pascoa Um curso que
pode mudar de vez sua vida 🔥🔥
Confira aqui 👇👇 https://t.co/dXNSs2lqTe
https://t.co/2xvJbydV98</t>
  </si>
  <si>
    <t>hjaloto
Transforme seu hobby em profissão
Se você quer aprender sobre fotografia
e ter um aspecto profissional em
suas fotos utilizando, até mesmo,
o seu smartphone, clique no link
certo! https://t.co/9bSSpXRVDL
#photopro #hobby #treinamento #curso
#smartphone #rendaextra #profissao
https://t.co/6mdTVLbvN3</t>
  </si>
  <si>
    <t>pontes_adao
Bom diaa! Quem ainda não conseguiu
fazer a tão sonhada primeira venda?
#primeiravenda #MarketingDigital
#marketingdigitalbrasil #vendasonline
#rendaextra #homeoffice #afiliados
#comoganhardinheironainternet</t>
  </si>
  <si>
    <t>lopeseconomista
Mentiram pra você quando te disseram
que investir é coisa de gente rica.
Com bem pouco dinheiro é possível
começar a investir com segurança
e rentabilidade superior a poupança.
Me chama no direct que eu vou te
ensinar… #investir #investimento
#rendapassiva #rendaextra #poupança
https://t.co/GP121NQ8Pf</t>
  </si>
  <si>
    <t>yutomas64
Aprenda a vender e ter uma renda
extra só usando o seu celular com
acesso a Internet #MarketingDigital
#rendaextra https://t.co/dKoAyEYZZ0
https://t.co/KbPK3Fxgoj</t>
  </si>
  <si>
    <t>noitepaladino
Aprenda a lucrar nessa Páscoa!
Descubra como ter uma renda extra
nesse inicio de 2023! Clique no
Link da Bio! #rendaextra</t>
  </si>
  <si>
    <t>topviplgbt
Fábrica de Riqueza 💰 transforme
seu celular em uma máquina de vendas
🤑 https://t.co/vF6zSTV6hY #rendaextra
#Digital #mkt #empreendedorismo</t>
  </si>
  <si>
    <t>dodavizao
O Q POSSO ADD A MINHA VIDA Q ME
PERMITIRIA CRIAR MAIS DINHEIRO
DO QUE JAMAIS IMAGINEI SER POSSÍVEL?
#rendaextra #trabalhoemcasa #dinheiroemcasa
#homeoffice https://t.co/F1k6a9NrJ6
https://t.co/Tjo0yGOsoR</t>
  </si>
  <si>
    <t>ceufragmentos
Aprenda a produzir e vender Terços
Personalizados. Tarefa nobre, prazerosa
e ainda ajuda a aumentar seus rendimentos.
#RendaExtra #terçospersonalizados
#tercospersonalizados #trabalho
#trabalharemcasa SITE OFICIAL DO
CURSO ⬇️⬇️⬇️ https://t.co/kzidgx1cvg
https://t.co/iWQpDVZOlr</t>
  </si>
  <si>
    <t>informa_bc
Aprenda absolutamente tudo sobre
Cookies Gourmet! Curso 100% em
vídeo com aulas práticas e detalhadas.
Certificado incluso. Do básico
ao avançado #rendaextra https://t.co/PQV7q7drHa
https://t.co/hUauEuQhv3</t>
  </si>
  <si>
    <t>jaquesantosluiz
Faça parte da minha equipe, entre
em contato e faça o processo seletivo...
#homeoffice #rendaextra #oportunidade
#vendas #trabalheemcasa https://t.co/dwcjaZegiN</t>
  </si>
  <si>
    <t>pelearrepiada
Aula gratuita! Cite o código ULISSES
e ganhe um bônus. #DesafioNoAutomatico
#RendaExtra #ganhedinheiro #gestaodetrafego
https://t.co/w7sGbasVJ4 https://t.co/5xQ1hiajHt</t>
  </si>
  <si>
    <t>megapromosdalo
Achei um curso de Ovo de Páscoa
pra ajudar a fazer renda extra
nessa época do ano! Eitaa que as
fotos tão lindas demaiss, será
que vamos? https://t.co/2zCMmwR18i
#rendaextra #redaextracomovosdepascoa
#receitasovosdepascoa https://t.co/GcLjSLL5mx</t>
  </si>
  <si>
    <t>fortunetigerbot
Melhores plataformas e que pagam
bem! 🌿Brabet ✅ ◉ Acesse: https://t.co/zQQq89NE6j
🌿WINBR ✅ ◉ Acesse: https://t.co/TehxM5vmj7
🌿WINMI✅ ◉ Acesse: https://t.co/DPYND9xAkI
🌿JOGOWIN✅ ◉ Acesse: https://t.co/8rCEpeoVKu
#cassino #rendaextra #brabet https://t.co/YLtsNjRWKm</t>
  </si>
  <si>
    <t>tipster_gabriel
Champinha amooooor #bet365 #apostasesportivas
#rendaextra #ChampionsLeague https://t.co/ZYwF2TZidw</t>
  </si>
  <si>
    <t>diogo86azevedo
8 Ideias para renda extra em 2023
Link: https://t.co/WWmKHtxDRI Leia
a matéria completa no site Finanças
e Cia #mercadofinanceiro #finanças
#rendaextra #dinheiro #investimento
#investir #trabalho https://t.co/0uKLvg9IHy</t>
  </si>
  <si>
    <t>digital_online_
"Pense fora da caixa" Renda extra
usando apenas um celular https://t.co/w6cX64vIWW
#Digital #MarketingDigital #marketingtwitter
#Marketing #rendaextra #lifestyle
#Internet https://t.co/sfDD2nPFAZ</t>
  </si>
  <si>
    <t>yunre02
Novo APP de jogo pagando toda hora.
Alguém já tem? #jogos #Apps #rendaextra
https://t.co/RHPOfqQtBI https://t.co/dTTOdVuPcH</t>
  </si>
  <si>
    <t>fredyherreraag
Conseguir una lista de suscriptores
tomara tiempo, pero crear tu tribu
en verdad vale la pena. #marketingdeafiliados
#marketingdigital #marketing #marketingdigitalbrasil
#hotmart #marketingdecontenidos
#empreendedorismo #rendaextra #afiliados
#afiliadoshotmart #negociosonline</t>
  </si>
  <si>
    <t>eugully
Olhem a bio do meu perfil #rico
#jovem #rendaextra https://t.co/ivzf6YgFRq</t>
  </si>
  <si>
    <t>simplesopinions
Tá afim de fazer uma renda extra
de até 3 mil reais? A gente tem
uma dica pra você: • https://t.co/RH0GPxeCq8
#RendaExtra #DesignDeSobrancelha
#ModaEBeleza #Sobrancelhas https://t.co/1oJoIxxkQx</t>
  </si>
  <si>
    <t>orestesleal1
💰 Gere renda extra ao compartilhar
produtos de qualidade com amigos
e familiares. A Herbalife faz isso
possível. 👨‍👩‍👧‍👦 #RendaExtra
#Herbalife https://t.co/wACNc3OJA4</t>
  </si>
  <si>
    <t>cassiasantosa
Ganhe $$$ revenda suas antiguidades
em Pinheiros São Paulo - Venda,
Troque e Revenda - Benedito Calixto
Pinheiros #rendaextra #dinheiroextra
https://t.co/jz2fr9ACoW</t>
  </si>
  <si>
    <t>_l4chimolala
#rendaextra #renda #kwaii #ganhardinheiro</t>
  </si>
  <si>
    <t>flashliteappbr
ESTÁS SABENDO QUE ESTÁ REVOLUCIONANDO
A MEDICINA? VOCÊ CONHECE ALGUÉM
PRECISA DE CUIDAR DA SAÚDE? AINDA
COM OPÇÃO DE UMA EXCELENTE RENDA
FINANCEIRA. #ozonteckrecife #ozonteckbrasil
#diabetes #rendaextra e MAIS INFORMAÇÕES
APENAS NO WHATSAPP. ME CHAMA https://t.co/U41ocBeMvG
https://t.co/hdJVgxwLzL</t>
  </si>
  <si>
    <t>mateusd09524565
Estamos em plena expansão, a empresa
que mais está em evidência no Brasil
é #luciluci #lucilucioficial #luciluciperfumes
#luciluci #qualidadevida #rendaextra
#brasil #marketing #marketingdigital
#marketingderelacimento #marketingprofissional
#saopaulo https://t.co/X4msS8eNy8</t>
  </si>
  <si>
    <t>shyolvr
https://t.co/Jf5FijjF2c #rendaextra
https://t.co/wAV5UasLTL</t>
  </si>
  <si>
    <t>marciogroove
#WHITECLUB iniciou em julho os
#investimentos na economia compartilhada
dentro do #MMN ou #Multinível #MarketingDigital
Façam o cadastro, pack de 20 #USDT
podendo ser ativado em #BTC #BTCUSDT
#bitcoin https://t.co/WfjTWk5HxL
Lider de rede, trabalho em parceria
#rendaextra</t>
  </si>
  <si>
    <t>dolarizando_
Como ganhar em DÓLAR 💵 como afiliado?
🤑 https://t.co/6mCODSVnlp via
@YouTube #metadolar #ganheemdólar
#ganheemcasa #rendaextra #rendaextraagora
#rendaextraemcasa #rendaextraonline
#rendaextranainternet #empreender
#empreendedorismo #empreendedor</t>
  </si>
  <si>
    <t>fellipepinheiro
Cupom de R$ 150 de desconto. Aproveite.
https://t.co/AdXEUUSxYW #afiliados
#metadolar #marketingdigital #trafegopago
#trafegoorganico #ganhardinheiro
#rendaextra #ganhedinheironainternet
#dolar #CupomDeDesconto</t>
  </si>
  <si>
    <t>beicadaskkkkj
@explicacritica me dscp adm...
Quer aprender a fazer renda extra
sem sair de casa? Me chama direct
que eu te ensino!!🔥🚀 #rendaextra
#dinheiro #dinheirofacil #lucro
#negocios</t>
  </si>
  <si>
    <t xml:space="preserve">explicacritica
</t>
  </si>
  <si>
    <t>eulima_eu
[SAQUEI] Lucrando com Google Funciona?
Lucrando com Google Vale a Pena?
... https://t.co/TEOt8r4Sxa via
@YouTube #rendaextra #ganhardinheiro
#money</t>
  </si>
  <si>
    <t>jovemmilion1
Você já sabia disso? . . Siga @joven.milion
. . #afiliadodashopee #milionares
#marketingdigitalbrasil #hotmart
#marketing #trabalharemcasapelainternet
#rendaextraemcasa #empreendedorismo
#empreendedordigitalautoridade
# https://t.co/YD5fpJ4baJ</t>
  </si>
  <si>
    <t xml:space="preserve">joven
</t>
  </si>
  <si>
    <t>prefcatanduva
👩🏼‍🍳 Os cursos serão realizados
nos dias 20 e 24 de março, às 13
horas no próprio Fundo Social.
Informações: (17) 3523-3317. #pascoa
#rendaextra #oportunidade #inscricao
#catanduva #fundosocial #prefeituradecatanduva</t>
  </si>
  <si>
    <t>mateada_oficial
😃📝💰 Aprenda várias maneiras
de ganhar dinheiro escrevendo com
o nosso guia completo! Descubra
dicas incríveis e oportunidades
imperdíveis. Confira agora mesmo
em nosso blog! 👉 https://t.co/v4d0i4cxly
#Blogging #EscritaCriativa #RendaExtra
#Mateada</t>
  </si>
  <si>
    <t>iludidokkkkk
#rendaextra #ganhardinheiro #appsparaganhardinheiro</t>
  </si>
  <si>
    <t>degmellos
#rendaextra #marketingdigital https://t.co/f3V3yxR4Zt</t>
  </si>
  <si>
    <t>rloretti
#brabet pagando no #ganeshagold
só sei amar! #brabetmeuamor #slot
#slots #cassino #joguinhos #bbb23
#Brasil #jogosdeslots #dinheiro
#rendaextra #viva #fypp #trabalharemcasa
#cash #mulher #TheLastOfUs #jogosparacelular
ganhe aqui: https://t.co/wwfNxfzs6P
https://t.co/3zgwpwTAML</t>
  </si>
  <si>
    <t>kleber_bsbdf
#ovosdepascoa https://t.co/Zj7dwu0zIE
Descubra como Faturar de R$ 3.000,00
a R$ 5.000,00 por mês, trabalhando
diretamente da Sua Casa. #rendaextra
#ChocolateDay #dinheiro #rendaextra
#pascoa #aprendafazer #Delicias
#gourmet https://t.co/rvUkRYM2Wn</t>
  </si>
  <si>
    <t>juliana72640554
Comente Eu Quero que vou te explicar
como #marketingdigital #rendaextra
#maternidade https://t.co/0Bxs24wAwU</t>
  </si>
  <si>
    <t>eushaman
Gente é meme só os trabalhadores
vão entender 🤣🤣🤣 #dinheiro #rendaextra
#dinheiroextra #Memes https://t.co/R5sf64egHH</t>
  </si>
  <si>
    <t>nahildasuprema
Iremos criar um grupo no telegram.
Onde postaremos fotos e vídeos
de nosso pezinhos e solas. Quem
tiver interessado vamos no direct
! Também terá comissão e sorteio
#feet #pezinhos #pes #solas #solinhas
#comissão #rendaextra #telegram
#grupo18 #fetiche #foot #girlfeet
#podolatria https://t.co/HDXwtSNdQJ</t>
  </si>
  <si>
    <t>juliana17293036
Maquiagem a partir de R$1,99 😲
Link aqui 👇 https://t.co/N5PTpagMZv
#ondecomprar #ondecompro #dicas
#maquiagem #rendaextra #MissSupranational2023
#Barbie #BarbieFilme #virginia
#Mirella https://t.co/SdFxVPMIgL</t>
  </si>
  <si>
    <t>buzzbytebr
🚀 Esse Site Pode Dar Um BOOM No
Seu Currículo e Isso Pode Te Fazer
Ganhar Mais! 💸 👣 Siga @buzzbytebr
. . . #rendaextra💰 #ganharmaisdinheiro
#curriculoperfeito #rendaextraemcasa
#rendaextraemcas https://t.co/sWEnmFAIMU</t>
  </si>
  <si>
    <t>thcfreeky
@mvmc__ #RendaExtra</t>
  </si>
  <si>
    <t xml:space="preserve">mvmc__
</t>
  </si>
  <si>
    <t>sucessostartup
Querem começar a ganhar dinheiro
pelo celular em casa ou em várias
outros lugares ? Comente eu quero
e eu te ajudo #emprendedores #rendaextra
#ganhardinheiroemcasa https://t.co/qyuLsEqW8N</t>
  </si>
  <si>
    <t>bartorei
Quartouuu🤑🚀✌️ Cadastra-se⬇️ https://t.co/AioU9vBwRT
tropa casa de aposta pagando muito🤑
gostosinho fixado do meu perfil
esta os link dos grupos vip 24
horas grátis 🤩🤩 #aposta #dinheiro
#granaextra #aviator #spaceman
#futebol #tips #robô #robo #VIP
#grátis #rendaextra https://t.co/nZnE8oQ2xm</t>
  </si>
  <si>
    <t>silvatiago87295
Gosta de dicas de renda? aqui vai
algumas.😉💰 #rendaextra #liberdadefinanceira
#SalarioMinimo #Renda https://t.co/OuRaSS9RIc</t>
  </si>
  <si>
    <t>leticia_pa99972
Como jogar Jogo do Tigre? 🤑 Convite
do Jogo do Tigre: ⬇️ https://t.co/8eIl6tpK4H
1. Acesse o link 2. Cadastre-se
3. Realize depósito de R$20 por
pix 4. Escolha o jogo Fortune Tiger
5. Escolha o valor da aposta no
( +/-) #pombabet #fortune #fortunetiger
#rendaextra https://t.co/vXO9JOFvKx</t>
  </si>
  <si>
    <t>caiiohenriquetv
Segue o Pai 🫵🏽❤️‍🔥 #Rendaextra
#dinheiro #Trabalharemcasa #MarketingDigital
#fypシ #milionario https://t.co/NNmArpzw02</t>
  </si>
  <si>
    <t>carinagchagas
Se você está em busca de uma oportunidade,
fazer renda extra em casa, ter
liberdade financeira, eu posso
te ajudar! 🚀❤️‍🔥 - Cometa aí
''eu quero'' #rendaextra #mktdigital
#trabalharemcasa #dinheiro #mercadodigital</t>
  </si>
  <si>
    <t>paradisebeache2
Ótima oportunidade para quem quer
uma renda extra, esse site uso
há vários anos e recomendo. #rendaextra
#renda #PayPalUSD #oportunidade
#freecash @freecashcom https://t.co/U3SHqlrc2a</t>
  </si>
  <si>
    <t xml:space="preserve">freecashcom
</t>
  </si>
  <si>
    <t>agathac79501121
Descubra ideias lucrativas para
ganhar dinheiro extra no Pinterest
com este guia útil https://t.co/BnPMHPUB3y
#Pinterest #RendaExtra #IdeiasLucrativas
https://t.co/sCLo7B0uKi</t>
  </si>
  <si>
    <t>flanoticiashoje
Pessoal esse novo App está pagando
no Pix. Aproveitem. Link: https://t.co/FRKXLYTI8o
#rendaextra #dinheiro #Flamengo
#rendaonline https://t.co/e0yYRe9lz2</t>
  </si>
  <si>
    <t>linknacional
A internet hoje tem muitas oportunidades
a quem procura meios para uma #rendaextra
e àqueles que almejam um trabalho
mais duradouro. O conteúdo a seguir
traz à baila este tema e dá alguns
caminhos a quem quer começar a
ganhar dinheiro na web. https://t.co/oNhQtjEiI5</t>
  </si>
  <si>
    <t>talentosrizom
Você já conhece a Lucre Mais? 🤩É
a melhor plataforma de divulgação
de links e cadastro de afiliados.
Fazendo apenas a divulgação do
links você pode ganhar comissões
semanais💸 #homeoffice #Brasil
#Repost #rendaextra Acesso o link
e faça o seu cadastro. https://t.co/pBNlHC1NFA
https://t.co/cEgT6JRIaH</t>
  </si>
  <si>
    <t>jeff_barrada
link https://t.co/DOLKyuM3pm Aqui
você encontrará uma variedade de
cursos, dicas de renda extra, receitas
deliciosas, estratégias de marketing
digital, quadros inspiradores e
muito mais. Junte-se a nós e descubra
como transformar seus sonhos em
realidade! #Cursos #RendaExtra</t>
  </si>
  <si>
    <t>marcelo03272356
#lifestyle #Motivacion #rendaextra
#milionario https://t.co/0qdiOscnsC</t>
  </si>
  <si>
    <t>matiasmendes2
Você pode ganhar 100 reais por
dia trabalhando pra empresas estrangeiras,
mesmo sem falar inglês. #dinheiro
#rendaextra #vasco #FLAxVAS #PremierLeague
https://t.co/LciffTcFQY</t>
  </si>
  <si>
    <t>rafaelg91275867
Nova Plataforma de Microtarefas!
- Mais de 2 Mil Tarefas disponíveis
(Renda Extra Ainda Hoje) https://t.co/zSgVJjJFPj
#rendaextra #trabalhoemcasa #oportunidades
#ganhardinheiro #negócioonline
#freelancer #dinheiroextra #empreendedorismo
#trabalhandoemcasa #negóciopróprio</t>
  </si>
  <si>
    <t>suelenm56533946
Vem lucra com apenas 3.00 🚀🙏
https://t.co/fni4GR1Z2u #joguinhodasorte
#lucraemcasa #rendaextra https://t.co/ipZZsI71RL</t>
  </si>
  <si>
    <t>rei_do_money
Ser rico no brasil basta seguir
esse perfil .... #SERRICO #rico
#MONEY #ElonMusk #benbvolliefde
#GranHermanoChile #dinheiro #renda
#rendaextra #viral #viralvideo
#viralindo https://t.co/8cJDFTMliy</t>
  </si>
  <si>
    <t>jhonny_luz
🔴Como Ganhar dinheiro fazendo
Renda extra em 2023📣 #shorts https://t.co/GzX1Md9W62
via @YouTube #rendaextra #empreender
#afiliado</t>
  </si>
  <si>
    <t>agathaleeharper
Muita mulher pensa que é impossível
trabalhar on-line (e ganhar dinheiro)
e fazer as tarefas domésticas do
dia a dia. Meu segredo foi estipular
horários. #trabalhoemcasa #rendaextraemcasa
#rendaextra #dinheiro #marketingdigital
#marketingdigitalbrasil https://t.co/XGGp4mgQ9u</t>
  </si>
  <si>
    <t>joseguilhermeft
🚀 Como ganhar de R$2.000 a R$5.000
(ou mais) por mês vendendo Placas
Pix na rua? É uma fonte de renda
incrível e uma chance de desenvolver
habilidades essenciais em vendas.
Siga esta thread para saber mais!
💰 #VendaPlacasPix #RendaExtra
https://t.co/Gx3u1pSMiD</t>
  </si>
  <si>
    <t>carolinabouvie
E eu que já ganhei 1.700 esse mês
vendendo um produto muitooo legal
de apenas 10 reais na internet?
🥹🫶🏼 E tenho afiliadas vendendo
o MEU PRODUTO e lucrando muito
tbm 😍 EU AMO MUITO TUDO ISSO!
#rendaextra #marketingdeafiliados
#packpng</t>
  </si>
  <si>
    <t>yt_100limits
mulheres comuns está recebendo
pix de velhos ricos apenas para
conversar Mulheres assistindo esse
vídeo nesse exato momento https://t.co/aP2PeV0AN9
#pix #rendaextra #produtodigital
#publicidade #CortaPorLozano</t>
  </si>
  <si>
    <t>dsb_negocios
Criei uma página no Instagram para
divulgar cursos que servem como
renda extra. Cursos como Marketing
Digital, Designer Gráfico e outros.
Deem uma ajuda lá!! Divulguei por
enquanto 3 produtos! #Marketing
#Rendaextra #cursos #Negocios https://t.co/GbblCLGjAg
https://t.co/dsoBv70Jaw</t>
  </si>
  <si>
    <t>phygitalasset
Parem de perder dinheiro em anos
com taxas de Juros de 13,75% ao
ano, por favor! O valor investido
dobra em 6 anos com o risco de
0,0000001%!! Valor investido: R$1.000
Taxa: 13.75% 6 anos ou 72 meses
= R$1991,34 (Liquido) #rendaextra
#dinheirotrabalhando #ganhedinheiro</t>
  </si>
  <si>
    <t>joamot30
Aumente sua renda! Participe de
pesquisas remuneradas da Pagazani
e ganhe a partir de $10 no Paypal.
Cadastre-se ➡️ https://t.co/Vn6IoZAOtz
Não perca essa oportunidade! 💸
#RendaExtra #PesquisasRemuneradas
#Pagazani https://t.co/5TTFTWiPxk</t>
  </si>
  <si>
    <t>vigaraniemanuel
Bora começar 2023 estourando na
renda extra ? Ano passado larguei
o medo que tinha e comecei um novo
curso e que me arrependo de não
ter começado antes. Me chama que
te explico. https://t.co/Aqzy1KofFL
#Rendaextra #Dinheiro #Viagem #Preciso</t>
  </si>
  <si>
    <t>rogeriomottam
O que você acha de responder pesquisas
pelo celular e ganhar recompensas
por isso? Descobri que no MeSeems
isso é possível. Cadastre-se pelo
meu link que você já começa ganhando
50 pontos! https://t.co/qIGIanB7Ib
#RendaExtra</t>
  </si>
  <si>
    <t xml:space="preserve">kwaibrasil
</t>
  </si>
  <si>
    <t>edineia_penido
Então é sábado 25de março de 2023,
ainda da tempo de querer algo melhor
para nossas vida! #MarketingDigital
#mulheresdesucesso #rendaextra</t>
  </si>
  <si>
    <t>empre_sabedoria
esta desanimado, em casa sem fazer
nada? estão não perca mais tempo
e corre ganhar um dinheiro do conforto
da sua casa! fazendo exatamente
nada! chama que eu explico mais!
#rendaextra</t>
  </si>
  <si>
    <t>adadiz
Terceiro saque do mês pra finalizar
junho 💸 #rendaextra https://t.co/MHUfUUKUWx
https://t.co/nrpWFFldjn</t>
  </si>
  <si>
    <t>roseane33499832
#ondecomprar #rendaextra Confere
essa oportunidade imperdível quem
nunca sonhou em ser seu próprio
patrão corre confere aq. https://t.co/PtEUJs9UcQ</t>
  </si>
  <si>
    <t>raymarasousa17
#viralvideo #snapchat #Florida
#jjk234 #rendaextra #paofc #MarketingSuccess
#abaya #Florida #حادث_الفاشينستا
https://t.co/oBftr0t7Js</t>
  </si>
  <si>
    <t>alissonrodney02
Aumente seus ganhos e conquiste
uma estabilidade financeira com
esse Ebook Descubra estratégias
práticas e inovadoras para uma
renda extra lucrativa. Não perca
essa oportunidade! Adquira agora:https://t.co/4WgzNce89y
#RendaExtra #SucessoFinanceiro</t>
  </si>
  <si>
    <t>mypixbr
💸💰MÉTODO BURLADOR QUE MULTIPLICA
SEU DINHIRO EM 10X !!!! 100%seguro
e fácil . . . #pix #dinheirofacil
#rendaextra #mypix https://t.co/ytP6JoZ9zy</t>
  </si>
  <si>
    <t>beatrizvahl
#rendaextra #liberdadefinanceira
#trabalhardecasa #semaparecer #mulheres
https://t.co/N1L1aKT1dl https://t.co/gjpFCwhly9</t>
  </si>
  <si>
    <t>shelby_hype_
Fazendo grana! 💸 Chamaaaa que
eu ensino todos! #rendaextra #MarketingDigital
#homeoffice #vendasonline #empreenderonline
https://t.co/XSjBjovs5E</t>
  </si>
  <si>
    <t>alamin42213
My First Youtube Banner Create
#marketingdigital #marketing #empreendedorismo
#digitalmarketing #socialmedia
#instagram #business #branding
#socialmediamarketing #sucesso
#marketingstrategy #empreender
#marketingtips #marketingonline
#digital #design #rendaextra #emprendedores
https://t.co/UNvqlfUQQ0</t>
  </si>
  <si>
    <t>val_salmeida
Conheça o Poppo Live, ganhe em
dólar, divirta-se e faça boas amizades.
Sem precisar investir. #Dollar
#LIVE #ganhedollar #rendaextra
https://t.co/rfmwrq3QBr</t>
  </si>
  <si>
    <t>folheadosana
Compre pelo whatsapp: (19) 99872-1447
#semijoias #chocker #colaresfemininos
#rendaextra #emprendedoras #semijoiatendencia
https://t.co/wwC9rDcCNJ</t>
  </si>
  <si>
    <t>poulannaguima22
📍Procuro quem queira trabalhar
em casa. Nova profissão! Comente
eu quero #rendaextra #novaprofissao
#facadinheiro</t>
  </si>
  <si>
    <t>official_gtex
📆11/09/2023-17/09/2023 🏆Endre
Wilson: Gerente Sênior de Investimentos
🤑levou a equipe a ganhar $ 4.635
🥇Taxa de vitória é de 67,35% 📊Máximo
Drawdown é de 15,92% 📈Taxa de
lucro dé de 5,57% 👉📱https://t.co/M8nym2YFY9
#beefund #rendaextra #ganhardinheiro
#Investimento https://t.co/y8ym81K7DK</t>
  </si>
  <si>
    <t>compras_black
"Ganhe agora o que você mais precisa💸🔥💸🔥Você
apenas precisa clicar aqui é convidar
alguns amigos🤑🔥🤑Não perca essa
oportunidade!corre lá!🤑💸🔥💸#rendaextra
#pobre #dinheiro #money #TheFlash
#anitta 💸 https://t.co/0kyeQmZ01s
💸</t>
  </si>
  <si>
    <t>seushopnaweb
Um Verdadeiro MESTRE PIZZAIOLO
nasce PRONTO? https://t.co/nadZNJq8F8
via @YouTube MOSTRAR MENOS #shorts
#pizza #pizzaiolo #oportunidade
#oportunidades #negocios #negocio
#negócios #negociosonline #rendaextra
#rendaextraonline #rendaextraemcasa
#negóciopróprio #negocioproprio</t>
  </si>
  <si>
    <t>rendaextra_duda
Quem quer? #rendaextra #marketingdigital
#ganhardinheiro #BRImoFSTVL #Trending
#FelizSabado https://t.co/9YVD8jvJqY</t>
  </si>
  <si>
    <t>cammilatorres91
Descubra como fazer e lucrar até
R$3 mil reais por mês com Brigadeiros
Gourmet.🤑 Para mais Informações
⤵️⤵️⤵️ https://t.co/Nqy7XPmyrC
https://t.co/jLlxDS2Frq #fontederenda
#vendas #brigadeirogourmet #sejaumamaquinadevendas
#rendaextra https://t.co/GYKZ6qFgex</t>
  </si>
  <si>
    <t>papodemilhao022
Se você ainda não investe pode
ter certeza que futuramente você
vai se arrepender! PODE PRINTAR
✍️ . #fiis #fundosimobilarios #rendapassiva
#rendaextra https://t.co/9GUIlCFeA1</t>
  </si>
  <si>
    <t>supermundo5
#dinheiro #o #empreendedorismo
#sucesso #marketingdigital #rendaextra
#a #empreender #brasil #marketing
#investimento #foco #empreendedor
https://t.co/Q7otl9fe3n</t>
  </si>
  <si>
    <t>lendasbet
Vamos voar e fazer grandes números
com o SPACEMAN. 🚀 Vem pro Lendas
Bet curtir esse e milhares de jogos
no nosso CASSINO. 😂 . . cassino
#apostas #spaceman #robozinho #saladesinais
#rendaextra #rendaextraemcasa #blaze
#robozinhodablaze #apostaonline
#bet365 https://t.co/BNZr2rBmZy</t>
  </si>
  <si>
    <t>jpasabrina
BUG DO FORTUNE TIGER – TESTEI ROBÔ
GRATÍS E ISSO ACONTECEU – ESTRATÉGIA
... https://t.co/g31UKG5xDv via
@YouTube #rendaextra #fortunetiger
#bugfortunetiger #estratégiafortunetiger</t>
  </si>
  <si>
    <t>laizdocarmosou1
#mercadodigital #trabalho #maes
#trabalhocomcelular #bbb23 #rendaextra</t>
  </si>
  <si>
    <t>cartianuel1725
Uma das melhores formas de construir
fortuna e liberdade financeira
de forma acelerada, note que isto
não é uma promessa de dinheiro
fácil ok, existe um trabalho a
ser feito, porém, todos conseguem....
#dinheiro #rendaextra #liberdadefinanceira
#sucessofinanceiro #sonhos https://t.co/XePzJZvOaM</t>
  </si>
  <si>
    <t>lifegoldroyal
Concorda ? #rendaextra #reflexao
#motivacao #mindset https://t.co/YTZ2TBjrDL</t>
  </si>
  <si>
    <t>jaineddalmeida
Um pouquinho sobre o melhor e-book
do mercado digital! Pra quem quer
iniciar investindo pouquíssimo
e mesmo assim ter resultados incríveis!
🔥🚀 #marketingdigital #vendas
#negocios #empreender #dinheiro
#publicidad #onlinemarketing #content
#empreendedor #rendaextra #beyourboss
https://t.co/KbsDw3TQTX</t>
  </si>
  <si>
    <t>sowercrypto
Se você é um investidor de #criptomoedas…
Chegou sua oportunidade de usar
uma renda extra para aumentar seus
lucros em cripto. Junte-se a live
de amanhã às 20h no YouTube e comece
a maximizar seus ganhos agora mesmo!"
#rendaextra #cripto https://t.co/1wXxEdU0iq
https://t.co/bMYoXvYiPD</t>
  </si>
  <si>
    <t>millye131
Invista no marketing digital 💜
#MarketingDigital #afiliada #rendaextra
https://t.co/QEeJ5jZCfU</t>
  </si>
  <si>
    <t>eggertcamila
#rendaextra #mktdigital #mktdeafiliados
#motivacional #amorproprio #autocuidado</t>
  </si>
  <si>
    <t>leftbankbrasil
Precisando de uma ajudinha no seu
orçamento? Conheça o AmigosLeft,
o programa de vendas do Leftbank.
Acesso nosso site e preencha o
pré-cadastro https://t.co/wo7KTV5I2h
#BancoDigital #AmigosLeft #RendaExtra
#Orçamento https://t.co/tz9VedzPYc</t>
  </si>
  <si>
    <t>gatinhosinceroz
COMENTA "EU QUERO" QUE TE ENSINO
#rendaextraemcasa #rendaextra #renda
#rendaonline #ganhardinheironainternet
#ganhardinheiroextra #ganhardinheiroonline
#ganhardinheiroonline #sdvbrasileiros
https://t.co/EltvshxPdX</t>
  </si>
  <si>
    <t>ruyter_poebel
só correr atrás do objetivo que
dá certo fml🚀💵 #MarketingDigital
#plr #rendaextra #dinheiro #Palmeiras
#Pedroguilherme https://t.co/2ojt57tcoc</t>
  </si>
  <si>
    <t>eusougiuseppe
Vídeo novo no canal pra quem ta
começando no mundo das milhas!
[Descubra] Milhas Aéreas como funciona
- Guia completo para iniciantes
https://t.co/APJ53ZGUle via @YouTube
#rendaextra #milhas #viagem #milhasaereas
#cartao #pontos #viagemcommilhas</t>
  </si>
  <si>
    <t>plimbetparana
Que Vitória Sofrida da seleção
Brasileira Hein 🇧🇷 🗣 TERÇA-FEIRA
COM LUCRO NO BOLSO 🤖🤑🔥🙌🏻 Ótimo
inicio de semana com Jesus família.
✅ #Futebol #ApostasEsportivas #RendaExtra
#FutebolBrasileiro #TradingEsportivo
#TipsDeApostas #ApostasFutebol
#InvestimentoEsportivo https://t.co/aceFxy7TIb</t>
  </si>
  <si>
    <t>flynnorfinn
Olá vc gostaria de trabalhar 1hora
por dia ganhado duas comissões
sem vende basta ter cadastro na
Eduzz me pergunte como 👇https://t.co/5lft6WekcZ
#benbvolliefde #paofc #fcklive
#viralvideo #rendaextra #eduzz
#coprodutor #produtor #afiliados
#blackout https://t.co/qdPx9Bpgj6</t>
  </si>
  <si>
    <t>workshopdantas
Direita conservadora, vamos nos
unir e derrotar essa esquerda que
rouba nosso país! Gostou do conteúdo?
Segue aê ➡️ @workshopdantas #educacaofinanceira
#reflexao #empreendedorismo #vendermais
#organizacaofinanceira #rendaextraemcasa
#marketingdigital #direita #conservador
https://t.co/rQvpgHi6vD</t>
  </si>
  <si>
    <t xml:space="preserve">damadeferroofic
</t>
  </si>
  <si>
    <t xml:space="preserve">lulaoficial
</t>
  </si>
  <si>
    <t xml:space="preserve">roxmo
</t>
  </si>
  <si>
    <t xml:space="preserve">rmotta2
</t>
  </si>
  <si>
    <t>jornal_cultura
O levantamento em questão é formulado
pelo Instituto Cidades Sustentáveis
em parceria com o Ipec. #RendaExtra
#Contas #TVCultura https://t.co/xref8J9t1z</t>
  </si>
  <si>
    <t>cs_gameplayyt
O curso 'Viver de YouTube' é projetado
para ajudar aqueles que desejam
transformar seu canal em uma fonte
de renda sustentável. Confira nesse
link: https://t.co/pNqFUjXZJv #Youtube
#vivedeyoutube #rendaextra #rendaextraemcasa
#rendaextraonline https://t.co/R18z8Rteos</t>
  </si>
  <si>
    <t>gustavo08303601
Alguém quer uma renda extra? que
ganhe até $10.000 #boatarde #rendaextra
#Fofocalizando https://t.co/d3UpJU6c9F</t>
  </si>
  <si>
    <t>leandromunizmkt
3 dicas simples para você começar
a empreender. #marketingdigital
#empreendedorismo #digitalmarketing
#socialmediamarketing #empreendedorismofeminino
#mulheresempreendedoras #empreendedor
#rendaextra #marketingonline #marketingdeconteudo
#marketingdigitalbrasil https://t.co/8bU7Ohkvth</t>
  </si>
  <si>
    <t>booksirs
esses são os melhores q eu achei,
se encontrar mais vou atualizando,
recomendo baixarem todos pra ganhar
mais dinheiro, mas o meu preferido
é o novelah, qualquer dúvida de
como usar comentem aqui!! #dinheiro
#rendaextra #appsdinheiro #dinheirográtis</t>
  </si>
  <si>
    <t>carlosvicenti7
É tão bom trabalhar no conforto
da minha casa, usando apenas meu
celular🧠💰 #Marketing #viver #renda
#rendaextra #4daystoALxEnglot https://t.co/1fE09mjFzD</t>
  </si>
  <si>
    <t>wellingtonc4280
Transforme sua casa em um local
lucrativo! Descubra estratégias
e dicas práticas para a renda extra
em casa com o ebook "Explorando
a Renda Extra em Casa". #RendaExtra
#TrabalhoEmCasa #Empreendedorismo
https://t.co/nrKryNEBqb</t>
  </si>
  <si>
    <t>dicas_tay
Link 🔥https://t.co/JfW3PBYT7Q
#rendaextra #trabalharemcasa #ganhardinheiro</t>
  </si>
  <si>
    <t>dinheiro2023_
TODOS OS TT SERAO EXIBIDOS COM
LINK DE #INDICAÇÃO conta nova para
quem se interessa em ganhar #rendaextra
criando contas e autenticando 💰💰💰💰
VEM GANHAR #dinheiro COM A INTERNET!
maiorias dos métodos precisam de
verificação com identidade ou número
do celular.</t>
  </si>
  <si>
    <t>sofiasth41
Confira o vídeo de sofia! #TikTok
#viral #dinheiro #rendaextra #dolar
https://t.co/agWy0jMJM4</t>
  </si>
  <si>
    <t>linomgomes
Isto é o que acontece quando as
pessoas não tem argumentos! 🙂
#FelipeNeto #Blaze #Feto #Censura
#RendaExtra #OMaiorDoBR 🎲 https://t.co/vRtxzywBHo</t>
  </si>
  <si>
    <t>o_mundo_filiado
Aprenda a ser afiliado💸 #fypシ
#afiliado #MarketingDigital #rendaextra
https://t.co/MyX7BQ3tyK</t>
  </si>
  <si>
    <t>edmilso19739527
GANHE DINHEIRO PASSIVAMENTE: O
SEGREDO REVELADO. #rendaextra #ganhardinheironainternet
#honeygain https://t.co/MIrpu1Okn4
https://t.co/mvatA0i4gW</t>
  </si>
  <si>
    <t>nascadarkyt
Melhor Site pagando https://t.co/PnAVlNiVlp
#rendaextra #dinheiro #USDTether
https://t.co/BTKQ8MPlhG</t>
  </si>
  <si>
    <t>pulseplaytv
Venha trabalhar com a gente, com
pequeno investimento com retorno
de quase 300%, basta vender para
seu amigo, parente e pessoas proximas,
melhor lugar para trablhar com
IPTV ou P2P é aqui! https://t.co/WYx7hwmPzz
#revendaiptv #rendaextra #iptv
#iptvbarata #trabalho https://t.co/cfnRMBxuIj</t>
  </si>
  <si>
    <t>arianad08683588
Chama no chat pra mas informações
#popbra #lucrodiariapop #rendaextra</t>
  </si>
  <si>
    <t>leryvaldor
Comenta aí😉 #MarketingDigital
#ganhardinheiroonline #rendaextra
#angola #angolanos https://t.co/mJpDCk1ZlW</t>
  </si>
  <si>
    <t>andrjunior57678
#fortune #jogo #sorte #rendaextra
#dinheiro #shopee https://t.co/EIDIxbZ2SS
https://t.co/IJJ31YtXka</t>
  </si>
  <si>
    <t>sandrinnis38247
A NOVA FEBRE DAS FESTAS NO BRASIL😃
Descubra como ganhar dinheiro através
desse maravilhoso Curso On-line!
Oportunidade de Renda Extra!💰⬇️
https://t.co/Nz3rcZOsWo #RendaExtra
#Dinheiro #Empreender #GanharDinheiro
https://t.co/qEpZ0lKY8R</t>
  </si>
  <si>
    <t>karemdias
@AdelaideDeds @mariesteine2022
Tb quero!!! #rendaextra</t>
  </si>
  <si>
    <t xml:space="preserve">mariesteine2022
</t>
  </si>
  <si>
    <t xml:space="preserve">adelaidededs
</t>
  </si>
  <si>
    <t>valdilene_psic
Travis Kalanick e Garrett Camp
da Uber e Reed Hastings da Netflix
são alguns dos empreendedores mais
notáveis que listamos nesta compilação.
Vale a pena dar um google! -- #rendaextra
#lider #marketingdigital #mentoria
#facebook #uber #amazon https://t.co/PaZA7bdSuX</t>
  </si>
  <si>
    <t>amandheihen13
Olá pessoal comprei um curso de
marketing digital e ele realmente
mudou minha vida.Tem muitos cursos
que é mentira,pura enganação,mais
com este curso você vai mudar sua
vida e te fazer uma #rendaextra
que tantosonha Entre no link abaixo
e comece hoje mesmo https://t.co/Mcq4RSFJBY</t>
  </si>
  <si>
    <t>cruchseu_
App pagando 30$ no cadastro 👇
https://t.co/thnxfZJ9Dm #pix #nubank
#pangbank #picpay #rendaextra #sdv</t>
  </si>
  <si>
    <t>tailinemariav
Alguém sabe como fazer renda extra
sem enrolação? #rendaextra</t>
  </si>
  <si>
    <t>gustavod22980
Aprendar a ganha dinheiro em casa
automático #rendaextra #dinheiro
#jovensmilionario https://t.co/Avq8f3oRlf</t>
  </si>
  <si>
    <t>pablo_da_empada
Quem nunca precisou de uma renda
extra para complementar o orçamento?
A pressão financeira pode ser esmagadora,
mas existem opções disponíveis
como micro franquia que são muito
interessantes #rendaextra #dinheiro
#finanças #trabalho #Economia</t>
  </si>
  <si>
    <t>infinitgo
Com nossa incrível ala de recomendação
de entradas de compra e venda,
você pode transformar sua vida
financeira! Ganhe até R$3500 por
mês com apenas duas 💰🚀 #Trading
#RendaExtra #OportunidadeFinanceira
#AprimoramentoPessoal #MercadoFinanceiro
#SucessoFinanceiro #OlympTrade
https://t.co/J1Nnp5NHDV</t>
  </si>
  <si>
    <t>pandapinck
Nova plataforma Ganhe 10,00 no
cadastro #rendaextra https://t.co/CyPUFVzEy2</t>
  </si>
  <si>
    <t>valinotejoao
#PrayForBlaze #BlazeLivesMatter
#RendaExtra</t>
  </si>
  <si>
    <t xml:space="preserve">ficoudegraca
</t>
  </si>
  <si>
    <t>harujiggly
vc acordou com este e-mail, o que
vc faz? https://t.co/PNKUubI7DW</t>
  </si>
  <si>
    <t>eduardo53980987
🚘⚠️Trabalhe de qualquer lugar
pelo celular ou computador⚠️🏍️
Vagas para Consultor de Proteção
Veicular Gênero: Todos #trabalho
#emprego #vagas #oportunidades
#rendaextra https://t.co/ChZRE1JyNh</t>
  </si>
  <si>
    <t>87dieguinho
Bora 🚀🚀🤑💸💸 #Motivation #rendaextra
#dinheiro #mercadodigital https://t.co/MZoswZl6qC</t>
  </si>
  <si>
    <t>tradespaces1
melhor treinamento 🙌 melhores
estratégias melhor consultor Sinais
de sistemas 100% bot envie seu
pedido de investimento 😉 #investimento
#investment #rendaextra #HomeOffice
#Bitcoin #Crypto #forextrading
#Brasileirao2023 https://t.co/fMZLMGVrkO</t>
  </si>
  <si>
    <t>nandascriptos
Aproveite a oportunidade para lucrar
em torno de R$100,00 a R$2000,00
por dia. Grupo gratuito: https://t.co/dLGfYy2VII
#ganhardinheiro #rendaextra #comoganhardinheiro
#trabalharemcasa #comoganhardinheironainternet
#rendaonline https://t.co/L8rvroU3Vj</t>
  </si>
  <si>
    <t>folhageral
5 dicas para receber uma renda
extra e ajudar a aliviar as contas
➡️ https://t.co/WZjR2rEf3f #folhageral
#dicas #rendaextra #dinheiro https://t.co/gz9A51OjzL</t>
  </si>
  <si>
    <t>fazer_aprenda
Aprenda absolutamente tudo sobre
Cookies Gourmet! Curso 100% em
vídeo com aulas práticas e detalhadas.
Certificado incluso. Do básico
ao avançado #rendaextra https://t.co/6EKZWcGGLI
https://t.co/UILCdzoD4m</t>
  </si>
  <si>
    <t>kellycristhinee
Vivendo essa vida aqui! Meu único
arrependimento foi não ter entrado
antes ! #rendaextra #afiliado #MarketingDigital
#AgustD https://t.co/AlWg5e1PJu</t>
  </si>
  <si>
    <t>wendgsilva
📢 Descubra os Segredos do Droppshiping!
Baixe Agora Nosso Guia Com 5 Dicas,
é Gratuito! 🚀 https://t.co/uRXCFXauja
Não Perca a Chance de Embarcar
Nessa Jornada Emocionante e Lucrativa.
Faça o Download Gratuito Agora
Mesmo! 👆 #dropshipping #Rendaextra
#mktdigital</t>
  </si>
  <si>
    <t>carlamiccaela
Vamos hoje de #rendaextra https://t.co/kP4oHtdOEf
#BBB23 #BBB</t>
  </si>
  <si>
    <t>ramonbarros
#agronegócio #oportunidades #empregos
#rendaextra #novaeconomia #hotelaria
#turismo #gastronomia #verão2024
#beleza #caparaó #automóveis ⚠️
NÃO TIRE CNH ANTES DE VER ESSE
ALERTA https://t.co/rBeXRCRoED</t>
  </si>
  <si>
    <t>afiliadolisboa
Curta a postagem e me siga para
mais dicas de IA's e Renda Extra
pela internet. #InteligenciaArtificial
#RendaExtra #Fotos #IA</t>
  </si>
  <si>
    <t>ysmael_gomesz
#ondecompra #rendaextra #MarketingDigital
https://t.co/fmwkya34oK https://t.co/P74Ich0uFk</t>
  </si>
  <si>
    <t>leormoraess
1 - Venda algum serviço que você
gosta de fazer. 2 - Entre no site
#workana e faça trabalhos. 3 -
Venda produtos online como afiliado.
#rendaextra #rendaextraonline https://t.co/tjfESGHoty</t>
  </si>
  <si>
    <t>emersonguerrei7
Ganhe até R$2 por participar da
oferta especial de fim de semana.
#ticktok #ganhedinheiro #rendaextra
https://t.co/K4JMMjWGF1</t>
  </si>
  <si>
    <t>lenkelma
Apenas continue! Veja os stories
🤎 . . . . . . . #afiliadosiniciantes
#afiliadadigital #marketingdigital
#empreendedorismo #trabalheemcasa
#rendaextra #negócios #vendasonline
#vendasemaparecer #afiliadas https://t.co/DvbEtJlbbS</t>
  </si>
  <si>
    <t>lena_patty
Que tal uma renda extra? #teudesejoss🌷
#rendaextra #lojaonline #asos https://t.co/eNTh4GDbKh</t>
  </si>
  <si>
    <t>assistindo_vid
Descubra como MILHARES DE PESSOAS
ESTÃO GANHANDO DINHEIRO ASSITINDO
VÍDEOS NO CELULAR Saiba mais aqui
⤵️ https://t.co/ai3QtUXcSA #rendaextra
#trabalharemcasa #ganhardinheiroassistindovideos
#metodovideolucrativo #lucrandocomvideos
#rendaextraonline https://t.co/IbcBC0ObDq</t>
  </si>
  <si>
    <t>weberede
RT @weberede: ✅ A sua conta do
FaceBook (Real/ Pública) tem no
mínimo 10 seguidores e foto de
perfil? FAÇA UM TESTE! Ganhe #DINHEIRO!
Você…</t>
  </si>
  <si>
    <t>magazinechennig
#rendaextra #dinheiro link⬇️⬇️
https://t.co/9x1XqBaBDl https://t.co/8x0kidl8dB</t>
  </si>
  <si>
    <t>jaydenmiranda18
Clique no link e descobra como.
#Bitcoin #rendaextra #homeoficce
#ganhardinheiro https://t.co/VuRiIz2aBT
https://t.co/M5j4iIpj5U</t>
  </si>
  <si>
    <t>nperseguido
Joguinhos que pagam no PagBank,
tragam os seus #rendaextra</t>
  </si>
  <si>
    <t>ksouzzs81082
https://t.co/kEPJ0lCYU7 #PINTOAWARD
#rendaextra #PINTOAWARDSGAY #XOTAAWARDS
#XOTASAWARD #PEITOAWARDS #BUNDAAWARDS
https://t.co/3PGWi36nwi</t>
  </si>
  <si>
    <t>mariofehomeoff
Comece a ganhar dinheiro ainda
hoje !! #homeoffice #money #DomingoEspetacular
#rendaextra</t>
  </si>
  <si>
    <t>aprendareceita1
APRENDA FAZER UM DOS PRATOS MAIS
FAMOSOS DO NORDESTE ( CUSCUZ RECHEADO
GOURMET ) APRENDA FAZER MAIS DE
56 RECEITAS ✅Clique no link no
nosso perfil e saiba mais... #receitas
#Culinária #Gastronomia #Comida
#Dicas #CuscuzRecheado #RendaExtra
#Curso https://t.co/FcREiYp4T0</t>
  </si>
  <si>
    <t>a_donnaire
MÉDICO DAS FINANÇAS! 5 sinais de
que você está com problemas financeiros
graves… #crise #divida #rendaextra
https://t.co/2ZIM12TbJ4</t>
  </si>
  <si>
    <t>urzekeofc
Quer Ganhar Dinheiro💵 de Verdade
Hoje 11 de setembro ? Assista ao
Vídeo ⬇️ https://t.co/NXXKAICJJe
#dinheiro #ganhedinheiro #dinheirodeverdade
#rendaextra #gratis #11Septiembre
#YouTubers #11deSeptiembre #VIDEOS
https://t.co/ZybpNCYWma</t>
  </si>
  <si>
    <t>ias_homeoffice
Procuro pessoas que tem interesse
ou precisa de uma RENDA EXTRA apenas
usando seu celular e receber de
50 a 200 reais⚠️⚠️⚠️ #rendaextra
#homeoffice https://t.co/AlPntEHWfL</t>
  </si>
  <si>
    <t>marcelogagarin
Broxada é de onde eu tiro minha
#rendaextra.</t>
  </si>
  <si>
    <t>amandamorim5
Você que quer aprender mais de
10 formas de trabalhar aqui no
digital, vem comigo! Transforme
sua vida sem sair de casa! CLICA
NO LINK 📲 Te explico como funciona
esse mercado🚀 #marketing #marketingdigital
#rendaextra #vendas #negociosonline
#afiliadas https://t.co/E4UxXGlDST
https://t.co/6e88DpeXue</t>
  </si>
  <si>
    <t>starbetsrj
Está chegando a hora meus amigos,
estão preparados para colocar o
pé no acelerador ? Nessa sexta
feira live ao vivo via 2023 começou
e o caminho do green está aqui
na starbets 💫 #dinheiro #rendaextra
#apostasesportivas #bet365 #dubai🇦🇪
#dubaimall #dubai #empreendedorismo
https://t.co/zZknLfyUVw</t>
  </si>
  <si>
    <t>sparklythi
Reflita nisso… #ruyter #ruyterpoubel
#rendaextra https://t.co/5pfNqfRdeP
via @YouTube</t>
  </si>
  <si>
    <t>seuclienteocult
Alguns freelancers são coisa do
passado Agora a moda é, avaliar
no privado 🕵️😎 Seja um cliente
oculto conosco! #rendaextra https://t.co/fUKMi0RSuX
https://t.co/ElCUts5faX</t>
  </si>
  <si>
    <t>carlosrobe50033
Pra poder tirar férias o dia que
eu quiser.... #marketingdigital
#sucesso #rendaextra #motivacao
https://t.co/2hBinQBFTx</t>
  </si>
  <si>
    <t>fabiolaellenmkt
Você sabia que é possível ganhar
dinheiro sem precisar sair de casa?
Usando apenas o celular que está
na sua mão. Qualquer dúvida estou
à disposição. https://t.co/q6tWOfFeMw
#ondecomprar #rendaextra #afiliados
#maededois #ondecompro #mulheres
#maes https://t.co/tnYVeo82ih</t>
  </si>
  <si>
    <t>slotspagantes_
GRUPO DE DIVULGAÇÃO, ESTRATÉGIAS,
LANÇAMENTOS E GANHOS NOS COMENTÁRIOS
#slots #renda #slotspg #tigrepg
#dinheiro #rendaextra #slotss #cassino
#ganhardinheiro #가을의_입맞춤_속_태어난_연준이
https://t.co/UgLmScKrRw</t>
  </si>
  <si>
    <t>kpkkprasanth
DHgate: Your Ultimate Online Marketplace
for Wholesale Products https://t.co/602O9mVHcr
#dhgate #mercadolivre #negocio
#olx #facebook #vendasonline #vendaspelainternet
#importareua #aprenderimportar
#empreender #ganhardinheiro #amazondeals
#rendaextra</t>
  </si>
  <si>
    <t>anacarolina_nbr
Todos os segredos para você lucrar
na Páscoa! Promoção por tempo limitado...
👇clique aqui https://t.co/VRg53BqvVh
#pascoa #ovodepascoa #rendaextra
#chocolate https://t.co/7HqSYLtjcd</t>
  </si>
  <si>
    <t>bellatraderteam
Aprenda a operar e a pensar com
uma baleia! #stacks #bitcoin #Binance
#rendaextra #criptomoedas https://t.co/P22kG1LhCM</t>
  </si>
  <si>
    <t>antonellampaiva
💥 Assista uma aula grátis e saiba
mais ⬇️⬇️⬇️ https://t.co/lslHZixLGk
#rendaextraemcasa #rendaextraonlineagora
#trabalhedecasa #afiliadosiniciantes
#trabalhecomseucelular https://t.co/YR1Ic1bxvx</t>
  </si>
  <si>
    <t>7aef0ddc85994bd
Sou uma representante da M.B.R
e estou em busca de pessoas que
queira aprender mais sobre o #MarketingDigital
e aprender a ter uma #rendaextra
apenas com o celular.</t>
  </si>
  <si>
    <t>gotasesaude_
#oleosessenciais #rendaextra</t>
  </si>
  <si>
    <t>outliermaster
#rendaextra #homeoffice #studytwtbr
#fandombr</t>
  </si>
  <si>
    <t>camilagoes18
#rendaextra TÁ PAGANDO❤️💶✅GANHE
R$10 C/ BCGAME! E GANHE INDICANDO
TAMBÉM! Não precisa depositar nada,
nao tem Rollover. https://t.co/dheEBFvQxw</t>
  </si>
  <si>
    <t>the_nomadship
Empreendedorismo: o caminho para
a renda e independência financeira.
Se você acredita no poder de criar
o seu próprio futuro, junte-se
a mim nessa jornada! #empreendedorismo
#rendaextra #sucesso #liberdadefinanceira</t>
  </si>
  <si>
    <t>anefern13090671
https://t.co/HiYcTuIEZf Pessoal
Souza filiada da shopee cada coisa
mais top. Que as outras #rendaextra
https://t.co/dZ3vLdo1QJ</t>
  </si>
  <si>
    <t>jonaasalmeida
Você quer vender sem parar por
24 horas? Esse conteúdo pode te
ajudar https://t.co/dehHZLqVSb
#Vender #vendaem24horas #venda
#rendaextra #TwitterFiles</t>
  </si>
  <si>
    <t>aposentandonovo
Está cansado de ganhar pouco dinheiro
e não conseguir alcançar suas metas
financeiras? Então, esta é a oportunidade
perfeita para você! Neste vídeo,
mostraremos como você pode ganhar
uma renda extra significativa com
apenas 25 reais investindo no mercado
de ações. #rendaextra</t>
  </si>
  <si>
    <t>anselmoeduard18
https://t.co/TN1IfmDSia #RendaExtra</t>
  </si>
  <si>
    <t>argentsbitch
Esse aplicativo tá pagando para
ler ou baixar jogos, sem investir
nada! Aproveita enquanto tá pagando
☺️ Link do app👇🏻 https://t.co/ultiXgy3Zt
#rendaextra #novelah #dinheiro
#fypviraltwitter #fypage https://t.co/Wj6YkRTPDr</t>
  </si>
  <si>
    <t>lebronff2
Voce que esta presisando fazer
uma RENDA EXTRA E NAO SABE COMO
!! Seu problema acabou eu tô com
exatamente que vc precisa !! FAÇA
SUA PRIMEIRA VENDA COMO AFILIADo
SEM PRECISAR APARECER, E SEM PRECISAR
DE ESTRUTURAS COMPLEXAS https://t.co/WflSir7wbe
#rendaextra</t>
  </si>
  <si>
    <t>seu_dinheiro_br
Tesouro Direto para aposentadoria
atrai mais de 50 mil investidores
e mostra que brasileiro quer começar
a receber renda o quanto antes
#Aposentadoria #rendaextra #TesouroDireto
https://t.co/gKXRsIbJUN</t>
  </si>
  <si>
    <t>diogo_andreia32
#Afiliado #rendaextra #parceiro
#divulgador #marketing #MarketingDigital
#Brasil Clique Aqui e tenha mais
informações 👉 https://t.co/UviLXpEtbW
https://t.co/YSDCIF5203</t>
  </si>
  <si>
    <t>euclienteoculto
Uma CLIENTE OCULTA passando aqui!
Sim, é verdade! Nós existimos!
#rendaextra #clienteoculto https://t.co/JgfaRWTDxt</t>
  </si>
  <si>
    <t>maixtv
Conheça #aplicativos que te ajudam
a ganhar #dinheiro com #rendaextra
. As oportunidades são para sistemas
#android e #ios . Veja matéria
completa em https://t.co/0NNCyV30IQ
🤳🫵💵🖥️🔌🌎☺️ https://t.co/6st02Uqm3A</t>
  </si>
  <si>
    <t>ellenreissa
#ondecomprar #rendaextra #bolodedepote
Dê uma olhada neste curso de bolo
de pote e aprenda como ter uma
renda extra trabalhando no conforto
de sua casa . Acesse o Link abaixo
. https://t.co/n1hD1mAg9Q https://t.co/SBoU3ecEET</t>
  </si>
  <si>
    <t>petterrafael
O que fazer se você caiu no golpe
da renda extra por PIX: https://t.co/jh2aB5JGy2
#golpe #rendaextra #pix #fraude</t>
  </si>
  <si>
    <t>missao_renda
Quer aprender a GANHAR DINHEIRO?
Descubra a DIFERENÇA entre Renda
do Tra... https://t.co/N3n6KuA29N
via @YouTube #dinheiro #renda #rendaextra
#investimentos #ações #fiis #financas
#financaspessoais #educacaofinanceira</t>
  </si>
  <si>
    <t>alexcardosomkt
Tenho como ajudar você que precisa
de uma renda extra. Me chama #rendaextra
#dinheiro</t>
  </si>
  <si>
    <t>jonclipe
JONVLOGS PASSOU NOVO APLICATIVO
PARA GANHA DINHEIRO COM CLIPES
#jonvlogs #jonvlogsclip #twitter
#dinheiro #clipes #rendaextra #dinheirocominternet
https://t.co/gcBygNt9ob</t>
  </si>
  <si>
    <t>thebobsworldd
✅Ganhe Muito Dinheiro TOTALMENTE
GRÁTIS, esse evento é Oficial e
totalmente exclusivo. Para participar
é muito fácil. 1 - Curta esta publicação
2 - Marque 3 amigos nos comentários
3 - Link do Evento https://t.co/U7jlGcSr9K
#rendaextra #criptomoedas #dinheiroonline
#PepeCoin https://t.co/38fkZLJ6WC</t>
  </si>
  <si>
    <t>crf_miguell_
Aplicativo da Gotchosen pagando
por publicar vídeos e interagir
com outras pessoas. As gotcoins
aparecem na hora. #rendaextra #renda
boa ! https://t.co/Owv3fhvf7D</t>
  </si>
  <si>
    <t>arasolution
Seja um Franqueado Ara Solution
e ofereça rastreadores com tecnologia
4G aos seus clientes. Acesse https://t.co/fDlQNzlmxb
#empreendedorismo #proprionegocio
#meunegocio #propriopatrao #arasolution
#empreender #rendaextra #franquia
#microfranquia #franquiahomeoffice
https://t.co/W3ZfJPdBSV</t>
  </si>
  <si>
    <t>rei_slot
Já começamos bem o dia 💥💥💥 Venha
comigo e garanta sua renda extra!
Se ainda não conhece… aqui está
o link para acessar a plataforma:
https://t.co/MSB9ubHBxC #fortunetiger
#dinheiro #rendaextra https://t.co/L5eYM6yh0z</t>
  </si>
  <si>
    <t>leiaflj
Quer conquistar bons lucros nos
seus investimentos?Então você precisa
entender o que são os proventos!
Confira agora mesmo como eles funcionam
e saiba como conquistar rendimentos
incríveis: https://t.co/oHVZjcCitk
#investimentos #proventos #rendaextra
#finanças #RendaVariável</t>
  </si>
  <si>
    <t>loree_cassia
Um pouquinho sobre mim😊🙃#marketingdigitalbrasil
#indepenciafinanceira #afiliados
#rendaextra https://t.co/QCs9LtAxJc</t>
  </si>
  <si>
    <t>klebbmultiverso
Clique para me ajudar! Só falta
um pouquinho para ganharmos bônus
de até R$51,10 juntos~ https://t.co/rlSdeTmnH6
#AgnharDinheiro #RENDAEXTRA #AUTONOMO</t>
  </si>
  <si>
    <t>maiarasanttoos
Você sabia que pode ganhar dinheiro
usando apenas seu celular? Parece
um sonho né? Mas isso é totalmente
possivel. Eu gostaria de apresentar
a chave para o seu sucesso. Clique
e saiba com mini curso gratuito
https://t.co/rYUQdgE7eG #rendaextra
#MarketingDigital #Google https://t.co/whrGkdMNEJ</t>
  </si>
  <si>
    <t>letciasilva68
Encontrei um aplicativo divertido
que permite ganhar dinheiro apenas
jogando jogos simples, eu já retirei
meu dinheiro algumas vezes, venho
ganhar dinheiro juntos! #ondecompro
#rendaextra #joguinho https://t.co/jSoO54ql36
https://t.co/YI1xSDaM0x</t>
  </si>
  <si>
    <t>elioliv39989039
Negócios na Internet 🧑‍💻 Conheça
o Mercado de Afiliados 🪙 Fórmula
da mudança 💻👇 https://t.co/DlJLdbwSqF
#negociosonline #NegóciosDigitais
#rendaonline #rendaextraonline
#mercadoafiliados #extraonline
#rendaextraemcasa #extrainternet</t>
  </si>
  <si>
    <t>fernand87494012
Envie-lhe um bônus. Baixe o Hábito
Presente por até R$ 100 à vista
e R$ 5 por dia.https://t.co/L4yJKTspuI
Receba pix diário. #pixgratis #rendaextra
#trabalheemcasa #PlatanoPower #보이즈플래닛
#ShadowAndBone https://t.co/F0SPCIZuBP</t>
  </si>
  <si>
    <t>negocioemvendas
Existem várias maneiras de ganhar
uma #rendaextra durante o #CarnavalesFelices2023
#CarnavalNaGlobo #CarnavalesSeguros2023
, dependendo dos seus interesses
e habilidades, #oportunidade de
#ganhar #dinheiro. https://t.co/2dxfZlOtmt
https://t.co/SmXG7ovu8m</t>
  </si>
  <si>
    <t>achadotudopouco
Quer aprender trabalhar com marketing
digital? Trabalhar sem sair de
casa? 🔥 INFORMAÇÕES SOBRE O TREINAMENTO
✔️O treinamento possui 27 módulos
com 187 aulas. ✔️13, desses 27
módulos, sendo bônus!🥰 ✔️E possui
mais de 12 horas de conteúdo!😁
#rendaextra #Marketing https://t.co/pUWw0oVyjZ</t>
  </si>
  <si>
    <t>focablaze
@EdRaposo_ Essa é fácil amiguxo...
O bicho papão alimentado pelo próprio
Roger Walters voltou para papar
ele. Nhac.. #RendaExtra #Blaze</t>
  </si>
  <si>
    <t xml:space="preserve">edraposo_
</t>
  </si>
  <si>
    <t>schwassssss
@lilvinicinho #PrayForBlaze COVARDIA
#RendaExtra</t>
  </si>
  <si>
    <t xml:space="preserve">lilvinicinho
</t>
  </si>
  <si>
    <t>games_light2004
Tenha uma renda extra com a Honeygain.
#Honeygain #rendaextra https://t.co/E2W22CobAo
https://t.co/ROXcu3DTQF</t>
  </si>
  <si>
    <t>havertzkayan
Receba Dinheiro Convide seus amigos
e saca 100 reais 💵💸💰 https://t.co/sgwZkYTJjj
#rendaextra #dinheiro #Brasil https://t.co/nmKgNIdYX5</t>
  </si>
  <si>
    <t>hisndkidj
Próximos horários que vai dar bug
no tigre são : 08:00, 08:21, 08:33
e 08:43 🤑💰🐯 #RendaExtra</t>
  </si>
  <si>
    <t>admsupremo01
Cadastre-se 🤞👉 https://t.co/7cJCGgNeXq
#bonus #jogos #rendaextra #futebol
#esporte #greenbets #cassino https://t.co/XbgPsOzwLR</t>
  </si>
  <si>
    <t>exnessportugues
🏆🥇Top 1 https://t.co/UqNGGxRTMZ
#forex #forextrading #forexconsultorexpertbr
#analisetecnica #analisegrafica
#forexbrasil #mercadofinanceiro
#vidadetrader #investimentos #criptomoedas
#bitcoin #somostraders #traders
#swingtrade #daytrade #bolsadevalores
#rendaextra #swingtrade https://t.co/MCCJrjKNz7</t>
  </si>
  <si>
    <t>ganharcerto
Na TNP todo mundo ganha Cadastre-se
Hoje Gratuitamente: https://t.co/d2Q2l9TfYl
#rendaonline #TNPbusiness #ganharemcasa
#trabalhoemcasa #rendaextra #afiliado
#marketing #marketingdigital https://t.co/E0PhzPC4s1</t>
  </si>
  <si>
    <t>biailluminati
⚠Reconhecimento 💡Consideração
🎯Decisão Em qual passo você está?
#marketingonline #brasil #dise
#digital #design #rendaextra #emprendedores
#love #hotmart #dinheiro #like
#advertising #marketingdigitalbrasil
#seo https://t.co/41hPNOiwex</t>
  </si>
  <si>
    <t>jonathanprobr
#Curiosidades #renda #rendaextra
#ganhardinheiro #empreendedorismo
https://t.co/mOXVh3LoIu</t>
  </si>
  <si>
    <t>paulansbeauty
https://t.co/S2cstN5v7b #jogos
#rendaextra #ganharjogando #Brasil
#games</t>
  </si>
  <si>
    <t>raisaingred
E aí? Qual você prefere? #escolha
#escolhaquemuda #mudanca #mudardevida
#rendaextra #tradercomresultado
#saladesinais #ingredraisa https://t.co/KXYAWnb8zZ</t>
  </si>
  <si>
    <t>oastrowi
"Descubra incríveis oportunidades
de renda extra com apenas um clique!
👉💰 Acesse nosso link na bio e
comece a ganhar dinheiro de forma
flexível e segura! 💼✨ Não deixe
essa oportunidade passar, corra
e garanta sua fonte de renda adicional
agora mesmo! 💸🔥 #RendaExtra #kiwify
https://t.co/MOv81wIOJt</t>
  </si>
  <si>
    <t>deivid01dh
Só ganha Quem arrisca... Aproveita
que tá pagando https://t.co/GpfACC3vYG
#Lucro #rendaextra #top #sorte
#Brasil #joga https://t.co/uQDoN97iJ7</t>
  </si>
  <si>
    <t>designpet1
Curso de Design - Criando um RG
Pet Original do absoluto zero sem
precisar baixar esses modelos prontos
da Internet. Venham nos conhecer,
e se apaixonar com essa nova profissão😃❤️
#designer #Curso #criativo #inovador
#rgpet #rganimal #rendaextra #lucrativo
#viralvideo https://t.co/pqLz5erWwD</t>
  </si>
  <si>
    <t>dominvestidor
Teaser Dom Investidor. Aqui você
irá receber muito conteúdo de qualidade
sobre Investimentos, Negócios,
Renda extra e Independência Financeira.
Esse é só o começo, espero que
vocês gostem, muito obrigado. #investimentos
#liberdadefinanceira #negocios
#rendaextra https://t.co/guy8cbWlXi</t>
  </si>
  <si>
    <t>rebeliaocryptos
Veja este vídeo do Instagram de
@miguelnogueirabtc https://t.co/ejuGkVsWoj
#brasil #sucesso #blockchain #dinheiro
#investimento #trader #bitcoin
#foco #blockchain #criptomoedas
#binance #liberdadefinanceira #rendaextra</t>
  </si>
  <si>
    <t>se_empreendedor
Algumas ideias para você: - marketing
digital; - ações e investimentos;
- aplicativos; - blogs. Faça parte
da comunidade: https://t.co/0x0NaIDFnb
#movaseempreendedor #comunidadeempreendedora
#empreendedor #empreendedora #empreendedorismo
#rendaextra https://t.co/wbD5lOCyFd</t>
  </si>
  <si>
    <t>diariodarendaex
Não fique dependente só do seu
emprego como fonte de renda. Busque
fontes de renda extra! #rendaextra
#ganhardinheiro https://t.co/4HYqZe32vM</t>
  </si>
  <si>
    <t>mepoupenaweb
Você já conhecia essa opção de
#RendaExtra ou achava que era golpe?
Compartilhe esse conteúdo com quem
precisa💜 Tem mais aqui: https://t.co/YuwGIJVSn7
https://t.co/JtubEYVFrW</t>
  </si>
  <si>
    <t>ederlorenzo
👉 4 Estratégias para alavancar
seu patrimônio: 1️⃣ Controle seus
gastos; 2️⃣ Faça mais dinheiro
por meio de uma renda extra; 3️⃣
Transforme renda extra em renda
passiva; 4️⃣ Faça um investimento
que ganhe da inflação. . . . #finanças
#investimentos #rendaextra #dinheiro</t>
  </si>
  <si>
    <t>ellegrazi_elle
Enquanto isso vou ganhando dinheiro
enquanto leio livros. https://t.co/cEXEX53rQL
#novelah #rendaextra #ganhandodimdim
#desejoimortal</t>
  </si>
  <si>
    <t>empreendedor1sm
Comente eu quero. Que eu te envio
um link com três aulas gratuitas
para começar a lucrar ainda hoje
#rendaextra #mudançarealdevida
https://t.co/2VN5ktsgfF</t>
  </si>
  <si>
    <t>edu_oficialmj
Que tal lucrar hoje ????? Clique
para me ajudar! Só falta um pouquinho
para ganharmos bônus de até R$51,10
juntos #dinheiro #money #extra
#rendaextra https://t.co/PoW4oQ46Ky</t>
  </si>
  <si>
    <t>futuromm
Seu futuro só depende de você!
Vai correr atrás ou vai ficar parado?
Posso te ajudar! 👉🏼 https://t.co/HPKx5k3zjB
#DOGE #Marketing #marketingdigital
#milionario #million #rendaextra
#dinheiro https://t.co/BbN1ulBiGh</t>
  </si>
  <si>
    <t>marmitafit23
Vem Saber mais como Lucrar com
marmitas #marmita #saudavel #fitness
#rendaextra https://t.co/keK1zj0gyN</t>
  </si>
  <si>
    <t>alyneaguiar5
Tourinho tentou me trocar,mas peguei
ele de jeito.. Jogue aqui: https://t.co/LNULyqXxml
Recarga para jogar : R$ 30 Saque
á partir: R$ 50 #slot #slotonline
#slotspg #gamergirl #gamers #joguinhos
#rendaextra #ganhardinheiro #cassino
https://t.co/1CP1AWLzOb</t>
  </si>
  <si>
    <t>leoamachado
E vamos à organização da agenda
semanal. #empreendedorismo #empreendedorismodigital
#rendaresidual #rendaextraonline
#rendaextra #homeoffice #vendadireta
#mmn https://t.co/kItPduxnnI</t>
  </si>
  <si>
    <t>6de6_palpites
Vamooooos! A rodada fecha 15 minutos
antes do primeiro jogo, no sábado,
dia 29/4! Já deixou seus palpites?
Jogue agora! É grátis! ❤️ #6de6
#bolada6de6 #PalpitesDeFutebol
#rendaextra https://t.co/je7A4XM0Yt</t>
  </si>
  <si>
    <t xml:space="preserve">paparazzorn
</t>
  </si>
  <si>
    <t>dekowins
Mais um dia vitorioso confesso
que quase perdi a hora, foi por
pouco, tenho planilha que te forma
a parar se quiser e só comentar
https://t.co/PI44IFJtJ2 😉 estratégia
Deko. #cassino #blazeapostas #blaze
#crashblaze #double #luckjet #betano
#estrelabet #rendaextra https://t.co/hf6UcXGhyE</t>
  </si>
  <si>
    <t>luisfcs
Descubra como ganhar dinheiro recorrente
com Afiliado de Software! 💎 #marketingdigitalbrasil
#marketingdigital #marketing #empreendedorismo
#marketingdeconteudo #hotmart #rendaextra
#marketingdeafiliados #confira:
https://t.co/FU68A2dyqc</t>
  </si>
  <si>
    <t>vagasdesalvador
GoNovel - Leitura de Romances Remunerados
[Pagou Rápido] / Livros https://t.co/MauswB762h
... #dinheiro #rendaextra #aplicativosremunerativos
#romances #leitura</t>
  </si>
  <si>
    <t>santoscancio
Para palestras e treinamentos -
acesse https://t.co/aJVlshWR0s
#eleicoes #investimentos #dinheiro
#bolsadevalores #investimento #mercadofinanceiro
#finan #empreendedorismo #investir
#liberdadefinanceira #sucesso #rendaextra
#economia #educacaofinanceira #investidor
# https://t.co/QIVUemvUal</t>
  </si>
  <si>
    <t>alx2002
🔥APLICATIVO para GANHAR DINHEIRO
via PIX e PAGBANK - APP que REALMENTE
GANHA DINHEIRO JOGANDO 2023 ➽ VEJA
O VÍDEO COMPLETO PASSO A PASSO
CLICANDO AQUI NO LINK ➽ https://t.co/dVbjPmy9Ak
OU É SÓ ME PEDIR O LINK DO APLICATIVO
NOS COMENTÁRIOS. #ganhardinheiro
#rendaextra #app https://t.co/CbHt8l0Lpl</t>
  </si>
  <si>
    <t>showmetech
Você usa algum aplicativo que paga
para assistir vídeos ou fazer outras
tarefas? Conte para nós nos comentários.
#RendaExtra #Aplicativos #Video
#TikTok #Kwai (Autora: Thamyris
Abreu)</t>
  </si>
  <si>
    <t>qzapbr
Mais de 100mil arquivos no Super
Pack Arte Canecas Estampas Sublimação
. apenas R$ 25 . formatos PNG,
JPEG, PDF, COREWDRALL e PSD. compre
e RECEBA online pelo Whats 11 99803
3929 #canecas #mkt #marketing #rendaextra
#maquinacaneca #canva #corew #marketingdigital
#ganhardinheiro https://t.co/IGSYQRXllT</t>
  </si>
  <si>
    <t>luamedeiross
Entendendo o Método Bazin de Investimento
https://t.co/rgEqCc2PzT via @YouTube
#investimentos #educacaofinanceira
#rendaextra #dinheiro</t>
  </si>
  <si>
    <t>lucarere1
#apppagando #PIX #rendaextra #dinheiro
#homeoffice Casa Nova pagando 10
Casa Nova pagando 10 Vamos pra
cima, vamos faturar https://t.co/zLrygASki9
https://t.co/3YelPDFmQM</t>
  </si>
  <si>
    <t>alessan87651124
#oportunidades #rendaextra #liberdadefinanceira
#horariosflexiveis #praticidade
#comodidade #realizacoesprofissionais
#treinamentos #lucros #vantagens
#saudefinanceira #alimentacaosaudavel
#crescimentopessoal #crescimentoprofissional
#vantagens #viagens https://t.co/QL9A4TWo3r</t>
  </si>
  <si>
    <t>paullosergioz7
🥝Vou ensinar pela última vez,
pausa pra ler.🤖💸🇷🇺 #primeiravenda
#MarketingDigital #kiwify #plr
#tráfegoorganico #tráfegopago #rendaextra
https://t.co/uDxEKjoyAB</t>
  </si>
  <si>
    <t>joorico534650
#marketingdigital #comofazersuaprimeiravenda
#comoganhardinheirosemsairdecasa
#rico #rendaextra https://t.co/fXVfn7e2HB</t>
  </si>
  <si>
    <t>alanis_matos10
#rendaextra #milionaria apresento
pra vocês o método que mudou a
minha vida, investi 19,90 apenas
e tive um retorno muito maior (cliquem
no link) https://t.co/QXshF9X9mo
Seja dona da sua própria história
🙏🏻💫 https://t.co/Q9f8hCbm75</t>
  </si>
  <si>
    <t>bisolitary
https://t.co/ixjbzViSbT Gente sério
nunca ganhei tanto dinheiro em
uma plataforma tô chocado. #TIGER
#joguinho #rendaextra #BarbieTheMovie
#Mbappe https://t.co/Z5XhND4En7</t>
  </si>
  <si>
    <t>faby59240435
@CascaGrossaReal Melhor q bitcoin..
#rendaextra</t>
  </si>
  <si>
    <t xml:space="preserve">cascagrossareal
</t>
  </si>
  <si>
    <t>thiagofeli12411
https://t.co/KIBFxp5S7W https://t.co/fUAnz0JNJH</t>
  </si>
  <si>
    <t xml:space="preserve">robosvip
</t>
  </si>
  <si>
    <t>mulhermmilhoes
Preciso de 10 pessoas pra ganhar
comissões de R$100 a R$300 reais
hoje! Me me chame no wpp 21 998718050
#maes #precisodedinheiro #rendaextra</t>
  </si>
  <si>
    <t>juliaalvess0
#100hrs #brabet #rendaextra #DiaDelMaestro
#VamosLaU #ไบเบิ้ลพาต้ามาป้ายยาวิชี่</t>
  </si>
  <si>
    <t>monalisabach
💥Atenção, conheça um Método de
faturar uma grana extra direto
do seu Celular, Assista um mini
curso no link abaixo https://t.co/XnKOepTDfs
#rendaextra https://t.co/1j9IfW8ILV</t>
  </si>
  <si>
    <t>jogajuntobet
Quer transformar suas apostas em
uma fonte de renda estável? Conheça
o Trader Esportivo, o profissional
do futuro das apostas! Acesse nosso
blog e descubra mais sobre essa
oportunidade! #TraderEsportivo
#Apostas #RendaExtra #BolsaEsportiva
https://t.co/I9MFdvevNs</t>
  </si>
  <si>
    <t>kingofplrs
PAPO RETO DO DIA💪🏼 A ESCOLHA
É SEMPRE SUA! Bora lucrar na internet?
#visão #kiwify #paporeto #empreendedordigital
#motivacion #rendaextra #pracima
https://t.co/rAC2n6cxoX</t>
  </si>
  <si>
    <t>meindica87
Transforme sua Vida Financeira:
Descubra o Caminho para a Liberdade
Financeira! Entre em contato agora
mesmo pelo WhatsApp: link https://t.co/9JQSdmHD8T
(35)992283041 #meindica #whatsapp
#faleconosco #marketingdigital
#plr #rendaextra #dinheiro https://t.co/ezoihocXK6</t>
  </si>
  <si>
    <t>milhasnews
🔥💰✈️ #milhasaereas #rendaextra
#cartaodecredito https://t.co/COt8zmYAqa</t>
  </si>
  <si>
    <t>raphael_tesla
COMO GANHAR COTA DE FUNDO IMOBILIÁRIO
TODO MÊS- FIIS #fundosimobiliarios
#fiis #melhoresfundosimobiliarios
#rendapassiva #rendaextra #saláriosemtrabalhar
#bolsadevalores #luizbarsi #louisebarsi
https://t.co/r9gQQ1Fh8B</t>
  </si>
  <si>
    <t>realmidiacenter
Leia nosso artigo: Renda Extra
como Web Designer. https://t.co/U3pSlpYvaI
. . . #Webdesign #rendaextra #emprender
#MarketingDigital</t>
  </si>
  <si>
    <t>gcmreis
Produção de Rainhas. Por inxertia.
Apiario Serra da Jibóia. #apiario
#rendaextra #mel https://t.co/uZQTCPgJpr</t>
  </si>
  <si>
    <t>willian_evangel
@maribissx #rendaextra #jogueparavencer</t>
  </si>
  <si>
    <t>misticozen
Clique no link e receba o ebook
gratuito “10 Sugestões de como
Viver e Trabalhar com Consultas
de Tarot”: https://t.co/AyvBJJMNKy
#misticozen #consultasdetarot #rendaextra
#tarot #Tarotcards #tarotonline
#denisviatico #ebook https://t.co/rQtecD8Hdt</t>
  </si>
  <si>
    <t>inkproducoes
#milionario #dinheiro #rendaextra
#MarketingSuccess https://t.co/Z3gKxeBtw8</t>
  </si>
  <si>
    <t>btclucrox
Aprenda Agora Mesmo Como Ganhar
Dinheiro no Mercado Futuro da Binance 
#btc #Binance #criptomoedas #RendaExtra
https://t.co/gTbeb68s8C</t>
  </si>
  <si>
    <t>cortesreiratao
Tem como começar com R$ 1000,00
no Marketing Digital?🐀 O Ratão
responde! #blackrat #marketingdigital
#rendaextra #ganhardinheiroonline
https://t.co/cvRzjkbmc8</t>
  </si>
  <si>
    <t>doceslucrativos
Aproveita essa época do ano para
ter uma Renda Extra!!! Acesse o
link e confira. https://t.co/krY3NBHFZo
#pascoa #pascoa2023 #pascoalucrativa
#rendaextra #rendaextraemcasa #brasil
#pernambucano #doces #ovosdepascoa
#pascoaemcasa #trabalheemcasa #lucre
#fature https://t.co/SyjZlt5zh4</t>
  </si>
  <si>
    <t>nr_novocaminho
DICA RENDA EXTRA EM CASA #croche
#rendaextraemcasa Uma técnica que
possibilita trabalhar em casa.
A dica é o CURSO COMPLETO DE AMIGURUMI.
Você encontra no site NR NOVOS
RUMOS Crédito musical - Music by
https://t.co/cPBqmvSPDC - Eazy
"Vibe Check" - https://t.co/S2O5OKWjac
https://t.co/V47SdTGxtg</t>
  </si>
  <si>
    <t>oronhaleticia
Nunca se compare com os outros!
Clique no link da Bio e mude de
vida ainda hoje🤑 #markenting #mulheresmilionaria
#mulheres #mulherdesucesso #rendaextra
#mulherindependente #mulhererempreendedora
#MMM #empreendedorismo #mulhervirtuosa
#markenting #dinheiro #treino https://t.co/8B1odf6ywV</t>
  </si>
  <si>
    <t>nfts_dp
https://t.co/6KFKZv3QyH #informações
#rendaextra #Negocios</t>
  </si>
  <si>
    <t>brunoberanko
#dinheiro #investimentos #grana
#rendaextra #b3 #1milhao #BBBB23</t>
  </si>
  <si>
    <t>sandras50213490
https://t.co/y6L2C7HKsd Que tal
seguir o sonho de mexer na area
de celulares? #rendaextra #celulares
#seguirseusonho #profissão #faturamento
https://t.co/84CDyP2ixw</t>
  </si>
  <si>
    <t>lialollirbd
#trabalharemcasa #homeofficie #trafegopago
#marketingdigital #rendaextra👇🏾
https://t.co/GCcCq9TJob https://t.co/HOJdoQLEBG</t>
  </si>
  <si>
    <t>guig_cbf
Cadastre-se através do meu link
e ganhe dinheiro respondendo pesquisas
na internet. https://t.co/maCekh8vvN
#ganhedinheironainternet #homeoffice
#rendaextra #ganhardinheiro #pesquisas</t>
  </si>
  <si>
    <t>franmarcolino7
Já pensou em ser dona do seu próprio
negócio? Que tal ter sua saboaria
e conquistar a tão sonhada independência
financeira. Colocando em prática
o que vai aprender nesse curso
isso é pode ser possível Essa é
a sua oportunidade Saiba mais 21
991514242 #rendaextra #homeoffice
https://t.co/zGl2LvWANc</t>
  </si>
  <si>
    <t>eddyesteinford
[RENDA EXTRA] • Trabalhe em casa
• Com produtos importados! Assista
ao vídeo e saiba como: 👇🏻 https://t.co/B0969D999h
#rendaextra #ganhardinheiro #trabalharemcasa
#Shopee #TerraEPaixao #MonacoGP
#AGrandeConquista #cantacomigo
#LulaGovernoDeTodos #Beyonce #Brasil
#g1</t>
  </si>
  <si>
    <t>aleffaugustov
Arriscando pouco e ganhando muito!!
Quem sabe gerenciar dinheiro faz
dinheiro em todos os lugares 💡🧠
Primeiro cadastro ganha 100% de
bônus 🤑 👇🏼 https://t.co/ZMn9BLmOYy
#dinheirorapido #rendaextra #mentemilionaria
https://t.co/fIzqyblZmw</t>
  </si>
  <si>
    <t>nilsongarciar
Cadastre-se Grátis Hoje: https://t.co/ZZUGSdsTQu
#TNP #cashback #rendaextra #trabalheemcasa
https://t.co/7jjK734Sl8</t>
  </si>
  <si>
    <t>vasosplantas
Faça você mesmo vasos de plantas
em sua casa Saiba mais 👇 . https://t.co/54QRPcmOgF
. #100hrs #plantas #vasos #Cactus
#rosas #suculentas #viral #renda
#rendaextra #cultivation #CulturaEnUnClick
#viuvanegra #jardim https://t.co/nM8w3vIf1P</t>
  </si>
  <si>
    <t>gcf_brasil
Quer fazer uma renda extra, e não
sabe como? com a GCF BRASIL, qualquer
um tem a chance de indicar e ganhar!
. . . . . #indicação #fgts #rendaextra
https://t.co/pPS616W42W</t>
  </si>
  <si>
    <t>semchefe_
💥 Um negócio que depende só de
nós, da nossa vontade, atitudes,
determinação e ações. #oportunidade
#negociodigital #empreendedorismo
#marketingmultinivel #mmn #negócios
#negocioproprio #empreendedorismo
#negocioglobal #amway #produtosnegociosglobal
#rendaextra #empreenda</t>
  </si>
  <si>
    <t>vihcaldas
Entrei nesse grupo de lançamentos
e Dicas de slots pagantes. Indico
a vocês https://t.co/PYQhzEuYtr
#rendaextra #slots #tigerfortune
https://t.co/CVXTXjiS9v</t>
  </si>
  <si>
    <t>itaboraisantos
🔵 RENDA EXTRA: O guia definitivo
com ideias incríveis de renda extra
para você sair do aperto! https://t.co/lCMSB2P90x
#rendaextra</t>
  </si>
  <si>
    <t>joao_gorreis
https://t.co/3AiSKw0fXP #MarketingDigital
#emprendedores #rendaextra #liberdadefinaceira
#receberemdólar https://t.co/nwUYP9XQwQ</t>
  </si>
  <si>
    <t>meryen1234
Aprenda cutilagem de unhas como
um(a) profissional! Nosso curso
oferece aulas teóricas e práticas
para dominar as técnicas mais avançadas
em cuidados com as unhas 💅🏻 Inscreva-se
agora e destaque-se no mercado
da beleza! Link na bio #cutilagemdeunhas
#cursodebeleza #rendaextra https://t.co/8WxfuWbbRP</t>
  </si>
  <si>
    <t>maholliver13
Quer aprender a criar bolos irresistíveis
que encantarão todos ao seu redor.
Fazer uma renda extra fazendo o
que gosta? Saiba mais assistindo
nossa mini aula que preparamos
com muito carinho para você 🍰✨
#rendaextra #DoItLikeThat 👉https://t.co/Ql6alXslSh
👈 https://t.co/PnKLR3bsQE</t>
  </si>
  <si>
    <t>vendas_onup
Ficou sabendo? Tem velho rico dando
dinheiro só pra tirar ele do tédio.
#rendaextra #velhorico https://t.co/a5bvgUHcYc
https://t.co/ioQ0qYKzti</t>
  </si>
  <si>
    <t>gessica72692130
#rendaextra #marketingdigital #trabalharemcasa
#ganhardinheronainternet https://t.co/gTEHCZXXSv</t>
  </si>
  <si>
    <t>isabelc13652223
Deseja antecipar seu FGTS só chamar
que a gente resolve! Antecipe o
seu Já ! #fgts #dinheiroextra #rendaextra
#vamo #bora https://t.co/6mUsUO7Li1</t>
  </si>
  <si>
    <t>brbabeto77
Quer saber mais sobre o Método
Home Office Lucrativo? 🤔💻 Acesse:
https://t.co/qGqX3SlVlz e descubra
como transformar seu trabalho em
casa em um sucesso financeiro!
🚀💰 #homeoffice #trabalheemcasa
#rendaextra #metodohomeoffice #invistanoseufuturo
https://t.co/QS4jdN2kvP</t>
  </si>
  <si>
    <t>vinnyvads
#marketingdigital #rendaextra #trabalho
#empreendedorismo #dinheiro 👇
👇 Você pode gostar desses vídeos
também: 👇 👇 👉[Revelei Meus Resultados]
Como Afiliado em 1 Ano https://t.co/JWU6dVewtr
👉[Filtrify] A Ferramenta dos Afiliados
Profissionais https://t.co/yUKE4DQevy</t>
  </si>
  <si>
    <t>premiosganhe1
fature visitando site Método completo
e licenciado, para trabalhar 100%
Home Office usando apenas o celular,
visitando sites! Este método validado
vem ajudando centenas de pessoas
em todo Brasil a terem uma vida
financeira digna https://t.co/poVMM2RRpX
#rendaextra #dinheiro https://t.co/OfcyWU2C99</t>
  </si>
  <si>
    <t>afiliadoboss
#MercadoFinanceiro #empreendedorismo
#cursosonline #rendaextra #emprendedor
#emprendedores</t>
  </si>
  <si>
    <t>israelpinveste
5 Regras para sair da Pobreza:
#educacaofinanceira #dinheiro #rendaextra
https://t.co/MbvAmzphtI #RealidadeNubank
#nucoin Nubank | Sarada | Maíra
Cardi | #FofocalizandoNoSBT | fnatic
|</t>
  </si>
  <si>
    <t>falaipesquisas
Quer ganhar dinheiro enquanto ajuda
empresas a criar produtos incríveis?
Faça seu cadastro no Falaí e participe
de pesquisas remuneradas. Sua voz
importa para a inovação! Acesse:
https://t.co/rhnk6cojhW. 🤑 #Falaí
#PesquisaRemunerada #PesquisaDeMercado
#RendaExtra https://t.co/5xuT7J6iML</t>
  </si>
  <si>
    <t>marcia23403
#reinventandoaeducação #remedio
#renda #rendaextra #rendafixa #rendavariavel
#Repost https://t.co/BlboawyKdp
https://t.co/NurFNqpQWy</t>
  </si>
  <si>
    <t>ildacristina8
Qualquer dúvida escreva um a mensagem
👩‍💻📲💬 #reels #rendaextraemcasa
#trabalhoemcasa #hotmart #iniciantes
https://t.co/NKcIOhojfb</t>
  </si>
  <si>
    <t>concursos_publ
Aprenda absolutamente tudo sobre
Cookies Gourmet! Curso 100% em
vídeo com aulas práticas e detalhadas.
Certificado incluso. Do básico
ao avançado #rendaextra https://t.co/NA9aeMxiYd
https://t.co/OYQKE2FOXF</t>
  </si>
  <si>
    <t>samuk889
#dinheiro #rendaextra #brasil Trabalhe
como afiliado e ganhe suas comissões!!
Sem sair de casa! https://t.co/DCnoR0tP85</t>
  </si>
  <si>
    <t>rvazstudio
Como Vender Ilustrações, Caricaturas
e Arte Vetorizada no Brasil 🇧🇷
#rendaextra #viverdearte #drawing
#draw #art #arte #desenho #caricatura
https://t.co/oiliIe0FoT</t>
  </si>
  <si>
    <t>antoniocsa10761
É POR ISSO QUE VOCÊ TRABALHA E
CONTINUA POBRE #shorts #rendaextra
#ganha... https://t.co/gv1z5jYdfC
via @YouTube Estado parasita</t>
  </si>
  <si>
    <t>informa_rio
Bolao da cop premiando em 20.000,00
https://t.co/KKGkkWRojK #HULK #paulinho
#aposta #tips #rendaextra https://t.co/TgFdI30dzi</t>
  </si>
  <si>
    <t>jefinhoboratti
Quer fazer a primeira venda em
minutos da uma conferida eu ensino
como👉https://t.co/rYwJ6y1Y9o #rendaextra
#shoppee #ondecomprar #Vendatwitter</t>
  </si>
  <si>
    <t>loja_dinka
Você conhece o LOJA DINKA? Somos
fornecedor de drop 100% automatizado.
Revenda produtos em todos marketplaces.
Nossos sistemas integram aos erp,
bling, marketplaces e todos sites.
Conosco vc ganha site e email profissional
em apenas 1 clique. #dropshipping
#rendaextra #renda https://t.co/WJKbk87vmJ</t>
  </si>
  <si>
    <t>aviatorautomate
Fala galera. Tá rolando uma super
promoção lá no site para os 100
sortudos, clica no link. Vc não
vai se arrepender. https://t.co/SVI61nIPW2
#aviator #blaze #betano #crash
#betfair #renda #rendaextra #rendaonline
https://t.co/xWHWGLuekM</t>
  </si>
  <si>
    <t>imetway_
Não perca essa chance de fazer
como várias pessoas que conheceram
a IMETWAY estão fazendo! Ganhe
dinheiro trabalhando em casa com
nossos sistema de afiliados, e
cashback completo, apenas usando
nossa plataforma! https://t.co/XMS7QbHz6o
#ganhardinheiro #rendaextra #afiliados
https://t.co/f500PDspGd</t>
  </si>
  <si>
    <t>thaina_rocha21
Não sabe como ganhar uma renda
extra? Vem comigo com apenas 75$
você começa o seu negócio!!!! Hoje
mesmo! https://t.co/cDpVa04Ee8
#empreendedor #rendaextra #riodejaneiro</t>
  </si>
  <si>
    <t>ederlorenzobr
7 formas de fazer renda extra online
💰 1️⃣ Trabalhando como afiliado
2️⃣ Vendendo milhas 3️⃣ Investindo
na bolsa de valores 4️⃣ Trabalhando
como revendedor 5️⃣ Abrindo uma
franquia online 6️⃣ Vendendo por
dropshipping 7️⃣ Criando e vendendo
e-books #rendaextra #ganhardinheiro
https://t.co/NTWWeBSMl0</t>
  </si>
  <si>
    <t>luisalvescoach
[Boas Notícias]: O Curso "Renda
Extra" já tem data de lançamento
oficial. Marque na sua agenda:
12 de Setembro. #RendaExtra #CursoRendaExtra
#GanharDinheiro #Prosperidade #Abundância
#Riqueza #LuisAlves https://t.co/A8wYSEAifr</t>
  </si>
  <si>
    <t>milintops
Siga o principal @kaykyjaniszewski
#marketingdigital #plr #rendaextra
#internetmarketing https://t.co/YhoFNVRpFv</t>
  </si>
  <si>
    <t>leoprioficial
A economia não é a questão. A questão
é você! Se quer um futuro sólido,
é preciso criá-lo. Leia mais 👇
https://t.co/fu80rZg3rq #empreendedorismo
#oportunidade #negócios #trabalho
#rendaextra #rendapassiva #marketingderede
#marketingmultinivel #vendadireta
https://t.co/wlAuW5s0MA</t>
  </si>
  <si>
    <t>riicknho01
QUER GANHAR MUITO DINHEIRO? Tenho
SINAIS 24h do ROBOZINHO AVIATOR
DA BETANO que envia SINAIS com
98% de ACERTO. 💰 POR APENAS 5$
💰 Só chamar no meu número (22)
99219-5340. #aviator #aviators
#bet #betano #betfair #blaze #blazer
#bet365 #apostasesportivas #rendaextra
https://t.co/ap9R6xeHrS</t>
  </si>
  <si>
    <t>carvalho_rafael
Vendas online: o que são e como
funcionam? #economiadapaixão #empreendedorismo
#passioneconomy #rendaextra #vendas
#vendasonline #MarketingDigital
https://t.co/Vg9SY7WIDI</t>
  </si>
  <si>
    <t>cvendas011
#Patrocinado O que você faria,
se faturar na Internet, 2 milhões
com apenas seu celular 📲👇🏻 https://t.co/e3ZB75vuA8
Fórmula Enriquecendo Online Só
fatura quando🤑🤑🤑🤑🤑🤑 ##rendaextra
#feo #blackdavoz #borabil #empreendedorismo
#TheFlash #EspanyolAtleti #Bolivia</t>
  </si>
  <si>
    <t>qqcleber
O @felipeneto fez um vídeo defendendo
a "renda extra" dele, e a maioria
dos argumentos dele pode ser facilmente
refutados e ainda mandou uma indireta
pro @Jonvlog que não sabe a diferença
entre perca e perda. 😅😅 #blaze
#apostas #rendaextra https://t.co/e2N5JHyeqn</t>
  </si>
  <si>
    <t xml:space="preserve">jonvlog
</t>
  </si>
  <si>
    <t>joaoeva11725348
#blaze #motivacao #blazecrash #rendaextra
#rendaonline https://t.co/w1urbTzDnC</t>
  </si>
  <si>
    <t>mentemilionar23
Não importa o quão pequeno seja
o seu primeiro investimento; o
importante é começar. Cada centavo
investido é um passo em direção
ao seu futuro financeiro sólido.
#dinheiro #investimentos #vidadeluxo
#rendaextra https://t.co/RFJohNqbLw</t>
  </si>
  <si>
    <t>ric_darkland
Ganhe 12.000.000 Kwai Golds semanalmente! De segunda a domingo, venha me impulsionar no Kwai todos os dias e ganharemos dinheiro juntos!
#rendaextra #kwai https://t.co/2ZhRfznkGw</t>
  </si>
  <si>
    <t>sandriellysan20
Você deseja se tornar um especialista
em vendas de produtos e serviços
digitais? Esta buscando uma forma
de impulsionar seu negócio? https://t.co/00Kum4IGmn
#infoprodutos #marketingdigital
#empreendedorismo #afiliados #vendasonline
#produtosdigitais #rendaextra #homeoffice
https://t.co/xQCEY2Upo2</t>
  </si>
  <si>
    <t>miltonsantana21
Você Negativado ou não, quer uma
Conta Digital Santander? https://t.co/PoVf4wpITY
. . . . #brasil #cartão #credito
#negativado #trabalhoemcasa #startup
#telemarketing #recrutamento #renda
#rendaextraemcasa #rendaonline
#homeoffice #marketingdigital #correspondente
#negative https://t.co/ShQqfQ2Spn</t>
  </si>
  <si>
    <t>alessandro39941
Cometer “ eu quero e vou te enviar
3 aulas gratuita 🔥 #dinheiro #rendaextra
#emprendedor #coup https://t.co/Gw4PbKfpo8</t>
  </si>
  <si>
    <t>bebelli_chris
Tá PAGANDO 🤑 https://t.co/NySxttTbkZ
#jogo #Anitta #SpiderMan2PS5 #jogotigre
#rendaextra #RJ #slot https://t.co/6BTWI8wV1N</t>
  </si>
  <si>
    <t>emooff_
baixe o App Flame de graça e começar
a jogar. Você receberá 2699 moedas
como bônus inicial. Esse aí funciona.
Juro juradinho #appflame #rendaextra
https://t.co/znoXNKnKL3 https://t.co/m5bQSiTFBO</t>
  </si>
  <si>
    <t>apazvidas21
#rendaextra Aproveita esse mês
de BÔNUS https://t.co/gdUwVRjin5
https://t.co/dZAirGAwH0</t>
  </si>
  <si>
    <t>delanjos75
🧼Saboaria Natural Lucrativa &amp;gt;DESCUBRA
O PASSO A PASSO SIMPLES PARA PRODUZIR
EM CASA SABONETES NATURAIS 🤑ACESSO
IMEDIATO COM DESCONTO ESPECIAL
💵Ultimos dias de desconto... ➡️De
130,00 ➡️Por apenas R$ 37,90 🛒🔗Link:
https://t.co/YnfKLQJvCe #cursodesaboaria
#rendaextra https://t.co/sVbT7OcHQq</t>
  </si>
  <si>
    <t>plantao10
#rendaextra #recolocaçao #marketing
https://t.co/Nspyiwhuhh</t>
  </si>
  <si>
    <t>afun_to_earn
Relaxa e joga! Afun é a melhor
plataforma e oferece os melhores
jogos online do Brasil, para você
lucrar muito e ficar bem tranquila
no final do mês. Acesse https://t.co/JvHkDHlyiT
e relaaaaxa. #rendaextra #jogosonline
#cassinoonline #apostasesportivas
#diversão https://t.co/UTq5aa4cbo</t>
  </si>
  <si>
    <t>thassou44121865
Ganhar sem investir no estoque.
Não Tem preço #rendaextra</t>
  </si>
  <si>
    <t>shopmultverso
"Aproveite a oportunidade única
de começar a ganhar dinheiro automaticamente
agora mesmo! Clique aqui para descobrir
como você pode transformar sua
vida financeira de forma simples
e eficaz." #dinheiro #dinheiroonline
#rendaextra #comoganhar #cash #finanças
#granaturbo #grana https://t.co/1AYWpfP76D</t>
  </si>
  <si>
    <t>gabrielviolaa
#cartao #milhas #rendaextra https://t.co/XE7NAglAUk</t>
  </si>
  <si>
    <t>mamaedopablo
E eu que descobri um guia com micro
missões que te indica jogos e pesquisas
que paga em 💵 ... Eu estou amando
🤩 E tem aluna faturando até 1000
reais por mês com joguinho 🔥 #Parintins2023NaACritica
#lulagenocida #rendaextra #ประชุมสภา
#lua https://t.co/tFqsPqf15V https://t.co/TuOFkpvTZn</t>
  </si>
  <si>
    <t>marcinho_029
Quer concorrer a uma grana ,clique
no link e saiba mais...⬇️ 🔗 CLIQUE
E CONCORRA UM VALOR EM DINHEIRO!
#rendaextra #KWAI #SemanaDoConsumidor
https://t.co/fSTnKCl62J</t>
  </si>
  <si>
    <t>essencias_ss
Aqui na Casa das Essências SS,
você encontra tudo para criar seus
próprios produtos artesanais. #casadasessencias
#artesanato #perfume #vidros #loja
#rendaextra #feitoamao #decoracao
#decoração #artes #presente #acessorios
#tendencia #essências https://t.co/e4xiWAICwH</t>
  </si>
  <si>
    <t>diaaass_
Preciso de contato de empresas
de freelancer pra trabalhar em
eventos, alguém tem?? #bh #belohorizonte
#freelance #freelancer #eventos
#trabalhar #rendaextra</t>
  </si>
  <si>
    <t>vitordblack092
Come feel Theo love 💞💞 Venha
sentir o amor 💞💞 Vivam , realizem
seus sonhos E sejam verdadeiramente
felizes !!! ✅SEJA VOCÊ TAMBÉM UM
SÓCIO INDEPENDENTE. Mensagem no
inbox #rendaextra #business #amor
https://t.co/7WnTNeBwHo</t>
  </si>
  <si>
    <t>ci_da_gow
🌐 GoWorkers: O Epicentro das Grandes
Oportunidades Empresariais! 🌐
#empreender #empreendedorismo #o
#marketingdigital #sucesso #empreendedor
#marketing #foco #dinheiro #a #negocios
#motiva #brasil #rendaextra #vendas
#motivacao #empreendedorismofeminino
#business https://t.co/FYJbU2HsQl</t>
  </si>
  <si>
    <t>ozkar_ulloa
Wow! Aprender a ser um empreendedor
de sucesso no marketing digital
é o sonho de muita gente! Vou clicar
no link agora mesmo para saber
mais! #GanharDinheiro #RendaExtra
#robomilionario 💰💻🚀</t>
  </si>
  <si>
    <t>zeafonsosamurai
Galera, vou começar hoje uma série
de conteúdos aqui nas minhas redes,
sobre Tendências do Marketing Digital
pra 2023! ✅ O primeiro episódio,
que eu falo sobre Marketing de
Influência já saiu completo lá
no meu canal do YouTube, então
não perde tempo, e corre lá pra
assistir! https://t.co/Kh7Z1ve4u1</t>
  </si>
  <si>
    <t>digitalblack_
VC TÁ ATRASADO PORQUE QUER! #blackrat
#internet #rendaextra https://t.co/OcsrEvNq7n</t>
  </si>
  <si>
    <t>wgslots
Corre lá que está pagando. https://t.co/4EtGWfEf3f
#FortuneMouse #slots #rendaextra
#joguinhos https://t.co/GgLq2xDGrj</t>
  </si>
  <si>
    <t>snatan1928
Águia voa com águia! Vamos juntos
🦅 Link: https://t.co/OtT2RnVqLz
#BRANCO #casadeapostas #BLAZE #double
#apostasesportivas #cassino #rendaextra
#dinheiro #facilidade</t>
  </si>
  <si>
    <t>zapplus
🤯 Você quebra a cabeça para manter
o seu WhatsApp organizado? #rendaonline
#rendaextra #ganhardinheirorapido
#ganhardinheironainternet #Robos
#dinheiroonline #whatsapp #divulgação
#negocios #corretora #corretores
#lanches https://t.co/OgGWV4bxgz</t>
  </si>
  <si>
    <t>anarcocomunist6
@magalzaoshow O #rendaextra me
pega demais 😂</t>
  </si>
  <si>
    <t xml:space="preserve">magalzaoshow
</t>
  </si>
  <si>
    <t>politicabr5
Aprenda absolutamente tudo sobre
Cookies Gourmet! Curso 100% em
vídeo com aulas práticas e detalhadas.
Certificado incluso. Do básico
ao avançado #rendaextra https://t.co/94hIGDtYAE
https://t.co/vAjhwaGERl</t>
  </si>
  <si>
    <t>douradogamer2
ACESSE AGORA🔥:https://t.co/AvGD0WpIor
#renda #rendaextra #cursos #curso
#brasil https://t.co/Ih0eDpxRg3</t>
  </si>
  <si>
    <t>pantera_tips365
Melhor grupo de aposta no futebol
virtual! #futebolvirtual #bet365
#altcoin #LaCasaDeLosFamososMx
#TakeTwo #MONEY #rendaextra https://t.co/hYtpijBSJ1</t>
  </si>
  <si>
    <t>abraaocbscripto
#Rendaextra ? Vamos de Peer2profit?
https://t.co/Tmc0vpnrs7 Faz o cadastro
( pode entrar com o Google) Baixa
o app Dá aquela força add meu código
de referência 1682681820644bafdce7a4a</t>
  </si>
  <si>
    <t>renatarabachim
Gente esse site e muito bom!! #jogos
#casino #controle #rendaextra https://t.co/NPJ6gOqltF</t>
  </si>
  <si>
    <t>felinodelia
Quer fazer uma #rendaextra como
#afiliado ? A hora é essa 👇 https://t.co/nhr3z6jDWP</t>
  </si>
  <si>
    <t>ayeskacarriao1
@Metropoles Aham, pergunta pro
.@felipeneto quem é o dono da #Blaze.
Pq além de fakenews, acho que rola
os estelianato, não? Pq isso nunca
foi #rendaextra.</t>
  </si>
  <si>
    <t xml:space="preserve">metropoles
</t>
  </si>
  <si>
    <t>sales_marketi
Comente "eu quero`` que te ensino!!
📲🍀 #marketingdigital #sucesso
#rendaextra #empreender #mercadodigital
https://t.co/l7r7hGsVLW</t>
  </si>
  <si>
    <t>joaoclashroyal2
Nossa que plataforma ótima não
tô acreditando acho que por ser
nova paga bastante https://t.co/T4HCQmw5ln
#rendaextra #fortunerabbit #fortuneox
#dinheiro https://t.co/NUhZjlvQtu</t>
  </si>
  <si>
    <t>top_achadinhos_
Descubra por que tantas Nail Designers
estão conseguindo realizar aplicações
em até 1 hora com essa técnica.
Com certificado de conclusão!!
https://t.co/SEkXB1oz1O #unhas
#cursoonline #rendaextra https://t.co/dUkHzsIcn9</t>
  </si>
  <si>
    <t>abner_ramos01
Se você usa o TikTok, é está esperando
monetizar pra ganhar dinheiro;
mas depois que eu conheci o método
TikTok lucrativo,não dependo do
número de seguidores pra faturar
com o TikTok, comecei a ganhar
dinheiro em casa. Tá esperando
o quê? Link na bio #afiliados #rendaextra
https://t.co/4qrx5YlVdx</t>
  </si>
  <si>
    <t>prin_milionaria
Quer aprender o passo a passo para
fazer renda extra na internet ?
Me chama no link está na minha
bio e vamos conversar 🚀📱🤑 #rendaextra
#mercadodeafiliados https://t.co/dFhxH7e5hE</t>
  </si>
  <si>
    <t>jogodotigre
Como jogar Jogo do Tigre? 🤑 Convite
do Jogo do Tigre: 4cec0g ↪️ https://t.co/4owD2OhwxD
1. Acesse o link 2. Cadastre-se
3. Realize depósito de R$20 por
pix 4. Escolha o jogo Fortune Tiger
5. Escolha o valor da aposta no
( +/-) #pombabet #fortune #fortunetiger
#rendaextra https://t.co/PvsTlQ5Qhl</t>
  </si>
  <si>
    <t>santiagorosant
Você erra 100% dos conteúdos que
não posta. Então, não se prenda
pelo medo. Engajamento baixo, julgamento
e haters fazem parte do processo.
Acostume-se com a falha e aceite
os erros como parte do seu aprendizado
#marketingdigital #rendaextra #rendaextraemcasa
#rendaextraonline</t>
  </si>
  <si>
    <t>rickyszin
Leia o ebook mais visitado do país!!
https://t.co/G1BYft3b82 . . . .
#MarketingDigital #DigitalMarketing
#rendaextra #tweeter #dinheiro
https://t.co/jXZX73psRk</t>
  </si>
  <si>
    <t>derek2870
O Fórmula Negócio Online é o mais
completo(sem nenhum exagero) Treinamento
para Criar Seu Negócio Online a
Partir do Zero É atualmente o único
treinamento que abrange todas as
etapas de um negócio online. Adquira
já: https://t.co/GOAF0RWbbv #ondecomprar
#rendaextra #venda 📷</t>
  </si>
  <si>
    <t>michaelsan86890
Quer aprender a fazer primeira
venda acesse o link👇 https://t.co/014Z8Wr4In...
#milionários #kiwfy #rendaextra
#dinheiro #dinheiroonline https://t.co/BjE0G2UNYe</t>
  </si>
  <si>
    <t>fravenrike
Não perca mais tempo e comece a
mudar sua vida financeira agora
mesmo! Clique no link da minha
bio e descubra como ganhar dinheiro
trabalhando em casa. Estou torcendo
por você! 💰💻 Acesse abaixo 👇
https://t.co/WckkKknGRY #rendaextra
#trabalheemcasa #oportunidade #dinheiroextra
https://t.co/0TFx29IQjM</t>
  </si>
  <si>
    <t>paulinorsantos
Mude sua vida entre para o Marketing
digital, conheça mais no link da
BIO #marketingdigital #marketingafiliado
#rendaextra https://t.co/7m6k06NieB</t>
  </si>
  <si>
    <t>danielmeneses_
Os imóveis podem ser uma excelente
forma de gerar renda extra. Alugue
ou invista em propriedades comerciais
e residenciais para aumentar sua
fonte de receitas. 🏢💵 #RendaExtra
#InvestimentoLucrativo</t>
  </si>
  <si>
    <t>s_g_s5
RT @programapanico: #Pânico | Foca
na Economia: Samy Dana explica
como funciona o novo golpe online
da renda extra; o Delari chama
de empre…</t>
  </si>
  <si>
    <t>adriano7santtos
#MarketingDigital #afiliados #viral2023
#rendaextra https://t.co/sPzHY7aWbE
https://t.co/dXrBBZCMNr</t>
  </si>
  <si>
    <t>35a15c3879a9482
Você que e mãe mulher que queiram
trabalhar em casa ao lado dos seus
filhos o marketing digital te oferece.
Clique no link abaixo. #mãe #mulher
#rendaextra https://t.co/wRSo62pA1W
https://t.co/rAeSBDD8aM</t>
  </si>
  <si>
    <t>joaoinvictor
@lilvinicinho #rendaextra #blazelivesmatters
#prayforblaze</t>
  </si>
  <si>
    <t>tudoon22
#rendaextra #ganhe #dinheiro #pesquisa
#dolar https://t.co/CWXNxDpylq</t>
  </si>
  <si>
    <t>kakaa1323
Estou procurando 5 pessoas que
queira trabalhar com a Internet,
sem sair de casa e sem aparecer!!?
Me chama aqui 🔥🔥🔥 #rendaextra
#ondecomprar #dinheiroextra #rendaextraemcasa
#semaparecer</t>
  </si>
  <si>
    <t>95_jnd
Começando bem mais um dia 🤑 #renda
#rendaextra #educação #pix #dinheiro
https://t.co/DbL2ZIITTu</t>
  </si>
  <si>
    <t>sabioempreende1
Localizado no coração da cidade,
o Quinto Andar é uma empresa revolucionária
que está transformando a forma
como as pessoas encontram e alugam
imóveis. Com uma proposta inovadora
e tecnologia avançada. #quintoandar
#imobiliaria #rendaextra https://t.co/nMmLK5JMLD</t>
  </si>
  <si>
    <t>claudiocgalvao
O I'm a BOSS traz o passo-a-passo
de forma objetiva e completa. Para
que não restem dúvidas sobre o
Mercado Digital! 🔥🖤 ⚫ DO BÁSICO
AO AVANÇADO! ⚫ ESTRATÉGIA "Sem
aparecer" ⚫ TRÁFEGO ORGÂNICO ⚫
TRÁFEGO PAGO #rendaextra https://t.co/N7vZZZQ1Dm</t>
  </si>
  <si>
    <t>chatguruoficial
🤑Procurando uma maneira de ganhar
uma 💲#rendaextra? Torne-se um
#parceiroguruoficia! Independentemente
da área de atuação, é possível
aumentar sua renda se tornando
um Parceiro Guru Oficial. Basta
preencher o formulário em nosso
site. O link está na bio! #parceiros
#chatguru https://t.co/29d5cepL5B</t>
  </si>
  <si>
    <t>dasortebet
Diversão garantida a cada rodada!💰
Na Bet dá Sorte tem Sugar Rush,
Gorilla Mayhem, Shining Hot 5 e
muito mais jogos pra você se divertir
e garantir uma grana extra a cada
rodada. Jogue agora!🎰 #BetdáSorte
#Slots #Cassino #RendaExtra #SugarRush
#GorillaMayhem #Spaceman https://t.co/1mmQrTbdpS</t>
  </si>
  <si>
    <t>indieplay339201
Olá galerinha, cadastre-se agora
no Gemly(jogo de renda passiva
gratuito): https://t.co/UcwEHFfrWf
#Renda2022 #rendaextra #ganhedinheiro</t>
  </si>
  <si>
    <t>catanduvananet
Os cursos serão realizados nos
dias 20 e 24 de março, às 13 horas
no próprio Fundo Social. Informações:
(17) 3523-3317. #pascoa #rendaextra
#oportunidade #inscricao #catanduva
#fundosocial #prefeituradecatanduva
https://t.co/cy9TXCYSqg</t>
  </si>
  <si>
    <t>madeirajunior20
O trader esportivo pode mudar sua
vida, ao invés de só assistir futebol
que tal ganhar dinheiro enquanto
assiste? https://t.co/gxWrHEF3gO
#traderesportivo #futebol #rendaextra
#assistirfutebol #Esportes #EsporteNaBand
https://t.co/10D8LhMcZj</t>
  </si>
  <si>
    <t>emagrec31840511
⚠️ Atenção ⚠️ : O TWITTER só irá
liberar mais dicas e Receitas para
quem CURTIR a foto e comentar ☑️
Eu quero 😍 👉 e SEGUIR o PERFIL
#Receitas #culinária #Gastronomia
#Curso #RendaExtra #Dicas #Alimentos
#Frutas https://t.co/Q0AF6pyF9a</t>
  </si>
  <si>
    <t>paulacampos09
Site pagando por cadastro e indicação!!!
🤑🚨 vamo aproveitar porque a promoção
falta pouco tempo pra acabar!!!
🚨🚨🚨 #rendaextra #sitepagando
#money #ganhardinheiro #pix https://t.co/7nE6hz0zvr</t>
  </si>
  <si>
    <t>slopesedgar
Começe a ganhar dinheiro hoje!
https://t.co/xMEOBkTdrA #Portugal
#RendaExtra</t>
  </si>
  <si>
    <t>redaviqui
RT @IlariaSouza: Quer fazer uma
renda extra?sem precisar vender
curso, no conforto da sua casa.da
uma olhadinha na minha bio 💰#rendaextra
#…</t>
  </si>
  <si>
    <t>ilariasouza
Quer fazer uma renda extra?sem
precisar vender curso, no conforto
da sua casa.da uma olhadinha na
minha bio 💰#rendaextra #Chico
#1989TaylorsVersionVault https://t.co/Ov0ACoE1ru</t>
  </si>
  <si>
    <t>ellenro72178468
https://t.co/gYYs7lClG9 #canalroquelane
#empreendedorismo #rendaextraemcasa
https://t.co/WTpPiZd8ic</t>
  </si>
  <si>
    <t>blogfinplus
HOTMART🚨💸 https://t.co/wOFzP6mAeP
. . . #hotmart #rendaextra</t>
  </si>
  <si>
    <t>juu_rolim
E ainda tem gente que diz que o
tiktok não dá dinheiro 🙄 Só não
ganha quem não quer! Pare de reclamar
e comece a ganhar também: https://t.co/VjO1ABr0pY
#rendaextra #granaextra #dinheiro
#ganhardinheiro #dinheiroonline
https://t.co/DQyA9GV0bd</t>
  </si>
  <si>
    <t>predo08
os cara fazendo a propaganda da
blaze, falando que é pra jogar
com responsabilidade e com dinheiro
que tiver sobrando, e o chat dos
cara tavam flodando #rendaextra
KKKKKKKKKKKK, vsfd como eu amo
esse podcast</t>
  </si>
  <si>
    <t>the_souza80
Transforme sua vida atraves do
google ads. Leia o artigo no link:
https://t.co/PDAJnak7To #googleads
#comoganhardinheiro #Rendaextra
#ganhardinheiro</t>
  </si>
  <si>
    <t>_patrickv7
Dica Bônus. Ofereça várias formas
de pagamento. Tenha um excelente
atendimento. Se posicione estrategicamente.
Comece aos finais de semana, até
ganhar mais confiança e formar
clientela. #rendaextra #dinheiro
#grana</t>
  </si>
  <si>
    <t>viktorvenddetta
📌 Quer ganhar em Dólar somente
por utilizar a sua internet? Então
cadastre-se já e comece recebendo
$5 (US) no seu painel! #rt #assuntodomomento
#rendaextra #dinheiro #dolar https://t.co/33292Z41Fy
Honeygain - Make Money From Home</t>
  </si>
  <si>
    <t>eimigra
#rendaextra #indiqueeganhe #eimigra
#dinheiro #homeoffice #trabalhardecasa
https://t.co/pKDRZNDIde</t>
  </si>
  <si>
    <t>cludiamarq69376
A liberdade financeira não é um
destino, é uma jornada. Não percas
mais tempo e começa já hoje a tua.
— Comenta “ eu “ que irei explicar-te
como. 🚀 #foryou #marketingdigital
#rendaextra #afiliada #liberdadefinanceira
#liberdadegeografica #vendas #mulheresempoderadas
#sonhos https://t.co/XkS4J5HNSJ</t>
  </si>
  <si>
    <t>rodrigodorje
#RendaExtra na Internet! #TikTok
#saponaria não é apenas #artesanato
É #quimica e pode ser até perigoso
o processo. Gosto de fazer as bases
de glicerina neutra e depois os
#sabonetesmedicinais 😉🫠🫠🫠😅
https://t.co/iNYP6hOt1h</t>
  </si>
  <si>
    <t>gabinetedarma
📢💰💻 Confira nosso artigo sobre
os 4 melhores Sites para aumentar
sua renda online! Não perca essa
oportunidade de transformar seu
tempo livre em dinheiro! #GanharDinheiro
#RendaExtra #TrabalharemCasa https://t.co/JYDuCi5zBO</t>
  </si>
  <si>
    <t>trapos_chi
RENDA EXTRA - OPORTUNIDADES 1 -
Ganhe $ Indicando e Assistindo
Vídeos. https://t.co/5gol4PI08Y
1.1 Jogo de Roleta https://t.co/LXEopQ3bnj
1.2 Increva-se na betano e ganhe
30,00 para fazer 1° aposta https://t.co/Uj7N9sPfcu
#rendaextra #jogosonline #lojaonline
#dinheiro #apostas</t>
  </si>
  <si>
    <t>agenciamoodel
Compro fotos de pés de iniciantes
que nunca venderam. Mande uma mensagem
direta que explico! #packdospes
#modelos #rendaextra #venderfotos
#modelodepes</t>
  </si>
  <si>
    <t>danielgcn23
Descubra como ganhar dinheiro extra
online de forma fácil e eficaz!
💰💻 #RendaExtra #TrabalhoOnline
Clique no link para explorar esta
incrível oportunidade!</t>
  </si>
  <si>
    <t>_knizy
🤖Esses são os robozinho mais,
procurado no mercado de apostas!
🔥✅️🤖Os dois no precinho🤖✅️🔥
. #blaze #cassino #apostas #aposta
#roboblaze #botblaze #bet #dinheiro
#rendaextra #cassino #aviaozinho
#sabado #fimdesemana #fds https://t.co/2cnk9kDdbL</t>
  </si>
  <si>
    <t>anju25pal
Empreender é avançar, é aprender
a profissão más antiga e lucrativa.
Vem e empreende. #grupofagemar
#frasediaria segue-me, curte e
comenta meu vídeo. #FamíliaNovaAtalaiaDeDeus
#gloriadeus #poderdeDeusEm #makeup
#libertadfinanciera #marketingdigital
#rendaextra #marketing https://t.co/M3Llj4oQYX</t>
  </si>
  <si>
    <t>ocuolimite3
SHAOBANK RETIRE SEU DINHEIRO QUANDO
QUISER ♫♫ PROVA DE PAGAMENTO -
SHAO BANK https://t.co/DR5i90hs9h
CADASTRO https://t.co/ID7rnv36oE
GRUPO https://t.co/xSFZu8iZ8X #shaobank
#shaobankpayment #shaobankreview
#investidor #investimento #fundosimobiliarios
#rendaextraemcasa https://t.co/dkYrbnKDWV</t>
  </si>
  <si>
    <t>elisnunes1
Para maiores informações chame
no 6298173 8187 Venha fazer parte
da maior empresa de óleos essencial
#qualidadedevida #dinheiro #óleodegirassol
#rendaextra #produtosnaturais #treino
#mmn #beleza #vidasaudavel #mentalidade
#óleosvegetais #emagrecer #marketingmultinivel
https://t.co/yf8OHUPRNg</t>
  </si>
  <si>
    <t>danielgarciabs_
Aplicativos para ganhar dinheiro
na internet! #rendaextra https://t.co/63n1nPCZG8</t>
  </si>
  <si>
    <t>diagnosecattus
@endozinho Eu não sei que foi o
OTÁRIO que perdei 100 reais no
Coelhinho, mas muito obrigado pq
EU GANHEI 100 conto #RENDAEXTRA</t>
  </si>
  <si>
    <t xml:space="preserve">endozinho
</t>
  </si>
  <si>
    <t>brubsyet
Oi gente, vamos trocar impulso
#kwai #rendaextra https://t.co/vLDWfRvGCd</t>
  </si>
  <si>
    <t>rayfariaa
Que tal fazer aquela graninha extra
na Páscoa? Apostila com as melhores
receitas e todas as informações
para qualquer pessoa sendo iniciante
ou não começar a lucrar muito na
páscoa. LINK: https://t.co/XWe49rfERd
#pascoa2023 #ebook #rendaextra
https://t.co/ewls4yYFDx</t>
  </si>
  <si>
    <t>oincrivelblog
Convite do Jogo do Tigre: 4cec0g
#pombabet #fortune #rendaextra
#ganhardinheiro https://t.co/VOnWLUOEba
https://t.co/Q4OAMg85Jx</t>
  </si>
  <si>
    <t>n4kim_tae
Ficou curioso para saber como funciona
esse método? Então clica no link
abaixo e e assista todas as aulas
que estão GRATUITAS antes que saia
do ar. https://t.co/pkruuomJZF.
#mentedesucesso #afiliados #marketingdigital
#primeiravenda #rendaextra #cursosprofissionalizantes
https://t.co/o8UknNlM5n</t>
  </si>
  <si>
    <t>simoneafiliada
Tente fazer o seu melhor sempre!
Este é o segredo das pessoas que
dão certo! “Não é sorte!” #rendaextra
#afiliadas https://t.co/n8jI7o9qYT</t>
  </si>
  <si>
    <t>rayanneadran
👑potes com lacre 👑 💲14,90 FRETE
GRÁTIS 🆓 LINK DA LOJA AQUI 👇👇👇👇
🛍️https://t.co/K1pHrbv2UY #confeitaria
#doce #rendaextra #bolodepote #torta
#cozinhar https://t.co/32qBa0Ij0t</t>
  </si>
  <si>
    <t>juancarlostips
https://t.co/jJX7ZkMYA0 #apostas
#ganhardinheiro #rendaextra</t>
  </si>
  <si>
    <t>emanuelcorban_
Já pessoal em ganhar mais de 1
(UM) Salario minimo somente com
indicação? Estamos prestes ao retorno
da modalidade "Consignado para
BPC/LOAS. Com a internet nos auxiliando,podemos
captar clientes em todas regiões
do Brasil, e você ganha com tudo
isso! Saiba Mais. #RendaExtra</t>
  </si>
  <si>
    <t>vagner_caldas
SE LIGA NESSAS DICAS PARA INICIANTES
💵💵💰 👇👇👇👇👇👇👇👇👇👇 #sabadou
#rendaextra #investir Confira o
vídeo de Tu Pods ! Cortes! #TikTok
https://t.co/O3Fw9IzrHs</t>
  </si>
  <si>
    <t>m4rv1_
Quer ganhar uma renda extra? Siga
nossa página no Instagram (@TargetThrust),
comente "eu quero" e curta esse
post! #emprendedores #emprendimiento
#dinheiro #rendaextra #emprender
https://t.co/fnJvA1UlqW</t>
  </si>
  <si>
    <t>roletadozeq
Tutorial 00 - criando a conta na
plataforma de forma correta! .
Acessem o canal Gratuito na bio,
para seguir o passo a passo!🔥💸
. #dica #tutorial #roleta #cassino
#rendaextra #jogoonline #apostas
https://t.co/eHTdLdYXDl</t>
  </si>
  <si>
    <t>rafaelamorimofc
Nunca foi sorte. . . #comoganhardinheiro
#rendaextra #dinheiro #dinheiroonline
https://t.co/YNpVrIjcin</t>
  </si>
  <si>
    <t>caroljsjsantos
Ganhe até R$1,5 por participar
da oferta especial de fim de semana.
#ZeldaTOTK #Eurovision #Eurovision2023
#ThePlanetByBTS #BABYMONSTER #TearsOfTheKingdom
#Zelda #Acrostico #RenaissanceWolrdTour
#rendaExtra #dinheiro #tktk https://t.co/0kzFrrWtVh</t>
  </si>
  <si>
    <t>incriptomoedas
Aprenda absolutamente tudo sobre
Cookies Gourmet! Curso 100% em
vídeo com aulas práticas e detalhadas.
Certificado incluso. Do básico
ao avançado #rendaextra https://t.co/wu7TFzi2v9
https://t.co/wJvaRMfqLX</t>
  </si>
  <si>
    <t>oelberdomingos
Fiz um vídeo mostrando como você
pode fazer uma renda extra com
tecnologia em 2023. Vale a pena
checar. https://t.co/Sl3SZ0BGXe
#nocode #dinheiro #rendaextra https://t.co/V0wnnRIfA0</t>
  </si>
  <si>
    <t>hailsonmkt37825
#ganhedinheiroextra #trabalheondequiser
#trabalheemcasa #marketingdeafiliados
#dinheiroonline #dinheironainternet
#rendaextra #oportunidade #liberdadefinanceira
#sucesso https://t.co/QK4eokXM7f</t>
  </si>
  <si>
    <t>dielgo1
Happy Farmin pagando muitooo #fazenda
#happyfarmin #rendaextra #dinheiro
https://t.co/N3vR6ffw0N</t>
  </si>
  <si>
    <t>biomedestetta
💵FOLHA DO FGTS VIROU 💵 Precisando
de um dinheiro ?💰 Venha antecipar
seu FGTS Fazemos a simulação sem
Compromisso 😉bora fazer ? Nao
cobramos taxas! #pix #rendaextra
#fgts</t>
  </si>
  <si>
    <t>thiagorh2
https://t.co/6SdHPIs4XK #rendaextra
#frpromotora</t>
  </si>
  <si>
    <t>peekedoficial
Monetize seu Conteúdo com o Peeked!
📷📽️🎬🎶🤑 #Influencer #Influencers
#peeked #rendaextra https://t.co/TWLuS43daM</t>
  </si>
  <si>
    <t>maayaa665629
Plataforma nova Depositando 35
vc ganha 15 de bônus https://t.co/UV0Ak98fxB
#slots #rendaextra #Coldplay #FutebolNaESPN
#Celebrities https://t.co/XFsPQVMpNF</t>
  </si>
  <si>
    <t>silashenrique23
@choquei #Rendaextra</t>
  </si>
  <si>
    <t xml:space="preserve">choquei
</t>
  </si>
  <si>
    <t>info_joinville
Aprenda absolutamente tudo sobre
Cookies Gourmet! Curso 100% em
vídeo com aulas práticas e detalhadas.
Certificado incluso. Do básico
ao avançado #rendaextra https://t.co/2AEptIlrW5
https://t.co/Z8ArFnJ7S6</t>
  </si>
  <si>
    <t>top_dmais75
🙀🙍‍♀️Curso Depilação Profissional
- Oficial ✅Agora você pode se tornar
uma profissional em tempo recorde
e eficiente !! &amp;gt; De R$547,00
&amp;lt; 💵por apenas R$147,00 💳OU
12X DE R$14,67 no cartão de credito
🛒🔗Link Oficial : https://t.co/X7SGQ1GX5L
#cursosonline #rendaextra https://t.co/aZHdl8VCaJ</t>
  </si>
  <si>
    <t>luisbumba5
5 Dicas para Gerar Renda Passiva
&amp;amp; GANHAR DINHEIRO com Vídeo
no YouTube https://t.co/bo4aHizr4W
via @YouTube #DINHEIRO #RENDAEXTRA
#MONEY</t>
  </si>
  <si>
    <t>gutgot
https://t.co/fdcDqEr6x3 #gssf #vip
Ganhe 4 reais no registo. Ganhe
recompensas até nível 3 em referências.
#rendaextra #renda #paypal https://t.co/mpQMq11lnd</t>
  </si>
  <si>
    <t>solu_credito
As regras de contratação vão mudar
em breve! Aproveite o seu saldo
FGTS e realize os seus sonhos hoje
mesmo! Simule aqui: https://t.co/MFXR4vgd4S
SoluCrédito há mais de 20 anos
no mercado! #viajar #reforma #sonhos
#rendaextra #realizarsonhos #fgts
#concursos2023 #intercambio https://t.co/GHY9aAIH7H</t>
  </si>
  <si>
    <t>newsxablau
https://t.co/ddK8yMNb2T Renda Extra
Kwai #kwai #LoveIsBlindLIVE #RCBvsCSK
#LoveIsBlind #JacksonWangCoachella
#Curiosidades #rendaextra #dinheiro
#dinheiroonline #Brasil #usa #Twitter
https://t.co/gktlusTkSE</t>
  </si>
  <si>
    <t>metaversoinfo
Aprenda absolutamente tudo sobre
Cookies Gourmet! Curso 100% em
vídeo com aulas práticas e detalhadas.
Certificado incluso. Do básico
ao avançado #rendaextra https://t.co/rmlwSj2Sf6
https://t.co/R5iXUc5bUk</t>
  </si>
  <si>
    <t>hhabilidosos
Procurando uma Renda de Sua Casa?
Conseguir cuidar dos Filhos ao
mesmo Tempo que gera renda. A Quitanda
em Casa é para você. Clique aqui
e saiba como iniciar agora mesmo.
https://t.co/kJQ6bjOow8 #rendaextra
#comida #legumescongelados https://t.co/LnZ08Ge9u4</t>
  </si>
  <si>
    <t>geisa046
#rendaextra #trabalheemcasa #trabalhoonline
https://t.co/5jSCIH5fzQ</t>
  </si>
  <si>
    <t>laudelinoperei2
💸Se você "realmente" quer aprender
a como começar a faturar na Internet
e fazer de 2 a 10mil reais trabalhando
em casa, voce apenas precisa clicar
no link abaixo. https://t.co/fGSWt9fgAp
#motivacao #riqueza #empreender
#empreendertransforma #dicas #rendaextra
#ganhardinheiro https://t.co/liuebt5ceG</t>
  </si>
  <si>
    <t>rendaextradigit
Ensino e direncio para outros profissionais
especializados no curso que adquirir,
o curso é completo e antes que
você adquira ou tenha interesse
e doado 3 aulas introdutórias GRATUITAS!
Saia da Matrix Vem fazer dinheiro
e ensinar pessoas a fazer dinheiro!
#rendaextra #afiliados https://t.co/dgsupNtatk</t>
  </si>
  <si>
    <t>brenosantz
https://t.co/RuKwTCH5kY #dolar
#ysense #rendaextra #reais #ganhardinheiro
#ChatGPT</t>
  </si>
  <si>
    <t>ricardojalesbh
Vem conhecer a ferramenta que mais
cresce no mercado. Recebo sinais
24 horas por dia. Quer saber mais
chama no privado #botizi #mercadodeapostasesportivas
#mercadodeapostas #extra #rendaextra
#sinais https://t.co/4jqc01wwcR</t>
  </si>
  <si>
    <t>erickssonfer
Aprenda o que é o Marketing de
Afiliado, como funciona, e quais
são as suas vantagens e desvantagens.
#Marketing #rendaextra #trabalharemcasa
https://t.co/XLEHFN9mZm</t>
  </si>
  <si>
    <t>souapenasv
Nesse vídeo, revelo como você pode
ganhar dinheiro apenas usando o
seu celular. Aprenda como começar
um negócio digital sem dinheiro
para investir. Comece hoje mesmo
seu negócio digital. #dinheiro
#rendaextra #marketingdigital https://t.co/61nyjwbMW0
https://t.co/APapCL2H1F</t>
  </si>
  <si>
    <t>rodrigo_itaya
Tô falando, cai vendas todo dia!
#acredita #dinheiro #rendaextra
#BBB23 #bbb2023 https://t.co/qICYQYU7Ur</t>
  </si>
  <si>
    <t>promodaduda
Quer ter flexibilidade, ganhos
ilimitados, baixo custo de entrada,
libertação nos horários e liberdade
financeira? Isso é possível no
mercado digital! Deixo a foto dos
meus ganhos operando apenas 10
dias! https://t.co/Eh5MjwcT8i #mercadodigital
#rendaextra #marketingdigital https://t.co/F7Tu8piHHl</t>
  </si>
  <si>
    <t>tidomundo
Aprenda absolutamente tudo sobre
Cookies Gourmet! Curso 100% em
vídeo com aulas práticas e detalhadas.
Certificado incluso. Do básico
ao avançado #rendaextra https://t.co/PeyF4aTT1l
https://t.co/Zic4bt4Al0</t>
  </si>
  <si>
    <t>cozinhandoemdd
🔴Mousse de Chocolate muito fácil
e gostoso, Faça e venda #rendaextra
#re... https://t.co/es4P8hhclu
via @YouTube</t>
  </si>
  <si>
    <t>devmichelly
Vem aproveitar essa mega PROMOÇÃO
DO DIA DAS MÃES, só hoje está com
o valor de R$ 49,99 https://t.co/0R9fs6vn1B
#ondecomprar #primeiravenda #rendaextra
#dinheiroonline https://t.co/lM2fXgJvGJ</t>
  </si>
  <si>
    <t>lunaticasz51690
#cassino #rendaextra #Plataforma
CASAS IGUAIS A ALANO Bônus de cadastro
$3 VIDEO SLOTS https://t.co/b7w2Mwnm2y
BR8 CASA NOVA https://t.co/S2LQNOuMol
https://t.co/dKohNCiPp0 https://t.co/4GQQGwhJn5</t>
  </si>
  <si>
    <t>juliocesar12shp
#musculação #emagrecimento #rendaextra
https://t.co/Ns0HFeYcjU vendo vários
produtos de emagrecimento, musculação,
renda extra etc https://t.co/L4yxyUU7Ld</t>
  </si>
  <si>
    <t>adriano0406038
Super desconto 🔥🔥🔥 corre e garanta
o seu que ainda dá tempo! Frete
grátis 🎁 Link 👉https://t.co/SwY3Xtzlvd
#empreendedor #afiliado #marketingdeconteudo
#trabalharemcasa #motiva #rendaextraemcasa
#vendas #empreendedorismodigital
#dinheiroonline #empreendedordigita
https://t.co/9nlIleA8QV</t>
  </si>
  <si>
    <t>cartoesmilhas
5 motivos para vender milhas no
meu Balcão de Milhas - Cartões,
Milhas e Viagens https://t.co/MehAhu2a0F
#balcao #balcaodemilhas #milhas
#rendaextra</t>
  </si>
  <si>
    <t>clubefii
Conta pra gente nos comentários,
quantos pontos você fez? E qual
desses objetivos você mais deseja
alcançar? 🏆 #ClubeFII #Finanças
#FIIs #FundosImobiliários #Investidor
#Empresário #RendaPassiva #RendaExtra
https://t.co/Je0GcMhyJE</t>
  </si>
  <si>
    <t>souplatina
https://t.co/tUYH3YHylK . . . #fogão
#casa #comida #rendaextra #vendaonline
#magazineluiza #dicas #lar https://t.co/uPCuetynfL</t>
  </si>
  <si>
    <t>r2premiumnegoci
Alcance a liberdade financeira
em apenas 7 dias! Aumente seu score
de crédito e desbloqueie oportunidades
ilimitadas. Link na BIO! #score
#credito #nomelimpo #dinheiro #rendaextra
https://t.co/Ckajh1x0I1</t>
  </si>
  <si>
    <t>forumdefesa
Os aposentados e pensionistas do
INSS já começaram a receber o depósito
do seguro com valor atualizado
desde o dia 25 de janeiro. Leia
em: https://t.co/ggpsyAqcHy #aposentados
#pensionistas #inss #deposito #rendaextra
#forumservicopublicoceara https://t.co/6l1Ihl41Id</t>
  </si>
  <si>
    <t>0neightwo
@startupdareal #prayforblaze #rendaextra</t>
  </si>
  <si>
    <t xml:space="preserve">startupdareal
</t>
  </si>
  <si>
    <t>famainfoco
https://t.co/L5pBEAfbfG #dinheiro
#rendaextra #trabalho</t>
  </si>
  <si>
    <t>demetriusbrasil
Conheça todos detalhes e se inscreva
gratuitamente.. Ganhe suas primeiras
moedas .. https://t.co/aq4zZYsz9u
#cincoin #cincoinbrasil #bitcoin
#Ethereum #rendavariavel #rendaextra
https://t.co/Cw9s4hyp6y</t>
  </si>
  <si>
    <t>zahrah_br
NEGÓCIOS &amp;amp; PROPÓSITO - Seu
trabalho pode ser muito mais que
uma obrigação. Torne-o uma forma
de servir pessoas com amor e deixar
sua Marca no Mundo! #somoszahrah
#empreendedorismofeminino #empreendedorismodigital
#mulheresempreendedoras #mulheres
#mulheresenegocios #rendaextra
https://t.co/hsQWpeN7Ln</t>
  </si>
  <si>
    <t>bruno_n23
Essa aluna só tem 16 anos e já
fatura muinto atravez do formula
renda extra.mande um eu quero que
eu te ensino a como faturar na
internt . #mãedesenpregadas #pais
#jovens #rendaextra #mulheres #jovens
https://t.co/7MqVx0lJB6</t>
  </si>
  <si>
    <t>afbv2020
APP PAGANDO 10R$ NO CADASTRO! fred
alface VP Vitor Pereira #RendaExtra
#App Fred Bruna Sapato Key Guimê
#FicaKey MC PIPOKINHA larissa tadeu
#ForaKeyAlves jogo da discórdia
#bcgames as five https://t.co/OONzJwULB9</t>
  </si>
  <si>
    <t>ofertazinhas
Plataforma nova que tá pagando
muito Corre que tá muito boa Acesse
&amp;gt;&amp;gt;&amp;gt;&amp;gt; https://t.co/8ZRdvRQU2S
#slotonline #rendaextra https://t.co/JuNLqFxqsI</t>
  </si>
  <si>
    <t>elainebelicia
🔗https://t.co/FPpOk2rMPD #rendaextra
#ondecomprar #kawaii #kawaiigirl
#DiaDosPais #o https://t.co/vr9cVxEl1B</t>
  </si>
  <si>
    <t>magridtonini
Está pronto(a) para tirar sua ideia
do papel? Leia mais em: https://t.co/0PmlFNwa1B
. . . #ideias #projetos #gestãodeprojetos
#implementação #vendas #online
#projetosdigitais #rendaextra https://t.co/dvtKeEONBl</t>
  </si>
  <si>
    <t>gigdoll24
#youtuber #ganhardinheiroonline
#ganhardinheironainternet #rendaextra
#rendaextraemcasa #empreendedorismo
#empreendedorismodigital #marketingdigital
https://t.co/mLKsrUgkSm</t>
  </si>
  <si>
    <t>lucaspereira_ef
Metas de vida para os 40 anos!
https://t.co/vzvbxkx1Su via @YouTube
#estilodevida #dinheiro #finanças
#educaçãofinanceira #objeitvos
#rendapassiva #rendaextra #reservadeemergência
#saúde #investimentos #investir
#empreendedorismo #negócios #ações
#fundosdeinvestimento #economia</t>
  </si>
  <si>
    <t>fsouza2545
#นายกคนที่30 #rendaextra #comission
#blackrob #100日チャレンジ https://t.co/6yjeF9wSbI</t>
  </si>
  <si>
    <t>sjcley
🔥 HAPPY FARMIN 🔥 Joguinho pagando
no pix! Consegue jogar sem nenhum
investimento e ainda tirar uma
moeda 💸 💥 LINK NA BIO 💥 . .
. . . . . . . . #happyfarmin #gaming
#farm #rendaextra #homeoffice #marketing
#marketingdigital #youtube #youtuber
#streemer #codmobile #freefire
https://t.co/iH4VjCEkTR</t>
  </si>
  <si>
    <t>maestriariqueza
Se Tem Esses Hábitos, Você Não
Terá Um Bom Futuro Financeiro!
https://t.co/bU7ts6Csge via @YouTube
#rendaextra #habitosfinanceiros
#maestriadariqueza #riqueza #dinheiro
#prosperidade</t>
  </si>
  <si>
    <t>alexsandracms
Ganhe 100 no pix! #rendaextra #ganhe
#Oportunidades https://t.co/2EdcKhSQK3</t>
  </si>
  <si>
    <t>ia_double_pro
Agosto começou como? 0h-6h 7✅️🔴🟢
0⚪️ 0❌️ Acompanhe nossos ganhos
👇👇👇 https://t.co/WwaIVh4YLL
#rendaextra #Casino https://t.co/tCI7NaWwHD</t>
  </si>
  <si>
    <t>yvedeoliveira
Sobre o óbvio que precisa ser dito!
📰🎤🧏🏻📷🔮 #educação #futuro
#futurism #criatividade #cursosonline
#escritacriativa #cursodeescritacriativa
#guarulhos #brasil #rendaextra
#escrita #ideiascriativas #inovação
#futurodotrabalho #curadoria https://t.co/mqYm0J9yM9</t>
  </si>
  <si>
    <t>ocapitaldigital
A educação financeira é uma das
bases para a saúde contínua do
indivíduo e da sociedade. #educacaofinanceira
#ocapitaldigital #ocapital #investimento
#dividas #rendaextra #Investimentos
https://t.co/xZGso5Au0I</t>
  </si>
  <si>
    <t>extrafluxo
Essa dica é boa. 🤗 Vem ver aqui
com a Nath pra fazer seu dinheiro
render mais. 💰 Quer saber mais?
No link da Bio. #rendaextra #rendaextraemcasa
#viverderenda #fluxorendaextra
https://t.co/I0LRSpEviJ</t>
  </si>
  <si>
    <t>home_office26
Pagando muito e dando bônus de
cadastro 🤑 você ainda pode reinvindicar
bônus todos os dias por compartilhar
no Facebook, whatsapp...💰💸 https://t.co/6yyFmTs2jO
#rendaextra #dinheiro #jogos #onlyfan
https://t.co/XFj3DKhl9D</t>
  </si>
  <si>
    <t>correiodeminas
Lei assinada por FHC em 97 pode
fazer brasileiros receberem R$
2.000 de renda extra; entenda por
quê #correiodeminas #lei #fhc #recebimetno
#2milreais #rendaextra #correiodeminasonline
https://t.co/eIDNz2wJyd https://t.co/MzetAZUBvl</t>
  </si>
  <si>
    <t>matheuspradode4
Ei, olha esse site com artigos
completos que eu achei: https://t.co/TbXmpthYHW
#Topic #investimentos #jogoonline
#rendaextra https://t.co/0SEscJVtCj</t>
  </si>
  <si>
    <t>lipeinveste
BRADESCO (BBDC4 E BBDC3) VALE A
PENA EM 2023? PREÇO CAINDO É OPORTUNIDAD...
https://t.co/wydpclZQDu via @YouTube
JÁ PENSOU EM COMPRAR AÇÕES DO BRADESCO
EM 2023? CONFIRA SE VALE A PENA!
#bradesco #bbdc4 #bbdc3 #ações
#dividendos #investimentos #rendaextra
#finanças #dinheiro</t>
  </si>
  <si>
    <t>eddie_poker
Alcance sua independência financeira
no marketing digital. Aprenda como
faturar alto com vendas pela internet
e se tornar um afiliado profissional.
#GanharDinheiro #RendaExtra #RoboMilionario
#BBB23 Saiba mais ➡️ https://t.co/nAmmvAraA5
https://t.co/RLaLQZK9az</t>
  </si>
  <si>
    <t>discoverrecipes
#cooking #chickenrecipe #cookingvideos
#dinnerrecipes #foodvideos #ovosdecolher
#recipes #rendaextra https://t.co/hBeo9jwoA5</t>
  </si>
  <si>
    <t>ricardofabrizio
Aproveite esta oportunidade de
aumentar sua renda com um uma nova
atividade profissional, sem que
interrompa aquilo que já faz !
Aproveite !!! https://t.co/3U8PMZqJIS
#peritojudicial #rendaextra #cursoonline
#promocao #oportunidade https://t.co/TLJW1XXJNL</t>
  </si>
  <si>
    <t>matheus55233118
#marketingdigital #marketing #o
#empreendedorismo #digitalmarketing
#socialmedia #instagram #business
#branding #socialmediamarketing
#sucesso #marketingstrategy #a
#empreender #negocios #marketingtips
#marketingonline #brasil #dise
#digital #design #rendaextra #emprendedores
https://t.co/8N3ofiSXWQ</t>
  </si>
  <si>
    <t>bunnieshole
Marque o seu lugar na comunidade
digital com a venda de packs +18
na Bunnies Hole! 🌐💰 Transforme
a sua arte em renda extra e faça
parte dessa revolução online! 🐰💜
. . . . . . . . #BunniesHole #VendaDePacks
#CriadoresDeConteúdo #RendaExtra
#Monetização https://t.co/5XBQomTi7z</t>
  </si>
  <si>
    <t>lucasmkd701
#empreendedorismo #dinheiro #sucesso
#empreender #rendaextraemcasa #empreendedor
#ganhardinheiro #negocios #dinheiroextra
https://t.co/5E45NMiCxA</t>
  </si>
  <si>
    <t>b1_bet
Ao se tornar afiliado da b1, você
consegue fazer uma renda extra
divulgando e jogando na nossa plataforma.
Maneiro né? #b1bet #apostaesportiva
#apostaoline #apostadivertida #Apostar
#Apostas #cassino #cacaniquel #afiliados
#rendaextra</t>
  </si>
  <si>
    <t>ex_terior
Nos Estados Unidos, a indústria
da maconha legalizada empregou
cerca de 321.000 pessoas em 2021,
segundo dados da Leafly, um aumento
de 32% em relação a 2020. #usa
#economia #empregos #rendaextra</t>
  </si>
  <si>
    <t>tribunapr
Pensando em fazer aquela grana
extra? Confira essas dicas! https://t.co/MQlQFal2C4
#rendaextra #Curitiba #tribunapr</t>
  </si>
  <si>
    <t>fpribeiro8383
"Deseja aumentar sua renda? Descubra
estratégias comprovadas para alcançar
uma renda extra de forma inteligente
e segura. Entre em contato comigo
e vamos traçar juntos seu caminho
rumo ao sucesso financeiro! 💰
#RendaExtra #ConsultorFinanceiro"
#ganhedinheiro #dinheiro</t>
  </si>
  <si>
    <t>edsonbatista205
Atenção revendedores #vendas #rendaextra
#dinheiro https://t.co/ezKEpoaR6G</t>
  </si>
  <si>
    <t>xcxalessandra
Estou pensando em Renda extra vendendo
pulseira de miçangas e etc.📿#empreendedora
#miçangas #rendaextra</t>
  </si>
  <si>
    <t>samuelzaim
Como vender mais no meu comércio?
Fico feliz em saber que você está
buscando maneiras de obter mais
sucesso no seu comércio. Acesse
o site aqui: https://t.co/MMnwmsYZil
#comercio #emprender #rendaextra
https://t.co/R3EsL0Bgq6</t>
  </si>
  <si>
    <t>juliana46402600
Vamos trocar impulso? #kwai #impulso
#golds #rendaextra Clique para
me ajudar! Só falta um pouquinho
para ganharmos bônus de até 2.400.000
Kawi Golds juntos https://t.co/jXc1Lc3UkF</t>
  </si>
  <si>
    <t>bbspremios
Marque os números da sorte e entre
na competição pelo grande prêmio!
🤑🍀🍀 https://t.co/nfKnFEyCsI
#sabadou #bingo #rendaextra https://t.co/dIQMEGemwH</t>
  </si>
  <si>
    <t>ahawblocfarm4
#meindica #plr #marketingdigital
#rendaextra (ATUALIZADO) Me Indica!
PREMIUM 4.0 Saiba Mais: https://t.co/uDtJclPx42
https://t.co/mnuYbVHFit</t>
  </si>
  <si>
    <t>livinhoo_01
Plataforma nova, venha fazer a
sua Fezinha de final de semana.
🙏💰 https://t.co/c5McS0N0hd #fortunetiger
#fortuneox #fortune #games #slots
#slotsgames #jogosonlie #dinheiro
#rendaextra #fe https://t.co/6y8UFCSvMJ</t>
  </si>
  <si>
    <t>naildesucesso
Faça uma renda extra com designer
de unhas https://t.co/xX1ZrPCRRC
#unhas #viral #unhas #unhasperfeitas
#rendaextra #design #designer #nails
#nail https://t.co/Gbfay2RdqW</t>
  </si>
  <si>
    <t>nogueiradioxote
Uma ótima opção. Eu uso e recomendo.
Link na bio descrito Amax Ultra.
Pede lá e receba com frete grátis
em 12x no cartão. #vendas #estrategia
#marketing #niver #comediabaiana
#laele #bahia #tecnologia #relogio
#lucroémelhorquesalário #rendaextra
https://t.co/KkhpZoXZw1</t>
  </si>
  <si>
    <t>aline_avon
ITAPEVI E JANDIRA!! 👇https://t.co/GpsDSyIhxQ
#avon #AvonTáOn #avonperfume #avonmodaecasa
#Avon #RepresentanteDaBelezaAvon
#empreendedorismofeminino #avonbrasil
#mulherempoderada #mulherempreendedora
#avoncasaeestilo #avonbaton #avonmaquiagem
#oportunidadedetrabalho #rendaextra
https://t.co/hoSBfDW61F</t>
  </si>
  <si>
    <t>onlinedealmaker
#rendaextra #dinheironaadolescencia</t>
  </si>
  <si>
    <t>rafael97393
#MarketingDigital #marketingdeconteudo
#empreendedorismo #emprendedores
#rendaextra https://t.co/uXlzKJTIgN</t>
  </si>
  <si>
    <t>geracaogm
Quer lucrar ainda mais? Nosso Pack
de PLR's sobre Renda Extra é a
chave para o seu sucesso financeiro!
Não perca essa chance! Me chama
que te passo o link🧠💰 #PLRs #RendaExtra
#SucessoFinanceiro</t>
  </si>
  <si>
    <t>campossecrett
🔥Cansado(a) de viver sem dinheiro?
💥Mude sua vida agora! 💰Clica
no link e aprenda a fazer dinheiro
em qualquer lugar de Portugal usando
apenas seu celular📲 Link: https://t.co/EDZxXdHYdT
. . . #rendaextra #business #comoganhardinheiro
#marketingdigital #afiliado https://t.co/C5NE3ZP6bi</t>
  </si>
  <si>
    <t>jittudesign01
Unique Creative ADS!!!!! #googleads
#marketingstrategy #digitalmarketingtrends
#digitaladvertising #digitalmarketer
#marketingstrategies #afiliadosbrasil
#afiliados #afiliadoshotmart #rendaextra
#trabalhoonline #jittudesign https://t.co/cj1fCu0KAD</t>
  </si>
  <si>
    <t>murilo_business
Vem que eu te ensino, link na bio
🤑💸 #rendaextra #MarketingDigital
#liberdadefinanceira #sucesso #empreendedorismo
https://t.co/rPqOT0XI3C</t>
  </si>
  <si>
    <t>wsleyslva
⚠️Plataforma POPBRA⚠️ PAGANDO muito
galera 👇👇👇👇👇👇👇👇👇 Ganhe
10 reais no primeiro deposito da
POPBRA 👇👇 E AIND PODE GANHAR
ATE 101 REAIS POR SER MEMBRO NOVO
https://t.co/U16CKkhln6 Obs: chama
o gerente #cassino #rendaextra
#dinheiro</t>
  </si>
  <si>
    <t>eudrpimenta
SEXTA-FEIRA MEI DIA #rendaextra
#negocios #motivacional https://t.co/6XmFCLbKsA</t>
  </si>
  <si>
    <t>pense_rico
Marca seu amigo que adora joguinho
e site de aposta #bet #blaze #aposta
#investimento #rendaextra APOSTA
NÃO É RENDA EXTRA https://t.co/szYCXPtZHC</t>
  </si>
  <si>
    <t>ogabreu_
ABADOU! 10 robozinhos no precinho!
Blaze, aviator, roleta, dados e
cards! Entre no link para adquirir:
https://t.co/3dbPkG1l2I #blaze
#cassino #apostas #aposta #roboblaze
#botblaze #bet #dinheiro #rendaextra
#cassino #aviaozinho #sabado #fimdesemana
#fds https://t.co/yt6tttR1di</t>
  </si>
  <si>
    <t>wendell56720540
Quais das opções abaixo você se
encaixa? Comece por aqui : https://t.co/nPTEyYCKtG
#rendaextra #metadolar #dolar #trabalhardecasa
#vinisolto #clickbank #hotmart
#mktdigital https://t.co/TclxX7HeE3</t>
  </si>
  <si>
    <t>milionaria_br
Aprenda hoje a ganhar dinheiro
trabalhando em casa usando apenas
o seu celular! Comenta "EU QUERO".
. . . #MarketingDigital #empreendedorismofeminino
#rendaextra #afiliada #empresas
#liberdadefinanceira #MONEY</t>
  </si>
  <si>
    <t>cortescomestilo
Como começar agora mesmo #thiagohora
#thiagohorapodcast #marketingdigital
#rendaextra https://t.co/cUaPX4KSZH</t>
  </si>
  <si>
    <t>paulasouza48562
Plataforma de jogo que mais me
deu ganhos até agora #JogoTigre
#RendaExtra #Fortunetiger https://t.co/tArNyMQXhx
https://t.co/Swgp0w8zQv</t>
  </si>
  <si>
    <t>coreanasfrases_
E pra você que gosta de apostar,
não se esqueça de usar meu cupom
"perdendogranaigualotario" na KPOPBET
para ganhar um bônus de até R$10.000
reais no primeiro depósito e̶ ̶e̶n̶c̶h̶e̶r̶
̶o̶ ̶m̶e̶u̶ ̶b̶o̶l̶s̶o̶ ̶d̶e̶ ̶d̶i̶n̶h̶e̶i̶r̶o̶.
#publi #rendaextra #nãoégolpe</t>
  </si>
  <si>
    <t>cempreende
https://t.co/g4Yzg39jzb #rendapassiva
#trabalheemcasa #rendaextra</t>
  </si>
  <si>
    <t>sobrancelhas_id
Resultado perfeito e magnífico
dessa sobrancelha 😻 Invista em
sua carreira na área de beleza
com nosso curso de design de sobrancelhas
perfeitas. Clique no link e aprimore
suas técnicas para atender às demandas
do mercado.#sobrancelhas #rendaextra
#beleza #trabalho #maquiagem https://t.co/MjTYhNyd2e</t>
  </si>
  <si>
    <t>eu_danieleanile
🔴 Técnicas atualizadas em 2023
! Olha esse resultado da Milla
😍 ,está faturando 8k mensais Designer
Alongamento de Unhas e você adquire
por $47‼️ ⭕️ https://t.co/aMEW3thX3V
#unhas #nailsdesigner #nails #bbb23
#viral #promo #vendasonline #vendas
#rendaextra #ondecomprar https://t.co/lYohjqRjw6</t>
  </si>
  <si>
    <t>ardennessi93834
🔥 Valor promocional por tempo
limitado! Inscreva-se agora mesmo
e economize! Não deixe para depois!
Clique no link da Bio e garanta
sua participação no curso de marketing
por apenas R$ 30,00 Fórmula 5k
Link na Bio❤️ #RendaExtra #TrabalhoEmCasa
#GanharDinheiro #NegócioPróprio
https://t.co/WO11cuC179</t>
  </si>
  <si>
    <t>telegrupos
Comunidade de Marketing Gratuito
#Hotmart #Markenting #MarketingDigital
#Monetizze #Rendaextra https://t.co/zHfdHs3tj0
https://t.co/Kzm09sFCh2</t>
  </si>
  <si>
    <t>olhargreen
Como Ganhar Dinheiro Lendo E-mails:
7 Sites para Geração de Renda Extra
- Olhar Green #rendaextra https://t.co/yud4hVFB11
https://t.co/K6HzJNQd1i</t>
  </si>
  <si>
    <t>canal7ag
#Pascoa #rendaextra #chocolate
#dinheiro #YouTuber #receitas https://t.co/rCvK6HCmKe</t>
  </si>
  <si>
    <t>jfugice
DICA BÔNUS! Seja afiliado de um
grande Market Place, como Amazon,
Magalu entre outros, assim sempre
que alguém fizer uma compra no
app com seu link, você vai ganhar
uma comissão por isso, gerando
uma boa renda extra. #MeuNegócio
#RendaExtra #Aplicativos #Empreendedorismo
https://t.co/sGunku7PLt</t>
  </si>
  <si>
    <t>tamiscosta_
Olá, meu nome é TAMIRES e este
é o meu link para você comprar
a sua Tele Sena https://t.co/C6kLD614k3
. Com um clique, você concorre
a milhões em prêmios. Compre já
a sua! #rendaextra #telesena</t>
  </si>
  <si>
    <t>tchoyasilva1
#rendaextra #cripto https://t.co/MzlqOPCaNN</t>
  </si>
  <si>
    <t>slotsdazuzu
🚨 LANÇAMENTO DA MEGA SLOTS.🚨
🐻 BEAR 777 🐻 https://t.co/OK1T3hdZ4W
💵 RECARGA MÍNIMA: R$ 20,00 💰
SAQUE MÍNIMO : R$ 50,00 🍀 BOA
SORTE A TODOS , QUERO QUE LUCREM
BASTANTE !! #cassinoonline #plataformaspagantes
#rendaextra #estrategias #fortuneox
#joguinho https://t.co/3fKgvlHbJH</t>
  </si>
  <si>
    <t>loohcarolline
nunca acreditei no joguinho do
tigre fui tenta, coloquei 10 e
com 0.50 centavos poucas tentativas
ganhei 40🙆🏻‍♀️ https://t.co/z1W62TLW4c
#ganhardinheiro #dinheiro #rendaextra
#akfet https://t.co/OpqfOE9zoD</t>
  </si>
  <si>
    <t>jobsonpacheco
Um presidente de verdade? TEMOS!
FAZ O L! #lula #presidente #brasil
#mudança #transformação #evolução
#bemestar #dignidade #dinheiro
#money #emprego #rendaextra #renda
#trabalho #work #investimento #oportunidade
#chance #desenvolvimentopessoal
#desenvolvimento #comida #casa
https://t.co/bZW8LEF1yz</t>
  </si>
  <si>
    <t>renatamontezz
GANHE AGORA $$$ https://t.co/Tqw967F40w
#ondecomprar #pix #rendaextra</t>
  </si>
  <si>
    <t>prateleirao
Curso de manicure profissional
com certificado. Acesse: https://t.co/5fRh0yX5xH
#rendaextra #cursos #manicure #Escola
#mulheres https://t.co/3h75QIaeeT</t>
  </si>
  <si>
    <t>patriciafini
Conhece essas profissões? ⤵ 💰Parceira
de lojas famosas 💰Afiliada Digital
💰Freelancer Digital 💰Social mídia
💰Dropshiping 💰Assistente virtual
Todas para você trabalhar na Internet.
Quer saber como ? Clique aqui e
saiba mais 👇🏼 https://t.co/2N4Q8fIw8Z
#rendaextra</t>
  </si>
  <si>
    <t>engdaniloarruda
🔑 Descubra o segredo para a grandeza
financeira! Prepare-se para dominar
os investimentos imobiliários com
o guia definitivo para o sucesso.
📚💰 https://t.co/N7xhSqu0wM #dinheiro
#rendaextra #investimentos #ebook
https://t.co/A0ZSyApI7n</t>
  </si>
  <si>
    <t>mtalham2019
Grow Your Business Digitally With
TR Digital Marketing agency .✨🙌🔥🔥💥💥
#marketingdigital #digitalmarketing
#hotmart #hotmartafiliados #afiliadosbrasil
#afiliados #afiliadoshotmart #rendaextra
#trabalhoonline #rendaonline #googleads
#marketingstrategy #digitalmarketingtrends
https://t.co/gJPSGO7hb5</t>
  </si>
  <si>
    <t>trajano85
Venha empreender! Siga nosso perfil
no insta… https://t.co/ZDmcs97y0B
#oleosesseciais #emprendimiento
#rendaextra #doterra #qualidadedevida</t>
  </si>
  <si>
    <t>produtosdivulg2
👉🔴 Radar Milionário FUNCIONA?
Radar Milionário Vale a Pena? A
VERDADE! https://t.co/IxcZEfymvM
via @YouTube #RENDAEXTRA #RADARMILIONARIO</t>
  </si>
  <si>
    <t>fdcabral14
Mais de 2,5 (jogo 1) ✅ Mais de
2,5 (jogo 2) ✅ Casa ou Fora (jogo
3) ✅ DEU GREEEENNNN !!!! #rendaextra</t>
  </si>
  <si>
    <t>sabrina63789572
Junte-se ao Rei Macaco para causar
estragos no palácio celestial e
conquistar os melhores ganhos com
Gamble City!!! Cadastre-se agora:
https://t.co/Z0MqQ9sEao #gamblecity
#ganhos #pgsoft #cassino #rendaextra
#ganhosaltos #Neymar #trump #vexame
https://t.co/mNnkOvycIa</t>
  </si>
  <si>
    <t>imdasmilhas
Até amanhã (28/03) você pode ganhar
até 8 pontos Livelo a cada R$1
em compras na Livelo. Quer saber
mais? Clique no link disponível
na Bio e confira a matéria completa
em nosso blog. #milhas #pontos
#lucro #beneficios #rendaextra
#investimento #desconto https://t.co/VrCoMPG04q</t>
  </si>
  <si>
    <t>glauvendramini
Já saquei mais de 700 reais na
365 com banca pequena. Como eu
Jogo ⬇️⬇️⬇️ https://t.co/rVi0y1vz1c
🎯 Limpar o Cache Antes 🎯 Verificar
o BitCoin 🎯 Verificar porcentagem
a cada ganho. #jogosonline #jogos365
#slots #slotsonline #rendaextra
#rendaextraonline #sortegrande
https://t.co/MxovMcDlyl</t>
  </si>
  <si>
    <t>dolarbusinesia
#InteligenciaArtificial #dolar
#rendaextra https://t.co/4nspQ3jEm7</t>
  </si>
  <si>
    <t>p23matheus
Se torne uma manicure profissional
de Alongamento de Unhas e fature
muito. Aprenda o passo a passo
completo que vai te ensinar uma
das profissões mais lucrativas
do momento #umhas #manicure #rendaextra
#cursoprofissionalizante #alongamentodeunhas
https://t.co/AZJcjRT6Kt https://t.co/05ZgnsGOi7</t>
  </si>
  <si>
    <t>tamires89333921
Os laços de cabelos , são acessórios
indispensáveis no guarda roupas
de qualquer menina. Aprenda como
fazer laços de cabelos de diversos
tamanho e cores. Acesse agora :https://t.co/umCJkYZ5aA
#laços #lacinhosbaby #rendaextra
https://t.co/tKnoQ1iDVy</t>
  </si>
  <si>
    <t>patriciacunha70
E se eu dissesse que existe uma
maneira de você ganhar comissão
com as suas próprias viagens?!
#empreendedorismo #viagens #rendaextra
#empreender #trabalhoemcasa https://t.co/bnWtVhZzFl</t>
  </si>
  <si>
    <t>kapituka
Gente melhorou mais ainda ! Aproveitem
antes que acabe. Clica e veja vc
mesmo! #Giro #Apps #TikTok #rendaextra
Clique para me ajudar e participe
da atividade comigo para ganhar
R$1000. Os usuários inativos também
podem participar e ganhar dinheiro!
https://t.co/s0fWsv1CEO</t>
  </si>
  <si>
    <t>marmatstore
Busco pessoas que estejam cansadas
do seu trabalho e que queiram trabalhar
de casa com vendas Online Comente
eu quero!! #independenciafinanceira
#feo #liberdadegeografica #rendaextra
#rendaextraemcasa #homeoffice #trabalhodigital
https://t.co/QHvMchpVkH</t>
  </si>
  <si>
    <t>sandrinnis19082
Oportunidade de Negócios!😉💰 Você
sabia que é possível ganhar dinheiro
extra sem sair de casa? Sim, isso
mesmo! 📲💻 dinheiro #RendaExtra
#sucesso #empreendedorismo #empreender
#empreendedor #marketingdigital
#motivação #foco #entretenimento
#liderança #negocios #marketing
https://t.co/L0DFS7daZQ</t>
  </si>
  <si>
    <t>reviewautocon
COMO escolher Um curso Na Hotmart
- Dicas Para Não Errar https://t.co/3gXGTOjB2z
via @YouTube #cursos #hotmart #rendaextra</t>
  </si>
  <si>
    <t>atacadodes31049
🛑Insta Money🛑 📈Investimentos
e Finanças 📌QUER APRENDER A FAZER
UMA RENDA EXTRA COM SEU INSTAGRAM
? 📌ACESSE : https://t.co/UcWLO6ux7D
#rendaextra #finaças #investimento
#instagram #Marketing https://t.co/qVve6lC7LD</t>
  </si>
  <si>
    <t>juninhobraguim
Por que você ainda não se tornou
expert em índice futuro? Acesse
o Clube do Braga e venha aprender
! Consistência resiliência e método!
#daytrade #swingtrading #rendaextra
https://t.co/1UxcSL5DFY</t>
  </si>
  <si>
    <t>diegoskda
Sempre o melhor, pois você pode
está sendo avaliado e ter ou perder
uma oportunidade muito grande..
. . #empreendedorismo #o #marketingdigital
#empreender #sucesso #marketing
#empreendedor #a #brasil #negocios
#foco #dinheiro #motiva #rendaextra
#empreendedorismofeminino https://t.co/qBYC6aw83A</t>
  </si>
  <si>
    <t>flavmartiins
Já pensou em trabalhar com essas
Marcas? Faço vendas todos os dias
com essas marcas sem investir.
Quer aprender como? https://t.co/ufvZsDMTU0
#ondecomprar #marketingjobs #rendaextra
#liberdadefinanceira https://t.co/eWY9afmO9n</t>
  </si>
  <si>
    <t>tbccrypto
RENDA EXTRA COM FAUCETS CRIPTOMOEDAS
GRÁTIS CRYPTO FAUCET #rendaextra
#b... https://t.co/UT2SoMIa7p via
@YouTube</t>
  </si>
  <si>
    <t>shaderman_
Já pensou em fazer uma renda extra
pela a internet ou viver apenas
disso? Pois bem, eu posso mostrar
a você o caminho do marketing digital.
Entre em contato comigo no Telegram
que eu vou te enviar uma aula grátis
de como tudo isso é possível! https://t.co/P8ZpdO63um
#rendaextra</t>
  </si>
  <si>
    <t>taniacsilvaa07
Não se compare com mais ninguém.
Afiliada travada? Clica no link
da minha bio e destrave. #rendaextra
#MarketingDigital #afiliados #vendassemaparecer
https://t.co/gpHFe8UJmV</t>
  </si>
  <si>
    <t>migxs
Queremos você como uma modelo #Migxs
😍 Realize seu cadastro e comece
a ganhar #dinheiro 💸 https://t.co/RyvwZqNvMg
👈 #packdope #packdopézinho #cute
#modelo #rendaextra https://t.co/YCFUI3Zd9a</t>
  </si>
  <si>
    <t>folhacondominio
A NECESSIDADE DO TRABALHO, MESMO
NA APOSENTADORIA Por: * Priscila
Arraes Reino https://t.co/KXPXBSciUo
... Sabemos que em nosso País muitas
vezes a aposentadoria por si só
é insuficiente para garantir ...
#Idosos #INSS #RendaExtra #Vida
#Previdência #Riscos https://t.co/Fgal2u43Zn</t>
  </si>
  <si>
    <t>marciapapf
#compraonline #rendaextra Compre
comigo e revenda! Excelentes oportunidades
https://t.co/HExAMfeqDY https://t.co/kEwKIzykLZ</t>
  </si>
  <si>
    <t>bladedaquebrada
📣 New Podcast! "5 SITES PARA VOCÊ
GANHAR UMA RENDA EXTRA E NÃO MORRER
DE FOME! - #17" on @Spreaker #bladedaquebrada
#ptc #rendaextra https://t.co/unnX9fQVJl</t>
  </si>
  <si>
    <t xml:space="preserve">spreaker
</t>
  </si>
  <si>
    <t>cortesmillion
Quer fazer sua primeira venda através
do mercado digital nas próximas
24 horas? 👇🏻💸 Saiba mais https://t.co/JoP4b3AGlY
#pablomarcal #million #mkt #ruyter
#rendaextra https://t.co/hsd6rgBf8P</t>
  </si>
  <si>
    <t>danicl81776310
🚀 Aproveite agora mesmo o SUPER
DESCONTO de R$200,00 e transforme
sua vida! 😱 Clique no link abaixo
e junte-se aos mais de 300 mil
alunos que já conquistaram a liberdade
financeira com a poderosa Fórmula
Negócio Online! 🎯 #rendaextra
#Online https://t.co/wZSGbPL2bv</t>
  </si>
  <si>
    <t>badjuh_
ENVIO O SEU E-MAIL NA DM QUE LOGO
A RESPONSÁVEL DO PROJETO ENTRARÁ
EM CONTATO. TODAS AS DÚVIDAS SERÃO
ESCLARECIDAS APÓS O ENVIO DO EMAIL*
#rendaextra #homeoffice #trabalhoemcasa</t>
  </si>
  <si>
    <t>thaiacosveganos
Venha trabalhar conosco em casa
só chamar no WhatsApp (21) 967246832
#rendaextra #emprego #freelance
https://t.co/CCuFuorL47</t>
  </si>
  <si>
    <t>kelitamuniz
#rendaextra #MarketingDigital https://t.co/lpNX5Jglwf</t>
  </si>
  <si>
    <t>tiojuniorgames1
Responda pesquisas e ganhe até
R$ 1.100/Mês https://t.co/hI8UuvUyff
#respondapesquisas #Brasil #ganhardinheiro
#trabalharemcasa #rendaextra</t>
  </si>
  <si>
    <t>rendaextra_a
Quer fazer sua primeira venda no
marketing digital em menos de um
dia???🔥🤑🤑 🔥CORRE NO LINK DA
BIO!!!💰💸 - - #caiomartins #primeiravendaem24h
#marketingdigital #rendaextra #dinheirodecasa
#dinheirorapido #marketing #independenciafinanceira
#cursoonline #curso https://t.co/dUbO4RfSmu</t>
  </si>
  <si>
    <t>lineleals76936
"Quer ganhar dinheiro extra sem
sair de casa? Confira essas dicas!"
#ganhardinheiroemcasa #trabalharemcasa
#rendaextra 🔥👇Comece HOJE https://t.co/mxUQhznAOi
https://t.co/qZGAIF3imh</t>
  </si>
  <si>
    <t>suporteebook
💸 #lifestyle #MONEY #wifimomey
#foryou #Reels #mindset #rendaextra
#vidadeluxo https://t.co/WyxITq81pd</t>
  </si>
  <si>
    <t>cabanadesalem
#amor #rendaextra #arte #comida
#deus #signos #tarot #horoscopo
#magia #trabalho https://t.co/71ywNaiwUD</t>
  </si>
  <si>
    <t>dicasdeslots
Plataforma top 🔝 https://t.co/MbzMtfQQW5
#RendaExtra #dinheiro #casi https://t.co/IvWeHx7ndi</t>
  </si>
  <si>
    <t>giomendes628
Digite "eu quero" q vou te enviar
3 aulas gratuitas🔥 #dinheiro #milionário
#rico #ganhar #rendaextra https://t.co/2kiWVbGbwM</t>
  </si>
  <si>
    <t>leobevilaqua10
🚀 Como Começar No Marketing Digital?
Da série Mentoria do Léo. Me siga
nas Redes Sociais e acompanhe os
bastidores do lançamento da Fórmula
de Crescimento Online. @leonildobevilaqua
#FórmulaDeCrescimentoOnLine #LeonildoBevilaqua
#RendaExtra #ComunidadeFCO https://t.co/PgcpZJL1on</t>
  </si>
  <si>
    <t>marcelofayh
#investimentos #investimento #investimentoimobiliario
#fundoimobiliario #fundoimobiliário
#fundosimobiliarios #fundosimobiliários
#fii #fiisparaleigos #rendavariável
#rendavariavel #rendaextra #rendapassiva
#bolsadevalores #b3 #metodofayh</t>
  </si>
  <si>
    <t>gamenft18
A todos que precisam de uma renda
Extra recomendo fortemente: https://t.co/rvUs3D1xxS
#Rendaextra #dinheiro #jogos</t>
  </si>
  <si>
    <t>airton19711
Gostou? 😃 Acesse o link 👇 https://t.co/jwaCZjX3OZ
#parceiromagalu #ecommerce #produtos
#vendasonline #marketingdigital
#rendaextra https://t.co/4yVQwsDE0Q</t>
  </si>
  <si>
    <t>jonthebestt
JONVLOGS VAI DIVULGAR TIGRINHO?
#jonvlogs #bdj #maumauzk #cabritoz
#bocade09 #tigrinho #rendaextra
#dinheiro https://t.co/weWQ9feD5v</t>
  </si>
  <si>
    <t>homeprofissao
🔥🚀Você está pronto para uma vida
de abundância? Descubra os segredos
da renda extra e desbloqueie um
novo nível de sucesso financeiro.
💵✨ 🔥Link na Bio!🔥 #rendaextra
#rendaextraemcasa #rendaextraonline
#rendaextraagora #rendaextranainternet
#rendaextraideias https://t.co/mQmwdDny4P</t>
  </si>
  <si>
    <t>aprendaavencer_
Conheça nosso Curso de Depilação
Profissional. Torne-se uma depiladora
profissional de sucesso do absoluto
zero e destaque-se no mercado da
estética! Site: https://t.co/vOeeoJSJIp
#Twitter #cursos #cursosonline
#sucesso #rendaextra #depilação
#motivacao #Mindset #empreender
https://t.co/H57fNbkzs3</t>
  </si>
  <si>
    <t>marye_sena
#rendaextra #odonodalancha #trabalhoonline
#maesolo #dicadinheirooline #cabecabranca
#amizadeonline #relacionamentoonline
#conversaboa #patepapo</t>
  </si>
  <si>
    <t>vivalocal
5 formas de ganhar mais dinheiro
e complementar sua renda todo mês:
https://t.co/L5svXfXOBL #maisdinheiro
#rendaextra https://t.co/HQFAbj0kbS</t>
  </si>
  <si>
    <t>grm88765974grm
#GanharDinheiroOnline #NegócioOnline
#RendaExtra #TrabalhoEmCasa #EmpreendedorismoDigital</t>
  </si>
  <si>
    <t>ghenifer1
Fone de Ouvido Stereo sem Fio TW
5.0 com cancelamento de ruído #Shopee
#vendas #ecomerce #eletrônicos
#rendaextra https://t.co/LQjzkyD7TR</t>
  </si>
  <si>
    <t>andrluiznunes14
Quer Ganhar uma Renda Extra no
Marketing Digital. DIGITE EU QUERO
nos comentario abaixo. #MarketingDigital
#RendaExtra #afiliado #dicasparaosucesso
https://t.co/7rRM1cvDoE</t>
  </si>
  <si>
    <t>raissaalves0987
Alguém afim de fazer uma dessa
extra? #rendaextra #dinheiro #ajuda
#financeiro</t>
  </si>
  <si>
    <t>meusfii
🌇FII | https://t.co/sIYChpSNBf
Reinvestimento mensal FIIs #fiifacil
#fiis #investimentos #rendaextra
#rendapassiva FII FACIL | fundosimobiliarios
fiis</t>
  </si>
  <si>
    <t>ocarapuca
D. Pedro &amp;gt; @felipeneto 😆 #rendaextra
https://t.co/1hqE7cCxgv</t>
  </si>
  <si>
    <t>tudonodigital23
https://t.co/GoGEaGv2Tu #rendaextra
#dinheiro #internet #dinheiroonline
#Curso #cursos #faturar #independenciafinanceira
https://t.co/hyLcIBVaJI</t>
  </si>
  <si>
    <t>joacytrajano
O programa de afiliados é seguro?
Entenda o que é o programa de afiliados
neste vídeo curto. . . . #afiliados
#MarketingDigital #rendaextra #negóciosonline
#joacytrajano #programadeafiliados
https://t.co/KJ7OAGxY2T</t>
  </si>
  <si>
    <t>criptoicobr
🧠🎯😁 A melhor parte quando o
assunto é mercado de Criptomoeda,
é sacar o lucro, mas não se engane.
Para chegar até aqui, além de conhecimento,
paciência e muita persistência
são necessários. 🤞🏽🏃‍♂️💸 #crypto
#binance #bitcoin #rendaextra #investimento
#dolar https://t.co/JYGC9cNbET</t>
  </si>
  <si>
    <t>receitas3145191
Aprenda tudo sobre Copo da Felicidade
lucrativos💵 São mais de 700 receitas
mais 8 super bônus exclusivos e
50 receitas Lucrativas de Bolo
no Pote 🥰 Adquira o curso completo
com certificado!📄 Entre no link
abaixo 👇🏼 https://t.co/NJmiaoey0b
#rendaextraemcasa #bolonopotegourmet
https://t.co/6ayhUBFAR8</t>
  </si>
  <si>
    <t>robert52770
Não perca mais tempo procurando
formas de ganhar dinheiro online!
O melhor acervo PLR do Brasil é
a solução para a sua renda extra.
Adquira agora e comece a lucrar!
💰📚 #acervoplr #rendaextra #ganhardinheiroonline</t>
  </si>
  <si>
    <t>elivansantos_18
Oportunidade de trabalho!👇🏼 Na
internet existe várias possibilidades
de fazer dinheiro e eu estou aqui
para te ensinar a como fazer isso
de fazer de forma segura e honesta!
Fale comigo hoje mesmo para começar
! Whatsapp aí no post #rendaextra
#dinheiro #money #extraincome https://t.co/vG7yPzYyeV</t>
  </si>
  <si>
    <t>gabisjesse
Ganhe 12.000.000 Kwai Golds! Basta
baixar o app! #kwai #baixeokwai
#rendaextra #babado https://t.co/aRoygptipx</t>
  </si>
  <si>
    <t>iasdmedinheiro
Gente bom dia, estou fazendo uma
renda extra com um novo sistema
que está chegando no Brasil chamado
SDM, se vocês tem interesse em
saber melhor o que é SDM e como
conquistar uma renda extra segue
o link. https://t.co/xKpTOAATxi
#rendaextra #SDM #money #dinheiro
https://t.co/lLjpKtDuyy</t>
  </si>
  <si>
    <t>duarteafo
Game Russo Pagando no FREE - Testado
https://t.co/PiP7sd2WyL via @YouTube
LINK JOGO: https://t.co/hOaLaRYl6R
LINK CARTEIRA PAYEER: https://t.co/5w4WGeugZj
#GAMENFT #GAME #ganhedinheironainternet
#FREE #CRYPTO #BTC #TRX #USDT #PAGANDO
#rendaextra #DUARTEAFO</t>
  </si>
  <si>
    <t>paulladaudt5
Adquira agora mesmo o nosso e-book
por apenas R$10 e descubra 20 receitas.
Estarei deixando aqui o link do
e-book para quem quiser adquirir
👇🏼 https://t.co/U4ADYnnRYf #páscoa
#rendaextra #ovosdecolher #ovosdepascoa
#Bbb23 https://t.co/KEysd7pKlP</t>
  </si>
  <si>
    <t>taroguiando
Amiguinhos! Tô testando uma plataforma
que paga em dólar… vamos ver se
dá uma graninha extra… se vcs quiserem
conhecer acessem https://t.co/sSpnlI7YGy…
um 💰nunca é demais né? #gotchosen
#rendaextra</t>
  </si>
  <si>
    <t>mah_munis79513
Fortune tiger Ganho maravilhoso
Essa plataforma tá top de mais
https://t.co/2VOVomMwPu Dica: gerenciamento
de banca e controle emocional sempre
https://t.co/2VOVomMwPu #fortunetiger
#tigre #fortune #slots #plataforma
#dinheiro #rendaextra https://t.co/4vro79UGQM</t>
  </si>
  <si>
    <t>daycosta31
Plataforma nova pagando: https://t.co/AVVaERHHAm
. #jogos #dinheiro #renda #grana
#rendaextra #fortuneox #rendaemcasa
#fortune https://t.co/NZ8zax7K3G</t>
  </si>
  <si>
    <t>peidarnamao
@magalzaoshow #rendaextra</t>
  </si>
  <si>
    <t>otimoassim
#dicas #viagem #rendaextra #app
#produtoimportado https://t.co/NXgSokRyOF</t>
  </si>
  <si>
    <t>mundogebe
🔥🔥🔥 #gebeclipes #viralvideo
#carros #maquinas #rendaextra https://t.co/2hvYpkDbwg</t>
  </si>
  <si>
    <t>amiljoelson
Alimenta teu conhecimento . . .
#conhecimento #mentesmillonarias
#metadolar #rendaextra #pairicopaipobre
#venceronline #aprendendoonline
#riqueza #prosperidade #deusnocomando
https://t.co/t1MZWnDCAf</t>
  </si>
  <si>
    <t>expertdigitalms
Sextou por aí ?💻 #fridaymorning
#dollar #rendaextra #renda #Brasil
https://t.co/58Gll9qZkR</t>
  </si>
  <si>
    <t>fabiooliveira18
A RENDA EXTRA VAI SALVAR SUA VIDA
FINANCEIRA! #rendaextra #rendaextraonline
https://t.co/UT9kIpQJpg via @YouTube
#rendaextra #financas https://t.co/hnbaOr6XzI</t>
  </si>
  <si>
    <t>aline_ta_on
Receba 100 BRL de graça,Pix SAQUE
RÁPIDO Só se cadastrar, estou quase
conseguindo 💰💸💸💰 #BolsaFamilia
#RendaExtra #Dinheiro #Ganhar https://t.co/m96lWrEFSw
https://t.co/l3rweQw99T</t>
  </si>
  <si>
    <t>viniciusgpro
Existem três razões básicas para
economizar dinheiro. Primeiro,
economizamos para um fundo de emergência.
Em segundo lugar, economizamos
para compras. Em terceiro lugar,
economizamos para construir riqueza.
#marketing #MarketingDigital #rendaextrA
https://t.co/5lnb4WSptT</t>
  </si>
  <si>
    <t>jonpadilha
https://t.co/99h9UsLEy8 🔥 #dinheiro
#rendaextra #opcoesbinarias https://t.co/YgM5oviG6J</t>
  </si>
  <si>
    <t>mi32395
Ganhe dinheiro lendo notícias Link:https://t.co/rYHB9vKGYn
#dinheiro #rendaextra</t>
  </si>
  <si>
    <t>pfeufferalpha7
Boa Reflexão! . . #bilionário #milionário
#empreendedor #eusoubilionario
#combília #dinheiro #bhfyp #car
#vel #rendaextra #negócioonline
#vidadesucesso #instagood #rico
#força #mulher #empreendedorismo
#luxury #digitalmarketing #euro
#chegouaminhavez #chefe #brasil
#trabalho https://t.co/UyYJ3A4SEH</t>
  </si>
  <si>
    <t>brun0__0
@legadaodamassa #rendaextra</t>
  </si>
  <si>
    <t xml:space="preserve">legadaodamassa
</t>
  </si>
  <si>
    <t>amorim_divino
https://t.co/zl0YFfWPsn #laserpecker
#rendaextra #brindes #Laser</t>
  </si>
  <si>
    <t>tainara04763621
Sabia que o Marketing Digital pode
ser a chave para alcançar a sua
independência financeira? Que saber
como? Comente eu QUERO... #independenciafinaceira
#marketingdigital #rendaextraemcasa
#mercadoafiliados https://t.co/GAsniHAVbg</t>
  </si>
  <si>
    <t>dicadehoje7
Qual a sua opinião? Muitos investidores
vão vender #PETR4? 👉 SIGA @dicadehoje_7
para mais conteúdos como esse!
#ibovespa #ibov #educacaofinanceira
#bolsadevalores #dividendos #rendapassiva
#acoes #dinheiro #rendaextra https://t.co/Ed0HBmhSrd</t>
  </si>
  <si>
    <t>si_luna_
Você que sonha em ter sua independência
financeira, comente “EU QUERO”
que eu vou te ajudar a realizar
esse sonho ! #rendaextra #dinheiro
#milionario #KRYSTALatCannes #Ajax
#aespa https://t.co/1Gzr40kDp8</t>
  </si>
  <si>
    <t>arthurceo
#táxi #taxi #taxipersonalizado
#heetch #yango #finanças #dinheiro
#riqueza #rendaextra #horaextra
#trabalho #investment #investimento
#investir https://t.co/e0ycR7UYRM</t>
  </si>
  <si>
    <t>aliuwayu
vamos meninos e meninas trabalhar
como Home Office? #rendaextra https://t.co/mGaJPdsazh</t>
  </si>
  <si>
    <t>filipeveiga1992
Fiz o meu Primeiro consórcio, com
objetivo de ganhar experiência
e montar um #patrimonio ao longo
dos anos. Mas aplicado a estratégias
para construir #rendaextra ou ou
#viverderenda. De início eu comecei
com o #Bancointer. Eu conto a trajetória
nesse video https://t.co/KNzQWCcgZv</t>
  </si>
  <si>
    <t>divulgabasicos
https://t.co/IritkpTpey apresenta
um #curso onde você terá #qualificação
para #conquistar os seus próprios
#clientes sendo uma #rendaextra
ou #escritório de #contabilidade
dentre os #assuntos do #curso estão:
#departamentoContábil #departamentoFiscal
#departamentoPessoal https://t.co/xQdY26RGCl</t>
  </si>
  <si>
    <t>michaelgodoy
🌟💸 Quer descobrir o segredo para
vender todos os dias e conquistar
a tão sonhada liberdade financeira?
Então, diga #quero nos comentários
e me chame no zap! 💪📲 #vendasonline
#rendaextra #empreendedor #sucesso
#trabalheemcasa #negóciosonline
#dinheiro #liberdade #metas #obje
https://t.co/7pX0gSczsu</t>
  </si>
  <si>
    <t>air_rocha
Como jogar Jogo do Tigre? 🤑 Convite
do Jogo do Tigre: ↪️https://t.co/CeQxkiHsg2
1. Acesse o link 2. Cadastre-se
3. Realize depósito de R$20 por
pix 4. Escolha o jogo Fortune Tiger
5. Escolha o valor da aposta no
( +/-) #fortune #fortunetiger #RendaExtra</t>
  </si>
  <si>
    <t>zanettijeff
"💰💻 Seja um afiliado e transforme
sua paixão em lucro! 💪✨ #Afiliados
#MarketingDeAfiliados #RendaExtra
#Oportunidades #SucessoOnline"</t>
  </si>
  <si>
    <t>binx_0101
@Tio_Gin #rendaextra</t>
  </si>
  <si>
    <t xml:space="preserve">tio_gin
</t>
  </si>
  <si>
    <t>sendascontato
Conversa sobre cuidado com a saúde
Ganhe $85.00 Dólares in 60 min
·Remote Ola, estamos buscando pessoas
para falar sobre o cuidado com
saúde e o consumo de medicamentos
e suplementos como vitaminas. #Saúde,
#suplementos, #rendaextra, etc.
https://t.co/9yDTDCVfYD</t>
  </si>
  <si>
    <t>gunscenter
Você ai se preocupando em fazer
lives e não sabe? Confira Profissão
gamer https://t.co/w5HcnmH0zB #streamerbrasil
#rendaextra #dinheirointernet #twitch
#kick #pcgamer #trovo #profissaogamer
https://t.co/nL2YK6Znsr</t>
  </si>
  <si>
    <t>ana_rica2
#rendaextra https://t.co/xhCXk0qgrb</t>
  </si>
  <si>
    <t>henriquer2020
Aprenda a trabalhar em casa fazendo
brigadeiros gourmet e lucre muito
com esse mercado! Com esse E-Book
você vai descobrir o segredo. #facavocemesmo
#rendaextra https://t.co/GhBBccxBMJ
https://t.co/NY7fkT2kur</t>
  </si>
  <si>
    <t>marcosmano63653
#ondecomprar #rendaextra #slot
Se vc procura por renda extra entre
no link abaixo 👇 👇 https://t.co/WD5y3KG78B
https://t.co/S3UwQ5qvDO</t>
  </si>
  <si>
    <t>mariana01790550
M.P.L 🤑🤑 Quer ganhar vários PIX
de R$ VALOR todo tempo?? Podendo
lucrar de R$ 50,00 até 100 R$ por
dia!! Me pergunte como 🤑 OBS:
Não é golpe! #rendaextra #trabalheemcasa
https://t.co/PDudeerUSt</t>
  </si>
  <si>
    <t>leticialeite023
Como ganhar dinheiro usando o celular
e a internet. 📲💰 👉 SAIBA MAIS:
https://t.co/Nsopr0wFdY #marketingdigital
#Marketing #vendasonline #dinheiro
#rendaextra https://t.co/67zucvUzwW</t>
  </si>
  <si>
    <t>eliasisi
@gpbbeloti #rendaextra</t>
  </si>
  <si>
    <t xml:space="preserve">gpbbeloti
</t>
  </si>
  <si>
    <t>murilodahmer
Qual o melhor programa de pontos
na sua opinião? Livelo ou Esfera?
#rendaextra #milhasaereas #cartaodecredito</t>
  </si>
  <si>
    <t>cgo_cursos
Bom dia! . . . #villamundicosmeticos
#villamundi #perfumes #perfumesimportados
#fragrancias #fragranciasimportadas
#essenciaimportada #negocioproprio
#vendadireta #homeoffice #renda
#rendaresidual #rendapassiva #lojavirtualgratis
#negocioonline #ganhosonline #rendaextra
https://t.co/Ih2eTEKPjX</t>
  </si>
  <si>
    <t>50niggazsergio
Recrutando novos jogadores, ativos
e viciados em ganhar dinheiro!
✔️👾 Game de fazenda pagando no
PiX. link começar com R$4 &amp;gt;&amp;gt;https://t.co/wCTBPk2IDQ
https://t.co/pLHLxRW79k #rendaextra
#happyfarming #dinheirofacil #nft
https://t.co/eRyNvQaf47</t>
  </si>
  <si>
    <t>atilalemos10
https://t.co/OaNHZIldLn #bolsafamilia
#rendaextra #itabira #atilalemos
#itabiramg #bh</t>
  </si>
  <si>
    <t>joerdson
Bolsa Família terá valor superior
para famílias maiores #bolsafamilia
#rendaextra #subsistencia #auxilio
#brasil #lula https://t.co/i7OUqHWyMj</t>
  </si>
  <si>
    <t>gustavoo_eu
Ganhe Dinheiro na Internet Trabalhando
em Casa [ATUALIZADO] https://t.co/fPhkA3sTgH
via @YouTube #rendaextra #ganhardinheironainternet
#trabalharemcasa</t>
  </si>
  <si>
    <t>tubeyoutrends
Aprenda absolutamente tudo sobre
Cookies Gourmet! Curso 100% em
vídeo com aulas práticas e detalhadas.
Certificado incluso. Do básico
ao avançado #rendaextra https://t.co/foo53lqU8E
https://t.co/KLZ0EAAjii</t>
  </si>
  <si>
    <t>brunova56701023
🔎 Você considera esses fatores
na hora de escolher um Stock de
qualidade para longo prazo? Me
conta!!! #ações #stocks #investimento
#investimentos #mercadofinanceiro
#mercadodeações #rendaextra #rendapassiva
#juroscompostos #rendimentos #bolsadevalores
#investirnoexterior https://t.co/J45O6naHQY</t>
  </si>
  <si>
    <t>inimigodonft5
@gatasovietica Blaze #rendaextra</t>
  </si>
  <si>
    <t xml:space="preserve">gatasovietica
</t>
  </si>
  <si>
    <t>sanches92512
Dinheiro leve como sorriso de um
BEBE @felipetitto #felipetitto
#mercedes #carros #viral #tiktok
#rendaextra #marketingdigital #motivação
#baby #online #flyp #fyp #flypp
#virando https://t.co/tYNzVxANgN</t>
  </si>
  <si>
    <t xml:space="preserve">felipetitto
</t>
  </si>
  <si>
    <t>bytresloucado
Como começar a ganhar dinheiro
na internet HOJE | SENDO MENOR
DE IDADE #rendaextra #dinheiroonline
https://t.co/wjQtGfjRRf</t>
  </si>
  <si>
    <t>alanvictormato1
BÔNUS BBRBET Bônus vip 0 - 3 reais
- https://t.co/J6IIVX8XXr Bônus
vip 1- 5 reais - https://t.co/J6IIVX8XXr
Bônus vip 2 - 10 reais https://t.co/J6IIVX8XXr
#jogo #casino #BONUS #cupons #rendaextra
https://t.co/3USQCeq2iP</t>
  </si>
  <si>
    <t>henriquebenede3
#BBB23 #pascoa #rendaextra #chocolate</t>
  </si>
  <si>
    <t>newsshd
Vai além do seu 9-5! Explore novos
horizontes, empreenda, invista
e descubra oportunidades incríveis
em https://t.co/2W2olDOqdY. 💼💡
#Empreenda #RendaExtra #SejaDiferente</t>
  </si>
  <si>
    <t>afalcao93
📊Qual desses indicadores você
mais achou fácil e gostou? Deixe
aqui nos comentários 👇🏻 #investidor
#daytrader #swingtrader #ações
#viverderenda #rendavariavel #liberdadefinanceira
#comoinvestir #mercadofinanceiro
#dinheiroemcasa #ibovespa #bolsadevalores
#rendaextra #dinheiro https://t.co/7lqoOp3qP5</t>
  </si>
  <si>
    <t>jardelanjos75
🙀🔥Curso Depilação Profissional
- Oficial ✅Agora você pode se tornar
uma profissional em tempo recorde
e eficiente !! ➡️De R$547,00 💵por
apenas R$147,00 💳OU 12X DE R$14,67
no cartão de credito 🛒🔗Link Oficial
: https://t.co/3eScjmszJz #cursosonline
#rendaextra https://t.co/86Y2KGueVx</t>
  </si>
  <si>
    <t>anonima_asz
Pronavenda é um treinamento online
que ensina técnicas e estratégias
para quem deseja iniciar um negócio
online e realizar a primeira venda.
O curso abrange desde a escolha
do nicho até a criação de anúncios
e a realização de vendas.https://t.co/bKjyAnjEya
#rendaextra #afiliado https://t.co/Jfmli6j4hA</t>
  </si>
  <si>
    <t>minumenergia
Indique clientes válidos para a
Minum e lucre a cada contrato fechado.
Quanto mais você indicar, mais
você ganha! #minumenergia #planominum
#energiasolar #parceirocomercial
#rendaextra #faturamento #economiadeenergia
#sustentabilidade #energiaporassinatura
#energiarenovavel https://t.co/i6fjN0BDAc</t>
  </si>
  <si>
    <t>notproudm
Ganhe 12.000.000 Kwai Golds semanalmente! De segunda a domingo, venha me impulsionar no Kwai todos os dias e ganharemos dinheiro juntos!
https://t.co/P7Iqda3Xfl #kwai #rendaextra</t>
  </si>
  <si>
    <t>marcosmentoria
Apenas para as 100 primeiras pessoas.
De R$97,00 por apenas R$9,99. Venda
muito mais produtos físicos. Corre
e garanta a nossa área de membros
vip. #rendaextra #marketingdigital
#empreendedorismo #o #dinheiro
#sucesso #empreender #marketing
#rendaextraemcasa #hotmart #vendas
https://t.co/IV44Jlm8eT</t>
  </si>
  <si>
    <t>donuts4brazil
Descubra como ser um trader esportivo
e fature alto com apostas! Clique
no Link da Bio ou do site! #futebol
#trader #brasil #rendaextra</t>
  </si>
  <si>
    <t>saberdigitall
Quer se tornar um expert em manutenção
de celulares e se destacar no mercado
de trabalho? Então você não pode
perder o nosso curso online de
manutenção de celular! #manutencaodecelulares
#cursodecelulares #cursosonline
#tecnologia #oportunidade #rendaextra
https://t.co/BTM0ihDfZu</t>
  </si>
  <si>
    <t>talagadabruta
Fala sério, lendo um bom livro
e pingando comissões de vendas!
Esse mercado digital é fantástico
😍💰🤑 como é bom ter liberdade
financeira… #MarketingDigital #rendaextra
#TwitterBlue #empreendedorismo
#dinheiro #Domingo #internet https://t.co/MQImWxODGt</t>
  </si>
  <si>
    <t>betrebels_bra
Venha ser um AFILIADO BetRebels
e fazer aquela renda extra!💰🤑
Cadastre-se em: https://t.co/xyPVPH11v7
#afiliados #marketingdigital #marketing
#rendaextra #afiliadosbrasil #marketingdigitalbrasil
#marketingdeafiliados #vendasonline
#dinheiro #sucesso #afiliadosiniciantes</t>
  </si>
  <si>
    <t>graca_duarte_
Ganhe dinheiro comigo através da
Internet, sem investimento nenhum.
Interessados, falar comigo na DM.
#ganhedinheiro #rendaextra #homeoffice
#dinheirofacil #aplicativosquepagam
#ganhedinheiroonline #jogosquepagam
#ganhedinheiroemcasa #parcerias
#ganhedinheirojogando https://t.co/459dbdXOFs</t>
  </si>
  <si>
    <t>andersonpmt
E ISSO AI !!! Ganhei muito dinheiro
em jogos caça-níqueis, cassino
ao vivo e apostas esportivas 💲💲💲💲💲💲💲💲💲
🕹️R$10💰 depósito mínimo 🕹️Valor
mínimo para saque R$10💰 🕹️ Roda
da fortuna LINK👇🏼 💸https://t.co/9zC6SsjTZ7
💸 #rendaextra #cassinobsd</t>
  </si>
  <si>
    <t>ratinhamilgrau
Larissa Manoela e o fortune tiger
fazendo aquela renda extra 🤑 #fortunetiger
#tigrinho #rendaextra https://t.co/zKDOakRN5Z</t>
  </si>
  <si>
    <t>jtr0nline
Como um Fênix! . . . Compartilhe
este post com quem mais precisar
#motivação #inspiração #promote
#rendaextra https://t.co/Qh4qOfF9rJ</t>
  </si>
  <si>
    <t>anabeatrizfoll8
Galera usem esse site, está pagando
muito, quem quiser tentar link
abaixo, só investi 25 reais e estou
fazendo uma renda extra.#apostas
#rendaextra https://t.co/nOztbLqNBI</t>
  </si>
  <si>
    <t>bisbatsantfeliu
Has vist el #FullDominical? Amb
les notícies diocesans @bisbatsantfeliu
d’aquesta setmana. La carta dominical
del #BisbeAgustíCortés es titula
“Portants d’aromes”. I aquesta
setmana, número extra #rendaextra
👇👇👇 https://t.co/I4zp4Lva4E
https://t.co/lYmUZDiSbG</t>
  </si>
  <si>
    <t>fs_karoliny
Amanhã dia 01/04 vou soltar a promoção
do feriado de Páscoa pra vocês
garantirem o link promocional .
Me chamem no link . https://t.co/cikev9wyMO
#mercadodigital #MarketingDigital
#seguidores #rendaextra https://t.co/JgYwdddfI7</t>
  </si>
  <si>
    <t>fabim_felix
⛔Desemprego em 2023⛔ https://t.co/HmEq5oBIdN
via @YouTube #desemprego #Marketing
#marketingdigital #rendaextra</t>
  </si>
  <si>
    <t>cleonilsonofc
Vem ganhar dinheiro na Internet
sem sair de casa. #sexo #dinheiro
#twitch #Brazil #saopaulo #rendaextra
https://t.co/HtqpwjsS2W</t>
  </si>
  <si>
    <t>cosmi0c
#rendaextra</t>
  </si>
  <si>
    <t>clarice_1122
Como jogar Jogo do Tigre? 🤑 Convite
do Jogo do Tigre: 4cec0g ↪️https://t.co/WZHM5OlwHb
1. Acesse o link 2. Cadastre-se
3. Realize depósito de R$20 por
pix 4. Escolha o jogo Fortune Tiger
5. Escolha o valor da aposta no
( +/-) #pombabet #fortune #fortunetiger
#rendaextra https://t.co/vcWgpXlgVZ</t>
  </si>
  <si>
    <t>clicksh11623271
Aprenda agora mesmo a extensão
de cílios e seja profissional na
área da beleza desconto imperdível
só até terça feira agora ! Aproveite
https://t.co/8DAHpj5oME #emprego
#profissão #dinheiro #beleza #rendaextra
#ganhardinheiro</t>
  </si>
  <si>
    <t>renan_11fla
Quem tá afim de fazer uma renda
extra aí? #rendaextra #blaze #double
#MarketingDigital</t>
  </si>
  <si>
    <t>saul_invest
SAIUUU VÍDEO NOVO NO CANAL SEGURAAAAA
ESSA PEDRADA https://t.co/WXIvCJLjSA
Não tem nenhum trader que posta
vídeo operando análise fundamentalista
🔥🔥🔥🔥 #forex #mercadofinanceiro
#daytrader #trader #rendapassiva
#rendaextra #fundamentalista #pib
#BBB23 #ForaPaula</t>
  </si>
  <si>
    <t>plrs_sora
Aumente seus Ganhos: Descubra os
Benefícios do PLR https://t.co/m62PBCSi8D
#kiwify #kiwifybrasil #kiwifyvendas
#plrs #beneficios #ganhosonline
#rendaextra #rapido #facil https://t.co/b4sA9QXw9Y</t>
  </si>
  <si>
    <t>carolin86516164
Vem ser um afiliado também e fazer
renda extra todos os meses… De
500,00 a 1000,00 reais por semana.
Por apenas R$ 59,90 https://t.co/z8Vz7kTwB3
#rendaextra#afiliado#marketingdigital
https://t.co/bSDJOduyLc</t>
  </si>
  <si>
    <t>tijiomo
E ai quem vem de treinamento Método
Mulher Milionária? Me chama que
te explico mais sobre o melhor
e maior treinamento da atualidade.
Link na bio do Instagram #marketingdigital
#rendaextra #metodomulhermilionaria
https://t.co/vx26LWgHPr</t>
  </si>
  <si>
    <t>meguilhermem
Alguém afim de trabalhar em casa?
Me chama que ensino #homeoffice
#rendaextra</t>
  </si>
  <si>
    <t>cryptobotsniper
📈👨🏻‍💻🎯Apresentação Projeto
Crypto Sniper, aprenda a ganhar
dinheiro com criptomoedas! Dias
3, 4 e 5, estamos oferecendo uma
oportunidade única de aprender
uma nova forma de renda extra completamente
GRÁTIS. https://t.co/RRzMK4OfBq
#criptomoedas #BTC #BNBChain #rendaextra
#tokens https://t.co/cCnvqNAjiA</t>
  </si>
  <si>
    <t>apenasdanmendes
https://t.co/Ckky1tiTf0 | 2023-04-26T13:15:49+0000
| #motivacao #empreendedorismo
#motivacional #frasesmotivacionais
#empreender #naodesista | #afiliados
#afiliado #afiliadosbrasil #hotmart
#afiliadohotmart #rendaextra #ganhardinheiroonline
#ganhardinheiro #liberdadefin https://t.co/vCFxICWECO</t>
  </si>
  <si>
    <t>decorando_ld
O MELHOR CURSO ONLINE QUE TE ENSINA
A VENDER POR WHATS E INSTAGRAM.
O SUPORTE É TOTAL ! TIRANDO SUAS
DÚVIDAS! INCRÍVEL ! https://t.co/Z2oLLj67fU
#Marketing #RENDAEXTRA #TRABALHEMECASA</t>
  </si>
  <si>
    <t>jovememprendedo
Tenha coragem de falar a verdade,tira
esse medo de lado e comece hoje,te
ensino hj mesmo 🚀💵💻 . . . .
. #trabalhoemcasa #dinheiroonline
#dinheiro #rendaextra #renda #sucesso
#mindset #liberdadefinanceira #empreendedorismo
https://t.co/2D3ImCBsBI</t>
  </si>
  <si>
    <t>camaradaeduh
Sem a Blaze o @broxadasinistra
vai de arrasta pra cima? #PrayForBlaze
#RendaExtra</t>
  </si>
  <si>
    <t xml:space="preserve">broxadasinistra
</t>
  </si>
  <si>
    <t>tamylima89
QUER FATURAR MUITO E DENTRO DE
CASA? É POSSIVEL ! ENTENDA MAIS
SOBRE O MARKETING DIGITAL, COMPRE
AGORA MESMO O SEU CURSO ONLINE
E TENHA UMA RENDA EXTRA. LINK :
https://t.co/nLNm7D6p9a #RENDAEXTRA
#DINHEIRO #HOME #TRABALHEEMCASA
#INTERNET #viral https://t.co/V3el0PGF0J</t>
  </si>
  <si>
    <t>rosana_alfaro
Empresa se iniciando agora! Marketing
de relacionamento, grandes líderes
EuBlack é do Brasil para o mundo
#oportunidade #empreendedorismo
#novoscaminhos #rendaextra https://t.co/CpnJTXRbPj</t>
  </si>
  <si>
    <t>xscavuzzi
Quarta entrada do dia 😍💸 #empreendedorismo
#rendaextra #cassino #loteria #roleta
https://t.co/LTPPiNsj0u</t>
  </si>
  <si>
    <t>mentoriajurosa
👉 Saiba a estratégia para turbinar
sua Advocacia(por apenas 37,00)
e receba ainda os 5 Bônus gratis!
Zico Pedro Raul Alcaraz Zendaya
Parabéns Gil Fausto Margot Robbie
Leite STREAM WWIMF advogado direito
curso dinheiro #Brasil #advogado
#JackInTheBox1stAnniversary #rendaextra
https://t.co/HdRNynkMIx</t>
  </si>
  <si>
    <t>iniccolaz
#ChampionsLeague #rendaextra</t>
  </si>
  <si>
    <t>portalimoveisij
A procura por imóveis para locação
é constante, tornando o aluguel
uma ótima forma de garantir renda
extra. Não deixe seu imóvel parado.
Converse com nossos corretores
e, juntos, vamos buscar a melhor
estratégia para alugá-lo. #LocaçãoDeImóveis
#RendaExtra https://t.co/d0zmBHAb5Q</t>
  </si>
  <si>
    <t>livrodigital1
Livro virtual ensinando você a
Ganhar Dinheiro do Zero! 🚀💰 Caso
queira adquirir o seu e mudar de
vida financeira ainda hoje comente
"Eu quero" que te chamo no privado!!
🔥 #rendaextra #dinheiro #dinheironainternet
#marketing #investing #trafegoorganico
#investimento https://t.co/bA9bdKglGC</t>
  </si>
  <si>
    <t>marcos_s_goes
Ola! Tudo? Quer ganhar dinheiro
trabalhando para si mesmo? A Escola
de Vencedores pode ajudar! Visite
https://t.co/q6hfcdygiz para aprender
estratégias comprovadas para criar
negócios lucrativos e alcançar
a liberdade financeira. #rendaextra
#cursos #marketing #trabalheemcasa
https://t.co/TSKyHPfhZD</t>
  </si>
  <si>
    <t>cleitonfinancas
Empreender! Essa é uma possibilidade
real para alcançar grandes resultados
financeiros! #educacaofinanceira
#financas #economia #planejamento
#dinheiro #prosperidade #rendaextra
#empreendedorismo https://t.co/ZUWwzCfwWM</t>
  </si>
  <si>
    <t>wellington271
#ondecomprar #rendaextra #marketingdigital
O MES Método Eli Soza é um treinamento
100% online inúmeros Módulos e
mais de 20 estratégias de vendas
para você aprender absolutamente
tudo sobre o mercado digital. Adquira
agora o seu👇🏻 https://t.co/KsdmVwGbwn
https://t.co/nf12G9sSlx</t>
  </si>
  <si>
    <t>fortunewolf88
plataforma Lobo 888 ganhando com
bônus de primeiro deposito #dinheiro
#apostas #jogosonline #rendaextra
https://t.co/CdPUNRAMkG</t>
  </si>
  <si>
    <t>mesadinhaextra
Escolha a melhor opção e COMECE!
Lembre-se: nenhum projeto começa
perfeito. O importante é ter a
iniciativa de começar. 🔑💰💻 #dinheiroextra
#rendaextra #rendaextraemcasa #rendaonline
#mktdigitalbrasil #mktdigital #milionario
https://t.co/WvGDvXrlpr</t>
  </si>
  <si>
    <t>rivelyfuchs
#afiliado #Marketing #rendaextra
#primeiravenda #MarketingDigital
Você afiliado que ainda não conseguiu
fazer a sua primeira venda, que
tal destravar e realizar a tão
sonhada venda? https://t.co/HqanlxD24j</t>
  </si>
  <si>
    <t>kash777official
Em busca de entretenimento?? Corre
pra Kash777 e saia do tédio 🤩
Link na bio 💥 #bigwin #slotonline
#rendaextra #apostasegura #bet
#double https://t.co/21h31XRisY</t>
  </si>
  <si>
    <t>financas
Como ganhar dinheiro com renda
extra? #investimentos #econoweek
#rendaextra https://t.co/BOaRtvNTVr
https://t.co/zlzZrjtULu</t>
  </si>
  <si>
    <t>sistemafaemg
🧀 Kassia Rosa da Cunha descobriu
na produção de #queijo e doce a
fonte para uma #rendaextra. Ela
participou de vários #cursos do
Sistema Faemg Senar, como o curso
de Derivados do Leite e Queijos
Especiais. 🔍https://t.co/cFr502o4Xr
https://t.co/VsOmXm7meE</t>
  </si>
  <si>
    <t>naterciamanuel1
Se tu és de Portugal Lisboa então
isso é pra ti Mega evento 🧠🧠
The future starts now tuor📲💰
#Lisboa #Portugal #evento #liberdadefinanceira
#rendaextra #dinheiro https://t.co/JcinQOfKdF</t>
  </si>
  <si>
    <t>ecoengenheiro
😀 Descubra as 5 melhores plataformas
de marketing de afiliados e trabalhe
em home office. #engenheiroeco
#homeoffice #rendaextra #marketingdeafiliados
https://t.co/Nczjs6k0Bo</t>
  </si>
  <si>
    <t>vitorsantosvag1
GanharDinheiroOnline #TrabalharEmCasa
#NegócioOnline #MarketingDigital
#Afiliados #EmpreendedorismoDigital
#RendaExtra #Freelancer #Dropshipping
#VendasOnline https://t.co/CvSconeGjP</t>
  </si>
  <si>
    <t>luisper26600465
🪡 Aproveita Galera ainda esta
pagando e não precisa investir
bora só clicar no link abaixo ⬇️⬇️
https://t.co/l8KpRp5ltn #rendaextra
#dinheiro #appquepaga #rendaemcasa
https://t.co/XqzSdqcLmH</t>
  </si>
  <si>
    <t>caxavil
Atue na área da Beleza independentemente
da idade, classe social e formação
acadêmica. Saiba mas em 👇 https://t.co/J9WFtTWgPM
#designdesobrancelhas #sobrancelhas
#sobrancelhasperfeitas #o #micropigmentacao
#sobrancelhaslindas #rendaextra
https://t.co/duHIfmm8PP</t>
  </si>
  <si>
    <t>guillergs007
Vc Ja pensou em ser recompensado
por tudo q postar? Se SIM. A GotChosen
Paga e ainda tem atividades diárias
e premios de 20$ a 200$ por tarefas
mensais e semanais, além d sorteio
d $300 toda quinta-feira. 1️⃣Cadastre-se
pelo LINK https://t.co/YvScg6ADom
#SpaceDaDomi #RendaExtra</t>
  </si>
  <si>
    <t>braip_afil73309
📌Você está cansado de ser vítima
do tigre e zerar sem receber as
cartas 10X? 📌Se a resposta for
SIM, basta clicar abaixo e garantir
agora sua renda do final de semana
🔥 https://t.co/u4Y06133Vb #rendaextra
#tiger https://t.co/QAtxZZvuLE</t>
  </si>
  <si>
    <t>comentandotret1
Pq no final do mês pequenos dinheiros
importam Depositei R$ 30 e com
muita paciência saquei R$ 115,00
@blazecombr me patrocina hahahaha
#blaze #double #rendaextra https://t.co/NoSAJ3W1A3</t>
  </si>
  <si>
    <t xml:space="preserve">blazecombr
</t>
  </si>
  <si>
    <t>bitprofit2
Bonetto a melhor empresa de marketing
do momento venha pra minha equipe
vamos ficar ricos . https://t.co/D8LqxgmaIB
Já pensou investir de 100 a ate
20 mil ver dobrar o capital Zap
34 991952789 Fernando Freitas.
#rendaextra #marketingmultinivel
#investimentos #acremmn</t>
  </si>
  <si>
    <t>kbcaxxx
Bora ganhar dinheiro meu povo,
uma renda extra pra quem tá precisando
de grana!!! https://t.co/6KW1TDN3fw
#criptomoneda #rendaextra #dinheirofácil
#dinheiro https://t.co/F5y6D49P36</t>
  </si>
  <si>
    <t>limahanelio
Eu descobri esse Site que paga
em Dólar só Pra Visitar outros
sites. #rendaextra. #ganhardinheiro
#MarketingDigital Faça seu CADASTRO
no Link abaixo 👇👇👇 https://t.co/nNknd4zOpm…
https://t.co/kwN1oCxVjv</t>
  </si>
  <si>
    <t>alexselhorst
Quer saber como eu fiz essa grana
toda?? Comenta eu!! #Bomdia #apostaonline
#cassino #rendaextra https://t.co/rujHBhLdYP</t>
  </si>
  <si>
    <t>adriana44006527
Esse valor te ajudaria ❓ Lançou
novo Robô Dragon Hacth ele é muito
bom 99%de acerto , faço minha meta
do dia e saco pra minha conta ,vou
deixar aqui o link de acesso https://t.co/2CI5lPHhUE
#JogosGratis #Robots #slotsenang77
#rendaextra #viral2023 #Carnaval2023
https://t.co/7GbHWFc3Bc</t>
  </si>
  <si>
    <t>taufagundes
Quer aprender mais de 15 Técnicas
e se tornar uma especialista em
unhas? te apresento a Escola Designer
de unhas a mais indicado do mercado,
com preço super acessivel. ACESSE
O LINK ABAIXO PARA MAIS INFORMAÇÕES
https://t.co/PZpr5Ia1na #RENDAEXTRA
#Unhas #ondecompro #cursos https://t.co/lGRVqTcNNi</t>
  </si>
  <si>
    <t>marirecrutarora
Estamos contratando mulheres maiores
de 18 anos para app gringo de vídeo
chamadas #larissamanoela #andressaUrach
#appgringo #Rendaextra #mulheresbrasileiras
#Virginia #Mcloma #dinheiro #trabalheemcasa
https://t.co/6yx05r0nGX</t>
  </si>
  <si>
    <t>dennerramo86286
https://t.co/hjJYJDoZ06 #doces
#chocolate #rendaextra</t>
  </si>
  <si>
    <t>karra_opire
#marketingdeconteudo #trabalharemcasa
#motiva #rendaextraemcasa // https://t.co/y4qpSYQR94
https://t.co/3B3kemFGMo</t>
  </si>
  <si>
    <t>janaynna_js
INICIAR APOSTAS COM VALORES MINIMO
DE 0,40 0,50 ETC.... BOA SORTE
🍀 🍀 🍀 💰💰 #rendaextra BÔNUS
DE BOAS-VINDAS 3$ https://t.co/6fb0fcvCz7
Para ajudá-lo Bônus de até 100%
https://t.co/QYJedAhY82 recarga
minima recebe 13$ reais https://t.co/V7k8wsrHQB
#LilNasXNoMultishow https://t.co/LzENDHeedR</t>
  </si>
  <si>
    <t>raquelkayllanny
Bora faturar juntos? Imagina só
vc investir apenas 20 reais em
um curso,e receber através do seu
esforço 100,200,300 reais ou até
mais,até pq é vc quem faz o seu
salário. clica nesse link e garanta
sua vaga: https://t.co/94cjNPhtZZ
#rendaextra #marketingdigital #ganhardinheiro
https://t.co/dlxvCx5dRV</t>
  </si>
  <si>
    <t>lucastrndd_
@storyhorror_ak @CrimesReais #PrayForBlaze
#RendaExtra</t>
  </si>
  <si>
    <t xml:space="preserve">crimesreais
</t>
  </si>
  <si>
    <t xml:space="preserve">storyhorror_ak
</t>
  </si>
  <si>
    <t>nataniellemelo
Descubra como é possível equilibrar
trabalho e autocuidado, construindo
um futuro brilhante! 💃💼💖 #MulheresDeterminadas
#Autocuidado #MudançaPositiva #RendaExtra
#InvistaEmVocê" https://t.co/u879sN6JYu</t>
  </si>
  <si>
    <t>rcelcoin
Minha dica para quem curte conta
digital grátis e com rendimento
acima da poupança. @MercadoLivre
@mercadopago #RendaExtra https://t.co/LPjXyORFZl</t>
  </si>
  <si>
    <t xml:space="preserve">mercadopago
</t>
  </si>
  <si>
    <t xml:space="preserve">mercadolivre
</t>
  </si>
  <si>
    <t>victorcartie
Ganhe 2 mil reais por mês com seu
celular! Descubra como agora: https://t.co/gzHFhqprQ3
#RendaExtra</t>
  </si>
  <si>
    <t>achadinhosdaall
💥 Quer saber mais? Assista uma
aula grátis 🚨⬇️⬇️⬇️ https://t.co/uud3HppVrq
#rendaextraemcasa #rendaextraonlineagora
#trabalhedecasa #afiliadosiniciantes
#trabalhecomseucelular https://t.co/OLqkQUqRSv</t>
  </si>
  <si>
    <t>recrutatalento2
🚨VAGAS LIMITADAS🚨 Estamos recrutando
para fazer live em um aplicativo
gringo. 🛑REQUISITOS: -Internet
estável -Ter mais de 18 anos. -Ser
responsável -Tempo livre (no mínimo
4 horas diárias) -Celular com câmera
de qualidade. #rendaextra #rendaonline
#appgringo #streamer https://t.co/yKDV0PHUgo</t>
  </si>
  <si>
    <t>abzimports
Uma renda de 1,500 a 2,000 te ajudaria?
#Familia #rendaextra #ChocolateComPimenta
#chocolatefactory #alfajores #Browns
#mulheres #dinheiro https://t.co/LwiKvvjVnM</t>
  </si>
  <si>
    <t>weverton202
Essa plataforma tá pagando direitinho
já fiz vários saque pix, além disso
colocando 30 vc ganha mais 30 pra
jogar o quanto quiser.https://t.co/mUFOzEgwyU
#rendaextra #jogosremunerados #plataformalucrativas
https://t.co/8pLYfJx2vK</t>
  </si>
  <si>
    <t>maviipereiira
Corre que lançou e já está pagando🤑👇https://t.co/XVL2J9G8tf
#rendaextra #TrumpArraignmentDay
#TheErasTour #Our_universe_Tzuyu
https://t.co/srI7ZETSdN</t>
  </si>
  <si>
    <t>techlife_inc
🔸Você já notou como o cenário
de trabalho está evoluindo rapidamente
no Brasil? É hora de ficar por
dentro das mudanças! #homeoffice
#trabalhoremoto #mercado #economia
#marketing #marketingdigital #bemestar
#trabalho #rendaextra #industria
. . . https://t.co/zc1SOdPgCi</t>
  </si>
  <si>
    <t>kellyzinhanasci
Ganhe Dinheiro Com Internet (link
na descrição do vídeo)#shorts #rendaextra
https://t.co/TD41S05n5d via @YouTube</t>
  </si>
  <si>
    <t>paulinhasi39902
Quer aprender confeitar? E trabalhar
de casa?? #confeitaria #cursodeconfeitaria
#rendaextra #ganhedinheiro https://t.co/PDlVqsKfa5
https://t.co/k9ju0363Au</t>
  </si>
  <si>
    <t>javiunej
Como ser Motorista de aplicativo?
https://t.co/QTD9Qg8nLV #rendaextra
#trabalhoemcasa #oportunidades
#ganhardinheiro #negócioonline
#freelancer #dinheiroextra #empreendedorismo
#trabalhandoemcasa #negóciopróprio
#ganharlucro</t>
  </si>
  <si>
    <t>rafael__costa__
Por indexador, 51,9% do portfólio
está em CDI e 48,1% está no IPCA.
#investimentosbrasileexterior #investimentobrasil
#investimentoexterior #investimentoimobiliario
#fundoimobiliário #fundosimobiliários
#fiisparaleigos #fiis #rendavariável
#rendaextra #rendapassiva https://t.co/46YEk5fTBP</t>
  </si>
  <si>
    <t>jupaimrohers
ME CHAMA QUE EU TE CONTO TUDO.
https://t.co/0roJP9rvTb #rendaextra
#afiliadadesucesso #Marketing #sucesso
https://t.co/BQQLYJ5w1y</t>
  </si>
  <si>
    <t>online24horass
Baixe o app agora 👇🏽 https://t.co/cwF3cjWkCJ
#MercadoPago #emprestimo #rendaextra
https://t.co/6O0TGcvFPU</t>
  </si>
  <si>
    <t>mah4ever
Professor não tem $$ pra viajar
no 🇧🇷… Sou diferente! Faço Renda
Extra com Marketing Digital! Quer
viajar também? Chama no direct!
#marketingdigital #rendaextra #viajarmais
#TikTok https://t.co/GU9yHteKGd</t>
  </si>
  <si>
    <t>julioce09076006
💰 Depósito mínimo R$10! 💥 🔑
Sistema de pagamento via PIX e
Pay4Fun com creditação imediata
e segura! @GambleCitybrl WhatsApp
Suporte 24h 📲 (21) 9 8511-8867
#gamblecitybrasil #gamblecitybr #rendaextraemcasa #cassino #cassinoonline #roletabrasil #roletaonline #ganhardinheiro
https://t.co/dl6oBMV5hU</t>
  </si>
  <si>
    <t xml:space="preserve">gamblecitybrl
</t>
  </si>
  <si>
    <t>taniapaula_
https://t.co/jbSAvkDtAh . #rendaextra
#Homework</t>
  </si>
  <si>
    <t>bianobk1bianobk
"Supere seus limites financeiros!
Nosso produto de renda extra pode
ser o impulso que faltava para
alcançar novas alturas. #SupereSeusLimites
#RendaExtra #NovasAlturas https://t.co/6dCdL9sT5E
https://t.co/8DiozIh0h8</t>
  </si>
  <si>
    <t>jamilyec
💸NOVA PROMOÇÃO DA BINANCE💸💸
Seja rápido que a promoção acaba
logo logo https://t.co/5V4jvNqcr9
PARECIDA COM O KWAI  GANHE 500
REAIS E PRA QUEM AINDA NÃO TEM
CADASTRO, FAÇA O CADASTRO E A VERIFICAÇÃO
DE IDENTIDADE #GANHARDINHEIRO #DINHEIRO
#RENDAEXTRA https://t.co/PhpLpIdaIu</t>
  </si>
  <si>
    <t>csdinheiro
Investimentos : 4 Áreas da vida
para investir e melhorar. #relacionamento
#financas #dinheiro #investir #negocios
#rendaextra https://t.co/jUZvl4YYu0</t>
  </si>
  <si>
    <t>caesgatos
Faculdade Qualittas lança programa
para alunos que precisam de uma
renda extra. Aluno Multiplicador
Qualittas pode oferecer cursos
de Pós-Graduação dos quais participa
ou não e ser recompensado por esta
ação 🤑 #cãesegatos #pósgraduação
#curso #rendaextra https://t.co/5EpYHQg4sK</t>
  </si>
  <si>
    <t>marcusv12385740
Não perca mais tempo! Amplie seus
horizontes, adquira novos conhecimentos
e invista em seu crescimento pessoal
e profissional com nossos cursos
online. https://t.co/vdkvylWRWB
#design #curso #cursos #marketing
#rendaextra #rendapassiva #empreendedorismo
#aprender</t>
  </si>
  <si>
    <t>edutiipster
Vem conhecer o melhor de escanteio
#apostasesportivas #rendaextra
#dinheiro #sonhos #future https://t.co/20uPqGBZiS
https://t.co/8qPn6aufot</t>
  </si>
  <si>
    <t>mthsoa
Método bet365 vem com o certo ✅
Vem que ainda dá tempo de você
aprender a lucrar comigo 🧠🎧 .
. . . #metodo #blaze #cassino #bet365
#betano #rendaextra #homeoffice
#decasa #tips #bet #win https://t.co/aX9ulOcbot</t>
  </si>
  <si>
    <t>naybh
Tá precisando de uma grana extra
? Mas não está conseguindo vender
nada ? Clica nesse link e descubra
como fazer a sua PRIMEIRA VENDA
em 12 horas! https://t.co/n1JTvExP8N
#rendaextra #granaextra #primeiravenda
#eduzz</t>
  </si>
  <si>
    <t>simpatiasgaucha
Hoje, trago algo especial para
vocês, uma simpatia incrível para
atrair dinheiro inesperado. #SimpatiasDaGaucha,
#DinheiroInesperado, #Prosperidade,
#MagiaDoSalGrosso, #SimpatiasDeProsperidade,
#AtrairDinheiro, #MagiaBranca,
#RendaExtra, #Abundância https://t.co/oZCtxdEYFt</t>
  </si>
  <si>
    <t>negocproflucrat
15 FORMAS DE FAZER UMA RENDA EXTRA
TODOS OS DIAS! https://t.co/owX2o0LdYn
via @YouTube #dicasdesucesso #rendaextra
#ganhardinheiro</t>
  </si>
  <si>
    <t>karladvogados
O Superior Tribunal de Justiça
– STJ, no entendimento divulgado
no informativo 776 de 30 de maio
de 2023, esclareceu que; caso o
contribuinte sofra de tendinite
– . Saiba mais em: https://t.co/jdnZO098lk
. . #isenção #imposto #rendaextra
#doenca #trabalho #tendinite #lesão
https://t.co/uFcx0wv3fN</t>
  </si>
  <si>
    <t>estantevirtuall
Você já se perguntou como algumas
pessoas conseguem ganhar dinheiro
online enquanto outras lutam para
pagar as contas? A verdade é que
existem muitas maneiras de ganhar
dinheiro na internet e nosso e-book
vai mostrar exatamente como fazer
isso. #rendaextra #dinheiro #money
https://t.co/fzSYbzdaQ5</t>
  </si>
  <si>
    <t>qgdatecnologia2
GGRC11, ainda Vale a Pena ? Queda
de 23% em 5 anos! Risco ou Oportunidade
? https://t.co/l6lENhU5cf via @YouTube
#investimentos #FIIs #dividendos
#rendavariável #rendapassiva #rendaextra</t>
  </si>
  <si>
    <t>ozieljonatas
E o Dropshipping!! Pra cima porra
m!🧠🚀🙏🏼🚀✅📚🏃💙💵💵💵💵💡 #vencemos
#dinheiro #rendaextra https://t.co/FzNzIIhZBi</t>
  </si>
  <si>
    <t>linzp09
Lobo888 tá pagando muitooo👇👇🤑
https://t.co/Lu6z0GyP4E #dinheiro
#apostas #lobo888 #rendaextra #UkraineRussianWar
#Jupiter #DieForYouRemix #trabalhandodecasa
https://t.co/NvYJ5vDtnu</t>
  </si>
  <si>
    <t>panico_jp
RT @programapanico: #Pânico | Foca
na Economia: Samy Dana explica
como funciona o novo golpe online
da renda extra; o Delari chama
de empre…</t>
  </si>
  <si>
    <t>chatgpt_brasil
Aprenda absolutamente tudo sobre
Cookies Gourmet! Curso 100% em
vídeo com aulas práticas e detalhadas.
Certificado incluso. Do básico
ao avançado #rendaextra https://t.co/LnNnAUUklm
https://t.co/1fG5FyLvZl</t>
  </si>
  <si>
    <t>midimashup
Com a pirâmide etária publicada
pelo @ibgecomunica fica claro que
em alguns anos não será mais sustentável
o Governo arcar com a #aposentadoria.
O que você está fazendo pra garantir
o seu #futuro e dos seus #filhos?
#investimento #rendaextra https://t.co/zzMGux1l6D</t>
  </si>
  <si>
    <t xml:space="preserve">ibgecomunica
</t>
  </si>
  <si>
    <t>stive_oficial
Te pegamos pela mão e te ensinamos
o passo a passo , literalmente
#opulodogato #Shopee #mercadolivre
#ecommerce #dropshiping #vendasonline
#rendaextra #dinheironainternet
https://t.co/7pFHx5VgOk https://t.co/fXXvuV0RRR</t>
  </si>
  <si>
    <t>oespacodigital
Torne-se um mestre na arte de criar
ovos de Páscoa caseiros e ganhe
dinheiro extra nesta temporada
#pascoa #páscoa #ovodepascoa #chocolate
#rendaextra https://t.co/YjrbHDnGIY</t>
  </si>
  <si>
    <t>ofertasdomes
Se você está precisando de uma
renda extra clique nesse link e
descubra como:https://t.co/TeVW5S0Nif
#cursodigital #dinheiroonline #rendaextra</t>
  </si>
  <si>
    <t>willamysousa15
Querem a parte 2? #MarketingDigital
#rendaextra #groaja #ChampionsLeague
#100hrs #dinheiro #Motivation https://t.co/H1lO5HukMe</t>
  </si>
  <si>
    <t>emoneybrasil
ETFs de títulos dos EUA com proteção
contra a inflação: https://t.co/GN08Ate1wN
#investiremdolar #rendafixa #rendaextra</t>
  </si>
  <si>
    <t>offer36836
Últimas vagas para o Meta dólar!
Tá buscando uma renda extra ou
aprender uma nova profissão que
paga em DÓLAR 💵? O link pra inscrição
tá aqui abaixo! Corre! É só até
23h59. #rendaextra #homeoffice
https://t.co/9PyjtJtyL8 https://t.co/6hKcwNvU82</t>
  </si>
  <si>
    <t>vida_low_carb
Aprenda absolutamente tudo sobre
Cookies Gourmet! Curso 100% em
vídeo com aulas práticas e detalhadas.
Certificado incluso. Do básico
ao avançado #rendaextra https://t.co/Df2XorW3vw
https://t.co/fFNerTS4oi</t>
  </si>
  <si>
    <t>dangerkillerxd
No FishMaster, é muito fácil ganhar
dinheiro colocando iscas, coletando
redes e sacando dinheiro! Já saquei
R$1500, insira meu ID do código
de convite: 96594324, a taxa de
saque é maior!https://t.co/aLyUCBex3D
#ondecomprar #rendaextra #ganhardinheiro
#appcash https://t.co/OaSaksswRK</t>
  </si>
  <si>
    <t>camgirllivu
Indicação para aplicativos de alto
fluxo melhores que livu yaar. #rendaextra
#aplicativogringo #appgringoquepaga
#livuyaar https://t.co/uQ9SMk5YvY</t>
  </si>
  <si>
    <t>bbarbaraasantos
https://t.co/t9zDDhICON quem tá
afim de uma graninha extra , joguinho
que da dinheiro . 🍀🤑 #TikTok
#rendaextra</t>
  </si>
  <si>
    <t>pinkfirebr
Google Opinion Rewards: Sua Opinião
Pode Render Dinheiro https://t.co/xALg6HlfUS
#rendaextra</t>
  </si>
  <si>
    <t>acerto_negocie
Vacilou e esqueceu de sacar o PIS/PASEP?
Não precisa ficar igual ao Homer,
dá para reaver o dim dim. Segue
esse fio 🧶 #pis #pasep #rendaextra
https://t.co/7Drr5X7J9D</t>
  </si>
  <si>
    <t>eugenionunes
Você quer saber como usar as suas
habilidades do dia a dia para ganhar
dinheiro na internet? #Dinheiro
#Internet #Habilidades #Freelancer
#Afiliado #Conteúdo #Pesquisa #RendaExtra
#Online #Trabalho #CapCut #workana
#99freelas #fivver #design #tradução
#consultoria #pesquisas https://t.co/MGBpbMUxf9</t>
  </si>
  <si>
    <t>limpetasa
#Vagas para #pedreiro e ajudante
prático em #Riodejaneiro. Se você
busca uma #rendaextra, saiba que
nós oferecemos vagas para #pedreiro,
$pintor e #ajudante prático. Envie
seu #currículo para limpeta.sa@gmail.com
ou pelo nosso whatsapp (21) 97943
- 2524 https://t.co/nj6TUlcXae</t>
  </si>
  <si>
    <t>deixaqueeuteco1
DEU PRISÃO : Ex-secretário de Saúde
é preso em operação e mais de R$
1 milhão é bloqueado https://t.co/QxOfko8MhW
· · · #pris #dinheiro #lula #sucesso
#stf #dinheironobolso #prisão #rendaextra
#brasil #dinheirocomatitude #prisãopreventiva
#foco #prisãodomiciliar https://t.co/1KvRpsSdZe</t>
  </si>
  <si>
    <t>financeone_br
Renda extra na Páscoa: 4 dicas
para lucrar com a data comemorativa!
#rendaextra #Pascoa https://t.co/TBqS9B800K</t>
  </si>
  <si>
    <t>foconasapostas
5 robôs Vips de graça, poucas vagas
➡https://t.co/dqIzfZ4l00 --------------------------------------------------------
Tags: #FortuneMouse #Fortune #Slots
#Cassino #DinheiroOnline #Blaze
#Apostas #RendaExtra ----------------------------------------------------
Até que pagou bem! https://t.co/40fzvLeh0b</t>
  </si>
  <si>
    <t>jaquecostareal
Aproveite! Packs editáveis no canva!
Transforme seu perfil do Instagram
em poucos minutos.🤗 #MarketingDigital
#rendaextra https://t.co/qTniec0s1N</t>
  </si>
  <si>
    <t>lealbeatrizz
#BarbieEmpoderada #InteligenciaFinanceira
#RendaExtra #GirlPower 💪💖</t>
  </si>
  <si>
    <t>rafaeltradercwb
#rendaextra #earthquake #Maroc
#NCT_NATION_ToTheWorld_OSAKA https://t.co/77ydSGXr3D</t>
  </si>
  <si>
    <t>GraphSource░TwitterSearch3▓GraphTerm░#rendaextra OR #rendaextraemcasa▓ImportDescription░The graph represents a network of 1.060 Twitter users whose recent tweets contained "#rendaextra OR #rendaextraemcasa", or who were replied to, mentioned, retweeted or quoted in those tweets, taken from a data set limited to a maximum of 4.000 tweets, tweeted between 01/01/2023 23:31:21 and 27/09/2023 23:31:21.  The network was obtained from Twitter on Thursday, 28 September 2023 at 02:33 UTC._x000D_
_x000D_
The tweets in the network were tweeted over the 270-day, 8-hour, 41-minute period from Saturday, 31 December 2022 at 16:19 UTC to Thursday, 28 September 2023 at 01:00 UTC._x000D_
_x000D_
There is an edge for each "replies-to" relationship in a tweet, an edge for each "mentions" relationship in a tweet, an edge for each "retweet" relationship in a tweet, an edge for each "quote" relationship in a tweet, an edge for each "mention in retweet" relationship in a tweet, an edge for each "mention in reply-to" relationship in a tweet, an edge for each "mention in quote" relationship in a tweet, an edge for each "mention in quote reply-to" relationship in a tweet, and a self-loop edge for each tweet that is not from above.▓ImportSuggestedTitle░#rendaextra OR #rendaextraemcasa Twitter NodeXL SNA Map and Report for quinta-feira, 28 setembro 2023 at 01:32 UTC▓ImportSuggestedFileNameNoExtension░2023-09-28 01-32-23 NodeXL Twitter Search #rendaextra OR #rendaextraemcasa</t>
  </si>
  <si>
    <t>Directed</t>
  </si>
  <si>
    <t>Graph Type</t>
  </si>
  <si>
    <t>Modularity</t>
  </si>
  <si>
    <t>NodeXL Version</t>
  </si>
  <si>
    <t>Graph Gallery URL</t>
  </si>
  <si>
    <t>Graph Image URL</t>
  </si>
  <si>
    <t>Graph Source</t>
  </si>
  <si>
    <t>Graph Term</t>
  </si>
  <si>
    <t>Data Import</t>
  </si>
  <si>
    <t>Layout Algorithm</t>
  </si>
  <si>
    <t>Groups</t>
  </si>
  <si>
    <t>Edge Alpha</t>
  </si>
  <si>
    <t>Edge Color</t>
  </si>
  <si>
    <t>Edge Width</t>
  </si>
  <si>
    <t>Vertex Alpha</t>
  </si>
  <si>
    <t>Vertex Radius</t>
  </si>
  <si>
    <t>Vertex X</t>
  </si>
  <si>
    <t>Vertex y</t>
  </si>
  <si>
    <t>Not Applicable</t>
  </si>
  <si>
    <t>1.0.1.522</t>
  </si>
  <si>
    <t>TwitterSearch3</t>
  </si>
  <si>
    <t>#rendaextra OR #rendaextraemcasa</t>
  </si>
  <si>
    <t>The graph represents a network of 1.060 Twitter users whose recent tweets contained "#rendaextra OR #rendaextraemcasa", or who were replied to, mentioned, retweeted or quoted in those tweets, taken from a data set limited to a maximum of 4.000 tweets, tweeted between 01/01/2023 23:31:21 and 27/09/2023 23:31:21.  The network was obtained from Twitter on Thursday, 28 September 2023 at 02:33 UTC._x000D_
_x000D_
The tweets in the network were tweeted over the 270-day, 8-hour, 41-minute period from Saturday, 31 December 2022 at 16:19 UTC to Thursday, 28 September 2023 at 01:00 UTC._x000D_
_x000D_
There is an edge for each "replies-to" relationship in a tweet, an edge for each "mentions" relationship in a tweet, an edge for each "retweet" relationship in a tweet, an edge for each "quote" relationship in a tweet, an edge for each "mention in retweet" relationship in a tweet, an edge for each "mention in reply-to" relationship in a tweet, an edge for each "mention in quote" relationship in a tweet, an edge for each "mention in quote reply-to" relationship in a tweet, and a self-loop edge for each tweet that is not from above.</t>
  </si>
  <si>
    <t>Key</t>
  </si>
  <si>
    <t>Action Label</t>
  </si>
  <si>
    <t>Action URL</t>
  </si>
  <si>
    <t>Brand Logo</t>
  </si>
  <si>
    <t>Brand URL</t>
  </si>
  <si>
    <t>Hashtag</t>
  </si>
  <si>
    <t>&lt;?xml version="1.0" encoding="utf-8"?&gt;_x000D_
&lt;configuration&gt;_x000D_
  &lt;configSections&gt;_x000D_
    &lt;sectionGroup name="userSettings" type="System.Configuration.UserSettingsGroup, System, Version=2.0.0.0, Culture=neutral, PublicKeyToken=b77a5c561934e089"&gt;_x000D_
      &lt;section name="AutoScaleUserSettings" type="System.Configuration.ClientSettingsSection, System, Version=2.0.0.0, Culture=neutral, PublicKeyToken=b77a5c561934e089" allowExeDefinition="MachineToLocalUser" requirePermission="false" /&gt;_x000D_
      &lt;section name="GraphZoomAndScaleUserSettings" type="System.Configuration.ClientSettingsSection, System, Version=2.0.0.0, Culture=neutral, PublicKeyToken=b77a5c561934e089" allowExeDefinition="MachineToLocalUser" requirePermission="false" /&gt;_x000D_
      &lt;section name="GraphMetricUserSettings"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&lt;/sectionGroup&gt;_x000D_
  &lt;/configSections&gt;_x000D_
  &lt;userSettings&gt;_x000D_
    &lt;AutoScaleUserSettings&gt;_x000D_
      &lt;setting name="AutoScale" serializeAs="String"&gt;_x000D_
        &lt;value&gt;False&lt;/value&gt;_x000D_
      &lt;/setting&gt;_x000D_
    &lt;/AutoScaleUserSettings&gt;_x000D_
    &lt;GraphZoomAndScaleUserSettings&gt;_x000D_
      &lt;setting name="GraphScale" serializeAs="String"&gt;_x000D_
        &lt;value&gt;1&lt;/value&gt;_x000D_
      &lt;/setting&gt;_x000D_
    &lt;/GraphZoomAndScaleUserSettings&gt;_x000D_
    &lt;GraphMetricUserSettings&gt;_x000D_
      &lt;setting name="GraphMetricsToCalculate" serializeAs="String"&gt;_x000D_
        &lt;value&gt;OverallMetrics&lt;/value&gt;_x000D_
      &lt;/setting&gt;_x000D_
    &lt;/GraphMetricUserSettings&gt;_x000D_
    &lt;GeneralUserSettings4&gt;_x000D_
      &lt;setting name="NewWorkbookGraphDirectedness" serializeAs="String"&gt;_x000D_
        &lt;value&gt;Directed&lt;/value&gt;_x000D_
      &lt;/setting&gt;_x000D_
      &lt;setting name="ReadGroupLabels" serializeAs="String"&gt;_x000D_
        &lt;value&gt;True&lt;/value&gt;_x000D_
      &lt;/setting&gt;_x000D_
      &lt;setting name="ReadVertexLabels" serializeAs="String"&gt;_x000D_
        &lt;value&gt;True&lt;/value&gt;_x000D_
      &lt;/setting&gt;_x000D_
      &lt;setting name="ReadEdgeLabels" serializeAs="String"&gt;_x000D_
        &lt;value&gt;True&lt;/value&gt;_x000D_
      &lt;/setting&gt;_x000D_
      &lt;setting name="ShowGraphLegend" serializeAs="String"&gt;_x000D_
        &lt;value&gt;False&lt;/value&gt;_x000D_
      &lt;/setting&gt;_x000D_
      &lt;setting name="ShowGraphAxes" serializeAs="String"&gt;_x000D_
        &lt;value&gt;False&lt;/value&gt;_x000D_
      &lt;/setting&gt;_x000D_
    &lt;/GeneralUserSettings4&gt;_x000D_
  &lt;/userSettings&gt;_x000D_
&lt;/configuration&gt;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</si>
</sst>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0.0"/>
    <numFmt numFmtId="166" formatCode="#,##0.000"/>
    <numFmt numFmtId="167" formatCode="0.000"/>
  </numFmts>
  <fonts count="14"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
      <u/>
      <sz val="11"/>
      <color theme="10"/>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2">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10">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xf numFmtId="0" fontId="13" fillId="0" borderId="0" applyNumberFormat="0" applyFill="0" applyBorder="0" applyAlignment="0" applyProtection="0"/>
  </cellStyleXfs>
  <cellXfs count="105">
    <xf numFmtId="0" fontId="0" fillId="0" borderId="0" xfId="0"/>
    <xf numFmtId="49" fontId="0" fillId="0" borderId="0" xfId="0" applyNumberFormat="1"/>
    <xf numFmtId="1"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49" fontId="0" fillId="0" borderId="0" xfId="3" applyNumberFormat="1" applyFont="1"/>
    <xf numFmtId="0" fontId="0" fillId="5" borderId="1" xfId="4" applyNumberFormat="1" applyFont="1"/>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Font="1"/>
    <xf numFmtId="4" fontId="0" fillId="0" borderId="0" xfId="0" applyNumberFormat="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ill="1" applyBorder="1"/>
    <xf numFmtId="0" fontId="0" fillId="8" borderId="6" xfId="0" applyFill="1" applyBorder="1"/>
    <xf numFmtId="4" fontId="0" fillId="9" borderId="5" xfId="0" applyNumberFormat="1" applyFill="1" applyBorder="1"/>
    <xf numFmtId="0" fontId="0" fillId="9" borderId="6" xfId="0" applyFill="1" applyBorder="1"/>
    <xf numFmtId="4" fontId="0" fillId="9" borderId="7" xfId="0" applyNumberFormat="1" applyFill="1" applyBorder="1"/>
    <xf numFmtId="0" fontId="0" fillId="9" borderId="0" xfId="0" applyFill="1"/>
    <xf numFmtId="0" fontId="0" fillId="8" borderId="5" xfId="0" applyFill="1" applyBorder="1"/>
    <xf numFmtId="0" fontId="0" fillId="9" borderId="5" xfId="0" applyFill="1" applyBorder="1"/>
    <xf numFmtId="0" fontId="0" fillId="9" borderId="7" xfId="0"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167" fontId="11" fillId="4" borderId="1" xfId="5" applyNumberFormat="1" applyFont="1" applyAlignment="1"/>
    <xf numFmtId="0" fontId="5" fillId="2" borderId="1" xfId="1" applyNumberForma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0" fontId="0" fillId="3" borderId="1" xfId="7" applyNumberFormat="1" applyFont="1"/>
    <xf numFmtId="49" fontId="0" fillId="0" borderId="0" xfId="3" applyNumberFormat="1" applyFont="1" applyAlignment="1"/>
    <xf numFmtId="0" fontId="0" fillId="5" borderId="1" xfId="4" applyNumberFormat="1" applyFont="1" applyAlignment="1"/>
    <xf numFmtId="164" fontId="0" fillId="5" borderId="1" xfId="4" applyNumberFormat="1" applyFont="1" applyAlignment="1"/>
    <xf numFmtId="0" fontId="11" fillId="5" borderId="1" xfId="4" applyNumberFormat="1" applyFont="1" applyAlignment="1"/>
    <xf numFmtId="1" fontId="0" fillId="5" borderId="1" xfId="4" applyNumberFormat="1" applyFont="1" applyAlignment="1"/>
    <xf numFmtId="49" fontId="6" fillId="6" borderId="1" xfId="6" applyNumberForma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0" fontId="11" fillId="2" borderId="1" xfId="1" applyNumberFormat="1" applyFont="1" applyAlignment="1"/>
    <xf numFmtId="0" fontId="0" fillId="0" borderId="0" xfId="0" applyAlignment="1"/>
    <xf numFmtId="0" fontId="0" fillId="0" borderId="0" xfId="0" applyFill="1" applyAlignment="1"/>
    <xf numFmtId="22" fontId="0" fillId="0" borderId="0" xfId="0" applyNumberFormat="1" applyAlignment="1"/>
    <xf numFmtId="22" fontId="0" fillId="0" borderId="0" xfId="0" applyNumberFormat="1" applyFill="1" applyAlignment="1"/>
    <xf numFmtId="0" fontId="13" fillId="0" borderId="0" xfId="9" applyFill="1" applyAlignment="1"/>
    <xf numFmtId="0" fontId="0" fillId="0" borderId="0" xfId="0" quotePrefix="1" applyAlignment="1"/>
    <xf numFmtId="0" fontId="0" fillId="0" borderId="0" xfId="0" quotePrefix="1" applyFill="1" applyAlignment="1"/>
    <xf numFmtId="0" fontId="13" fillId="0" borderId="0" xfId="9" applyAlignment="1"/>
    <xf numFmtId="14" fontId="0" fillId="0" borderId="0" xfId="0" applyNumberFormat="1" applyAlignment="1"/>
    <xf numFmtId="14" fontId="0" fillId="0" borderId="0" xfId="0" applyNumberFormat="1" applyFill="1" applyAlignment="1"/>
    <xf numFmtId="1" fontId="11" fillId="4" borderId="1" xfId="5" applyNumberFormat="1" applyFont="1" applyAlignment="1"/>
    <xf numFmtId="49" fontId="0" fillId="0" borderId="0" xfId="3" applyNumberFormat="1" applyFont="1" applyBorder="1" applyAlignment="1"/>
    <xf numFmtId="0" fontId="0" fillId="5" borderId="11" xfId="4" applyNumberFormat="1" applyFont="1" applyBorder="1" applyAlignment="1"/>
    <xf numFmtId="164" fontId="0" fillId="5" borderId="11" xfId="4" applyNumberFormat="1" applyFont="1" applyBorder="1" applyAlignment="1"/>
    <xf numFmtId="1" fontId="0" fillId="5" borderId="11" xfId="4" applyNumberFormat="1" applyFont="1" applyBorder="1" applyAlignment="1"/>
    <xf numFmtId="49" fontId="6" fillId="6" borderId="11" xfId="6" applyNumberFormat="1" applyBorder="1" applyAlignment="1"/>
    <xf numFmtId="0" fontId="6" fillId="6" borderId="11" xfId="6" applyNumberFormat="1" applyBorder="1" applyAlignment="1"/>
    <xf numFmtId="164" fontId="0" fillId="3" borderId="11" xfId="7" applyNumberFormat="1" applyFont="1" applyBorder="1" applyAlignment="1"/>
    <xf numFmtId="165" fontId="0" fillId="3" borderId="11" xfId="7" applyNumberFormat="1" applyFont="1" applyBorder="1" applyAlignment="1"/>
    <xf numFmtId="0" fontId="0" fillId="3" borderId="11" xfId="7" applyNumberFormat="1" applyFont="1" applyBorder="1" applyAlignment="1"/>
    <xf numFmtId="166" fontId="0" fillId="3" borderId="11" xfId="7" applyNumberFormat="1" applyFont="1" applyBorder="1" applyAlignment="1"/>
    <xf numFmtId="1" fontId="11" fillId="4" borderId="11" xfId="5" applyNumberFormat="1" applyFont="1" applyBorder="1" applyAlignment="1"/>
    <xf numFmtId="167" fontId="11" fillId="4" borderId="11" xfId="5" applyNumberFormat="1" applyFont="1" applyBorder="1" applyAlignment="1"/>
    <xf numFmtId="167" fontId="5" fillId="4" borderId="11" xfId="5" applyNumberFormat="1" applyBorder="1" applyAlignment="1"/>
    <xf numFmtId="0" fontId="0" fillId="2" borderId="11" xfId="1" applyNumberFormat="1" applyFont="1" applyBorder="1" applyAlignment="1"/>
    <xf numFmtId="0" fontId="0" fillId="0" borderId="0" xfId="2" applyNumberFormat="1" applyFont="1" applyBorder="1" applyAlignment="1"/>
    <xf numFmtId="0" fontId="13" fillId="5" borderId="1" xfId="9" applyNumberFormat="1" applyFill="1" applyBorder="1" applyAlignment="1"/>
    <xf numFmtId="0" fontId="13" fillId="5" borderId="11" xfId="9" applyNumberFormat="1" applyFill="1" applyBorder="1" applyAlignment="1"/>
    <xf numFmtId="0" fontId="5" fillId="5" borderId="1" xfId="8" applyNumberFormat="1" applyAlignment="1"/>
  </cellXfs>
  <cellStyles count="10">
    <cellStyle name="Hiperlink" xfId="9" builtinId="8"/>
    <cellStyle name="NodeXL Do Not Edit" xfId="1" xr:uid="{00000000-0005-0000-0000-000000000000}"/>
    <cellStyle name="NodeXL Graph Metric" xfId="5" xr:uid="{00000000-0005-0000-0000-000001000000}"/>
    <cellStyle name="NodeXL Graph Metric Separator" xfId="8" xr:uid="{00000000-0005-0000-0000-000002000000}"/>
    <cellStyle name="NodeXL Label" xfId="6" xr:uid="{00000000-0005-0000-0000-000003000000}"/>
    <cellStyle name="NodeXL Layout" xfId="7" xr:uid="{00000000-0005-0000-0000-000004000000}"/>
    <cellStyle name="NodeXL Other Column" xfId="2" xr:uid="{00000000-0005-0000-0000-000005000000}"/>
    <cellStyle name="NodeXL Required" xfId="3" xr:uid="{00000000-0005-0000-0000-000006000000}"/>
    <cellStyle name="NodeXL Visual Property" xfId="4" xr:uid="{00000000-0005-0000-0000-000007000000}"/>
    <cellStyle name="Normal" xfId="0" builtinId="0"/>
  </cellStyles>
  <dxfs count="188">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border outline="0">
        <right style="thin">
          <color theme="0"/>
        </right>
      </border>
    </dxf>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0" formatCode="General"/>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border>
    </dxf>
    <dxf>
      <numFmt numFmtId="1" formatCode="0"/>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numFmt numFmtId="0" formatCode="General"/>
    </dxf>
    <dxf>
      <numFmt numFmtId="30" formatCode="@"/>
    </dxf>
    <dxf>
      <numFmt numFmtId="30" formatCode="@"/>
    </dxf>
    <dxf>
      <numFmt numFmtId="30" formatCode="@"/>
    </dxf>
    <dxf>
      <numFmt numFmtId="30" formatCode="@"/>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dxf>
    <dxf>
      <numFmt numFmtId="0" formatCode="General"/>
    </dxf>
    <dxf>
      <numFmt numFmtId="30" formatCode="@"/>
    </dxf>
    <dxf>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187"/>
      <tableStyleElement type="headerRow" dxfId="186"/>
    </tableStyle>
    <tableStyle name="NodeXL Table" pivot="0" count="1" xr9:uid="{00000000-0011-0000-FFFF-FFFF01000000}">
      <tableStyleElement type="headerRow" dxfId="18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Metrics'!$E$2:$E$41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3B87-4498-8AB2-3079854CCDE6}"/>
            </c:ext>
          </c:extLst>
        </c:ser>
        <c:dLbls>
          <c:showLegendKey val="0"/>
          <c:showVal val="0"/>
          <c:showCatName val="0"/>
          <c:showSerName val="0"/>
          <c:showPercent val="0"/>
          <c:showBubbleSize val="0"/>
        </c:dLbls>
        <c:gapWidth val="0"/>
        <c:axId val="1190537248"/>
        <c:axId val="1190542144"/>
      </c:barChart>
      <c:catAx>
        <c:axId val="1190537248"/>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190542144"/>
        <c:crosses val="autoZero"/>
        <c:auto val="1"/>
        <c:lblAlgn val="ctr"/>
        <c:lblOffset val="100"/>
        <c:noMultiLvlLbl val="0"/>
      </c:catAx>
      <c:valAx>
        <c:axId val="119054214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3724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Metrics'!$G$2:$G$41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0B81-411C-A079-D16550667739}"/>
            </c:ext>
          </c:extLst>
        </c:ser>
        <c:dLbls>
          <c:showLegendKey val="0"/>
          <c:showVal val="0"/>
          <c:showCatName val="0"/>
          <c:showSerName val="0"/>
          <c:showPercent val="0"/>
          <c:showBubbleSize val="0"/>
        </c:dLbls>
        <c:gapWidth val="0"/>
        <c:axId val="1190542688"/>
        <c:axId val="1190537792"/>
      </c:barChart>
      <c:catAx>
        <c:axId val="1190542688"/>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190537792"/>
        <c:crosses val="autoZero"/>
        <c:auto val="1"/>
        <c:lblAlgn val="ctr"/>
        <c:lblOffset val="100"/>
        <c:noMultiLvlLbl val="0"/>
      </c:catAx>
      <c:valAx>
        <c:axId val="119053779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268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Metrics'!$I$2:$I$41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1F6B-457A-9D7B-15F564DA6F8C}"/>
            </c:ext>
          </c:extLst>
        </c:ser>
        <c:dLbls>
          <c:showLegendKey val="0"/>
          <c:showVal val="0"/>
          <c:showCatName val="0"/>
          <c:showSerName val="0"/>
          <c:showPercent val="0"/>
          <c:showBubbleSize val="0"/>
        </c:dLbls>
        <c:gapWidth val="0"/>
        <c:axId val="1190539424"/>
        <c:axId val="1190543232"/>
      </c:barChart>
      <c:catAx>
        <c:axId val="1190539424"/>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190543232"/>
        <c:crosses val="autoZero"/>
        <c:auto val="1"/>
        <c:lblAlgn val="ctr"/>
        <c:lblOffset val="100"/>
        <c:noMultiLvlLbl val="0"/>
      </c:catAx>
      <c:valAx>
        <c:axId val="119054323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3942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0</c:v>
                </c:pt>
              </c:strCache>
            </c:strRef>
          </c:tx>
          <c:spPr>
            <a:solidFill>
              <a:schemeClr val="accent1"/>
            </a:solidFill>
          </c:spPr>
          <c:invertIfNegative val="0"/>
          <c:cat>
            <c:numRef>
              <c:f>'Overall Metrics'!$J$2:$J$41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Metrics'!$K$2:$K$41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38C4-493F-87A0-BF6EADBAF1C6}"/>
            </c:ext>
          </c:extLst>
        </c:ser>
        <c:dLbls>
          <c:showLegendKey val="0"/>
          <c:showVal val="0"/>
          <c:showCatName val="0"/>
          <c:showSerName val="0"/>
          <c:showPercent val="0"/>
          <c:showBubbleSize val="0"/>
        </c:dLbls>
        <c:gapWidth val="0"/>
        <c:axId val="1190543776"/>
        <c:axId val="1190548128"/>
      </c:barChart>
      <c:catAx>
        <c:axId val="1190543776"/>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190548128"/>
        <c:crosses val="autoZero"/>
        <c:auto val="1"/>
        <c:lblAlgn val="ctr"/>
        <c:lblOffset val="100"/>
        <c:noMultiLvlLbl val="0"/>
      </c:catAx>
      <c:valAx>
        <c:axId val="119054812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37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0</c:v>
                </c:pt>
              </c:strCache>
            </c:strRef>
          </c:tx>
          <c:spPr>
            <a:solidFill>
              <a:schemeClr val="accent1"/>
            </a:solidFill>
          </c:spPr>
          <c:invertIfNegative val="0"/>
          <c:cat>
            <c:numRef>
              <c:f>'Overall Metrics'!$L$2:$L$41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Metrics'!$M$2:$M$41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E5FD-4BBF-B9E5-DD368CAF2E12}"/>
            </c:ext>
          </c:extLst>
        </c:ser>
        <c:dLbls>
          <c:showLegendKey val="0"/>
          <c:showVal val="0"/>
          <c:showCatName val="0"/>
          <c:showSerName val="0"/>
          <c:showPercent val="0"/>
          <c:showBubbleSize val="0"/>
        </c:dLbls>
        <c:gapWidth val="0"/>
        <c:axId val="1190536704"/>
        <c:axId val="1190549760"/>
      </c:barChart>
      <c:catAx>
        <c:axId val="1190536704"/>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1190549760"/>
        <c:crosses val="autoZero"/>
        <c:auto val="1"/>
        <c:lblAlgn val="ctr"/>
        <c:lblOffset val="100"/>
        <c:noMultiLvlLbl val="0"/>
      </c:catAx>
      <c:valAx>
        <c:axId val="119054976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3670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0</c:v>
                </c:pt>
              </c:strCache>
            </c:strRef>
          </c:tx>
          <c:spPr>
            <a:solidFill>
              <a:schemeClr val="accent1"/>
            </a:solidFill>
          </c:spPr>
          <c:invertIfNegative val="0"/>
          <c:cat>
            <c:numRef>
              <c:f>'Overall Metrics'!$N$2:$N$41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Metrics'!$O$2:$O$41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BE72-4FF6-BA84-EDE9BAFF3B30}"/>
            </c:ext>
          </c:extLst>
        </c:ser>
        <c:dLbls>
          <c:showLegendKey val="0"/>
          <c:showVal val="0"/>
          <c:showCatName val="0"/>
          <c:showSerName val="0"/>
          <c:showPercent val="0"/>
          <c:showBubbleSize val="0"/>
        </c:dLbls>
        <c:gapWidth val="0"/>
        <c:axId val="1190544320"/>
        <c:axId val="1190548672"/>
      </c:barChart>
      <c:catAx>
        <c:axId val="1190544320"/>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1190548672"/>
        <c:crosses val="autoZero"/>
        <c:auto val="1"/>
        <c:lblAlgn val="ctr"/>
        <c:lblOffset val="100"/>
        <c:noMultiLvlLbl val="0"/>
      </c:catAx>
      <c:valAx>
        <c:axId val="119054867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432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Metrics'!$S$2:$S$41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6BDD-4123-AA65-FC0D2D01A9F1}"/>
            </c:ext>
          </c:extLst>
        </c:ser>
        <c:dLbls>
          <c:showLegendKey val="0"/>
          <c:showVal val="0"/>
          <c:showCatName val="0"/>
          <c:showSerName val="0"/>
          <c:showPercent val="0"/>
          <c:showBubbleSize val="0"/>
        </c:dLbls>
        <c:gapWidth val="0"/>
        <c:axId val="1190545408"/>
        <c:axId val="1190545952"/>
      </c:barChart>
      <c:catAx>
        <c:axId val="1190545408"/>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1190545952"/>
        <c:crosses val="autoZero"/>
        <c:auto val="1"/>
        <c:lblAlgn val="ctr"/>
        <c:lblOffset val="100"/>
        <c:noMultiLvlLbl val="0"/>
      </c:catAx>
      <c:valAx>
        <c:axId val="119054595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540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0</c:v>
                </c:pt>
              </c:strCache>
            </c:strRef>
          </c:tx>
          <c:spPr>
            <a:solidFill>
              <a:schemeClr val="accent1"/>
            </a:solidFill>
          </c:spPr>
          <c:invertIfNegative val="0"/>
          <c:cat>
            <c:numRef>
              <c:f>'Overall Metrics'!$R$2:$R$41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Metrics'!$Q$2:$Q$41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C848-442C-ACFE-E7748E06C882}"/>
            </c:ext>
          </c:extLst>
        </c:ser>
        <c:dLbls>
          <c:showLegendKey val="0"/>
          <c:showVal val="0"/>
          <c:showCatName val="0"/>
          <c:showSerName val="0"/>
          <c:showPercent val="0"/>
          <c:showBubbleSize val="0"/>
        </c:dLbls>
        <c:gapWidth val="0"/>
        <c:axId val="1190546496"/>
        <c:axId val="1190547040"/>
      </c:barChart>
      <c:catAx>
        <c:axId val="1190546496"/>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1190547040"/>
        <c:crosses val="autoZero"/>
        <c:auto val="1"/>
        <c:lblAlgn val="ctr"/>
        <c:lblOffset val="100"/>
        <c:noMultiLvlLbl val="0"/>
      </c:catAx>
      <c:valAx>
        <c:axId val="119054704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649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#REF!</c:v>
                </c:pt>
              </c:strCache>
            </c:strRef>
          </c:tx>
          <c:spPr>
            <a:solidFill>
              <a:schemeClr val="accent1"/>
            </a:solidFill>
          </c:spPr>
          <c:invertIfNegative val="0"/>
          <c:cat>
            <c:numRef>
              <c:f>'Overall Metrics'!$T$2:$T$41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Metrics'!$U$2:$U$41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2AF8-4035-9381-FA50FEF7C0AE}"/>
            </c:ext>
          </c:extLst>
        </c:ser>
        <c:dLbls>
          <c:showLegendKey val="0"/>
          <c:showVal val="0"/>
          <c:showCatName val="0"/>
          <c:showSerName val="0"/>
          <c:showPercent val="0"/>
          <c:showBubbleSize val="0"/>
        </c:dLbls>
        <c:gapWidth val="0"/>
        <c:axId val="1190549216"/>
        <c:axId val="1190550304"/>
      </c:barChart>
      <c:catAx>
        <c:axId val="1190549216"/>
        <c:scaling>
          <c:orientation val="minMax"/>
        </c:scaling>
        <c:delete val="1"/>
        <c:axPos val="b"/>
        <c:numFmt formatCode="#,##0.00" sourceLinked="1"/>
        <c:majorTickMark val="out"/>
        <c:minorTickMark val="none"/>
        <c:tickLblPos val="none"/>
        <c:crossAx val="1190550304"/>
        <c:crosses val="autoZero"/>
        <c:auto val="1"/>
        <c:lblAlgn val="ctr"/>
        <c:lblOffset val="100"/>
        <c:noMultiLvlLbl val="0"/>
      </c:catAx>
      <c:valAx>
        <c:axId val="1190550304"/>
        <c:scaling>
          <c:orientation val="minMax"/>
        </c:scaling>
        <c:delete val="1"/>
        <c:axPos val="l"/>
        <c:numFmt formatCode="General" sourceLinked="1"/>
        <c:majorTickMark val="out"/>
        <c:minorTickMark val="none"/>
        <c:tickLblPos val="none"/>
        <c:crossAx val="1190549216"/>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65</xdr:row>
      <xdr:rowOff>38100</xdr:rowOff>
    </xdr:from>
    <xdr:to>
      <xdr:col>1</xdr:col>
      <xdr:colOff>918209</xdr:colOff>
      <xdr:row>72</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79</xdr:row>
      <xdr:rowOff>38100</xdr:rowOff>
    </xdr:from>
    <xdr:to>
      <xdr:col>1</xdr:col>
      <xdr:colOff>918209</xdr:colOff>
      <xdr:row>86</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93</xdr:row>
      <xdr:rowOff>28575</xdr:rowOff>
    </xdr:from>
    <xdr:to>
      <xdr:col>1</xdr:col>
      <xdr:colOff>918209</xdr:colOff>
      <xdr:row>100</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107</xdr:row>
      <xdr:rowOff>9525</xdr:rowOff>
    </xdr:from>
    <xdr:to>
      <xdr:col>1</xdr:col>
      <xdr:colOff>918210</xdr:colOff>
      <xdr:row>114</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121</xdr:row>
      <xdr:rowOff>19050</xdr:rowOff>
    </xdr:from>
    <xdr:to>
      <xdr:col>2</xdr:col>
      <xdr:colOff>0</xdr:colOff>
      <xdr:row>128</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135</xdr:row>
      <xdr:rowOff>19050</xdr:rowOff>
    </xdr:from>
    <xdr:to>
      <xdr:col>1</xdr:col>
      <xdr:colOff>918210</xdr:colOff>
      <xdr:row>142</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163</xdr:row>
      <xdr:rowOff>9525</xdr:rowOff>
    </xdr:from>
    <xdr:to>
      <xdr:col>1</xdr:col>
      <xdr:colOff>918210</xdr:colOff>
      <xdr:row>170</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149</xdr:row>
      <xdr:rowOff>0</xdr:rowOff>
    </xdr:from>
    <xdr:to>
      <xdr:col>1</xdr:col>
      <xdr:colOff>918210</xdr:colOff>
      <xdr:row>156</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dges" displayName="Edges" ref="A2:BI4023" totalsRowShown="0" headerRowDxfId="184" dataDxfId="125">
  <autoFilter ref="A2:BI4023" xr:uid="{00000000-0009-0000-0100-000001000000}"/>
  <tableColumns count="61">
    <tableColumn id="1" xr3:uid="{00000000-0010-0000-0000-000001000000}" name="Vertex 1" dataDxfId="101" dataCellStyle="NodeXL Required"/>
    <tableColumn id="2" xr3:uid="{00000000-0010-0000-0000-000002000000}" name="Vertex 2" dataDxfId="99" dataCellStyle="NodeXL Required"/>
    <tableColumn id="3" xr3:uid="{00000000-0010-0000-0000-000003000000}" name="Color" dataDxfId="100" dataCellStyle="NodeXL Visual Property"/>
    <tableColumn id="4" xr3:uid="{00000000-0010-0000-0000-000004000000}" name="Width" dataDxfId="135" dataCellStyle="NodeXL Visual Property"/>
    <tableColumn id="11" xr3:uid="{00000000-0010-0000-0000-00000B000000}" name="Style" dataDxfId="134" dataCellStyle="NodeXL Visual Property"/>
    <tableColumn id="5" xr3:uid="{00000000-0010-0000-0000-000005000000}" name="Opacity" dataDxfId="133" dataCellStyle="NodeXL Visual Property"/>
    <tableColumn id="6" xr3:uid="{00000000-0010-0000-0000-000006000000}" name="Visibility" dataDxfId="132" dataCellStyle="NodeXL Visual Property"/>
    <tableColumn id="10" xr3:uid="{00000000-0010-0000-0000-00000A000000}" name="Label" dataDxfId="131" dataCellStyle="NodeXL Label"/>
    <tableColumn id="12" xr3:uid="{00000000-0010-0000-0000-00000C000000}" name="Label Text Color" dataDxfId="130" dataCellStyle="NodeXL Label"/>
    <tableColumn id="13" xr3:uid="{00000000-0010-0000-0000-00000D000000}" name="Label Font Size" dataDxfId="129" dataCellStyle="NodeXL Label"/>
    <tableColumn id="14" xr3:uid="{00000000-0010-0000-0000-00000E000000}" name="Reciprocated?" dataDxfId="128" dataCellStyle="NodeXL Graph Metric"/>
    <tableColumn id="7" xr3:uid="{00000000-0010-0000-0000-000007000000}" name="ID" dataDxfId="127" dataCellStyle="NodeXL Do Not Edit"/>
    <tableColumn id="9" xr3:uid="{00000000-0010-0000-0000-000009000000}" name="Dynamic Filter" dataDxfId="126" dataCellStyle="NodeXL Do Not Edit"/>
    <tableColumn id="8" xr3:uid="{00000000-0010-0000-0000-000008000000}" name="Add Your Own Columns Here" dataDxfId="98" dataCellStyle="NodeXL Other Column"/>
    <tableColumn id="15" xr3:uid="{FDF0C194-A87B-4F5A-B9DA-AA27B3AC3DE7}" name="Relationship" dataDxfId="97" dataCellStyle="Normal"/>
    <tableColumn id="16" xr3:uid="{AD0F4A25-77FC-4CAF-8B96-10EDD1002807}" name="Relationship Date (UTC)" dataDxfId="96" dataCellStyle="Normal"/>
    <tableColumn id="17" xr3:uid="{7B5192F4-AF68-47BD-A670-C25F313168B5}" name="Tweet" dataDxfId="95" dataCellStyle="Normal"/>
    <tableColumn id="18" xr3:uid="{26D1F09E-3FF0-4E77-8521-9661665961F9}" name="Retweet Count" dataDxfId="94" dataCellStyle="Normal"/>
    <tableColumn id="19" xr3:uid="{A72AC9B9-3FD9-4ED4-B71E-5AC9AE6EC2C9}" name="Favorite Count" dataDxfId="93" dataCellStyle="Normal"/>
    <tableColumn id="20" xr3:uid="{81DA22F7-FB32-4D5D-9781-FF13620E538F}" name="Reply Count" dataDxfId="92" dataCellStyle="Normal"/>
    <tableColumn id="21" xr3:uid="{FF473329-3935-43BA-B98A-3210650DE2E5}" name="Quote Count" dataDxfId="91" dataCellStyle="Normal"/>
    <tableColumn id="22" xr3:uid="{0E82AD5A-4022-4E5F-A7C0-C3556193130E}" name="Impression Count" dataDxfId="90" dataCellStyle="Normal"/>
    <tableColumn id="23" xr3:uid="{56B6FF09-6461-4F57-A68A-4EFE88EF794C}" name="Hashtags in Tweet" dataDxfId="89" dataCellStyle="Normal"/>
    <tableColumn id="24" xr3:uid="{0C4335D6-9ADC-4225-A14F-2F3C3BC16B22}" name="URLs in Tweet" dataDxfId="88" dataCellStyle="Normal"/>
    <tableColumn id="25" xr3:uid="{9F8F7FF9-1A78-4883-A4BA-38AF087E0109}" name="Domains in Tweet" dataDxfId="87" dataCellStyle="Normal"/>
    <tableColumn id="26" xr3:uid="{827E1C2B-B285-4F3A-9539-9E9B5CF1F6BC}" name="Mentions in Tweet" dataDxfId="86" dataCellStyle="Normal"/>
    <tableColumn id="27" xr3:uid="{4CB45174-7B59-4AA3-BF1A-3DC316101EFD}" name="Media in Tweet" dataDxfId="85" dataCellStyle="Normal"/>
    <tableColumn id="28" xr3:uid="{84193D7D-4CA3-420F-AADB-42171DDFFABB}" name="Media Type" dataDxfId="84" dataCellStyle="Normal"/>
    <tableColumn id="29" xr3:uid="{DBD2BC10-C830-4CA7-8735-67CB6806C0F2}" name="Source" dataDxfId="83" dataCellStyle="Normal"/>
    <tableColumn id="30" xr3:uid="{B9DE7945-B718-4227-AADE-AD9ABC0FCEB5}" name="Language" dataDxfId="82" dataCellStyle="Normal"/>
    <tableColumn id="31" xr3:uid="{83C31EC5-9607-4F2F-BE5E-9FE1D23BB9FA}" name="Twitter Page for Tweet" dataDxfId="81" dataCellStyle="Normal"/>
    <tableColumn id="32" xr3:uid="{B03AF08D-7D30-4BBA-A7BD-808B923DB6B7}" name="Tweet Date (UTC)" dataDxfId="80" dataCellStyle="Normal"/>
    <tableColumn id="33" xr3:uid="{E8BF09FE-94C7-4E74-A1BA-1BCBD35B3869}" name="Date" dataDxfId="79" dataCellStyle="Normal"/>
    <tableColumn id="34" xr3:uid="{BC77BB44-CA3A-4A61-8AA5-D6B7D1147508}" name="Time" dataDxfId="78" dataCellStyle="Normal"/>
    <tableColumn id="35" xr3:uid="{D05E291E-8EF2-4654-8330-386D327D7B90}" name="Possibly Sensitive" dataDxfId="77" dataCellStyle="Normal"/>
    <tableColumn id="36" xr3:uid="{7D523DA7-31E6-4F94-B7FC-B3A4161C8439}" name="Place Bounding Box" dataDxfId="76" dataCellStyle="Normal"/>
    <tableColumn id="37" xr3:uid="{48417E77-5A36-4098-9AD8-CD16BA122E97}" name="Place Country" dataDxfId="75" dataCellStyle="Normal"/>
    <tableColumn id="38" xr3:uid="{7B267D23-5454-4B5A-9A5A-3B1F878CE315}" name="Place Country Code" dataDxfId="74" dataCellStyle="Normal"/>
    <tableColumn id="39" xr3:uid="{7F6C61A8-8E9A-44C5-814B-D0E1951A2623}" name="Place Full Name" dataDxfId="73" dataCellStyle="Normal"/>
    <tableColumn id="40" xr3:uid="{1AA03A3A-90CE-4A14-9898-E5FB97359E34}" name="Place ID" dataDxfId="72" dataCellStyle="Normal"/>
    <tableColumn id="41" xr3:uid="{CE309F6D-B9A3-4F8A-B1DC-545993D1CCD6}" name="Place Name" dataDxfId="71" dataCellStyle="Normal"/>
    <tableColumn id="42" xr3:uid="{84EB6E4B-109C-4746-9AD6-10C05615CF56}" name="Place Type" dataDxfId="70" dataCellStyle="Normal"/>
    <tableColumn id="43" xr3:uid="{5BBA421B-8EA2-42DB-A90D-D69CBB91F58C}" name="Media Key" dataDxfId="69" dataCellStyle="Normal"/>
    <tableColumn id="44" xr3:uid="{601A9348-F5A1-463C-9E24-460D91E58EE3}" name="Media Duration (ms)" dataDxfId="68" dataCellStyle="Normal"/>
    <tableColumn id="45" xr3:uid="{B47CEA01-8F9A-4BB6-97AB-CE3B31CB97AC}" name="Media Height" dataDxfId="67" dataCellStyle="Normal"/>
    <tableColumn id="46" xr3:uid="{88CB4A34-4071-477D-A6CA-89939928B389}" name="Media Width" dataDxfId="66" dataCellStyle="Normal"/>
    <tableColumn id="47" xr3:uid="{333296C8-69D8-471A-951B-78D046A6E11B}" name="Media View Count" dataDxfId="65" dataCellStyle="Normal"/>
    <tableColumn id="48" xr3:uid="{6D3C627D-593C-4E2E-A93B-98DDE518D945}" name="Tweet Image File" dataDxfId="64" dataCellStyle="Normal"/>
    <tableColumn id="49" xr3:uid="{FC3B92C0-ABD5-4853-87D3-75E103BC6017}" name="Imported ID" dataDxfId="63" dataCellStyle="Normal"/>
    <tableColumn id="50" xr3:uid="{A33E225E-484D-4A15-9965-2A87F281F235}" name="Conversation ID" dataDxfId="62" dataCellStyle="Normal"/>
    <tableColumn id="51" xr3:uid="{859CF502-D22D-44A8-9293-7EDB0BEE315F}" name="In Reply To User ID" dataDxfId="61" dataCellStyle="Normal"/>
    <tableColumn id="52" xr3:uid="{C799EBB8-92AE-4971-8152-540029123725}" name="In Reply To Tweet ID" dataDxfId="60" dataCellStyle="Normal"/>
    <tableColumn id="53" xr3:uid="{2A78D020-424E-4618-B88A-BDF14331812C}" name="Quoted Status ID" dataDxfId="59" dataCellStyle="Normal"/>
    <tableColumn id="54" xr3:uid="{10740FDE-C921-43A9-B1B5-12313EBC25A4}" name="Retweet ID" dataDxfId="58" dataCellStyle="Normal"/>
    <tableColumn id="55" xr3:uid="{A1A94A04-B3E6-476B-A5D0-D4C8FD53532A}" name="Unified Twitter ID" dataDxfId="57" dataCellStyle="Normal"/>
    <tableColumn id="56" xr3:uid="{B71D411F-1358-4F7F-B107-AC757BC17566}" name="Author ID" dataDxfId="56" dataCellStyle="Normal"/>
    <tableColumn id="57" xr3:uid="{B678F611-0A2C-432B-A946-FDF4E006F804}" name="Poll ID" dataDxfId="55" dataCellStyle="Normal"/>
    <tableColumn id="58" xr3:uid="{2AD8CF74-B1D7-4058-91E3-093CDC4E6E6F}" name="Poll Options" dataDxfId="54" dataCellStyle="Normal"/>
    <tableColumn id="59" xr3:uid="{AEBA0B02-BF56-4EDE-866A-368D646B6EE7}" name="Poll Duration" dataDxfId="53" dataCellStyle="Normal"/>
    <tableColumn id="60" xr3:uid="{E3F3BB8E-F6FD-4769-AC21-B5DB4C30E95A}" name="Poll End Date" dataDxfId="52" dataCellStyle="Normal"/>
    <tableColumn id="61" xr3:uid="{8F5ADD83-30E1-47BF-9E79-C4FD8C52EC50}" name="Poll Voting Status" dataDxfId="51" dataCellStyle="Normal"/>
  </tableColumns>
  <tableStyleInfo name="NodeXL Table"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Vertices" displayName="Vertices" ref="A2:BO1062" totalsRowShown="0" headerRowDxfId="183" dataDxfId="102">
  <autoFilter ref="A2:BO1062" xr:uid="{00000000-0009-0000-0100-000002000000}"/>
  <tableColumns count="67">
    <tableColumn id="1" xr3:uid="{00000000-0010-0000-0100-000001000000}" name="Vertex" dataDxfId="124" dataCellStyle="NodeXL Required"/>
    <tableColumn id="2" xr3:uid="{00000000-0010-0000-0100-000002000000}" name="Color" dataDxfId="123" dataCellStyle="NodeXL Visual Property"/>
    <tableColumn id="5" xr3:uid="{00000000-0010-0000-0100-000005000000}" name="Shape" dataDxfId="122" dataCellStyle="NodeXL Visual Property"/>
    <tableColumn id="6" xr3:uid="{00000000-0010-0000-0100-000006000000}" name="Size" dataDxfId="121" dataCellStyle="NodeXL Visual Property"/>
    <tableColumn id="4" xr3:uid="{00000000-0010-0000-0100-000004000000}" name="Opacity" dataDxfId="14" dataCellStyle="NodeXL Visual Property"/>
    <tableColumn id="7" xr3:uid="{00000000-0010-0000-0100-000007000000}" name="Image File" dataDxfId="12" dataCellStyle="NodeXL Visual Property"/>
    <tableColumn id="3" xr3:uid="{00000000-0010-0000-0100-000003000000}" name="Visibility" dataDxfId="13" dataCellStyle="NodeXL Visual Property"/>
    <tableColumn id="10" xr3:uid="{00000000-0010-0000-0100-00000A000000}" name="Label" dataDxfId="120" dataCellStyle="NodeXL Label"/>
    <tableColumn id="16" xr3:uid="{00000000-0010-0000-0100-000010000000}" name="Label Fill Color" dataDxfId="119" dataCellStyle="NodeXL Label"/>
    <tableColumn id="9" xr3:uid="{00000000-0010-0000-0100-000009000000}" name="Label Position" dataDxfId="8" dataCellStyle="NodeXL Label"/>
    <tableColumn id="8" xr3:uid="{00000000-0010-0000-0100-000008000000}" name="Tooltip" dataDxfId="6" dataCellStyle="NodeXL Label"/>
    <tableColumn id="18" xr3:uid="{00000000-0010-0000-0100-000012000000}" name="Layout Order" dataDxfId="7" dataCellStyle="NodeXL Layout"/>
    <tableColumn id="13" xr3:uid="{00000000-0010-0000-0100-00000D000000}" name="X" dataDxfId="118" dataCellStyle="NodeXL Layout"/>
    <tableColumn id="14" xr3:uid="{00000000-0010-0000-0100-00000E000000}" name="Y" dataDxfId="117" dataCellStyle="NodeXL Layout"/>
    <tableColumn id="12" xr3:uid="{00000000-0010-0000-0100-00000C000000}" name="Locked?" dataDxfId="116" dataCellStyle="NodeXL Layout"/>
    <tableColumn id="19" xr3:uid="{00000000-0010-0000-0100-000013000000}" name="Polar R" dataDxfId="115" dataCellStyle="NodeXL Layout"/>
    <tableColumn id="20" xr3:uid="{00000000-0010-0000-0100-000014000000}" name="Polar Angle" dataDxfId="114" dataCellStyle="NodeXL Layout"/>
    <tableColumn id="21" xr3:uid="{00000000-0010-0000-0100-000015000000}" name="Degree" dataDxfId="113" dataCellStyle="NodeXL Graph Metric"/>
    <tableColumn id="22" xr3:uid="{00000000-0010-0000-0100-000016000000}" name="In-Degree" dataDxfId="112" dataCellStyle="NodeXL Graph Metric"/>
    <tableColumn id="23" xr3:uid="{00000000-0010-0000-0100-000017000000}" name="Out-Degree" dataDxfId="111" dataCellStyle="NodeXL Graph Metric"/>
    <tableColumn id="24" xr3:uid="{00000000-0010-0000-0100-000018000000}" name="Betweenness Centrality" dataDxfId="110" dataCellStyle="NodeXL Graph Metric"/>
    <tableColumn id="25" xr3:uid="{00000000-0010-0000-0100-000019000000}" name="Closeness Centrality" dataDxfId="109" dataCellStyle="NodeXL Graph Metric"/>
    <tableColumn id="26" xr3:uid="{00000000-0010-0000-0100-00001A000000}" name="Eigenvector Centrality" dataDxfId="108" dataCellStyle="NodeXL Graph Metric"/>
    <tableColumn id="15" xr3:uid="{00000000-0010-0000-0100-00000F000000}" name="PageRank" dataDxfId="107" dataCellStyle="NodeXL Graph Metric"/>
    <tableColumn id="27" xr3:uid="{00000000-0010-0000-0100-00001B000000}" name="Clustering Coefficient" dataDxfId="106" dataCellStyle="NodeXL Graph Metric"/>
    <tableColumn id="29" xr3:uid="{00000000-0010-0000-0100-00001D000000}" name="Reciprocated Vertex Pair Ratio" dataDxfId="105" dataCellStyle="NodeXL Graph Metric"/>
    <tableColumn id="11" xr3:uid="{00000000-0010-0000-0100-00000B000000}" name="ID" dataDxfId="104" dataCellStyle="NodeXL Do Not Edit"/>
    <tableColumn id="28" xr3:uid="{00000000-0010-0000-0100-00001C000000}" name="Dynamic Filter" dataDxfId="103" dataCellStyle="NodeXL Do Not Edit"/>
    <tableColumn id="17" xr3:uid="{00000000-0010-0000-0100-000011000000}" name="Add Your Own Columns Here" dataDxfId="50" dataCellStyle="NodeXL Other Column"/>
    <tableColumn id="30" xr3:uid="{57F983FF-6C0C-4C1E-A344-074F50B79F35}" name="Name" dataDxfId="49" dataCellStyle="Normal"/>
    <tableColumn id="31" xr3:uid="{202C72F3-D429-42B5-A236-F23BD0023D5F}" name="User ID" dataDxfId="48" dataCellStyle="Normal"/>
    <tableColumn id="32" xr3:uid="{5A88E310-4D0D-40A4-9042-BF1724916D60}" name="Followers" dataDxfId="47" dataCellStyle="Normal"/>
    <tableColumn id="33" xr3:uid="{7F16A854-63D1-4B2B-BB1E-917C0E1A6F04}" name="Followed" dataDxfId="46" dataCellStyle="Normal"/>
    <tableColumn id="34" xr3:uid="{903DFC6E-228A-4D8C-8947-CC992CF673C1}" name="Tweets" dataDxfId="45" dataCellStyle="Normal"/>
    <tableColumn id="35" xr3:uid="{9FBC5575-F193-4090-BA14-C63EC1ECEA44}" name="Listed Count" dataDxfId="44" dataCellStyle="Normal"/>
    <tableColumn id="36" xr3:uid="{D9DA19B6-A486-4B7F-AC47-F45A7776C08D}" name="Favourites Count" dataDxfId="43" dataCellStyle="Normal"/>
    <tableColumn id="37" xr3:uid="{44BB191B-64C3-4FBA-89A1-9B96EAD89108}" name="Media Count" dataDxfId="42" dataCellStyle="Normal"/>
    <tableColumn id="38" xr3:uid="{3A778E71-39EA-4C9D-969C-970E8DAE80D6}" name="Verified" dataDxfId="41" dataCellStyle="Normal"/>
    <tableColumn id="39" xr3:uid="{3F6F8BC8-1A04-4177-B5F3-94801B18AE3B}" name="Joined Twitter Date (UTC)" dataDxfId="40" dataCellStyle="Normal"/>
    <tableColumn id="40" xr3:uid="{05297C27-E236-437A-B14B-6157FE9AE56D}" name="Location" dataDxfId="39" dataCellStyle="Normal"/>
    <tableColumn id="41" xr3:uid="{646A5965-59A6-43E9-8BC9-3A8E006EDEE2}" name="Description" dataDxfId="38" dataCellStyle="Normal"/>
    <tableColumn id="42" xr3:uid="{C9486CB5-5973-4616-892A-905FBE8F2E9F}" name="URLs (Details)" dataDxfId="37" dataCellStyle="Normal"/>
    <tableColumn id="43" xr3:uid="{CF8C7E69-42DF-43E7-AC08-B6D05771F522}" name="Expanded URLs (Details)" dataDxfId="36" dataCellStyle="Normal"/>
    <tableColumn id="44" xr3:uid="{BFD19FFC-AEE5-4460-BADD-A5151E45103C}" name="Display URLs (Details)" dataDxfId="35" dataCellStyle="Normal"/>
    <tableColumn id="45" xr3:uid="{54EABBC6-B6BD-46A3-8CA2-014597F4A242}" name="Description URLs (Details)" dataDxfId="34" dataCellStyle="Normal"/>
    <tableColumn id="46" xr3:uid="{C079F9B9-D2F3-4F19-98C4-FB331167712F}" name="Description Expanded URLs (Details)" dataDxfId="33" dataCellStyle="Normal"/>
    <tableColumn id="47" xr3:uid="{E7725073-5A58-40AA-8807-D8638F6EB816}" name="Description Display URLS (Details)" dataDxfId="32" dataCellStyle="Normal"/>
    <tableColumn id="48" xr3:uid="{D95AFA3C-A21D-42AA-8997-860029BE41D8}" name="Pinned Tweet ID" dataDxfId="31" dataCellStyle="Normal"/>
    <tableColumn id="49" xr3:uid="{40EDC8C7-D0D7-4D1C-B3A8-2D847B3C8F79}" name="URL" dataDxfId="30" dataCellStyle="Normal"/>
    <tableColumn id="50" xr3:uid="{50644DEC-FE0C-40DF-92B5-7B2B4907FCFA}" name="Is Blue Verified" dataDxfId="29" dataCellStyle="Normal"/>
    <tableColumn id="51" xr3:uid="{95EE8563-D09B-422C-BDC4-A501AE4BCC44}" name="You Are Followed By" dataDxfId="28" dataCellStyle="Normal"/>
    <tableColumn id="52" xr3:uid="{7C663B78-B4C0-4BCC-A1E5-BA19E9A0BD39}" name="You Are Following" dataDxfId="27" dataCellStyle="Normal"/>
    <tableColumn id="53" xr3:uid="{F56BF868-A92F-4AE0-833E-7C20531FE2AF}" name="Can DM" dataDxfId="26" dataCellStyle="Normal"/>
    <tableColumn id="54" xr3:uid="{00938F8A-98F6-4747-BA7B-C18D89F3C82A}" name="Can Media Tag" dataDxfId="25" dataCellStyle="Normal"/>
    <tableColumn id="55" xr3:uid="{452C53A1-2A91-4613-879E-F6F603E9FBE8}" name="Default Profile" dataDxfId="24" dataCellStyle="Normal"/>
    <tableColumn id="56" xr3:uid="{0BCDA6C9-E77D-416C-A3DE-29887D28E93C}" name="Default Profile Image" dataDxfId="23" dataCellStyle="Normal"/>
    <tableColumn id="57" xr3:uid="{8DCF08E1-49C1-43D2-89D2-0A090C59AF5F}" name="Has Custom Timelines" dataDxfId="22" dataCellStyle="Normal"/>
    <tableColumn id="58" xr3:uid="{E2DCDCB8-CB18-4CA4-A8B0-902E11FDCC36}" name="Is Translator" dataDxfId="21" dataCellStyle="Normal"/>
    <tableColumn id="59" xr3:uid="{E18D6D46-D1CC-4900-ADC5-78A359672AAC}" name="Possibly Sensitive" dataDxfId="20" dataCellStyle="Normal"/>
    <tableColumn id="60" xr3:uid="{6074949F-0352-4535-A91A-32C814792323}" name="Profile Banner URL" dataDxfId="19" dataCellStyle="Normal"/>
    <tableColumn id="61" xr3:uid="{E167753B-FC59-4023-8AB0-BAD129031165}" name="Profile Interstitial Type" dataDxfId="18" dataCellStyle="Normal"/>
    <tableColumn id="62" xr3:uid="{B025506A-41F4-4809-BB94-916ABDA663AB}" name="Translator Type" dataDxfId="17" dataCellStyle="Normal"/>
    <tableColumn id="63" xr3:uid="{5407CA88-EEA8-4B41-9BEB-CC97ED6C27FF}" name="Want Retweets" dataDxfId="16" dataCellStyle="Normal"/>
    <tableColumn id="64" xr3:uid="{6BD63CC8-24F1-47ED-B306-C6CCE9283B99}" name="Withheld" dataDxfId="15" dataCellStyle="Normal"/>
    <tableColumn id="65" xr3:uid="{AFD870C4-B75D-4D5E-BA3A-51BFF93ABD28}" name="Tweeted Search Term?" dataDxfId="11" dataCellStyle="Normal"/>
    <tableColumn id="66" xr3:uid="{22C9F121-E7E1-4AA8-936F-EDFB541C911E}" name="Custom Menu Item Text" dataDxfId="10" dataCellStyle="Normal"/>
    <tableColumn id="67" xr3:uid="{174ACD7C-54FB-487E-8BDD-35F6A7B4561D}" name="Custom Menu Item Action" dataDxfId="9" dataCellStyle="Normal"/>
  </tableColumns>
  <tableStyleInfo name="NodeXL Table"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Groups" displayName="Groups" ref="A2:X3" insertRow="1" totalsRowShown="0" headerRowDxfId="182">
  <autoFilter ref="A2:X3" xr:uid="{00000000-0009-0000-0100-000004000000}"/>
  <tableColumns count="24">
    <tableColumn id="1" xr3:uid="{00000000-0010-0000-0200-000001000000}" name="Group" dataDxfId="181" dataCellStyle="NodeXL Required"/>
    <tableColumn id="2" xr3:uid="{00000000-0010-0000-0200-000002000000}" name="Vertex Color" dataDxfId="180" dataCellStyle="NodeXL Visual Property"/>
    <tableColumn id="3" xr3:uid="{00000000-0010-0000-0200-000003000000}" name="Vertex Shape" dataDxfId="179" dataCellStyle="NodeXL Visual Property"/>
    <tableColumn id="22" xr3:uid="{00000000-0010-0000-0200-000016000000}" name="Visibility" dataDxfId="178" dataCellStyle="NodeXL Visual Property"/>
    <tableColumn id="4" xr3:uid="{00000000-0010-0000-0200-000004000000}" name="Collapsed?" dataCellStyle="NodeXL Visual Property"/>
    <tableColumn id="18" xr3:uid="{00000000-0010-0000-0200-000012000000}" name="Label" dataDxfId="177" dataCellStyle="NodeXL Label"/>
    <tableColumn id="20" xr3:uid="{00000000-0010-0000-0200-000014000000}" name="Collapsed X" dataCellStyle="NodeXL Layout"/>
    <tableColumn id="21" xr3:uid="{00000000-0010-0000-0200-000015000000}" name="Collapsed Y" dataCellStyle="NodeXL Layout"/>
    <tableColumn id="6" xr3:uid="{00000000-0010-0000-0200-000006000000}" name="ID" dataDxfId="176" dataCellStyle="NodeXL Do Not Edit"/>
    <tableColumn id="19" xr3:uid="{00000000-0010-0000-0200-000013000000}" name="Collapsed Properties" dataDxfId="175" dataCellStyle="NodeXL Do Not Edit"/>
    <tableColumn id="5" xr3:uid="{00000000-0010-0000-0200-000005000000}" name="Vertices" dataDxfId="174" dataCellStyle="NodeXL Graph Metric"/>
    <tableColumn id="7" xr3:uid="{00000000-0010-0000-0200-000007000000}" name="Unique Edges" dataDxfId="173" dataCellStyle="NodeXL Graph Metric"/>
    <tableColumn id="8" xr3:uid="{00000000-0010-0000-0200-000008000000}" name="Edges With Duplicates" dataDxfId="172" dataCellStyle="NodeXL Graph Metric"/>
    <tableColumn id="9" xr3:uid="{00000000-0010-0000-0200-000009000000}" name="Total Edges" dataDxfId="171" dataCellStyle="NodeXL Graph Metric"/>
    <tableColumn id="10" xr3:uid="{00000000-0010-0000-0200-00000A000000}" name="Self-Loops" dataDxfId="170" dataCellStyle="NodeXL Graph Metric"/>
    <tableColumn id="24" xr3:uid="{00000000-0010-0000-0200-000018000000}" name="Reciprocated Vertex Pair Ratio" dataDxfId="169" dataCellStyle="NodeXL Graph Metric"/>
    <tableColumn id="25" xr3:uid="{00000000-0010-0000-0200-000019000000}" name="Reciprocated Edge Ratio" dataDxfId="168" dataCellStyle="NodeXL Graph Metric"/>
    <tableColumn id="11" xr3:uid="{00000000-0010-0000-0200-00000B000000}" name="Connected Components" dataDxfId="167" dataCellStyle="NodeXL Graph Metric"/>
    <tableColumn id="12" xr3:uid="{00000000-0010-0000-0200-00000C000000}" name="Single-Vertex Connected Components" dataDxfId="166" dataCellStyle="NodeXL Graph Metric"/>
    <tableColumn id="13" xr3:uid="{00000000-0010-0000-0200-00000D000000}" name="Maximum Vertices in a Connected Component" dataDxfId="165" dataCellStyle="NodeXL Graph Metric"/>
    <tableColumn id="14" xr3:uid="{00000000-0010-0000-0200-00000E000000}" name="Maximum Edges in a Connected Component" dataDxfId="164" dataCellStyle="NodeXL Graph Metric"/>
    <tableColumn id="15" xr3:uid="{00000000-0010-0000-0200-00000F000000}" name="Maximum Geodesic Distance (Diameter)" dataDxfId="163" dataCellStyle="NodeXL Graph Metric"/>
    <tableColumn id="16" xr3:uid="{00000000-0010-0000-0200-000010000000}" name="Average Geodesic Distance" dataDxfId="162" dataCellStyle="NodeXL Graph Metric"/>
    <tableColumn id="17" xr3:uid="{00000000-0010-0000-0200-000011000000}" name="Graph Density" dataDxfId="161" dataCellStyle="NodeXL Graph Metric"/>
  </tableColumns>
  <tableStyleInfo name="NodeXL 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GroupVertices" displayName="GroupVertices" ref="A1:C2" totalsRowShown="0" headerRowDxfId="160" dataDxfId="159">
  <autoFilter ref="A1:C2" xr:uid="{00000000-0009-0000-0100-000005000000}"/>
  <tableColumns count="3">
    <tableColumn id="1" xr3:uid="{00000000-0010-0000-0300-000001000000}" name="Group" dataDxfId="158"/>
    <tableColumn id="2" xr3:uid="{00000000-0010-0000-0300-000002000000}" name="Vertex" dataDxfId="157"/>
    <tableColumn id="3" xr3:uid="{00000000-0010-0000-0300-000003000000}" name="Vertex ID" dataDxfId="156"/>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OverallMetrics" displayName="OverallMetrics" ref="A1:B43" totalsRowShown="0" dataCellStyle="NodeXL Graph Metric">
  <autoFilter ref="A1:B43" xr:uid="{00000000-0009-0000-0100-000006000000}"/>
  <tableColumns count="2">
    <tableColumn id="1" xr3:uid="{00000000-0010-0000-0400-000001000000}" name="Graph Metric" dataDxfId="5" dataCellStyle="NodeXL Graph Metric"/>
    <tableColumn id="2" xr3:uid="{00000000-0010-0000-0400-000002000000}" name="Value" dataDxfId="4" dataCellStyle="NodeXL Graph Metric"/>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HistogramBins" displayName="HistogramBins" ref="D1:U36" totalsRowShown="0">
  <autoFilter ref="D1:U36" xr:uid="{00000000-0009-0000-0100-000003000000}"/>
  <tableColumns count="18">
    <tableColumn id="1" xr3:uid="{00000000-0010-0000-0500-000001000000}" name="Degree Bin" dataDxfId="155"/>
    <tableColumn id="2" xr3:uid="{00000000-0010-0000-0500-000002000000}" name="Degree Frequency" dataDxfId="154">
      <calculatedColumnFormula>COUNTIF(Vertices[Degree], "&gt;= " &amp; D2) - COUNTIF(Vertices[Degree], "&gt;=" &amp; D3)</calculatedColumnFormula>
    </tableColumn>
    <tableColumn id="3" xr3:uid="{00000000-0010-0000-0500-000003000000}" name="In-Degree Bin" dataDxfId="153"/>
    <tableColumn id="4" xr3:uid="{00000000-0010-0000-0500-000004000000}" name="In-Degree Frequency" dataDxfId="152">
      <calculatedColumnFormula>COUNTIF(Vertices[In-Degree], "&gt;= " &amp; F2) - COUNTIF(Vertices[In-Degree], "&gt;=" &amp; F3)</calculatedColumnFormula>
    </tableColumn>
    <tableColumn id="5" xr3:uid="{00000000-0010-0000-0500-000005000000}" name="Out-Degree Bin" dataDxfId="151"/>
    <tableColumn id="6" xr3:uid="{00000000-0010-0000-0500-000006000000}" name="Out-Degree Frequency" dataDxfId="150">
      <calculatedColumnFormula>COUNTIF(Vertices[Out-Degree], "&gt;= " &amp; H2) - COUNTIF(Vertices[Out-Degree], "&gt;=" &amp; H3)</calculatedColumnFormula>
    </tableColumn>
    <tableColumn id="7" xr3:uid="{00000000-0010-0000-0500-000007000000}" name="Betweenness Centrality Bin" dataDxfId="149"/>
    <tableColumn id="8" xr3:uid="{00000000-0010-0000-0500-000008000000}" name="Betweenness Centrality Frequency" dataDxfId="148">
      <calculatedColumnFormula>COUNTIF(Vertices[Betweenness Centrality], "&gt;= " &amp; J2) - COUNTIF(Vertices[Betweenness Centrality], "&gt;=" &amp; J3)</calculatedColumnFormula>
    </tableColumn>
    <tableColumn id="9" xr3:uid="{00000000-0010-0000-0500-000009000000}" name="Closeness Centrality Bin" dataDxfId="147"/>
    <tableColumn id="10" xr3:uid="{00000000-0010-0000-0500-00000A000000}" name="Closeness Centrality Frequency" dataDxfId="146">
      <calculatedColumnFormula>COUNTIF(Vertices[Closeness Centrality], "&gt;= " &amp; L2) - COUNTIF(Vertices[Closeness Centrality], "&gt;=" &amp; L3)</calculatedColumnFormula>
    </tableColumn>
    <tableColumn id="11" xr3:uid="{00000000-0010-0000-0500-00000B000000}" name="Eigenvector Centrality Bin" dataDxfId="145"/>
    <tableColumn id="12" xr3:uid="{00000000-0010-0000-0500-00000C000000}" name="Eigenvector Centrality Frequency" dataDxfId="144">
      <calculatedColumnFormula>COUNTIF(Vertices[Eigenvector Centrality], "&gt;= " &amp; N2) - COUNTIF(Vertices[Eigenvector Centrality], "&gt;=" &amp; N3)</calculatedColumnFormula>
    </tableColumn>
    <tableColumn id="18" xr3:uid="{00000000-0010-0000-0500-000012000000}" name="PageRank Bin" dataDxfId="143"/>
    <tableColumn id="17" xr3:uid="{00000000-0010-0000-0500-000011000000}" name="PageRank Frequency" dataDxfId="142">
      <calculatedColumnFormula>COUNTIF(Vertices[Eigenvector Centrality], "&gt;= " &amp; P2) - COUNTIF(Vertices[Eigenvector Centrality], "&gt;=" &amp; P3)</calculatedColumnFormula>
    </tableColumn>
    <tableColumn id="13" xr3:uid="{00000000-0010-0000-0500-00000D000000}" name="Clustering Coefficient Bin" dataDxfId="141"/>
    <tableColumn id="14" xr3:uid="{00000000-0010-0000-0500-00000E000000}" name="Clustering Coefficient Frequency" dataDxfId="140">
      <calculatedColumnFormula>COUNTIF(Vertices[Clustering Coefficient], "&gt;= " &amp; R2) - COUNTIF(Vertices[Clustering Coefficient], "&gt;=" &amp; R3)</calculatedColumnFormula>
    </tableColumn>
    <tableColumn id="15" xr3:uid="{00000000-0010-0000-0500-00000F000000}" name="Dynamic Filter Bin" dataDxfId="139"/>
    <tableColumn id="16" xr3:uid="{00000000-0010-0000-0500-000010000000}" name="Dynamic Filter Frequency" dataDxfId="138">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6000000}" name="HistogramProperties" displayName="HistogramProperties" ref="W1:X4" totalsRowShown="0">
  <autoFilter ref="W1:X4" xr:uid="{00000000-0009-0000-0100-00000F000000}"/>
  <tableColumns count="2">
    <tableColumn id="1" xr3:uid="{00000000-0010-0000-0600-000001000000}" name="Histogram Property"/>
    <tableColumn id="2" xr3:uid="{00000000-0010-0000-0600-000002000000}" name="Value"/>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7000000}" name="OverallReadabilityMetrics" displayName="OverallReadabilityMetrics" ref="A60:B61" insertRow="1" totalsRowShown="0" dataCellStyle="NodeXL Graph Metric">
  <autoFilter ref="A60:B61" xr:uid="{00000000-0009-0000-0100-000009000000}"/>
  <tableColumns count="2">
    <tableColumn id="1" xr3:uid="{00000000-0010-0000-0700-000001000000}" name="Readability Metric" dataCellStyle="NodeXL Graph Metric"/>
    <tableColumn id="2" xr3:uid="{00000000-0010-0000-0700-000002000000}"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8000000}" name="PerWorkbookSettings" displayName="PerWorkbookSettings" ref="J1:K8" totalsRowShown="0" headerRowDxfId="137">
  <autoFilter ref="J1:K8" xr:uid="{00000000-0009-0000-0100-000007000000}"/>
  <tableColumns count="2">
    <tableColumn id="1" xr3:uid="{00000000-0010-0000-0800-000001000000}" name="Per-Workbook Setting"/>
    <tableColumn id="2" xr3:uid="{00000000-0010-0000-0800-000002000000}" name="Value"/>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9000000}" name="DynamicFilterSettings" displayName="DynamicFilterSettings" ref="M1:P2" totalsRowShown="0" headerRowDxfId="136">
  <autoFilter ref="M1:P2" xr:uid="{00000000-0009-0000-0100-000008000000}"/>
  <tableColumns count="4">
    <tableColumn id="1" xr3:uid="{00000000-0010-0000-0900-000001000000}" name="Table Name"/>
    <tableColumn id="2" xr3:uid="{00000000-0010-0000-0900-000002000000}" name="Column Name"/>
    <tableColumn id="3" xr3:uid="{00000000-0010-0000-0900-000003000000}" name="Selected Minimum"/>
    <tableColumn id="4" xr3:uid="{00000000-0010-0000-0900-000004000000}" name="Selected Maximum"/>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F7C5310-C00D-46AC-95D6-04BE364AAD18}" name="ExportOptions" displayName="ExportOptions" ref="A1:B7" totalsRowShown="0" headerRowDxfId="3" dataDxfId="2" dataCellStyle="Normal">
  <autoFilter ref="A1:B7" xr:uid="{4F7C5310-C00D-46AC-95D6-04BE364AAD18}"/>
  <tableColumns count="2">
    <tableColumn id="1" xr3:uid="{4AF04F3E-7EDD-470D-B04B-5F3B8B8CE258}" name="Key" dataDxfId="1" dataCellStyle="Normal"/>
    <tableColumn id="2" xr3:uid="{F64A40BC-26F1-4996-8934-AB27640AE6AB}" name="Value" dataDxfId="0" dataCellStyle="Normal"/>
  </tableColumns>
  <tableStyleInfo name="NodeXL Table"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I4023"/>
  <sheetViews>
    <sheetView workbookViewId="0">
      <pane xSplit="2" ySplit="2" topLeftCell="C3" activePane="bottomRight" state="frozen"/>
      <selection pane="topRight" activeCell="C1" sqref="C1"/>
      <selection pane="bottomLeft" activeCell="A3" sqref="A3"/>
      <selection pane="bottomRight" activeCell="A3" sqref="A3"/>
    </sheetView>
  </sheetViews>
  <sheetFormatPr defaultRowHeight="15" x14ac:dyDescent="0.25"/>
  <cols>
    <col min="1" max="2" width="10.42578125" style="1" customWidth="1"/>
    <col min="3" max="3" width="7.85546875" bestFit="1" customWidth="1"/>
    <col min="4" max="4" width="8.7109375" style="2" bestFit="1" customWidth="1"/>
    <col min="5" max="5" width="7.7109375" style="2" bestFit="1" customWidth="1"/>
    <col min="6" max="6" width="9.85546875" style="2" bestFit="1" customWidth="1"/>
    <col min="7" max="7" width="11" bestFit="1" customWidth="1"/>
    <col min="8" max="8" width="8" style="1" bestFit="1" customWidth="1"/>
    <col min="9" max="9" width="12.28515625" bestFit="1" customWidth="1"/>
    <col min="10" max="10" width="12.42578125" bestFit="1" customWidth="1"/>
    <col min="11" max="11" width="15.5703125" hidden="1" customWidth="1"/>
    <col min="12" max="12" width="11" hidden="1" customWidth="1"/>
    <col min="13" max="13" width="10.85546875" hidden="1" customWidth="1"/>
    <col min="14" max="14" width="16" bestFit="1" customWidth="1"/>
    <col min="15" max="15" width="12.7109375" bestFit="1" customWidth="1"/>
    <col min="16" max="16" width="14.42578125" bestFit="1" customWidth="1"/>
    <col min="17" max="17" width="8.85546875" bestFit="1" customWidth="1"/>
    <col min="18" max="18" width="10.85546875" bestFit="1" customWidth="1"/>
    <col min="19" max="19" width="10.5703125" bestFit="1" customWidth="1"/>
    <col min="20" max="20" width="8.5703125" bestFit="1" customWidth="1"/>
    <col min="21" max="21" width="8.85546875" bestFit="1" customWidth="1"/>
    <col min="22" max="22" width="13.140625" bestFit="1" customWidth="1"/>
    <col min="23" max="23" width="13.28515625" bestFit="1" customWidth="1"/>
    <col min="24" max="24" width="9.5703125" bestFit="1" customWidth="1"/>
    <col min="25" max="25" width="13.140625" bestFit="1" customWidth="1"/>
    <col min="26" max="26" width="13.85546875" bestFit="1" customWidth="1"/>
    <col min="27" max="27" width="11" bestFit="1" customWidth="1"/>
    <col min="28" max="28" width="8.85546875" bestFit="1" customWidth="1"/>
    <col min="29" max="29" width="9.28515625" bestFit="1" customWidth="1"/>
    <col min="30" max="30" width="11.5703125" bestFit="1" customWidth="1"/>
    <col min="31" max="31" width="14.42578125" bestFit="1" customWidth="1"/>
    <col min="32" max="32" width="13.42578125" bestFit="1" customWidth="1"/>
    <col min="33" max="33" width="7.42578125" bestFit="1" customWidth="1"/>
    <col min="34" max="34" width="7.7109375" bestFit="1" customWidth="1"/>
    <col min="35" max="35" width="11.42578125" bestFit="1" customWidth="1"/>
    <col min="36" max="36" width="17" bestFit="1" customWidth="1"/>
    <col min="37" max="37" width="10.28515625" bestFit="1" customWidth="1"/>
    <col min="38" max="38" width="15.5703125" bestFit="1" customWidth="1"/>
    <col min="39" max="39" width="11.7109375" bestFit="1" customWidth="1"/>
    <col min="40" max="40" width="10.28515625" bestFit="1" customWidth="1"/>
    <col min="41" max="41" width="8.5703125" bestFit="1" customWidth="1"/>
    <col min="42" max="42" width="8" bestFit="1" customWidth="1"/>
    <col min="43" max="43" width="8.85546875" bestFit="1" customWidth="1"/>
    <col min="44" max="44" width="17.140625" bestFit="1" customWidth="1"/>
    <col min="46" max="46" width="8.85546875" bestFit="1" customWidth="1"/>
    <col min="47" max="47" width="13.85546875" bestFit="1" customWidth="1"/>
    <col min="48" max="48" width="14.7109375" bestFit="1" customWidth="1"/>
    <col min="49" max="49" width="11.5703125" bestFit="1" customWidth="1"/>
    <col min="50" max="50" width="12.7109375" bestFit="1" customWidth="1"/>
    <col min="51" max="52" width="13" bestFit="1" customWidth="1"/>
    <col min="53" max="53" width="11" bestFit="1" customWidth="1"/>
    <col min="54" max="54" width="13.140625" bestFit="1" customWidth="1"/>
    <col min="55" max="55" width="12" bestFit="1" customWidth="1"/>
    <col min="56" max="56" width="11.7109375" bestFit="1" customWidth="1"/>
    <col min="57" max="57" width="9" bestFit="1" customWidth="1"/>
    <col min="58" max="58" width="10.28515625" bestFit="1" customWidth="1"/>
    <col min="59" max="59" width="11" bestFit="1" customWidth="1"/>
    <col min="60" max="60" width="10.42578125" bestFit="1" customWidth="1"/>
    <col min="61" max="61" width="13" bestFit="1" customWidth="1"/>
  </cols>
  <sheetData>
    <row r="1" spans="1:61" x14ac:dyDescent="0.25">
      <c r="C1" s="15" t="s">
        <v>39</v>
      </c>
      <c r="D1" s="16"/>
      <c r="E1" s="16"/>
      <c r="F1" s="16"/>
      <c r="G1" s="15"/>
      <c r="H1" s="13" t="s">
        <v>43</v>
      </c>
      <c r="I1" s="50"/>
      <c r="J1" s="50"/>
      <c r="K1" s="31" t="s">
        <v>42</v>
      </c>
      <c r="L1" s="17" t="s">
        <v>40</v>
      </c>
      <c r="M1" s="17"/>
      <c r="N1" s="14" t="s">
        <v>41</v>
      </c>
    </row>
    <row r="2" spans="1:61" ht="30" customHeight="1" x14ac:dyDescent="0.25">
      <c r="A2" s="10" t="s">
        <v>0</v>
      </c>
      <c r="B2" s="10" t="s">
        <v>1</v>
      </c>
      <c r="C2" s="7" t="s">
        <v>2</v>
      </c>
      <c r="D2" s="7" t="s">
        <v>3</v>
      </c>
      <c r="E2" s="7" t="s">
        <v>130</v>
      </c>
      <c r="F2" s="7" t="s">
        <v>4</v>
      </c>
      <c r="G2" s="7" t="s">
        <v>11</v>
      </c>
      <c r="H2" s="10" t="s">
        <v>46</v>
      </c>
      <c r="I2" s="7" t="s">
        <v>160</v>
      </c>
      <c r="J2" s="7" t="s">
        <v>161</v>
      </c>
      <c r="K2" s="7" t="s">
        <v>165</v>
      </c>
      <c r="L2" s="7" t="s">
        <v>12</v>
      </c>
      <c r="M2" s="7" t="s">
        <v>38</v>
      </c>
      <c r="N2" s="7" t="s">
        <v>26</v>
      </c>
      <c r="O2" s="7" t="s">
        <v>177</v>
      </c>
      <c r="P2" s="7" t="s">
        <v>178</v>
      </c>
      <c r="Q2" s="7" t="s">
        <v>179</v>
      </c>
      <c r="R2" s="7" t="s">
        <v>180</v>
      </c>
      <c r="S2" s="7" t="s">
        <v>181</v>
      </c>
      <c r="T2" s="7" t="s">
        <v>182</v>
      </c>
      <c r="U2" s="7" t="s">
        <v>183</v>
      </c>
      <c r="V2" s="7" t="s">
        <v>184</v>
      </c>
      <c r="W2" s="7" t="s">
        <v>185</v>
      </c>
      <c r="X2" s="7" t="s">
        <v>186</v>
      </c>
      <c r="Y2" s="7" t="s">
        <v>187</v>
      </c>
      <c r="Z2" s="7" t="s">
        <v>188</v>
      </c>
      <c r="AA2" s="7" t="s">
        <v>189</v>
      </c>
      <c r="AB2" s="7" t="s">
        <v>190</v>
      </c>
      <c r="AC2" s="7" t="s">
        <v>191</v>
      </c>
      <c r="AD2" s="7" t="s">
        <v>192</v>
      </c>
      <c r="AE2" s="7" t="s">
        <v>193</v>
      </c>
      <c r="AF2" s="7" t="s">
        <v>194</v>
      </c>
      <c r="AG2" s="7" t="s">
        <v>195</v>
      </c>
      <c r="AH2" s="7" t="s">
        <v>196</v>
      </c>
      <c r="AI2" s="7" t="s">
        <v>197</v>
      </c>
      <c r="AJ2" s="7" t="s">
        <v>198</v>
      </c>
      <c r="AK2" s="7" t="s">
        <v>199</v>
      </c>
      <c r="AL2" s="7" t="s">
        <v>200</v>
      </c>
      <c r="AM2" s="7" t="s">
        <v>201</v>
      </c>
      <c r="AN2" s="7" t="s">
        <v>202</v>
      </c>
      <c r="AO2" s="7" t="s">
        <v>203</v>
      </c>
      <c r="AP2" s="7" t="s">
        <v>204</v>
      </c>
      <c r="AQ2" s="7" t="s">
        <v>205</v>
      </c>
      <c r="AR2" s="7" t="s">
        <v>206</v>
      </c>
      <c r="AS2" s="7" t="s">
        <v>207</v>
      </c>
      <c r="AT2" s="7" t="s">
        <v>208</v>
      </c>
      <c r="AU2" s="7" t="s">
        <v>209</v>
      </c>
      <c r="AV2" s="7" t="s">
        <v>210</v>
      </c>
      <c r="AW2" s="7" t="s">
        <v>211</v>
      </c>
      <c r="AX2" s="7" t="s">
        <v>212</v>
      </c>
      <c r="AY2" s="7" t="s">
        <v>213</v>
      </c>
      <c r="AZ2" s="7" t="s">
        <v>214</v>
      </c>
      <c r="BA2" s="7" t="s">
        <v>215</v>
      </c>
      <c r="BB2" s="7" t="s">
        <v>216</v>
      </c>
      <c r="BC2" s="7" t="s">
        <v>217</v>
      </c>
      <c r="BD2" s="7" t="s">
        <v>218</v>
      </c>
      <c r="BE2" s="7" t="s">
        <v>219</v>
      </c>
      <c r="BF2" s="7" t="s">
        <v>220</v>
      </c>
      <c r="BG2" s="7" t="s">
        <v>221</v>
      </c>
      <c r="BH2" s="7" t="s">
        <v>222</v>
      </c>
      <c r="BI2" s="7" t="s">
        <v>223</v>
      </c>
    </row>
    <row r="3" spans="1:61" ht="15" customHeight="1" x14ac:dyDescent="0.25">
      <c r="A3" s="62" t="s">
        <v>224</v>
      </c>
      <c r="B3" s="62" t="s">
        <v>224</v>
      </c>
      <c r="C3" s="63"/>
      <c r="D3" s="64"/>
      <c r="E3" s="65"/>
      <c r="F3" s="66"/>
      <c r="G3" s="63"/>
      <c r="H3" s="67"/>
      <c r="I3" s="68"/>
      <c r="J3" s="68"/>
      <c r="K3" s="32"/>
      <c r="L3" s="69">
        <v>3</v>
      </c>
      <c r="M3" s="69"/>
      <c r="N3" s="70"/>
      <c r="O3" s="76" t="s">
        <v>179</v>
      </c>
      <c r="P3" s="78">
        <v>45091.502789351849</v>
      </c>
      <c r="Q3" s="76" t="s">
        <v>5227</v>
      </c>
      <c r="R3" s="76">
        <v>0</v>
      </c>
      <c r="S3" s="76">
        <v>0</v>
      </c>
      <c r="T3" s="76">
        <v>0</v>
      </c>
      <c r="U3" s="76">
        <v>0</v>
      </c>
      <c r="V3" s="76">
        <v>44</v>
      </c>
      <c r="W3" s="81" t="s">
        <v>7184</v>
      </c>
      <c r="X3" s="83" t="str">
        <f>HYPERLINK("https://ev.braip.com/ref?pv=proej4gd&amp;af=afid90qlo")</f>
        <v>https://ev.braip.com/ref?pv=proej4gd&amp;af=afid90qlo</v>
      </c>
      <c r="Y3" s="76" t="s">
        <v>7278</v>
      </c>
      <c r="Z3" s="76"/>
      <c r="AA3" s="76" t="s">
        <v>10127</v>
      </c>
      <c r="AB3" s="76" t="s">
        <v>10129</v>
      </c>
      <c r="AC3" s="81" t="s">
        <v>10144</v>
      </c>
      <c r="AD3" s="76" t="s">
        <v>10185</v>
      </c>
      <c r="AE3" s="83" t="str">
        <f>HYPERLINK("https://twitter.com/rafaeltradercwb/status/1668952431114199041")</f>
        <v>https://twitter.com/rafaeltradercwb/status/1668952431114199041</v>
      </c>
      <c r="AF3" s="78">
        <v>45091.502789351849</v>
      </c>
      <c r="AG3" s="84">
        <v>45091</v>
      </c>
      <c r="AH3" s="81" t="s">
        <v>13994</v>
      </c>
      <c r="AI3" s="76" t="b">
        <v>0</v>
      </c>
      <c r="AJ3" s="76"/>
      <c r="AK3" s="76"/>
      <c r="AL3" s="76"/>
      <c r="AM3" s="76"/>
      <c r="AN3" s="76"/>
      <c r="AO3" s="76"/>
      <c r="AP3" s="76"/>
      <c r="AQ3" s="76" t="s">
        <v>16770</v>
      </c>
      <c r="AR3" s="76">
        <v>15115</v>
      </c>
      <c r="AS3" s="76"/>
      <c r="AT3" s="76"/>
      <c r="AU3" s="76"/>
      <c r="AV3" s="83" t="str">
        <f>HYPERLINK("https://pbs.twimg.com/ext_tw_video_thumb/1668952375292223488/pu/img/OLrt2XJahBOIBlab.jpg")</f>
        <v>https://pbs.twimg.com/ext_tw_video_thumb/1668952375292223488/pu/img/OLrt2XJahBOIBlab.jpg</v>
      </c>
      <c r="AW3" s="81" t="s">
        <v>20788</v>
      </c>
      <c r="AX3" s="81" t="s">
        <v>20788</v>
      </c>
      <c r="AY3" s="76"/>
      <c r="AZ3" s="81" t="s">
        <v>20971</v>
      </c>
      <c r="BA3" s="81" t="s">
        <v>20971</v>
      </c>
      <c r="BB3" s="81" t="s">
        <v>20971</v>
      </c>
      <c r="BC3" s="81" t="s">
        <v>20788</v>
      </c>
      <c r="BD3" s="76">
        <v>340976757</v>
      </c>
      <c r="BE3" s="76"/>
      <c r="BF3" s="76"/>
      <c r="BG3" s="76"/>
      <c r="BH3" s="76"/>
      <c r="BI3" s="76"/>
    </row>
    <row r="4" spans="1:61" ht="15" customHeight="1" x14ac:dyDescent="0.25">
      <c r="A4" s="62" t="s">
        <v>224</v>
      </c>
      <c r="B4" s="62" t="s">
        <v>224</v>
      </c>
      <c r="C4" s="63"/>
      <c r="D4" s="64"/>
      <c r="E4" s="65"/>
      <c r="F4" s="66"/>
      <c r="G4" s="63"/>
      <c r="H4" s="67"/>
      <c r="I4" s="68"/>
      <c r="J4" s="68"/>
      <c r="K4" s="32"/>
      <c r="L4" s="75">
        <v>4</v>
      </c>
      <c r="M4" s="75"/>
      <c r="N4" s="70"/>
      <c r="O4" s="77" t="s">
        <v>179</v>
      </c>
      <c r="P4" s="79">
        <v>45178.557326388887</v>
      </c>
      <c r="Q4" s="77" t="s">
        <v>1289</v>
      </c>
      <c r="R4" s="77">
        <v>0</v>
      </c>
      <c r="S4" s="77">
        <v>0</v>
      </c>
      <c r="T4" s="77">
        <v>0</v>
      </c>
      <c r="U4" s="77">
        <v>0</v>
      </c>
      <c r="V4" s="77">
        <v>167</v>
      </c>
      <c r="W4" s="82" t="s">
        <v>5228</v>
      </c>
      <c r="X4" s="80" t="str">
        <f>HYPERLINK("https://www.girobet777.com/?p=okgV74DN&amp;inviteWheelTag=1&amp;lang=pt")</f>
        <v>https://www.girobet777.com/?p=okgV74DN&amp;inviteWheelTag=1&amp;lang=pt</v>
      </c>
      <c r="Y4" s="77" t="s">
        <v>7239</v>
      </c>
      <c r="Z4" s="77"/>
      <c r="AA4" s="77"/>
      <c r="AB4" s="77"/>
      <c r="AC4" s="82" t="s">
        <v>10144</v>
      </c>
      <c r="AD4" s="77" t="s">
        <v>10183</v>
      </c>
      <c r="AE4" s="80" t="str">
        <f>HYPERLINK("https://twitter.com/rafaeltradercwb/status/1700499937706770433")</f>
        <v>https://twitter.com/rafaeltradercwb/status/1700499937706770433</v>
      </c>
      <c r="AF4" s="79">
        <v>45178.557326388887</v>
      </c>
      <c r="AG4" s="85">
        <v>45178</v>
      </c>
      <c r="AH4" s="82" t="s">
        <v>10200</v>
      </c>
      <c r="AI4" s="77" t="b">
        <v>0</v>
      </c>
      <c r="AJ4" s="77"/>
      <c r="AK4" s="77"/>
      <c r="AL4" s="77"/>
      <c r="AM4" s="77"/>
      <c r="AN4" s="77"/>
      <c r="AO4" s="77"/>
      <c r="AP4" s="77"/>
      <c r="AQ4" s="77"/>
      <c r="AR4" s="77"/>
      <c r="AS4" s="77"/>
      <c r="AT4" s="77"/>
      <c r="AU4" s="77"/>
      <c r="AV4" s="80" t="str">
        <f>HYPERLINK("https://pbs.twimg.com/profile_images/1697638188322291712/2w3pBPUK_normal.jpg")</f>
        <v>https://pbs.twimg.com/profile_images/1697638188322291712/2w3pBPUK_normal.jpg</v>
      </c>
      <c r="AW4" s="82" t="s">
        <v>16777</v>
      </c>
      <c r="AX4" s="82" t="s">
        <v>16777</v>
      </c>
      <c r="AY4" s="77"/>
      <c r="AZ4" s="82" t="s">
        <v>20971</v>
      </c>
      <c r="BA4" s="82" t="s">
        <v>20971</v>
      </c>
      <c r="BB4" s="82" t="s">
        <v>20971</v>
      </c>
      <c r="BC4" s="82" t="s">
        <v>16777</v>
      </c>
      <c r="BD4" s="77">
        <v>340976757</v>
      </c>
      <c r="BE4" s="77"/>
      <c r="BF4" s="77"/>
      <c r="BG4" s="77"/>
      <c r="BH4" s="77"/>
      <c r="BI4" s="77"/>
    </row>
    <row r="5" spans="1:61" x14ac:dyDescent="0.25">
      <c r="A5" s="62" t="s">
        <v>225</v>
      </c>
      <c r="B5" s="62" t="s">
        <v>225</v>
      </c>
      <c r="C5" s="63"/>
      <c r="D5" s="64"/>
      <c r="E5" s="65"/>
      <c r="F5" s="66"/>
      <c r="G5" s="63"/>
      <c r="H5" s="67"/>
      <c r="I5" s="68"/>
      <c r="J5" s="68"/>
      <c r="K5" s="32"/>
      <c r="L5" s="75">
        <v>5</v>
      </c>
      <c r="M5" s="75"/>
      <c r="N5" s="70"/>
      <c r="O5" s="77" t="s">
        <v>179</v>
      </c>
      <c r="P5" s="79">
        <v>44959.079918981479</v>
      </c>
      <c r="Q5" s="77" t="s">
        <v>1290</v>
      </c>
      <c r="R5" s="77">
        <v>0</v>
      </c>
      <c r="S5" s="77">
        <v>0</v>
      </c>
      <c r="T5" s="77">
        <v>0</v>
      </c>
      <c r="U5" s="77">
        <v>0</v>
      </c>
      <c r="V5" s="77">
        <v>47</v>
      </c>
      <c r="W5" s="82" t="s">
        <v>5229</v>
      </c>
      <c r="X5" s="77"/>
      <c r="Y5" s="77"/>
      <c r="Z5" s="77"/>
      <c r="AA5" s="77" t="s">
        <v>7508</v>
      </c>
      <c r="AB5" s="77" t="s">
        <v>10128</v>
      </c>
      <c r="AC5" s="82" t="s">
        <v>10144</v>
      </c>
      <c r="AD5" s="77" t="s">
        <v>10184</v>
      </c>
      <c r="AE5" s="80" t="str">
        <f>HYPERLINK("https://twitter.com/adm_santos/status/1620963988350861313")</f>
        <v>https://twitter.com/adm_santos/status/1620963988350861313</v>
      </c>
      <c r="AF5" s="79">
        <v>44959.079918981479</v>
      </c>
      <c r="AG5" s="85">
        <v>44959</v>
      </c>
      <c r="AH5" s="82" t="s">
        <v>10201</v>
      </c>
      <c r="AI5" s="77" t="b">
        <v>0</v>
      </c>
      <c r="AJ5" s="77"/>
      <c r="AK5" s="77"/>
      <c r="AL5" s="77"/>
      <c r="AM5" s="77"/>
      <c r="AN5" s="77"/>
      <c r="AO5" s="77"/>
      <c r="AP5" s="77"/>
      <c r="AQ5" s="77" t="s">
        <v>14152</v>
      </c>
      <c r="AR5" s="77"/>
      <c r="AS5" s="77"/>
      <c r="AT5" s="77"/>
      <c r="AU5" s="77"/>
      <c r="AV5" s="80" t="str">
        <f>HYPERLINK("https://pbs.twimg.com/media/Fn7SJ0dWIAACyCn.jpg")</f>
        <v>https://pbs.twimg.com/media/Fn7SJ0dWIAACyCn.jpg</v>
      </c>
      <c r="AW5" s="82" t="s">
        <v>16778</v>
      </c>
      <c r="AX5" s="82" t="s">
        <v>16778</v>
      </c>
      <c r="AY5" s="77"/>
      <c r="AZ5" s="82" t="s">
        <v>20971</v>
      </c>
      <c r="BA5" s="82" t="s">
        <v>20971</v>
      </c>
      <c r="BB5" s="82" t="s">
        <v>20971</v>
      </c>
      <c r="BC5" s="82" t="s">
        <v>16778</v>
      </c>
      <c r="BD5" s="77">
        <v>338331247</v>
      </c>
      <c r="BE5" s="77"/>
      <c r="BF5" s="77"/>
      <c r="BG5" s="77"/>
      <c r="BH5" s="77"/>
      <c r="BI5" s="77"/>
    </row>
    <row r="6" spans="1:61" x14ac:dyDescent="0.25">
      <c r="A6" s="62" t="s">
        <v>226</v>
      </c>
      <c r="B6" s="62" t="s">
        <v>226</v>
      </c>
      <c r="C6" s="63"/>
      <c r="D6" s="64"/>
      <c r="E6" s="65"/>
      <c r="F6" s="66"/>
      <c r="G6" s="63"/>
      <c r="H6" s="67"/>
      <c r="I6" s="68"/>
      <c r="J6" s="68"/>
      <c r="K6" s="32"/>
      <c r="L6" s="75">
        <v>6</v>
      </c>
      <c r="M6" s="75"/>
      <c r="N6" s="70"/>
      <c r="O6" s="77" t="s">
        <v>179</v>
      </c>
      <c r="P6" s="79">
        <v>45136.554143518515</v>
      </c>
      <c r="Q6" s="77" t="s">
        <v>1291</v>
      </c>
      <c r="R6" s="77">
        <v>0</v>
      </c>
      <c r="S6" s="77">
        <v>0</v>
      </c>
      <c r="T6" s="77">
        <v>0</v>
      </c>
      <c r="U6" s="77">
        <v>0</v>
      </c>
      <c r="V6" s="77">
        <v>50</v>
      </c>
      <c r="W6" s="82" t="s">
        <v>5230</v>
      </c>
      <c r="X6" s="80" t="str">
        <f>HYPERLINK("https://instabio.cc/5061501WDXbwD")</f>
        <v>https://instabio.cc/5061501WDXbwD</v>
      </c>
      <c r="Y6" s="77" t="s">
        <v>7240</v>
      </c>
      <c r="Z6" s="77"/>
      <c r="AA6" s="77" t="s">
        <v>7509</v>
      </c>
      <c r="AB6" s="77" t="s">
        <v>10129</v>
      </c>
      <c r="AC6" s="82" t="s">
        <v>10144</v>
      </c>
      <c r="AD6" s="77" t="s">
        <v>10183</v>
      </c>
      <c r="AE6" s="80" t="str">
        <f>HYPERLINK("https://twitter.com/daiy_ofiicial/status/1685278494534557697")</f>
        <v>https://twitter.com/daiy_ofiicial/status/1685278494534557697</v>
      </c>
      <c r="AF6" s="79">
        <v>45136.554143518515</v>
      </c>
      <c r="AG6" s="85">
        <v>45136</v>
      </c>
      <c r="AH6" s="82" t="s">
        <v>10202</v>
      </c>
      <c r="AI6" s="77" t="b">
        <v>0</v>
      </c>
      <c r="AJ6" s="77"/>
      <c r="AK6" s="77"/>
      <c r="AL6" s="77"/>
      <c r="AM6" s="77"/>
      <c r="AN6" s="77"/>
      <c r="AO6" s="77"/>
      <c r="AP6" s="77"/>
      <c r="AQ6" s="77" t="s">
        <v>14153</v>
      </c>
      <c r="AR6" s="77">
        <v>58813</v>
      </c>
      <c r="AS6" s="77"/>
      <c r="AT6" s="77"/>
      <c r="AU6" s="77"/>
      <c r="AV6" s="80" t="str">
        <f>HYPERLINK("https://pbs.twimg.com/ext_tw_video_thumb/1685278331128762369/pu/img/rpQ5HU4pKr3NByS5.jpg")</f>
        <v>https://pbs.twimg.com/ext_tw_video_thumb/1685278331128762369/pu/img/rpQ5HU4pKr3NByS5.jpg</v>
      </c>
      <c r="AW6" s="82" t="s">
        <v>16779</v>
      </c>
      <c r="AX6" s="82" t="s">
        <v>16779</v>
      </c>
      <c r="AY6" s="77"/>
      <c r="AZ6" s="82" t="s">
        <v>20971</v>
      </c>
      <c r="BA6" s="82" t="s">
        <v>20971</v>
      </c>
      <c r="BB6" s="82" t="s">
        <v>20971</v>
      </c>
      <c r="BC6" s="82" t="s">
        <v>16779</v>
      </c>
      <c r="BD6" s="82" t="s">
        <v>21013</v>
      </c>
      <c r="BE6" s="77"/>
      <c r="BF6" s="77"/>
      <c r="BG6" s="77"/>
      <c r="BH6" s="77"/>
      <c r="BI6" s="77"/>
    </row>
    <row r="7" spans="1:61" x14ac:dyDescent="0.25">
      <c r="A7" s="62" t="s">
        <v>226</v>
      </c>
      <c r="B7" s="62" t="s">
        <v>226</v>
      </c>
      <c r="C7" s="63"/>
      <c r="D7" s="64"/>
      <c r="E7" s="65"/>
      <c r="F7" s="66"/>
      <c r="G7" s="63"/>
      <c r="H7" s="67"/>
      <c r="I7" s="68"/>
      <c r="J7" s="68"/>
      <c r="K7" s="32"/>
      <c r="L7" s="75">
        <v>7</v>
      </c>
      <c r="M7" s="75"/>
      <c r="N7" s="70"/>
      <c r="O7" s="77" t="s">
        <v>179</v>
      </c>
      <c r="P7" s="79">
        <v>45152.730127314811</v>
      </c>
      <c r="Q7" s="77" t="s">
        <v>1292</v>
      </c>
      <c r="R7" s="77">
        <v>0</v>
      </c>
      <c r="S7" s="77">
        <v>0</v>
      </c>
      <c r="T7" s="77">
        <v>0</v>
      </c>
      <c r="U7" s="77">
        <v>0</v>
      </c>
      <c r="V7" s="77">
        <v>22</v>
      </c>
      <c r="W7" s="82" t="s">
        <v>5231</v>
      </c>
      <c r="X7" s="80" t="str">
        <f>HYPERLINK("https://instabio.cc/5061501WDXbwD")</f>
        <v>https://instabio.cc/5061501WDXbwD</v>
      </c>
      <c r="Y7" s="77" t="s">
        <v>7240</v>
      </c>
      <c r="Z7" s="77"/>
      <c r="AA7" s="77" t="s">
        <v>7510</v>
      </c>
      <c r="AB7" s="77" t="s">
        <v>10129</v>
      </c>
      <c r="AC7" s="82" t="s">
        <v>10144</v>
      </c>
      <c r="AD7" s="77" t="s">
        <v>10184</v>
      </c>
      <c r="AE7" s="80" t="str">
        <f>HYPERLINK("https://twitter.com/daiy_ofiicial/status/1691140473564311555")</f>
        <v>https://twitter.com/daiy_ofiicial/status/1691140473564311555</v>
      </c>
      <c r="AF7" s="79">
        <v>45152.730127314811</v>
      </c>
      <c r="AG7" s="85">
        <v>45152</v>
      </c>
      <c r="AH7" s="82" t="s">
        <v>10203</v>
      </c>
      <c r="AI7" s="77" t="b">
        <v>0</v>
      </c>
      <c r="AJ7" s="77"/>
      <c r="AK7" s="77"/>
      <c r="AL7" s="77"/>
      <c r="AM7" s="77"/>
      <c r="AN7" s="77"/>
      <c r="AO7" s="77"/>
      <c r="AP7" s="77"/>
      <c r="AQ7" s="77" t="s">
        <v>14154</v>
      </c>
      <c r="AR7" s="77">
        <v>22699</v>
      </c>
      <c r="AS7" s="77"/>
      <c r="AT7" s="77"/>
      <c r="AU7" s="77"/>
      <c r="AV7" s="80" t="str">
        <f>HYPERLINK("https://pbs.twimg.com/ext_tw_video_thumb/1691140415636828160/pu/img/EmpwXGZw77-J8u21.jpg")</f>
        <v>https://pbs.twimg.com/ext_tw_video_thumb/1691140415636828160/pu/img/EmpwXGZw77-J8u21.jpg</v>
      </c>
      <c r="AW7" s="82" t="s">
        <v>16780</v>
      </c>
      <c r="AX7" s="82" t="s">
        <v>16780</v>
      </c>
      <c r="AY7" s="77"/>
      <c r="AZ7" s="82" t="s">
        <v>20971</v>
      </c>
      <c r="BA7" s="82" t="s">
        <v>20971</v>
      </c>
      <c r="BB7" s="82" t="s">
        <v>20971</v>
      </c>
      <c r="BC7" s="82" t="s">
        <v>16780</v>
      </c>
      <c r="BD7" s="82" t="s">
        <v>21013</v>
      </c>
      <c r="BE7" s="77"/>
      <c r="BF7" s="77"/>
      <c r="BG7" s="77"/>
      <c r="BH7" s="77"/>
      <c r="BI7" s="77"/>
    </row>
    <row r="8" spans="1:61" x14ac:dyDescent="0.25">
      <c r="A8" s="62" t="s">
        <v>226</v>
      </c>
      <c r="B8" s="62" t="s">
        <v>226</v>
      </c>
      <c r="C8" s="63"/>
      <c r="D8" s="64"/>
      <c r="E8" s="65"/>
      <c r="F8" s="66"/>
      <c r="G8" s="63"/>
      <c r="H8" s="67"/>
      <c r="I8" s="68"/>
      <c r="J8" s="68"/>
      <c r="K8" s="32"/>
      <c r="L8" s="75">
        <v>8</v>
      </c>
      <c r="M8" s="75"/>
      <c r="N8" s="70"/>
      <c r="O8" s="77" t="s">
        <v>179</v>
      </c>
      <c r="P8" s="79">
        <v>45152.621018518519</v>
      </c>
      <c r="Q8" s="77" t="s">
        <v>1293</v>
      </c>
      <c r="R8" s="77">
        <v>0</v>
      </c>
      <c r="S8" s="77">
        <v>0</v>
      </c>
      <c r="T8" s="77">
        <v>0</v>
      </c>
      <c r="U8" s="77">
        <v>0</v>
      </c>
      <c r="V8" s="77">
        <v>61</v>
      </c>
      <c r="W8" s="82" t="s">
        <v>5232</v>
      </c>
      <c r="X8" s="80" t="str">
        <f>HYPERLINK("https://instabio.cc/5061501WDXbwD")</f>
        <v>https://instabio.cc/5061501WDXbwD</v>
      </c>
      <c r="Y8" s="77" t="s">
        <v>7240</v>
      </c>
      <c r="Z8" s="77"/>
      <c r="AA8" s="77" t="s">
        <v>7511</v>
      </c>
      <c r="AB8" s="77" t="s">
        <v>10129</v>
      </c>
      <c r="AC8" s="82" t="s">
        <v>10144</v>
      </c>
      <c r="AD8" s="77" t="s">
        <v>10184</v>
      </c>
      <c r="AE8" s="80" t="str">
        <f>HYPERLINK("https://twitter.com/daiy_ofiicial/status/1691100933478899714")</f>
        <v>https://twitter.com/daiy_ofiicial/status/1691100933478899714</v>
      </c>
      <c r="AF8" s="79">
        <v>45152.621018518519</v>
      </c>
      <c r="AG8" s="85">
        <v>45152</v>
      </c>
      <c r="AH8" s="82" t="s">
        <v>10204</v>
      </c>
      <c r="AI8" s="77" t="b">
        <v>0</v>
      </c>
      <c r="AJ8" s="77"/>
      <c r="AK8" s="77"/>
      <c r="AL8" s="77"/>
      <c r="AM8" s="77"/>
      <c r="AN8" s="77"/>
      <c r="AO8" s="77"/>
      <c r="AP8" s="77"/>
      <c r="AQ8" s="77" t="s">
        <v>14155</v>
      </c>
      <c r="AR8" s="77">
        <v>16566</v>
      </c>
      <c r="AS8" s="77"/>
      <c r="AT8" s="77"/>
      <c r="AU8" s="77"/>
      <c r="AV8" s="80" t="str">
        <f>HYPERLINK("https://pbs.twimg.com/ext_tw_video_thumb/1691100883382108162/pu/img/l9UF_BlF5x8SRA0u.jpg")</f>
        <v>https://pbs.twimg.com/ext_tw_video_thumb/1691100883382108162/pu/img/l9UF_BlF5x8SRA0u.jpg</v>
      </c>
      <c r="AW8" s="82" t="s">
        <v>16781</v>
      </c>
      <c r="AX8" s="82" t="s">
        <v>16781</v>
      </c>
      <c r="AY8" s="77"/>
      <c r="AZ8" s="82" t="s">
        <v>20971</v>
      </c>
      <c r="BA8" s="82" t="s">
        <v>20971</v>
      </c>
      <c r="BB8" s="82" t="s">
        <v>20971</v>
      </c>
      <c r="BC8" s="82" t="s">
        <v>16781</v>
      </c>
      <c r="BD8" s="82" t="s">
        <v>21013</v>
      </c>
      <c r="BE8" s="77"/>
      <c r="BF8" s="77"/>
      <c r="BG8" s="77"/>
      <c r="BH8" s="77"/>
      <c r="BI8" s="77"/>
    </row>
    <row r="9" spans="1:61" x14ac:dyDescent="0.25">
      <c r="A9" s="62" t="s">
        <v>226</v>
      </c>
      <c r="B9" s="62" t="s">
        <v>226</v>
      </c>
      <c r="C9" s="63"/>
      <c r="D9" s="64"/>
      <c r="E9" s="65"/>
      <c r="F9" s="66"/>
      <c r="G9" s="63"/>
      <c r="H9" s="67"/>
      <c r="I9" s="68"/>
      <c r="J9" s="68"/>
      <c r="K9" s="32"/>
      <c r="L9" s="75">
        <v>9</v>
      </c>
      <c r="M9" s="75"/>
      <c r="N9" s="70"/>
      <c r="O9" s="77" t="s">
        <v>179</v>
      </c>
      <c r="P9" s="79">
        <v>45143.802905092591</v>
      </c>
      <c r="Q9" s="77" t="s">
        <v>1294</v>
      </c>
      <c r="R9" s="77">
        <v>0</v>
      </c>
      <c r="S9" s="77">
        <v>0</v>
      </c>
      <c r="T9" s="77">
        <v>0</v>
      </c>
      <c r="U9" s="77">
        <v>0</v>
      </c>
      <c r="V9" s="77">
        <v>25</v>
      </c>
      <c r="W9" s="82" t="s">
        <v>5233</v>
      </c>
      <c r="X9" s="80" t="str">
        <f>HYPERLINK("https://daianasilva21.orbitpages.online/arquivo-digital-agenda-2024-personalizada-tema-borboleta")</f>
        <v>https://daianasilva21.orbitpages.online/arquivo-digital-agenda-2024-personalizada-tema-borboleta</v>
      </c>
      <c r="Y9" s="77" t="s">
        <v>7241</v>
      </c>
      <c r="Z9" s="77"/>
      <c r="AA9" s="77" t="s">
        <v>7512</v>
      </c>
      <c r="AB9" s="77" t="s">
        <v>10129</v>
      </c>
      <c r="AC9" s="82" t="s">
        <v>10144</v>
      </c>
      <c r="AD9" s="77" t="s">
        <v>10185</v>
      </c>
      <c r="AE9" s="80" t="str">
        <f>HYPERLINK("https://twitter.com/daiy_ofiicial/status/1687905357543137280")</f>
        <v>https://twitter.com/daiy_ofiicial/status/1687905357543137280</v>
      </c>
      <c r="AF9" s="79">
        <v>45143.802905092591</v>
      </c>
      <c r="AG9" s="85">
        <v>45143</v>
      </c>
      <c r="AH9" s="82" t="s">
        <v>10205</v>
      </c>
      <c r="AI9" s="77" t="b">
        <v>0</v>
      </c>
      <c r="AJ9" s="77"/>
      <c r="AK9" s="77"/>
      <c r="AL9" s="77"/>
      <c r="AM9" s="77"/>
      <c r="AN9" s="77"/>
      <c r="AO9" s="77"/>
      <c r="AP9" s="77"/>
      <c r="AQ9" s="77" t="s">
        <v>14156</v>
      </c>
      <c r="AR9" s="77">
        <v>10160</v>
      </c>
      <c r="AS9" s="77"/>
      <c r="AT9" s="77"/>
      <c r="AU9" s="77"/>
      <c r="AV9" s="80" t="str">
        <f>HYPERLINK("https://pbs.twimg.com/ext_tw_video_thumb/1687905305261223936/pu/img/nzScCjtk0hSLJaOa.jpg")</f>
        <v>https://pbs.twimg.com/ext_tw_video_thumb/1687905305261223936/pu/img/nzScCjtk0hSLJaOa.jpg</v>
      </c>
      <c r="AW9" s="82" t="s">
        <v>16782</v>
      </c>
      <c r="AX9" s="82" t="s">
        <v>16782</v>
      </c>
      <c r="AY9" s="77"/>
      <c r="AZ9" s="82" t="s">
        <v>20971</v>
      </c>
      <c r="BA9" s="82" t="s">
        <v>20971</v>
      </c>
      <c r="BB9" s="82" t="s">
        <v>20971</v>
      </c>
      <c r="BC9" s="82" t="s">
        <v>16782</v>
      </c>
      <c r="BD9" s="82" t="s">
        <v>21013</v>
      </c>
      <c r="BE9" s="77"/>
      <c r="BF9" s="77"/>
      <c r="BG9" s="77"/>
      <c r="BH9" s="77"/>
      <c r="BI9" s="77"/>
    </row>
    <row r="10" spans="1:61" x14ac:dyDescent="0.25">
      <c r="A10" s="62" t="s">
        <v>227</v>
      </c>
      <c r="B10" s="62" t="s">
        <v>227</v>
      </c>
      <c r="C10" s="63"/>
      <c r="D10" s="64"/>
      <c r="E10" s="65"/>
      <c r="F10" s="66"/>
      <c r="G10" s="63"/>
      <c r="H10" s="67"/>
      <c r="I10" s="68"/>
      <c r="J10" s="68"/>
      <c r="K10" s="32"/>
      <c r="L10" s="75">
        <v>10</v>
      </c>
      <c r="M10" s="75"/>
      <c r="N10" s="70"/>
      <c r="O10" s="77" t="s">
        <v>179</v>
      </c>
      <c r="P10" s="79">
        <v>45029.879270833335</v>
      </c>
      <c r="Q10" s="77" t="s">
        <v>1295</v>
      </c>
      <c r="R10" s="77">
        <v>0</v>
      </c>
      <c r="S10" s="77">
        <v>0</v>
      </c>
      <c r="T10" s="77">
        <v>0</v>
      </c>
      <c r="U10" s="77">
        <v>0</v>
      </c>
      <c r="V10" s="77">
        <v>9</v>
      </c>
      <c r="W10" s="82" t="s">
        <v>5234</v>
      </c>
      <c r="X10" s="77" t="s">
        <v>7185</v>
      </c>
      <c r="Y10" s="77" t="s">
        <v>7242</v>
      </c>
      <c r="Z10" s="77"/>
      <c r="AA10" s="77"/>
      <c r="AB10" s="77"/>
      <c r="AC10" s="82" t="s">
        <v>10144</v>
      </c>
      <c r="AD10" s="77" t="s">
        <v>10184</v>
      </c>
      <c r="AE10" s="80" t="str">
        <f>HYPERLINK("https://twitter.com/djiani11/status/1646620815398510592")</f>
        <v>https://twitter.com/djiani11/status/1646620815398510592</v>
      </c>
      <c r="AF10" s="79">
        <v>45029.879270833335</v>
      </c>
      <c r="AG10" s="85">
        <v>45029</v>
      </c>
      <c r="AH10" s="82" t="s">
        <v>10206</v>
      </c>
      <c r="AI10" s="77" t="b">
        <v>0</v>
      </c>
      <c r="AJ10" s="77"/>
      <c r="AK10" s="77"/>
      <c r="AL10" s="77"/>
      <c r="AM10" s="77"/>
      <c r="AN10" s="77"/>
      <c r="AO10" s="77"/>
      <c r="AP10" s="77"/>
      <c r="AQ10" s="77"/>
      <c r="AR10" s="77"/>
      <c r="AS10" s="77"/>
      <c r="AT10" s="77"/>
      <c r="AU10" s="77"/>
      <c r="AV10" s="80" t="str">
        <f>HYPERLINK("https://abs.twimg.com/sticky/default_profile_images/default_profile_normal.png")</f>
        <v>https://abs.twimg.com/sticky/default_profile_images/default_profile_normal.png</v>
      </c>
      <c r="AW10" s="82" t="s">
        <v>16783</v>
      </c>
      <c r="AX10" s="82" t="s">
        <v>16783</v>
      </c>
      <c r="AY10" s="77"/>
      <c r="AZ10" s="82" t="s">
        <v>20971</v>
      </c>
      <c r="BA10" s="82" t="s">
        <v>20971</v>
      </c>
      <c r="BB10" s="82" t="s">
        <v>20971</v>
      </c>
      <c r="BC10" s="82" t="s">
        <v>16783</v>
      </c>
      <c r="BD10" s="82" t="s">
        <v>21014</v>
      </c>
      <c r="BE10" s="77"/>
      <c r="BF10" s="77"/>
      <c r="BG10" s="77"/>
      <c r="BH10" s="77"/>
      <c r="BI10" s="77"/>
    </row>
    <row r="11" spans="1:61" x14ac:dyDescent="0.25">
      <c r="A11" s="62" t="s">
        <v>228</v>
      </c>
      <c r="B11" s="62" t="s">
        <v>228</v>
      </c>
      <c r="C11" s="63"/>
      <c r="D11" s="64"/>
      <c r="E11" s="65"/>
      <c r="F11" s="66"/>
      <c r="G11" s="63"/>
      <c r="H11" s="67"/>
      <c r="I11" s="68"/>
      <c r="J11" s="68"/>
      <c r="K11" s="32"/>
      <c r="L11" s="75">
        <v>11</v>
      </c>
      <c r="M11" s="75"/>
      <c r="N11" s="70"/>
      <c r="O11" s="77" t="s">
        <v>179</v>
      </c>
      <c r="P11" s="79">
        <v>45154.681967592594</v>
      </c>
      <c r="Q11" s="77" t="s">
        <v>1296</v>
      </c>
      <c r="R11" s="77">
        <v>0</v>
      </c>
      <c r="S11" s="77">
        <v>1</v>
      </c>
      <c r="T11" s="77">
        <v>0</v>
      </c>
      <c r="U11" s="77">
        <v>0</v>
      </c>
      <c r="V11" s="77">
        <v>34</v>
      </c>
      <c r="W11" s="82" t="s">
        <v>5235</v>
      </c>
      <c r="X11" s="80" t="str">
        <f>HYPERLINK("https://i3d.me/Mini-Curso")</f>
        <v>https://i3d.me/Mini-Curso</v>
      </c>
      <c r="Y11" s="77" t="s">
        <v>7243</v>
      </c>
      <c r="Z11" s="77"/>
      <c r="AA11" s="77"/>
      <c r="AB11" s="77"/>
      <c r="AC11" s="82" t="s">
        <v>10144</v>
      </c>
      <c r="AD11" s="77" t="s">
        <v>10184</v>
      </c>
      <c r="AE11" s="80" t="str">
        <f>HYPERLINK("https://twitter.com/awkangelo/status/1691847798122008636")</f>
        <v>https://twitter.com/awkangelo/status/1691847798122008636</v>
      </c>
      <c r="AF11" s="79">
        <v>45154.681967592594</v>
      </c>
      <c r="AG11" s="85">
        <v>45154</v>
      </c>
      <c r="AH11" s="82" t="s">
        <v>10207</v>
      </c>
      <c r="AI11" s="77" t="b">
        <v>0</v>
      </c>
      <c r="AJ11" s="77"/>
      <c r="AK11" s="77"/>
      <c r="AL11" s="77"/>
      <c r="AM11" s="77"/>
      <c r="AN11" s="77"/>
      <c r="AO11" s="77"/>
      <c r="AP11" s="77"/>
      <c r="AQ11" s="77"/>
      <c r="AR11" s="77"/>
      <c r="AS11" s="77"/>
      <c r="AT11" s="77"/>
      <c r="AU11" s="77"/>
      <c r="AV11" s="80" t="str">
        <f>HYPERLINK("https://pbs.twimg.com/profile_images/1694313706518155264/Ie5upl1L_normal.jpg")</f>
        <v>https://pbs.twimg.com/profile_images/1694313706518155264/Ie5upl1L_normal.jpg</v>
      </c>
      <c r="AW11" s="82" t="s">
        <v>16784</v>
      </c>
      <c r="AX11" s="82" t="s">
        <v>16784</v>
      </c>
      <c r="AY11" s="77"/>
      <c r="AZ11" s="82" t="s">
        <v>20971</v>
      </c>
      <c r="BA11" s="82" t="s">
        <v>20971</v>
      </c>
      <c r="BB11" s="82" t="s">
        <v>20971</v>
      </c>
      <c r="BC11" s="82" t="s">
        <v>16784</v>
      </c>
      <c r="BD11" s="82" t="s">
        <v>21015</v>
      </c>
      <c r="BE11" s="77"/>
      <c r="BF11" s="77"/>
      <c r="BG11" s="77"/>
      <c r="BH11" s="77"/>
      <c r="BI11" s="77"/>
    </row>
    <row r="12" spans="1:61" x14ac:dyDescent="0.25">
      <c r="A12" s="62" t="s">
        <v>229</v>
      </c>
      <c r="B12" s="62" t="s">
        <v>229</v>
      </c>
      <c r="C12" s="63"/>
      <c r="D12" s="64"/>
      <c r="E12" s="65"/>
      <c r="F12" s="66"/>
      <c r="G12" s="63"/>
      <c r="H12" s="67"/>
      <c r="I12" s="68"/>
      <c r="J12" s="68"/>
      <c r="K12" s="32"/>
      <c r="L12" s="75">
        <v>12</v>
      </c>
      <c r="M12" s="75"/>
      <c r="N12" s="70"/>
      <c r="O12" s="77" t="s">
        <v>179</v>
      </c>
      <c r="P12" s="79">
        <v>44980.380185185182</v>
      </c>
      <c r="Q12" s="77" t="s">
        <v>1297</v>
      </c>
      <c r="R12" s="77">
        <v>0</v>
      </c>
      <c r="S12" s="77">
        <v>0</v>
      </c>
      <c r="T12" s="77">
        <v>0</v>
      </c>
      <c r="U12" s="77">
        <v>0</v>
      </c>
      <c r="V12" s="77">
        <v>15</v>
      </c>
      <c r="W12" s="82" t="s">
        <v>5236</v>
      </c>
      <c r="X12" s="80" t="str">
        <f>HYPERLINK("https://vendah.typeform.com/to/GiGQCRFw#ref=6577368236288_iohanna.varjao")</f>
        <v>https://vendah.typeform.com/to/GiGQCRFw#ref=6577368236288_iohanna.varjao</v>
      </c>
      <c r="Y12" s="77" t="s">
        <v>7244</v>
      </c>
      <c r="Z12" s="77"/>
      <c r="AA12" s="77"/>
      <c r="AB12" s="77"/>
      <c r="AC12" s="82" t="s">
        <v>10144</v>
      </c>
      <c r="AD12" s="77" t="s">
        <v>10184</v>
      </c>
      <c r="AE12" s="80" t="str">
        <f>HYPERLINK("https://twitter.com/cochichou1/status/1628682946180792322")</f>
        <v>https://twitter.com/cochichou1/status/1628682946180792322</v>
      </c>
      <c r="AF12" s="79">
        <v>44980.380185185182</v>
      </c>
      <c r="AG12" s="85">
        <v>44980</v>
      </c>
      <c r="AH12" s="82" t="s">
        <v>10208</v>
      </c>
      <c r="AI12" s="77" t="b">
        <v>0</v>
      </c>
      <c r="AJ12" s="77"/>
      <c r="AK12" s="77"/>
      <c r="AL12" s="77"/>
      <c r="AM12" s="77"/>
      <c r="AN12" s="77"/>
      <c r="AO12" s="77"/>
      <c r="AP12" s="77"/>
      <c r="AQ12" s="77"/>
      <c r="AR12" s="77"/>
      <c r="AS12" s="77"/>
      <c r="AT12" s="77"/>
      <c r="AU12" s="77"/>
      <c r="AV12" s="80" t="str">
        <f>HYPERLINK("https://pbs.twimg.com/profile_images/1581842806829637632/yUm31OiA_normal.jpg")</f>
        <v>https://pbs.twimg.com/profile_images/1581842806829637632/yUm31OiA_normal.jpg</v>
      </c>
      <c r="AW12" s="82" t="s">
        <v>16785</v>
      </c>
      <c r="AX12" s="82" t="s">
        <v>16785</v>
      </c>
      <c r="AY12" s="77"/>
      <c r="AZ12" s="82" t="s">
        <v>20971</v>
      </c>
      <c r="BA12" s="82" t="s">
        <v>20971</v>
      </c>
      <c r="BB12" s="82" t="s">
        <v>20971</v>
      </c>
      <c r="BC12" s="82" t="s">
        <v>16785</v>
      </c>
      <c r="BD12" s="77">
        <v>194984295</v>
      </c>
      <c r="BE12" s="77"/>
      <c r="BF12" s="77"/>
      <c r="BG12" s="77"/>
      <c r="BH12" s="77"/>
      <c r="BI12" s="77"/>
    </row>
    <row r="13" spans="1:61" x14ac:dyDescent="0.25">
      <c r="A13" s="62" t="s">
        <v>230</v>
      </c>
      <c r="B13" s="62" t="s">
        <v>230</v>
      </c>
      <c r="C13" s="63"/>
      <c r="D13" s="64"/>
      <c r="E13" s="65"/>
      <c r="F13" s="66"/>
      <c r="G13" s="63"/>
      <c r="H13" s="67"/>
      <c r="I13" s="68"/>
      <c r="J13" s="68"/>
      <c r="K13" s="32"/>
      <c r="L13" s="75">
        <v>13</v>
      </c>
      <c r="M13" s="75"/>
      <c r="N13" s="70"/>
      <c r="O13" s="77" t="s">
        <v>179</v>
      </c>
      <c r="P13" s="79">
        <v>45031.248622685183</v>
      </c>
      <c r="Q13" s="77" t="s">
        <v>1298</v>
      </c>
      <c r="R13" s="77">
        <v>0</v>
      </c>
      <c r="S13" s="77">
        <v>2</v>
      </c>
      <c r="T13" s="77">
        <v>0</v>
      </c>
      <c r="U13" s="77">
        <v>0</v>
      </c>
      <c r="V13" s="77">
        <v>191</v>
      </c>
      <c r="W13" s="82" t="s">
        <v>5237</v>
      </c>
      <c r="X13" s="80" t="str">
        <f>HYPERLINK("https://p.eduzz.com/1746940?a=15849188")</f>
        <v>https://p.eduzz.com/1746940?a=15849188</v>
      </c>
      <c r="Y13" s="77" t="s">
        <v>7245</v>
      </c>
      <c r="Z13" s="77"/>
      <c r="AA13" s="77" t="s">
        <v>7513</v>
      </c>
      <c r="AB13" s="77" t="s">
        <v>10129</v>
      </c>
      <c r="AC13" s="82" t="s">
        <v>10145</v>
      </c>
      <c r="AD13" s="77" t="s">
        <v>10184</v>
      </c>
      <c r="AE13" s="80" t="str">
        <f>HYPERLINK("https://twitter.com/lmichelleduarte/status/1647117050395910144")</f>
        <v>https://twitter.com/lmichelleduarte/status/1647117050395910144</v>
      </c>
      <c r="AF13" s="79">
        <v>45031.248622685183</v>
      </c>
      <c r="AG13" s="85">
        <v>45031</v>
      </c>
      <c r="AH13" s="82" t="s">
        <v>10209</v>
      </c>
      <c r="AI13" s="77" t="b">
        <v>0</v>
      </c>
      <c r="AJ13" s="77"/>
      <c r="AK13" s="77"/>
      <c r="AL13" s="77"/>
      <c r="AM13" s="77"/>
      <c r="AN13" s="77"/>
      <c r="AO13" s="77"/>
      <c r="AP13" s="77"/>
      <c r="AQ13" s="77" t="s">
        <v>14157</v>
      </c>
      <c r="AR13" s="77">
        <v>22638</v>
      </c>
      <c r="AS13" s="77"/>
      <c r="AT13" s="77"/>
      <c r="AU13" s="77"/>
      <c r="AV13" s="80" t="str">
        <f>HYPERLINK("https://pbs.twimg.com/ext_tw_video_thumb/1647117010382249985/pu/img/9l8kxgWSalsYaZqP.jpg")</f>
        <v>https://pbs.twimg.com/ext_tw_video_thumb/1647117010382249985/pu/img/9l8kxgWSalsYaZqP.jpg</v>
      </c>
      <c r="AW13" s="82" t="s">
        <v>16786</v>
      </c>
      <c r="AX13" s="82" t="s">
        <v>16786</v>
      </c>
      <c r="AY13" s="77"/>
      <c r="AZ13" s="82" t="s">
        <v>20971</v>
      </c>
      <c r="BA13" s="82" t="s">
        <v>20971</v>
      </c>
      <c r="BB13" s="82" t="s">
        <v>20971</v>
      </c>
      <c r="BC13" s="82" t="s">
        <v>16786</v>
      </c>
      <c r="BD13" s="77">
        <v>188377796</v>
      </c>
      <c r="BE13" s="77"/>
      <c r="BF13" s="77"/>
      <c r="BG13" s="77"/>
      <c r="BH13" s="77"/>
      <c r="BI13" s="77"/>
    </row>
    <row r="14" spans="1:61" x14ac:dyDescent="0.25">
      <c r="A14" s="62" t="s">
        <v>231</v>
      </c>
      <c r="B14" s="62" t="s">
        <v>231</v>
      </c>
      <c r="C14" s="63"/>
      <c r="D14" s="64"/>
      <c r="E14" s="65"/>
      <c r="F14" s="66"/>
      <c r="G14" s="63"/>
      <c r="H14" s="67"/>
      <c r="I14" s="68"/>
      <c r="J14" s="68"/>
      <c r="K14" s="32"/>
      <c r="L14" s="75">
        <v>14</v>
      </c>
      <c r="M14" s="75"/>
      <c r="N14" s="70"/>
      <c r="O14" s="77" t="s">
        <v>179</v>
      </c>
      <c r="P14" s="79">
        <v>45060.706805555557</v>
      </c>
      <c r="Q14" s="77" t="s">
        <v>1299</v>
      </c>
      <c r="R14" s="77">
        <v>0</v>
      </c>
      <c r="S14" s="77">
        <v>0</v>
      </c>
      <c r="T14" s="77">
        <v>0</v>
      </c>
      <c r="U14" s="77">
        <v>0</v>
      </c>
      <c r="V14" s="77">
        <v>17</v>
      </c>
      <c r="W14" s="82" t="s">
        <v>5238</v>
      </c>
      <c r="X14" s="77" t="s">
        <v>7186</v>
      </c>
      <c r="Y14" s="77" t="s">
        <v>7246</v>
      </c>
      <c r="Z14" s="77"/>
      <c r="AA14" s="77" t="s">
        <v>7514</v>
      </c>
      <c r="AB14" s="77" t="s">
        <v>10130</v>
      </c>
      <c r="AC14" s="82" t="s">
        <v>10146</v>
      </c>
      <c r="AD14" s="77" t="s">
        <v>10184</v>
      </c>
      <c r="AE14" s="80" t="str">
        <f>HYPERLINK("https://twitter.com/acoesimportam/status/1657792338339540998")</f>
        <v>https://twitter.com/acoesimportam/status/1657792338339540998</v>
      </c>
      <c r="AF14" s="79">
        <v>45060.706805555557</v>
      </c>
      <c r="AG14" s="85">
        <v>45060</v>
      </c>
      <c r="AH14" s="82" t="s">
        <v>10210</v>
      </c>
      <c r="AI14" s="77" t="b">
        <v>0</v>
      </c>
      <c r="AJ14" s="77"/>
      <c r="AK14" s="77"/>
      <c r="AL14" s="77"/>
      <c r="AM14" s="77"/>
      <c r="AN14" s="77"/>
      <c r="AO14" s="77"/>
      <c r="AP14" s="77"/>
      <c r="AQ14" s="77" t="s">
        <v>14158</v>
      </c>
      <c r="AR14" s="77"/>
      <c r="AS14" s="77"/>
      <c r="AT14" s="77"/>
      <c r="AU14" s="77"/>
      <c r="AV14" s="80" t="str">
        <f>HYPERLINK("https://pbs.twimg.com/media/FwGpMCQX0AEHW3o.jpg")</f>
        <v>https://pbs.twimg.com/media/FwGpMCQX0AEHW3o.jpg</v>
      </c>
      <c r="AW14" s="82" t="s">
        <v>16787</v>
      </c>
      <c r="AX14" s="82" t="s">
        <v>16787</v>
      </c>
      <c r="AY14" s="77"/>
      <c r="AZ14" s="82" t="s">
        <v>20971</v>
      </c>
      <c r="BA14" s="82" t="s">
        <v>20971</v>
      </c>
      <c r="BB14" s="82" t="s">
        <v>20971</v>
      </c>
      <c r="BC14" s="82" t="s">
        <v>16787</v>
      </c>
      <c r="BD14" s="82" t="s">
        <v>21016</v>
      </c>
      <c r="BE14" s="77"/>
      <c r="BF14" s="77"/>
      <c r="BG14" s="77"/>
      <c r="BH14" s="77"/>
      <c r="BI14" s="77"/>
    </row>
    <row r="15" spans="1:61" x14ac:dyDescent="0.25">
      <c r="A15" s="62" t="s">
        <v>232</v>
      </c>
      <c r="B15" s="62" t="s">
        <v>232</v>
      </c>
      <c r="C15" s="63"/>
      <c r="D15" s="64"/>
      <c r="E15" s="65"/>
      <c r="F15" s="66"/>
      <c r="G15" s="63"/>
      <c r="H15" s="67"/>
      <c r="I15" s="68"/>
      <c r="J15" s="68"/>
      <c r="K15" s="32"/>
      <c r="L15" s="75">
        <v>15</v>
      </c>
      <c r="M15" s="75"/>
      <c r="N15" s="70"/>
      <c r="O15" s="77" t="s">
        <v>179</v>
      </c>
      <c r="P15" s="79">
        <v>45022.086655092593</v>
      </c>
      <c r="Q15" s="77" t="s">
        <v>1300</v>
      </c>
      <c r="R15" s="77">
        <v>0</v>
      </c>
      <c r="S15" s="77">
        <v>1</v>
      </c>
      <c r="T15" s="77">
        <v>1</v>
      </c>
      <c r="U15" s="77">
        <v>0</v>
      </c>
      <c r="V15" s="77">
        <v>30</v>
      </c>
      <c r="W15" s="82" t="s">
        <v>5239</v>
      </c>
      <c r="X15" s="77"/>
      <c r="Y15" s="77"/>
      <c r="Z15" s="77"/>
      <c r="AA15" s="77" t="s">
        <v>7515</v>
      </c>
      <c r="AB15" s="77" t="s">
        <v>10130</v>
      </c>
      <c r="AC15" s="82" t="s">
        <v>10144</v>
      </c>
      <c r="AD15" s="77" t="s">
        <v>10184</v>
      </c>
      <c r="AE15" s="80" t="str">
        <f>HYPERLINK("https://twitter.com/rendasemvender/status/1643796863156379651")</f>
        <v>https://twitter.com/rendasemvender/status/1643796863156379651</v>
      </c>
      <c r="AF15" s="79">
        <v>45022.086655092593</v>
      </c>
      <c r="AG15" s="85">
        <v>45022</v>
      </c>
      <c r="AH15" s="82" t="s">
        <v>10211</v>
      </c>
      <c r="AI15" s="77" t="b">
        <v>0</v>
      </c>
      <c r="AJ15" s="77"/>
      <c r="AK15" s="77"/>
      <c r="AL15" s="77"/>
      <c r="AM15" s="77"/>
      <c r="AN15" s="77"/>
      <c r="AO15" s="77"/>
      <c r="AP15" s="77"/>
      <c r="AQ15" s="77" t="s">
        <v>14159</v>
      </c>
      <c r="AR15" s="77"/>
      <c r="AS15" s="77"/>
      <c r="AT15" s="77"/>
      <c r="AU15" s="77"/>
      <c r="AV15" s="80" t="str">
        <f>HYPERLINK("https://pbs.twimg.com/media/Fs_wiN8WcAEdHfU.jpg")</f>
        <v>https://pbs.twimg.com/media/Fs_wiN8WcAEdHfU.jpg</v>
      </c>
      <c r="AW15" s="82" t="s">
        <v>16788</v>
      </c>
      <c r="AX15" s="82" t="s">
        <v>16788</v>
      </c>
      <c r="AY15" s="77"/>
      <c r="AZ15" s="82" t="s">
        <v>20971</v>
      </c>
      <c r="BA15" s="82" t="s">
        <v>20971</v>
      </c>
      <c r="BB15" s="82" t="s">
        <v>20971</v>
      </c>
      <c r="BC15" s="82" t="s">
        <v>16788</v>
      </c>
      <c r="BD15" s="82" t="s">
        <v>21017</v>
      </c>
      <c r="BE15" s="77"/>
      <c r="BF15" s="77"/>
      <c r="BG15" s="77"/>
      <c r="BH15" s="77"/>
      <c r="BI15" s="77"/>
    </row>
    <row r="16" spans="1:61" x14ac:dyDescent="0.25">
      <c r="A16" s="62" t="s">
        <v>233</v>
      </c>
      <c r="B16" s="62" t="s">
        <v>233</v>
      </c>
      <c r="C16" s="63"/>
      <c r="D16" s="64"/>
      <c r="E16" s="65"/>
      <c r="F16" s="66"/>
      <c r="G16" s="63"/>
      <c r="H16" s="67"/>
      <c r="I16" s="68"/>
      <c r="J16" s="68"/>
      <c r="K16" s="32"/>
      <c r="L16" s="75">
        <v>16</v>
      </c>
      <c r="M16" s="75"/>
      <c r="N16" s="70"/>
      <c r="O16" s="77" t="s">
        <v>179</v>
      </c>
      <c r="P16" s="79">
        <v>45062.654004629629</v>
      </c>
      <c r="Q16" s="77" t="s">
        <v>1301</v>
      </c>
      <c r="R16" s="77">
        <v>0</v>
      </c>
      <c r="S16" s="77">
        <v>0</v>
      </c>
      <c r="T16" s="77">
        <v>1</v>
      </c>
      <c r="U16" s="77">
        <v>0</v>
      </c>
      <c r="V16" s="77">
        <v>23</v>
      </c>
      <c r="W16" s="82" t="s">
        <v>5236</v>
      </c>
      <c r="X16" s="77"/>
      <c r="Y16" s="77"/>
      <c r="Z16" s="77"/>
      <c r="AA16" s="77" t="s">
        <v>7516</v>
      </c>
      <c r="AB16" s="77" t="s">
        <v>10129</v>
      </c>
      <c r="AC16" s="82" t="s">
        <v>10144</v>
      </c>
      <c r="AD16" s="77" t="s">
        <v>10183</v>
      </c>
      <c r="AE16" s="80" t="str">
        <f>HYPERLINK("https://twitter.com/ganharajud61276/status/1658497978728841218")</f>
        <v>https://twitter.com/ganharajud61276/status/1658497978728841218</v>
      </c>
      <c r="AF16" s="79">
        <v>45062.654004629629</v>
      </c>
      <c r="AG16" s="85">
        <v>45062</v>
      </c>
      <c r="AH16" s="82" t="s">
        <v>10212</v>
      </c>
      <c r="AI16" s="77" t="b">
        <v>0</v>
      </c>
      <c r="AJ16" s="77"/>
      <c r="AK16" s="77"/>
      <c r="AL16" s="77"/>
      <c r="AM16" s="77"/>
      <c r="AN16" s="77"/>
      <c r="AO16" s="77"/>
      <c r="AP16" s="77"/>
      <c r="AQ16" s="77" t="s">
        <v>14160</v>
      </c>
      <c r="AR16" s="77">
        <v>8544</v>
      </c>
      <c r="AS16" s="77"/>
      <c r="AT16" s="77"/>
      <c r="AU16" s="77"/>
      <c r="AV16" s="80" t="str">
        <f>HYPERLINK("https://pbs.twimg.com/ext_tw_video_thumb/1658497929865228293/pu/img/wJTrzL2mnKD6_X8z.jpg")</f>
        <v>https://pbs.twimg.com/ext_tw_video_thumb/1658497929865228293/pu/img/wJTrzL2mnKD6_X8z.jpg</v>
      </c>
      <c r="AW16" s="82" t="s">
        <v>16789</v>
      </c>
      <c r="AX16" s="82" t="s">
        <v>16789</v>
      </c>
      <c r="AY16" s="77"/>
      <c r="AZ16" s="82" t="s">
        <v>20971</v>
      </c>
      <c r="BA16" s="82" t="s">
        <v>20971</v>
      </c>
      <c r="BB16" s="82" t="s">
        <v>20971</v>
      </c>
      <c r="BC16" s="82" t="s">
        <v>16789</v>
      </c>
      <c r="BD16" s="82" t="s">
        <v>21018</v>
      </c>
      <c r="BE16" s="77"/>
      <c r="BF16" s="77"/>
      <c r="BG16" s="77"/>
      <c r="BH16" s="77"/>
      <c r="BI16" s="77"/>
    </row>
    <row r="17" spans="1:61" x14ac:dyDescent="0.25">
      <c r="A17" s="62" t="s">
        <v>233</v>
      </c>
      <c r="B17" s="62" t="s">
        <v>233</v>
      </c>
      <c r="C17" s="63"/>
      <c r="D17" s="64"/>
      <c r="E17" s="65"/>
      <c r="F17" s="66"/>
      <c r="G17" s="63"/>
      <c r="H17" s="67"/>
      <c r="I17" s="68"/>
      <c r="J17" s="68"/>
      <c r="K17" s="32"/>
      <c r="L17" s="75">
        <v>17</v>
      </c>
      <c r="M17" s="75"/>
      <c r="N17" s="70"/>
      <c r="O17" s="77" t="s">
        <v>179</v>
      </c>
      <c r="P17" s="79">
        <v>45062.027187500003</v>
      </c>
      <c r="Q17" s="77" t="s">
        <v>1302</v>
      </c>
      <c r="R17" s="77">
        <v>0</v>
      </c>
      <c r="S17" s="77">
        <v>1</v>
      </c>
      <c r="T17" s="77">
        <v>0</v>
      </c>
      <c r="U17" s="77">
        <v>0</v>
      </c>
      <c r="V17" s="77">
        <v>16</v>
      </c>
      <c r="W17" s="82" t="s">
        <v>5240</v>
      </c>
      <c r="X17" s="80" t="str">
        <f>HYPERLINK("https://sweatco.in/hi/ajudandoganhardinheiro")</f>
        <v>https://sweatco.in/hi/ajudandoganhardinheiro</v>
      </c>
      <c r="Y17" s="77" t="s">
        <v>7247</v>
      </c>
      <c r="Z17" s="77"/>
      <c r="AA17" s="77" t="s">
        <v>7517</v>
      </c>
      <c r="AB17" s="77" t="s">
        <v>10129</v>
      </c>
      <c r="AC17" s="82" t="s">
        <v>10144</v>
      </c>
      <c r="AD17" s="77" t="s">
        <v>10183</v>
      </c>
      <c r="AE17" s="80" t="str">
        <f>HYPERLINK("https://twitter.com/ganharajud61276/status/1658270828398624770")</f>
        <v>https://twitter.com/ganharajud61276/status/1658270828398624770</v>
      </c>
      <c r="AF17" s="79">
        <v>45062.027187500003</v>
      </c>
      <c r="AG17" s="85">
        <v>45062</v>
      </c>
      <c r="AH17" s="82" t="s">
        <v>10213</v>
      </c>
      <c r="AI17" s="77" t="b">
        <v>0</v>
      </c>
      <c r="AJ17" s="77"/>
      <c r="AK17" s="77"/>
      <c r="AL17" s="77"/>
      <c r="AM17" s="77"/>
      <c r="AN17" s="77"/>
      <c r="AO17" s="77"/>
      <c r="AP17" s="77"/>
      <c r="AQ17" s="77" t="s">
        <v>14161</v>
      </c>
      <c r="AR17" s="77">
        <v>44999</v>
      </c>
      <c r="AS17" s="77"/>
      <c r="AT17" s="77"/>
      <c r="AU17" s="77"/>
      <c r="AV17" s="80" t="str">
        <f>HYPERLINK("https://pbs.twimg.com/ext_tw_video_thumb/1658270763307130880/pu/img/FIfJd9c07zrQRZrC.jpg")</f>
        <v>https://pbs.twimg.com/ext_tw_video_thumb/1658270763307130880/pu/img/FIfJd9c07zrQRZrC.jpg</v>
      </c>
      <c r="AW17" s="82" t="s">
        <v>16790</v>
      </c>
      <c r="AX17" s="82" t="s">
        <v>16790</v>
      </c>
      <c r="AY17" s="77"/>
      <c r="AZ17" s="82" t="s">
        <v>20971</v>
      </c>
      <c r="BA17" s="82" t="s">
        <v>20971</v>
      </c>
      <c r="BB17" s="82" t="s">
        <v>20971</v>
      </c>
      <c r="BC17" s="82" t="s">
        <v>16790</v>
      </c>
      <c r="BD17" s="82" t="s">
        <v>21018</v>
      </c>
      <c r="BE17" s="77"/>
      <c r="BF17" s="77"/>
      <c r="BG17" s="77"/>
      <c r="BH17" s="77"/>
      <c r="BI17" s="77"/>
    </row>
    <row r="18" spans="1:61" x14ac:dyDescent="0.25">
      <c r="A18" s="62" t="s">
        <v>234</v>
      </c>
      <c r="B18" s="62" t="s">
        <v>234</v>
      </c>
      <c r="C18" s="63"/>
      <c r="D18" s="64"/>
      <c r="E18" s="65"/>
      <c r="F18" s="66"/>
      <c r="G18" s="63"/>
      <c r="H18" s="67"/>
      <c r="I18" s="68"/>
      <c r="J18" s="68"/>
      <c r="K18" s="32"/>
      <c r="L18" s="75">
        <v>18</v>
      </c>
      <c r="M18" s="75"/>
      <c r="N18" s="70"/>
      <c r="O18" s="77" t="s">
        <v>179</v>
      </c>
      <c r="P18" s="79">
        <v>45049.753032407411</v>
      </c>
      <c r="Q18" s="77" t="s">
        <v>1303</v>
      </c>
      <c r="R18" s="77">
        <v>0</v>
      </c>
      <c r="S18" s="77">
        <v>0</v>
      </c>
      <c r="T18" s="77">
        <v>2</v>
      </c>
      <c r="U18" s="77">
        <v>0</v>
      </c>
      <c r="V18" s="77">
        <v>160</v>
      </c>
      <c r="W18" s="82" t="s">
        <v>5241</v>
      </c>
      <c r="X18" s="77"/>
      <c r="Y18" s="77"/>
      <c r="Z18" s="77"/>
      <c r="AA18" s="77" t="s">
        <v>7518</v>
      </c>
      <c r="AB18" s="77" t="s">
        <v>10129</v>
      </c>
      <c r="AC18" s="82" t="s">
        <v>10144</v>
      </c>
      <c r="AD18" s="77" t="s">
        <v>10184</v>
      </c>
      <c r="AE18" s="80" t="str">
        <f>HYPERLINK("https://twitter.com/matheus_sais/status/1653822822647463939")</f>
        <v>https://twitter.com/matheus_sais/status/1653822822647463939</v>
      </c>
      <c r="AF18" s="79">
        <v>45049.753032407411</v>
      </c>
      <c r="AG18" s="85">
        <v>45049</v>
      </c>
      <c r="AH18" s="82" t="s">
        <v>10214</v>
      </c>
      <c r="AI18" s="77" t="b">
        <v>0</v>
      </c>
      <c r="AJ18" s="77"/>
      <c r="AK18" s="77"/>
      <c r="AL18" s="77"/>
      <c r="AM18" s="77"/>
      <c r="AN18" s="77"/>
      <c r="AO18" s="77"/>
      <c r="AP18" s="77"/>
      <c r="AQ18" s="77" t="s">
        <v>14162</v>
      </c>
      <c r="AR18" s="77">
        <v>56398</v>
      </c>
      <c r="AS18" s="77"/>
      <c r="AT18" s="77"/>
      <c r="AU18" s="77"/>
      <c r="AV18" s="80" t="str">
        <f>HYPERLINK("https://pbs.twimg.com/ext_tw_video_thumb/1653822607945347074/pu/img/kY8lnDJXV83MjQkY.jpg")</f>
        <v>https://pbs.twimg.com/ext_tw_video_thumb/1653822607945347074/pu/img/kY8lnDJXV83MjQkY.jpg</v>
      </c>
      <c r="AW18" s="82" t="s">
        <v>16791</v>
      </c>
      <c r="AX18" s="82" t="s">
        <v>16791</v>
      </c>
      <c r="AY18" s="77"/>
      <c r="AZ18" s="82" t="s">
        <v>20971</v>
      </c>
      <c r="BA18" s="82" t="s">
        <v>20971</v>
      </c>
      <c r="BB18" s="82" t="s">
        <v>20971</v>
      </c>
      <c r="BC18" s="82" t="s">
        <v>16791</v>
      </c>
      <c r="BD18" s="82" t="s">
        <v>21019</v>
      </c>
      <c r="BE18" s="77"/>
      <c r="BF18" s="77"/>
      <c r="BG18" s="77"/>
      <c r="BH18" s="77"/>
      <c r="BI18" s="77"/>
    </row>
    <row r="19" spans="1:61" x14ac:dyDescent="0.25">
      <c r="A19" s="62" t="s">
        <v>235</v>
      </c>
      <c r="B19" s="62" t="s">
        <v>235</v>
      </c>
      <c r="C19" s="63"/>
      <c r="D19" s="64"/>
      <c r="E19" s="65"/>
      <c r="F19" s="66"/>
      <c r="G19" s="63"/>
      <c r="H19" s="67"/>
      <c r="I19" s="68"/>
      <c r="J19" s="68"/>
      <c r="K19" s="32"/>
      <c r="L19" s="75">
        <v>19</v>
      </c>
      <c r="M19" s="75"/>
      <c r="N19" s="70"/>
      <c r="O19" s="77" t="s">
        <v>179</v>
      </c>
      <c r="P19" s="79">
        <v>44986.847326388888</v>
      </c>
      <c r="Q19" s="77" t="s">
        <v>1304</v>
      </c>
      <c r="R19" s="77">
        <v>0</v>
      </c>
      <c r="S19" s="77">
        <v>0</v>
      </c>
      <c r="T19" s="77">
        <v>0</v>
      </c>
      <c r="U19" s="77">
        <v>0</v>
      </c>
      <c r="V19" s="77">
        <v>24</v>
      </c>
      <c r="W19" s="82" t="s">
        <v>5242</v>
      </c>
      <c r="X19" s="77"/>
      <c r="Y19" s="77"/>
      <c r="Z19" s="77"/>
      <c r="AA19" s="77" t="s">
        <v>7519</v>
      </c>
      <c r="AB19" s="77" t="s">
        <v>10130</v>
      </c>
      <c r="AC19" s="82" t="s">
        <v>10147</v>
      </c>
      <c r="AD19" s="77" t="s">
        <v>10184</v>
      </c>
      <c r="AE19" s="80" t="str">
        <f>HYPERLINK("https://twitter.com/leidicorteze/status/1631026558751088640")</f>
        <v>https://twitter.com/leidicorteze/status/1631026558751088640</v>
      </c>
      <c r="AF19" s="79">
        <v>44986.847326388888</v>
      </c>
      <c r="AG19" s="85">
        <v>44986</v>
      </c>
      <c r="AH19" s="82" t="s">
        <v>10215</v>
      </c>
      <c r="AI19" s="77" t="b">
        <v>0</v>
      </c>
      <c r="AJ19" s="77"/>
      <c r="AK19" s="77"/>
      <c r="AL19" s="77"/>
      <c r="AM19" s="77"/>
      <c r="AN19" s="77"/>
      <c r="AO19" s="77"/>
      <c r="AP19" s="77"/>
      <c r="AQ19" s="77" t="s">
        <v>14163</v>
      </c>
      <c r="AR19" s="77"/>
      <c r="AS19" s="77"/>
      <c r="AT19" s="77"/>
      <c r="AU19" s="77"/>
      <c r="AV19" s="80" t="str">
        <f>HYPERLINK("https://pbs.twimg.com/media/FqKSAsyXoAQOS7l.jpg")</f>
        <v>https://pbs.twimg.com/media/FqKSAsyXoAQOS7l.jpg</v>
      </c>
      <c r="AW19" s="82" t="s">
        <v>16792</v>
      </c>
      <c r="AX19" s="82" t="s">
        <v>16792</v>
      </c>
      <c r="AY19" s="77"/>
      <c r="AZ19" s="82" t="s">
        <v>20971</v>
      </c>
      <c r="BA19" s="82" t="s">
        <v>20971</v>
      </c>
      <c r="BB19" s="82" t="s">
        <v>20971</v>
      </c>
      <c r="BC19" s="82" t="s">
        <v>16792</v>
      </c>
      <c r="BD19" s="82" t="s">
        <v>21020</v>
      </c>
      <c r="BE19" s="77"/>
      <c r="BF19" s="77"/>
      <c r="BG19" s="77"/>
      <c r="BH19" s="77"/>
      <c r="BI19" s="77"/>
    </row>
    <row r="20" spans="1:61" x14ac:dyDescent="0.25">
      <c r="A20" s="62" t="s">
        <v>236</v>
      </c>
      <c r="B20" s="62" t="s">
        <v>236</v>
      </c>
      <c r="C20" s="63"/>
      <c r="D20" s="64"/>
      <c r="E20" s="65"/>
      <c r="F20" s="66"/>
      <c r="G20" s="63"/>
      <c r="H20" s="67"/>
      <c r="I20" s="68"/>
      <c r="J20" s="68"/>
      <c r="K20" s="32"/>
      <c r="L20" s="75">
        <v>20</v>
      </c>
      <c r="M20" s="75"/>
      <c r="N20" s="70"/>
      <c r="O20" s="77" t="s">
        <v>179</v>
      </c>
      <c r="P20" s="79">
        <v>45032.553287037037</v>
      </c>
      <c r="Q20" s="77" t="s">
        <v>1305</v>
      </c>
      <c r="R20" s="77">
        <v>1</v>
      </c>
      <c r="S20" s="77">
        <v>1</v>
      </c>
      <c r="T20" s="77">
        <v>0</v>
      </c>
      <c r="U20" s="77">
        <v>0</v>
      </c>
      <c r="V20" s="77">
        <v>133</v>
      </c>
      <c r="W20" s="82" t="s">
        <v>5243</v>
      </c>
      <c r="X20" s="80" t="str">
        <f>HYPERLINK("https://youtu.be/6IrQgz83r54")</f>
        <v>https://youtu.be/6IrQgz83r54</v>
      </c>
      <c r="Y20" s="77" t="s">
        <v>7248</v>
      </c>
      <c r="Z20" s="77"/>
      <c r="AA20" s="77" t="s">
        <v>7520</v>
      </c>
      <c r="AB20" s="77" t="s">
        <v>10129</v>
      </c>
      <c r="AC20" s="82" t="s">
        <v>10144</v>
      </c>
      <c r="AD20" s="77" t="s">
        <v>10184</v>
      </c>
      <c r="AE20" s="80" t="str">
        <f>HYPERLINK("https://twitter.com/jcmotoristauber/status/1647589846934777856")</f>
        <v>https://twitter.com/jcmotoristauber/status/1647589846934777856</v>
      </c>
      <c r="AF20" s="79">
        <v>45032.553287037037</v>
      </c>
      <c r="AG20" s="85">
        <v>45032</v>
      </c>
      <c r="AH20" s="82" t="s">
        <v>10216</v>
      </c>
      <c r="AI20" s="77" t="b">
        <v>0</v>
      </c>
      <c r="AJ20" s="77"/>
      <c r="AK20" s="77"/>
      <c r="AL20" s="77"/>
      <c r="AM20" s="77"/>
      <c r="AN20" s="77"/>
      <c r="AO20" s="77"/>
      <c r="AP20" s="77"/>
      <c r="AQ20" s="77" t="s">
        <v>14164</v>
      </c>
      <c r="AR20" s="77">
        <v>25166</v>
      </c>
      <c r="AS20" s="77"/>
      <c r="AT20" s="77"/>
      <c r="AU20" s="77"/>
      <c r="AV20" s="80" t="str">
        <f>HYPERLINK("https://pbs.twimg.com/ext_tw_video_thumb/1647589769638035456/pu/img/uOXrsoW-J8NZZrWF.jpg")</f>
        <v>https://pbs.twimg.com/ext_tw_video_thumb/1647589769638035456/pu/img/uOXrsoW-J8NZZrWF.jpg</v>
      </c>
      <c r="AW20" s="82" t="s">
        <v>16793</v>
      </c>
      <c r="AX20" s="82" t="s">
        <v>16793</v>
      </c>
      <c r="AY20" s="77"/>
      <c r="AZ20" s="82" t="s">
        <v>20971</v>
      </c>
      <c r="BA20" s="82" t="s">
        <v>20971</v>
      </c>
      <c r="BB20" s="82" t="s">
        <v>20971</v>
      </c>
      <c r="BC20" s="82" t="s">
        <v>16793</v>
      </c>
      <c r="BD20" s="82" t="s">
        <v>21021</v>
      </c>
      <c r="BE20" s="77"/>
      <c r="BF20" s="77"/>
      <c r="BG20" s="77"/>
      <c r="BH20" s="77"/>
      <c r="BI20" s="77"/>
    </row>
    <row r="21" spans="1:61" x14ac:dyDescent="0.25">
      <c r="A21" s="62" t="s">
        <v>237</v>
      </c>
      <c r="B21" s="62" t="s">
        <v>237</v>
      </c>
      <c r="C21" s="63"/>
      <c r="D21" s="64"/>
      <c r="E21" s="65"/>
      <c r="F21" s="66"/>
      <c r="G21" s="63"/>
      <c r="H21" s="67"/>
      <c r="I21" s="68"/>
      <c r="J21" s="68"/>
      <c r="K21" s="32"/>
      <c r="L21" s="75">
        <v>21</v>
      </c>
      <c r="M21" s="75"/>
      <c r="N21" s="70"/>
      <c r="O21" s="77" t="s">
        <v>179</v>
      </c>
      <c r="P21" s="79">
        <v>45117.044537037036</v>
      </c>
      <c r="Q21" s="77" t="s">
        <v>1306</v>
      </c>
      <c r="R21" s="77">
        <v>0</v>
      </c>
      <c r="S21" s="77">
        <v>0</v>
      </c>
      <c r="T21" s="77">
        <v>0</v>
      </c>
      <c r="U21" s="77">
        <v>0</v>
      </c>
      <c r="V21" s="77">
        <v>13</v>
      </c>
      <c r="W21" s="82" t="s">
        <v>5244</v>
      </c>
      <c r="X21" s="80" t="str">
        <f>HYPERLINK("https://contate.me/undefined")</f>
        <v>https://contate.me/undefined</v>
      </c>
      <c r="Y21" s="77" t="s">
        <v>7249</v>
      </c>
      <c r="Z21" s="77"/>
      <c r="AA21" s="77" t="s">
        <v>7521</v>
      </c>
      <c r="AB21" s="77" t="s">
        <v>10130</v>
      </c>
      <c r="AC21" s="82" t="s">
        <v>10144</v>
      </c>
      <c r="AD21" s="77" t="s">
        <v>10184</v>
      </c>
      <c r="AE21" s="80" t="str">
        <f>HYPERLINK("https://twitter.com/digitalboost_67/status/1678208449098678273")</f>
        <v>https://twitter.com/digitalboost_67/status/1678208449098678273</v>
      </c>
      <c r="AF21" s="79">
        <v>45117.044537037036</v>
      </c>
      <c r="AG21" s="85">
        <v>45117</v>
      </c>
      <c r="AH21" s="82" t="s">
        <v>10217</v>
      </c>
      <c r="AI21" s="77" t="b">
        <v>0</v>
      </c>
      <c r="AJ21" s="77"/>
      <c r="AK21" s="77"/>
      <c r="AL21" s="77"/>
      <c r="AM21" s="77"/>
      <c r="AN21" s="77"/>
      <c r="AO21" s="77"/>
      <c r="AP21" s="77"/>
      <c r="AQ21" s="77" t="s">
        <v>14165</v>
      </c>
      <c r="AR21" s="77"/>
      <c r="AS21" s="77"/>
      <c r="AT21" s="77"/>
      <c r="AU21" s="77"/>
      <c r="AV21" s="80" t="str">
        <f>HYPERLINK("https://pbs.twimg.com/media/F0oxsJWXwAAHEPO.jpg")</f>
        <v>https://pbs.twimg.com/media/F0oxsJWXwAAHEPO.jpg</v>
      </c>
      <c r="AW21" s="82" t="s">
        <v>16794</v>
      </c>
      <c r="AX21" s="82" t="s">
        <v>16794</v>
      </c>
      <c r="AY21" s="77"/>
      <c r="AZ21" s="82" t="s">
        <v>20971</v>
      </c>
      <c r="BA21" s="82" t="s">
        <v>20971</v>
      </c>
      <c r="BB21" s="82" t="s">
        <v>20971</v>
      </c>
      <c r="BC21" s="82" t="s">
        <v>16794</v>
      </c>
      <c r="BD21" s="82" t="s">
        <v>21022</v>
      </c>
      <c r="BE21" s="77"/>
      <c r="BF21" s="77"/>
      <c r="BG21" s="77"/>
      <c r="BH21" s="77"/>
      <c r="BI21" s="77"/>
    </row>
    <row r="22" spans="1:61" x14ac:dyDescent="0.25">
      <c r="A22" s="62" t="s">
        <v>238</v>
      </c>
      <c r="B22" s="62" t="s">
        <v>238</v>
      </c>
      <c r="C22" s="63"/>
      <c r="D22" s="64"/>
      <c r="E22" s="65"/>
      <c r="F22" s="66"/>
      <c r="G22" s="63"/>
      <c r="H22" s="67"/>
      <c r="I22" s="68"/>
      <c r="J22" s="68"/>
      <c r="K22" s="32"/>
      <c r="L22" s="75">
        <v>22</v>
      </c>
      <c r="M22" s="75"/>
      <c r="N22" s="70"/>
      <c r="O22" s="77" t="s">
        <v>179</v>
      </c>
      <c r="P22" s="79">
        <v>44964.996793981481</v>
      </c>
      <c r="Q22" s="77" t="s">
        <v>1307</v>
      </c>
      <c r="R22" s="77">
        <v>0</v>
      </c>
      <c r="S22" s="77">
        <v>0</v>
      </c>
      <c r="T22" s="77">
        <v>0</v>
      </c>
      <c r="U22" s="77">
        <v>0</v>
      </c>
      <c r="V22" s="77">
        <v>9</v>
      </c>
      <c r="W22" s="82" t="s">
        <v>5245</v>
      </c>
      <c r="X22" s="80" t="str">
        <f>HYPERLINK("https://www.instagram.com/p/CoYWAWvpIXd/?igshid=YTgzYjQ4ZTY=")</f>
        <v>https://www.instagram.com/p/CoYWAWvpIXd/?igshid=YTgzYjQ4ZTY=</v>
      </c>
      <c r="Y22" s="77" t="s">
        <v>7250</v>
      </c>
      <c r="Z22" s="77"/>
      <c r="AA22" s="77"/>
      <c r="AB22" s="77"/>
      <c r="AC22" s="82" t="s">
        <v>10148</v>
      </c>
      <c r="AD22" s="77" t="s">
        <v>10184</v>
      </c>
      <c r="AE22" s="80" t="str">
        <f>HYPERLINK("https://twitter.com/apenasnegocioss/status/1623108190253588481")</f>
        <v>https://twitter.com/apenasnegocioss/status/1623108190253588481</v>
      </c>
      <c r="AF22" s="79">
        <v>44964.996793981481</v>
      </c>
      <c r="AG22" s="85">
        <v>44964</v>
      </c>
      <c r="AH22" s="82" t="s">
        <v>10218</v>
      </c>
      <c r="AI22" s="77" t="b">
        <v>0</v>
      </c>
      <c r="AJ22" s="77"/>
      <c r="AK22" s="77"/>
      <c r="AL22" s="77"/>
      <c r="AM22" s="77"/>
      <c r="AN22" s="77"/>
      <c r="AO22" s="77"/>
      <c r="AP22" s="77"/>
      <c r="AQ22" s="77"/>
      <c r="AR22" s="77"/>
      <c r="AS22" s="77"/>
      <c r="AT22" s="77"/>
      <c r="AU22" s="77"/>
      <c r="AV22" s="80" t="str">
        <f>HYPERLINK("https://pbs.twimg.com/profile_images/1545162479306772481/L4DOBnkU_normal.jpg")</f>
        <v>https://pbs.twimg.com/profile_images/1545162479306772481/L4DOBnkU_normal.jpg</v>
      </c>
      <c r="AW22" s="82" t="s">
        <v>16795</v>
      </c>
      <c r="AX22" s="82" t="s">
        <v>16795</v>
      </c>
      <c r="AY22" s="77"/>
      <c r="AZ22" s="82" t="s">
        <v>20971</v>
      </c>
      <c r="BA22" s="82" t="s">
        <v>20971</v>
      </c>
      <c r="BB22" s="82" t="s">
        <v>20971</v>
      </c>
      <c r="BC22" s="82" t="s">
        <v>16795</v>
      </c>
      <c r="BD22" s="82" t="s">
        <v>21023</v>
      </c>
      <c r="BE22" s="77"/>
      <c r="BF22" s="77"/>
      <c r="BG22" s="77"/>
      <c r="BH22" s="77"/>
      <c r="BI22" s="77"/>
    </row>
    <row r="23" spans="1:61" x14ac:dyDescent="0.25">
      <c r="A23" s="62" t="s">
        <v>238</v>
      </c>
      <c r="B23" s="62" t="s">
        <v>238</v>
      </c>
      <c r="C23" s="63"/>
      <c r="D23" s="64"/>
      <c r="E23" s="65"/>
      <c r="F23" s="66"/>
      <c r="G23" s="63"/>
      <c r="H23" s="67"/>
      <c r="I23" s="68"/>
      <c r="J23" s="68"/>
      <c r="K23" s="32"/>
      <c r="L23" s="75">
        <v>23</v>
      </c>
      <c r="M23" s="75"/>
      <c r="N23" s="70"/>
      <c r="O23" s="77" t="s">
        <v>179</v>
      </c>
      <c r="P23" s="79">
        <v>44957.00203703704</v>
      </c>
      <c r="Q23" s="77" t="s">
        <v>1308</v>
      </c>
      <c r="R23" s="77">
        <v>0</v>
      </c>
      <c r="S23" s="77">
        <v>0</v>
      </c>
      <c r="T23" s="77">
        <v>0</v>
      </c>
      <c r="U23" s="77">
        <v>0</v>
      </c>
      <c r="V23" s="77">
        <v>50</v>
      </c>
      <c r="W23" s="82" t="s">
        <v>5246</v>
      </c>
      <c r="X23" s="80" t="str">
        <f>HYPERLINK("https://www.instagram.com/p/CoDwg7hJKPG/?igshid=YTgzYjQ4ZTY=")</f>
        <v>https://www.instagram.com/p/CoDwg7hJKPG/?igshid=YTgzYjQ4ZTY=</v>
      </c>
      <c r="Y23" s="77" t="s">
        <v>7250</v>
      </c>
      <c r="Z23" s="77"/>
      <c r="AA23" s="77"/>
      <c r="AB23" s="77"/>
      <c r="AC23" s="82" t="s">
        <v>10148</v>
      </c>
      <c r="AD23" s="77" t="s">
        <v>10184</v>
      </c>
      <c r="AE23" s="80" t="str">
        <f>HYPERLINK("https://twitter.com/apenasnegocioss/status/1620210989256818688")</f>
        <v>https://twitter.com/apenasnegocioss/status/1620210989256818688</v>
      </c>
      <c r="AF23" s="79">
        <v>44957.00203703704</v>
      </c>
      <c r="AG23" s="85">
        <v>44957</v>
      </c>
      <c r="AH23" s="82" t="s">
        <v>10219</v>
      </c>
      <c r="AI23" s="77" t="b">
        <v>0</v>
      </c>
      <c r="AJ23" s="77"/>
      <c r="AK23" s="77"/>
      <c r="AL23" s="77"/>
      <c r="AM23" s="77"/>
      <c r="AN23" s="77"/>
      <c r="AO23" s="77"/>
      <c r="AP23" s="77"/>
      <c r="AQ23" s="77"/>
      <c r="AR23" s="77"/>
      <c r="AS23" s="77"/>
      <c r="AT23" s="77"/>
      <c r="AU23" s="77"/>
      <c r="AV23" s="80" t="str">
        <f>HYPERLINK("https://pbs.twimg.com/profile_images/1545162479306772481/L4DOBnkU_normal.jpg")</f>
        <v>https://pbs.twimg.com/profile_images/1545162479306772481/L4DOBnkU_normal.jpg</v>
      </c>
      <c r="AW23" s="82" t="s">
        <v>16796</v>
      </c>
      <c r="AX23" s="82" t="s">
        <v>16796</v>
      </c>
      <c r="AY23" s="77"/>
      <c r="AZ23" s="82" t="s">
        <v>20971</v>
      </c>
      <c r="BA23" s="82" t="s">
        <v>20971</v>
      </c>
      <c r="BB23" s="82" t="s">
        <v>20971</v>
      </c>
      <c r="BC23" s="82" t="s">
        <v>16796</v>
      </c>
      <c r="BD23" s="82" t="s">
        <v>21023</v>
      </c>
      <c r="BE23" s="77"/>
      <c r="BF23" s="77"/>
      <c r="BG23" s="77"/>
      <c r="BH23" s="77"/>
      <c r="BI23" s="77"/>
    </row>
    <row r="24" spans="1:61" x14ac:dyDescent="0.25">
      <c r="A24" s="62" t="s">
        <v>238</v>
      </c>
      <c r="B24" s="62" t="s">
        <v>238</v>
      </c>
      <c r="C24" s="63"/>
      <c r="D24" s="64"/>
      <c r="E24" s="65"/>
      <c r="F24" s="66"/>
      <c r="G24" s="63"/>
      <c r="H24" s="67"/>
      <c r="I24" s="68"/>
      <c r="J24" s="68"/>
      <c r="K24" s="32"/>
      <c r="L24" s="75">
        <v>24</v>
      </c>
      <c r="M24" s="75"/>
      <c r="N24" s="70"/>
      <c r="O24" s="77" t="s">
        <v>179</v>
      </c>
      <c r="P24" s="79">
        <v>44973.856932870367</v>
      </c>
      <c r="Q24" s="77" t="s">
        <v>1309</v>
      </c>
      <c r="R24" s="77">
        <v>0</v>
      </c>
      <c r="S24" s="77">
        <v>0</v>
      </c>
      <c r="T24" s="77">
        <v>0</v>
      </c>
      <c r="U24" s="77">
        <v>0</v>
      </c>
      <c r="V24" s="77">
        <v>8</v>
      </c>
      <c r="W24" s="82" t="s">
        <v>5247</v>
      </c>
      <c r="X24" s="80" t="str">
        <f>HYPERLINK("https://www.instagram.com/p/CovKFLqPDEo/?igshid=YTgzYjQ4ZTY=")</f>
        <v>https://www.instagram.com/p/CovKFLqPDEo/?igshid=YTgzYjQ4ZTY=</v>
      </c>
      <c r="Y24" s="77" t="s">
        <v>7250</v>
      </c>
      <c r="Z24" s="77"/>
      <c r="AA24" s="77"/>
      <c r="AB24" s="77"/>
      <c r="AC24" s="82" t="s">
        <v>10148</v>
      </c>
      <c r="AD24" s="77" t="s">
        <v>10184</v>
      </c>
      <c r="AE24" s="80" t="str">
        <f>HYPERLINK("https://twitter.com/apenasnegocioss/status/1626319000291377152")</f>
        <v>https://twitter.com/apenasnegocioss/status/1626319000291377152</v>
      </c>
      <c r="AF24" s="79">
        <v>44973.856932870367</v>
      </c>
      <c r="AG24" s="85">
        <v>44973</v>
      </c>
      <c r="AH24" s="82" t="s">
        <v>10220</v>
      </c>
      <c r="AI24" s="77" t="b">
        <v>0</v>
      </c>
      <c r="AJ24" s="77"/>
      <c r="AK24" s="77"/>
      <c r="AL24" s="77"/>
      <c r="AM24" s="77"/>
      <c r="AN24" s="77"/>
      <c r="AO24" s="77"/>
      <c r="AP24" s="77"/>
      <c r="AQ24" s="77"/>
      <c r="AR24" s="77"/>
      <c r="AS24" s="77"/>
      <c r="AT24" s="77"/>
      <c r="AU24" s="77"/>
      <c r="AV24" s="80" t="str">
        <f>HYPERLINK("https://pbs.twimg.com/profile_images/1545162479306772481/L4DOBnkU_normal.jpg")</f>
        <v>https://pbs.twimg.com/profile_images/1545162479306772481/L4DOBnkU_normal.jpg</v>
      </c>
      <c r="AW24" s="82" t="s">
        <v>16797</v>
      </c>
      <c r="AX24" s="82" t="s">
        <v>16797</v>
      </c>
      <c r="AY24" s="77"/>
      <c r="AZ24" s="82" t="s">
        <v>20971</v>
      </c>
      <c r="BA24" s="82" t="s">
        <v>20971</v>
      </c>
      <c r="BB24" s="82" t="s">
        <v>20971</v>
      </c>
      <c r="BC24" s="82" t="s">
        <v>16797</v>
      </c>
      <c r="BD24" s="82" t="s">
        <v>21023</v>
      </c>
      <c r="BE24" s="77"/>
      <c r="BF24" s="77"/>
      <c r="BG24" s="77"/>
      <c r="BH24" s="77"/>
      <c r="BI24" s="77"/>
    </row>
    <row r="25" spans="1:61" x14ac:dyDescent="0.25">
      <c r="A25" s="62" t="s">
        <v>238</v>
      </c>
      <c r="B25" s="62" t="s">
        <v>238</v>
      </c>
      <c r="C25" s="63"/>
      <c r="D25" s="64"/>
      <c r="E25" s="65"/>
      <c r="F25" s="66"/>
      <c r="G25" s="63"/>
      <c r="H25" s="67"/>
      <c r="I25" s="68"/>
      <c r="J25" s="68"/>
      <c r="K25" s="32"/>
      <c r="L25" s="75">
        <v>25</v>
      </c>
      <c r="M25" s="75"/>
      <c r="N25" s="70"/>
      <c r="O25" s="77" t="s">
        <v>179</v>
      </c>
      <c r="P25" s="79">
        <v>44972.885763888888</v>
      </c>
      <c r="Q25" s="77" t="s">
        <v>1310</v>
      </c>
      <c r="R25" s="77">
        <v>0</v>
      </c>
      <c r="S25" s="77">
        <v>0</v>
      </c>
      <c r="T25" s="77">
        <v>0</v>
      </c>
      <c r="U25" s="77">
        <v>0</v>
      </c>
      <c r="V25" s="77">
        <v>14</v>
      </c>
      <c r="W25" s="82" t="s">
        <v>5248</v>
      </c>
      <c r="X25" s="80" t="str">
        <f>HYPERLINK("https://www.instagram.com/p/CosqEizPnnq/?igshid=YTgzYjQ4ZTY=")</f>
        <v>https://www.instagram.com/p/CosqEizPnnq/?igshid=YTgzYjQ4ZTY=</v>
      </c>
      <c r="Y25" s="77" t="s">
        <v>7250</v>
      </c>
      <c r="Z25" s="77"/>
      <c r="AA25" s="77"/>
      <c r="AB25" s="77"/>
      <c r="AC25" s="82" t="s">
        <v>10148</v>
      </c>
      <c r="AD25" s="77" t="s">
        <v>10184</v>
      </c>
      <c r="AE25" s="80" t="str">
        <f>HYPERLINK("https://twitter.com/apenasnegocioss/status/1625967058096717851")</f>
        <v>https://twitter.com/apenasnegocioss/status/1625967058096717851</v>
      </c>
      <c r="AF25" s="79">
        <v>44972.885763888888</v>
      </c>
      <c r="AG25" s="85">
        <v>44972</v>
      </c>
      <c r="AH25" s="82" t="s">
        <v>10221</v>
      </c>
      <c r="AI25" s="77" t="b">
        <v>0</v>
      </c>
      <c r="AJ25" s="77"/>
      <c r="AK25" s="77"/>
      <c r="AL25" s="77"/>
      <c r="AM25" s="77"/>
      <c r="AN25" s="77"/>
      <c r="AO25" s="77"/>
      <c r="AP25" s="77"/>
      <c r="AQ25" s="77"/>
      <c r="AR25" s="77"/>
      <c r="AS25" s="77"/>
      <c r="AT25" s="77"/>
      <c r="AU25" s="77"/>
      <c r="AV25" s="80" t="str">
        <f>HYPERLINK("https://pbs.twimg.com/profile_images/1545162479306772481/L4DOBnkU_normal.jpg")</f>
        <v>https://pbs.twimg.com/profile_images/1545162479306772481/L4DOBnkU_normal.jpg</v>
      </c>
      <c r="AW25" s="82" t="s">
        <v>16798</v>
      </c>
      <c r="AX25" s="82" t="s">
        <v>16798</v>
      </c>
      <c r="AY25" s="77"/>
      <c r="AZ25" s="82" t="s">
        <v>20971</v>
      </c>
      <c r="BA25" s="82" t="s">
        <v>20971</v>
      </c>
      <c r="BB25" s="82" t="s">
        <v>20971</v>
      </c>
      <c r="BC25" s="82" t="s">
        <v>16798</v>
      </c>
      <c r="BD25" s="82" t="s">
        <v>21023</v>
      </c>
      <c r="BE25" s="77"/>
      <c r="BF25" s="77"/>
      <c r="BG25" s="77"/>
      <c r="BH25" s="77"/>
      <c r="BI25" s="77"/>
    </row>
    <row r="26" spans="1:61" x14ac:dyDescent="0.25">
      <c r="A26" s="62" t="s">
        <v>238</v>
      </c>
      <c r="B26" s="62" t="s">
        <v>238</v>
      </c>
      <c r="C26" s="63"/>
      <c r="D26" s="64"/>
      <c r="E26" s="65"/>
      <c r="F26" s="66"/>
      <c r="G26" s="63"/>
      <c r="H26" s="67"/>
      <c r="I26" s="68"/>
      <c r="J26" s="68"/>
      <c r="K26" s="32"/>
      <c r="L26" s="75">
        <v>26</v>
      </c>
      <c r="M26" s="75"/>
      <c r="N26" s="70"/>
      <c r="O26" s="77" t="s">
        <v>179</v>
      </c>
      <c r="P26" s="79">
        <v>44991.636018518519</v>
      </c>
      <c r="Q26" s="77" t="s">
        <v>1311</v>
      </c>
      <c r="R26" s="77">
        <v>0</v>
      </c>
      <c r="S26" s="77">
        <v>0</v>
      </c>
      <c r="T26" s="77">
        <v>0</v>
      </c>
      <c r="U26" s="77">
        <v>0</v>
      </c>
      <c r="V26" s="77">
        <v>11</v>
      </c>
      <c r="W26" s="82" t="s">
        <v>5249</v>
      </c>
      <c r="X26" s="80" t="str">
        <f>HYPERLINK("https://www.instagram.com/p/Cpc8A_urk3T/?igshid=YTgzYjQ4ZTY=")</f>
        <v>https://www.instagram.com/p/Cpc8A_urk3T/?igshid=YTgzYjQ4ZTY=</v>
      </c>
      <c r="Y26" s="77" t="s">
        <v>7250</v>
      </c>
      <c r="Z26" s="77"/>
      <c r="AA26" s="77"/>
      <c r="AB26" s="77"/>
      <c r="AC26" s="82" t="s">
        <v>10148</v>
      </c>
      <c r="AD26" s="77" t="s">
        <v>10184</v>
      </c>
      <c r="AE26" s="80" t="str">
        <f>HYPERLINK("https://twitter.com/apenasnegocioss/status/1632761923589771264")</f>
        <v>https://twitter.com/apenasnegocioss/status/1632761923589771264</v>
      </c>
      <c r="AF26" s="79">
        <v>44991.636018518519</v>
      </c>
      <c r="AG26" s="85">
        <v>44991</v>
      </c>
      <c r="AH26" s="82" t="s">
        <v>10222</v>
      </c>
      <c r="AI26" s="77" t="b">
        <v>0</v>
      </c>
      <c r="AJ26" s="77"/>
      <c r="AK26" s="77"/>
      <c r="AL26" s="77"/>
      <c r="AM26" s="77"/>
      <c r="AN26" s="77"/>
      <c r="AO26" s="77"/>
      <c r="AP26" s="77"/>
      <c r="AQ26" s="77"/>
      <c r="AR26" s="77"/>
      <c r="AS26" s="77"/>
      <c r="AT26" s="77"/>
      <c r="AU26" s="77"/>
      <c r="AV26" s="80" t="str">
        <f>HYPERLINK("https://pbs.twimg.com/profile_images/1545162479306772481/L4DOBnkU_normal.jpg")</f>
        <v>https://pbs.twimg.com/profile_images/1545162479306772481/L4DOBnkU_normal.jpg</v>
      </c>
      <c r="AW26" s="82" t="s">
        <v>16799</v>
      </c>
      <c r="AX26" s="82" t="s">
        <v>16799</v>
      </c>
      <c r="AY26" s="77"/>
      <c r="AZ26" s="82" t="s">
        <v>20971</v>
      </c>
      <c r="BA26" s="82" t="s">
        <v>20971</v>
      </c>
      <c r="BB26" s="82" t="s">
        <v>20971</v>
      </c>
      <c r="BC26" s="82" t="s">
        <v>16799</v>
      </c>
      <c r="BD26" s="82" t="s">
        <v>21023</v>
      </c>
      <c r="BE26" s="77"/>
      <c r="BF26" s="77"/>
      <c r="BG26" s="77"/>
      <c r="BH26" s="77"/>
      <c r="BI26" s="77"/>
    </row>
    <row r="27" spans="1:61" x14ac:dyDescent="0.25">
      <c r="A27" s="62" t="s">
        <v>239</v>
      </c>
      <c r="B27" s="62" t="s">
        <v>239</v>
      </c>
      <c r="C27" s="63"/>
      <c r="D27" s="64"/>
      <c r="E27" s="65"/>
      <c r="F27" s="66"/>
      <c r="G27" s="63"/>
      <c r="H27" s="67"/>
      <c r="I27" s="68"/>
      <c r="J27" s="68"/>
      <c r="K27" s="32"/>
      <c r="L27" s="75">
        <v>27</v>
      </c>
      <c r="M27" s="75"/>
      <c r="N27" s="70"/>
      <c r="O27" s="77" t="s">
        <v>179</v>
      </c>
      <c r="P27" s="79">
        <v>44962.095914351848</v>
      </c>
      <c r="Q27" s="77" t="s">
        <v>1312</v>
      </c>
      <c r="R27" s="77">
        <v>0</v>
      </c>
      <c r="S27" s="77">
        <v>1</v>
      </c>
      <c r="T27" s="77">
        <v>1</v>
      </c>
      <c r="U27" s="77">
        <v>0</v>
      </c>
      <c r="V27" s="77">
        <v>89</v>
      </c>
      <c r="W27" s="82" t="s">
        <v>5250</v>
      </c>
      <c r="X27" s="77"/>
      <c r="Y27" s="77"/>
      <c r="Z27" s="77"/>
      <c r="AA27" s="77"/>
      <c r="AB27" s="77"/>
      <c r="AC27" s="82" t="s">
        <v>10145</v>
      </c>
      <c r="AD27" s="77" t="s">
        <v>10184</v>
      </c>
      <c r="AE27" s="80" t="str">
        <f>HYPERLINK("https://twitter.com/studidiamond/status/1622056947359825921")</f>
        <v>https://twitter.com/studidiamond/status/1622056947359825921</v>
      </c>
      <c r="AF27" s="79">
        <v>44962.095914351848</v>
      </c>
      <c r="AG27" s="85">
        <v>44962</v>
      </c>
      <c r="AH27" s="82" t="s">
        <v>10223</v>
      </c>
      <c r="AI27" s="77"/>
      <c r="AJ27" s="77"/>
      <c r="AK27" s="77"/>
      <c r="AL27" s="77"/>
      <c r="AM27" s="77"/>
      <c r="AN27" s="77"/>
      <c r="AO27" s="77"/>
      <c r="AP27" s="77"/>
      <c r="AQ27" s="77"/>
      <c r="AR27" s="77"/>
      <c r="AS27" s="77"/>
      <c r="AT27" s="77"/>
      <c r="AU27" s="77"/>
      <c r="AV27" s="80" t="str">
        <f>HYPERLINK("https://pbs.twimg.com/profile_images/1624093163534135305/6tUatP76_normal.jpg")</f>
        <v>https://pbs.twimg.com/profile_images/1624093163534135305/6tUatP76_normal.jpg</v>
      </c>
      <c r="AW27" s="82" t="s">
        <v>16800</v>
      </c>
      <c r="AX27" s="82" t="s">
        <v>16800</v>
      </c>
      <c r="AY27" s="77"/>
      <c r="AZ27" s="82" t="s">
        <v>20971</v>
      </c>
      <c r="BA27" s="82" t="s">
        <v>20971</v>
      </c>
      <c r="BB27" s="82" t="s">
        <v>20971</v>
      </c>
      <c r="BC27" s="82" t="s">
        <v>16800</v>
      </c>
      <c r="BD27" s="82" t="s">
        <v>21024</v>
      </c>
      <c r="BE27" s="77"/>
      <c r="BF27" s="77"/>
      <c r="BG27" s="77"/>
      <c r="BH27" s="77"/>
      <c r="BI27" s="77"/>
    </row>
    <row r="28" spans="1:61" x14ac:dyDescent="0.25">
      <c r="A28" s="62" t="s">
        <v>240</v>
      </c>
      <c r="B28" s="62" t="s">
        <v>240</v>
      </c>
      <c r="C28" s="63"/>
      <c r="D28" s="64"/>
      <c r="E28" s="65"/>
      <c r="F28" s="66"/>
      <c r="G28" s="63"/>
      <c r="H28" s="67"/>
      <c r="I28" s="68"/>
      <c r="J28" s="68"/>
      <c r="K28" s="32"/>
      <c r="L28" s="75">
        <v>28</v>
      </c>
      <c r="M28" s="75"/>
      <c r="N28" s="70"/>
      <c r="O28" s="77" t="s">
        <v>179</v>
      </c>
      <c r="P28" s="79">
        <v>45170.645798611113</v>
      </c>
      <c r="Q28" s="77" t="s">
        <v>1313</v>
      </c>
      <c r="R28" s="77">
        <v>0</v>
      </c>
      <c r="S28" s="77">
        <v>1</v>
      </c>
      <c r="T28" s="77">
        <v>0</v>
      </c>
      <c r="U28" s="77">
        <v>0</v>
      </c>
      <c r="V28" s="77">
        <v>54</v>
      </c>
      <c r="W28" s="82" t="s">
        <v>5251</v>
      </c>
      <c r="X28" s="80" t="str">
        <f>HYPERLINK("https://go.hotmart.com/S86369644H")</f>
        <v>https://go.hotmart.com/S86369644H</v>
      </c>
      <c r="Y28" s="77" t="s">
        <v>7251</v>
      </c>
      <c r="Z28" s="77"/>
      <c r="AA28" s="77" t="s">
        <v>7522</v>
      </c>
      <c r="AB28" s="77" t="s">
        <v>10130</v>
      </c>
      <c r="AC28" s="82" t="s">
        <v>10146</v>
      </c>
      <c r="AD28" s="77" t="s">
        <v>10184</v>
      </c>
      <c r="AE28" s="80" t="str">
        <f>HYPERLINK("https://twitter.com/bitcoinecashbr/status/1697632894661902815")</f>
        <v>https://twitter.com/bitcoinecashbr/status/1697632894661902815</v>
      </c>
      <c r="AF28" s="79">
        <v>45170.645798611113</v>
      </c>
      <c r="AG28" s="85">
        <v>45170</v>
      </c>
      <c r="AH28" s="82" t="s">
        <v>10224</v>
      </c>
      <c r="AI28" s="77" t="b">
        <v>0</v>
      </c>
      <c r="AJ28" s="77"/>
      <c r="AK28" s="77"/>
      <c r="AL28" s="77"/>
      <c r="AM28" s="77"/>
      <c r="AN28" s="77"/>
      <c r="AO28" s="77"/>
      <c r="AP28" s="77"/>
      <c r="AQ28" s="77" t="s">
        <v>14166</v>
      </c>
      <c r="AR28" s="77"/>
      <c r="AS28" s="77"/>
      <c r="AT28" s="77"/>
      <c r="AU28" s="77"/>
      <c r="AV28" s="80" t="str">
        <f>HYPERLINK("https://pbs.twimg.com/media/F480CAaWUAAuypq.jpg")</f>
        <v>https://pbs.twimg.com/media/F480CAaWUAAuypq.jpg</v>
      </c>
      <c r="AW28" s="82" t="s">
        <v>16801</v>
      </c>
      <c r="AX28" s="82" t="s">
        <v>16801</v>
      </c>
      <c r="AY28" s="77"/>
      <c r="AZ28" s="82" t="s">
        <v>20971</v>
      </c>
      <c r="BA28" s="82" t="s">
        <v>20971</v>
      </c>
      <c r="BB28" s="82" t="s">
        <v>20971</v>
      </c>
      <c r="BC28" s="82" t="s">
        <v>16801</v>
      </c>
      <c r="BD28" s="82" t="s">
        <v>21025</v>
      </c>
      <c r="BE28" s="77"/>
      <c r="BF28" s="77"/>
      <c r="BG28" s="77"/>
      <c r="BH28" s="77"/>
      <c r="BI28" s="77"/>
    </row>
    <row r="29" spans="1:61" x14ac:dyDescent="0.25">
      <c r="A29" s="62" t="s">
        <v>241</v>
      </c>
      <c r="B29" s="62" t="s">
        <v>1240</v>
      </c>
      <c r="C29" s="63"/>
      <c r="D29" s="64"/>
      <c r="E29" s="65"/>
      <c r="F29" s="66"/>
      <c r="G29" s="63"/>
      <c r="H29" s="67"/>
      <c r="I29" s="68"/>
      <c r="J29" s="68"/>
      <c r="K29" s="32"/>
      <c r="L29" s="75">
        <v>29</v>
      </c>
      <c r="M29" s="75"/>
      <c r="N29" s="70"/>
      <c r="O29" s="77" t="s">
        <v>1284</v>
      </c>
      <c r="P29" s="79">
        <v>45113.019606481481</v>
      </c>
      <c r="Q29" s="77" t="s">
        <v>1314</v>
      </c>
      <c r="R29" s="77">
        <v>0</v>
      </c>
      <c r="S29" s="77">
        <v>0</v>
      </c>
      <c r="T29" s="77">
        <v>0</v>
      </c>
      <c r="U29" s="77">
        <v>0</v>
      </c>
      <c r="V29" s="77">
        <v>14</v>
      </c>
      <c r="W29" s="82" t="s">
        <v>5252</v>
      </c>
      <c r="X29" s="77"/>
      <c r="Y29" s="77"/>
      <c r="Z29" s="77" t="s">
        <v>1240</v>
      </c>
      <c r="AA29" s="77" t="s">
        <v>7523</v>
      </c>
      <c r="AB29" s="77" t="s">
        <v>10130</v>
      </c>
      <c r="AC29" s="82" t="s">
        <v>10144</v>
      </c>
      <c r="AD29" s="77" t="s">
        <v>10184</v>
      </c>
      <c r="AE29" s="80" t="str">
        <f>HYPERLINK("https://twitter.com/eduaraujoadv/status/1676749861645893632")</f>
        <v>https://twitter.com/eduaraujoadv/status/1676749861645893632</v>
      </c>
      <c r="AF29" s="79">
        <v>45113.019606481481</v>
      </c>
      <c r="AG29" s="85">
        <v>45113</v>
      </c>
      <c r="AH29" s="82" t="s">
        <v>10225</v>
      </c>
      <c r="AI29" s="77" t="b">
        <v>0</v>
      </c>
      <c r="AJ29" s="77" t="s">
        <v>13995</v>
      </c>
      <c r="AK29" s="77" t="s">
        <v>14033</v>
      </c>
      <c r="AL29" s="77" t="s">
        <v>14035</v>
      </c>
      <c r="AM29" s="77" t="s">
        <v>14037</v>
      </c>
      <c r="AN29" s="77" t="s">
        <v>14074</v>
      </c>
      <c r="AO29" s="77" t="s">
        <v>14112</v>
      </c>
      <c r="AP29" s="77" t="s">
        <v>14149</v>
      </c>
      <c r="AQ29" s="77" t="s">
        <v>14167</v>
      </c>
      <c r="AR29" s="77"/>
      <c r="AS29" s="77"/>
      <c r="AT29" s="77"/>
      <c r="AU29" s="77"/>
      <c r="AV29" s="80" t="str">
        <f>HYPERLINK("https://pbs.twimg.com/media/F0UDHP_WcAETTEu.jpg")</f>
        <v>https://pbs.twimg.com/media/F0UDHP_WcAETTEu.jpg</v>
      </c>
      <c r="AW29" s="82" t="s">
        <v>16802</v>
      </c>
      <c r="AX29" s="82" t="s">
        <v>20789</v>
      </c>
      <c r="AY29" s="82" t="s">
        <v>20899</v>
      </c>
      <c r="AZ29" s="82" t="s">
        <v>20789</v>
      </c>
      <c r="BA29" s="82" t="s">
        <v>20971</v>
      </c>
      <c r="BB29" s="82" t="s">
        <v>20971</v>
      </c>
      <c r="BC29" s="82" t="s">
        <v>20789</v>
      </c>
      <c r="BD29" s="77">
        <v>122140410</v>
      </c>
      <c r="BE29" s="77"/>
      <c r="BF29" s="77"/>
      <c r="BG29" s="77"/>
      <c r="BH29" s="77"/>
      <c r="BI29" s="77"/>
    </row>
    <row r="30" spans="1:61" x14ac:dyDescent="0.25">
      <c r="A30" s="62" t="s">
        <v>242</v>
      </c>
      <c r="B30" s="62" t="s">
        <v>242</v>
      </c>
      <c r="C30" s="63"/>
      <c r="D30" s="64"/>
      <c r="E30" s="65"/>
      <c r="F30" s="66"/>
      <c r="G30" s="63"/>
      <c r="H30" s="67"/>
      <c r="I30" s="68"/>
      <c r="J30" s="68"/>
      <c r="K30" s="32"/>
      <c r="L30" s="75">
        <v>30</v>
      </c>
      <c r="M30" s="75"/>
      <c r="N30" s="70"/>
      <c r="O30" s="77" t="s">
        <v>179</v>
      </c>
      <c r="P30" s="79">
        <v>45167.517824074072</v>
      </c>
      <c r="Q30" s="77" t="s">
        <v>1315</v>
      </c>
      <c r="R30" s="77">
        <v>0</v>
      </c>
      <c r="S30" s="77">
        <v>3</v>
      </c>
      <c r="T30" s="77">
        <v>0</v>
      </c>
      <c r="U30" s="77">
        <v>0</v>
      </c>
      <c r="V30" s="77">
        <v>1015</v>
      </c>
      <c r="W30" s="82" t="s">
        <v>5253</v>
      </c>
      <c r="X30" s="80" t="str">
        <f>HYPERLINK("https://cultura.uol.com.br/noticias/60975_quase-um-terco-dos-brasileiros-precisam-complementar-a-renda-diz-pesquisa.html")</f>
        <v>https://cultura.uol.com.br/noticias/60975_quase-um-terco-dos-brasileiros-precisam-complementar-a-renda-diz-pesquisa.html</v>
      </c>
      <c r="Y30" s="77" t="s">
        <v>7252</v>
      </c>
      <c r="Z30" s="77"/>
      <c r="AA30" s="77"/>
      <c r="AB30" s="77"/>
      <c r="AC30" s="82" t="s">
        <v>10146</v>
      </c>
      <c r="AD30" s="77" t="s">
        <v>10184</v>
      </c>
      <c r="AE30" s="80" t="str">
        <f>HYPERLINK("https://twitter.com/tvcultura/status/1696499355677540693")</f>
        <v>https://twitter.com/tvcultura/status/1696499355677540693</v>
      </c>
      <c r="AF30" s="79">
        <v>45167.517824074072</v>
      </c>
      <c r="AG30" s="85">
        <v>45167</v>
      </c>
      <c r="AH30" s="82" t="s">
        <v>10226</v>
      </c>
      <c r="AI30" s="77" t="b">
        <v>0</v>
      </c>
      <c r="AJ30" s="77"/>
      <c r="AK30" s="77"/>
      <c r="AL30" s="77"/>
      <c r="AM30" s="77"/>
      <c r="AN30" s="77"/>
      <c r="AO30" s="77"/>
      <c r="AP30" s="77"/>
      <c r="AQ30" s="77"/>
      <c r="AR30" s="77"/>
      <c r="AS30" s="77"/>
      <c r="AT30" s="77"/>
      <c r="AU30" s="77"/>
      <c r="AV30" s="80" t="str">
        <f>HYPERLINK("https://pbs.twimg.com/profile_images/1649150439605039104/ws2NLiGq_normal.jpg")</f>
        <v>https://pbs.twimg.com/profile_images/1649150439605039104/ws2NLiGq_normal.jpg</v>
      </c>
      <c r="AW30" s="82" t="s">
        <v>16803</v>
      </c>
      <c r="AX30" s="82" t="s">
        <v>16803</v>
      </c>
      <c r="AY30" s="77"/>
      <c r="AZ30" s="82" t="s">
        <v>20971</v>
      </c>
      <c r="BA30" s="82" t="s">
        <v>20971</v>
      </c>
      <c r="BB30" s="82" t="s">
        <v>20971</v>
      </c>
      <c r="BC30" s="82" t="s">
        <v>16803</v>
      </c>
      <c r="BD30" s="77">
        <v>14306125</v>
      </c>
      <c r="BE30" s="77"/>
      <c r="BF30" s="77"/>
      <c r="BG30" s="77"/>
      <c r="BH30" s="77"/>
      <c r="BI30" s="77"/>
    </row>
    <row r="31" spans="1:61" x14ac:dyDescent="0.25">
      <c r="A31" s="62" t="s">
        <v>243</v>
      </c>
      <c r="B31" s="62" t="s">
        <v>1241</v>
      </c>
      <c r="C31" s="63"/>
      <c r="D31" s="64"/>
      <c r="E31" s="65"/>
      <c r="F31" s="66"/>
      <c r="G31" s="63"/>
      <c r="H31" s="67"/>
      <c r="I31" s="68"/>
      <c r="J31" s="68"/>
      <c r="K31" s="32"/>
      <c r="L31" s="75">
        <v>31</v>
      </c>
      <c r="M31" s="75"/>
      <c r="N31" s="70"/>
      <c r="O31" s="77" t="s">
        <v>1285</v>
      </c>
      <c r="P31" s="79">
        <v>45055.512731481482</v>
      </c>
      <c r="Q31" s="77" t="s">
        <v>1316</v>
      </c>
      <c r="R31" s="77">
        <v>0</v>
      </c>
      <c r="S31" s="77">
        <v>1</v>
      </c>
      <c r="T31" s="77">
        <v>0</v>
      </c>
      <c r="U31" s="77">
        <v>0</v>
      </c>
      <c r="V31" s="77">
        <v>6</v>
      </c>
      <c r="W31" s="82" t="s">
        <v>5254</v>
      </c>
      <c r="X31" s="77" t="s">
        <v>7187</v>
      </c>
      <c r="Y31" s="77" t="s">
        <v>7253</v>
      </c>
      <c r="Z31" s="77" t="s">
        <v>1241</v>
      </c>
      <c r="AA31" s="77"/>
      <c r="AB31" s="77"/>
      <c r="AC31" s="82" t="s">
        <v>10146</v>
      </c>
      <c r="AD31" s="77" t="s">
        <v>10184</v>
      </c>
      <c r="AE31" s="80" t="str">
        <f>HYPERLINK("https://twitter.com/guidottisilva/status/1655910067659497474")</f>
        <v>https://twitter.com/guidottisilva/status/1655910067659497474</v>
      </c>
      <c r="AF31" s="79">
        <v>45055.512731481482</v>
      </c>
      <c r="AG31" s="85">
        <v>45055</v>
      </c>
      <c r="AH31" s="82" t="s">
        <v>10227</v>
      </c>
      <c r="AI31" s="77" t="b">
        <v>0</v>
      </c>
      <c r="AJ31" s="77"/>
      <c r="AK31" s="77"/>
      <c r="AL31" s="77"/>
      <c r="AM31" s="77"/>
      <c r="AN31" s="77"/>
      <c r="AO31" s="77"/>
      <c r="AP31" s="77"/>
      <c r="AQ31" s="77"/>
      <c r="AR31" s="77"/>
      <c r="AS31" s="77"/>
      <c r="AT31" s="77"/>
      <c r="AU31" s="77"/>
      <c r="AV31" s="80" t="str">
        <f>HYPERLINK("https://pbs.twimg.com/profile_images/1618978012300562435/a2HHjZv4_normal.jpg")</f>
        <v>https://pbs.twimg.com/profile_images/1618978012300562435/a2HHjZv4_normal.jpg</v>
      </c>
      <c r="AW31" s="82" t="s">
        <v>16804</v>
      </c>
      <c r="AX31" s="82" t="s">
        <v>16804</v>
      </c>
      <c r="AY31" s="77"/>
      <c r="AZ31" s="82" t="s">
        <v>20971</v>
      </c>
      <c r="BA31" s="82" t="s">
        <v>20971</v>
      </c>
      <c r="BB31" s="82" t="s">
        <v>20971</v>
      </c>
      <c r="BC31" s="82" t="s">
        <v>16804</v>
      </c>
      <c r="BD31" s="82" t="s">
        <v>21026</v>
      </c>
      <c r="BE31" s="77"/>
      <c r="BF31" s="77"/>
      <c r="BG31" s="77"/>
      <c r="BH31" s="77"/>
      <c r="BI31" s="77"/>
    </row>
    <row r="32" spans="1:61" x14ac:dyDescent="0.25">
      <c r="A32" s="62" t="s">
        <v>244</v>
      </c>
      <c r="B32" s="62" t="s">
        <v>244</v>
      </c>
      <c r="C32" s="63"/>
      <c r="D32" s="64"/>
      <c r="E32" s="65"/>
      <c r="F32" s="66"/>
      <c r="G32" s="63"/>
      <c r="H32" s="67"/>
      <c r="I32" s="68"/>
      <c r="J32" s="68"/>
      <c r="K32" s="32"/>
      <c r="L32" s="75">
        <v>32</v>
      </c>
      <c r="M32" s="75"/>
      <c r="N32" s="70"/>
      <c r="O32" s="77" t="s">
        <v>179</v>
      </c>
      <c r="P32" s="79">
        <v>45113.555879629632</v>
      </c>
      <c r="Q32" s="77" t="s">
        <v>1317</v>
      </c>
      <c r="R32" s="77">
        <v>0</v>
      </c>
      <c r="S32" s="77">
        <v>0</v>
      </c>
      <c r="T32" s="77">
        <v>0</v>
      </c>
      <c r="U32" s="77">
        <v>0</v>
      </c>
      <c r="V32" s="77">
        <v>26</v>
      </c>
      <c r="W32" s="82" t="s">
        <v>5255</v>
      </c>
      <c r="X32" s="80" t="str">
        <f>HYPERLINK("https://leilaodescomplicado.com/category/agenda-de-leiloes/")</f>
        <v>https://leilaodescomplicado.com/category/agenda-de-leiloes/</v>
      </c>
      <c r="Y32" s="77" t="s">
        <v>7254</v>
      </c>
      <c r="Z32" s="77"/>
      <c r="AA32" s="77" t="s">
        <v>7524</v>
      </c>
      <c r="AB32" s="77" t="s">
        <v>10130</v>
      </c>
      <c r="AC32" s="82" t="s">
        <v>10144</v>
      </c>
      <c r="AD32" s="77" t="s">
        <v>10184</v>
      </c>
      <c r="AE32" s="80" t="str">
        <f>HYPERLINK("https://twitter.com/leilaodescompli/status/1676944202070884352")</f>
        <v>https://twitter.com/leilaodescompli/status/1676944202070884352</v>
      </c>
      <c r="AF32" s="79">
        <v>45113.555879629632</v>
      </c>
      <c r="AG32" s="85">
        <v>45113</v>
      </c>
      <c r="AH32" s="82" t="s">
        <v>10228</v>
      </c>
      <c r="AI32" s="77" t="b">
        <v>0</v>
      </c>
      <c r="AJ32" s="77" t="s">
        <v>13996</v>
      </c>
      <c r="AK32" s="77" t="s">
        <v>14033</v>
      </c>
      <c r="AL32" s="77" t="s">
        <v>14035</v>
      </c>
      <c r="AM32" s="77" t="s">
        <v>14038</v>
      </c>
      <c r="AN32" s="77" t="s">
        <v>14075</v>
      </c>
      <c r="AO32" s="77" t="s">
        <v>14113</v>
      </c>
      <c r="AP32" s="77" t="s">
        <v>14149</v>
      </c>
      <c r="AQ32" s="77" t="s">
        <v>14168</v>
      </c>
      <c r="AR32" s="77"/>
      <c r="AS32" s="77"/>
      <c r="AT32" s="77"/>
      <c r="AU32" s="77"/>
      <c r="AV32" s="80" t="str">
        <f>HYPERLINK("https://pbs.twimg.com/media/F0Wz3S7WYAEMjKJ.jpg")</f>
        <v>https://pbs.twimg.com/media/F0Wz3S7WYAEMjKJ.jpg</v>
      </c>
      <c r="AW32" s="82" t="s">
        <v>16805</v>
      </c>
      <c r="AX32" s="82" t="s">
        <v>16805</v>
      </c>
      <c r="AY32" s="77"/>
      <c r="AZ32" s="82" t="s">
        <v>20971</v>
      </c>
      <c r="BA32" s="82" t="s">
        <v>20971</v>
      </c>
      <c r="BB32" s="82" t="s">
        <v>20971</v>
      </c>
      <c r="BC32" s="82" t="s">
        <v>16805</v>
      </c>
      <c r="BD32" s="82" t="s">
        <v>21027</v>
      </c>
      <c r="BE32" s="77"/>
      <c r="BF32" s="77"/>
      <c r="BG32" s="77"/>
      <c r="BH32" s="77"/>
      <c r="BI32" s="77"/>
    </row>
    <row r="33" spans="1:61" x14ac:dyDescent="0.25">
      <c r="A33" s="62" t="s">
        <v>244</v>
      </c>
      <c r="B33" s="62" t="s">
        <v>244</v>
      </c>
      <c r="C33" s="63"/>
      <c r="D33" s="64"/>
      <c r="E33" s="65"/>
      <c r="F33" s="66"/>
      <c r="G33" s="63"/>
      <c r="H33" s="67"/>
      <c r="I33" s="68"/>
      <c r="J33" s="68"/>
      <c r="K33" s="32"/>
      <c r="L33" s="75">
        <v>33</v>
      </c>
      <c r="M33" s="75"/>
      <c r="N33" s="70"/>
      <c r="O33" s="77" t="s">
        <v>179</v>
      </c>
      <c r="P33" s="79">
        <v>45123.865243055552</v>
      </c>
      <c r="Q33" s="77" t="s">
        <v>1318</v>
      </c>
      <c r="R33" s="77">
        <v>0</v>
      </c>
      <c r="S33" s="77">
        <v>0</v>
      </c>
      <c r="T33" s="77">
        <v>0</v>
      </c>
      <c r="U33" s="77">
        <v>0</v>
      </c>
      <c r="V33" s="77">
        <v>28</v>
      </c>
      <c r="W33" s="82" t="s">
        <v>5256</v>
      </c>
      <c r="X33" s="80" t="str">
        <f>HYPERLINK("https://leilaodescomplicado.com/category/agenda-de-leiloes/")</f>
        <v>https://leilaodescomplicado.com/category/agenda-de-leiloes/</v>
      </c>
      <c r="Y33" s="77" t="s">
        <v>7254</v>
      </c>
      <c r="Z33" s="77"/>
      <c r="AA33" s="77" t="s">
        <v>7525</v>
      </c>
      <c r="AB33" s="77" t="s">
        <v>10130</v>
      </c>
      <c r="AC33" s="82" t="s">
        <v>10144</v>
      </c>
      <c r="AD33" s="77" t="s">
        <v>10184</v>
      </c>
      <c r="AE33" s="80" t="str">
        <f>HYPERLINK("https://twitter.com/leilaodescompli/status/1680680189993336833")</f>
        <v>https://twitter.com/leilaodescompli/status/1680680189993336833</v>
      </c>
      <c r="AF33" s="79">
        <v>45123.865243055552</v>
      </c>
      <c r="AG33" s="85">
        <v>45123</v>
      </c>
      <c r="AH33" s="82" t="s">
        <v>10229</v>
      </c>
      <c r="AI33" s="77" t="b">
        <v>0</v>
      </c>
      <c r="AJ33" s="77" t="s">
        <v>13997</v>
      </c>
      <c r="AK33" s="77" t="s">
        <v>14033</v>
      </c>
      <c r="AL33" s="77" t="s">
        <v>14035</v>
      </c>
      <c r="AM33" s="77" t="s">
        <v>14039</v>
      </c>
      <c r="AN33" s="77" t="s">
        <v>14076</v>
      </c>
      <c r="AO33" s="77" t="s">
        <v>14114</v>
      </c>
      <c r="AP33" s="77" t="s">
        <v>14149</v>
      </c>
      <c r="AQ33" s="77" t="s">
        <v>14169</v>
      </c>
      <c r="AR33" s="77"/>
      <c r="AS33" s="77"/>
      <c r="AT33" s="77"/>
      <c r="AU33" s="77"/>
      <c r="AV33" s="80" t="str">
        <f>HYPERLINK("https://pbs.twimg.com/media/F1L5uMiXwAA7b6n.jpg")</f>
        <v>https://pbs.twimg.com/media/F1L5uMiXwAA7b6n.jpg</v>
      </c>
      <c r="AW33" s="82" t="s">
        <v>16806</v>
      </c>
      <c r="AX33" s="82" t="s">
        <v>16806</v>
      </c>
      <c r="AY33" s="77"/>
      <c r="AZ33" s="82" t="s">
        <v>20971</v>
      </c>
      <c r="BA33" s="82" t="s">
        <v>20971</v>
      </c>
      <c r="BB33" s="82" t="s">
        <v>20971</v>
      </c>
      <c r="BC33" s="82" t="s">
        <v>16806</v>
      </c>
      <c r="BD33" s="82" t="s">
        <v>21027</v>
      </c>
      <c r="BE33" s="77"/>
      <c r="BF33" s="77"/>
      <c r="BG33" s="77"/>
      <c r="BH33" s="77"/>
      <c r="BI33" s="77"/>
    </row>
    <row r="34" spans="1:61" x14ac:dyDescent="0.25">
      <c r="A34" s="62" t="s">
        <v>244</v>
      </c>
      <c r="B34" s="62" t="s">
        <v>244</v>
      </c>
      <c r="C34" s="63"/>
      <c r="D34" s="64"/>
      <c r="E34" s="65"/>
      <c r="F34" s="66"/>
      <c r="G34" s="63"/>
      <c r="H34" s="67"/>
      <c r="I34" s="68"/>
      <c r="J34" s="68"/>
      <c r="K34" s="32"/>
      <c r="L34" s="75">
        <v>34</v>
      </c>
      <c r="M34" s="75"/>
      <c r="N34" s="70"/>
      <c r="O34" s="77" t="s">
        <v>179</v>
      </c>
      <c r="P34" s="79">
        <v>45107.658993055556</v>
      </c>
      <c r="Q34" s="77" t="s">
        <v>1319</v>
      </c>
      <c r="R34" s="77">
        <v>0</v>
      </c>
      <c r="S34" s="77">
        <v>1</v>
      </c>
      <c r="T34" s="77">
        <v>0</v>
      </c>
      <c r="U34" s="77">
        <v>0</v>
      </c>
      <c r="V34" s="77">
        <v>317</v>
      </c>
      <c r="W34" s="82" t="s">
        <v>5257</v>
      </c>
      <c r="X34" s="80" t="str">
        <f>HYPERLINK("https://leilaodescomplicado.com/category/agenda-de-leiloes/")</f>
        <v>https://leilaodescomplicado.com/category/agenda-de-leiloes/</v>
      </c>
      <c r="Y34" s="77" t="s">
        <v>7254</v>
      </c>
      <c r="Z34" s="77"/>
      <c r="AA34" s="77" t="s">
        <v>7526</v>
      </c>
      <c r="AB34" s="77" t="s">
        <v>10130</v>
      </c>
      <c r="AC34" s="82" t="s">
        <v>10144</v>
      </c>
      <c r="AD34" s="77" t="s">
        <v>10184</v>
      </c>
      <c r="AE34" s="80" t="str">
        <f>HYPERLINK("https://twitter.com/leilaodescompli/status/1674807241134821376")</f>
        <v>https://twitter.com/leilaodescompli/status/1674807241134821376</v>
      </c>
      <c r="AF34" s="79">
        <v>45107.658993055556</v>
      </c>
      <c r="AG34" s="85">
        <v>45107</v>
      </c>
      <c r="AH34" s="82" t="s">
        <v>10230</v>
      </c>
      <c r="AI34" s="77" t="b">
        <v>0</v>
      </c>
      <c r="AJ34" s="77" t="s">
        <v>13996</v>
      </c>
      <c r="AK34" s="77" t="s">
        <v>14033</v>
      </c>
      <c r="AL34" s="77" t="s">
        <v>14035</v>
      </c>
      <c r="AM34" s="77" t="s">
        <v>14038</v>
      </c>
      <c r="AN34" s="77" t="s">
        <v>14075</v>
      </c>
      <c r="AO34" s="77" t="s">
        <v>14113</v>
      </c>
      <c r="AP34" s="77" t="s">
        <v>14149</v>
      </c>
      <c r="AQ34" s="77" t="s">
        <v>14170</v>
      </c>
      <c r="AR34" s="77"/>
      <c r="AS34" s="77"/>
      <c r="AT34" s="77"/>
      <c r="AU34" s="77"/>
      <c r="AV34" s="80" t="str">
        <f>HYPERLINK("https://pbs.twimg.com/media/Fz4cTy-WAAAyoS1.jpg")</f>
        <v>https://pbs.twimg.com/media/Fz4cTy-WAAAyoS1.jpg</v>
      </c>
      <c r="AW34" s="82" t="s">
        <v>16807</v>
      </c>
      <c r="AX34" s="82" t="s">
        <v>16807</v>
      </c>
      <c r="AY34" s="77"/>
      <c r="AZ34" s="82" t="s">
        <v>20971</v>
      </c>
      <c r="BA34" s="82" t="s">
        <v>20971</v>
      </c>
      <c r="BB34" s="82" t="s">
        <v>20971</v>
      </c>
      <c r="BC34" s="82" t="s">
        <v>16807</v>
      </c>
      <c r="BD34" s="82" t="s">
        <v>21027</v>
      </c>
      <c r="BE34" s="77"/>
      <c r="BF34" s="77"/>
      <c r="BG34" s="77"/>
      <c r="BH34" s="77"/>
      <c r="BI34" s="77"/>
    </row>
    <row r="35" spans="1:61" x14ac:dyDescent="0.25">
      <c r="A35" s="62" t="s">
        <v>244</v>
      </c>
      <c r="B35" s="62" t="s">
        <v>244</v>
      </c>
      <c r="C35" s="63"/>
      <c r="D35" s="64"/>
      <c r="E35" s="65"/>
      <c r="F35" s="66"/>
      <c r="G35" s="63"/>
      <c r="H35" s="67"/>
      <c r="I35" s="68"/>
      <c r="J35" s="68"/>
      <c r="K35" s="32"/>
      <c r="L35" s="75">
        <v>35</v>
      </c>
      <c r="M35" s="75"/>
      <c r="N35" s="70"/>
      <c r="O35" s="77" t="s">
        <v>179</v>
      </c>
      <c r="P35" s="79">
        <v>45100.572013888886</v>
      </c>
      <c r="Q35" s="77" t="s">
        <v>1320</v>
      </c>
      <c r="R35" s="77">
        <v>0</v>
      </c>
      <c r="S35" s="77">
        <v>0</v>
      </c>
      <c r="T35" s="77">
        <v>0</v>
      </c>
      <c r="U35" s="77">
        <v>0</v>
      </c>
      <c r="V35" s="77">
        <v>18</v>
      </c>
      <c r="W35" s="82" t="s">
        <v>5258</v>
      </c>
      <c r="X35" s="80" t="str">
        <f>HYPERLINK("https://leilaodescomplicado.com/category/agenda-de-leiloes/")</f>
        <v>https://leilaodescomplicado.com/category/agenda-de-leiloes/</v>
      </c>
      <c r="Y35" s="77" t="s">
        <v>7254</v>
      </c>
      <c r="Z35" s="77"/>
      <c r="AA35" s="77" t="s">
        <v>7527</v>
      </c>
      <c r="AB35" s="77" t="s">
        <v>10130</v>
      </c>
      <c r="AC35" s="82" t="s">
        <v>10144</v>
      </c>
      <c r="AD35" s="77" t="s">
        <v>10184</v>
      </c>
      <c r="AE35" s="80" t="str">
        <f>HYPERLINK("https://twitter.com/leilaodescompli/status/1672239006875103233")</f>
        <v>https://twitter.com/leilaodescompli/status/1672239006875103233</v>
      </c>
      <c r="AF35" s="79">
        <v>45100.572013888886</v>
      </c>
      <c r="AG35" s="85">
        <v>45100</v>
      </c>
      <c r="AH35" s="82" t="s">
        <v>10231</v>
      </c>
      <c r="AI35" s="77" t="b">
        <v>0</v>
      </c>
      <c r="AJ35" s="77" t="s">
        <v>13996</v>
      </c>
      <c r="AK35" s="77" t="s">
        <v>14033</v>
      </c>
      <c r="AL35" s="77" t="s">
        <v>14035</v>
      </c>
      <c r="AM35" s="77" t="s">
        <v>14038</v>
      </c>
      <c r="AN35" s="77" t="s">
        <v>14075</v>
      </c>
      <c r="AO35" s="77" t="s">
        <v>14113</v>
      </c>
      <c r="AP35" s="77" t="s">
        <v>14149</v>
      </c>
      <c r="AQ35" s="77" t="s">
        <v>14171</v>
      </c>
      <c r="AR35" s="77"/>
      <c r="AS35" s="77"/>
      <c r="AT35" s="77"/>
      <c r="AU35" s="77"/>
      <c r="AV35" s="80" t="str">
        <f>HYPERLINK("https://pbs.twimg.com/media/FzT8gx8X0AAmXA9.jpg")</f>
        <v>https://pbs.twimg.com/media/FzT8gx8X0AAmXA9.jpg</v>
      </c>
      <c r="AW35" s="82" t="s">
        <v>16808</v>
      </c>
      <c r="AX35" s="82" t="s">
        <v>16808</v>
      </c>
      <c r="AY35" s="77"/>
      <c r="AZ35" s="82" t="s">
        <v>20971</v>
      </c>
      <c r="BA35" s="82" t="s">
        <v>20971</v>
      </c>
      <c r="BB35" s="82" t="s">
        <v>20971</v>
      </c>
      <c r="BC35" s="82" t="s">
        <v>16808</v>
      </c>
      <c r="BD35" s="82" t="s">
        <v>21027</v>
      </c>
      <c r="BE35" s="77"/>
      <c r="BF35" s="77"/>
      <c r="BG35" s="77"/>
      <c r="BH35" s="77"/>
      <c r="BI35" s="77"/>
    </row>
    <row r="36" spans="1:61" x14ac:dyDescent="0.25">
      <c r="A36" s="62" t="s">
        <v>244</v>
      </c>
      <c r="B36" s="62" t="s">
        <v>244</v>
      </c>
      <c r="C36" s="63"/>
      <c r="D36" s="64"/>
      <c r="E36" s="65"/>
      <c r="F36" s="66"/>
      <c r="G36" s="63"/>
      <c r="H36" s="67"/>
      <c r="I36" s="68"/>
      <c r="J36" s="68"/>
      <c r="K36" s="32"/>
      <c r="L36" s="75">
        <v>36</v>
      </c>
      <c r="M36" s="75"/>
      <c r="N36" s="70"/>
      <c r="O36" s="77" t="s">
        <v>179</v>
      </c>
      <c r="P36" s="79">
        <v>45099.386701388888</v>
      </c>
      <c r="Q36" s="77" t="s">
        <v>1321</v>
      </c>
      <c r="R36" s="77">
        <v>0</v>
      </c>
      <c r="S36" s="77">
        <v>1</v>
      </c>
      <c r="T36" s="77">
        <v>0</v>
      </c>
      <c r="U36" s="77">
        <v>0</v>
      </c>
      <c r="V36" s="77">
        <v>54</v>
      </c>
      <c r="W36" s="82" t="s">
        <v>5259</v>
      </c>
      <c r="X36" s="77"/>
      <c r="Y36" s="77"/>
      <c r="Z36" s="77"/>
      <c r="AA36" s="77" t="s">
        <v>7528</v>
      </c>
      <c r="AB36" s="77" t="s">
        <v>10129</v>
      </c>
      <c r="AC36" s="82" t="s">
        <v>10144</v>
      </c>
      <c r="AD36" s="77" t="s">
        <v>10184</v>
      </c>
      <c r="AE36" s="80" t="str">
        <f>HYPERLINK("https://twitter.com/leilaodescompli/status/1671809462162661376")</f>
        <v>https://twitter.com/leilaodescompli/status/1671809462162661376</v>
      </c>
      <c r="AF36" s="79">
        <v>45099.386701388888</v>
      </c>
      <c r="AG36" s="85">
        <v>45099</v>
      </c>
      <c r="AH36" s="82" t="s">
        <v>10232</v>
      </c>
      <c r="AI36" s="77" t="b">
        <v>0</v>
      </c>
      <c r="AJ36" s="77" t="s">
        <v>13998</v>
      </c>
      <c r="AK36" s="77" t="s">
        <v>14033</v>
      </c>
      <c r="AL36" s="77" t="s">
        <v>14035</v>
      </c>
      <c r="AM36" s="77" t="s">
        <v>14040</v>
      </c>
      <c r="AN36" s="77" t="s">
        <v>14077</v>
      </c>
      <c r="AO36" s="77" t="s">
        <v>14115</v>
      </c>
      <c r="AP36" s="77" t="s">
        <v>14149</v>
      </c>
      <c r="AQ36" s="77" t="s">
        <v>14172</v>
      </c>
      <c r="AR36" s="77">
        <v>78805</v>
      </c>
      <c r="AS36" s="77"/>
      <c r="AT36" s="77"/>
      <c r="AU36" s="77"/>
      <c r="AV36" s="80" t="str">
        <f>HYPERLINK("https://pbs.twimg.com/ext_tw_video_thumb/1671809347079352320/pu/img/kQfJyiAxFoIcJkNt.jpg")</f>
        <v>https://pbs.twimg.com/ext_tw_video_thumb/1671809347079352320/pu/img/kQfJyiAxFoIcJkNt.jpg</v>
      </c>
      <c r="AW36" s="82" t="s">
        <v>16809</v>
      </c>
      <c r="AX36" s="82" t="s">
        <v>16809</v>
      </c>
      <c r="AY36" s="77"/>
      <c r="AZ36" s="82" t="s">
        <v>20971</v>
      </c>
      <c r="BA36" s="82" t="s">
        <v>20971</v>
      </c>
      <c r="BB36" s="82" t="s">
        <v>20971</v>
      </c>
      <c r="BC36" s="82" t="s">
        <v>16809</v>
      </c>
      <c r="BD36" s="82" t="s">
        <v>21027</v>
      </c>
      <c r="BE36" s="77"/>
      <c r="BF36" s="77"/>
      <c r="BG36" s="77"/>
      <c r="BH36" s="77"/>
      <c r="BI36" s="77"/>
    </row>
    <row r="37" spans="1:61" x14ac:dyDescent="0.25">
      <c r="A37" s="62" t="s">
        <v>244</v>
      </c>
      <c r="B37" s="62" t="s">
        <v>244</v>
      </c>
      <c r="C37" s="63"/>
      <c r="D37" s="64"/>
      <c r="E37" s="65"/>
      <c r="F37" s="66"/>
      <c r="G37" s="63"/>
      <c r="H37" s="67"/>
      <c r="I37" s="68"/>
      <c r="J37" s="68"/>
      <c r="K37" s="32"/>
      <c r="L37" s="75">
        <v>37</v>
      </c>
      <c r="M37" s="75"/>
      <c r="N37" s="70"/>
      <c r="O37" s="77" t="s">
        <v>179</v>
      </c>
      <c r="P37" s="79">
        <v>45137.437280092592</v>
      </c>
      <c r="Q37" s="77" t="s">
        <v>1322</v>
      </c>
      <c r="R37" s="77">
        <v>0</v>
      </c>
      <c r="S37" s="77">
        <v>0</v>
      </c>
      <c r="T37" s="77">
        <v>0</v>
      </c>
      <c r="U37" s="77">
        <v>0</v>
      </c>
      <c r="V37" s="77">
        <v>54</v>
      </c>
      <c r="W37" s="82" t="s">
        <v>5260</v>
      </c>
      <c r="X37" s="80" t="str">
        <f>HYPERLINK("https://leilaodescomplicado.com/category/agenda-de-leiloes/")</f>
        <v>https://leilaodescomplicado.com/category/agenda-de-leiloes/</v>
      </c>
      <c r="Y37" s="77" t="s">
        <v>7254</v>
      </c>
      <c r="Z37" s="77"/>
      <c r="AA37" s="77" t="s">
        <v>7529</v>
      </c>
      <c r="AB37" s="77" t="s">
        <v>10130</v>
      </c>
      <c r="AC37" s="82" t="s">
        <v>10144</v>
      </c>
      <c r="AD37" s="77" t="s">
        <v>10184</v>
      </c>
      <c r="AE37" s="80" t="str">
        <f>HYPERLINK("https://twitter.com/leilaodescompli/status/1685598531103379456")</f>
        <v>https://twitter.com/leilaodescompli/status/1685598531103379456</v>
      </c>
      <c r="AF37" s="79">
        <v>45137.437280092592</v>
      </c>
      <c r="AG37" s="85">
        <v>45137</v>
      </c>
      <c r="AH37" s="82" t="s">
        <v>10233</v>
      </c>
      <c r="AI37" s="77" t="b">
        <v>0</v>
      </c>
      <c r="AJ37" s="77"/>
      <c r="AK37" s="77"/>
      <c r="AL37" s="77"/>
      <c r="AM37" s="77"/>
      <c r="AN37" s="77"/>
      <c r="AO37" s="77"/>
      <c r="AP37" s="77"/>
      <c r="AQ37" s="77" t="s">
        <v>14173</v>
      </c>
      <c r="AR37" s="77"/>
      <c r="AS37" s="77"/>
      <c r="AT37" s="77"/>
      <c r="AU37" s="77"/>
      <c r="AV37" s="80" t="str">
        <f>HYPERLINK("https://pbs.twimg.com/media/F2Ry7Z7WoAAf3CK.jpg")</f>
        <v>https://pbs.twimg.com/media/F2Ry7Z7WoAAf3CK.jpg</v>
      </c>
      <c r="AW37" s="82" t="s">
        <v>16810</v>
      </c>
      <c r="AX37" s="82" t="s">
        <v>16810</v>
      </c>
      <c r="AY37" s="77"/>
      <c r="AZ37" s="82" t="s">
        <v>20971</v>
      </c>
      <c r="BA37" s="82" t="s">
        <v>20971</v>
      </c>
      <c r="BB37" s="82" t="s">
        <v>20971</v>
      </c>
      <c r="BC37" s="82" t="s">
        <v>16810</v>
      </c>
      <c r="BD37" s="82" t="s">
        <v>21027</v>
      </c>
      <c r="BE37" s="77"/>
      <c r="BF37" s="77"/>
      <c r="BG37" s="77"/>
      <c r="BH37" s="77"/>
      <c r="BI37" s="77"/>
    </row>
    <row r="38" spans="1:61" x14ac:dyDescent="0.25">
      <c r="A38" s="62" t="s">
        <v>244</v>
      </c>
      <c r="B38" s="62" t="s">
        <v>244</v>
      </c>
      <c r="C38" s="63"/>
      <c r="D38" s="64"/>
      <c r="E38" s="65"/>
      <c r="F38" s="66"/>
      <c r="G38" s="63"/>
      <c r="H38" s="67"/>
      <c r="I38" s="68"/>
      <c r="J38" s="68"/>
      <c r="K38" s="32"/>
      <c r="L38" s="75">
        <v>38</v>
      </c>
      <c r="M38" s="75"/>
      <c r="N38" s="70"/>
      <c r="O38" s="77" t="s">
        <v>179</v>
      </c>
      <c r="P38" s="79">
        <v>45135.859502314815</v>
      </c>
      <c r="Q38" s="77" t="s">
        <v>1323</v>
      </c>
      <c r="R38" s="77">
        <v>0</v>
      </c>
      <c r="S38" s="77">
        <v>0</v>
      </c>
      <c r="T38" s="77">
        <v>0</v>
      </c>
      <c r="U38" s="77">
        <v>0</v>
      </c>
      <c r="V38" s="77">
        <v>70</v>
      </c>
      <c r="W38" s="82" t="s">
        <v>5261</v>
      </c>
      <c r="X38" s="80" t="str">
        <f>HYPERLINK("https://leilaodescomplicado.com/category/agenda-de-leiloes/")</f>
        <v>https://leilaodescomplicado.com/category/agenda-de-leiloes/</v>
      </c>
      <c r="Y38" s="77" t="s">
        <v>7254</v>
      </c>
      <c r="Z38" s="77"/>
      <c r="AA38" s="77" t="s">
        <v>7530</v>
      </c>
      <c r="AB38" s="77" t="s">
        <v>10130</v>
      </c>
      <c r="AC38" s="82" t="s">
        <v>10144</v>
      </c>
      <c r="AD38" s="77" t="s">
        <v>10184</v>
      </c>
      <c r="AE38" s="80" t="str">
        <f>HYPERLINK("https://twitter.com/leilaodescompli/status/1685026762718138368")</f>
        <v>https://twitter.com/leilaodescompli/status/1685026762718138368</v>
      </c>
      <c r="AF38" s="79">
        <v>45135.859502314815</v>
      </c>
      <c r="AG38" s="85">
        <v>45135</v>
      </c>
      <c r="AH38" s="82" t="s">
        <v>10234</v>
      </c>
      <c r="AI38" s="77" t="b">
        <v>0</v>
      </c>
      <c r="AJ38" s="77" t="s">
        <v>13997</v>
      </c>
      <c r="AK38" s="77" t="s">
        <v>14033</v>
      </c>
      <c r="AL38" s="77" t="s">
        <v>14035</v>
      </c>
      <c r="AM38" s="77" t="s">
        <v>14039</v>
      </c>
      <c r="AN38" s="77" t="s">
        <v>14076</v>
      </c>
      <c r="AO38" s="77" t="s">
        <v>14114</v>
      </c>
      <c r="AP38" s="77" t="s">
        <v>14149</v>
      </c>
      <c r="AQ38" s="77" t="s">
        <v>14174</v>
      </c>
      <c r="AR38" s="77"/>
      <c r="AS38" s="77"/>
      <c r="AT38" s="77"/>
      <c r="AU38" s="77"/>
      <c r="AV38" s="80" t="str">
        <f>HYPERLINK("https://pbs.twimg.com/media/F2Jq6CIW8AErywy.jpg")</f>
        <v>https://pbs.twimg.com/media/F2Jq6CIW8AErywy.jpg</v>
      </c>
      <c r="AW38" s="82" t="s">
        <v>16811</v>
      </c>
      <c r="AX38" s="82" t="s">
        <v>16811</v>
      </c>
      <c r="AY38" s="77"/>
      <c r="AZ38" s="82" t="s">
        <v>20971</v>
      </c>
      <c r="BA38" s="82" t="s">
        <v>20971</v>
      </c>
      <c r="BB38" s="82" t="s">
        <v>20971</v>
      </c>
      <c r="BC38" s="82" t="s">
        <v>16811</v>
      </c>
      <c r="BD38" s="82" t="s">
        <v>21027</v>
      </c>
      <c r="BE38" s="77"/>
      <c r="BF38" s="77"/>
      <c r="BG38" s="77"/>
      <c r="BH38" s="77"/>
      <c r="BI38" s="77"/>
    </row>
    <row r="39" spans="1:61" x14ac:dyDescent="0.25">
      <c r="A39" s="62" t="s">
        <v>244</v>
      </c>
      <c r="B39" s="62" t="s">
        <v>244</v>
      </c>
      <c r="C39" s="63"/>
      <c r="D39" s="64"/>
      <c r="E39" s="65"/>
      <c r="F39" s="66"/>
      <c r="G39" s="63"/>
      <c r="H39" s="67"/>
      <c r="I39" s="68"/>
      <c r="J39" s="68"/>
      <c r="K39" s="32"/>
      <c r="L39" s="75">
        <v>39</v>
      </c>
      <c r="M39" s="75"/>
      <c r="N39" s="70"/>
      <c r="O39" s="77" t="s">
        <v>179</v>
      </c>
      <c r="P39" s="79">
        <v>45141.43377314815</v>
      </c>
      <c r="Q39" s="77" t="s">
        <v>1324</v>
      </c>
      <c r="R39" s="77">
        <v>0</v>
      </c>
      <c r="S39" s="77">
        <v>0</v>
      </c>
      <c r="T39" s="77">
        <v>0</v>
      </c>
      <c r="U39" s="77">
        <v>0</v>
      </c>
      <c r="V39" s="77">
        <v>72</v>
      </c>
      <c r="W39" s="82" t="s">
        <v>5262</v>
      </c>
      <c r="X39" s="80" t="str">
        <f>HYPERLINK("https://leilaodescomplicado.com/")</f>
        <v>https://leilaodescomplicado.com/</v>
      </c>
      <c r="Y39" s="77" t="s">
        <v>7254</v>
      </c>
      <c r="Z39" s="77"/>
      <c r="AA39" s="77" t="s">
        <v>7531</v>
      </c>
      <c r="AB39" s="77" t="s">
        <v>10130</v>
      </c>
      <c r="AC39" s="82" t="s">
        <v>10144</v>
      </c>
      <c r="AD39" s="77" t="s">
        <v>10184</v>
      </c>
      <c r="AE39" s="80" t="str">
        <f>HYPERLINK("https://twitter.com/leilaodescompli/status/1687046813419769856")</f>
        <v>https://twitter.com/leilaodescompli/status/1687046813419769856</v>
      </c>
      <c r="AF39" s="79">
        <v>45141.43377314815</v>
      </c>
      <c r="AG39" s="85">
        <v>45141</v>
      </c>
      <c r="AH39" s="82" t="s">
        <v>10235</v>
      </c>
      <c r="AI39" s="77" t="b">
        <v>0</v>
      </c>
      <c r="AJ39" s="77" t="s">
        <v>13996</v>
      </c>
      <c r="AK39" s="77" t="s">
        <v>14033</v>
      </c>
      <c r="AL39" s="77" t="s">
        <v>14035</v>
      </c>
      <c r="AM39" s="77" t="s">
        <v>14038</v>
      </c>
      <c r="AN39" s="77" t="s">
        <v>14075</v>
      </c>
      <c r="AO39" s="77" t="s">
        <v>14113</v>
      </c>
      <c r="AP39" s="77" t="s">
        <v>14149</v>
      </c>
      <c r="AQ39" s="77" t="s">
        <v>14175</v>
      </c>
      <c r="AR39" s="77"/>
      <c r="AS39" s="77"/>
      <c r="AT39" s="77"/>
      <c r="AU39" s="77"/>
      <c r="AV39" s="80" t="str">
        <f>HYPERLINK("https://pbs.twimg.com/media/F2mYIsiWAAAkCGn.jpg")</f>
        <v>https://pbs.twimg.com/media/F2mYIsiWAAAkCGn.jpg</v>
      </c>
      <c r="AW39" s="82" t="s">
        <v>16812</v>
      </c>
      <c r="AX39" s="82" t="s">
        <v>16812</v>
      </c>
      <c r="AY39" s="77"/>
      <c r="AZ39" s="82" t="s">
        <v>20971</v>
      </c>
      <c r="BA39" s="82" t="s">
        <v>20971</v>
      </c>
      <c r="BB39" s="82" t="s">
        <v>20971</v>
      </c>
      <c r="BC39" s="82" t="s">
        <v>16812</v>
      </c>
      <c r="BD39" s="82" t="s">
        <v>21027</v>
      </c>
      <c r="BE39" s="77"/>
      <c r="BF39" s="77"/>
      <c r="BG39" s="77"/>
      <c r="BH39" s="77"/>
      <c r="BI39" s="77"/>
    </row>
    <row r="40" spans="1:61" x14ac:dyDescent="0.25">
      <c r="A40" s="62" t="s">
        <v>244</v>
      </c>
      <c r="B40" s="62" t="s">
        <v>244</v>
      </c>
      <c r="C40" s="63"/>
      <c r="D40" s="64"/>
      <c r="E40" s="65"/>
      <c r="F40" s="66"/>
      <c r="G40" s="63"/>
      <c r="H40" s="67"/>
      <c r="I40" s="68"/>
      <c r="J40" s="68"/>
      <c r="K40" s="32"/>
      <c r="L40" s="75">
        <v>40</v>
      </c>
      <c r="M40" s="75"/>
      <c r="N40" s="70"/>
      <c r="O40" s="77" t="s">
        <v>179</v>
      </c>
      <c r="P40" s="79">
        <v>45114.701990740738</v>
      </c>
      <c r="Q40" s="77" t="s">
        <v>1325</v>
      </c>
      <c r="R40" s="77">
        <v>0</v>
      </c>
      <c r="S40" s="77">
        <v>0</v>
      </c>
      <c r="T40" s="77">
        <v>0</v>
      </c>
      <c r="U40" s="77">
        <v>0</v>
      </c>
      <c r="V40" s="77">
        <v>11</v>
      </c>
      <c r="W40" s="82" t="s">
        <v>5263</v>
      </c>
      <c r="X40" s="80" t="str">
        <f>HYPERLINK("https://leilaodescomplicado.com/category/agenda-de-leiloes/")</f>
        <v>https://leilaodescomplicado.com/category/agenda-de-leiloes/</v>
      </c>
      <c r="Y40" s="77" t="s">
        <v>7254</v>
      </c>
      <c r="Z40" s="77"/>
      <c r="AA40" s="77" t="s">
        <v>7532</v>
      </c>
      <c r="AB40" s="77" t="s">
        <v>10130</v>
      </c>
      <c r="AC40" s="82" t="s">
        <v>10144</v>
      </c>
      <c r="AD40" s="77" t="s">
        <v>10184</v>
      </c>
      <c r="AE40" s="80" t="str">
        <f>HYPERLINK("https://twitter.com/leilaodescompli/status/1677359538113060873")</f>
        <v>https://twitter.com/leilaodescompli/status/1677359538113060873</v>
      </c>
      <c r="AF40" s="79">
        <v>45114.701990740738</v>
      </c>
      <c r="AG40" s="85">
        <v>45114</v>
      </c>
      <c r="AH40" s="82" t="s">
        <v>10236</v>
      </c>
      <c r="AI40" s="77" t="b">
        <v>0</v>
      </c>
      <c r="AJ40" s="77" t="s">
        <v>13996</v>
      </c>
      <c r="AK40" s="77" t="s">
        <v>14033</v>
      </c>
      <c r="AL40" s="77" t="s">
        <v>14035</v>
      </c>
      <c r="AM40" s="77" t="s">
        <v>14038</v>
      </c>
      <c r="AN40" s="77" t="s">
        <v>14075</v>
      </c>
      <c r="AO40" s="77" t="s">
        <v>14113</v>
      </c>
      <c r="AP40" s="77" t="s">
        <v>14149</v>
      </c>
      <c r="AQ40" s="77" t="s">
        <v>14176</v>
      </c>
      <c r="AR40" s="77"/>
      <c r="AS40" s="77"/>
      <c r="AT40" s="77"/>
      <c r="AU40" s="77"/>
      <c r="AV40" s="80" t="str">
        <f>HYPERLINK("https://pbs.twimg.com/media/F0ctmdZXoBABbGe.jpg")</f>
        <v>https://pbs.twimg.com/media/F0ctmdZXoBABbGe.jpg</v>
      </c>
      <c r="AW40" s="82" t="s">
        <v>16813</v>
      </c>
      <c r="AX40" s="82" t="s">
        <v>16813</v>
      </c>
      <c r="AY40" s="77"/>
      <c r="AZ40" s="82" t="s">
        <v>20971</v>
      </c>
      <c r="BA40" s="82" t="s">
        <v>20971</v>
      </c>
      <c r="BB40" s="82" t="s">
        <v>20971</v>
      </c>
      <c r="BC40" s="82" t="s">
        <v>16813</v>
      </c>
      <c r="BD40" s="82" t="s">
        <v>21027</v>
      </c>
      <c r="BE40" s="77"/>
      <c r="BF40" s="77"/>
      <c r="BG40" s="77"/>
      <c r="BH40" s="77"/>
      <c r="BI40" s="77"/>
    </row>
    <row r="41" spans="1:61" x14ac:dyDescent="0.25">
      <c r="A41" s="62" t="s">
        <v>244</v>
      </c>
      <c r="B41" s="62" t="s">
        <v>244</v>
      </c>
      <c r="C41" s="63"/>
      <c r="D41" s="64"/>
      <c r="E41" s="65"/>
      <c r="F41" s="66"/>
      <c r="G41" s="63"/>
      <c r="H41" s="67"/>
      <c r="I41" s="68"/>
      <c r="J41" s="68"/>
      <c r="K41" s="32"/>
      <c r="L41" s="75">
        <v>41</v>
      </c>
      <c r="M41" s="75"/>
      <c r="N41" s="70"/>
      <c r="O41" s="77" t="s">
        <v>179</v>
      </c>
      <c r="P41" s="79">
        <v>45147.904085648152</v>
      </c>
      <c r="Q41" s="77" t="s">
        <v>1326</v>
      </c>
      <c r="R41" s="77">
        <v>0</v>
      </c>
      <c r="S41" s="77">
        <v>0</v>
      </c>
      <c r="T41" s="77">
        <v>0</v>
      </c>
      <c r="U41" s="77">
        <v>0</v>
      </c>
      <c r="V41" s="77">
        <v>91</v>
      </c>
      <c r="W41" s="82" t="s">
        <v>5264</v>
      </c>
      <c r="X41" s="80" t="str">
        <f>HYPERLINK("https://leilaodescomplicado.com/category/agenda-de-leiloes/")</f>
        <v>https://leilaodescomplicado.com/category/agenda-de-leiloes/</v>
      </c>
      <c r="Y41" s="77" t="s">
        <v>7254</v>
      </c>
      <c r="Z41" s="77"/>
      <c r="AA41" s="77" t="s">
        <v>7533</v>
      </c>
      <c r="AB41" s="77" t="s">
        <v>10130</v>
      </c>
      <c r="AC41" s="82" t="s">
        <v>10144</v>
      </c>
      <c r="AD41" s="77" t="s">
        <v>10184</v>
      </c>
      <c r="AE41" s="80" t="str">
        <f>HYPERLINK("https://twitter.com/leilaodescompli/status/1689391575665680384")</f>
        <v>https://twitter.com/leilaodescompli/status/1689391575665680384</v>
      </c>
      <c r="AF41" s="79">
        <v>45147.904085648152</v>
      </c>
      <c r="AG41" s="85">
        <v>45147</v>
      </c>
      <c r="AH41" s="82" t="s">
        <v>10237</v>
      </c>
      <c r="AI41" s="77" t="b">
        <v>0</v>
      </c>
      <c r="AJ41" s="77"/>
      <c r="AK41" s="77"/>
      <c r="AL41" s="77"/>
      <c r="AM41" s="77"/>
      <c r="AN41" s="77"/>
      <c r="AO41" s="77"/>
      <c r="AP41" s="77"/>
      <c r="AQ41" s="77" t="s">
        <v>14177</v>
      </c>
      <c r="AR41" s="77"/>
      <c r="AS41" s="77"/>
      <c r="AT41" s="77"/>
      <c r="AU41" s="77"/>
      <c r="AV41" s="80" t="str">
        <f>HYPERLINK("https://pbs.twimg.com/media/F3Hsrz-WUAA9uzQ.jpg")</f>
        <v>https://pbs.twimg.com/media/F3Hsrz-WUAA9uzQ.jpg</v>
      </c>
      <c r="AW41" s="82" t="s">
        <v>16814</v>
      </c>
      <c r="AX41" s="82" t="s">
        <v>16814</v>
      </c>
      <c r="AY41" s="77"/>
      <c r="AZ41" s="82" t="s">
        <v>20971</v>
      </c>
      <c r="BA41" s="82" t="s">
        <v>20971</v>
      </c>
      <c r="BB41" s="82" t="s">
        <v>20971</v>
      </c>
      <c r="BC41" s="82" t="s">
        <v>16814</v>
      </c>
      <c r="BD41" s="82" t="s">
        <v>21027</v>
      </c>
      <c r="BE41" s="77"/>
      <c r="BF41" s="77"/>
      <c r="BG41" s="77"/>
      <c r="BH41" s="77"/>
      <c r="BI41" s="77"/>
    </row>
    <row r="42" spans="1:61" x14ac:dyDescent="0.25">
      <c r="A42" s="62" t="s">
        <v>244</v>
      </c>
      <c r="B42" s="62" t="s">
        <v>244</v>
      </c>
      <c r="C42" s="63"/>
      <c r="D42" s="64"/>
      <c r="E42" s="65"/>
      <c r="F42" s="66"/>
      <c r="G42" s="63"/>
      <c r="H42" s="67"/>
      <c r="I42" s="68"/>
      <c r="J42" s="68"/>
      <c r="K42" s="32"/>
      <c r="L42" s="75">
        <v>42</v>
      </c>
      <c r="M42" s="75"/>
      <c r="N42" s="70"/>
      <c r="O42" s="77" t="s">
        <v>179</v>
      </c>
      <c r="P42" s="79">
        <v>45133.764953703707</v>
      </c>
      <c r="Q42" s="77" t="s">
        <v>1327</v>
      </c>
      <c r="R42" s="77">
        <v>0</v>
      </c>
      <c r="S42" s="77">
        <v>1</v>
      </c>
      <c r="T42" s="77">
        <v>0</v>
      </c>
      <c r="U42" s="77">
        <v>0</v>
      </c>
      <c r="V42" s="77">
        <v>135</v>
      </c>
      <c r="W42" s="82" t="s">
        <v>5265</v>
      </c>
      <c r="X42" s="80" t="str">
        <f>HYPERLINK("https://leilaodescomplicado.com/category/agenda-de-leiloes/")</f>
        <v>https://leilaodescomplicado.com/category/agenda-de-leiloes/</v>
      </c>
      <c r="Y42" s="77" t="s">
        <v>7254</v>
      </c>
      <c r="Z42" s="77"/>
      <c r="AA42" s="77" t="s">
        <v>7534</v>
      </c>
      <c r="AB42" s="77" t="s">
        <v>10130</v>
      </c>
      <c r="AC42" s="82" t="s">
        <v>10144</v>
      </c>
      <c r="AD42" s="77" t="s">
        <v>10184</v>
      </c>
      <c r="AE42" s="80" t="str">
        <f>HYPERLINK("https://twitter.com/leilaodescompli/status/1684267725554606087")</f>
        <v>https://twitter.com/leilaodescompli/status/1684267725554606087</v>
      </c>
      <c r="AF42" s="79">
        <v>45133.764953703707</v>
      </c>
      <c r="AG42" s="85">
        <v>45133</v>
      </c>
      <c r="AH42" s="82" t="s">
        <v>10238</v>
      </c>
      <c r="AI42" s="77" t="b">
        <v>0</v>
      </c>
      <c r="AJ42" s="77" t="s">
        <v>13997</v>
      </c>
      <c r="AK42" s="77" t="s">
        <v>14033</v>
      </c>
      <c r="AL42" s="77" t="s">
        <v>14035</v>
      </c>
      <c r="AM42" s="77" t="s">
        <v>14039</v>
      </c>
      <c r="AN42" s="77" t="s">
        <v>14076</v>
      </c>
      <c r="AO42" s="77" t="s">
        <v>14114</v>
      </c>
      <c r="AP42" s="77" t="s">
        <v>14149</v>
      </c>
      <c r="AQ42" s="77" t="s">
        <v>14178</v>
      </c>
      <c r="AR42" s="77"/>
      <c r="AS42" s="77"/>
      <c r="AT42" s="77"/>
      <c r="AU42" s="77"/>
      <c r="AV42" s="80" t="str">
        <f>HYPERLINK("https://pbs.twimg.com/media/F1-4khSWYBMxYqS.jpg")</f>
        <v>https://pbs.twimg.com/media/F1-4khSWYBMxYqS.jpg</v>
      </c>
      <c r="AW42" s="82" t="s">
        <v>16815</v>
      </c>
      <c r="AX42" s="82" t="s">
        <v>16815</v>
      </c>
      <c r="AY42" s="77"/>
      <c r="AZ42" s="82" t="s">
        <v>20971</v>
      </c>
      <c r="BA42" s="82" t="s">
        <v>20971</v>
      </c>
      <c r="BB42" s="82" t="s">
        <v>20971</v>
      </c>
      <c r="BC42" s="82" t="s">
        <v>16815</v>
      </c>
      <c r="BD42" s="82" t="s">
        <v>21027</v>
      </c>
      <c r="BE42" s="77"/>
      <c r="BF42" s="77"/>
      <c r="BG42" s="77"/>
      <c r="BH42" s="77"/>
      <c r="BI42" s="77"/>
    </row>
    <row r="43" spans="1:61" x14ac:dyDescent="0.25">
      <c r="A43" s="62" t="s">
        <v>244</v>
      </c>
      <c r="B43" s="62" t="s">
        <v>244</v>
      </c>
      <c r="C43" s="63"/>
      <c r="D43" s="64"/>
      <c r="E43" s="65"/>
      <c r="F43" s="66"/>
      <c r="G43" s="63"/>
      <c r="H43" s="67"/>
      <c r="I43" s="68"/>
      <c r="J43" s="68"/>
      <c r="K43" s="32"/>
      <c r="L43" s="75">
        <v>43</v>
      </c>
      <c r="M43" s="75"/>
      <c r="N43" s="70"/>
      <c r="O43" s="77" t="s">
        <v>179</v>
      </c>
      <c r="P43" s="79">
        <v>45113.505659722221</v>
      </c>
      <c r="Q43" s="77" t="s">
        <v>1328</v>
      </c>
      <c r="R43" s="77">
        <v>0</v>
      </c>
      <c r="S43" s="77">
        <v>0</v>
      </c>
      <c r="T43" s="77">
        <v>0</v>
      </c>
      <c r="U43" s="77">
        <v>0</v>
      </c>
      <c r="V43" s="77">
        <v>42</v>
      </c>
      <c r="W43" s="82" t="s">
        <v>5266</v>
      </c>
      <c r="X43" s="77"/>
      <c r="Y43" s="77"/>
      <c r="Z43" s="77"/>
      <c r="AA43" s="77" t="s">
        <v>7535</v>
      </c>
      <c r="AB43" s="77" t="s">
        <v>10129</v>
      </c>
      <c r="AC43" s="82" t="s">
        <v>10144</v>
      </c>
      <c r="AD43" s="77" t="s">
        <v>10184</v>
      </c>
      <c r="AE43" s="80" t="str">
        <f>HYPERLINK("https://twitter.com/leilaodescompli/status/1676926001283047426")</f>
        <v>https://twitter.com/leilaodescompli/status/1676926001283047426</v>
      </c>
      <c r="AF43" s="79">
        <v>45113.505659722221</v>
      </c>
      <c r="AG43" s="85">
        <v>45113</v>
      </c>
      <c r="AH43" s="82" t="s">
        <v>10239</v>
      </c>
      <c r="AI43" s="77" t="b">
        <v>0</v>
      </c>
      <c r="AJ43" s="77" t="s">
        <v>13996</v>
      </c>
      <c r="AK43" s="77" t="s">
        <v>14033</v>
      </c>
      <c r="AL43" s="77" t="s">
        <v>14035</v>
      </c>
      <c r="AM43" s="77" t="s">
        <v>14038</v>
      </c>
      <c r="AN43" s="77" t="s">
        <v>14075</v>
      </c>
      <c r="AO43" s="77" t="s">
        <v>14113</v>
      </c>
      <c r="AP43" s="77" t="s">
        <v>14149</v>
      </c>
      <c r="AQ43" s="77" t="s">
        <v>14179</v>
      </c>
      <c r="AR43" s="77">
        <v>77433</v>
      </c>
      <c r="AS43" s="77"/>
      <c r="AT43" s="77"/>
      <c r="AU43" s="77"/>
      <c r="AV43" s="80" t="str">
        <f>HYPERLINK("https://pbs.twimg.com/ext_tw_video_thumb/1676925913680732161/pu/img/auHiGkOFKj5vWk50.jpg")</f>
        <v>https://pbs.twimg.com/ext_tw_video_thumb/1676925913680732161/pu/img/auHiGkOFKj5vWk50.jpg</v>
      </c>
      <c r="AW43" s="82" t="s">
        <v>16816</v>
      </c>
      <c r="AX43" s="82" t="s">
        <v>16816</v>
      </c>
      <c r="AY43" s="77"/>
      <c r="AZ43" s="82" t="s">
        <v>20971</v>
      </c>
      <c r="BA43" s="82" t="s">
        <v>20971</v>
      </c>
      <c r="BB43" s="82" t="s">
        <v>20971</v>
      </c>
      <c r="BC43" s="82" t="s">
        <v>16816</v>
      </c>
      <c r="BD43" s="82" t="s">
        <v>21027</v>
      </c>
      <c r="BE43" s="77"/>
      <c r="BF43" s="77"/>
      <c r="BG43" s="77"/>
      <c r="BH43" s="77"/>
      <c r="BI43" s="77"/>
    </row>
    <row r="44" spans="1:61" x14ac:dyDescent="0.25">
      <c r="A44" s="62" t="s">
        <v>244</v>
      </c>
      <c r="B44" s="62" t="s">
        <v>244</v>
      </c>
      <c r="C44" s="63"/>
      <c r="D44" s="64"/>
      <c r="E44" s="65"/>
      <c r="F44" s="66"/>
      <c r="G44" s="63"/>
      <c r="H44" s="67"/>
      <c r="I44" s="68"/>
      <c r="J44" s="68"/>
      <c r="K44" s="32"/>
      <c r="L44" s="75">
        <v>44</v>
      </c>
      <c r="M44" s="75"/>
      <c r="N44" s="70"/>
      <c r="O44" s="77" t="s">
        <v>179</v>
      </c>
      <c r="P44" s="79">
        <v>45164.755706018521</v>
      </c>
      <c r="Q44" s="77" t="s">
        <v>1329</v>
      </c>
      <c r="R44" s="77">
        <v>0</v>
      </c>
      <c r="S44" s="77">
        <v>0</v>
      </c>
      <c r="T44" s="77">
        <v>0</v>
      </c>
      <c r="U44" s="77">
        <v>0</v>
      </c>
      <c r="V44" s="77">
        <v>221</v>
      </c>
      <c r="W44" s="82" t="s">
        <v>5267</v>
      </c>
      <c r="X44" s="77"/>
      <c r="Y44" s="77"/>
      <c r="Z44" s="77"/>
      <c r="AA44" s="77" t="s">
        <v>7536</v>
      </c>
      <c r="AB44" s="77" t="s">
        <v>10129</v>
      </c>
      <c r="AC44" s="82" t="s">
        <v>10144</v>
      </c>
      <c r="AD44" s="77" t="s">
        <v>10184</v>
      </c>
      <c r="AE44" s="80" t="str">
        <f>HYPERLINK("https://twitter.com/leilaodescompli/status/1695498397174669815")</f>
        <v>https://twitter.com/leilaodescompli/status/1695498397174669815</v>
      </c>
      <c r="AF44" s="79">
        <v>45164.755706018521</v>
      </c>
      <c r="AG44" s="85">
        <v>45164</v>
      </c>
      <c r="AH44" s="82" t="s">
        <v>10240</v>
      </c>
      <c r="AI44" s="77" t="b">
        <v>0</v>
      </c>
      <c r="AJ44" s="77" t="s">
        <v>13996</v>
      </c>
      <c r="AK44" s="77" t="s">
        <v>14033</v>
      </c>
      <c r="AL44" s="77" t="s">
        <v>14035</v>
      </c>
      <c r="AM44" s="77" t="s">
        <v>14038</v>
      </c>
      <c r="AN44" s="77" t="s">
        <v>14075</v>
      </c>
      <c r="AO44" s="77" t="s">
        <v>14113</v>
      </c>
      <c r="AP44" s="77" t="s">
        <v>14149</v>
      </c>
      <c r="AQ44" s="77" t="s">
        <v>14180</v>
      </c>
      <c r="AR44" s="77">
        <v>88966</v>
      </c>
      <c r="AS44" s="77"/>
      <c r="AT44" s="77"/>
      <c r="AU44" s="77"/>
      <c r="AV44" s="80" t="str">
        <f>HYPERLINK("https://pbs.twimg.com/ext_tw_video_thumb/1695498260515897344/pu/img/D9dyvUnixrVDxRH-.jpg")</f>
        <v>https://pbs.twimg.com/ext_tw_video_thumb/1695498260515897344/pu/img/D9dyvUnixrVDxRH-.jpg</v>
      </c>
      <c r="AW44" s="82" t="s">
        <v>16817</v>
      </c>
      <c r="AX44" s="82" t="s">
        <v>16817</v>
      </c>
      <c r="AY44" s="77"/>
      <c r="AZ44" s="82" t="s">
        <v>20971</v>
      </c>
      <c r="BA44" s="82" t="s">
        <v>20971</v>
      </c>
      <c r="BB44" s="82" t="s">
        <v>20971</v>
      </c>
      <c r="BC44" s="82" t="s">
        <v>16817</v>
      </c>
      <c r="BD44" s="82" t="s">
        <v>21027</v>
      </c>
      <c r="BE44" s="77"/>
      <c r="BF44" s="77"/>
      <c r="BG44" s="77"/>
      <c r="BH44" s="77"/>
      <c r="BI44" s="77"/>
    </row>
    <row r="45" spans="1:61" x14ac:dyDescent="0.25">
      <c r="A45" s="62" t="s">
        <v>244</v>
      </c>
      <c r="B45" s="62" t="s">
        <v>244</v>
      </c>
      <c r="C45" s="63"/>
      <c r="D45" s="64"/>
      <c r="E45" s="65"/>
      <c r="F45" s="66"/>
      <c r="G45" s="63"/>
      <c r="H45" s="67"/>
      <c r="I45" s="68"/>
      <c r="J45" s="68"/>
      <c r="K45" s="32"/>
      <c r="L45" s="75">
        <v>45</v>
      </c>
      <c r="M45" s="75"/>
      <c r="N45" s="70"/>
      <c r="O45" s="77" t="s">
        <v>179</v>
      </c>
      <c r="P45" s="79">
        <v>45145.492789351854</v>
      </c>
      <c r="Q45" s="77" t="s">
        <v>1330</v>
      </c>
      <c r="R45" s="77">
        <v>0</v>
      </c>
      <c r="S45" s="77">
        <v>1</v>
      </c>
      <c r="T45" s="77">
        <v>0</v>
      </c>
      <c r="U45" s="77">
        <v>0</v>
      </c>
      <c r="V45" s="77">
        <v>59</v>
      </c>
      <c r="W45" s="82" t="s">
        <v>5268</v>
      </c>
      <c r="X45" s="80" t="str">
        <f>HYPERLINK("https://leilaodescomplicado.com/")</f>
        <v>https://leilaodescomplicado.com/</v>
      </c>
      <c r="Y45" s="77" t="s">
        <v>7254</v>
      </c>
      <c r="Z45" s="77"/>
      <c r="AA45" s="77" t="s">
        <v>7537</v>
      </c>
      <c r="AB45" s="77" t="s">
        <v>10130</v>
      </c>
      <c r="AC45" s="82" t="s">
        <v>10144</v>
      </c>
      <c r="AD45" s="77" t="s">
        <v>10184</v>
      </c>
      <c r="AE45" s="80" t="str">
        <f>HYPERLINK("https://twitter.com/leilaodescompli/status/1688517750069633024")</f>
        <v>https://twitter.com/leilaodescompli/status/1688517750069633024</v>
      </c>
      <c r="AF45" s="79">
        <v>45145.492789351854</v>
      </c>
      <c r="AG45" s="85">
        <v>45145</v>
      </c>
      <c r="AH45" s="82" t="s">
        <v>10241</v>
      </c>
      <c r="AI45" s="77" t="b">
        <v>0</v>
      </c>
      <c r="AJ45" s="77" t="s">
        <v>13996</v>
      </c>
      <c r="AK45" s="77" t="s">
        <v>14033</v>
      </c>
      <c r="AL45" s="77" t="s">
        <v>14035</v>
      </c>
      <c r="AM45" s="77" t="s">
        <v>14038</v>
      </c>
      <c r="AN45" s="77" t="s">
        <v>14075</v>
      </c>
      <c r="AO45" s="77" t="s">
        <v>14113</v>
      </c>
      <c r="AP45" s="77" t="s">
        <v>14149</v>
      </c>
      <c r="AQ45" s="77" t="s">
        <v>14181</v>
      </c>
      <c r="AR45" s="77"/>
      <c r="AS45" s="77"/>
      <c r="AT45" s="77"/>
      <c r="AU45" s="77"/>
      <c r="AV45" s="80" t="str">
        <f>HYPERLINK("https://pbs.twimg.com/media/F27R72-WcAAg1e6.jpg")</f>
        <v>https://pbs.twimg.com/media/F27R72-WcAAg1e6.jpg</v>
      </c>
      <c r="AW45" s="82" t="s">
        <v>16818</v>
      </c>
      <c r="AX45" s="82" t="s">
        <v>16818</v>
      </c>
      <c r="AY45" s="77"/>
      <c r="AZ45" s="82" t="s">
        <v>20971</v>
      </c>
      <c r="BA45" s="82" t="s">
        <v>20971</v>
      </c>
      <c r="BB45" s="82" t="s">
        <v>20971</v>
      </c>
      <c r="BC45" s="82" t="s">
        <v>16818</v>
      </c>
      <c r="BD45" s="82" t="s">
        <v>21027</v>
      </c>
      <c r="BE45" s="77"/>
      <c r="BF45" s="77"/>
      <c r="BG45" s="77"/>
      <c r="BH45" s="77"/>
      <c r="BI45" s="77"/>
    </row>
    <row r="46" spans="1:61" x14ac:dyDescent="0.25">
      <c r="A46" s="62" t="s">
        <v>244</v>
      </c>
      <c r="B46" s="62" t="s">
        <v>244</v>
      </c>
      <c r="C46" s="63"/>
      <c r="D46" s="64"/>
      <c r="E46" s="65"/>
      <c r="F46" s="66"/>
      <c r="G46" s="63"/>
      <c r="H46" s="67"/>
      <c r="I46" s="68"/>
      <c r="J46" s="68"/>
      <c r="K46" s="32"/>
      <c r="L46" s="75">
        <v>46</v>
      </c>
      <c r="M46" s="75"/>
      <c r="N46" s="70"/>
      <c r="O46" s="77" t="s">
        <v>179</v>
      </c>
      <c r="P46" s="79">
        <v>45096.590196759258</v>
      </c>
      <c r="Q46" s="77" t="s">
        <v>1331</v>
      </c>
      <c r="R46" s="77">
        <v>0</v>
      </c>
      <c r="S46" s="77">
        <v>1</v>
      </c>
      <c r="T46" s="77">
        <v>0</v>
      </c>
      <c r="U46" s="77">
        <v>0</v>
      </c>
      <c r="V46" s="77">
        <v>13</v>
      </c>
      <c r="W46" s="82" t="s">
        <v>5269</v>
      </c>
      <c r="X46" s="80" t="str">
        <f>HYPERLINK("https://leilaodescomplicado.com/category/agenda-de-leiloes/")</f>
        <v>https://leilaodescomplicado.com/category/agenda-de-leiloes/</v>
      </c>
      <c r="Y46" s="77" t="s">
        <v>7254</v>
      </c>
      <c r="Z46" s="77"/>
      <c r="AA46" s="77" t="s">
        <v>7538</v>
      </c>
      <c r="AB46" s="77" t="s">
        <v>10130</v>
      </c>
      <c r="AC46" s="82" t="s">
        <v>10144</v>
      </c>
      <c r="AD46" s="77" t="s">
        <v>10184</v>
      </c>
      <c r="AE46" s="80" t="str">
        <f>HYPERLINK("https://twitter.com/leilaodescompli/status/1670796044873940994")</f>
        <v>https://twitter.com/leilaodescompli/status/1670796044873940994</v>
      </c>
      <c r="AF46" s="79">
        <v>45096.590196759258</v>
      </c>
      <c r="AG46" s="85">
        <v>45096</v>
      </c>
      <c r="AH46" s="82" t="s">
        <v>10242</v>
      </c>
      <c r="AI46" s="77" t="b">
        <v>0</v>
      </c>
      <c r="AJ46" s="77"/>
      <c r="AK46" s="77"/>
      <c r="AL46" s="77"/>
      <c r="AM46" s="77"/>
      <c r="AN46" s="77"/>
      <c r="AO46" s="77"/>
      <c r="AP46" s="77"/>
      <c r="AQ46" s="77" t="s">
        <v>14182</v>
      </c>
      <c r="AR46" s="77"/>
      <c r="AS46" s="77"/>
      <c r="AT46" s="77"/>
      <c r="AU46" s="77"/>
      <c r="AV46" s="80" t="str">
        <f>HYPERLINK("https://pbs.twimg.com/media/Fy_cJa2WwAIZD8X.jpg")</f>
        <v>https://pbs.twimg.com/media/Fy_cJa2WwAIZD8X.jpg</v>
      </c>
      <c r="AW46" s="82" t="s">
        <v>16819</v>
      </c>
      <c r="AX46" s="82" t="s">
        <v>16819</v>
      </c>
      <c r="AY46" s="77"/>
      <c r="AZ46" s="82" t="s">
        <v>20971</v>
      </c>
      <c r="BA46" s="82" t="s">
        <v>20971</v>
      </c>
      <c r="BB46" s="82" t="s">
        <v>20971</v>
      </c>
      <c r="BC46" s="82" t="s">
        <v>16819</v>
      </c>
      <c r="BD46" s="82" t="s">
        <v>21027</v>
      </c>
      <c r="BE46" s="77"/>
      <c r="BF46" s="77"/>
      <c r="BG46" s="77"/>
      <c r="BH46" s="77"/>
      <c r="BI46" s="77"/>
    </row>
    <row r="47" spans="1:61" x14ac:dyDescent="0.25">
      <c r="A47" s="62" t="s">
        <v>244</v>
      </c>
      <c r="B47" s="62" t="s">
        <v>244</v>
      </c>
      <c r="C47" s="63"/>
      <c r="D47" s="64"/>
      <c r="E47" s="65"/>
      <c r="F47" s="66"/>
      <c r="G47" s="63"/>
      <c r="H47" s="67"/>
      <c r="I47" s="68"/>
      <c r="J47" s="68"/>
      <c r="K47" s="32"/>
      <c r="L47" s="75">
        <v>47</v>
      </c>
      <c r="M47" s="75"/>
      <c r="N47" s="70"/>
      <c r="O47" s="77" t="s">
        <v>179</v>
      </c>
      <c r="P47" s="79">
        <v>45169.029293981483</v>
      </c>
      <c r="Q47" s="77" t="s">
        <v>1332</v>
      </c>
      <c r="R47" s="77">
        <v>0</v>
      </c>
      <c r="S47" s="77">
        <v>0</v>
      </c>
      <c r="T47" s="77">
        <v>0</v>
      </c>
      <c r="U47" s="77">
        <v>0</v>
      </c>
      <c r="V47" s="77">
        <v>92</v>
      </c>
      <c r="W47" s="82" t="s">
        <v>5270</v>
      </c>
      <c r="X47" s="77"/>
      <c r="Y47" s="77"/>
      <c r="Z47" s="77"/>
      <c r="AA47" s="77" t="s">
        <v>7539</v>
      </c>
      <c r="AB47" s="77" t="s">
        <v>10129</v>
      </c>
      <c r="AC47" s="82" t="s">
        <v>10144</v>
      </c>
      <c r="AD47" s="77" t="s">
        <v>10184</v>
      </c>
      <c r="AE47" s="80" t="str">
        <f>HYPERLINK("https://twitter.com/leilaodescompli/status/1697047092173144450")</f>
        <v>https://twitter.com/leilaodescompli/status/1697047092173144450</v>
      </c>
      <c r="AF47" s="79">
        <v>45169.029293981483</v>
      </c>
      <c r="AG47" s="85">
        <v>45169</v>
      </c>
      <c r="AH47" s="82" t="s">
        <v>10243</v>
      </c>
      <c r="AI47" s="77" t="b">
        <v>0</v>
      </c>
      <c r="AJ47" s="77" t="s">
        <v>13996</v>
      </c>
      <c r="AK47" s="77" t="s">
        <v>14033</v>
      </c>
      <c r="AL47" s="77" t="s">
        <v>14035</v>
      </c>
      <c r="AM47" s="77" t="s">
        <v>14038</v>
      </c>
      <c r="AN47" s="77" t="s">
        <v>14075</v>
      </c>
      <c r="AO47" s="77" t="s">
        <v>14113</v>
      </c>
      <c r="AP47" s="77" t="s">
        <v>14149</v>
      </c>
      <c r="AQ47" s="77" t="s">
        <v>14183</v>
      </c>
      <c r="AR47" s="77">
        <v>97866</v>
      </c>
      <c r="AS47" s="77"/>
      <c r="AT47" s="77"/>
      <c r="AU47" s="77"/>
      <c r="AV47" s="80" t="str">
        <f>HYPERLINK("https://pbs.twimg.com/ext_tw_video_thumb/1697046918260514816/pu/img/Vpphe4P5YQrR9O6L.jpg")</f>
        <v>https://pbs.twimg.com/ext_tw_video_thumb/1697046918260514816/pu/img/Vpphe4P5YQrR9O6L.jpg</v>
      </c>
      <c r="AW47" s="82" t="s">
        <v>16820</v>
      </c>
      <c r="AX47" s="82" t="s">
        <v>16820</v>
      </c>
      <c r="AY47" s="77"/>
      <c r="AZ47" s="82" t="s">
        <v>20971</v>
      </c>
      <c r="BA47" s="82" t="s">
        <v>20971</v>
      </c>
      <c r="BB47" s="82" t="s">
        <v>20971</v>
      </c>
      <c r="BC47" s="82" t="s">
        <v>16820</v>
      </c>
      <c r="BD47" s="82" t="s">
        <v>21027</v>
      </c>
      <c r="BE47" s="77"/>
      <c r="BF47" s="77"/>
      <c r="BG47" s="77"/>
      <c r="BH47" s="77"/>
      <c r="BI47" s="77"/>
    </row>
    <row r="48" spans="1:61" x14ac:dyDescent="0.25">
      <c r="A48" s="62" t="s">
        <v>244</v>
      </c>
      <c r="B48" s="62" t="s">
        <v>244</v>
      </c>
      <c r="C48" s="63"/>
      <c r="D48" s="64"/>
      <c r="E48" s="65"/>
      <c r="F48" s="66"/>
      <c r="G48" s="63"/>
      <c r="H48" s="67"/>
      <c r="I48" s="68"/>
      <c r="J48" s="68"/>
      <c r="K48" s="32"/>
      <c r="L48" s="75">
        <v>48</v>
      </c>
      <c r="M48" s="75"/>
      <c r="N48" s="70"/>
      <c r="O48" s="77" t="s">
        <v>179</v>
      </c>
      <c r="P48" s="79">
        <v>45152.868275462963</v>
      </c>
      <c r="Q48" s="77" t="s">
        <v>1333</v>
      </c>
      <c r="R48" s="77">
        <v>0</v>
      </c>
      <c r="S48" s="77">
        <v>0</v>
      </c>
      <c r="T48" s="77">
        <v>0</v>
      </c>
      <c r="U48" s="77">
        <v>0</v>
      </c>
      <c r="V48" s="77">
        <v>198</v>
      </c>
      <c r="W48" s="82" t="s">
        <v>5271</v>
      </c>
      <c r="X48" s="77"/>
      <c r="Y48" s="77"/>
      <c r="Z48" s="77"/>
      <c r="AA48" s="77" t="s">
        <v>7540</v>
      </c>
      <c r="AB48" s="77" t="s">
        <v>10129</v>
      </c>
      <c r="AC48" s="82" t="s">
        <v>10144</v>
      </c>
      <c r="AD48" s="77" t="s">
        <v>10184</v>
      </c>
      <c r="AE48" s="80" t="str">
        <f>HYPERLINK("https://twitter.com/leilaodescompli/status/1691190537192153088")</f>
        <v>https://twitter.com/leilaodescompli/status/1691190537192153088</v>
      </c>
      <c r="AF48" s="79">
        <v>45152.868275462963</v>
      </c>
      <c r="AG48" s="85">
        <v>45152</v>
      </c>
      <c r="AH48" s="82" t="s">
        <v>10244</v>
      </c>
      <c r="AI48" s="77" t="b">
        <v>0</v>
      </c>
      <c r="AJ48" s="77" t="s">
        <v>13998</v>
      </c>
      <c r="AK48" s="77" t="s">
        <v>14033</v>
      </c>
      <c r="AL48" s="77" t="s">
        <v>14035</v>
      </c>
      <c r="AM48" s="77" t="s">
        <v>14040</v>
      </c>
      <c r="AN48" s="77" t="s">
        <v>14077</v>
      </c>
      <c r="AO48" s="77" t="s">
        <v>14115</v>
      </c>
      <c r="AP48" s="77" t="s">
        <v>14149</v>
      </c>
      <c r="AQ48" s="77" t="s">
        <v>14184</v>
      </c>
      <c r="AR48" s="77">
        <v>77734</v>
      </c>
      <c r="AS48" s="77"/>
      <c r="AT48" s="77"/>
      <c r="AU48" s="77"/>
      <c r="AV48" s="80" t="str">
        <f>HYPERLINK("https://pbs.twimg.com/ext_tw_video_thumb/1691190329557266432/pu/img/eONzu8cW6VqxEj63.jpg")</f>
        <v>https://pbs.twimg.com/ext_tw_video_thumb/1691190329557266432/pu/img/eONzu8cW6VqxEj63.jpg</v>
      </c>
      <c r="AW48" s="82" t="s">
        <v>16821</v>
      </c>
      <c r="AX48" s="82" t="s">
        <v>16821</v>
      </c>
      <c r="AY48" s="77"/>
      <c r="AZ48" s="82" t="s">
        <v>20971</v>
      </c>
      <c r="BA48" s="82" t="s">
        <v>20971</v>
      </c>
      <c r="BB48" s="82" t="s">
        <v>20971</v>
      </c>
      <c r="BC48" s="82" t="s">
        <v>16821</v>
      </c>
      <c r="BD48" s="82" t="s">
        <v>21027</v>
      </c>
      <c r="BE48" s="77"/>
      <c r="BF48" s="77"/>
      <c r="BG48" s="77"/>
      <c r="BH48" s="77"/>
      <c r="BI48" s="77"/>
    </row>
    <row r="49" spans="1:61" x14ac:dyDescent="0.25">
      <c r="A49" s="62" t="s">
        <v>244</v>
      </c>
      <c r="B49" s="62" t="s">
        <v>244</v>
      </c>
      <c r="C49" s="63"/>
      <c r="D49" s="64"/>
      <c r="E49" s="65"/>
      <c r="F49" s="66"/>
      <c r="G49" s="63"/>
      <c r="H49" s="67"/>
      <c r="I49" s="68"/>
      <c r="J49" s="68"/>
      <c r="K49" s="32"/>
      <c r="L49" s="75">
        <v>49</v>
      </c>
      <c r="M49" s="75"/>
      <c r="N49" s="70"/>
      <c r="O49" s="77" t="s">
        <v>179</v>
      </c>
      <c r="P49" s="79">
        <v>45177.401319444441</v>
      </c>
      <c r="Q49" s="77" t="s">
        <v>1334</v>
      </c>
      <c r="R49" s="77">
        <v>0</v>
      </c>
      <c r="S49" s="77">
        <v>1</v>
      </c>
      <c r="T49" s="77">
        <v>0</v>
      </c>
      <c r="U49" s="77">
        <v>0</v>
      </c>
      <c r="V49" s="77">
        <v>120</v>
      </c>
      <c r="W49" s="82" t="s">
        <v>5272</v>
      </c>
      <c r="X49" s="77"/>
      <c r="Y49" s="77"/>
      <c r="Z49" s="77"/>
      <c r="AA49" s="77" t="s">
        <v>7541</v>
      </c>
      <c r="AB49" s="77" t="s">
        <v>10129</v>
      </c>
      <c r="AC49" s="82" t="s">
        <v>10144</v>
      </c>
      <c r="AD49" s="77" t="s">
        <v>10184</v>
      </c>
      <c r="AE49" s="80" t="str">
        <f>HYPERLINK("https://twitter.com/leilaodescompli/status/1700081015920672907")</f>
        <v>https://twitter.com/leilaodescompli/status/1700081015920672907</v>
      </c>
      <c r="AF49" s="79">
        <v>45177.401319444441</v>
      </c>
      <c r="AG49" s="85">
        <v>45177</v>
      </c>
      <c r="AH49" s="82" t="s">
        <v>10245</v>
      </c>
      <c r="AI49" s="77" t="b">
        <v>0</v>
      </c>
      <c r="AJ49" s="77" t="s">
        <v>13996</v>
      </c>
      <c r="AK49" s="77" t="s">
        <v>14033</v>
      </c>
      <c r="AL49" s="77" t="s">
        <v>14035</v>
      </c>
      <c r="AM49" s="77" t="s">
        <v>14038</v>
      </c>
      <c r="AN49" s="77" t="s">
        <v>14075</v>
      </c>
      <c r="AO49" s="77" t="s">
        <v>14113</v>
      </c>
      <c r="AP49" s="77" t="s">
        <v>14149</v>
      </c>
      <c r="AQ49" s="77" t="s">
        <v>14185</v>
      </c>
      <c r="AR49" s="77">
        <v>42566</v>
      </c>
      <c r="AS49" s="77"/>
      <c r="AT49" s="77"/>
      <c r="AU49" s="77"/>
      <c r="AV49" s="80" t="str">
        <f>HYPERLINK("https://pbs.twimg.com/ext_tw_video_thumb/1700080934509293568/pu/img/dLiOmVo27lMHXlhf.jpg")</f>
        <v>https://pbs.twimg.com/ext_tw_video_thumb/1700080934509293568/pu/img/dLiOmVo27lMHXlhf.jpg</v>
      </c>
      <c r="AW49" s="82" t="s">
        <v>16822</v>
      </c>
      <c r="AX49" s="82" t="s">
        <v>16822</v>
      </c>
      <c r="AY49" s="77"/>
      <c r="AZ49" s="82" t="s">
        <v>20971</v>
      </c>
      <c r="BA49" s="82" t="s">
        <v>20971</v>
      </c>
      <c r="BB49" s="82" t="s">
        <v>20971</v>
      </c>
      <c r="BC49" s="82" t="s">
        <v>16822</v>
      </c>
      <c r="BD49" s="82" t="s">
        <v>21027</v>
      </c>
      <c r="BE49" s="77"/>
      <c r="BF49" s="77"/>
      <c r="BG49" s="77"/>
      <c r="BH49" s="77"/>
      <c r="BI49" s="77"/>
    </row>
    <row r="50" spans="1:61" x14ac:dyDescent="0.25">
      <c r="A50" s="62" t="s">
        <v>244</v>
      </c>
      <c r="B50" s="62" t="s">
        <v>244</v>
      </c>
      <c r="C50" s="63"/>
      <c r="D50" s="64"/>
      <c r="E50" s="65"/>
      <c r="F50" s="66"/>
      <c r="G50" s="63"/>
      <c r="H50" s="67"/>
      <c r="I50" s="68"/>
      <c r="J50" s="68"/>
      <c r="K50" s="32"/>
      <c r="L50" s="75">
        <v>50</v>
      </c>
      <c r="M50" s="75"/>
      <c r="N50" s="70"/>
      <c r="O50" s="77" t="s">
        <v>179</v>
      </c>
      <c r="P50" s="79">
        <v>45149.432233796295</v>
      </c>
      <c r="Q50" s="77" t="s">
        <v>1335</v>
      </c>
      <c r="R50" s="77">
        <v>0</v>
      </c>
      <c r="S50" s="77">
        <v>0</v>
      </c>
      <c r="T50" s="77">
        <v>0</v>
      </c>
      <c r="U50" s="77">
        <v>0</v>
      </c>
      <c r="V50" s="77">
        <v>31</v>
      </c>
      <c r="W50" s="82" t="s">
        <v>5273</v>
      </c>
      <c r="X50" s="80" t="str">
        <f>HYPERLINK("https://leilaodescomplicado.com/category/agenda-de-leiloes/")</f>
        <v>https://leilaodescomplicado.com/category/agenda-de-leiloes/</v>
      </c>
      <c r="Y50" s="77" t="s">
        <v>7254</v>
      </c>
      <c r="Z50" s="77"/>
      <c r="AA50" s="77" t="s">
        <v>7542</v>
      </c>
      <c r="AB50" s="77" t="s">
        <v>10130</v>
      </c>
      <c r="AC50" s="82" t="s">
        <v>10144</v>
      </c>
      <c r="AD50" s="77" t="s">
        <v>10184</v>
      </c>
      <c r="AE50" s="80" t="str">
        <f>HYPERLINK("https://twitter.com/leilaodescompli/status/1689945357440937984")</f>
        <v>https://twitter.com/leilaodescompli/status/1689945357440937984</v>
      </c>
      <c r="AF50" s="79">
        <v>45149.432233796295</v>
      </c>
      <c r="AG50" s="85">
        <v>45149</v>
      </c>
      <c r="AH50" s="82" t="s">
        <v>10246</v>
      </c>
      <c r="AI50" s="77" t="b">
        <v>0</v>
      </c>
      <c r="AJ50" s="77" t="s">
        <v>13999</v>
      </c>
      <c r="AK50" s="77" t="s">
        <v>14033</v>
      </c>
      <c r="AL50" s="77" t="s">
        <v>14035</v>
      </c>
      <c r="AM50" s="77" t="s">
        <v>14041</v>
      </c>
      <c r="AN50" s="77" t="s">
        <v>14078</v>
      </c>
      <c r="AO50" s="77" t="s">
        <v>14116</v>
      </c>
      <c r="AP50" s="77" t="s">
        <v>14149</v>
      </c>
      <c r="AQ50" s="77" t="s">
        <v>14186</v>
      </c>
      <c r="AR50" s="77"/>
      <c r="AS50" s="77"/>
      <c r="AT50" s="77"/>
      <c r="AU50" s="77"/>
      <c r="AV50" s="80" t="str">
        <f>HYPERLINK("https://pbs.twimg.com/media/F3PkWJ8XAAIt02P.jpg")</f>
        <v>https://pbs.twimg.com/media/F3PkWJ8XAAIt02P.jpg</v>
      </c>
      <c r="AW50" s="82" t="s">
        <v>16823</v>
      </c>
      <c r="AX50" s="82" t="s">
        <v>16823</v>
      </c>
      <c r="AY50" s="77"/>
      <c r="AZ50" s="82" t="s">
        <v>20971</v>
      </c>
      <c r="BA50" s="82" t="s">
        <v>20971</v>
      </c>
      <c r="BB50" s="82" t="s">
        <v>20971</v>
      </c>
      <c r="BC50" s="82" t="s">
        <v>16823</v>
      </c>
      <c r="BD50" s="82" t="s">
        <v>21027</v>
      </c>
      <c r="BE50" s="77"/>
      <c r="BF50" s="77"/>
      <c r="BG50" s="77"/>
      <c r="BH50" s="77"/>
      <c r="BI50" s="77"/>
    </row>
    <row r="51" spans="1:61" x14ac:dyDescent="0.25">
      <c r="A51" s="62" t="s">
        <v>244</v>
      </c>
      <c r="B51" s="62" t="s">
        <v>244</v>
      </c>
      <c r="C51" s="63"/>
      <c r="D51" s="64"/>
      <c r="E51" s="65"/>
      <c r="F51" s="66"/>
      <c r="G51" s="63"/>
      <c r="H51" s="67"/>
      <c r="I51" s="68"/>
      <c r="J51" s="68"/>
      <c r="K51" s="32"/>
      <c r="L51" s="75">
        <v>51</v>
      </c>
      <c r="M51" s="75"/>
      <c r="N51" s="70"/>
      <c r="O51" s="77" t="s">
        <v>179</v>
      </c>
      <c r="P51" s="79">
        <v>45139.712604166663</v>
      </c>
      <c r="Q51" s="77" t="s">
        <v>1336</v>
      </c>
      <c r="R51" s="77">
        <v>0</v>
      </c>
      <c r="S51" s="77">
        <v>0</v>
      </c>
      <c r="T51" s="77">
        <v>0</v>
      </c>
      <c r="U51" s="77">
        <v>0</v>
      </c>
      <c r="V51" s="77">
        <v>81</v>
      </c>
      <c r="W51" s="82" t="s">
        <v>5274</v>
      </c>
      <c r="X51" s="80" t="str">
        <f>HYPERLINK("https://leilaodescomplicado.com/")</f>
        <v>https://leilaodescomplicado.com/</v>
      </c>
      <c r="Y51" s="77" t="s">
        <v>7254</v>
      </c>
      <c r="Z51" s="77"/>
      <c r="AA51" s="77" t="s">
        <v>7543</v>
      </c>
      <c r="AB51" s="77" t="s">
        <v>10130</v>
      </c>
      <c r="AC51" s="82" t="s">
        <v>10144</v>
      </c>
      <c r="AD51" s="77" t="s">
        <v>10184</v>
      </c>
      <c r="AE51" s="80" t="str">
        <f>HYPERLINK("https://twitter.com/leilaodescompli/status/1686423081919696904")</f>
        <v>https://twitter.com/leilaodescompli/status/1686423081919696904</v>
      </c>
      <c r="AF51" s="79">
        <v>45139.712604166663</v>
      </c>
      <c r="AG51" s="85">
        <v>45139</v>
      </c>
      <c r="AH51" s="82" t="s">
        <v>10247</v>
      </c>
      <c r="AI51" s="77" t="b">
        <v>0</v>
      </c>
      <c r="AJ51" s="77" t="s">
        <v>13996</v>
      </c>
      <c r="AK51" s="77" t="s">
        <v>14033</v>
      </c>
      <c r="AL51" s="77" t="s">
        <v>14035</v>
      </c>
      <c r="AM51" s="77" t="s">
        <v>14038</v>
      </c>
      <c r="AN51" s="77" t="s">
        <v>14075</v>
      </c>
      <c r="AO51" s="77" t="s">
        <v>14113</v>
      </c>
      <c r="AP51" s="77" t="s">
        <v>14149</v>
      </c>
      <c r="AQ51" s="77" t="s">
        <v>14187</v>
      </c>
      <c r="AR51" s="77"/>
      <c r="AS51" s="77"/>
      <c r="AT51" s="77"/>
      <c r="AU51" s="77"/>
      <c r="AV51" s="80" t="str">
        <f>HYPERLINK("https://pbs.twimg.com/media/F2dg2scX0Bs6Fz9.jpg")</f>
        <v>https://pbs.twimg.com/media/F2dg2scX0Bs6Fz9.jpg</v>
      </c>
      <c r="AW51" s="82" t="s">
        <v>16824</v>
      </c>
      <c r="AX51" s="82" t="s">
        <v>16824</v>
      </c>
      <c r="AY51" s="77"/>
      <c r="AZ51" s="82" t="s">
        <v>20971</v>
      </c>
      <c r="BA51" s="82" t="s">
        <v>20971</v>
      </c>
      <c r="BB51" s="82" t="s">
        <v>20971</v>
      </c>
      <c r="BC51" s="82" t="s">
        <v>16824</v>
      </c>
      <c r="BD51" s="82" t="s">
        <v>21027</v>
      </c>
      <c r="BE51" s="77"/>
      <c r="BF51" s="77"/>
      <c r="BG51" s="77"/>
      <c r="BH51" s="77"/>
      <c r="BI51" s="77"/>
    </row>
    <row r="52" spans="1:61" x14ac:dyDescent="0.25">
      <c r="A52" s="62" t="s">
        <v>244</v>
      </c>
      <c r="B52" s="62" t="s">
        <v>244</v>
      </c>
      <c r="C52" s="63"/>
      <c r="D52" s="64"/>
      <c r="E52" s="65"/>
      <c r="F52" s="66"/>
      <c r="G52" s="63"/>
      <c r="H52" s="67"/>
      <c r="I52" s="68"/>
      <c r="J52" s="68"/>
      <c r="K52" s="32"/>
      <c r="L52" s="75">
        <v>52</v>
      </c>
      <c r="M52" s="75"/>
      <c r="N52" s="70"/>
      <c r="O52" s="77" t="s">
        <v>179</v>
      </c>
      <c r="P52" s="79">
        <v>45121.362395833334</v>
      </c>
      <c r="Q52" s="77" t="s">
        <v>1337</v>
      </c>
      <c r="R52" s="77">
        <v>0</v>
      </c>
      <c r="S52" s="77">
        <v>0</v>
      </c>
      <c r="T52" s="77">
        <v>0</v>
      </c>
      <c r="U52" s="77">
        <v>0</v>
      </c>
      <c r="V52" s="77">
        <v>38</v>
      </c>
      <c r="W52" s="82" t="s">
        <v>5275</v>
      </c>
      <c r="X52" s="77"/>
      <c r="Y52" s="77"/>
      <c r="Z52" s="77"/>
      <c r="AA52" s="77" t="s">
        <v>7544</v>
      </c>
      <c r="AB52" s="77" t="s">
        <v>10129</v>
      </c>
      <c r="AC52" s="82" t="s">
        <v>10144</v>
      </c>
      <c r="AD52" s="77" t="s">
        <v>10184</v>
      </c>
      <c r="AE52" s="80" t="str">
        <f>HYPERLINK("https://twitter.com/leilaodescompli/status/1679773187867832320")</f>
        <v>https://twitter.com/leilaodescompli/status/1679773187867832320</v>
      </c>
      <c r="AF52" s="79">
        <v>45121.362395833334</v>
      </c>
      <c r="AG52" s="85">
        <v>45121</v>
      </c>
      <c r="AH52" s="82" t="s">
        <v>10248</v>
      </c>
      <c r="AI52" s="77" t="b">
        <v>0</v>
      </c>
      <c r="AJ52" s="77" t="s">
        <v>14000</v>
      </c>
      <c r="AK52" s="77" t="s">
        <v>14033</v>
      </c>
      <c r="AL52" s="77" t="s">
        <v>14035</v>
      </c>
      <c r="AM52" s="77" t="s">
        <v>14042</v>
      </c>
      <c r="AN52" s="77" t="s">
        <v>14079</v>
      </c>
      <c r="AO52" s="77" t="s">
        <v>14117</v>
      </c>
      <c r="AP52" s="77" t="s">
        <v>14149</v>
      </c>
      <c r="AQ52" s="77" t="s">
        <v>14188</v>
      </c>
      <c r="AR52" s="77">
        <v>88834</v>
      </c>
      <c r="AS52" s="77"/>
      <c r="AT52" s="77"/>
      <c r="AU52" s="77"/>
      <c r="AV52" s="80" t="str">
        <f>HYPERLINK("https://pbs.twimg.com/ext_tw_video_thumb/1679773089247244289/pu/img/90AHLegsthhBQeU-.jpg")</f>
        <v>https://pbs.twimg.com/ext_tw_video_thumb/1679773089247244289/pu/img/90AHLegsthhBQeU-.jpg</v>
      </c>
      <c r="AW52" s="82" t="s">
        <v>16825</v>
      </c>
      <c r="AX52" s="82" t="s">
        <v>16825</v>
      </c>
      <c r="AY52" s="77"/>
      <c r="AZ52" s="82" t="s">
        <v>20971</v>
      </c>
      <c r="BA52" s="82" t="s">
        <v>20971</v>
      </c>
      <c r="BB52" s="82" t="s">
        <v>20971</v>
      </c>
      <c r="BC52" s="82" t="s">
        <v>16825</v>
      </c>
      <c r="BD52" s="82" t="s">
        <v>21027</v>
      </c>
      <c r="BE52" s="77"/>
      <c r="BF52" s="77"/>
      <c r="BG52" s="77"/>
      <c r="BH52" s="77"/>
      <c r="BI52" s="77"/>
    </row>
    <row r="53" spans="1:61" x14ac:dyDescent="0.25">
      <c r="A53" s="62" t="s">
        <v>244</v>
      </c>
      <c r="B53" s="62" t="s">
        <v>244</v>
      </c>
      <c r="C53" s="63"/>
      <c r="D53" s="64"/>
      <c r="E53" s="65"/>
      <c r="F53" s="66"/>
      <c r="G53" s="63"/>
      <c r="H53" s="67"/>
      <c r="I53" s="68"/>
      <c r="J53" s="68"/>
      <c r="K53" s="32"/>
      <c r="L53" s="75">
        <v>53</v>
      </c>
      <c r="M53" s="75"/>
      <c r="N53" s="70"/>
      <c r="O53" s="77" t="s">
        <v>179</v>
      </c>
      <c r="P53" s="79">
        <v>45106.668263888889</v>
      </c>
      <c r="Q53" s="77" t="s">
        <v>1338</v>
      </c>
      <c r="R53" s="77">
        <v>0</v>
      </c>
      <c r="S53" s="77">
        <v>0</v>
      </c>
      <c r="T53" s="77">
        <v>0</v>
      </c>
      <c r="U53" s="77">
        <v>0</v>
      </c>
      <c r="V53" s="77">
        <v>16</v>
      </c>
      <c r="W53" s="82" t="s">
        <v>5276</v>
      </c>
      <c r="X53" s="80" t="str">
        <f>HYPERLINK("https://leilaodescomplicado.com/category/agenda-de-leiloes/")</f>
        <v>https://leilaodescomplicado.com/category/agenda-de-leiloes/</v>
      </c>
      <c r="Y53" s="77" t="s">
        <v>7254</v>
      </c>
      <c r="Z53" s="77"/>
      <c r="AA53" s="77" t="s">
        <v>7545</v>
      </c>
      <c r="AB53" s="77" t="s">
        <v>10130</v>
      </c>
      <c r="AC53" s="82" t="s">
        <v>10144</v>
      </c>
      <c r="AD53" s="77" t="s">
        <v>10184</v>
      </c>
      <c r="AE53" s="80" t="str">
        <f>HYPERLINK("https://twitter.com/leilaodescompli/status/1674448215318441984")</f>
        <v>https://twitter.com/leilaodescompli/status/1674448215318441984</v>
      </c>
      <c r="AF53" s="79">
        <v>45106.668263888889</v>
      </c>
      <c r="AG53" s="85">
        <v>45106</v>
      </c>
      <c r="AH53" s="82" t="s">
        <v>10249</v>
      </c>
      <c r="AI53" s="77" t="b">
        <v>0</v>
      </c>
      <c r="AJ53" s="77" t="s">
        <v>13996</v>
      </c>
      <c r="AK53" s="77" t="s">
        <v>14033</v>
      </c>
      <c r="AL53" s="77" t="s">
        <v>14035</v>
      </c>
      <c r="AM53" s="77" t="s">
        <v>14038</v>
      </c>
      <c r="AN53" s="77" t="s">
        <v>14075</v>
      </c>
      <c r="AO53" s="77" t="s">
        <v>14113</v>
      </c>
      <c r="AP53" s="77" t="s">
        <v>14149</v>
      </c>
      <c r="AQ53" s="77" t="s">
        <v>14189</v>
      </c>
      <c r="AR53" s="77"/>
      <c r="AS53" s="77"/>
      <c r="AT53" s="77"/>
      <c r="AU53" s="77"/>
      <c r="AV53" s="80" t="str">
        <f>HYPERLINK("https://pbs.twimg.com/media/FzzVxytXwAAcXyL.jpg")</f>
        <v>https://pbs.twimg.com/media/FzzVxytXwAAcXyL.jpg</v>
      </c>
      <c r="AW53" s="82" t="s">
        <v>16826</v>
      </c>
      <c r="AX53" s="82" t="s">
        <v>16826</v>
      </c>
      <c r="AY53" s="77"/>
      <c r="AZ53" s="82" t="s">
        <v>20971</v>
      </c>
      <c r="BA53" s="82" t="s">
        <v>20971</v>
      </c>
      <c r="BB53" s="82" t="s">
        <v>20971</v>
      </c>
      <c r="BC53" s="82" t="s">
        <v>16826</v>
      </c>
      <c r="BD53" s="82" t="s">
        <v>21027</v>
      </c>
      <c r="BE53" s="77"/>
      <c r="BF53" s="77"/>
      <c r="BG53" s="77"/>
      <c r="BH53" s="77"/>
      <c r="BI53" s="77"/>
    </row>
    <row r="54" spans="1:61" x14ac:dyDescent="0.25">
      <c r="A54" s="62" t="s">
        <v>245</v>
      </c>
      <c r="B54" s="62" t="s">
        <v>245</v>
      </c>
      <c r="C54" s="63"/>
      <c r="D54" s="64"/>
      <c r="E54" s="65"/>
      <c r="F54" s="66"/>
      <c r="G54" s="63"/>
      <c r="H54" s="67"/>
      <c r="I54" s="68"/>
      <c r="J54" s="68"/>
      <c r="K54" s="32"/>
      <c r="L54" s="75">
        <v>54</v>
      </c>
      <c r="M54" s="75"/>
      <c r="N54" s="70"/>
      <c r="O54" s="77" t="s">
        <v>179</v>
      </c>
      <c r="P54" s="79">
        <v>45117.048819444448</v>
      </c>
      <c r="Q54" s="77" t="s">
        <v>1339</v>
      </c>
      <c r="R54" s="77">
        <v>0</v>
      </c>
      <c r="S54" s="77">
        <v>0</v>
      </c>
      <c r="T54" s="77">
        <v>0</v>
      </c>
      <c r="U54" s="77">
        <v>0</v>
      </c>
      <c r="V54" s="77">
        <v>26</v>
      </c>
      <c r="W54" s="82" t="s">
        <v>5277</v>
      </c>
      <c r="X54" s="80" t="str">
        <f>HYPERLINK("https://sun.eduzz.com/858769?a=76657430")</f>
        <v>https://sun.eduzz.com/858769?a=76657430</v>
      </c>
      <c r="Y54" s="77" t="s">
        <v>7245</v>
      </c>
      <c r="Z54" s="77"/>
      <c r="AA54" s="77"/>
      <c r="AB54" s="77"/>
      <c r="AC54" s="82" t="s">
        <v>10145</v>
      </c>
      <c r="AD54" s="77" t="s">
        <v>10184</v>
      </c>
      <c r="AE54" s="80" t="str">
        <f>HYPERLINK("https://twitter.com/fadadry/status/1678210001721065472")</f>
        <v>https://twitter.com/fadadry/status/1678210001721065472</v>
      </c>
      <c r="AF54" s="79">
        <v>45117.048819444448</v>
      </c>
      <c r="AG54" s="85">
        <v>45117</v>
      </c>
      <c r="AH54" s="82" t="s">
        <v>10250</v>
      </c>
      <c r="AI54" s="77" t="b">
        <v>0</v>
      </c>
      <c r="AJ54" s="77"/>
      <c r="AK54" s="77"/>
      <c r="AL54" s="77"/>
      <c r="AM54" s="77"/>
      <c r="AN54" s="77"/>
      <c r="AO54" s="77"/>
      <c r="AP54" s="77"/>
      <c r="AQ54" s="77"/>
      <c r="AR54" s="77"/>
      <c r="AS54" s="77"/>
      <c r="AT54" s="77"/>
      <c r="AU54" s="77"/>
      <c r="AV54" s="80" t="str">
        <f>HYPERLINK("https://pbs.twimg.com/profile_images/1679565581433929731/WJcZfqCJ_normal.jpg")</f>
        <v>https://pbs.twimg.com/profile_images/1679565581433929731/WJcZfqCJ_normal.jpg</v>
      </c>
      <c r="AW54" s="82" t="s">
        <v>16827</v>
      </c>
      <c r="AX54" s="82" t="s">
        <v>16827</v>
      </c>
      <c r="AY54" s="77"/>
      <c r="AZ54" s="82" t="s">
        <v>20971</v>
      </c>
      <c r="BA54" s="82" t="s">
        <v>20971</v>
      </c>
      <c r="BB54" s="82" t="s">
        <v>20971</v>
      </c>
      <c r="BC54" s="82" t="s">
        <v>16827</v>
      </c>
      <c r="BD54" s="77">
        <v>162750228</v>
      </c>
      <c r="BE54" s="77"/>
      <c r="BF54" s="77"/>
      <c r="BG54" s="77"/>
      <c r="BH54" s="77"/>
      <c r="BI54" s="77"/>
    </row>
    <row r="55" spans="1:61" x14ac:dyDescent="0.25">
      <c r="A55" s="62" t="s">
        <v>246</v>
      </c>
      <c r="B55" s="62" t="s">
        <v>246</v>
      </c>
      <c r="C55" s="63"/>
      <c r="D55" s="64"/>
      <c r="E55" s="65"/>
      <c r="F55" s="66"/>
      <c r="G55" s="63"/>
      <c r="H55" s="67"/>
      <c r="I55" s="68"/>
      <c r="J55" s="68"/>
      <c r="K55" s="32"/>
      <c r="L55" s="75">
        <v>55</v>
      </c>
      <c r="M55" s="75"/>
      <c r="N55" s="70"/>
      <c r="O55" s="77" t="s">
        <v>179</v>
      </c>
      <c r="P55" s="79">
        <v>45061.333333333336</v>
      </c>
      <c r="Q55" s="77" t="s">
        <v>1340</v>
      </c>
      <c r="R55" s="77">
        <v>0</v>
      </c>
      <c r="S55" s="77">
        <v>0</v>
      </c>
      <c r="T55" s="77">
        <v>0</v>
      </c>
      <c r="U55" s="77">
        <v>0</v>
      </c>
      <c r="V55" s="77">
        <v>16</v>
      </c>
      <c r="W55" s="82" t="s">
        <v>5278</v>
      </c>
      <c r="X55" s="80" t="str">
        <f>HYPERLINK("https://clika.la/KzwtL1o")</f>
        <v>https://clika.la/KzwtL1o</v>
      </c>
      <c r="Y55" s="77" t="s">
        <v>7255</v>
      </c>
      <c r="Z55" s="77"/>
      <c r="AA55" s="77" t="s">
        <v>7546</v>
      </c>
      <c r="AB55" s="77" t="s">
        <v>10130</v>
      </c>
      <c r="AC55" s="82" t="s">
        <v>10146</v>
      </c>
      <c r="AD55" s="77" t="s">
        <v>10184</v>
      </c>
      <c r="AE55" s="80" t="str">
        <f>HYPERLINK("https://twitter.com/daniellecardon5/status/1658019384714035202")</f>
        <v>https://twitter.com/daniellecardon5/status/1658019384714035202</v>
      </c>
      <c r="AF55" s="79">
        <v>45061.333333333336</v>
      </c>
      <c r="AG55" s="85">
        <v>45061</v>
      </c>
      <c r="AH55" s="82" t="s">
        <v>10251</v>
      </c>
      <c r="AI55" s="77" t="b">
        <v>0</v>
      </c>
      <c r="AJ55" s="77"/>
      <c r="AK55" s="77"/>
      <c r="AL55" s="77"/>
      <c r="AM55" s="77"/>
      <c r="AN55" s="77"/>
      <c r="AO55" s="77"/>
      <c r="AP55" s="77"/>
      <c r="AQ55" s="77" t="s">
        <v>14190</v>
      </c>
      <c r="AR55" s="77"/>
      <c r="AS55" s="77"/>
      <c r="AT55" s="77"/>
      <c r="AU55" s="77"/>
      <c r="AV55" s="80" t="str">
        <f>HYPERLINK("https://pbs.twimg.com/media/FvSCclJWIAABsPS.jpg")</f>
        <v>https://pbs.twimg.com/media/FvSCclJWIAABsPS.jpg</v>
      </c>
      <c r="AW55" s="82" t="s">
        <v>16828</v>
      </c>
      <c r="AX55" s="82" t="s">
        <v>16828</v>
      </c>
      <c r="AY55" s="77"/>
      <c r="AZ55" s="82" t="s">
        <v>20971</v>
      </c>
      <c r="BA55" s="82" t="s">
        <v>20971</v>
      </c>
      <c r="BB55" s="82" t="s">
        <v>20971</v>
      </c>
      <c r="BC55" s="82" t="s">
        <v>16828</v>
      </c>
      <c r="BD55" s="77">
        <v>3988319356</v>
      </c>
      <c r="BE55" s="77"/>
      <c r="BF55" s="77"/>
      <c r="BG55" s="77"/>
      <c r="BH55" s="77"/>
      <c r="BI55" s="77"/>
    </row>
    <row r="56" spans="1:61" x14ac:dyDescent="0.25">
      <c r="A56" s="62" t="s">
        <v>247</v>
      </c>
      <c r="B56" s="62" t="s">
        <v>247</v>
      </c>
      <c r="C56" s="63"/>
      <c r="D56" s="64"/>
      <c r="E56" s="65"/>
      <c r="F56" s="66"/>
      <c r="G56" s="63"/>
      <c r="H56" s="67"/>
      <c r="I56" s="68"/>
      <c r="J56" s="68"/>
      <c r="K56" s="32"/>
      <c r="L56" s="75">
        <v>56</v>
      </c>
      <c r="M56" s="75"/>
      <c r="N56" s="70"/>
      <c r="O56" s="77" t="s">
        <v>179</v>
      </c>
      <c r="P56" s="79">
        <v>45009.768946759257</v>
      </c>
      <c r="Q56" s="77" t="s">
        <v>1341</v>
      </c>
      <c r="R56" s="77">
        <v>0</v>
      </c>
      <c r="S56" s="77">
        <v>0</v>
      </c>
      <c r="T56" s="77">
        <v>0</v>
      </c>
      <c r="U56" s="77">
        <v>0</v>
      </c>
      <c r="V56" s="77">
        <v>51</v>
      </c>
      <c r="W56" s="82" t="s">
        <v>5279</v>
      </c>
      <c r="X56" s="80" t="str">
        <f>HYPERLINK("https://www.gotchosen.com/@gotmusica/invite/FCS8FPJ")</f>
        <v>https://www.gotchosen.com/@gotmusica/invite/FCS8FPJ</v>
      </c>
      <c r="Y56" s="77" t="s">
        <v>7256</v>
      </c>
      <c r="Z56" s="77"/>
      <c r="AA56" s="77" t="s">
        <v>7547</v>
      </c>
      <c r="AB56" s="77" t="s">
        <v>10129</v>
      </c>
      <c r="AC56" s="82" t="s">
        <v>10145</v>
      </c>
      <c r="AD56" s="77" t="s">
        <v>10184</v>
      </c>
      <c r="AE56" s="80" t="str">
        <f>HYPERLINK("https://twitter.com/tessymartins/status/1639333077146009625")</f>
        <v>https://twitter.com/tessymartins/status/1639333077146009625</v>
      </c>
      <c r="AF56" s="79">
        <v>45009.768946759257</v>
      </c>
      <c r="AG56" s="85">
        <v>45009</v>
      </c>
      <c r="AH56" s="82" t="s">
        <v>10252</v>
      </c>
      <c r="AI56" s="77" t="b">
        <v>0</v>
      </c>
      <c r="AJ56" s="77"/>
      <c r="AK56" s="77"/>
      <c r="AL56" s="77"/>
      <c r="AM56" s="77"/>
      <c r="AN56" s="77"/>
      <c r="AO56" s="77"/>
      <c r="AP56" s="77"/>
      <c r="AQ56" s="77" t="s">
        <v>14191</v>
      </c>
      <c r="AR56" s="77">
        <v>15000</v>
      </c>
      <c r="AS56" s="77"/>
      <c r="AT56" s="77"/>
      <c r="AU56" s="77"/>
      <c r="AV56" s="80" t="str">
        <f>HYPERLINK("https://pbs.twimg.com/ext_tw_video_thumb/1639333057239842822/pu/img/JQ6wkCLvUcyTP2Xj.jpg")</f>
        <v>https://pbs.twimg.com/ext_tw_video_thumb/1639333057239842822/pu/img/JQ6wkCLvUcyTP2Xj.jpg</v>
      </c>
      <c r="AW56" s="82" t="s">
        <v>16829</v>
      </c>
      <c r="AX56" s="82" t="s">
        <v>16829</v>
      </c>
      <c r="AY56" s="77"/>
      <c r="AZ56" s="82" t="s">
        <v>20971</v>
      </c>
      <c r="BA56" s="82" t="s">
        <v>20971</v>
      </c>
      <c r="BB56" s="82" t="s">
        <v>20971</v>
      </c>
      <c r="BC56" s="82" t="s">
        <v>16829</v>
      </c>
      <c r="BD56" s="77">
        <v>51782868</v>
      </c>
      <c r="BE56" s="77"/>
      <c r="BF56" s="77"/>
      <c r="BG56" s="77"/>
      <c r="BH56" s="77"/>
      <c r="BI56" s="77"/>
    </row>
    <row r="57" spans="1:61" x14ac:dyDescent="0.25">
      <c r="A57" s="62" t="s">
        <v>248</v>
      </c>
      <c r="B57" s="62" t="s">
        <v>248</v>
      </c>
      <c r="C57" s="63"/>
      <c r="D57" s="64"/>
      <c r="E57" s="65"/>
      <c r="F57" s="66"/>
      <c r="G57" s="63"/>
      <c r="H57" s="67"/>
      <c r="I57" s="68"/>
      <c r="J57" s="68"/>
      <c r="K57" s="32"/>
      <c r="L57" s="75">
        <v>57</v>
      </c>
      <c r="M57" s="75"/>
      <c r="N57" s="70"/>
      <c r="O57" s="77" t="s">
        <v>179</v>
      </c>
      <c r="P57" s="79">
        <v>45000.204375000001</v>
      </c>
      <c r="Q57" s="77" t="s">
        <v>1342</v>
      </c>
      <c r="R57" s="77">
        <v>0</v>
      </c>
      <c r="S57" s="77">
        <v>0</v>
      </c>
      <c r="T57" s="77">
        <v>1</v>
      </c>
      <c r="U57" s="77">
        <v>0</v>
      </c>
      <c r="V57" s="77">
        <v>132</v>
      </c>
      <c r="W57" s="82" t="s">
        <v>5280</v>
      </c>
      <c r="X57" s="77"/>
      <c r="Y57" s="77"/>
      <c r="Z57" s="77"/>
      <c r="AA57" s="77" t="s">
        <v>7548</v>
      </c>
      <c r="AB57" s="77" t="s">
        <v>10130</v>
      </c>
      <c r="AC57" s="82" t="s">
        <v>10144</v>
      </c>
      <c r="AD57" s="77" t="s">
        <v>10184</v>
      </c>
      <c r="AE57" s="80" t="str">
        <f>HYPERLINK("https://twitter.com/edycdf/status/1635866990488297473")</f>
        <v>https://twitter.com/edycdf/status/1635866990488297473</v>
      </c>
      <c r="AF57" s="79">
        <v>45000.204375000001</v>
      </c>
      <c r="AG57" s="85">
        <v>45000</v>
      </c>
      <c r="AH57" s="82" t="s">
        <v>10253</v>
      </c>
      <c r="AI57" s="77" t="b">
        <v>0</v>
      </c>
      <c r="AJ57" s="77" t="s">
        <v>14001</v>
      </c>
      <c r="AK57" s="77" t="s">
        <v>14033</v>
      </c>
      <c r="AL57" s="77" t="s">
        <v>14035</v>
      </c>
      <c r="AM57" s="77" t="s">
        <v>14043</v>
      </c>
      <c r="AN57" s="77" t="s">
        <v>14080</v>
      </c>
      <c r="AO57" s="77" t="s">
        <v>14118</v>
      </c>
      <c r="AP57" s="77" t="s">
        <v>14149</v>
      </c>
      <c r="AQ57" s="77" t="s">
        <v>14192</v>
      </c>
      <c r="AR57" s="77"/>
      <c r="AS57" s="77"/>
      <c r="AT57" s="77"/>
      <c r="AU57" s="77"/>
      <c r="AV57" s="80" t="str">
        <f>HYPERLINK("https://pbs.twimg.com/media/FrPEW6GXwAAS5_J.jpg")</f>
        <v>https://pbs.twimg.com/media/FrPEW6GXwAAS5_J.jpg</v>
      </c>
      <c r="AW57" s="82" t="s">
        <v>16830</v>
      </c>
      <c r="AX57" s="82" t="s">
        <v>16830</v>
      </c>
      <c r="AY57" s="77"/>
      <c r="AZ57" s="82" t="s">
        <v>20971</v>
      </c>
      <c r="BA57" s="82" t="s">
        <v>20971</v>
      </c>
      <c r="BB57" s="82" t="s">
        <v>20971</v>
      </c>
      <c r="BC57" s="82" t="s">
        <v>16830</v>
      </c>
      <c r="BD57" s="77">
        <v>310253188</v>
      </c>
      <c r="BE57" s="77"/>
      <c r="BF57" s="77"/>
      <c r="BG57" s="77"/>
      <c r="BH57" s="77"/>
      <c r="BI57" s="77"/>
    </row>
    <row r="58" spans="1:61" x14ac:dyDescent="0.25">
      <c r="A58" s="62" t="s">
        <v>249</v>
      </c>
      <c r="B58" s="62" t="s">
        <v>249</v>
      </c>
      <c r="C58" s="63"/>
      <c r="D58" s="64"/>
      <c r="E58" s="65"/>
      <c r="F58" s="66"/>
      <c r="G58" s="63"/>
      <c r="H58" s="67"/>
      <c r="I58" s="68"/>
      <c r="J58" s="68"/>
      <c r="K58" s="32"/>
      <c r="L58" s="75">
        <v>58</v>
      </c>
      <c r="M58" s="75"/>
      <c r="N58" s="70"/>
      <c r="O58" s="77" t="s">
        <v>179</v>
      </c>
      <c r="P58" s="79">
        <v>45098.734074074076</v>
      </c>
      <c r="Q58" s="77" t="s">
        <v>1343</v>
      </c>
      <c r="R58" s="77">
        <v>0</v>
      </c>
      <c r="S58" s="77">
        <v>0</v>
      </c>
      <c r="T58" s="77">
        <v>0</v>
      </c>
      <c r="U58" s="77">
        <v>0</v>
      </c>
      <c r="V58" s="77">
        <v>224</v>
      </c>
      <c r="W58" s="82" t="s">
        <v>5281</v>
      </c>
      <c r="X58" s="77"/>
      <c r="Y58" s="77"/>
      <c r="Z58" s="77"/>
      <c r="AA58" s="77" t="s">
        <v>7549</v>
      </c>
      <c r="AB58" s="77" t="s">
        <v>10129</v>
      </c>
      <c r="AC58" s="82" t="s">
        <v>10144</v>
      </c>
      <c r="AD58" s="77" t="s">
        <v>10184</v>
      </c>
      <c r="AE58" s="80" t="str">
        <f>HYPERLINK("https://twitter.com/raiamsabetudo/status/1671572961013243904")</f>
        <v>https://twitter.com/raiamsabetudo/status/1671572961013243904</v>
      </c>
      <c r="AF58" s="79">
        <v>45098.734074074076</v>
      </c>
      <c r="AG58" s="85">
        <v>45098</v>
      </c>
      <c r="AH58" s="82" t="s">
        <v>10254</v>
      </c>
      <c r="AI58" s="77" t="b">
        <v>0</v>
      </c>
      <c r="AJ58" s="77"/>
      <c r="AK58" s="77"/>
      <c r="AL58" s="77"/>
      <c r="AM58" s="77"/>
      <c r="AN58" s="77"/>
      <c r="AO58" s="77"/>
      <c r="AP58" s="77"/>
      <c r="AQ58" s="77" t="s">
        <v>14193</v>
      </c>
      <c r="AR58" s="77">
        <v>89602</v>
      </c>
      <c r="AS58" s="77"/>
      <c r="AT58" s="77"/>
      <c r="AU58" s="77"/>
      <c r="AV58" s="80" t="str">
        <f>HYPERLINK("https://pbs.twimg.com/ext_tw_video_thumb/1671572803319996438/pu/img/aMHSZur26Il0cKO5.jpg")</f>
        <v>https://pbs.twimg.com/ext_tw_video_thumb/1671572803319996438/pu/img/aMHSZur26Il0cKO5.jpg</v>
      </c>
      <c r="AW58" s="82" t="s">
        <v>16831</v>
      </c>
      <c r="AX58" s="82" t="s">
        <v>16831</v>
      </c>
      <c r="AY58" s="77"/>
      <c r="AZ58" s="82" t="s">
        <v>20971</v>
      </c>
      <c r="BA58" s="82" t="s">
        <v>20971</v>
      </c>
      <c r="BB58" s="82" t="s">
        <v>20971</v>
      </c>
      <c r="BC58" s="82" t="s">
        <v>16831</v>
      </c>
      <c r="BD58" s="82" t="s">
        <v>21028</v>
      </c>
      <c r="BE58" s="77"/>
      <c r="BF58" s="77"/>
      <c r="BG58" s="77"/>
      <c r="BH58" s="77"/>
      <c r="BI58" s="77"/>
    </row>
    <row r="59" spans="1:61" x14ac:dyDescent="0.25">
      <c r="A59" s="62" t="s">
        <v>250</v>
      </c>
      <c r="B59" s="62" t="s">
        <v>250</v>
      </c>
      <c r="C59" s="63"/>
      <c r="D59" s="64"/>
      <c r="E59" s="65"/>
      <c r="F59" s="66"/>
      <c r="G59" s="63"/>
      <c r="H59" s="67"/>
      <c r="I59" s="68"/>
      <c r="J59" s="68"/>
      <c r="K59" s="32"/>
      <c r="L59" s="75">
        <v>59</v>
      </c>
      <c r="M59" s="75"/>
      <c r="N59" s="70"/>
      <c r="O59" s="77" t="s">
        <v>179</v>
      </c>
      <c r="P59" s="79">
        <v>45002.994803240741</v>
      </c>
      <c r="Q59" s="77" t="s">
        <v>1344</v>
      </c>
      <c r="R59" s="77">
        <v>0</v>
      </c>
      <c r="S59" s="77">
        <v>0</v>
      </c>
      <c r="T59" s="77">
        <v>0</v>
      </c>
      <c r="U59" s="77">
        <v>0</v>
      </c>
      <c r="V59" s="77">
        <v>14</v>
      </c>
      <c r="W59" s="82" t="s">
        <v>5282</v>
      </c>
      <c r="X59" s="77"/>
      <c r="Y59" s="77"/>
      <c r="Z59" s="77"/>
      <c r="AA59" s="77"/>
      <c r="AB59" s="77"/>
      <c r="AC59" s="82" t="s">
        <v>10146</v>
      </c>
      <c r="AD59" s="77" t="s">
        <v>10184</v>
      </c>
      <c r="AE59" s="80" t="str">
        <f>HYPERLINK("https://twitter.com/pamela_val01/status/1636878209286275077")</f>
        <v>https://twitter.com/pamela_val01/status/1636878209286275077</v>
      </c>
      <c r="AF59" s="79">
        <v>45002.994803240741</v>
      </c>
      <c r="AG59" s="85">
        <v>45002</v>
      </c>
      <c r="AH59" s="82" t="s">
        <v>10255</v>
      </c>
      <c r="AI59" s="77"/>
      <c r="AJ59" s="77"/>
      <c r="AK59" s="77"/>
      <c r="AL59" s="77"/>
      <c r="AM59" s="77"/>
      <c r="AN59" s="77"/>
      <c r="AO59" s="77"/>
      <c r="AP59" s="77"/>
      <c r="AQ59" s="77"/>
      <c r="AR59" s="77"/>
      <c r="AS59" s="77"/>
      <c r="AT59" s="77"/>
      <c r="AU59" s="77"/>
      <c r="AV59" s="80" t="str">
        <f>HYPERLINK("https://pbs.twimg.com/profile_images/1585974736777101313/eqqbwdcI_normal.jpg")</f>
        <v>https://pbs.twimg.com/profile_images/1585974736777101313/eqqbwdcI_normal.jpg</v>
      </c>
      <c r="AW59" s="82" t="s">
        <v>16832</v>
      </c>
      <c r="AX59" s="82" t="s">
        <v>16832</v>
      </c>
      <c r="AY59" s="77"/>
      <c r="AZ59" s="82" t="s">
        <v>20971</v>
      </c>
      <c r="BA59" s="82" t="s">
        <v>20971</v>
      </c>
      <c r="BB59" s="82" t="s">
        <v>20971</v>
      </c>
      <c r="BC59" s="82" t="s">
        <v>16832</v>
      </c>
      <c r="BD59" s="82" t="s">
        <v>21029</v>
      </c>
      <c r="BE59" s="77"/>
      <c r="BF59" s="77"/>
      <c r="BG59" s="77"/>
      <c r="BH59" s="77"/>
      <c r="BI59" s="77"/>
    </row>
    <row r="60" spans="1:61" x14ac:dyDescent="0.25">
      <c r="A60" s="62" t="s">
        <v>250</v>
      </c>
      <c r="B60" s="62" t="s">
        <v>250</v>
      </c>
      <c r="C60" s="63"/>
      <c r="D60" s="64"/>
      <c r="E60" s="65"/>
      <c r="F60" s="66"/>
      <c r="G60" s="63"/>
      <c r="H60" s="67"/>
      <c r="I60" s="68"/>
      <c r="J60" s="68"/>
      <c r="K60" s="32"/>
      <c r="L60" s="75">
        <v>60</v>
      </c>
      <c r="M60" s="75"/>
      <c r="N60" s="70"/>
      <c r="O60" s="77" t="s">
        <v>179</v>
      </c>
      <c r="P60" s="79">
        <v>45019.531863425924</v>
      </c>
      <c r="Q60" s="77" t="s">
        <v>1345</v>
      </c>
      <c r="R60" s="77">
        <v>0</v>
      </c>
      <c r="S60" s="77">
        <v>0</v>
      </c>
      <c r="T60" s="77">
        <v>0</v>
      </c>
      <c r="U60" s="77">
        <v>0</v>
      </c>
      <c r="V60" s="77">
        <v>20</v>
      </c>
      <c r="W60" s="82" t="s">
        <v>5283</v>
      </c>
      <c r="X60" s="77"/>
      <c r="Y60" s="77"/>
      <c r="Z60" s="77"/>
      <c r="AA60" s="77"/>
      <c r="AB60" s="77"/>
      <c r="AC60" s="82" t="s">
        <v>10146</v>
      </c>
      <c r="AD60" s="77" t="s">
        <v>10184</v>
      </c>
      <c r="AE60" s="80" t="str">
        <f>HYPERLINK("https://twitter.com/pamela_val01/status/1642871037246185473")</f>
        <v>https://twitter.com/pamela_val01/status/1642871037246185473</v>
      </c>
      <c r="AF60" s="79">
        <v>45019.531863425924</v>
      </c>
      <c r="AG60" s="85">
        <v>45019</v>
      </c>
      <c r="AH60" s="82" t="s">
        <v>10256</v>
      </c>
      <c r="AI60" s="77"/>
      <c r="AJ60" s="77"/>
      <c r="AK60" s="77"/>
      <c r="AL60" s="77"/>
      <c r="AM60" s="77"/>
      <c r="AN60" s="77"/>
      <c r="AO60" s="77"/>
      <c r="AP60" s="77"/>
      <c r="AQ60" s="77"/>
      <c r="AR60" s="77"/>
      <c r="AS60" s="77"/>
      <c r="AT60" s="77"/>
      <c r="AU60" s="77"/>
      <c r="AV60" s="80" t="str">
        <f>HYPERLINK("https://pbs.twimg.com/profile_images/1585974736777101313/eqqbwdcI_normal.jpg")</f>
        <v>https://pbs.twimg.com/profile_images/1585974736777101313/eqqbwdcI_normal.jpg</v>
      </c>
      <c r="AW60" s="82" t="s">
        <v>16833</v>
      </c>
      <c r="AX60" s="82" t="s">
        <v>16833</v>
      </c>
      <c r="AY60" s="77"/>
      <c r="AZ60" s="82" t="s">
        <v>20971</v>
      </c>
      <c r="BA60" s="82" t="s">
        <v>20971</v>
      </c>
      <c r="BB60" s="82" t="s">
        <v>20971</v>
      </c>
      <c r="BC60" s="82" t="s">
        <v>16833</v>
      </c>
      <c r="BD60" s="82" t="s">
        <v>21029</v>
      </c>
      <c r="BE60" s="77"/>
      <c r="BF60" s="77"/>
      <c r="BG60" s="77"/>
      <c r="BH60" s="77"/>
      <c r="BI60" s="77"/>
    </row>
    <row r="61" spans="1:61" x14ac:dyDescent="0.25">
      <c r="A61" s="62" t="s">
        <v>250</v>
      </c>
      <c r="B61" s="62" t="s">
        <v>250</v>
      </c>
      <c r="C61" s="63"/>
      <c r="D61" s="64"/>
      <c r="E61" s="65"/>
      <c r="F61" s="66"/>
      <c r="G61" s="63"/>
      <c r="H61" s="67"/>
      <c r="I61" s="68"/>
      <c r="J61" s="68"/>
      <c r="K61" s="32"/>
      <c r="L61" s="75">
        <v>61</v>
      </c>
      <c r="M61" s="75"/>
      <c r="N61" s="70"/>
      <c r="O61" s="77" t="s">
        <v>179</v>
      </c>
      <c r="P61" s="79">
        <v>45000.80300925926</v>
      </c>
      <c r="Q61" s="77" t="s">
        <v>1346</v>
      </c>
      <c r="R61" s="77">
        <v>0</v>
      </c>
      <c r="S61" s="77">
        <v>0</v>
      </c>
      <c r="T61" s="77">
        <v>1</v>
      </c>
      <c r="U61" s="77">
        <v>0</v>
      </c>
      <c r="V61" s="77">
        <v>17</v>
      </c>
      <c r="W61" s="82" t="s">
        <v>5284</v>
      </c>
      <c r="X61" s="77"/>
      <c r="Y61" s="77"/>
      <c r="Z61" s="77"/>
      <c r="AA61" s="77"/>
      <c r="AB61" s="77"/>
      <c r="AC61" s="82" t="s">
        <v>10146</v>
      </c>
      <c r="AD61" s="77" t="s">
        <v>10184</v>
      </c>
      <c r="AE61" s="80" t="str">
        <f>HYPERLINK("https://twitter.com/pamela_val01/status/1636083931077390339")</f>
        <v>https://twitter.com/pamela_val01/status/1636083931077390339</v>
      </c>
      <c r="AF61" s="79">
        <v>45000.80300925926</v>
      </c>
      <c r="AG61" s="85">
        <v>45000</v>
      </c>
      <c r="AH61" s="82" t="s">
        <v>10257</v>
      </c>
      <c r="AI61" s="77"/>
      <c r="AJ61" s="77"/>
      <c r="AK61" s="77"/>
      <c r="AL61" s="77"/>
      <c r="AM61" s="77"/>
      <c r="AN61" s="77"/>
      <c r="AO61" s="77"/>
      <c r="AP61" s="77"/>
      <c r="AQ61" s="77"/>
      <c r="AR61" s="77"/>
      <c r="AS61" s="77"/>
      <c r="AT61" s="77"/>
      <c r="AU61" s="77"/>
      <c r="AV61" s="80" t="str">
        <f>HYPERLINK("https://pbs.twimg.com/profile_images/1585974736777101313/eqqbwdcI_normal.jpg")</f>
        <v>https://pbs.twimg.com/profile_images/1585974736777101313/eqqbwdcI_normal.jpg</v>
      </c>
      <c r="AW61" s="82" t="s">
        <v>16834</v>
      </c>
      <c r="AX61" s="82" t="s">
        <v>16834</v>
      </c>
      <c r="AY61" s="77"/>
      <c r="AZ61" s="82" t="s">
        <v>20971</v>
      </c>
      <c r="BA61" s="82" t="s">
        <v>20971</v>
      </c>
      <c r="BB61" s="82" t="s">
        <v>20971</v>
      </c>
      <c r="BC61" s="82" t="s">
        <v>16834</v>
      </c>
      <c r="BD61" s="82" t="s">
        <v>21029</v>
      </c>
      <c r="BE61" s="77"/>
      <c r="BF61" s="77"/>
      <c r="BG61" s="77"/>
      <c r="BH61" s="77"/>
      <c r="BI61" s="77"/>
    </row>
    <row r="62" spans="1:61" x14ac:dyDescent="0.25">
      <c r="A62" s="62" t="s">
        <v>251</v>
      </c>
      <c r="B62" s="62" t="s">
        <v>251</v>
      </c>
      <c r="C62" s="63"/>
      <c r="D62" s="64"/>
      <c r="E62" s="65"/>
      <c r="F62" s="66"/>
      <c r="G62" s="63"/>
      <c r="H62" s="67"/>
      <c r="I62" s="68"/>
      <c r="J62" s="68"/>
      <c r="K62" s="32"/>
      <c r="L62" s="75">
        <v>62</v>
      </c>
      <c r="M62" s="75"/>
      <c r="N62" s="70"/>
      <c r="O62" s="77" t="s">
        <v>179</v>
      </c>
      <c r="P62" s="79">
        <v>44957.691192129627</v>
      </c>
      <c r="Q62" s="77" t="s">
        <v>1347</v>
      </c>
      <c r="R62" s="77">
        <v>0</v>
      </c>
      <c r="S62" s="77">
        <v>0</v>
      </c>
      <c r="T62" s="77">
        <v>0</v>
      </c>
      <c r="U62" s="77">
        <v>0</v>
      </c>
      <c r="V62" s="77">
        <v>20</v>
      </c>
      <c r="W62" s="82" t="s">
        <v>5285</v>
      </c>
      <c r="X62" s="80" t="str">
        <f>HYPERLINK("https://link.medium.com/pUe4tr1C2wb")</f>
        <v>https://link.medium.com/pUe4tr1C2wb</v>
      </c>
      <c r="Y62" s="77" t="s">
        <v>7257</v>
      </c>
      <c r="Z62" s="77"/>
      <c r="AA62" s="77"/>
      <c r="AB62" s="77"/>
      <c r="AC62" s="82" t="s">
        <v>10146</v>
      </c>
      <c r="AD62" s="77" t="s">
        <v>10184</v>
      </c>
      <c r="AE62" s="80" t="str">
        <f>HYPERLINK("https://twitter.com/criptomonof/status/1620460731765489665")</f>
        <v>https://twitter.com/criptomonof/status/1620460731765489665</v>
      </c>
      <c r="AF62" s="79">
        <v>44957.691192129627</v>
      </c>
      <c r="AG62" s="85">
        <v>44957</v>
      </c>
      <c r="AH62" s="82" t="s">
        <v>10258</v>
      </c>
      <c r="AI62" s="77" t="b">
        <v>0</v>
      </c>
      <c r="AJ62" s="77"/>
      <c r="AK62" s="77"/>
      <c r="AL62" s="77"/>
      <c r="AM62" s="77"/>
      <c r="AN62" s="77"/>
      <c r="AO62" s="77"/>
      <c r="AP62" s="77"/>
      <c r="AQ62" s="77"/>
      <c r="AR62" s="77"/>
      <c r="AS62" s="77"/>
      <c r="AT62" s="77"/>
      <c r="AU62" s="77"/>
      <c r="AV62" s="80" t="str">
        <f>HYPERLINK("https://pbs.twimg.com/profile_images/1579313407823675394/RKfjtibm_normal.jpg")</f>
        <v>https://pbs.twimg.com/profile_images/1579313407823675394/RKfjtibm_normal.jpg</v>
      </c>
      <c r="AW62" s="82" t="s">
        <v>16835</v>
      </c>
      <c r="AX62" s="82" t="s">
        <v>16835</v>
      </c>
      <c r="AY62" s="77"/>
      <c r="AZ62" s="82" t="s">
        <v>20971</v>
      </c>
      <c r="BA62" s="82" t="s">
        <v>20971</v>
      </c>
      <c r="BB62" s="82" t="s">
        <v>20971</v>
      </c>
      <c r="BC62" s="82" t="s">
        <v>16835</v>
      </c>
      <c r="BD62" s="82" t="s">
        <v>21030</v>
      </c>
      <c r="BE62" s="77"/>
      <c r="BF62" s="77"/>
      <c r="BG62" s="77"/>
      <c r="BH62" s="77"/>
      <c r="BI62" s="77"/>
    </row>
    <row r="63" spans="1:61" x14ac:dyDescent="0.25">
      <c r="A63" s="62" t="s">
        <v>252</v>
      </c>
      <c r="B63" s="62" t="s">
        <v>252</v>
      </c>
      <c r="C63" s="63"/>
      <c r="D63" s="64"/>
      <c r="E63" s="65"/>
      <c r="F63" s="66"/>
      <c r="G63" s="63"/>
      <c r="H63" s="67"/>
      <c r="I63" s="68"/>
      <c r="J63" s="68"/>
      <c r="K63" s="32"/>
      <c r="L63" s="75">
        <v>63</v>
      </c>
      <c r="M63" s="75"/>
      <c r="N63" s="70"/>
      <c r="O63" s="77" t="s">
        <v>179</v>
      </c>
      <c r="P63" s="79">
        <v>44995.603668981479</v>
      </c>
      <c r="Q63" s="77" t="s">
        <v>1348</v>
      </c>
      <c r="R63" s="77">
        <v>0</v>
      </c>
      <c r="S63" s="77">
        <v>0</v>
      </c>
      <c r="T63" s="77">
        <v>0</v>
      </c>
      <c r="U63" s="77">
        <v>0</v>
      </c>
      <c r="V63" s="77">
        <v>61</v>
      </c>
      <c r="W63" s="82" t="s">
        <v>5286</v>
      </c>
      <c r="X63" s="77"/>
      <c r="Y63" s="77"/>
      <c r="Z63" s="77"/>
      <c r="AA63" s="77"/>
      <c r="AB63" s="77"/>
      <c r="AC63" s="82" t="s">
        <v>10146</v>
      </c>
      <c r="AD63" s="77" t="s">
        <v>10184</v>
      </c>
      <c r="AE63" s="80" t="str">
        <f>HYPERLINK("https://twitter.com/vanessacunha381/status/1634199752894996481")</f>
        <v>https://twitter.com/vanessacunha381/status/1634199752894996481</v>
      </c>
      <c r="AF63" s="79">
        <v>44995.603668981479</v>
      </c>
      <c r="AG63" s="85">
        <v>44995</v>
      </c>
      <c r="AH63" s="82" t="s">
        <v>10259</v>
      </c>
      <c r="AI63" s="77"/>
      <c r="AJ63" s="77"/>
      <c r="AK63" s="77"/>
      <c r="AL63" s="77"/>
      <c r="AM63" s="77"/>
      <c r="AN63" s="77"/>
      <c r="AO63" s="77"/>
      <c r="AP63" s="77"/>
      <c r="AQ63" s="77"/>
      <c r="AR63" s="77"/>
      <c r="AS63" s="77"/>
      <c r="AT63" s="77"/>
      <c r="AU63" s="77"/>
      <c r="AV63" s="80" t="str">
        <f>HYPERLINK("https://pbs.twimg.com/profile_images/1703099417606144000/aHLV8A3I_normal.jpg")</f>
        <v>https://pbs.twimg.com/profile_images/1703099417606144000/aHLV8A3I_normal.jpg</v>
      </c>
      <c r="AW63" s="82" t="s">
        <v>16836</v>
      </c>
      <c r="AX63" s="82" t="s">
        <v>16836</v>
      </c>
      <c r="AY63" s="77"/>
      <c r="AZ63" s="82" t="s">
        <v>20971</v>
      </c>
      <c r="BA63" s="82" t="s">
        <v>20971</v>
      </c>
      <c r="BB63" s="82" t="s">
        <v>20971</v>
      </c>
      <c r="BC63" s="82" t="s">
        <v>16836</v>
      </c>
      <c r="BD63" s="82" t="s">
        <v>21031</v>
      </c>
      <c r="BE63" s="77"/>
      <c r="BF63" s="77"/>
      <c r="BG63" s="77"/>
      <c r="BH63" s="77"/>
      <c r="BI63" s="77"/>
    </row>
    <row r="64" spans="1:61" x14ac:dyDescent="0.25">
      <c r="A64" s="62" t="s">
        <v>253</v>
      </c>
      <c r="B64" s="62" t="s">
        <v>253</v>
      </c>
      <c r="C64" s="63"/>
      <c r="D64" s="64"/>
      <c r="E64" s="65"/>
      <c r="F64" s="66"/>
      <c r="G64" s="63"/>
      <c r="H64" s="67"/>
      <c r="I64" s="68"/>
      <c r="J64" s="68"/>
      <c r="K64" s="32"/>
      <c r="L64" s="75">
        <v>64</v>
      </c>
      <c r="M64" s="75"/>
      <c r="N64" s="70"/>
      <c r="O64" s="77" t="s">
        <v>179</v>
      </c>
      <c r="P64" s="79">
        <v>45069.982037037036</v>
      </c>
      <c r="Q64" s="80" t="str">
        <f>HYPERLINK("https://t.co/vRZ1mPtKuR
#rendaextra")</f>
        <v>https://t.co/vRZ1mPtKuR
#rendaextra</v>
      </c>
      <c r="R64" s="77">
        <v>0</v>
      </c>
      <c r="S64" s="77">
        <v>1</v>
      </c>
      <c r="T64" s="77">
        <v>1</v>
      </c>
      <c r="U64" s="77">
        <v>0</v>
      </c>
      <c r="V64" s="77">
        <v>9</v>
      </c>
      <c r="W64" s="82" t="s">
        <v>5236</v>
      </c>
      <c r="X64" s="80" t="str">
        <f>HYPERLINK("https://5017777.com/?id=74131374")</f>
        <v>https://5017777.com/?id=74131374</v>
      </c>
      <c r="Y64" s="77" t="s">
        <v>7258</v>
      </c>
      <c r="Z64" s="77"/>
      <c r="AA64" s="77"/>
      <c r="AB64" s="77"/>
      <c r="AC64" s="82" t="s">
        <v>10144</v>
      </c>
      <c r="AD64" s="77" t="s">
        <v>10183</v>
      </c>
      <c r="AE64" s="80" t="str">
        <f>HYPERLINK("https://twitter.com/zannynhamaria/status/1661153571604430849")</f>
        <v>https://twitter.com/zannynhamaria/status/1661153571604430849</v>
      </c>
      <c r="AF64" s="79">
        <v>45069.982037037036</v>
      </c>
      <c r="AG64" s="85">
        <v>45069</v>
      </c>
      <c r="AH64" s="82" t="s">
        <v>10260</v>
      </c>
      <c r="AI64" s="77" t="b">
        <v>0</v>
      </c>
      <c r="AJ64" s="77"/>
      <c r="AK64" s="77"/>
      <c r="AL64" s="77"/>
      <c r="AM64" s="77"/>
      <c r="AN64" s="77"/>
      <c r="AO64" s="77"/>
      <c r="AP64" s="77"/>
      <c r="AQ64" s="77"/>
      <c r="AR64" s="77"/>
      <c r="AS64" s="77"/>
      <c r="AT64" s="77"/>
      <c r="AU64" s="77"/>
      <c r="AV64" s="80" t="str">
        <f>HYPERLINK("https://pbs.twimg.com/profile_images/1691263408480354304/EYRsTpHE_normal.jpg")</f>
        <v>https://pbs.twimg.com/profile_images/1691263408480354304/EYRsTpHE_normal.jpg</v>
      </c>
      <c r="AW64" s="82" t="s">
        <v>16837</v>
      </c>
      <c r="AX64" s="82" t="s">
        <v>16837</v>
      </c>
      <c r="AY64" s="77"/>
      <c r="AZ64" s="82" t="s">
        <v>20971</v>
      </c>
      <c r="BA64" s="82" t="s">
        <v>20971</v>
      </c>
      <c r="BB64" s="82" t="s">
        <v>20971</v>
      </c>
      <c r="BC64" s="82" t="s">
        <v>16837</v>
      </c>
      <c r="BD64" s="82" t="s">
        <v>21032</v>
      </c>
      <c r="BE64" s="77"/>
      <c r="BF64" s="77"/>
      <c r="BG64" s="77"/>
      <c r="BH64" s="77"/>
      <c r="BI64" s="77"/>
    </row>
    <row r="65" spans="1:61" x14ac:dyDescent="0.25">
      <c r="A65" s="62" t="s">
        <v>254</v>
      </c>
      <c r="B65" s="62" t="s">
        <v>254</v>
      </c>
      <c r="C65" s="63"/>
      <c r="D65" s="64"/>
      <c r="E65" s="65"/>
      <c r="F65" s="66"/>
      <c r="G65" s="63"/>
      <c r="H65" s="67"/>
      <c r="I65" s="68"/>
      <c r="J65" s="68"/>
      <c r="K65" s="32"/>
      <c r="L65" s="75">
        <v>65</v>
      </c>
      <c r="M65" s="75"/>
      <c r="N65" s="70"/>
      <c r="O65" s="77" t="s">
        <v>179</v>
      </c>
      <c r="P65" s="79">
        <v>45057.882037037038</v>
      </c>
      <c r="Q65" s="77" t="s">
        <v>1349</v>
      </c>
      <c r="R65" s="77">
        <v>0</v>
      </c>
      <c r="S65" s="77">
        <v>0</v>
      </c>
      <c r="T65" s="77">
        <v>0</v>
      </c>
      <c r="U65" s="77">
        <v>0</v>
      </c>
      <c r="V65" s="77">
        <v>54</v>
      </c>
      <c r="W65" s="82" t="s">
        <v>5287</v>
      </c>
      <c r="X65" s="80" t="str">
        <f>HYPERLINK("https://fvpremiacoes.com.br/")</f>
        <v>https://fvpremiacoes.com.br/</v>
      </c>
      <c r="Y65" s="77" t="s">
        <v>7252</v>
      </c>
      <c r="Z65" s="77"/>
      <c r="AA65" s="77" t="s">
        <v>7550</v>
      </c>
      <c r="AB65" s="77" t="s">
        <v>10130</v>
      </c>
      <c r="AC65" s="82" t="s">
        <v>10144</v>
      </c>
      <c r="AD65" s="77" t="s">
        <v>10184</v>
      </c>
      <c r="AE65" s="80" t="str">
        <f>HYPERLINK("https://twitter.com/vvgualberto/status/1656768677633458176")</f>
        <v>https://twitter.com/vvgualberto/status/1656768677633458176</v>
      </c>
      <c r="AF65" s="79">
        <v>45057.882037037038</v>
      </c>
      <c r="AG65" s="85">
        <v>45057</v>
      </c>
      <c r="AH65" s="82" t="s">
        <v>10261</v>
      </c>
      <c r="AI65" s="77" t="b">
        <v>0</v>
      </c>
      <c r="AJ65" s="77"/>
      <c r="AK65" s="77"/>
      <c r="AL65" s="77"/>
      <c r="AM65" s="77"/>
      <c r="AN65" s="77"/>
      <c r="AO65" s="77"/>
      <c r="AP65" s="77"/>
      <c r="AQ65" s="77" t="s">
        <v>14194</v>
      </c>
      <c r="AR65" s="77"/>
      <c r="AS65" s="77"/>
      <c r="AT65" s="77"/>
      <c r="AU65" s="77"/>
      <c r="AV65" s="80" t="str">
        <f>HYPERLINK("https://pbs.twimg.com/media/Fv4GVOXXwAASrr9.jpg")</f>
        <v>https://pbs.twimg.com/media/Fv4GVOXXwAASrr9.jpg</v>
      </c>
      <c r="AW65" s="82" t="s">
        <v>16838</v>
      </c>
      <c r="AX65" s="82" t="s">
        <v>16838</v>
      </c>
      <c r="AY65" s="77"/>
      <c r="AZ65" s="82" t="s">
        <v>20971</v>
      </c>
      <c r="BA65" s="82" t="s">
        <v>20971</v>
      </c>
      <c r="BB65" s="82" t="s">
        <v>20971</v>
      </c>
      <c r="BC65" s="82" t="s">
        <v>16838</v>
      </c>
      <c r="BD65" s="82" t="s">
        <v>21033</v>
      </c>
      <c r="BE65" s="77"/>
      <c r="BF65" s="77"/>
      <c r="BG65" s="77"/>
      <c r="BH65" s="77"/>
      <c r="BI65" s="77"/>
    </row>
    <row r="66" spans="1:61" x14ac:dyDescent="0.25">
      <c r="A66" s="62" t="s">
        <v>255</v>
      </c>
      <c r="B66" s="62" t="s">
        <v>255</v>
      </c>
      <c r="C66" s="63"/>
      <c r="D66" s="64"/>
      <c r="E66" s="65"/>
      <c r="F66" s="66"/>
      <c r="G66" s="63"/>
      <c r="H66" s="67"/>
      <c r="I66" s="68"/>
      <c r="J66" s="68"/>
      <c r="K66" s="32"/>
      <c r="L66" s="75">
        <v>66</v>
      </c>
      <c r="M66" s="75"/>
      <c r="N66" s="70"/>
      <c r="O66" s="77" t="s">
        <v>179</v>
      </c>
      <c r="P66" s="79">
        <v>45129.723599537036</v>
      </c>
      <c r="Q66" s="77" t="s">
        <v>1350</v>
      </c>
      <c r="R66" s="77">
        <v>0</v>
      </c>
      <c r="S66" s="77">
        <v>0</v>
      </c>
      <c r="T66" s="77">
        <v>0</v>
      </c>
      <c r="U66" s="77">
        <v>0</v>
      </c>
      <c r="V66" s="77">
        <v>69</v>
      </c>
      <c r="W66" s="82" t="s">
        <v>5288</v>
      </c>
      <c r="X66" s="80" t="str">
        <f>HYPERLINK("https://poplottery.com/#/register?r_code=QvY3N722539")</f>
        <v>https://poplottery.com/#/register?r_code=QvY3N722539</v>
      </c>
      <c r="Y66" s="77" t="s">
        <v>7259</v>
      </c>
      <c r="Z66" s="77"/>
      <c r="AA66" s="77" t="s">
        <v>7551</v>
      </c>
      <c r="AB66" s="77" t="s">
        <v>10131</v>
      </c>
      <c r="AC66" s="82" t="s">
        <v>10144</v>
      </c>
      <c r="AD66" s="77" t="s">
        <v>10184</v>
      </c>
      <c r="AE66" s="80" t="str">
        <f>HYPERLINK("https://twitter.com/rendaextraslots/status/1682803186875215872")</f>
        <v>https://twitter.com/rendaextraslots/status/1682803186875215872</v>
      </c>
      <c r="AF66" s="79">
        <v>45129.723599537036</v>
      </c>
      <c r="AG66" s="85">
        <v>45129</v>
      </c>
      <c r="AH66" s="82" t="s">
        <v>10262</v>
      </c>
      <c r="AI66" s="77" t="b">
        <v>0</v>
      </c>
      <c r="AJ66" s="77"/>
      <c r="AK66" s="77"/>
      <c r="AL66" s="77"/>
      <c r="AM66" s="77"/>
      <c r="AN66" s="77"/>
      <c r="AO66" s="77"/>
      <c r="AP66" s="77"/>
      <c r="AQ66" s="77" t="s">
        <v>14195</v>
      </c>
      <c r="AR66" s="77"/>
      <c r="AS66" s="77"/>
      <c r="AT66" s="77"/>
      <c r="AU66" s="77"/>
      <c r="AV66" s="80" t="str">
        <f>HYPERLINK("https://pbs.twimg.com/media/F1qEhUMX0AE848d.jpg")</f>
        <v>https://pbs.twimg.com/media/F1qEhUMX0AE848d.jpg</v>
      </c>
      <c r="AW66" s="82" t="s">
        <v>16839</v>
      </c>
      <c r="AX66" s="82" t="s">
        <v>16839</v>
      </c>
      <c r="AY66" s="77"/>
      <c r="AZ66" s="82" t="s">
        <v>20971</v>
      </c>
      <c r="BA66" s="82" t="s">
        <v>20971</v>
      </c>
      <c r="BB66" s="82" t="s">
        <v>20971</v>
      </c>
      <c r="BC66" s="82" t="s">
        <v>16839</v>
      </c>
      <c r="BD66" s="82" t="s">
        <v>21034</v>
      </c>
      <c r="BE66" s="77"/>
      <c r="BF66" s="77"/>
      <c r="BG66" s="77"/>
      <c r="BH66" s="77"/>
      <c r="BI66" s="77"/>
    </row>
    <row r="67" spans="1:61" x14ac:dyDescent="0.25">
      <c r="A67" s="62" t="s">
        <v>256</v>
      </c>
      <c r="B67" s="62" t="s">
        <v>256</v>
      </c>
      <c r="C67" s="63"/>
      <c r="D67" s="64"/>
      <c r="E67" s="65"/>
      <c r="F67" s="66"/>
      <c r="G67" s="63"/>
      <c r="H67" s="67"/>
      <c r="I67" s="68"/>
      <c r="J67" s="68"/>
      <c r="K67" s="32"/>
      <c r="L67" s="75">
        <v>67</v>
      </c>
      <c r="M67" s="75"/>
      <c r="N67" s="70"/>
      <c r="O67" s="77" t="s">
        <v>1285</v>
      </c>
      <c r="P67" s="79">
        <v>45112.856874999998</v>
      </c>
      <c r="Q67" s="77" t="s">
        <v>1351</v>
      </c>
      <c r="R67" s="77">
        <v>0</v>
      </c>
      <c r="S67" s="77">
        <v>0</v>
      </c>
      <c r="T67" s="77">
        <v>0</v>
      </c>
      <c r="U67" s="77">
        <v>0</v>
      </c>
      <c r="V67" s="77">
        <v>11</v>
      </c>
      <c r="W67" s="82" t="s">
        <v>5289</v>
      </c>
      <c r="X67" s="77"/>
      <c r="Y67" s="77"/>
      <c r="Z67" s="77" t="s">
        <v>256</v>
      </c>
      <c r="AA67" s="77" t="s">
        <v>7552</v>
      </c>
      <c r="AB67" s="77" t="s">
        <v>10129</v>
      </c>
      <c r="AC67" s="82" t="s">
        <v>10144</v>
      </c>
      <c r="AD67" s="77" t="s">
        <v>10184</v>
      </c>
      <c r="AE67" s="80" t="str">
        <f>HYPERLINK("https://twitter.com/wesleybezerr12/status/1676690889639358464")</f>
        <v>https://twitter.com/wesleybezerr12/status/1676690889639358464</v>
      </c>
      <c r="AF67" s="79">
        <v>45112.856874999998</v>
      </c>
      <c r="AG67" s="85">
        <v>45112</v>
      </c>
      <c r="AH67" s="82" t="s">
        <v>10263</v>
      </c>
      <c r="AI67" s="77" t="b">
        <v>0</v>
      </c>
      <c r="AJ67" s="77" t="s">
        <v>14002</v>
      </c>
      <c r="AK67" s="77" t="s">
        <v>14033</v>
      </c>
      <c r="AL67" s="77" t="s">
        <v>14035</v>
      </c>
      <c r="AM67" s="77" t="s">
        <v>14044</v>
      </c>
      <c r="AN67" s="77" t="s">
        <v>14081</v>
      </c>
      <c r="AO67" s="77" t="s">
        <v>14119</v>
      </c>
      <c r="AP67" s="77" t="s">
        <v>14150</v>
      </c>
      <c r="AQ67" s="77" t="s">
        <v>14196</v>
      </c>
      <c r="AR67" s="77">
        <v>6433</v>
      </c>
      <c r="AS67" s="77"/>
      <c r="AT67" s="77"/>
      <c r="AU67" s="77"/>
      <c r="AV67" s="80" t="str">
        <f>HYPERLINK("https://pbs.twimg.com/ext_tw_video_thumb/1676690843036467200/pu/img/m_evDsf76b6McrIs.jpg")</f>
        <v>https://pbs.twimg.com/ext_tw_video_thumb/1676690843036467200/pu/img/m_evDsf76b6McrIs.jpg</v>
      </c>
      <c r="AW67" s="82" t="s">
        <v>16840</v>
      </c>
      <c r="AX67" s="82" t="s">
        <v>16840</v>
      </c>
      <c r="AY67" s="77"/>
      <c r="AZ67" s="82" t="s">
        <v>20971</v>
      </c>
      <c r="BA67" s="82" t="s">
        <v>20971</v>
      </c>
      <c r="BB67" s="82" t="s">
        <v>20971</v>
      </c>
      <c r="BC67" s="82" t="s">
        <v>16840</v>
      </c>
      <c r="BD67" s="82" t="s">
        <v>21035</v>
      </c>
      <c r="BE67" s="77"/>
      <c r="BF67" s="77"/>
      <c r="BG67" s="77"/>
      <c r="BH67" s="77"/>
      <c r="BI67" s="77"/>
    </row>
    <row r="68" spans="1:61" x14ac:dyDescent="0.25">
      <c r="A68" s="62" t="s">
        <v>257</v>
      </c>
      <c r="B68" s="62" t="s">
        <v>257</v>
      </c>
      <c r="C68" s="63"/>
      <c r="D68" s="64"/>
      <c r="E68" s="65"/>
      <c r="F68" s="66"/>
      <c r="G68" s="63"/>
      <c r="H68" s="67"/>
      <c r="I68" s="68"/>
      <c r="J68" s="68"/>
      <c r="K68" s="32"/>
      <c r="L68" s="75">
        <v>68</v>
      </c>
      <c r="M68" s="75"/>
      <c r="N68" s="70"/>
      <c r="O68" s="77" t="s">
        <v>179</v>
      </c>
      <c r="P68" s="79">
        <v>45085.122291666667</v>
      </c>
      <c r="Q68" s="77" t="s">
        <v>1352</v>
      </c>
      <c r="R68" s="77">
        <v>0</v>
      </c>
      <c r="S68" s="77">
        <v>0</v>
      </c>
      <c r="T68" s="77">
        <v>0</v>
      </c>
      <c r="U68" s="77">
        <v>0</v>
      </c>
      <c r="V68" s="77">
        <v>187</v>
      </c>
      <c r="W68" s="82" t="s">
        <v>5290</v>
      </c>
      <c r="X68" s="77"/>
      <c r="Y68" s="77"/>
      <c r="Z68" s="77"/>
      <c r="AA68" s="77"/>
      <c r="AB68" s="77"/>
      <c r="AC68" s="82" t="s">
        <v>10144</v>
      </c>
      <c r="AD68" s="77" t="s">
        <v>10184</v>
      </c>
      <c r="AE68" s="80" t="str">
        <f>HYPERLINK("https://twitter.com/vldmrhz/status/1666640214268190721")</f>
        <v>https://twitter.com/vldmrhz/status/1666640214268190721</v>
      </c>
      <c r="AF68" s="79">
        <v>45085.122291666667</v>
      </c>
      <c r="AG68" s="85">
        <v>45085</v>
      </c>
      <c r="AH68" s="82" t="s">
        <v>10264</v>
      </c>
      <c r="AI68" s="77"/>
      <c r="AJ68" s="77"/>
      <c r="AK68" s="77"/>
      <c r="AL68" s="77"/>
      <c r="AM68" s="77"/>
      <c r="AN68" s="77"/>
      <c r="AO68" s="77"/>
      <c r="AP68" s="77"/>
      <c r="AQ68" s="77"/>
      <c r="AR68" s="77"/>
      <c r="AS68" s="77"/>
      <c r="AT68" s="77"/>
      <c r="AU68" s="77"/>
      <c r="AV68" s="80" t="str">
        <f>HYPERLINK("https://pbs.twimg.com/profile_images/1589782559583600640/-BtjNMar_normal.jpg")</f>
        <v>https://pbs.twimg.com/profile_images/1589782559583600640/-BtjNMar_normal.jpg</v>
      </c>
      <c r="AW68" s="82" t="s">
        <v>16841</v>
      </c>
      <c r="AX68" s="82" t="s">
        <v>16841</v>
      </c>
      <c r="AY68" s="77"/>
      <c r="AZ68" s="82" t="s">
        <v>20971</v>
      </c>
      <c r="BA68" s="82" t="s">
        <v>20971</v>
      </c>
      <c r="BB68" s="82" t="s">
        <v>20971</v>
      </c>
      <c r="BC68" s="82" t="s">
        <v>16841</v>
      </c>
      <c r="BD68" s="82" t="s">
        <v>21036</v>
      </c>
      <c r="BE68" s="77"/>
      <c r="BF68" s="77"/>
      <c r="BG68" s="77"/>
      <c r="BH68" s="77"/>
      <c r="BI68" s="77"/>
    </row>
    <row r="69" spans="1:61" x14ac:dyDescent="0.25">
      <c r="A69" s="62" t="s">
        <v>258</v>
      </c>
      <c r="B69" s="62" t="s">
        <v>258</v>
      </c>
      <c r="C69" s="63"/>
      <c r="D69" s="64"/>
      <c r="E69" s="65"/>
      <c r="F69" s="66"/>
      <c r="G69" s="63"/>
      <c r="H69" s="67"/>
      <c r="I69" s="68"/>
      <c r="J69" s="68"/>
      <c r="K69" s="32"/>
      <c r="L69" s="75">
        <v>69</v>
      </c>
      <c r="M69" s="75"/>
      <c r="N69" s="70"/>
      <c r="O69" s="77" t="s">
        <v>179</v>
      </c>
      <c r="P69" s="79">
        <v>44957.662604166668</v>
      </c>
      <c r="Q69" s="77" t="s">
        <v>1353</v>
      </c>
      <c r="R69" s="77">
        <v>0</v>
      </c>
      <c r="S69" s="77">
        <v>4</v>
      </c>
      <c r="T69" s="77">
        <v>0</v>
      </c>
      <c r="U69" s="77">
        <v>0</v>
      </c>
      <c r="V69" s="77">
        <v>62</v>
      </c>
      <c r="W69" s="82" t="s">
        <v>5291</v>
      </c>
      <c r="X69" s="80" t="str">
        <f>HYPERLINK("https://hotm.art/FNO-TRABALHAR-EM-CASA")</f>
        <v>https://hotm.art/FNO-TRABALHAR-EM-CASA</v>
      </c>
      <c r="Y69" s="77" t="s">
        <v>7260</v>
      </c>
      <c r="Z69" s="77"/>
      <c r="AA69" s="77" t="s">
        <v>7553</v>
      </c>
      <c r="AB69" s="77" t="s">
        <v>10129</v>
      </c>
      <c r="AC69" s="82" t="s">
        <v>10146</v>
      </c>
      <c r="AD69" s="77" t="s">
        <v>10184</v>
      </c>
      <c r="AE69" s="80" t="str">
        <f>HYPERLINK("https://twitter.com/domuusaurea/status/1620450370827984899")</f>
        <v>https://twitter.com/domuusaurea/status/1620450370827984899</v>
      </c>
      <c r="AF69" s="79">
        <v>44957.662604166668</v>
      </c>
      <c r="AG69" s="85">
        <v>44957</v>
      </c>
      <c r="AH69" s="82" t="s">
        <v>10265</v>
      </c>
      <c r="AI69" s="77" t="b">
        <v>0</v>
      </c>
      <c r="AJ69" s="77"/>
      <c r="AK69" s="77"/>
      <c r="AL69" s="77"/>
      <c r="AM69" s="77"/>
      <c r="AN69" s="77"/>
      <c r="AO69" s="77"/>
      <c r="AP69" s="77"/>
      <c r="AQ69" s="77" t="s">
        <v>14197</v>
      </c>
      <c r="AR69" s="77">
        <v>48610</v>
      </c>
      <c r="AS69" s="77"/>
      <c r="AT69" s="77"/>
      <c r="AU69" s="77"/>
      <c r="AV69" s="80" t="str">
        <f>HYPERLINK("https://pbs.twimg.com/ext_tw_video_thumb/1620449610014629888/pu/img/oQ2LyTPaZxZ8xOHm.jpg")</f>
        <v>https://pbs.twimg.com/ext_tw_video_thumb/1620449610014629888/pu/img/oQ2LyTPaZxZ8xOHm.jpg</v>
      </c>
      <c r="AW69" s="82" t="s">
        <v>16842</v>
      </c>
      <c r="AX69" s="82" t="s">
        <v>16842</v>
      </c>
      <c r="AY69" s="77"/>
      <c r="AZ69" s="82" t="s">
        <v>20971</v>
      </c>
      <c r="BA69" s="82" t="s">
        <v>20971</v>
      </c>
      <c r="BB69" s="82" t="s">
        <v>20971</v>
      </c>
      <c r="BC69" s="82" t="s">
        <v>16842</v>
      </c>
      <c r="BD69" s="82" t="s">
        <v>21037</v>
      </c>
      <c r="BE69" s="77"/>
      <c r="BF69" s="77"/>
      <c r="BG69" s="77"/>
      <c r="BH69" s="77"/>
      <c r="BI69" s="77"/>
    </row>
    <row r="70" spans="1:61" x14ac:dyDescent="0.25">
      <c r="A70" s="62" t="s">
        <v>258</v>
      </c>
      <c r="B70" s="62" t="s">
        <v>258</v>
      </c>
      <c r="C70" s="63"/>
      <c r="D70" s="64"/>
      <c r="E70" s="65"/>
      <c r="F70" s="66"/>
      <c r="G70" s="63"/>
      <c r="H70" s="67"/>
      <c r="I70" s="68"/>
      <c r="J70" s="68"/>
      <c r="K70" s="32"/>
      <c r="L70" s="75">
        <v>70</v>
      </c>
      <c r="M70" s="75"/>
      <c r="N70" s="70"/>
      <c r="O70" s="77" t="s">
        <v>179</v>
      </c>
      <c r="P70" s="79">
        <v>44976.548958333333</v>
      </c>
      <c r="Q70" s="77" t="s">
        <v>1354</v>
      </c>
      <c r="R70" s="77">
        <v>0</v>
      </c>
      <c r="S70" s="77">
        <v>4</v>
      </c>
      <c r="T70" s="77">
        <v>0</v>
      </c>
      <c r="U70" s="77">
        <v>0</v>
      </c>
      <c r="V70" s="77">
        <v>34</v>
      </c>
      <c r="W70" s="82" t="s">
        <v>5292</v>
      </c>
      <c r="X70" s="80" t="str">
        <f>HYPERLINK("https://hotm.art/DINHEIRO-COM-OVOS-DE-PASCOA")</f>
        <v>https://hotm.art/DINHEIRO-COM-OVOS-DE-PASCOA</v>
      </c>
      <c r="Y70" s="77" t="s">
        <v>7260</v>
      </c>
      <c r="Z70" s="77"/>
      <c r="AA70" s="77" t="s">
        <v>7554</v>
      </c>
      <c r="AB70" s="77" t="s">
        <v>10130</v>
      </c>
      <c r="AC70" s="82" t="s">
        <v>10146</v>
      </c>
      <c r="AD70" s="77" t="s">
        <v>10184</v>
      </c>
      <c r="AE70" s="80" t="str">
        <f>HYPERLINK("https://twitter.com/domuusaurea/status/1627294557644660736")</f>
        <v>https://twitter.com/domuusaurea/status/1627294557644660736</v>
      </c>
      <c r="AF70" s="79">
        <v>44976.548958333333</v>
      </c>
      <c r="AG70" s="85">
        <v>44976</v>
      </c>
      <c r="AH70" s="82" t="s">
        <v>10266</v>
      </c>
      <c r="AI70" s="77" t="b">
        <v>0</v>
      </c>
      <c r="AJ70" s="77"/>
      <c r="AK70" s="77"/>
      <c r="AL70" s="77"/>
      <c r="AM70" s="77"/>
      <c r="AN70" s="77"/>
      <c r="AO70" s="77"/>
      <c r="AP70" s="77"/>
      <c r="AQ70" s="77" t="s">
        <v>14198</v>
      </c>
      <c r="AR70" s="77"/>
      <c r="AS70" s="77"/>
      <c r="AT70" s="77"/>
      <c r="AU70" s="77"/>
      <c r="AV70" s="80" t="str">
        <f>HYPERLINK("https://pbs.twimg.com/media/FpVPLVUWAAI0Dpv.jpg")</f>
        <v>https://pbs.twimg.com/media/FpVPLVUWAAI0Dpv.jpg</v>
      </c>
      <c r="AW70" s="82" t="s">
        <v>16843</v>
      </c>
      <c r="AX70" s="82" t="s">
        <v>16843</v>
      </c>
      <c r="AY70" s="77"/>
      <c r="AZ70" s="82" t="s">
        <v>20971</v>
      </c>
      <c r="BA70" s="82" t="s">
        <v>20971</v>
      </c>
      <c r="BB70" s="82" t="s">
        <v>20971</v>
      </c>
      <c r="BC70" s="82" t="s">
        <v>16843</v>
      </c>
      <c r="BD70" s="82" t="s">
        <v>21037</v>
      </c>
      <c r="BE70" s="77"/>
      <c r="BF70" s="77"/>
      <c r="BG70" s="77"/>
      <c r="BH70" s="77"/>
      <c r="BI70" s="77"/>
    </row>
    <row r="71" spans="1:61" x14ac:dyDescent="0.25">
      <c r="A71" s="62" t="s">
        <v>258</v>
      </c>
      <c r="B71" s="62" t="s">
        <v>258</v>
      </c>
      <c r="C71" s="63"/>
      <c r="D71" s="64"/>
      <c r="E71" s="65"/>
      <c r="F71" s="66"/>
      <c r="G71" s="63"/>
      <c r="H71" s="67"/>
      <c r="I71" s="68"/>
      <c r="J71" s="68"/>
      <c r="K71" s="32"/>
      <c r="L71" s="75">
        <v>71</v>
      </c>
      <c r="M71" s="75"/>
      <c r="N71" s="70"/>
      <c r="O71" s="77" t="s">
        <v>179</v>
      </c>
      <c r="P71" s="79">
        <v>44980.475578703707</v>
      </c>
      <c r="Q71" s="77" t="s">
        <v>1355</v>
      </c>
      <c r="R71" s="77">
        <v>0</v>
      </c>
      <c r="S71" s="77">
        <v>5</v>
      </c>
      <c r="T71" s="77">
        <v>1</v>
      </c>
      <c r="U71" s="77">
        <v>0</v>
      </c>
      <c r="V71" s="77">
        <v>206</v>
      </c>
      <c r="W71" s="82" t="s">
        <v>5293</v>
      </c>
      <c r="X71" s="80" t="str">
        <f>HYPERLINK("https://hotm.art/FNO-TRABALHAR-EM-CASA")</f>
        <v>https://hotm.art/FNO-TRABALHAR-EM-CASA</v>
      </c>
      <c r="Y71" s="77" t="s">
        <v>7260</v>
      </c>
      <c r="Z71" s="77"/>
      <c r="AA71" s="77" t="s">
        <v>7555</v>
      </c>
      <c r="AB71" s="77" t="s">
        <v>10129</v>
      </c>
      <c r="AC71" s="82" t="s">
        <v>10146</v>
      </c>
      <c r="AD71" s="77" t="s">
        <v>10184</v>
      </c>
      <c r="AE71" s="80" t="str">
        <f>HYPERLINK("https://twitter.com/domuusaurea/status/1628717514506076160")</f>
        <v>https://twitter.com/domuusaurea/status/1628717514506076160</v>
      </c>
      <c r="AF71" s="79">
        <v>44980.475578703707</v>
      </c>
      <c r="AG71" s="85">
        <v>44980</v>
      </c>
      <c r="AH71" s="82" t="s">
        <v>10267</v>
      </c>
      <c r="AI71" s="77" t="b">
        <v>0</v>
      </c>
      <c r="AJ71" s="77"/>
      <c r="AK71" s="77"/>
      <c r="AL71" s="77"/>
      <c r="AM71" s="77"/>
      <c r="AN71" s="77"/>
      <c r="AO71" s="77"/>
      <c r="AP71" s="77"/>
      <c r="AQ71" s="77" t="s">
        <v>14199</v>
      </c>
      <c r="AR71" s="77">
        <v>45310</v>
      </c>
      <c r="AS71" s="77"/>
      <c r="AT71" s="77"/>
      <c r="AU71" s="77"/>
      <c r="AV71" s="80" t="str">
        <f>HYPERLINK("https://pbs.twimg.com/ext_tw_video_thumb/1628716211159683075/pu/img/ElsklIqDrzc2gkG-.jpg")</f>
        <v>https://pbs.twimg.com/ext_tw_video_thumb/1628716211159683075/pu/img/ElsklIqDrzc2gkG-.jpg</v>
      </c>
      <c r="AW71" s="82" t="s">
        <v>16844</v>
      </c>
      <c r="AX71" s="82" t="s">
        <v>16844</v>
      </c>
      <c r="AY71" s="77"/>
      <c r="AZ71" s="82" t="s">
        <v>20971</v>
      </c>
      <c r="BA71" s="82" t="s">
        <v>20971</v>
      </c>
      <c r="BB71" s="82" t="s">
        <v>20971</v>
      </c>
      <c r="BC71" s="82" t="s">
        <v>16844</v>
      </c>
      <c r="BD71" s="82" t="s">
        <v>21037</v>
      </c>
      <c r="BE71" s="77"/>
      <c r="BF71" s="77"/>
      <c r="BG71" s="77"/>
      <c r="BH71" s="77"/>
      <c r="BI71" s="77"/>
    </row>
    <row r="72" spans="1:61" x14ac:dyDescent="0.25">
      <c r="A72" s="62" t="s">
        <v>258</v>
      </c>
      <c r="B72" s="62" t="s">
        <v>258</v>
      </c>
      <c r="C72" s="63"/>
      <c r="D72" s="64"/>
      <c r="E72" s="65"/>
      <c r="F72" s="66"/>
      <c r="G72" s="63"/>
      <c r="H72" s="67"/>
      <c r="I72" s="68"/>
      <c r="J72" s="68"/>
      <c r="K72" s="32"/>
      <c r="L72" s="75">
        <v>72</v>
      </c>
      <c r="M72" s="75"/>
      <c r="N72" s="70"/>
      <c r="O72" s="77" t="s">
        <v>179</v>
      </c>
      <c r="P72" s="79">
        <v>44963.528020833335</v>
      </c>
      <c r="Q72" s="77" t="s">
        <v>1356</v>
      </c>
      <c r="R72" s="77">
        <v>0</v>
      </c>
      <c r="S72" s="77">
        <v>4</v>
      </c>
      <c r="T72" s="77">
        <v>0</v>
      </c>
      <c r="U72" s="77">
        <v>0</v>
      </c>
      <c r="V72" s="77">
        <v>47</v>
      </c>
      <c r="W72" s="82" t="s">
        <v>5294</v>
      </c>
      <c r="X72" s="80" t="str">
        <f>HYPERLINK("https://hotm.art/FNO-TRABALHAR-EM-CASA")</f>
        <v>https://hotm.art/FNO-TRABALHAR-EM-CASA</v>
      </c>
      <c r="Y72" s="77" t="s">
        <v>7260</v>
      </c>
      <c r="Z72" s="77"/>
      <c r="AA72" s="77" t="s">
        <v>7556</v>
      </c>
      <c r="AB72" s="77" t="s">
        <v>10130</v>
      </c>
      <c r="AC72" s="82" t="s">
        <v>10146</v>
      </c>
      <c r="AD72" s="77" t="s">
        <v>10184</v>
      </c>
      <c r="AE72" s="80" t="str">
        <f>HYPERLINK("https://twitter.com/domuusaurea/status/1622575925631098882")</f>
        <v>https://twitter.com/domuusaurea/status/1622575925631098882</v>
      </c>
      <c r="AF72" s="79">
        <v>44963.528020833335</v>
      </c>
      <c r="AG72" s="85">
        <v>44963</v>
      </c>
      <c r="AH72" s="82" t="s">
        <v>10268</v>
      </c>
      <c r="AI72" s="77" t="b">
        <v>0</v>
      </c>
      <c r="AJ72" s="77"/>
      <c r="AK72" s="77"/>
      <c r="AL72" s="77"/>
      <c r="AM72" s="77"/>
      <c r="AN72" s="77"/>
      <c r="AO72" s="77"/>
      <c r="AP72" s="77"/>
      <c r="AQ72" s="77" t="s">
        <v>14200</v>
      </c>
      <c r="AR72" s="77"/>
      <c r="AS72" s="77"/>
      <c r="AT72" s="77"/>
      <c r="AU72" s="77"/>
      <c r="AV72" s="80" t="str">
        <f>HYPERLINK("https://pbs.twimg.com/media/FoSLo9PXwAA69dP.jpg")</f>
        <v>https://pbs.twimg.com/media/FoSLo9PXwAA69dP.jpg</v>
      </c>
      <c r="AW72" s="82" t="s">
        <v>16845</v>
      </c>
      <c r="AX72" s="82" t="s">
        <v>16845</v>
      </c>
      <c r="AY72" s="77"/>
      <c r="AZ72" s="82" t="s">
        <v>20971</v>
      </c>
      <c r="BA72" s="82" t="s">
        <v>20971</v>
      </c>
      <c r="BB72" s="82" t="s">
        <v>20971</v>
      </c>
      <c r="BC72" s="82" t="s">
        <v>16845</v>
      </c>
      <c r="BD72" s="82" t="s">
        <v>21037</v>
      </c>
      <c r="BE72" s="77"/>
      <c r="BF72" s="77"/>
      <c r="BG72" s="77"/>
      <c r="BH72" s="77"/>
      <c r="BI72" s="77"/>
    </row>
    <row r="73" spans="1:61" x14ac:dyDescent="0.25">
      <c r="A73" s="62" t="s">
        <v>258</v>
      </c>
      <c r="B73" s="62" t="s">
        <v>258</v>
      </c>
      <c r="C73" s="63"/>
      <c r="D73" s="64"/>
      <c r="E73" s="65"/>
      <c r="F73" s="66"/>
      <c r="G73" s="63"/>
      <c r="H73" s="67"/>
      <c r="I73" s="68"/>
      <c r="J73" s="68"/>
      <c r="K73" s="32"/>
      <c r="L73" s="75">
        <v>73</v>
      </c>
      <c r="M73" s="75"/>
      <c r="N73" s="70"/>
      <c r="O73" s="77" t="s">
        <v>179</v>
      </c>
      <c r="P73" s="79">
        <v>45044.753252314818</v>
      </c>
      <c r="Q73" s="77" t="s">
        <v>1357</v>
      </c>
      <c r="R73" s="77">
        <v>0</v>
      </c>
      <c r="S73" s="77">
        <v>3</v>
      </c>
      <c r="T73" s="77">
        <v>0</v>
      </c>
      <c r="U73" s="77">
        <v>0</v>
      </c>
      <c r="V73" s="77">
        <v>28</v>
      </c>
      <c r="W73" s="82" t="s">
        <v>5295</v>
      </c>
      <c r="X73" s="80" t="str">
        <f>HYPERLINK("https://hotm.art/FNO-TRABALHAR-EM-CASA")</f>
        <v>https://hotm.art/FNO-TRABALHAR-EM-CASA</v>
      </c>
      <c r="Y73" s="77" t="s">
        <v>7260</v>
      </c>
      <c r="Z73" s="77"/>
      <c r="AA73" s="77" t="s">
        <v>7557</v>
      </c>
      <c r="AB73" s="77" t="s">
        <v>10130</v>
      </c>
      <c r="AC73" s="82" t="s">
        <v>10146</v>
      </c>
      <c r="AD73" s="77" t="s">
        <v>10184</v>
      </c>
      <c r="AE73" s="80" t="str">
        <f>HYPERLINK("https://twitter.com/domuusaurea/status/1652010965943164930")</f>
        <v>https://twitter.com/domuusaurea/status/1652010965943164930</v>
      </c>
      <c r="AF73" s="79">
        <v>45044.753252314818</v>
      </c>
      <c r="AG73" s="85">
        <v>45044</v>
      </c>
      <c r="AH73" s="82" t="s">
        <v>10269</v>
      </c>
      <c r="AI73" s="77" t="b">
        <v>0</v>
      </c>
      <c r="AJ73" s="77"/>
      <c r="AK73" s="77"/>
      <c r="AL73" s="77"/>
      <c r="AM73" s="77"/>
      <c r="AN73" s="77"/>
      <c r="AO73" s="77"/>
      <c r="AP73" s="77"/>
      <c r="AQ73" s="77" t="s">
        <v>14201</v>
      </c>
      <c r="AR73" s="77"/>
      <c r="AS73" s="77"/>
      <c r="AT73" s="77"/>
      <c r="AU73" s="77"/>
      <c r="AV73" s="80" t="str">
        <f>HYPERLINK("https://pbs.twimg.com/media/Fu0eOf-WwAktgRL.jpg")</f>
        <v>https://pbs.twimg.com/media/Fu0eOf-WwAktgRL.jpg</v>
      </c>
      <c r="AW73" s="82" t="s">
        <v>16846</v>
      </c>
      <c r="AX73" s="82" t="s">
        <v>16846</v>
      </c>
      <c r="AY73" s="77"/>
      <c r="AZ73" s="82" t="s">
        <v>20971</v>
      </c>
      <c r="BA73" s="82" t="s">
        <v>20971</v>
      </c>
      <c r="BB73" s="82" t="s">
        <v>20971</v>
      </c>
      <c r="BC73" s="82" t="s">
        <v>16846</v>
      </c>
      <c r="BD73" s="82" t="s">
        <v>21037</v>
      </c>
      <c r="BE73" s="77"/>
      <c r="BF73" s="77"/>
      <c r="BG73" s="77"/>
      <c r="BH73" s="77"/>
      <c r="BI73" s="77"/>
    </row>
    <row r="74" spans="1:61" x14ac:dyDescent="0.25">
      <c r="A74" s="62" t="s">
        <v>258</v>
      </c>
      <c r="B74" s="62" t="s">
        <v>258</v>
      </c>
      <c r="C74" s="63"/>
      <c r="D74" s="64"/>
      <c r="E74" s="65"/>
      <c r="F74" s="66"/>
      <c r="G74" s="63"/>
      <c r="H74" s="67"/>
      <c r="I74" s="68"/>
      <c r="J74" s="68"/>
      <c r="K74" s="32"/>
      <c r="L74" s="75">
        <v>74</v>
      </c>
      <c r="M74" s="75"/>
      <c r="N74" s="70"/>
      <c r="O74" s="77" t="s">
        <v>179</v>
      </c>
      <c r="P74" s="79">
        <v>45054.917222222219</v>
      </c>
      <c r="Q74" s="77" t="s">
        <v>1358</v>
      </c>
      <c r="R74" s="77">
        <v>0</v>
      </c>
      <c r="S74" s="77">
        <v>3</v>
      </c>
      <c r="T74" s="77">
        <v>0</v>
      </c>
      <c r="U74" s="77">
        <v>0</v>
      </c>
      <c r="V74" s="77">
        <v>155</v>
      </c>
      <c r="W74" s="82" t="s">
        <v>5296</v>
      </c>
      <c r="X74" s="80" t="str">
        <f>HYPERLINK("https://hotm.art/FNO-TRABALHAR-EM-CASA")</f>
        <v>https://hotm.art/FNO-TRABALHAR-EM-CASA</v>
      </c>
      <c r="Y74" s="77" t="s">
        <v>7260</v>
      </c>
      <c r="Z74" s="77"/>
      <c r="AA74" s="77" t="s">
        <v>7558</v>
      </c>
      <c r="AB74" s="77" t="s">
        <v>10129</v>
      </c>
      <c r="AC74" s="82" t="s">
        <v>10146</v>
      </c>
      <c r="AD74" s="77" t="s">
        <v>10184</v>
      </c>
      <c r="AE74" s="80" t="str">
        <f>HYPERLINK("https://twitter.com/domuusaurea/status/1655694263642882048")</f>
        <v>https://twitter.com/domuusaurea/status/1655694263642882048</v>
      </c>
      <c r="AF74" s="79">
        <v>45054.917222222219</v>
      </c>
      <c r="AG74" s="85">
        <v>45054</v>
      </c>
      <c r="AH74" s="82" t="s">
        <v>10270</v>
      </c>
      <c r="AI74" s="77" t="b">
        <v>0</v>
      </c>
      <c r="AJ74" s="77"/>
      <c r="AK74" s="77"/>
      <c r="AL74" s="77"/>
      <c r="AM74" s="77"/>
      <c r="AN74" s="77"/>
      <c r="AO74" s="77"/>
      <c r="AP74" s="77"/>
      <c r="AQ74" s="77" t="s">
        <v>14202</v>
      </c>
      <c r="AR74" s="77">
        <v>22910</v>
      </c>
      <c r="AS74" s="77"/>
      <c r="AT74" s="77"/>
      <c r="AU74" s="77"/>
      <c r="AV74" s="80" t="str">
        <f>HYPERLINK("https://pbs.twimg.com/ext_tw_video_thumb/1655693066290823169/pu/img/DIsSCwF-uRp-sueB.jpg")</f>
        <v>https://pbs.twimg.com/ext_tw_video_thumb/1655693066290823169/pu/img/DIsSCwF-uRp-sueB.jpg</v>
      </c>
      <c r="AW74" s="82" t="s">
        <v>16847</v>
      </c>
      <c r="AX74" s="82" t="s">
        <v>16847</v>
      </c>
      <c r="AY74" s="77"/>
      <c r="AZ74" s="82" t="s">
        <v>20971</v>
      </c>
      <c r="BA74" s="82" t="s">
        <v>20971</v>
      </c>
      <c r="BB74" s="82" t="s">
        <v>20971</v>
      </c>
      <c r="BC74" s="82" t="s">
        <v>16847</v>
      </c>
      <c r="BD74" s="82" t="s">
        <v>21037</v>
      </c>
      <c r="BE74" s="77"/>
      <c r="BF74" s="77"/>
      <c r="BG74" s="77"/>
      <c r="BH74" s="77"/>
      <c r="BI74" s="77"/>
    </row>
    <row r="75" spans="1:61" x14ac:dyDescent="0.25">
      <c r="A75" s="62" t="s">
        <v>259</v>
      </c>
      <c r="B75" s="62" t="s">
        <v>259</v>
      </c>
      <c r="C75" s="63"/>
      <c r="D75" s="64"/>
      <c r="E75" s="65"/>
      <c r="F75" s="66"/>
      <c r="G75" s="63"/>
      <c r="H75" s="67"/>
      <c r="I75" s="68"/>
      <c r="J75" s="68"/>
      <c r="K75" s="32"/>
      <c r="L75" s="75">
        <v>75</v>
      </c>
      <c r="M75" s="75"/>
      <c r="N75" s="70"/>
      <c r="O75" s="77" t="s">
        <v>1284</v>
      </c>
      <c r="P75" s="79">
        <v>45151.021724537037</v>
      </c>
      <c r="Q75" s="77" t="s">
        <v>1359</v>
      </c>
      <c r="R75" s="77">
        <v>0</v>
      </c>
      <c r="S75" s="77">
        <v>0</v>
      </c>
      <c r="T75" s="77">
        <v>0</v>
      </c>
      <c r="U75" s="77">
        <v>0</v>
      </c>
      <c r="V75" s="77">
        <v>185</v>
      </c>
      <c r="W75" s="82" t="s">
        <v>5297</v>
      </c>
      <c r="X75" s="77"/>
      <c r="Y75" s="77"/>
      <c r="Z75" s="77"/>
      <c r="AA75" s="77"/>
      <c r="AB75" s="77"/>
      <c r="AC75" s="82" t="s">
        <v>10145</v>
      </c>
      <c r="AD75" s="77" t="s">
        <v>10186</v>
      </c>
      <c r="AE75" s="80" t="str">
        <f>HYPERLINK("https://twitter.com/onetaptips/status/1690521369572671488")</f>
        <v>https://twitter.com/onetaptips/status/1690521369572671488</v>
      </c>
      <c r="AF75" s="79">
        <v>45151.021724537037</v>
      </c>
      <c r="AG75" s="85">
        <v>45151</v>
      </c>
      <c r="AH75" s="82" t="s">
        <v>10271</v>
      </c>
      <c r="AI75" s="77"/>
      <c r="AJ75" s="77"/>
      <c r="AK75" s="77"/>
      <c r="AL75" s="77"/>
      <c r="AM75" s="77"/>
      <c r="AN75" s="77"/>
      <c r="AO75" s="77"/>
      <c r="AP75" s="77"/>
      <c r="AQ75" s="77"/>
      <c r="AR75" s="77"/>
      <c r="AS75" s="77"/>
      <c r="AT75" s="77"/>
      <c r="AU75" s="77"/>
      <c r="AV75" s="80" t="str">
        <f>HYPERLINK("https://pbs.twimg.com/profile_images/1686779493703184385/mxkaJR3f_normal.jpg")</f>
        <v>https://pbs.twimg.com/profile_images/1686779493703184385/mxkaJR3f_normal.jpg</v>
      </c>
      <c r="AW75" s="82" t="s">
        <v>16848</v>
      </c>
      <c r="AX75" s="82" t="s">
        <v>20790</v>
      </c>
      <c r="AY75" s="82" t="s">
        <v>20900</v>
      </c>
      <c r="AZ75" s="82" t="s">
        <v>20790</v>
      </c>
      <c r="BA75" s="82" t="s">
        <v>20971</v>
      </c>
      <c r="BB75" s="82" t="s">
        <v>20971</v>
      </c>
      <c r="BC75" s="82" t="s">
        <v>20790</v>
      </c>
      <c r="BD75" s="82" t="s">
        <v>20900</v>
      </c>
      <c r="BE75" s="77"/>
      <c r="BF75" s="77"/>
      <c r="BG75" s="77"/>
      <c r="BH75" s="77"/>
      <c r="BI75" s="77"/>
    </row>
    <row r="76" spans="1:61" x14ac:dyDescent="0.25">
      <c r="A76" s="62" t="s">
        <v>260</v>
      </c>
      <c r="B76" s="62" t="s">
        <v>260</v>
      </c>
      <c r="C76" s="63"/>
      <c r="D76" s="64"/>
      <c r="E76" s="65"/>
      <c r="F76" s="66"/>
      <c r="G76" s="63"/>
      <c r="H76" s="67"/>
      <c r="I76" s="68"/>
      <c r="J76" s="68"/>
      <c r="K76" s="32"/>
      <c r="L76" s="75">
        <v>76</v>
      </c>
      <c r="M76" s="75"/>
      <c r="N76" s="70"/>
      <c r="O76" s="77" t="s">
        <v>179</v>
      </c>
      <c r="P76" s="79">
        <v>44966.317488425928</v>
      </c>
      <c r="Q76" s="77" t="s">
        <v>1360</v>
      </c>
      <c r="R76" s="77">
        <v>0</v>
      </c>
      <c r="S76" s="77">
        <v>0</v>
      </c>
      <c r="T76" s="77">
        <v>0</v>
      </c>
      <c r="U76" s="77">
        <v>0</v>
      </c>
      <c r="V76" s="77">
        <v>3</v>
      </c>
      <c r="W76" s="82" t="s">
        <v>5236</v>
      </c>
      <c r="X76" s="80" t="str">
        <f>HYPERLINK("https://go.hotmart.com/B77468619P")</f>
        <v>https://go.hotmart.com/B77468619P</v>
      </c>
      <c r="Y76" s="77" t="s">
        <v>7251</v>
      </c>
      <c r="Z76" s="77"/>
      <c r="AA76" s="77" t="s">
        <v>7559</v>
      </c>
      <c r="AB76" s="77" t="s">
        <v>10130</v>
      </c>
      <c r="AC76" s="82" t="s">
        <v>10149</v>
      </c>
      <c r="AD76" s="77" t="s">
        <v>10184</v>
      </c>
      <c r="AE76" s="80" t="str">
        <f>HYPERLINK("https://twitter.com/apercristao/status/1623586794464858112")</f>
        <v>https://twitter.com/apercristao/status/1623586794464858112</v>
      </c>
      <c r="AF76" s="79">
        <v>44966.317488425928</v>
      </c>
      <c r="AG76" s="85">
        <v>44966</v>
      </c>
      <c r="AH76" s="82" t="s">
        <v>10272</v>
      </c>
      <c r="AI76" s="77" t="b">
        <v>0</v>
      </c>
      <c r="AJ76" s="77"/>
      <c r="AK76" s="77"/>
      <c r="AL76" s="77"/>
      <c r="AM76" s="77"/>
      <c r="AN76" s="77"/>
      <c r="AO76" s="77"/>
      <c r="AP76" s="77"/>
      <c r="AQ76" s="77" t="s">
        <v>14203</v>
      </c>
      <c r="AR76" s="77"/>
      <c r="AS76" s="77"/>
      <c r="AT76" s="77"/>
      <c r="AU76" s="77"/>
      <c r="AV76" s="80" t="str">
        <f>HYPERLINK("https://pbs.twimg.com/media/FogjjQCXsAErzGX.jpg")</f>
        <v>https://pbs.twimg.com/media/FogjjQCXsAErzGX.jpg</v>
      </c>
      <c r="AW76" s="82" t="s">
        <v>16849</v>
      </c>
      <c r="AX76" s="82" t="s">
        <v>16849</v>
      </c>
      <c r="AY76" s="77"/>
      <c r="AZ76" s="82" t="s">
        <v>20971</v>
      </c>
      <c r="BA76" s="82" t="s">
        <v>20971</v>
      </c>
      <c r="BB76" s="82" t="s">
        <v>20971</v>
      </c>
      <c r="BC76" s="82" t="s">
        <v>16849</v>
      </c>
      <c r="BD76" s="82" t="s">
        <v>21038</v>
      </c>
      <c r="BE76" s="77"/>
      <c r="BF76" s="77"/>
      <c r="BG76" s="77"/>
      <c r="BH76" s="77"/>
      <c r="BI76" s="77"/>
    </row>
    <row r="77" spans="1:61" x14ac:dyDescent="0.25">
      <c r="A77" s="62" t="s">
        <v>261</v>
      </c>
      <c r="B77" s="62" t="s">
        <v>261</v>
      </c>
      <c r="C77" s="63"/>
      <c r="D77" s="64"/>
      <c r="E77" s="65"/>
      <c r="F77" s="66"/>
      <c r="G77" s="63"/>
      <c r="H77" s="67"/>
      <c r="I77" s="68"/>
      <c r="J77" s="68"/>
      <c r="K77" s="32"/>
      <c r="L77" s="75">
        <v>77</v>
      </c>
      <c r="M77" s="75"/>
      <c r="N77" s="70"/>
      <c r="O77" s="77" t="s">
        <v>179</v>
      </c>
      <c r="P77" s="79">
        <v>44993.902638888889</v>
      </c>
      <c r="Q77" s="77" t="s">
        <v>1361</v>
      </c>
      <c r="R77" s="77">
        <v>0</v>
      </c>
      <c r="S77" s="77">
        <v>0</v>
      </c>
      <c r="T77" s="77">
        <v>0</v>
      </c>
      <c r="U77" s="77">
        <v>0</v>
      </c>
      <c r="V77" s="77">
        <v>22</v>
      </c>
      <c r="W77" s="82" t="s">
        <v>5236</v>
      </c>
      <c r="X77" s="80" t="str">
        <f>HYPERLINK("https://ideiaspararendaextrahoje.blogspot.com/2023/03/10-ideias-de-trabalhos-online-para.html")</f>
        <v>https://ideiaspararendaextrahoje.blogspot.com/2023/03/10-ideias-de-trabalhos-online-para.html</v>
      </c>
      <c r="Y77" s="77" t="s">
        <v>7261</v>
      </c>
      <c r="Z77" s="77"/>
      <c r="AA77" s="77"/>
      <c r="AB77" s="77"/>
      <c r="AC77" s="82" t="s">
        <v>10146</v>
      </c>
      <c r="AD77" s="77" t="s">
        <v>10184</v>
      </c>
      <c r="AE77" s="80" t="str">
        <f>HYPERLINK("https://twitter.com/anderso62493250/status/1633583319030824961")</f>
        <v>https://twitter.com/anderso62493250/status/1633583319030824961</v>
      </c>
      <c r="AF77" s="79">
        <v>44993.902638888889</v>
      </c>
      <c r="AG77" s="85">
        <v>44993</v>
      </c>
      <c r="AH77" s="82" t="s">
        <v>10273</v>
      </c>
      <c r="AI77" s="77" t="b">
        <v>0</v>
      </c>
      <c r="AJ77" s="77"/>
      <c r="AK77" s="77"/>
      <c r="AL77" s="77"/>
      <c r="AM77" s="77"/>
      <c r="AN77" s="77"/>
      <c r="AO77" s="77"/>
      <c r="AP77" s="77"/>
      <c r="AQ77" s="77"/>
      <c r="AR77" s="77"/>
      <c r="AS77" s="77"/>
      <c r="AT77" s="77"/>
      <c r="AU77" s="77"/>
      <c r="AV77" s="80" t="str">
        <f>HYPERLINK("https://pbs.twimg.com/profile_images/1628823879027159040/bMa-r5cH_normal.png")</f>
        <v>https://pbs.twimg.com/profile_images/1628823879027159040/bMa-r5cH_normal.png</v>
      </c>
      <c r="AW77" s="82" t="s">
        <v>16850</v>
      </c>
      <c r="AX77" s="82" t="s">
        <v>16850</v>
      </c>
      <c r="AY77" s="77"/>
      <c r="AZ77" s="82" t="s">
        <v>20971</v>
      </c>
      <c r="BA77" s="82" t="s">
        <v>20971</v>
      </c>
      <c r="BB77" s="82" t="s">
        <v>20971</v>
      </c>
      <c r="BC77" s="82" t="s">
        <v>16850</v>
      </c>
      <c r="BD77" s="82" t="s">
        <v>21039</v>
      </c>
      <c r="BE77" s="77"/>
      <c r="BF77" s="77"/>
      <c r="BG77" s="77"/>
      <c r="BH77" s="77"/>
      <c r="BI77" s="77"/>
    </row>
    <row r="78" spans="1:61" x14ac:dyDescent="0.25">
      <c r="A78" s="62" t="s">
        <v>261</v>
      </c>
      <c r="B78" s="62" t="s">
        <v>261</v>
      </c>
      <c r="C78" s="63"/>
      <c r="D78" s="64"/>
      <c r="E78" s="65"/>
      <c r="F78" s="66"/>
      <c r="G78" s="63"/>
      <c r="H78" s="67"/>
      <c r="I78" s="68"/>
      <c r="J78" s="68"/>
      <c r="K78" s="32"/>
      <c r="L78" s="75">
        <v>78</v>
      </c>
      <c r="M78" s="75"/>
      <c r="N78" s="70"/>
      <c r="O78" s="77" t="s">
        <v>179</v>
      </c>
      <c r="P78" s="79">
        <v>44983.997893518521</v>
      </c>
      <c r="Q78" s="77" t="s">
        <v>1362</v>
      </c>
      <c r="R78" s="77">
        <v>0</v>
      </c>
      <c r="S78" s="77">
        <v>0</v>
      </c>
      <c r="T78" s="77">
        <v>0</v>
      </c>
      <c r="U78" s="77">
        <v>0</v>
      </c>
      <c r="V78" s="77">
        <v>63</v>
      </c>
      <c r="W78" s="82" t="s">
        <v>5298</v>
      </c>
      <c r="X78" s="80" t="str">
        <f>HYPERLINK("https://ideiaspararendaextrahoje.blogspot.com/2023/02/renda-extra-na-internet-descubra-como_24.html")</f>
        <v>https://ideiaspararendaextrahoje.blogspot.com/2023/02/renda-extra-na-internet-descubra-como_24.html</v>
      </c>
      <c r="Y78" s="77" t="s">
        <v>7261</v>
      </c>
      <c r="Z78" s="77"/>
      <c r="AA78" s="77"/>
      <c r="AB78" s="77"/>
      <c r="AC78" s="82" t="s">
        <v>10146</v>
      </c>
      <c r="AD78" s="77" t="s">
        <v>10184</v>
      </c>
      <c r="AE78" s="80" t="str">
        <f>HYPERLINK("https://twitter.com/anderso62493250/status/1629993960734072834")</f>
        <v>https://twitter.com/anderso62493250/status/1629993960734072834</v>
      </c>
      <c r="AF78" s="79">
        <v>44983.997893518521</v>
      </c>
      <c r="AG78" s="85">
        <v>44983</v>
      </c>
      <c r="AH78" s="82" t="s">
        <v>10274</v>
      </c>
      <c r="AI78" s="77" t="b">
        <v>0</v>
      </c>
      <c r="AJ78" s="77"/>
      <c r="AK78" s="77"/>
      <c r="AL78" s="77"/>
      <c r="AM78" s="77"/>
      <c r="AN78" s="77"/>
      <c r="AO78" s="77"/>
      <c r="AP78" s="77"/>
      <c r="AQ78" s="77"/>
      <c r="AR78" s="77"/>
      <c r="AS78" s="77"/>
      <c r="AT78" s="77"/>
      <c r="AU78" s="77"/>
      <c r="AV78" s="80" t="str">
        <f>HYPERLINK("https://pbs.twimg.com/profile_images/1628823879027159040/bMa-r5cH_normal.png")</f>
        <v>https://pbs.twimg.com/profile_images/1628823879027159040/bMa-r5cH_normal.png</v>
      </c>
      <c r="AW78" s="82" t="s">
        <v>16851</v>
      </c>
      <c r="AX78" s="82" t="s">
        <v>16851</v>
      </c>
      <c r="AY78" s="77"/>
      <c r="AZ78" s="82" t="s">
        <v>20971</v>
      </c>
      <c r="BA78" s="82" t="s">
        <v>20971</v>
      </c>
      <c r="BB78" s="82" t="s">
        <v>20971</v>
      </c>
      <c r="BC78" s="82" t="s">
        <v>16851</v>
      </c>
      <c r="BD78" s="82" t="s">
        <v>21039</v>
      </c>
      <c r="BE78" s="77"/>
      <c r="BF78" s="77"/>
      <c r="BG78" s="77"/>
      <c r="BH78" s="77"/>
      <c r="BI78" s="77"/>
    </row>
    <row r="79" spans="1:61" x14ac:dyDescent="0.25">
      <c r="A79" s="62" t="s">
        <v>262</v>
      </c>
      <c r="B79" s="62" t="s">
        <v>262</v>
      </c>
      <c r="C79" s="63"/>
      <c r="D79" s="64"/>
      <c r="E79" s="65"/>
      <c r="F79" s="66"/>
      <c r="G79" s="63"/>
      <c r="H79" s="67"/>
      <c r="I79" s="68"/>
      <c r="J79" s="68"/>
      <c r="K79" s="32"/>
      <c r="L79" s="75">
        <v>79</v>
      </c>
      <c r="M79" s="75"/>
      <c r="N79" s="70"/>
      <c r="O79" s="77" t="s">
        <v>179</v>
      </c>
      <c r="P79" s="79">
        <v>45026.744675925926</v>
      </c>
      <c r="Q79" s="77" t="s">
        <v>1363</v>
      </c>
      <c r="R79" s="77">
        <v>0</v>
      </c>
      <c r="S79" s="77">
        <v>0</v>
      </c>
      <c r="T79" s="77">
        <v>0</v>
      </c>
      <c r="U79" s="77">
        <v>0</v>
      </c>
      <c r="V79" s="77">
        <v>50</v>
      </c>
      <c r="W79" s="82" t="s">
        <v>5299</v>
      </c>
      <c r="X79" s="77"/>
      <c r="Y79" s="77"/>
      <c r="Z79" s="77"/>
      <c r="AA79" s="77" t="s">
        <v>7560</v>
      </c>
      <c r="AB79" s="77" t="s">
        <v>10130</v>
      </c>
      <c r="AC79" s="82" t="s">
        <v>10145</v>
      </c>
      <c r="AD79" s="77" t="s">
        <v>10184</v>
      </c>
      <c r="AE79" s="80" t="str">
        <f>HYPERLINK("https://twitter.com/claytonmoraes__/status/1645484874306920453")</f>
        <v>https://twitter.com/claytonmoraes__/status/1645484874306920453</v>
      </c>
      <c r="AF79" s="79">
        <v>45026.744675925926</v>
      </c>
      <c r="AG79" s="85">
        <v>45026</v>
      </c>
      <c r="AH79" s="82" t="s">
        <v>10275</v>
      </c>
      <c r="AI79" s="77" t="b">
        <v>1</v>
      </c>
      <c r="AJ79" s="77"/>
      <c r="AK79" s="77"/>
      <c r="AL79" s="77"/>
      <c r="AM79" s="77"/>
      <c r="AN79" s="77"/>
      <c r="AO79" s="77"/>
      <c r="AP79" s="77"/>
      <c r="AQ79" s="77" t="s">
        <v>14204</v>
      </c>
      <c r="AR79" s="77"/>
      <c r="AS79" s="77"/>
      <c r="AT79" s="77"/>
      <c r="AU79" s="77"/>
      <c r="AV79" s="80" t="str">
        <f>HYPERLINK("https://pbs.twimg.com/media/FtXvxS-WYAESeTD.jpg")</f>
        <v>https://pbs.twimg.com/media/FtXvxS-WYAESeTD.jpg</v>
      </c>
      <c r="AW79" s="82" t="s">
        <v>16852</v>
      </c>
      <c r="AX79" s="82" t="s">
        <v>16852</v>
      </c>
      <c r="AY79" s="77"/>
      <c r="AZ79" s="82" t="s">
        <v>20971</v>
      </c>
      <c r="BA79" s="82" t="s">
        <v>20971</v>
      </c>
      <c r="BB79" s="82" t="s">
        <v>20971</v>
      </c>
      <c r="BC79" s="82" t="s">
        <v>16852</v>
      </c>
      <c r="BD79" s="77">
        <v>3134132822</v>
      </c>
      <c r="BE79" s="77"/>
      <c r="BF79" s="77"/>
      <c r="BG79" s="77"/>
      <c r="BH79" s="77"/>
      <c r="BI79" s="77"/>
    </row>
    <row r="80" spans="1:61" x14ac:dyDescent="0.25">
      <c r="A80" s="62" t="s">
        <v>263</v>
      </c>
      <c r="B80" s="62" t="s">
        <v>263</v>
      </c>
      <c r="C80" s="63"/>
      <c r="D80" s="64"/>
      <c r="E80" s="65"/>
      <c r="F80" s="66"/>
      <c r="G80" s="63"/>
      <c r="H80" s="67"/>
      <c r="I80" s="68"/>
      <c r="J80" s="68"/>
      <c r="K80" s="32"/>
      <c r="L80" s="75">
        <v>80</v>
      </c>
      <c r="M80" s="75"/>
      <c r="N80" s="70"/>
      <c r="O80" s="77" t="s">
        <v>179</v>
      </c>
      <c r="P80" s="79">
        <v>45045.967939814815</v>
      </c>
      <c r="Q80" s="77" t="s">
        <v>1364</v>
      </c>
      <c r="R80" s="77">
        <v>0</v>
      </c>
      <c r="S80" s="77">
        <v>0</v>
      </c>
      <c r="T80" s="77">
        <v>0</v>
      </c>
      <c r="U80" s="77">
        <v>0</v>
      </c>
      <c r="V80" s="77">
        <v>35</v>
      </c>
      <c r="W80" s="82" t="s">
        <v>5300</v>
      </c>
      <c r="X80" s="80" t="str">
        <f>HYPERLINK("https://r.honeygain.me/BRUNO8D62A")</f>
        <v>https://r.honeygain.me/BRUNO8D62A</v>
      </c>
      <c r="Y80" s="77" t="s">
        <v>7262</v>
      </c>
      <c r="Z80" s="77"/>
      <c r="AA80" s="77"/>
      <c r="AB80" s="77"/>
      <c r="AC80" s="82" t="s">
        <v>10144</v>
      </c>
      <c r="AD80" s="77" t="s">
        <v>10184</v>
      </c>
      <c r="AE80" s="80" t="str">
        <f>HYPERLINK("https://twitter.com/avena_bruno/status/1652451153064386567")</f>
        <v>https://twitter.com/avena_bruno/status/1652451153064386567</v>
      </c>
      <c r="AF80" s="79">
        <v>45045.967939814815</v>
      </c>
      <c r="AG80" s="85">
        <v>45045</v>
      </c>
      <c r="AH80" s="82" t="s">
        <v>10276</v>
      </c>
      <c r="AI80" s="77" t="b">
        <v>0</v>
      </c>
      <c r="AJ80" s="77"/>
      <c r="AK80" s="77"/>
      <c r="AL80" s="77"/>
      <c r="AM80" s="77"/>
      <c r="AN80" s="77"/>
      <c r="AO80" s="77"/>
      <c r="AP80" s="77"/>
      <c r="AQ80" s="77"/>
      <c r="AR80" s="77"/>
      <c r="AS80" s="77"/>
      <c r="AT80" s="77"/>
      <c r="AU80" s="77"/>
      <c r="AV80" s="80" t="str">
        <f>HYPERLINK("https://pbs.twimg.com/profile_images/1598632985544327168/L0DdBREP_normal.jpg")</f>
        <v>https://pbs.twimg.com/profile_images/1598632985544327168/L0DdBREP_normal.jpg</v>
      </c>
      <c r="AW80" s="82" t="s">
        <v>16853</v>
      </c>
      <c r="AX80" s="82" t="s">
        <v>16853</v>
      </c>
      <c r="AY80" s="77"/>
      <c r="AZ80" s="82" t="s">
        <v>20971</v>
      </c>
      <c r="BA80" s="82" t="s">
        <v>20971</v>
      </c>
      <c r="BB80" s="82" t="s">
        <v>20971</v>
      </c>
      <c r="BC80" s="82" t="s">
        <v>16853</v>
      </c>
      <c r="BD80" s="77">
        <v>3288329542</v>
      </c>
      <c r="BE80" s="77"/>
      <c r="BF80" s="77"/>
      <c r="BG80" s="77"/>
      <c r="BH80" s="77"/>
      <c r="BI80" s="77"/>
    </row>
    <row r="81" spans="1:61" x14ac:dyDescent="0.25">
      <c r="A81" s="62" t="s">
        <v>263</v>
      </c>
      <c r="B81" s="62" t="s">
        <v>263</v>
      </c>
      <c r="C81" s="63"/>
      <c r="D81" s="64"/>
      <c r="E81" s="65"/>
      <c r="F81" s="66"/>
      <c r="G81" s="63"/>
      <c r="H81" s="67"/>
      <c r="I81" s="68"/>
      <c r="J81" s="68"/>
      <c r="K81" s="32"/>
      <c r="L81" s="75">
        <v>81</v>
      </c>
      <c r="M81" s="75"/>
      <c r="N81" s="70"/>
      <c r="O81" s="77" t="s">
        <v>179</v>
      </c>
      <c r="P81" s="79">
        <v>45084.402719907404</v>
      </c>
      <c r="Q81" s="77" t="s">
        <v>1365</v>
      </c>
      <c r="R81" s="77">
        <v>1</v>
      </c>
      <c r="S81" s="77">
        <v>0</v>
      </c>
      <c r="T81" s="77">
        <v>1</v>
      </c>
      <c r="U81" s="77">
        <v>0</v>
      </c>
      <c r="V81" s="77">
        <v>16</v>
      </c>
      <c r="W81" s="82" t="s">
        <v>5301</v>
      </c>
      <c r="X81" s="80" t="str">
        <f>HYPERLINK("http://r.honeygain.me/BRUNO8D62A")</f>
        <v>http://r.honeygain.me/BRUNO8D62A</v>
      </c>
      <c r="Y81" s="77" t="s">
        <v>7262</v>
      </c>
      <c r="Z81" s="77"/>
      <c r="AA81" s="77"/>
      <c r="AB81" s="77"/>
      <c r="AC81" s="82" t="s">
        <v>10144</v>
      </c>
      <c r="AD81" s="77" t="s">
        <v>10184</v>
      </c>
      <c r="AE81" s="80" t="str">
        <f>HYPERLINK("https://twitter.com/avena_bruno/status/1666379452400410624")</f>
        <v>https://twitter.com/avena_bruno/status/1666379452400410624</v>
      </c>
      <c r="AF81" s="79">
        <v>45084.402719907404</v>
      </c>
      <c r="AG81" s="85">
        <v>45084</v>
      </c>
      <c r="AH81" s="82" t="s">
        <v>10277</v>
      </c>
      <c r="AI81" s="77" t="b">
        <v>0</v>
      </c>
      <c r="AJ81" s="77"/>
      <c r="AK81" s="77"/>
      <c r="AL81" s="77"/>
      <c r="AM81" s="77"/>
      <c r="AN81" s="77"/>
      <c r="AO81" s="77"/>
      <c r="AP81" s="77"/>
      <c r="AQ81" s="77"/>
      <c r="AR81" s="77"/>
      <c r="AS81" s="77"/>
      <c r="AT81" s="77"/>
      <c r="AU81" s="77"/>
      <c r="AV81" s="80" t="str">
        <f>HYPERLINK("https://pbs.twimg.com/profile_images/1598632985544327168/L0DdBREP_normal.jpg")</f>
        <v>https://pbs.twimg.com/profile_images/1598632985544327168/L0DdBREP_normal.jpg</v>
      </c>
      <c r="AW81" s="82" t="s">
        <v>16854</v>
      </c>
      <c r="AX81" s="82" t="s">
        <v>16854</v>
      </c>
      <c r="AY81" s="77"/>
      <c r="AZ81" s="82" t="s">
        <v>20971</v>
      </c>
      <c r="BA81" s="82" t="s">
        <v>20971</v>
      </c>
      <c r="BB81" s="82" t="s">
        <v>20971</v>
      </c>
      <c r="BC81" s="82" t="s">
        <v>16854</v>
      </c>
      <c r="BD81" s="77">
        <v>3288329542</v>
      </c>
      <c r="BE81" s="77"/>
      <c r="BF81" s="77"/>
      <c r="BG81" s="77"/>
      <c r="BH81" s="77"/>
      <c r="BI81" s="77"/>
    </row>
    <row r="82" spans="1:61" x14ac:dyDescent="0.25">
      <c r="A82" s="62" t="s">
        <v>263</v>
      </c>
      <c r="B82" s="62" t="s">
        <v>263</v>
      </c>
      <c r="C82" s="63"/>
      <c r="D82" s="64"/>
      <c r="E82" s="65"/>
      <c r="F82" s="66"/>
      <c r="G82" s="63"/>
      <c r="H82" s="67"/>
      <c r="I82" s="68"/>
      <c r="J82" s="68"/>
      <c r="K82" s="32"/>
      <c r="L82" s="75">
        <v>82</v>
      </c>
      <c r="M82" s="75"/>
      <c r="N82" s="70"/>
      <c r="O82" s="77" t="s">
        <v>179</v>
      </c>
      <c r="P82" s="79">
        <v>45057.478229166663</v>
      </c>
      <c r="Q82" s="77" t="s">
        <v>1366</v>
      </c>
      <c r="R82" s="77">
        <v>0</v>
      </c>
      <c r="S82" s="77">
        <v>0</v>
      </c>
      <c r="T82" s="77">
        <v>0</v>
      </c>
      <c r="U82" s="77">
        <v>1</v>
      </c>
      <c r="V82" s="77">
        <v>52</v>
      </c>
      <c r="W82" s="82" t="s">
        <v>5300</v>
      </c>
      <c r="X82" s="80" t="str">
        <f>HYPERLINK("http://r.honeygain.me/BRUNO8D62A")</f>
        <v>http://r.honeygain.me/BRUNO8D62A</v>
      </c>
      <c r="Y82" s="77" t="s">
        <v>7262</v>
      </c>
      <c r="Z82" s="77"/>
      <c r="AA82" s="77"/>
      <c r="AB82" s="77"/>
      <c r="AC82" s="82" t="s">
        <v>10144</v>
      </c>
      <c r="AD82" s="77" t="s">
        <v>10184</v>
      </c>
      <c r="AE82" s="80" t="str">
        <f>HYPERLINK("https://twitter.com/avena_bruno/status/1656622342234046465")</f>
        <v>https://twitter.com/avena_bruno/status/1656622342234046465</v>
      </c>
      <c r="AF82" s="79">
        <v>45057.478229166663</v>
      </c>
      <c r="AG82" s="85">
        <v>45057</v>
      </c>
      <c r="AH82" s="82" t="s">
        <v>10278</v>
      </c>
      <c r="AI82" s="77" t="b">
        <v>0</v>
      </c>
      <c r="AJ82" s="77"/>
      <c r="AK82" s="77"/>
      <c r="AL82" s="77"/>
      <c r="AM82" s="77"/>
      <c r="AN82" s="77"/>
      <c r="AO82" s="77"/>
      <c r="AP82" s="77"/>
      <c r="AQ82" s="77"/>
      <c r="AR82" s="77"/>
      <c r="AS82" s="77"/>
      <c r="AT82" s="77"/>
      <c r="AU82" s="77"/>
      <c r="AV82" s="80" t="str">
        <f>HYPERLINK("https://pbs.twimg.com/profile_images/1598632985544327168/L0DdBREP_normal.jpg")</f>
        <v>https://pbs.twimg.com/profile_images/1598632985544327168/L0DdBREP_normal.jpg</v>
      </c>
      <c r="AW82" s="82" t="s">
        <v>16855</v>
      </c>
      <c r="AX82" s="82" t="s">
        <v>16855</v>
      </c>
      <c r="AY82" s="77"/>
      <c r="AZ82" s="82" t="s">
        <v>20971</v>
      </c>
      <c r="BA82" s="82" t="s">
        <v>20971</v>
      </c>
      <c r="BB82" s="82" t="s">
        <v>20971</v>
      </c>
      <c r="BC82" s="82" t="s">
        <v>16855</v>
      </c>
      <c r="BD82" s="77">
        <v>3288329542</v>
      </c>
      <c r="BE82" s="77"/>
      <c r="BF82" s="77"/>
      <c r="BG82" s="77"/>
      <c r="BH82" s="77"/>
      <c r="BI82" s="77"/>
    </row>
    <row r="83" spans="1:61" x14ac:dyDescent="0.25">
      <c r="A83" s="62" t="s">
        <v>264</v>
      </c>
      <c r="B83" s="62" t="s">
        <v>264</v>
      </c>
      <c r="C83" s="63"/>
      <c r="D83" s="64"/>
      <c r="E83" s="65"/>
      <c r="F83" s="66"/>
      <c r="G83" s="63"/>
      <c r="H83" s="67"/>
      <c r="I83" s="68"/>
      <c r="J83" s="68"/>
      <c r="K83" s="32"/>
      <c r="L83" s="75">
        <v>83</v>
      </c>
      <c r="M83" s="75"/>
      <c r="N83" s="70"/>
      <c r="O83" s="77" t="s">
        <v>179</v>
      </c>
      <c r="P83" s="79">
        <v>45144.535474537035</v>
      </c>
      <c r="Q83" s="77" t="s">
        <v>1367</v>
      </c>
      <c r="R83" s="77">
        <v>0</v>
      </c>
      <c r="S83" s="77">
        <v>0</v>
      </c>
      <c r="T83" s="77">
        <v>1</v>
      </c>
      <c r="U83" s="77">
        <v>0</v>
      </c>
      <c r="V83" s="77">
        <v>385</v>
      </c>
      <c r="W83" s="82" t="s">
        <v>5302</v>
      </c>
      <c r="X83" s="77"/>
      <c r="Y83" s="77"/>
      <c r="Z83" s="77"/>
      <c r="AA83" s="77" t="s">
        <v>7561</v>
      </c>
      <c r="AB83" s="77" t="s">
        <v>10128</v>
      </c>
      <c r="AC83" s="82" t="s">
        <v>10144</v>
      </c>
      <c r="AD83" s="77" t="s">
        <v>10184</v>
      </c>
      <c r="AE83" s="80" t="str">
        <f>HYPERLINK("https://twitter.com/le0nardo_sousa/status/1688170831925424128")</f>
        <v>https://twitter.com/le0nardo_sousa/status/1688170831925424128</v>
      </c>
      <c r="AF83" s="79">
        <v>45144.535474537035</v>
      </c>
      <c r="AG83" s="85">
        <v>45144</v>
      </c>
      <c r="AH83" s="82" t="s">
        <v>10279</v>
      </c>
      <c r="AI83" s="77" t="b">
        <v>0</v>
      </c>
      <c r="AJ83" s="77"/>
      <c r="AK83" s="77"/>
      <c r="AL83" s="77"/>
      <c r="AM83" s="77"/>
      <c r="AN83" s="77"/>
      <c r="AO83" s="77"/>
      <c r="AP83" s="77"/>
      <c r="AQ83" s="77" t="s">
        <v>14205</v>
      </c>
      <c r="AR83" s="77"/>
      <c r="AS83" s="77"/>
      <c r="AT83" s="77"/>
      <c r="AU83" s="77"/>
      <c r="AV83" s="80" t="str">
        <f>HYPERLINK("https://pbs.twimg.com/media/F22Wa6UXUAA1FiB.jpg")</f>
        <v>https://pbs.twimg.com/media/F22Wa6UXUAA1FiB.jpg</v>
      </c>
      <c r="AW83" s="82" t="s">
        <v>16856</v>
      </c>
      <c r="AX83" s="82" t="s">
        <v>16856</v>
      </c>
      <c r="AY83" s="77"/>
      <c r="AZ83" s="82" t="s">
        <v>20971</v>
      </c>
      <c r="BA83" s="82" t="s">
        <v>20971</v>
      </c>
      <c r="BB83" s="82" t="s">
        <v>20971</v>
      </c>
      <c r="BC83" s="82" t="s">
        <v>16856</v>
      </c>
      <c r="BD83" s="82" t="s">
        <v>21040</v>
      </c>
      <c r="BE83" s="77"/>
      <c r="BF83" s="77"/>
      <c r="BG83" s="77"/>
      <c r="BH83" s="77"/>
      <c r="BI83" s="77"/>
    </row>
    <row r="84" spans="1:61" x14ac:dyDescent="0.25">
      <c r="A84" s="62" t="s">
        <v>265</v>
      </c>
      <c r="B84" s="62" t="s">
        <v>265</v>
      </c>
      <c r="C84" s="63"/>
      <c r="D84" s="64"/>
      <c r="E84" s="65"/>
      <c r="F84" s="66"/>
      <c r="G84" s="63"/>
      <c r="H84" s="67"/>
      <c r="I84" s="68"/>
      <c r="J84" s="68"/>
      <c r="K84" s="32"/>
      <c r="L84" s="75">
        <v>84</v>
      </c>
      <c r="M84" s="75"/>
      <c r="N84" s="70"/>
      <c r="O84" s="77" t="s">
        <v>179</v>
      </c>
      <c r="P84" s="79">
        <v>45121.691990740743</v>
      </c>
      <c r="Q84" s="77" t="s">
        <v>1368</v>
      </c>
      <c r="R84" s="77">
        <v>0</v>
      </c>
      <c r="S84" s="77">
        <v>0</v>
      </c>
      <c r="T84" s="77">
        <v>0</v>
      </c>
      <c r="U84" s="77">
        <v>0</v>
      </c>
      <c r="V84" s="77">
        <v>35</v>
      </c>
      <c r="W84" s="82" t="s">
        <v>5303</v>
      </c>
      <c r="X84" s="80" t="str">
        <f>HYPERLINK("https://www.01sotem1.com/register/4TkdEGV86HB")</f>
        <v>https://www.01sotem1.com/register/4TkdEGV86HB</v>
      </c>
      <c r="Y84" s="77" t="s">
        <v>7263</v>
      </c>
      <c r="Z84" s="77"/>
      <c r="AA84" s="77" t="s">
        <v>7562</v>
      </c>
      <c r="AB84" s="77" t="s">
        <v>10130</v>
      </c>
      <c r="AC84" s="82" t="s">
        <v>10144</v>
      </c>
      <c r="AD84" s="77" t="s">
        <v>10184</v>
      </c>
      <c r="AE84" s="80" t="str">
        <f>HYPERLINK("https://twitter.com/amandavi80/status/1679892629285158912")</f>
        <v>https://twitter.com/amandavi80/status/1679892629285158912</v>
      </c>
      <c r="AF84" s="79">
        <v>45121.691990740743</v>
      </c>
      <c r="AG84" s="85">
        <v>45121</v>
      </c>
      <c r="AH84" s="82" t="s">
        <v>10280</v>
      </c>
      <c r="AI84" s="77" t="b">
        <v>0</v>
      </c>
      <c r="AJ84" s="77"/>
      <c r="AK84" s="77"/>
      <c r="AL84" s="77"/>
      <c r="AM84" s="77"/>
      <c r="AN84" s="77"/>
      <c r="AO84" s="77"/>
      <c r="AP84" s="77"/>
      <c r="AQ84" s="77" t="s">
        <v>14206</v>
      </c>
      <c r="AR84" s="77"/>
      <c r="AS84" s="77"/>
      <c r="AT84" s="77"/>
      <c r="AU84" s="77"/>
      <c r="AV84" s="80" t="str">
        <f>HYPERLINK("https://pbs.twimg.com/media/F1AtcXRX0AUEd39.jpg")</f>
        <v>https://pbs.twimg.com/media/F1AtcXRX0AUEd39.jpg</v>
      </c>
      <c r="AW84" s="82" t="s">
        <v>16857</v>
      </c>
      <c r="AX84" s="82" t="s">
        <v>16857</v>
      </c>
      <c r="AY84" s="77"/>
      <c r="AZ84" s="82" t="s">
        <v>20971</v>
      </c>
      <c r="BA84" s="82" t="s">
        <v>20971</v>
      </c>
      <c r="BB84" s="82" t="s">
        <v>20971</v>
      </c>
      <c r="BC84" s="82" t="s">
        <v>16857</v>
      </c>
      <c r="BD84" s="82" t="s">
        <v>21041</v>
      </c>
      <c r="BE84" s="77"/>
      <c r="BF84" s="77"/>
      <c r="BG84" s="77"/>
      <c r="BH84" s="77"/>
      <c r="BI84" s="77"/>
    </row>
    <row r="85" spans="1:61" x14ac:dyDescent="0.25">
      <c r="A85" s="62" t="s">
        <v>265</v>
      </c>
      <c r="B85" s="62" t="s">
        <v>265</v>
      </c>
      <c r="C85" s="63"/>
      <c r="D85" s="64"/>
      <c r="E85" s="65"/>
      <c r="F85" s="66"/>
      <c r="G85" s="63"/>
      <c r="H85" s="67"/>
      <c r="I85" s="68"/>
      <c r="J85" s="68"/>
      <c r="K85" s="32"/>
      <c r="L85" s="75">
        <v>85</v>
      </c>
      <c r="M85" s="75"/>
      <c r="N85" s="70"/>
      <c r="O85" s="77" t="s">
        <v>179</v>
      </c>
      <c r="P85" s="79">
        <v>45104.593842592592</v>
      </c>
      <c r="Q85" s="77" t="s">
        <v>1369</v>
      </c>
      <c r="R85" s="77">
        <v>0</v>
      </c>
      <c r="S85" s="77">
        <v>1</v>
      </c>
      <c r="T85" s="77">
        <v>1</v>
      </c>
      <c r="U85" s="77">
        <v>0</v>
      </c>
      <c r="V85" s="77">
        <v>91</v>
      </c>
      <c r="W85" s="82" t="s">
        <v>5304</v>
      </c>
      <c r="X85" s="80" t="str">
        <f>HYPERLINK("https://www.01sotem1.com/register/4TkdEGV86HB")</f>
        <v>https://www.01sotem1.com/register/4TkdEGV86HB</v>
      </c>
      <c r="Y85" s="77" t="s">
        <v>7263</v>
      </c>
      <c r="Z85" s="77"/>
      <c r="AA85" s="77" t="s">
        <v>7563</v>
      </c>
      <c r="AB85" s="77" t="s">
        <v>10130</v>
      </c>
      <c r="AC85" s="82" t="s">
        <v>10144</v>
      </c>
      <c r="AD85" s="77" t="s">
        <v>10184</v>
      </c>
      <c r="AE85" s="80" t="str">
        <f>HYPERLINK("https://twitter.com/amandavi80/status/1673696468224421889")</f>
        <v>https://twitter.com/amandavi80/status/1673696468224421889</v>
      </c>
      <c r="AF85" s="79">
        <v>45104.593842592592</v>
      </c>
      <c r="AG85" s="85">
        <v>45104</v>
      </c>
      <c r="AH85" s="82" t="s">
        <v>10281</v>
      </c>
      <c r="AI85" s="77" t="b">
        <v>0</v>
      </c>
      <c r="AJ85" s="77"/>
      <c r="AK85" s="77"/>
      <c r="AL85" s="77"/>
      <c r="AM85" s="77"/>
      <c r="AN85" s="77"/>
      <c r="AO85" s="77"/>
      <c r="AP85" s="77"/>
      <c r="AQ85" s="77" t="s">
        <v>14207</v>
      </c>
      <c r="AR85" s="77"/>
      <c r="AS85" s="77"/>
      <c r="AT85" s="77"/>
      <c r="AU85" s="77"/>
      <c r="AV85" s="80" t="str">
        <f>HYPERLINK("https://pbs.twimg.com/media/FzoqESZWIAITJi9.jpg")</f>
        <v>https://pbs.twimg.com/media/FzoqESZWIAITJi9.jpg</v>
      </c>
      <c r="AW85" s="82" t="s">
        <v>16858</v>
      </c>
      <c r="AX85" s="82" t="s">
        <v>16858</v>
      </c>
      <c r="AY85" s="77"/>
      <c r="AZ85" s="82" t="s">
        <v>20971</v>
      </c>
      <c r="BA85" s="82" t="s">
        <v>20971</v>
      </c>
      <c r="BB85" s="82" t="s">
        <v>20971</v>
      </c>
      <c r="BC85" s="82" t="s">
        <v>16858</v>
      </c>
      <c r="BD85" s="82" t="s">
        <v>21041</v>
      </c>
      <c r="BE85" s="77"/>
      <c r="BF85" s="77"/>
      <c r="BG85" s="77"/>
      <c r="BH85" s="77"/>
      <c r="BI85" s="77"/>
    </row>
    <row r="86" spans="1:61" x14ac:dyDescent="0.25">
      <c r="A86" s="62" t="s">
        <v>266</v>
      </c>
      <c r="B86" s="62" t="s">
        <v>266</v>
      </c>
      <c r="C86" s="63"/>
      <c r="D86" s="64"/>
      <c r="E86" s="65"/>
      <c r="F86" s="66"/>
      <c r="G86" s="63"/>
      <c r="H86" s="67"/>
      <c r="I86" s="68"/>
      <c r="J86" s="68"/>
      <c r="K86" s="32"/>
      <c r="L86" s="75">
        <v>86</v>
      </c>
      <c r="M86" s="75"/>
      <c r="N86" s="70"/>
      <c r="O86" s="77" t="s">
        <v>179</v>
      </c>
      <c r="P86" s="79">
        <v>45105.629490740743</v>
      </c>
      <c r="Q86" s="77" t="s">
        <v>1370</v>
      </c>
      <c r="R86" s="77">
        <v>0</v>
      </c>
      <c r="S86" s="77">
        <v>0</v>
      </c>
      <c r="T86" s="77">
        <v>1</v>
      </c>
      <c r="U86" s="77">
        <v>0</v>
      </c>
      <c r="V86" s="77">
        <v>48</v>
      </c>
      <c r="W86" s="82" t="s">
        <v>5305</v>
      </c>
      <c r="X86" s="77"/>
      <c r="Y86" s="77"/>
      <c r="Z86" s="77"/>
      <c r="AA86" s="77" t="s">
        <v>7564</v>
      </c>
      <c r="AB86" s="77" t="s">
        <v>10130</v>
      </c>
      <c r="AC86" s="82" t="s">
        <v>10144</v>
      </c>
      <c r="AD86" s="77" t="s">
        <v>10185</v>
      </c>
      <c r="AE86" s="80" t="str">
        <f>HYPERLINK("https://twitter.com/lisabnelson7885/status/1674071776073072643")</f>
        <v>https://twitter.com/lisabnelson7885/status/1674071776073072643</v>
      </c>
      <c r="AF86" s="79">
        <v>45105.629490740743</v>
      </c>
      <c r="AG86" s="85">
        <v>45105</v>
      </c>
      <c r="AH86" s="82" t="s">
        <v>10282</v>
      </c>
      <c r="AI86" s="77" t="b">
        <v>0</v>
      </c>
      <c r="AJ86" s="77"/>
      <c r="AK86" s="77"/>
      <c r="AL86" s="77"/>
      <c r="AM86" s="77"/>
      <c r="AN86" s="77"/>
      <c r="AO86" s="77"/>
      <c r="AP86" s="77"/>
      <c r="AQ86" s="77" t="s">
        <v>14208</v>
      </c>
      <c r="AR86" s="77"/>
      <c r="AS86" s="77"/>
      <c r="AT86" s="77"/>
      <c r="AU86" s="77"/>
      <c r="AV86" s="80" t="str">
        <f>HYPERLINK("https://pbs.twimg.com/media/Fzt_ZtEX0AU2FFW.jpg")</f>
        <v>https://pbs.twimg.com/media/Fzt_ZtEX0AU2FFW.jpg</v>
      </c>
      <c r="AW86" s="82" t="s">
        <v>16859</v>
      </c>
      <c r="AX86" s="82" t="s">
        <v>16859</v>
      </c>
      <c r="AY86" s="77"/>
      <c r="AZ86" s="82" t="s">
        <v>20971</v>
      </c>
      <c r="BA86" s="82" t="s">
        <v>20971</v>
      </c>
      <c r="BB86" s="82" t="s">
        <v>20971</v>
      </c>
      <c r="BC86" s="82" t="s">
        <v>16859</v>
      </c>
      <c r="BD86" s="82" t="s">
        <v>21042</v>
      </c>
      <c r="BE86" s="77"/>
      <c r="BF86" s="77"/>
      <c r="BG86" s="77"/>
      <c r="BH86" s="77"/>
      <c r="BI86" s="77"/>
    </row>
    <row r="87" spans="1:61" x14ac:dyDescent="0.25">
      <c r="A87" s="62" t="s">
        <v>267</v>
      </c>
      <c r="B87" s="62" t="s">
        <v>267</v>
      </c>
      <c r="C87" s="63"/>
      <c r="D87" s="64"/>
      <c r="E87" s="65"/>
      <c r="F87" s="66"/>
      <c r="G87" s="63"/>
      <c r="H87" s="67"/>
      <c r="I87" s="68"/>
      <c r="J87" s="68"/>
      <c r="K87" s="32"/>
      <c r="L87" s="75">
        <v>87</v>
      </c>
      <c r="M87" s="75"/>
      <c r="N87" s="70"/>
      <c r="O87" s="77" t="s">
        <v>179</v>
      </c>
      <c r="P87" s="79">
        <v>45086.035173611112</v>
      </c>
      <c r="Q87" s="77" t="s">
        <v>1371</v>
      </c>
      <c r="R87" s="77">
        <v>0</v>
      </c>
      <c r="S87" s="77">
        <v>0</v>
      </c>
      <c r="T87" s="77">
        <v>1</v>
      </c>
      <c r="U87" s="77">
        <v>0</v>
      </c>
      <c r="V87" s="77">
        <v>247</v>
      </c>
      <c r="W87" s="82" t="s">
        <v>5306</v>
      </c>
      <c r="X87" s="80" t="str">
        <f>HYPERLINK("https://www.nxnbet.com/?ic=25507474")</f>
        <v>https://www.nxnbet.com/?ic=25507474</v>
      </c>
      <c r="Y87" s="77" t="s">
        <v>7264</v>
      </c>
      <c r="Z87" s="77"/>
      <c r="AA87" s="77" t="s">
        <v>7565</v>
      </c>
      <c r="AB87" s="77" t="s">
        <v>10129</v>
      </c>
      <c r="AC87" s="82" t="s">
        <v>10144</v>
      </c>
      <c r="AD87" s="77" t="s">
        <v>10184</v>
      </c>
      <c r="AE87" s="80" t="str">
        <f>HYPERLINK("https://twitter.com/slotsbrasil/status/1666971031301509122")</f>
        <v>https://twitter.com/slotsbrasil/status/1666971031301509122</v>
      </c>
      <c r="AF87" s="79">
        <v>45086.035173611112</v>
      </c>
      <c r="AG87" s="85">
        <v>45086</v>
      </c>
      <c r="AH87" s="82" t="s">
        <v>10283</v>
      </c>
      <c r="AI87" s="77" t="b">
        <v>0</v>
      </c>
      <c r="AJ87" s="77"/>
      <c r="AK87" s="77"/>
      <c r="AL87" s="77"/>
      <c r="AM87" s="77"/>
      <c r="AN87" s="77"/>
      <c r="AO87" s="77"/>
      <c r="AP87" s="77"/>
      <c r="AQ87" s="77" t="s">
        <v>14209</v>
      </c>
      <c r="AR87" s="77">
        <v>45000</v>
      </c>
      <c r="AS87" s="77"/>
      <c r="AT87" s="77"/>
      <c r="AU87" s="77"/>
      <c r="AV87" s="80" t="str">
        <f>HYPERLINK("https://pbs.twimg.com/ext_tw_video_thumb/1666970948048650242/pu/img/AlWPDwKFgR44XRnO.jpg")</f>
        <v>https://pbs.twimg.com/ext_tw_video_thumb/1666970948048650242/pu/img/AlWPDwKFgR44XRnO.jpg</v>
      </c>
      <c r="AW87" s="82" t="s">
        <v>16860</v>
      </c>
      <c r="AX87" s="82" t="s">
        <v>16860</v>
      </c>
      <c r="AY87" s="77"/>
      <c r="AZ87" s="82" t="s">
        <v>20971</v>
      </c>
      <c r="BA87" s="82" t="s">
        <v>20971</v>
      </c>
      <c r="BB87" s="82" t="s">
        <v>20971</v>
      </c>
      <c r="BC87" s="82" t="s">
        <v>16860</v>
      </c>
      <c r="BD87" s="82" t="s">
        <v>21043</v>
      </c>
      <c r="BE87" s="77"/>
      <c r="BF87" s="77"/>
      <c r="BG87" s="77"/>
      <c r="BH87" s="77"/>
      <c r="BI87" s="77"/>
    </row>
    <row r="88" spans="1:61" x14ac:dyDescent="0.25">
      <c r="A88" s="62" t="s">
        <v>267</v>
      </c>
      <c r="B88" s="62" t="s">
        <v>267</v>
      </c>
      <c r="C88" s="63"/>
      <c r="D88" s="64"/>
      <c r="E88" s="65"/>
      <c r="F88" s="66"/>
      <c r="G88" s="63"/>
      <c r="H88" s="67"/>
      <c r="I88" s="68"/>
      <c r="J88" s="68"/>
      <c r="K88" s="32"/>
      <c r="L88" s="75">
        <v>88</v>
      </c>
      <c r="M88" s="75"/>
      <c r="N88" s="70"/>
      <c r="O88" s="77" t="s">
        <v>179</v>
      </c>
      <c r="P88" s="79">
        <v>45085.416203703702</v>
      </c>
      <c r="Q88" s="77" t="s">
        <v>1372</v>
      </c>
      <c r="R88" s="77">
        <v>0</v>
      </c>
      <c r="S88" s="77">
        <v>2</v>
      </c>
      <c r="T88" s="77">
        <v>0</v>
      </c>
      <c r="U88" s="77">
        <v>0</v>
      </c>
      <c r="V88" s="77">
        <v>383</v>
      </c>
      <c r="W88" s="82" t="s">
        <v>5307</v>
      </c>
      <c r="X88" s="80" t="str">
        <f>HYPERLINK("https://www.funbrl.com/?ic=63732631")</f>
        <v>https://www.funbrl.com/?ic=63732631</v>
      </c>
      <c r="Y88" s="77" t="s">
        <v>7265</v>
      </c>
      <c r="Z88" s="77"/>
      <c r="AA88" s="77" t="s">
        <v>7566</v>
      </c>
      <c r="AB88" s="77" t="s">
        <v>10129</v>
      </c>
      <c r="AC88" s="82" t="s">
        <v>10144</v>
      </c>
      <c r="AD88" s="77" t="s">
        <v>10184</v>
      </c>
      <c r="AE88" s="80" t="str">
        <f>HYPERLINK("https://twitter.com/slotsbrasil/status/1666746724830924800")</f>
        <v>https://twitter.com/slotsbrasil/status/1666746724830924800</v>
      </c>
      <c r="AF88" s="79">
        <v>45085.416203703702</v>
      </c>
      <c r="AG88" s="85">
        <v>45085</v>
      </c>
      <c r="AH88" s="82" t="s">
        <v>10284</v>
      </c>
      <c r="AI88" s="77" t="b">
        <v>0</v>
      </c>
      <c r="AJ88" s="77"/>
      <c r="AK88" s="77"/>
      <c r="AL88" s="77"/>
      <c r="AM88" s="77"/>
      <c r="AN88" s="77"/>
      <c r="AO88" s="77"/>
      <c r="AP88" s="77"/>
      <c r="AQ88" s="77" t="s">
        <v>14210</v>
      </c>
      <c r="AR88" s="77">
        <v>31164</v>
      </c>
      <c r="AS88" s="77"/>
      <c r="AT88" s="77"/>
      <c r="AU88" s="77"/>
      <c r="AV88" s="80" t="str">
        <f>HYPERLINK("https://pbs.twimg.com/ext_tw_video_thumb/1666746687598088192/pu/img/RRV988_tI3eI0XlR.jpg")</f>
        <v>https://pbs.twimg.com/ext_tw_video_thumb/1666746687598088192/pu/img/RRV988_tI3eI0XlR.jpg</v>
      </c>
      <c r="AW88" s="82" t="s">
        <v>16861</v>
      </c>
      <c r="AX88" s="82" t="s">
        <v>16861</v>
      </c>
      <c r="AY88" s="77"/>
      <c r="AZ88" s="82" t="s">
        <v>20971</v>
      </c>
      <c r="BA88" s="82" t="s">
        <v>20971</v>
      </c>
      <c r="BB88" s="82" t="s">
        <v>20971</v>
      </c>
      <c r="BC88" s="82" t="s">
        <v>16861</v>
      </c>
      <c r="BD88" s="82" t="s">
        <v>21043</v>
      </c>
      <c r="BE88" s="77"/>
      <c r="BF88" s="77"/>
      <c r="BG88" s="77"/>
      <c r="BH88" s="77"/>
      <c r="BI88" s="77"/>
    </row>
    <row r="89" spans="1:61" x14ac:dyDescent="0.25">
      <c r="A89" s="62" t="s">
        <v>268</v>
      </c>
      <c r="B89" s="62" t="s">
        <v>268</v>
      </c>
      <c r="C89" s="63"/>
      <c r="D89" s="64"/>
      <c r="E89" s="65"/>
      <c r="F89" s="66"/>
      <c r="G89" s="63"/>
      <c r="H89" s="67"/>
      <c r="I89" s="68"/>
      <c r="J89" s="68"/>
      <c r="K89" s="32"/>
      <c r="L89" s="75">
        <v>89</v>
      </c>
      <c r="M89" s="75"/>
      <c r="N89" s="70"/>
      <c r="O89" s="77" t="s">
        <v>179</v>
      </c>
      <c r="P89" s="79">
        <v>44993.133101851854</v>
      </c>
      <c r="Q89" s="77" t="s">
        <v>1373</v>
      </c>
      <c r="R89" s="77">
        <v>0</v>
      </c>
      <c r="S89" s="77">
        <v>0</v>
      </c>
      <c r="T89" s="77">
        <v>0</v>
      </c>
      <c r="U89" s="77">
        <v>0</v>
      </c>
      <c r="V89" s="77">
        <v>33</v>
      </c>
      <c r="W89" s="82" t="s">
        <v>5308</v>
      </c>
      <c r="X89" s="80" t="str">
        <f>HYPERLINK("https://go.hotmart.com/E80486666P")</f>
        <v>https://go.hotmart.com/E80486666P</v>
      </c>
      <c r="Y89" s="77" t="s">
        <v>7251</v>
      </c>
      <c r="Z89" s="77"/>
      <c r="AA89" s="77" t="s">
        <v>7567</v>
      </c>
      <c r="AB89" s="77" t="s">
        <v>10132</v>
      </c>
      <c r="AC89" s="82" t="s">
        <v>10144</v>
      </c>
      <c r="AD89" s="77" t="s">
        <v>10184</v>
      </c>
      <c r="AE89" s="80" t="str">
        <f>HYPERLINK("https://twitter.com/gabicvieiras/status/1633304447823630337")</f>
        <v>https://twitter.com/gabicvieiras/status/1633304447823630337</v>
      </c>
      <c r="AF89" s="79">
        <v>44993.133101851854</v>
      </c>
      <c r="AG89" s="85">
        <v>44993</v>
      </c>
      <c r="AH89" s="82" t="s">
        <v>10285</v>
      </c>
      <c r="AI89" s="77" t="b">
        <v>0</v>
      </c>
      <c r="AJ89" s="77"/>
      <c r="AK89" s="77"/>
      <c r="AL89" s="77"/>
      <c r="AM89" s="77"/>
      <c r="AN89" s="77"/>
      <c r="AO89" s="77"/>
      <c r="AP89" s="77"/>
      <c r="AQ89" s="77" t="s">
        <v>14211</v>
      </c>
      <c r="AR89" s="77"/>
      <c r="AS89" s="77"/>
      <c r="AT89" s="77"/>
      <c r="AU89" s="77"/>
      <c r="AV89" s="80" t="str">
        <f>HYPERLINK("https://pbs.twimg.com/media/Fqqpu_6WAAASkbB.jpg")</f>
        <v>https://pbs.twimg.com/media/Fqqpu_6WAAASkbB.jpg</v>
      </c>
      <c r="AW89" s="82" t="s">
        <v>16862</v>
      </c>
      <c r="AX89" s="82" t="s">
        <v>16862</v>
      </c>
      <c r="AY89" s="77"/>
      <c r="AZ89" s="82" t="s">
        <v>20971</v>
      </c>
      <c r="BA89" s="82" t="s">
        <v>20971</v>
      </c>
      <c r="BB89" s="82" t="s">
        <v>20971</v>
      </c>
      <c r="BC89" s="82" t="s">
        <v>16862</v>
      </c>
      <c r="BD89" s="77">
        <v>437814095</v>
      </c>
      <c r="BE89" s="77"/>
      <c r="BF89" s="77"/>
      <c r="BG89" s="77"/>
      <c r="BH89" s="77"/>
      <c r="BI89" s="77"/>
    </row>
    <row r="90" spans="1:61" x14ac:dyDescent="0.25">
      <c r="A90" s="62" t="s">
        <v>269</v>
      </c>
      <c r="B90" s="62" t="s">
        <v>269</v>
      </c>
      <c r="C90" s="63"/>
      <c r="D90" s="64"/>
      <c r="E90" s="65"/>
      <c r="F90" s="66"/>
      <c r="G90" s="63"/>
      <c r="H90" s="67"/>
      <c r="I90" s="68"/>
      <c r="J90" s="68"/>
      <c r="K90" s="32"/>
      <c r="L90" s="75">
        <v>90</v>
      </c>
      <c r="M90" s="75"/>
      <c r="N90" s="70"/>
      <c r="O90" s="77" t="s">
        <v>179</v>
      </c>
      <c r="P90" s="79">
        <v>44961.583611111113</v>
      </c>
      <c r="Q90" s="77" t="s">
        <v>1374</v>
      </c>
      <c r="R90" s="77">
        <v>0</v>
      </c>
      <c r="S90" s="77">
        <v>0</v>
      </c>
      <c r="T90" s="77">
        <v>0</v>
      </c>
      <c r="U90" s="77">
        <v>0</v>
      </c>
      <c r="V90" s="77">
        <v>58</v>
      </c>
      <c r="W90" s="82" t="s">
        <v>5309</v>
      </c>
      <c r="X90" s="80" t="str">
        <f>HYPERLINK("http://www.topbets.live")</f>
        <v>http://www.topbets.live</v>
      </c>
      <c r="Y90" s="77" t="s">
        <v>7266</v>
      </c>
      <c r="Z90" s="77"/>
      <c r="AA90" s="77" t="s">
        <v>7568</v>
      </c>
      <c r="AB90" s="77" t="s">
        <v>10130</v>
      </c>
      <c r="AC90" s="82" t="s">
        <v>10147</v>
      </c>
      <c r="AD90" s="77" t="s">
        <v>10184</v>
      </c>
      <c r="AE90" s="80" t="str">
        <f>HYPERLINK("https://twitter.com/topbets_live/status/1621871294416289793")</f>
        <v>https://twitter.com/topbets_live/status/1621871294416289793</v>
      </c>
      <c r="AF90" s="79">
        <v>44961.583611111113</v>
      </c>
      <c r="AG90" s="85">
        <v>44961</v>
      </c>
      <c r="AH90" s="82" t="s">
        <v>10286</v>
      </c>
      <c r="AI90" s="77" t="b">
        <v>0</v>
      </c>
      <c r="AJ90" s="77"/>
      <c r="AK90" s="77"/>
      <c r="AL90" s="77"/>
      <c r="AM90" s="77"/>
      <c r="AN90" s="77"/>
      <c r="AO90" s="77"/>
      <c r="AP90" s="77"/>
      <c r="AQ90" s="77" t="s">
        <v>14212</v>
      </c>
      <c r="AR90" s="77"/>
      <c r="AS90" s="77"/>
      <c r="AT90" s="77"/>
      <c r="AU90" s="77"/>
      <c r="AV90" s="80" t="str">
        <f>HYPERLINK("https://pbs.twimg.com/media/FoILWHFXwAkYfXg.jpg")</f>
        <v>https://pbs.twimg.com/media/FoILWHFXwAkYfXg.jpg</v>
      </c>
      <c r="AW90" s="82" t="s">
        <v>16863</v>
      </c>
      <c r="AX90" s="82" t="s">
        <v>16863</v>
      </c>
      <c r="AY90" s="77"/>
      <c r="AZ90" s="82" t="s">
        <v>20971</v>
      </c>
      <c r="BA90" s="82" t="s">
        <v>20971</v>
      </c>
      <c r="BB90" s="82" t="s">
        <v>20971</v>
      </c>
      <c r="BC90" s="82" t="s">
        <v>16863</v>
      </c>
      <c r="BD90" s="82" t="s">
        <v>21044</v>
      </c>
      <c r="BE90" s="77"/>
      <c r="BF90" s="77"/>
      <c r="BG90" s="77"/>
      <c r="BH90" s="77"/>
      <c r="BI90" s="77"/>
    </row>
    <row r="91" spans="1:61" x14ac:dyDescent="0.25">
      <c r="A91" s="62" t="s">
        <v>270</v>
      </c>
      <c r="B91" s="62" t="s">
        <v>270</v>
      </c>
      <c r="C91" s="63"/>
      <c r="D91" s="64"/>
      <c r="E91" s="65"/>
      <c r="F91" s="66"/>
      <c r="G91" s="63"/>
      <c r="H91" s="67"/>
      <c r="I91" s="68"/>
      <c r="J91" s="68"/>
      <c r="K91" s="32"/>
      <c r="L91" s="75">
        <v>91</v>
      </c>
      <c r="M91" s="75"/>
      <c r="N91" s="70"/>
      <c r="O91" s="77" t="s">
        <v>179</v>
      </c>
      <c r="P91" s="79">
        <v>44987.113703703704</v>
      </c>
      <c r="Q91" s="77" t="s">
        <v>1375</v>
      </c>
      <c r="R91" s="77">
        <v>0</v>
      </c>
      <c r="S91" s="77">
        <v>1</v>
      </c>
      <c r="T91" s="77">
        <v>0</v>
      </c>
      <c r="U91" s="77">
        <v>0</v>
      </c>
      <c r="V91" s="77">
        <v>31</v>
      </c>
      <c r="W91" s="82" t="s">
        <v>5310</v>
      </c>
      <c r="X91" s="77"/>
      <c r="Y91" s="77"/>
      <c r="Z91" s="77"/>
      <c r="AA91" s="77" t="s">
        <v>7569</v>
      </c>
      <c r="AB91" s="77" t="s">
        <v>10129</v>
      </c>
      <c r="AC91" s="82" t="s">
        <v>10144</v>
      </c>
      <c r="AD91" s="77" t="s">
        <v>10184</v>
      </c>
      <c r="AE91" s="80" t="str">
        <f>HYPERLINK("https://twitter.com/claricecvargas/status/1631123092931067905")</f>
        <v>https://twitter.com/claricecvargas/status/1631123092931067905</v>
      </c>
      <c r="AF91" s="79">
        <v>44987.113703703704</v>
      </c>
      <c r="AG91" s="85">
        <v>44987</v>
      </c>
      <c r="AH91" s="82" t="s">
        <v>10287</v>
      </c>
      <c r="AI91" s="77" t="b">
        <v>0</v>
      </c>
      <c r="AJ91" s="77"/>
      <c r="AK91" s="77"/>
      <c r="AL91" s="77"/>
      <c r="AM91" s="77"/>
      <c r="AN91" s="77"/>
      <c r="AO91" s="77"/>
      <c r="AP91" s="77"/>
      <c r="AQ91" s="77" t="s">
        <v>14213</v>
      </c>
      <c r="AR91" s="77">
        <v>44983</v>
      </c>
      <c r="AS91" s="77"/>
      <c r="AT91" s="77"/>
      <c r="AU91" s="77"/>
      <c r="AV91" s="80" t="str">
        <f>HYPERLINK("https://pbs.twimg.com/ext_tw_video_thumb/1631123048437805056/pu/img/CxOq3NYA9uhBhJFf.jpg")</f>
        <v>https://pbs.twimg.com/ext_tw_video_thumb/1631123048437805056/pu/img/CxOq3NYA9uhBhJFf.jpg</v>
      </c>
      <c r="AW91" s="82" t="s">
        <v>16864</v>
      </c>
      <c r="AX91" s="82" t="s">
        <v>16864</v>
      </c>
      <c r="AY91" s="77"/>
      <c r="AZ91" s="82" t="s">
        <v>20971</v>
      </c>
      <c r="BA91" s="82" t="s">
        <v>20971</v>
      </c>
      <c r="BB91" s="82" t="s">
        <v>20971</v>
      </c>
      <c r="BC91" s="82" t="s">
        <v>16864</v>
      </c>
      <c r="BD91" s="82" t="s">
        <v>21045</v>
      </c>
      <c r="BE91" s="77"/>
      <c r="BF91" s="77"/>
      <c r="BG91" s="77"/>
      <c r="BH91" s="77"/>
      <c r="BI91" s="77"/>
    </row>
    <row r="92" spans="1:61" x14ac:dyDescent="0.25">
      <c r="A92" s="62" t="s">
        <v>271</v>
      </c>
      <c r="B92" s="62" t="s">
        <v>271</v>
      </c>
      <c r="C92" s="63"/>
      <c r="D92" s="64"/>
      <c r="E92" s="65"/>
      <c r="F92" s="66"/>
      <c r="G92" s="63"/>
      <c r="H92" s="67"/>
      <c r="I92" s="68"/>
      <c r="J92" s="68"/>
      <c r="K92" s="32"/>
      <c r="L92" s="75">
        <v>92</v>
      </c>
      <c r="M92" s="75"/>
      <c r="N92" s="70"/>
      <c r="O92" s="77" t="s">
        <v>179</v>
      </c>
      <c r="P92" s="79">
        <v>45057.691655092596</v>
      </c>
      <c r="Q92" s="77" t="s">
        <v>1376</v>
      </c>
      <c r="R92" s="77">
        <v>0</v>
      </c>
      <c r="S92" s="77">
        <v>0</v>
      </c>
      <c r="T92" s="77">
        <v>0</v>
      </c>
      <c r="U92" s="77">
        <v>0</v>
      </c>
      <c r="V92" s="77">
        <v>29</v>
      </c>
      <c r="W92" s="82" t="s">
        <v>5236</v>
      </c>
      <c r="X92" s="77"/>
      <c r="Y92" s="77"/>
      <c r="Z92" s="77"/>
      <c r="AA92" s="77" t="s">
        <v>7570</v>
      </c>
      <c r="AB92" s="77" t="s">
        <v>10130</v>
      </c>
      <c r="AC92" s="82" t="s">
        <v>10145</v>
      </c>
      <c r="AD92" s="77" t="s">
        <v>10184</v>
      </c>
      <c r="AE92" s="80" t="str">
        <f>HYPERLINK("https://twitter.com/af_liberdade/status/1656699683882909709")</f>
        <v>https://twitter.com/af_liberdade/status/1656699683882909709</v>
      </c>
      <c r="AF92" s="79">
        <v>45057.691655092596</v>
      </c>
      <c r="AG92" s="85">
        <v>45057</v>
      </c>
      <c r="AH92" s="82" t="s">
        <v>10288</v>
      </c>
      <c r="AI92" s="77" t="b">
        <v>0</v>
      </c>
      <c r="AJ92" s="77"/>
      <c r="AK92" s="77"/>
      <c r="AL92" s="77"/>
      <c r="AM92" s="77"/>
      <c r="AN92" s="77"/>
      <c r="AO92" s="77"/>
      <c r="AP92" s="77"/>
      <c r="AQ92" s="77" t="s">
        <v>14214</v>
      </c>
      <c r="AR92" s="77"/>
      <c r="AS92" s="77"/>
      <c r="AT92" s="77"/>
      <c r="AU92" s="77"/>
      <c r="AV92" s="80" t="str">
        <f>HYPERLINK("https://pbs.twimg.com/media/Fv3HlFyXgAAQnyp.jpg")</f>
        <v>https://pbs.twimg.com/media/Fv3HlFyXgAAQnyp.jpg</v>
      </c>
      <c r="AW92" s="82" t="s">
        <v>16865</v>
      </c>
      <c r="AX92" s="82" t="s">
        <v>16865</v>
      </c>
      <c r="AY92" s="77"/>
      <c r="AZ92" s="82" t="s">
        <v>20971</v>
      </c>
      <c r="BA92" s="82" t="s">
        <v>20971</v>
      </c>
      <c r="BB92" s="82" t="s">
        <v>20971</v>
      </c>
      <c r="BC92" s="82" t="s">
        <v>16865</v>
      </c>
      <c r="BD92" s="82" t="s">
        <v>21046</v>
      </c>
      <c r="BE92" s="77"/>
      <c r="BF92" s="77"/>
      <c r="BG92" s="77"/>
      <c r="BH92" s="77"/>
      <c r="BI92" s="77"/>
    </row>
    <row r="93" spans="1:61" x14ac:dyDescent="0.25">
      <c r="A93" s="62" t="s">
        <v>271</v>
      </c>
      <c r="B93" s="62" t="s">
        <v>271</v>
      </c>
      <c r="C93" s="63"/>
      <c r="D93" s="64"/>
      <c r="E93" s="65"/>
      <c r="F93" s="66"/>
      <c r="G93" s="63"/>
      <c r="H93" s="67"/>
      <c r="I93" s="68"/>
      <c r="J93" s="68"/>
      <c r="K93" s="32"/>
      <c r="L93" s="75">
        <v>93</v>
      </c>
      <c r="M93" s="75"/>
      <c r="N93" s="70"/>
      <c r="O93" s="77" t="s">
        <v>179</v>
      </c>
      <c r="P93" s="79">
        <v>45056.658217592594</v>
      </c>
      <c r="Q93" s="77" t="s">
        <v>1377</v>
      </c>
      <c r="R93" s="77">
        <v>0</v>
      </c>
      <c r="S93" s="77">
        <v>0</v>
      </c>
      <c r="T93" s="77">
        <v>0</v>
      </c>
      <c r="U93" s="77">
        <v>0</v>
      </c>
      <c r="V93" s="77">
        <v>24</v>
      </c>
      <c r="W93" s="82" t="s">
        <v>5311</v>
      </c>
      <c r="X93" s="77"/>
      <c r="Y93" s="77"/>
      <c r="Z93" s="77"/>
      <c r="AA93" s="77" t="s">
        <v>7571</v>
      </c>
      <c r="AB93" s="77" t="s">
        <v>10130</v>
      </c>
      <c r="AC93" s="82" t="s">
        <v>10145</v>
      </c>
      <c r="AD93" s="77" t="s">
        <v>10184</v>
      </c>
      <c r="AE93" s="80" t="str">
        <f>HYPERLINK("https://twitter.com/af_liberdade/status/1656325178769408001")</f>
        <v>https://twitter.com/af_liberdade/status/1656325178769408001</v>
      </c>
      <c r="AF93" s="79">
        <v>45056.658217592594</v>
      </c>
      <c r="AG93" s="85">
        <v>45056</v>
      </c>
      <c r="AH93" s="82" t="s">
        <v>10289</v>
      </c>
      <c r="AI93" s="77" t="b">
        <v>0</v>
      </c>
      <c r="AJ93" s="77"/>
      <c r="AK93" s="77"/>
      <c r="AL93" s="77"/>
      <c r="AM93" s="77"/>
      <c r="AN93" s="77"/>
      <c r="AO93" s="77"/>
      <c r="AP93" s="77"/>
      <c r="AQ93" s="77" t="s">
        <v>14215</v>
      </c>
      <c r="AR93" s="77"/>
      <c r="AS93" s="77"/>
      <c r="AT93" s="77"/>
      <c r="AU93" s="77"/>
      <c r="AV93" s="80" t="str">
        <f>HYPERLINK("https://pbs.twimg.com/media/Fvxy-CZWwAcWijA.jpg")</f>
        <v>https://pbs.twimg.com/media/Fvxy-CZWwAcWijA.jpg</v>
      </c>
      <c r="AW93" s="82" t="s">
        <v>16866</v>
      </c>
      <c r="AX93" s="82" t="s">
        <v>16866</v>
      </c>
      <c r="AY93" s="77"/>
      <c r="AZ93" s="82" t="s">
        <v>20971</v>
      </c>
      <c r="BA93" s="82" t="s">
        <v>20971</v>
      </c>
      <c r="BB93" s="82" t="s">
        <v>20971</v>
      </c>
      <c r="BC93" s="82" t="s">
        <v>16866</v>
      </c>
      <c r="BD93" s="82" t="s">
        <v>21046</v>
      </c>
      <c r="BE93" s="77"/>
      <c r="BF93" s="77"/>
      <c r="BG93" s="77"/>
      <c r="BH93" s="77"/>
      <c r="BI93" s="77"/>
    </row>
    <row r="94" spans="1:61" x14ac:dyDescent="0.25">
      <c r="A94" s="62" t="s">
        <v>271</v>
      </c>
      <c r="B94" s="62" t="s">
        <v>271</v>
      </c>
      <c r="C94" s="63"/>
      <c r="D94" s="64"/>
      <c r="E94" s="65"/>
      <c r="F94" s="66"/>
      <c r="G94" s="63"/>
      <c r="H94" s="67"/>
      <c r="I94" s="68"/>
      <c r="J94" s="68"/>
      <c r="K94" s="32"/>
      <c r="L94" s="75">
        <v>94</v>
      </c>
      <c r="M94" s="75"/>
      <c r="N94" s="70"/>
      <c r="O94" s="77" t="s">
        <v>179</v>
      </c>
      <c r="P94" s="79">
        <v>45060.711435185185</v>
      </c>
      <c r="Q94" s="77" t="s">
        <v>1378</v>
      </c>
      <c r="R94" s="77">
        <v>0</v>
      </c>
      <c r="S94" s="77">
        <v>0</v>
      </c>
      <c r="T94" s="77">
        <v>1</v>
      </c>
      <c r="U94" s="77">
        <v>0</v>
      </c>
      <c r="V94" s="77">
        <v>22</v>
      </c>
      <c r="W94" s="82" t="s">
        <v>5312</v>
      </c>
      <c r="X94" s="77"/>
      <c r="Y94" s="77"/>
      <c r="Z94" s="77"/>
      <c r="AA94" s="77" t="s">
        <v>7572</v>
      </c>
      <c r="AB94" s="77" t="s">
        <v>10130</v>
      </c>
      <c r="AC94" s="82" t="s">
        <v>10145</v>
      </c>
      <c r="AD94" s="77" t="s">
        <v>10184</v>
      </c>
      <c r="AE94" s="80" t="str">
        <f>HYPERLINK("https://twitter.com/af_liberdade/status/1657794016728023041")</f>
        <v>https://twitter.com/af_liberdade/status/1657794016728023041</v>
      </c>
      <c r="AF94" s="79">
        <v>45060.711435185185</v>
      </c>
      <c r="AG94" s="85">
        <v>45060</v>
      </c>
      <c r="AH94" s="82" t="s">
        <v>10290</v>
      </c>
      <c r="AI94" s="77" t="b">
        <v>0</v>
      </c>
      <c r="AJ94" s="77"/>
      <c r="AK94" s="77"/>
      <c r="AL94" s="77"/>
      <c r="AM94" s="77"/>
      <c r="AN94" s="77"/>
      <c r="AO94" s="77"/>
      <c r="AP94" s="77"/>
      <c r="AQ94" s="77" t="s">
        <v>14216</v>
      </c>
      <c r="AR94" s="77"/>
      <c r="AS94" s="77"/>
      <c r="AT94" s="77"/>
      <c r="AU94" s="77"/>
      <c r="AV94" s="80" t="str">
        <f>HYPERLINK("https://pbs.twimg.com/media/FwGq3sxXoAEGcph.jpg")</f>
        <v>https://pbs.twimg.com/media/FwGq3sxXoAEGcph.jpg</v>
      </c>
      <c r="AW94" s="82" t="s">
        <v>16867</v>
      </c>
      <c r="AX94" s="82" t="s">
        <v>16867</v>
      </c>
      <c r="AY94" s="77"/>
      <c r="AZ94" s="82" t="s">
        <v>20971</v>
      </c>
      <c r="BA94" s="82" t="s">
        <v>20971</v>
      </c>
      <c r="BB94" s="82" t="s">
        <v>20971</v>
      </c>
      <c r="BC94" s="82" t="s">
        <v>16867</v>
      </c>
      <c r="BD94" s="82" t="s">
        <v>21046</v>
      </c>
      <c r="BE94" s="77"/>
      <c r="BF94" s="77"/>
      <c r="BG94" s="77"/>
      <c r="BH94" s="77"/>
      <c r="BI94" s="77"/>
    </row>
    <row r="95" spans="1:61" x14ac:dyDescent="0.25">
      <c r="A95" s="62" t="s">
        <v>272</v>
      </c>
      <c r="B95" s="62" t="s">
        <v>272</v>
      </c>
      <c r="C95" s="63"/>
      <c r="D95" s="64"/>
      <c r="E95" s="65"/>
      <c r="F95" s="66"/>
      <c r="G95" s="63"/>
      <c r="H95" s="67"/>
      <c r="I95" s="68"/>
      <c r="J95" s="68"/>
      <c r="K95" s="32"/>
      <c r="L95" s="75">
        <v>95</v>
      </c>
      <c r="M95" s="75"/>
      <c r="N95" s="70"/>
      <c r="O95" s="77" t="s">
        <v>179</v>
      </c>
      <c r="P95" s="79">
        <v>45083.771747685183</v>
      </c>
      <c r="Q95" s="77" t="s">
        <v>1379</v>
      </c>
      <c r="R95" s="77">
        <v>0</v>
      </c>
      <c r="S95" s="77">
        <v>0</v>
      </c>
      <c r="T95" s="77">
        <v>0</v>
      </c>
      <c r="U95" s="77">
        <v>0</v>
      </c>
      <c r="V95" s="77">
        <v>1121</v>
      </c>
      <c r="W95" s="82" t="s">
        <v>5313</v>
      </c>
      <c r="X95" s="80" t="str">
        <f>HYPERLINK("https://sun.eduzz.com/723654?a=10771391")</f>
        <v>https://sun.eduzz.com/723654?a=10771391</v>
      </c>
      <c r="Y95" s="77" t="s">
        <v>7245</v>
      </c>
      <c r="Z95" s="77"/>
      <c r="AA95" s="77" t="s">
        <v>7573</v>
      </c>
      <c r="AB95" s="77" t="s">
        <v>10129</v>
      </c>
      <c r="AC95" s="82" t="s">
        <v>10144</v>
      </c>
      <c r="AD95" s="77" t="s">
        <v>10184</v>
      </c>
      <c r="AE95" s="80" t="str">
        <f>HYPERLINK("https://twitter.com/luciane00547445/status/1666150793748021272")</f>
        <v>https://twitter.com/luciane00547445/status/1666150793748021272</v>
      </c>
      <c r="AF95" s="79">
        <v>45083.771747685183</v>
      </c>
      <c r="AG95" s="85">
        <v>45083</v>
      </c>
      <c r="AH95" s="82" t="s">
        <v>10291</v>
      </c>
      <c r="AI95" s="77" t="b">
        <v>0</v>
      </c>
      <c r="AJ95" s="77"/>
      <c r="AK95" s="77"/>
      <c r="AL95" s="77"/>
      <c r="AM95" s="77"/>
      <c r="AN95" s="77"/>
      <c r="AO95" s="77"/>
      <c r="AP95" s="77"/>
      <c r="AQ95" s="77" t="s">
        <v>14217</v>
      </c>
      <c r="AR95" s="77">
        <v>28500</v>
      </c>
      <c r="AS95" s="77"/>
      <c r="AT95" s="77"/>
      <c r="AU95" s="77"/>
      <c r="AV95" s="80" t="str">
        <f>HYPERLINK("https://pbs.twimg.com/ext_tw_video_thumb/1666150760365555733/pu/img/qSHpCnZyEfU7zKwS.jpg")</f>
        <v>https://pbs.twimg.com/ext_tw_video_thumb/1666150760365555733/pu/img/qSHpCnZyEfU7zKwS.jpg</v>
      </c>
      <c r="AW95" s="82" t="s">
        <v>16868</v>
      </c>
      <c r="AX95" s="82" t="s">
        <v>16868</v>
      </c>
      <c r="AY95" s="77"/>
      <c r="AZ95" s="82" t="s">
        <v>20971</v>
      </c>
      <c r="BA95" s="82" t="s">
        <v>20971</v>
      </c>
      <c r="BB95" s="82" t="s">
        <v>20971</v>
      </c>
      <c r="BC95" s="82" t="s">
        <v>16868</v>
      </c>
      <c r="BD95" s="82" t="s">
        <v>21047</v>
      </c>
      <c r="BE95" s="77"/>
      <c r="BF95" s="77"/>
      <c r="BG95" s="77"/>
      <c r="BH95" s="77"/>
      <c r="BI95" s="77"/>
    </row>
    <row r="96" spans="1:61" x14ac:dyDescent="0.25">
      <c r="A96" s="62" t="s">
        <v>272</v>
      </c>
      <c r="B96" s="62" t="s">
        <v>272</v>
      </c>
      <c r="C96" s="63"/>
      <c r="D96" s="64"/>
      <c r="E96" s="65"/>
      <c r="F96" s="66"/>
      <c r="G96" s="63"/>
      <c r="H96" s="67"/>
      <c r="I96" s="68"/>
      <c r="J96" s="68"/>
      <c r="K96" s="32"/>
      <c r="L96" s="75">
        <v>96</v>
      </c>
      <c r="M96" s="75"/>
      <c r="N96" s="70"/>
      <c r="O96" s="77" t="s">
        <v>179</v>
      </c>
      <c r="P96" s="79">
        <v>45083.762129629627</v>
      </c>
      <c r="Q96" s="77" t="s">
        <v>1380</v>
      </c>
      <c r="R96" s="77">
        <v>0</v>
      </c>
      <c r="S96" s="77">
        <v>0</v>
      </c>
      <c r="T96" s="77">
        <v>0</v>
      </c>
      <c r="U96" s="77">
        <v>0</v>
      </c>
      <c r="V96" s="77">
        <v>468</v>
      </c>
      <c r="W96" s="82" t="s">
        <v>5314</v>
      </c>
      <c r="X96" s="80" t="str">
        <f>HYPERLINK("https://sun.eduzz.com/723654?a=10771391")</f>
        <v>https://sun.eduzz.com/723654?a=10771391</v>
      </c>
      <c r="Y96" s="77" t="s">
        <v>7245</v>
      </c>
      <c r="Z96" s="77"/>
      <c r="AA96" s="77" t="s">
        <v>7574</v>
      </c>
      <c r="AB96" s="77" t="s">
        <v>10129</v>
      </c>
      <c r="AC96" s="82" t="s">
        <v>10144</v>
      </c>
      <c r="AD96" s="77" t="s">
        <v>10184</v>
      </c>
      <c r="AE96" s="80" t="str">
        <f>HYPERLINK("https://twitter.com/luciane00547445/status/1666147309715955714")</f>
        <v>https://twitter.com/luciane00547445/status/1666147309715955714</v>
      </c>
      <c r="AF96" s="79">
        <v>45083.762129629627</v>
      </c>
      <c r="AG96" s="85">
        <v>45083</v>
      </c>
      <c r="AH96" s="82" t="s">
        <v>10292</v>
      </c>
      <c r="AI96" s="77" t="b">
        <v>0</v>
      </c>
      <c r="AJ96" s="77"/>
      <c r="AK96" s="77"/>
      <c r="AL96" s="77"/>
      <c r="AM96" s="77"/>
      <c r="AN96" s="77"/>
      <c r="AO96" s="77"/>
      <c r="AP96" s="77"/>
      <c r="AQ96" s="77" t="s">
        <v>14218</v>
      </c>
      <c r="AR96" s="77">
        <v>27961</v>
      </c>
      <c r="AS96" s="77"/>
      <c r="AT96" s="77"/>
      <c r="AU96" s="77"/>
      <c r="AV96" s="80" t="str">
        <f>HYPERLINK("https://pbs.twimg.com/ext_tw_video_thumb/1666147268531978248/pu/img/K-3AHukOOQXJh_5y.jpg")</f>
        <v>https://pbs.twimg.com/ext_tw_video_thumb/1666147268531978248/pu/img/K-3AHukOOQXJh_5y.jpg</v>
      </c>
      <c r="AW96" s="82" t="s">
        <v>16869</v>
      </c>
      <c r="AX96" s="82" t="s">
        <v>16869</v>
      </c>
      <c r="AY96" s="77"/>
      <c r="AZ96" s="82" t="s">
        <v>20971</v>
      </c>
      <c r="BA96" s="82" t="s">
        <v>20971</v>
      </c>
      <c r="BB96" s="82" t="s">
        <v>20971</v>
      </c>
      <c r="BC96" s="82" t="s">
        <v>16869</v>
      </c>
      <c r="BD96" s="82" t="s">
        <v>21047</v>
      </c>
      <c r="BE96" s="77"/>
      <c r="BF96" s="77"/>
      <c r="BG96" s="77"/>
      <c r="BH96" s="77"/>
      <c r="BI96" s="77"/>
    </row>
    <row r="97" spans="1:61" x14ac:dyDescent="0.25">
      <c r="A97" s="62" t="s">
        <v>273</v>
      </c>
      <c r="B97" s="62" t="s">
        <v>273</v>
      </c>
      <c r="C97" s="63"/>
      <c r="D97" s="64"/>
      <c r="E97" s="65"/>
      <c r="F97" s="66"/>
      <c r="G97" s="63"/>
      <c r="H97" s="67"/>
      <c r="I97" s="68"/>
      <c r="J97" s="68"/>
      <c r="K97" s="32"/>
      <c r="L97" s="75">
        <v>97</v>
      </c>
      <c r="M97" s="75"/>
      <c r="N97" s="70"/>
      <c r="O97" s="77" t="s">
        <v>179</v>
      </c>
      <c r="P97" s="79">
        <v>45012.738252314812</v>
      </c>
      <c r="Q97" s="77" t="s">
        <v>1381</v>
      </c>
      <c r="R97" s="77">
        <v>0</v>
      </c>
      <c r="S97" s="77">
        <v>0</v>
      </c>
      <c r="T97" s="77">
        <v>1</v>
      </c>
      <c r="U97" s="77">
        <v>0</v>
      </c>
      <c r="V97" s="77">
        <v>52</v>
      </c>
      <c r="W97" s="82" t="s">
        <v>5277</v>
      </c>
      <c r="X97" s="80" t="str">
        <f>HYPERLINK("https://abre.bio/metodo-lucrativo-oficial")</f>
        <v>https://abre.bio/metodo-lucrativo-oficial</v>
      </c>
      <c r="Y97" s="77" t="s">
        <v>7267</v>
      </c>
      <c r="Z97" s="77"/>
      <c r="AA97" s="77"/>
      <c r="AB97" s="77"/>
      <c r="AC97" s="82" t="s">
        <v>10144</v>
      </c>
      <c r="AD97" s="77" t="s">
        <v>10184</v>
      </c>
      <c r="AE97" s="80" t="str">
        <f>HYPERLINK("https://twitter.com/evelinsoares_/status/1640409116790145028")</f>
        <v>https://twitter.com/evelinsoares_/status/1640409116790145028</v>
      </c>
      <c r="AF97" s="79">
        <v>45012.738252314812</v>
      </c>
      <c r="AG97" s="85">
        <v>45012</v>
      </c>
      <c r="AH97" s="82" t="s">
        <v>10293</v>
      </c>
      <c r="AI97" s="77" t="b">
        <v>0</v>
      </c>
      <c r="AJ97" s="77"/>
      <c r="AK97" s="77"/>
      <c r="AL97" s="77"/>
      <c r="AM97" s="77"/>
      <c r="AN97" s="77"/>
      <c r="AO97" s="77"/>
      <c r="AP97" s="77"/>
      <c r="AQ97" s="77"/>
      <c r="AR97" s="77"/>
      <c r="AS97" s="77"/>
      <c r="AT97" s="77"/>
      <c r="AU97" s="77"/>
      <c r="AV97" s="80" t="str">
        <f>HYPERLINK("https://pbs.twimg.com/profile_images/1469253316655955969/oNOn_j5n_normal.jpg")</f>
        <v>https://pbs.twimg.com/profile_images/1469253316655955969/oNOn_j5n_normal.jpg</v>
      </c>
      <c r="AW97" s="82" t="s">
        <v>16870</v>
      </c>
      <c r="AX97" s="82" t="s">
        <v>16870</v>
      </c>
      <c r="AY97" s="77"/>
      <c r="AZ97" s="82" t="s">
        <v>20971</v>
      </c>
      <c r="BA97" s="82" t="s">
        <v>20971</v>
      </c>
      <c r="BB97" s="82" t="s">
        <v>20971</v>
      </c>
      <c r="BC97" s="82" t="s">
        <v>16870</v>
      </c>
      <c r="BD97" s="82" t="s">
        <v>21048</v>
      </c>
      <c r="BE97" s="77"/>
      <c r="BF97" s="77"/>
      <c r="BG97" s="77"/>
      <c r="BH97" s="77"/>
      <c r="BI97" s="77"/>
    </row>
    <row r="98" spans="1:61" x14ac:dyDescent="0.25">
      <c r="A98" s="62" t="s">
        <v>274</v>
      </c>
      <c r="B98" s="62" t="s">
        <v>274</v>
      </c>
      <c r="C98" s="63"/>
      <c r="D98" s="64"/>
      <c r="E98" s="65"/>
      <c r="F98" s="66"/>
      <c r="G98" s="63"/>
      <c r="H98" s="67"/>
      <c r="I98" s="68"/>
      <c r="J98" s="68"/>
      <c r="K98" s="32"/>
      <c r="L98" s="75">
        <v>98</v>
      </c>
      <c r="M98" s="75"/>
      <c r="N98" s="70"/>
      <c r="O98" s="77" t="s">
        <v>179</v>
      </c>
      <c r="P98" s="79">
        <v>45016.642511574071</v>
      </c>
      <c r="Q98" s="77" t="s">
        <v>1382</v>
      </c>
      <c r="R98" s="77">
        <v>0</v>
      </c>
      <c r="S98" s="77">
        <v>0</v>
      </c>
      <c r="T98" s="77">
        <v>1</v>
      </c>
      <c r="U98" s="77">
        <v>0</v>
      </c>
      <c r="V98" s="77">
        <v>33</v>
      </c>
      <c r="W98" s="82" t="s">
        <v>5315</v>
      </c>
      <c r="X98" s="77"/>
      <c r="Y98" s="77"/>
      <c r="Z98" s="77"/>
      <c r="AA98" s="77"/>
      <c r="AB98" s="77"/>
      <c r="AC98" s="82" t="s">
        <v>10144</v>
      </c>
      <c r="AD98" s="77" t="s">
        <v>10187</v>
      </c>
      <c r="AE98" s="80" t="str">
        <f>HYPERLINK("https://twitter.com/paratudoumhack/status/1641823974874120193")</f>
        <v>https://twitter.com/paratudoumhack/status/1641823974874120193</v>
      </c>
      <c r="AF98" s="79">
        <v>45016.642511574071</v>
      </c>
      <c r="AG98" s="85">
        <v>45016</v>
      </c>
      <c r="AH98" s="82" t="s">
        <v>10294</v>
      </c>
      <c r="AI98" s="77"/>
      <c r="AJ98" s="77"/>
      <c r="AK98" s="77"/>
      <c r="AL98" s="77"/>
      <c r="AM98" s="77"/>
      <c r="AN98" s="77"/>
      <c r="AO98" s="77"/>
      <c r="AP98" s="77"/>
      <c r="AQ98" s="77"/>
      <c r="AR98" s="77"/>
      <c r="AS98" s="77"/>
      <c r="AT98" s="77"/>
      <c r="AU98" s="77"/>
      <c r="AV98" s="80" t="str">
        <f>HYPERLINK("https://pbs.twimg.com/profile_images/1640087122148315137/349F4XZl_normal.jpg")</f>
        <v>https://pbs.twimg.com/profile_images/1640087122148315137/349F4XZl_normal.jpg</v>
      </c>
      <c r="AW98" s="82" t="s">
        <v>16871</v>
      </c>
      <c r="AX98" s="82" t="s">
        <v>16871</v>
      </c>
      <c r="AY98" s="77"/>
      <c r="AZ98" s="82" t="s">
        <v>20971</v>
      </c>
      <c r="BA98" s="82" t="s">
        <v>20971</v>
      </c>
      <c r="BB98" s="82" t="s">
        <v>20971</v>
      </c>
      <c r="BC98" s="82" t="s">
        <v>16871</v>
      </c>
      <c r="BD98" s="82" t="s">
        <v>21049</v>
      </c>
      <c r="BE98" s="77"/>
      <c r="BF98" s="77"/>
      <c r="BG98" s="77"/>
      <c r="BH98" s="77"/>
      <c r="BI98" s="77"/>
    </row>
    <row r="99" spans="1:61" x14ac:dyDescent="0.25">
      <c r="A99" s="62" t="s">
        <v>275</v>
      </c>
      <c r="B99" s="62" t="s">
        <v>275</v>
      </c>
      <c r="C99" s="63"/>
      <c r="D99" s="64"/>
      <c r="E99" s="65"/>
      <c r="F99" s="66"/>
      <c r="G99" s="63"/>
      <c r="H99" s="67"/>
      <c r="I99" s="68"/>
      <c r="J99" s="68"/>
      <c r="K99" s="32"/>
      <c r="L99" s="75">
        <v>99</v>
      </c>
      <c r="M99" s="75"/>
      <c r="N99" s="70"/>
      <c r="O99" s="77" t="s">
        <v>179</v>
      </c>
      <c r="P99" s="79">
        <v>45136.858888888892</v>
      </c>
      <c r="Q99" s="77" t="s">
        <v>1383</v>
      </c>
      <c r="R99" s="77">
        <v>1</v>
      </c>
      <c r="S99" s="77">
        <v>1</v>
      </c>
      <c r="T99" s="77">
        <v>0</v>
      </c>
      <c r="U99" s="77">
        <v>0</v>
      </c>
      <c r="V99" s="77">
        <v>71</v>
      </c>
      <c r="W99" s="82" t="s">
        <v>5316</v>
      </c>
      <c r="X99" s="77"/>
      <c r="Y99" s="77"/>
      <c r="Z99" s="77"/>
      <c r="AA99" s="77" t="s">
        <v>7575</v>
      </c>
      <c r="AB99" s="77" t="s">
        <v>10129</v>
      </c>
      <c r="AC99" s="82" t="s">
        <v>10144</v>
      </c>
      <c r="AD99" s="77" t="s">
        <v>10184</v>
      </c>
      <c r="AE99" s="80" t="str">
        <f>HYPERLINK("https://twitter.com/calilecalil/status/1685388929992671232")</f>
        <v>https://twitter.com/calilecalil/status/1685388929992671232</v>
      </c>
      <c r="AF99" s="79">
        <v>45136.858888888892</v>
      </c>
      <c r="AG99" s="85">
        <v>45136</v>
      </c>
      <c r="AH99" s="82" t="s">
        <v>10295</v>
      </c>
      <c r="AI99" s="77" t="b">
        <v>0</v>
      </c>
      <c r="AJ99" s="77"/>
      <c r="AK99" s="77"/>
      <c r="AL99" s="77"/>
      <c r="AM99" s="77"/>
      <c r="AN99" s="77"/>
      <c r="AO99" s="77"/>
      <c r="AP99" s="77"/>
      <c r="AQ99" s="77" t="s">
        <v>14219</v>
      </c>
      <c r="AR99" s="77">
        <v>34799</v>
      </c>
      <c r="AS99" s="77"/>
      <c r="AT99" s="77"/>
      <c r="AU99" s="77"/>
      <c r="AV99" s="80" t="str">
        <f>HYPERLINK("https://pbs.twimg.com/ext_tw_video_thumb/1685388877362601984/pu/img/IMWKBPfDVXSD6vZU.jpg")</f>
        <v>https://pbs.twimg.com/ext_tw_video_thumb/1685388877362601984/pu/img/IMWKBPfDVXSD6vZU.jpg</v>
      </c>
      <c r="AW99" s="82" t="s">
        <v>16872</v>
      </c>
      <c r="AX99" s="82" t="s">
        <v>16872</v>
      </c>
      <c r="AY99" s="77"/>
      <c r="AZ99" s="82" t="s">
        <v>20971</v>
      </c>
      <c r="BA99" s="82" t="s">
        <v>20971</v>
      </c>
      <c r="BB99" s="82" t="s">
        <v>20971</v>
      </c>
      <c r="BC99" s="82" t="s">
        <v>16872</v>
      </c>
      <c r="BD99" s="77">
        <v>75173434</v>
      </c>
      <c r="BE99" s="77"/>
      <c r="BF99" s="77"/>
      <c r="BG99" s="77"/>
      <c r="BH99" s="77"/>
      <c r="BI99" s="77"/>
    </row>
    <row r="100" spans="1:61" x14ac:dyDescent="0.25">
      <c r="A100" s="62" t="s">
        <v>276</v>
      </c>
      <c r="B100" s="62" t="s">
        <v>410</v>
      </c>
      <c r="C100" s="63"/>
      <c r="D100" s="64"/>
      <c r="E100" s="65"/>
      <c r="F100" s="66"/>
      <c r="G100" s="63"/>
      <c r="H100" s="67"/>
      <c r="I100" s="68"/>
      <c r="J100" s="68"/>
      <c r="K100" s="32"/>
      <c r="L100" s="75">
        <v>100</v>
      </c>
      <c r="M100" s="75"/>
      <c r="N100" s="70"/>
      <c r="O100" s="77" t="s">
        <v>1286</v>
      </c>
      <c r="P100" s="79">
        <v>45167.505925925929</v>
      </c>
      <c r="Q100" s="77" t="s">
        <v>1384</v>
      </c>
      <c r="R100" s="77">
        <v>0</v>
      </c>
      <c r="S100" s="77">
        <v>0</v>
      </c>
      <c r="T100" s="77">
        <v>0</v>
      </c>
      <c r="U100" s="77">
        <v>0</v>
      </c>
      <c r="V100" s="77">
        <v>35</v>
      </c>
      <c r="W100" s="82" t="s">
        <v>5236</v>
      </c>
      <c r="X100" s="77"/>
      <c r="Y100" s="77"/>
      <c r="Z100" s="77"/>
      <c r="AA100" s="77"/>
      <c r="AB100" s="77"/>
      <c r="AC100" s="82" t="s">
        <v>10146</v>
      </c>
      <c r="AD100" s="77" t="s">
        <v>10186</v>
      </c>
      <c r="AE100" s="80" t="str">
        <f>HYPERLINK("https://twitter.com/tudoeraldo/status/1696495042167280117")</f>
        <v>https://twitter.com/tudoeraldo/status/1696495042167280117</v>
      </c>
      <c r="AF100" s="79">
        <v>45167.505925925929</v>
      </c>
      <c r="AG100" s="85">
        <v>45167</v>
      </c>
      <c r="AH100" s="82" t="s">
        <v>10296</v>
      </c>
      <c r="AI100" s="77"/>
      <c r="AJ100" s="77"/>
      <c r="AK100" s="77"/>
      <c r="AL100" s="77"/>
      <c r="AM100" s="77"/>
      <c r="AN100" s="77"/>
      <c r="AO100" s="77"/>
      <c r="AP100" s="77"/>
      <c r="AQ100" s="77"/>
      <c r="AR100" s="77"/>
      <c r="AS100" s="77"/>
      <c r="AT100" s="77"/>
      <c r="AU100" s="77"/>
      <c r="AV100" s="80" t="str">
        <f>HYPERLINK("https://pbs.twimg.com/profile_images/1494041847605436422/wwDoOlP9_normal.jpg")</f>
        <v>https://pbs.twimg.com/profile_images/1494041847605436422/wwDoOlP9_normal.jpg</v>
      </c>
      <c r="AW100" s="82" t="s">
        <v>16873</v>
      </c>
      <c r="AX100" s="82" t="s">
        <v>16873</v>
      </c>
      <c r="AY100" s="77"/>
      <c r="AZ100" s="82" t="s">
        <v>20971</v>
      </c>
      <c r="BA100" s="82" t="s">
        <v>17311</v>
      </c>
      <c r="BB100" s="82" t="s">
        <v>20971</v>
      </c>
      <c r="BC100" s="82" t="s">
        <v>17311</v>
      </c>
      <c r="BD100" s="77">
        <v>34952004</v>
      </c>
      <c r="BE100" s="77"/>
      <c r="BF100" s="77"/>
      <c r="BG100" s="77"/>
      <c r="BH100" s="77"/>
      <c r="BI100" s="77"/>
    </row>
    <row r="101" spans="1:61" x14ac:dyDescent="0.25">
      <c r="A101" s="62" t="s">
        <v>277</v>
      </c>
      <c r="B101" s="62" t="s">
        <v>277</v>
      </c>
      <c r="C101" s="63"/>
      <c r="D101" s="64"/>
      <c r="E101" s="65"/>
      <c r="F101" s="66"/>
      <c r="G101" s="63"/>
      <c r="H101" s="67"/>
      <c r="I101" s="68"/>
      <c r="J101" s="68"/>
      <c r="K101" s="32"/>
      <c r="L101" s="75">
        <v>101</v>
      </c>
      <c r="M101" s="75"/>
      <c r="N101" s="70"/>
      <c r="O101" s="77" t="s">
        <v>179</v>
      </c>
      <c r="P101" s="79">
        <v>45170.978078703702</v>
      </c>
      <c r="Q101" s="77" t="s">
        <v>1385</v>
      </c>
      <c r="R101" s="77">
        <v>0</v>
      </c>
      <c r="S101" s="77">
        <v>1</v>
      </c>
      <c r="T101" s="77">
        <v>0</v>
      </c>
      <c r="U101" s="77">
        <v>0</v>
      </c>
      <c r="V101" s="77">
        <v>272</v>
      </c>
      <c r="W101" s="82" t="s">
        <v>5317</v>
      </c>
      <c r="X101" s="80" t="str">
        <f>HYPERLINK("http://bit.ly/Robomega")</f>
        <v>http://bit.ly/Robomega</v>
      </c>
      <c r="Y101" s="77" t="s">
        <v>7268</v>
      </c>
      <c r="Z101" s="77"/>
      <c r="AA101" s="77" t="s">
        <v>7576</v>
      </c>
      <c r="AB101" s="77" t="s">
        <v>10130</v>
      </c>
      <c r="AC101" s="82" t="s">
        <v>10144</v>
      </c>
      <c r="AD101" s="77" t="s">
        <v>10184</v>
      </c>
      <c r="AE101" s="80" t="str">
        <f>HYPERLINK("https://twitter.com/vemnemim0600/status/1697753308767625447")</f>
        <v>https://twitter.com/vemnemim0600/status/1697753308767625447</v>
      </c>
      <c r="AF101" s="79">
        <v>45170.978078703702</v>
      </c>
      <c r="AG101" s="85">
        <v>45170</v>
      </c>
      <c r="AH101" s="82" t="s">
        <v>10297</v>
      </c>
      <c r="AI101" s="77" t="b">
        <v>0</v>
      </c>
      <c r="AJ101" s="77" t="s">
        <v>14003</v>
      </c>
      <c r="AK101" s="77" t="s">
        <v>14033</v>
      </c>
      <c r="AL101" s="77" t="s">
        <v>14035</v>
      </c>
      <c r="AM101" s="77" t="s">
        <v>14045</v>
      </c>
      <c r="AN101" s="77" t="s">
        <v>14082</v>
      </c>
      <c r="AO101" s="77" t="s">
        <v>14120</v>
      </c>
      <c r="AP101" s="77" t="s">
        <v>14149</v>
      </c>
      <c r="AQ101" s="77" t="s">
        <v>14220</v>
      </c>
      <c r="AR101" s="77"/>
      <c r="AS101" s="77"/>
      <c r="AT101" s="77"/>
      <c r="AU101" s="77"/>
      <c r="AV101" s="80" t="str">
        <f>HYPERLINK("https://pbs.twimg.com/media/F4-hoxlW0AApAnw.jpg")</f>
        <v>https://pbs.twimg.com/media/F4-hoxlW0AApAnw.jpg</v>
      </c>
      <c r="AW101" s="82" t="s">
        <v>16874</v>
      </c>
      <c r="AX101" s="82" t="s">
        <v>16874</v>
      </c>
      <c r="AY101" s="77"/>
      <c r="AZ101" s="82" t="s">
        <v>20971</v>
      </c>
      <c r="BA101" s="82" t="s">
        <v>20971</v>
      </c>
      <c r="BB101" s="82" t="s">
        <v>20971</v>
      </c>
      <c r="BC101" s="82" t="s">
        <v>16874</v>
      </c>
      <c r="BD101" s="77">
        <v>285270675</v>
      </c>
      <c r="BE101" s="77"/>
      <c r="BF101" s="77"/>
      <c r="BG101" s="77"/>
      <c r="BH101" s="77"/>
      <c r="BI101" s="77"/>
    </row>
    <row r="102" spans="1:61" x14ac:dyDescent="0.25">
      <c r="A102" s="62" t="s">
        <v>278</v>
      </c>
      <c r="B102" s="62" t="s">
        <v>278</v>
      </c>
      <c r="C102" s="63"/>
      <c r="D102" s="64"/>
      <c r="E102" s="65"/>
      <c r="F102" s="66"/>
      <c r="G102" s="63"/>
      <c r="H102" s="67"/>
      <c r="I102" s="68"/>
      <c r="J102" s="68"/>
      <c r="K102" s="32"/>
      <c r="L102" s="75">
        <v>102</v>
      </c>
      <c r="M102" s="75"/>
      <c r="N102" s="70"/>
      <c r="O102" s="77" t="s">
        <v>179</v>
      </c>
      <c r="P102" s="79">
        <v>45063.879282407404</v>
      </c>
      <c r="Q102" s="77" t="s">
        <v>1386</v>
      </c>
      <c r="R102" s="77">
        <v>0</v>
      </c>
      <c r="S102" s="77">
        <v>0</v>
      </c>
      <c r="T102" s="77">
        <v>0</v>
      </c>
      <c r="U102" s="77">
        <v>0</v>
      </c>
      <c r="V102" s="77">
        <v>88</v>
      </c>
      <c r="W102" s="82" t="s">
        <v>5236</v>
      </c>
      <c r="X102" s="77"/>
      <c r="Y102" s="77"/>
      <c r="Z102" s="77"/>
      <c r="AA102" s="77" t="s">
        <v>7577</v>
      </c>
      <c r="AB102" s="77" t="s">
        <v>10130</v>
      </c>
      <c r="AC102" s="82" t="s">
        <v>10144</v>
      </c>
      <c r="AD102" s="77" t="s">
        <v>10184</v>
      </c>
      <c r="AE102" s="80" t="str">
        <f>HYPERLINK("https://twitter.com/mluh69452/status/1658942007459315714")</f>
        <v>https://twitter.com/mluh69452/status/1658942007459315714</v>
      </c>
      <c r="AF102" s="79">
        <v>45063.879282407404</v>
      </c>
      <c r="AG102" s="85">
        <v>45063</v>
      </c>
      <c r="AH102" s="82" t="s">
        <v>10298</v>
      </c>
      <c r="AI102" s="77" t="b">
        <v>0</v>
      </c>
      <c r="AJ102" s="77"/>
      <c r="AK102" s="77"/>
      <c r="AL102" s="77"/>
      <c r="AM102" s="77"/>
      <c r="AN102" s="77"/>
      <c r="AO102" s="77"/>
      <c r="AP102" s="77"/>
      <c r="AQ102" s="77" t="s">
        <v>14221</v>
      </c>
      <c r="AR102" s="77"/>
      <c r="AS102" s="77"/>
      <c r="AT102" s="77"/>
      <c r="AU102" s="77"/>
      <c r="AV102" s="80" t="str">
        <f>HYPERLINK("https://pbs.twimg.com/media/FwW-9kDXsAAIqLP.jpg")</f>
        <v>https://pbs.twimg.com/media/FwW-9kDXsAAIqLP.jpg</v>
      </c>
      <c r="AW102" s="82" t="s">
        <v>16875</v>
      </c>
      <c r="AX102" s="82" t="s">
        <v>16875</v>
      </c>
      <c r="AY102" s="77"/>
      <c r="AZ102" s="82" t="s">
        <v>20971</v>
      </c>
      <c r="BA102" s="82" t="s">
        <v>20971</v>
      </c>
      <c r="BB102" s="82" t="s">
        <v>20971</v>
      </c>
      <c r="BC102" s="82" t="s">
        <v>16875</v>
      </c>
      <c r="BD102" s="82" t="s">
        <v>21050</v>
      </c>
      <c r="BE102" s="77"/>
      <c r="BF102" s="77"/>
      <c r="BG102" s="77"/>
      <c r="BH102" s="77"/>
      <c r="BI102" s="77"/>
    </row>
    <row r="103" spans="1:61" x14ac:dyDescent="0.25">
      <c r="A103" s="62" t="s">
        <v>279</v>
      </c>
      <c r="B103" s="62" t="s">
        <v>279</v>
      </c>
      <c r="C103" s="63"/>
      <c r="D103" s="64"/>
      <c r="E103" s="65"/>
      <c r="F103" s="66"/>
      <c r="G103" s="63"/>
      <c r="H103" s="67"/>
      <c r="I103" s="68"/>
      <c r="J103" s="68"/>
      <c r="K103" s="32"/>
      <c r="L103" s="75">
        <v>103</v>
      </c>
      <c r="M103" s="75"/>
      <c r="N103" s="70"/>
      <c r="O103" s="77" t="s">
        <v>179</v>
      </c>
      <c r="P103" s="79">
        <v>45018.936203703706</v>
      </c>
      <c r="Q103" s="77" t="s">
        <v>1387</v>
      </c>
      <c r="R103" s="77">
        <v>0</v>
      </c>
      <c r="S103" s="77">
        <v>0</v>
      </c>
      <c r="T103" s="77">
        <v>0</v>
      </c>
      <c r="U103" s="77">
        <v>0</v>
      </c>
      <c r="V103" s="77">
        <v>29</v>
      </c>
      <c r="W103" s="82" t="s">
        <v>5318</v>
      </c>
      <c r="X103" s="80" t="str">
        <f>HYPERLINK("https://go.hotmart.com/Q81483883F")</f>
        <v>https://go.hotmart.com/Q81483883F</v>
      </c>
      <c r="Y103" s="77" t="s">
        <v>7251</v>
      </c>
      <c r="Z103" s="77"/>
      <c r="AA103" s="77"/>
      <c r="AB103" s="77"/>
      <c r="AC103" s="82" t="s">
        <v>10146</v>
      </c>
      <c r="AD103" s="77" t="s">
        <v>10184</v>
      </c>
      <c r="AE103" s="80" t="str">
        <f>HYPERLINK("https://twitter.com/allandennis18/status/1642655179668434945")</f>
        <v>https://twitter.com/allandennis18/status/1642655179668434945</v>
      </c>
      <c r="AF103" s="79">
        <v>45018.936203703706</v>
      </c>
      <c r="AG103" s="85">
        <v>45018</v>
      </c>
      <c r="AH103" s="82" t="s">
        <v>10299</v>
      </c>
      <c r="AI103" s="77" t="b">
        <v>0</v>
      </c>
      <c r="AJ103" s="77"/>
      <c r="AK103" s="77"/>
      <c r="AL103" s="77"/>
      <c r="AM103" s="77"/>
      <c r="AN103" s="77"/>
      <c r="AO103" s="77"/>
      <c r="AP103" s="77"/>
      <c r="AQ103" s="77"/>
      <c r="AR103" s="77"/>
      <c r="AS103" s="77"/>
      <c r="AT103" s="77"/>
      <c r="AU103" s="77"/>
      <c r="AV103" s="80" t="str">
        <f>HYPERLINK("https://pbs.twimg.com/profile_images/1646995964773670914/yDIRDXlJ_normal.jpg")</f>
        <v>https://pbs.twimg.com/profile_images/1646995964773670914/yDIRDXlJ_normal.jpg</v>
      </c>
      <c r="AW103" s="82" t="s">
        <v>16876</v>
      </c>
      <c r="AX103" s="82" t="s">
        <v>16876</v>
      </c>
      <c r="AY103" s="77"/>
      <c r="AZ103" s="82" t="s">
        <v>20971</v>
      </c>
      <c r="BA103" s="82" t="s">
        <v>20971</v>
      </c>
      <c r="BB103" s="82" t="s">
        <v>20971</v>
      </c>
      <c r="BC103" s="82" t="s">
        <v>16876</v>
      </c>
      <c r="BD103" s="82" t="s">
        <v>21051</v>
      </c>
      <c r="BE103" s="77"/>
      <c r="BF103" s="77"/>
      <c r="BG103" s="77"/>
      <c r="BH103" s="77"/>
      <c r="BI103" s="77"/>
    </row>
    <row r="104" spans="1:61" x14ac:dyDescent="0.25">
      <c r="A104" s="62" t="s">
        <v>279</v>
      </c>
      <c r="B104" s="62" t="s">
        <v>279</v>
      </c>
      <c r="C104" s="63"/>
      <c r="D104" s="64"/>
      <c r="E104" s="65"/>
      <c r="F104" s="66"/>
      <c r="G104" s="63"/>
      <c r="H104" s="67"/>
      <c r="I104" s="68"/>
      <c r="J104" s="68"/>
      <c r="K104" s="32"/>
      <c r="L104" s="75">
        <v>104</v>
      </c>
      <c r="M104" s="75"/>
      <c r="N104" s="70"/>
      <c r="O104" s="77" t="s">
        <v>179</v>
      </c>
      <c r="P104" s="79">
        <v>45018.861597222225</v>
      </c>
      <c r="Q104" s="77" t="s">
        <v>1388</v>
      </c>
      <c r="R104" s="77">
        <v>0</v>
      </c>
      <c r="S104" s="77">
        <v>0</v>
      </c>
      <c r="T104" s="77">
        <v>0</v>
      </c>
      <c r="U104" s="77">
        <v>0</v>
      </c>
      <c r="V104" s="77">
        <v>51</v>
      </c>
      <c r="W104" s="82" t="s">
        <v>5319</v>
      </c>
      <c r="X104" s="80" t="str">
        <f>HYPERLINK("https://go.hotmart.com/P81480599Q")</f>
        <v>https://go.hotmart.com/P81480599Q</v>
      </c>
      <c r="Y104" s="77" t="s">
        <v>7251</v>
      </c>
      <c r="Z104" s="77"/>
      <c r="AA104" s="77" t="s">
        <v>7578</v>
      </c>
      <c r="AB104" s="77" t="s">
        <v>10130</v>
      </c>
      <c r="AC104" s="82" t="s">
        <v>10146</v>
      </c>
      <c r="AD104" s="77" t="s">
        <v>10184</v>
      </c>
      <c r="AE104" s="80" t="str">
        <f>HYPERLINK("https://twitter.com/allandennis18/status/1642628143151235075")</f>
        <v>https://twitter.com/allandennis18/status/1642628143151235075</v>
      </c>
      <c r="AF104" s="79">
        <v>45018.861597222225</v>
      </c>
      <c r="AG104" s="85">
        <v>45018</v>
      </c>
      <c r="AH104" s="82" t="s">
        <v>10300</v>
      </c>
      <c r="AI104" s="77" t="b">
        <v>0</v>
      </c>
      <c r="AJ104" s="77"/>
      <c r="AK104" s="77"/>
      <c r="AL104" s="77"/>
      <c r="AM104" s="77"/>
      <c r="AN104" s="77"/>
      <c r="AO104" s="77"/>
      <c r="AP104" s="77"/>
      <c r="AQ104" s="77" t="s">
        <v>14222</v>
      </c>
      <c r="AR104" s="77"/>
      <c r="AS104" s="77"/>
      <c r="AT104" s="77"/>
      <c r="AU104" s="77"/>
      <c r="AV104" s="80" t="str">
        <f>HYPERLINK("https://pbs.twimg.com/media/FsvJhxqWcAAAsv6.jpg")</f>
        <v>https://pbs.twimg.com/media/FsvJhxqWcAAAsv6.jpg</v>
      </c>
      <c r="AW104" s="82" t="s">
        <v>16877</v>
      </c>
      <c r="AX104" s="82" t="s">
        <v>16877</v>
      </c>
      <c r="AY104" s="77"/>
      <c r="AZ104" s="82" t="s">
        <v>20971</v>
      </c>
      <c r="BA104" s="82" t="s">
        <v>20971</v>
      </c>
      <c r="BB104" s="82" t="s">
        <v>20971</v>
      </c>
      <c r="BC104" s="82" t="s">
        <v>16877</v>
      </c>
      <c r="BD104" s="82" t="s">
        <v>21051</v>
      </c>
      <c r="BE104" s="77"/>
      <c r="BF104" s="77"/>
      <c r="BG104" s="77"/>
      <c r="BH104" s="77"/>
      <c r="BI104" s="77"/>
    </row>
    <row r="105" spans="1:61" x14ac:dyDescent="0.25">
      <c r="A105" s="62" t="s">
        <v>280</v>
      </c>
      <c r="B105" s="62" t="s">
        <v>280</v>
      </c>
      <c r="C105" s="63"/>
      <c r="D105" s="64"/>
      <c r="E105" s="65"/>
      <c r="F105" s="66"/>
      <c r="G105" s="63"/>
      <c r="H105" s="67"/>
      <c r="I105" s="68"/>
      <c r="J105" s="68"/>
      <c r="K105" s="32"/>
      <c r="L105" s="75">
        <v>105</v>
      </c>
      <c r="M105" s="75"/>
      <c r="N105" s="70"/>
      <c r="O105" s="77" t="s">
        <v>179</v>
      </c>
      <c r="P105" s="79">
        <v>44985.9528587963</v>
      </c>
      <c r="Q105" s="77" t="s">
        <v>1389</v>
      </c>
      <c r="R105" s="77">
        <v>0</v>
      </c>
      <c r="S105" s="77">
        <v>3</v>
      </c>
      <c r="T105" s="77">
        <v>0</v>
      </c>
      <c r="U105" s="77">
        <v>0</v>
      </c>
      <c r="V105" s="77">
        <v>68</v>
      </c>
      <c r="W105" s="82" t="s">
        <v>5320</v>
      </c>
      <c r="X105" s="80" t="str">
        <f>HYPERLINK("https://youtu.be/fi2TJ24ldsc")</f>
        <v>https://youtu.be/fi2TJ24ldsc</v>
      </c>
      <c r="Y105" s="77" t="s">
        <v>7248</v>
      </c>
      <c r="Z105" s="77"/>
      <c r="AA105" s="77"/>
      <c r="AB105" s="77"/>
      <c r="AC105" s="82" t="s">
        <v>10146</v>
      </c>
      <c r="AD105" s="77" t="s">
        <v>10184</v>
      </c>
      <c r="AE105" s="80" t="str">
        <f>HYPERLINK("https://twitter.com/vsmolina3/status/1630702416151695360")</f>
        <v>https://twitter.com/vsmolina3/status/1630702416151695360</v>
      </c>
      <c r="AF105" s="79">
        <v>44985.9528587963</v>
      </c>
      <c r="AG105" s="85">
        <v>44985</v>
      </c>
      <c r="AH105" s="82" t="s">
        <v>10301</v>
      </c>
      <c r="AI105" s="77" t="b">
        <v>0</v>
      </c>
      <c r="AJ105" s="77"/>
      <c r="AK105" s="77"/>
      <c r="AL105" s="77"/>
      <c r="AM105" s="77"/>
      <c r="AN105" s="77"/>
      <c r="AO105" s="77"/>
      <c r="AP105" s="77"/>
      <c r="AQ105" s="77"/>
      <c r="AR105" s="77"/>
      <c r="AS105" s="77"/>
      <c r="AT105" s="77"/>
      <c r="AU105" s="77"/>
      <c r="AV105" s="80" t="str">
        <f>HYPERLINK("https://pbs.twimg.com/profile_images/1146122928758673410/K0Cc6E4o_normal.png")</f>
        <v>https://pbs.twimg.com/profile_images/1146122928758673410/K0Cc6E4o_normal.png</v>
      </c>
      <c r="AW105" s="82" t="s">
        <v>16878</v>
      </c>
      <c r="AX105" s="82" t="s">
        <v>16878</v>
      </c>
      <c r="AY105" s="77"/>
      <c r="AZ105" s="82" t="s">
        <v>20971</v>
      </c>
      <c r="BA105" s="82" t="s">
        <v>20971</v>
      </c>
      <c r="BB105" s="82" t="s">
        <v>20971</v>
      </c>
      <c r="BC105" s="82" t="s">
        <v>16878</v>
      </c>
      <c r="BD105" s="82" t="s">
        <v>21052</v>
      </c>
      <c r="BE105" s="77"/>
      <c r="BF105" s="77"/>
      <c r="BG105" s="77"/>
      <c r="BH105" s="77"/>
      <c r="BI105" s="77"/>
    </row>
    <row r="106" spans="1:61" x14ac:dyDescent="0.25">
      <c r="A106" s="62" t="s">
        <v>280</v>
      </c>
      <c r="B106" s="62" t="s">
        <v>280</v>
      </c>
      <c r="C106" s="63"/>
      <c r="D106" s="64"/>
      <c r="E106" s="65"/>
      <c r="F106" s="66"/>
      <c r="G106" s="63"/>
      <c r="H106" s="67"/>
      <c r="I106" s="68"/>
      <c r="J106" s="68"/>
      <c r="K106" s="32"/>
      <c r="L106" s="75">
        <v>106</v>
      </c>
      <c r="M106" s="75"/>
      <c r="N106" s="70"/>
      <c r="O106" s="77" t="s">
        <v>179</v>
      </c>
      <c r="P106" s="79">
        <v>45015.798692129632</v>
      </c>
      <c r="Q106" s="77" t="s">
        <v>1390</v>
      </c>
      <c r="R106" s="77">
        <v>0</v>
      </c>
      <c r="S106" s="77">
        <v>0</v>
      </c>
      <c r="T106" s="77">
        <v>0</v>
      </c>
      <c r="U106" s="77">
        <v>0</v>
      </c>
      <c r="V106" s="77">
        <v>19</v>
      </c>
      <c r="W106" s="82" t="s">
        <v>5236</v>
      </c>
      <c r="X106" s="80" t="str">
        <f>HYPERLINK("https://youtu.be/uj6LJLQUfw8")</f>
        <v>https://youtu.be/uj6LJLQUfw8</v>
      </c>
      <c r="Y106" s="77" t="s">
        <v>7248</v>
      </c>
      <c r="Z106" s="77"/>
      <c r="AA106" s="77"/>
      <c r="AB106" s="77"/>
      <c r="AC106" s="82" t="s">
        <v>10146</v>
      </c>
      <c r="AD106" s="77" t="s">
        <v>10184</v>
      </c>
      <c r="AE106" s="80" t="str">
        <f>HYPERLINK("https://twitter.com/vsmolina3/status/1641518183885447188")</f>
        <v>https://twitter.com/vsmolina3/status/1641518183885447188</v>
      </c>
      <c r="AF106" s="79">
        <v>45015.798692129632</v>
      </c>
      <c r="AG106" s="85">
        <v>45015</v>
      </c>
      <c r="AH106" s="82" t="s">
        <v>10302</v>
      </c>
      <c r="AI106" s="77" t="b">
        <v>0</v>
      </c>
      <c r="AJ106" s="77"/>
      <c r="AK106" s="77"/>
      <c r="AL106" s="77"/>
      <c r="AM106" s="77"/>
      <c r="AN106" s="77"/>
      <c r="AO106" s="77"/>
      <c r="AP106" s="77"/>
      <c r="AQ106" s="77"/>
      <c r="AR106" s="77"/>
      <c r="AS106" s="77"/>
      <c r="AT106" s="77"/>
      <c r="AU106" s="77"/>
      <c r="AV106" s="80" t="str">
        <f>HYPERLINK("https://pbs.twimg.com/profile_images/1146122928758673410/K0Cc6E4o_normal.png")</f>
        <v>https://pbs.twimg.com/profile_images/1146122928758673410/K0Cc6E4o_normal.png</v>
      </c>
      <c r="AW106" s="82" t="s">
        <v>16879</v>
      </c>
      <c r="AX106" s="82" t="s">
        <v>16879</v>
      </c>
      <c r="AY106" s="77"/>
      <c r="AZ106" s="82" t="s">
        <v>20971</v>
      </c>
      <c r="BA106" s="82" t="s">
        <v>20971</v>
      </c>
      <c r="BB106" s="82" t="s">
        <v>20971</v>
      </c>
      <c r="BC106" s="82" t="s">
        <v>16879</v>
      </c>
      <c r="BD106" s="82" t="s">
        <v>21052</v>
      </c>
      <c r="BE106" s="77"/>
      <c r="BF106" s="77"/>
      <c r="BG106" s="77"/>
      <c r="BH106" s="77"/>
      <c r="BI106" s="77"/>
    </row>
    <row r="107" spans="1:61" x14ac:dyDescent="0.25">
      <c r="A107" s="62" t="s">
        <v>280</v>
      </c>
      <c r="B107" s="62" t="s">
        <v>280</v>
      </c>
      <c r="C107" s="63"/>
      <c r="D107" s="64"/>
      <c r="E107" s="65"/>
      <c r="F107" s="66"/>
      <c r="G107" s="63"/>
      <c r="H107" s="67"/>
      <c r="I107" s="68"/>
      <c r="J107" s="68"/>
      <c r="K107" s="32"/>
      <c r="L107" s="75">
        <v>107</v>
      </c>
      <c r="M107" s="75"/>
      <c r="N107" s="70"/>
      <c r="O107" s="77" t="s">
        <v>179</v>
      </c>
      <c r="P107" s="79">
        <v>45014.867534722223</v>
      </c>
      <c r="Q107" s="77" t="s">
        <v>1391</v>
      </c>
      <c r="R107" s="77">
        <v>0</v>
      </c>
      <c r="S107" s="77">
        <v>2</v>
      </c>
      <c r="T107" s="77">
        <v>0</v>
      </c>
      <c r="U107" s="77">
        <v>0</v>
      </c>
      <c r="V107" s="77">
        <v>210</v>
      </c>
      <c r="W107" s="82" t="s">
        <v>5321</v>
      </c>
      <c r="X107" s="80" t="str">
        <f>HYPERLINK("https://youtu.be/EGIyAPrvL-c")</f>
        <v>https://youtu.be/EGIyAPrvL-c</v>
      </c>
      <c r="Y107" s="77" t="s">
        <v>7248</v>
      </c>
      <c r="Z107" s="77"/>
      <c r="AA107" s="77"/>
      <c r="AB107" s="77"/>
      <c r="AC107" s="82" t="s">
        <v>10146</v>
      </c>
      <c r="AD107" s="77" t="s">
        <v>10184</v>
      </c>
      <c r="AE107" s="80" t="str">
        <f>HYPERLINK("https://twitter.com/vsmolina3/status/1641180743064776708")</f>
        <v>https://twitter.com/vsmolina3/status/1641180743064776708</v>
      </c>
      <c r="AF107" s="79">
        <v>45014.867534722223</v>
      </c>
      <c r="AG107" s="85">
        <v>45014</v>
      </c>
      <c r="AH107" s="82" t="s">
        <v>10303</v>
      </c>
      <c r="AI107" s="77" t="b">
        <v>0</v>
      </c>
      <c r="AJ107" s="77"/>
      <c r="AK107" s="77"/>
      <c r="AL107" s="77"/>
      <c r="AM107" s="77"/>
      <c r="AN107" s="77"/>
      <c r="AO107" s="77"/>
      <c r="AP107" s="77"/>
      <c r="AQ107" s="77"/>
      <c r="AR107" s="77"/>
      <c r="AS107" s="77"/>
      <c r="AT107" s="77"/>
      <c r="AU107" s="77"/>
      <c r="AV107" s="80" t="str">
        <f>HYPERLINK("https://pbs.twimg.com/profile_images/1146122928758673410/K0Cc6E4o_normal.png")</f>
        <v>https://pbs.twimg.com/profile_images/1146122928758673410/K0Cc6E4o_normal.png</v>
      </c>
      <c r="AW107" s="82" t="s">
        <v>16880</v>
      </c>
      <c r="AX107" s="82" t="s">
        <v>16880</v>
      </c>
      <c r="AY107" s="77"/>
      <c r="AZ107" s="82" t="s">
        <v>20971</v>
      </c>
      <c r="BA107" s="82" t="s">
        <v>20971</v>
      </c>
      <c r="BB107" s="82" t="s">
        <v>20971</v>
      </c>
      <c r="BC107" s="82" t="s">
        <v>16880</v>
      </c>
      <c r="BD107" s="82" t="s">
        <v>21052</v>
      </c>
      <c r="BE107" s="77"/>
      <c r="BF107" s="77"/>
      <c r="BG107" s="77"/>
      <c r="BH107" s="77"/>
      <c r="BI107" s="77"/>
    </row>
    <row r="108" spans="1:61" x14ac:dyDescent="0.25">
      <c r="A108" s="62" t="s">
        <v>280</v>
      </c>
      <c r="B108" s="62" t="s">
        <v>280</v>
      </c>
      <c r="C108" s="63"/>
      <c r="D108" s="64"/>
      <c r="E108" s="65"/>
      <c r="F108" s="66"/>
      <c r="G108" s="63"/>
      <c r="H108" s="67"/>
      <c r="I108" s="68"/>
      <c r="J108" s="68"/>
      <c r="K108" s="32"/>
      <c r="L108" s="75">
        <v>108</v>
      </c>
      <c r="M108" s="75"/>
      <c r="N108" s="70"/>
      <c r="O108" s="77" t="s">
        <v>179</v>
      </c>
      <c r="P108" s="79">
        <v>44988.846724537034</v>
      </c>
      <c r="Q108" s="77" t="s">
        <v>1392</v>
      </c>
      <c r="R108" s="77">
        <v>0</v>
      </c>
      <c r="S108" s="77">
        <v>1</v>
      </c>
      <c r="T108" s="77">
        <v>0</v>
      </c>
      <c r="U108" s="77">
        <v>0</v>
      </c>
      <c r="V108" s="77">
        <v>78</v>
      </c>
      <c r="W108" s="82" t="s">
        <v>5322</v>
      </c>
      <c r="X108" s="80" t="str">
        <f>HYPERLINK("https://youtu.be/VRobJbjQSPo")</f>
        <v>https://youtu.be/VRobJbjQSPo</v>
      </c>
      <c r="Y108" s="77" t="s">
        <v>7248</v>
      </c>
      <c r="Z108" s="77"/>
      <c r="AA108" s="77"/>
      <c r="AB108" s="77"/>
      <c r="AC108" s="82" t="s">
        <v>10146</v>
      </c>
      <c r="AD108" s="77" t="s">
        <v>10184</v>
      </c>
      <c r="AE108" s="80" t="str">
        <f>HYPERLINK("https://twitter.com/vsmolina3/status/1631751117490061330")</f>
        <v>https://twitter.com/vsmolina3/status/1631751117490061330</v>
      </c>
      <c r="AF108" s="79">
        <v>44988.846724537034</v>
      </c>
      <c r="AG108" s="85">
        <v>44988</v>
      </c>
      <c r="AH108" s="82" t="s">
        <v>10304</v>
      </c>
      <c r="AI108" s="77" t="b">
        <v>0</v>
      </c>
      <c r="AJ108" s="77"/>
      <c r="AK108" s="77"/>
      <c r="AL108" s="77"/>
      <c r="AM108" s="77"/>
      <c r="AN108" s="77"/>
      <c r="AO108" s="77"/>
      <c r="AP108" s="77"/>
      <c r="AQ108" s="77"/>
      <c r="AR108" s="77"/>
      <c r="AS108" s="77"/>
      <c r="AT108" s="77"/>
      <c r="AU108" s="77"/>
      <c r="AV108" s="80" t="str">
        <f>HYPERLINK("https://pbs.twimg.com/profile_images/1146122928758673410/K0Cc6E4o_normal.png")</f>
        <v>https://pbs.twimg.com/profile_images/1146122928758673410/K0Cc6E4o_normal.png</v>
      </c>
      <c r="AW108" s="82" t="s">
        <v>16881</v>
      </c>
      <c r="AX108" s="82" t="s">
        <v>16881</v>
      </c>
      <c r="AY108" s="77"/>
      <c r="AZ108" s="82" t="s">
        <v>20971</v>
      </c>
      <c r="BA108" s="82" t="s">
        <v>20971</v>
      </c>
      <c r="BB108" s="82" t="s">
        <v>20971</v>
      </c>
      <c r="BC108" s="82" t="s">
        <v>16881</v>
      </c>
      <c r="BD108" s="82" t="s">
        <v>21052</v>
      </c>
      <c r="BE108" s="77"/>
      <c r="BF108" s="77"/>
      <c r="BG108" s="77"/>
      <c r="BH108" s="77"/>
      <c r="BI108" s="77"/>
    </row>
    <row r="109" spans="1:61" x14ac:dyDescent="0.25">
      <c r="A109" s="62" t="s">
        <v>280</v>
      </c>
      <c r="B109" s="62" t="s">
        <v>280</v>
      </c>
      <c r="C109" s="63"/>
      <c r="D109" s="64"/>
      <c r="E109" s="65"/>
      <c r="F109" s="66"/>
      <c r="G109" s="63"/>
      <c r="H109" s="67"/>
      <c r="I109" s="68"/>
      <c r="J109" s="68"/>
      <c r="K109" s="32"/>
      <c r="L109" s="75">
        <v>109</v>
      </c>
      <c r="M109" s="75"/>
      <c r="N109" s="70"/>
      <c r="O109" s="77" t="s">
        <v>179</v>
      </c>
      <c r="P109" s="79">
        <v>45078.468946759262</v>
      </c>
      <c r="Q109" s="77" t="s">
        <v>1393</v>
      </c>
      <c r="R109" s="77">
        <v>0</v>
      </c>
      <c r="S109" s="77">
        <v>0</v>
      </c>
      <c r="T109" s="77">
        <v>0</v>
      </c>
      <c r="U109" s="77">
        <v>0</v>
      </c>
      <c r="V109" s="77">
        <v>40</v>
      </c>
      <c r="W109" s="82" t="s">
        <v>5323</v>
      </c>
      <c r="X109" s="80" t="str">
        <f>HYPERLINK("https://youtu.be/4CZ8sN5-FVU")</f>
        <v>https://youtu.be/4CZ8sN5-FVU</v>
      </c>
      <c r="Y109" s="77" t="s">
        <v>7248</v>
      </c>
      <c r="Z109" s="77"/>
      <c r="AA109" s="77"/>
      <c r="AB109" s="77"/>
      <c r="AC109" s="82" t="s">
        <v>10146</v>
      </c>
      <c r="AD109" s="77" t="s">
        <v>10184</v>
      </c>
      <c r="AE109" s="80" t="str">
        <f>HYPERLINK("https://twitter.com/vsmolina3/status/1664229123319910400")</f>
        <v>https://twitter.com/vsmolina3/status/1664229123319910400</v>
      </c>
      <c r="AF109" s="79">
        <v>45078.468946759262</v>
      </c>
      <c r="AG109" s="85">
        <v>45078</v>
      </c>
      <c r="AH109" s="82" t="s">
        <v>10305</v>
      </c>
      <c r="AI109" s="77" t="b">
        <v>0</v>
      </c>
      <c r="AJ109" s="77"/>
      <c r="AK109" s="77"/>
      <c r="AL109" s="77"/>
      <c r="AM109" s="77"/>
      <c r="AN109" s="77"/>
      <c r="AO109" s="77"/>
      <c r="AP109" s="77"/>
      <c r="AQ109" s="77"/>
      <c r="AR109" s="77"/>
      <c r="AS109" s="77"/>
      <c r="AT109" s="77"/>
      <c r="AU109" s="77"/>
      <c r="AV109" s="80" t="str">
        <f>HYPERLINK("https://pbs.twimg.com/profile_images/1146122928758673410/K0Cc6E4o_normal.png")</f>
        <v>https://pbs.twimg.com/profile_images/1146122928758673410/K0Cc6E4o_normal.png</v>
      </c>
      <c r="AW109" s="82" t="s">
        <v>16882</v>
      </c>
      <c r="AX109" s="82" t="s">
        <v>16882</v>
      </c>
      <c r="AY109" s="77"/>
      <c r="AZ109" s="82" t="s">
        <v>20971</v>
      </c>
      <c r="BA109" s="82" t="s">
        <v>20971</v>
      </c>
      <c r="BB109" s="82" t="s">
        <v>20971</v>
      </c>
      <c r="BC109" s="82" t="s">
        <v>16882</v>
      </c>
      <c r="BD109" s="82" t="s">
        <v>21052</v>
      </c>
      <c r="BE109" s="77"/>
      <c r="BF109" s="77"/>
      <c r="BG109" s="77"/>
      <c r="BH109" s="77"/>
      <c r="BI109" s="77"/>
    </row>
    <row r="110" spans="1:61" x14ac:dyDescent="0.25">
      <c r="A110" s="62" t="s">
        <v>280</v>
      </c>
      <c r="B110" s="62" t="s">
        <v>280</v>
      </c>
      <c r="C110" s="63"/>
      <c r="D110" s="64"/>
      <c r="E110" s="65"/>
      <c r="F110" s="66"/>
      <c r="G110" s="63"/>
      <c r="H110" s="67"/>
      <c r="I110" s="68"/>
      <c r="J110" s="68"/>
      <c r="K110" s="32"/>
      <c r="L110" s="75">
        <v>110</v>
      </c>
      <c r="M110" s="75"/>
      <c r="N110" s="70"/>
      <c r="O110" s="77" t="s">
        <v>179</v>
      </c>
      <c r="P110" s="79">
        <v>45026.471087962964</v>
      </c>
      <c r="Q110" s="77" t="s">
        <v>1394</v>
      </c>
      <c r="R110" s="77">
        <v>0</v>
      </c>
      <c r="S110" s="77">
        <v>1</v>
      </c>
      <c r="T110" s="77">
        <v>0</v>
      </c>
      <c r="U110" s="77">
        <v>0</v>
      </c>
      <c r="V110" s="77">
        <v>20</v>
      </c>
      <c r="W110" s="82" t="s">
        <v>5324</v>
      </c>
      <c r="X110" s="80" t="str">
        <f>HYPERLINK("https://youtu.be/UkCeccjOj3E")</f>
        <v>https://youtu.be/UkCeccjOj3E</v>
      </c>
      <c r="Y110" s="77" t="s">
        <v>7248</v>
      </c>
      <c r="Z110" s="77"/>
      <c r="AA110" s="77"/>
      <c r="AB110" s="77"/>
      <c r="AC110" s="82" t="s">
        <v>10146</v>
      </c>
      <c r="AD110" s="77" t="s">
        <v>10184</v>
      </c>
      <c r="AE110" s="80" t="str">
        <f>HYPERLINK("https://twitter.com/vsmolina3/status/1645385731844587520")</f>
        <v>https://twitter.com/vsmolina3/status/1645385731844587520</v>
      </c>
      <c r="AF110" s="79">
        <v>45026.471087962964</v>
      </c>
      <c r="AG110" s="85">
        <v>45026</v>
      </c>
      <c r="AH110" s="82" t="s">
        <v>10306</v>
      </c>
      <c r="AI110" s="77" t="b">
        <v>0</v>
      </c>
      <c r="AJ110" s="77"/>
      <c r="AK110" s="77"/>
      <c r="AL110" s="77"/>
      <c r="AM110" s="77"/>
      <c r="AN110" s="77"/>
      <c r="AO110" s="77"/>
      <c r="AP110" s="77"/>
      <c r="AQ110" s="77"/>
      <c r="AR110" s="77"/>
      <c r="AS110" s="77"/>
      <c r="AT110" s="77"/>
      <c r="AU110" s="77"/>
      <c r="AV110" s="80" t="str">
        <f>HYPERLINK("https://pbs.twimg.com/profile_images/1146122928758673410/K0Cc6E4o_normal.png")</f>
        <v>https://pbs.twimg.com/profile_images/1146122928758673410/K0Cc6E4o_normal.png</v>
      </c>
      <c r="AW110" s="82" t="s">
        <v>16883</v>
      </c>
      <c r="AX110" s="82" t="s">
        <v>16883</v>
      </c>
      <c r="AY110" s="77"/>
      <c r="AZ110" s="82" t="s">
        <v>20971</v>
      </c>
      <c r="BA110" s="82" t="s">
        <v>20971</v>
      </c>
      <c r="BB110" s="82" t="s">
        <v>20971</v>
      </c>
      <c r="BC110" s="82" t="s">
        <v>16883</v>
      </c>
      <c r="BD110" s="82" t="s">
        <v>21052</v>
      </c>
      <c r="BE110" s="77"/>
      <c r="BF110" s="77"/>
      <c r="BG110" s="77"/>
      <c r="BH110" s="77"/>
      <c r="BI110" s="77"/>
    </row>
    <row r="111" spans="1:61" x14ac:dyDescent="0.25">
      <c r="A111" s="62" t="s">
        <v>280</v>
      </c>
      <c r="B111" s="62" t="s">
        <v>280</v>
      </c>
      <c r="C111" s="63"/>
      <c r="D111" s="64"/>
      <c r="E111" s="65"/>
      <c r="F111" s="66"/>
      <c r="G111" s="63"/>
      <c r="H111" s="67"/>
      <c r="I111" s="68"/>
      <c r="J111" s="68"/>
      <c r="K111" s="32"/>
      <c r="L111" s="75">
        <v>111</v>
      </c>
      <c r="M111" s="75"/>
      <c r="N111" s="70"/>
      <c r="O111" s="77" t="s">
        <v>179</v>
      </c>
      <c r="P111" s="79">
        <v>45022.451284722221</v>
      </c>
      <c r="Q111" s="77" t="s">
        <v>1395</v>
      </c>
      <c r="R111" s="77">
        <v>0</v>
      </c>
      <c r="S111" s="77">
        <v>0</v>
      </c>
      <c r="T111" s="77">
        <v>0</v>
      </c>
      <c r="U111" s="77">
        <v>0</v>
      </c>
      <c r="V111" s="77">
        <v>32</v>
      </c>
      <c r="W111" s="82" t="s">
        <v>5325</v>
      </c>
      <c r="X111" s="80" t="str">
        <f>HYPERLINK("https://youtu.be/tH4XgmvZBlw")</f>
        <v>https://youtu.be/tH4XgmvZBlw</v>
      </c>
      <c r="Y111" s="77" t="s">
        <v>7248</v>
      </c>
      <c r="Z111" s="77"/>
      <c r="AA111" s="77"/>
      <c r="AB111" s="77"/>
      <c r="AC111" s="82" t="s">
        <v>10146</v>
      </c>
      <c r="AD111" s="77" t="s">
        <v>10184</v>
      </c>
      <c r="AE111" s="80" t="str">
        <f>HYPERLINK("https://twitter.com/vsmolina3/status/1643929004020301824")</f>
        <v>https://twitter.com/vsmolina3/status/1643929004020301824</v>
      </c>
      <c r="AF111" s="79">
        <v>45022.451284722221</v>
      </c>
      <c r="AG111" s="85">
        <v>45022</v>
      </c>
      <c r="AH111" s="82" t="s">
        <v>10307</v>
      </c>
      <c r="AI111" s="77" t="b">
        <v>0</v>
      </c>
      <c r="AJ111" s="77"/>
      <c r="AK111" s="77"/>
      <c r="AL111" s="77"/>
      <c r="AM111" s="77"/>
      <c r="AN111" s="77"/>
      <c r="AO111" s="77"/>
      <c r="AP111" s="77"/>
      <c r="AQ111" s="77"/>
      <c r="AR111" s="77"/>
      <c r="AS111" s="77"/>
      <c r="AT111" s="77"/>
      <c r="AU111" s="77"/>
      <c r="AV111" s="80" t="str">
        <f>HYPERLINK("https://pbs.twimg.com/profile_images/1146122928758673410/K0Cc6E4o_normal.png")</f>
        <v>https://pbs.twimg.com/profile_images/1146122928758673410/K0Cc6E4o_normal.png</v>
      </c>
      <c r="AW111" s="82" t="s">
        <v>16884</v>
      </c>
      <c r="AX111" s="82" t="s">
        <v>16884</v>
      </c>
      <c r="AY111" s="77"/>
      <c r="AZ111" s="82" t="s">
        <v>20971</v>
      </c>
      <c r="BA111" s="82" t="s">
        <v>20971</v>
      </c>
      <c r="BB111" s="82" t="s">
        <v>20971</v>
      </c>
      <c r="BC111" s="82" t="s">
        <v>16884</v>
      </c>
      <c r="BD111" s="82" t="s">
        <v>21052</v>
      </c>
      <c r="BE111" s="77"/>
      <c r="BF111" s="77"/>
      <c r="BG111" s="77"/>
      <c r="BH111" s="77"/>
      <c r="BI111" s="77"/>
    </row>
    <row r="112" spans="1:61" x14ac:dyDescent="0.25">
      <c r="A112" s="62" t="s">
        <v>280</v>
      </c>
      <c r="B112" s="62" t="s">
        <v>280</v>
      </c>
      <c r="C112" s="63"/>
      <c r="D112" s="64"/>
      <c r="E112" s="65"/>
      <c r="F112" s="66"/>
      <c r="G112" s="63"/>
      <c r="H112" s="67"/>
      <c r="I112" s="68"/>
      <c r="J112" s="68"/>
      <c r="K112" s="32"/>
      <c r="L112" s="75">
        <v>112</v>
      </c>
      <c r="M112" s="75"/>
      <c r="N112" s="70"/>
      <c r="O112" s="77" t="s">
        <v>179</v>
      </c>
      <c r="P112" s="79">
        <v>45075.94122685185</v>
      </c>
      <c r="Q112" s="77" t="s">
        <v>1396</v>
      </c>
      <c r="R112" s="77">
        <v>0</v>
      </c>
      <c r="S112" s="77">
        <v>2</v>
      </c>
      <c r="T112" s="77">
        <v>0</v>
      </c>
      <c r="U112" s="77">
        <v>0</v>
      </c>
      <c r="V112" s="77">
        <v>49</v>
      </c>
      <c r="W112" s="82" t="s">
        <v>5326</v>
      </c>
      <c r="X112" s="80" t="str">
        <f>HYPERLINK("https://youtu.be/2laRX8hbPGM")</f>
        <v>https://youtu.be/2laRX8hbPGM</v>
      </c>
      <c r="Y112" s="77" t="s">
        <v>7248</v>
      </c>
      <c r="Z112" s="77"/>
      <c r="AA112" s="77"/>
      <c r="AB112" s="77"/>
      <c r="AC112" s="82" t="s">
        <v>10146</v>
      </c>
      <c r="AD112" s="77" t="s">
        <v>10184</v>
      </c>
      <c r="AE112" s="80" t="str">
        <f>HYPERLINK("https://twitter.com/vsmolina3/status/1663313109153357824")</f>
        <v>https://twitter.com/vsmolina3/status/1663313109153357824</v>
      </c>
      <c r="AF112" s="79">
        <v>45075.94122685185</v>
      </c>
      <c r="AG112" s="85">
        <v>45075</v>
      </c>
      <c r="AH112" s="82" t="s">
        <v>10308</v>
      </c>
      <c r="AI112" s="77" t="b">
        <v>0</v>
      </c>
      <c r="AJ112" s="77"/>
      <c r="AK112" s="77"/>
      <c r="AL112" s="77"/>
      <c r="AM112" s="77"/>
      <c r="AN112" s="77"/>
      <c r="AO112" s="77"/>
      <c r="AP112" s="77"/>
      <c r="AQ112" s="77"/>
      <c r="AR112" s="77"/>
      <c r="AS112" s="77"/>
      <c r="AT112" s="77"/>
      <c r="AU112" s="77"/>
      <c r="AV112" s="80" t="str">
        <f>HYPERLINK("https://pbs.twimg.com/profile_images/1146122928758673410/K0Cc6E4o_normal.png")</f>
        <v>https://pbs.twimg.com/profile_images/1146122928758673410/K0Cc6E4o_normal.png</v>
      </c>
      <c r="AW112" s="82" t="s">
        <v>16885</v>
      </c>
      <c r="AX112" s="82" t="s">
        <v>16885</v>
      </c>
      <c r="AY112" s="77"/>
      <c r="AZ112" s="82" t="s">
        <v>20971</v>
      </c>
      <c r="BA112" s="82" t="s">
        <v>20971</v>
      </c>
      <c r="BB112" s="82" t="s">
        <v>20971</v>
      </c>
      <c r="BC112" s="82" t="s">
        <v>16885</v>
      </c>
      <c r="BD112" s="82" t="s">
        <v>21052</v>
      </c>
      <c r="BE112" s="77"/>
      <c r="BF112" s="77"/>
      <c r="BG112" s="77"/>
      <c r="BH112" s="77"/>
      <c r="BI112" s="77"/>
    </row>
    <row r="113" spans="1:61" x14ac:dyDescent="0.25">
      <c r="A113" s="62" t="s">
        <v>280</v>
      </c>
      <c r="B113" s="62" t="s">
        <v>280</v>
      </c>
      <c r="C113" s="63"/>
      <c r="D113" s="64"/>
      <c r="E113" s="65"/>
      <c r="F113" s="66"/>
      <c r="G113" s="63"/>
      <c r="H113" s="67"/>
      <c r="I113" s="68"/>
      <c r="J113" s="68"/>
      <c r="K113" s="32"/>
      <c r="L113" s="75">
        <v>113</v>
      </c>
      <c r="M113" s="75"/>
      <c r="N113" s="70"/>
      <c r="O113" s="77" t="s">
        <v>179</v>
      </c>
      <c r="P113" s="79">
        <v>45019.810972222222</v>
      </c>
      <c r="Q113" s="77" t="s">
        <v>1397</v>
      </c>
      <c r="R113" s="77">
        <v>0</v>
      </c>
      <c r="S113" s="77">
        <v>1</v>
      </c>
      <c r="T113" s="77">
        <v>1</v>
      </c>
      <c r="U113" s="77">
        <v>0</v>
      </c>
      <c r="V113" s="77">
        <v>117</v>
      </c>
      <c r="W113" s="82" t="s">
        <v>5327</v>
      </c>
      <c r="X113" s="80" t="str">
        <f>HYPERLINK("https://youtu.be/tS4fVYwPSEk")</f>
        <v>https://youtu.be/tS4fVYwPSEk</v>
      </c>
      <c r="Y113" s="77" t="s">
        <v>7248</v>
      </c>
      <c r="Z113" s="77"/>
      <c r="AA113" s="77"/>
      <c r="AB113" s="77"/>
      <c r="AC113" s="82" t="s">
        <v>10146</v>
      </c>
      <c r="AD113" s="77" t="s">
        <v>10184</v>
      </c>
      <c r="AE113" s="80" t="str">
        <f>HYPERLINK("https://twitter.com/vsmolina3/status/1642972183767969792")</f>
        <v>https://twitter.com/vsmolina3/status/1642972183767969792</v>
      </c>
      <c r="AF113" s="79">
        <v>45019.810972222222</v>
      </c>
      <c r="AG113" s="85">
        <v>45019</v>
      </c>
      <c r="AH113" s="82" t="s">
        <v>10309</v>
      </c>
      <c r="AI113" s="77" t="b">
        <v>0</v>
      </c>
      <c r="AJ113" s="77"/>
      <c r="AK113" s="77"/>
      <c r="AL113" s="77"/>
      <c r="AM113" s="77"/>
      <c r="AN113" s="77"/>
      <c r="AO113" s="77"/>
      <c r="AP113" s="77"/>
      <c r="AQ113" s="77"/>
      <c r="AR113" s="77"/>
      <c r="AS113" s="77"/>
      <c r="AT113" s="77"/>
      <c r="AU113" s="77"/>
      <c r="AV113" s="80" t="str">
        <f>HYPERLINK("https://pbs.twimg.com/profile_images/1146122928758673410/K0Cc6E4o_normal.png")</f>
        <v>https://pbs.twimg.com/profile_images/1146122928758673410/K0Cc6E4o_normal.png</v>
      </c>
      <c r="AW113" s="82" t="s">
        <v>16886</v>
      </c>
      <c r="AX113" s="82" t="s">
        <v>16886</v>
      </c>
      <c r="AY113" s="77"/>
      <c r="AZ113" s="82" t="s">
        <v>20971</v>
      </c>
      <c r="BA113" s="82" t="s">
        <v>20971</v>
      </c>
      <c r="BB113" s="82" t="s">
        <v>20971</v>
      </c>
      <c r="BC113" s="82" t="s">
        <v>16886</v>
      </c>
      <c r="BD113" s="82" t="s">
        <v>21052</v>
      </c>
      <c r="BE113" s="77"/>
      <c r="BF113" s="77"/>
      <c r="BG113" s="77"/>
      <c r="BH113" s="77"/>
      <c r="BI113" s="77"/>
    </row>
    <row r="114" spans="1:61" x14ac:dyDescent="0.25">
      <c r="A114" s="62" t="s">
        <v>280</v>
      </c>
      <c r="B114" s="62" t="s">
        <v>280</v>
      </c>
      <c r="C114" s="63"/>
      <c r="D114" s="64"/>
      <c r="E114" s="65"/>
      <c r="F114" s="66"/>
      <c r="G114" s="63"/>
      <c r="H114" s="67"/>
      <c r="I114" s="68"/>
      <c r="J114" s="68"/>
      <c r="K114" s="32"/>
      <c r="L114" s="75">
        <v>114</v>
      </c>
      <c r="M114" s="75"/>
      <c r="N114" s="70"/>
      <c r="O114" s="77" t="s">
        <v>179</v>
      </c>
      <c r="P114" s="79">
        <v>45102.806250000001</v>
      </c>
      <c r="Q114" s="77" t="s">
        <v>1398</v>
      </c>
      <c r="R114" s="77">
        <v>0</v>
      </c>
      <c r="S114" s="77">
        <v>1</v>
      </c>
      <c r="T114" s="77">
        <v>0</v>
      </c>
      <c r="U114" s="77">
        <v>0</v>
      </c>
      <c r="V114" s="77">
        <v>56</v>
      </c>
      <c r="W114" s="82" t="s">
        <v>5328</v>
      </c>
      <c r="X114" s="80" t="str">
        <f>HYPERLINK("https://youtu.be/EBpKaDQTzec")</f>
        <v>https://youtu.be/EBpKaDQTzec</v>
      </c>
      <c r="Y114" s="77" t="s">
        <v>7248</v>
      </c>
      <c r="Z114" s="77"/>
      <c r="AA114" s="77"/>
      <c r="AB114" s="77"/>
      <c r="AC114" s="82" t="s">
        <v>10146</v>
      </c>
      <c r="AD114" s="77" t="s">
        <v>10184</v>
      </c>
      <c r="AE114" s="80" t="str">
        <f>HYPERLINK("https://twitter.com/vsmolina3/status/1673048666167287810")</f>
        <v>https://twitter.com/vsmolina3/status/1673048666167287810</v>
      </c>
      <c r="AF114" s="79">
        <v>45102.806250000001</v>
      </c>
      <c r="AG114" s="85">
        <v>45102</v>
      </c>
      <c r="AH114" s="82" t="s">
        <v>10310</v>
      </c>
      <c r="AI114" s="77" t="b">
        <v>0</v>
      </c>
      <c r="AJ114" s="77"/>
      <c r="AK114" s="77"/>
      <c r="AL114" s="77"/>
      <c r="AM114" s="77"/>
      <c r="AN114" s="77"/>
      <c r="AO114" s="77"/>
      <c r="AP114" s="77"/>
      <c r="AQ114" s="77"/>
      <c r="AR114" s="77"/>
      <c r="AS114" s="77"/>
      <c r="AT114" s="77"/>
      <c r="AU114" s="77"/>
      <c r="AV114" s="80" t="str">
        <f>HYPERLINK("https://pbs.twimg.com/profile_images/1146122928758673410/K0Cc6E4o_normal.png")</f>
        <v>https://pbs.twimg.com/profile_images/1146122928758673410/K0Cc6E4o_normal.png</v>
      </c>
      <c r="AW114" s="82" t="s">
        <v>16887</v>
      </c>
      <c r="AX114" s="82" t="s">
        <v>16887</v>
      </c>
      <c r="AY114" s="77"/>
      <c r="AZ114" s="82" t="s">
        <v>20971</v>
      </c>
      <c r="BA114" s="82" t="s">
        <v>20971</v>
      </c>
      <c r="BB114" s="82" t="s">
        <v>20971</v>
      </c>
      <c r="BC114" s="82" t="s">
        <v>16887</v>
      </c>
      <c r="BD114" s="82" t="s">
        <v>21052</v>
      </c>
      <c r="BE114" s="77"/>
      <c r="BF114" s="77"/>
      <c r="BG114" s="77"/>
      <c r="BH114" s="77"/>
      <c r="BI114" s="77"/>
    </row>
    <row r="115" spans="1:61" x14ac:dyDescent="0.25">
      <c r="A115" s="62" t="s">
        <v>280</v>
      </c>
      <c r="B115" s="62" t="s">
        <v>280</v>
      </c>
      <c r="C115" s="63"/>
      <c r="D115" s="64"/>
      <c r="E115" s="65"/>
      <c r="F115" s="66"/>
      <c r="G115" s="63"/>
      <c r="H115" s="67"/>
      <c r="I115" s="68"/>
      <c r="J115" s="68"/>
      <c r="K115" s="32"/>
      <c r="L115" s="75">
        <v>115</v>
      </c>
      <c r="M115" s="75"/>
      <c r="N115" s="70"/>
      <c r="O115" s="77" t="s">
        <v>179</v>
      </c>
      <c r="P115" s="79">
        <v>45111.494826388887</v>
      </c>
      <c r="Q115" s="77" t="s">
        <v>1399</v>
      </c>
      <c r="R115" s="77">
        <v>0</v>
      </c>
      <c r="S115" s="77">
        <v>0</v>
      </c>
      <c r="T115" s="77">
        <v>0</v>
      </c>
      <c r="U115" s="77">
        <v>0</v>
      </c>
      <c r="V115" s="77">
        <v>13</v>
      </c>
      <c r="W115" s="82" t="s">
        <v>5329</v>
      </c>
      <c r="X115" s="80" t="str">
        <f>HYPERLINK("https://youtu.be/WxM4xRIYu4E")</f>
        <v>https://youtu.be/WxM4xRIYu4E</v>
      </c>
      <c r="Y115" s="77" t="s">
        <v>7248</v>
      </c>
      <c r="Z115" s="77"/>
      <c r="AA115" s="77"/>
      <c r="AB115" s="77"/>
      <c r="AC115" s="82" t="s">
        <v>10146</v>
      </c>
      <c r="AD115" s="77" t="s">
        <v>10184</v>
      </c>
      <c r="AE115" s="80" t="str">
        <f>HYPERLINK("https://twitter.com/vsmolina3/status/1676197302954868736")</f>
        <v>https://twitter.com/vsmolina3/status/1676197302954868736</v>
      </c>
      <c r="AF115" s="79">
        <v>45111.494826388887</v>
      </c>
      <c r="AG115" s="85">
        <v>45111</v>
      </c>
      <c r="AH115" s="82" t="s">
        <v>10311</v>
      </c>
      <c r="AI115" s="77" t="b">
        <v>0</v>
      </c>
      <c r="AJ115" s="77"/>
      <c r="AK115" s="77"/>
      <c r="AL115" s="77"/>
      <c r="AM115" s="77"/>
      <c r="AN115" s="77"/>
      <c r="AO115" s="77"/>
      <c r="AP115" s="77"/>
      <c r="AQ115" s="77"/>
      <c r="AR115" s="77"/>
      <c r="AS115" s="77"/>
      <c r="AT115" s="77"/>
      <c r="AU115" s="77"/>
      <c r="AV115" s="80" t="str">
        <f>HYPERLINK("https://pbs.twimg.com/profile_images/1146122928758673410/K0Cc6E4o_normal.png")</f>
        <v>https://pbs.twimg.com/profile_images/1146122928758673410/K0Cc6E4o_normal.png</v>
      </c>
      <c r="AW115" s="82" t="s">
        <v>16888</v>
      </c>
      <c r="AX115" s="82" t="s">
        <v>16888</v>
      </c>
      <c r="AY115" s="77"/>
      <c r="AZ115" s="82" t="s">
        <v>20971</v>
      </c>
      <c r="BA115" s="82" t="s">
        <v>20971</v>
      </c>
      <c r="BB115" s="82" t="s">
        <v>20971</v>
      </c>
      <c r="BC115" s="82" t="s">
        <v>16888</v>
      </c>
      <c r="BD115" s="82" t="s">
        <v>21052</v>
      </c>
      <c r="BE115" s="77"/>
      <c r="BF115" s="77"/>
      <c r="BG115" s="77"/>
      <c r="BH115" s="77"/>
      <c r="BI115" s="77"/>
    </row>
    <row r="116" spans="1:61" x14ac:dyDescent="0.25">
      <c r="A116" s="62" t="s">
        <v>280</v>
      </c>
      <c r="B116" s="62" t="s">
        <v>280</v>
      </c>
      <c r="C116" s="63"/>
      <c r="D116" s="64"/>
      <c r="E116" s="65"/>
      <c r="F116" s="66"/>
      <c r="G116" s="63"/>
      <c r="H116" s="67"/>
      <c r="I116" s="68"/>
      <c r="J116" s="68"/>
      <c r="K116" s="32"/>
      <c r="L116" s="75">
        <v>116</v>
      </c>
      <c r="M116" s="75"/>
      <c r="N116" s="70"/>
      <c r="O116" s="77" t="s">
        <v>179</v>
      </c>
      <c r="P116" s="79">
        <v>45100.520995370367</v>
      </c>
      <c r="Q116" s="77" t="s">
        <v>1400</v>
      </c>
      <c r="R116" s="77">
        <v>0</v>
      </c>
      <c r="S116" s="77">
        <v>0</v>
      </c>
      <c r="T116" s="77">
        <v>0</v>
      </c>
      <c r="U116" s="77">
        <v>0</v>
      </c>
      <c r="V116" s="77">
        <v>53</v>
      </c>
      <c r="W116" s="82" t="s">
        <v>5330</v>
      </c>
      <c r="X116" s="80" t="str">
        <f>HYPERLINK("https://youtu.be/eL-pfemcE58")</f>
        <v>https://youtu.be/eL-pfemcE58</v>
      </c>
      <c r="Y116" s="77" t="s">
        <v>7248</v>
      </c>
      <c r="Z116" s="77"/>
      <c r="AA116" s="77"/>
      <c r="AB116" s="77"/>
      <c r="AC116" s="82" t="s">
        <v>10146</v>
      </c>
      <c r="AD116" s="77" t="s">
        <v>10184</v>
      </c>
      <c r="AE116" s="80" t="str">
        <f>HYPERLINK("https://twitter.com/vsmolina3/status/1672220516143300610")</f>
        <v>https://twitter.com/vsmolina3/status/1672220516143300610</v>
      </c>
      <c r="AF116" s="79">
        <v>45100.520995370367</v>
      </c>
      <c r="AG116" s="85">
        <v>45100</v>
      </c>
      <c r="AH116" s="82" t="s">
        <v>10312</v>
      </c>
      <c r="AI116" s="77" t="b">
        <v>0</v>
      </c>
      <c r="AJ116" s="77"/>
      <c r="AK116" s="77"/>
      <c r="AL116" s="77"/>
      <c r="AM116" s="77"/>
      <c r="AN116" s="77"/>
      <c r="AO116" s="77"/>
      <c r="AP116" s="77"/>
      <c r="AQ116" s="77"/>
      <c r="AR116" s="77"/>
      <c r="AS116" s="77"/>
      <c r="AT116" s="77"/>
      <c r="AU116" s="77"/>
      <c r="AV116" s="80" t="str">
        <f>HYPERLINK("https://pbs.twimg.com/profile_images/1146122928758673410/K0Cc6E4o_normal.png")</f>
        <v>https://pbs.twimg.com/profile_images/1146122928758673410/K0Cc6E4o_normal.png</v>
      </c>
      <c r="AW116" s="82" t="s">
        <v>16889</v>
      </c>
      <c r="AX116" s="82" t="s">
        <v>16889</v>
      </c>
      <c r="AY116" s="77"/>
      <c r="AZ116" s="82" t="s">
        <v>20971</v>
      </c>
      <c r="BA116" s="82" t="s">
        <v>20971</v>
      </c>
      <c r="BB116" s="82" t="s">
        <v>20971</v>
      </c>
      <c r="BC116" s="82" t="s">
        <v>16889</v>
      </c>
      <c r="BD116" s="82" t="s">
        <v>21052</v>
      </c>
      <c r="BE116" s="77"/>
      <c r="BF116" s="77"/>
      <c r="BG116" s="77"/>
      <c r="BH116" s="77"/>
      <c r="BI116" s="77"/>
    </row>
    <row r="117" spans="1:61" x14ac:dyDescent="0.25">
      <c r="A117" s="62" t="s">
        <v>281</v>
      </c>
      <c r="B117" s="62" t="s">
        <v>281</v>
      </c>
      <c r="C117" s="63"/>
      <c r="D117" s="64"/>
      <c r="E117" s="65"/>
      <c r="F117" s="66"/>
      <c r="G117" s="63"/>
      <c r="H117" s="67"/>
      <c r="I117" s="68"/>
      <c r="J117" s="68"/>
      <c r="K117" s="32"/>
      <c r="L117" s="75">
        <v>117</v>
      </c>
      <c r="M117" s="75"/>
      <c r="N117" s="70"/>
      <c r="O117" s="77" t="s">
        <v>179</v>
      </c>
      <c r="P117" s="79">
        <v>45156.613657407404</v>
      </c>
      <c r="Q117" s="77" t="s">
        <v>1401</v>
      </c>
      <c r="R117" s="77">
        <v>0</v>
      </c>
      <c r="S117" s="77">
        <v>0</v>
      </c>
      <c r="T117" s="77">
        <v>0</v>
      </c>
      <c r="U117" s="77">
        <v>0</v>
      </c>
      <c r="V117" s="77">
        <v>18</v>
      </c>
      <c r="W117" s="82" t="s">
        <v>5331</v>
      </c>
      <c r="X117" s="77"/>
      <c r="Y117" s="77"/>
      <c r="Z117" s="77"/>
      <c r="AA117" s="77" t="s">
        <v>7579</v>
      </c>
      <c r="AB117" s="77" t="s">
        <v>10129</v>
      </c>
      <c r="AC117" s="82" t="s">
        <v>10145</v>
      </c>
      <c r="AD117" s="77" t="s">
        <v>10184</v>
      </c>
      <c r="AE117" s="80" t="str">
        <f>HYPERLINK("https://twitter.com/insightsratao/status/1692547816172789832")</f>
        <v>https://twitter.com/insightsratao/status/1692547816172789832</v>
      </c>
      <c r="AF117" s="79">
        <v>45156.613657407404</v>
      </c>
      <c r="AG117" s="85">
        <v>45156</v>
      </c>
      <c r="AH117" s="82" t="s">
        <v>10313</v>
      </c>
      <c r="AI117" s="77" t="b">
        <v>0</v>
      </c>
      <c r="AJ117" s="77"/>
      <c r="AK117" s="77"/>
      <c r="AL117" s="77"/>
      <c r="AM117" s="77"/>
      <c r="AN117" s="77"/>
      <c r="AO117" s="77"/>
      <c r="AP117" s="77"/>
      <c r="AQ117" s="77" t="s">
        <v>14223</v>
      </c>
      <c r="AR117" s="77">
        <v>54116</v>
      </c>
      <c r="AS117" s="77"/>
      <c r="AT117" s="77"/>
      <c r="AU117" s="77"/>
      <c r="AV117" s="80" t="str">
        <f>HYPERLINK("https://pbs.twimg.com/ext_tw_video_thumb/1692545595196481536/pu/img/d8PIH-R6-7vnmKNt.jpg")</f>
        <v>https://pbs.twimg.com/ext_tw_video_thumb/1692545595196481536/pu/img/d8PIH-R6-7vnmKNt.jpg</v>
      </c>
      <c r="AW117" s="82" t="s">
        <v>16890</v>
      </c>
      <c r="AX117" s="82" t="s">
        <v>16890</v>
      </c>
      <c r="AY117" s="77"/>
      <c r="AZ117" s="82" t="s">
        <v>20971</v>
      </c>
      <c r="BA117" s="82" t="s">
        <v>20971</v>
      </c>
      <c r="BB117" s="82" t="s">
        <v>20971</v>
      </c>
      <c r="BC117" s="82" t="s">
        <v>16890</v>
      </c>
      <c r="BD117" s="82" t="s">
        <v>21053</v>
      </c>
      <c r="BE117" s="77"/>
      <c r="BF117" s="77"/>
      <c r="BG117" s="77"/>
      <c r="BH117" s="77"/>
      <c r="BI117" s="77"/>
    </row>
    <row r="118" spans="1:61" x14ac:dyDescent="0.25">
      <c r="A118" s="62" t="s">
        <v>282</v>
      </c>
      <c r="B118" s="62" t="s">
        <v>282</v>
      </c>
      <c r="C118" s="63"/>
      <c r="D118" s="64"/>
      <c r="E118" s="65"/>
      <c r="F118" s="66"/>
      <c r="G118" s="63"/>
      <c r="H118" s="67"/>
      <c r="I118" s="68"/>
      <c r="J118" s="68"/>
      <c r="K118" s="32"/>
      <c r="L118" s="75">
        <v>118</v>
      </c>
      <c r="M118" s="75"/>
      <c r="N118" s="70"/>
      <c r="O118" s="77" t="s">
        <v>179</v>
      </c>
      <c r="P118" s="79">
        <v>45134.706319444442</v>
      </c>
      <c r="Q118" s="77" t="s">
        <v>1402</v>
      </c>
      <c r="R118" s="77">
        <v>0</v>
      </c>
      <c r="S118" s="77">
        <v>0</v>
      </c>
      <c r="T118" s="77">
        <v>0</v>
      </c>
      <c r="U118" s="77">
        <v>0</v>
      </c>
      <c r="V118" s="77">
        <v>3</v>
      </c>
      <c r="W118" s="82" t="s">
        <v>5332</v>
      </c>
      <c r="X118" s="80" t="str">
        <f>HYPERLINK("https://kiwify.app/YJggS6d?afid=abnNjEFa")</f>
        <v>https://kiwify.app/YJggS6d?afid=abnNjEFa</v>
      </c>
      <c r="Y118" s="77" t="s">
        <v>7269</v>
      </c>
      <c r="Z118" s="77"/>
      <c r="AA118" s="77" t="s">
        <v>7580</v>
      </c>
      <c r="AB118" s="77" t="s">
        <v>10129</v>
      </c>
      <c r="AC118" s="82" t="s">
        <v>10144</v>
      </c>
      <c r="AD118" s="77" t="s">
        <v>10184</v>
      </c>
      <c r="AE118" s="80" t="str">
        <f>HYPERLINK("https://twitter.com/milcoisas__/status/1684608864904253440")</f>
        <v>https://twitter.com/milcoisas__/status/1684608864904253440</v>
      </c>
      <c r="AF118" s="79">
        <v>45134.706319444442</v>
      </c>
      <c r="AG118" s="85">
        <v>45134</v>
      </c>
      <c r="AH118" s="82" t="s">
        <v>10314</v>
      </c>
      <c r="AI118" s="77" t="b">
        <v>0</v>
      </c>
      <c r="AJ118" s="77"/>
      <c r="AK118" s="77"/>
      <c r="AL118" s="77"/>
      <c r="AM118" s="77"/>
      <c r="AN118" s="77"/>
      <c r="AO118" s="77"/>
      <c r="AP118" s="77"/>
      <c r="AQ118" s="77" t="s">
        <v>14224</v>
      </c>
      <c r="AR118" s="77">
        <v>8466</v>
      </c>
      <c r="AS118" s="77"/>
      <c r="AT118" s="77"/>
      <c r="AU118" s="77"/>
      <c r="AV118" s="80" t="str">
        <f>HYPERLINK("https://pbs.twimg.com/ext_tw_video_thumb/1684608820528414737/pu/img/1QpnTG1gORATD9uf.jpg")</f>
        <v>https://pbs.twimg.com/ext_tw_video_thumb/1684608820528414737/pu/img/1QpnTG1gORATD9uf.jpg</v>
      </c>
      <c r="AW118" s="82" t="s">
        <v>16891</v>
      </c>
      <c r="AX118" s="82" t="s">
        <v>16891</v>
      </c>
      <c r="AY118" s="77"/>
      <c r="AZ118" s="82" t="s">
        <v>20971</v>
      </c>
      <c r="BA118" s="82" t="s">
        <v>20971</v>
      </c>
      <c r="BB118" s="82" t="s">
        <v>20971</v>
      </c>
      <c r="BC118" s="82" t="s">
        <v>16891</v>
      </c>
      <c r="BD118" s="82" t="s">
        <v>21054</v>
      </c>
      <c r="BE118" s="77"/>
      <c r="BF118" s="77"/>
      <c r="BG118" s="77"/>
      <c r="BH118" s="77"/>
      <c r="BI118" s="77"/>
    </row>
    <row r="119" spans="1:61" x14ac:dyDescent="0.25">
      <c r="A119" s="62" t="s">
        <v>282</v>
      </c>
      <c r="B119" s="62" t="s">
        <v>282</v>
      </c>
      <c r="C119" s="63"/>
      <c r="D119" s="64"/>
      <c r="E119" s="65"/>
      <c r="F119" s="66"/>
      <c r="G119" s="63"/>
      <c r="H119" s="67"/>
      <c r="I119" s="68"/>
      <c r="J119" s="68"/>
      <c r="K119" s="32"/>
      <c r="L119" s="75">
        <v>119</v>
      </c>
      <c r="M119" s="75"/>
      <c r="N119" s="70"/>
      <c r="O119" s="77" t="s">
        <v>179</v>
      </c>
      <c r="P119" s="79">
        <v>45133.414537037039</v>
      </c>
      <c r="Q119" s="77" t="s">
        <v>1403</v>
      </c>
      <c r="R119" s="77">
        <v>0</v>
      </c>
      <c r="S119" s="77">
        <v>0</v>
      </c>
      <c r="T119" s="77">
        <v>0</v>
      </c>
      <c r="U119" s="77">
        <v>0</v>
      </c>
      <c r="V119" s="77">
        <v>2</v>
      </c>
      <c r="W119" s="82" t="s">
        <v>5332</v>
      </c>
      <c r="X119" s="80" t="str">
        <f>HYPERLINK("https://kiwify.app/hRL5gxY?afid=h7ilIt60")</f>
        <v>https://kiwify.app/hRL5gxY?afid=h7ilIt60</v>
      </c>
      <c r="Y119" s="77" t="s">
        <v>7269</v>
      </c>
      <c r="Z119" s="77"/>
      <c r="AA119" s="77" t="s">
        <v>7581</v>
      </c>
      <c r="AB119" s="77" t="s">
        <v>10129</v>
      </c>
      <c r="AC119" s="82" t="s">
        <v>10144</v>
      </c>
      <c r="AD119" s="77" t="s">
        <v>10184</v>
      </c>
      <c r="AE119" s="80" t="str">
        <f>HYPERLINK("https://twitter.com/milcoisas__/status/1684140737636577281")</f>
        <v>https://twitter.com/milcoisas__/status/1684140737636577281</v>
      </c>
      <c r="AF119" s="79">
        <v>45133.414537037039</v>
      </c>
      <c r="AG119" s="85">
        <v>45133</v>
      </c>
      <c r="AH119" s="82" t="s">
        <v>10315</v>
      </c>
      <c r="AI119" s="77" t="b">
        <v>0</v>
      </c>
      <c r="AJ119" s="77"/>
      <c r="AK119" s="77"/>
      <c r="AL119" s="77"/>
      <c r="AM119" s="77"/>
      <c r="AN119" s="77"/>
      <c r="AO119" s="77"/>
      <c r="AP119" s="77"/>
      <c r="AQ119" s="77" t="s">
        <v>14225</v>
      </c>
      <c r="AR119" s="77">
        <v>8716</v>
      </c>
      <c r="AS119" s="77"/>
      <c r="AT119" s="77"/>
      <c r="AU119" s="77"/>
      <c r="AV119" s="80" t="str">
        <f>HYPERLINK("https://pbs.twimg.com/ext_tw_video_thumb/1684140699740938241/pu/img/9_wr3U2wEj1kOrcL.jpg")</f>
        <v>https://pbs.twimg.com/ext_tw_video_thumb/1684140699740938241/pu/img/9_wr3U2wEj1kOrcL.jpg</v>
      </c>
      <c r="AW119" s="82" t="s">
        <v>16892</v>
      </c>
      <c r="AX119" s="82" t="s">
        <v>16892</v>
      </c>
      <c r="AY119" s="77"/>
      <c r="AZ119" s="82" t="s">
        <v>20971</v>
      </c>
      <c r="BA119" s="82" t="s">
        <v>20971</v>
      </c>
      <c r="BB119" s="82" t="s">
        <v>20971</v>
      </c>
      <c r="BC119" s="82" t="s">
        <v>16892</v>
      </c>
      <c r="BD119" s="82" t="s">
        <v>21054</v>
      </c>
      <c r="BE119" s="77"/>
      <c r="BF119" s="77"/>
      <c r="BG119" s="77"/>
      <c r="BH119" s="77"/>
      <c r="BI119" s="77"/>
    </row>
    <row r="120" spans="1:61" x14ac:dyDescent="0.25">
      <c r="A120" s="62" t="s">
        <v>283</v>
      </c>
      <c r="B120" s="62" t="s">
        <v>283</v>
      </c>
      <c r="C120" s="63"/>
      <c r="D120" s="64"/>
      <c r="E120" s="65"/>
      <c r="F120" s="66"/>
      <c r="G120" s="63"/>
      <c r="H120" s="67"/>
      <c r="I120" s="68"/>
      <c r="J120" s="68"/>
      <c r="K120" s="32"/>
      <c r="L120" s="75">
        <v>120</v>
      </c>
      <c r="M120" s="75"/>
      <c r="N120" s="70"/>
      <c r="O120" s="77" t="s">
        <v>179</v>
      </c>
      <c r="P120" s="79">
        <v>45110.838993055557</v>
      </c>
      <c r="Q120" s="77" t="s">
        <v>1404</v>
      </c>
      <c r="R120" s="77">
        <v>0</v>
      </c>
      <c r="S120" s="77">
        <v>0</v>
      </c>
      <c r="T120" s="77">
        <v>0</v>
      </c>
      <c r="U120" s="77">
        <v>0</v>
      </c>
      <c r="V120" s="77">
        <v>11</v>
      </c>
      <c r="W120" s="82" t="s">
        <v>5333</v>
      </c>
      <c r="X120" s="77"/>
      <c r="Y120" s="77"/>
      <c r="Z120" s="77"/>
      <c r="AA120" s="77" t="s">
        <v>7582</v>
      </c>
      <c r="AB120" s="77" t="s">
        <v>10130</v>
      </c>
      <c r="AC120" s="82" t="s">
        <v>10144</v>
      </c>
      <c r="AD120" s="77" t="s">
        <v>10184</v>
      </c>
      <c r="AE120" s="80" t="str">
        <f>HYPERLINK("https://twitter.com/purple_mkt/status/1675959635587612672")</f>
        <v>https://twitter.com/purple_mkt/status/1675959635587612672</v>
      </c>
      <c r="AF120" s="79">
        <v>45110.838993055557</v>
      </c>
      <c r="AG120" s="85">
        <v>45110</v>
      </c>
      <c r="AH120" s="82" t="s">
        <v>10316</v>
      </c>
      <c r="AI120" s="77" t="b">
        <v>0</v>
      </c>
      <c r="AJ120" s="77"/>
      <c r="AK120" s="77"/>
      <c r="AL120" s="77"/>
      <c r="AM120" s="77"/>
      <c r="AN120" s="77"/>
      <c r="AO120" s="77"/>
      <c r="AP120" s="77"/>
      <c r="AQ120" s="77" t="s">
        <v>14226</v>
      </c>
      <c r="AR120" s="77"/>
      <c r="AS120" s="77"/>
      <c r="AT120" s="77"/>
      <c r="AU120" s="77"/>
      <c r="AV120" s="80" t="str">
        <f>HYPERLINK("https://pbs.twimg.com/media/F0I0aCKWcAYVnVn.jpg")</f>
        <v>https://pbs.twimg.com/media/F0I0aCKWcAYVnVn.jpg</v>
      </c>
      <c r="AW120" s="82" t="s">
        <v>16893</v>
      </c>
      <c r="AX120" s="82" t="s">
        <v>16893</v>
      </c>
      <c r="AY120" s="77"/>
      <c r="AZ120" s="82" t="s">
        <v>20971</v>
      </c>
      <c r="BA120" s="82" t="s">
        <v>20971</v>
      </c>
      <c r="BB120" s="82" t="s">
        <v>20971</v>
      </c>
      <c r="BC120" s="82" t="s">
        <v>16893</v>
      </c>
      <c r="BD120" s="82" t="s">
        <v>21055</v>
      </c>
      <c r="BE120" s="77"/>
      <c r="BF120" s="77"/>
      <c r="BG120" s="77"/>
      <c r="BH120" s="77"/>
      <c r="BI120" s="77"/>
    </row>
    <row r="121" spans="1:61" x14ac:dyDescent="0.25">
      <c r="A121" s="62" t="s">
        <v>283</v>
      </c>
      <c r="B121" s="62" t="s">
        <v>283</v>
      </c>
      <c r="C121" s="63"/>
      <c r="D121" s="64"/>
      <c r="E121" s="65"/>
      <c r="F121" s="66"/>
      <c r="G121" s="63"/>
      <c r="H121" s="67"/>
      <c r="I121" s="68"/>
      <c r="J121" s="68"/>
      <c r="K121" s="32"/>
      <c r="L121" s="75">
        <v>121</v>
      </c>
      <c r="M121" s="75"/>
      <c r="N121" s="70"/>
      <c r="O121" s="77" t="s">
        <v>179</v>
      </c>
      <c r="P121" s="79">
        <v>45110.834687499999</v>
      </c>
      <c r="Q121" s="77" t="s">
        <v>1405</v>
      </c>
      <c r="R121" s="77">
        <v>0</v>
      </c>
      <c r="S121" s="77">
        <v>0</v>
      </c>
      <c r="T121" s="77">
        <v>0</v>
      </c>
      <c r="U121" s="77">
        <v>0</v>
      </c>
      <c r="V121" s="77">
        <v>12</v>
      </c>
      <c r="W121" s="82" t="s">
        <v>5334</v>
      </c>
      <c r="X121" s="77"/>
      <c r="Y121" s="77"/>
      <c r="Z121" s="77"/>
      <c r="AA121" s="77" t="s">
        <v>7583</v>
      </c>
      <c r="AB121" s="77" t="s">
        <v>10130</v>
      </c>
      <c r="AC121" s="82" t="s">
        <v>10144</v>
      </c>
      <c r="AD121" s="77" t="s">
        <v>10184</v>
      </c>
      <c r="AE121" s="80" t="str">
        <f>HYPERLINK("https://twitter.com/purple_mkt/status/1675958073108692994")</f>
        <v>https://twitter.com/purple_mkt/status/1675958073108692994</v>
      </c>
      <c r="AF121" s="79">
        <v>45110.834687499999</v>
      </c>
      <c r="AG121" s="85">
        <v>45110</v>
      </c>
      <c r="AH121" s="82" t="s">
        <v>10317</v>
      </c>
      <c r="AI121" s="77" t="b">
        <v>0</v>
      </c>
      <c r="AJ121" s="77"/>
      <c r="AK121" s="77"/>
      <c r="AL121" s="77"/>
      <c r="AM121" s="77"/>
      <c r="AN121" s="77"/>
      <c r="AO121" s="77"/>
      <c r="AP121" s="77"/>
      <c r="AQ121" s="77" t="s">
        <v>14227</v>
      </c>
      <c r="AR121" s="77"/>
      <c r="AS121" s="77"/>
      <c r="AT121" s="77"/>
      <c r="AU121" s="77"/>
      <c r="AV121" s="80" t="str">
        <f>HYPERLINK("https://pbs.twimg.com/media/F0Iy_GJWwAIFz5k.jpg")</f>
        <v>https://pbs.twimg.com/media/F0Iy_GJWwAIFz5k.jpg</v>
      </c>
      <c r="AW121" s="82" t="s">
        <v>16894</v>
      </c>
      <c r="AX121" s="82" t="s">
        <v>16894</v>
      </c>
      <c r="AY121" s="77"/>
      <c r="AZ121" s="82" t="s">
        <v>20971</v>
      </c>
      <c r="BA121" s="82" t="s">
        <v>20971</v>
      </c>
      <c r="BB121" s="82" t="s">
        <v>20971</v>
      </c>
      <c r="BC121" s="82" t="s">
        <v>16894</v>
      </c>
      <c r="BD121" s="82" t="s">
        <v>21055</v>
      </c>
      <c r="BE121" s="77"/>
      <c r="BF121" s="77"/>
      <c r="BG121" s="77"/>
      <c r="BH121" s="77"/>
      <c r="BI121" s="77"/>
    </row>
    <row r="122" spans="1:61" x14ac:dyDescent="0.25">
      <c r="A122" s="62" t="s">
        <v>284</v>
      </c>
      <c r="B122" s="62" t="s">
        <v>284</v>
      </c>
      <c r="C122" s="63"/>
      <c r="D122" s="64"/>
      <c r="E122" s="65"/>
      <c r="F122" s="66"/>
      <c r="G122" s="63"/>
      <c r="H122" s="67"/>
      <c r="I122" s="68"/>
      <c r="J122" s="68"/>
      <c r="K122" s="32"/>
      <c r="L122" s="75">
        <v>122</v>
      </c>
      <c r="M122" s="75"/>
      <c r="N122" s="70"/>
      <c r="O122" s="77" t="s">
        <v>179</v>
      </c>
      <c r="P122" s="79">
        <v>45173.754791666666</v>
      </c>
      <c r="Q122" s="77" t="s">
        <v>1406</v>
      </c>
      <c r="R122" s="77">
        <v>0</v>
      </c>
      <c r="S122" s="77">
        <v>1</v>
      </c>
      <c r="T122" s="77">
        <v>0</v>
      </c>
      <c r="U122" s="77">
        <v>0</v>
      </c>
      <c r="V122" s="77">
        <v>20</v>
      </c>
      <c r="W122" s="82" t="s">
        <v>5335</v>
      </c>
      <c r="X122" s="77"/>
      <c r="Y122" s="77"/>
      <c r="Z122" s="77"/>
      <c r="AA122" s="77" t="s">
        <v>7584</v>
      </c>
      <c r="AB122" s="77" t="s">
        <v>10130</v>
      </c>
      <c r="AC122" s="82" t="s">
        <v>10144</v>
      </c>
      <c r="AD122" s="77" t="s">
        <v>10184</v>
      </c>
      <c r="AE122" s="80" t="str">
        <f>HYPERLINK("https://twitter.com/mj_empreendedor/status/1698759555537129808")</f>
        <v>https://twitter.com/mj_empreendedor/status/1698759555537129808</v>
      </c>
      <c r="AF122" s="79">
        <v>45173.754791666666</v>
      </c>
      <c r="AG122" s="85">
        <v>45173</v>
      </c>
      <c r="AH122" s="82" t="s">
        <v>10318</v>
      </c>
      <c r="AI122" s="77" t="b">
        <v>0</v>
      </c>
      <c r="AJ122" s="77"/>
      <c r="AK122" s="77"/>
      <c r="AL122" s="77"/>
      <c r="AM122" s="77"/>
      <c r="AN122" s="77"/>
      <c r="AO122" s="77"/>
      <c r="AP122" s="77"/>
      <c r="AQ122" s="77" t="s">
        <v>14228</v>
      </c>
      <c r="AR122" s="77"/>
      <c r="AS122" s="77"/>
      <c r="AT122" s="77"/>
      <c r="AU122" s="77"/>
      <c r="AV122" s="80" t="str">
        <f>HYPERLINK("https://pbs.twimg.com/media/F5M00EbXYAA18bj.jpg")</f>
        <v>https://pbs.twimg.com/media/F5M00EbXYAA18bj.jpg</v>
      </c>
      <c r="AW122" s="82" t="s">
        <v>16895</v>
      </c>
      <c r="AX122" s="82" t="s">
        <v>16895</v>
      </c>
      <c r="AY122" s="77"/>
      <c r="AZ122" s="82" t="s">
        <v>20971</v>
      </c>
      <c r="BA122" s="82" t="s">
        <v>20971</v>
      </c>
      <c r="BB122" s="82" t="s">
        <v>20971</v>
      </c>
      <c r="BC122" s="82" t="s">
        <v>16895</v>
      </c>
      <c r="BD122" s="82" t="s">
        <v>21056</v>
      </c>
      <c r="BE122" s="77"/>
      <c r="BF122" s="77"/>
      <c r="BG122" s="77"/>
      <c r="BH122" s="77"/>
      <c r="BI122" s="77"/>
    </row>
    <row r="123" spans="1:61" x14ac:dyDescent="0.25">
      <c r="A123" s="62" t="s">
        <v>285</v>
      </c>
      <c r="B123" s="62" t="s">
        <v>285</v>
      </c>
      <c r="C123" s="63"/>
      <c r="D123" s="64"/>
      <c r="E123" s="65"/>
      <c r="F123" s="66"/>
      <c r="G123" s="63"/>
      <c r="H123" s="67"/>
      <c r="I123" s="68"/>
      <c r="J123" s="68"/>
      <c r="K123" s="32"/>
      <c r="L123" s="75">
        <v>123</v>
      </c>
      <c r="M123" s="75"/>
      <c r="N123" s="70"/>
      <c r="O123" s="77" t="s">
        <v>179</v>
      </c>
      <c r="P123" s="79">
        <v>45112.558842592596</v>
      </c>
      <c r="Q123" s="77" t="s">
        <v>1407</v>
      </c>
      <c r="R123" s="77">
        <v>0</v>
      </c>
      <c r="S123" s="77">
        <v>0</v>
      </c>
      <c r="T123" s="77">
        <v>0</v>
      </c>
      <c r="U123" s="77">
        <v>0</v>
      </c>
      <c r="V123" s="77">
        <v>335</v>
      </c>
      <c r="W123" s="82" t="s">
        <v>5336</v>
      </c>
      <c r="X123" s="80" t="str">
        <f>HYPERLINK("http://www.metodotop.store")</f>
        <v>http://www.metodotop.store</v>
      </c>
      <c r="Y123" s="77" t="s">
        <v>7270</v>
      </c>
      <c r="Z123" s="77"/>
      <c r="AA123" s="77" t="s">
        <v>7585</v>
      </c>
      <c r="AB123" s="77" t="s">
        <v>10129</v>
      </c>
      <c r="AC123" s="82" t="s">
        <v>10144</v>
      </c>
      <c r="AD123" s="77" t="s">
        <v>10184</v>
      </c>
      <c r="AE123" s="80" t="str">
        <f>HYPERLINK("https://twitter.com/dionatanwill/status/1676582886198108160")</f>
        <v>https://twitter.com/dionatanwill/status/1676582886198108160</v>
      </c>
      <c r="AF123" s="79">
        <v>45112.558842592596</v>
      </c>
      <c r="AG123" s="85">
        <v>45112</v>
      </c>
      <c r="AH123" s="82" t="s">
        <v>10319</v>
      </c>
      <c r="AI123" s="77" t="b">
        <v>0</v>
      </c>
      <c r="AJ123" s="77"/>
      <c r="AK123" s="77"/>
      <c r="AL123" s="77"/>
      <c r="AM123" s="77"/>
      <c r="AN123" s="77"/>
      <c r="AO123" s="77"/>
      <c r="AP123" s="77"/>
      <c r="AQ123" s="77" t="s">
        <v>14229</v>
      </c>
      <c r="AR123" s="77">
        <v>16800</v>
      </c>
      <c r="AS123" s="77"/>
      <c r="AT123" s="77"/>
      <c r="AU123" s="77"/>
      <c r="AV123" s="80" t="str">
        <f>HYPERLINK("https://pbs.twimg.com/ext_tw_video_thumb/1676582848948469761/pu/img/VCb6ArLoFst4r6Sp.jpg")</f>
        <v>https://pbs.twimg.com/ext_tw_video_thumb/1676582848948469761/pu/img/VCb6ArLoFst4r6Sp.jpg</v>
      </c>
      <c r="AW123" s="82" t="s">
        <v>16896</v>
      </c>
      <c r="AX123" s="82" t="s">
        <v>16896</v>
      </c>
      <c r="AY123" s="77"/>
      <c r="AZ123" s="82" t="s">
        <v>20971</v>
      </c>
      <c r="BA123" s="82" t="s">
        <v>20971</v>
      </c>
      <c r="BB123" s="82" t="s">
        <v>20971</v>
      </c>
      <c r="BC123" s="82" t="s">
        <v>16896</v>
      </c>
      <c r="BD123" s="77">
        <v>229130000</v>
      </c>
      <c r="BE123" s="77"/>
      <c r="BF123" s="77"/>
      <c r="BG123" s="77"/>
      <c r="BH123" s="77"/>
      <c r="BI123" s="77"/>
    </row>
    <row r="124" spans="1:61" x14ac:dyDescent="0.25">
      <c r="A124" s="62" t="s">
        <v>285</v>
      </c>
      <c r="B124" s="62" t="s">
        <v>285</v>
      </c>
      <c r="C124" s="63"/>
      <c r="D124" s="64"/>
      <c r="E124" s="65"/>
      <c r="F124" s="66"/>
      <c r="G124" s="63"/>
      <c r="H124" s="67"/>
      <c r="I124" s="68"/>
      <c r="J124" s="68"/>
      <c r="K124" s="32"/>
      <c r="L124" s="75">
        <v>124</v>
      </c>
      <c r="M124" s="75"/>
      <c r="N124" s="70"/>
      <c r="O124" s="77" t="s">
        <v>179</v>
      </c>
      <c r="P124" s="79">
        <v>45104.449317129627</v>
      </c>
      <c r="Q124" s="77" t="s">
        <v>1408</v>
      </c>
      <c r="R124" s="77">
        <v>0</v>
      </c>
      <c r="S124" s="77">
        <v>0</v>
      </c>
      <c r="T124" s="77">
        <v>0</v>
      </c>
      <c r="U124" s="77">
        <v>0</v>
      </c>
      <c r="V124" s="77">
        <v>166</v>
      </c>
      <c r="W124" s="82" t="s">
        <v>5337</v>
      </c>
      <c r="X124" s="80" t="str">
        <f>HYPERLINK("http://www.metodotop.store")</f>
        <v>http://www.metodotop.store</v>
      </c>
      <c r="Y124" s="77" t="s">
        <v>7270</v>
      </c>
      <c r="Z124" s="77"/>
      <c r="AA124" s="77" t="s">
        <v>7586</v>
      </c>
      <c r="AB124" s="77" t="s">
        <v>10130</v>
      </c>
      <c r="AC124" s="82" t="s">
        <v>10144</v>
      </c>
      <c r="AD124" s="77" t="s">
        <v>10184</v>
      </c>
      <c r="AE124" s="80" t="str">
        <f>HYPERLINK("https://twitter.com/dionatanwill/status/1673644092129964032")</f>
        <v>https://twitter.com/dionatanwill/status/1673644092129964032</v>
      </c>
      <c r="AF124" s="79">
        <v>45104.449317129627</v>
      </c>
      <c r="AG124" s="85">
        <v>45104</v>
      </c>
      <c r="AH124" s="82" t="s">
        <v>10320</v>
      </c>
      <c r="AI124" s="77" t="b">
        <v>0</v>
      </c>
      <c r="AJ124" s="77"/>
      <c r="AK124" s="77"/>
      <c r="AL124" s="77"/>
      <c r="AM124" s="77"/>
      <c r="AN124" s="77"/>
      <c r="AO124" s="77"/>
      <c r="AP124" s="77"/>
      <c r="AQ124" s="77" t="s">
        <v>14230</v>
      </c>
      <c r="AR124" s="77"/>
      <c r="AS124" s="77"/>
      <c r="AT124" s="77"/>
      <c r="AU124" s="77"/>
      <c r="AV124" s="80" t="str">
        <f>HYPERLINK("https://pbs.twimg.com/media/Fzn6brEWAAAPhCQ.jpg")</f>
        <v>https://pbs.twimg.com/media/Fzn6brEWAAAPhCQ.jpg</v>
      </c>
      <c r="AW124" s="82" t="s">
        <v>16897</v>
      </c>
      <c r="AX124" s="82" t="s">
        <v>16897</v>
      </c>
      <c r="AY124" s="77"/>
      <c r="AZ124" s="82" t="s">
        <v>20971</v>
      </c>
      <c r="BA124" s="82" t="s">
        <v>20971</v>
      </c>
      <c r="BB124" s="82" t="s">
        <v>20971</v>
      </c>
      <c r="BC124" s="82" t="s">
        <v>16897</v>
      </c>
      <c r="BD124" s="77">
        <v>229130000</v>
      </c>
      <c r="BE124" s="77"/>
      <c r="BF124" s="77"/>
      <c r="BG124" s="77"/>
      <c r="BH124" s="77"/>
      <c r="BI124" s="77"/>
    </row>
    <row r="125" spans="1:61" x14ac:dyDescent="0.25">
      <c r="A125" s="62" t="s">
        <v>285</v>
      </c>
      <c r="B125" s="62" t="s">
        <v>285</v>
      </c>
      <c r="C125" s="63"/>
      <c r="D125" s="64"/>
      <c r="E125" s="65"/>
      <c r="F125" s="66"/>
      <c r="G125" s="63"/>
      <c r="H125" s="67"/>
      <c r="I125" s="68"/>
      <c r="J125" s="68"/>
      <c r="K125" s="32"/>
      <c r="L125" s="75">
        <v>125</v>
      </c>
      <c r="M125" s="75"/>
      <c r="N125" s="70"/>
      <c r="O125" s="77" t="s">
        <v>179</v>
      </c>
      <c r="P125" s="79">
        <v>45120.508645833332</v>
      </c>
      <c r="Q125" s="77" t="s">
        <v>1409</v>
      </c>
      <c r="R125" s="77">
        <v>0</v>
      </c>
      <c r="S125" s="77">
        <v>0</v>
      </c>
      <c r="T125" s="77">
        <v>0</v>
      </c>
      <c r="U125" s="77">
        <v>0</v>
      </c>
      <c r="V125" s="77">
        <v>60</v>
      </c>
      <c r="W125" s="82" t="s">
        <v>5338</v>
      </c>
      <c r="X125" s="80" t="str">
        <f>HYPERLINK("http://www.metodotop.store")</f>
        <v>http://www.metodotop.store</v>
      </c>
      <c r="Y125" s="77" t="s">
        <v>7270</v>
      </c>
      <c r="Z125" s="77"/>
      <c r="AA125" s="77" t="s">
        <v>7587</v>
      </c>
      <c r="AB125" s="77" t="s">
        <v>10129</v>
      </c>
      <c r="AC125" s="82" t="s">
        <v>10144</v>
      </c>
      <c r="AD125" s="77" t="s">
        <v>10184</v>
      </c>
      <c r="AE125" s="80" t="str">
        <f>HYPERLINK("https://twitter.com/dionatanwill/status/1679463801605832706")</f>
        <v>https://twitter.com/dionatanwill/status/1679463801605832706</v>
      </c>
      <c r="AF125" s="79">
        <v>45120.508645833332</v>
      </c>
      <c r="AG125" s="85">
        <v>45120</v>
      </c>
      <c r="AH125" s="82" t="s">
        <v>10321</v>
      </c>
      <c r="AI125" s="77" t="b">
        <v>0</v>
      </c>
      <c r="AJ125" s="77"/>
      <c r="AK125" s="77"/>
      <c r="AL125" s="77"/>
      <c r="AM125" s="77"/>
      <c r="AN125" s="77"/>
      <c r="AO125" s="77"/>
      <c r="AP125" s="77"/>
      <c r="AQ125" s="77" t="s">
        <v>14231</v>
      </c>
      <c r="AR125" s="77">
        <v>16601</v>
      </c>
      <c r="AS125" s="77"/>
      <c r="AT125" s="77"/>
      <c r="AU125" s="77"/>
      <c r="AV125" s="80" t="str">
        <f>HYPERLINK("https://pbs.twimg.com/ext_tw_video_thumb/1679463776607666178/pu/img/SYBrejU71VK4xH-b.jpg")</f>
        <v>https://pbs.twimg.com/ext_tw_video_thumb/1679463776607666178/pu/img/SYBrejU71VK4xH-b.jpg</v>
      </c>
      <c r="AW125" s="82" t="s">
        <v>16898</v>
      </c>
      <c r="AX125" s="82" t="s">
        <v>16898</v>
      </c>
      <c r="AY125" s="77"/>
      <c r="AZ125" s="82" t="s">
        <v>20971</v>
      </c>
      <c r="BA125" s="82" t="s">
        <v>20971</v>
      </c>
      <c r="BB125" s="82" t="s">
        <v>20971</v>
      </c>
      <c r="BC125" s="82" t="s">
        <v>16898</v>
      </c>
      <c r="BD125" s="77">
        <v>229130000</v>
      </c>
      <c r="BE125" s="77"/>
      <c r="BF125" s="77"/>
      <c r="BG125" s="77"/>
      <c r="BH125" s="77"/>
      <c r="BI125" s="77"/>
    </row>
    <row r="126" spans="1:61" x14ac:dyDescent="0.25">
      <c r="A126" s="62" t="s">
        <v>286</v>
      </c>
      <c r="B126" s="62" t="s">
        <v>286</v>
      </c>
      <c r="C126" s="63"/>
      <c r="D126" s="64"/>
      <c r="E126" s="65"/>
      <c r="F126" s="66"/>
      <c r="G126" s="63"/>
      <c r="H126" s="67"/>
      <c r="I126" s="68"/>
      <c r="J126" s="68"/>
      <c r="K126" s="32"/>
      <c r="L126" s="75">
        <v>126</v>
      </c>
      <c r="M126" s="75"/>
      <c r="N126" s="70"/>
      <c r="O126" s="77" t="s">
        <v>179</v>
      </c>
      <c r="P126" s="79">
        <v>44984.078587962962</v>
      </c>
      <c r="Q126" s="77" t="s">
        <v>1410</v>
      </c>
      <c r="R126" s="77">
        <v>0</v>
      </c>
      <c r="S126" s="77">
        <v>0</v>
      </c>
      <c r="T126" s="77">
        <v>0</v>
      </c>
      <c r="U126" s="77">
        <v>0</v>
      </c>
      <c r="V126" s="77">
        <v>24</v>
      </c>
      <c r="W126" s="82" t="s">
        <v>5339</v>
      </c>
      <c r="X126" s="80" t="str">
        <f>HYPERLINK("https://www.instagram.com/p/CpJel0CLlITeDe8mlHe5nMMmmfW-NFBACEiwtg0/?igshid=YTgzYjQ4ZTY=")</f>
        <v>https://www.instagram.com/p/CpJel0CLlITeDe8mlHe5nMMmmfW-NFBACEiwtg0/?igshid=YTgzYjQ4ZTY=</v>
      </c>
      <c r="Y126" s="77" t="s">
        <v>7250</v>
      </c>
      <c r="Z126" s="77"/>
      <c r="AA126" s="77"/>
      <c r="AB126" s="77"/>
      <c r="AC126" s="82" t="s">
        <v>10148</v>
      </c>
      <c r="AD126" s="77" t="s">
        <v>10184</v>
      </c>
      <c r="AE126" s="80" t="str">
        <f>HYPERLINK("https://twitter.com/fabiosantanacs/status/1630023201357979653")</f>
        <v>https://twitter.com/fabiosantanacs/status/1630023201357979653</v>
      </c>
      <c r="AF126" s="79">
        <v>44984.078587962962</v>
      </c>
      <c r="AG126" s="85">
        <v>44984</v>
      </c>
      <c r="AH126" s="82" t="s">
        <v>10322</v>
      </c>
      <c r="AI126" s="77" t="b">
        <v>0</v>
      </c>
      <c r="AJ126" s="77"/>
      <c r="AK126" s="77"/>
      <c r="AL126" s="77"/>
      <c r="AM126" s="77"/>
      <c r="AN126" s="77"/>
      <c r="AO126" s="77"/>
      <c r="AP126" s="77"/>
      <c r="AQ126" s="77"/>
      <c r="AR126" s="77"/>
      <c r="AS126" s="77"/>
      <c r="AT126" s="77"/>
      <c r="AU126" s="77"/>
      <c r="AV126" s="80" t="str">
        <f>HYPERLINK("https://pbs.twimg.com/profile_images/1398086344535068673/hyCorW6j_normal.jpg")</f>
        <v>https://pbs.twimg.com/profile_images/1398086344535068673/hyCorW6j_normal.jpg</v>
      </c>
      <c r="AW126" s="82" t="s">
        <v>16899</v>
      </c>
      <c r="AX126" s="82" t="s">
        <v>16899</v>
      </c>
      <c r="AY126" s="77"/>
      <c r="AZ126" s="82" t="s">
        <v>20971</v>
      </c>
      <c r="BA126" s="82" t="s">
        <v>20971</v>
      </c>
      <c r="BB126" s="82" t="s">
        <v>20971</v>
      </c>
      <c r="BC126" s="82" t="s">
        <v>16899</v>
      </c>
      <c r="BD126" s="77">
        <v>2257002404</v>
      </c>
      <c r="BE126" s="77"/>
      <c r="BF126" s="77"/>
      <c r="BG126" s="77"/>
      <c r="BH126" s="77"/>
      <c r="BI126" s="77"/>
    </row>
    <row r="127" spans="1:61" x14ac:dyDescent="0.25">
      <c r="A127" s="62" t="s">
        <v>287</v>
      </c>
      <c r="B127" s="62" t="s">
        <v>287</v>
      </c>
      <c r="C127" s="63"/>
      <c r="D127" s="64"/>
      <c r="E127" s="65"/>
      <c r="F127" s="66"/>
      <c r="G127" s="63"/>
      <c r="H127" s="67"/>
      <c r="I127" s="68"/>
      <c r="J127" s="68"/>
      <c r="K127" s="32"/>
      <c r="L127" s="75">
        <v>127</v>
      </c>
      <c r="M127" s="75"/>
      <c r="N127" s="70"/>
      <c r="O127" s="77" t="s">
        <v>179</v>
      </c>
      <c r="P127" s="79">
        <v>45177.280266203707</v>
      </c>
      <c r="Q127" s="77" t="s">
        <v>1411</v>
      </c>
      <c r="R127" s="77">
        <v>0</v>
      </c>
      <c r="S127" s="77">
        <v>0</v>
      </c>
      <c r="T127" s="77">
        <v>0</v>
      </c>
      <c r="U127" s="77">
        <v>0</v>
      </c>
      <c r="V127" s="77">
        <v>41</v>
      </c>
      <c r="W127" s="82" t="s">
        <v>5236</v>
      </c>
      <c r="X127" s="77"/>
      <c r="Y127" s="77"/>
      <c r="Z127" s="77"/>
      <c r="AA127" s="77" t="s">
        <v>7588</v>
      </c>
      <c r="AB127" s="77" t="s">
        <v>10130</v>
      </c>
      <c r="AC127" s="82" t="s">
        <v>10144</v>
      </c>
      <c r="AD127" s="77" t="s">
        <v>10184</v>
      </c>
      <c r="AE127" s="80" t="str">
        <f>HYPERLINK("https://twitter.com/jzdverystress/status/1700037146202014025")</f>
        <v>https://twitter.com/jzdverystress/status/1700037146202014025</v>
      </c>
      <c r="AF127" s="79">
        <v>45177.280266203707</v>
      </c>
      <c r="AG127" s="85">
        <v>45177</v>
      </c>
      <c r="AH127" s="82" t="s">
        <v>10323</v>
      </c>
      <c r="AI127" s="77" t="b">
        <v>0</v>
      </c>
      <c r="AJ127" s="77"/>
      <c r="AK127" s="77"/>
      <c r="AL127" s="77"/>
      <c r="AM127" s="77"/>
      <c r="AN127" s="77"/>
      <c r="AO127" s="77"/>
      <c r="AP127" s="77"/>
      <c r="AQ127" s="77" t="s">
        <v>14232</v>
      </c>
      <c r="AR127" s="77"/>
      <c r="AS127" s="77"/>
      <c r="AT127" s="77"/>
      <c r="AU127" s="77"/>
      <c r="AV127" s="80" t="str">
        <f>HYPERLINK("https://pbs.twimg.com/media/F5e-xkiWkAAFghT.jpg")</f>
        <v>https://pbs.twimg.com/media/F5e-xkiWkAAFghT.jpg</v>
      </c>
      <c r="AW127" s="82" t="s">
        <v>16900</v>
      </c>
      <c r="AX127" s="82" t="s">
        <v>16900</v>
      </c>
      <c r="AY127" s="77"/>
      <c r="AZ127" s="82" t="s">
        <v>20971</v>
      </c>
      <c r="BA127" s="82" t="s">
        <v>20971</v>
      </c>
      <c r="BB127" s="82" t="s">
        <v>20971</v>
      </c>
      <c r="BC127" s="82" t="s">
        <v>16900</v>
      </c>
      <c r="BD127" s="82" t="s">
        <v>21057</v>
      </c>
      <c r="BE127" s="77"/>
      <c r="BF127" s="77"/>
      <c r="BG127" s="77"/>
      <c r="BH127" s="77"/>
      <c r="BI127" s="77"/>
    </row>
    <row r="128" spans="1:61" x14ac:dyDescent="0.25">
      <c r="A128" s="62" t="s">
        <v>287</v>
      </c>
      <c r="B128" s="62" t="s">
        <v>287</v>
      </c>
      <c r="C128" s="63"/>
      <c r="D128" s="64"/>
      <c r="E128" s="65"/>
      <c r="F128" s="66"/>
      <c r="G128" s="63"/>
      <c r="H128" s="67"/>
      <c r="I128" s="68"/>
      <c r="J128" s="68"/>
      <c r="K128" s="32"/>
      <c r="L128" s="75">
        <v>128</v>
      </c>
      <c r="M128" s="75"/>
      <c r="N128" s="70"/>
      <c r="O128" s="77" t="s">
        <v>179</v>
      </c>
      <c r="P128" s="79">
        <v>45177.044907407406</v>
      </c>
      <c r="Q128" s="77" t="s">
        <v>1412</v>
      </c>
      <c r="R128" s="77">
        <v>0</v>
      </c>
      <c r="S128" s="77">
        <v>0</v>
      </c>
      <c r="T128" s="77">
        <v>1</v>
      </c>
      <c r="U128" s="77">
        <v>0</v>
      </c>
      <c r="V128" s="77">
        <v>475</v>
      </c>
      <c r="W128" s="82" t="s">
        <v>5340</v>
      </c>
      <c r="X128" s="77"/>
      <c r="Y128" s="77"/>
      <c r="Z128" s="77"/>
      <c r="AA128" s="77" t="s">
        <v>7589</v>
      </c>
      <c r="AB128" s="77" t="s">
        <v>10130</v>
      </c>
      <c r="AC128" s="82" t="s">
        <v>10144</v>
      </c>
      <c r="AD128" s="77" t="s">
        <v>10184</v>
      </c>
      <c r="AE128" s="80" t="str">
        <f>HYPERLINK("https://twitter.com/jzdverystress/status/1699951857043423269")</f>
        <v>https://twitter.com/jzdverystress/status/1699951857043423269</v>
      </c>
      <c r="AF128" s="79">
        <v>45177.044907407406</v>
      </c>
      <c r="AG128" s="85">
        <v>45177</v>
      </c>
      <c r="AH128" s="82" t="s">
        <v>10324</v>
      </c>
      <c r="AI128" s="77" t="b">
        <v>0</v>
      </c>
      <c r="AJ128" s="77"/>
      <c r="AK128" s="77"/>
      <c r="AL128" s="77"/>
      <c r="AM128" s="77"/>
      <c r="AN128" s="77"/>
      <c r="AO128" s="77"/>
      <c r="AP128" s="77"/>
      <c r="AQ128" s="77" t="s">
        <v>14233</v>
      </c>
      <c r="AR128" s="77"/>
      <c r="AS128" s="77"/>
      <c r="AT128" s="77"/>
      <c r="AU128" s="77"/>
      <c r="AV128" s="80" t="str">
        <f>HYPERLINK("https://pbs.twimg.com/media/F5dxNESXoAA8oWb.jpg")</f>
        <v>https://pbs.twimg.com/media/F5dxNESXoAA8oWb.jpg</v>
      </c>
      <c r="AW128" s="82" t="s">
        <v>16901</v>
      </c>
      <c r="AX128" s="82" t="s">
        <v>16901</v>
      </c>
      <c r="AY128" s="77"/>
      <c r="AZ128" s="82" t="s">
        <v>20971</v>
      </c>
      <c r="BA128" s="82" t="s">
        <v>20971</v>
      </c>
      <c r="BB128" s="82" t="s">
        <v>20971</v>
      </c>
      <c r="BC128" s="82" t="s">
        <v>16901</v>
      </c>
      <c r="BD128" s="82" t="s">
        <v>21057</v>
      </c>
      <c r="BE128" s="77"/>
      <c r="BF128" s="77"/>
      <c r="BG128" s="77"/>
      <c r="BH128" s="77"/>
      <c r="BI128" s="77"/>
    </row>
    <row r="129" spans="1:61" x14ac:dyDescent="0.25">
      <c r="A129" s="62" t="s">
        <v>288</v>
      </c>
      <c r="B129" s="62" t="s">
        <v>288</v>
      </c>
      <c r="C129" s="63"/>
      <c r="D129" s="64"/>
      <c r="E129" s="65"/>
      <c r="F129" s="66"/>
      <c r="G129" s="63"/>
      <c r="H129" s="67"/>
      <c r="I129" s="68"/>
      <c r="J129" s="68"/>
      <c r="K129" s="32"/>
      <c r="L129" s="75">
        <v>129</v>
      </c>
      <c r="M129" s="75"/>
      <c r="N129" s="70"/>
      <c r="O129" s="77" t="s">
        <v>179</v>
      </c>
      <c r="P129" s="79">
        <v>45085.963622685187</v>
      </c>
      <c r="Q129" s="77" t="s">
        <v>1413</v>
      </c>
      <c r="R129" s="77">
        <v>0</v>
      </c>
      <c r="S129" s="77">
        <v>0</v>
      </c>
      <c r="T129" s="77">
        <v>0</v>
      </c>
      <c r="U129" s="77">
        <v>0</v>
      </c>
      <c r="V129" s="77">
        <v>32</v>
      </c>
      <c r="W129" s="82" t="s">
        <v>5341</v>
      </c>
      <c r="X129" s="80" t="str">
        <f>HYPERLINK("https://edzz.la/BLLZS?a=78455386")</f>
        <v>https://edzz.la/BLLZS?a=78455386</v>
      </c>
      <c r="Y129" s="77" t="s">
        <v>7271</v>
      </c>
      <c r="Z129" s="77"/>
      <c r="AA129" s="77"/>
      <c r="AB129" s="77"/>
      <c r="AC129" s="82" t="s">
        <v>10144</v>
      </c>
      <c r="AD129" s="77" t="s">
        <v>10184</v>
      </c>
      <c r="AE129" s="80" t="str">
        <f>HYPERLINK("https://twitter.com/siilvaa_09/status/1666945101778526216")</f>
        <v>https://twitter.com/siilvaa_09/status/1666945101778526216</v>
      </c>
      <c r="AF129" s="79">
        <v>45085.963622685187</v>
      </c>
      <c r="AG129" s="85">
        <v>45085</v>
      </c>
      <c r="AH129" s="82" t="s">
        <v>10325</v>
      </c>
      <c r="AI129" s="77" t="b">
        <v>0</v>
      </c>
      <c r="AJ129" s="77"/>
      <c r="AK129" s="77"/>
      <c r="AL129" s="77"/>
      <c r="AM129" s="77"/>
      <c r="AN129" s="77"/>
      <c r="AO129" s="77"/>
      <c r="AP129" s="77"/>
      <c r="AQ129" s="77"/>
      <c r="AR129" s="77"/>
      <c r="AS129" s="77"/>
      <c r="AT129" s="77"/>
      <c r="AU129" s="77"/>
      <c r="AV129" s="80" t="str">
        <f>HYPERLINK("https://pbs.twimg.com/profile_images/1666553887803822082/UmQSTjTl_normal.jpg")</f>
        <v>https://pbs.twimg.com/profile_images/1666553887803822082/UmQSTjTl_normal.jpg</v>
      </c>
      <c r="AW129" s="82" t="s">
        <v>16902</v>
      </c>
      <c r="AX129" s="82" t="s">
        <v>16902</v>
      </c>
      <c r="AY129" s="77"/>
      <c r="AZ129" s="82" t="s">
        <v>20971</v>
      </c>
      <c r="BA129" s="82" t="s">
        <v>20971</v>
      </c>
      <c r="BB129" s="82" t="s">
        <v>20971</v>
      </c>
      <c r="BC129" s="82" t="s">
        <v>16902</v>
      </c>
      <c r="BD129" s="82" t="s">
        <v>21058</v>
      </c>
      <c r="BE129" s="77"/>
      <c r="BF129" s="77"/>
      <c r="BG129" s="77"/>
      <c r="BH129" s="77"/>
      <c r="BI129" s="77"/>
    </row>
    <row r="130" spans="1:61" x14ac:dyDescent="0.25">
      <c r="A130" s="62" t="s">
        <v>289</v>
      </c>
      <c r="B130" s="62" t="s">
        <v>289</v>
      </c>
      <c r="C130" s="63"/>
      <c r="D130" s="64"/>
      <c r="E130" s="65"/>
      <c r="F130" s="66"/>
      <c r="G130" s="63"/>
      <c r="H130" s="67"/>
      <c r="I130" s="68"/>
      <c r="J130" s="68"/>
      <c r="K130" s="32"/>
      <c r="L130" s="75">
        <v>130</v>
      </c>
      <c r="M130" s="75"/>
      <c r="N130" s="70"/>
      <c r="O130" s="77" t="s">
        <v>1284</v>
      </c>
      <c r="P130" s="79">
        <v>45162.610185185185</v>
      </c>
      <c r="Q130" s="77" t="s">
        <v>1414</v>
      </c>
      <c r="R130" s="77">
        <v>0</v>
      </c>
      <c r="S130" s="77">
        <v>0</v>
      </c>
      <c r="T130" s="77">
        <v>0</v>
      </c>
      <c r="U130" s="77">
        <v>0</v>
      </c>
      <c r="V130" s="77">
        <v>26</v>
      </c>
      <c r="W130" s="82" t="s">
        <v>5342</v>
      </c>
      <c r="X130" s="77"/>
      <c r="Y130" s="77"/>
      <c r="Z130" s="77"/>
      <c r="AA130" s="77"/>
      <c r="AB130" s="77"/>
      <c r="AC130" s="82" t="s">
        <v>10145</v>
      </c>
      <c r="AD130" s="77" t="s">
        <v>10185</v>
      </c>
      <c r="AE130" s="80" t="str">
        <f>HYPERLINK("https://twitter.com/elianmateuss_/status/1694720887155785837")</f>
        <v>https://twitter.com/elianmateuss_/status/1694720887155785837</v>
      </c>
      <c r="AF130" s="79">
        <v>45162.610185185185</v>
      </c>
      <c r="AG130" s="85">
        <v>45162</v>
      </c>
      <c r="AH130" s="82" t="s">
        <v>10326</v>
      </c>
      <c r="AI130" s="77"/>
      <c r="AJ130" s="77"/>
      <c r="AK130" s="77"/>
      <c r="AL130" s="77"/>
      <c r="AM130" s="77"/>
      <c r="AN130" s="77"/>
      <c r="AO130" s="77"/>
      <c r="AP130" s="77"/>
      <c r="AQ130" s="77"/>
      <c r="AR130" s="77"/>
      <c r="AS130" s="77"/>
      <c r="AT130" s="77"/>
      <c r="AU130" s="77"/>
      <c r="AV130" s="80" t="str">
        <f>HYPERLINK("https://pbs.twimg.com/profile_images/1628109360260841472/cqxrZ3JU_normal.jpg")</f>
        <v>https://pbs.twimg.com/profile_images/1628109360260841472/cqxrZ3JU_normal.jpg</v>
      </c>
      <c r="AW130" s="82" t="s">
        <v>16903</v>
      </c>
      <c r="AX130" s="82" t="s">
        <v>20791</v>
      </c>
      <c r="AY130" s="82" t="s">
        <v>20901</v>
      </c>
      <c r="AZ130" s="82" t="s">
        <v>20791</v>
      </c>
      <c r="BA130" s="82" t="s">
        <v>20971</v>
      </c>
      <c r="BB130" s="82" t="s">
        <v>20971</v>
      </c>
      <c r="BC130" s="82" t="s">
        <v>20791</v>
      </c>
      <c r="BD130" s="82" t="s">
        <v>20901</v>
      </c>
      <c r="BE130" s="77"/>
      <c r="BF130" s="77"/>
      <c r="BG130" s="77"/>
      <c r="BH130" s="77"/>
      <c r="BI130" s="77"/>
    </row>
    <row r="131" spans="1:61" x14ac:dyDescent="0.25">
      <c r="A131" s="62" t="s">
        <v>289</v>
      </c>
      <c r="B131" s="62" t="s">
        <v>289</v>
      </c>
      <c r="C131" s="63"/>
      <c r="D131" s="64"/>
      <c r="E131" s="65"/>
      <c r="F131" s="66"/>
      <c r="G131" s="63"/>
      <c r="H131" s="67"/>
      <c r="I131" s="68"/>
      <c r="J131" s="68"/>
      <c r="K131" s="32"/>
      <c r="L131" s="75">
        <v>131</v>
      </c>
      <c r="M131" s="75"/>
      <c r="N131" s="70"/>
      <c r="O131" s="77" t="s">
        <v>179</v>
      </c>
      <c r="P131" s="79">
        <v>45162.419722222221</v>
      </c>
      <c r="Q131" s="77" t="s">
        <v>1415</v>
      </c>
      <c r="R131" s="77">
        <v>0</v>
      </c>
      <c r="S131" s="77">
        <v>0</v>
      </c>
      <c r="T131" s="77">
        <v>0</v>
      </c>
      <c r="U131" s="77">
        <v>0</v>
      </c>
      <c r="V131" s="77">
        <v>32</v>
      </c>
      <c r="W131" s="82" t="s">
        <v>5343</v>
      </c>
      <c r="X131" s="77"/>
      <c r="Y131" s="77"/>
      <c r="Z131" s="77"/>
      <c r="AA131" s="77"/>
      <c r="AB131" s="77"/>
      <c r="AC131" s="82" t="s">
        <v>10145</v>
      </c>
      <c r="AD131" s="77" t="s">
        <v>10184</v>
      </c>
      <c r="AE131" s="80" t="str">
        <f>HYPERLINK("https://twitter.com/elianmateuss_/status/1694651864506040492")</f>
        <v>https://twitter.com/elianmateuss_/status/1694651864506040492</v>
      </c>
      <c r="AF131" s="79">
        <v>45162.419722222221</v>
      </c>
      <c r="AG131" s="85">
        <v>45162</v>
      </c>
      <c r="AH131" s="82" t="s">
        <v>10327</v>
      </c>
      <c r="AI131" s="77"/>
      <c r="AJ131" s="77"/>
      <c r="AK131" s="77"/>
      <c r="AL131" s="77"/>
      <c r="AM131" s="77"/>
      <c r="AN131" s="77"/>
      <c r="AO131" s="77"/>
      <c r="AP131" s="77"/>
      <c r="AQ131" s="77"/>
      <c r="AR131" s="77"/>
      <c r="AS131" s="77"/>
      <c r="AT131" s="77"/>
      <c r="AU131" s="77"/>
      <c r="AV131" s="80" t="str">
        <f>HYPERLINK("https://pbs.twimg.com/profile_images/1628109360260841472/cqxrZ3JU_normal.jpg")</f>
        <v>https://pbs.twimg.com/profile_images/1628109360260841472/cqxrZ3JU_normal.jpg</v>
      </c>
      <c r="AW131" s="82" t="s">
        <v>16904</v>
      </c>
      <c r="AX131" s="82" t="s">
        <v>16904</v>
      </c>
      <c r="AY131" s="77"/>
      <c r="AZ131" s="82" t="s">
        <v>20971</v>
      </c>
      <c r="BA131" s="82" t="s">
        <v>20971</v>
      </c>
      <c r="BB131" s="82" t="s">
        <v>20971</v>
      </c>
      <c r="BC131" s="82" t="s">
        <v>16904</v>
      </c>
      <c r="BD131" s="82" t="s">
        <v>20901</v>
      </c>
      <c r="BE131" s="77"/>
      <c r="BF131" s="77"/>
      <c r="BG131" s="77"/>
      <c r="BH131" s="77"/>
      <c r="BI131" s="77"/>
    </row>
    <row r="132" spans="1:61" x14ac:dyDescent="0.25">
      <c r="A132" s="62" t="s">
        <v>289</v>
      </c>
      <c r="B132" s="62" t="s">
        <v>289</v>
      </c>
      <c r="C132" s="63"/>
      <c r="D132" s="64"/>
      <c r="E132" s="65"/>
      <c r="F132" s="66"/>
      <c r="G132" s="63"/>
      <c r="H132" s="67"/>
      <c r="I132" s="68"/>
      <c r="J132" s="68"/>
      <c r="K132" s="32"/>
      <c r="L132" s="75">
        <v>132</v>
      </c>
      <c r="M132" s="75"/>
      <c r="N132" s="70"/>
      <c r="O132" s="77" t="s">
        <v>179</v>
      </c>
      <c r="P132" s="79">
        <v>45165.048148148147</v>
      </c>
      <c r="Q132" s="77" t="s">
        <v>1416</v>
      </c>
      <c r="R132" s="77">
        <v>0</v>
      </c>
      <c r="S132" s="77">
        <v>0</v>
      </c>
      <c r="T132" s="77">
        <v>0</v>
      </c>
      <c r="U132" s="77">
        <v>0</v>
      </c>
      <c r="V132" s="77">
        <v>212</v>
      </c>
      <c r="W132" s="82" t="s">
        <v>5344</v>
      </c>
      <c r="X132" s="77"/>
      <c r="Y132" s="77"/>
      <c r="Z132" s="77"/>
      <c r="AA132" s="77" t="s">
        <v>7590</v>
      </c>
      <c r="AB132" s="77" t="s">
        <v>10129</v>
      </c>
      <c r="AC132" s="82" t="s">
        <v>10145</v>
      </c>
      <c r="AD132" s="77" t="s">
        <v>10184</v>
      </c>
      <c r="AE132" s="80" t="str">
        <f>HYPERLINK("https://twitter.com/elianmateuss_/status/1695604374997750122")</f>
        <v>https://twitter.com/elianmateuss_/status/1695604374997750122</v>
      </c>
      <c r="AF132" s="79">
        <v>45165.048148148147</v>
      </c>
      <c r="AG132" s="85">
        <v>45165</v>
      </c>
      <c r="AH132" s="82" t="s">
        <v>10328</v>
      </c>
      <c r="AI132" s="77" t="b">
        <v>0</v>
      </c>
      <c r="AJ132" s="77"/>
      <c r="AK132" s="77"/>
      <c r="AL132" s="77"/>
      <c r="AM132" s="77"/>
      <c r="AN132" s="77"/>
      <c r="AO132" s="77"/>
      <c r="AP132" s="77"/>
      <c r="AQ132" s="77" t="s">
        <v>14234</v>
      </c>
      <c r="AR132" s="77">
        <v>8366</v>
      </c>
      <c r="AS132" s="77"/>
      <c r="AT132" s="77"/>
      <c r="AU132" s="77"/>
      <c r="AV132" s="80" t="str">
        <f>HYPERLINK("https://pbs.twimg.com/ext_tw_video_thumb/1695604326893240321/pu/img/NrpkkK-b58dRWMCc.jpg")</f>
        <v>https://pbs.twimg.com/ext_tw_video_thumb/1695604326893240321/pu/img/NrpkkK-b58dRWMCc.jpg</v>
      </c>
      <c r="AW132" s="82" t="s">
        <v>16905</v>
      </c>
      <c r="AX132" s="82" t="s">
        <v>16905</v>
      </c>
      <c r="AY132" s="77"/>
      <c r="AZ132" s="82" t="s">
        <v>20971</v>
      </c>
      <c r="BA132" s="82" t="s">
        <v>20971</v>
      </c>
      <c r="BB132" s="82" t="s">
        <v>20971</v>
      </c>
      <c r="BC132" s="82" t="s">
        <v>16905</v>
      </c>
      <c r="BD132" s="82" t="s">
        <v>20901</v>
      </c>
      <c r="BE132" s="77"/>
      <c r="BF132" s="77"/>
      <c r="BG132" s="77"/>
      <c r="BH132" s="77"/>
      <c r="BI132" s="77"/>
    </row>
    <row r="133" spans="1:61" x14ac:dyDescent="0.25">
      <c r="A133" s="62" t="s">
        <v>290</v>
      </c>
      <c r="B133" s="62" t="s">
        <v>1241</v>
      </c>
      <c r="C133" s="63"/>
      <c r="D133" s="64"/>
      <c r="E133" s="65"/>
      <c r="F133" s="66"/>
      <c r="G133" s="63"/>
      <c r="H133" s="67"/>
      <c r="I133" s="68"/>
      <c r="J133" s="68"/>
      <c r="K133" s="32"/>
      <c r="L133" s="75">
        <v>133</v>
      </c>
      <c r="M133" s="75"/>
      <c r="N133" s="70"/>
      <c r="O133" s="77" t="s">
        <v>1285</v>
      </c>
      <c r="P133" s="79">
        <v>45182.937534722223</v>
      </c>
      <c r="Q133" s="77" t="s">
        <v>1417</v>
      </c>
      <c r="R133" s="77">
        <v>0</v>
      </c>
      <c r="S133" s="77">
        <v>0</v>
      </c>
      <c r="T133" s="77">
        <v>0</v>
      </c>
      <c r="U133" s="77">
        <v>0</v>
      </c>
      <c r="V133" s="77">
        <v>207</v>
      </c>
      <c r="W133" s="82" t="s">
        <v>5345</v>
      </c>
      <c r="X133" s="80" t="str">
        <f>HYPERLINK("https://youtu.be/BA3z6yMUFNQ?si=2ujYdoBdeJ2jxTZ_")</f>
        <v>https://youtu.be/BA3z6yMUFNQ?si=2ujYdoBdeJ2jxTZ_</v>
      </c>
      <c r="Y133" s="77" t="s">
        <v>7248</v>
      </c>
      <c r="Z133" s="77" t="s">
        <v>1241</v>
      </c>
      <c r="AA133" s="77" t="s">
        <v>7591</v>
      </c>
      <c r="AB133" s="77" t="s">
        <v>10130</v>
      </c>
      <c r="AC133" s="82" t="s">
        <v>10146</v>
      </c>
      <c r="AD133" s="77" t="s">
        <v>10184</v>
      </c>
      <c r="AE133" s="80" t="str">
        <f>HYPERLINK("https://twitter.com/tonpecoraro/status/1702087273737560168")</f>
        <v>https://twitter.com/tonpecoraro/status/1702087273737560168</v>
      </c>
      <c r="AF133" s="79">
        <v>45182.937534722223</v>
      </c>
      <c r="AG133" s="85">
        <v>45182</v>
      </c>
      <c r="AH133" s="82" t="s">
        <v>10329</v>
      </c>
      <c r="AI133" s="77" t="b">
        <v>0</v>
      </c>
      <c r="AJ133" s="77"/>
      <c r="AK133" s="77"/>
      <c r="AL133" s="77"/>
      <c r="AM133" s="77"/>
      <c r="AN133" s="77"/>
      <c r="AO133" s="77"/>
      <c r="AP133" s="77"/>
      <c r="AQ133" s="77" t="s">
        <v>14235</v>
      </c>
      <c r="AR133" s="77"/>
      <c r="AS133" s="77"/>
      <c r="AT133" s="77"/>
      <c r="AU133" s="77"/>
      <c r="AV133" s="80" t="str">
        <f>HYPERLINK("https://pbs.twimg.com/media/F58GxDbXQAAjroW.jpg")</f>
        <v>https://pbs.twimg.com/media/F58GxDbXQAAjroW.jpg</v>
      </c>
      <c r="AW133" s="82" t="s">
        <v>16906</v>
      </c>
      <c r="AX133" s="82" t="s">
        <v>16906</v>
      </c>
      <c r="AY133" s="77"/>
      <c r="AZ133" s="82" t="s">
        <v>20971</v>
      </c>
      <c r="BA133" s="82" t="s">
        <v>20971</v>
      </c>
      <c r="BB133" s="82" t="s">
        <v>20971</v>
      </c>
      <c r="BC133" s="82" t="s">
        <v>16906</v>
      </c>
      <c r="BD133" s="77">
        <v>104526523</v>
      </c>
      <c r="BE133" s="77"/>
      <c r="BF133" s="77"/>
      <c r="BG133" s="77"/>
      <c r="BH133" s="77"/>
      <c r="BI133" s="77"/>
    </row>
    <row r="134" spans="1:61" x14ac:dyDescent="0.25">
      <c r="A134" s="62" t="s">
        <v>291</v>
      </c>
      <c r="B134" s="62" t="s">
        <v>291</v>
      </c>
      <c r="C134" s="63"/>
      <c r="D134" s="64"/>
      <c r="E134" s="65"/>
      <c r="F134" s="66"/>
      <c r="G134" s="63"/>
      <c r="H134" s="67"/>
      <c r="I134" s="68"/>
      <c r="J134" s="68"/>
      <c r="K134" s="32"/>
      <c r="L134" s="75">
        <v>134</v>
      </c>
      <c r="M134" s="75"/>
      <c r="N134" s="70"/>
      <c r="O134" s="77" t="s">
        <v>179</v>
      </c>
      <c r="P134" s="79">
        <v>45106.958344907405</v>
      </c>
      <c r="Q134" s="77" t="s">
        <v>1418</v>
      </c>
      <c r="R134" s="77">
        <v>0</v>
      </c>
      <c r="S134" s="77">
        <v>1</v>
      </c>
      <c r="T134" s="77">
        <v>0</v>
      </c>
      <c r="U134" s="77">
        <v>0</v>
      </c>
      <c r="V134" s="77">
        <v>107</v>
      </c>
      <c r="W134" s="82" t="s">
        <v>5346</v>
      </c>
      <c r="X134" s="80" t="str">
        <f>HYPERLINK("https://www.jornalcontabil.com.br/empreendedorismo-digital-da-grana-extra-ao-sucesso-profissional/")</f>
        <v>https://www.jornalcontabil.com.br/empreendedorismo-digital-da-grana-extra-ao-sucesso-profissional/</v>
      </c>
      <c r="Y134" s="77" t="s">
        <v>7252</v>
      </c>
      <c r="Z134" s="77"/>
      <c r="AA134" s="77" t="s">
        <v>7592</v>
      </c>
      <c r="AB134" s="77" t="s">
        <v>10130</v>
      </c>
      <c r="AC134" s="82" t="s">
        <v>10146</v>
      </c>
      <c r="AD134" s="77" t="s">
        <v>10184</v>
      </c>
      <c r="AE134" s="80" t="str">
        <f>HYPERLINK("https://twitter.com/jornalcontabil_/status/1674553337205882881")</f>
        <v>https://twitter.com/jornalcontabil_/status/1674553337205882881</v>
      </c>
      <c r="AF134" s="79">
        <v>45106.958344907405</v>
      </c>
      <c r="AG134" s="85">
        <v>45106</v>
      </c>
      <c r="AH134" s="82" t="s">
        <v>10330</v>
      </c>
      <c r="AI134" s="77" t="b">
        <v>0</v>
      </c>
      <c r="AJ134" s="77"/>
      <c r="AK134" s="77"/>
      <c r="AL134" s="77"/>
      <c r="AM134" s="77"/>
      <c r="AN134" s="77"/>
      <c r="AO134" s="77"/>
      <c r="AP134" s="77"/>
      <c r="AQ134" s="77" t="s">
        <v>14236</v>
      </c>
      <c r="AR134" s="77"/>
      <c r="AS134" s="77"/>
      <c r="AT134" s="77"/>
      <c r="AU134" s="77"/>
      <c r="AV134" s="80" t="str">
        <f>HYPERLINK("https://pbs.twimg.com/media/Fz0TkIbWYAAonGl.jpg")</f>
        <v>https://pbs.twimg.com/media/Fz0TkIbWYAAonGl.jpg</v>
      </c>
      <c r="AW134" s="82" t="s">
        <v>16907</v>
      </c>
      <c r="AX134" s="82" t="s">
        <v>16907</v>
      </c>
      <c r="AY134" s="77"/>
      <c r="AZ134" s="82" t="s">
        <v>20971</v>
      </c>
      <c r="BA134" s="82" t="s">
        <v>20971</v>
      </c>
      <c r="BB134" s="82" t="s">
        <v>20971</v>
      </c>
      <c r="BC134" s="82" t="s">
        <v>16907</v>
      </c>
      <c r="BD134" s="77">
        <v>212916157</v>
      </c>
      <c r="BE134" s="77"/>
      <c r="BF134" s="77"/>
      <c r="BG134" s="77"/>
      <c r="BH134" s="77"/>
      <c r="BI134" s="77"/>
    </row>
    <row r="135" spans="1:61" x14ac:dyDescent="0.25">
      <c r="A135" s="62" t="s">
        <v>292</v>
      </c>
      <c r="B135" s="62" t="s">
        <v>292</v>
      </c>
      <c r="C135" s="63"/>
      <c r="D135" s="64"/>
      <c r="E135" s="65"/>
      <c r="F135" s="66"/>
      <c r="G135" s="63"/>
      <c r="H135" s="67"/>
      <c r="I135" s="68"/>
      <c r="J135" s="68"/>
      <c r="K135" s="32"/>
      <c r="L135" s="75">
        <v>135</v>
      </c>
      <c r="M135" s="75"/>
      <c r="N135" s="70"/>
      <c r="O135" s="77" t="s">
        <v>179</v>
      </c>
      <c r="P135" s="79">
        <v>45109.967048611114</v>
      </c>
      <c r="Q135" s="77" t="s">
        <v>1419</v>
      </c>
      <c r="R135" s="77">
        <v>0</v>
      </c>
      <c r="S135" s="77">
        <v>0</v>
      </c>
      <c r="T135" s="77">
        <v>0</v>
      </c>
      <c r="U135" s="77">
        <v>0</v>
      </c>
      <c r="V135" s="77">
        <v>10</v>
      </c>
      <c r="W135" s="82" t="s">
        <v>5347</v>
      </c>
      <c r="X135" s="80" t="str">
        <f>HYPERLINK("https://youtu.be/HNU-Oj-Evhs")</f>
        <v>https://youtu.be/HNU-Oj-Evhs</v>
      </c>
      <c r="Y135" s="77" t="s">
        <v>7248</v>
      </c>
      <c r="Z135" s="77"/>
      <c r="AA135" s="77"/>
      <c r="AB135" s="77"/>
      <c r="AC135" s="82" t="s">
        <v>10144</v>
      </c>
      <c r="AD135" s="77" t="s">
        <v>10184</v>
      </c>
      <c r="AE135" s="80" t="str">
        <f>HYPERLINK("https://twitter.com/jroliveirasm/status/1675643654298320897")</f>
        <v>https://twitter.com/jroliveirasm/status/1675643654298320897</v>
      </c>
      <c r="AF135" s="79">
        <v>45109.967048611114</v>
      </c>
      <c r="AG135" s="85">
        <v>45109</v>
      </c>
      <c r="AH135" s="82" t="s">
        <v>10331</v>
      </c>
      <c r="AI135" s="77" t="b">
        <v>0</v>
      </c>
      <c r="AJ135" s="77"/>
      <c r="AK135" s="77"/>
      <c r="AL135" s="77"/>
      <c r="AM135" s="77"/>
      <c r="AN135" s="77"/>
      <c r="AO135" s="77"/>
      <c r="AP135" s="77"/>
      <c r="AQ135" s="77"/>
      <c r="AR135" s="77"/>
      <c r="AS135" s="77"/>
      <c r="AT135" s="77"/>
      <c r="AU135" s="77"/>
      <c r="AV135" s="80" t="str">
        <f>HYPERLINK("https://pbs.twimg.com/profile_images/1675278321117016064/HYBCfWAz_normal.jpg")</f>
        <v>https://pbs.twimg.com/profile_images/1675278321117016064/HYBCfWAz_normal.jpg</v>
      </c>
      <c r="AW135" s="82" t="s">
        <v>16908</v>
      </c>
      <c r="AX135" s="82" t="s">
        <v>16908</v>
      </c>
      <c r="AY135" s="77"/>
      <c r="AZ135" s="82" t="s">
        <v>20971</v>
      </c>
      <c r="BA135" s="82" t="s">
        <v>20971</v>
      </c>
      <c r="BB135" s="82" t="s">
        <v>20971</v>
      </c>
      <c r="BC135" s="82" t="s">
        <v>16908</v>
      </c>
      <c r="BD135" s="82" t="s">
        <v>21059</v>
      </c>
      <c r="BE135" s="77"/>
      <c r="BF135" s="77"/>
      <c r="BG135" s="77"/>
      <c r="BH135" s="77"/>
      <c r="BI135" s="77"/>
    </row>
    <row r="136" spans="1:61" x14ac:dyDescent="0.25">
      <c r="A136" s="62" t="s">
        <v>293</v>
      </c>
      <c r="B136" s="62" t="s">
        <v>293</v>
      </c>
      <c r="C136" s="63"/>
      <c r="D136" s="64"/>
      <c r="E136" s="65"/>
      <c r="F136" s="66"/>
      <c r="G136" s="63"/>
      <c r="H136" s="67"/>
      <c r="I136" s="68"/>
      <c r="J136" s="68"/>
      <c r="K136" s="32"/>
      <c r="L136" s="75">
        <v>136</v>
      </c>
      <c r="M136" s="75"/>
      <c r="N136" s="70"/>
      <c r="O136" s="77" t="s">
        <v>179</v>
      </c>
      <c r="P136" s="79">
        <v>44971.710868055554</v>
      </c>
      <c r="Q136" s="77" t="s">
        <v>1420</v>
      </c>
      <c r="R136" s="77">
        <v>0</v>
      </c>
      <c r="S136" s="77">
        <v>0</v>
      </c>
      <c r="T136" s="77">
        <v>0</v>
      </c>
      <c r="U136" s="77">
        <v>0</v>
      </c>
      <c r="V136" s="77">
        <v>135</v>
      </c>
      <c r="W136" s="82" t="s">
        <v>5348</v>
      </c>
      <c r="X136" s="80" t="str">
        <f>HYPERLINK("https://game.gostaslot.com/?code=lwyiau")</f>
        <v>https://game.gostaslot.com/?code=lwyiau</v>
      </c>
      <c r="Y136" s="77" t="s">
        <v>7272</v>
      </c>
      <c r="Z136" s="77"/>
      <c r="AA136" s="77" t="s">
        <v>7593</v>
      </c>
      <c r="AB136" s="77" t="s">
        <v>10129</v>
      </c>
      <c r="AC136" s="82" t="s">
        <v>10144</v>
      </c>
      <c r="AD136" s="77" t="s">
        <v>10184</v>
      </c>
      <c r="AE136" s="80" t="str">
        <f>HYPERLINK("https://twitter.com/fernaandfranca/status/1625541292754104321")</f>
        <v>https://twitter.com/fernaandfranca/status/1625541292754104321</v>
      </c>
      <c r="AF136" s="79">
        <v>44971.710868055554</v>
      </c>
      <c r="AG136" s="85">
        <v>44971</v>
      </c>
      <c r="AH136" s="82" t="s">
        <v>10332</v>
      </c>
      <c r="AI136" s="77" t="b">
        <v>0</v>
      </c>
      <c r="AJ136" s="77"/>
      <c r="AK136" s="77"/>
      <c r="AL136" s="77"/>
      <c r="AM136" s="77"/>
      <c r="AN136" s="77"/>
      <c r="AO136" s="77"/>
      <c r="AP136" s="77"/>
      <c r="AQ136" s="77" t="s">
        <v>14237</v>
      </c>
      <c r="AR136" s="77">
        <v>44937</v>
      </c>
      <c r="AS136" s="77"/>
      <c r="AT136" s="77"/>
      <c r="AU136" s="77"/>
      <c r="AV136" s="80" t="str">
        <f>HYPERLINK("https://pbs.twimg.com/ext_tw_video_thumb/1625541213620252672/pu/img/3oaiigKrC-MH-1Si.jpg")</f>
        <v>https://pbs.twimg.com/ext_tw_video_thumb/1625541213620252672/pu/img/3oaiigKrC-MH-1Si.jpg</v>
      </c>
      <c r="AW136" s="82" t="s">
        <v>16909</v>
      </c>
      <c r="AX136" s="82" t="s">
        <v>16909</v>
      </c>
      <c r="AY136" s="77"/>
      <c r="AZ136" s="82" t="s">
        <v>20971</v>
      </c>
      <c r="BA136" s="82" t="s">
        <v>20971</v>
      </c>
      <c r="BB136" s="82" t="s">
        <v>20971</v>
      </c>
      <c r="BC136" s="82" t="s">
        <v>16909</v>
      </c>
      <c r="BD136" s="82" t="s">
        <v>21060</v>
      </c>
      <c r="BE136" s="77"/>
      <c r="BF136" s="77"/>
      <c r="BG136" s="77"/>
      <c r="BH136" s="77"/>
      <c r="BI136" s="77"/>
    </row>
    <row r="137" spans="1:61" x14ac:dyDescent="0.25">
      <c r="A137" s="62" t="s">
        <v>294</v>
      </c>
      <c r="B137" s="62" t="s">
        <v>294</v>
      </c>
      <c r="C137" s="63"/>
      <c r="D137" s="64"/>
      <c r="E137" s="65"/>
      <c r="F137" s="66"/>
      <c r="G137" s="63"/>
      <c r="H137" s="67"/>
      <c r="I137" s="68"/>
      <c r="J137" s="68"/>
      <c r="K137" s="32"/>
      <c r="L137" s="75">
        <v>137</v>
      </c>
      <c r="M137" s="75"/>
      <c r="N137" s="70"/>
      <c r="O137" s="77" t="s">
        <v>179</v>
      </c>
      <c r="P137" s="79">
        <v>45127.827777777777</v>
      </c>
      <c r="Q137" s="77" t="s">
        <v>1421</v>
      </c>
      <c r="R137" s="77">
        <v>7</v>
      </c>
      <c r="S137" s="77">
        <v>7</v>
      </c>
      <c r="T137" s="77">
        <v>0</v>
      </c>
      <c r="U137" s="77">
        <v>0</v>
      </c>
      <c r="V137" s="77">
        <v>493</v>
      </c>
      <c r="W137" s="82" t="s">
        <v>5349</v>
      </c>
      <c r="X137" s="80" t="str">
        <f>HYPERLINK("https://panda05.com/?v=4PARPSA2AVV")</f>
        <v>https://panda05.com/?v=4PARPSA2AVV</v>
      </c>
      <c r="Y137" s="77" t="s">
        <v>7273</v>
      </c>
      <c r="Z137" s="77"/>
      <c r="AA137" s="77" t="s">
        <v>7594</v>
      </c>
      <c r="AB137" s="77" t="s">
        <v>10130</v>
      </c>
      <c r="AC137" s="82" t="s">
        <v>10144</v>
      </c>
      <c r="AD137" s="77" t="s">
        <v>10184</v>
      </c>
      <c r="AE137" s="80" t="str">
        <f>HYPERLINK("https://twitter.com/applucrando/status/1682116163977740288")</f>
        <v>https://twitter.com/applucrando/status/1682116163977740288</v>
      </c>
      <c r="AF137" s="79">
        <v>45127.827777777777</v>
      </c>
      <c r="AG137" s="85">
        <v>45127</v>
      </c>
      <c r="AH137" s="82" t="s">
        <v>10333</v>
      </c>
      <c r="AI137" s="77" t="b">
        <v>0</v>
      </c>
      <c r="AJ137" s="77"/>
      <c r="AK137" s="77"/>
      <c r="AL137" s="77"/>
      <c r="AM137" s="77"/>
      <c r="AN137" s="77"/>
      <c r="AO137" s="77"/>
      <c r="AP137" s="77"/>
      <c r="AQ137" s="77" t="s">
        <v>14238</v>
      </c>
      <c r="AR137" s="77"/>
      <c r="AS137" s="77"/>
      <c r="AT137" s="77"/>
      <c r="AU137" s="77"/>
      <c r="AV137" s="80" t="str">
        <f>HYPERLINK("https://pbs.twimg.com/media/F1gTvJgWAAAQ93O.jpg")</f>
        <v>https://pbs.twimg.com/media/F1gTvJgWAAAQ93O.jpg</v>
      </c>
      <c r="AW137" s="82" t="s">
        <v>16910</v>
      </c>
      <c r="AX137" s="82" t="s">
        <v>16910</v>
      </c>
      <c r="AY137" s="77"/>
      <c r="AZ137" s="82" t="s">
        <v>20971</v>
      </c>
      <c r="BA137" s="82" t="s">
        <v>20971</v>
      </c>
      <c r="BB137" s="82" t="s">
        <v>20971</v>
      </c>
      <c r="BC137" s="82" t="s">
        <v>16910</v>
      </c>
      <c r="BD137" s="82" t="s">
        <v>21061</v>
      </c>
      <c r="BE137" s="77"/>
      <c r="BF137" s="77"/>
      <c r="BG137" s="77"/>
      <c r="BH137" s="77"/>
      <c r="BI137" s="77"/>
    </row>
    <row r="138" spans="1:61" x14ac:dyDescent="0.25">
      <c r="A138" s="62" t="s">
        <v>295</v>
      </c>
      <c r="B138" s="62" t="s">
        <v>295</v>
      </c>
      <c r="C138" s="63"/>
      <c r="D138" s="64"/>
      <c r="E138" s="65"/>
      <c r="F138" s="66"/>
      <c r="G138" s="63"/>
      <c r="H138" s="67"/>
      <c r="I138" s="68"/>
      <c r="J138" s="68"/>
      <c r="K138" s="32"/>
      <c r="L138" s="75">
        <v>138</v>
      </c>
      <c r="M138" s="75"/>
      <c r="N138" s="70"/>
      <c r="O138" s="77" t="s">
        <v>179</v>
      </c>
      <c r="P138" s="79">
        <v>44969.916458333333</v>
      </c>
      <c r="Q138" s="77" t="s">
        <v>1422</v>
      </c>
      <c r="R138" s="77">
        <v>0</v>
      </c>
      <c r="S138" s="77">
        <v>1</v>
      </c>
      <c r="T138" s="77">
        <v>0</v>
      </c>
      <c r="U138" s="77">
        <v>0</v>
      </c>
      <c r="V138" s="77">
        <v>36</v>
      </c>
      <c r="W138" s="82" t="s">
        <v>5350</v>
      </c>
      <c r="X138" s="80" t="str">
        <f>HYPERLINK("https://odysee.com/$/invite/@SidneiRomero:4")</f>
        <v>https://odysee.com/$/invite/@SidneiRomero:4</v>
      </c>
      <c r="Y138" s="77" t="s">
        <v>7274</v>
      </c>
      <c r="Z138" s="77"/>
      <c r="AA138" s="77"/>
      <c r="AB138" s="77"/>
      <c r="AC138" s="82" t="s">
        <v>10146</v>
      </c>
      <c r="AD138" s="77" t="s">
        <v>10184</v>
      </c>
      <c r="AE138" s="80" t="str">
        <f>HYPERLINK("https://twitter.com/sidyromero/status/1624891018209370112")</f>
        <v>https://twitter.com/sidyromero/status/1624891018209370112</v>
      </c>
      <c r="AF138" s="79">
        <v>44969.916458333333</v>
      </c>
      <c r="AG138" s="85">
        <v>44969</v>
      </c>
      <c r="AH138" s="82" t="s">
        <v>10334</v>
      </c>
      <c r="AI138" s="77" t="b">
        <v>0</v>
      </c>
      <c r="AJ138" s="77"/>
      <c r="AK138" s="77"/>
      <c r="AL138" s="77"/>
      <c r="AM138" s="77"/>
      <c r="AN138" s="77"/>
      <c r="AO138" s="77"/>
      <c r="AP138" s="77"/>
      <c r="AQ138" s="77"/>
      <c r="AR138" s="77"/>
      <c r="AS138" s="77"/>
      <c r="AT138" s="77"/>
      <c r="AU138" s="77"/>
      <c r="AV138" s="80" t="str">
        <f>HYPERLINK("https://pbs.twimg.com/profile_images/1567696820033277953/6fSm5gzY_normal.jpg")</f>
        <v>https://pbs.twimg.com/profile_images/1567696820033277953/6fSm5gzY_normal.jpg</v>
      </c>
      <c r="AW138" s="82" t="s">
        <v>16911</v>
      </c>
      <c r="AX138" s="82" t="s">
        <v>16911</v>
      </c>
      <c r="AY138" s="77"/>
      <c r="AZ138" s="82" t="s">
        <v>20971</v>
      </c>
      <c r="BA138" s="82" t="s">
        <v>20971</v>
      </c>
      <c r="BB138" s="82" t="s">
        <v>20971</v>
      </c>
      <c r="BC138" s="82" t="s">
        <v>16911</v>
      </c>
      <c r="BD138" s="77">
        <v>324990991</v>
      </c>
      <c r="BE138" s="77"/>
      <c r="BF138" s="77"/>
      <c r="BG138" s="77"/>
      <c r="BH138" s="77"/>
      <c r="BI138" s="77"/>
    </row>
    <row r="139" spans="1:61" x14ac:dyDescent="0.25">
      <c r="A139" s="62" t="s">
        <v>296</v>
      </c>
      <c r="B139" s="62" t="s">
        <v>296</v>
      </c>
      <c r="C139" s="63"/>
      <c r="D139" s="64"/>
      <c r="E139" s="65"/>
      <c r="F139" s="66"/>
      <c r="G139" s="63"/>
      <c r="H139" s="67"/>
      <c r="I139" s="68"/>
      <c r="J139" s="68"/>
      <c r="K139" s="32"/>
      <c r="L139" s="75">
        <v>139</v>
      </c>
      <c r="M139" s="75"/>
      <c r="N139" s="70"/>
      <c r="O139" s="77" t="s">
        <v>179</v>
      </c>
      <c r="P139" s="79">
        <v>45042.978067129632</v>
      </c>
      <c r="Q139" s="77" t="s">
        <v>1423</v>
      </c>
      <c r="R139" s="77">
        <v>0</v>
      </c>
      <c r="S139" s="77">
        <v>0</v>
      </c>
      <c r="T139" s="77">
        <v>0</v>
      </c>
      <c r="U139" s="77">
        <v>0</v>
      </c>
      <c r="V139" s="77">
        <v>25</v>
      </c>
      <c r="W139" s="82" t="s">
        <v>5351</v>
      </c>
      <c r="X139" s="77"/>
      <c r="Y139" s="77"/>
      <c r="Z139" s="77"/>
      <c r="AA139" s="77"/>
      <c r="AB139" s="77"/>
      <c r="AC139" s="82" t="s">
        <v>10144</v>
      </c>
      <c r="AD139" s="77" t="s">
        <v>10184</v>
      </c>
      <c r="AE139" s="80" t="str">
        <f>HYPERLINK("https://twitter.com/elisetepetriw/status/1651367659726942209")</f>
        <v>https://twitter.com/elisetepetriw/status/1651367659726942209</v>
      </c>
      <c r="AF139" s="79">
        <v>45042.978067129632</v>
      </c>
      <c r="AG139" s="85">
        <v>45042</v>
      </c>
      <c r="AH139" s="82" t="s">
        <v>10335</v>
      </c>
      <c r="AI139" s="77"/>
      <c r="AJ139" s="77"/>
      <c r="AK139" s="77"/>
      <c r="AL139" s="77"/>
      <c r="AM139" s="77"/>
      <c r="AN139" s="77"/>
      <c r="AO139" s="77"/>
      <c r="AP139" s="77"/>
      <c r="AQ139" s="77"/>
      <c r="AR139" s="77"/>
      <c r="AS139" s="77"/>
      <c r="AT139" s="77"/>
      <c r="AU139" s="77"/>
      <c r="AV139" s="80" t="str">
        <f>HYPERLINK("https://pbs.twimg.com/profile_images/1704113047550205952/whQFkaHr_normal.jpg")</f>
        <v>https://pbs.twimg.com/profile_images/1704113047550205952/whQFkaHr_normal.jpg</v>
      </c>
      <c r="AW139" s="82" t="s">
        <v>16912</v>
      </c>
      <c r="AX139" s="82" t="s">
        <v>16912</v>
      </c>
      <c r="AY139" s="77"/>
      <c r="AZ139" s="82" t="s">
        <v>20971</v>
      </c>
      <c r="BA139" s="82" t="s">
        <v>20971</v>
      </c>
      <c r="BB139" s="82" t="s">
        <v>20971</v>
      </c>
      <c r="BC139" s="82" t="s">
        <v>16912</v>
      </c>
      <c r="BD139" s="82" t="s">
        <v>21062</v>
      </c>
      <c r="BE139" s="77"/>
      <c r="BF139" s="77"/>
      <c r="BG139" s="77"/>
      <c r="BH139" s="77"/>
      <c r="BI139" s="77"/>
    </row>
    <row r="140" spans="1:61" x14ac:dyDescent="0.25">
      <c r="A140" s="62" t="s">
        <v>296</v>
      </c>
      <c r="B140" s="62" t="s">
        <v>296</v>
      </c>
      <c r="C140" s="63"/>
      <c r="D140" s="64"/>
      <c r="E140" s="65"/>
      <c r="F140" s="66"/>
      <c r="G140" s="63"/>
      <c r="H140" s="67"/>
      <c r="I140" s="68"/>
      <c r="J140" s="68"/>
      <c r="K140" s="32"/>
      <c r="L140" s="75">
        <v>140</v>
      </c>
      <c r="M140" s="75"/>
      <c r="N140" s="70"/>
      <c r="O140" s="77" t="s">
        <v>179</v>
      </c>
      <c r="P140" s="79">
        <v>45066.015729166669</v>
      </c>
      <c r="Q140" s="77" t="s">
        <v>1424</v>
      </c>
      <c r="R140" s="77">
        <v>0</v>
      </c>
      <c r="S140" s="77">
        <v>0</v>
      </c>
      <c r="T140" s="77">
        <v>0</v>
      </c>
      <c r="U140" s="77">
        <v>0</v>
      </c>
      <c r="V140" s="77">
        <v>45</v>
      </c>
      <c r="W140" s="82" t="s">
        <v>5352</v>
      </c>
      <c r="X140" s="80" t="str">
        <f>HYPERLINK("https://edzz.la/AASAR?a=60678375")</f>
        <v>https://edzz.la/AASAR?a=60678375</v>
      </c>
      <c r="Y140" s="77" t="s">
        <v>7271</v>
      </c>
      <c r="Z140" s="77"/>
      <c r="AA140" s="77"/>
      <c r="AB140" s="77"/>
      <c r="AC140" s="82" t="s">
        <v>10144</v>
      </c>
      <c r="AD140" s="77" t="s">
        <v>10184</v>
      </c>
      <c r="AE140" s="80" t="str">
        <f>HYPERLINK("https://twitter.com/elisetepetriw/status/1659716228519276548")</f>
        <v>https://twitter.com/elisetepetriw/status/1659716228519276548</v>
      </c>
      <c r="AF140" s="79">
        <v>45066.015729166669</v>
      </c>
      <c r="AG140" s="85">
        <v>45066</v>
      </c>
      <c r="AH140" s="82" t="s">
        <v>10336</v>
      </c>
      <c r="AI140" s="77" t="b">
        <v>0</v>
      </c>
      <c r="AJ140" s="77"/>
      <c r="AK140" s="77"/>
      <c r="AL140" s="77"/>
      <c r="AM140" s="77"/>
      <c r="AN140" s="77"/>
      <c r="AO140" s="77"/>
      <c r="AP140" s="77"/>
      <c r="AQ140" s="77"/>
      <c r="AR140" s="77"/>
      <c r="AS140" s="77"/>
      <c r="AT140" s="77"/>
      <c r="AU140" s="77"/>
      <c r="AV140" s="80" t="str">
        <f>HYPERLINK("https://pbs.twimg.com/profile_images/1704113047550205952/whQFkaHr_normal.jpg")</f>
        <v>https://pbs.twimg.com/profile_images/1704113047550205952/whQFkaHr_normal.jpg</v>
      </c>
      <c r="AW140" s="82" t="s">
        <v>16913</v>
      </c>
      <c r="AX140" s="82" t="s">
        <v>16913</v>
      </c>
      <c r="AY140" s="77"/>
      <c r="AZ140" s="82" t="s">
        <v>20971</v>
      </c>
      <c r="BA140" s="82" t="s">
        <v>20971</v>
      </c>
      <c r="BB140" s="82" t="s">
        <v>20971</v>
      </c>
      <c r="BC140" s="82" t="s">
        <v>16913</v>
      </c>
      <c r="BD140" s="82" t="s">
        <v>21062</v>
      </c>
      <c r="BE140" s="77"/>
      <c r="BF140" s="77"/>
      <c r="BG140" s="77"/>
      <c r="BH140" s="77"/>
      <c r="BI140" s="77"/>
    </row>
    <row r="141" spans="1:61" x14ac:dyDescent="0.25">
      <c r="A141" s="62" t="s">
        <v>296</v>
      </c>
      <c r="B141" s="62" t="s">
        <v>296</v>
      </c>
      <c r="C141" s="63"/>
      <c r="D141" s="64"/>
      <c r="E141" s="65"/>
      <c r="F141" s="66"/>
      <c r="G141" s="63"/>
      <c r="H141" s="67"/>
      <c r="I141" s="68"/>
      <c r="J141" s="68"/>
      <c r="K141" s="32"/>
      <c r="L141" s="75">
        <v>141</v>
      </c>
      <c r="M141" s="75"/>
      <c r="N141" s="70"/>
      <c r="O141" s="77" t="s">
        <v>179</v>
      </c>
      <c r="P141" s="79">
        <v>45062.570798611108</v>
      </c>
      <c r="Q141" s="77" t="s">
        <v>1425</v>
      </c>
      <c r="R141" s="77">
        <v>0</v>
      </c>
      <c r="S141" s="77">
        <v>0</v>
      </c>
      <c r="T141" s="77">
        <v>0</v>
      </c>
      <c r="U141" s="77">
        <v>0</v>
      </c>
      <c r="V141" s="77">
        <v>25</v>
      </c>
      <c r="W141" s="82" t="s">
        <v>5353</v>
      </c>
      <c r="X141" s="80" t="str">
        <f>HYPERLINK("https://edzz.la/AASAR?a=60678375")</f>
        <v>https://edzz.la/AASAR?a=60678375</v>
      </c>
      <c r="Y141" s="77" t="s">
        <v>7271</v>
      </c>
      <c r="Z141" s="77"/>
      <c r="AA141" s="77" t="s">
        <v>7595</v>
      </c>
      <c r="AB141" s="77" t="s">
        <v>10130</v>
      </c>
      <c r="AC141" s="82" t="s">
        <v>10144</v>
      </c>
      <c r="AD141" s="77" t="s">
        <v>10184</v>
      </c>
      <c r="AE141" s="80" t="str">
        <f>HYPERLINK("https://twitter.com/elisetepetriw/status/1658467826741673984")</f>
        <v>https://twitter.com/elisetepetriw/status/1658467826741673984</v>
      </c>
      <c r="AF141" s="79">
        <v>45062.570798611108</v>
      </c>
      <c r="AG141" s="85">
        <v>45062</v>
      </c>
      <c r="AH141" s="82" t="s">
        <v>10337</v>
      </c>
      <c r="AI141" s="77" t="b">
        <v>0</v>
      </c>
      <c r="AJ141" s="77"/>
      <c r="AK141" s="77"/>
      <c r="AL141" s="77"/>
      <c r="AM141" s="77"/>
      <c r="AN141" s="77"/>
      <c r="AO141" s="77"/>
      <c r="AP141" s="77"/>
      <c r="AQ141" s="77" t="s">
        <v>14239</v>
      </c>
      <c r="AR141" s="77"/>
      <c r="AS141" s="77"/>
      <c r="AT141" s="77"/>
      <c r="AU141" s="77"/>
      <c r="AV141" s="80" t="str">
        <f>HYPERLINK("https://pbs.twimg.com/media/FwQPsqPaAAAtWw-.jpg")</f>
        <v>https://pbs.twimg.com/media/FwQPsqPaAAAtWw-.jpg</v>
      </c>
      <c r="AW141" s="82" t="s">
        <v>16914</v>
      </c>
      <c r="AX141" s="82" t="s">
        <v>16914</v>
      </c>
      <c r="AY141" s="77"/>
      <c r="AZ141" s="82" t="s">
        <v>20971</v>
      </c>
      <c r="BA141" s="82" t="s">
        <v>20971</v>
      </c>
      <c r="BB141" s="82" t="s">
        <v>20971</v>
      </c>
      <c r="BC141" s="82" t="s">
        <v>16914</v>
      </c>
      <c r="BD141" s="82" t="s">
        <v>21062</v>
      </c>
      <c r="BE141" s="77"/>
      <c r="BF141" s="77"/>
      <c r="BG141" s="77"/>
      <c r="BH141" s="77"/>
      <c r="BI141" s="77"/>
    </row>
    <row r="142" spans="1:61" x14ac:dyDescent="0.25">
      <c r="A142" s="62" t="s">
        <v>296</v>
      </c>
      <c r="B142" s="62" t="s">
        <v>296</v>
      </c>
      <c r="C142" s="63"/>
      <c r="D142" s="64"/>
      <c r="E142" s="65"/>
      <c r="F142" s="66"/>
      <c r="G142" s="63"/>
      <c r="H142" s="67"/>
      <c r="I142" s="68"/>
      <c r="J142" s="68"/>
      <c r="K142" s="32"/>
      <c r="L142" s="75">
        <v>142</v>
      </c>
      <c r="M142" s="75"/>
      <c r="N142" s="70"/>
      <c r="O142" s="77" t="s">
        <v>179</v>
      </c>
      <c r="P142" s="79">
        <v>45055.036412037036</v>
      </c>
      <c r="Q142" s="77" t="s">
        <v>1426</v>
      </c>
      <c r="R142" s="77">
        <v>0</v>
      </c>
      <c r="S142" s="77">
        <v>0</v>
      </c>
      <c r="T142" s="77">
        <v>0</v>
      </c>
      <c r="U142" s="77">
        <v>0</v>
      </c>
      <c r="V142" s="77">
        <v>34</v>
      </c>
      <c r="W142" s="82" t="s">
        <v>5354</v>
      </c>
      <c r="X142" s="80" t="str">
        <f>HYPERLINK("https://edzz.la/AASAR?a=60678375")</f>
        <v>https://edzz.la/AASAR?a=60678375</v>
      </c>
      <c r="Y142" s="77" t="s">
        <v>7271</v>
      </c>
      <c r="Z142" s="77"/>
      <c r="AA142" s="77"/>
      <c r="AB142" s="77"/>
      <c r="AC142" s="82" t="s">
        <v>10144</v>
      </c>
      <c r="AD142" s="77" t="s">
        <v>10184</v>
      </c>
      <c r="AE142" s="80" t="str">
        <f>HYPERLINK("https://twitter.com/elisetepetriw/status/1655737455868272641")</f>
        <v>https://twitter.com/elisetepetriw/status/1655737455868272641</v>
      </c>
      <c r="AF142" s="79">
        <v>45055.036412037036</v>
      </c>
      <c r="AG142" s="85">
        <v>45055</v>
      </c>
      <c r="AH142" s="82" t="s">
        <v>10338</v>
      </c>
      <c r="AI142" s="77" t="b">
        <v>0</v>
      </c>
      <c r="AJ142" s="77"/>
      <c r="AK142" s="77"/>
      <c r="AL142" s="77"/>
      <c r="AM142" s="77"/>
      <c r="AN142" s="77"/>
      <c r="AO142" s="77"/>
      <c r="AP142" s="77"/>
      <c r="AQ142" s="77"/>
      <c r="AR142" s="77"/>
      <c r="AS142" s="77"/>
      <c r="AT142" s="77"/>
      <c r="AU142" s="77"/>
      <c r="AV142" s="80" t="str">
        <f>HYPERLINK("https://pbs.twimg.com/profile_images/1704113047550205952/whQFkaHr_normal.jpg")</f>
        <v>https://pbs.twimg.com/profile_images/1704113047550205952/whQFkaHr_normal.jpg</v>
      </c>
      <c r="AW142" s="82" t="s">
        <v>16915</v>
      </c>
      <c r="AX142" s="82" t="s">
        <v>16915</v>
      </c>
      <c r="AY142" s="77"/>
      <c r="AZ142" s="82" t="s">
        <v>20971</v>
      </c>
      <c r="BA142" s="82" t="s">
        <v>20971</v>
      </c>
      <c r="BB142" s="82" t="s">
        <v>20971</v>
      </c>
      <c r="BC142" s="82" t="s">
        <v>16915</v>
      </c>
      <c r="BD142" s="82" t="s">
        <v>21062</v>
      </c>
      <c r="BE142" s="77"/>
      <c r="BF142" s="77"/>
      <c r="BG142" s="77"/>
      <c r="BH142" s="77"/>
      <c r="BI142" s="77"/>
    </row>
    <row r="143" spans="1:61" x14ac:dyDescent="0.25">
      <c r="A143" s="62" t="s">
        <v>297</v>
      </c>
      <c r="B143" s="62" t="s">
        <v>297</v>
      </c>
      <c r="C143" s="63"/>
      <c r="D143" s="64"/>
      <c r="E143" s="65"/>
      <c r="F143" s="66"/>
      <c r="G143" s="63"/>
      <c r="H143" s="67"/>
      <c r="I143" s="68"/>
      <c r="J143" s="68"/>
      <c r="K143" s="32"/>
      <c r="L143" s="75">
        <v>143</v>
      </c>
      <c r="M143" s="75"/>
      <c r="N143" s="70"/>
      <c r="O143" s="77" t="s">
        <v>1284</v>
      </c>
      <c r="P143" s="79">
        <v>45122.2190625</v>
      </c>
      <c r="Q143" s="77" t="s">
        <v>1427</v>
      </c>
      <c r="R143" s="77">
        <v>0</v>
      </c>
      <c r="S143" s="77">
        <v>0</v>
      </c>
      <c r="T143" s="77">
        <v>0</v>
      </c>
      <c r="U143" s="77">
        <v>0</v>
      </c>
      <c r="V143" s="77">
        <v>2</v>
      </c>
      <c r="W143" s="82" t="s">
        <v>5335</v>
      </c>
      <c r="X143" s="77"/>
      <c r="Y143" s="77"/>
      <c r="Z143" s="77"/>
      <c r="AA143" s="77"/>
      <c r="AB143" s="77"/>
      <c r="AC143" s="82" t="s">
        <v>10144</v>
      </c>
      <c r="AD143" s="77" t="s">
        <v>10186</v>
      </c>
      <c r="AE143" s="80" t="str">
        <f>HYPERLINK("https://twitter.com/simeiaveloso/status/1680083634244526086")</f>
        <v>https://twitter.com/simeiaveloso/status/1680083634244526086</v>
      </c>
      <c r="AF143" s="79">
        <v>45122.2190625</v>
      </c>
      <c r="AG143" s="85">
        <v>45122</v>
      </c>
      <c r="AH143" s="82" t="s">
        <v>10339</v>
      </c>
      <c r="AI143" s="77"/>
      <c r="AJ143" s="77"/>
      <c r="AK143" s="77"/>
      <c r="AL143" s="77"/>
      <c r="AM143" s="77"/>
      <c r="AN143" s="77"/>
      <c r="AO143" s="77"/>
      <c r="AP143" s="77"/>
      <c r="AQ143" s="77"/>
      <c r="AR143" s="77"/>
      <c r="AS143" s="77"/>
      <c r="AT143" s="77"/>
      <c r="AU143" s="77"/>
      <c r="AV143" s="80" t="str">
        <f>HYPERLINK("https://pbs.twimg.com/profile_images/1595952681557835776/9fkxNPYz_normal.jpg")</f>
        <v>https://pbs.twimg.com/profile_images/1595952681557835776/9fkxNPYz_normal.jpg</v>
      </c>
      <c r="AW143" s="82" t="s">
        <v>16916</v>
      </c>
      <c r="AX143" s="82" t="s">
        <v>20792</v>
      </c>
      <c r="AY143" s="82" t="s">
        <v>20902</v>
      </c>
      <c r="AZ143" s="82" t="s">
        <v>20792</v>
      </c>
      <c r="BA143" s="82" t="s">
        <v>20971</v>
      </c>
      <c r="BB143" s="82" t="s">
        <v>20971</v>
      </c>
      <c r="BC143" s="82" t="s">
        <v>20792</v>
      </c>
      <c r="BD143" s="82" t="s">
        <v>20902</v>
      </c>
      <c r="BE143" s="77"/>
      <c r="BF143" s="77"/>
      <c r="BG143" s="77"/>
      <c r="BH143" s="77"/>
      <c r="BI143" s="77"/>
    </row>
    <row r="144" spans="1:61" x14ac:dyDescent="0.25">
      <c r="A144" s="62" t="s">
        <v>298</v>
      </c>
      <c r="B144" s="62" t="s">
        <v>298</v>
      </c>
      <c r="C144" s="63"/>
      <c r="D144" s="64"/>
      <c r="E144" s="65"/>
      <c r="F144" s="66"/>
      <c r="G144" s="63"/>
      <c r="H144" s="67"/>
      <c r="I144" s="68"/>
      <c r="J144" s="68"/>
      <c r="K144" s="32"/>
      <c r="L144" s="75">
        <v>144</v>
      </c>
      <c r="M144" s="75"/>
      <c r="N144" s="70"/>
      <c r="O144" s="77" t="s">
        <v>179</v>
      </c>
      <c r="P144" s="79">
        <v>45088.962858796294</v>
      </c>
      <c r="Q144" s="77" t="s">
        <v>1428</v>
      </c>
      <c r="R144" s="77">
        <v>1</v>
      </c>
      <c r="S144" s="77">
        <v>2</v>
      </c>
      <c r="T144" s="77">
        <v>0</v>
      </c>
      <c r="U144" s="77">
        <v>0</v>
      </c>
      <c r="V144" s="77">
        <v>334</v>
      </c>
      <c r="W144" s="82" t="s">
        <v>5355</v>
      </c>
      <c r="X144" s="77"/>
      <c r="Y144" s="77"/>
      <c r="Z144" s="77"/>
      <c r="AA144" s="77" t="s">
        <v>7596</v>
      </c>
      <c r="AB144" s="77" t="s">
        <v>10130</v>
      </c>
      <c r="AC144" s="82" t="s">
        <v>10146</v>
      </c>
      <c r="AD144" s="77" t="s">
        <v>10184</v>
      </c>
      <c r="AE144" s="80" t="str">
        <f>HYPERLINK("https://twitter.com/wann4cryexe/status/1668031989943787520")</f>
        <v>https://twitter.com/wann4cryexe/status/1668031989943787520</v>
      </c>
      <c r="AF144" s="79">
        <v>45088.962858796294</v>
      </c>
      <c r="AG144" s="85">
        <v>45088</v>
      </c>
      <c r="AH144" s="82" t="s">
        <v>10340</v>
      </c>
      <c r="AI144" s="77" t="b">
        <v>0</v>
      </c>
      <c r="AJ144" s="77"/>
      <c r="AK144" s="77"/>
      <c r="AL144" s="77"/>
      <c r="AM144" s="77"/>
      <c r="AN144" s="77"/>
      <c r="AO144" s="77"/>
      <c r="AP144" s="77"/>
      <c r="AQ144" s="77" t="s">
        <v>14240</v>
      </c>
      <c r="AR144" s="77"/>
      <c r="AS144" s="77"/>
      <c r="AT144" s="77"/>
      <c r="AU144" s="77"/>
      <c r="AV144" s="80" t="str">
        <f>HYPERLINK("https://pbs.twimg.com/media/FyYKJKTXsAEvRb1.jpg")</f>
        <v>https://pbs.twimg.com/media/FyYKJKTXsAEvRb1.jpg</v>
      </c>
      <c r="AW144" s="82" t="s">
        <v>16917</v>
      </c>
      <c r="AX144" s="82" t="s">
        <v>16917</v>
      </c>
      <c r="AY144" s="77"/>
      <c r="AZ144" s="82" t="s">
        <v>20971</v>
      </c>
      <c r="BA144" s="82" t="s">
        <v>20971</v>
      </c>
      <c r="BB144" s="82" t="s">
        <v>20971</v>
      </c>
      <c r="BC144" s="82" t="s">
        <v>16917</v>
      </c>
      <c r="BD144" s="82" t="s">
        <v>21063</v>
      </c>
      <c r="BE144" s="77"/>
      <c r="BF144" s="77"/>
      <c r="BG144" s="77"/>
      <c r="BH144" s="77"/>
      <c r="BI144" s="77"/>
    </row>
    <row r="145" spans="1:61" x14ac:dyDescent="0.25">
      <c r="A145" s="62" t="s">
        <v>299</v>
      </c>
      <c r="B145" s="62" t="s">
        <v>299</v>
      </c>
      <c r="C145" s="63"/>
      <c r="D145" s="64"/>
      <c r="E145" s="65"/>
      <c r="F145" s="66"/>
      <c r="G145" s="63"/>
      <c r="H145" s="67"/>
      <c r="I145" s="68"/>
      <c r="J145" s="68"/>
      <c r="K145" s="32"/>
      <c r="L145" s="75">
        <v>145</v>
      </c>
      <c r="M145" s="75"/>
      <c r="N145" s="70"/>
      <c r="O145" s="77" t="s">
        <v>179</v>
      </c>
      <c r="P145" s="79">
        <v>45100.72619212963</v>
      </c>
      <c r="Q145" s="77" t="s">
        <v>1429</v>
      </c>
      <c r="R145" s="77">
        <v>0</v>
      </c>
      <c r="S145" s="77">
        <v>0</v>
      </c>
      <c r="T145" s="77">
        <v>1</v>
      </c>
      <c r="U145" s="77">
        <v>0</v>
      </c>
      <c r="V145" s="77">
        <v>83</v>
      </c>
      <c r="W145" s="82" t="s">
        <v>5356</v>
      </c>
      <c r="X145" s="77"/>
      <c r="Y145" s="77"/>
      <c r="Z145" s="77"/>
      <c r="AA145" s="77" t="s">
        <v>7597</v>
      </c>
      <c r="AB145" s="77" t="s">
        <v>10129</v>
      </c>
      <c r="AC145" s="82" t="s">
        <v>10146</v>
      </c>
      <c r="AD145" s="77" t="s">
        <v>10184</v>
      </c>
      <c r="AE145" s="80" t="str">
        <f>HYPERLINK("https://twitter.com/geckocripto/status/1672294880826015757")</f>
        <v>https://twitter.com/geckocripto/status/1672294880826015757</v>
      </c>
      <c r="AF145" s="79">
        <v>45100.72619212963</v>
      </c>
      <c r="AG145" s="85">
        <v>45100</v>
      </c>
      <c r="AH145" s="82" t="s">
        <v>10341</v>
      </c>
      <c r="AI145" s="77" t="b">
        <v>0</v>
      </c>
      <c r="AJ145" s="77"/>
      <c r="AK145" s="77"/>
      <c r="AL145" s="77"/>
      <c r="AM145" s="77"/>
      <c r="AN145" s="77"/>
      <c r="AO145" s="77"/>
      <c r="AP145" s="77"/>
      <c r="AQ145" s="77" t="s">
        <v>14241</v>
      </c>
      <c r="AR145" s="77">
        <v>82166</v>
      </c>
      <c r="AS145" s="77"/>
      <c r="AT145" s="77"/>
      <c r="AU145" s="77"/>
      <c r="AV145" s="80" t="str">
        <f>HYPERLINK("https://pbs.twimg.com/ext_tw_video_thumb/1672293117364453384/pu/img/c7eQh9UFS4Aq9Yx4.jpg")</f>
        <v>https://pbs.twimg.com/ext_tw_video_thumb/1672293117364453384/pu/img/c7eQh9UFS4Aq9Yx4.jpg</v>
      </c>
      <c r="AW145" s="82" t="s">
        <v>16918</v>
      </c>
      <c r="AX145" s="82" t="s">
        <v>16918</v>
      </c>
      <c r="AY145" s="77"/>
      <c r="AZ145" s="82" t="s">
        <v>20971</v>
      </c>
      <c r="BA145" s="82" t="s">
        <v>20971</v>
      </c>
      <c r="BB145" s="82" t="s">
        <v>20971</v>
      </c>
      <c r="BC145" s="82" t="s">
        <v>16918</v>
      </c>
      <c r="BD145" s="82" t="s">
        <v>21064</v>
      </c>
      <c r="BE145" s="77"/>
      <c r="BF145" s="77"/>
      <c r="BG145" s="77"/>
      <c r="BH145" s="77"/>
      <c r="BI145" s="77"/>
    </row>
    <row r="146" spans="1:61" x14ac:dyDescent="0.25">
      <c r="A146" s="62" t="s">
        <v>299</v>
      </c>
      <c r="B146" s="62" t="s">
        <v>299</v>
      </c>
      <c r="C146" s="63"/>
      <c r="D146" s="64"/>
      <c r="E146" s="65"/>
      <c r="F146" s="66"/>
      <c r="G146" s="63"/>
      <c r="H146" s="67"/>
      <c r="I146" s="68"/>
      <c r="J146" s="68"/>
      <c r="K146" s="32"/>
      <c r="L146" s="75">
        <v>146</v>
      </c>
      <c r="M146" s="75"/>
      <c r="N146" s="70"/>
      <c r="O146" s="77" t="s">
        <v>179</v>
      </c>
      <c r="P146" s="79">
        <v>45106.766053240739</v>
      </c>
      <c r="Q146" s="77" t="s">
        <v>1430</v>
      </c>
      <c r="R146" s="77">
        <v>0</v>
      </c>
      <c r="S146" s="77">
        <v>1</v>
      </c>
      <c r="T146" s="77">
        <v>1</v>
      </c>
      <c r="U146" s="77">
        <v>0</v>
      </c>
      <c r="V146" s="77">
        <v>269</v>
      </c>
      <c r="W146" s="82" t="s">
        <v>5357</v>
      </c>
      <c r="X146" s="77"/>
      <c r="Y146" s="77"/>
      <c r="Z146" s="77"/>
      <c r="AA146" s="77" t="s">
        <v>7598</v>
      </c>
      <c r="AB146" s="77" t="s">
        <v>10129</v>
      </c>
      <c r="AC146" s="82" t="s">
        <v>10146</v>
      </c>
      <c r="AD146" s="77" t="s">
        <v>10184</v>
      </c>
      <c r="AE146" s="80" t="str">
        <f>HYPERLINK("https://twitter.com/geckocripto/status/1674483651164119047")</f>
        <v>https://twitter.com/geckocripto/status/1674483651164119047</v>
      </c>
      <c r="AF146" s="79">
        <v>45106.766053240739</v>
      </c>
      <c r="AG146" s="85">
        <v>45106</v>
      </c>
      <c r="AH146" s="82" t="s">
        <v>10342</v>
      </c>
      <c r="AI146" s="77" t="b">
        <v>0</v>
      </c>
      <c r="AJ146" s="77"/>
      <c r="AK146" s="77"/>
      <c r="AL146" s="77"/>
      <c r="AM146" s="77"/>
      <c r="AN146" s="77"/>
      <c r="AO146" s="77"/>
      <c r="AP146" s="77"/>
      <c r="AQ146" s="77" t="s">
        <v>14242</v>
      </c>
      <c r="AR146" s="77">
        <v>87350</v>
      </c>
      <c r="AS146" s="77"/>
      <c r="AT146" s="77"/>
      <c r="AU146" s="77"/>
      <c r="AV146" s="80" t="str">
        <f>HYPERLINK("https://pbs.twimg.com/ext_tw_video_thumb/1674482912098394140/pu/img/DR7Cm-_-h9nr05ES.jpg")</f>
        <v>https://pbs.twimg.com/ext_tw_video_thumb/1674482912098394140/pu/img/DR7Cm-_-h9nr05ES.jpg</v>
      </c>
      <c r="AW146" s="82" t="s">
        <v>16919</v>
      </c>
      <c r="AX146" s="82" t="s">
        <v>16919</v>
      </c>
      <c r="AY146" s="77"/>
      <c r="AZ146" s="82" t="s">
        <v>20971</v>
      </c>
      <c r="BA146" s="82" t="s">
        <v>20971</v>
      </c>
      <c r="BB146" s="82" t="s">
        <v>20971</v>
      </c>
      <c r="BC146" s="82" t="s">
        <v>16919</v>
      </c>
      <c r="BD146" s="82" t="s">
        <v>21064</v>
      </c>
      <c r="BE146" s="77"/>
      <c r="BF146" s="77"/>
      <c r="BG146" s="77"/>
      <c r="BH146" s="77"/>
      <c r="BI146" s="77"/>
    </row>
    <row r="147" spans="1:61" x14ac:dyDescent="0.25">
      <c r="A147" s="62" t="s">
        <v>300</v>
      </c>
      <c r="B147" s="62" t="s">
        <v>300</v>
      </c>
      <c r="C147" s="63"/>
      <c r="D147" s="64"/>
      <c r="E147" s="65"/>
      <c r="F147" s="66"/>
      <c r="G147" s="63"/>
      <c r="H147" s="67"/>
      <c r="I147" s="68"/>
      <c r="J147" s="68"/>
      <c r="K147" s="32"/>
      <c r="L147" s="75">
        <v>147</v>
      </c>
      <c r="M147" s="75"/>
      <c r="N147" s="70"/>
      <c r="O147" s="77" t="s">
        <v>179</v>
      </c>
      <c r="P147" s="79">
        <v>45029.698912037034</v>
      </c>
      <c r="Q147" s="77" t="s">
        <v>1431</v>
      </c>
      <c r="R147" s="77">
        <v>0</v>
      </c>
      <c r="S147" s="77">
        <v>0</v>
      </c>
      <c r="T147" s="77">
        <v>0</v>
      </c>
      <c r="U147" s="77">
        <v>0</v>
      </c>
      <c r="V147" s="77">
        <v>290</v>
      </c>
      <c r="W147" s="82" t="s">
        <v>5358</v>
      </c>
      <c r="X147" s="77"/>
      <c r="Y147" s="77"/>
      <c r="Z147" s="77"/>
      <c r="AA147" s="77" t="s">
        <v>7599</v>
      </c>
      <c r="AB147" s="77" t="s">
        <v>10129</v>
      </c>
      <c r="AC147" s="82" t="s">
        <v>10144</v>
      </c>
      <c r="AD147" s="77" t="s">
        <v>10184</v>
      </c>
      <c r="AE147" s="80" t="str">
        <f>HYPERLINK("https://twitter.com/karina_duarte17/status/1646555453042589698")</f>
        <v>https://twitter.com/karina_duarte17/status/1646555453042589698</v>
      </c>
      <c r="AF147" s="79">
        <v>45029.698912037034</v>
      </c>
      <c r="AG147" s="85">
        <v>45029</v>
      </c>
      <c r="AH147" s="82" t="s">
        <v>10343</v>
      </c>
      <c r="AI147" s="77" t="b">
        <v>0</v>
      </c>
      <c r="AJ147" s="77"/>
      <c r="AK147" s="77"/>
      <c r="AL147" s="77"/>
      <c r="AM147" s="77"/>
      <c r="AN147" s="77"/>
      <c r="AO147" s="77"/>
      <c r="AP147" s="77"/>
      <c r="AQ147" s="77" t="s">
        <v>14243</v>
      </c>
      <c r="AR147" s="77">
        <v>14399</v>
      </c>
      <c r="AS147" s="77"/>
      <c r="AT147" s="77"/>
      <c r="AU147" s="77"/>
      <c r="AV147" s="80" t="str">
        <f>HYPERLINK("https://pbs.twimg.com/ext_tw_video_thumb/1646555399271641088/pu/img/p5EFChq0Bt8SXBy1.jpg")</f>
        <v>https://pbs.twimg.com/ext_tw_video_thumb/1646555399271641088/pu/img/p5EFChq0Bt8SXBy1.jpg</v>
      </c>
      <c r="AW147" s="82" t="s">
        <v>16920</v>
      </c>
      <c r="AX147" s="82" t="s">
        <v>16920</v>
      </c>
      <c r="AY147" s="77"/>
      <c r="AZ147" s="82" t="s">
        <v>20971</v>
      </c>
      <c r="BA147" s="82" t="s">
        <v>20971</v>
      </c>
      <c r="BB147" s="82" t="s">
        <v>20971</v>
      </c>
      <c r="BC147" s="82" t="s">
        <v>16920</v>
      </c>
      <c r="BD147" s="77">
        <v>1278226568</v>
      </c>
      <c r="BE147" s="77"/>
      <c r="BF147" s="77"/>
      <c r="BG147" s="77"/>
      <c r="BH147" s="77"/>
      <c r="BI147" s="77"/>
    </row>
    <row r="148" spans="1:61" x14ac:dyDescent="0.25">
      <c r="A148" s="62" t="s">
        <v>301</v>
      </c>
      <c r="B148" s="62" t="s">
        <v>301</v>
      </c>
      <c r="C148" s="63"/>
      <c r="D148" s="64"/>
      <c r="E148" s="65"/>
      <c r="F148" s="66"/>
      <c r="G148" s="63"/>
      <c r="H148" s="67"/>
      <c r="I148" s="68"/>
      <c r="J148" s="68"/>
      <c r="K148" s="32"/>
      <c r="L148" s="75">
        <v>148</v>
      </c>
      <c r="M148" s="75"/>
      <c r="N148" s="70"/>
      <c r="O148" s="77" t="s">
        <v>179</v>
      </c>
      <c r="P148" s="79">
        <v>45013.948252314818</v>
      </c>
      <c r="Q148" s="77" t="s">
        <v>1432</v>
      </c>
      <c r="R148" s="77">
        <v>0</v>
      </c>
      <c r="S148" s="77">
        <v>1</v>
      </c>
      <c r="T148" s="77">
        <v>0</v>
      </c>
      <c r="U148" s="77">
        <v>0</v>
      </c>
      <c r="V148" s="77">
        <v>34</v>
      </c>
      <c r="W148" s="82" t="s">
        <v>5359</v>
      </c>
      <c r="X148" s="80" t="str">
        <f>HYPERLINK("https://confira.site/0e317a7")</f>
        <v>https://confira.site/0e317a7</v>
      </c>
      <c r="Y148" s="77" t="s">
        <v>7275</v>
      </c>
      <c r="Z148" s="77"/>
      <c r="AA148" s="77"/>
      <c r="AB148" s="77"/>
      <c r="AC148" s="82" t="s">
        <v>10144</v>
      </c>
      <c r="AD148" s="77" t="s">
        <v>10184</v>
      </c>
      <c r="AE148" s="80" t="str">
        <f>HYPERLINK("https://twitter.com/eliasbarouh/status/1640847606233325569")</f>
        <v>https://twitter.com/eliasbarouh/status/1640847606233325569</v>
      </c>
      <c r="AF148" s="79">
        <v>45013.948252314818</v>
      </c>
      <c r="AG148" s="85">
        <v>45013</v>
      </c>
      <c r="AH148" s="82" t="s">
        <v>10344</v>
      </c>
      <c r="AI148" s="77" t="b">
        <v>0</v>
      </c>
      <c r="AJ148" s="77" t="s">
        <v>14004</v>
      </c>
      <c r="AK148" s="77" t="s">
        <v>14033</v>
      </c>
      <c r="AL148" s="77" t="s">
        <v>14035</v>
      </c>
      <c r="AM148" s="77" t="s">
        <v>14046</v>
      </c>
      <c r="AN148" s="77" t="s">
        <v>14083</v>
      </c>
      <c r="AO148" s="77" t="s">
        <v>14121</v>
      </c>
      <c r="AP148" s="77" t="s">
        <v>14149</v>
      </c>
      <c r="AQ148" s="77"/>
      <c r="AR148" s="77"/>
      <c r="AS148" s="77"/>
      <c r="AT148" s="77"/>
      <c r="AU148" s="77"/>
      <c r="AV148" s="80" t="str">
        <f>HYPERLINK("https://pbs.twimg.com/profile_images/1318844735600152576/NttSoSIZ_normal.jpg")</f>
        <v>https://pbs.twimg.com/profile_images/1318844735600152576/NttSoSIZ_normal.jpg</v>
      </c>
      <c r="AW148" s="82" t="s">
        <v>16921</v>
      </c>
      <c r="AX148" s="82" t="s">
        <v>16921</v>
      </c>
      <c r="AY148" s="77"/>
      <c r="AZ148" s="82" t="s">
        <v>20971</v>
      </c>
      <c r="BA148" s="82" t="s">
        <v>20971</v>
      </c>
      <c r="BB148" s="82" t="s">
        <v>20971</v>
      </c>
      <c r="BC148" s="82" t="s">
        <v>16921</v>
      </c>
      <c r="BD148" s="77">
        <v>500325326</v>
      </c>
      <c r="BE148" s="77"/>
      <c r="BF148" s="77"/>
      <c r="BG148" s="77"/>
      <c r="BH148" s="77"/>
      <c r="BI148" s="77"/>
    </row>
    <row r="149" spans="1:61" x14ac:dyDescent="0.25">
      <c r="A149" s="62" t="s">
        <v>302</v>
      </c>
      <c r="B149" s="62" t="s">
        <v>302</v>
      </c>
      <c r="C149" s="63"/>
      <c r="D149" s="64"/>
      <c r="E149" s="65"/>
      <c r="F149" s="66"/>
      <c r="G149" s="63"/>
      <c r="H149" s="67"/>
      <c r="I149" s="68"/>
      <c r="J149" s="68"/>
      <c r="K149" s="32"/>
      <c r="L149" s="75">
        <v>149</v>
      </c>
      <c r="M149" s="75"/>
      <c r="N149" s="70"/>
      <c r="O149" s="77" t="s">
        <v>179</v>
      </c>
      <c r="P149" s="79">
        <v>45000.038229166668</v>
      </c>
      <c r="Q149" s="77" t="s">
        <v>1433</v>
      </c>
      <c r="R149" s="77">
        <v>0</v>
      </c>
      <c r="S149" s="77">
        <v>0</v>
      </c>
      <c r="T149" s="77">
        <v>0</v>
      </c>
      <c r="U149" s="77">
        <v>0</v>
      </c>
      <c r="V149" s="77">
        <v>86</v>
      </c>
      <c r="W149" s="82" t="s">
        <v>5360</v>
      </c>
      <c r="X149" s="77"/>
      <c r="Y149" s="77"/>
      <c r="Z149" s="77"/>
      <c r="AA149" s="77" t="s">
        <v>7600</v>
      </c>
      <c r="AB149" s="77" t="s">
        <v>10129</v>
      </c>
      <c r="AC149" s="82" t="s">
        <v>10144</v>
      </c>
      <c r="AD149" s="77" t="s">
        <v>10184</v>
      </c>
      <c r="AE149" s="80" t="str">
        <f>HYPERLINK("https://twitter.com/maikeffagundes/status/1635806780910456833")</f>
        <v>https://twitter.com/maikeffagundes/status/1635806780910456833</v>
      </c>
      <c r="AF149" s="79">
        <v>45000.038229166668</v>
      </c>
      <c r="AG149" s="85">
        <v>45000</v>
      </c>
      <c r="AH149" s="82" t="s">
        <v>10345</v>
      </c>
      <c r="AI149" s="77" t="b">
        <v>0</v>
      </c>
      <c r="AJ149" s="77"/>
      <c r="AK149" s="77"/>
      <c r="AL149" s="77"/>
      <c r="AM149" s="77"/>
      <c r="AN149" s="77"/>
      <c r="AO149" s="77"/>
      <c r="AP149" s="77"/>
      <c r="AQ149" s="77" t="s">
        <v>14244</v>
      </c>
      <c r="AR149" s="77">
        <v>9833</v>
      </c>
      <c r="AS149" s="77"/>
      <c r="AT149" s="77"/>
      <c r="AU149" s="77"/>
      <c r="AV149" s="80" t="str">
        <f>HYPERLINK("https://pbs.twimg.com/ext_tw_video_thumb/1635806751004950529/pu/img/l5Cxcspzq4nZ9kDG.jpg")</f>
        <v>https://pbs.twimg.com/ext_tw_video_thumb/1635806751004950529/pu/img/l5Cxcspzq4nZ9kDG.jpg</v>
      </c>
      <c r="AW149" s="82" t="s">
        <v>16922</v>
      </c>
      <c r="AX149" s="82" t="s">
        <v>16922</v>
      </c>
      <c r="AY149" s="77"/>
      <c r="AZ149" s="82" t="s">
        <v>20971</v>
      </c>
      <c r="BA149" s="82" t="s">
        <v>20971</v>
      </c>
      <c r="BB149" s="82" t="s">
        <v>20971</v>
      </c>
      <c r="BC149" s="82" t="s">
        <v>16922</v>
      </c>
      <c r="BD149" s="82" t="s">
        <v>21065</v>
      </c>
      <c r="BE149" s="77"/>
      <c r="BF149" s="77"/>
      <c r="BG149" s="77"/>
      <c r="BH149" s="77"/>
      <c r="BI149" s="77"/>
    </row>
    <row r="150" spans="1:61" x14ac:dyDescent="0.25">
      <c r="A150" s="62" t="s">
        <v>302</v>
      </c>
      <c r="B150" s="62" t="s">
        <v>302</v>
      </c>
      <c r="C150" s="63"/>
      <c r="D150" s="64"/>
      <c r="E150" s="65"/>
      <c r="F150" s="66"/>
      <c r="G150" s="63"/>
      <c r="H150" s="67"/>
      <c r="I150" s="68"/>
      <c r="J150" s="68"/>
      <c r="K150" s="32"/>
      <c r="L150" s="75">
        <v>150</v>
      </c>
      <c r="M150" s="75"/>
      <c r="N150" s="70"/>
      <c r="O150" s="77" t="s">
        <v>179</v>
      </c>
      <c r="P150" s="79">
        <v>44999.889317129629</v>
      </c>
      <c r="Q150" s="77" t="s">
        <v>1434</v>
      </c>
      <c r="R150" s="77">
        <v>0</v>
      </c>
      <c r="S150" s="77">
        <v>0</v>
      </c>
      <c r="T150" s="77">
        <v>0</v>
      </c>
      <c r="U150" s="77">
        <v>0</v>
      </c>
      <c r="V150" s="77">
        <v>46</v>
      </c>
      <c r="W150" s="82" t="s">
        <v>5361</v>
      </c>
      <c r="X150" s="77"/>
      <c r="Y150" s="77"/>
      <c r="Z150" s="77"/>
      <c r="AA150" s="77"/>
      <c r="AB150" s="77"/>
      <c r="AC150" s="82" t="s">
        <v>10144</v>
      </c>
      <c r="AD150" s="77" t="s">
        <v>10184</v>
      </c>
      <c r="AE150" s="80" t="str">
        <f>HYPERLINK("https://twitter.com/maikeffagundes/status/1635752820585447426")</f>
        <v>https://twitter.com/maikeffagundes/status/1635752820585447426</v>
      </c>
      <c r="AF150" s="79">
        <v>44999.889317129629</v>
      </c>
      <c r="AG150" s="85">
        <v>44999</v>
      </c>
      <c r="AH150" s="82" t="s">
        <v>10346</v>
      </c>
      <c r="AI150" s="77"/>
      <c r="AJ150" s="77"/>
      <c r="AK150" s="77"/>
      <c r="AL150" s="77"/>
      <c r="AM150" s="77"/>
      <c r="AN150" s="77"/>
      <c r="AO150" s="77"/>
      <c r="AP150" s="77"/>
      <c r="AQ150" s="77"/>
      <c r="AR150" s="77"/>
      <c r="AS150" s="77"/>
      <c r="AT150" s="77"/>
      <c r="AU150" s="77"/>
      <c r="AV150" s="80" t="str">
        <f>HYPERLINK("https://pbs.twimg.com/profile_images/1635686534325186590/saFyS61l_normal.png")</f>
        <v>https://pbs.twimg.com/profile_images/1635686534325186590/saFyS61l_normal.png</v>
      </c>
      <c r="AW150" s="82" t="s">
        <v>16923</v>
      </c>
      <c r="AX150" s="82" t="s">
        <v>16923</v>
      </c>
      <c r="AY150" s="77"/>
      <c r="AZ150" s="82" t="s">
        <v>20971</v>
      </c>
      <c r="BA150" s="82" t="s">
        <v>20971</v>
      </c>
      <c r="BB150" s="82" t="s">
        <v>20971</v>
      </c>
      <c r="BC150" s="82" t="s">
        <v>16923</v>
      </c>
      <c r="BD150" s="82" t="s">
        <v>21065</v>
      </c>
      <c r="BE150" s="77"/>
      <c r="BF150" s="77"/>
      <c r="BG150" s="77"/>
      <c r="BH150" s="77"/>
      <c r="BI150" s="77"/>
    </row>
    <row r="151" spans="1:61" x14ac:dyDescent="0.25">
      <c r="A151" s="62" t="s">
        <v>302</v>
      </c>
      <c r="B151" s="62" t="s">
        <v>302</v>
      </c>
      <c r="C151" s="63"/>
      <c r="D151" s="64"/>
      <c r="E151" s="65"/>
      <c r="F151" s="66"/>
      <c r="G151" s="63"/>
      <c r="H151" s="67"/>
      <c r="I151" s="68"/>
      <c r="J151" s="68"/>
      <c r="K151" s="32"/>
      <c r="L151" s="75">
        <v>151</v>
      </c>
      <c r="M151" s="75"/>
      <c r="N151" s="70"/>
      <c r="O151" s="77" t="s">
        <v>179</v>
      </c>
      <c r="P151" s="79">
        <v>45012.021747685183</v>
      </c>
      <c r="Q151" s="77" t="s">
        <v>1435</v>
      </c>
      <c r="R151" s="77">
        <v>0</v>
      </c>
      <c r="S151" s="77">
        <v>0</v>
      </c>
      <c r="T151" s="77">
        <v>0</v>
      </c>
      <c r="U151" s="77">
        <v>0</v>
      </c>
      <c r="V151" s="77">
        <v>40</v>
      </c>
      <c r="W151" s="82" t="s">
        <v>5362</v>
      </c>
      <c r="X151" s="80" t="str">
        <f>HYPERLINK("https://go.hotmart.com/I78214978P")</f>
        <v>https://go.hotmart.com/I78214978P</v>
      </c>
      <c r="Y151" s="77" t="s">
        <v>7251</v>
      </c>
      <c r="Z151" s="77"/>
      <c r="AA151" s="77" t="s">
        <v>7601</v>
      </c>
      <c r="AB151" s="77" t="s">
        <v>10129</v>
      </c>
      <c r="AC151" s="82" t="s">
        <v>10144</v>
      </c>
      <c r="AD151" s="77" t="s">
        <v>10184</v>
      </c>
      <c r="AE151" s="80" t="str">
        <f>HYPERLINK("https://twitter.com/maikeffagundes/status/1640149463095205891")</f>
        <v>https://twitter.com/maikeffagundes/status/1640149463095205891</v>
      </c>
      <c r="AF151" s="79">
        <v>45012.021747685183</v>
      </c>
      <c r="AG151" s="85">
        <v>45012</v>
      </c>
      <c r="AH151" s="82" t="s">
        <v>10347</v>
      </c>
      <c r="AI151" s="77" t="b">
        <v>0</v>
      </c>
      <c r="AJ151" s="77"/>
      <c r="AK151" s="77"/>
      <c r="AL151" s="77"/>
      <c r="AM151" s="77"/>
      <c r="AN151" s="77"/>
      <c r="AO151" s="77"/>
      <c r="AP151" s="77"/>
      <c r="AQ151" s="77" t="s">
        <v>14245</v>
      </c>
      <c r="AR151" s="77">
        <v>23857</v>
      </c>
      <c r="AS151" s="77"/>
      <c r="AT151" s="77"/>
      <c r="AU151" s="77"/>
      <c r="AV151" s="80" t="str">
        <f>HYPERLINK("https://pbs.twimg.com/ext_tw_video_thumb/1640149387379634178/pu/img/E4Y-2YmqaIDRN2VK.jpg")</f>
        <v>https://pbs.twimg.com/ext_tw_video_thumb/1640149387379634178/pu/img/E4Y-2YmqaIDRN2VK.jpg</v>
      </c>
      <c r="AW151" s="82" t="s">
        <v>16924</v>
      </c>
      <c r="AX151" s="82" t="s">
        <v>16924</v>
      </c>
      <c r="AY151" s="77"/>
      <c r="AZ151" s="82" t="s">
        <v>20971</v>
      </c>
      <c r="BA151" s="82" t="s">
        <v>20971</v>
      </c>
      <c r="BB151" s="82" t="s">
        <v>20971</v>
      </c>
      <c r="BC151" s="82" t="s">
        <v>16924</v>
      </c>
      <c r="BD151" s="82" t="s">
        <v>21065</v>
      </c>
      <c r="BE151" s="77"/>
      <c r="BF151" s="77"/>
      <c r="BG151" s="77"/>
      <c r="BH151" s="77"/>
      <c r="BI151" s="77"/>
    </row>
    <row r="152" spans="1:61" x14ac:dyDescent="0.25">
      <c r="A152" s="62" t="s">
        <v>302</v>
      </c>
      <c r="B152" s="62" t="s">
        <v>302</v>
      </c>
      <c r="C152" s="63"/>
      <c r="D152" s="64"/>
      <c r="E152" s="65"/>
      <c r="F152" s="66"/>
      <c r="G152" s="63"/>
      <c r="H152" s="67"/>
      <c r="I152" s="68"/>
      <c r="J152" s="68"/>
      <c r="K152" s="32"/>
      <c r="L152" s="75">
        <v>152</v>
      </c>
      <c r="M152" s="75"/>
      <c r="N152" s="70"/>
      <c r="O152" s="77" t="s">
        <v>179</v>
      </c>
      <c r="P152" s="79">
        <v>45012.018969907411</v>
      </c>
      <c r="Q152" s="77" t="s">
        <v>1436</v>
      </c>
      <c r="R152" s="77">
        <v>0</v>
      </c>
      <c r="S152" s="77">
        <v>0</v>
      </c>
      <c r="T152" s="77">
        <v>0</v>
      </c>
      <c r="U152" s="77">
        <v>0</v>
      </c>
      <c r="V152" s="77">
        <v>28</v>
      </c>
      <c r="W152" s="82" t="s">
        <v>5363</v>
      </c>
      <c r="X152" s="80" t="str">
        <f>HYPERLINK("https://go.hotmart.com/I78214978P")</f>
        <v>https://go.hotmart.com/I78214978P</v>
      </c>
      <c r="Y152" s="77" t="s">
        <v>7251</v>
      </c>
      <c r="Z152" s="77"/>
      <c r="AA152" s="77"/>
      <c r="AB152" s="77"/>
      <c r="AC152" s="82" t="s">
        <v>10144</v>
      </c>
      <c r="AD152" s="77" t="s">
        <v>10184</v>
      </c>
      <c r="AE152" s="80" t="str">
        <f>HYPERLINK("https://twitter.com/maikeffagundes/status/1640148457447981056")</f>
        <v>https://twitter.com/maikeffagundes/status/1640148457447981056</v>
      </c>
      <c r="AF152" s="79">
        <v>45012.018969907411</v>
      </c>
      <c r="AG152" s="85">
        <v>45012</v>
      </c>
      <c r="AH152" s="82" t="s">
        <v>10348</v>
      </c>
      <c r="AI152" s="77" t="b">
        <v>0</v>
      </c>
      <c r="AJ152" s="77"/>
      <c r="AK152" s="77"/>
      <c r="AL152" s="77"/>
      <c r="AM152" s="77"/>
      <c r="AN152" s="77"/>
      <c r="AO152" s="77"/>
      <c r="AP152" s="77"/>
      <c r="AQ152" s="77"/>
      <c r="AR152" s="77"/>
      <c r="AS152" s="77"/>
      <c r="AT152" s="77"/>
      <c r="AU152" s="77"/>
      <c r="AV152" s="80" t="str">
        <f>HYPERLINK("https://pbs.twimg.com/profile_images/1635686534325186590/saFyS61l_normal.png")</f>
        <v>https://pbs.twimg.com/profile_images/1635686534325186590/saFyS61l_normal.png</v>
      </c>
      <c r="AW152" s="82" t="s">
        <v>16925</v>
      </c>
      <c r="AX152" s="82" t="s">
        <v>16925</v>
      </c>
      <c r="AY152" s="77"/>
      <c r="AZ152" s="82" t="s">
        <v>20971</v>
      </c>
      <c r="BA152" s="82" t="s">
        <v>20971</v>
      </c>
      <c r="BB152" s="82" t="s">
        <v>20971</v>
      </c>
      <c r="BC152" s="82" t="s">
        <v>16925</v>
      </c>
      <c r="BD152" s="82" t="s">
        <v>21065</v>
      </c>
      <c r="BE152" s="77"/>
      <c r="BF152" s="77"/>
      <c r="BG152" s="77"/>
      <c r="BH152" s="77"/>
      <c r="BI152" s="77"/>
    </row>
    <row r="153" spans="1:61" x14ac:dyDescent="0.25">
      <c r="A153" s="62" t="s">
        <v>302</v>
      </c>
      <c r="B153" s="62" t="s">
        <v>302</v>
      </c>
      <c r="C153" s="63"/>
      <c r="D153" s="64"/>
      <c r="E153" s="65"/>
      <c r="F153" s="66"/>
      <c r="G153" s="63"/>
      <c r="H153" s="67"/>
      <c r="I153" s="68"/>
      <c r="J153" s="68"/>
      <c r="K153" s="32"/>
      <c r="L153" s="75">
        <v>153</v>
      </c>
      <c r="M153" s="75"/>
      <c r="N153" s="70"/>
      <c r="O153" s="77" t="s">
        <v>179</v>
      </c>
      <c r="P153" s="79">
        <v>45128.434467592589</v>
      </c>
      <c r="Q153" s="77" t="s">
        <v>1437</v>
      </c>
      <c r="R153" s="77">
        <v>0</v>
      </c>
      <c r="S153" s="77">
        <v>0</v>
      </c>
      <c r="T153" s="77">
        <v>0</v>
      </c>
      <c r="U153" s="77">
        <v>0</v>
      </c>
      <c r="V153" s="77">
        <v>25</v>
      </c>
      <c r="W153" s="82" t="s">
        <v>5364</v>
      </c>
      <c r="X153" s="80" t="str">
        <f>HYPERLINK("https://go.hotmart.com/I78214978P")</f>
        <v>https://go.hotmart.com/I78214978P</v>
      </c>
      <c r="Y153" s="77" t="s">
        <v>7251</v>
      </c>
      <c r="Z153" s="77"/>
      <c r="AA153" s="77" t="s">
        <v>7602</v>
      </c>
      <c r="AB153" s="77" t="s">
        <v>10130</v>
      </c>
      <c r="AC153" s="82" t="s">
        <v>10144</v>
      </c>
      <c r="AD153" s="77" t="s">
        <v>10184</v>
      </c>
      <c r="AE153" s="80" t="str">
        <f>HYPERLINK("https://twitter.com/maikeffagundes/status/1682336022191808512")</f>
        <v>https://twitter.com/maikeffagundes/status/1682336022191808512</v>
      </c>
      <c r="AF153" s="79">
        <v>45128.434467592589</v>
      </c>
      <c r="AG153" s="85">
        <v>45128</v>
      </c>
      <c r="AH153" s="82" t="s">
        <v>10349</v>
      </c>
      <c r="AI153" s="77" t="b">
        <v>0</v>
      </c>
      <c r="AJ153" s="77"/>
      <c r="AK153" s="77"/>
      <c r="AL153" s="77"/>
      <c r="AM153" s="77"/>
      <c r="AN153" s="77"/>
      <c r="AO153" s="77"/>
      <c r="AP153" s="77"/>
      <c r="AQ153" s="77" t="s">
        <v>14246</v>
      </c>
      <c r="AR153" s="77"/>
      <c r="AS153" s="77"/>
      <c r="AT153" s="77"/>
      <c r="AU153" s="77"/>
      <c r="AV153" s="80" t="str">
        <f>HYPERLINK("https://pbs.twimg.com/media/F1jbsmcXsAIayyJ.jpg")</f>
        <v>https://pbs.twimg.com/media/F1jbsmcXsAIayyJ.jpg</v>
      </c>
      <c r="AW153" s="82" t="s">
        <v>16926</v>
      </c>
      <c r="AX153" s="82" t="s">
        <v>16926</v>
      </c>
      <c r="AY153" s="77"/>
      <c r="AZ153" s="82" t="s">
        <v>20971</v>
      </c>
      <c r="BA153" s="82" t="s">
        <v>20971</v>
      </c>
      <c r="BB153" s="82" t="s">
        <v>20971</v>
      </c>
      <c r="BC153" s="82" t="s">
        <v>16926</v>
      </c>
      <c r="BD153" s="82" t="s">
        <v>21065</v>
      </c>
      <c r="BE153" s="77"/>
      <c r="BF153" s="77"/>
      <c r="BG153" s="77"/>
      <c r="BH153" s="77"/>
      <c r="BI153" s="77"/>
    </row>
    <row r="154" spans="1:61" x14ac:dyDescent="0.25">
      <c r="A154" s="62" t="s">
        <v>303</v>
      </c>
      <c r="B154" s="62" t="s">
        <v>303</v>
      </c>
      <c r="C154" s="63"/>
      <c r="D154" s="64"/>
      <c r="E154" s="65"/>
      <c r="F154" s="66"/>
      <c r="G154" s="63"/>
      <c r="H154" s="67"/>
      <c r="I154" s="68"/>
      <c r="J154" s="68"/>
      <c r="K154" s="32"/>
      <c r="L154" s="75">
        <v>154</v>
      </c>
      <c r="M154" s="75"/>
      <c r="N154" s="70"/>
      <c r="O154" s="77" t="s">
        <v>179</v>
      </c>
      <c r="P154" s="79">
        <v>45169.187013888892</v>
      </c>
      <c r="Q154" s="77" t="s">
        <v>1438</v>
      </c>
      <c r="R154" s="77">
        <v>0</v>
      </c>
      <c r="S154" s="77">
        <v>1</v>
      </c>
      <c r="T154" s="77">
        <v>0</v>
      </c>
      <c r="U154" s="77">
        <v>0</v>
      </c>
      <c r="V154" s="77">
        <v>19</v>
      </c>
      <c r="W154" s="82" t="s">
        <v>5365</v>
      </c>
      <c r="X154" s="77"/>
      <c r="Y154" s="77"/>
      <c r="Z154" s="77"/>
      <c r="AA154" s="77" t="s">
        <v>7603</v>
      </c>
      <c r="AB154" s="77" t="s">
        <v>10129</v>
      </c>
      <c r="AC154" s="82" t="s">
        <v>10145</v>
      </c>
      <c r="AD154" s="77" t="s">
        <v>10184</v>
      </c>
      <c r="AE154" s="80" t="str">
        <f>HYPERLINK("https://twitter.com/empreended0r_/status/1697104248226337095")</f>
        <v>https://twitter.com/empreended0r_/status/1697104248226337095</v>
      </c>
      <c r="AF154" s="79">
        <v>45169.187013888892</v>
      </c>
      <c r="AG154" s="85">
        <v>45169</v>
      </c>
      <c r="AH154" s="82" t="s">
        <v>10350</v>
      </c>
      <c r="AI154" s="77" t="b">
        <v>0</v>
      </c>
      <c r="AJ154" s="77"/>
      <c r="AK154" s="77"/>
      <c r="AL154" s="77"/>
      <c r="AM154" s="77"/>
      <c r="AN154" s="77"/>
      <c r="AO154" s="77"/>
      <c r="AP154" s="77"/>
      <c r="AQ154" s="77" t="s">
        <v>14247</v>
      </c>
      <c r="AR154" s="77">
        <v>53400</v>
      </c>
      <c r="AS154" s="77"/>
      <c r="AT154" s="77"/>
      <c r="AU154" s="77"/>
      <c r="AV154" s="80" t="str">
        <f>HYPERLINK("https://pbs.twimg.com/ext_tw_video_thumb/1697104208170725376/pu/img/DvsQU-gqIYXsHftr.jpg")</f>
        <v>https://pbs.twimg.com/ext_tw_video_thumb/1697104208170725376/pu/img/DvsQU-gqIYXsHftr.jpg</v>
      </c>
      <c r="AW154" s="82" t="s">
        <v>16927</v>
      </c>
      <c r="AX154" s="82" t="s">
        <v>16927</v>
      </c>
      <c r="AY154" s="77"/>
      <c r="AZ154" s="82" t="s">
        <v>20971</v>
      </c>
      <c r="BA154" s="82" t="s">
        <v>20971</v>
      </c>
      <c r="BB154" s="82" t="s">
        <v>20971</v>
      </c>
      <c r="BC154" s="82" t="s">
        <v>16927</v>
      </c>
      <c r="BD154" s="82" t="s">
        <v>21066</v>
      </c>
      <c r="BE154" s="77"/>
      <c r="BF154" s="77"/>
      <c r="BG154" s="77"/>
      <c r="BH154" s="77"/>
      <c r="BI154" s="77"/>
    </row>
    <row r="155" spans="1:61" x14ac:dyDescent="0.25">
      <c r="A155" s="62" t="s">
        <v>304</v>
      </c>
      <c r="B155" s="62" t="s">
        <v>304</v>
      </c>
      <c r="C155" s="63"/>
      <c r="D155" s="64"/>
      <c r="E155" s="65"/>
      <c r="F155" s="66"/>
      <c r="G155" s="63"/>
      <c r="H155" s="67"/>
      <c r="I155" s="68"/>
      <c r="J155" s="68"/>
      <c r="K155" s="32"/>
      <c r="L155" s="75">
        <v>155</v>
      </c>
      <c r="M155" s="75"/>
      <c r="N155" s="70"/>
      <c r="O155" s="77" t="s">
        <v>179</v>
      </c>
      <c r="P155" s="79">
        <v>44989.666956018518</v>
      </c>
      <c r="Q155" s="77" t="s">
        <v>1439</v>
      </c>
      <c r="R155" s="77">
        <v>0</v>
      </c>
      <c r="S155" s="77">
        <v>0</v>
      </c>
      <c r="T155" s="77">
        <v>1</v>
      </c>
      <c r="U155" s="77">
        <v>0</v>
      </c>
      <c r="V155" s="77">
        <v>62</v>
      </c>
      <c r="W155" s="82" t="s">
        <v>5366</v>
      </c>
      <c r="X155" s="77"/>
      <c r="Y155" s="77"/>
      <c r="Z155" s="77"/>
      <c r="AA155" s="77" t="s">
        <v>7604</v>
      </c>
      <c r="AB155" s="77" t="s">
        <v>10130</v>
      </c>
      <c r="AC155" s="82" t="s">
        <v>10144</v>
      </c>
      <c r="AD155" s="77" t="s">
        <v>10183</v>
      </c>
      <c r="AE155" s="80" t="str">
        <f>HYPERLINK("https://twitter.com/thebaron___/status/1632048360189308930")</f>
        <v>https://twitter.com/thebaron___/status/1632048360189308930</v>
      </c>
      <c r="AF155" s="79">
        <v>44989.666956018518</v>
      </c>
      <c r="AG155" s="85">
        <v>44989</v>
      </c>
      <c r="AH155" s="82" t="s">
        <v>10351</v>
      </c>
      <c r="AI155" s="77" t="b">
        <v>0</v>
      </c>
      <c r="AJ155" s="77" t="s">
        <v>14005</v>
      </c>
      <c r="AK155" s="77" t="s">
        <v>14033</v>
      </c>
      <c r="AL155" s="77" t="s">
        <v>14035</v>
      </c>
      <c r="AM155" s="77" t="s">
        <v>14047</v>
      </c>
      <c r="AN155" s="77" t="s">
        <v>14084</v>
      </c>
      <c r="AO155" s="77" t="s">
        <v>14122</v>
      </c>
      <c r="AP155" s="77" t="s">
        <v>14149</v>
      </c>
      <c r="AQ155" s="77" t="s">
        <v>14248</v>
      </c>
      <c r="AR155" s="77"/>
      <c r="AS155" s="77"/>
      <c r="AT155" s="77"/>
      <c r="AU155" s="77"/>
      <c r="AV155" s="80" t="str">
        <f>HYPERLINK("https://pbs.twimg.com/media/FqYzVYGXgAMndw3.jpg")</f>
        <v>https://pbs.twimg.com/media/FqYzVYGXgAMndw3.jpg</v>
      </c>
      <c r="AW155" s="82" t="s">
        <v>16928</v>
      </c>
      <c r="AX155" s="82" t="s">
        <v>16928</v>
      </c>
      <c r="AY155" s="77"/>
      <c r="AZ155" s="82" t="s">
        <v>20971</v>
      </c>
      <c r="BA155" s="82" t="s">
        <v>20971</v>
      </c>
      <c r="BB155" s="82" t="s">
        <v>20971</v>
      </c>
      <c r="BC155" s="82" t="s">
        <v>16928</v>
      </c>
      <c r="BD155" s="82" t="s">
        <v>21067</v>
      </c>
      <c r="BE155" s="77"/>
      <c r="BF155" s="77"/>
      <c r="BG155" s="77"/>
      <c r="BH155" s="77"/>
      <c r="BI155" s="77"/>
    </row>
    <row r="156" spans="1:61" x14ac:dyDescent="0.25">
      <c r="A156" s="62" t="s">
        <v>305</v>
      </c>
      <c r="B156" s="62" t="s">
        <v>305</v>
      </c>
      <c r="C156" s="63"/>
      <c r="D156" s="64"/>
      <c r="E156" s="65"/>
      <c r="F156" s="66"/>
      <c r="G156" s="63"/>
      <c r="H156" s="67"/>
      <c r="I156" s="68"/>
      <c r="J156" s="68"/>
      <c r="K156" s="32"/>
      <c r="L156" s="75">
        <v>156</v>
      </c>
      <c r="M156" s="75"/>
      <c r="N156" s="70"/>
      <c r="O156" s="77" t="s">
        <v>179</v>
      </c>
      <c r="P156" s="79">
        <v>45131.987962962965</v>
      </c>
      <c r="Q156" s="77" t="s">
        <v>1440</v>
      </c>
      <c r="R156" s="77">
        <v>0</v>
      </c>
      <c r="S156" s="77">
        <v>0</v>
      </c>
      <c r="T156" s="77">
        <v>0</v>
      </c>
      <c r="U156" s="77">
        <v>0</v>
      </c>
      <c r="V156" s="77">
        <v>63</v>
      </c>
      <c r="W156" s="82" t="s">
        <v>5367</v>
      </c>
      <c r="X156" s="77"/>
      <c r="Y156" s="77"/>
      <c r="Z156" s="77"/>
      <c r="AA156" s="77" t="s">
        <v>7605</v>
      </c>
      <c r="AB156" s="77" t="s">
        <v>10130</v>
      </c>
      <c r="AC156" s="82" t="s">
        <v>10144</v>
      </c>
      <c r="AD156" s="77" t="s">
        <v>10184</v>
      </c>
      <c r="AE156" s="80" t="str">
        <f>HYPERLINK("https://twitter.com/jftips10/status/1683623764343357440")</f>
        <v>https://twitter.com/jftips10/status/1683623764343357440</v>
      </c>
      <c r="AF156" s="79">
        <v>45131.987962962965</v>
      </c>
      <c r="AG156" s="85">
        <v>45131</v>
      </c>
      <c r="AH156" s="82" t="s">
        <v>10352</v>
      </c>
      <c r="AI156" s="77" t="b">
        <v>0</v>
      </c>
      <c r="AJ156" s="77"/>
      <c r="AK156" s="77"/>
      <c r="AL156" s="77"/>
      <c r="AM156" s="77"/>
      <c r="AN156" s="77"/>
      <c r="AO156" s="77"/>
      <c r="AP156" s="77"/>
      <c r="AQ156" s="77" t="s">
        <v>14249</v>
      </c>
      <c r="AR156" s="77"/>
      <c r="AS156" s="77"/>
      <c r="AT156" s="77"/>
      <c r="AU156" s="77"/>
      <c r="AV156" s="80" t="str">
        <f>HYPERLINK("https://pbs.twimg.com/media/F11u5EjXgAE9tf_.jpg")</f>
        <v>https://pbs.twimg.com/media/F11u5EjXgAE9tf_.jpg</v>
      </c>
      <c r="AW156" s="82" t="s">
        <v>16929</v>
      </c>
      <c r="AX156" s="82" t="s">
        <v>16929</v>
      </c>
      <c r="AY156" s="77"/>
      <c r="AZ156" s="82" t="s">
        <v>20971</v>
      </c>
      <c r="BA156" s="82" t="s">
        <v>20971</v>
      </c>
      <c r="BB156" s="82" t="s">
        <v>20971</v>
      </c>
      <c r="BC156" s="82" t="s">
        <v>16929</v>
      </c>
      <c r="BD156" s="82" t="s">
        <v>21068</v>
      </c>
      <c r="BE156" s="77"/>
      <c r="BF156" s="77"/>
      <c r="BG156" s="77"/>
      <c r="BH156" s="77"/>
      <c r="BI156" s="77"/>
    </row>
    <row r="157" spans="1:61" x14ac:dyDescent="0.25">
      <c r="A157" s="62" t="s">
        <v>306</v>
      </c>
      <c r="B157" s="62" t="s">
        <v>306</v>
      </c>
      <c r="C157" s="63"/>
      <c r="D157" s="64"/>
      <c r="E157" s="65"/>
      <c r="F157" s="66"/>
      <c r="G157" s="63"/>
      <c r="H157" s="67"/>
      <c r="I157" s="68"/>
      <c r="J157" s="68"/>
      <c r="K157" s="32"/>
      <c r="L157" s="75">
        <v>157</v>
      </c>
      <c r="M157" s="75"/>
      <c r="N157" s="70"/>
      <c r="O157" s="77" t="s">
        <v>179</v>
      </c>
      <c r="P157" s="79">
        <v>45004.534201388888</v>
      </c>
      <c r="Q157" s="77" t="s">
        <v>1441</v>
      </c>
      <c r="R157" s="77">
        <v>0</v>
      </c>
      <c r="S157" s="77">
        <v>0</v>
      </c>
      <c r="T157" s="77">
        <v>0</v>
      </c>
      <c r="U157" s="77">
        <v>0</v>
      </c>
      <c r="V157" s="77">
        <v>17</v>
      </c>
      <c r="W157" s="82" t="s">
        <v>5368</v>
      </c>
      <c r="X157" s="80" t="str">
        <f>HYPERLINK("https://www.instagram.com/p/Cp-JkajgbtP/?igshid=YTgzYjQ4ZTY=")</f>
        <v>https://www.instagram.com/p/Cp-JkajgbtP/?igshid=YTgzYjQ4ZTY=</v>
      </c>
      <c r="Y157" s="77" t="s">
        <v>7250</v>
      </c>
      <c r="Z157" s="77"/>
      <c r="AA157" s="77"/>
      <c r="AB157" s="77"/>
      <c r="AC157" s="82" t="s">
        <v>10148</v>
      </c>
      <c r="AD157" s="77" t="s">
        <v>10184</v>
      </c>
      <c r="AE157" s="80" t="str">
        <f>HYPERLINK("https://twitter.com/wesleycosta1972/status/1637436066788519938")</f>
        <v>https://twitter.com/wesleycosta1972/status/1637436066788519938</v>
      </c>
      <c r="AF157" s="79">
        <v>45004.534201388888</v>
      </c>
      <c r="AG157" s="85">
        <v>45004</v>
      </c>
      <c r="AH157" s="82" t="s">
        <v>10353</v>
      </c>
      <c r="AI157" s="77" t="b">
        <v>0</v>
      </c>
      <c r="AJ157" s="77"/>
      <c r="AK157" s="77"/>
      <c r="AL157" s="77"/>
      <c r="AM157" s="77"/>
      <c r="AN157" s="77"/>
      <c r="AO157" s="77"/>
      <c r="AP157" s="77"/>
      <c r="AQ157" s="77"/>
      <c r="AR157" s="77"/>
      <c r="AS157" s="77"/>
      <c r="AT157" s="77"/>
      <c r="AU157" s="77"/>
      <c r="AV157" s="80" t="str">
        <f>HYPERLINK("https://pbs.twimg.com/profile_images/1612220534338584579/0lgaGrpH_normal.jpg")</f>
        <v>https://pbs.twimg.com/profile_images/1612220534338584579/0lgaGrpH_normal.jpg</v>
      </c>
      <c r="AW157" s="82" t="s">
        <v>16930</v>
      </c>
      <c r="AX157" s="82" t="s">
        <v>16930</v>
      </c>
      <c r="AY157" s="77"/>
      <c r="AZ157" s="82" t="s">
        <v>20971</v>
      </c>
      <c r="BA157" s="82" t="s">
        <v>20971</v>
      </c>
      <c r="BB157" s="82" t="s">
        <v>20971</v>
      </c>
      <c r="BC157" s="82" t="s">
        <v>16930</v>
      </c>
      <c r="BD157" s="82" t="s">
        <v>21069</v>
      </c>
      <c r="BE157" s="77"/>
      <c r="BF157" s="77"/>
      <c r="BG157" s="77"/>
      <c r="BH157" s="77"/>
      <c r="BI157" s="77"/>
    </row>
    <row r="158" spans="1:61" x14ac:dyDescent="0.25">
      <c r="A158" s="62" t="s">
        <v>306</v>
      </c>
      <c r="B158" s="62" t="s">
        <v>306</v>
      </c>
      <c r="C158" s="63"/>
      <c r="D158" s="64"/>
      <c r="E158" s="65"/>
      <c r="F158" s="66"/>
      <c r="G158" s="63"/>
      <c r="H158" s="67"/>
      <c r="I158" s="68"/>
      <c r="J158" s="68"/>
      <c r="K158" s="32"/>
      <c r="L158" s="75">
        <v>158</v>
      </c>
      <c r="M158" s="75"/>
      <c r="N158" s="70"/>
      <c r="O158" s="77" t="s">
        <v>179</v>
      </c>
      <c r="P158" s="79">
        <v>45004.531423611108</v>
      </c>
      <c r="Q158" s="77" t="s">
        <v>1442</v>
      </c>
      <c r="R158" s="77">
        <v>0</v>
      </c>
      <c r="S158" s="77">
        <v>0</v>
      </c>
      <c r="T158" s="77">
        <v>0</v>
      </c>
      <c r="U158" s="77">
        <v>0</v>
      </c>
      <c r="V158" s="77">
        <v>17</v>
      </c>
      <c r="W158" s="82" t="s">
        <v>5369</v>
      </c>
      <c r="X158" s="80" t="str">
        <f>HYPERLINK("https://www.instagram.com/p/Cp-JHUbgh1G/?igshid=YTgzYjQ4ZTY=")</f>
        <v>https://www.instagram.com/p/Cp-JHUbgh1G/?igshid=YTgzYjQ4ZTY=</v>
      </c>
      <c r="Y158" s="77" t="s">
        <v>7250</v>
      </c>
      <c r="Z158" s="77"/>
      <c r="AA158" s="77"/>
      <c r="AB158" s="77"/>
      <c r="AC158" s="82" t="s">
        <v>10148</v>
      </c>
      <c r="AD158" s="77" t="s">
        <v>10184</v>
      </c>
      <c r="AE158" s="80" t="str">
        <f>HYPERLINK("https://twitter.com/wesleycosta1972/status/1637435062378696704")</f>
        <v>https://twitter.com/wesleycosta1972/status/1637435062378696704</v>
      </c>
      <c r="AF158" s="79">
        <v>45004.531423611108</v>
      </c>
      <c r="AG158" s="85">
        <v>45004</v>
      </c>
      <c r="AH158" s="82" t="s">
        <v>10354</v>
      </c>
      <c r="AI158" s="77" t="b">
        <v>0</v>
      </c>
      <c r="AJ158" s="77"/>
      <c r="AK158" s="77"/>
      <c r="AL158" s="77"/>
      <c r="AM158" s="77"/>
      <c r="AN158" s="77"/>
      <c r="AO158" s="77"/>
      <c r="AP158" s="77"/>
      <c r="AQ158" s="77"/>
      <c r="AR158" s="77"/>
      <c r="AS158" s="77"/>
      <c r="AT158" s="77"/>
      <c r="AU158" s="77"/>
      <c r="AV158" s="80" t="str">
        <f>HYPERLINK("https://pbs.twimg.com/profile_images/1612220534338584579/0lgaGrpH_normal.jpg")</f>
        <v>https://pbs.twimg.com/profile_images/1612220534338584579/0lgaGrpH_normal.jpg</v>
      </c>
      <c r="AW158" s="82" t="s">
        <v>16931</v>
      </c>
      <c r="AX158" s="82" t="s">
        <v>16931</v>
      </c>
      <c r="AY158" s="77"/>
      <c r="AZ158" s="82" t="s">
        <v>20971</v>
      </c>
      <c r="BA158" s="82" t="s">
        <v>20971</v>
      </c>
      <c r="BB158" s="82" t="s">
        <v>20971</v>
      </c>
      <c r="BC158" s="82" t="s">
        <v>16931</v>
      </c>
      <c r="BD158" s="82" t="s">
        <v>21069</v>
      </c>
      <c r="BE158" s="77"/>
      <c r="BF158" s="77"/>
      <c r="BG158" s="77"/>
      <c r="BH158" s="77"/>
      <c r="BI158" s="77"/>
    </row>
    <row r="159" spans="1:61" x14ac:dyDescent="0.25">
      <c r="A159" s="62" t="s">
        <v>306</v>
      </c>
      <c r="B159" s="62" t="s">
        <v>306</v>
      </c>
      <c r="C159" s="63"/>
      <c r="D159" s="64"/>
      <c r="E159" s="65"/>
      <c r="F159" s="66"/>
      <c r="G159" s="63"/>
      <c r="H159" s="67"/>
      <c r="I159" s="68"/>
      <c r="J159" s="68"/>
      <c r="K159" s="32"/>
      <c r="L159" s="75">
        <v>159</v>
      </c>
      <c r="M159" s="75"/>
      <c r="N159" s="70"/>
      <c r="O159" s="77" t="s">
        <v>179</v>
      </c>
      <c r="P159" s="79">
        <v>45004.531365740739</v>
      </c>
      <c r="Q159" s="77" t="s">
        <v>1443</v>
      </c>
      <c r="R159" s="77">
        <v>0</v>
      </c>
      <c r="S159" s="77">
        <v>0</v>
      </c>
      <c r="T159" s="77">
        <v>0</v>
      </c>
      <c r="U159" s="77">
        <v>0</v>
      </c>
      <c r="V159" s="77">
        <v>13</v>
      </c>
      <c r="W159" s="82" t="s">
        <v>5369</v>
      </c>
      <c r="X159" s="80" t="str">
        <f>HYPERLINK("https://www.instagram.com/p/Cp-JGtmO-HM/?igshid=YTgzYjQ4ZTY=")</f>
        <v>https://www.instagram.com/p/Cp-JGtmO-HM/?igshid=YTgzYjQ4ZTY=</v>
      </c>
      <c r="Y159" s="77" t="s">
        <v>7250</v>
      </c>
      <c r="Z159" s="77"/>
      <c r="AA159" s="77"/>
      <c r="AB159" s="77"/>
      <c r="AC159" s="82" t="s">
        <v>10148</v>
      </c>
      <c r="AD159" s="77" t="s">
        <v>10184</v>
      </c>
      <c r="AE159" s="80" t="str">
        <f>HYPERLINK("https://twitter.com/wesleycosta1972/status/1637435041784512515")</f>
        <v>https://twitter.com/wesleycosta1972/status/1637435041784512515</v>
      </c>
      <c r="AF159" s="79">
        <v>45004.531365740739</v>
      </c>
      <c r="AG159" s="85">
        <v>45004</v>
      </c>
      <c r="AH159" s="82" t="s">
        <v>10355</v>
      </c>
      <c r="AI159" s="77" t="b">
        <v>0</v>
      </c>
      <c r="AJ159" s="77"/>
      <c r="AK159" s="77"/>
      <c r="AL159" s="77"/>
      <c r="AM159" s="77"/>
      <c r="AN159" s="77"/>
      <c r="AO159" s="77"/>
      <c r="AP159" s="77"/>
      <c r="AQ159" s="77"/>
      <c r="AR159" s="77"/>
      <c r="AS159" s="77"/>
      <c r="AT159" s="77"/>
      <c r="AU159" s="77"/>
      <c r="AV159" s="80" t="str">
        <f>HYPERLINK("https://pbs.twimg.com/profile_images/1612220534338584579/0lgaGrpH_normal.jpg")</f>
        <v>https://pbs.twimg.com/profile_images/1612220534338584579/0lgaGrpH_normal.jpg</v>
      </c>
      <c r="AW159" s="82" t="s">
        <v>16932</v>
      </c>
      <c r="AX159" s="82" t="s">
        <v>16932</v>
      </c>
      <c r="AY159" s="77"/>
      <c r="AZ159" s="82" t="s">
        <v>20971</v>
      </c>
      <c r="BA159" s="82" t="s">
        <v>20971</v>
      </c>
      <c r="BB159" s="82" t="s">
        <v>20971</v>
      </c>
      <c r="BC159" s="82" t="s">
        <v>16932</v>
      </c>
      <c r="BD159" s="82" t="s">
        <v>21069</v>
      </c>
      <c r="BE159" s="77"/>
      <c r="BF159" s="77"/>
      <c r="BG159" s="77"/>
      <c r="BH159" s="77"/>
      <c r="BI159" s="77"/>
    </row>
    <row r="160" spans="1:61" x14ac:dyDescent="0.25">
      <c r="A160" s="62" t="s">
        <v>307</v>
      </c>
      <c r="B160" s="62" t="s">
        <v>307</v>
      </c>
      <c r="C160" s="63"/>
      <c r="D160" s="64"/>
      <c r="E160" s="65"/>
      <c r="F160" s="66"/>
      <c r="G160" s="63"/>
      <c r="H160" s="67"/>
      <c r="I160" s="68"/>
      <c r="J160" s="68"/>
      <c r="K160" s="32"/>
      <c r="L160" s="75">
        <v>160</v>
      </c>
      <c r="M160" s="75"/>
      <c r="N160" s="70"/>
      <c r="O160" s="77" t="s">
        <v>179</v>
      </c>
      <c r="P160" s="79">
        <v>44960.743171296293</v>
      </c>
      <c r="Q160" s="77" t="s">
        <v>1444</v>
      </c>
      <c r="R160" s="77">
        <v>0</v>
      </c>
      <c r="S160" s="77">
        <v>0</v>
      </c>
      <c r="T160" s="77">
        <v>0</v>
      </c>
      <c r="U160" s="77">
        <v>0</v>
      </c>
      <c r="V160" s="77">
        <v>107</v>
      </c>
      <c r="W160" s="82" t="s">
        <v>5370</v>
      </c>
      <c r="X160" s="77"/>
      <c r="Y160" s="77"/>
      <c r="Z160" s="77"/>
      <c r="AA160" s="77" t="s">
        <v>7606</v>
      </c>
      <c r="AB160" s="77" t="s">
        <v>10129</v>
      </c>
      <c r="AC160" s="82" t="s">
        <v>10146</v>
      </c>
      <c r="AD160" s="77" t="s">
        <v>10184</v>
      </c>
      <c r="AE160" s="80" t="str">
        <f>HYPERLINK("https://twitter.com/suelenmaededois/status/1621566732090351620")</f>
        <v>https://twitter.com/suelenmaededois/status/1621566732090351620</v>
      </c>
      <c r="AF160" s="79">
        <v>44960.743171296293</v>
      </c>
      <c r="AG160" s="85">
        <v>44960</v>
      </c>
      <c r="AH160" s="82" t="s">
        <v>10356</v>
      </c>
      <c r="AI160" s="77" t="b">
        <v>0</v>
      </c>
      <c r="AJ160" s="77"/>
      <c r="AK160" s="77"/>
      <c r="AL160" s="77"/>
      <c r="AM160" s="77"/>
      <c r="AN160" s="77"/>
      <c r="AO160" s="77"/>
      <c r="AP160" s="77"/>
      <c r="AQ160" s="77" t="s">
        <v>14250</v>
      </c>
      <c r="AR160" s="77">
        <v>17633</v>
      </c>
      <c r="AS160" s="77"/>
      <c r="AT160" s="77"/>
      <c r="AU160" s="77"/>
      <c r="AV160" s="80" t="str">
        <f>HYPERLINK("https://pbs.twimg.com/ext_tw_video_thumb/1621566255416152066/pu/img/_h5-FF2XyNcqoeVM.jpg")</f>
        <v>https://pbs.twimg.com/ext_tw_video_thumb/1621566255416152066/pu/img/_h5-FF2XyNcqoeVM.jpg</v>
      </c>
      <c r="AW160" s="82" t="s">
        <v>16933</v>
      </c>
      <c r="AX160" s="82" t="s">
        <v>16933</v>
      </c>
      <c r="AY160" s="77"/>
      <c r="AZ160" s="82" t="s">
        <v>20971</v>
      </c>
      <c r="BA160" s="82" t="s">
        <v>20971</v>
      </c>
      <c r="BB160" s="82" t="s">
        <v>20971</v>
      </c>
      <c r="BC160" s="82" t="s">
        <v>16933</v>
      </c>
      <c r="BD160" s="82" t="s">
        <v>21070</v>
      </c>
      <c r="BE160" s="77"/>
      <c r="BF160" s="77"/>
      <c r="BG160" s="77"/>
      <c r="BH160" s="77"/>
      <c r="BI160" s="77"/>
    </row>
    <row r="161" spans="1:61" x14ac:dyDescent="0.25">
      <c r="A161" s="62" t="s">
        <v>308</v>
      </c>
      <c r="B161" s="62" t="s">
        <v>308</v>
      </c>
      <c r="C161" s="63"/>
      <c r="D161" s="64"/>
      <c r="E161" s="65"/>
      <c r="F161" s="66"/>
      <c r="G161" s="63"/>
      <c r="H161" s="67"/>
      <c r="I161" s="68"/>
      <c r="J161" s="68"/>
      <c r="K161" s="32"/>
      <c r="L161" s="75">
        <v>161</v>
      </c>
      <c r="M161" s="75"/>
      <c r="N161" s="70"/>
      <c r="O161" s="77" t="s">
        <v>179</v>
      </c>
      <c r="P161" s="79">
        <v>44997.884872685187</v>
      </c>
      <c r="Q161" s="77" t="s">
        <v>1445</v>
      </c>
      <c r="R161" s="77">
        <v>0</v>
      </c>
      <c r="S161" s="77">
        <v>0</v>
      </c>
      <c r="T161" s="77">
        <v>0</v>
      </c>
      <c r="U161" s="77">
        <v>0</v>
      </c>
      <c r="V161" s="77">
        <v>78</v>
      </c>
      <c r="W161" s="82" t="s">
        <v>5371</v>
      </c>
      <c r="X161" s="80" t="str">
        <f>HYPERLINK("https://youtu.be/qfCGr24K9kw")</f>
        <v>https://youtu.be/qfCGr24K9kw</v>
      </c>
      <c r="Y161" s="77" t="s">
        <v>7248</v>
      </c>
      <c r="Z161" s="77"/>
      <c r="AA161" s="77"/>
      <c r="AB161" s="77"/>
      <c r="AC161" s="82" t="s">
        <v>10144</v>
      </c>
      <c r="AD161" s="77" t="s">
        <v>10184</v>
      </c>
      <c r="AE161" s="80" t="str">
        <f>HYPERLINK("https://twitter.com/vamosweb/status/1635026433017020416")</f>
        <v>https://twitter.com/vamosweb/status/1635026433017020416</v>
      </c>
      <c r="AF161" s="79">
        <v>44997.884872685187</v>
      </c>
      <c r="AG161" s="85">
        <v>44997</v>
      </c>
      <c r="AH161" s="82" t="s">
        <v>10357</v>
      </c>
      <c r="AI161" s="77" t="b">
        <v>0</v>
      </c>
      <c r="AJ161" s="77"/>
      <c r="AK161" s="77"/>
      <c r="AL161" s="77"/>
      <c r="AM161" s="77"/>
      <c r="AN161" s="77"/>
      <c r="AO161" s="77"/>
      <c r="AP161" s="77"/>
      <c r="AQ161" s="77"/>
      <c r="AR161" s="77"/>
      <c r="AS161" s="77"/>
      <c r="AT161" s="77"/>
      <c r="AU161" s="77"/>
      <c r="AV161" s="80" t="str">
        <f>HYPERLINK("https://pbs.twimg.com/profile_images/1031386629502640129/bOvQT27J_normal.jpg")</f>
        <v>https://pbs.twimg.com/profile_images/1031386629502640129/bOvQT27J_normal.jpg</v>
      </c>
      <c r="AW161" s="82" t="s">
        <v>16934</v>
      </c>
      <c r="AX161" s="82" t="s">
        <v>16934</v>
      </c>
      <c r="AY161" s="77"/>
      <c r="AZ161" s="82" t="s">
        <v>20971</v>
      </c>
      <c r="BA161" s="82" t="s">
        <v>20971</v>
      </c>
      <c r="BB161" s="82" t="s">
        <v>20971</v>
      </c>
      <c r="BC161" s="82" t="s">
        <v>16934</v>
      </c>
      <c r="BD161" s="82" t="s">
        <v>21071</v>
      </c>
      <c r="BE161" s="77"/>
      <c r="BF161" s="77"/>
      <c r="BG161" s="77"/>
      <c r="BH161" s="77"/>
      <c r="BI161" s="77"/>
    </row>
    <row r="162" spans="1:61" x14ac:dyDescent="0.25">
      <c r="A162" s="62" t="s">
        <v>308</v>
      </c>
      <c r="B162" s="62" t="s">
        <v>308</v>
      </c>
      <c r="C162" s="63"/>
      <c r="D162" s="64"/>
      <c r="E162" s="65"/>
      <c r="F162" s="66"/>
      <c r="G162" s="63"/>
      <c r="H162" s="67"/>
      <c r="I162" s="68"/>
      <c r="J162" s="68"/>
      <c r="K162" s="32"/>
      <c r="L162" s="75">
        <v>162</v>
      </c>
      <c r="M162" s="75"/>
      <c r="N162" s="70"/>
      <c r="O162" s="77" t="s">
        <v>179</v>
      </c>
      <c r="P162" s="79">
        <v>45058.119143518517</v>
      </c>
      <c r="Q162" s="77" t="s">
        <v>1446</v>
      </c>
      <c r="R162" s="77">
        <v>0</v>
      </c>
      <c r="S162" s="77">
        <v>0</v>
      </c>
      <c r="T162" s="77">
        <v>0</v>
      </c>
      <c r="U162" s="77">
        <v>0</v>
      </c>
      <c r="V162" s="77">
        <v>32</v>
      </c>
      <c r="W162" s="82" t="s">
        <v>5372</v>
      </c>
      <c r="X162" s="80" t="str">
        <f>HYPERLINK("https://youtu.be/181_5GXu9NY")</f>
        <v>https://youtu.be/181_5GXu9NY</v>
      </c>
      <c r="Y162" s="77" t="s">
        <v>7248</v>
      </c>
      <c r="Z162" s="77"/>
      <c r="AA162" s="77"/>
      <c r="AB162" s="77"/>
      <c r="AC162" s="82" t="s">
        <v>10144</v>
      </c>
      <c r="AD162" s="77" t="s">
        <v>10185</v>
      </c>
      <c r="AE162" s="80" t="str">
        <f>HYPERLINK("https://twitter.com/vamosweb/status/1656854602984177667")</f>
        <v>https://twitter.com/vamosweb/status/1656854602984177667</v>
      </c>
      <c r="AF162" s="79">
        <v>45058.119143518517</v>
      </c>
      <c r="AG162" s="85">
        <v>45058</v>
      </c>
      <c r="AH162" s="82" t="s">
        <v>10358</v>
      </c>
      <c r="AI162" s="77" t="b">
        <v>0</v>
      </c>
      <c r="AJ162" s="77"/>
      <c r="AK162" s="77"/>
      <c r="AL162" s="77"/>
      <c r="AM162" s="77"/>
      <c r="AN162" s="77"/>
      <c r="AO162" s="77"/>
      <c r="AP162" s="77"/>
      <c r="AQ162" s="77"/>
      <c r="AR162" s="77"/>
      <c r="AS162" s="77"/>
      <c r="AT162" s="77"/>
      <c r="AU162" s="77"/>
      <c r="AV162" s="80" t="str">
        <f>HYPERLINK("https://pbs.twimg.com/profile_images/1031386629502640129/bOvQT27J_normal.jpg")</f>
        <v>https://pbs.twimg.com/profile_images/1031386629502640129/bOvQT27J_normal.jpg</v>
      </c>
      <c r="AW162" s="82" t="s">
        <v>16935</v>
      </c>
      <c r="AX162" s="82" t="s">
        <v>16935</v>
      </c>
      <c r="AY162" s="77"/>
      <c r="AZ162" s="82" t="s">
        <v>20971</v>
      </c>
      <c r="BA162" s="82" t="s">
        <v>20971</v>
      </c>
      <c r="BB162" s="82" t="s">
        <v>20971</v>
      </c>
      <c r="BC162" s="82" t="s">
        <v>16935</v>
      </c>
      <c r="BD162" s="82" t="s">
        <v>21071</v>
      </c>
      <c r="BE162" s="77"/>
      <c r="BF162" s="77"/>
      <c r="BG162" s="77"/>
      <c r="BH162" s="77"/>
      <c r="BI162" s="77"/>
    </row>
    <row r="163" spans="1:61" x14ac:dyDescent="0.25">
      <c r="A163" s="62" t="s">
        <v>308</v>
      </c>
      <c r="B163" s="62" t="s">
        <v>308</v>
      </c>
      <c r="C163" s="63"/>
      <c r="D163" s="64"/>
      <c r="E163" s="65"/>
      <c r="F163" s="66"/>
      <c r="G163" s="63"/>
      <c r="H163" s="67"/>
      <c r="I163" s="68"/>
      <c r="J163" s="68"/>
      <c r="K163" s="32"/>
      <c r="L163" s="75">
        <v>163</v>
      </c>
      <c r="M163" s="75"/>
      <c r="N163" s="70"/>
      <c r="O163" s="77" t="s">
        <v>179</v>
      </c>
      <c r="P163" s="79">
        <v>45053.094270833331</v>
      </c>
      <c r="Q163" s="77" t="s">
        <v>1447</v>
      </c>
      <c r="R163" s="77">
        <v>0</v>
      </c>
      <c r="S163" s="77">
        <v>0</v>
      </c>
      <c r="T163" s="77">
        <v>0</v>
      </c>
      <c r="U163" s="77">
        <v>0</v>
      </c>
      <c r="V163" s="77">
        <v>15</v>
      </c>
      <c r="W163" s="82" t="s">
        <v>5236</v>
      </c>
      <c r="X163" s="80" t="str">
        <f>HYPERLINK("https://vamosprosperarnaweb.com.br/desafio-das-hospedagens-quem-e-a-melhor-do-mercado/")</f>
        <v>https://vamosprosperarnaweb.com.br/desafio-das-hospedagens-quem-e-a-melhor-do-mercado/</v>
      </c>
      <c r="Y163" s="77" t="s">
        <v>7252</v>
      </c>
      <c r="Z163" s="77"/>
      <c r="AA163" s="77"/>
      <c r="AB163" s="77"/>
      <c r="AC163" s="82" t="s">
        <v>10146</v>
      </c>
      <c r="AD163" s="77" t="s">
        <v>10184</v>
      </c>
      <c r="AE163" s="80" t="str">
        <f>HYPERLINK("https://twitter.com/vamosweb/status/1655033646586159104")</f>
        <v>https://twitter.com/vamosweb/status/1655033646586159104</v>
      </c>
      <c r="AF163" s="79">
        <v>45053.094270833331</v>
      </c>
      <c r="AG163" s="85">
        <v>45053</v>
      </c>
      <c r="AH163" s="82" t="s">
        <v>10359</v>
      </c>
      <c r="AI163" s="77" t="b">
        <v>0</v>
      </c>
      <c r="AJ163" s="77"/>
      <c r="AK163" s="77"/>
      <c r="AL163" s="77"/>
      <c r="AM163" s="77"/>
      <c r="AN163" s="77"/>
      <c r="AO163" s="77"/>
      <c r="AP163" s="77"/>
      <c r="AQ163" s="77"/>
      <c r="AR163" s="77"/>
      <c r="AS163" s="77"/>
      <c r="AT163" s="77"/>
      <c r="AU163" s="77"/>
      <c r="AV163" s="80" t="str">
        <f>HYPERLINK("https://pbs.twimg.com/profile_images/1031386629502640129/bOvQT27J_normal.jpg")</f>
        <v>https://pbs.twimg.com/profile_images/1031386629502640129/bOvQT27J_normal.jpg</v>
      </c>
      <c r="AW163" s="82" t="s">
        <v>16936</v>
      </c>
      <c r="AX163" s="82" t="s">
        <v>16936</v>
      </c>
      <c r="AY163" s="77"/>
      <c r="AZ163" s="82" t="s">
        <v>20971</v>
      </c>
      <c r="BA163" s="82" t="s">
        <v>20971</v>
      </c>
      <c r="BB163" s="82" t="s">
        <v>20971</v>
      </c>
      <c r="BC163" s="82" t="s">
        <v>16936</v>
      </c>
      <c r="BD163" s="82" t="s">
        <v>21071</v>
      </c>
      <c r="BE163" s="77"/>
      <c r="BF163" s="77"/>
      <c r="BG163" s="77"/>
      <c r="BH163" s="77"/>
      <c r="BI163" s="77"/>
    </row>
    <row r="164" spans="1:61" x14ac:dyDescent="0.25">
      <c r="A164" s="62" t="s">
        <v>309</v>
      </c>
      <c r="B164" s="62" t="s">
        <v>309</v>
      </c>
      <c r="C164" s="63"/>
      <c r="D164" s="64"/>
      <c r="E164" s="65"/>
      <c r="F164" s="66"/>
      <c r="G164" s="63"/>
      <c r="H164" s="67"/>
      <c r="I164" s="68"/>
      <c r="J164" s="68"/>
      <c r="K164" s="32"/>
      <c r="L164" s="75">
        <v>164</v>
      </c>
      <c r="M164" s="75"/>
      <c r="N164" s="70"/>
      <c r="O164" s="77" t="s">
        <v>179</v>
      </c>
      <c r="P164" s="79">
        <v>44970.58697916667</v>
      </c>
      <c r="Q164" s="77" t="s">
        <v>1448</v>
      </c>
      <c r="R164" s="77">
        <v>0</v>
      </c>
      <c r="S164" s="77">
        <v>0</v>
      </c>
      <c r="T164" s="77">
        <v>0</v>
      </c>
      <c r="U164" s="77">
        <v>0</v>
      </c>
      <c r="V164" s="77">
        <v>33</v>
      </c>
      <c r="W164" s="82" t="s">
        <v>5373</v>
      </c>
      <c r="X164" s="80" t="str">
        <f>HYPERLINK("http://www.angra2reis.com.br")</f>
        <v>http://www.angra2reis.com.br</v>
      </c>
      <c r="Y164" s="77" t="s">
        <v>7252</v>
      </c>
      <c r="Z164" s="77"/>
      <c r="AA164" s="77" t="s">
        <v>7607</v>
      </c>
      <c r="AB164" s="77" t="s">
        <v>10130</v>
      </c>
      <c r="AC164" s="82" t="s">
        <v>10144</v>
      </c>
      <c r="AD164" s="77" t="s">
        <v>10184</v>
      </c>
      <c r="AE164" s="80" t="str">
        <f>HYPERLINK("https://twitter.com/angra2reiscombr/status/1625134005921218563")</f>
        <v>https://twitter.com/angra2reiscombr/status/1625134005921218563</v>
      </c>
      <c r="AF164" s="79">
        <v>44970.58697916667</v>
      </c>
      <c r="AG164" s="85">
        <v>44970</v>
      </c>
      <c r="AH164" s="82" t="s">
        <v>10360</v>
      </c>
      <c r="AI164" s="77" t="b">
        <v>0</v>
      </c>
      <c r="AJ164" s="77"/>
      <c r="AK164" s="77"/>
      <c r="AL164" s="77"/>
      <c r="AM164" s="77"/>
      <c r="AN164" s="77"/>
      <c r="AO164" s="77"/>
      <c r="AP164" s="77"/>
      <c r="AQ164" s="77" t="s">
        <v>14251</v>
      </c>
      <c r="AR164" s="77"/>
      <c r="AS164" s="77"/>
      <c r="AT164" s="77"/>
      <c r="AU164" s="77"/>
      <c r="AV164" s="80" t="str">
        <f>HYPERLINK("https://pbs.twimg.com/media/Fo2iw_rWAAc1FMJ.jpg")</f>
        <v>https://pbs.twimg.com/media/Fo2iw_rWAAc1FMJ.jpg</v>
      </c>
      <c r="AW164" s="82" t="s">
        <v>16937</v>
      </c>
      <c r="AX164" s="82" t="s">
        <v>16937</v>
      </c>
      <c r="AY164" s="77"/>
      <c r="AZ164" s="82" t="s">
        <v>20971</v>
      </c>
      <c r="BA164" s="82" t="s">
        <v>20971</v>
      </c>
      <c r="BB164" s="82" t="s">
        <v>20971</v>
      </c>
      <c r="BC164" s="82" t="s">
        <v>16937</v>
      </c>
      <c r="BD164" s="82" t="s">
        <v>21072</v>
      </c>
      <c r="BE164" s="77"/>
      <c r="BF164" s="77"/>
      <c r="BG164" s="77"/>
      <c r="BH164" s="77"/>
      <c r="BI164" s="77"/>
    </row>
    <row r="165" spans="1:61" x14ac:dyDescent="0.25">
      <c r="A165" s="62" t="s">
        <v>310</v>
      </c>
      <c r="B165" s="62" t="s">
        <v>310</v>
      </c>
      <c r="C165" s="63"/>
      <c r="D165" s="64"/>
      <c r="E165" s="65"/>
      <c r="F165" s="66"/>
      <c r="G165" s="63"/>
      <c r="H165" s="67"/>
      <c r="I165" s="68"/>
      <c r="J165" s="68"/>
      <c r="K165" s="32"/>
      <c r="L165" s="75">
        <v>165</v>
      </c>
      <c r="M165" s="75"/>
      <c r="N165" s="70"/>
      <c r="O165" s="77" t="s">
        <v>179</v>
      </c>
      <c r="P165" s="79">
        <v>44987.8590625</v>
      </c>
      <c r="Q165" s="77" t="s">
        <v>1449</v>
      </c>
      <c r="R165" s="77">
        <v>0</v>
      </c>
      <c r="S165" s="77">
        <v>0</v>
      </c>
      <c r="T165" s="77">
        <v>0</v>
      </c>
      <c r="U165" s="77">
        <v>0</v>
      </c>
      <c r="V165" s="77">
        <v>230</v>
      </c>
      <c r="W165" s="82" t="s">
        <v>5374</v>
      </c>
      <c r="X165" s="77" t="s">
        <v>7188</v>
      </c>
      <c r="Y165" s="77" t="s">
        <v>7276</v>
      </c>
      <c r="Z165" s="77"/>
      <c r="AA165" s="77"/>
      <c r="AB165" s="77"/>
      <c r="AC165" s="82" t="s">
        <v>10146</v>
      </c>
      <c r="AD165" s="77" t="s">
        <v>10184</v>
      </c>
      <c r="AE165" s="80" t="str">
        <f>HYPERLINK("https://twitter.com/jonasfershut/status/1631393202321105068")</f>
        <v>https://twitter.com/jonasfershut/status/1631393202321105068</v>
      </c>
      <c r="AF165" s="79">
        <v>44987.8590625</v>
      </c>
      <c r="AG165" s="85">
        <v>44987</v>
      </c>
      <c r="AH165" s="82" t="s">
        <v>10361</v>
      </c>
      <c r="AI165" s="77" t="b">
        <v>0</v>
      </c>
      <c r="AJ165" s="77"/>
      <c r="AK165" s="77"/>
      <c r="AL165" s="77"/>
      <c r="AM165" s="77"/>
      <c r="AN165" s="77"/>
      <c r="AO165" s="77"/>
      <c r="AP165" s="77"/>
      <c r="AQ165" s="77"/>
      <c r="AR165" s="77"/>
      <c r="AS165" s="77"/>
      <c r="AT165" s="77"/>
      <c r="AU165" s="77"/>
      <c r="AV165" s="80" t="str">
        <f>HYPERLINK("https://pbs.twimg.com/profile_images/1388278417058115587/u-sRgaqa_normal.jpg")</f>
        <v>https://pbs.twimg.com/profile_images/1388278417058115587/u-sRgaqa_normal.jpg</v>
      </c>
      <c r="AW165" s="82" t="s">
        <v>16938</v>
      </c>
      <c r="AX165" s="82" t="s">
        <v>16938</v>
      </c>
      <c r="AY165" s="77"/>
      <c r="AZ165" s="82" t="s">
        <v>20971</v>
      </c>
      <c r="BA165" s="82" t="s">
        <v>20971</v>
      </c>
      <c r="BB165" s="82" t="s">
        <v>20971</v>
      </c>
      <c r="BC165" s="82" t="s">
        <v>16938</v>
      </c>
      <c r="BD165" s="82" t="s">
        <v>21073</v>
      </c>
      <c r="BE165" s="77"/>
      <c r="BF165" s="77"/>
      <c r="BG165" s="77"/>
      <c r="BH165" s="77"/>
      <c r="BI165" s="77"/>
    </row>
    <row r="166" spans="1:61" x14ac:dyDescent="0.25">
      <c r="A166" s="62" t="s">
        <v>310</v>
      </c>
      <c r="B166" s="62" t="s">
        <v>310</v>
      </c>
      <c r="C166" s="63"/>
      <c r="D166" s="64"/>
      <c r="E166" s="65"/>
      <c r="F166" s="66"/>
      <c r="G166" s="63"/>
      <c r="H166" s="67"/>
      <c r="I166" s="68"/>
      <c r="J166" s="68"/>
      <c r="K166" s="32"/>
      <c r="L166" s="75">
        <v>166</v>
      </c>
      <c r="M166" s="75"/>
      <c r="N166" s="70"/>
      <c r="O166" s="77" t="s">
        <v>179</v>
      </c>
      <c r="P166" s="79">
        <v>44986.743171296293</v>
      </c>
      <c r="Q166" s="77" t="s">
        <v>1450</v>
      </c>
      <c r="R166" s="77">
        <v>0</v>
      </c>
      <c r="S166" s="77">
        <v>0</v>
      </c>
      <c r="T166" s="77">
        <v>0</v>
      </c>
      <c r="U166" s="77">
        <v>0</v>
      </c>
      <c r="V166" s="77">
        <v>254</v>
      </c>
      <c r="W166" s="82" t="s">
        <v>5375</v>
      </c>
      <c r="X166" s="80" t="str">
        <f>HYPERLINK("https://bc.ai/i-brlc6lh4kex-n/?p=https://raf.bc.ai/e")</f>
        <v>https://bc.ai/i-brlc6lh4kex-n/?p=https://raf.bc.ai/e</v>
      </c>
      <c r="Y166" s="77" t="s">
        <v>7277</v>
      </c>
      <c r="Z166" s="77"/>
      <c r="AA166" s="77"/>
      <c r="AB166" s="77"/>
      <c r="AC166" s="82" t="s">
        <v>10146</v>
      </c>
      <c r="AD166" s="77" t="s">
        <v>10184</v>
      </c>
      <c r="AE166" s="80" t="str">
        <f>HYPERLINK("https://twitter.com/jonasfershut/status/1630988814230454279")</f>
        <v>https://twitter.com/jonasfershut/status/1630988814230454279</v>
      </c>
      <c r="AF166" s="79">
        <v>44986.743171296293</v>
      </c>
      <c r="AG166" s="85">
        <v>44986</v>
      </c>
      <c r="AH166" s="82" t="s">
        <v>10356</v>
      </c>
      <c r="AI166" s="77" t="b">
        <v>0</v>
      </c>
      <c r="AJ166" s="77"/>
      <c r="AK166" s="77"/>
      <c r="AL166" s="77"/>
      <c r="AM166" s="77"/>
      <c r="AN166" s="77"/>
      <c r="AO166" s="77"/>
      <c r="AP166" s="77"/>
      <c r="AQ166" s="77"/>
      <c r="AR166" s="77"/>
      <c r="AS166" s="77"/>
      <c r="AT166" s="77"/>
      <c r="AU166" s="77"/>
      <c r="AV166" s="80" t="str">
        <f>HYPERLINK("https://pbs.twimg.com/profile_images/1388278417058115587/u-sRgaqa_normal.jpg")</f>
        <v>https://pbs.twimg.com/profile_images/1388278417058115587/u-sRgaqa_normal.jpg</v>
      </c>
      <c r="AW166" s="82" t="s">
        <v>16939</v>
      </c>
      <c r="AX166" s="82" t="s">
        <v>16939</v>
      </c>
      <c r="AY166" s="77"/>
      <c r="AZ166" s="82" t="s">
        <v>20971</v>
      </c>
      <c r="BA166" s="82" t="s">
        <v>20971</v>
      </c>
      <c r="BB166" s="82" t="s">
        <v>20971</v>
      </c>
      <c r="BC166" s="82" t="s">
        <v>16939</v>
      </c>
      <c r="BD166" s="82" t="s">
        <v>21073</v>
      </c>
      <c r="BE166" s="77"/>
      <c r="BF166" s="77"/>
      <c r="BG166" s="77"/>
      <c r="BH166" s="77"/>
      <c r="BI166" s="77"/>
    </row>
    <row r="167" spans="1:61" x14ac:dyDescent="0.25">
      <c r="A167" s="62" t="s">
        <v>311</v>
      </c>
      <c r="B167" s="62" t="s">
        <v>311</v>
      </c>
      <c r="C167" s="63"/>
      <c r="D167" s="64"/>
      <c r="E167" s="65"/>
      <c r="F167" s="66"/>
      <c r="G167" s="63"/>
      <c r="H167" s="67"/>
      <c r="I167" s="68"/>
      <c r="J167" s="68"/>
      <c r="K167" s="32"/>
      <c r="L167" s="75">
        <v>167</v>
      </c>
      <c r="M167" s="75"/>
      <c r="N167" s="70"/>
      <c r="O167" s="77" t="s">
        <v>179</v>
      </c>
      <c r="P167" s="79">
        <v>44989.696446759262</v>
      </c>
      <c r="Q167" s="77" t="s">
        <v>1451</v>
      </c>
      <c r="R167" s="77">
        <v>0</v>
      </c>
      <c r="S167" s="77">
        <v>0</v>
      </c>
      <c r="T167" s="77">
        <v>0</v>
      </c>
      <c r="U167" s="77">
        <v>0</v>
      </c>
      <c r="V167" s="77">
        <v>20</v>
      </c>
      <c r="W167" s="82" t="s">
        <v>5376</v>
      </c>
      <c r="X167" s="77"/>
      <c r="Y167" s="77"/>
      <c r="Z167" s="77"/>
      <c r="AA167" s="77" t="s">
        <v>7608</v>
      </c>
      <c r="AB167" s="77" t="s">
        <v>10130</v>
      </c>
      <c r="AC167" s="82" t="s">
        <v>10146</v>
      </c>
      <c r="AD167" s="77" t="s">
        <v>10184</v>
      </c>
      <c r="AE167" s="80" t="str">
        <f>HYPERLINK("https://twitter.com/esquecebr/status/1632059044394418177")</f>
        <v>https://twitter.com/esquecebr/status/1632059044394418177</v>
      </c>
      <c r="AF167" s="79">
        <v>44989.696446759262</v>
      </c>
      <c r="AG167" s="85">
        <v>44989</v>
      </c>
      <c r="AH167" s="82" t="s">
        <v>10362</v>
      </c>
      <c r="AI167" s="77" t="b">
        <v>0</v>
      </c>
      <c r="AJ167" s="77"/>
      <c r="AK167" s="77"/>
      <c r="AL167" s="77"/>
      <c r="AM167" s="77"/>
      <c r="AN167" s="77"/>
      <c r="AO167" s="77"/>
      <c r="AP167" s="77"/>
      <c r="AQ167" s="77" t="s">
        <v>14252</v>
      </c>
      <c r="AR167" s="77"/>
      <c r="AS167" s="77"/>
      <c r="AT167" s="77"/>
      <c r="AU167" s="77"/>
      <c r="AV167" s="80" t="str">
        <f>HYPERLINK("https://pbs.twimg.com/media/FqY9CwRWwAEkvJB.jpg")</f>
        <v>https://pbs.twimg.com/media/FqY9CwRWwAEkvJB.jpg</v>
      </c>
      <c r="AW167" s="82" t="s">
        <v>16940</v>
      </c>
      <c r="AX167" s="82" t="s">
        <v>16940</v>
      </c>
      <c r="AY167" s="77"/>
      <c r="AZ167" s="82" t="s">
        <v>20971</v>
      </c>
      <c r="BA167" s="82" t="s">
        <v>20971</v>
      </c>
      <c r="BB167" s="82" t="s">
        <v>20971</v>
      </c>
      <c r="BC167" s="82" t="s">
        <v>16940</v>
      </c>
      <c r="BD167" s="82" t="s">
        <v>21074</v>
      </c>
      <c r="BE167" s="77"/>
      <c r="BF167" s="77"/>
      <c r="BG167" s="77"/>
      <c r="BH167" s="77"/>
      <c r="BI167" s="77"/>
    </row>
    <row r="168" spans="1:61" x14ac:dyDescent="0.25">
      <c r="A168" s="62" t="s">
        <v>311</v>
      </c>
      <c r="B168" s="62" t="s">
        <v>311</v>
      </c>
      <c r="C168" s="63"/>
      <c r="D168" s="64"/>
      <c r="E168" s="65"/>
      <c r="F168" s="66"/>
      <c r="G168" s="63"/>
      <c r="H168" s="67"/>
      <c r="I168" s="68"/>
      <c r="J168" s="68"/>
      <c r="K168" s="32"/>
      <c r="L168" s="75">
        <v>168</v>
      </c>
      <c r="M168" s="75"/>
      <c r="N168" s="70"/>
      <c r="O168" s="77" t="s">
        <v>179</v>
      </c>
      <c r="P168" s="79">
        <v>44981.603819444441</v>
      </c>
      <c r="Q168" s="77" t="s">
        <v>1452</v>
      </c>
      <c r="R168" s="77">
        <v>0</v>
      </c>
      <c r="S168" s="77">
        <v>0</v>
      </c>
      <c r="T168" s="77">
        <v>0</v>
      </c>
      <c r="U168" s="77">
        <v>0</v>
      </c>
      <c r="V168" s="77">
        <v>21</v>
      </c>
      <c r="W168" s="82" t="s">
        <v>5377</v>
      </c>
      <c r="X168" s="77"/>
      <c r="Y168" s="77"/>
      <c r="Z168" s="77"/>
      <c r="AA168" s="77" t="s">
        <v>7609</v>
      </c>
      <c r="AB168" s="77" t="s">
        <v>10130</v>
      </c>
      <c r="AC168" s="82" t="s">
        <v>10146</v>
      </c>
      <c r="AD168" s="77" t="s">
        <v>10184</v>
      </c>
      <c r="AE168" s="80" t="str">
        <f>HYPERLINK("https://twitter.com/esquecebr/status/1629126374932852741")</f>
        <v>https://twitter.com/esquecebr/status/1629126374932852741</v>
      </c>
      <c r="AF168" s="79">
        <v>44981.603819444441</v>
      </c>
      <c r="AG168" s="85">
        <v>44981</v>
      </c>
      <c r="AH168" s="82" t="s">
        <v>10363</v>
      </c>
      <c r="AI168" s="77" t="b">
        <v>0</v>
      </c>
      <c r="AJ168" s="77"/>
      <c r="AK168" s="77"/>
      <c r="AL168" s="77"/>
      <c r="AM168" s="77"/>
      <c r="AN168" s="77"/>
      <c r="AO168" s="77"/>
      <c r="AP168" s="77"/>
      <c r="AQ168" s="77" t="s">
        <v>14253</v>
      </c>
      <c r="AR168" s="77"/>
      <c r="AS168" s="77"/>
      <c r="AT168" s="77"/>
      <c r="AU168" s="77"/>
      <c r="AV168" s="80" t="str">
        <f>HYPERLINK("https://pbs.twimg.com/media/FpvRxOPXoAACh5A.jpg")</f>
        <v>https://pbs.twimg.com/media/FpvRxOPXoAACh5A.jpg</v>
      </c>
      <c r="AW168" s="82" t="s">
        <v>16941</v>
      </c>
      <c r="AX168" s="82" t="s">
        <v>16941</v>
      </c>
      <c r="AY168" s="77"/>
      <c r="AZ168" s="82" t="s">
        <v>20971</v>
      </c>
      <c r="BA168" s="82" t="s">
        <v>20971</v>
      </c>
      <c r="BB168" s="82" t="s">
        <v>20971</v>
      </c>
      <c r="BC168" s="82" t="s">
        <v>16941</v>
      </c>
      <c r="BD168" s="82" t="s">
        <v>21074</v>
      </c>
      <c r="BE168" s="77"/>
      <c r="BF168" s="77"/>
      <c r="BG168" s="77"/>
      <c r="BH168" s="77"/>
      <c r="BI168" s="77"/>
    </row>
    <row r="169" spans="1:61" x14ac:dyDescent="0.25">
      <c r="A169" s="62" t="s">
        <v>311</v>
      </c>
      <c r="B169" s="62" t="s">
        <v>311</v>
      </c>
      <c r="C169" s="63"/>
      <c r="D169" s="64"/>
      <c r="E169" s="65"/>
      <c r="F169" s="66"/>
      <c r="G169" s="63"/>
      <c r="H169" s="67"/>
      <c r="I169" s="68"/>
      <c r="J169" s="68"/>
      <c r="K169" s="32"/>
      <c r="L169" s="75">
        <v>169</v>
      </c>
      <c r="M169" s="75"/>
      <c r="N169" s="70"/>
      <c r="O169" s="77" t="s">
        <v>179</v>
      </c>
      <c r="P169" s="79">
        <v>44967.78738425926</v>
      </c>
      <c r="Q169" s="77" t="s">
        <v>1453</v>
      </c>
      <c r="R169" s="77">
        <v>0</v>
      </c>
      <c r="S169" s="77">
        <v>0</v>
      </c>
      <c r="T169" s="77">
        <v>0</v>
      </c>
      <c r="U169" s="77">
        <v>0</v>
      </c>
      <c r="V169" s="77">
        <v>8</v>
      </c>
      <c r="W169" s="82" t="s">
        <v>5378</v>
      </c>
      <c r="X169" s="80" t="str">
        <f>HYPERLINK("https://esquece.com.br")</f>
        <v>https://esquece.com.br</v>
      </c>
      <c r="Y169" s="77" t="s">
        <v>7252</v>
      </c>
      <c r="Z169" s="77"/>
      <c r="AA169" s="77" t="s">
        <v>7610</v>
      </c>
      <c r="AB169" s="77" t="s">
        <v>10130</v>
      </c>
      <c r="AC169" s="82" t="s">
        <v>10146</v>
      </c>
      <c r="AD169" s="77" t="s">
        <v>10184</v>
      </c>
      <c r="AE169" s="80" t="str">
        <f>HYPERLINK("https://twitter.com/esquecebr/status/1624119468203835405")</f>
        <v>https://twitter.com/esquecebr/status/1624119468203835405</v>
      </c>
      <c r="AF169" s="79">
        <v>44967.78738425926</v>
      </c>
      <c r="AG169" s="85">
        <v>44967</v>
      </c>
      <c r="AH169" s="82" t="s">
        <v>10364</v>
      </c>
      <c r="AI169" s="77" t="b">
        <v>0</v>
      </c>
      <c r="AJ169" s="77"/>
      <c r="AK169" s="77"/>
      <c r="AL169" s="77"/>
      <c r="AM169" s="77"/>
      <c r="AN169" s="77"/>
      <c r="AO169" s="77"/>
      <c r="AP169" s="77"/>
      <c r="AQ169" s="77" t="s">
        <v>14254</v>
      </c>
      <c r="AR169" s="77"/>
      <c r="AS169" s="77"/>
      <c r="AT169" s="77"/>
      <c r="AU169" s="77"/>
      <c r="AV169" s="80" t="str">
        <f>HYPERLINK("https://pbs.twimg.com/media/FooIBETWAAgFTlh.jpg")</f>
        <v>https://pbs.twimg.com/media/FooIBETWAAgFTlh.jpg</v>
      </c>
      <c r="AW169" s="82" t="s">
        <v>16942</v>
      </c>
      <c r="AX169" s="82" t="s">
        <v>16942</v>
      </c>
      <c r="AY169" s="77"/>
      <c r="AZ169" s="82" t="s">
        <v>20971</v>
      </c>
      <c r="BA169" s="82" t="s">
        <v>20971</v>
      </c>
      <c r="BB169" s="82" t="s">
        <v>20971</v>
      </c>
      <c r="BC169" s="82" t="s">
        <v>16942</v>
      </c>
      <c r="BD169" s="82" t="s">
        <v>21074</v>
      </c>
      <c r="BE169" s="77"/>
      <c r="BF169" s="77"/>
      <c r="BG169" s="77"/>
      <c r="BH169" s="77"/>
      <c r="BI169" s="77"/>
    </row>
    <row r="170" spans="1:61" x14ac:dyDescent="0.25">
      <c r="A170" s="62" t="s">
        <v>311</v>
      </c>
      <c r="B170" s="62" t="s">
        <v>311</v>
      </c>
      <c r="C170" s="63"/>
      <c r="D170" s="64"/>
      <c r="E170" s="65"/>
      <c r="F170" s="66"/>
      <c r="G170" s="63"/>
      <c r="H170" s="67"/>
      <c r="I170" s="68"/>
      <c r="J170" s="68"/>
      <c r="K170" s="32"/>
      <c r="L170" s="75">
        <v>170</v>
      </c>
      <c r="M170" s="75"/>
      <c r="N170" s="70"/>
      <c r="O170" s="77" t="s">
        <v>179</v>
      </c>
      <c r="P170" s="79">
        <v>44976.655798611115</v>
      </c>
      <c r="Q170" s="77" t="s">
        <v>1454</v>
      </c>
      <c r="R170" s="77">
        <v>0</v>
      </c>
      <c r="S170" s="77">
        <v>0</v>
      </c>
      <c r="T170" s="77">
        <v>0</v>
      </c>
      <c r="U170" s="77">
        <v>0</v>
      </c>
      <c r="V170" s="77">
        <v>12</v>
      </c>
      <c r="W170" s="82" t="s">
        <v>5377</v>
      </c>
      <c r="X170" s="77"/>
      <c r="Y170" s="77"/>
      <c r="Z170" s="77"/>
      <c r="AA170" s="77" t="s">
        <v>7611</v>
      </c>
      <c r="AB170" s="77" t="s">
        <v>10130</v>
      </c>
      <c r="AC170" s="82" t="s">
        <v>10146</v>
      </c>
      <c r="AD170" s="77" t="s">
        <v>10184</v>
      </c>
      <c r="AE170" s="80" t="str">
        <f>HYPERLINK("https://twitter.com/esquecebr/status/1627333275256602625")</f>
        <v>https://twitter.com/esquecebr/status/1627333275256602625</v>
      </c>
      <c r="AF170" s="79">
        <v>44976.655798611115</v>
      </c>
      <c r="AG170" s="85">
        <v>44976</v>
      </c>
      <c r="AH170" s="82" t="s">
        <v>10365</v>
      </c>
      <c r="AI170" s="77" t="b">
        <v>0</v>
      </c>
      <c r="AJ170" s="77"/>
      <c r="AK170" s="77"/>
      <c r="AL170" s="77"/>
      <c r="AM170" s="77"/>
      <c r="AN170" s="77"/>
      <c r="AO170" s="77"/>
      <c r="AP170" s="77"/>
      <c r="AQ170" s="77" t="s">
        <v>14255</v>
      </c>
      <c r="AR170" s="77"/>
      <c r="AS170" s="77"/>
      <c r="AT170" s="77"/>
      <c r="AU170" s="77"/>
      <c r="AV170" s="80" t="str">
        <f>HYPERLINK("https://pbs.twimg.com/media/FpVy-uTWYAA6xof.jpg")</f>
        <v>https://pbs.twimg.com/media/FpVy-uTWYAA6xof.jpg</v>
      </c>
      <c r="AW170" s="82" t="s">
        <v>16943</v>
      </c>
      <c r="AX170" s="82" t="s">
        <v>16943</v>
      </c>
      <c r="AY170" s="77"/>
      <c r="AZ170" s="82" t="s">
        <v>20971</v>
      </c>
      <c r="BA170" s="82" t="s">
        <v>20971</v>
      </c>
      <c r="BB170" s="82" t="s">
        <v>20971</v>
      </c>
      <c r="BC170" s="82" t="s">
        <v>16943</v>
      </c>
      <c r="BD170" s="82" t="s">
        <v>21074</v>
      </c>
      <c r="BE170" s="77"/>
      <c r="BF170" s="77"/>
      <c r="BG170" s="77"/>
      <c r="BH170" s="77"/>
      <c r="BI170" s="77"/>
    </row>
    <row r="171" spans="1:61" x14ac:dyDescent="0.25">
      <c r="A171" s="62" t="s">
        <v>311</v>
      </c>
      <c r="B171" s="62" t="s">
        <v>311</v>
      </c>
      <c r="C171" s="63"/>
      <c r="D171" s="64"/>
      <c r="E171" s="65"/>
      <c r="F171" s="66"/>
      <c r="G171" s="63"/>
      <c r="H171" s="67"/>
      <c r="I171" s="68"/>
      <c r="J171" s="68"/>
      <c r="K171" s="32"/>
      <c r="L171" s="75">
        <v>171</v>
      </c>
      <c r="M171" s="75"/>
      <c r="N171" s="70"/>
      <c r="O171" s="77" t="s">
        <v>179</v>
      </c>
      <c r="P171" s="79">
        <v>45000.58798611111</v>
      </c>
      <c r="Q171" s="77" t="s">
        <v>1455</v>
      </c>
      <c r="R171" s="77">
        <v>0</v>
      </c>
      <c r="S171" s="77">
        <v>0</v>
      </c>
      <c r="T171" s="77">
        <v>1</v>
      </c>
      <c r="U171" s="77">
        <v>0</v>
      </c>
      <c r="V171" s="77">
        <v>8</v>
      </c>
      <c r="W171" s="82" t="s">
        <v>5379</v>
      </c>
      <c r="X171" s="80" t="str">
        <f>HYPERLINK("http://www.esquece.com.br")</f>
        <v>http://www.esquece.com.br</v>
      </c>
      <c r="Y171" s="77" t="s">
        <v>7252</v>
      </c>
      <c r="Z171" s="77"/>
      <c r="AA171" s="77" t="s">
        <v>7612</v>
      </c>
      <c r="AB171" s="77" t="s">
        <v>10130</v>
      </c>
      <c r="AC171" s="82" t="s">
        <v>10146</v>
      </c>
      <c r="AD171" s="77" t="s">
        <v>10184</v>
      </c>
      <c r="AE171" s="80" t="str">
        <f>HYPERLINK("https://twitter.com/esquecebr/status/1636006009826160644")</f>
        <v>https://twitter.com/esquecebr/status/1636006009826160644</v>
      </c>
      <c r="AF171" s="79">
        <v>45000.58798611111</v>
      </c>
      <c r="AG171" s="85">
        <v>45000</v>
      </c>
      <c r="AH171" s="82" t="s">
        <v>10366</v>
      </c>
      <c r="AI171" s="77" t="b">
        <v>0</v>
      </c>
      <c r="AJ171" s="77"/>
      <c r="AK171" s="77"/>
      <c r="AL171" s="77"/>
      <c r="AM171" s="77"/>
      <c r="AN171" s="77"/>
      <c r="AO171" s="77"/>
      <c r="AP171" s="77"/>
      <c r="AQ171" s="77" t="s">
        <v>14256</v>
      </c>
      <c r="AR171" s="77"/>
      <c r="AS171" s="77"/>
      <c r="AT171" s="77"/>
      <c r="AU171" s="77"/>
      <c r="AV171" s="80" t="str">
        <f>HYPERLINK("https://pbs.twimg.com/media/FrRCySpWIAMkH3C.jpg")</f>
        <v>https://pbs.twimg.com/media/FrRCySpWIAMkH3C.jpg</v>
      </c>
      <c r="AW171" s="82" t="s">
        <v>16944</v>
      </c>
      <c r="AX171" s="82" t="s">
        <v>16944</v>
      </c>
      <c r="AY171" s="77"/>
      <c r="AZ171" s="82" t="s">
        <v>20971</v>
      </c>
      <c r="BA171" s="82" t="s">
        <v>20971</v>
      </c>
      <c r="BB171" s="82" t="s">
        <v>20971</v>
      </c>
      <c r="BC171" s="82" t="s">
        <v>16944</v>
      </c>
      <c r="BD171" s="82" t="s">
        <v>21074</v>
      </c>
      <c r="BE171" s="77"/>
      <c r="BF171" s="77"/>
      <c r="BG171" s="77"/>
      <c r="BH171" s="77"/>
      <c r="BI171" s="77"/>
    </row>
    <row r="172" spans="1:61" x14ac:dyDescent="0.25">
      <c r="A172" s="62" t="s">
        <v>311</v>
      </c>
      <c r="B172" s="62" t="s">
        <v>311</v>
      </c>
      <c r="C172" s="63"/>
      <c r="D172" s="64"/>
      <c r="E172" s="65"/>
      <c r="F172" s="66"/>
      <c r="G172" s="63"/>
      <c r="H172" s="67"/>
      <c r="I172" s="68"/>
      <c r="J172" s="68"/>
      <c r="K172" s="32"/>
      <c r="L172" s="75">
        <v>172</v>
      </c>
      <c r="M172" s="75"/>
      <c r="N172" s="70"/>
      <c r="O172" s="77" t="s">
        <v>179</v>
      </c>
      <c r="P172" s="79">
        <v>45002.816006944442</v>
      </c>
      <c r="Q172" s="77" t="s">
        <v>1456</v>
      </c>
      <c r="R172" s="77">
        <v>0</v>
      </c>
      <c r="S172" s="77">
        <v>0</v>
      </c>
      <c r="T172" s="77">
        <v>0</v>
      </c>
      <c r="U172" s="77">
        <v>0</v>
      </c>
      <c r="V172" s="77">
        <v>25</v>
      </c>
      <c r="W172" s="82" t="s">
        <v>5380</v>
      </c>
      <c r="X172" s="77"/>
      <c r="Y172" s="77"/>
      <c r="Z172" s="77"/>
      <c r="AA172" s="77" t="s">
        <v>7613</v>
      </c>
      <c r="AB172" s="77" t="s">
        <v>10130</v>
      </c>
      <c r="AC172" s="82" t="s">
        <v>10146</v>
      </c>
      <c r="AD172" s="77" t="s">
        <v>10184</v>
      </c>
      <c r="AE172" s="80" t="str">
        <f>HYPERLINK("https://twitter.com/esquecebr/status/1636813416764436480")</f>
        <v>https://twitter.com/esquecebr/status/1636813416764436480</v>
      </c>
      <c r="AF172" s="79">
        <v>45002.816006944442</v>
      </c>
      <c r="AG172" s="85">
        <v>45002</v>
      </c>
      <c r="AH172" s="82" t="s">
        <v>10367</v>
      </c>
      <c r="AI172" s="77" t="b">
        <v>0</v>
      </c>
      <c r="AJ172" s="77"/>
      <c r="AK172" s="77"/>
      <c r="AL172" s="77"/>
      <c r="AM172" s="77"/>
      <c r="AN172" s="77"/>
      <c r="AO172" s="77"/>
      <c r="AP172" s="77"/>
      <c r="AQ172" s="77" t="s">
        <v>14257</v>
      </c>
      <c r="AR172" s="77"/>
      <c r="AS172" s="77"/>
      <c r="AT172" s="77"/>
      <c r="AU172" s="77"/>
      <c r="AV172" s="80" t="str">
        <f>HYPERLINK("https://pbs.twimg.com/media/FrchHMZX0AArNyB.jpg")</f>
        <v>https://pbs.twimg.com/media/FrchHMZX0AArNyB.jpg</v>
      </c>
      <c r="AW172" s="82" t="s">
        <v>16945</v>
      </c>
      <c r="AX172" s="82" t="s">
        <v>16945</v>
      </c>
      <c r="AY172" s="77"/>
      <c r="AZ172" s="82" t="s">
        <v>20971</v>
      </c>
      <c r="BA172" s="82" t="s">
        <v>20971</v>
      </c>
      <c r="BB172" s="82" t="s">
        <v>20971</v>
      </c>
      <c r="BC172" s="82" t="s">
        <v>16945</v>
      </c>
      <c r="BD172" s="82" t="s">
        <v>21074</v>
      </c>
      <c r="BE172" s="77"/>
      <c r="BF172" s="77"/>
      <c r="BG172" s="77"/>
      <c r="BH172" s="77"/>
      <c r="BI172" s="77"/>
    </row>
    <row r="173" spans="1:61" x14ac:dyDescent="0.25">
      <c r="A173" s="62" t="s">
        <v>311</v>
      </c>
      <c r="B173" s="62" t="s">
        <v>311</v>
      </c>
      <c r="C173" s="63"/>
      <c r="D173" s="64"/>
      <c r="E173" s="65"/>
      <c r="F173" s="66"/>
      <c r="G173" s="63"/>
      <c r="H173" s="67"/>
      <c r="I173" s="68"/>
      <c r="J173" s="68"/>
      <c r="K173" s="32"/>
      <c r="L173" s="75">
        <v>173</v>
      </c>
      <c r="M173" s="75"/>
      <c r="N173" s="70"/>
      <c r="O173" s="77" t="s">
        <v>179</v>
      </c>
      <c r="P173" s="79">
        <v>45009.614201388889</v>
      </c>
      <c r="Q173" s="77" t="s">
        <v>1457</v>
      </c>
      <c r="R173" s="77">
        <v>0</v>
      </c>
      <c r="S173" s="77">
        <v>0</v>
      </c>
      <c r="T173" s="77">
        <v>0</v>
      </c>
      <c r="U173" s="77">
        <v>0</v>
      </c>
      <c r="V173" s="77">
        <v>5</v>
      </c>
      <c r="W173" s="82" t="s">
        <v>5381</v>
      </c>
      <c r="X173" s="80" t="str">
        <f>HYPERLINK("http://www.esquece.com.br")</f>
        <v>http://www.esquece.com.br</v>
      </c>
      <c r="Y173" s="77" t="s">
        <v>7252</v>
      </c>
      <c r="Z173" s="77"/>
      <c r="AA173" s="77" t="s">
        <v>7614</v>
      </c>
      <c r="AB173" s="77" t="s">
        <v>10130</v>
      </c>
      <c r="AC173" s="82" t="s">
        <v>10146</v>
      </c>
      <c r="AD173" s="77" t="s">
        <v>10184</v>
      </c>
      <c r="AE173" s="80" t="str">
        <f>HYPERLINK("https://twitter.com/esquecebr/status/1639276999834206210")</f>
        <v>https://twitter.com/esquecebr/status/1639276999834206210</v>
      </c>
      <c r="AF173" s="79">
        <v>45009.614201388889</v>
      </c>
      <c r="AG173" s="85">
        <v>45009</v>
      </c>
      <c r="AH173" s="82" t="s">
        <v>10368</v>
      </c>
      <c r="AI173" s="77" t="b">
        <v>0</v>
      </c>
      <c r="AJ173" s="77"/>
      <c r="AK173" s="77"/>
      <c r="AL173" s="77"/>
      <c r="AM173" s="77"/>
      <c r="AN173" s="77"/>
      <c r="AO173" s="77"/>
      <c r="AP173" s="77"/>
      <c r="AQ173" s="77" t="s">
        <v>14258</v>
      </c>
      <c r="AR173" s="77"/>
      <c r="AS173" s="77"/>
      <c r="AT173" s="77"/>
      <c r="AU173" s="77"/>
      <c r="AV173" s="80" t="str">
        <f>HYPERLINK("https://pbs.twimg.com/media/Fr_hvPyWAAUAzx2.png")</f>
        <v>https://pbs.twimg.com/media/Fr_hvPyWAAUAzx2.png</v>
      </c>
      <c r="AW173" s="82" t="s">
        <v>16946</v>
      </c>
      <c r="AX173" s="82" t="s">
        <v>16946</v>
      </c>
      <c r="AY173" s="77"/>
      <c r="AZ173" s="82" t="s">
        <v>20971</v>
      </c>
      <c r="BA173" s="82" t="s">
        <v>20971</v>
      </c>
      <c r="BB173" s="82" t="s">
        <v>20971</v>
      </c>
      <c r="BC173" s="82" t="s">
        <v>16946</v>
      </c>
      <c r="BD173" s="82" t="s">
        <v>21074</v>
      </c>
      <c r="BE173" s="77"/>
      <c r="BF173" s="77"/>
      <c r="BG173" s="77"/>
      <c r="BH173" s="77"/>
      <c r="BI173" s="77"/>
    </row>
    <row r="174" spans="1:61" x14ac:dyDescent="0.25">
      <c r="A174" s="62" t="s">
        <v>311</v>
      </c>
      <c r="B174" s="62" t="s">
        <v>311</v>
      </c>
      <c r="C174" s="63"/>
      <c r="D174" s="64"/>
      <c r="E174" s="65"/>
      <c r="F174" s="66"/>
      <c r="G174" s="63"/>
      <c r="H174" s="67"/>
      <c r="I174" s="68"/>
      <c r="J174" s="68"/>
      <c r="K174" s="32"/>
      <c r="L174" s="75">
        <v>174</v>
      </c>
      <c r="M174" s="75"/>
      <c r="N174" s="70"/>
      <c r="O174" s="77" t="s">
        <v>179</v>
      </c>
      <c r="P174" s="79">
        <v>45006.662002314813</v>
      </c>
      <c r="Q174" s="77" t="s">
        <v>1458</v>
      </c>
      <c r="R174" s="77">
        <v>0</v>
      </c>
      <c r="S174" s="77">
        <v>0</v>
      </c>
      <c r="T174" s="77">
        <v>0</v>
      </c>
      <c r="U174" s="77">
        <v>0</v>
      </c>
      <c r="V174" s="77">
        <v>11</v>
      </c>
      <c r="W174" s="82" t="s">
        <v>5377</v>
      </c>
      <c r="X174" s="77"/>
      <c r="Y174" s="77"/>
      <c r="Z174" s="77"/>
      <c r="AA174" s="77" t="s">
        <v>7615</v>
      </c>
      <c r="AB174" s="77" t="s">
        <v>10130</v>
      </c>
      <c r="AC174" s="82" t="s">
        <v>10146</v>
      </c>
      <c r="AD174" s="77" t="s">
        <v>10184</v>
      </c>
      <c r="AE174" s="80" t="str">
        <f>HYPERLINK("https://twitter.com/esquecebr/status/1638207157228150784")</f>
        <v>https://twitter.com/esquecebr/status/1638207157228150784</v>
      </c>
      <c r="AF174" s="79">
        <v>45006.662002314813</v>
      </c>
      <c r="AG174" s="85">
        <v>45006</v>
      </c>
      <c r="AH174" s="82" t="s">
        <v>10369</v>
      </c>
      <c r="AI174" s="77" t="b">
        <v>0</v>
      </c>
      <c r="AJ174" s="77"/>
      <c r="AK174" s="77"/>
      <c r="AL174" s="77"/>
      <c r="AM174" s="77"/>
      <c r="AN174" s="77"/>
      <c r="AO174" s="77"/>
      <c r="AP174" s="77"/>
      <c r="AQ174" s="77" t="s">
        <v>14259</v>
      </c>
      <c r="AR174" s="77"/>
      <c r="AS174" s="77"/>
      <c r="AT174" s="77"/>
      <c r="AU174" s="77"/>
      <c r="AV174" s="80" t="str">
        <f>HYPERLINK("https://pbs.twimg.com/media/FrwUs3lWAAEBRCV.jpg")</f>
        <v>https://pbs.twimg.com/media/FrwUs3lWAAEBRCV.jpg</v>
      </c>
      <c r="AW174" s="82" t="s">
        <v>16947</v>
      </c>
      <c r="AX174" s="82" t="s">
        <v>16947</v>
      </c>
      <c r="AY174" s="77"/>
      <c r="AZ174" s="82" t="s">
        <v>20971</v>
      </c>
      <c r="BA174" s="82" t="s">
        <v>20971</v>
      </c>
      <c r="BB174" s="82" t="s">
        <v>20971</v>
      </c>
      <c r="BC174" s="82" t="s">
        <v>16947</v>
      </c>
      <c r="BD174" s="82" t="s">
        <v>21074</v>
      </c>
      <c r="BE174" s="77"/>
      <c r="BF174" s="77"/>
      <c r="BG174" s="77"/>
      <c r="BH174" s="77"/>
      <c r="BI174" s="77"/>
    </row>
    <row r="175" spans="1:61" x14ac:dyDescent="0.25">
      <c r="A175" s="62" t="s">
        <v>311</v>
      </c>
      <c r="B175" s="62" t="s">
        <v>311</v>
      </c>
      <c r="C175" s="63"/>
      <c r="D175" s="64"/>
      <c r="E175" s="65"/>
      <c r="F175" s="66"/>
      <c r="G175" s="63"/>
      <c r="H175" s="67"/>
      <c r="I175" s="68"/>
      <c r="J175" s="68"/>
      <c r="K175" s="32"/>
      <c r="L175" s="75">
        <v>175</v>
      </c>
      <c r="M175" s="75"/>
      <c r="N175" s="70"/>
      <c r="O175" s="77" t="s">
        <v>179</v>
      </c>
      <c r="P175" s="79">
        <v>45017.699675925927</v>
      </c>
      <c r="Q175" s="77" t="s">
        <v>1459</v>
      </c>
      <c r="R175" s="77">
        <v>0</v>
      </c>
      <c r="S175" s="77">
        <v>0</v>
      </c>
      <c r="T175" s="77">
        <v>0</v>
      </c>
      <c r="U175" s="77">
        <v>0</v>
      </c>
      <c r="V175" s="77">
        <v>16</v>
      </c>
      <c r="W175" s="82" t="s">
        <v>5382</v>
      </c>
      <c r="X175" s="77"/>
      <c r="Y175" s="77"/>
      <c r="Z175" s="77"/>
      <c r="AA175" s="77" t="s">
        <v>7616</v>
      </c>
      <c r="AB175" s="77" t="s">
        <v>10130</v>
      </c>
      <c r="AC175" s="82" t="s">
        <v>10146</v>
      </c>
      <c r="AD175" s="77" t="s">
        <v>10184</v>
      </c>
      <c r="AE175" s="80" t="str">
        <f>HYPERLINK("https://twitter.com/esquecebr/status/1642207075152404484")</f>
        <v>https://twitter.com/esquecebr/status/1642207075152404484</v>
      </c>
      <c r="AF175" s="79">
        <v>45017.699675925927</v>
      </c>
      <c r="AG175" s="85">
        <v>45017</v>
      </c>
      <c r="AH175" s="82" t="s">
        <v>10370</v>
      </c>
      <c r="AI175" s="77" t="b">
        <v>0</v>
      </c>
      <c r="AJ175" s="77"/>
      <c r="AK175" s="77"/>
      <c r="AL175" s="77"/>
      <c r="AM175" s="77"/>
      <c r="AN175" s="77"/>
      <c r="AO175" s="77"/>
      <c r="AP175" s="77"/>
      <c r="AQ175" s="77" t="s">
        <v>14260</v>
      </c>
      <c r="AR175" s="77"/>
      <c r="AS175" s="77"/>
      <c r="AT175" s="77"/>
      <c r="AU175" s="77"/>
      <c r="AV175" s="80" t="str">
        <f>HYPERLINK("https://pbs.twimg.com/media/FspKn1aWcAE5bNA.png")</f>
        <v>https://pbs.twimg.com/media/FspKn1aWcAE5bNA.png</v>
      </c>
      <c r="AW175" s="82" t="s">
        <v>16948</v>
      </c>
      <c r="AX175" s="82" t="s">
        <v>16948</v>
      </c>
      <c r="AY175" s="77"/>
      <c r="AZ175" s="82" t="s">
        <v>20971</v>
      </c>
      <c r="BA175" s="82" t="s">
        <v>20971</v>
      </c>
      <c r="BB175" s="82" t="s">
        <v>20971</v>
      </c>
      <c r="BC175" s="82" t="s">
        <v>16948</v>
      </c>
      <c r="BD175" s="82" t="s">
        <v>21074</v>
      </c>
      <c r="BE175" s="77"/>
      <c r="BF175" s="77"/>
      <c r="BG175" s="77"/>
      <c r="BH175" s="77"/>
      <c r="BI175" s="77"/>
    </row>
    <row r="176" spans="1:61" x14ac:dyDescent="0.25">
      <c r="A176" s="62" t="s">
        <v>312</v>
      </c>
      <c r="B176" s="62" t="s">
        <v>312</v>
      </c>
      <c r="C176" s="63"/>
      <c r="D176" s="64"/>
      <c r="E176" s="65"/>
      <c r="F176" s="66"/>
      <c r="G176" s="63"/>
      <c r="H176" s="67"/>
      <c r="I176" s="68"/>
      <c r="J176" s="68"/>
      <c r="K176" s="32"/>
      <c r="L176" s="75">
        <v>176</v>
      </c>
      <c r="M176" s="75"/>
      <c r="N176" s="70"/>
      <c r="O176" s="77" t="s">
        <v>179</v>
      </c>
      <c r="P176" s="79">
        <v>45184.013414351852</v>
      </c>
      <c r="Q176" s="77" t="s">
        <v>1460</v>
      </c>
      <c r="R176" s="77">
        <v>0</v>
      </c>
      <c r="S176" s="77">
        <v>1</v>
      </c>
      <c r="T176" s="77">
        <v>1</v>
      </c>
      <c r="U176" s="77">
        <v>0</v>
      </c>
      <c r="V176" s="77">
        <v>21</v>
      </c>
      <c r="W176" s="82" t="s">
        <v>5383</v>
      </c>
      <c r="X176" s="77"/>
      <c r="Y176" s="77"/>
      <c r="Z176" s="77"/>
      <c r="AA176" s="77" t="s">
        <v>7617</v>
      </c>
      <c r="AB176" s="77" t="s">
        <v>10130</v>
      </c>
      <c r="AC176" s="82" t="s">
        <v>10146</v>
      </c>
      <c r="AD176" s="77" t="s">
        <v>10184</v>
      </c>
      <c r="AE176" s="80" t="str">
        <f>HYPERLINK("https://twitter.com/an80968quaresma/status/1702477155676852729")</f>
        <v>https://twitter.com/an80968quaresma/status/1702477155676852729</v>
      </c>
      <c r="AF176" s="79">
        <v>45184.013414351852</v>
      </c>
      <c r="AG176" s="85">
        <v>45184</v>
      </c>
      <c r="AH176" s="82" t="s">
        <v>10371</v>
      </c>
      <c r="AI176" s="77" t="b">
        <v>0</v>
      </c>
      <c r="AJ176" s="77"/>
      <c r="AK176" s="77"/>
      <c r="AL176" s="77"/>
      <c r="AM176" s="77"/>
      <c r="AN176" s="77"/>
      <c r="AO176" s="77"/>
      <c r="AP176" s="77"/>
      <c r="AQ176" s="77" t="s">
        <v>14261</v>
      </c>
      <c r="AR176" s="77"/>
      <c r="AS176" s="77"/>
      <c r="AT176" s="77"/>
      <c r="AU176" s="77"/>
      <c r="AV176" s="80" t="str">
        <f>HYPERLINK("https://pbs.twimg.com/media/F6BpXI2XIAACuVV.jpg")</f>
        <v>https://pbs.twimg.com/media/F6BpXI2XIAACuVV.jpg</v>
      </c>
      <c r="AW176" s="82" t="s">
        <v>16949</v>
      </c>
      <c r="AX176" s="82" t="s">
        <v>16949</v>
      </c>
      <c r="AY176" s="77"/>
      <c r="AZ176" s="82" t="s">
        <v>20971</v>
      </c>
      <c r="BA176" s="82" t="s">
        <v>20971</v>
      </c>
      <c r="BB176" s="82" t="s">
        <v>20971</v>
      </c>
      <c r="BC176" s="82" t="s">
        <v>16949</v>
      </c>
      <c r="BD176" s="82" t="s">
        <v>21075</v>
      </c>
      <c r="BE176" s="77"/>
      <c r="BF176" s="77"/>
      <c r="BG176" s="77"/>
      <c r="BH176" s="77"/>
      <c r="BI176" s="77"/>
    </row>
    <row r="177" spans="1:61" x14ac:dyDescent="0.25">
      <c r="A177" s="62" t="s">
        <v>313</v>
      </c>
      <c r="B177" s="62" t="s">
        <v>313</v>
      </c>
      <c r="C177" s="63"/>
      <c r="D177" s="64"/>
      <c r="E177" s="65"/>
      <c r="F177" s="66"/>
      <c r="G177" s="63"/>
      <c r="H177" s="67"/>
      <c r="I177" s="68"/>
      <c r="J177" s="68"/>
      <c r="K177" s="32"/>
      <c r="L177" s="75">
        <v>177</v>
      </c>
      <c r="M177" s="75"/>
      <c r="N177" s="70"/>
      <c r="O177" s="77" t="s">
        <v>1284</v>
      </c>
      <c r="P177" s="79">
        <v>45035.537152777775</v>
      </c>
      <c r="Q177" s="77" t="s">
        <v>1461</v>
      </c>
      <c r="R177" s="77">
        <v>0</v>
      </c>
      <c r="S177" s="77">
        <v>0</v>
      </c>
      <c r="T177" s="77">
        <v>0</v>
      </c>
      <c r="U177" s="77">
        <v>0</v>
      </c>
      <c r="V177" s="77">
        <v>15</v>
      </c>
      <c r="W177" s="82" t="s">
        <v>5384</v>
      </c>
      <c r="X177" s="77"/>
      <c r="Y177" s="77"/>
      <c r="Z177" s="77"/>
      <c r="AA177" s="77"/>
      <c r="AB177" s="77"/>
      <c r="AC177" s="82" t="s">
        <v>10144</v>
      </c>
      <c r="AD177" s="77" t="s">
        <v>10184</v>
      </c>
      <c r="AE177" s="80" t="str">
        <f>HYPERLINK("https://twitter.com/confrariacurios/status/1648671160958173185")</f>
        <v>https://twitter.com/confrariacurios/status/1648671160958173185</v>
      </c>
      <c r="AF177" s="79">
        <v>45035.537152777775</v>
      </c>
      <c r="AG177" s="85">
        <v>45035</v>
      </c>
      <c r="AH177" s="82" t="s">
        <v>10372</v>
      </c>
      <c r="AI177" s="77"/>
      <c r="AJ177" s="77"/>
      <c r="AK177" s="77"/>
      <c r="AL177" s="77"/>
      <c r="AM177" s="77"/>
      <c r="AN177" s="77"/>
      <c r="AO177" s="77"/>
      <c r="AP177" s="77"/>
      <c r="AQ177" s="77"/>
      <c r="AR177" s="77"/>
      <c r="AS177" s="77"/>
      <c r="AT177" s="77"/>
      <c r="AU177" s="77"/>
      <c r="AV177" s="80" t="str">
        <f>HYPERLINK("https://pbs.twimg.com/profile_images/1628789682120138752/GdrIu3LC_normal.jpg")</f>
        <v>https://pbs.twimg.com/profile_images/1628789682120138752/GdrIu3LC_normal.jpg</v>
      </c>
      <c r="AW177" s="82" t="s">
        <v>16950</v>
      </c>
      <c r="AX177" s="82" t="s">
        <v>20793</v>
      </c>
      <c r="AY177" s="82" t="s">
        <v>20903</v>
      </c>
      <c r="AZ177" s="82" t="s">
        <v>20793</v>
      </c>
      <c r="BA177" s="82" t="s">
        <v>20971</v>
      </c>
      <c r="BB177" s="82" t="s">
        <v>20971</v>
      </c>
      <c r="BC177" s="82" t="s">
        <v>20793</v>
      </c>
      <c r="BD177" s="82" t="s">
        <v>20903</v>
      </c>
      <c r="BE177" s="77"/>
      <c r="BF177" s="77"/>
      <c r="BG177" s="77"/>
      <c r="BH177" s="77"/>
      <c r="BI177" s="77"/>
    </row>
    <row r="178" spans="1:61" x14ac:dyDescent="0.25">
      <c r="A178" s="62" t="s">
        <v>314</v>
      </c>
      <c r="B178" s="62" t="s">
        <v>314</v>
      </c>
      <c r="C178" s="63"/>
      <c r="D178" s="64"/>
      <c r="E178" s="65"/>
      <c r="F178" s="66"/>
      <c r="G178" s="63"/>
      <c r="H178" s="67"/>
      <c r="I178" s="68"/>
      <c r="J178" s="68"/>
      <c r="K178" s="32"/>
      <c r="L178" s="75">
        <v>178</v>
      </c>
      <c r="M178" s="75"/>
      <c r="N178" s="70"/>
      <c r="O178" s="77" t="s">
        <v>179</v>
      </c>
      <c r="P178" s="79">
        <v>45134.752476851849</v>
      </c>
      <c r="Q178" s="77" t="s">
        <v>1462</v>
      </c>
      <c r="R178" s="77">
        <v>0</v>
      </c>
      <c r="S178" s="77">
        <v>0</v>
      </c>
      <c r="T178" s="77">
        <v>0</v>
      </c>
      <c r="U178" s="77">
        <v>0</v>
      </c>
      <c r="V178" s="77">
        <v>53</v>
      </c>
      <c r="W178" s="82" t="s">
        <v>5385</v>
      </c>
      <c r="X178" s="80" t="str">
        <f>HYPERLINK("https://ev.braip.com/ref?pv=pro97mo1&amp;af=afio8lolx7")</f>
        <v>https://ev.braip.com/ref?pv=pro97mo1&amp;af=afio8lolx7</v>
      </c>
      <c r="Y178" s="77" t="s">
        <v>7278</v>
      </c>
      <c r="Z178" s="77"/>
      <c r="AA178" s="77" t="s">
        <v>7618</v>
      </c>
      <c r="AB178" s="77" t="s">
        <v>10130</v>
      </c>
      <c r="AC178" s="82" t="s">
        <v>10146</v>
      </c>
      <c r="AD178" s="77" t="s">
        <v>10184</v>
      </c>
      <c r="AE178" s="80" t="str">
        <f>HYPERLINK("https://twitter.com/giovaniaandre/status/1684625589456527361")</f>
        <v>https://twitter.com/giovaniaandre/status/1684625589456527361</v>
      </c>
      <c r="AF178" s="79">
        <v>45134.752476851849</v>
      </c>
      <c r="AG178" s="85">
        <v>45134</v>
      </c>
      <c r="AH178" s="82" t="s">
        <v>10373</v>
      </c>
      <c r="AI178" s="77" t="b">
        <v>0</v>
      </c>
      <c r="AJ178" s="77"/>
      <c r="AK178" s="77"/>
      <c r="AL178" s="77"/>
      <c r="AM178" s="77"/>
      <c r="AN178" s="77"/>
      <c r="AO178" s="77"/>
      <c r="AP178" s="77"/>
      <c r="AQ178" s="77" t="s">
        <v>14262</v>
      </c>
      <c r="AR178" s="77"/>
      <c r="AS178" s="77"/>
      <c r="AT178" s="77"/>
      <c r="AU178" s="77"/>
      <c r="AV178" s="80" t="str">
        <f>HYPERLINK("https://pbs.twimg.com/media/F2D9tOJWUAAdYmi.jpg")</f>
        <v>https://pbs.twimg.com/media/F2D9tOJWUAAdYmi.jpg</v>
      </c>
      <c r="AW178" s="82" t="s">
        <v>16951</v>
      </c>
      <c r="AX178" s="82" t="s">
        <v>16951</v>
      </c>
      <c r="AY178" s="77"/>
      <c r="AZ178" s="82" t="s">
        <v>20971</v>
      </c>
      <c r="BA178" s="82" t="s">
        <v>20971</v>
      </c>
      <c r="BB178" s="82" t="s">
        <v>20971</v>
      </c>
      <c r="BC178" s="82" t="s">
        <v>16951</v>
      </c>
      <c r="BD178" s="82" t="s">
        <v>21076</v>
      </c>
      <c r="BE178" s="77"/>
      <c r="BF178" s="77"/>
      <c r="BG178" s="77"/>
      <c r="BH178" s="77"/>
      <c r="BI178" s="77"/>
    </row>
    <row r="179" spans="1:61" x14ac:dyDescent="0.25">
      <c r="A179" s="62" t="s">
        <v>315</v>
      </c>
      <c r="B179" s="62" t="s">
        <v>315</v>
      </c>
      <c r="C179" s="63"/>
      <c r="D179" s="64"/>
      <c r="E179" s="65"/>
      <c r="F179" s="66"/>
      <c r="G179" s="63"/>
      <c r="H179" s="67"/>
      <c r="I179" s="68"/>
      <c r="J179" s="68"/>
      <c r="K179" s="32"/>
      <c r="L179" s="75">
        <v>179</v>
      </c>
      <c r="M179" s="75"/>
      <c r="N179" s="70"/>
      <c r="O179" s="77" t="s">
        <v>179</v>
      </c>
      <c r="P179" s="79">
        <v>44984.667696759258</v>
      </c>
      <c r="Q179" s="77" t="s">
        <v>1463</v>
      </c>
      <c r="R179" s="77">
        <v>0</v>
      </c>
      <c r="S179" s="77">
        <v>0</v>
      </c>
      <c r="T179" s="77">
        <v>0</v>
      </c>
      <c r="U179" s="77">
        <v>1</v>
      </c>
      <c r="V179" s="77">
        <v>27</v>
      </c>
      <c r="W179" s="82" t="s">
        <v>5386</v>
      </c>
      <c r="X179" s="80" t="str">
        <f>HYPERLINK("https://www.instagram.com/reel/CpK_e9OtQFT/?igshid=MDJmNzVkMjY=")</f>
        <v>https://www.instagram.com/reel/CpK_e9OtQFT/?igshid=MDJmNzVkMjY=</v>
      </c>
      <c r="Y179" s="77" t="s">
        <v>7250</v>
      </c>
      <c r="Z179" s="77"/>
      <c r="AA179" s="77"/>
      <c r="AB179" s="77"/>
      <c r="AC179" s="82" t="s">
        <v>10144</v>
      </c>
      <c r="AD179" s="77" t="s">
        <v>10184</v>
      </c>
      <c r="AE179" s="80" t="str">
        <f>HYPERLINK("https://twitter.com/emerson51318371/status/1630236687728263168")</f>
        <v>https://twitter.com/emerson51318371/status/1630236687728263168</v>
      </c>
      <c r="AF179" s="79">
        <v>44984.667696759258</v>
      </c>
      <c r="AG179" s="85">
        <v>44984</v>
      </c>
      <c r="AH179" s="82" t="s">
        <v>10374</v>
      </c>
      <c r="AI179" s="77" t="b">
        <v>0</v>
      </c>
      <c r="AJ179" s="77"/>
      <c r="AK179" s="77"/>
      <c r="AL179" s="77"/>
      <c r="AM179" s="77"/>
      <c r="AN179" s="77"/>
      <c r="AO179" s="77"/>
      <c r="AP179" s="77"/>
      <c r="AQ179" s="77"/>
      <c r="AR179" s="77"/>
      <c r="AS179" s="77"/>
      <c r="AT179" s="77"/>
      <c r="AU179" s="77"/>
      <c r="AV179" s="80" t="str">
        <f>HYPERLINK("https://pbs.twimg.com/profile_images/1588699273964683269/pwOIZhdu_normal.jpg")</f>
        <v>https://pbs.twimg.com/profile_images/1588699273964683269/pwOIZhdu_normal.jpg</v>
      </c>
      <c r="AW179" s="82" t="s">
        <v>16952</v>
      </c>
      <c r="AX179" s="82" t="s">
        <v>16952</v>
      </c>
      <c r="AY179" s="77"/>
      <c r="AZ179" s="82" t="s">
        <v>20971</v>
      </c>
      <c r="BA179" s="82" t="s">
        <v>20971</v>
      </c>
      <c r="BB179" s="82" t="s">
        <v>20971</v>
      </c>
      <c r="BC179" s="82" t="s">
        <v>16952</v>
      </c>
      <c r="BD179" s="82" t="s">
        <v>21077</v>
      </c>
      <c r="BE179" s="77"/>
      <c r="BF179" s="77"/>
      <c r="BG179" s="77"/>
      <c r="BH179" s="77"/>
      <c r="BI179" s="77"/>
    </row>
    <row r="180" spans="1:61" x14ac:dyDescent="0.25">
      <c r="A180" s="62" t="s">
        <v>316</v>
      </c>
      <c r="B180" s="62" t="s">
        <v>316</v>
      </c>
      <c r="C180" s="63"/>
      <c r="D180" s="64"/>
      <c r="E180" s="65"/>
      <c r="F180" s="66"/>
      <c r="G180" s="63"/>
      <c r="H180" s="67"/>
      <c r="I180" s="68"/>
      <c r="J180" s="68"/>
      <c r="K180" s="32"/>
      <c r="L180" s="75">
        <v>180</v>
      </c>
      <c r="M180" s="75"/>
      <c r="N180" s="70"/>
      <c r="O180" s="77" t="s">
        <v>179</v>
      </c>
      <c r="P180" s="79">
        <v>45105.867280092592</v>
      </c>
      <c r="Q180" s="77" t="s">
        <v>1464</v>
      </c>
      <c r="R180" s="77">
        <v>0</v>
      </c>
      <c r="S180" s="77">
        <v>0</v>
      </c>
      <c r="T180" s="77">
        <v>0</v>
      </c>
      <c r="U180" s="77">
        <v>0</v>
      </c>
      <c r="V180" s="77">
        <v>349</v>
      </c>
      <c r="W180" s="82" t="s">
        <v>5387</v>
      </c>
      <c r="X180" s="80" t="str">
        <f>HYPERLINK("https://wa.me/qr/IJF6KTKNFZP4K1")</f>
        <v>https://wa.me/qr/IJF6KTKNFZP4K1</v>
      </c>
      <c r="Y180" s="77" t="s">
        <v>7279</v>
      </c>
      <c r="Z180" s="77"/>
      <c r="AA180" s="77" t="s">
        <v>7619</v>
      </c>
      <c r="AB180" s="77" t="s">
        <v>10129</v>
      </c>
      <c r="AC180" s="82" t="s">
        <v>10145</v>
      </c>
      <c r="AD180" s="77" t="s">
        <v>10184</v>
      </c>
      <c r="AE180" s="80" t="str">
        <f>HYPERLINK("https://twitter.com/packs_plr_grati/status/1674157944684924928")</f>
        <v>https://twitter.com/packs_plr_grati/status/1674157944684924928</v>
      </c>
      <c r="AF180" s="79">
        <v>45105.867280092592</v>
      </c>
      <c r="AG180" s="85">
        <v>45105</v>
      </c>
      <c r="AH180" s="82" t="s">
        <v>10375</v>
      </c>
      <c r="AI180" s="77" t="b">
        <v>0</v>
      </c>
      <c r="AJ180" s="77"/>
      <c r="AK180" s="77"/>
      <c r="AL180" s="77"/>
      <c r="AM180" s="77"/>
      <c r="AN180" s="77"/>
      <c r="AO180" s="77"/>
      <c r="AP180" s="77"/>
      <c r="AQ180" s="77" t="s">
        <v>14263</v>
      </c>
      <c r="AR180" s="77">
        <v>11066</v>
      </c>
      <c r="AS180" s="77"/>
      <c r="AT180" s="77"/>
      <c r="AU180" s="77"/>
      <c r="AV180" s="80" t="str">
        <f>HYPERLINK("https://pbs.twimg.com/ext_tw_video_thumb/1674157889185824771/pu/img/qNMe86LVnrj8gtbP.jpg")</f>
        <v>https://pbs.twimg.com/ext_tw_video_thumb/1674157889185824771/pu/img/qNMe86LVnrj8gtbP.jpg</v>
      </c>
      <c r="AW180" s="82" t="s">
        <v>16953</v>
      </c>
      <c r="AX180" s="82" t="s">
        <v>16953</v>
      </c>
      <c r="AY180" s="77"/>
      <c r="AZ180" s="82" t="s">
        <v>20971</v>
      </c>
      <c r="BA180" s="82" t="s">
        <v>20971</v>
      </c>
      <c r="BB180" s="82" t="s">
        <v>20971</v>
      </c>
      <c r="BC180" s="82" t="s">
        <v>16953</v>
      </c>
      <c r="BD180" s="82" t="s">
        <v>21078</v>
      </c>
      <c r="BE180" s="77"/>
      <c r="BF180" s="77"/>
      <c r="BG180" s="77"/>
      <c r="BH180" s="77"/>
      <c r="BI180" s="77"/>
    </row>
    <row r="181" spans="1:61" x14ac:dyDescent="0.25">
      <c r="A181" s="62" t="s">
        <v>317</v>
      </c>
      <c r="B181" s="62" t="s">
        <v>317</v>
      </c>
      <c r="C181" s="63"/>
      <c r="D181" s="64"/>
      <c r="E181" s="65"/>
      <c r="F181" s="66"/>
      <c r="G181" s="63"/>
      <c r="H181" s="67"/>
      <c r="I181" s="68"/>
      <c r="J181" s="68"/>
      <c r="K181" s="32"/>
      <c r="L181" s="75">
        <v>181</v>
      </c>
      <c r="M181" s="75"/>
      <c r="N181" s="70"/>
      <c r="O181" s="77" t="s">
        <v>179</v>
      </c>
      <c r="P181" s="79">
        <v>44970.494097222225</v>
      </c>
      <c r="Q181" s="77" t="s">
        <v>1465</v>
      </c>
      <c r="R181" s="77">
        <v>0</v>
      </c>
      <c r="S181" s="77">
        <v>1</v>
      </c>
      <c r="T181" s="77">
        <v>0</v>
      </c>
      <c r="U181" s="77">
        <v>0</v>
      </c>
      <c r="V181" s="77">
        <v>43</v>
      </c>
      <c r="W181" s="82" t="s">
        <v>5388</v>
      </c>
      <c r="X181" s="77"/>
      <c r="Y181" s="77"/>
      <c r="Z181" s="77"/>
      <c r="AA181" s="77"/>
      <c r="AB181" s="77"/>
      <c r="AC181" s="82" t="s">
        <v>10146</v>
      </c>
      <c r="AD181" s="77" t="s">
        <v>10184</v>
      </c>
      <c r="AE181" s="80" t="str">
        <f>HYPERLINK("https://twitter.com/cz_nogueira/status/1625100347839590403")</f>
        <v>https://twitter.com/cz_nogueira/status/1625100347839590403</v>
      </c>
      <c r="AF181" s="79">
        <v>44970.494097222225</v>
      </c>
      <c r="AG181" s="85">
        <v>44970</v>
      </c>
      <c r="AH181" s="82" t="s">
        <v>10376</v>
      </c>
      <c r="AI181" s="77"/>
      <c r="AJ181" s="77"/>
      <c r="AK181" s="77"/>
      <c r="AL181" s="77"/>
      <c r="AM181" s="77"/>
      <c r="AN181" s="77"/>
      <c r="AO181" s="77"/>
      <c r="AP181" s="77"/>
      <c r="AQ181" s="77"/>
      <c r="AR181" s="77"/>
      <c r="AS181" s="77"/>
      <c r="AT181" s="77"/>
      <c r="AU181" s="77"/>
      <c r="AV181" s="80" t="str">
        <f>HYPERLINK("https://pbs.twimg.com/profile_images/1436801088062111744/z1jkHIHG_normal.jpg")</f>
        <v>https://pbs.twimg.com/profile_images/1436801088062111744/z1jkHIHG_normal.jpg</v>
      </c>
      <c r="AW181" s="82" t="s">
        <v>16954</v>
      </c>
      <c r="AX181" s="82" t="s">
        <v>16954</v>
      </c>
      <c r="AY181" s="77"/>
      <c r="AZ181" s="82" t="s">
        <v>20971</v>
      </c>
      <c r="BA181" s="82" t="s">
        <v>20971</v>
      </c>
      <c r="BB181" s="82" t="s">
        <v>20971</v>
      </c>
      <c r="BC181" s="82" t="s">
        <v>16954</v>
      </c>
      <c r="BD181" s="82" t="s">
        <v>21079</v>
      </c>
      <c r="BE181" s="77"/>
      <c r="BF181" s="77"/>
      <c r="BG181" s="77"/>
      <c r="BH181" s="77"/>
      <c r="BI181" s="77"/>
    </row>
    <row r="182" spans="1:61" x14ac:dyDescent="0.25">
      <c r="A182" s="62" t="s">
        <v>318</v>
      </c>
      <c r="B182" s="62" t="s">
        <v>318</v>
      </c>
      <c r="C182" s="63"/>
      <c r="D182" s="64"/>
      <c r="E182" s="65"/>
      <c r="F182" s="66"/>
      <c r="G182" s="63"/>
      <c r="H182" s="67"/>
      <c r="I182" s="68"/>
      <c r="J182" s="68"/>
      <c r="K182" s="32"/>
      <c r="L182" s="75">
        <v>182</v>
      </c>
      <c r="M182" s="75"/>
      <c r="N182" s="70"/>
      <c r="O182" s="77" t="s">
        <v>179</v>
      </c>
      <c r="P182" s="79">
        <v>45075.863530092596</v>
      </c>
      <c r="Q182" s="77" t="s">
        <v>1466</v>
      </c>
      <c r="R182" s="77">
        <v>0</v>
      </c>
      <c r="S182" s="77">
        <v>0</v>
      </c>
      <c r="T182" s="77">
        <v>0</v>
      </c>
      <c r="U182" s="77">
        <v>0</v>
      </c>
      <c r="V182" s="77">
        <v>96</v>
      </c>
      <c r="W182" s="82" t="s">
        <v>5389</v>
      </c>
      <c r="X182" s="80" t="str">
        <f>HYPERLINK("https://www.bbrbet.com/c-X4cujVgc?lang=pt")</f>
        <v>https://www.bbrbet.com/c-X4cujVgc?lang=pt</v>
      </c>
      <c r="Y182" s="77" t="s">
        <v>7280</v>
      </c>
      <c r="Z182" s="77"/>
      <c r="AA182" s="77"/>
      <c r="AB182" s="77"/>
      <c r="AC182" s="82" t="s">
        <v>10145</v>
      </c>
      <c r="AD182" s="77" t="s">
        <v>10184</v>
      </c>
      <c r="AE182" s="80" t="str">
        <f>HYPERLINK("https://twitter.com/danniolliveira_/status/1663284951851192323")</f>
        <v>https://twitter.com/danniolliveira_/status/1663284951851192323</v>
      </c>
      <c r="AF182" s="79">
        <v>45075.863530092596</v>
      </c>
      <c r="AG182" s="85">
        <v>45075</v>
      </c>
      <c r="AH182" s="82" t="s">
        <v>10377</v>
      </c>
      <c r="AI182" s="77" t="b">
        <v>0</v>
      </c>
      <c r="AJ182" s="77" t="s">
        <v>14006</v>
      </c>
      <c r="AK182" s="77" t="s">
        <v>14033</v>
      </c>
      <c r="AL182" s="77" t="s">
        <v>14035</v>
      </c>
      <c r="AM182" s="77" t="s">
        <v>14048</v>
      </c>
      <c r="AN182" s="77" t="s">
        <v>14085</v>
      </c>
      <c r="AO182" s="77" t="s">
        <v>14123</v>
      </c>
      <c r="AP182" s="77" t="s">
        <v>14149</v>
      </c>
      <c r="AQ182" s="77"/>
      <c r="AR182" s="77"/>
      <c r="AS182" s="77"/>
      <c r="AT182" s="77"/>
      <c r="AU182" s="77"/>
      <c r="AV182" s="80" t="str">
        <f>HYPERLINK("https://pbs.twimg.com/profile_images/1625942828651057163/MhYD8-Yq_normal.jpg")</f>
        <v>https://pbs.twimg.com/profile_images/1625942828651057163/MhYD8-Yq_normal.jpg</v>
      </c>
      <c r="AW182" s="82" t="s">
        <v>16955</v>
      </c>
      <c r="AX182" s="82" t="s">
        <v>16955</v>
      </c>
      <c r="AY182" s="77"/>
      <c r="AZ182" s="82" t="s">
        <v>20971</v>
      </c>
      <c r="BA182" s="82" t="s">
        <v>20971</v>
      </c>
      <c r="BB182" s="82" t="s">
        <v>20971</v>
      </c>
      <c r="BC182" s="82" t="s">
        <v>16955</v>
      </c>
      <c r="BD182" s="77">
        <v>85097900</v>
      </c>
      <c r="BE182" s="77"/>
      <c r="BF182" s="77"/>
      <c r="BG182" s="77"/>
      <c r="BH182" s="77"/>
      <c r="BI182" s="77"/>
    </row>
    <row r="183" spans="1:61" x14ac:dyDescent="0.25">
      <c r="A183" s="62" t="s">
        <v>319</v>
      </c>
      <c r="B183" s="62" t="s">
        <v>319</v>
      </c>
      <c r="C183" s="63"/>
      <c r="D183" s="64"/>
      <c r="E183" s="65"/>
      <c r="F183" s="66"/>
      <c r="G183" s="63"/>
      <c r="H183" s="67"/>
      <c r="I183" s="68"/>
      <c r="J183" s="68"/>
      <c r="K183" s="32"/>
      <c r="L183" s="75">
        <v>183</v>
      </c>
      <c r="M183" s="75"/>
      <c r="N183" s="70"/>
      <c r="O183" s="77" t="s">
        <v>179</v>
      </c>
      <c r="P183" s="79">
        <v>45135.254548611112</v>
      </c>
      <c r="Q183" s="77" t="s">
        <v>1467</v>
      </c>
      <c r="R183" s="77">
        <v>0</v>
      </c>
      <c r="S183" s="77">
        <v>0</v>
      </c>
      <c r="T183" s="77">
        <v>1</v>
      </c>
      <c r="U183" s="77">
        <v>0</v>
      </c>
      <c r="V183" s="77">
        <v>130</v>
      </c>
      <c r="W183" s="82" t="s">
        <v>5390</v>
      </c>
      <c r="X183" s="77"/>
      <c r="Y183" s="77"/>
      <c r="Z183" s="77"/>
      <c r="AA183" s="77" t="s">
        <v>7620</v>
      </c>
      <c r="AB183" s="77" t="s">
        <v>10129</v>
      </c>
      <c r="AC183" s="82" t="s">
        <v>10145</v>
      </c>
      <c r="AD183" s="77" t="s">
        <v>10184</v>
      </c>
      <c r="AE183" s="80" t="str">
        <f>HYPERLINK("https://twitter.com/maria_alves_72/status/1684807538020093952")</f>
        <v>https://twitter.com/maria_alves_72/status/1684807538020093952</v>
      </c>
      <c r="AF183" s="79">
        <v>45135.254548611112</v>
      </c>
      <c r="AG183" s="85">
        <v>45135</v>
      </c>
      <c r="AH183" s="82" t="s">
        <v>10378</v>
      </c>
      <c r="AI183" s="77" t="b">
        <v>0</v>
      </c>
      <c r="AJ183" s="77"/>
      <c r="AK183" s="77"/>
      <c r="AL183" s="77"/>
      <c r="AM183" s="77"/>
      <c r="AN183" s="77"/>
      <c r="AO183" s="77"/>
      <c r="AP183" s="77"/>
      <c r="AQ183" s="77" t="s">
        <v>14264</v>
      </c>
      <c r="AR183" s="77">
        <v>59833</v>
      </c>
      <c r="AS183" s="77"/>
      <c r="AT183" s="77"/>
      <c r="AU183" s="77"/>
      <c r="AV183" s="80" t="str">
        <f>HYPERLINK("https://pbs.twimg.com/ext_tw_video_thumb/1684807414539841536/pu/img/CZFowbtW1VAGWGn2.jpg")</f>
        <v>https://pbs.twimg.com/ext_tw_video_thumb/1684807414539841536/pu/img/CZFowbtW1VAGWGn2.jpg</v>
      </c>
      <c r="AW183" s="82" t="s">
        <v>16956</v>
      </c>
      <c r="AX183" s="82" t="s">
        <v>16956</v>
      </c>
      <c r="AY183" s="77"/>
      <c r="AZ183" s="82" t="s">
        <v>20971</v>
      </c>
      <c r="BA183" s="82" t="s">
        <v>20971</v>
      </c>
      <c r="BB183" s="82" t="s">
        <v>20971</v>
      </c>
      <c r="BC183" s="82" t="s">
        <v>16956</v>
      </c>
      <c r="BD183" s="82" t="s">
        <v>21080</v>
      </c>
      <c r="BE183" s="77"/>
      <c r="BF183" s="77"/>
      <c r="BG183" s="77"/>
      <c r="BH183" s="77"/>
      <c r="BI183" s="77"/>
    </row>
    <row r="184" spans="1:61" x14ac:dyDescent="0.25">
      <c r="A184" s="62" t="s">
        <v>320</v>
      </c>
      <c r="B184" s="62" t="s">
        <v>320</v>
      </c>
      <c r="C184" s="63"/>
      <c r="D184" s="64"/>
      <c r="E184" s="65"/>
      <c r="F184" s="66"/>
      <c r="G184" s="63"/>
      <c r="H184" s="67"/>
      <c r="I184" s="68"/>
      <c r="J184" s="68"/>
      <c r="K184" s="32"/>
      <c r="L184" s="75">
        <v>184</v>
      </c>
      <c r="M184" s="75"/>
      <c r="N184" s="70"/>
      <c r="O184" s="77" t="s">
        <v>179</v>
      </c>
      <c r="P184" s="79">
        <v>45172.506712962961</v>
      </c>
      <c r="Q184" s="77" t="s">
        <v>1468</v>
      </c>
      <c r="R184" s="77">
        <v>0</v>
      </c>
      <c r="S184" s="77">
        <v>0</v>
      </c>
      <c r="T184" s="77">
        <v>0</v>
      </c>
      <c r="U184" s="77">
        <v>0</v>
      </c>
      <c r="V184" s="77">
        <v>18</v>
      </c>
      <c r="W184" s="82" t="s">
        <v>5391</v>
      </c>
      <c r="X184" s="80" t="str">
        <f>HYPERLINK("https://www.escolaparaesteticistas.com/curso-de-extensao-de-cilios?ref=O81185076P")</f>
        <v>https://www.escolaparaesteticistas.com/curso-de-extensao-de-cilios?ref=O81185076P</v>
      </c>
      <c r="Y184" s="77" t="s">
        <v>7281</v>
      </c>
      <c r="Z184" s="77"/>
      <c r="AA184" s="77"/>
      <c r="AB184" s="77"/>
      <c r="AC184" s="82" t="s">
        <v>10144</v>
      </c>
      <c r="AD184" s="77" t="s">
        <v>10184</v>
      </c>
      <c r="AE184" s="80" t="str">
        <f>HYPERLINK("https://twitter.com/nethinhoba/status/1698307270440886690")</f>
        <v>https://twitter.com/nethinhoba/status/1698307270440886690</v>
      </c>
      <c r="AF184" s="79">
        <v>45172.506712962961</v>
      </c>
      <c r="AG184" s="85">
        <v>45172</v>
      </c>
      <c r="AH184" s="82" t="s">
        <v>10379</v>
      </c>
      <c r="AI184" s="77" t="b">
        <v>0</v>
      </c>
      <c r="AJ184" s="77"/>
      <c r="AK184" s="77"/>
      <c r="AL184" s="77"/>
      <c r="AM184" s="77"/>
      <c r="AN184" s="77"/>
      <c r="AO184" s="77"/>
      <c r="AP184" s="77"/>
      <c r="AQ184" s="77"/>
      <c r="AR184" s="77"/>
      <c r="AS184" s="77"/>
      <c r="AT184" s="77"/>
      <c r="AU184" s="77"/>
      <c r="AV184" s="80" t="str">
        <f>HYPERLINK("https://pbs.twimg.com/profile_images/1678802412365029376/1_g59R6l_normal.jpg")</f>
        <v>https://pbs.twimg.com/profile_images/1678802412365029376/1_g59R6l_normal.jpg</v>
      </c>
      <c r="AW184" s="82" t="s">
        <v>16957</v>
      </c>
      <c r="AX184" s="82" t="s">
        <v>16957</v>
      </c>
      <c r="AY184" s="77"/>
      <c r="AZ184" s="82" t="s">
        <v>20971</v>
      </c>
      <c r="BA184" s="82" t="s">
        <v>20971</v>
      </c>
      <c r="BB184" s="82" t="s">
        <v>20971</v>
      </c>
      <c r="BC184" s="82" t="s">
        <v>16957</v>
      </c>
      <c r="BD184" s="77">
        <v>58554496</v>
      </c>
      <c r="BE184" s="77"/>
      <c r="BF184" s="77"/>
      <c r="BG184" s="77"/>
      <c r="BH184" s="77"/>
      <c r="BI184" s="77"/>
    </row>
    <row r="185" spans="1:61" x14ac:dyDescent="0.25">
      <c r="A185" s="62" t="s">
        <v>320</v>
      </c>
      <c r="B185" s="62" t="s">
        <v>320</v>
      </c>
      <c r="C185" s="63"/>
      <c r="D185" s="64"/>
      <c r="E185" s="65"/>
      <c r="F185" s="66"/>
      <c r="G185" s="63"/>
      <c r="H185" s="67"/>
      <c r="I185" s="68"/>
      <c r="J185" s="68"/>
      <c r="K185" s="32"/>
      <c r="L185" s="75">
        <v>185</v>
      </c>
      <c r="M185" s="75"/>
      <c r="N185" s="70"/>
      <c r="O185" s="77" t="s">
        <v>179</v>
      </c>
      <c r="P185" s="79">
        <v>45172.493923611109</v>
      </c>
      <c r="Q185" s="77" t="s">
        <v>1469</v>
      </c>
      <c r="R185" s="77">
        <v>0</v>
      </c>
      <c r="S185" s="77">
        <v>0</v>
      </c>
      <c r="T185" s="77">
        <v>0</v>
      </c>
      <c r="U185" s="77">
        <v>0</v>
      </c>
      <c r="V185" s="77">
        <v>30</v>
      </c>
      <c r="W185" s="82" t="s">
        <v>5392</v>
      </c>
      <c r="X185" s="80" t="str">
        <f>HYPERLINK("https://sosobrancelhasperfeitas.com/sobrancelhas-perfeitas/?ref=D73150297D")</f>
        <v>https://sosobrancelhasperfeitas.com/sobrancelhas-perfeitas/?ref=D73150297D</v>
      </c>
      <c r="Y185" s="77" t="s">
        <v>7282</v>
      </c>
      <c r="Z185" s="77"/>
      <c r="AA185" s="77" t="s">
        <v>7621</v>
      </c>
      <c r="AB185" s="77" t="s">
        <v>10130</v>
      </c>
      <c r="AC185" s="82" t="s">
        <v>10144</v>
      </c>
      <c r="AD185" s="77" t="s">
        <v>10184</v>
      </c>
      <c r="AE185" s="80" t="str">
        <f>HYPERLINK("https://twitter.com/nethinhoba/status/1698302632744329440")</f>
        <v>https://twitter.com/nethinhoba/status/1698302632744329440</v>
      </c>
      <c r="AF185" s="79">
        <v>45172.493923611109</v>
      </c>
      <c r="AG185" s="85">
        <v>45172</v>
      </c>
      <c r="AH185" s="82" t="s">
        <v>10380</v>
      </c>
      <c r="AI185" s="77" t="b">
        <v>0</v>
      </c>
      <c r="AJ185" s="77"/>
      <c r="AK185" s="77"/>
      <c r="AL185" s="77"/>
      <c r="AM185" s="77"/>
      <c r="AN185" s="77"/>
      <c r="AO185" s="77"/>
      <c r="AP185" s="77"/>
      <c r="AQ185" s="77" t="s">
        <v>14265</v>
      </c>
      <c r="AR185" s="77"/>
      <c r="AS185" s="77"/>
      <c r="AT185" s="77"/>
      <c r="AU185" s="77"/>
      <c r="AV185" s="80" t="str">
        <f>HYPERLINK("https://pbs.twimg.com/media/F5GVPmAWsAAUJGg.jpg")</f>
        <v>https://pbs.twimg.com/media/F5GVPmAWsAAUJGg.jpg</v>
      </c>
      <c r="AW185" s="82" t="s">
        <v>16958</v>
      </c>
      <c r="AX185" s="82" t="s">
        <v>16958</v>
      </c>
      <c r="AY185" s="77"/>
      <c r="AZ185" s="82" t="s">
        <v>20971</v>
      </c>
      <c r="BA185" s="82" t="s">
        <v>20971</v>
      </c>
      <c r="BB185" s="82" t="s">
        <v>20971</v>
      </c>
      <c r="BC185" s="82" t="s">
        <v>16958</v>
      </c>
      <c r="BD185" s="77">
        <v>58554496</v>
      </c>
      <c r="BE185" s="77"/>
      <c r="BF185" s="77"/>
      <c r="BG185" s="77"/>
      <c r="BH185" s="77"/>
      <c r="BI185" s="77"/>
    </row>
    <row r="186" spans="1:61" x14ac:dyDescent="0.25">
      <c r="A186" s="62" t="s">
        <v>321</v>
      </c>
      <c r="B186" s="62" t="s">
        <v>321</v>
      </c>
      <c r="C186" s="63"/>
      <c r="D186" s="64"/>
      <c r="E186" s="65"/>
      <c r="F186" s="66"/>
      <c r="G186" s="63"/>
      <c r="H186" s="67"/>
      <c r="I186" s="68"/>
      <c r="J186" s="68"/>
      <c r="K186" s="32"/>
      <c r="L186" s="75">
        <v>186</v>
      </c>
      <c r="M186" s="75"/>
      <c r="N186" s="70"/>
      <c r="O186" s="77" t="s">
        <v>179</v>
      </c>
      <c r="P186" s="79">
        <v>45187.545439814814</v>
      </c>
      <c r="Q186" s="77" t="s">
        <v>1470</v>
      </c>
      <c r="R186" s="77">
        <v>0</v>
      </c>
      <c r="S186" s="77">
        <v>0</v>
      </c>
      <c r="T186" s="77">
        <v>0</v>
      </c>
      <c r="U186" s="77">
        <v>0</v>
      </c>
      <c r="V186" s="77">
        <v>17</v>
      </c>
      <c r="W186" s="82" t="s">
        <v>5393</v>
      </c>
      <c r="X186" s="77"/>
      <c r="Y186" s="77"/>
      <c r="Z186" s="77"/>
      <c r="AA186" s="77" t="s">
        <v>7622</v>
      </c>
      <c r="AB186" s="77" t="s">
        <v>10130</v>
      </c>
      <c r="AC186" s="82" t="s">
        <v>10145</v>
      </c>
      <c r="AD186" s="77" t="s">
        <v>10184</v>
      </c>
      <c r="AE186" s="80" t="str">
        <f>HYPERLINK("https://twitter.com/sempreganha1/status/1703757120565301353")</f>
        <v>https://twitter.com/sempreganha1/status/1703757120565301353</v>
      </c>
      <c r="AF186" s="79">
        <v>45187.545439814814</v>
      </c>
      <c r="AG186" s="85">
        <v>45187</v>
      </c>
      <c r="AH186" s="82" t="s">
        <v>10381</v>
      </c>
      <c r="AI186" s="77" t="b">
        <v>0</v>
      </c>
      <c r="AJ186" s="77"/>
      <c r="AK186" s="77"/>
      <c r="AL186" s="77"/>
      <c r="AM186" s="77"/>
      <c r="AN186" s="77"/>
      <c r="AO186" s="77"/>
      <c r="AP186" s="77"/>
      <c r="AQ186" s="77" t="s">
        <v>14266</v>
      </c>
      <c r="AR186" s="77"/>
      <c r="AS186" s="77"/>
      <c r="AT186" s="77"/>
      <c r="AU186" s="77"/>
      <c r="AV186" s="80" t="str">
        <f>HYPERLINK("https://pbs.twimg.com/media/F6T2EdCXUAAqVjG.jpg")</f>
        <v>https://pbs.twimg.com/media/F6T2EdCXUAAqVjG.jpg</v>
      </c>
      <c r="AW186" s="82" t="s">
        <v>16959</v>
      </c>
      <c r="AX186" s="82" t="s">
        <v>16959</v>
      </c>
      <c r="AY186" s="77"/>
      <c r="AZ186" s="82" t="s">
        <v>20971</v>
      </c>
      <c r="BA186" s="82" t="s">
        <v>20971</v>
      </c>
      <c r="BB186" s="82" t="s">
        <v>20971</v>
      </c>
      <c r="BC186" s="82" t="s">
        <v>16959</v>
      </c>
      <c r="BD186" s="82" t="s">
        <v>21081</v>
      </c>
      <c r="BE186" s="77"/>
      <c r="BF186" s="77"/>
      <c r="BG186" s="77"/>
      <c r="BH186" s="77"/>
      <c r="BI186" s="77"/>
    </row>
    <row r="187" spans="1:61" x14ac:dyDescent="0.25">
      <c r="A187" s="62" t="s">
        <v>321</v>
      </c>
      <c r="B187" s="62" t="s">
        <v>321</v>
      </c>
      <c r="C187" s="63"/>
      <c r="D187" s="64"/>
      <c r="E187" s="65"/>
      <c r="F187" s="66"/>
      <c r="G187" s="63"/>
      <c r="H187" s="67"/>
      <c r="I187" s="68"/>
      <c r="J187" s="68"/>
      <c r="K187" s="32"/>
      <c r="L187" s="75">
        <v>187</v>
      </c>
      <c r="M187" s="75"/>
      <c r="N187" s="70"/>
      <c r="O187" s="77" t="s">
        <v>179</v>
      </c>
      <c r="P187" s="79">
        <v>45188.630046296297</v>
      </c>
      <c r="Q187" s="77" t="s">
        <v>1471</v>
      </c>
      <c r="R187" s="77">
        <v>0</v>
      </c>
      <c r="S187" s="77">
        <v>0</v>
      </c>
      <c r="T187" s="77">
        <v>0</v>
      </c>
      <c r="U187" s="77">
        <v>0</v>
      </c>
      <c r="V187" s="77">
        <v>10</v>
      </c>
      <c r="W187" s="82" t="s">
        <v>5394</v>
      </c>
      <c r="X187" s="77"/>
      <c r="Y187" s="77"/>
      <c r="Z187" s="77"/>
      <c r="AA187" s="77" t="s">
        <v>7623</v>
      </c>
      <c r="AB187" s="77" t="s">
        <v>10130</v>
      </c>
      <c r="AC187" s="82" t="s">
        <v>10145</v>
      </c>
      <c r="AD187" s="77" t="s">
        <v>10184</v>
      </c>
      <c r="AE187" s="80" t="str">
        <f>HYPERLINK("https://twitter.com/sempreganha1/status/1704150170588369051")</f>
        <v>https://twitter.com/sempreganha1/status/1704150170588369051</v>
      </c>
      <c r="AF187" s="79">
        <v>45188.630046296297</v>
      </c>
      <c r="AG187" s="85">
        <v>45188</v>
      </c>
      <c r="AH187" s="82" t="s">
        <v>10382</v>
      </c>
      <c r="AI187" s="77" t="b">
        <v>0</v>
      </c>
      <c r="AJ187" s="77"/>
      <c r="AK187" s="77"/>
      <c r="AL187" s="77"/>
      <c r="AM187" s="77"/>
      <c r="AN187" s="77"/>
      <c r="AO187" s="77"/>
      <c r="AP187" s="77"/>
      <c r="AQ187" s="77" t="s">
        <v>14267</v>
      </c>
      <c r="AR187" s="77"/>
      <c r="AS187" s="77"/>
      <c r="AT187" s="77"/>
      <c r="AU187" s="77"/>
      <c r="AV187" s="80" t="str">
        <f>HYPERLINK("https://pbs.twimg.com/media/F6Zbi-1WsAABl5Z.jpg")</f>
        <v>https://pbs.twimg.com/media/F6Zbi-1WsAABl5Z.jpg</v>
      </c>
      <c r="AW187" s="82" t="s">
        <v>16960</v>
      </c>
      <c r="AX187" s="82" t="s">
        <v>16960</v>
      </c>
      <c r="AY187" s="77"/>
      <c r="AZ187" s="82" t="s">
        <v>20971</v>
      </c>
      <c r="BA187" s="82" t="s">
        <v>20971</v>
      </c>
      <c r="BB187" s="82" t="s">
        <v>20971</v>
      </c>
      <c r="BC187" s="82" t="s">
        <v>16960</v>
      </c>
      <c r="BD187" s="82" t="s">
        <v>21081</v>
      </c>
      <c r="BE187" s="77"/>
      <c r="BF187" s="77"/>
      <c r="BG187" s="77"/>
      <c r="BH187" s="77"/>
      <c r="BI187" s="77"/>
    </row>
    <row r="188" spans="1:61" x14ac:dyDescent="0.25">
      <c r="A188" s="62" t="s">
        <v>321</v>
      </c>
      <c r="B188" s="62" t="s">
        <v>321</v>
      </c>
      <c r="C188" s="63"/>
      <c r="D188" s="64"/>
      <c r="E188" s="65"/>
      <c r="F188" s="66"/>
      <c r="G188" s="63"/>
      <c r="H188" s="67"/>
      <c r="I188" s="68"/>
      <c r="J188" s="68"/>
      <c r="K188" s="32"/>
      <c r="L188" s="75">
        <v>188</v>
      </c>
      <c r="M188" s="75"/>
      <c r="N188" s="70"/>
      <c r="O188" s="77" t="s">
        <v>179</v>
      </c>
      <c r="P188" s="79">
        <v>45188.62771990741</v>
      </c>
      <c r="Q188" s="77" t="s">
        <v>1472</v>
      </c>
      <c r="R188" s="77">
        <v>0</v>
      </c>
      <c r="S188" s="77">
        <v>0</v>
      </c>
      <c r="T188" s="77">
        <v>0</v>
      </c>
      <c r="U188" s="77">
        <v>0</v>
      </c>
      <c r="V188" s="77">
        <v>13</v>
      </c>
      <c r="W188" s="82" t="s">
        <v>5393</v>
      </c>
      <c r="X188" s="77"/>
      <c r="Y188" s="77"/>
      <c r="Z188" s="77"/>
      <c r="AA188" s="77" t="s">
        <v>7624</v>
      </c>
      <c r="AB188" s="77" t="s">
        <v>10129</v>
      </c>
      <c r="AC188" s="82" t="s">
        <v>10145</v>
      </c>
      <c r="AD188" s="77" t="s">
        <v>10184</v>
      </c>
      <c r="AE188" s="80" t="str">
        <f>HYPERLINK("https://twitter.com/sempreganha1/status/1704149327206109533")</f>
        <v>https://twitter.com/sempreganha1/status/1704149327206109533</v>
      </c>
      <c r="AF188" s="79">
        <v>45188.62771990741</v>
      </c>
      <c r="AG188" s="85">
        <v>45188</v>
      </c>
      <c r="AH188" s="82" t="s">
        <v>10383</v>
      </c>
      <c r="AI188" s="77" t="b">
        <v>0</v>
      </c>
      <c r="AJ188" s="77"/>
      <c r="AK188" s="77"/>
      <c r="AL188" s="77"/>
      <c r="AM188" s="77"/>
      <c r="AN188" s="77"/>
      <c r="AO188" s="77"/>
      <c r="AP188" s="77"/>
      <c r="AQ188" s="77" t="s">
        <v>14268</v>
      </c>
      <c r="AR188" s="77">
        <v>5800</v>
      </c>
      <c r="AS188" s="77"/>
      <c r="AT188" s="77"/>
      <c r="AU188" s="77"/>
      <c r="AV188" s="80" t="str">
        <f>HYPERLINK("https://pbs.twimg.com/ext_tw_video_thumb/1704149300219912192/pu/img/k28-qcZ1RcCspq7a.jpg")</f>
        <v>https://pbs.twimg.com/ext_tw_video_thumb/1704149300219912192/pu/img/k28-qcZ1RcCspq7a.jpg</v>
      </c>
      <c r="AW188" s="82" t="s">
        <v>16961</v>
      </c>
      <c r="AX188" s="82" t="s">
        <v>16961</v>
      </c>
      <c r="AY188" s="77"/>
      <c r="AZ188" s="82" t="s">
        <v>20971</v>
      </c>
      <c r="BA188" s="82" t="s">
        <v>20971</v>
      </c>
      <c r="BB188" s="82" t="s">
        <v>20971</v>
      </c>
      <c r="BC188" s="82" t="s">
        <v>16961</v>
      </c>
      <c r="BD188" s="82" t="s">
        <v>21081</v>
      </c>
      <c r="BE188" s="77"/>
      <c r="BF188" s="77"/>
      <c r="BG188" s="77"/>
      <c r="BH188" s="77"/>
      <c r="BI188" s="77"/>
    </row>
    <row r="189" spans="1:61" x14ac:dyDescent="0.25">
      <c r="A189" s="62" t="s">
        <v>322</v>
      </c>
      <c r="B189" s="62" t="s">
        <v>322</v>
      </c>
      <c r="C189" s="63"/>
      <c r="D189" s="64"/>
      <c r="E189" s="65"/>
      <c r="F189" s="66"/>
      <c r="G189" s="63"/>
      <c r="H189" s="67"/>
      <c r="I189" s="68"/>
      <c r="J189" s="68"/>
      <c r="K189" s="32"/>
      <c r="L189" s="75">
        <v>189</v>
      </c>
      <c r="M189" s="75"/>
      <c r="N189" s="70"/>
      <c r="O189" s="77" t="s">
        <v>179</v>
      </c>
      <c r="P189" s="79">
        <v>45176.792349537034</v>
      </c>
      <c r="Q189" s="77" t="s">
        <v>1473</v>
      </c>
      <c r="R189" s="77">
        <v>0</v>
      </c>
      <c r="S189" s="77">
        <v>0</v>
      </c>
      <c r="T189" s="77">
        <v>2</v>
      </c>
      <c r="U189" s="77">
        <v>0</v>
      </c>
      <c r="V189" s="77">
        <v>497</v>
      </c>
      <c r="W189" s="82" t="s">
        <v>5395</v>
      </c>
      <c r="X189" s="77"/>
      <c r="Y189" s="77"/>
      <c r="Z189" s="77"/>
      <c r="AA189" s="77" t="s">
        <v>7625</v>
      </c>
      <c r="AB189" s="77" t="s">
        <v>10129</v>
      </c>
      <c r="AC189" s="82" t="s">
        <v>10144</v>
      </c>
      <c r="AD189" s="77" t="s">
        <v>10184</v>
      </c>
      <c r="AE189" s="80" t="str">
        <f>HYPERLINK("https://twitter.com/camillaraem/status/1699860332410179712")</f>
        <v>https://twitter.com/camillaraem/status/1699860332410179712</v>
      </c>
      <c r="AF189" s="79">
        <v>45176.792349537034</v>
      </c>
      <c r="AG189" s="85">
        <v>45176</v>
      </c>
      <c r="AH189" s="82" t="s">
        <v>10384</v>
      </c>
      <c r="AI189" s="77" t="b">
        <v>0</v>
      </c>
      <c r="AJ189" s="77"/>
      <c r="AK189" s="77"/>
      <c r="AL189" s="77"/>
      <c r="AM189" s="77"/>
      <c r="AN189" s="77"/>
      <c r="AO189" s="77"/>
      <c r="AP189" s="77"/>
      <c r="AQ189" s="77" t="s">
        <v>14269</v>
      </c>
      <c r="AR189" s="77">
        <v>17966</v>
      </c>
      <c r="AS189" s="77"/>
      <c r="AT189" s="77"/>
      <c r="AU189" s="77"/>
      <c r="AV189" s="80" t="str">
        <f>HYPERLINK("https://pbs.twimg.com/ext_tw_video_thumb/1699860266819710976/pu/img/pZDKBMhipQQVzCiM.jpg")</f>
        <v>https://pbs.twimg.com/ext_tw_video_thumb/1699860266819710976/pu/img/pZDKBMhipQQVzCiM.jpg</v>
      </c>
      <c r="AW189" s="82" t="s">
        <v>16962</v>
      </c>
      <c r="AX189" s="82" t="s">
        <v>16962</v>
      </c>
      <c r="AY189" s="77"/>
      <c r="AZ189" s="82" t="s">
        <v>20971</v>
      </c>
      <c r="BA189" s="82" t="s">
        <v>20971</v>
      </c>
      <c r="BB189" s="82" t="s">
        <v>20971</v>
      </c>
      <c r="BC189" s="82" t="s">
        <v>16962</v>
      </c>
      <c r="BD189" s="77">
        <v>38109688</v>
      </c>
      <c r="BE189" s="77"/>
      <c r="BF189" s="77"/>
      <c r="BG189" s="77"/>
      <c r="BH189" s="77"/>
      <c r="BI189" s="77"/>
    </row>
    <row r="190" spans="1:61" x14ac:dyDescent="0.25">
      <c r="A190" s="62" t="s">
        <v>323</v>
      </c>
      <c r="B190" s="62" t="s">
        <v>323</v>
      </c>
      <c r="C190" s="63"/>
      <c r="D190" s="64"/>
      <c r="E190" s="65"/>
      <c r="F190" s="66"/>
      <c r="G190" s="63"/>
      <c r="H190" s="67"/>
      <c r="I190" s="68"/>
      <c r="J190" s="68"/>
      <c r="K190" s="32"/>
      <c r="L190" s="75">
        <v>190</v>
      </c>
      <c r="M190" s="75"/>
      <c r="N190" s="70"/>
      <c r="O190" s="77" t="s">
        <v>179</v>
      </c>
      <c r="P190" s="79">
        <v>45010.500023148146</v>
      </c>
      <c r="Q190" s="77" t="s">
        <v>1474</v>
      </c>
      <c r="R190" s="77">
        <v>0</v>
      </c>
      <c r="S190" s="77">
        <v>0</v>
      </c>
      <c r="T190" s="77">
        <v>0</v>
      </c>
      <c r="U190" s="77">
        <v>0</v>
      </c>
      <c r="V190" s="77">
        <v>28</v>
      </c>
      <c r="W190" s="82" t="s">
        <v>5396</v>
      </c>
      <c r="X190" s="80" t="str">
        <f>HYPERLINK("https://hotm.art/aprenda-python-em-uma-semana")</f>
        <v>https://hotm.art/aprenda-python-em-uma-semana</v>
      </c>
      <c r="Y190" s="77" t="s">
        <v>7260</v>
      </c>
      <c r="Z190" s="77"/>
      <c r="AA190" s="77"/>
      <c r="AB190" s="77"/>
      <c r="AC190" s="82" t="s">
        <v>10146</v>
      </c>
      <c r="AD190" s="77" t="s">
        <v>10184</v>
      </c>
      <c r="AE190" s="80" t="str">
        <f>HYPERLINK("https://twitter.com/manropy/status/1639598009611866115")</f>
        <v>https://twitter.com/manropy/status/1639598009611866115</v>
      </c>
      <c r="AF190" s="79">
        <v>45010.500023148146</v>
      </c>
      <c r="AG190" s="85">
        <v>45010</v>
      </c>
      <c r="AH190" s="82" t="s">
        <v>10385</v>
      </c>
      <c r="AI190" s="77" t="b">
        <v>0</v>
      </c>
      <c r="AJ190" s="77"/>
      <c r="AK190" s="77"/>
      <c r="AL190" s="77"/>
      <c r="AM190" s="77"/>
      <c r="AN190" s="77"/>
      <c r="AO190" s="77"/>
      <c r="AP190" s="77"/>
      <c r="AQ190" s="77"/>
      <c r="AR190" s="77"/>
      <c r="AS190" s="77"/>
      <c r="AT190" s="77"/>
      <c r="AU190" s="77"/>
      <c r="AV190" s="80" t="str">
        <f>HYPERLINK("https://pbs.twimg.com/profile_images/1597429041149231104/x7YRJ5Jv_normal.jpg")</f>
        <v>https://pbs.twimg.com/profile_images/1597429041149231104/x7YRJ5Jv_normal.jpg</v>
      </c>
      <c r="AW190" s="82" t="s">
        <v>16963</v>
      </c>
      <c r="AX190" s="82" t="s">
        <v>16963</v>
      </c>
      <c r="AY190" s="77"/>
      <c r="AZ190" s="82" t="s">
        <v>20971</v>
      </c>
      <c r="BA190" s="82" t="s">
        <v>20971</v>
      </c>
      <c r="BB190" s="82" t="s">
        <v>20971</v>
      </c>
      <c r="BC190" s="82" t="s">
        <v>16963</v>
      </c>
      <c r="BD190" s="82" t="s">
        <v>21082</v>
      </c>
      <c r="BE190" s="77"/>
      <c r="BF190" s="77"/>
      <c r="BG190" s="77"/>
      <c r="BH190" s="77"/>
      <c r="BI190" s="77"/>
    </row>
    <row r="191" spans="1:61" x14ac:dyDescent="0.25">
      <c r="A191" s="62" t="s">
        <v>323</v>
      </c>
      <c r="B191" s="62" t="s">
        <v>323</v>
      </c>
      <c r="C191" s="63"/>
      <c r="D191" s="64"/>
      <c r="E191" s="65"/>
      <c r="F191" s="66"/>
      <c r="G191" s="63"/>
      <c r="H191" s="67"/>
      <c r="I191" s="68"/>
      <c r="J191" s="68"/>
      <c r="K191" s="32"/>
      <c r="L191" s="75">
        <v>191</v>
      </c>
      <c r="M191" s="75"/>
      <c r="N191" s="70"/>
      <c r="O191" s="77" t="s">
        <v>179</v>
      </c>
      <c r="P191" s="79">
        <v>45010.151319444441</v>
      </c>
      <c r="Q191" s="77" t="s">
        <v>1475</v>
      </c>
      <c r="R191" s="77">
        <v>0</v>
      </c>
      <c r="S191" s="77">
        <v>0</v>
      </c>
      <c r="T191" s="77">
        <v>0</v>
      </c>
      <c r="U191" s="77">
        <v>0</v>
      </c>
      <c r="V191" s="77">
        <v>22</v>
      </c>
      <c r="W191" s="82" t="s">
        <v>5396</v>
      </c>
      <c r="X191" s="80" t="str">
        <f>HYPERLINK("https://hotm.art/aprenda-python-em-uma-semana")</f>
        <v>https://hotm.art/aprenda-python-em-uma-semana</v>
      </c>
      <c r="Y191" s="77" t="s">
        <v>7260</v>
      </c>
      <c r="Z191" s="77"/>
      <c r="AA191" s="77"/>
      <c r="AB191" s="77"/>
      <c r="AC191" s="82" t="s">
        <v>10146</v>
      </c>
      <c r="AD191" s="77" t="s">
        <v>10184</v>
      </c>
      <c r="AE191" s="80" t="str">
        <f>HYPERLINK("https://twitter.com/manropy/status/1639471644237262849")</f>
        <v>https://twitter.com/manropy/status/1639471644237262849</v>
      </c>
      <c r="AF191" s="79">
        <v>45010.151319444441</v>
      </c>
      <c r="AG191" s="85">
        <v>45010</v>
      </c>
      <c r="AH191" s="82" t="s">
        <v>10386</v>
      </c>
      <c r="AI191" s="77" t="b">
        <v>0</v>
      </c>
      <c r="AJ191" s="77"/>
      <c r="AK191" s="77"/>
      <c r="AL191" s="77"/>
      <c r="AM191" s="77"/>
      <c r="AN191" s="77"/>
      <c r="AO191" s="77"/>
      <c r="AP191" s="77"/>
      <c r="AQ191" s="77"/>
      <c r="AR191" s="77"/>
      <c r="AS191" s="77"/>
      <c r="AT191" s="77"/>
      <c r="AU191" s="77"/>
      <c r="AV191" s="80" t="str">
        <f>HYPERLINK("https://pbs.twimg.com/profile_images/1597429041149231104/x7YRJ5Jv_normal.jpg")</f>
        <v>https://pbs.twimg.com/profile_images/1597429041149231104/x7YRJ5Jv_normal.jpg</v>
      </c>
      <c r="AW191" s="82" t="s">
        <v>16964</v>
      </c>
      <c r="AX191" s="82" t="s">
        <v>16964</v>
      </c>
      <c r="AY191" s="77"/>
      <c r="AZ191" s="82" t="s">
        <v>20971</v>
      </c>
      <c r="BA191" s="82" t="s">
        <v>20971</v>
      </c>
      <c r="BB191" s="82" t="s">
        <v>20971</v>
      </c>
      <c r="BC191" s="82" t="s">
        <v>16964</v>
      </c>
      <c r="BD191" s="82" t="s">
        <v>21082</v>
      </c>
      <c r="BE191" s="77"/>
      <c r="BF191" s="77"/>
      <c r="BG191" s="77"/>
      <c r="BH191" s="77"/>
      <c r="BI191" s="77"/>
    </row>
    <row r="192" spans="1:61" x14ac:dyDescent="0.25">
      <c r="A192" s="62" t="s">
        <v>324</v>
      </c>
      <c r="B192" s="62" t="s">
        <v>324</v>
      </c>
      <c r="C192" s="63"/>
      <c r="D192" s="64"/>
      <c r="E192" s="65"/>
      <c r="F192" s="66"/>
      <c r="G192" s="63"/>
      <c r="H192" s="67"/>
      <c r="I192" s="68"/>
      <c r="J192" s="68"/>
      <c r="K192" s="32"/>
      <c r="L192" s="75">
        <v>192</v>
      </c>
      <c r="M192" s="75"/>
      <c r="N192" s="70"/>
      <c r="O192" s="77" t="s">
        <v>179</v>
      </c>
      <c r="P192" s="79">
        <v>45116.778981481482</v>
      </c>
      <c r="Q192" s="77" t="s">
        <v>1476</v>
      </c>
      <c r="R192" s="77">
        <v>0</v>
      </c>
      <c r="S192" s="77">
        <v>0</v>
      </c>
      <c r="T192" s="77">
        <v>0</v>
      </c>
      <c r="U192" s="77">
        <v>0</v>
      </c>
      <c r="V192" s="77">
        <v>20</v>
      </c>
      <c r="W192" s="82" t="s">
        <v>5397</v>
      </c>
      <c r="X192" s="77"/>
      <c r="Y192" s="77"/>
      <c r="Z192" s="77"/>
      <c r="AA192" s="77"/>
      <c r="AB192" s="77"/>
      <c r="AC192" s="82" t="s">
        <v>10144</v>
      </c>
      <c r="AD192" s="77" t="s">
        <v>10184</v>
      </c>
      <c r="AE192" s="80" t="str">
        <f>HYPERLINK("https://twitter.com/_gusta_mkt/status/1678112214232997888")</f>
        <v>https://twitter.com/_gusta_mkt/status/1678112214232997888</v>
      </c>
      <c r="AF192" s="79">
        <v>45116.778981481482</v>
      </c>
      <c r="AG192" s="85">
        <v>45116</v>
      </c>
      <c r="AH192" s="82" t="s">
        <v>10387</v>
      </c>
      <c r="AI192" s="77"/>
      <c r="AJ192" s="77"/>
      <c r="AK192" s="77"/>
      <c r="AL192" s="77"/>
      <c r="AM192" s="77"/>
      <c r="AN192" s="77"/>
      <c r="AO192" s="77"/>
      <c r="AP192" s="77"/>
      <c r="AQ192" s="77"/>
      <c r="AR192" s="77"/>
      <c r="AS192" s="77"/>
      <c r="AT192" s="77"/>
      <c r="AU192" s="77"/>
      <c r="AV192" s="80" t="str">
        <f>HYPERLINK("https://pbs.twimg.com/profile_images/1685072300872175618/FN-0Y5uj_normal.jpg")</f>
        <v>https://pbs.twimg.com/profile_images/1685072300872175618/FN-0Y5uj_normal.jpg</v>
      </c>
      <c r="AW192" s="82" t="s">
        <v>16965</v>
      </c>
      <c r="AX192" s="82" t="s">
        <v>16965</v>
      </c>
      <c r="AY192" s="77"/>
      <c r="AZ192" s="82" t="s">
        <v>20971</v>
      </c>
      <c r="BA192" s="82" t="s">
        <v>20971</v>
      </c>
      <c r="BB192" s="82" t="s">
        <v>20971</v>
      </c>
      <c r="BC192" s="82" t="s">
        <v>16965</v>
      </c>
      <c r="BD192" s="82" t="s">
        <v>21083</v>
      </c>
      <c r="BE192" s="77"/>
      <c r="BF192" s="77"/>
      <c r="BG192" s="77"/>
      <c r="BH192" s="77"/>
      <c r="BI192" s="77"/>
    </row>
    <row r="193" spans="1:61" x14ac:dyDescent="0.25">
      <c r="A193" s="62" t="s">
        <v>324</v>
      </c>
      <c r="B193" s="62" t="s">
        <v>324</v>
      </c>
      <c r="C193" s="63"/>
      <c r="D193" s="64"/>
      <c r="E193" s="65"/>
      <c r="F193" s="66"/>
      <c r="G193" s="63"/>
      <c r="H193" s="67"/>
      <c r="I193" s="68"/>
      <c r="J193" s="68"/>
      <c r="K193" s="32"/>
      <c r="L193" s="75">
        <v>193</v>
      </c>
      <c r="M193" s="75"/>
      <c r="N193" s="70"/>
      <c r="O193" s="77" t="s">
        <v>179</v>
      </c>
      <c r="P193" s="79">
        <v>45115.003564814811</v>
      </c>
      <c r="Q193" s="77" t="s">
        <v>1477</v>
      </c>
      <c r="R193" s="77">
        <v>0</v>
      </c>
      <c r="S193" s="77">
        <v>0</v>
      </c>
      <c r="T193" s="77">
        <v>0</v>
      </c>
      <c r="U193" s="77">
        <v>0</v>
      </c>
      <c r="V193" s="77">
        <v>39</v>
      </c>
      <c r="W193" s="82" t="s">
        <v>5398</v>
      </c>
      <c r="X193" s="77"/>
      <c r="Y193" s="77"/>
      <c r="Z193" s="77"/>
      <c r="AA193" s="77" t="s">
        <v>7626</v>
      </c>
      <c r="AB193" s="77" t="s">
        <v>10130</v>
      </c>
      <c r="AC193" s="82" t="s">
        <v>10144</v>
      </c>
      <c r="AD193" s="77" t="s">
        <v>10184</v>
      </c>
      <c r="AE193" s="80" t="str">
        <f>HYPERLINK("https://twitter.com/_gusta_mkt/status/1677468824059215873")</f>
        <v>https://twitter.com/_gusta_mkt/status/1677468824059215873</v>
      </c>
      <c r="AF193" s="79">
        <v>45115.003564814811</v>
      </c>
      <c r="AG193" s="85">
        <v>45115</v>
      </c>
      <c r="AH193" s="82" t="s">
        <v>10388</v>
      </c>
      <c r="AI193" s="77" t="b">
        <v>0</v>
      </c>
      <c r="AJ193" s="77"/>
      <c r="AK193" s="77"/>
      <c r="AL193" s="77"/>
      <c r="AM193" s="77"/>
      <c r="AN193" s="77"/>
      <c r="AO193" s="77"/>
      <c r="AP193" s="77"/>
      <c r="AQ193" s="77" t="s">
        <v>14270</v>
      </c>
      <c r="AR193" s="77"/>
      <c r="AS193" s="77"/>
      <c r="AT193" s="77"/>
      <c r="AU193" s="77"/>
      <c r="AV193" s="80" t="str">
        <f>HYPERLINK("https://pbs.twimg.com/media/F0eRAVmX0AIghYO.jpg")</f>
        <v>https://pbs.twimg.com/media/F0eRAVmX0AIghYO.jpg</v>
      </c>
      <c r="AW193" s="82" t="s">
        <v>16966</v>
      </c>
      <c r="AX193" s="82" t="s">
        <v>16966</v>
      </c>
      <c r="AY193" s="77"/>
      <c r="AZ193" s="82" t="s">
        <v>20971</v>
      </c>
      <c r="BA193" s="82" t="s">
        <v>20971</v>
      </c>
      <c r="BB193" s="82" t="s">
        <v>20971</v>
      </c>
      <c r="BC193" s="82" t="s">
        <v>16966</v>
      </c>
      <c r="BD193" s="82" t="s">
        <v>21083</v>
      </c>
      <c r="BE193" s="77"/>
      <c r="BF193" s="77"/>
      <c r="BG193" s="77"/>
      <c r="BH193" s="77"/>
      <c r="BI193" s="77"/>
    </row>
    <row r="194" spans="1:61" x14ac:dyDescent="0.25">
      <c r="A194" s="62" t="s">
        <v>324</v>
      </c>
      <c r="B194" s="62" t="s">
        <v>324</v>
      </c>
      <c r="C194" s="63"/>
      <c r="D194" s="64"/>
      <c r="E194" s="65"/>
      <c r="F194" s="66"/>
      <c r="G194" s="63"/>
      <c r="H194" s="67"/>
      <c r="I194" s="68"/>
      <c r="J194" s="68"/>
      <c r="K194" s="32"/>
      <c r="L194" s="75">
        <v>194</v>
      </c>
      <c r="M194" s="75"/>
      <c r="N194" s="70"/>
      <c r="O194" s="77" t="s">
        <v>179</v>
      </c>
      <c r="P194" s="79">
        <v>45121.931608796294</v>
      </c>
      <c r="Q194" s="77" t="s">
        <v>1478</v>
      </c>
      <c r="R194" s="77">
        <v>0</v>
      </c>
      <c r="S194" s="77">
        <v>0</v>
      </c>
      <c r="T194" s="77">
        <v>0</v>
      </c>
      <c r="U194" s="77">
        <v>0</v>
      </c>
      <c r="V194" s="77">
        <v>34</v>
      </c>
      <c r="W194" s="82" t="s">
        <v>5399</v>
      </c>
      <c r="X194" s="77"/>
      <c r="Y194" s="77"/>
      <c r="Z194" s="77"/>
      <c r="AA194" s="77"/>
      <c r="AB194" s="77"/>
      <c r="AC194" s="82" t="s">
        <v>10144</v>
      </c>
      <c r="AD194" s="77" t="s">
        <v>10184</v>
      </c>
      <c r="AE194" s="80" t="str">
        <f>HYPERLINK("https://twitter.com/_gusta_mkt/status/1679979462748966914")</f>
        <v>https://twitter.com/_gusta_mkt/status/1679979462748966914</v>
      </c>
      <c r="AF194" s="79">
        <v>45121.931608796294</v>
      </c>
      <c r="AG194" s="85">
        <v>45121</v>
      </c>
      <c r="AH194" s="82" t="s">
        <v>10389</v>
      </c>
      <c r="AI194" s="77"/>
      <c r="AJ194" s="77"/>
      <c r="AK194" s="77"/>
      <c r="AL194" s="77"/>
      <c r="AM194" s="77"/>
      <c r="AN194" s="77"/>
      <c r="AO194" s="77"/>
      <c r="AP194" s="77"/>
      <c r="AQ194" s="77"/>
      <c r="AR194" s="77"/>
      <c r="AS194" s="77"/>
      <c r="AT194" s="77"/>
      <c r="AU194" s="77"/>
      <c r="AV194" s="80" t="str">
        <f>HYPERLINK("https://pbs.twimg.com/profile_images/1685072300872175618/FN-0Y5uj_normal.jpg")</f>
        <v>https://pbs.twimg.com/profile_images/1685072300872175618/FN-0Y5uj_normal.jpg</v>
      </c>
      <c r="AW194" s="82" t="s">
        <v>16967</v>
      </c>
      <c r="AX194" s="82" t="s">
        <v>16967</v>
      </c>
      <c r="AY194" s="77"/>
      <c r="AZ194" s="82" t="s">
        <v>20971</v>
      </c>
      <c r="BA194" s="82" t="s">
        <v>20971</v>
      </c>
      <c r="BB194" s="82" t="s">
        <v>20971</v>
      </c>
      <c r="BC194" s="82" t="s">
        <v>16967</v>
      </c>
      <c r="BD194" s="82" t="s">
        <v>21083</v>
      </c>
      <c r="BE194" s="77"/>
      <c r="BF194" s="77"/>
      <c r="BG194" s="77"/>
      <c r="BH194" s="77"/>
      <c r="BI194" s="77"/>
    </row>
    <row r="195" spans="1:61" x14ac:dyDescent="0.25">
      <c r="A195" s="62" t="s">
        <v>325</v>
      </c>
      <c r="B195" s="62" t="s">
        <v>325</v>
      </c>
      <c r="C195" s="63"/>
      <c r="D195" s="64"/>
      <c r="E195" s="65"/>
      <c r="F195" s="66"/>
      <c r="G195" s="63"/>
      <c r="H195" s="67"/>
      <c r="I195" s="68"/>
      <c r="J195" s="68"/>
      <c r="K195" s="32"/>
      <c r="L195" s="75">
        <v>195</v>
      </c>
      <c r="M195" s="75"/>
      <c r="N195" s="70"/>
      <c r="O195" s="77" t="s">
        <v>179</v>
      </c>
      <c r="P195" s="79">
        <v>45108.007997685185</v>
      </c>
      <c r="Q195" s="77" t="s">
        <v>1479</v>
      </c>
      <c r="R195" s="77">
        <v>1</v>
      </c>
      <c r="S195" s="77">
        <v>1</v>
      </c>
      <c r="T195" s="77">
        <v>0</v>
      </c>
      <c r="U195" s="77">
        <v>0</v>
      </c>
      <c r="V195" s="77">
        <v>129</v>
      </c>
      <c r="W195" s="82" t="s">
        <v>5236</v>
      </c>
      <c r="X195" s="80" t="str">
        <f>HYPERLINK("https://dash.yezpro.com/?r=Francisco3443233")</f>
        <v>https://dash.yezpro.com/?r=Francisco3443233</v>
      </c>
      <c r="Y195" s="77" t="s">
        <v>7283</v>
      </c>
      <c r="Z195" s="77"/>
      <c r="AA195" s="77"/>
      <c r="AB195" s="77"/>
      <c r="AC195" s="82" t="s">
        <v>10144</v>
      </c>
      <c r="AD195" s="77" t="s">
        <v>10184</v>
      </c>
      <c r="AE195" s="80" t="str">
        <f>HYPERLINK("https://twitter.com/franciscoplay11/status/1674933717045846016")</f>
        <v>https://twitter.com/franciscoplay11/status/1674933717045846016</v>
      </c>
      <c r="AF195" s="79">
        <v>45108.007997685185</v>
      </c>
      <c r="AG195" s="85">
        <v>45108</v>
      </c>
      <c r="AH195" s="82" t="s">
        <v>10390</v>
      </c>
      <c r="AI195" s="77" t="b">
        <v>0</v>
      </c>
      <c r="AJ195" s="77"/>
      <c r="AK195" s="77"/>
      <c r="AL195" s="77"/>
      <c r="AM195" s="77"/>
      <c r="AN195" s="77"/>
      <c r="AO195" s="77"/>
      <c r="AP195" s="77"/>
      <c r="AQ195" s="77"/>
      <c r="AR195" s="77"/>
      <c r="AS195" s="77"/>
      <c r="AT195" s="77"/>
      <c r="AU195" s="77"/>
      <c r="AV195" s="80" t="str">
        <f>HYPERLINK("https://pbs.twimg.com/profile_images/1617840577336250369/ilnuig0f_normal.jpg")</f>
        <v>https://pbs.twimg.com/profile_images/1617840577336250369/ilnuig0f_normal.jpg</v>
      </c>
      <c r="AW195" s="82" t="s">
        <v>16968</v>
      </c>
      <c r="AX195" s="82" t="s">
        <v>16968</v>
      </c>
      <c r="AY195" s="77"/>
      <c r="AZ195" s="82" t="s">
        <v>20971</v>
      </c>
      <c r="BA195" s="82" t="s">
        <v>20971</v>
      </c>
      <c r="BB195" s="82" t="s">
        <v>20971</v>
      </c>
      <c r="BC195" s="82" t="s">
        <v>16968</v>
      </c>
      <c r="BD195" s="77">
        <v>4749764542</v>
      </c>
      <c r="BE195" s="77"/>
      <c r="BF195" s="77"/>
      <c r="BG195" s="77"/>
      <c r="BH195" s="77"/>
      <c r="BI195" s="77"/>
    </row>
    <row r="196" spans="1:61" x14ac:dyDescent="0.25">
      <c r="A196" s="62" t="s">
        <v>326</v>
      </c>
      <c r="B196" s="62" t="s">
        <v>1242</v>
      </c>
      <c r="C196" s="63"/>
      <c r="D196" s="64"/>
      <c r="E196" s="65"/>
      <c r="F196" s="66"/>
      <c r="G196" s="63"/>
      <c r="H196" s="67"/>
      <c r="I196" s="68"/>
      <c r="J196" s="68"/>
      <c r="K196" s="32"/>
      <c r="L196" s="75">
        <v>196</v>
      </c>
      <c r="M196" s="75"/>
      <c r="N196" s="70"/>
      <c r="O196" s="77" t="s">
        <v>1284</v>
      </c>
      <c r="P196" s="79">
        <v>45107.793321759258</v>
      </c>
      <c r="Q196" s="77" t="s">
        <v>1480</v>
      </c>
      <c r="R196" s="77">
        <v>0</v>
      </c>
      <c r="S196" s="77">
        <v>0</v>
      </c>
      <c r="T196" s="77">
        <v>0</v>
      </c>
      <c r="U196" s="77">
        <v>0</v>
      </c>
      <c r="V196" s="77">
        <v>31</v>
      </c>
      <c r="W196" s="82" t="s">
        <v>5400</v>
      </c>
      <c r="X196" s="80" t="str">
        <f>HYPERLINK("https://brfilms-fund.com/download?code=d48I5n")</f>
        <v>https://brfilms-fund.com/download?code=d48I5n</v>
      </c>
      <c r="Y196" s="77" t="s">
        <v>7284</v>
      </c>
      <c r="Z196" s="77" t="s">
        <v>1242</v>
      </c>
      <c r="AA196" s="77" t="s">
        <v>7627</v>
      </c>
      <c r="AB196" s="77" t="s">
        <v>10132</v>
      </c>
      <c r="AC196" s="82" t="s">
        <v>10144</v>
      </c>
      <c r="AD196" s="77" t="s">
        <v>10187</v>
      </c>
      <c r="AE196" s="80" t="str">
        <f>HYPERLINK("https://twitter.com/dayane_mk_/status/1674855919035768840")</f>
        <v>https://twitter.com/dayane_mk_/status/1674855919035768840</v>
      </c>
      <c r="AF196" s="79">
        <v>45107.793321759258</v>
      </c>
      <c r="AG196" s="85">
        <v>45107</v>
      </c>
      <c r="AH196" s="82" t="s">
        <v>10391</v>
      </c>
      <c r="AI196" s="77" t="b">
        <v>0</v>
      </c>
      <c r="AJ196" s="77"/>
      <c r="AK196" s="77"/>
      <c r="AL196" s="77"/>
      <c r="AM196" s="77"/>
      <c r="AN196" s="77"/>
      <c r="AO196" s="77"/>
      <c r="AP196" s="77"/>
      <c r="AQ196" s="77" t="s">
        <v>14271</v>
      </c>
      <c r="AR196" s="77"/>
      <c r="AS196" s="77"/>
      <c r="AT196" s="77"/>
      <c r="AU196" s="77"/>
      <c r="AV196" s="80" t="str">
        <f>HYPERLINK("https://pbs.twimg.com/media/Fz5IktbWcAMQAHA.jpg")</f>
        <v>https://pbs.twimg.com/media/Fz5IktbWcAMQAHA.jpg</v>
      </c>
      <c r="AW196" s="82" t="s">
        <v>16969</v>
      </c>
      <c r="AX196" s="82" t="s">
        <v>20794</v>
      </c>
      <c r="AY196" s="82" t="s">
        <v>20904</v>
      </c>
      <c r="AZ196" s="82" t="s">
        <v>20794</v>
      </c>
      <c r="BA196" s="82" t="s">
        <v>20971</v>
      </c>
      <c r="BB196" s="82" t="s">
        <v>20971</v>
      </c>
      <c r="BC196" s="82" t="s">
        <v>20794</v>
      </c>
      <c r="BD196" s="82" t="s">
        <v>21084</v>
      </c>
      <c r="BE196" s="77"/>
      <c r="BF196" s="77"/>
      <c r="BG196" s="77"/>
      <c r="BH196" s="77"/>
      <c r="BI196" s="77"/>
    </row>
    <row r="197" spans="1:61" x14ac:dyDescent="0.25">
      <c r="A197" s="62" t="s">
        <v>327</v>
      </c>
      <c r="B197" s="62" t="s">
        <v>327</v>
      </c>
      <c r="C197" s="63"/>
      <c r="D197" s="64"/>
      <c r="E197" s="65"/>
      <c r="F197" s="66"/>
      <c r="G197" s="63"/>
      <c r="H197" s="67"/>
      <c r="I197" s="68"/>
      <c r="J197" s="68"/>
      <c r="K197" s="32"/>
      <c r="L197" s="75">
        <v>197</v>
      </c>
      <c r="M197" s="75"/>
      <c r="N197" s="70"/>
      <c r="O197" s="77" t="s">
        <v>179</v>
      </c>
      <c r="P197" s="79">
        <v>45136.16369212963</v>
      </c>
      <c r="Q197" s="77" t="s">
        <v>1481</v>
      </c>
      <c r="R197" s="77">
        <v>0</v>
      </c>
      <c r="S197" s="77">
        <v>0</v>
      </c>
      <c r="T197" s="77">
        <v>0</v>
      </c>
      <c r="U197" s="77">
        <v>0</v>
      </c>
      <c r="V197" s="77">
        <v>26</v>
      </c>
      <c r="W197" s="82" t="s">
        <v>5401</v>
      </c>
      <c r="X197" s="80" t="str">
        <f>HYPERLINK("https://kiwify.app/JGzjGmT?afid=kmLhSy0u")</f>
        <v>https://kiwify.app/JGzjGmT?afid=kmLhSy0u</v>
      </c>
      <c r="Y197" s="77" t="s">
        <v>7269</v>
      </c>
      <c r="Z197" s="77"/>
      <c r="AA197" s="77"/>
      <c r="AB197" s="77"/>
      <c r="AC197" s="82" t="s">
        <v>10144</v>
      </c>
      <c r="AD197" s="77" t="s">
        <v>10184</v>
      </c>
      <c r="AE197" s="80" t="str">
        <f>HYPERLINK("https://twitter.com/mocadocroche/status/1685136999773024256")</f>
        <v>https://twitter.com/mocadocroche/status/1685136999773024256</v>
      </c>
      <c r="AF197" s="79">
        <v>45136.16369212963</v>
      </c>
      <c r="AG197" s="85">
        <v>45136</v>
      </c>
      <c r="AH197" s="82" t="s">
        <v>10392</v>
      </c>
      <c r="AI197" s="77" t="b">
        <v>0</v>
      </c>
      <c r="AJ197" s="77"/>
      <c r="AK197" s="77"/>
      <c r="AL197" s="77"/>
      <c r="AM197" s="77"/>
      <c r="AN197" s="77"/>
      <c r="AO197" s="77"/>
      <c r="AP197" s="77"/>
      <c r="AQ197" s="77"/>
      <c r="AR197" s="77"/>
      <c r="AS197" s="77"/>
      <c r="AT197" s="77"/>
      <c r="AU197" s="77"/>
      <c r="AV197" s="80" t="str">
        <f>HYPERLINK("https://pbs.twimg.com/profile_images/1641984658203181057/7aXUIiNY_normal.jpg")</f>
        <v>https://pbs.twimg.com/profile_images/1641984658203181057/7aXUIiNY_normal.jpg</v>
      </c>
      <c r="AW197" s="82" t="s">
        <v>16970</v>
      </c>
      <c r="AX197" s="82" t="s">
        <v>16970</v>
      </c>
      <c r="AY197" s="77"/>
      <c r="AZ197" s="82" t="s">
        <v>20971</v>
      </c>
      <c r="BA197" s="82" t="s">
        <v>20971</v>
      </c>
      <c r="BB197" s="82" t="s">
        <v>20971</v>
      </c>
      <c r="BC197" s="82" t="s">
        <v>16970</v>
      </c>
      <c r="BD197" s="82" t="s">
        <v>21085</v>
      </c>
      <c r="BE197" s="77"/>
      <c r="BF197" s="77"/>
      <c r="BG197" s="77"/>
      <c r="BH197" s="77"/>
      <c r="BI197" s="77"/>
    </row>
    <row r="198" spans="1:61" x14ac:dyDescent="0.25">
      <c r="A198" s="62" t="s">
        <v>328</v>
      </c>
      <c r="B198" s="62" t="s">
        <v>328</v>
      </c>
      <c r="C198" s="63"/>
      <c r="D198" s="64"/>
      <c r="E198" s="65"/>
      <c r="F198" s="66"/>
      <c r="G198" s="63"/>
      <c r="H198" s="67"/>
      <c r="I198" s="68"/>
      <c r="J198" s="68"/>
      <c r="K198" s="32"/>
      <c r="L198" s="75">
        <v>198</v>
      </c>
      <c r="M198" s="75"/>
      <c r="N198" s="70"/>
      <c r="O198" s="77" t="s">
        <v>179</v>
      </c>
      <c r="P198" s="79">
        <v>45094.820856481485</v>
      </c>
      <c r="Q198" s="77" t="s">
        <v>1482</v>
      </c>
      <c r="R198" s="77">
        <v>0</v>
      </c>
      <c r="S198" s="77">
        <v>0</v>
      </c>
      <c r="T198" s="77">
        <v>0</v>
      </c>
      <c r="U198" s="77">
        <v>0</v>
      </c>
      <c r="V198" s="77">
        <v>7</v>
      </c>
      <c r="W198" s="82" t="s">
        <v>5236</v>
      </c>
      <c r="X198" s="80" t="str">
        <f>HYPERLINK("https://secure.doppus.com/go/GOHH8EBBHJJHEB0ZO")</f>
        <v>https://secure.doppus.com/go/GOHH8EBBHJJHEB0ZO</v>
      </c>
      <c r="Y198" s="77" t="s">
        <v>7285</v>
      </c>
      <c r="Z198" s="77"/>
      <c r="AA198" s="77" t="s">
        <v>7628</v>
      </c>
      <c r="AB198" s="77" t="s">
        <v>10129</v>
      </c>
      <c r="AC198" s="82" t="s">
        <v>10144</v>
      </c>
      <c r="AD198" s="77" t="s">
        <v>10184</v>
      </c>
      <c r="AE198" s="80" t="str">
        <f>HYPERLINK("https://twitter.com/elciogomes41/status/1670154858375020551")</f>
        <v>https://twitter.com/elciogomes41/status/1670154858375020551</v>
      </c>
      <c r="AF198" s="79">
        <v>45094.820856481485</v>
      </c>
      <c r="AG198" s="85">
        <v>45094</v>
      </c>
      <c r="AH198" s="82" t="s">
        <v>10393</v>
      </c>
      <c r="AI198" s="77" t="b">
        <v>0</v>
      </c>
      <c r="AJ198" s="77"/>
      <c r="AK198" s="77"/>
      <c r="AL198" s="77"/>
      <c r="AM198" s="77"/>
      <c r="AN198" s="77"/>
      <c r="AO198" s="77"/>
      <c r="AP198" s="77"/>
      <c r="AQ198" s="77" t="s">
        <v>14272</v>
      </c>
      <c r="AR198" s="77">
        <v>97730</v>
      </c>
      <c r="AS198" s="77"/>
      <c r="AT198" s="77"/>
      <c r="AU198" s="77"/>
      <c r="AV198" s="80" t="str">
        <f>HYPERLINK("https://pbs.twimg.com/ext_tw_video_thumb/1670154601343995905/pu/img/Us3hmrSfQ55hQM20.jpg")</f>
        <v>https://pbs.twimg.com/ext_tw_video_thumb/1670154601343995905/pu/img/Us3hmrSfQ55hQM20.jpg</v>
      </c>
      <c r="AW198" s="82" t="s">
        <v>16971</v>
      </c>
      <c r="AX198" s="82" t="s">
        <v>16971</v>
      </c>
      <c r="AY198" s="77"/>
      <c r="AZ198" s="82" t="s">
        <v>20971</v>
      </c>
      <c r="BA198" s="82" t="s">
        <v>20971</v>
      </c>
      <c r="BB198" s="82" t="s">
        <v>20971</v>
      </c>
      <c r="BC198" s="82" t="s">
        <v>16971</v>
      </c>
      <c r="BD198" s="82" t="s">
        <v>21086</v>
      </c>
      <c r="BE198" s="77"/>
      <c r="BF198" s="77"/>
      <c r="BG198" s="77"/>
      <c r="BH198" s="77"/>
      <c r="BI198" s="77"/>
    </row>
    <row r="199" spans="1:61" x14ac:dyDescent="0.25">
      <c r="A199" s="62" t="s">
        <v>329</v>
      </c>
      <c r="B199" s="62" t="s">
        <v>329</v>
      </c>
      <c r="C199" s="63"/>
      <c r="D199" s="64"/>
      <c r="E199" s="65"/>
      <c r="F199" s="66"/>
      <c r="G199" s="63"/>
      <c r="H199" s="67"/>
      <c r="I199" s="68"/>
      <c r="J199" s="68"/>
      <c r="K199" s="32"/>
      <c r="L199" s="75">
        <v>199</v>
      </c>
      <c r="M199" s="75"/>
      <c r="N199" s="70"/>
      <c r="O199" s="77" t="s">
        <v>179</v>
      </c>
      <c r="P199" s="79">
        <v>44971.418935185182</v>
      </c>
      <c r="Q199" s="77" t="s">
        <v>1483</v>
      </c>
      <c r="R199" s="77">
        <v>1</v>
      </c>
      <c r="S199" s="77">
        <v>1</v>
      </c>
      <c r="T199" s="77">
        <v>0</v>
      </c>
      <c r="U199" s="77">
        <v>0</v>
      </c>
      <c r="V199" s="77">
        <v>14</v>
      </c>
      <c r="W199" s="82" t="s">
        <v>5402</v>
      </c>
      <c r="X199" s="80" t="str">
        <f>HYPERLINK("https://www.fronteiralivre.com.br/entenda-como-a-legislacao-e-favoravel-para-quem-quer-contratar-estagiarios/")</f>
        <v>https://www.fronteiralivre.com.br/entenda-como-a-legislacao-e-favoravel-para-quem-quer-contratar-estagiarios/</v>
      </c>
      <c r="Y199" s="77" t="s">
        <v>7252</v>
      </c>
      <c r="Z199" s="77"/>
      <c r="AA199" s="77"/>
      <c r="AB199" s="77"/>
      <c r="AC199" s="82" t="s">
        <v>10146</v>
      </c>
      <c r="AD199" s="77" t="s">
        <v>10184</v>
      </c>
      <c r="AE199" s="80" t="str">
        <f>HYPERLINK("https://twitter.com/fronteira_livre/status/1625435499337854976")</f>
        <v>https://twitter.com/fronteira_livre/status/1625435499337854976</v>
      </c>
      <c r="AF199" s="79">
        <v>44971.418935185182</v>
      </c>
      <c r="AG199" s="85">
        <v>44971</v>
      </c>
      <c r="AH199" s="82" t="s">
        <v>10394</v>
      </c>
      <c r="AI199" s="77" t="b">
        <v>0</v>
      </c>
      <c r="AJ199" s="77"/>
      <c r="AK199" s="77"/>
      <c r="AL199" s="77"/>
      <c r="AM199" s="77"/>
      <c r="AN199" s="77"/>
      <c r="AO199" s="77"/>
      <c r="AP199" s="77"/>
      <c r="AQ199" s="77"/>
      <c r="AR199" s="77"/>
      <c r="AS199" s="77"/>
      <c r="AT199" s="77"/>
      <c r="AU199" s="77"/>
      <c r="AV199" s="80" t="str">
        <f>HYPERLINK("https://pbs.twimg.com/profile_images/1438905822176759811/P5HzYMK5_normal.jpg")</f>
        <v>https://pbs.twimg.com/profile_images/1438905822176759811/P5HzYMK5_normal.jpg</v>
      </c>
      <c r="AW199" s="82" t="s">
        <v>16972</v>
      </c>
      <c r="AX199" s="82" t="s">
        <v>16972</v>
      </c>
      <c r="AY199" s="77"/>
      <c r="AZ199" s="82" t="s">
        <v>20971</v>
      </c>
      <c r="BA199" s="82" t="s">
        <v>20971</v>
      </c>
      <c r="BB199" s="82" t="s">
        <v>20971</v>
      </c>
      <c r="BC199" s="82" t="s">
        <v>16972</v>
      </c>
      <c r="BD199" s="77">
        <v>72681608</v>
      </c>
      <c r="BE199" s="77"/>
      <c r="BF199" s="77"/>
      <c r="BG199" s="77"/>
      <c r="BH199" s="77"/>
      <c r="BI199" s="77"/>
    </row>
    <row r="200" spans="1:61" x14ac:dyDescent="0.25">
      <c r="A200" s="62" t="s">
        <v>330</v>
      </c>
      <c r="B200" s="62" t="s">
        <v>330</v>
      </c>
      <c r="C200" s="63"/>
      <c r="D200" s="64"/>
      <c r="E200" s="65"/>
      <c r="F200" s="66"/>
      <c r="G200" s="63"/>
      <c r="H200" s="67"/>
      <c r="I200" s="68"/>
      <c r="J200" s="68"/>
      <c r="K200" s="32"/>
      <c r="L200" s="75">
        <v>200</v>
      </c>
      <c r="M200" s="75"/>
      <c r="N200" s="70"/>
      <c r="O200" s="77" t="s">
        <v>1284</v>
      </c>
      <c r="P200" s="79">
        <v>44977.853576388887</v>
      </c>
      <c r="Q200" s="77" t="s">
        <v>1484</v>
      </c>
      <c r="R200" s="77">
        <v>0</v>
      </c>
      <c r="S200" s="77">
        <v>0</v>
      </c>
      <c r="T200" s="77">
        <v>0</v>
      </c>
      <c r="U200" s="77">
        <v>0</v>
      </c>
      <c r="V200" s="77">
        <v>11</v>
      </c>
      <c r="W200" s="82" t="s">
        <v>5403</v>
      </c>
      <c r="X200" s="77"/>
      <c r="Y200" s="77"/>
      <c r="Z200" s="77"/>
      <c r="AA200" s="77"/>
      <c r="AB200" s="77"/>
      <c r="AC200" s="82" t="s">
        <v>10144</v>
      </c>
      <c r="AD200" s="77" t="s">
        <v>10186</v>
      </c>
      <c r="AE200" s="80" t="str">
        <f>HYPERLINK("https://twitter.com/eid_manu/status/1627767331932762114")</f>
        <v>https://twitter.com/eid_manu/status/1627767331932762114</v>
      </c>
      <c r="AF200" s="79">
        <v>44977.853576388887</v>
      </c>
      <c r="AG200" s="85">
        <v>44977</v>
      </c>
      <c r="AH200" s="82" t="s">
        <v>10395</v>
      </c>
      <c r="AI200" s="77"/>
      <c r="AJ200" s="77"/>
      <c r="AK200" s="77"/>
      <c r="AL200" s="77"/>
      <c r="AM200" s="77"/>
      <c r="AN200" s="77"/>
      <c r="AO200" s="77"/>
      <c r="AP200" s="77"/>
      <c r="AQ200" s="77"/>
      <c r="AR200" s="77"/>
      <c r="AS200" s="77"/>
      <c r="AT200" s="77"/>
      <c r="AU200" s="77"/>
      <c r="AV200" s="80" t="str">
        <f>HYPERLINK("https://pbs.twimg.com/profile_images/1706016627936964608/NPcLgkQR_normal.jpg")</f>
        <v>https://pbs.twimg.com/profile_images/1706016627936964608/NPcLgkQR_normal.jpg</v>
      </c>
      <c r="AW200" s="82" t="s">
        <v>16973</v>
      </c>
      <c r="AX200" s="82" t="s">
        <v>20795</v>
      </c>
      <c r="AY200" s="82" t="s">
        <v>20905</v>
      </c>
      <c r="AZ200" s="82" t="s">
        <v>20795</v>
      </c>
      <c r="BA200" s="82" t="s">
        <v>20971</v>
      </c>
      <c r="BB200" s="82" t="s">
        <v>20971</v>
      </c>
      <c r="BC200" s="82" t="s">
        <v>20795</v>
      </c>
      <c r="BD200" s="82" t="s">
        <v>20905</v>
      </c>
      <c r="BE200" s="77"/>
      <c r="BF200" s="77"/>
      <c r="BG200" s="77"/>
      <c r="BH200" s="77"/>
      <c r="BI200" s="77"/>
    </row>
    <row r="201" spans="1:61" x14ac:dyDescent="0.25">
      <c r="A201" s="62" t="s">
        <v>331</v>
      </c>
      <c r="B201" s="62" t="s">
        <v>331</v>
      </c>
      <c r="C201" s="63"/>
      <c r="D201" s="64"/>
      <c r="E201" s="65"/>
      <c r="F201" s="66"/>
      <c r="G201" s="63"/>
      <c r="H201" s="67"/>
      <c r="I201" s="68"/>
      <c r="J201" s="68"/>
      <c r="K201" s="32"/>
      <c r="L201" s="75">
        <v>201</v>
      </c>
      <c r="M201" s="75"/>
      <c r="N201" s="70"/>
      <c r="O201" s="77" t="s">
        <v>179</v>
      </c>
      <c r="P201" s="79">
        <v>45116.679513888892</v>
      </c>
      <c r="Q201" s="77" t="s">
        <v>1485</v>
      </c>
      <c r="R201" s="77">
        <v>0</v>
      </c>
      <c r="S201" s="77">
        <v>1</v>
      </c>
      <c r="T201" s="77">
        <v>0</v>
      </c>
      <c r="U201" s="77">
        <v>0</v>
      </c>
      <c r="V201" s="77">
        <v>33</v>
      </c>
      <c r="W201" s="82" t="s">
        <v>5404</v>
      </c>
      <c r="X201" s="80" t="str">
        <f>HYPERLINK("http://wjbet.com")</f>
        <v>http://wjbet.com</v>
      </c>
      <c r="Y201" s="77" t="s">
        <v>7286</v>
      </c>
      <c r="Z201" s="77"/>
      <c r="AA201" s="77" t="s">
        <v>7629</v>
      </c>
      <c r="AB201" s="77" t="s">
        <v>10130</v>
      </c>
      <c r="AC201" s="82" t="s">
        <v>10146</v>
      </c>
      <c r="AD201" s="77" t="s">
        <v>10184</v>
      </c>
      <c r="AE201" s="80" t="str">
        <f>HYPERLINK("https://twitter.com/wjbetbr777/status/1678076168409317381")</f>
        <v>https://twitter.com/wjbetbr777/status/1678076168409317381</v>
      </c>
      <c r="AF201" s="79">
        <v>45116.679513888892</v>
      </c>
      <c r="AG201" s="85">
        <v>45116</v>
      </c>
      <c r="AH201" s="82" t="s">
        <v>10396</v>
      </c>
      <c r="AI201" s="77" t="b">
        <v>0</v>
      </c>
      <c r="AJ201" s="77"/>
      <c r="AK201" s="77"/>
      <c r="AL201" s="77"/>
      <c r="AM201" s="77"/>
      <c r="AN201" s="77"/>
      <c r="AO201" s="77"/>
      <c r="AP201" s="77"/>
      <c r="AQ201" s="77" t="s">
        <v>14273</v>
      </c>
      <c r="AR201" s="77"/>
      <c r="AS201" s="77"/>
      <c r="AT201" s="77"/>
      <c r="AU201" s="77"/>
      <c r="AV201" s="80" t="str">
        <f>HYPERLINK("https://pbs.twimg.com/media/F0m43gsWcAA-GN7.jpg")</f>
        <v>https://pbs.twimg.com/media/F0m43gsWcAA-GN7.jpg</v>
      </c>
      <c r="AW201" s="82" t="s">
        <v>16974</v>
      </c>
      <c r="AX201" s="82" t="s">
        <v>16974</v>
      </c>
      <c r="AY201" s="77"/>
      <c r="AZ201" s="82" t="s">
        <v>20971</v>
      </c>
      <c r="BA201" s="82" t="s">
        <v>20971</v>
      </c>
      <c r="BB201" s="82" t="s">
        <v>20971</v>
      </c>
      <c r="BC201" s="82" t="s">
        <v>16974</v>
      </c>
      <c r="BD201" s="82" t="s">
        <v>21087</v>
      </c>
      <c r="BE201" s="77"/>
      <c r="BF201" s="77"/>
      <c r="BG201" s="77"/>
      <c r="BH201" s="77"/>
      <c r="BI201" s="77"/>
    </row>
    <row r="202" spans="1:61" x14ac:dyDescent="0.25">
      <c r="A202" s="62" t="s">
        <v>332</v>
      </c>
      <c r="B202" s="62" t="s">
        <v>332</v>
      </c>
      <c r="C202" s="63"/>
      <c r="D202" s="64"/>
      <c r="E202" s="65"/>
      <c r="F202" s="66"/>
      <c r="G202" s="63"/>
      <c r="H202" s="67"/>
      <c r="I202" s="68"/>
      <c r="J202" s="68"/>
      <c r="K202" s="32"/>
      <c r="L202" s="75">
        <v>202</v>
      </c>
      <c r="M202" s="75"/>
      <c r="N202" s="70"/>
      <c r="O202" s="77" t="s">
        <v>179</v>
      </c>
      <c r="P202" s="79">
        <v>45084.588263888887</v>
      </c>
      <c r="Q202" s="77" t="s">
        <v>1486</v>
      </c>
      <c r="R202" s="77">
        <v>0</v>
      </c>
      <c r="S202" s="77">
        <v>0</v>
      </c>
      <c r="T202" s="77">
        <v>0</v>
      </c>
      <c r="U202" s="77">
        <v>0</v>
      </c>
      <c r="V202" s="77">
        <v>3</v>
      </c>
      <c r="W202" s="82" t="s">
        <v>5405</v>
      </c>
      <c r="X202" s="80" t="str">
        <f>HYPERLINK("https://www.facebook.com/OSomDoUnboxing/videos/281951264249872")</f>
        <v>https://www.facebook.com/OSomDoUnboxing/videos/281951264249872</v>
      </c>
      <c r="Y202" s="77" t="s">
        <v>7287</v>
      </c>
      <c r="Z202" s="77"/>
      <c r="AA202" s="77"/>
      <c r="AB202" s="77"/>
      <c r="AC202" s="82" t="s">
        <v>10146</v>
      </c>
      <c r="AD202" s="77" t="s">
        <v>10184</v>
      </c>
      <c r="AE202" s="80" t="str">
        <f>HYPERLINK("https://twitter.com/o_unboxing/status/1666446687844327435")</f>
        <v>https://twitter.com/o_unboxing/status/1666446687844327435</v>
      </c>
      <c r="AF202" s="79">
        <v>45084.588263888887</v>
      </c>
      <c r="AG202" s="85">
        <v>45084</v>
      </c>
      <c r="AH202" s="82" t="s">
        <v>10397</v>
      </c>
      <c r="AI202" s="77" t="b">
        <v>0</v>
      </c>
      <c r="AJ202" s="77"/>
      <c r="AK202" s="77"/>
      <c r="AL202" s="77"/>
      <c r="AM202" s="77"/>
      <c r="AN202" s="77"/>
      <c r="AO202" s="77"/>
      <c r="AP202" s="77"/>
      <c r="AQ202" s="77"/>
      <c r="AR202" s="77"/>
      <c r="AS202" s="77"/>
      <c r="AT202" s="77"/>
      <c r="AU202" s="77"/>
      <c r="AV202" s="80" t="str">
        <f>HYPERLINK("https://pbs.twimg.com/profile_images/1362847636286537730/awG986IT_normal.jpg")</f>
        <v>https://pbs.twimg.com/profile_images/1362847636286537730/awG986IT_normal.jpg</v>
      </c>
      <c r="AW202" s="82" t="s">
        <v>16975</v>
      </c>
      <c r="AX202" s="82" t="s">
        <v>16975</v>
      </c>
      <c r="AY202" s="77"/>
      <c r="AZ202" s="82" t="s">
        <v>20971</v>
      </c>
      <c r="BA202" s="82" t="s">
        <v>20971</v>
      </c>
      <c r="BB202" s="82" t="s">
        <v>20971</v>
      </c>
      <c r="BC202" s="82" t="s">
        <v>16975</v>
      </c>
      <c r="BD202" s="82" t="s">
        <v>21088</v>
      </c>
      <c r="BE202" s="77"/>
      <c r="BF202" s="77"/>
      <c r="BG202" s="77"/>
      <c r="BH202" s="77"/>
      <c r="BI202" s="77"/>
    </row>
    <row r="203" spans="1:61" x14ac:dyDescent="0.25">
      <c r="A203" s="62" t="s">
        <v>333</v>
      </c>
      <c r="B203" s="62" t="s">
        <v>333</v>
      </c>
      <c r="C203" s="63"/>
      <c r="D203" s="64"/>
      <c r="E203" s="65"/>
      <c r="F203" s="66"/>
      <c r="G203" s="63"/>
      <c r="H203" s="67"/>
      <c r="I203" s="68"/>
      <c r="J203" s="68"/>
      <c r="K203" s="32"/>
      <c r="L203" s="75">
        <v>203</v>
      </c>
      <c r="M203" s="75"/>
      <c r="N203" s="70"/>
      <c r="O203" s="77" t="s">
        <v>179</v>
      </c>
      <c r="P203" s="79">
        <v>45082.458356481482</v>
      </c>
      <c r="Q203" s="77" t="s">
        <v>1487</v>
      </c>
      <c r="R203" s="77">
        <v>0</v>
      </c>
      <c r="S203" s="77">
        <v>1</v>
      </c>
      <c r="T203" s="77">
        <v>0</v>
      </c>
      <c r="U203" s="77">
        <v>0</v>
      </c>
      <c r="V203" s="77">
        <v>27</v>
      </c>
      <c r="W203" s="82" t="s">
        <v>5406</v>
      </c>
      <c r="X203" s="77"/>
      <c r="Y203" s="77"/>
      <c r="Z203" s="77"/>
      <c r="AA203" s="77" t="s">
        <v>7630</v>
      </c>
      <c r="AB203" s="77" t="s">
        <v>10129</v>
      </c>
      <c r="AC203" s="82" t="s">
        <v>10146</v>
      </c>
      <c r="AD203" s="77" t="s">
        <v>10184</v>
      </c>
      <c r="AE203" s="80" t="str">
        <f>HYPERLINK("https://twitter.com/recuperabrasil_/status/1665674835056287744")</f>
        <v>https://twitter.com/recuperabrasil_/status/1665674835056287744</v>
      </c>
      <c r="AF203" s="79">
        <v>45082.458356481482</v>
      </c>
      <c r="AG203" s="85">
        <v>45082</v>
      </c>
      <c r="AH203" s="82" t="s">
        <v>10398</v>
      </c>
      <c r="AI203" s="77" t="b">
        <v>0</v>
      </c>
      <c r="AJ203" s="77"/>
      <c r="AK203" s="77"/>
      <c r="AL203" s="77"/>
      <c r="AM203" s="77"/>
      <c r="AN203" s="77"/>
      <c r="AO203" s="77"/>
      <c r="AP203" s="77"/>
      <c r="AQ203" s="77" t="s">
        <v>14274</v>
      </c>
      <c r="AR203" s="77">
        <v>34768</v>
      </c>
      <c r="AS203" s="77"/>
      <c r="AT203" s="77"/>
      <c r="AU203" s="77"/>
      <c r="AV203" s="80" t="str">
        <f>HYPERLINK("https://pbs.twimg.com/ext_tw_video_thumb/1664631010489769986/pu/img/g2BAddenvuVlI5iF.jpg")</f>
        <v>https://pbs.twimg.com/ext_tw_video_thumb/1664631010489769986/pu/img/g2BAddenvuVlI5iF.jpg</v>
      </c>
      <c r="AW203" s="82" t="s">
        <v>16976</v>
      </c>
      <c r="AX203" s="82" t="s">
        <v>16976</v>
      </c>
      <c r="AY203" s="77"/>
      <c r="AZ203" s="82" t="s">
        <v>20971</v>
      </c>
      <c r="BA203" s="82" t="s">
        <v>20971</v>
      </c>
      <c r="BB203" s="82" t="s">
        <v>20971</v>
      </c>
      <c r="BC203" s="82" t="s">
        <v>16976</v>
      </c>
      <c r="BD203" s="82" t="s">
        <v>21089</v>
      </c>
      <c r="BE203" s="77"/>
      <c r="BF203" s="77"/>
      <c r="BG203" s="77"/>
      <c r="BH203" s="77"/>
      <c r="BI203" s="77"/>
    </row>
    <row r="204" spans="1:61" x14ac:dyDescent="0.25">
      <c r="A204" s="62" t="s">
        <v>333</v>
      </c>
      <c r="B204" s="62" t="s">
        <v>333</v>
      </c>
      <c r="C204" s="63"/>
      <c r="D204" s="64"/>
      <c r="E204" s="65"/>
      <c r="F204" s="66"/>
      <c r="G204" s="63"/>
      <c r="H204" s="67"/>
      <c r="I204" s="68"/>
      <c r="J204" s="68"/>
      <c r="K204" s="32"/>
      <c r="L204" s="75">
        <v>204</v>
      </c>
      <c r="M204" s="75"/>
      <c r="N204" s="70"/>
      <c r="O204" s="77" t="s">
        <v>179</v>
      </c>
      <c r="P204" s="79">
        <v>45075.592743055553</v>
      </c>
      <c r="Q204" s="77" t="s">
        <v>1488</v>
      </c>
      <c r="R204" s="77">
        <v>0</v>
      </c>
      <c r="S204" s="77">
        <v>1</v>
      </c>
      <c r="T204" s="77">
        <v>0</v>
      </c>
      <c r="U204" s="77">
        <v>0</v>
      </c>
      <c r="V204" s="77">
        <v>54</v>
      </c>
      <c r="W204" s="82" t="s">
        <v>5407</v>
      </c>
      <c r="X204" s="77"/>
      <c r="Y204" s="77"/>
      <c r="Z204" s="77"/>
      <c r="AA204" s="77" t="s">
        <v>7631</v>
      </c>
      <c r="AB204" s="77" t="s">
        <v>10129</v>
      </c>
      <c r="AC204" s="82" t="s">
        <v>10146</v>
      </c>
      <c r="AD204" s="77" t="s">
        <v>10184</v>
      </c>
      <c r="AE204" s="80" t="str">
        <f>HYPERLINK("https://twitter.com/recuperabrasil_/status/1663186820501258240")</f>
        <v>https://twitter.com/recuperabrasil_/status/1663186820501258240</v>
      </c>
      <c r="AF204" s="79">
        <v>45075.592743055553</v>
      </c>
      <c r="AG204" s="85">
        <v>45075</v>
      </c>
      <c r="AH204" s="82" t="s">
        <v>10399</v>
      </c>
      <c r="AI204" s="77" t="b">
        <v>0</v>
      </c>
      <c r="AJ204" s="77"/>
      <c r="AK204" s="77"/>
      <c r="AL204" s="77"/>
      <c r="AM204" s="77"/>
      <c r="AN204" s="77"/>
      <c r="AO204" s="77"/>
      <c r="AP204" s="77"/>
      <c r="AQ204" s="77" t="s">
        <v>14275</v>
      </c>
      <c r="AR204" s="77">
        <v>42776</v>
      </c>
      <c r="AS204" s="77"/>
      <c r="AT204" s="77"/>
      <c r="AU204" s="77"/>
      <c r="AV204" s="80" t="str">
        <f>HYPERLINK("https://pbs.twimg.com/ext_tw_video_thumb/1663186623855468548/pu/img/89wxup8as79Dv84v.jpg")</f>
        <v>https://pbs.twimg.com/ext_tw_video_thumb/1663186623855468548/pu/img/89wxup8as79Dv84v.jpg</v>
      </c>
      <c r="AW204" s="82" t="s">
        <v>16977</v>
      </c>
      <c r="AX204" s="82" t="s">
        <v>16977</v>
      </c>
      <c r="AY204" s="77"/>
      <c r="AZ204" s="82" t="s">
        <v>20971</v>
      </c>
      <c r="BA204" s="82" t="s">
        <v>20971</v>
      </c>
      <c r="BB204" s="82" t="s">
        <v>20971</v>
      </c>
      <c r="BC204" s="82" t="s">
        <v>16977</v>
      </c>
      <c r="BD204" s="82" t="s">
        <v>21089</v>
      </c>
      <c r="BE204" s="77"/>
      <c r="BF204" s="77"/>
      <c r="BG204" s="77"/>
      <c r="BH204" s="77"/>
      <c r="BI204" s="77"/>
    </row>
    <row r="205" spans="1:61" x14ac:dyDescent="0.25">
      <c r="A205" s="62" t="s">
        <v>333</v>
      </c>
      <c r="B205" s="62" t="s">
        <v>333</v>
      </c>
      <c r="C205" s="63"/>
      <c r="D205" s="64"/>
      <c r="E205" s="65"/>
      <c r="F205" s="66"/>
      <c r="G205" s="63"/>
      <c r="H205" s="67"/>
      <c r="I205" s="68"/>
      <c r="J205" s="68"/>
      <c r="K205" s="32"/>
      <c r="L205" s="75">
        <v>205</v>
      </c>
      <c r="M205" s="75"/>
      <c r="N205" s="70"/>
      <c r="O205" s="77" t="s">
        <v>179</v>
      </c>
      <c r="P205" s="79">
        <v>45079.461805555555</v>
      </c>
      <c r="Q205" s="77" t="s">
        <v>1489</v>
      </c>
      <c r="R205" s="77">
        <v>0</v>
      </c>
      <c r="S205" s="77">
        <v>1</v>
      </c>
      <c r="T205" s="77">
        <v>0</v>
      </c>
      <c r="U205" s="77">
        <v>0</v>
      </c>
      <c r="V205" s="77">
        <v>20</v>
      </c>
      <c r="W205" s="82" t="s">
        <v>5408</v>
      </c>
      <c r="X205" s="77"/>
      <c r="Y205" s="77"/>
      <c r="Z205" s="77"/>
      <c r="AA205" s="77" t="s">
        <v>7632</v>
      </c>
      <c r="AB205" s="77" t="s">
        <v>10129</v>
      </c>
      <c r="AC205" s="82" t="s">
        <v>10146</v>
      </c>
      <c r="AD205" s="77" t="s">
        <v>10184</v>
      </c>
      <c r="AE205" s="80" t="str">
        <f>HYPERLINK("https://twitter.com/recuperabrasil_/status/1664588922767441920")</f>
        <v>https://twitter.com/recuperabrasil_/status/1664588922767441920</v>
      </c>
      <c r="AF205" s="79">
        <v>45079.461805555555</v>
      </c>
      <c r="AG205" s="85">
        <v>45079</v>
      </c>
      <c r="AH205" s="82" t="s">
        <v>10400</v>
      </c>
      <c r="AI205" s="77" t="b">
        <v>0</v>
      </c>
      <c r="AJ205" s="77"/>
      <c r="AK205" s="77"/>
      <c r="AL205" s="77"/>
      <c r="AM205" s="77"/>
      <c r="AN205" s="77"/>
      <c r="AO205" s="77"/>
      <c r="AP205" s="77"/>
      <c r="AQ205" s="77" t="s">
        <v>14276</v>
      </c>
      <c r="AR205" s="77">
        <v>31431</v>
      </c>
      <c r="AS205" s="77"/>
      <c r="AT205" s="77"/>
      <c r="AU205" s="77"/>
      <c r="AV205" s="80" t="str">
        <f>HYPERLINK("https://pbs.twimg.com/ext_tw_video_thumb/1664357741496770560/pu/img/COM69iVBr_eGzktb.jpg")</f>
        <v>https://pbs.twimg.com/ext_tw_video_thumb/1664357741496770560/pu/img/COM69iVBr_eGzktb.jpg</v>
      </c>
      <c r="AW205" s="82" t="s">
        <v>16978</v>
      </c>
      <c r="AX205" s="82" t="s">
        <v>16978</v>
      </c>
      <c r="AY205" s="77"/>
      <c r="AZ205" s="82" t="s">
        <v>20971</v>
      </c>
      <c r="BA205" s="82" t="s">
        <v>20971</v>
      </c>
      <c r="BB205" s="82" t="s">
        <v>20971</v>
      </c>
      <c r="BC205" s="82" t="s">
        <v>16978</v>
      </c>
      <c r="BD205" s="82" t="s">
        <v>21089</v>
      </c>
      <c r="BE205" s="77"/>
      <c r="BF205" s="77"/>
      <c r="BG205" s="77"/>
      <c r="BH205" s="77"/>
      <c r="BI205" s="77"/>
    </row>
    <row r="206" spans="1:61" x14ac:dyDescent="0.25">
      <c r="A206" s="62" t="s">
        <v>334</v>
      </c>
      <c r="B206" s="62" t="s">
        <v>334</v>
      </c>
      <c r="C206" s="63"/>
      <c r="D206" s="64"/>
      <c r="E206" s="65"/>
      <c r="F206" s="66"/>
      <c r="G206" s="63"/>
      <c r="H206" s="67"/>
      <c r="I206" s="68"/>
      <c r="J206" s="68"/>
      <c r="K206" s="32"/>
      <c r="L206" s="75">
        <v>206</v>
      </c>
      <c r="M206" s="75"/>
      <c r="N206" s="70"/>
      <c r="O206" s="77" t="s">
        <v>179</v>
      </c>
      <c r="P206" s="79">
        <v>44960.661898148152</v>
      </c>
      <c r="Q206" s="77" t="s">
        <v>1490</v>
      </c>
      <c r="R206" s="77">
        <v>0</v>
      </c>
      <c r="S206" s="77">
        <v>0</v>
      </c>
      <c r="T206" s="77">
        <v>0</v>
      </c>
      <c r="U206" s="77">
        <v>0</v>
      </c>
      <c r="V206" s="77">
        <v>207</v>
      </c>
      <c r="W206" s="82" t="s">
        <v>5236</v>
      </c>
      <c r="X206" s="77"/>
      <c r="Y206" s="77"/>
      <c r="Z206" s="77"/>
      <c r="AA206" s="77" t="s">
        <v>7633</v>
      </c>
      <c r="AB206" s="77" t="s">
        <v>10129</v>
      </c>
      <c r="AC206" s="82" t="s">
        <v>10144</v>
      </c>
      <c r="AD206" s="77" t="s">
        <v>10184</v>
      </c>
      <c r="AE206" s="80" t="str">
        <f>HYPERLINK("https://twitter.com/romario67984003/status/1621537276705505281")</f>
        <v>https://twitter.com/romario67984003/status/1621537276705505281</v>
      </c>
      <c r="AF206" s="79">
        <v>44960.661898148152</v>
      </c>
      <c r="AG206" s="85">
        <v>44960</v>
      </c>
      <c r="AH206" s="82" t="s">
        <v>10401</v>
      </c>
      <c r="AI206" s="77" t="b">
        <v>0</v>
      </c>
      <c r="AJ206" s="77"/>
      <c r="AK206" s="77"/>
      <c r="AL206" s="77"/>
      <c r="AM206" s="77"/>
      <c r="AN206" s="77"/>
      <c r="AO206" s="77"/>
      <c r="AP206" s="77"/>
      <c r="AQ206" s="77" t="s">
        <v>14277</v>
      </c>
      <c r="AR206" s="77">
        <v>13144</v>
      </c>
      <c r="AS206" s="77"/>
      <c r="AT206" s="77"/>
      <c r="AU206" s="77"/>
      <c r="AV206" s="80" t="str">
        <f>HYPERLINK("https://pbs.twimg.com/ext_tw_video_thumb/1621537213442887682/pu/img/ru_cF9P5jz07REGu.jpg")</f>
        <v>https://pbs.twimg.com/ext_tw_video_thumb/1621537213442887682/pu/img/ru_cF9P5jz07REGu.jpg</v>
      </c>
      <c r="AW206" s="82" t="s">
        <v>16979</v>
      </c>
      <c r="AX206" s="82" t="s">
        <v>16979</v>
      </c>
      <c r="AY206" s="77"/>
      <c r="AZ206" s="82" t="s">
        <v>20971</v>
      </c>
      <c r="BA206" s="82" t="s">
        <v>20971</v>
      </c>
      <c r="BB206" s="82" t="s">
        <v>20971</v>
      </c>
      <c r="BC206" s="82" t="s">
        <v>16979</v>
      </c>
      <c r="BD206" s="82" t="s">
        <v>21090</v>
      </c>
      <c r="BE206" s="77"/>
      <c r="BF206" s="77"/>
      <c r="BG206" s="77"/>
      <c r="BH206" s="77"/>
      <c r="BI206" s="77"/>
    </row>
    <row r="207" spans="1:61" x14ac:dyDescent="0.25">
      <c r="A207" s="62" t="s">
        <v>335</v>
      </c>
      <c r="B207" s="62" t="s">
        <v>335</v>
      </c>
      <c r="C207" s="63"/>
      <c r="D207" s="64"/>
      <c r="E207" s="65"/>
      <c r="F207" s="66"/>
      <c r="G207" s="63"/>
      <c r="H207" s="67"/>
      <c r="I207" s="68"/>
      <c r="J207" s="68"/>
      <c r="K207" s="32"/>
      <c r="L207" s="75">
        <v>207</v>
      </c>
      <c r="M207" s="75"/>
      <c r="N207" s="70"/>
      <c r="O207" s="77" t="s">
        <v>179</v>
      </c>
      <c r="P207" s="79">
        <v>45105.079988425925</v>
      </c>
      <c r="Q207" s="77" t="s">
        <v>1491</v>
      </c>
      <c r="R207" s="77">
        <v>0</v>
      </c>
      <c r="S207" s="77">
        <v>0</v>
      </c>
      <c r="T207" s="77">
        <v>0</v>
      </c>
      <c r="U207" s="77">
        <v>0</v>
      </c>
      <c r="V207" s="77">
        <v>42</v>
      </c>
      <c r="W207" s="82" t="s">
        <v>5409</v>
      </c>
      <c r="X207" s="80" t="str">
        <f>HYPERLINK("https://fx.inovelweb.com/share/invite?st=app_share&amp;language=13&amp;r_id=4740473")</f>
        <v>https://fx.inovelweb.com/share/invite?st=app_share&amp;language=13&amp;r_id=4740473</v>
      </c>
      <c r="Y207" s="77" t="s">
        <v>7288</v>
      </c>
      <c r="Z207" s="77"/>
      <c r="AA207" s="77" t="s">
        <v>7634</v>
      </c>
      <c r="AB207" s="77" t="s">
        <v>10132</v>
      </c>
      <c r="AC207" s="82" t="s">
        <v>10144</v>
      </c>
      <c r="AD207" s="77" t="s">
        <v>10184</v>
      </c>
      <c r="AE207" s="80" t="str">
        <f>HYPERLINK("https://twitter.com/pl_rendasextras/status/1673872640610541568")</f>
        <v>https://twitter.com/pl_rendasextras/status/1673872640610541568</v>
      </c>
      <c r="AF207" s="79">
        <v>45105.079988425925</v>
      </c>
      <c r="AG207" s="85">
        <v>45105</v>
      </c>
      <c r="AH207" s="82" t="s">
        <v>10402</v>
      </c>
      <c r="AI207" s="77" t="b">
        <v>0</v>
      </c>
      <c r="AJ207" s="77"/>
      <c r="AK207" s="77"/>
      <c r="AL207" s="77"/>
      <c r="AM207" s="77"/>
      <c r="AN207" s="77"/>
      <c r="AO207" s="77"/>
      <c r="AP207" s="77"/>
      <c r="AQ207" s="77" t="s">
        <v>14278</v>
      </c>
      <c r="AR207" s="77"/>
      <c r="AS207" s="77"/>
      <c r="AT207" s="77"/>
      <c r="AU207" s="77"/>
      <c r="AV207" s="80" t="str">
        <f>HYPERLINK("https://pbs.twimg.com/media/FzrKSiQXgAIik3F.jpg")</f>
        <v>https://pbs.twimg.com/media/FzrKSiQXgAIik3F.jpg</v>
      </c>
      <c r="AW207" s="82" t="s">
        <v>16980</v>
      </c>
      <c r="AX207" s="82" t="s">
        <v>16980</v>
      </c>
      <c r="AY207" s="77"/>
      <c r="AZ207" s="82" t="s">
        <v>20971</v>
      </c>
      <c r="BA207" s="82" t="s">
        <v>20971</v>
      </c>
      <c r="BB207" s="82" t="s">
        <v>20971</v>
      </c>
      <c r="BC207" s="82" t="s">
        <v>16980</v>
      </c>
      <c r="BD207" s="82" t="s">
        <v>21091</v>
      </c>
      <c r="BE207" s="77"/>
      <c r="BF207" s="77"/>
      <c r="BG207" s="77"/>
      <c r="BH207" s="77"/>
      <c r="BI207" s="77"/>
    </row>
    <row r="208" spans="1:61" x14ac:dyDescent="0.25">
      <c r="A208" s="62" t="s">
        <v>336</v>
      </c>
      <c r="B208" s="62" t="s">
        <v>336</v>
      </c>
      <c r="C208" s="63"/>
      <c r="D208" s="64"/>
      <c r="E208" s="65"/>
      <c r="F208" s="66"/>
      <c r="G208" s="63"/>
      <c r="H208" s="67"/>
      <c r="I208" s="68"/>
      <c r="J208" s="68"/>
      <c r="K208" s="32"/>
      <c r="L208" s="75">
        <v>208</v>
      </c>
      <c r="M208" s="75"/>
      <c r="N208" s="70"/>
      <c r="O208" s="77" t="s">
        <v>179</v>
      </c>
      <c r="P208" s="79">
        <v>45042.88422453704</v>
      </c>
      <c r="Q208" s="77" t="s">
        <v>1492</v>
      </c>
      <c r="R208" s="77">
        <v>0</v>
      </c>
      <c r="S208" s="77">
        <v>0</v>
      </c>
      <c r="T208" s="77">
        <v>0</v>
      </c>
      <c r="U208" s="77">
        <v>0</v>
      </c>
      <c r="V208" s="77">
        <v>137</v>
      </c>
      <c r="W208" s="82" t="s">
        <v>5236</v>
      </c>
      <c r="X208" s="77"/>
      <c r="Y208" s="77"/>
      <c r="Z208" s="77"/>
      <c r="AA208" s="77" t="s">
        <v>7635</v>
      </c>
      <c r="AB208" s="77" t="s">
        <v>10130</v>
      </c>
      <c r="AC208" s="82" t="s">
        <v>10144</v>
      </c>
      <c r="AD208" s="77" t="s">
        <v>10184</v>
      </c>
      <c r="AE208" s="80" t="str">
        <f>HYPERLINK("https://twitter.com/eshoerd/status/1651333652603600898")</f>
        <v>https://twitter.com/eshoerd/status/1651333652603600898</v>
      </c>
      <c r="AF208" s="79">
        <v>45042.88422453704</v>
      </c>
      <c r="AG208" s="85">
        <v>45042</v>
      </c>
      <c r="AH208" s="82" t="s">
        <v>10403</v>
      </c>
      <c r="AI208" s="77" t="b">
        <v>0</v>
      </c>
      <c r="AJ208" s="77"/>
      <c r="AK208" s="77"/>
      <c r="AL208" s="77"/>
      <c r="AM208" s="77"/>
      <c r="AN208" s="77"/>
      <c r="AO208" s="77"/>
      <c r="AP208" s="77"/>
      <c r="AQ208" s="77" t="s">
        <v>14279</v>
      </c>
      <c r="AR208" s="77"/>
      <c r="AS208" s="77"/>
      <c r="AT208" s="77"/>
      <c r="AU208" s="77"/>
      <c r="AV208" s="80" t="str">
        <f>HYPERLINK("https://pbs.twimg.com/media/Fuq3NK2WwAgH1uW.jpg")</f>
        <v>https://pbs.twimg.com/media/Fuq3NK2WwAgH1uW.jpg</v>
      </c>
      <c r="AW208" s="82" t="s">
        <v>16981</v>
      </c>
      <c r="AX208" s="82" t="s">
        <v>16981</v>
      </c>
      <c r="AY208" s="77"/>
      <c r="AZ208" s="82" t="s">
        <v>20971</v>
      </c>
      <c r="BA208" s="82" t="s">
        <v>20971</v>
      </c>
      <c r="BB208" s="82" t="s">
        <v>20971</v>
      </c>
      <c r="BC208" s="82" t="s">
        <v>16981</v>
      </c>
      <c r="BD208" s="82" t="s">
        <v>21092</v>
      </c>
      <c r="BE208" s="77"/>
      <c r="BF208" s="77"/>
      <c r="BG208" s="77"/>
      <c r="BH208" s="77"/>
      <c r="BI208" s="77"/>
    </row>
    <row r="209" spans="1:61" x14ac:dyDescent="0.25">
      <c r="A209" s="62" t="s">
        <v>336</v>
      </c>
      <c r="B209" s="62" t="s">
        <v>336</v>
      </c>
      <c r="C209" s="63"/>
      <c r="D209" s="64"/>
      <c r="E209" s="65"/>
      <c r="F209" s="66"/>
      <c r="G209" s="63"/>
      <c r="H209" s="67"/>
      <c r="I209" s="68"/>
      <c r="J209" s="68"/>
      <c r="K209" s="32"/>
      <c r="L209" s="75">
        <v>209</v>
      </c>
      <c r="M209" s="75"/>
      <c r="N209" s="70"/>
      <c r="O209" s="77" t="s">
        <v>179</v>
      </c>
      <c r="P209" s="79">
        <v>45042.873668981483</v>
      </c>
      <c r="Q209" s="77" t="s">
        <v>1493</v>
      </c>
      <c r="R209" s="77">
        <v>0</v>
      </c>
      <c r="S209" s="77">
        <v>0</v>
      </c>
      <c r="T209" s="77">
        <v>0</v>
      </c>
      <c r="U209" s="77">
        <v>0</v>
      </c>
      <c r="V209" s="77">
        <v>250</v>
      </c>
      <c r="W209" s="82" t="s">
        <v>5410</v>
      </c>
      <c r="X209" s="77"/>
      <c r="Y209" s="77"/>
      <c r="Z209" s="77"/>
      <c r="AA209" s="77" t="s">
        <v>7636</v>
      </c>
      <c r="AB209" s="77" t="s">
        <v>10130</v>
      </c>
      <c r="AC209" s="82" t="s">
        <v>10144</v>
      </c>
      <c r="AD209" s="77" t="s">
        <v>10184</v>
      </c>
      <c r="AE209" s="80" t="str">
        <f>HYPERLINK("https://twitter.com/eshoerd/status/1651329827108995073")</f>
        <v>https://twitter.com/eshoerd/status/1651329827108995073</v>
      </c>
      <c r="AF209" s="79">
        <v>45042.873668981483</v>
      </c>
      <c r="AG209" s="85">
        <v>45042</v>
      </c>
      <c r="AH209" s="82" t="s">
        <v>10404</v>
      </c>
      <c r="AI209" s="77" t="b">
        <v>0</v>
      </c>
      <c r="AJ209" s="77"/>
      <c r="AK209" s="77"/>
      <c r="AL209" s="77"/>
      <c r="AM209" s="77"/>
      <c r="AN209" s="77"/>
      <c r="AO209" s="77"/>
      <c r="AP209" s="77"/>
      <c r="AQ209" s="77" t="s">
        <v>14280</v>
      </c>
      <c r="AR209" s="77"/>
      <c r="AS209" s="77"/>
      <c r="AT209" s="77"/>
      <c r="AU209" s="77"/>
      <c r="AV209" s="80" t="str">
        <f>HYPERLINK("https://pbs.twimg.com/media/FuqzuWCXsAMJME4.jpg")</f>
        <v>https://pbs.twimg.com/media/FuqzuWCXsAMJME4.jpg</v>
      </c>
      <c r="AW209" s="82" t="s">
        <v>16982</v>
      </c>
      <c r="AX209" s="82" t="s">
        <v>16982</v>
      </c>
      <c r="AY209" s="77"/>
      <c r="AZ209" s="82" t="s">
        <v>20971</v>
      </c>
      <c r="BA209" s="82" t="s">
        <v>20971</v>
      </c>
      <c r="BB209" s="82" t="s">
        <v>20971</v>
      </c>
      <c r="BC209" s="82" t="s">
        <v>16982</v>
      </c>
      <c r="BD209" s="82" t="s">
        <v>21092</v>
      </c>
      <c r="BE209" s="77"/>
      <c r="BF209" s="77"/>
      <c r="BG209" s="77"/>
      <c r="BH209" s="77"/>
      <c r="BI209" s="77"/>
    </row>
    <row r="210" spans="1:61" x14ac:dyDescent="0.25">
      <c r="A210" s="62" t="s">
        <v>337</v>
      </c>
      <c r="B210" s="62" t="s">
        <v>337</v>
      </c>
      <c r="C210" s="63"/>
      <c r="D210" s="64"/>
      <c r="E210" s="65"/>
      <c r="F210" s="66"/>
      <c r="G210" s="63"/>
      <c r="H210" s="67"/>
      <c r="I210" s="68"/>
      <c r="J210" s="68"/>
      <c r="K210" s="32"/>
      <c r="L210" s="75">
        <v>210</v>
      </c>
      <c r="M210" s="75"/>
      <c r="N210" s="70"/>
      <c r="O210" s="77" t="s">
        <v>179</v>
      </c>
      <c r="P210" s="79">
        <v>44957.126180555555</v>
      </c>
      <c r="Q210" s="77" t="s">
        <v>1494</v>
      </c>
      <c r="R210" s="77">
        <v>0</v>
      </c>
      <c r="S210" s="77">
        <v>1</v>
      </c>
      <c r="T210" s="77">
        <v>0</v>
      </c>
      <c r="U210" s="77">
        <v>0</v>
      </c>
      <c r="V210" s="77">
        <v>112</v>
      </c>
      <c r="W210" s="82" t="s">
        <v>5411</v>
      </c>
      <c r="X210" s="77"/>
      <c r="Y210" s="77"/>
      <c r="Z210" s="77"/>
      <c r="AA210" s="77" t="s">
        <v>7637</v>
      </c>
      <c r="AB210" s="77" t="s">
        <v>10129</v>
      </c>
      <c r="AC210" s="82" t="s">
        <v>10144</v>
      </c>
      <c r="AD210" s="77" t="s">
        <v>10184</v>
      </c>
      <c r="AE210" s="80" t="str">
        <f>HYPERLINK("https://twitter.com/demetriusjoseda/status/1620255975101046784")</f>
        <v>https://twitter.com/demetriusjoseda/status/1620255975101046784</v>
      </c>
      <c r="AF210" s="79">
        <v>44957.126180555555</v>
      </c>
      <c r="AG210" s="85">
        <v>44957</v>
      </c>
      <c r="AH210" s="82" t="s">
        <v>10405</v>
      </c>
      <c r="AI210" s="77" t="b">
        <v>0</v>
      </c>
      <c r="AJ210" s="77"/>
      <c r="AK210" s="77"/>
      <c r="AL210" s="77"/>
      <c r="AM210" s="77"/>
      <c r="AN210" s="77"/>
      <c r="AO210" s="77"/>
      <c r="AP210" s="77"/>
      <c r="AQ210" s="77" t="s">
        <v>14281</v>
      </c>
      <c r="AR210" s="77">
        <v>15561</v>
      </c>
      <c r="AS210" s="77"/>
      <c r="AT210" s="77"/>
      <c r="AU210" s="77"/>
      <c r="AV210" s="80" t="str">
        <f>HYPERLINK("https://pbs.twimg.com/ext_tw_video_thumb/1620255558329683969/pu/img/tlVBenA7a07knvS4.jpg")</f>
        <v>https://pbs.twimg.com/ext_tw_video_thumb/1620255558329683969/pu/img/tlVBenA7a07knvS4.jpg</v>
      </c>
      <c r="AW210" s="82" t="s">
        <v>16983</v>
      </c>
      <c r="AX210" s="82" t="s">
        <v>16983</v>
      </c>
      <c r="AY210" s="77"/>
      <c r="AZ210" s="82" t="s">
        <v>20971</v>
      </c>
      <c r="BA210" s="82" t="s">
        <v>20971</v>
      </c>
      <c r="BB210" s="82" t="s">
        <v>20971</v>
      </c>
      <c r="BC210" s="82" t="s">
        <v>16983</v>
      </c>
      <c r="BD210" s="77">
        <v>702187627</v>
      </c>
      <c r="BE210" s="77"/>
      <c r="BF210" s="77"/>
      <c r="BG210" s="77"/>
      <c r="BH210" s="77"/>
      <c r="BI210" s="77"/>
    </row>
    <row r="211" spans="1:61" x14ac:dyDescent="0.25">
      <c r="A211" s="62" t="s">
        <v>338</v>
      </c>
      <c r="B211" s="62" t="s">
        <v>338</v>
      </c>
      <c r="C211" s="63"/>
      <c r="D211" s="64"/>
      <c r="E211" s="65"/>
      <c r="F211" s="66"/>
      <c r="G211" s="63"/>
      <c r="H211" s="67"/>
      <c r="I211" s="68"/>
      <c r="J211" s="68"/>
      <c r="K211" s="32"/>
      <c r="L211" s="75">
        <v>211</v>
      </c>
      <c r="M211" s="75"/>
      <c r="N211" s="70"/>
      <c r="O211" s="77" t="s">
        <v>179</v>
      </c>
      <c r="P211" s="79">
        <v>45084.630879629629</v>
      </c>
      <c r="Q211" s="77" t="s">
        <v>1495</v>
      </c>
      <c r="R211" s="77">
        <v>0</v>
      </c>
      <c r="S211" s="77">
        <v>0</v>
      </c>
      <c r="T211" s="77">
        <v>0</v>
      </c>
      <c r="U211" s="77">
        <v>0</v>
      </c>
      <c r="V211" s="77">
        <v>11</v>
      </c>
      <c r="W211" s="82" t="s">
        <v>5412</v>
      </c>
      <c r="X211" s="80" t="str">
        <f>HYPERLINK("https://pay.kiwify.com.br/lj7aq9a?afid=VTHEsCpP")</f>
        <v>https://pay.kiwify.com.br/lj7aq9a?afid=VTHEsCpP</v>
      </c>
      <c r="Y211" s="77" t="s">
        <v>7252</v>
      </c>
      <c r="Z211" s="77"/>
      <c r="AA211" s="77" t="s">
        <v>7638</v>
      </c>
      <c r="AB211" s="77" t="s">
        <v>10130</v>
      </c>
      <c r="AC211" s="82" t="s">
        <v>10146</v>
      </c>
      <c r="AD211" s="77" t="s">
        <v>10183</v>
      </c>
      <c r="AE211" s="80" t="str">
        <f>HYPERLINK("https://twitter.com/danielacar2217/status/1666462134832701445")</f>
        <v>https://twitter.com/danielacar2217/status/1666462134832701445</v>
      </c>
      <c r="AF211" s="79">
        <v>45084.630879629629</v>
      </c>
      <c r="AG211" s="85">
        <v>45084</v>
      </c>
      <c r="AH211" s="82" t="s">
        <v>10406</v>
      </c>
      <c r="AI211" s="77" t="b">
        <v>0</v>
      </c>
      <c r="AJ211" s="77"/>
      <c r="AK211" s="77"/>
      <c r="AL211" s="77"/>
      <c r="AM211" s="77"/>
      <c r="AN211" s="77"/>
      <c r="AO211" s="77"/>
      <c r="AP211" s="77"/>
      <c r="AQ211" s="77" t="s">
        <v>14282</v>
      </c>
      <c r="AR211" s="77"/>
      <c r="AS211" s="77"/>
      <c r="AT211" s="77"/>
      <c r="AU211" s="77"/>
      <c r="AV211" s="80" t="str">
        <f>HYPERLINK("https://pbs.twimg.com/media/FyB11GeWYAE_jL0.jpg")</f>
        <v>https://pbs.twimg.com/media/FyB11GeWYAE_jL0.jpg</v>
      </c>
      <c r="AW211" s="82" t="s">
        <v>16984</v>
      </c>
      <c r="AX211" s="82" t="s">
        <v>16984</v>
      </c>
      <c r="AY211" s="77"/>
      <c r="AZ211" s="82" t="s">
        <v>20971</v>
      </c>
      <c r="BA211" s="82" t="s">
        <v>20971</v>
      </c>
      <c r="BB211" s="82" t="s">
        <v>20971</v>
      </c>
      <c r="BC211" s="82" t="s">
        <v>16984</v>
      </c>
      <c r="BD211" s="82" t="s">
        <v>21093</v>
      </c>
      <c r="BE211" s="77"/>
      <c r="BF211" s="77"/>
      <c r="BG211" s="77"/>
      <c r="BH211" s="77"/>
      <c r="BI211" s="77"/>
    </row>
    <row r="212" spans="1:61" x14ac:dyDescent="0.25">
      <c r="A212" s="62" t="s">
        <v>339</v>
      </c>
      <c r="B212" s="62" t="s">
        <v>1243</v>
      </c>
      <c r="C212" s="63"/>
      <c r="D212" s="64"/>
      <c r="E212" s="65"/>
      <c r="F212" s="66"/>
      <c r="G212" s="63"/>
      <c r="H212" s="67"/>
      <c r="I212" s="68"/>
      <c r="J212" s="68"/>
      <c r="K212" s="32"/>
      <c r="L212" s="75">
        <v>212</v>
      </c>
      <c r="M212" s="75"/>
      <c r="N212" s="70"/>
      <c r="O212" s="77" t="s">
        <v>1284</v>
      </c>
      <c r="P212" s="79">
        <v>45171.935636574075</v>
      </c>
      <c r="Q212" s="77" t="s">
        <v>1496</v>
      </c>
      <c r="R212" s="77">
        <v>0</v>
      </c>
      <c r="S212" s="77">
        <v>1</v>
      </c>
      <c r="T212" s="77">
        <v>1</v>
      </c>
      <c r="U212" s="77">
        <v>0</v>
      </c>
      <c r="V212" s="77">
        <v>36</v>
      </c>
      <c r="W212" s="82" t="s">
        <v>5236</v>
      </c>
      <c r="X212" s="77"/>
      <c r="Y212" s="77"/>
      <c r="Z212" s="77" t="s">
        <v>1243</v>
      </c>
      <c r="AA212" s="77"/>
      <c r="AB212" s="77"/>
      <c r="AC212" s="82" t="s">
        <v>10144</v>
      </c>
      <c r="AD212" s="77" t="s">
        <v>10184</v>
      </c>
      <c r="AE212" s="80" t="str">
        <f>HYPERLINK("https://twitter.com/montssx/status/1698100316502110639")</f>
        <v>https://twitter.com/montssx/status/1698100316502110639</v>
      </c>
      <c r="AF212" s="79">
        <v>45171.935636574075</v>
      </c>
      <c r="AG212" s="85">
        <v>45171</v>
      </c>
      <c r="AH212" s="82" t="s">
        <v>10407</v>
      </c>
      <c r="AI212" s="77"/>
      <c r="AJ212" s="77"/>
      <c r="AK212" s="77"/>
      <c r="AL212" s="77"/>
      <c r="AM212" s="77"/>
      <c r="AN212" s="77"/>
      <c r="AO212" s="77"/>
      <c r="AP212" s="77"/>
      <c r="AQ212" s="77"/>
      <c r="AR212" s="77"/>
      <c r="AS212" s="77"/>
      <c r="AT212" s="77"/>
      <c r="AU212" s="77"/>
      <c r="AV212" s="80" t="str">
        <f>HYPERLINK("https://pbs.twimg.com/profile_images/1657446018617683972/VT-QDq_K_normal.jpg")</f>
        <v>https://pbs.twimg.com/profile_images/1657446018617683972/VT-QDq_K_normal.jpg</v>
      </c>
      <c r="AW212" s="82" t="s">
        <v>16985</v>
      </c>
      <c r="AX212" s="82" t="s">
        <v>20796</v>
      </c>
      <c r="AY212" s="82" t="s">
        <v>20906</v>
      </c>
      <c r="AZ212" s="82" t="s">
        <v>20796</v>
      </c>
      <c r="BA212" s="82" t="s">
        <v>20971</v>
      </c>
      <c r="BB212" s="82" t="s">
        <v>20971</v>
      </c>
      <c r="BC212" s="82" t="s">
        <v>20796</v>
      </c>
      <c r="BD212" s="82" t="s">
        <v>21094</v>
      </c>
      <c r="BE212" s="77"/>
      <c r="BF212" s="77"/>
      <c r="BG212" s="77"/>
      <c r="BH212" s="77"/>
      <c r="BI212" s="77"/>
    </row>
    <row r="213" spans="1:61" x14ac:dyDescent="0.25">
      <c r="A213" s="62" t="s">
        <v>340</v>
      </c>
      <c r="B213" s="62" t="s">
        <v>340</v>
      </c>
      <c r="C213" s="63"/>
      <c r="D213" s="64"/>
      <c r="E213" s="65"/>
      <c r="F213" s="66"/>
      <c r="G213" s="63"/>
      <c r="H213" s="67"/>
      <c r="I213" s="68"/>
      <c r="J213" s="68"/>
      <c r="K213" s="32"/>
      <c r="L213" s="75">
        <v>213</v>
      </c>
      <c r="M213" s="75"/>
      <c r="N213" s="70"/>
      <c r="O213" s="77" t="s">
        <v>179</v>
      </c>
      <c r="P213" s="79">
        <v>44985.435601851852</v>
      </c>
      <c r="Q213" s="77" t="s">
        <v>1497</v>
      </c>
      <c r="R213" s="77">
        <v>0</v>
      </c>
      <c r="S213" s="77">
        <v>0</v>
      </c>
      <c r="T213" s="77">
        <v>0</v>
      </c>
      <c r="U213" s="77">
        <v>0</v>
      </c>
      <c r="V213" s="77">
        <v>24</v>
      </c>
      <c r="W213" s="82" t="s">
        <v>5413</v>
      </c>
      <c r="X213" s="77"/>
      <c r="Y213" s="77"/>
      <c r="Z213" s="77"/>
      <c r="AA213" s="77"/>
      <c r="AB213" s="77"/>
      <c r="AC213" s="82" t="s">
        <v>10150</v>
      </c>
      <c r="AD213" s="77" t="s">
        <v>10184</v>
      </c>
      <c r="AE213" s="80" t="str">
        <f>HYPERLINK("https://twitter.com/rodrigoxguima/status/1630514969837023233")</f>
        <v>https://twitter.com/rodrigoxguima/status/1630514969837023233</v>
      </c>
      <c r="AF213" s="79">
        <v>44985.435601851852</v>
      </c>
      <c r="AG213" s="85">
        <v>44985</v>
      </c>
      <c r="AH213" s="82" t="s">
        <v>10408</v>
      </c>
      <c r="AI213" s="77"/>
      <c r="AJ213" s="77"/>
      <c r="AK213" s="77"/>
      <c r="AL213" s="77"/>
      <c r="AM213" s="77"/>
      <c r="AN213" s="77"/>
      <c r="AO213" s="77"/>
      <c r="AP213" s="77"/>
      <c r="AQ213" s="77"/>
      <c r="AR213" s="77"/>
      <c r="AS213" s="77"/>
      <c r="AT213" s="77"/>
      <c r="AU213" s="77"/>
      <c r="AV213" s="80" t="str">
        <f>HYPERLINK("https://pbs.twimg.com/profile_images/677090726405120000/bUlTwuPW_normal.jpg")</f>
        <v>https://pbs.twimg.com/profile_images/677090726405120000/bUlTwuPW_normal.jpg</v>
      </c>
      <c r="AW213" s="82" t="s">
        <v>16986</v>
      </c>
      <c r="AX213" s="82" t="s">
        <v>16986</v>
      </c>
      <c r="AY213" s="77"/>
      <c r="AZ213" s="82" t="s">
        <v>20971</v>
      </c>
      <c r="BA213" s="82" t="s">
        <v>20971</v>
      </c>
      <c r="BB213" s="82" t="s">
        <v>20971</v>
      </c>
      <c r="BC213" s="82" t="s">
        <v>16986</v>
      </c>
      <c r="BD213" s="77">
        <v>9018302</v>
      </c>
      <c r="BE213" s="77"/>
      <c r="BF213" s="77"/>
      <c r="BG213" s="77"/>
      <c r="BH213" s="77"/>
      <c r="BI213" s="77"/>
    </row>
    <row r="214" spans="1:61" x14ac:dyDescent="0.25">
      <c r="A214" s="62" t="s">
        <v>341</v>
      </c>
      <c r="B214" s="62" t="s">
        <v>341</v>
      </c>
      <c r="C214" s="63"/>
      <c r="D214" s="64"/>
      <c r="E214" s="65"/>
      <c r="F214" s="66"/>
      <c r="G214" s="63"/>
      <c r="H214" s="67"/>
      <c r="I214" s="68"/>
      <c r="J214" s="68"/>
      <c r="K214" s="32"/>
      <c r="L214" s="75">
        <v>214</v>
      </c>
      <c r="M214" s="75"/>
      <c r="N214" s="70"/>
      <c r="O214" s="77" t="s">
        <v>179</v>
      </c>
      <c r="P214" s="79">
        <v>45184.791018518517</v>
      </c>
      <c r="Q214" s="77" t="s">
        <v>1498</v>
      </c>
      <c r="R214" s="77">
        <v>0</v>
      </c>
      <c r="S214" s="77">
        <v>1</v>
      </c>
      <c r="T214" s="77">
        <v>0</v>
      </c>
      <c r="U214" s="77">
        <v>0</v>
      </c>
      <c r="V214" s="77">
        <v>4</v>
      </c>
      <c r="W214" s="82" t="s">
        <v>5414</v>
      </c>
      <c r="X214" s="80" t="str">
        <f>HYPERLINK("https://f2tips.com/pronavenda")</f>
        <v>https://f2tips.com/pronavenda</v>
      </c>
      <c r="Y214" s="77" t="s">
        <v>7289</v>
      </c>
      <c r="Z214" s="77"/>
      <c r="AA214" s="77" t="s">
        <v>7639</v>
      </c>
      <c r="AB214" s="77" t="s">
        <v>10129</v>
      </c>
      <c r="AC214" s="82" t="s">
        <v>10146</v>
      </c>
      <c r="AD214" s="77" t="s">
        <v>10184</v>
      </c>
      <c r="AE214" s="80" t="str">
        <f>HYPERLINK("https://twitter.com/tempodenegocio/status/1702758952260297075")</f>
        <v>https://twitter.com/tempodenegocio/status/1702758952260297075</v>
      </c>
      <c r="AF214" s="79">
        <v>45184.791018518517</v>
      </c>
      <c r="AG214" s="85">
        <v>45184</v>
      </c>
      <c r="AH214" s="82" t="s">
        <v>10409</v>
      </c>
      <c r="AI214" s="77" t="b">
        <v>0</v>
      </c>
      <c r="AJ214" s="77"/>
      <c r="AK214" s="77"/>
      <c r="AL214" s="77"/>
      <c r="AM214" s="77"/>
      <c r="AN214" s="77"/>
      <c r="AO214" s="77"/>
      <c r="AP214" s="77"/>
      <c r="AQ214" s="77" t="s">
        <v>14283</v>
      </c>
      <c r="AR214" s="77">
        <v>59745</v>
      </c>
      <c r="AS214" s="77"/>
      <c r="AT214" s="77"/>
      <c r="AU214" s="77"/>
      <c r="AV214" s="80" t="str">
        <f>HYPERLINK("https://pbs.twimg.com/ext_tw_video_thumb/1702758443487031296/pu/img/sFxKa7SDnfz8X5GO.jpg")</f>
        <v>https://pbs.twimg.com/ext_tw_video_thumb/1702758443487031296/pu/img/sFxKa7SDnfz8X5GO.jpg</v>
      </c>
      <c r="AW214" s="82" t="s">
        <v>16987</v>
      </c>
      <c r="AX214" s="82" t="s">
        <v>16987</v>
      </c>
      <c r="AY214" s="77"/>
      <c r="AZ214" s="82" t="s">
        <v>20971</v>
      </c>
      <c r="BA214" s="82" t="s">
        <v>20971</v>
      </c>
      <c r="BB214" s="82" t="s">
        <v>20971</v>
      </c>
      <c r="BC214" s="82" t="s">
        <v>16987</v>
      </c>
      <c r="BD214" s="82" t="s">
        <v>21095</v>
      </c>
      <c r="BE214" s="77"/>
      <c r="BF214" s="77"/>
      <c r="BG214" s="77"/>
      <c r="BH214" s="77"/>
      <c r="BI214" s="77"/>
    </row>
    <row r="215" spans="1:61" x14ac:dyDescent="0.25">
      <c r="A215" s="62" t="s">
        <v>341</v>
      </c>
      <c r="B215" s="62" t="s">
        <v>341</v>
      </c>
      <c r="C215" s="63"/>
      <c r="D215" s="64"/>
      <c r="E215" s="65"/>
      <c r="F215" s="66"/>
      <c r="G215" s="63"/>
      <c r="H215" s="67"/>
      <c r="I215" s="68"/>
      <c r="J215" s="68"/>
      <c r="K215" s="32"/>
      <c r="L215" s="75">
        <v>215</v>
      </c>
      <c r="M215" s="75"/>
      <c r="N215" s="70"/>
      <c r="O215" s="77" t="s">
        <v>179</v>
      </c>
      <c r="P215" s="79">
        <v>45183.747511574074</v>
      </c>
      <c r="Q215" s="77" t="s">
        <v>1499</v>
      </c>
      <c r="R215" s="77">
        <v>0</v>
      </c>
      <c r="S215" s="77">
        <v>0</v>
      </c>
      <c r="T215" s="77">
        <v>0</v>
      </c>
      <c r="U215" s="77">
        <v>0</v>
      </c>
      <c r="V215" s="77">
        <v>5</v>
      </c>
      <c r="W215" s="82" t="s">
        <v>5414</v>
      </c>
      <c r="X215" s="80" t="str">
        <f>HYPERLINK("https://f2tips.com/pronavenda")</f>
        <v>https://f2tips.com/pronavenda</v>
      </c>
      <c r="Y215" s="77" t="s">
        <v>7289</v>
      </c>
      <c r="Z215" s="77"/>
      <c r="AA215" s="77" t="s">
        <v>7640</v>
      </c>
      <c r="AB215" s="77" t="s">
        <v>10129</v>
      </c>
      <c r="AC215" s="82" t="s">
        <v>10146</v>
      </c>
      <c r="AD215" s="77" t="s">
        <v>10184</v>
      </c>
      <c r="AE215" s="80" t="str">
        <f>HYPERLINK("https://twitter.com/tempodenegocio/status/1702380796827341215")</f>
        <v>https://twitter.com/tempodenegocio/status/1702380796827341215</v>
      </c>
      <c r="AF215" s="79">
        <v>45183.747511574074</v>
      </c>
      <c r="AG215" s="85">
        <v>45183</v>
      </c>
      <c r="AH215" s="82" t="s">
        <v>10410</v>
      </c>
      <c r="AI215" s="77" t="b">
        <v>0</v>
      </c>
      <c r="AJ215" s="77"/>
      <c r="AK215" s="77"/>
      <c r="AL215" s="77"/>
      <c r="AM215" s="77"/>
      <c r="AN215" s="77"/>
      <c r="AO215" s="77"/>
      <c r="AP215" s="77"/>
      <c r="AQ215" s="77" t="s">
        <v>14284</v>
      </c>
      <c r="AR215" s="77">
        <v>58677</v>
      </c>
      <c r="AS215" s="77"/>
      <c r="AT215" s="77"/>
      <c r="AU215" s="77"/>
      <c r="AV215" s="80" t="str">
        <f>HYPERLINK("https://pbs.twimg.com/ext_tw_video_thumb/1702380157300822016/pu/img/UIDuRwmrvgqg8pUz.jpg")</f>
        <v>https://pbs.twimg.com/ext_tw_video_thumb/1702380157300822016/pu/img/UIDuRwmrvgqg8pUz.jpg</v>
      </c>
      <c r="AW215" s="82" t="s">
        <v>16988</v>
      </c>
      <c r="AX215" s="82" t="s">
        <v>16988</v>
      </c>
      <c r="AY215" s="77"/>
      <c r="AZ215" s="82" t="s">
        <v>20971</v>
      </c>
      <c r="BA215" s="82" t="s">
        <v>20971</v>
      </c>
      <c r="BB215" s="82" t="s">
        <v>20971</v>
      </c>
      <c r="BC215" s="82" t="s">
        <v>16988</v>
      </c>
      <c r="BD215" s="82" t="s">
        <v>21095</v>
      </c>
      <c r="BE215" s="77"/>
      <c r="BF215" s="77"/>
      <c r="BG215" s="77"/>
      <c r="BH215" s="77"/>
      <c r="BI215" s="77"/>
    </row>
    <row r="216" spans="1:61" x14ac:dyDescent="0.25">
      <c r="A216" s="62" t="s">
        <v>341</v>
      </c>
      <c r="B216" s="62" t="s">
        <v>341</v>
      </c>
      <c r="C216" s="63"/>
      <c r="D216" s="64"/>
      <c r="E216" s="65"/>
      <c r="F216" s="66"/>
      <c r="G216" s="63"/>
      <c r="H216" s="67"/>
      <c r="I216" s="68"/>
      <c r="J216" s="68"/>
      <c r="K216" s="32"/>
      <c r="L216" s="75">
        <v>216</v>
      </c>
      <c r="M216" s="75"/>
      <c r="N216" s="70"/>
      <c r="O216" s="77" t="s">
        <v>179</v>
      </c>
      <c r="P216" s="79">
        <v>45182.733530092592</v>
      </c>
      <c r="Q216" s="77" t="s">
        <v>1500</v>
      </c>
      <c r="R216" s="77">
        <v>0</v>
      </c>
      <c r="S216" s="77">
        <v>1</v>
      </c>
      <c r="T216" s="77">
        <v>0</v>
      </c>
      <c r="U216" s="77">
        <v>0</v>
      </c>
      <c r="V216" s="77">
        <v>2</v>
      </c>
      <c r="W216" s="82" t="s">
        <v>5414</v>
      </c>
      <c r="X216" s="80" t="str">
        <f>HYPERLINK("https://f2tips.com/pronavenda")</f>
        <v>https://f2tips.com/pronavenda</v>
      </c>
      <c r="Y216" s="77" t="s">
        <v>7289</v>
      </c>
      <c r="Z216" s="77"/>
      <c r="AA216" s="77" t="s">
        <v>7641</v>
      </c>
      <c r="AB216" s="77" t="s">
        <v>10129</v>
      </c>
      <c r="AC216" s="82" t="s">
        <v>10146</v>
      </c>
      <c r="AD216" s="77" t="s">
        <v>10184</v>
      </c>
      <c r="AE216" s="80" t="str">
        <f>HYPERLINK("https://twitter.com/tempodenegocio/status/1702013343375008107")</f>
        <v>https://twitter.com/tempodenegocio/status/1702013343375008107</v>
      </c>
      <c r="AF216" s="79">
        <v>45182.733530092592</v>
      </c>
      <c r="AG216" s="85">
        <v>45182</v>
      </c>
      <c r="AH216" s="82" t="s">
        <v>10411</v>
      </c>
      <c r="AI216" s="77" t="b">
        <v>0</v>
      </c>
      <c r="AJ216" s="77"/>
      <c r="AK216" s="77"/>
      <c r="AL216" s="77"/>
      <c r="AM216" s="77"/>
      <c r="AN216" s="77"/>
      <c r="AO216" s="77"/>
      <c r="AP216" s="77"/>
      <c r="AQ216" s="77" t="s">
        <v>14285</v>
      </c>
      <c r="AR216" s="77">
        <v>56448</v>
      </c>
      <c r="AS216" s="77"/>
      <c r="AT216" s="77"/>
      <c r="AU216" s="77"/>
      <c r="AV216" s="80" t="str">
        <f>HYPERLINK("https://pbs.twimg.com/ext_tw_video_thumb/1702012872836952064/pu/img/8G4EQ88R0SnkZJYb.jpg")</f>
        <v>https://pbs.twimg.com/ext_tw_video_thumb/1702012872836952064/pu/img/8G4EQ88R0SnkZJYb.jpg</v>
      </c>
      <c r="AW216" s="82" t="s">
        <v>16989</v>
      </c>
      <c r="AX216" s="82" t="s">
        <v>16989</v>
      </c>
      <c r="AY216" s="77"/>
      <c r="AZ216" s="82" t="s">
        <v>20971</v>
      </c>
      <c r="BA216" s="82" t="s">
        <v>20971</v>
      </c>
      <c r="BB216" s="82" t="s">
        <v>20971</v>
      </c>
      <c r="BC216" s="82" t="s">
        <v>16989</v>
      </c>
      <c r="BD216" s="82" t="s">
        <v>21095</v>
      </c>
      <c r="BE216" s="77"/>
      <c r="BF216" s="77"/>
      <c r="BG216" s="77"/>
      <c r="BH216" s="77"/>
      <c r="BI216" s="77"/>
    </row>
    <row r="217" spans="1:61" x14ac:dyDescent="0.25">
      <c r="A217" s="62" t="s">
        <v>341</v>
      </c>
      <c r="B217" s="62" t="s">
        <v>341</v>
      </c>
      <c r="C217" s="63"/>
      <c r="D217" s="64"/>
      <c r="E217" s="65"/>
      <c r="F217" s="66"/>
      <c r="G217" s="63"/>
      <c r="H217" s="67"/>
      <c r="I217" s="68"/>
      <c r="J217" s="68"/>
      <c r="K217" s="32"/>
      <c r="L217" s="75">
        <v>217</v>
      </c>
      <c r="M217" s="75"/>
      <c r="N217" s="70"/>
      <c r="O217" s="77" t="s">
        <v>179</v>
      </c>
      <c r="P217" s="79">
        <v>45182.524745370371</v>
      </c>
      <c r="Q217" s="77" t="s">
        <v>1501</v>
      </c>
      <c r="R217" s="77">
        <v>0</v>
      </c>
      <c r="S217" s="77">
        <v>1</v>
      </c>
      <c r="T217" s="77">
        <v>0</v>
      </c>
      <c r="U217" s="77">
        <v>0</v>
      </c>
      <c r="V217" s="77">
        <v>4</v>
      </c>
      <c r="W217" s="82" t="s">
        <v>5415</v>
      </c>
      <c r="X217" s="80" t="str">
        <f>HYPERLINK("https://f2tips.com/pronavenda")</f>
        <v>https://f2tips.com/pronavenda</v>
      </c>
      <c r="Y217" s="77" t="s">
        <v>7289</v>
      </c>
      <c r="Z217" s="77"/>
      <c r="AA217" s="77" t="s">
        <v>7642</v>
      </c>
      <c r="AB217" s="77" t="s">
        <v>10129</v>
      </c>
      <c r="AC217" s="82" t="s">
        <v>10146</v>
      </c>
      <c r="AD217" s="77" t="s">
        <v>10184</v>
      </c>
      <c r="AE217" s="80" t="str">
        <f>HYPERLINK("https://twitter.com/tempodenegocio/status/1701937680857039137")</f>
        <v>https://twitter.com/tempodenegocio/status/1701937680857039137</v>
      </c>
      <c r="AF217" s="79">
        <v>45182.524745370371</v>
      </c>
      <c r="AG217" s="85">
        <v>45182</v>
      </c>
      <c r="AH217" s="82" t="s">
        <v>10412</v>
      </c>
      <c r="AI217" s="77" t="b">
        <v>0</v>
      </c>
      <c r="AJ217" s="77"/>
      <c r="AK217" s="77"/>
      <c r="AL217" s="77"/>
      <c r="AM217" s="77"/>
      <c r="AN217" s="77"/>
      <c r="AO217" s="77"/>
      <c r="AP217" s="77"/>
      <c r="AQ217" s="77" t="s">
        <v>14286</v>
      </c>
      <c r="AR217" s="77">
        <v>58979</v>
      </c>
      <c r="AS217" s="77"/>
      <c r="AT217" s="77"/>
      <c r="AU217" s="77"/>
      <c r="AV217" s="80" t="str">
        <f>HYPERLINK("https://pbs.twimg.com/ext_tw_video_thumb/1701937114747719680/pu/img/WAfTa_B7ryJbb55I.jpg")</f>
        <v>https://pbs.twimg.com/ext_tw_video_thumb/1701937114747719680/pu/img/WAfTa_B7ryJbb55I.jpg</v>
      </c>
      <c r="AW217" s="82" t="s">
        <v>16990</v>
      </c>
      <c r="AX217" s="82" t="s">
        <v>16990</v>
      </c>
      <c r="AY217" s="77"/>
      <c r="AZ217" s="82" t="s">
        <v>20971</v>
      </c>
      <c r="BA217" s="82" t="s">
        <v>20971</v>
      </c>
      <c r="BB217" s="82" t="s">
        <v>20971</v>
      </c>
      <c r="BC217" s="82" t="s">
        <v>16990</v>
      </c>
      <c r="BD217" s="82" t="s">
        <v>21095</v>
      </c>
      <c r="BE217" s="77"/>
      <c r="BF217" s="77"/>
      <c r="BG217" s="77"/>
      <c r="BH217" s="77"/>
      <c r="BI217" s="77"/>
    </row>
    <row r="218" spans="1:61" x14ac:dyDescent="0.25">
      <c r="A218" s="62" t="s">
        <v>341</v>
      </c>
      <c r="B218" s="62" t="s">
        <v>341</v>
      </c>
      <c r="C218" s="63"/>
      <c r="D218" s="64"/>
      <c r="E218" s="65"/>
      <c r="F218" s="66"/>
      <c r="G218" s="63"/>
      <c r="H218" s="67"/>
      <c r="I218" s="68"/>
      <c r="J218" s="68"/>
      <c r="K218" s="32"/>
      <c r="L218" s="75">
        <v>218</v>
      </c>
      <c r="M218" s="75"/>
      <c r="N218" s="70"/>
      <c r="O218" s="77" t="s">
        <v>179</v>
      </c>
      <c r="P218" s="79">
        <v>45181.880914351852</v>
      </c>
      <c r="Q218" s="77" t="s">
        <v>1502</v>
      </c>
      <c r="R218" s="77">
        <v>0</v>
      </c>
      <c r="S218" s="77">
        <v>1</v>
      </c>
      <c r="T218" s="77">
        <v>0</v>
      </c>
      <c r="U218" s="77">
        <v>0</v>
      </c>
      <c r="V218" s="77">
        <v>6</v>
      </c>
      <c r="W218" s="82" t="s">
        <v>5415</v>
      </c>
      <c r="X218" s="80" t="str">
        <f>HYPERLINK("https://f2tips.com/pronavenda")</f>
        <v>https://f2tips.com/pronavenda</v>
      </c>
      <c r="Y218" s="77" t="s">
        <v>7289</v>
      </c>
      <c r="Z218" s="77"/>
      <c r="AA218" s="77" t="s">
        <v>7643</v>
      </c>
      <c r="AB218" s="77" t="s">
        <v>10129</v>
      </c>
      <c r="AC218" s="82" t="s">
        <v>10146</v>
      </c>
      <c r="AD218" s="77" t="s">
        <v>10184</v>
      </c>
      <c r="AE218" s="80" t="str">
        <f>HYPERLINK("https://twitter.com/tempodenegocio/status/1701704366577877274")</f>
        <v>https://twitter.com/tempodenegocio/status/1701704366577877274</v>
      </c>
      <c r="AF218" s="79">
        <v>45181.880914351852</v>
      </c>
      <c r="AG218" s="85">
        <v>45181</v>
      </c>
      <c r="AH218" s="82" t="s">
        <v>10413</v>
      </c>
      <c r="AI218" s="77" t="b">
        <v>0</v>
      </c>
      <c r="AJ218" s="77"/>
      <c r="AK218" s="77"/>
      <c r="AL218" s="77"/>
      <c r="AM218" s="77"/>
      <c r="AN218" s="77"/>
      <c r="AO218" s="77"/>
      <c r="AP218" s="77"/>
      <c r="AQ218" s="77" t="s">
        <v>14287</v>
      </c>
      <c r="AR218" s="77">
        <v>59977</v>
      </c>
      <c r="AS218" s="77"/>
      <c r="AT218" s="77"/>
      <c r="AU218" s="77"/>
      <c r="AV218" s="80" t="str">
        <f>HYPERLINK("https://pbs.twimg.com/ext_tw_video_thumb/1701703722785533952/pu/img/uSaB9wmEcOoCcycE.jpg")</f>
        <v>https://pbs.twimg.com/ext_tw_video_thumb/1701703722785533952/pu/img/uSaB9wmEcOoCcycE.jpg</v>
      </c>
      <c r="AW218" s="82" t="s">
        <v>16991</v>
      </c>
      <c r="AX218" s="82" t="s">
        <v>16991</v>
      </c>
      <c r="AY218" s="77"/>
      <c r="AZ218" s="82" t="s">
        <v>20971</v>
      </c>
      <c r="BA218" s="82" t="s">
        <v>20971</v>
      </c>
      <c r="BB218" s="82" t="s">
        <v>20971</v>
      </c>
      <c r="BC218" s="82" t="s">
        <v>16991</v>
      </c>
      <c r="BD218" s="82" t="s">
        <v>21095</v>
      </c>
      <c r="BE218" s="77"/>
      <c r="BF218" s="77"/>
      <c r="BG218" s="77"/>
      <c r="BH218" s="77"/>
      <c r="BI218" s="77"/>
    </row>
    <row r="219" spans="1:61" x14ac:dyDescent="0.25">
      <c r="A219" s="62" t="s">
        <v>341</v>
      </c>
      <c r="B219" s="62" t="s">
        <v>341</v>
      </c>
      <c r="C219" s="63"/>
      <c r="D219" s="64"/>
      <c r="E219" s="65"/>
      <c r="F219" s="66"/>
      <c r="G219" s="63"/>
      <c r="H219" s="67"/>
      <c r="I219" s="68"/>
      <c r="J219" s="68"/>
      <c r="K219" s="32"/>
      <c r="L219" s="75">
        <v>219</v>
      </c>
      <c r="M219" s="75"/>
      <c r="N219" s="70"/>
      <c r="O219" s="77" t="s">
        <v>179</v>
      </c>
      <c r="P219" s="79">
        <v>45177.712708333333</v>
      </c>
      <c r="Q219" s="77" t="s">
        <v>1503</v>
      </c>
      <c r="R219" s="77">
        <v>0</v>
      </c>
      <c r="S219" s="77">
        <v>1</v>
      </c>
      <c r="T219" s="77">
        <v>0</v>
      </c>
      <c r="U219" s="77">
        <v>0</v>
      </c>
      <c r="V219" s="77">
        <v>7</v>
      </c>
      <c r="W219" s="82" t="s">
        <v>5416</v>
      </c>
      <c r="X219" s="80" t="str">
        <f>HYPERLINK("https://f2tips.com/pronavenda")</f>
        <v>https://f2tips.com/pronavenda</v>
      </c>
      <c r="Y219" s="77" t="s">
        <v>7289</v>
      </c>
      <c r="Z219" s="77"/>
      <c r="AA219" s="77" t="s">
        <v>7644</v>
      </c>
      <c r="AB219" s="77" t="s">
        <v>10129</v>
      </c>
      <c r="AC219" s="82" t="s">
        <v>10146</v>
      </c>
      <c r="AD219" s="77" t="s">
        <v>10184</v>
      </c>
      <c r="AE219" s="80" t="str">
        <f>HYPERLINK("https://twitter.com/tempodenegocio/status/1700193859605512269")</f>
        <v>https://twitter.com/tempodenegocio/status/1700193859605512269</v>
      </c>
      <c r="AF219" s="79">
        <v>45177.712708333333</v>
      </c>
      <c r="AG219" s="85">
        <v>45177</v>
      </c>
      <c r="AH219" s="82" t="s">
        <v>10414</v>
      </c>
      <c r="AI219" s="77" t="b">
        <v>0</v>
      </c>
      <c r="AJ219" s="77"/>
      <c r="AK219" s="77"/>
      <c r="AL219" s="77"/>
      <c r="AM219" s="77"/>
      <c r="AN219" s="77"/>
      <c r="AO219" s="77"/>
      <c r="AP219" s="77"/>
      <c r="AQ219" s="77" t="s">
        <v>14288</v>
      </c>
      <c r="AR219" s="77">
        <v>59953</v>
      </c>
      <c r="AS219" s="77"/>
      <c r="AT219" s="77"/>
      <c r="AU219" s="77"/>
      <c r="AV219" s="80" t="str">
        <f>HYPERLINK("https://pbs.twimg.com/ext_tw_video_thumb/1700192934350495744/pu/img/F6lc5JN8YVxCJwHv.jpg")</f>
        <v>https://pbs.twimg.com/ext_tw_video_thumb/1700192934350495744/pu/img/F6lc5JN8YVxCJwHv.jpg</v>
      </c>
      <c r="AW219" s="82" t="s">
        <v>16992</v>
      </c>
      <c r="AX219" s="82" t="s">
        <v>16992</v>
      </c>
      <c r="AY219" s="77"/>
      <c r="AZ219" s="82" t="s">
        <v>20971</v>
      </c>
      <c r="BA219" s="82" t="s">
        <v>20971</v>
      </c>
      <c r="BB219" s="82" t="s">
        <v>20971</v>
      </c>
      <c r="BC219" s="82" t="s">
        <v>16992</v>
      </c>
      <c r="BD219" s="82" t="s">
        <v>21095</v>
      </c>
      <c r="BE219" s="77"/>
      <c r="BF219" s="77"/>
      <c r="BG219" s="77"/>
      <c r="BH219" s="77"/>
      <c r="BI219" s="77"/>
    </row>
    <row r="220" spans="1:61" x14ac:dyDescent="0.25">
      <c r="A220" s="62" t="s">
        <v>341</v>
      </c>
      <c r="B220" s="62" t="s">
        <v>341</v>
      </c>
      <c r="C220" s="63"/>
      <c r="D220" s="64"/>
      <c r="E220" s="65"/>
      <c r="F220" s="66"/>
      <c r="G220" s="63"/>
      <c r="H220" s="67"/>
      <c r="I220" s="68"/>
      <c r="J220" s="68"/>
      <c r="K220" s="32"/>
      <c r="L220" s="75">
        <v>220</v>
      </c>
      <c r="M220" s="75"/>
      <c r="N220" s="70"/>
      <c r="O220" s="77" t="s">
        <v>179</v>
      </c>
      <c r="P220" s="79">
        <v>45187.727395833332</v>
      </c>
      <c r="Q220" s="77" t="s">
        <v>1504</v>
      </c>
      <c r="R220" s="77">
        <v>0</v>
      </c>
      <c r="S220" s="77">
        <v>0</v>
      </c>
      <c r="T220" s="77">
        <v>0</v>
      </c>
      <c r="U220" s="77">
        <v>0</v>
      </c>
      <c r="V220" s="77">
        <v>3</v>
      </c>
      <c r="W220" s="82" t="s">
        <v>5417</v>
      </c>
      <c r="X220" s="80" t="str">
        <f>HYPERLINK("https://f2tips.com/pronavenda")</f>
        <v>https://f2tips.com/pronavenda</v>
      </c>
      <c r="Y220" s="77" t="s">
        <v>7289</v>
      </c>
      <c r="Z220" s="77"/>
      <c r="AA220" s="77" t="s">
        <v>7645</v>
      </c>
      <c r="AB220" s="77" t="s">
        <v>10129</v>
      </c>
      <c r="AC220" s="82" t="s">
        <v>10146</v>
      </c>
      <c r="AD220" s="77" t="s">
        <v>10184</v>
      </c>
      <c r="AE220" s="80" t="str">
        <f>HYPERLINK("https://twitter.com/tempodenegocio/status/1703823059105235265")</f>
        <v>https://twitter.com/tempodenegocio/status/1703823059105235265</v>
      </c>
      <c r="AF220" s="79">
        <v>45187.727395833332</v>
      </c>
      <c r="AG220" s="85">
        <v>45187</v>
      </c>
      <c r="AH220" s="82" t="s">
        <v>10415</v>
      </c>
      <c r="AI220" s="77" t="b">
        <v>0</v>
      </c>
      <c r="AJ220" s="77"/>
      <c r="AK220" s="77"/>
      <c r="AL220" s="77"/>
      <c r="AM220" s="77"/>
      <c r="AN220" s="77"/>
      <c r="AO220" s="77"/>
      <c r="AP220" s="77"/>
      <c r="AQ220" s="77" t="s">
        <v>14289</v>
      </c>
      <c r="AR220" s="77">
        <v>36618</v>
      </c>
      <c r="AS220" s="77"/>
      <c r="AT220" s="77"/>
      <c r="AU220" s="77"/>
      <c r="AV220" s="80" t="str">
        <f>HYPERLINK("https://pbs.twimg.com/ext_tw_video_thumb/1703822775801040896/pu/img/2342BS1mIRQox5Zs.jpg")</f>
        <v>https://pbs.twimg.com/ext_tw_video_thumb/1703822775801040896/pu/img/2342BS1mIRQox5Zs.jpg</v>
      </c>
      <c r="AW220" s="82" t="s">
        <v>16993</v>
      </c>
      <c r="AX220" s="82" t="s">
        <v>16993</v>
      </c>
      <c r="AY220" s="77"/>
      <c r="AZ220" s="82" t="s">
        <v>20971</v>
      </c>
      <c r="BA220" s="82" t="s">
        <v>20971</v>
      </c>
      <c r="BB220" s="82" t="s">
        <v>20971</v>
      </c>
      <c r="BC220" s="82" t="s">
        <v>16993</v>
      </c>
      <c r="BD220" s="82" t="s">
        <v>21095</v>
      </c>
      <c r="BE220" s="77"/>
      <c r="BF220" s="77"/>
      <c r="BG220" s="77"/>
      <c r="BH220" s="77"/>
      <c r="BI220" s="77"/>
    </row>
    <row r="221" spans="1:61" x14ac:dyDescent="0.25">
      <c r="A221" s="62" t="s">
        <v>342</v>
      </c>
      <c r="B221" s="62" t="s">
        <v>342</v>
      </c>
      <c r="C221" s="63"/>
      <c r="D221" s="64"/>
      <c r="E221" s="65"/>
      <c r="F221" s="66"/>
      <c r="G221" s="63"/>
      <c r="H221" s="67"/>
      <c r="I221" s="68"/>
      <c r="J221" s="68"/>
      <c r="K221" s="32"/>
      <c r="L221" s="75">
        <v>221</v>
      </c>
      <c r="M221" s="75"/>
      <c r="N221" s="70"/>
      <c r="O221" s="77" t="s">
        <v>179</v>
      </c>
      <c r="P221" s="79">
        <v>45032.739490740743</v>
      </c>
      <c r="Q221" s="77" t="s">
        <v>1505</v>
      </c>
      <c r="R221" s="77">
        <v>0</v>
      </c>
      <c r="S221" s="77">
        <v>0</v>
      </c>
      <c r="T221" s="77">
        <v>0</v>
      </c>
      <c r="U221" s="77">
        <v>0</v>
      </c>
      <c r="V221" s="77">
        <v>28</v>
      </c>
      <c r="W221" s="82" t="s">
        <v>5418</v>
      </c>
      <c r="X221" s="77"/>
      <c r="Y221" s="77"/>
      <c r="Z221" s="77"/>
      <c r="AA221" s="77" t="s">
        <v>7646</v>
      </c>
      <c r="AB221" s="77" t="s">
        <v>10129</v>
      </c>
      <c r="AC221" s="82" t="s">
        <v>10146</v>
      </c>
      <c r="AD221" s="77" t="s">
        <v>10184</v>
      </c>
      <c r="AE221" s="80" t="str">
        <f>HYPERLINK("https://twitter.com/anaempreen69261/status/1647657324830511105")</f>
        <v>https://twitter.com/anaempreen69261/status/1647657324830511105</v>
      </c>
      <c r="AF221" s="79">
        <v>45032.739490740743</v>
      </c>
      <c r="AG221" s="85">
        <v>45032</v>
      </c>
      <c r="AH221" s="82" t="s">
        <v>10416</v>
      </c>
      <c r="AI221" s="77" t="b">
        <v>0</v>
      </c>
      <c r="AJ221" s="77"/>
      <c r="AK221" s="77"/>
      <c r="AL221" s="77"/>
      <c r="AM221" s="77"/>
      <c r="AN221" s="77"/>
      <c r="AO221" s="77"/>
      <c r="AP221" s="77"/>
      <c r="AQ221" s="77" t="s">
        <v>14290</v>
      </c>
      <c r="AR221" s="77">
        <v>7150</v>
      </c>
      <c r="AS221" s="77"/>
      <c r="AT221" s="77"/>
      <c r="AU221" s="77"/>
      <c r="AV221" s="80" t="str">
        <f>HYPERLINK("https://pbs.twimg.com/ext_tw_video_thumb/1647657033972187136/pu/img/WsNbfX4A6gKkkctg.jpg")</f>
        <v>https://pbs.twimg.com/ext_tw_video_thumb/1647657033972187136/pu/img/WsNbfX4A6gKkkctg.jpg</v>
      </c>
      <c r="AW221" s="82" t="s">
        <v>16994</v>
      </c>
      <c r="AX221" s="82" t="s">
        <v>16994</v>
      </c>
      <c r="AY221" s="77"/>
      <c r="AZ221" s="82" t="s">
        <v>20971</v>
      </c>
      <c r="BA221" s="82" t="s">
        <v>20971</v>
      </c>
      <c r="BB221" s="82" t="s">
        <v>20971</v>
      </c>
      <c r="BC221" s="82" t="s">
        <v>16994</v>
      </c>
      <c r="BD221" s="82" t="s">
        <v>21096</v>
      </c>
      <c r="BE221" s="77"/>
      <c r="BF221" s="77"/>
      <c r="BG221" s="77"/>
      <c r="BH221" s="77"/>
      <c r="BI221" s="77"/>
    </row>
    <row r="222" spans="1:61" x14ac:dyDescent="0.25">
      <c r="A222" s="62" t="s">
        <v>343</v>
      </c>
      <c r="B222" s="62" t="s">
        <v>343</v>
      </c>
      <c r="C222" s="63"/>
      <c r="D222" s="64"/>
      <c r="E222" s="65"/>
      <c r="F222" s="66"/>
      <c r="G222" s="63"/>
      <c r="H222" s="67"/>
      <c r="I222" s="68"/>
      <c r="J222" s="68"/>
      <c r="K222" s="32"/>
      <c r="L222" s="75">
        <v>222</v>
      </c>
      <c r="M222" s="75"/>
      <c r="N222" s="70"/>
      <c r="O222" s="77" t="s">
        <v>179</v>
      </c>
      <c r="P222" s="79">
        <v>44993.642418981479</v>
      </c>
      <c r="Q222" s="77" t="s">
        <v>1506</v>
      </c>
      <c r="R222" s="77">
        <v>0</v>
      </c>
      <c r="S222" s="77">
        <v>0</v>
      </c>
      <c r="T222" s="77">
        <v>0</v>
      </c>
      <c r="U222" s="77">
        <v>0</v>
      </c>
      <c r="V222" s="77">
        <v>15</v>
      </c>
      <c r="W222" s="82" t="s">
        <v>5419</v>
      </c>
      <c r="X222" s="80" t="str">
        <f>HYPERLINK("https://sucessospossiveis.blogspot.com/2023/03/dicas-para-melhorar-sua-produtividade.html?spref=tw")</f>
        <v>https://sucessospossiveis.blogspot.com/2023/03/dicas-para-melhorar-sua-produtividade.html?spref=tw</v>
      </c>
      <c r="Y222" s="77" t="s">
        <v>7261</v>
      </c>
      <c r="Z222" s="77"/>
      <c r="AA222" s="77"/>
      <c r="AB222" s="77"/>
      <c r="AC222" s="82" t="s">
        <v>10146</v>
      </c>
      <c r="AD222" s="77" t="s">
        <v>10184</v>
      </c>
      <c r="AE222" s="80" t="str">
        <f>HYPERLINK("https://twitter.com/sucessopossivel/status/1633489016728219649")</f>
        <v>https://twitter.com/sucessopossivel/status/1633489016728219649</v>
      </c>
      <c r="AF222" s="79">
        <v>44993.642418981479</v>
      </c>
      <c r="AG222" s="85">
        <v>44993</v>
      </c>
      <c r="AH222" s="82" t="s">
        <v>10417</v>
      </c>
      <c r="AI222" s="77" t="b">
        <v>0</v>
      </c>
      <c r="AJ222" s="77"/>
      <c r="AK222" s="77"/>
      <c r="AL222" s="77"/>
      <c r="AM222" s="77"/>
      <c r="AN222" s="77"/>
      <c r="AO222" s="77"/>
      <c r="AP222" s="77"/>
      <c r="AQ222" s="77"/>
      <c r="AR222" s="77"/>
      <c r="AS222" s="77"/>
      <c r="AT222" s="77"/>
      <c r="AU222" s="77"/>
      <c r="AV222" s="80" t="str">
        <f>HYPERLINK("https://pbs.twimg.com/profile_images/1632836370493235201/ppRiu7QP_normal.jpg")</f>
        <v>https://pbs.twimg.com/profile_images/1632836370493235201/ppRiu7QP_normal.jpg</v>
      </c>
      <c r="AW222" s="82" t="s">
        <v>16995</v>
      </c>
      <c r="AX222" s="82" t="s">
        <v>16995</v>
      </c>
      <c r="AY222" s="77"/>
      <c r="AZ222" s="82" t="s">
        <v>20971</v>
      </c>
      <c r="BA222" s="82" t="s">
        <v>20971</v>
      </c>
      <c r="BB222" s="82" t="s">
        <v>20971</v>
      </c>
      <c r="BC222" s="82" t="s">
        <v>16995</v>
      </c>
      <c r="BD222" s="82" t="s">
        <v>21097</v>
      </c>
      <c r="BE222" s="77"/>
      <c r="BF222" s="77"/>
      <c r="BG222" s="77"/>
      <c r="BH222" s="77"/>
      <c r="BI222" s="77"/>
    </row>
    <row r="223" spans="1:61" x14ac:dyDescent="0.25">
      <c r="A223" s="62" t="s">
        <v>343</v>
      </c>
      <c r="B223" s="62" t="s">
        <v>343</v>
      </c>
      <c r="C223" s="63"/>
      <c r="D223" s="64"/>
      <c r="E223" s="65"/>
      <c r="F223" s="66"/>
      <c r="G223" s="63"/>
      <c r="H223" s="67"/>
      <c r="I223" s="68"/>
      <c r="J223" s="68"/>
      <c r="K223" s="32"/>
      <c r="L223" s="75">
        <v>223</v>
      </c>
      <c r="M223" s="75"/>
      <c r="N223" s="70"/>
      <c r="O223" s="77" t="s">
        <v>179</v>
      </c>
      <c r="P223" s="79">
        <v>44993.630370370367</v>
      </c>
      <c r="Q223" s="77" t="s">
        <v>1507</v>
      </c>
      <c r="R223" s="77">
        <v>0</v>
      </c>
      <c r="S223" s="77">
        <v>0</v>
      </c>
      <c r="T223" s="77">
        <v>0</v>
      </c>
      <c r="U223" s="77">
        <v>0</v>
      </c>
      <c r="V223" s="77">
        <v>12</v>
      </c>
      <c r="W223" s="82" t="s">
        <v>5419</v>
      </c>
      <c r="X223" s="80" t="str">
        <f>HYPERLINK("https://sucessospossiveis.blogspot.com/2023/03/como-lidar-com-o-medo-do-fracasso.html?spref=tw")</f>
        <v>https://sucessospossiveis.blogspot.com/2023/03/como-lidar-com-o-medo-do-fracasso.html?spref=tw</v>
      </c>
      <c r="Y223" s="77" t="s">
        <v>7261</v>
      </c>
      <c r="Z223" s="77"/>
      <c r="AA223" s="77"/>
      <c r="AB223" s="77"/>
      <c r="AC223" s="82" t="s">
        <v>10146</v>
      </c>
      <c r="AD223" s="77" t="s">
        <v>10184</v>
      </c>
      <c r="AE223" s="80" t="str">
        <f>HYPERLINK("https://twitter.com/sucessopossivel/status/1633484654056554497")</f>
        <v>https://twitter.com/sucessopossivel/status/1633484654056554497</v>
      </c>
      <c r="AF223" s="79">
        <v>44993.630370370367</v>
      </c>
      <c r="AG223" s="85">
        <v>44993</v>
      </c>
      <c r="AH223" s="82" t="s">
        <v>10418</v>
      </c>
      <c r="AI223" s="77" t="b">
        <v>0</v>
      </c>
      <c r="AJ223" s="77"/>
      <c r="AK223" s="77"/>
      <c r="AL223" s="77"/>
      <c r="AM223" s="77"/>
      <c r="AN223" s="77"/>
      <c r="AO223" s="77"/>
      <c r="AP223" s="77"/>
      <c r="AQ223" s="77"/>
      <c r="AR223" s="77"/>
      <c r="AS223" s="77"/>
      <c r="AT223" s="77"/>
      <c r="AU223" s="77"/>
      <c r="AV223" s="80" t="str">
        <f>HYPERLINK("https://pbs.twimg.com/profile_images/1632836370493235201/ppRiu7QP_normal.jpg")</f>
        <v>https://pbs.twimg.com/profile_images/1632836370493235201/ppRiu7QP_normal.jpg</v>
      </c>
      <c r="AW223" s="82" t="s">
        <v>16996</v>
      </c>
      <c r="AX223" s="82" t="s">
        <v>16996</v>
      </c>
      <c r="AY223" s="77"/>
      <c r="AZ223" s="82" t="s">
        <v>20971</v>
      </c>
      <c r="BA223" s="82" t="s">
        <v>20971</v>
      </c>
      <c r="BB223" s="82" t="s">
        <v>20971</v>
      </c>
      <c r="BC223" s="82" t="s">
        <v>16996</v>
      </c>
      <c r="BD223" s="82" t="s">
        <v>21097</v>
      </c>
      <c r="BE223" s="77"/>
      <c r="BF223" s="77"/>
      <c r="BG223" s="77"/>
      <c r="BH223" s="77"/>
      <c r="BI223" s="77"/>
    </row>
    <row r="224" spans="1:61" x14ac:dyDescent="0.25">
      <c r="A224" s="62" t="s">
        <v>344</v>
      </c>
      <c r="B224" s="62" t="s">
        <v>344</v>
      </c>
      <c r="C224" s="63"/>
      <c r="D224" s="64"/>
      <c r="E224" s="65"/>
      <c r="F224" s="66"/>
      <c r="G224" s="63"/>
      <c r="H224" s="67"/>
      <c r="I224" s="68"/>
      <c r="J224" s="68"/>
      <c r="K224" s="32"/>
      <c r="L224" s="75">
        <v>224</v>
      </c>
      <c r="M224" s="75"/>
      <c r="N224" s="70"/>
      <c r="O224" s="77" t="s">
        <v>1284</v>
      </c>
      <c r="P224" s="79">
        <v>45188.25209490741</v>
      </c>
      <c r="Q224" s="77" t="s">
        <v>1508</v>
      </c>
      <c r="R224" s="77">
        <v>0</v>
      </c>
      <c r="S224" s="77">
        <v>0</v>
      </c>
      <c r="T224" s="77">
        <v>0</v>
      </c>
      <c r="U224" s="77">
        <v>0</v>
      </c>
      <c r="V224" s="77">
        <v>10</v>
      </c>
      <c r="W224" s="82" t="s">
        <v>5420</v>
      </c>
      <c r="X224" s="77"/>
      <c r="Y224" s="77"/>
      <c r="Z224" s="77"/>
      <c r="AA224" s="77"/>
      <c r="AB224" s="77"/>
      <c r="AC224" s="82" t="s">
        <v>10145</v>
      </c>
      <c r="AD224" s="77" t="s">
        <v>10184</v>
      </c>
      <c r="AE224" s="80" t="str">
        <f>HYPERLINK("https://twitter.com/papoproar88/status/1704013205821935805")</f>
        <v>https://twitter.com/papoproar88/status/1704013205821935805</v>
      </c>
      <c r="AF224" s="79">
        <v>45188.25209490741</v>
      </c>
      <c r="AG224" s="85">
        <v>45188</v>
      </c>
      <c r="AH224" s="82" t="s">
        <v>10419</v>
      </c>
      <c r="AI224" s="77"/>
      <c r="AJ224" s="77"/>
      <c r="AK224" s="77"/>
      <c r="AL224" s="77"/>
      <c r="AM224" s="77"/>
      <c r="AN224" s="77"/>
      <c r="AO224" s="77"/>
      <c r="AP224" s="77"/>
      <c r="AQ224" s="77"/>
      <c r="AR224" s="77"/>
      <c r="AS224" s="77"/>
      <c r="AT224" s="77"/>
      <c r="AU224" s="77"/>
      <c r="AV224" s="80" t="str">
        <f>HYPERLINK("https://pbs.twimg.com/profile_images/1441667323585183747/VeYIiaL5_normal.jpg")</f>
        <v>https://pbs.twimg.com/profile_images/1441667323585183747/VeYIiaL5_normal.jpg</v>
      </c>
      <c r="AW224" s="82" t="s">
        <v>16997</v>
      </c>
      <c r="AX224" s="82" t="s">
        <v>20797</v>
      </c>
      <c r="AY224" s="82" t="s">
        <v>20907</v>
      </c>
      <c r="AZ224" s="82" t="s">
        <v>20797</v>
      </c>
      <c r="BA224" s="82" t="s">
        <v>20971</v>
      </c>
      <c r="BB224" s="82" t="s">
        <v>20971</v>
      </c>
      <c r="BC224" s="82" t="s">
        <v>20797</v>
      </c>
      <c r="BD224" s="82" t="s">
        <v>20907</v>
      </c>
      <c r="BE224" s="77"/>
      <c r="BF224" s="77"/>
      <c r="BG224" s="77"/>
      <c r="BH224" s="77"/>
      <c r="BI224" s="77"/>
    </row>
    <row r="225" spans="1:61" x14ac:dyDescent="0.25">
      <c r="A225" s="62" t="s">
        <v>345</v>
      </c>
      <c r="B225" s="62" t="s">
        <v>345</v>
      </c>
      <c r="C225" s="63"/>
      <c r="D225" s="64"/>
      <c r="E225" s="65"/>
      <c r="F225" s="66"/>
      <c r="G225" s="63"/>
      <c r="H225" s="67"/>
      <c r="I225" s="68"/>
      <c r="J225" s="68"/>
      <c r="K225" s="32"/>
      <c r="L225" s="75">
        <v>225</v>
      </c>
      <c r="M225" s="75"/>
      <c r="N225" s="70"/>
      <c r="O225" s="77" t="s">
        <v>179</v>
      </c>
      <c r="P225" s="79">
        <v>45119.875752314816</v>
      </c>
      <c r="Q225" s="77" t="s">
        <v>1509</v>
      </c>
      <c r="R225" s="77">
        <v>0</v>
      </c>
      <c r="S225" s="77">
        <v>0</v>
      </c>
      <c r="T225" s="77">
        <v>0</v>
      </c>
      <c r="U225" s="77">
        <v>0</v>
      </c>
      <c r="V225" s="77">
        <v>30</v>
      </c>
      <c r="W225" s="82" t="s">
        <v>5421</v>
      </c>
      <c r="X225" s="77"/>
      <c r="Y225" s="77"/>
      <c r="Z225" s="77"/>
      <c r="AA225" s="77" t="s">
        <v>7647</v>
      </c>
      <c r="AB225" s="77" t="s">
        <v>10129</v>
      </c>
      <c r="AC225" s="82" t="s">
        <v>10147</v>
      </c>
      <c r="AD225" s="77" t="s">
        <v>10184</v>
      </c>
      <c r="AE225" s="80" t="str">
        <f>HYPERLINK("https://twitter.com/outropatamar200/status/1679234445784612865")</f>
        <v>https://twitter.com/outropatamar200/status/1679234445784612865</v>
      </c>
      <c r="AF225" s="79">
        <v>45119.875752314816</v>
      </c>
      <c r="AG225" s="85">
        <v>45119</v>
      </c>
      <c r="AH225" s="82" t="s">
        <v>10420</v>
      </c>
      <c r="AI225" s="77" t="b">
        <v>0</v>
      </c>
      <c r="AJ225" s="77"/>
      <c r="AK225" s="77"/>
      <c r="AL225" s="77"/>
      <c r="AM225" s="77"/>
      <c r="AN225" s="77"/>
      <c r="AO225" s="77"/>
      <c r="AP225" s="77"/>
      <c r="AQ225" s="77" t="s">
        <v>14291</v>
      </c>
      <c r="AR225" s="77">
        <v>6120</v>
      </c>
      <c r="AS225" s="77"/>
      <c r="AT225" s="77"/>
      <c r="AU225" s="77"/>
      <c r="AV225" s="80" t="str">
        <f>HYPERLINK("https://pbs.twimg.com/ext_tw_video_thumb/1679234378696728577/pu/img/WLts8tlBdOz1NrmT.jpg")</f>
        <v>https://pbs.twimg.com/ext_tw_video_thumb/1679234378696728577/pu/img/WLts8tlBdOz1NrmT.jpg</v>
      </c>
      <c r="AW225" s="82" t="s">
        <v>16998</v>
      </c>
      <c r="AX225" s="82" t="s">
        <v>16998</v>
      </c>
      <c r="AY225" s="77"/>
      <c r="AZ225" s="82" t="s">
        <v>20971</v>
      </c>
      <c r="BA225" s="82" t="s">
        <v>20971</v>
      </c>
      <c r="BB225" s="82" t="s">
        <v>20971</v>
      </c>
      <c r="BC225" s="82" t="s">
        <v>16998</v>
      </c>
      <c r="BD225" s="82" t="s">
        <v>21098</v>
      </c>
      <c r="BE225" s="77"/>
      <c r="BF225" s="77"/>
      <c r="BG225" s="77"/>
      <c r="BH225" s="77"/>
      <c r="BI225" s="77"/>
    </row>
    <row r="226" spans="1:61" x14ac:dyDescent="0.25">
      <c r="A226" s="62" t="s">
        <v>345</v>
      </c>
      <c r="B226" s="62" t="s">
        <v>345</v>
      </c>
      <c r="C226" s="63"/>
      <c r="D226" s="64"/>
      <c r="E226" s="65"/>
      <c r="F226" s="66"/>
      <c r="G226" s="63"/>
      <c r="H226" s="67"/>
      <c r="I226" s="68"/>
      <c r="J226" s="68"/>
      <c r="K226" s="32"/>
      <c r="L226" s="75">
        <v>226</v>
      </c>
      <c r="M226" s="75"/>
      <c r="N226" s="70"/>
      <c r="O226" s="77" t="s">
        <v>179</v>
      </c>
      <c r="P226" s="79">
        <v>45119.750740740739</v>
      </c>
      <c r="Q226" s="77" t="s">
        <v>1510</v>
      </c>
      <c r="R226" s="77">
        <v>0</v>
      </c>
      <c r="S226" s="77">
        <v>0</v>
      </c>
      <c r="T226" s="77">
        <v>0</v>
      </c>
      <c r="U226" s="77">
        <v>0</v>
      </c>
      <c r="V226" s="77">
        <v>29</v>
      </c>
      <c r="W226" s="82" t="s">
        <v>5421</v>
      </c>
      <c r="X226" s="77"/>
      <c r="Y226" s="77"/>
      <c r="Z226" s="77"/>
      <c r="AA226" s="77" t="s">
        <v>7648</v>
      </c>
      <c r="AB226" s="77" t="s">
        <v>10129</v>
      </c>
      <c r="AC226" s="82" t="s">
        <v>10147</v>
      </c>
      <c r="AD226" s="77" t="s">
        <v>10184</v>
      </c>
      <c r="AE226" s="80" t="str">
        <f>HYPERLINK("https://twitter.com/outropatamar200/status/1679189145758089216")</f>
        <v>https://twitter.com/outropatamar200/status/1679189145758089216</v>
      </c>
      <c r="AF226" s="79">
        <v>45119.750740740739</v>
      </c>
      <c r="AG226" s="85">
        <v>45119</v>
      </c>
      <c r="AH226" s="82" t="s">
        <v>10421</v>
      </c>
      <c r="AI226" s="77" t="b">
        <v>0</v>
      </c>
      <c r="AJ226" s="77"/>
      <c r="AK226" s="77"/>
      <c r="AL226" s="77"/>
      <c r="AM226" s="77"/>
      <c r="AN226" s="77"/>
      <c r="AO226" s="77"/>
      <c r="AP226" s="77"/>
      <c r="AQ226" s="77" t="s">
        <v>14292</v>
      </c>
      <c r="AR226" s="77">
        <v>6120</v>
      </c>
      <c r="AS226" s="77"/>
      <c r="AT226" s="77"/>
      <c r="AU226" s="77"/>
      <c r="AV226" s="80" t="str">
        <f>HYPERLINK("https://pbs.twimg.com/ext_tw_video_thumb/1679189100539019266/pu/img/iPdPn6zOb_p3bwtu.jpg")</f>
        <v>https://pbs.twimg.com/ext_tw_video_thumb/1679189100539019266/pu/img/iPdPn6zOb_p3bwtu.jpg</v>
      </c>
      <c r="AW226" s="82" t="s">
        <v>16999</v>
      </c>
      <c r="AX226" s="82" t="s">
        <v>16999</v>
      </c>
      <c r="AY226" s="77"/>
      <c r="AZ226" s="82" t="s">
        <v>20971</v>
      </c>
      <c r="BA226" s="82" t="s">
        <v>20971</v>
      </c>
      <c r="BB226" s="82" t="s">
        <v>20971</v>
      </c>
      <c r="BC226" s="82" t="s">
        <v>16999</v>
      </c>
      <c r="BD226" s="82" t="s">
        <v>21098</v>
      </c>
      <c r="BE226" s="77"/>
      <c r="BF226" s="77"/>
      <c r="BG226" s="77"/>
      <c r="BH226" s="77"/>
      <c r="BI226" s="77"/>
    </row>
    <row r="227" spans="1:61" x14ac:dyDescent="0.25">
      <c r="A227" s="62" t="s">
        <v>345</v>
      </c>
      <c r="B227" s="62" t="s">
        <v>345</v>
      </c>
      <c r="C227" s="63"/>
      <c r="D227" s="64"/>
      <c r="E227" s="65"/>
      <c r="F227" s="66"/>
      <c r="G227" s="63"/>
      <c r="H227" s="67"/>
      <c r="I227" s="68"/>
      <c r="J227" s="68"/>
      <c r="K227" s="32"/>
      <c r="L227" s="75">
        <v>227</v>
      </c>
      <c r="M227" s="75"/>
      <c r="N227" s="70"/>
      <c r="O227" s="77" t="s">
        <v>179</v>
      </c>
      <c r="P227" s="79">
        <v>45119.417222222219</v>
      </c>
      <c r="Q227" s="77" t="s">
        <v>1511</v>
      </c>
      <c r="R227" s="77">
        <v>0</v>
      </c>
      <c r="S227" s="77">
        <v>0</v>
      </c>
      <c r="T227" s="77">
        <v>0</v>
      </c>
      <c r="U227" s="77">
        <v>0</v>
      </c>
      <c r="V227" s="77">
        <v>8</v>
      </c>
      <c r="W227" s="82" t="s">
        <v>5421</v>
      </c>
      <c r="X227" s="77"/>
      <c r="Y227" s="77"/>
      <c r="Z227" s="77"/>
      <c r="AA227" s="77" t="s">
        <v>7649</v>
      </c>
      <c r="AB227" s="77" t="s">
        <v>10129</v>
      </c>
      <c r="AC227" s="82" t="s">
        <v>10147</v>
      </c>
      <c r="AD227" s="77" t="s">
        <v>10184</v>
      </c>
      <c r="AE227" s="80" t="str">
        <f>HYPERLINK("https://twitter.com/outropatamar200/status/1679068279632015362")</f>
        <v>https://twitter.com/outropatamar200/status/1679068279632015362</v>
      </c>
      <c r="AF227" s="79">
        <v>45119.417222222219</v>
      </c>
      <c r="AG227" s="85">
        <v>45119</v>
      </c>
      <c r="AH227" s="82" t="s">
        <v>10422</v>
      </c>
      <c r="AI227" s="77" t="b">
        <v>0</v>
      </c>
      <c r="AJ227" s="77"/>
      <c r="AK227" s="77"/>
      <c r="AL227" s="77"/>
      <c r="AM227" s="77"/>
      <c r="AN227" s="77"/>
      <c r="AO227" s="77"/>
      <c r="AP227" s="77"/>
      <c r="AQ227" s="77" t="s">
        <v>14293</v>
      </c>
      <c r="AR227" s="77">
        <v>6120</v>
      </c>
      <c r="AS227" s="77"/>
      <c r="AT227" s="77"/>
      <c r="AU227" s="77"/>
      <c r="AV227" s="80" t="str">
        <f>HYPERLINK("https://pbs.twimg.com/ext_tw_video_thumb/1679068234769637379/pu/img/URS_UK2YWptzDZ4Y.jpg")</f>
        <v>https://pbs.twimg.com/ext_tw_video_thumb/1679068234769637379/pu/img/URS_UK2YWptzDZ4Y.jpg</v>
      </c>
      <c r="AW227" s="82" t="s">
        <v>17000</v>
      </c>
      <c r="AX227" s="82" t="s">
        <v>17000</v>
      </c>
      <c r="AY227" s="77"/>
      <c r="AZ227" s="82" t="s">
        <v>20971</v>
      </c>
      <c r="BA227" s="82" t="s">
        <v>20971</v>
      </c>
      <c r="BB227" s="82" t="s">
        <v>20971</v>
      </c>
      <c r="BC227" s="82" t="s">
        <v>17000</v>
      </c>
      <c r="BD227" s="82" t="s">
        <v>21098</v>
      </c>
      <c r="BE227" s="77"/>
      <c r="BF227" s="77"/>
      <c r="BG227" s="77"/>
      <c r="BH227" s="77"/>
      <c r="BI227" s="77"/>
    </row>
    <row r="228" spans="1:61" x14ac:dyDescent="0.25">
      <c r="A228" s="62" t="s">
        <v>345</v>
      </c>
      <c r="B228" s="62" t="s">
        <v>345</v>
      </c>
      <c r="C228" s="63"/>
      <c r="D228" s="64"/>
      <c r="E228" s="65"/>
      <c r="F228" s="66"/>
      <c r="G228" s="63"/>
      <c r="H228" s="67"/>
      <c r="I228" s="68"/>
      <c r="J228" s="68"/>
      <c r="K228" s="32"/>
      <c r="L228" s="75">
        <v>228</v>
      </c>
      <c r="M228" s="75"/>
      <c r="N228" s="70"/>
      <c r="O228" s="77" t="s">
        <v>179</v>
      </c>
      <c r="P228" s="79">
        <v>45118.87568287037</v>
      </c>
      <c r="Q228" s="77" t="s">
        <v>1512</v>
      </c>
      <c r="R228" s="77">
        <v>0</v>
      </c>
      <c r="S228" s="77">
        <v>0</v>
      </c>
      <c r="T228" s="77">
        <v>0</v>
      </c>
      <c r="U228" s="77">
        <v>0</v>
      </c>
      <c r="V228" s="77">
        <v>30</v>
      </c>
      <c r="W228" s="82" t="s">
        <v>5421</v>
      </c>
      <c r="X228" s="77"/>
      <c r="Y228" s="77"/>
      <c r="Z228" s="77"/>
      <c r="AA228" s="77" t="s">
        <v>7650</v>
      </c>
      <c r="AB228" s="77" t="s">
        <v>10129</v>
      </c>
      <c r="AC228" s="82" t="s">
        <v>10147</v>
      </c>
      <c r="AD228" s="77" t="s">
        <v>10184</v>
      </c>
      <c r="AE228" s="80" t="str">
        <f>HYPERLINK("https://twitter.com/outropatamar200/status/1678872034330259459")</f>
        <v>https://twitter.com/outropatamar200/status/1678872034330259459</v>
      </c>
      <c r="AF228" s="79">
        <v>45118.87568287037</v>
      </c>
      <c r="AG228" s="85">
        <v>45118</v>
      </c>
      <c r="AH228" s="82" t="s">
        <v>10423</v>
      </c>
      <c r="AI228" s="77" t="b">
        <v>0</v>
      </c>
      <c r="AJ228" s="77"/>
      <c r="AK228" s="77"/>
      <c r="AL228" s="77"/>
      <c r="AM228" s="77"/>
      <c r="AN228" s="77"/>
      <c r="AO228" s="77"/>
      <c r="AP228" s="77"/>
      <c r="AQ228" s="77" t="s">
        <v>14294</v>
      </c>
      <c r="AR228" s="77">
        <v>6120</v>
      </c>
      <c r="AS228" s="77"/>
      <c r="AT228" s="77"/>
      <c r="AU228" s="77"/>
      <c r="AV228" s="80" t="str">
        <f>HYPERLINK("https://pbs.twimg.com/ext_tw_video_thumb/1678871989073727488/pu/img/kvNkN9rnyIb8Mp9B.jpg")</f>
        <v>https://pbs.twimg.com/ext_tw_video_thumb/1678871989073727488/pu/img/kvNkN9rnyIb8Mp9B.jpg</v>
      </c>
      <c r="AW228" s="82" t="s">
        <v>17001</v>
      </c>
      <c r="AX228" s="82" t="s">
        <v>17001</v>
      </c>
      <c r="AY228" s="77"/>
      <c r="AZ228" s="82" t="s">
        <v>20971</v>
      </c>
      <c r="BA228" s="82" t="s">
        <v>20971</v>
      </c>
      <c r="BB228" s="82" t="s">
        <v>20971</v>
      </c>
      <c r="BC228" s="82" t="s">
        <v>17001</v>
      </c>
      <c r="BD228" s="82" t="s">
        <v>21098</v>
      </c>
      <c r="BE228" s="77"/>
      <c r="BF228" s="77"/>
      <c r="BG228" s="77"/>
      <c r="BH228" s="77"/>
      <c r="BI228" s="77"/>
    </row>
    <row r="229" spans="1:61" x14ac:dyDescent="0.25">
      <c r="A229" s="62" t="s">
        <v>345</v>
      </c>
      <c r="B229" s="62" t="s">
        <v>345</v>
      </c>
      <c r="C229" s="63"/>
      <c r="D229" s="64"/>
      <c r="E229" s="65"/>
      <c r="F229" s="66"/>
      <c r="G229" s="63"/>
      <c r="H229" s="67"/>
      <c r="I229" s="68"/>
      <c r="J229" s="68"/>
      <c r="K229" s="32"/>
      <c r="L229" s="75">
        <v>229</v>
      </c>
      <c r="M229" s="75"/>
      <c r="N229" s="70"/>
      <c r="O229" s="77" t="s">
        <v>179</v>
      </c>
      <c r="P229" s="79">
        <v>45118.750648148147</v>
      </c>
      <c r="Q229" s="77" t="s">
        <v>1513</v>
      </c>
      <c r="R229" s="77">
        <v>0</v>
      </c>
      <c r="S229" s="77">
        <v>0</v>
      </c>
      <c r="T229" s="77">
        <v>0</v>
      </c>
      <c r="U229" s="77">
        <v>0</v>
      </c>
      <c r="V229" s="77">
        <v>40</v>
      </c>
      <c r="W229" s="82" t="s">
        <v>5421</v>
      </c>
      <c r="X229" s="77"/>
      <c r="Y229" s="77"/>
      <c r="Z229" s="77"/>
      <c r="AA229" s="77" t="s">
        <v>7651</v>
      </c>
      <c r="AB229" s="77" t="s">
        <v>10129</v>
      </c>
      <c r="AC229" s="82" t="s">
        <v>10147</v>
      </c>
      <c r="AD229" s="77" t="s">
        <v>10184</v>
      </c>
      <c r="AE229" s="80" t="str">
        <f>HYPERLINK("https://twitter.com/outropatamar200/status/1678826723071127572")</f>
        <v>https://twitter.com/outropatamar200/status/1678826723071127572</v>
      </c>
      <c r="AF229" s="79">
        <v>45118.750648148147</v>
      </c>
      <c r="AG229" s="85">
        <v>45118</v>
      </c>
      <c r="AH229" s="82" t="s">
        <v>10424</v>
      </c>
      <c r="AI229" s="77" t="b">
        <v>0</v>
      </c>
      <c r="AJ229" s="77"/>
      <c r="AK229" s="77"/>
      <c r="AL229" s="77"/>
      <c r="AM229" s="77"/>
      <c r="AN229" s="77"/>
      <c r="AO229" s="77"/>
      <c r="AP229" s="77"/>
      <c r="AQ229" s="77" t="s">
        <v>14295</v>
      </c>
      <c r="AR229" s="77">
        <v>6120</v>
      </c>
      <c r="AS229" s="77"/>
      <c r="AT229" s="77"/>
      <c r="AU229" s="77"/>
      <c r="AV229" s="80" t="str">
        <f>HYPERLINK("https://pbs.twimg.com/ext_tw_video_thumb/1678826673670615040/pu/img/MuJI-sAKZJyHV1qz.jpg")</f>
        <v>https://pbs.twimg.com/ext_tw_video_thumb/1678826673670615040/pu/img/MuJI-sAKZJyHV1qz.jpg</v>
      </c>
      <c r="AW229" s="82" t="s">
        <v>17002</v>
      </c>
      <c r="AX229" s="82" t="s">
        <v>17002</v>
      </c>
      <c r="AY229" s="77"/>
      <c r="AZ229" s="82" t="s">
        <v>20971</v>
      </c>
      <c r="BA229" s="82" t="s">
        <v>20971</v>
      </c>
      <c r="BB229" s="82" t="s">
        <v>20971</v>
      </c>
      <c r="BC229" s="82" t="s">
        <v>17002</v>
      </c>
      <c r="BD229" s="82" t="s">
        <v>21098</v>
      </c>
      <c r="BE229" s="77"/>
      <c r="BF229" s="77"/>
      <c r="BG229" s="77"/>
      <c r="BH229" s="77"/>
      <c r="BI229" s="77"/>
    </row>
    <row r="230" spans="1:61" x14ac:dyDescent="0.25">
      <c r="A230" s="62" t="s">
        <v>345</v>
      </c>
      <c r="B230" s="62" t="s">
        <v>345</v>
      </c>
      <c r="C230" s="63"/>
      <c r="D230" s="64"/>
      <c r="E230" s="65"/>
      <c r="F230" s="66"/>
      <c r="G230" s="63"/>
      <c r="H230" s="67"/>
      <c r="I230" s="68"/>
      <c r="J230" s="68"/>
      <c r="K230" s="32"/>
      <c r="L230" s="75">
        <v>230</v>
      </c>
      <c r="M230" s="75"/>
      <c r="N230" s="70"/>
      <c r="O230" s="77" t="s">
        <v>179</v>
      </c>
      <c r="P230" s="79">
        <v>45118.542349537034</v>
      </c>
      <c r="Q230" s="77" t="s">
        <v>1514</v>
      </c>
      <c r="R230" s="77">
        <v>0</v>
      </c>
      <c r="S230" s="77">
        <v>0</v>
      </c>
      <c r="T230" s="77">
        <v>0</v>
      </c>
      <c r="U230" s="77">
        <v>0</v>
      </c>
      <c r="V230" s="77">
        <v>21</v>
      </c>
      <c r="W230" s="82" t="s">
        <v>5421</v>
      </c>
      <c r="X230" s="77"/>
      <c r="Y230" s="77"/>
      <c r="Z230" s="77"/>
      <c r="AA230" s="77" t="s">
        <v>7652</v>
      </c>
      <c r="AB230" s="77" t="s">
        <v>10129</v>
      </c>
      <c r="AC230" s="82" t="s">
        <v>10147</v>
      </c>
      <c r="AD230" s="77" t="s">
        <v>10184</v>
      </c>
      <c r="AE230" s="80" t="str">
        <f>HYPERLINK("https://twitter.com/outropatamar200/status/1678751236751777792")</f>
        <v>https://twitter.com/outropatamar200/status/1678751236751777792</v>
      </c>
      <c r="AF230" s="79">
        <v>45118.542349537034</v>
      </c>
      <c r="AG230" s="85">
        <v>45118</v>
      </c>
      <c r="AH230" s="82" t="s">
        <v>10425</v>
      </c>
      <c r="AI230" s="77" t="b">
        <v>0</v>
      </c>
      <c r="AJ230" s="77"/>
      <c r="AK230" s="77"/>
      <c r="AL230" s="77"/>
      <c r="AM230" s="77"/>
      <c r="AN230" s="77"/>
      <c r="AO230" s="77"/>
      <c r="AP230" s="77"/>
      <c r="AQ230" s="77" t="s">
        <v>14296</v>
      </c>
      <c r="AR230" s="77">
        <v>6120</v>
      </c>
      <c r="AS230" s="77"/>
      <c r="AT230" s="77"/>
      <c r="AU230" s="77"/>
      <c r="AV230" s="80" t="str">
        <f>HYPERLINK("https://pbs.twimg.com/ext_tw_video_thumb/1678751170557255681/pu/img/_S6BWL0edrj8qqvl.jpg")</f>
        <v>https://pbs.twimg.com/ext_tw_video_thumb/1678751170557255681/pu/img/_S6BWL0edrj8qqvl.jpg</v>
      </c>
      <c r="AW230" s="82" t="s">
        <v>17003</v>
      </c>
      <c r="AX230" s="82" t="s">
        <v>17003</v>
      </c>
      <c r="AY230" s="77"/>
      <c r="AZ230" s="82" t="s">
        <v>20971</v>
      </c>
      <c r="BA230" s="82" t="s">
        <v>20971</v>
      </c>
      <c r="BB230" s="82" t="s">
        <v>20971</v>
      </c>
      <c r="BC230" s="82" t="s">
        <v>17003</v>
      </c>
      <c r="BD230" s="82" t="s">
        <v>21098</v>
      </c>
      <c r="BE230" s="77"/>
      <c r="BF230" s="77"/>
      <c r="BG230" s="77"/>
      <c r="BH230" s="77"/>
      <c r="BI230" s="77"/>
    </row>
    <row r="231" spans="1:61" x14ac:dyDescent="0.25">
      <c r="A231" s="62" t="s">
        <v>345</v>
      </c>
      <c r="B231" s="62" t="s">
        <v>345</v>
      </c>
      <c r="C231" s="63"/>
      <c r="D231" s="64"/>
      <c r="E231" s="65"/>
      <c r="F231" s="66"/>
      <c r="G231" s="63"/>
      <c r="H231" s="67"/>
      <c r="I231" s="68"/>
      <c r="J231" s="68"/>
      <c r="K231" s="32"/>
      <c r="L231" s="75">
        <v>231</v>
      </c>
      <c r="M231" s="75"/>
      <c r="N231" s="70"/>
      <c r="O231" s="77" t="s">
        <v>179</v>
      </c>
      <c r="P231" s="79">
        <v>45117.958969907406</v>
      </c>
      <c r="Q231" s="77" t="s">
        <v>1515</v>
      </c>
      <c r="R231" s="77">
        <v>0</v>
      </c>
      <c r="S231" s="77">
        <v>0</v>
      </c>
      <c r="T231" s="77">
        <v>0</v>
      </c>
      <c r="U231" s="77">
        <v>0</v>
      </c>
      <c r="V231" s="77">
        <v>15</v>
      </c>
      <c r="W231" s="82" t="s">
        <v>5421</v>
      </c>
      <c r="X231" s="77"/>
      <c r="Y231" s="77"/>
      <c r="Z231" s="77"/>
      <c r="AA231" s="77" t="s">
        <v>7653</v>
      </c>
      <c r="AB231" s="77" t="s">
        <v>10129</v>
      </c>
      <c r="AC231" s="82" t="s">
        <v>10147</v>
      </c>
      <c r="AD231" s="77" t="s">
        <v>10184</v>
      </c>
      <c r="AE231" s="80" t="str">
        <f>HYPERLINK("https://twitter.com/outropatamar200/status/1678539827434618880")</f>
        <v>https://twitter.com/outropatamar200/status/1678539827434618880</v>
      </c>
      <c r="AF231" s="79">
        <v>45117.958969907406</v>
      </c>
      <c r="AG231" s="85">
        <v>45117</v>
      </c>
      <c r="AH231" s="82" t="s">
        <v>10426</v>
      </c>
      <c r="AI231" s="77" t="b">
        <v>0</v>
      </c>
      <c r="AJ231" s="77"/>
      <c r="AK231" s="77"/>
      <c r="AL231" s="77"/>
      <c r="AM231" s="77"/>
      <c r="AN231" s="77"/>
      <c r="AO231" s="77"/>
      <c r="AP231" s="77"/>
      <c r="AQ231" s="77" t="s">
        <v>14297</v>
      </c>
      <c r="AR231" s="77">
        <v>6120</v>
      </c>
      <c r="AS231" s="77"/>
      <c r="AT231" s="77"/>
      <c r="AU231" s="77"/>
      <c r="AV231" s="80" t="str">
        <f>HYPERLINK("https://pbs.twimg.com/ext_tw_video_thumb/1678539760065732610/pu/img/WWZED1x7zLm1CSPY.jpg")</f>
        <v>https://pbs.twimg.com/ext_tw_video_thumb/1678539760065732610/pu/img/WWZED1x7zLm1CSPY.jpg</v>
      </c>
      <c r="AW231" s="82" t="s">
        <v>17004</v>
      </c>
      <c r="AX231" s="82" t="s">
        <v>17004</v>
      </c>
      <c r="AY231" s="77"/>
      <c r="AZ231" s="82" t="s">
        <v>20971</v>
      </c>
      <c r="BA231" s="82" t="s">
        <v>20971</v>
      </c>
      <c r="BB231" s="82" t="s">
        <v>20971</v>
      </c>
      <c r="BC231" s="82" t="s">
        <v>17004</v>
      </c>
      <c r="BD231" s="82" t="s">
        <v>21098</v>
      </c>
      <c r="BE231" s="77"/>
      <c r="BF231" s="77"/>
      <c r="BG231" s="77"/>
      <c r="BH231" s="77"/>
      <c r="BI231" s="77"/>
    </row>
    <row r="232" spans="1:61" x14ac:dyDescent="0.25">
      <c r="A232" s="62" t="s">
        <v>345</v>
      </c>
      <c r="B232" s="62" t="s">
        <v>345</v>
      </c>
      <c r="C232" s="63"/>
      <c r="D232" s="64"/>
      <c r="E232" s="65"/>
      <c r="F232" s="66"/>
      <c r="G232" s="63"/>
      <c r="H232" s="67"/>
      <c r="I232" s="68"/>
      <c r="J232" s="68"/>
      <c r="K232" s="32"/>
      <c r="L232" s="75">
        <v>232</v>
      </c>
      <c r="M232" s="75"/>
      <c r="N232" s="70"/>
      <c r="O232" s="77" t="s">
        <v>179</v>
      </c>
      <c r="P232" s="79">
        <v>45117.917442129627</v>
      </c>
      <c r="Q232" s="77" t="s">
        <v>1516</v>
      </c>
      <c r="R232" s="77">
        <v>0</v>
      </c>
      <c r="S232" s="77">
        <v>0</v>
      </c>
      <c r="T232" s="77">
        <v>0</v>
      </c>
      <c r="U232" s="77">
        <v>0</v>
      </c>
      <c r="V232" s="77">
        <v>39</v>
      </c>
      <c r="W232" s="82" t="s">
        <v>5421</v>
      </c>
      <c r="X232" s="77"/>
      <c r="Y232" s="77"/>
      <c r="Z232" s="77"/>
      <c r="AA232" s="77" t="s">
        <v>7654</v>
      </c>
      <c r="AB232" s="77" t="s">
        <v>10129</v>
      </c>
      <c r="AC232" s="82" t="s">
        <v>10147</v>
      </c>
      <c r="AD232" s="77" t="s">
        <v>10184</v>
      </c>
      <c r="AE232" s="80" t="str">
        <f>HYPERLINK("https://twitter.com/outropatamar200/status/1678524777806405637")</f>
        <v>https://twitter.com/outropatamar200/status/1678524777806405637</v>
      </c>
      <c r="AF232" s="79">
        <v>45117.917442129627</v>
      </c>
      <c r="AG232" s="85">
        <v>45117</v>
      </c>
      <c r="AH232" s="82" t="s">
        <v>10427</v>
      </c>
      <c r="AI232" s="77" t="b">
        <v>0</v>
      </c>
      <c r="AJ232" s="77"/>
      <c r="AK232" s="77"/>
      <c r="AL232" s="77"/>
      <c r="AM232" s="77"/>
      <c r="AN232" s="77"/>
      <c r="AO232" s="77"/>
      <c r="AP232" s="77"/>
      <c r="AQ232" s="77" t="s">
        <v>14298</v>
      </c>
      <c r="AR232" s="77">
        <v>6120</v>
      </c>
      <c r="AS232" s="77"/>
      <c r="AT232" s="77"/>
      <c r="AU232" s="77"/>
      <c r="AV232" s="80" t="str">
        <f>HYPERLINK("https://pbs.twimg.com/ext_tw_video_thumb/1678524731912339457/pu/img/Mve_GT7UwUtPDzsO.jpg")</f>
        <v>https://pbs.twimg.com/ext_tw_video_thumb/1678524731912339457/pu/img/Mve_GT7UwUtPDzsO.jpg</v>
      </c>
      <c r="AW232" s="82" t="s">
        <v>17005</v>
      </c>
      <c r="AX232" s="82" t="s">
        <v>17005</v>
      </c>
      <c r="AY232" s="77"/>
      <c r="AZ232" s="82" t="s">
        <v>20971</v>
      </c>
      <c r="BA232" s="82" t="s">
        <v>20971</v>
      </c>
      <c r="BB232" s="82" t="s">
        <v>20971</v>
      </c>
      <c r="BC232" s="82" t="s">
        <v>17005</v>
      </c>
      <c r="BD232" s="82" t="s">
        <v>21098</v>
      </c>
      <c r="BE232" s="77"/>
      <c r="BF232" s="77"/>
      <c r="BG232" s="77"/>
      <c r="BH232" s="77"/>
      <c r="BI232" s="77"/>
    </row>
    <row r="233" spans="1:61" x14ac:dyDescent="0.25">
      <c r="A233" s="62" t="s">
        <v>345</v>
      </c>
      <c r="B233" s="62" t="s">
        <v>345</v>
      </c>
      <c r="C233" s="63"/>
      <c r="D233" s="64"/>
      <c r="E233" s="65"/>
      <c r="F233" s="66"/>
      <c r="G233" s="63"/>
      <c r="H233" s="67"/>
      <c r="I233" s="68"/>
      <c r="J233" s="68"/>
      <c r="K233" s="32"/>
      <c r="L233" s="75">
        <v>233</v>
      </c>
      <c r="M233" s="75"/>
      <c r="N233" s="70"/>
      <c r="O233" s="77" t="s">
        <v>179</v>
      </c>
      <c r="P233" s="79">
        <v>45117.875671296293</v>
      </c>
      <c r="Q233" s="77" t="s">
        <v>1517</v>
      </c>
      <c r="R233" s="77">
        <v>0</v>
      </c>
      <c r="S233" s="77">
        <v>0</v>
      </c>
      <c r="T233" s="77">
        <v>0</v>
      </c>
      <c r="U233" s="77">
        <v>0</v>
      </c>
      <c r="V233" s="77">
        <v>14</v>
      </c>
      <c r="W233" s="82" t="s">
        <v>5421</v>
      </c>
      <c r="X233" s="77"/>
      <c r="Y233" s="77"/>
      <c r="Z233" s="77"/>
      <c r="AA233" s="77" t="s">
        <v>7655</v>
      </c>
      <c r="AB233" s="77" t="s">
        <v>10129</v>
      </c>
      <c r="AC233" s="82" t="s">
        <v>10147</v>
      </c>
      <c r="AD233" s="77" t="s">
        <v>10184</v>
      </c>
      <c r="AE233" s="80" t="str">
        <f>HYPERLINK("https://twitter.com/outropatamar200/status/1678509642056445953")</f>
        <v>https://twitter.com/outropatamar200/status/1678509642056445953</v>
      </c>
      <c r="AF233" s="79">
        <v>45117.875671296293</v>
      </c>
      <c r="AG233" s="85">
        <v>45117</v>
      </c>
      <c r="AH233" s="82" t="s">
        <v>10428</v>
      </c>
      <c r="AI233" s="77" t="b">
        <v>0</v>
      </c>
      <c r="AJ233" s="77"/>
      <c r="AK233" s="77"/>
      <c r="AL233" s="77"/>
      <c r="AM233" s="77"/>
      <c r="AN233" s="77"/>
      <c r="AO233" s="77"/>
      <c r="AP233" s="77"/>
      <c r="AQ233" s="77" t="s">
        <v>14299</v>
      </c>
      <c r="AR233" s="77">
        <v>6120</v>
      </c>
      <c r="AS233" s="77"/>
      <c r="AT233" s="77"/>
      <c r="AU233" s="77"/>
      <c r="AV233" s="80" t="str">
        <f>HYPERLINK("https://pbs.twimg.com/ext_tw_video_thumb/1678509596967673858/pu/img/jwR1PNbq8xKgGmua.jpg")</f>
        <v>https://pbs.twimg.com/ext_tw_video_thumb/1678509596967673858/pu/img/jwR1PNbq8xKgGmua.jpg</v>
      </c>
      <c r="AW233" s="82" t="s">
        <v>17006</v>
      </c>
      <c r="AX233" s="82" t="s">
        <v>17006</v>
      </c>
      <c r="AY233" s="77"/>
      <c r="AZ233" s="82" t="s">
        <v>20971</v>
      </c>
      <c r="BA233" s="82" t="s">
        <v>20971</v>
      </c>
      <c r="BB233" s="82" t="s">
        <v>20971</v>
      </c>
      <c r="BC233" s="82" t="s">
        <v>17006</v>
      </c>
      <c r="BD233" s="82" t="s">
        <v>21098</v>
      </c>
      <c r="BE233" s="77"/>
      <c r="BF233" s="77"/>
      <c r="BG233" s="77"/>
      <c r="BH233" s="77"/>
      <c r="BI233" s="77"/>
    </row>
    <row r="234" spans="1:61" x14ac:dyDescent="0.25">
      <c r="A234" s="62" t="s">
        <v>345</v>
      </c>
      <c r="B234" s="62" t="s">
        <v>345</v>
      </c>
      <c r="C234" s="63"/>
      <c r="D234" s="64"/>
      <c r="E234" s="65"/>
      <c r="F234" s="66"/>
      <c r="G234" s="63"/>
      <c r="H234" s="67"/>
      <c r="I234" s="68"/>
      <c r="J234" s="68"/>
      <c r="K234" s="32"/>
      <c r="L234" s="75">
        <v>234</v>
      </c>
      <c r="M234" s="75"/>
      <c r="N234" s="70"/>
      <c r="O234" s="77" t="s">
        <v>179</v>
      </c>
      <c r="P234" s="79">
        <v>45117.750601851854</v>
      </c>
      <c r="Q234" s="77" t="s">
        <v>1518</v>
      </c>
      <c r="R234" s="77">
        <v>0</v>
      </c>
      <c r="S234" s="77">
        <v>0</v>
      </c>
      <c r="T234" s="77">
        <v>0</v>
      </c>
      <c r="U234" s="77">
        <v>0</v>
      </c>
      <c r="V234" s="77">
        <v>37</v>
      </c>
      <c r="W234" s="82" t="s">
        <v>5421</v>
      </c>
      <c r="X234" s="77"/>
      <c r="Y234" s="77"/>
      <c r="Z234" s="77"/>
      <c r="AA234" s="77" t="s">
        <v>7656</v>
      </c>
      <c r="AB234" s="77" t="s">
        <v>10129</v>
      </c>
      <c r="AC234" s="82" t="s">
        <v>10147</v>
      </c>
      <c r="AD234" s="77" t="s">
        <v>10184</v>
      </c>
      <c r="AE234" s="80" t="str">
        <f>HYPERLINK("https://twitter.com/outropatamar200/status/1678464317765701637")</f>
        <v>https://twitter.com/outropatamar200/status/1678464317765701637</v>
      </c>
      <c r="AF234" s="79">
        <v>45117.750601851854</v>
      </c>
      <c r="AG234" s="85">
        <v>45117</v>
      </c>
      <c r="AH234" s="82" t="s">
        <v>10429</v>
      </c>
      <c r="AI234" s="77" t="b">
        <v>0</v>
      </c>
      <c r="AJ234" s="77"/>
      <c r="AK234" s="77"/>
      <c r="AL234" s="77"/>
      <c r="AM234" s="77"/>
      <c r="AN234" s="77"/>
      <c r="AO234" s="77"/>
      <c r="AP234" s="77"/>
      <c r="AQ234" s="77" t="s">
        <v>14300</v>
      </c>
      <c r="AR234" s="77">
        <v>6120</v>
      </c>
      <c r="AS234" s="77"/>
      <c r="AT234" s="77"/>
      <c r="AU234" s="77"/>
      <c r="AV234" s="80" t="str">
        <f>HYPERLINK("https://pbs.twimg.com/ext_tw_video_thumb/1678464272895037440/pu/img/HYux6g-KdxJXR1JX.jpg")</f>
        <v>https://pbs.twimg.com/ext_tw_video_thumb/1678464272895037440/pu/img/HYux6g-KdxJXR1JX.jpg</v>
      </c>
      <c r="AW234" s="82" t="s">
        <v>17007</v>
      </c>
      <c r="AX234" s="82" t="s">
        <v>17007</v>
      </c>
      <c r="AY234" s="77"/>
      <c r="AZ234" s="82" t="s">
        <v>20971</v>
      </c>
      <c r="BA234" s="82" t="s">
        <v>20971</v>
      </c>
      <c r="BB234" s="82" t="s">
        <v>20971</v>
      </c>
      <c r="BC234" s="82" t="s">
        <v>17007</v>
      </c>
      <c r="BD234" s="82" t="s">
        <v>21098</v>
      </c>
      <c r="BE234" s="77"/>
      <c r="BF234" s="77"/>
      <c r="BG234" s="77"/>
      <c r="BH234" s="77"/>
      <c r="BI234" s="77"/>
    </row>
    <row r="235" spans="1:61" x14ac:dyDescent="0.25">
      <c r="A235" s="62" t="s">
        <v>345</v>
      </c>
      <c r="B235" s="62" t="s">
        <v>345</v>
      </c>
      <c r="C235" s="63"/>
      <c r="D235" s="64"/>
      <c r="E235" s="65"/>
      <c r="F235" s="66"/>
      <c r="G235" s="63"/>
      <c r="H235" s="67"/>
      <c r="I235" s="68"/>
      <c r="J235" s="68"/>
      <c r="K235" s="32"/>
      <c r="L235" s="75">
        <v>235</v>
      </c>
      <c r="M235" s="75"/>
      <c r="N235" s="70"/>
      <c r="O235" s="77" t="s">
        <v>179</v>
      </c>
      <c r="P235" s="79">
        <v>45117.542268518519</v>
      </c>
      <c r="Q235" s="77" t="s">
        <v>1519</v>
      </c>
      <c r="R235" s="77">
        <v>0</v>
      </c>
      <c r="S235" s="77">
        <v>0</v>
      </c>
      <c r="T235" s="77">
        <v>0</v>
      </c>
      <c r="U235" s="77">
        <v>0</v>
      </c>
      <c r="V235" s="77">
        <v>17</v>
      </c>
      <c r="W235" s="82" t="s">
        <v>5421</v>
      </c>
      <c r="X235" s="77"/>
      <c r="Y235" s="77"/>
      <c r="Z235" s="77"/>
      <c r="AA235" s="77" t="s">
        <v>7657</v>
      </c>
      <c r="AB235" s="77" t="s">
        <v>10129</v>
      </c>
      <c r="AC235" s="82" t="s">
        <v>10147</v>
      </c>
      <c r="AD235" s="77" t="s">
        <v>10184</v>
      </c>
      <c r="AE235" s="80" t="str">
        <f>HYPERLINK("https://twitter.com/outropatamar200/status/1678388820272640000")</f>
        <v>https://twitter.com/outropatamar200/status/1678388820272640000</v>
      </c>
      <c r="AF235" s="79">
        <v>45117.542268518519</v>
      </c>
      <c r="AG235" s="85">
        <v>45117</v>
      </c>
      <c r="AH235" s="82" t="s">
        <v>10430</v>
      </c>
      <c r="AI235" s="77" t="b">
        <v>0</v>
      </c>
      <c r="AJ235" s="77"/>
      <c r="AK235" s="77"/>
      <c r="AL235" s="77"/>
      <c r="AM235" s="77"/>
      <c r="AN235" s="77"/>
      <c r="AO235" s="77"/>
      <c r="AP235" s="77"/>
      <c r="AQ235" s="77" t="s">
        <v>14301</v>
      </c>
      <c r="AR235" s="77">
        <v>6120</v>
      </c>
      <c r="AS235" s="77"/>
      <c r="AT235" s="77"/>
      <c r="AU235" s="77"/>
      <c r="AV235" s="80" t="str">
        <f>HYPERLINK("https://pbs.twimg.com/ext_tw_video_thumb/1678388774420480000/pu/img/wSJ6B7ekoqgRSPPp.jpg")</f>
        <v>https://pbs.twimg.com/ext_tw_video_thumb/1678388774420480000/pu/img/wSJ6B7ekoqgRSPPp.jpg</v>
      </c>
      <c r="AW235" s="82" t="s">
        <v>17008</v>
      </c>
      <c r="AX235" s="82" t="s">
        <v>17008</v>
      </c>
      <c r="AY235" s="77"/>
      <c r="AZ235" s="82" t="s">
        <v>20971</v>
      </c>
      <c r="BA235" s="82" t="s">
        <v>20971</v>
      </c>
      <c r="BB235" s="82" t="s">
        <v>20971</v>
      </c>
      <c r="BC235" s="82" t="s">
        <v>17008</v>
      </c>
      <c r="BD235" s="82" t="s">
        <v>21098</v>
      </c>
      <c r="BE235" s="77"/>
      <c r="BF235" s="77"/>
      <c r="BG235" s="77"/>
      <c r="BH235" s="77"/>
      <c r="BI235" s="77"/>
    </row>
    <row r="236" spans="1:61" x14ac:dyDescent="0.25">
      <c r="A236" s="62" t="s">
        <v>345</v>
      </c>
      <c r="B236" s="62" t="s">
        <v>345</v>
      </c>
      <c r="C236" s="63"/>
      <c r="D236" s="64"/>
      <c r="E236" s="65"/>
      <c r="F236" s="66"/>
      <c r="G236" s="63"/>
      <c r="H236" s="67"/>
      <c r="I236" s="68"/>
      <c r="J236" s="68"/>
      <c r="K236" s="32"/>
      <c r="L236" s="75">
        <v>236</v>
      </c>
      <c r="M236" s="75"/>
      <c r="N236" s="70"/>
      <c r="O236" s="77" t="s">
        <v>179</v>
      </c>
      <c r="P236" s="79">
        <v>45117.125405092593</v>
      </c>
      <c r="Q236" s="77" t="s">
        <v>1520</v>
      </c>
      <c r="R236" s="77">
        <v>0</v>
      </c>
      <c r="S236" s="77">
        <v>0</v>
      </c>
      <c r="T236" s="77">
        <v>0</v>
      </c>
      <c r="U236" s="77">
        <v>0</v>
      </c>
      <c r="V236" s="77">
        <v>18</v>
      </c>
      <c r="W236" s="82" t="s">
        <v>5421</v>
      </c>
      <c r="X236" s="77"/>
      <c r="Y236" s="77"/>
      <c r="Z236" s="77"/>
      <c r="AA236" s="77" t="s">
        <v>7658</v>
      </c>
      <c r="AB236" s="77" t="s">
        <v>10129</v>
      </c>
      <c r="AC236" s="82" t="s">
        <v>10147</v>
      </c>
      <c r="AD236" s="77" t="s">
        <v>10184</v>
      </c>
      <c r="AE236" s="80" t="str">
        <f>HYPERLINK("https://twitter.com/outropatamar200/status/1678237756143677440")</f>
        <v>https://twitter.com/outropatamar200/status/1678237756143677440</v>
      </c>
      <c r="AF236" s="79">
        <v>45117.125405092593</v>
      </c>
      <c r="AG236" s="85">
        <v>45117</v>
      </c>
      <c r="AH236" s="82" t="s">
        <v>10431</v>
      </c>
      <c r="AI236" s="77" t="b">
        <v>0</v>
      </c>
      <c r="AJ236" s="77"/>
      <c r="AK236" s="77"/>
      <c r="AL236" s="77"/>
      <c r="AM236" s="77"/>
      <c r="AN236" s="77"/>
      <c r="AO236" s="77"/>
      <c r="AP236" s="77"/>
      <c r="AQ236" s="77" t="s">
        <v>14302</v>
      </c>
      <c r="AR236" s="77">
        <v>6120</v>
      </c>
      <c r="AS236" s="77"/>
      <c r="AT236" s="77"/>
      <c r="AU236" s="77"/>
      <c r="AV236" s="80" t="str">
        <f>HYPERLINK("https://pbs.twimg.com/ext_tw_video_thumb/1678237710845083648/pu/img/-vS2GWMEGCbPFRhi.jpg")</f>
        <v>https://pbs.twimg.com/ext_tw_video_thumb/1678237710845083648/pu/img/-vS2GWMEGCbPFRhi.jpg</v>
      </c>
      <c r="AW236" s="82" t="s">
        <v>17009</v>
      </c>
      <c r="AX236" s="82" t="s">
        <v>17009</v>
      </c>
      <c r="AY236" s="77"/>
      <c r="AZ236" s="82" t="s">
        <v>20971</v>
      </c>
      <c r="BA236" s="82" t="s">
        <v>20971</v>
      </c>
      <c r="BB236" s="82" t="s">
        <v>20971</v>
      </c>
      <c r="BC236" s="82" t="s">
        <v>17009</v>
      </c>
      <c r="BD236" s="82" t="s">
        <v>21098</v>
      </c>
      <c r="BE236" s="77"/>
      <c r="BF236" s="77"/>
      <c r="BG236" s="77"/>
      <c r="BH236" s="77"/>
      <c r="BI236" s="77"/>
    </row>
    <row r="237" spans="1:61" x14ac:dyDescent="0.25">
      <c r="A237" s="62" t="s">
        <v>345</v>
      </c>
      <c r="B237" s="62" t="s">
        <v>345</v>
      </c>
      <c r="C237" s="63"/>
      <c r="D237" s="64"/>
      <c r="E237" s="65"/>
      <c r="F237" s="66"/>
      <c r="G237" s="63"/>
      <c r="H237" s="67"/>
      <c r="I237" s="68"/>
      <c r="J237" s="68"/>
      <c r="K237" s="32"/>
      <c r="L237" s="75">
        <v>237</v>
      </c>
      <c r="M237" s="75"/>
      <c r="N237" s="70"/>
      <c r="O237" s="77" t="s">
        <v>179</v>
      </c>
      <c r="P237" s="79">
        <v>45117.10434027778</v>
      </c>
      <c r="Q237" s="77" t="s">
        <v>1521</v>
      </c>
      <c r="R237" s="77">
        <v>0</v>
      </c>
      <c r="S237" s="77">
        <v>0</v>
      </c>
      <c r="T237" s="77">
        <v>0</v>
      </c>
      <c r="U237" s="77">
        <v>0</v>
      </c>
      <c r="V237" s="77">
        <v>42</v>
      </c>
      <c r="W237" s="82" t="s">
        <v>5421</v>
      </c>
      <c r="X237" s="77"/>
      <c r="Y237" s="77"/>
      <c r="Z237" s="77"/>
      <c r="AA237" s="77" t="s">
        <v>7659</v>
      </c>
      <c r="AB237" s="77" t="s">
        <v>10129</v>
      </c>
      <c r="AC237" s="82" t="s">
        <v>10147</v>
      </c>
      <c r="AD237" s="77" t="s">
        <v>10184</v>
      </c>
      <c r="AE237" s="80" t="str">
        <f>HYPERLINK("https://twitter.com/outropatamar200/status/1678230119591059457")</f>
        <v>https://twitter.com/outropatamar200/status/1678230119591059457</v>
      </c>
      <c r="AF237" s="79">
        <v>45117.10434027778</v>
      </c>
      <c r="AG237" s="85">
        <v>45117</v>
      </c>
      <c r="AH237" s="82" t="s">
        <v>10432</v>
      </c>
      <c r="AI237" s="77" t="b">
        <v>0</v>
      </c>
      <c r="AJ237" s="77"/>
      <c r="AK237" s="77"/>
      <c r="AL237" s="77"/>
      <c r="AM237" s="77"/>
      <c r="AN237" s="77"/>
      <c r="AO237" s="77"/>
      <c r="AP237" s="77"/>
      <c r="AQ237" s="77" t="s">
        <v>14303</v>
      </c>
      <c r="AR237" s="77">
        <v>6120</v>
      </c>
      <c r="AS237" s="77"/>
      <c r="AT237" s="77"/>
      <c r="AU237" s="77"/>
      <c r="AV237" s="80" t="str">
        <f>HYPERLINK("https://pbs.twimg.com/ext_tw_video_thumb/1678230074649092096/pu/img/f2aG_i2RQwgjKe7q.jpg")</f>
        <v>https://pbs.twimg.com/ext_tw_video_thumb/1678230074649092096/pu/img/f2aG_i2RQwgjKe7q.jpg</v>
      </c>
      <c r="AW237" s="82" t="s">
        <v>17010</v>
      </c>
      <c r="AX237" s="82" t="s">
        <v>17010</v>
      </c>
      <c r="AY237" s="77"/>
      <c r="AZ237" s="82" t="s">
        <v>20971</v>
      </c>
      <c r="BA237" s="82" t="s">
        <v>20971</v>
      </c>
      <c r="BB237" s="82" t="s">
        <v>20971</v>
      </c>
      <c r="BC237" s="82" t="s">
        <v>17010</v>
      </c>
      <c r="BD237" s="82" t="s">
        <v>21098</v>
      </c>
      <c r="BE237" s="77"/>
      <c r="BF237" s="77"/>
      <c r="BG237" s="77"/>
      <c r="BH237" s="77"/>
      <c r="BI237" s="77"/>
    </row>
    <row r="238" spans="1:61" x14ac:dyDescent="0.25">
      <c r="A238" s="62" t="s">
        <v>345</v>
      </c>
      <c r="B238" s="62" t="s">
        <v>345</v>
      </c>
      <c r="C238" s="63"/>
      <c r="D238" s="64"/>
      <c r="E238" s="65"/>
      <c r="F238" s="66"/>
      <c r="G238" s="63"/>
      <c r="H238" s="67"/>
      <c r="I238" s="68"/>
      <c r="J238" s="68"/>
      <c r="K238" s="32"/>
      <c r="L238" s="75">
        <v>238</v>
      </c>
      <c r="M238" s="75"/>
      <c r="N238" s="70"/>
      <c r="O238" s="77" t="s">
        <v>179</v>
      </c>
      <c r="P238" s="79">
        <v>45117.08357638889</v>
      </c>
      <c r="Q238" s="77" t="s">
        <v>1522</v>
      </c>
      <c r="R238" s="77">
        <v>0</v>
      </c>
      <c r="S238" s="77">
        <v>0</v>
      </c>
      <c r="T238" s="77">
        <v>0</v>
      </c>
      <c r="U238" s="77">
        <v>0</v>
      </c>
      <c r="V238" s="77">
        <v>43</v>
      </c>
      <c r="W238" s="82" t="s">
        <v>5421</v>
      </c>
      <c r="X238" s="77"/>
      <c r="Y238" s="77"/>
      <c r="Z238" s="77"/>
      <c r="AA238" s="77" t="s">
        <v>7660</v>
      </c>
      <c r="AB238" s="77" t="s">
        <v>10129</v>
      </c>
      <c r="AC238" s="82" t="s">
        <v>10147</v>
      </c>
      <c r="AD238" s="77" t="s">
        <v>10184</v>
      </c>
      <c r="AE238" s="80" t="str">
        <f>HYPERLINK("https://twitter.com/outropatamar200/status/1678222596481986561")</f>
        <v>https://twitter.com/outropatamar200/status/1678222596481986561</v>
      </c>
      <c r="AF238" s="79">
        <v>45117.08357638889</v>
      </c>
      <c r="AG238" s="85">
        <v>45117</v>
      </c>
      <c r="AH238" s="82" t="s">
        <v>10433</v>
      </c>
      <c r="AI238" s="77" t="b">
        <v>0</v>
      </c>
      <c r="AJ238" s="77"/>
      <c r="AK238" s="77"/>
      <c r="AL238" s="77"/>
      <c r="AM238" s="77"/>
      <c r="AN238" s="77"/>
      <c r="AO238" s="77"/>
      <c r="AP238" s="77"/>
      <c r="AQ238" s="77" t="s">
        <v>14304</v>
      </c>
      <c r="AR238" s="77">
        <v>6120</v>
      </c>
      <c r="AS238" s="77"/>
      <c r="AT238" s="77"/>
      <c r="AU238" s="77"/>
      <c r="AV238" s="80" t="str">
        <f>HYPERLINK("https://pbs.twimg.com/ext_tw_video_thumb/1678222551376355331/pu/img/ePbPGQZasYGRPc6I.jpg")</f>
        <v>https://pbs.twimg.com/ext_tw_video_thumb/1678222551376355331/pu/img/ePbPGQZasYGRPc6I.jpg</v>
      </c>
      <c r="AW238" s="82" t="s">
        <v>17011</v>
      </c>
      <c r="AX238" s="82" t="s">
        <v>17011</v>
      </c>
      <c r="AY238" s="77"/>
      <c r="AZ238" s="82" t="s">
        <v>20971</v>
      </c>
      <c r="BA238" s="82" t="s">
        <v>20971</v>
      </c>
      <c r="BB238" s="82" t="s">
        <v>20971</v>
      </c>
      <c r="BC238" s="82" t="s">
        <v>17011</v>
      </c>
      <c r="BD238" s="82" t="s">
        <v>21098</v>
      </c>
      <c r="BE238" s="77"/>
      <c r="BF238" s="77"/>
      <c r="BG238" s="77"/>
      <c r="BH238" s="77"/>
      <c r="BI238" s="77"/>
    </row>
    <row r="239" spans="1:61" x14ac:dyDescent="0.25">
      <c r="A239" s="62" t="s">
        <v>345</v>
      </c>
      <c r="B239" s="62" t="s">
        <v>345</v>
      </c>
      <c r="C239" s="63"/>
      <c r="D239" s="64"/>
      <c r="E239" s="65"/>
      <c r="F239" s="66"/>
      <c r="G239" s="63"/>
      <c r="H239" s="67"/>
      <c r="I239" s="68"/>
      <c r="J239" s="68"/>
      <c r="K239" s="32"/>
      <c r="L239" s="75">
        <v>239</v>
      </c>
      <c r="M239" s="75"/>
      <c r="N239" s="70"/>
      <c r="O239" s="77" t="s">
        <v>179</v>
      </c>
      <c r="P239" s="79">
        <v>45117.062858796293</v>
      </c>
      <c r="Q239" s="77" t="s">
        <v>1523</v>
      </c>
      <c r="R239" s="77">
        <v>0</v>
      </c>
      <c r="S239" s="77">
        <v>0</v>
      </c>
      <c r="T239" s="77">
        <v>0</v>
      </c>
      <c r="U239" s="77">
        <v>0</v>
      </c>
      <c r="V239" s="77">
        <v>15</v>
      </c>
      <c r="W239" s="82" t="s">
        <v>5421</v>
      </c>
      <c r="X239" s="77"/>
      <c r="Y239" s="77"/>
      <c r="Z239" s="77"/>
      <c r="AA239" s="77" t="s">
        <v>7661</v>
      </c>
      <c r="AB239" s="77" t="s">
        <v>10129</v>
      </c>
      <c r="AC239" s="82" t="s">
        <v>10147</v>
      </c>
      <c r="AD239" s="77" t="s">
        <v>10184</v>
      </c>
      <c r="AE239" s="80" t="str">
        <f>HYPERLINK("https://twitter.com/outropatamar200/status/1678215086790328322")</f>
        <v>https://twitter.com/outropatamar200/status/1678215086790328322</v>
      </c>
      <c r="AF239" s="79">
        <v>45117.062858796293</v>
      </c>
      <c r="AG239" s="85">
        <v>45117</v>
      </c>
      <c r="AH239" s="82" t="s">
        <v>10434</v>
      </c>
      <c r="AI239" s="77" t="b">
        <v>0</v>
      </c>
      <c r="AJ239" s="77"/>
      <c r="AK239" s="77"/>
      <c r="AL239" s="77"/>
      <c r="AM239" s="77"/>
      <c r="AN239" s="77"/>
      <c r="AO239" s="77"/>
      <c r="AP239" s="77"/>
      <c r="AQ239" s="77" t="s">
        <v>14305</v>
      </c>
      <c r="AR239" s="77">
        <v>6120</v>
      </c>
      <c r="AS239" s="77"/>
      <c r="AT239" s="77"/>
      <c r="AU239" s="77"/>
      <c r="AV239" s="80" t="str">
        <f>HYPERLINK("https://pbs.twimg.com/ext_tw_video_thumb/1678215020574830592/pu/img/v2Ok0FzK_EHPQruk.jpg")</f>
        <v>https://pbs.twimg.com/ext_tw_video_thumb/1678215020574830592/pu/img/v2Ok0FzK_EHPQruk.jpg</v>
      </c>
      <c r="AW239" s="82" t="s">
        <v>17012</v>
      </c>
      <c r="AX239" s="82" t="s">
        <v>17012</v>
      </c>
      <c r="AY239" s="77"/>
      <c r="AZ239" s="82" t="s">
        <v>20971</v>
      </c>
      <c r="BA239" s="82" t="s">
        <v>20971</v>
      </c>
      <c r="BB239" s="82" t="s">
        <v>20971</v>
      </c>
      <c r="BC239" s="82" t="s">
        <v>17012</v>
      </c>
      <c r="BD239" s="82" t="s">
        <v>21098</v>
      </c>
      <c r="BE239" s="77"/>
      <c r="BF239" s="77"/>
      <c r="BG239" s="77"/>
      <c r="BH239" s="77"/>
      <c r="BI239" s="77"/>
    </row>
    <row r="240" spans="1:61" x14ac:dyDescent="0.25">
      <c r="A240" s="62" t="s">
        <v>345</v>
      </c>
      <c r="B240" s="62" t="s">
        <v>345</v>
      </c>
      <c r="C240" s="63"/>
      <c r="D240" s="64"/>
      <c r="E240" s="65"/>
      <c r="F240" s="66"/>
      <c r="G240" s="63"/>
      <c r="H240" s="67"/>
      <c r="I240" s="68"/>
      <c r="J240" s="68"/>
      <c r="K240" s="32"/>
      <c r="L240" s="75">
        <v>240</v>
      </c>
      <c r="M240" s="75"/>
      <c r="N240" s="70"/>
      <c r="O240" s="77" t="s">
        <v>179</v>
      </c>
      <c r="P240" s="79">
        <v>45117.062662037039</v>
      </c>
      <c r="Q240" s="77" t="s">
        <v>1524</v>
      </c>
      <c r="R240" s="77">
        <v>0</v>
      </c>
      <c r="S240" s="77">
        <v>0</v>
      </c>
      <c r="T240" s="77">
        <v>0</v>
      </c>
      <c r="U240" s="77">
        <v>0</v>
      </c>
      <c r="V240" s="77">
        <v>39</v>
      </c>
      <c r="W240" s="82" t="s">
        <v>5421</v>
      </c>
      <c r="X240" s="77"/>
      <c r="Y240" s="77"/>
      <c r="Z240" s="77"/>
      <c r="AA240" s="77" t="s">
        <v>7662</v>
      </c>
      <c r="AB240" s="77" t="s">
        <v>10129</v>
      </c>
      <c r="AC240" s="82" t="s">
        <v>10147</v>
      </c>
      <c r="AD240" s="77" t="s">
        <v>10184</v>
      </c>
      <c r="AE240" s="80" t="str">
        <f>HYPERLINK("https://twitter.com/outropatamar200/status/1678215017416605697")</f>
        <v>https://twitter.com/outropatamar200/status/1678215017416605697</v>
      </c>
      <c r="AF240" s="79">
        <v>45117.062662037039</v>
      </c>
      <c r="AG240" s="85">
        <v>45117</v>
      </c>
      <c r="AH240" s="82" t="s">
        <v>10435</v>
      </c>
      <c r="AI240" s="77" t="b">
        <v>0</v>
      </c>
      <c r="AJ240" s="77"/>
      <c r="AK240" s="77"/>
      <c r="AL240" s="77"/>
      <c r="AM240" s="77"/>
      <c r="AN240" s="77"/>
      <c r="AO240" s="77"/>
      <c r="AP240" s="77"/>
      <c r="AQ240" s="77" t="s">
        <v>14306</v>
      </c>
      <c r="AR240" s="77">
        <v>6120</v>
      </c>
      <c r="AS240" s="77"/>
      <c r="AT240" s="77"/>
      <c r="AU240" s="77"/>
      <c r="AV240" s="80" t="str">
        <f>HYPERLINK("https://pbs.twimg.com/ext_tw_video_thumb/1678214972013178882/pu/img/xDWKqqAZc1Z5xaCt.jpg")</f>
        <v>https://pbs.twimg.com/ext_tw_video_thumb/1678214972013178882/pu/img/xDWKqqAZc1Z5xaCt.jpg</v>
      </c>
      <c r="AW240" s="82" t="s">
        <v>17013</v>
      </c>
      <c r="AX240" s="82" t="s">
        <v>17013</v>
      </c>
      <c r="AY240" s="77"/>
      <c r="AZ240" s="82" t="s">
        <v>20971</v>
      </c>
      <c r="BA240" s="82" t="s">
        <v>20971</v>
      </c>
      <c r="BB240" s="82" t="s">
        <v>20971</v>
      </c>
      <c r="BC240" s="82" t="s">
        <v>17013</v>
      </c>
      <c r="BD240" s="82" t="s">
        <v>21098</v>
      </c>
      <c r="BE240" s="77"/>
      <c r="BF240" s="77"/>
      <c r="BG240" s="77"/>
      <c r="BH240" s="77"/>
      <c r="BI240" s="77"/>
    </row>
    <row r="241" spans="1:61" x14ac:dyDescent="0.25">
      <c r="A241" s="62" t="s">
        <v>345</v>
      </c>
      <c r="B241" s="62" t="s">
        <v>345</v>
      </c>
      <c r="C241" s="63"/>
      <c r="D241" s="64"/>
      <c r="E241" s="65"/>
      <c r="F241" s="66"/>
      <c r="G241" s="63"/>
      <c r="H241" s="67"/>
      <c r="I241" s="68"/>
      <c r="J241" s="68"/>
      <c r="K241" s="32"/>
      <c r="L241" s="75">
        <v>241</v>
      </c>
      <c r="M241" s="75"/>
      <c r="N241" s="70"/>
      <c r="O241" s="77" t="s">
        <v>179</v>
      </c>
      <c r="P241" s="79">
        <v>45117.000694444447</v>
      </c>
      <c r="Q241" s="77" t="s">
        <v>1525</v>
      </c>
      <c r="R241" s="77">
        <v>0</v>
      </c>
      <c r="S241" s="77">
        <v>0</v>
      </c>
      <c r="T241" s="77">
        <v>0</v>
      </c>
      <c r="U241" s="77">
        <v>0</v>
      </c>
      <c r="V241" s="77">
        <v>54</v>
      </c>
      <c r="W241" s="82" t="s">
        <v>5421</v>
      </c>
      <c r="X241" s="77"/>
      <c r="Y241" s="77"/>
      <c r="Z241" s="77"/>
      <c r="AA241" s="77" t="s">
        <v>7663</v>
      </c>
      <c r="AB241" s="77" t="s">
        <v>10129</v>
      </c>
      <c r="AC241" s="82" t="s">
        <v>10147</v>
      </c>
      <c r="AD241" s="77" t="s">
        <v>10184</v>
      </c>
      <c r="AE241" s="80" t="str">
        <f>HYPERLINK("https://twitter.com/outropatamar200/status/1678192560039141376")</f>
        <v>https://twitter.com/outropatamar200/status/1678192560039141376</v>
      </c>
      <c r="AF241" s="79">
        <v>45117.000694444447</v>
      </c>
      <c r="AG241" s="85">
        <v>45117</v>
      </c>
      <c r="AH241" s="82" t="s">
        <v>10436</v>
      </c>
      <c r="AI241" s="77" t="b">
        <v>0</v>
      </c>
      <c r="AJ241" s="77"/>
      <c r="AK241" s="77"/>
      <c r="AL241" s="77"/>
      <c r="AM241" s="77"/>
      <c r="AN241" s="77"/>
      <c r="AO241" s="77"/>
      <c r="AP241" s="77"/>
      <c r="AQ241" s="77" t="s">
        <v>14307</v>
      </c>
      <c r="AR241" s="77">
        <v>6120</v>
      </c>
      <c r="AS241" s="77"/>
      <c r="AT241" s="77"/>
      <c r="AU241" s="77"/>
      <c r="AV241" s="80" t="str">
        <f>HYPERLINK("https://pbs.twimg.com/ext_tw_video_thumb/1678192509921492994/pu/img/488efZejkQSElzSs.jpg")</f>
        <v>https://pbs.twimg.com/ext_tw_video_thumb/1678192509921492994/pu/img/488efZejkQSElzSs.jpg</v>
      </c>
      <c r="AW241" s="82" t="s">
        <v>17014</v>
      </c>
      <c r="AX241" s="82" t="s">
        <v>17014</v>
      </c>
      <c r="AY241" s="77"/>
      <c r="AZ241" s="82" t="s">
        <v>20971</v>
      </c>
      <c r="BA241" s="82" t="s">
        <v>20971</v>
      </c>
      <c r="BB241" s="82" t="s">
        <v>20971</v>
      </c>
      <c r="BC241" s="82" t="s">
        <v>17014</v>
      </c>
      <c r="BD241" s="82" t="s">
        <v>21098</v>
      </c>
      <c r="BE241" s="77"/>
      <c r="BF241" s="77"/>
      <c r="BG241" s="77"/>
      <c r="BH241" s="77"/>
      <c r="BI241" s="77"/>
    </row>
    <row r="242" spans="1:61" x14ac:dyDescent="0.25">
      <c r="A242" s="62" t="s">
        <v>345</v>
      </c>
      <c r="B242" s="62" t="s">
        <v>345</v>
      </c>
      <c r="C242" s="63"/>
      <c r="D242" s="64"/>
      <c r="E242" s="65"/>
      <c r="F242" s="66"/>
      <c r="G242" s="63"/>
      <c r="H242" s="67"/>
      <c r="I242" s="68"/>
      <c r="J242" s="68"/>
      <c r="K242" s="32"/>
      <c r="L242" s="75">
        <v>242</v>
      </c>
      <c r="M242" s="75"/>
      <c r="N242" s="70"/>
      <c r="O242" s="77" t="s">
        <v>179</v>
      </c>
      <c r="P242" s="79">
        <v>45116.979664351849</v>
      </c>
      <c r="Q242" s="77" t="s">
        <v>1526</v>
      </c>
      <c r="R242" s="77">
        <v>0</v>
      </c>
      <c r="S242" s="77">
        <v>0</v>
      </c>
      <c r="T242" s="77">
        <v>0</v>
      </c>
      <c r="U242" s="77">
        <v>0</v>
      </c>
      <c r="V242" s="77">
        <v>33</v>
      </c>
      <c r="W242" s="82" t="s">
        <v>5421</v>
      </c>
      <c r="X242" s="77"/>
      <c r="Y242" s="77"/>
      <c r="Z242" s="77"/>
      <c r="AA242" s="77" t="s">
        <v>7664</v>
      </c>
      <c r="AB242" s="77" t="s">
        <v>10129</v>
      </c>
      <c r="AC242" s="82" t="s">
        <v>10147</v>
      </c>
      <c r="AD242" s="77" t="s">
        <v>10184</v>
      </c>
      <c r="AE242" s="80" t="str">
        <f>HYPERLINK("https://twitter.com/outropatamar200/status/1678184938179289090")</f>
        <v>https://twitter.com/outropatamar200/status/1678184938179289090</v>
      </c>
      <c r="AF242" s="79">
        <v>45116.979664351849</v>
      </c>
      <c r="AG242" s="85">
        <v>45116</v>
      </c>
      <c r="AH242" s="82" t="s">
        <v>10437</v>
      </c>
      <c r="AI242" s="77" t="b">
        <v>0</v>
      </c>
      <c r="AJ242" s="77"/>
      <c r="AK242" s="77"/>
      <c r="AL242" s="77"/>
      <c r="AM242" s="77"/>
      <c r="AN242" s="77"/>
      <c r="AO242" s="77"/>
      <c r="AP242" s="77"/>
      <c r="AQ242" s="77" t="s">
        <v>14308</v>
      </c>
      <c r="AR242" s="77">
        <v>6120</v>
      </c>
      <c r="AS242" s="77"/>
      <c r="AT242" s="77"/>
      <c r="AU242" s="77"/>
      <c r="AV242" s="80" t="str">
        <f>HYPERLINK("https://pbs.twimg.com/ext_tw_video_thumb/1678184872035196930/pu/img/ZYs3nFuJO7wJW0zT.jpg")</f>
        <v>https://pbs.twimg.com/ext_tw_video_thumb/1678184872035196930/pu/img/ZYs3nFuJO7wJW0zT.jpg</v>
      </c>
      <c r="AW242" s="82" t="s">
        <v>17015</v>
      </c>
      <c r="AX242" s="82" t="s">
        <v>17015</v>
      </c>
      <c r="AY242" s="77"/>
      <c r="AZ242" s="82" t="s">
        <v>20971</v>
      </c>
      <c r="BA242" s="82" t="s">
        <v>20971</v>
      </c>
      <c r="BB242" s="82" t="s">
        <v>20971</v>
      </c>
      <c r="BC242" s="82" t="s">
        <v>17015</v>
      </c>
      <c r="BD242" s="82" t="s">
        <v>21098</v>
      </c>
      <c r="BE242" s="77"/>
      <c r="BF242" s="77"/>
      <c r="BG242" s="77"/>
      <c r="BH242" s="77"/>
      <c r="BI242" s="77"/>
    </row>
    <row r="243" spans="1:61" x14ac:dyDescent="0.25">
      <c r="A243" s="62" t="s">
        <v>345</v>
      </c>
      <c r="B243" s="62" t="s">
        <v>345</v>
      </c>
      <c r="C243" s="63"/>
      <c r="D243" s="64"/>
      <c r="E243" s="65"/>
      <c r="F243" s="66"/>
      <c r="G243" s="63"/>
      <c r="H243" s="67"/>
      <c r="I243" s="68"/>
      <c r="J243" s="68"/>
      <c r="K243" s="32"/>
      <c r="L243" s="75">
        <v>243</v>
      </c>
      <c r="M243" s="75"/>
      <c r="N243" s="70"/>
      <c r="O243" s="77" t="s">
        <v>179</v>
      </c>
      <c r="P243" s="79">
        <v>45116.958865740744</v>
      </c>
      <c r="Q243" s="77" t="s">
        <v>1527</v>
      </c>
      <c r="R243" s="77">
        <v>0</v>
      </c>
      <c r="S243" s="77">
        <v>0</v>
      </c>
      <c r="T243" s="77">
        <v>0</v>
      </c>
      <c r="U243" s="77">
        <v>0</v>
      </c>
      <c r="V243" s="77">
        <v>9</v>
      </c>
      <c r="W243" s="82" t="s">
        <v>5421</v>
      </c>
      <c r="X243" s="77"/>
      <c r="Y243" s="77"/>
      <c r="Z243" s="77"/>
      <c r="AA243" s="77" t="s">
        <v>7665</v>
      </c>
      <c r="AB243" s="77" t="s">
        <v>10129</v>
      </c>
      <c r="AC243" s="82" t="s">
        <v>10147</v>
      </c>
      <c r="AD243" s="77" t="s">
        <v>10184</v>
      </c>
      <c r="AE243" s="80" t="str">
        <f>HYPERLINK("https://twitter.com/outropatamar200/status/1678177401107259394")</f>
        <v>https://twitter.com/outropatamar200/status/1678177401107259394</v>
      </c>
      <c r="AF243" s="79">
        <v>45116.958865740744</v>
      </c>
      <c r="AG243" s="85">
        <v>45116</v>
      </c>
      <c r="AH243" s="82" t="s">
        <v>10438</v>
      </c>
      <c r="AI243" s="77" t="b">
        <v>0</v>
      </c>
      <c r="AJ243" s="77"/>
      <c r="AK243" s="77"/>
      <c r="AL243" s="77"/>
      <c r="AM243" s="77"/>
      <c r="AN243" s="77"/>
      <c r="AO243" s="77"/>
      <c r="AP243" s="77"/>
      <c r="AQ243" s="77" t="s">
        <v>14309</v>
      </c>
      <c r="AR243" s="77">
        <v>6120</v>
      </c>
      <c r="AS243" s="77"/>
      <c r="AT243" s="77"/>
      <c r="AU243" s="77"/>
      <c r="AV243" s="80" t="str">
        <f>HYPERLINK("https://pbs.twimg.com/ext_tw_video_thumb/1678177333662842880/pu/img/Dxy1Dq40fRAoVwBO.jpg")</f>
        <v>https://pbs.twimg.com/ext_tw_video_thumb/1678177333662842880/pu/img/Dxy1Dq40fRAoVwBO.jpg</v>
      </c>
      <c r="AW243" s="82" t="s">
        <v>17016</v>
      </c>
      <c r="AX243" s="82" t="s">
        <v>17016</v>
      </c>
      <c r="AY243" s="77"/>
      <c r="AZ243" s="82" t="s">
        <v>20971</v>
      </c>
      <c r="BA243" s="82" t="s">
        <v>20971</v>
      </c>
      <c r="BB243" s="82" t="s">
        <v>20971</v>
      </c>
      <c r="BC243" s="82" t="s">
        <v>17016</v>
      </c>
      <c r="BD243" s="82" t="s">
        <v>21098</v>
      </c>
      <c r="BE243" s="77"/>
      <c r="BF243" s="77"/>
      <c r="BG243" s="77"/>
      <c r="BH243" s="77"/>
      <c r="BI243" s="77"/>
    </row>
    <row r="244" spans="1:61" x14ac:dyDescent="0.25">
      <c r="A244" s="62" t="s">
        <v>345</v>
      </c>
      <c r="B244" s="62" t="s">
        <v>345</v>
      </c>
      <c r="C244" s="63"/>
      <c r="D244" s="64"/>
      <c r="E244" s="65"/>
      <c r="F244" s="66"/>
      <c r="G244" s="63"/>
      <c r="H244" s="67"/>
      <c r="I244" s="68"/>
      <c r="J244" s="68"/>
      <c r="K244" s="32"/>
      <c r="L244" s="75">
        <v>244</v>
      </c>
      <c r="M244" s="75"/>
      <c r="N244" s="70"/>
      <c r="O244" s="77" t="s">
        <v>179</v>
      </c>
      <c r="P244" s="79">
        <v>45116.93787037037</v>
      </c>
      <c r="Q244" s="77" t="s">
        <v>1528</v>
      </c>
      <c r="R244" s="77">
        <v>0</v>
      </c>
      <c r="S244" s="77">
        <v>0</v>
      </c>
      <c r="T244" s="77">
        <v>0</v>
      </c>
      <c r="U244" s="77">
        <v>0</v>
      </c>
      <c r="V244" s="77">
        <v>31</v>
      </c>
      <c r="W244" s="82" t="s">
        <v>5421</v>
      </c>
      <c r="X244" s="77"/>
      <c r="Y244" s="77"/>
      <c r="Z244" s="77"/>
      <c r="AA244" s="77" t="s">
        <v>7666</v>
      </c>
      <c r="AB244" s="77" t="s">
        <v>10129</v>
      </c>
      <c r="AC244" s="82" t="s">
        <v>10147</v>
      </c>
      <c r="AD244" s="77" t="s">
        <v>10184</v>
      </c>
      <c r="AE244" s="80" t="str">
        <f>HYPERLINK("https://twitter.com/outropatamar200/status/1678169793453608960")</f>
        <v>https://twitter.com/outropatamar200/status/1678169793453608960</v>
      </c>
      <c r="AF244" s="79">
        <v>45116.93787037037</v>
      </c>
      <c r="AG244" s="85">
        <v>45116</v>
      </c>
      <c r="AH244" s="82" t="s">
        <v>10439</v>
      </c>
      <c r="AI244" s="77" t="b">
        <v>0</v>
      </c>
      <c r="AJ244" s="77"/>
      <c r="AK244" s="77"/>
      <c r="AL244" s="77"/>
      <c r="AM244" s="77"/>
      <c r="AN244" s="77"/>
      <c r="AO244" s="77"/>
      <c r="AP244" s="77"/>
      <c r="AQ244" s="77" t="s">
        <v>14310</v>
      </c>
      <c r="AR244" s="77">
        <v>6120</v>
      </c>
      <c r="AS244" s="77"/>
      <c r="AT244" s="77"/>
      <c r="AU244" s="77"/>
      <c r="AV244" s="80" t="str">
        <f>HYPERLINK("https://pbs.twimg.com/ext_tw_video_thumb/1678169727171018752/pu/img/orLAPvBDaRXcsg-b.jpg")</f>
        <v>https://pbs.twimg.com/ext_tw_video_thumb/1678169727171018752/pu/img/orLAPvBDaRXcsg-b.jpg</v>
      </c>
      <c r="AW244" s="82" t="s">
        <v>17017</v>
      </c>
      <c r="AX244" s="82" t="s">
        <v>17017</v>
      </c>
      <c r="AY244" s="77"/>
      <c r="AZ244" s="82" t="s">
        <v>20971</v>
      </c>
      <c r="BA244" s="82" t="s">
        <v>20971</v>
      </c>
      <c r="BB244" s="82" t="s">
        <v>20971</v>
      </c>
      <c r="BC244" s="82" t="s">
        <v>17017</v>
      </c>
      <c r="BD244" s="82" t="s">
        <v>21098</v>
      </c>
      <c r="BE244" s="77"/>
      <c r="BF244" s="77"/>
      <c r="BG244" s="77"/>
      <c r="BH244" s="77"/>
      <c r="BI244" s="77"/>
    </row>
    <row r="245" spans="1:61" x14ac:dyDescent="0.25">
      <c r="A245" s="62" t="s">
        <v>345</v>
      </c>
      <c r="B245" s="62" t="s">
        <v>345</v>
      </c>
      <c r="C245" s="63"/>
      <c r="D245" s="64"/>
      <c r="E245" s="65"/>
      <c r="F245" s="66"/>
      <c r="G245" s="63"/>
      <c r="H245" s="67"/>
      <c r="I245" s="68"/>
      <c r="J245" s="68"/>
      <c r="K245" s="32"/>
      <c r="L245" s="75">
        <v>245</v>
      </c>
      <c r="M245" s="75"/>
      <c r="N245" s="70"/>
      <c r="O245" s="77" t="s">
        <v>179</v>
      </c>
      <c r="P245" s="79">
        <v>45116.917291666665</v>
      </c>
      <c r="Q245" s="77" t="s">
        <v>1529</v>
      </c>
      <c r="R245" s="77">
        <v>0</v>
      </c>
      <c r="S245" s="77">
        <v>0</v>
      </c>
      <c r="T245" s="77">
        <v>0</v>
      </c>
      <c r="U245" s="77">
        <v>0</v>
      </c>
      <c r="V245" s="77">
        <v>34</v>
      </c>
      <c r="W245" s="82" t="s">
        <v>5421</v>
      </c>
      <c r="X245" s="77"/>
      <c r="Y245" s="77"/>
      <c r="Z245" s="77"/>
      <c r="AA245" s="77" t="s">
        <v>7667</v>
      </c>
      <c r="AB245" s="77" t="s">
        <v>10129</v>
      </c>
      <c r="AC245" s="82" t="s">
        <v>10147</v>
      </c>
      <c r="AD245" s="77" t="s">
        <v>10184</v>
      </c>
      <c r="AE245" s="80" t="str">
        <f>HYPERLINK("https://twitter.com/outropatamar200/status/1678162338455642117")</f>
        <v>https://twitter.com/outropatamar200/status/1678162338455642117</v>
      </c>
      <c r="AF245" s="79">
        <v>45116.917291666665</v>
      </c>
      <c r="AG245" s="85">
        <v>45116</v>
      </c>
      <c r="AH245" s="82" t="s">
        <v>10440</v>
      </c>
      <c r="AI245" s="77" t="b">
        <v>0</v>
      </c>
      <c r="AJ245" s="77"/>
      <c r="AK245" s="77"/>
      <c r="AL245" s="77"/>
      <c r="AM245" s="77"/>
      <c r="AN245" s="77"/>
      <c r="AO245" s="77"/>
      <c r="AP245" s="77"/>
      <c r="AQ245" s="77" t="s">
        <v>14311</v>
      </c>
      <c r="AR245" s="77">
        <v>6120</v>
      </c>
      <c r="AS245" s="77"/>
      <c r="AT245" s="77"/>
      <c r="AU245" s="77"/>
      <c r="AV245" s="80" t="str">
        <f>HYPERLINK("https://pbs.twimg.com/ext_tw_video_thumb/1678162293094326272/pu/img/ThrPRWve_56qGUKH.jpg")</f>
        <v>https://pbs.twimg.com/ext_tw_video_thumb/1678162293094326272/pu/img/ThrPRWve_56qGUKH.jpg</v>
      </c>
      <c r="AW245" s="82" t="s">
        <v>17018</v>
      </c>
      <c r="AX245" s="82" t="s">
        <v>17018</v>
      </c>
      <c r="AY245" s="77"/>
      <c r="AZ245" s="82" t="s">
        <v>20971</v>
      </c>
      <c r="BA245" s="82" t="s">
        <v>20971</v>
      </c>
      <c r="BB245" s="82" t="s">
        <v>20971</v>
      </c>
      <c r="BC245" s="82" t="s">
        <v>17018</v>
      </c>
      <c r="BD245" s="82" t="s">
        <v>21098</v>
      </c>
      <c r="BE245" s="77"/>
      <c r="BF245" s="77"/>
      <c r="BG245" s="77"/>
      <c r="BH245" s="77"/>
      <c r="BI245" s="77"/>
    </row>
    <row r="246" spans="1:61" x14ac:dyDescent="0.25">
      <c r="A246" s="62" t="s">
        <v>345</v>
      </c>
      <c r="B246" s="62" t="s">
        <v>345</v>
      </c>
      <c r="C246" s="63"/>
      <c r="D246" s="64"/>
      <c r="E246" s="65"/>
      <c r="F246" s="66"/>
      <c r="G246" s="63"/>
      <c r="H246" s="67"/>
      <c r="I246" s="68"/>
      <c r="J246" s="68"/>
      <c r="K246" s="32"/>
      <c r="L246" s="75">
        <v>246</v>
      </c>
      <c r="M246" s="75"/>
      <c r="N246" s="70"/>
      <c r="O246" s="77" t="s">
        <v>179</v>
      </c>
      <c r="P246" s="79">
        <v>45116.896180555559</v>
      </c>
      <c r="Q246" s="77" t="s">
        <v>1530</v>
      </c>
      <c r="R246" s="77">
        <v>0</v>
      </c>
      <c r="S246" s="77">
        <v>0</v>
      </c>
      <c r="T246" s="77">
        <v>0</v>
      </c>
      <c r="U246" s="77">
        <v>0</v>
      </c>
      <c r="V246" s="77">
        <v>38</v>
      </c>
      <c r="W246" s="82" t="s">
        <v>5421</v>
      </c>
      <c r="X246" s="77"/>
      <c r="Y246" s="77"/>
      <c r="Z246" s="77"/>
      <c r="AA246" s="77" t="s">
        <v>7668</v>
      </c>
      <c r="AB246" s="77" t="s">
        <v>10129</v>
      </c>
      <c r="AC246" s="82" t="s">
        <v>10147</v>
      </c>
      <c r="AD246" s="77" t="s">
        <v>10184</v>
      </c>
      <c r="AE246" s="80" t="str">
        <f>HYPERLINK("https://twitter.com/outropatamar200/status/1678154685046308864")</f>
        <v>https://twitter.com/outropatamar200/status/1678154685046308864</v>
      </c>
      <c r="AF246" s="79">
        <v>45116.896180555559</v>
      </c>
      <c r="AG246" s="85">
        <v>45116</v>
      </c>
      <c r="AH246" s="82" t="s">
        <v>10441</v>
      </c>
      <c r="AI246" s="77" t="b">
        <v>0</v>
      </c>
      <c r="AJ246" s="77"/>
      <c r="AK246" s="77"/>
      <c r="AL246" s="77"/>
      <c r="AM246" s="77"/>
      <c r="AN246" s="77"/>
      <c r="AO246" s="77"/>
      <c r="AP246" s="77"/>
      <c r="AQ246" s="77" t="s">
        <v>14312</v>
      </c>
      <c r="AR246" s="77">
        <v>6120</v>
      </c>
      <c r="AS246" s="77"/>
      <c r="AT246" s="77"/>
      <c r="AU246" s="77"/>
      <c r="AV246" s="80" t="str">
        <f>HYPERLINK("https://pbs.twimg.com/ext_tw_video_thumb/1678154640074874887/pu/img/3IxHqmSNnMYOiYpp.jpg")</f>
        <v>https://pbs.twimg.com/ext_tw_video_thumb/1678154640074874887/pu/img/3IxHqmSNnMYOiYpp.jpg</v>
      </c>
      <c r="AW246" s="82" t="s">
        <v>17019</v>
      </c>
      <c r="AX246" s="82" t="s">
        <v>17019</v>
      </c>
      <c r="AY246" s="77"/>
      <c r="AZ246" s="82" t="s">
        <v>20971</v>
      </c>
      <c r="BA246" s="82" t="s">
        <v>20971</v>
      </c>
      <c r="BB246" s="82" t="s">
        <v>20971</v>
      </c>
      <c r="BC246" s="82" t="s">
        <v>17019</v>
      </c>
      <c r="BD246" s="82" t="s">
        <v>21098</v>
      </c>
      <c r="BE246" s="77"/>
      <c r="BF246" s="77"/>
      <c r="BG246" s="77"/>
      <c r="BH246" s="77"/>
      <c r="BI246" s="77"/>
    </row>
    <row r="247" spans="1:61" x14ac:dyDescent="0.25">
      <c r="A247" s="62" t="s">
        <v>345</v>
      </c>
      <c r="B247" s="62" t="s">
        <v>345</v>
      </c>
      <c r="C247" s="63"/>
      <c r="D247" s="64"/>
      <c r="E247" s="65"/>
      <c r="F247" s="66"/>
      <c r="G247" s="63"/>
      <c r="H247" s="67"/>
      <c r="I247" s="68"/>
      <c r="J247" s="68"/>
      <c r="K247" s="32"/>
      <c r="L247" s="75">
        <v>247</v>
      </c>
      <c r="M247" s="75"/>
      <c r="N247" s="70"/>
      <c r="O247" s="77" t="s">
        <v>179</v>
      </c>
      <c r="P247" s="79">
        <v>45116.875694444447</v>
      </c>
      <c r="Q247" s="77" t="s">
        <v>1531</v>
      </c>
      <c r="R247" s="77">
        <v>0</v>
      </c>
      <c r="S247" s="77">
        <v>0</v>
      </c>
      <c r="T247" s="77">
        <v>0</v>
      </c>
      <c r="U247" s="77">
        <v>0</v>
      </c>
      <c r="V247" s="77">
        <v>21</v>
      </c>
      <c r="W247" s="82" t="s">
        <v>5421</v>
      </c>
      <c r="X247" s="77"/>
      <c r="Y247" s="77"/>
      <c r="Z247" s="77"/>
      <c r="AA247" s="77" t="s">
        <v>7669</v>
      </c>
      <c r="AB247" s="77" t="s">
        <v>10129</v>
      </c>
      <c r="AC247" s="82" t="s">
        <v>10147</v>
      </c>
      <c r="AD247" s="77" t="s">
        <v>10184</v>
      </c>
      <c r="AE247" s="80" t="str">
        <f>HYPERLINK("https://twitter.com/outropatamar200/status/1678147264265551874")</f>
        <v>https://twitter.com/outropatamar200/status/1678147264265551874</v>
      </c>
      <c r="AF247" s="79">
        <v>45116.875694444447</v>
      </c>
      <c r="AG247" s="85">
        <v>45116</v>
      </c>
      <c r="AH247" s="82" t="s">
        <v>10442</v>
      </c>
      <c r="AI247" s="77" t="b">
        <v>0</v>
      </c>
      <c r="AJ247" s="77"/>
      <c r="AK247" s="77"/>
      <c r="AL247" s="77"/>
      <c r="AM247" s="77"/>
      <c r="AN247" s="77"/>
      <c r="AO247" s="77"/>
      <c r="AP247" s="77"/>
      <c r="AQ247" s="77" t="s">
        <v>14313</v>
      </c>
      <c r="AR247" s="77">
        <v>6120</v>
      </c>
      <c r="AS247" s="77"/>
      <c r="AT247" s="77"/>
      <c r="AU247" s="77"/>
      <c r="AV247" s="80" t="str">
        <f>HYPERLINK("https://pbs.twimg.com/ext_tw_video_thumb/1678147217603940352/pu/img/C2t5p459Q3sL6_r-.jpg")</f>
        <v>https://pbs.twimg.com/ext_tw_video_thumb/1678147217603940352/pu/img/C2t5p459Q3sL6_r-.jpg</v>
      </c>
      <c r="AW247" s="82" t="s">
        <v>17020</v>
      </c>
      <c r="AX247" s="82" t="s">
        <v>17020</v>
      </c>
      <c r="AY247" s="77"/>
      <c r="AZ247" s="82" t="s">
        <v>20971</v>
      </c>
      <c r="BA247" s="82" t="s">
        <v>20971</v>
      </c>
      <c r="BB247" s="82" t="s">
        <v>20971</v>
      </c>
      <c r="BC247" s="82" t="s">
        <v>17020</v>
      </c>
      <c r="BD247" s="82" t="s">
        <v>21098</v>
      </c>
      <c r="BE247" s="77"/>
      <c r="BF247" s="77"/>
      <c r="BG247" s="77"/>
      <c r="BH247" s="77"/>
      <c r="BI247" s="77"/>
    </row>
    <row r="248" spans="1:61" x14ac:dyDescent="0.25">
      <c r="A248" s="62" t="s">
        <v>345</v>
      </c>
      <c r="B248" s="62" t="s">
        <v>345</v>
      </c>
      <c r="C248" s="63"/>
      <c r="D248" s="64"/>
      <c r="E248" s="65"/>
      <c r="F248" s="66"/>
      <c r="G248" s="63"/>
      <c r="H248" s="67"/>
      <c r="I248" s="68"/>
      <c r="J248" s="68"/>
      <c r="K248" s="32"/>
      <c r="L248" s="75">
        <v>248</v>
      </c>
      <c r="M248" s="75"/>
      <c r="N248" s="70"/>
      <c r="O248" s="77" t="s">
        <v>179</v>
      </c>
      <c r="P248" s="79">
        <v>45116.854490740741</v>
      </c>
      <c r="Q248" s="77" t="s">
        <v>1532</v>
      </c>
      <c r="R248" s="77">
        <v>0</v>
      </c>
      <c r="S248" s="77">
        <v>0</v>
      </c>
      <c r="T248" s="77">
        <v>0</v>
      </c>
      <c r="U248" s="77">
        <v>0</v>
      </c>
      <c r="V248" s="77">
        <v>18</v>
      </c>
      <c r="W248" s="82" t="s">
        <v>5421</v>
      </c>
      <c r="X248" s="77"/>
      <c r="Y248" s="77"/>
      <c r="Z248" s="77"/>
      <c r="AA248" s="77" t="s">
        <v>7670</v>
      </c>
      <c r="AB248" s="77" t="s">
        <v>10129</v>
      </c>
      <c r="AC248" s="82" t="s">
        <v>10147</v>
      </c>
      <c r="AD248" s="77" t="s">
        <v>10184</v>
      </c>
      <c r="AE248" s="80" t="str">
        <f>HYPERLINK("https://twitter.com/outropatamar200/status/1678139576790011905")</f>
        <v>https://twitter.com/outropatamar200/status/1678139576790011905</v>
      </c>
      <c r="AF248" s="79">
        <v>45116.854490740741</v>
      </c>
      <c r="AG248" s="85">
        <v>45116</v>
      </c>
      <c r="AH248" s="82" t="s">
        <v>10443</v>
      </c>
      <c r="AI248" s="77" t="b">
        <v>0</v>
      </c>
      <c r="AJ248" s="77"/>
      <c r="AK248" s="77"/>
      <c r="AL248" s="77"/>
      <c r="AM248" s="77"/>
      <c r="AN248" s="77"/>
      <c r="AO248" s="77"/>
      <c r="AP248" s="77"/>
      <c r="AQ248" s="77" t="s">
        <v>14314</v>
      </c>
      <c r="AR248" s="77">
        <v>6120</v>
      </c>
      <c r="AS248" s="77"/>
      <c r="AT248" s="77"/>
      <c r="AU248" s="77"/>
      <c r="AV248" s="80" t="str">
        <f>HYPERLINK("https://pbs.twimg.com/ext_tw_video_thumb/1678139529411063810/pu/img/KAUziPwxeZ9J6vDX.jpg")</f>
        <v>https://pbs.twimg.com/ext_tw_video_thumb/1678139529411063810/pu/img/KAUziPwxeZ9J6vDX.jpg</v>
      </c>
      <c r="AW248" s="82" t="s">
        <v>17021</v>
      </c>
      <c r="AX248" s="82" t="s">
        <v>17021</v>
      </c>
      <c r="AY248" s="77"/>
      <c r="AZ248" s="82" t="s">
        <v>20971</v>
      </c>
      <c r="BA248" s="82" t="s">
        <v>20971</v>
      </c>
      <c r="BB248" s="82" t="s">
        <v>20971</v>
      </c>
      <c r="BC248" s="82" t="s">
        <v>17021</v>
      </c>
      <c r="BD248" s="82" t="s">
        <v>21098</v>
      </c>
      <c r="BE248" s="77"/>
      <c r="BF248" s="77"/>
      <c r="BG248" s="77"/>
      <c r="BH248" s="77"/>
      <c r="BI248" s="77"/>
    </row>
    <row r="249" spans="1:61" x14ac:dyDescent="0.25">
      <c r="A249" s="62" t="s">
        <v>345</v>
      </c>
      <c r="B249" s="62" t="s">
        <v>345</v>
      </c>
      <c r="C249" s="63"/>
      <c r="D249" s="64"/>
      <c r="E249" s="65"/>
      <c r="F249" s="66"/>
      <c r="G249" s="63"/>
      <c r="H249" s="67"/>
      <c r="I249" s="68"/>
      <c r="J249" s="68"/>
      <c r="K249" s="32"/>
      <c r="L249" s="75">
        <v>249</v>
      </c>
      <c r="M249" s="75"/>
      <c r="N249" s="70"/>
      <c r="O249" s="77" t="s">
        <v>179</v>
      </c>
      <c r="P249" s="79">
        <v>45116.833877314813</v>
      </c>
      <c r="Q249" s="77" t="s">
        <v>1533</v>
      </c>
      <c r="R249" s="77">
        <v>0</v>
      </c>
      <c r="S249" s="77">
        <v>0</v>
      </c>
      <c r="T249" s="77">
        <v>0</v>
      </c>
      <c r="U249" s="77">
        <v>0</v>
      </c>
      <c r="V249" s="77">
        <v>26</v>
      </c>
      <c r="W249" s="82" t="s">
        <v>5421</v>
      </c>
      <c r="X249" s="77"/>
      <c r="Y249" s="77"/>
      <c r="Z249" s="77"/>
      <c r="AA249" s="77" t="s">
        <v>7671</v>
      </c>
      <c r="AB249" s="77" t="s">
        <v>10129</v>
      </c>
      <c r="AC249" s="82" t="s">
        <v>10147</v>
      </c>
      <c r="AD249" s="77" t="s">
        <v>10184</v>
      </c>
      <c r="AE249" s="80" t="str">
        <f>HYPERLINK("https://twitter.com/outropatamar200/status/1678132110446428162")</f>
        <v>https://twitter.com/outropatamar200/status/1678132110446428162</v>
      </c>
      <c r="AF249" s="79">
        <v>45116.833877314813</v>
      </c>
      <c r="AG249" s="85">
        <v>45116</v>
      </c>
      <c r="AH249" s="82" t="s">
        <v>10444</v>
      </c>
      <c r="AI249" s="77" t="b">
        <v>0</v>
      </c>
      <c r="AJ249" s="77"/>
      <c r="AK249" s="77"/>
      <c r="AL249" s="77"/>
      <c r="AM249" s="77"/>
      <c r="AN249" s="77"/>
      <c r="AO249" s="77"/>
      <c r="AP249" s="77"/>
      <c r="AQ249" s="77" t="s">
        <v>14315</v>
      </c>
      <c r="AR249" s="77">
        <v>6120</v>
      </c>
      <c r="AS249" s="77"/>
      <c r="AT249" s="77"/>
      <c r="AU249" s="77"/>
      <c r="AV249" s="80" t="str">
        <f>HYPERLINK("https://pbs.twimg.com/ext_tw_video_thumb/1678132065399709700/pu/img/Zod9U2B1e30FeU-x.jpg")</f>
        <v>https://pbs.twimg.com/ext_tw_video_thumb/1678132065399709700/pu/img/Zod9U2B1e30FeU-x.jpg</v>
      </c>
      <c r="AW249" s="82" t="s">
        <v>17022</v>
      </c>
      <c r="AX249" s="82" t="s">
        <v>17022</v>
      </c>
      <c r="AY249" s="77"/>
      <c r="AZ249" s="82" t="s">
        <v>20971</v>
      </c>
      <c r="BA249" s="82" t="s">
        <v>20971</v>
      </c>
      <c r="BB249" s="82" t="s">
        <v>20971</v>
      </c>
      <c r="BC249" s="82" t="s">
        <v>17022</v>
      </c>
      <c r="BD249" s="82" t="s">
        <v>21098</v>
      </c>
      <c r="BE249" s="77"/>
      <c r="BF249" s="77"/>
      <c r="BG249" s="77"/>
      <c r="BH249" s="77"/>
      <c r="BI249" s="77"/>
    </row>
    <row r="250" spans="1:61" x14ac:dyDescent="0.25">
      <c r="A250" s="62" t="s">
        <v>345</v>
      </c>
      <c r="B250" s="62" t="s">
        <v>345</v>
      </c>
      <c r="C250" s="63"/>
      <c r="D250" s="64"/>
      <c r="E250" s="65"/>
      <c r="F250" s="66"/>
      <c r="G250" s="63"/>
      <c r="H250" s="67"/>
      <c r="I250" s="68"/>
      <c r="J250" s="68"/>
      <c r="K250" s="32"/>
      <c r="L250" s="75">
        <v>250</v>
      </c>
      <c r="M250" s="75"/>
      <c r="N250" s="70"/>
      <c r="O250" s="77" t="s">
        <v>179</v>
      </c>
      <c r="P250" s="79">
        <v>45116.81287037037</v>
      </c>
      <c r="Q250" s="77" t="s">
        <v>1534</v>
      </c>
      <c r="R250" s="77">
        <v>0</v>
      </c>
      <c r="S250" s="77">
        <v>0</v>
      </c>
      <c r="T250" s="77">
        <v>0</v>
      </c>
      <c r="U250" s="77">
        <v>0</v>
      </c>
      <c r="V250" s="77">
        <v>32</v>
      </c>
      <c r="W250" s="82" t="s">
        <v>5421</v>
      </c>
      <c r="X250" s="77"/>
      <c r="Y250" s="77"/>
      <c r="Z250" s="77"/>
      <c r="AA250" s="77" t="s">
        <v>7672</v>
      </c>
      <c r="AB250" s="77" t="s">
        <v>10129</v>
      </c>
      <c r="AC250" s="82" t="s">
        <v>10147</v>
      </c>
      <c r="AD250" s="77" t="s">
        <v>10184</v>
      </c>
      <c r="AE250" s="80" t="str">
        <f>HYPERLINK("https://twitter.com/outropatamar200/status/1678124496811589633")</f>
        <v>https://twitter.com/outropatamar200/status/1678124496811589633</v>
      </c>
      <c r="AF250" s="79">
        <v>45116.81287037037</v>
      </c>
      <c r="AG250" s="85">
        <v>45116</v>
      </c>
      <c r="AH250" s="82" t="s">
        <v>10445</v>
      </c>
      <c r="AI250" s="77" t="b">
        <v>0</v>
      </c>
      <c r="AJ250" s="77"/>
      <c r="AK250" s="77"/>
      <c r="AL250" s="77"/>
      <c r="AM250" s="77"/>
      <c r="AN250" s="77"/>
      <c r="AO250" s="77"/>
      <c r="AP250" s="77"/>
      <c r="AQ250" s="77" t="s">
        <v>14316</v>
      </c>
      <c r="AR250" s="77">
        <v>6120</v>
      </c>
      <c r="AS250" s="77"/>
      <c r="AT250" s="77"/>
      <c r="AU250" s="77"/>
      <c r="AV250" s="80" t="str">
        <f>HYPERLINK("https://pbs.twimg.com/ext_tw_video_thumb/1678124408823488514/pu/img/V3GjpISZkfVlzbRY.jpg")</f>
        <v>https://pbs.twimg.com/ext_tw_video_thumb/1678124408823488514/pu/img/V3GjpISZkfVlzbRY.jpg</v>
      </c>
      <c r="AW250" s="82" t="s">
        <v>17023</v>
      </c>
      <c r="AX250" s="82" t="s">
        <v>17023</v>
      </c>
      <c r="AY250" s="77"/>
      <c r="AZ250" s="82" t="s">
        <v>20971</v>
      </c>
      <c r="BA250" s="82" t="s">
        <v>20971</v>
      </c>
      <c r="BB250" s="82" t="s">
        <v>20971</v>
      </c>
      <c r="BC250" s="82" t="s">
        <v>17023</v>
      </c>
      <c r="BD250" s="82" t="s">
        <v>21098</v>
      </c>
      <c r="BE250" s="77"/>
      <c r="BF250" s="77"/>
      <c r="BG250" s="77"/>
      <c r="BH250" s="77"/>
      <c r="BI250" s="77"/>
    </row>
    <row r="251" spans="1:61" x14ac:dyDescent="0.25">
      <c r="A251" s="62" t="s">
        <v>345</v>
      </c>
      <c r="B251" s="62" t="s">
        <v>345</v>
      </c>
      <c r="C251" s="63"/>
      <c r="D251" s="64"/>
      <c r="E251" s="65"/>
      <c r="F251" s="66"/>
      <c r="G251" s="63"/>
      <c r="H251" s="67"/>
      <c r="I251" s="68"/>
      <c r="J251" s="68"/>
      <c r="K251" s="32"/>
      <c r="L251" s="75">
        <v>251</v>
      </c>
      <c r="M251" s="75"/>
      <c r="N251" s="70"/>
      <c r="O251" s="77" t="s">
        <v>179</v>
      </c>
      <c r="P251" s="79">
        <v>45116.792384259257</v>
      </c>
      <c r="Q251" s="77" t="s">
        <v>1535</v>
      </c>
      <c r="R251" s="77">
        <v>0</v>
      </c>
      <c r="S251" s="77">
        <v>0</v>
      </c>
      <c r="T251" s="77">
        <v>0</v>
      </c>
      <c r="U251" s="77">
        <v>0</v>
      </c>
      <c r="V251" s="77">
        <v>35</v>
      </c>
      <c r="W251" s="82" t="s">
        <v>5421</v>
      </c>
      <c r="X251" s="77"/>
      <c r="Y251" s="77"/>
      <c r="Z251" s="77"/>
      <c r="AA251" s="77" t="s">
        <v>7673</v>
      </c>
      <c r="AB251" s="77" t="s">
        <v>10129</v>
      </c>
      <c r="AC251" s="82" t="s">
        <v>10147</v>
      </c>
      <c r="AD251" s="77" t="s">
        <v>10184</v>
      </c>
      <c r="AE251" s="80" t="str">
        <f>HYPERLINK("https://twitter.com/outropatamar200/status/1678117070821621762")</f>
        <v>https://twitter.com/outropatamar200/status/1678117070821621762</v>
      </c>
      <c r="AF251" s="79">
        <v>45116.792384259257</v>
      </c>
      <c r="AG251" s="85">
        <v>45116</v>
      </c>
      <c r="AH251" s="82" t="s">
        <v>10446</v>
      </c>
      <c r="AI251" s="77" t="b">
        <v>0</v>
      </c>
      <c r="AJ251" s="77"/>
      <c r="AK251" s="77"/>
      <c r="AL251" s="77"/>
      <c r="AM251" s="77"/>
      <c r="AN251" s="77"/>
      <c r="AO251" s="77"/>
      <c r="AP251" s="77"/>
      <c r="AQ251" s="77" t="s">
        <v>14317</v>
      </c>
      <c r="AR251" s="77">
        <v>6120</v>
      </c>
      <c r="AS251" s="77"/>
      <c r="AT251" s="77"/>
      <c r="AU251" s="77"/>
      <c r="AV251" s="80" t="str">
        <f>HYPERLINK("https://pbs.twimg.com/ext_tw_video_thumb/1678117025606926337/pu/img/ZQ8WGnjIYT3mdsy3.jpg")</f>
        <v>https://pbs.twimg.com/ext_tw_video_thumb/1678117025606926337/pu/img/ZQ8WGnjIYT3mdsy3.jpg</v>
      </c>
      <c r="AW251" s="82" t="s">
        <v>17024</v>
      </c>
      <c r="AX251" s="82" t="s">
        <v>17024</v>
      </c>
      <c r="AY251" s="77"/>
      <c r="AZ251" s="82" t="s">
        <v>20971</v>
      </c>
      <c r="BA251" s="82" t="s">
        <v>20971</v>
      </c>
      <c r="BB251" s="82" t="s">
        <v>20971</v>
      </c>
      <c r="BC251" s="82" t="s">
        <v>17024</v>
      </c>
      <c r="BD251" s="82" t="s">
        <v>21098</v>
      </c>
      <c r="BE251" s="77"/>
      <c r="BF251" s="77"/>
      <c r="BG251" s="77"/>
      <c r="BH251" s="77"/>
      <c r="BI251" s="77"/>
    </row>
    <row r="252" spans="1:61" x14ac:dyDescent="0.25">
      <c r="A252" s="62" t="s">
        <v>345</v>
      </c>
      <c r="B252" s="62" t="s">
        <v>345</v>
      </c>
      <c r="C252" s="63"/>
      <c r="D252" s="64"/>
      <c r="E252" s="65"/>
      <c r="F252" s="66"/>
      <c r="G252" s="63"/>
      <c r="H252" s="67"/>
      <c r="I252" s="68"/>
      <c r="J252" s="68"/>
      <c r="K252" s="32"/>
      <c r="L252" s="75">
        <v>252</v>
      </c>
      <c r="M252" s="75"/>
      <c r="N252" s="70"/>
      <c r="O252" s="77" t="s">
        <v>179</v>
      </c>
      <c r="P252" s="79">
        <v>45116.784861111111</v>
      </c>
      <c r="Q252" s="77" t="s">
        <v>1536</v>
      </c>
      <c r="R252" s="77">
        <v>0</v>
      </c>
      <c r="S252" s="77">
        <v>0</v>
      </c>
      <c r="T252" s="77">
        <v>0</v>
      </c>
      <c r="U252" s="77">
        <v>0</v>
      </c>
      <c r="V252" s="77">
        <v>22</v>
      </c>
      <c r="W252" s="82" t="s">
        <v>5421</v>
      </c>
      <c r="X252" s="77"/>
      <c r="Y252" s="77"/>
      <c r="Z252" s="77"/>
      <c r="AA252" s="77" t="s">
        <v>7674</v>
      </c>
      <c r="AB252" s="77" t="s">
        <v>10129</v>
      </c>
      <c r="AC252" s="82" t="s">
        <v>10147</v>
      </c>
      <c r="AD252" s="77" t="s">
        <v>10184</v>
      </c>
      <c r="AE252" s="80" t="str">
        <f>HYPERLINK("https://twitter.com/outropatamar200/status/1678114343580205056")</f>
        <v>https://twitter.com/outropatamar200/status/1678114343580205056</v>
      </c>
      <c r="AF252" s="79">
        <v>45116.784861111111</v>
      </c>
      <c r="AG252" s="85">
        <v>45116</v>
      </c>
      <c r="AH252" s="82" t="s">
        <v>10447</v>
      </c>
      <c r="AI252" s="77" t="b">
        <v>0</v>
      </c>
      <c r="AJ252" s="77"/>
      <c r="AK252" s="77"/>
      <c r="AL252" s="77"/>
      <c r="AM252" s="77"/>
      <c r="AN252" s="77"/>
      <c r="AO252" s="77"/>
      <c r="AP252" s="77"/>
      <c r="AQ252" s="77" t="s">
        <v>14318</v>
      </c>
      <c r="AR252" s="77">
        <v>6120</v>
      </c>
      <c r="AS252" s="77"/>
      <c r="AT252" s="77"/>
      <c r="AU252" s="77"/>
      <c r="AV252" s="80" t="str">
        <f>HYPERLINK("https://pbs.twimg.com/ext_tw_video_thumb/1678114298646634498/pu/img/TgZejep8TpwJadEz.jpg")</f>
        <v>https://pbs.twimg.com/ext_tw_video_thumb/1678114298646634498/pu/img/TgZejep8TpwJadEz.jpg</v>
      </c>
      <c r="AW252" s="82" t="s">
        <v>17025</v>
      </c>
      <c r="AX252" s="82" t="s">
        <v>17025</v>
      </c>
      <c r="AY252" s="77"/>
      <c r="AZ252" s="82" t="s">
        <v>20971</v>
      </c>
      <c r="BA252" s="82" t="s">
        <v>20971</v>
      </c>
      <c r="BB252" s="82" t="s">
        <v>20971</v>
      </c>
      <c r="BC252" s="82" t="s">
        <v>17025</v>
      </c>
      <c r="BD252" s="82" t="s">
        <v>21098</v>
      </c>
      <c r="BE252" s="77"/>
      <c r="BF252" s="77"/>
      <c r="BG252" s="77"/>
      <c r="BH252" s="77"/>
      <c r="BI252" s="77"/>
    </row>
    <row r="253" spans="1:61" x14ac:dyDescent="0.25">
      <c r="A253" s="62" t="s">
        <v>345</v>
      </c>
      <c r="B253" s="62" t="s">
        <v>345</v>
      </c>
      <c r="C253" s="63"/>
      <c r="D253" s="64"/>
      <c r="E253" s="65"/>
      <c r="F253" s="66"/>
      <c r="G253" s="63"/>
      <c r="H253" s="67"/>
      <c r="I253" s="68"/>
      <c r="J253" s="68"/>
      <c r="K253" s="32"/>
      <c r="L253" s="75">
        <v>253</v>
      </c>
      <c r="M253" s="75"/>
      <c r="N253" s="70"/>
      <c r="O253" s="77" t="s">
        <v>179</v>
      </c>
      <c r="P253" s="79">
        <v>45117.042094907411</v>
      </c>
      <c r="Q253" s="77" t="s">
        <v>1537</v>
      </c>
      <c r="R253" s="77">
        <v>0</v>
      </c>
      <c r="S253" s="77">
        <v>0</v>
      </c>
      <c r="T253" s="77">
        <v>0</v>
      </c>
      <c r="U253" s="77">
        <v>0</v>
      </c>
      <c r="V253" s="77">
        <v>18</v>
      </c>
      <c r="W253" s="82" t="s">
        <v>5421</v>
      </c>
      <c r="X253" s="77"/>
      <c r="Y253" s="77"/>
      <c r="Z253" s="77"/>
      <c r="AA253" s="77" t="s">
        <v>7675</v>
      </c>
      <c r="AB253" s="77" t="s">
        <v>10129</v>
      </c>
      <c r="AC253" s="82" t="s">
        <v>10147</v>
      </c>
      <c r="AD253" s="77" t="s">
        <v>10184</v>
      </c>
      <c r="AE253" s="80" t="str">
        <f>HYPERLINK("https://twitter.com/outropatamar200/status/1678207564507406336")</f>
        <v>https://twitter.com/outropatamar200/status/1678207564507406336</v>
      </c>
      <c r="AF253" s="79">
        <v>45117.042094907411</v>
      </c>
      <c r="AG253" s="85">
        <v>45117</v>
      </c>
      <c r="AH253" s="82" t="s">
        <v>10448</v>
      </c>
      <c r="AI253" s="77" t="b">
        <v>0</v>
      </c>
      <c r="AJ253" s="77"/>
      <c r="AK253" s="77"/>
      <c r="AL253" s="77"/>
      <c r="AM253" s="77"/>
      <c r="AN253" s="77"/>
      <c r="AO253" s="77"/>
      <c r="AP253" s="77"/>
      <c r="AQ253" s="77" t="s">
        <v>14319</v>
      </c>
      <c r="AR253" s="77">
        <v>6120</v>
      </c>
      <c r="AS253" s="77"/>
      <c r="AT253" s="77"/>
      <c r="AU253" s="77"/>
      <c r="AV253" s="80" t="str">
        <f>HYPERLINK("https://pbs.twimg.com/ext_tw_video_thumb/1678207519787823104/pu/img/YcNe5Gwd8ksfGN-u.jpg")</f>
        <v>https://pbs.twimg.com/ext_tw_video_thumb/1678207519787823104/pu/img/YcNe5Gwd8ksfGN-u.jpg</v>
      </c>
      <c r="AW253" s="82" t="s">
        <v>17026</v>
      </c>
      <c r="AX253" s="82" t="s">
        <v>17026</v>
      </c>
      <c r="AY253" s="77"/>
      <c r="AZ253" s="82" t="s">
        <v>20971</v>
      </c>
      <c r="BA253" s="82" t="s">
        <v>20971</v>
      </c>
      <c r="BB253" s="82" t="s">
        <v>20971</v>
      </c>
      <c r="BC253" s="82" t="s">
        <v>17026</v>
      </c>
      <c r="BD253" s="82" t="s">
        <v>21098</v>
      </c>
      <c r="BE253" s="77"/>
      <c r="BF253" s="77"/>
      <c r="BG253" s="77"/>
      <c r="BH253" s="77"/>
      <c r="BI253" s="77"/>
    </row>
    <row r="254" spans="1:61" x14ac:dyDescent="0.25">
      <c r="A254" s="62" t="s">
        <v>345</v>
      </c>
      <c r="B254" s="62" t="s">
        <v>345</v>
      </c>
      <c r="C254" s="63"/>
      <c r="D254" s="64"/>
      <c r="E254" s="65"/>
      <c r="F254" s="66"/>
      <c r="G254" s="63"/>
      <c r="H254" s="67"/>
      <c r="I254" s="68"/>
      <c r="J254" s="68"/>
      <c r="K254" s="32"/>
      <c r="L254" s="75">
        <v>254</v>
      </c>
      <c r="M254" s="75"/>
      <c r="N254" s="70"/>
      <c r="O254" s="77" t="s">
        <v>179</v>
      </c>
      <c r="P254" s="79">
        <v>45117.021249999998</v>
      </c>
      <c r="Q254" s="77" t="s">
        <v>1538</v>
      </c>
      <c r="R254" s="77">
        <v>0</v>
      </c>
      <c r="S254" s="77">
        <v>0</v>
      </c>
      <c r="T254" s="77">
        <v>0</v>
      </c>
      <c r="U254" s="77">
        <v>0</v>
      </c>
      <c r="V254" s="77">
        <v>19</v>
      </c>
      <c r="W254" s="82" t="s">
        <v>5421</v>
      </c>
      <c r="X254" s="77"/>
      <c r="Y254" s="77"/>
      <c r="Z254" s="77"/>
      <c r="AA254" s="77" t="s">
        <v>7676</v>
      </c>
      <c r="AB254" s="77" t="s">
        <v>10129</v>
      </c>
      <c r="AC254" s="82" t="s">
        <v>10147</v>
      </c>
      <c r="AD254" s="77" t="s">
        <v>10184</v>
      </c>
      <c r="AE254" s="80" t="str">
        <f>HYPERLINK("https://twitter.com/outropatamar200/status/1678200009630572546")</f>
        <v>https://twitter.com/outropatamar200/status/1678200009630572546</v>
      </c>
      <c r="AF254" s="79">
        <v>45117.021249999998</v>
      </c>
      <c r="AG254" s="85">
        <v>45117</v>
      </c>
      <c r="AH254" s="82" t="s">
        <v>10449</v>
      </c>
      <c r="AI254" s="77" t="b">
        <v>0</v>
      </c>
      <c r="AJ254" s="77"/>
      <c r="AK254" s="77"/>
      <c r="AL254" s="77"/>
      <c r="AM254" s="77"/>
      <c r="AN254" s="77"/>
      <c r="AO254" s="77"/>
      <c r="AP254" s="77"/>
      <c r="AQ254" s="77" t="s">
        <v>14320</v>
      </c>
      <c r="AR254" s="77">
        <v>6120</v>
      </c>
      <c r="AS254" s="77"/>
      <c r="AT254" s="77"/>
      <c r="AU254" s="77"/>
      <c r="AV254" s="80" t="str">
        <f>HYPERLINK("https://pbs.twimg.com/ext_tw_video_thumb/1678199943129964544/pu/img/zLqbOdHvbQxFGu8g.jpg")</f>
        <v>https://pbs.twimg.com/ext_tw_video_thumb/1678199943129964544/pu/img/zLqbOdHvbQxFGu8g.jpg</v>
      </c>
      <c r="AW254" s="82" t="s">
        <v>17027</v>
      </c>
      <c r="AX254" s="82" t="s">
        <v>17027</v>
      </c>
      <c r="AY254" s="77"/>
      <c r="AZ254" s="82" t="s">
        <v>20971</v>
      </c>
      <c r="BA254" s="82" t="s">
        <v>20971</v>
      </c>
      <c r="BB254" s="82" t="s">
        <v>20971</v>
      </c>
      <c r="BC254" s="82" t="s">
        <v>17027</v>
      </c>
      <c r="BD254" s="82" t="s">
        <v>21098</v>
      </c>
      <c r="BE254" s="77"/>
      <c r="BF254" s="77"/>
      <c r="BG254" s="77"/>
      <c r="BH254" s="77"/>
      <c r="BI254" s="77"/>
    </row>
    <row r="255" spans="1:61" x14ac:dyDescent="0.25">
      <c r="A255" s="62" t="s">
        <v>346</v>
      </c>
      <c r="B255" s="62" t="s">
        <v>346</v>
      </c>
      <c r="C255" s="63"/>
      <c r="D255" s="64"/>
      <c r="E255" s="65"/>
      <c r="F255" s="66"/>
      <c r="G255" s="63"/>
      <c r="H255" s="67"/>
      <c r="I255" s="68"/>
      <c r="J255" s="68"/>
      <c r="K255" s="32"/>
      <c r="L255" s="75">
        <v>255</v>
      </c>
      <c r="M255" s="75"/>
      <c r="N255" s="70"/>
      <c r="O255" s="77" t="s">
        <v>179</v>
      </c>
      <c r="P255" s="79">
        <v>44973.65111111111</v>
      </c>
      <c r="Q255" s="77" t="s">
        <v>1539</v>
      </c>
      <c r="R255" s="77">
        <v>0</v>
      </c>
      <c r="S255" s="77">
        <v>3</v>
      </c>
      <c r="T255" s="77">
        <v>0</v>
      </c>
      <c r="U255" s="77">
        <v>0</v>
      </c>
      <c r="V255" s="77">
        <v>698</v>
      </c>
      <c r="W255" s="82" t="s">
        <v>5422</v>
      </c>
      <c r="X255" s="77"/>
      <c r="Y255" s="77"/>
      <c r="Z255" s="77"/>
      <c r="AA255" s="77" t="s">
        <v>7677</v>
      </c>
      <c r="AB255" s="77" t="s">
        <v>10129</v>
      </c>
      <c r="AC255" s="82" t="s">
        <v>10144</v>
      </c>
      <c r="AD255" s="77" t="s">
        <v>10184</v>
      </c>
      <c r="AE255" s="80" t="str">
        <f>HYPERLINK("https://twitter.com/seutempoemrenda/status/1626244410286432256")</f>
        <v>https://twitter.com/seutempoemrenda/status/1626244410286432256</v>
      </c>
      <c r="AF255" s="79">
        <v>44973.65111111111</v>
      </c>
      <c r="AG255" s="85">
        <v>44973</v>
      </c>
      <c r="AH255" s="82" t="s">
        <v>10450</v>
      </c>
      <c r="AI255" s="77" t="b">
        <v>0</v>
      </c>
      <c r="AJ255" s="77"/>
      <c r="AK255" s="77"/>
      <c r="AL255" s="77"/>
      <c r="AM255" s="77"/>
      <c r="AN255" s="77"/>
      <c r="AO255" s="77"/>
      <c r="AP255" s="77"/>
      <c r="AQ255" s="77" t="s">
        <v>14321</v>
      </c>
      <c r="AR255" s="77">
        <v>37916</v>
      </c>
      <c r="AS255" s="77"/>
      <c r="AT255" s="77"/>
      <c r="AU255" s="77"/>
      <c r="AV255" s="80" t="str">
        <f>HYPERLINK("https://pbs.twimg.com/ext_tw_video_thumb/1626244325104357376/pu/img/Q6OTemyAt3AhUQ3t.jpg")</f>
        <v>https://pbs.twimg.com/ext_tw_video_thumb/1626244325104357376/pu/img/Q6OTemyAt3AhUQ3t.jpg</v>
      </c>
      <c r="AW255" s="82" t="s">
        <v>17028</v>
      </c>
      <c r="AX255" s="82" t="s">
        <v>17028</v>
      </c>
      <c r="AY255" s="77"/>
      <c r="AZ255" s="82" t="s">
        <v>20971</v>
      </c>
      <c r="BA255" s="82" t="s">
        <v>20971</v>
      </c>
      <c r="BB255" s="82" t="s">
        <v>20971</v>
      </c>
      <c r="BC255" s="82" t="s">
        <v>17028</v>
      </c>
      <c r="BD255" s="82" t="s">
        <v>21099</v>
      </c>
      <c r="BE255" s="77"/>
      <c r="BF255" s="77"/>
      <c r="BG255" s="77"/>
      <c r="BH255" s="77"/>
      <c r="BI255" s="77"/>
    </row>
    <row r="256" spans="1:61" x14ac:dyDescent="0.25">
      <c r="A256" s="62" t="s">
        <v>346</v>
      </c>
      <c r="B256" s="62" t="s">
        <v>346</v>
      </c>
      <c r="C256" s="63"/>
      <c r="D256" s="64"/>
      <c r="E256" s="65"/>
      <c r="F256" s="66"/>
      <c r="G256" s="63"/>
      <c r="H256" s="67"/>
      <c r="I256" s="68"/>
      <c r="J256" s="68"/>
      <c r="K256" s="32"/>
      <c r="L256" s="75">
        <v>256</v>
      </c>
      <c r="M256" s="75"/>
      <c r="N256" s="70"/>
      <c r="O256" s="77" t="s">
        <v>179</v>
      </c>
      <c r="P256" s="79">
        <v>44982.658761574072</v>
      </c>
      <c r="Q256" s="77" t="s">
        <v>1540</v>
      </c>
      <c r="R256" s="77">
        <v>0</v>
      </c>
      <c r="S256" s="77">
        <v>0</v>
      </c>
      <c r="T256" s="77">
        <v>0</v>
      </c>
      <c r="U256" s="77">
        <v>0</v>
      </c>
      <c r="V256" s="77">
        <v>64</v>
      </c>
      <c r="W256" s="82" t="s">
        <v>5423</v>
      </c>
      <c r="X256" s="77"/>
      <c r="Y256" s="77"/>
      <c r="Z256" s="77"/>
      <c r="AA256" s="77" t="s">
        <v>7678</v>
      </c>
      <c r="AB256" s="77" t="s">
        <v>10129</v>
      </c>
      <c r="AC256" s="82" t="s">
        <v>10144</v>
      </c>
      <c r="AD256" s="77" t="s">
        <v>10185</v>
      </c>
      <c r="AE256" s="80" t="str">
        <f>HYPERLINK("https://twitter.com/seutempoemrenda/status/1629508674795327488")</f>
        <v>https://twitter.com/seutempoemrenda/status/1629508674795327488</v>
      </c>
      <c r="AF256" s="79">
        <v>44982.658761574072</v>
      </c>
      <c r="AG256" s="85">
        <v>44982</v>
      </c>
      <c r="AH256" s="82" t="s">
        <v>10451</v>
      </c>
      <c r="AI256" s="77" t="b">
        <v>0</v>
      </c>
      <c r="AJ256" s="77"/>
      <c r="AK256" s="77"/>
      <c r="AL256" s="77"/>
      <c r="AM256" s="77"/>
      <c r="AN256" s="77"/>
      <c r="AO256" s="77"/>
      <c r="AP256" s="77"/>
      <c r="AQ256" s="77" t="s">
        <v>14322</v>
      </c>
      <c r="AR256" s="77">
        <v>11099</v>
      </c>
      <c r="AS256" s="77"/>
      <c r="AT256" s="77"/>
      <c r="AU256" s="77"/>
      <c r="AV256" s="80" t="str">
        <f>HYPERLINK("https://pbs.twimg.com/ext_tw_video_thumb/1629508645783306243/pu/img/IFTGAHhtHxYplezn.jpg")</f>
        <v>https://pbs.twimg.com/ext_tw_video_thumb/1629508645783306243/pu/img/IFTGAHhtHxYplezn.jpg</v>
      </c>
      <c r="AW256" s="82" t="s">
        <v>17029</v>
      </c>
      <c r="AX256" s="82" t="s">
        <v>17029</v>
      </c>
      <c r="AY256" s="77"/>
      <c r="AZ256" s="82" t="s">
        <v>20971</v>
      </c>
      <c r="BA256" s="82" t="s">
        <v>20971</v>
      </c>
      <c r="BB256" s="82" t="s">
        <v>20971</v>
      </c>
      <c r="BC256" s="82" t="s">
        <v>17029</v>
      </c>
      <c r="BD256" s="82" t="s">
        <v>21099</v>
      </c>
      <c r="BE256" s="77"/>
      <c r="BF256" s="77"/>
      <c r="BG256" s="77"/>
      <c r="BH256" s="77"/>
      <c r="BI256" s="77"/>
    </row>
    <row r="257" spans="1:61" x14ac:dyDescent="0.25">
      <c r="A257" s="62" t="s">
        <v>346</v>
      </c>
      <c r="B257" s="62" t="s">
        <v>346</v>
      </c>
      <c r="C257" s="63"/>
      <c r="D257" s="64"/>
      <c r="E257" s="65"/>
      <c r="F257" s="66"/>
      <c r="G257" s="63"/>
      <c r="H257" s="67"/>
      <c r="I257" s="68"/>
      <c r="J257" s="68"/>
      <c r="K257" s="32"/>
      <c r="L257" s="75">
        <v>257</v>
      </c>
      <c r="M257" s="75"/>
      <c r="N257" s="70"/>
      <c r="O257" s="77" t="s">
        <v>179</v>
      </c>
      <c r="P257" s="79">
        <v>44980.651678240742</v>
      </c>
      <c r="Q257" s="77" t="s">
        <v>1541</v>
      </c>
      <c r="R257" s="77">
        <v>0</v>
      </c>
      <c r="S257" s="77">
        <v>0</v>
      </c>
      <c r="T257" s="77">
        <v>0</v>
      </c>
      <c r="U257" s="77">
        <v>0</v>
      </c>
      <c r="V257" s="77">
        <v>151</v>
      </c>
      <c r="W257" s="82" t="s">
        <v>5335</v>
      </c>
      <c r="X257" s="77"/>
      <c r="Y257" s="77"/>
      <c r="Z257" s="77"/>
      <c r="AA257" s="77" t="s">
        <v>7679</v>
      </c>
      <c r="AB257" s="77" t="s">
        <v>10129</v>
      </c>
      <c r="AC257" s="82" t="s">
        <v>10144</v>
      </c>
      <c r="AD257" s="77" t="s">
        <v>10184</v>
      </c>
      <c r="AE257" s="80" t="str">
        <f>HYPERLINK("https://twitter.com/seutempoemrenda/status/1628781331705434117")</f>
        <v>https://twitter.com/seutempoemrenda/status/1628781331705434117</v>
      </c>
      <c r="AF257" s="79">
        <v>44980.651678240742</v>
      </c>
      <c r="AG257" s="85">
        <v>44980</v>
      </c>
      <c r="AH257" s="82" t="s">
        <v>10452</v>
      </c>
      <c r="AI257" s="77" t="b">
        <v>0</v>
      </c>
      <c r="AJ257" s="77"/>
      <c r="AK257" s="77"/>
      <c r="AL257" s="77"/>
      <c r="AM257" s="77"/>
      <c r="AN257" s="77"/>
      <c r="AO257" s="77"/>
      <c r="AP257" s="77"/>
      <c r="AQ257" s="77" t="s">
        <v>14323</v>
      </c>
      <c r="AR257" s="77">
        <v>42421</v>
      </c>
      <c r="AS257" s="77"/>
      <c r="AT257" s="77"/>
      <c r="AU257" s="77"/>
      <c r="AV257" s="80" t="str">
        <f>HYPERLINK("https://pbs.twimg.com/ext_tw_video_thumb/1628781244082257921/pu/img/wrj-g8E0JixN7-zI.jpg")</f>
        <v>https://pbs.twimg.com/ext_tw_video_thumb/1628781244082257921/pu/img/wrj-g8E0JixN7-zI.jpg</v>
      </c>
      <c r="AW257" s="82" t="s">
        <v>17030</v>
      </c>
      <c r="AX257" s="82" t="s">
        <v>17030</v>
      </c>
      <c r="AY257" s="77"/>
      <c r="AZ257" s="82" t="s">
        <v>20971</v>
      </c>
      <c r="BA257" s="82" t="s">
        <v>20971</v>
      </c>
      <c r="BB257" s="82" t="s">
        <v>20971</v>
      </c>
      <c r="BC257" s="82" t="s">
        <v>17030</v>
      </c>
      <c r="BD257" s="82" t="s">
        <v>21099</v>
      </c>
      <c r="BE257" s="77"/>
      <c r="BF257" s="77"/>
      <c r="BG257" s="77"/>
      <c r="BH257" s="77"/>
      <c r="BI257" s="77"/>
    </row>
    <row r="258" spans="1:61" x14ac:dyDescent="0.25">
      <c r="A258" s="62" t="s">
        <v>346</v>
      </c>
      <c r="B258" s="62" t="s">
        <v>346</v>
      </c>
      <c r="C258" s="63"/>
      <c r="D258" s="64"/>
      <c r="E258" s="65"/>
      <c r="F258" s="66"/>
      <c r="G258" s="63"/>
      <c r="H258" s="67"/>
      <c r="I258" s="68"/>
      <c r="J258" s="68"/>
      <c r="K258" s="32"/>
      <c r="L258" s="75">
        <v>258</v>
      </c>
      <c r="M258" s="75"/>
      <c r="N258" s="70"/>
      <c r="O258" s="77" t="s">
        <v>179</v>
      </c>
      <c r="P258" s="79">
        <v>44978.644803240742</v>
      </c>
      <c r="Q258" s="77" t="s">
        <v>1542</v>
      </c>
      <c r="R258" s="77">
        <v>0</v>
      </c>
      <c r="S258" s="77">
        <v>1</v>
      </c>
      <c r="T258" s="77">
        <v>0</v>
      </c>
      <c r="U258" s="77">
        <v>0</v>
      </c>
      <c r="V258" s="77">
        <v>114</v>
      </c>
      <c r="W258" s="82" t="s">
        <v>5424</v>
      </c>
      <c r="X258" s="77"/>
      <c r="Y258" s="77"/>
      <c r="Z258" s="77"/>
      <c r="AA258" s="77" t="s">
        <v>7680</v>
      </c>
      <c r="AB258" s="77" t="s">
        <v>10129</v>
      </c>
      <c r="AC258" s="82" t="s">
        <v>10144</v>
      </c>
      <c r="AD258" s="77" t="s">
        <v>10185</v>
      </c>
      <c r="AE258" s="80" t="str">
        <f>HYPERLINK("https://twitter.com/seutempoemrenda/status/1628054066059149312")</f>
        <v>https://twitter.com/seutempoemrenda/status/1628054066059149312</v>
      </c>
      <c r="AF258" s="79">
        <v>44978.644803240742</v>
      </c>
      <c r="AG258" s="85">
        <v>44978</v>
      </c>
      <c r="AH258" s="82" t="s">
        <v>10453</v>
      </c>
      <c r="AI258" s="77" t="b">
        <v>0</v>
      </c>
      <c r="AJ258" s="77"/>
      <c r="AK258" s="77"/>
      <c r="AL258" s="77"/>
      <c r="AM258" s="77"/>
      <c r="AN258" s="77"/>
      <c r="AO258" s="77"/>
      <c r="AP258" s="77"/>
      <c r="AQ258" s="77" t="s">
        <v>14324</v>
      </c>
      <c r="AR258" s="77">
        <v>34201</v>
      </c>
      <c r="AS258" s="77"/>
      <c r="AT258" s="77"/>
      <c r="AU258" s="77"/>
      <c r="AV258" s="80" t="str">
        <f>HYPERLINK("https://pbs.twimg.com/ext_tw_video_thumb/1628053985188843521/pu/img/O0jq69116G7XQnmJ.jpg")</f>
        <v>https://pbs.twimg.com/ext_tw_video_thumb/1628053985188843521/pu/img/O0jq69116G7XQnmJ.jpg</v>
      </c>
      <c r="AW258" s="82" t="s">
        <v>17031</v>
      </c>
      <c r="AX258" s="82" t="s">
        <v>17031</v>
      </c>
      <c r="AY258" s="77"/>
      <c r="AZ258" s="82" t="s">
        <v>20971</v>
      </c>
      <c r="BA258" s="82" t="s">
        <v>20971</v>
      </c>
      <c r="BB258" s="82" t="s">
        <v>20971</v>
      </c>
      <c r="BC258" s="82" t="s">
        <v>17031</v>
      </c>
      <c r="BD258" s="82" t="s">
        <v>21099</v>
      </c>
      <c r="BE258" s="77"/>
      <c r="BF258" s="77"/>
      <c r="BG258" s="77"/>
      <c r="BH258" s="77"/>
      <c r="BI258" s="77"/>
    </row>
    <row r="259" spans="1:61" x14ac:dyDescent="0.25">
      <c r="A259" s="62" t="s">
        <v>346</v>
      </c>
      <c r="B259" s="62" t="s">
        <v>346</v>
      </c>
      <c r="C259" s="63"/>
      <c r="D259" s="64"/>
      <c r="E259" s="65"/>
      <c r="F259" s="66"/>
      <c r="G259" s="63"/>
      <c r="H259" s="67"/>
      <c r="I259" s="68"/>
      <c r="J259" s="68"/>
      <c r="K259" s="32"/>
      <c r="L259" s="75">
        <v>259</v>
      </c>
      <c r="M259" s="75"/>
      <c r="N259" s="70"/>
      <c r="O259" s="77" t="s">
        <v>179</v>
      </c>
      <c r="P259" s="79">
        <v>44977.646319444444</v>
      </c>
      <c r="Q259" s="77" t="s">
        <v>1543</v>
      </c>
      <c r="R259" s="77">
        <v>0</v>
      </c>
      <c r="S259" s="77">
        <v>0</v>
      </c>
      <c r="T259" s="77">
        <v>0</v>
      </c>
      <c r="U259" s="77">
        <v>0</v>
      </c>
      <c r="V259" s="77">
        <v>123</v>
      </c>
      <c r="W259" s="82" t="s">
        <v>5425</v>
      </c>
      <c r="X259" s="77"/>
      <c r="Y259" s="77"/>
      <c r="Z259" s="77"/>
      <c r="AA259" s="77" t="s">
        <v>7681</v>
      </c>
      <c r="AB259" s="77" t="s">
        <v>10129</v>
      </c>
      <c r="AC259" s="82" t="s">
        <v>10144</v>
      </c>
      <c r="AD259" s="77" t="s">
        <v>10184</v>
      </c>
      <c r="AE259" s="80" t="str">
        <f>HYPERLINK("https://twitter.com/seutempoemrenda/status/1627692225529257986")</f>
        <v>https://twitter.com/seutempoemrenda/status/1627692225529257986</v>
      </c>
      <c r="AF259" s="79">
        <v>44977.646319444444</v>
      </c>
      <c r="AG259" s="85">
        <v>44977</v>
      </c>
      <c r="AH259" s="82" t="s">
        <v>10454</v>
      </c>
      <c r="AI259" s="77" t="b">
        <v>0</v>
      </c>
      <c r="AJ259" s="77"/>
      <c r="AK259" s="77"/>
      <c r="AL259" s="77"/>
      <c r="AM259" s="77"/>
      <c r="AN259" s="77"/>
      <c r="AO259" s="77"/>
      <c r="AP259" s="77"/>
      <c r="AQ259" s="77" t="s">
        <v>14325</v>
      </c>
      <c r="AR259" s="77">
        <v>21338</v>
      </c>
      <c r="AS259" s="77"/>
      <c r="AT259" s="77"/>
      <c r="AU259" s="77"/>
      <c r="AV259" s="80" t="str">
        <f>HYPERLINK("https://pbs.twimg.com/ext_tw_video_thumb/1627692160588955648/pu/img/a2Ug0fV365lBaJaH.jpg")</f>
        <v>https://pbs.twimg.com/ext_tw_video_thumb/1627692160588955648/pu/img/a2Ug0fV365lBaJaH.jpg</v>
      </c>
      <c r="AW259" s="82" t="s">
        <v>17032</v>
      </c>
      <c r="AX259" s="82" t="s">
        <v>17032</v>
      </c>
      <c r="AY259" s="77"/>
      <c r="AZ259" s="82" t="s">
        <v>20971</v>
      </c>
      <c r="BA259" s="82" t="s">
        <v>20971</v>
      </c>
      <c r="BB259" s="82" t="s">
        <v>20971</v>
      </c>
      <c r="BC259" s="82" t="s">
        <v>17032</v>
      </c>
      <c r="BD259" s="82" t="s">
        <v>21099</v>
      </c>
      <c r="BE259" s="77"/>
      <c r="BF259" s="77"/>
      <c r="BG259" s="77"/>
      <c r="BH259" s="77"/>
      <c r="BI259" s="77"/>
    </row>
    <row r="260" spans="1:61" x14ac:dyDescent="0.25">
      <c r="A260" s="62" t="s">
        <v>346</v>
      </c>
      <c r="B260" s="62" t="s">
        <v>346</v>
      </c>
      <c r="C260" s="63"/>
      <c r="D260" s="64"/>
      <c r="E260" s="65"/>
      <c r="F260" s="66"/>
      <c r="G260" s="63"/>
      <c r="H260" s="67"/>
      <c r="I260" s="68"/>
      <c r="J260" s="68"/>
      <c r="K260" s="32"/>
      <c r="L260" s="75">
        <v>260</v>
      </c>
      <c r="M260" s="75"/>
      <c r="N260" s="70"/>
      <c r="O260" s="77" t="s">
        <v>179</v>
      </c>
      <c r="P260" s="79">
        <v>44976.662916666668</v>
      </c>
      <c r="Q260" s="77" t="s">
        <v>1544</v>
      </c>
      <c r="R260" s="77">
        <v>0</v>
      </c>
      <c r="S260" s="77">
        <v>0</v>
      </c>
      <c r="T260" s="77">
        <v>1</v>
      </c>
      <c r="U260" s="77">
        <v>0</v>
      </c>
      <c r="V260" s="77">
        <v>215</v>
      </c>
      <c r="W260" s="82" t="s">
        <v>5426</v>
      </c>
      <c r="X260" s="77"/>
      <c r="Y260" s="77"/>
      <c r="Z260" s="77"/>
      <c r="AA260" s="77" t="s">
        <v>7682</v>
      </c>
      <c r="AB260" s="77" t="s">
        <v>10129</v>
      </c>
      <c r="AC260" s="82" t="s">
        <v>10144</v>
      </c>
      <c r="AD260" s="77" t="s">
        <v>10184</v>
      </c>
      <c r="AE260" s="80" t="str">
        <f>HYPERLINK("https://twitter.com/seutempoemrenda/status/1627335855021907969")</f>
        <v>https://twitter.com/seutempoemrenda/status/1627335855021907969</v>
      </c>
      <c r="AF260" s="79">
        <v>44976.662916666668</v>
      </c>
      <c r="AG260" s="85">
        <v>44976</v>
      </c>
      <c r="AH260" s="82" t="s">
        <v>10455</v>
      </c>
      <c r="AI260" s="77" t="b">
        <v>0</v>
      </c>
      <c r="AJ260" s="77"/>
      <c r="AK260" s="77"/>
      <c r="AL260" s="77"/>
      <c r="AM260" s="77"/>
      <c r="AN260" s="77"/>
      <c r="AO260" s="77"/>
      <c r="AP260" s="77"/>
      <c r="AQ260" s="77" t="s">
        <v>14326</v>
      </c>
      <c r="AR260" s="77">
        <v>11066</v>
      </c>
      <c r="AS260" s="77"/>
      <c r="AT260" s="77"/>
      <c r="AU260" s="77"/>
      <c r="AV260" s="80" t="str">
        <f>HYPERLINK("https://pbs.twimg.com/ext_tw_video_thumb/1627335825670242304/pu/img/LpIHPLSwPW7DDYDW.jpg")</f>
        <v>https://pbs.twimg.com/ext_tw_video_thumb/1627335825670242304/pu/img/LpIHPLSwPW7DDYDW.jpg</v>
      </c>
      <c r="AW260" s="82" t="s">
        <v>17033</v>
      </c>
      <c r="AX260" s="82" t="s">
        <v>17033</v>
      </c>
      <c r="AY260" s="77"/>
      <c r="AZ260" s="82" t="s">
        <v>20971</v>
      </c>
      <c r="BA260" s="82" t="s">
        <v>20971</v>
      </c>
      <c r="BB260" s="82" t="s">
        <v>20971</v>
      </c>
      <c r="BC260" s="82" t="s">
        <v>17033</v>
      </c>
      <c r="BD260" s="82" t="s">
        <v>21099</v>
      </c>
      <c r="BE260" s="77"/>
      <c r="BF260" s="77"/>
      <c r="BG260" s="77"/>
      <c r="BH260" s="77"/>
      <c r="BI260" s="77"/>
    </row>
    <row r="261" spans="1:61" x14ac:dyDescent="0.25">
      <c r="A261" s="62" t="s">
        <v>346</v>
      </c>
      <c r="B261" s="62" t="s">
        <v>346</v>
      </c>
      <c r="C261" s="63"/>
      <c r="D261" s="64"/>
      <c r="E261" s="65"/>
      <c r="F261" s="66"/>
      <c r="G261" s="63"/>
      <c r="H261" s="67"/>
      <c r="I261" s="68"/>
      <c r="J261" s="68"/>
      <c r="K261" s="32"/>
      <c r="L261" s="75">
        <v>261</v>
      </c>
      <c r="M261" s="75"/>
      <c r="N261" s="70"/>
      <c r="O261" s="77" t="s">
        <v>179</v>
      </c>
      <c r="P261" s="79">
        <v>44975.649317129632</v>
      </c>
      <c r="Q261" s="77" t="s">
        <v>1545</v>
      </c>
      <c r="R261" s="77">
        <v>0</v>
      </c>
      <c r="S261" s="77">
        <v>0</v>
      </c>
      <c r="T261" s="77">
        <v>0</v>
      </c>
      <c r="U261" s="77">
        <v>0</v>
      </c>
      <c r="V261" s="77">
        <v>252</v>
      </c>
      <c r="W261" s="82" t="s">
        <v>5427</v>
      </c>
      <c r="X261" s="77"/>
      <c r="Y261" s="77"/>
      <c r="Z261" s="77"/>
      <c r="AA261" s="77" t="s">
        <v>7683</v>
      </c>
      <c r="AB261" s="77" t="s">
        <v>10129</v>
      </c>
      <c r="AC261" s="82" t="s">
        <v>10144</v>
      </c>
      <c r="AD261" s="77" t="s">
        <v>10184</v>
      </c>
      <c r="AE261" s="80" t="str">
        <f>HYPERLINK("https://twitter.com/seutempoemrenda/status/1626968538605838340")</f>
        <v>https://twitter.com/seutempoemrenda/status/1626968538605838340</v>
      </c>
      <c r="AF261" s="79">
        <v>44975.649317129632</v>
      </c>
      <c r="AG261" s="85">
        <v>44975</v>
      </c>
      <c r="AH261" s="82" t="s">
        <v>10456</v>
      </c>
      <c r="AI261" s="77" t="b">
        <v>0</v>
      </c>
      <c r="AJ261" s="77"/>
      <c r="AK261" s="77"/>
      <c r="AL261" s="77"/>
      <c r="AM261" s="77"/>
      <c r="AN261" s="77"/>
      <c r="AO261" s="77"/>
      <c r="AP261" s="77"/>
      <c r="AQ261" s="77" t="s">
        <v>14327</v>
      </c>
      <c r="AR261" s="77">
        <v>21013</v>
      </c>
      <c r="AS261" s="77"/>
      <c r="AT261" s="77"/>
      <c r="AU261" s="77"/>
      <c r="AV261" s="80" t="str">
        <f>HYPERLINK("https://pbs.twimg.com/ext_tw_video_thumb/1626968490585251843/pu/img/Ea9eJMlbuT1UvGKM.jpg")</f>
        <v>https://pbs.twimg.com/ext_tw_video_thumb/1626968490585251843/pu/img/Ea9eJMlbuT1UvGKM.jpg</v>
      </c>
      <c r="AW261" s="82" t="s">
        <v>17034</v>
      </c>
      <c r="AX261" s="82" t="s">
        <v>17034</v>
      </c>
      <c r="AY261" s="77"/>
      <c r="AZ261" s="82" t="s">
        <v>20971</v>
      </c>
      <c r="BA261" s="82" t="s">
        <v>20971</v>
      </c>
      <c r="BB261" s="82" t="s">
        <v>20971</v>
      </c>
      <c r="BC261" s="82" t="s">
        <v>17034</v>
      </c>
      <c r="BD261" s="82" t="s">
        <v>21099</v>
      </c>
      <c r="BE261" s="77"/>
      <c r="BF261" s="77"/>
      <c r="BG261" s="77"/>
      <c r="BH261" s="77"/>
      <c r="BI261" s="77"/>
    </row>
    <row r="262" spans="1:61" x14ac:dyDescent="0.25">
      <c r="A262" s="62" t="s">
        <v>347</v>
      </c>
      <c r="B262" s="62" t="s">
        <v>347</v>
      </c>
      <c r="C262" s="63"/>
      <c r="D262" s="64"/>
      <c r="E262" s="65"/>
      <c r="F262" s="66"/>
      <c r="G262" s="63"/>
      <c r="H262" s="67"/>
      <c r="I262" s="68"/>
      <c r="J262" s="68"/>
      <c r="K262" s="32"/>
      <c r="L262" s="75">
        <v>262</v>
      </c>
      <c r="M262" s="75"/>
      <c r="N262" s="70"/>
      <c r="O262" s="77" t="s">
        <v>179</v>
      </c>
      <c r="P262" s="79">
        <v>45079.627071759256</v>
      </c>
      <c r="Q262" s="77" t="s">
        <v>1546</v>
      </c>
      <c r="R262" s="77">
        <v>0</v>
      </c>
      <c r="S262" s="77">
        <v>0</v>
      </c>
      <c r="T262" s="77">
        <v>0</v>
      </c>
      <c r="U262" s="77">
        <v>0</v>
      </c>
      <c r="V262" s="77">
        <v>58</v>
      </c>
      <c r="W262" s="82" t="s">
        <v>5428</v>
      </c>
      <c r="X262" s="80" t="str">
        <f>HYPERLINK("https://bit.ly/bzslots")</f>
        <v>https://bit.ly/bzslots</v>
      </c>
      <c r="Y262" s="77" t="s">
        <v>7268</v>
      </c>
      <c r="Z262" s="77"/>
      <c r="AA262" s="77" t="s">
        <v>7684</v>
      </c>
      <c r="AB262" s="77" t="s">
        <v>10129</v>
      </c>
      <c r="AC262" s="82" t="s">
        <v>10145</v>
      </c>
      <c r="AD262" s="77" t="s">
        <v>10184</v>
      </c>
      <c r="AE262" s="80" t="str">
        <f>HYPERLINK("https://twitter.com/bzslots/status/1664648812701548546")</f>
        <v>https://twitter.com/bzslots/status/1664648812701548546</v>
      </c>
      <c r="AF262" s="79">
        <v>45079.627071759256</v>
      </c>
      <c r="AG262" s="85">
        <v>45079</v>
      </c>
      <c r="AH262" s="82" t="s">
        <v>10457</v>
      </c>
      <c r="AI262" s="77" t="b">
        <v>0</v>
      </c>
      <c r="AJ262" s="77"/>
      <c r="AK262" s="77"/>
      <c r="AL262" s="77"/>
      <c r="AM262" s="77"/>
      <c r="AN262" s="77"/>
      <c r="AO262" s="77"/>
      <c r="AP262" s="77"/>
      <c r="AQ262" s="77" t="s">
        <v>14328</v>
      </c>
      <c r="AR262" s="77">
        <v>24066</v>
      </c>
      <c r="AS262" s="77"/>
      <c r="AT262" s="77"/>
      <c r="AU262" s="77"/>
      <c r="AV262" s="80" t="str">
        <f>HYPERLINK("https://pbs.twimg.com/ext_tw_video_thumb/1664648764731330565/pu/img/bn0HCtNmE6MjKgOl.jpg")</f>
        <v>https://pbs.twimg.com/ext_tw_video_thumb/1664648764731330565/pu/img/bn0HCtNmE6MjKgOl.jpg</v>
      </c>
      <c r="AW262" s="82" t="s">
        <v>17035</v>
      </c>
      <c r="AX262" s="82" t="s">
        <v>17035</v>
      </c>
      <c r="AY262" s="77"/>
      <c r="AZ262" s="82" t="s">
        <v>20971</v>
      </c>
      <c r="BA262" s="82" t="s">
        <v>20971</v>
      </c>
      <c r="BB262" s="82" t="s">
        <v>20971</v>
      </c>
      <c r="BC262" s="82" t="s">
        <v>17035</v>
      </c>
      <c r="BD262" s="82" t="s">
        <v>21100</v>
      </c>
      <c r="BE262" s="77"/>
      <c r="BF262" s="77"/>
      <c r="BG262" s="77"/>
      <c r="BH262" s="77"/>
      <c r="BI262" s="77"/>
    </row>
    <row r="263" spans="1:61" x14ac:dyDescent="0.25">
      <c r="A263" s="62" t="s">
        <v>348</v>
      </c>
      <c r="B263" s="62" t="s">
        <v>348</v>
      </c>
      <c r="C263" s="63"/>
      <c r="D263" s="64"/>
      <c r="E263" s="65"/>
      <c r="F263" s="66"/>
      <c r="G263" s="63"/>
      <c r="H263" s="67"/>
      <c r="I263" s="68"/>
      <c r="J263" s="68"/>
      <c r="K263" s="32"/>
      <c r="L263" s="75">
        <v>263</v>
      </c>
      <c r="M263" s="75"/>
      <c r="N263" s="70"/>
      <c r="O263" s="77" t="s">
        <v>1284</v>
      </c>
      <c r="P263" s="79">
        <v>44995.971863425926</v>
      </c>
      <c r="Q263" s="77" t="s">
        <v>1547</v>
      </c>
      <c r="R263" s="77">
        <v>0</v>
      </c>
      <c r="S263" s="77">
        <v>0</v>
      </c>
      <c r="T263" s="77">
        <v>0</v>
      </c>
      <c r="U263" s="77">
        <v>0</v>
      </c>
      <c r="V263" s="77">
        <v>32</v>
      </c>
      <c r="W263" s="82" t="s">
        <v>5429</v>
      </c>
      <c r="X263" s="77"/>
      <c r="Y263" s="77"/>
      <c r="Z263" s="77"/>
      <c r="AA263" s="77"/>
      <c r="AB263" s="77"/>
      <c r="AC263" s="82" t="s">
        <v>10146</v>
      </c>
      <c r="AD263" s="77" t="s">
        <v>10186</v>
      </c>
      <c r="AE263" s="80" t="str">
        <f>HYPERLINK("https://twitter.com/nicolyboss/status/1634333179610800128")</f>
        <v>https://twitter.com/nicolyboss/status/1634333179610800128</v>
      </c>
      <c r="AF263" s="79">
        <v>44995.971863425926</v>
      </c>
      <c r="AG263" s="85">
        <v>44995</v>
      </c>
      <c r="AH263" s="82" t="s">
        <v>10458</v>
      </c>
      <c r="AI263" s="77"/>
      <c r="AJ263" s="77"/>
      <c r="AK263" s="77"/>
      <c r="AL263" s="77"/>
      <c r="AM263" s="77"/>
      <c r="AN263" s="77"/>
      <c r="AO263" s="77"/>
      <c r="AP263" s="77"/>
      <c r="AQ263" s="77"/>
      <c r="AR263" s="77"/>
      <c r="AS263" s="77"/>
      <c r="AT263" s="77"/>
      <c r="AU263" s="77"/>
      <c r="AV263" s="80" t="str">
        <f>HYPERLINK("https://pbs.twimg.com/profile_images/1629669325375250433/spKZKY7J_normal.jpg")</f>
        <v>https://pbs.twimg.com/profile_images/1629669325375250433/spKZKY7J_normal.jpg</v>
      </c>
      <c r="AW263" s="82" t="s">
        <v>17036</v>
      </c>
      <c r="AX263" s="82" t="s">
        <v>20798</v>
      </c>
      <c r="AY263" s="82" t="s">
        <v>20908</v>
      </c>
      <c r="AZ263" s="82" t="s">
        <v>20798</v>
      </c>
      <c r="BA263" s="82" t="s">
        <v>20971</v>
      </c>
      <c r="BB263" s="82" t="s">
        <v>20971</v>
      </c>
      <c r="BC263" s="82" t="s">
        <v>20798</v>
      </c>
      <c r="BD263" s="77">
        <v>4462516769</v>
      </c>
      <c r="BE263" s="77"/>
      <c r="BF263" s="77"/>
      <c r="BG263" s="77"/>
      <c r="BH263" s="77"/>
      <c r="BI263" s="77"/>
    </row>
    <row r="264" spans="1:61" x14ac:dyDescent="0.25">
      <c r="A264" s="62" t="s">
        <v>349</v>
      </c>
      <c r="B264" s="62" t="s">
        <v>349</v>
      </c>
      <c r="C264" s="63"/>
      <c r="D264" s="64"/>
      <c r="E264" s="65"/>
      <c r="F264" s="66"/>
      <c r="G264" s="63"/>
      <c r="H264" s="67"/>
      <c r="I264" s="68"/>
      <c r="J264" s="68"/>
      <c r="K264" s="32"/>
      <c r="L264" s="75">
        <v>264</v>
      </c>
      <c r="M264" s="75"/>
      <c r="N264" s="70"/>
      <c r="O264" s="77" t="s">
        <v>179</v>
      </c>
      <c r="P264" s="79">
        <v>45149.923472222225</v>
      </c>
      <c r="Q264" s="77" t="s">
        <v>1548</v>
      </c>
      <c r="R264" s="77">
        <v>0</v>
      </c>
      <c r="S264" s="77">
        <v>0</v>
      </c>
      <c r="T264" s="77">
        <v>0</v>
      </c>
      <c r="U264" s="77">
        <v>0</v>
      </c>
      <c r="V264" s="77">
        <v>68</v>
      </c>
      <c r="W264" s="82" t="s">
        <v>5430</v>
      </c>
      <c r="X264" s="77"/>
      <c r="Y264" s="77"/>
      <c r="Z264" s="77"/>
      <c r="AA264" s="77" t="s">
        <v>7685</v>
      </c>
      <c r="AB264" s="77" t="s">
        <v>10129</v>
      </c>
      <c r="AC264" s="82" t="s">
        <v>10144</v>
      </c>
      <c r="AD264" s="77" t="s">
        <v>10184</v>
      </c>
      <c r="AE264" s="80" t="str">
        <f>HYPERLINK("https://twitter.com/jorgestolfihbl/status/1690123378156240896")</f>
        <v>https://twitter.com/jorgestolfihbl/status/1690123378156240896</v>
      </c>
      <c r="AF264" s="79">
        <v>45149.923472222225</v>
      </c>
      <c r="AG264" s="85">
        <v>45149</v>
      </c>
      <c r="AH264" s="82" t="s">
        <v>10459</v>
      </c>
      <c r="AI264" s="77" t="b">
        <v>0</v>
      </c>
      <c r="AJ264" s="77"/>
      <c r="AK264" s="77"/>
      <c r="AL264" s="77"/>
      <c r="AM264" s="77"/>
      <c r="AN264" s="77"/>
      <c r="AO264" s="77"/>
      <c r="AP264" s="77"/>
      <c r="AQ264" s="77" t="s">
        <v>14329</v>
      </c>
      <c r="AR264" s="77">
        <v>45010</v>
      </c>
      <c r="AS264" s="77"/>
      <c r="AT264" s="77"/>
      <c r="AU264" s="77"/>
      <c r="AV264" s="80" t="str">
        <f>HYPERLINK("https://pbs.twimg.com/ext_tw_video_thumb/1690123306425278464/pu/img/DO2xT9Sr0Unr_wFE.jpg")</f>
        <v>https://pbs.twimg.com/ext_tw_video_thumb/1690123306425278464/pu/img/DO2xT9Sr0Unr_wFE.jpg</v>
      </c>
      <c r="AW264" s="82" t="s">
        <v>17037</v>
      </c>
      <c r="AX264" s="82" t="s">
        <v>17037</v>
      </c>
      <c r="AY264" s="77"/>
      <c r="AZ264" s="82" t="s">
        <v>20971</v>
      </c>
      <c r="BA264" s="82" t="s">
        <v>20971</v>
      </c>
      <c r="BB264" s="82" t="s">
        <v>20971</v>
      </c>
      <c r="BC264" s="82" t="s">
        <v>17037</v>
      </c>
      <c r="BD264" s="82" t="s">
        <v>21101</v>
      </c>
      <c r="BE264" s="77"/>
      <c r="BF264" s="77"/>
      <c r="BG264" s="77"/>
      <c r="BH264" s="77"/>
      <c r="BI264" s="77"/>
    </row>
    <row r="265" spans="1:61" x14ac:dyDescent="0.25">
      <c r="A265" s="62" t="s">
        <v>349</v>
      </c>
      <c r="B265" s="62" t="s">
        <v>349</v>
      </c>
      <c r="C265" s="63"/>
      <c r="D265" s="64"/>
      <c r="E265" s="65"/>
      <c r="F265" s="66"/>
      <c r="G265" s="63"/>
      <c r="H265" s="67"/>
      <c r="I265" s="68"/>
      <c r="J265" s="68"/>
      <c r="K265" s="32"/>
      <c r="L265" s="75">
        <v>265</v>
      </c>
      <c r="M265" s="75"/>
      <c r="N265" s="70"/>
      <c r="O265" s="77" t="s">
        <v>179</v>
      </c>
      <c r="P265" s="79">
        <v>45149.922511574077</v>
      </c>
      <c r="Q265" s="77" t="s">
        <v>1549</v>
      </c>
      <c r="R265" s="77">
        <v>0</v>
      </c>
      <c r="S265" s="77">
        <v>0</v>
      </c>
      <c r="T265" s="77">
        <v>0</v>
      </c>
      <c r="U265" s="77">
        <v>0</v>
      </c>
      <c r="V265" s="77">
        <v>12</v>
      </c>
      <c r="W265" s="82" t="s">
        <v>5430</v>
      </c>
      <c r="X265" s="77"/>
      <c r="Y265" s="77"/>
      <c r="Z265" s="77"/>
      <c r="AA265" s="77" t="s">
        <v>7686</v>
      </c>
      <c r="AB265" s="77" t="s">
        <v>10130</v>
      </c>
      <c r="AC265" s="82" t="s">
        <v>10144</v>
      </c>
      <c r="AD265" s="77" t="s">
        <v>10184</v>
      </c>
      <c r="AE265" s="80" t="str">
        <f>HYPERLINK("https://twitter.com/jorgestolfihbl/status/1690123028057747457")</f>
        <v>https://twitter.com/jorgestolfihbl/status/1690123028057747457</v>
      </c>
      <c r="AF265" s="79">
        <v>45149.922511574077</v>
      </c>
      <c r="AG265" s="85">
        <v>45149</v>
      </c>
      <c r="AH265" s="82" t="s">
        <v>10460</v>
      </c>
      <c r="AI265" s="77" t="b">
        <v>0</v>
      </c>
      <c r="AJ265" s="77" t="s">
        <v>14007</v>
      </c>
      <c r="AK265" s="77" t="s">
        <v>14033</v>
      </c>
      <c r="AL265" s="77" t="s">
        <v>14035</v>
      </c>
      <c r="AM265" s="77" t="s">
        <v>14049</v>
      </c>
      <c r="AN265" s="77" t="s">
        <v>14086</v>
      </c>
      <c r="AO265" s="77" t="s">
        <v>14124</v>
      </c>
      <c r="AP265" s="77" t="s">
        <v>14149</v>
      </c>
      <c r="AQ265" s="77" t="s">
        <v>14330</v>
      </c>
      <c r="AR265" s="77"/>
      <c r="AS265" s="77"/>
      <c r="AT265" s="77"/>
      <c r="AU265" s="77"/>
      <c r="AV265" s="80" t="str">
        <f>HYPERLINK("https://pbs.twimg.com/media/F3SF8ASW0AA5w5W.jpg")</f>
        <v>https://pbs.twimg.com/media/F3SF8ASW0AA5w5W.jpg</v>
      </c>
      <c r="AW265" s="82" t="s">
        <v>17038</v>
      </c>
      <c r="AX265" s="82" t="s">
        <v>17038</v>
      </c>
      <c r="AY265" s="77"/>
      <c r="AZ265" s="82" t="s">
        <v>20971</v>
      </c>
      <c r="BA265" s="82" t="s">
        <v>20971</v>
      </c>
      <c r="BB265" s="82" t="s">
        <v>20971</v>
      </c>
      <c r="BC265" s="82" t="s">
        <v>17038</v>
      </c>
      <c r="BD265" s="82" t="s">
        <v>21101</v>
      </c>
      <c r="BE265" s="77"/>
      <c r="BF265" s="77"/>
      <c r="BG265" s="77"/>
      <c r="BH265" s="77"/>
      <c r="BI265" s="77"/>
    </row>
    <row r="266" spans="1:61" x14ac:dyDescent="0.25">
      <c r="A266" s="62" t="s">
        <v>350</v>
      </c>
      <c r="B266" s="62" t="s">
        <v>350</v>
      </c>
      <c r="C266" s="63"/>
      <c r="D266" s="64"/>
      <c r="E266" s="65"/>
      <c r="F266" s="66"/>
      <c r="G266" s="63"/>
      <c r="H266" s="67"/>
      <c r="I266" s="68"/>
      <c r="J266" s="68"/>
      <c r="K266" s="32"/>
      <c r="L266" s="75">
        <v>266</v>
      </c>
      <c r="M266" s="75"/>
      <c r="N266" s="70"/>
      <c r="O266" s="77" t="s">
        <v>179</v>
      </c>
      <c r="P266" s="79">
        <v>45021.072569444441</v>
      </c>
      <c r="Q266" s="77" t="s">
        <v>1550</v>
      </c>
      <c r="R266" s="77">
        <v>0</v>
      </c>
      <c r="S266" s="77">
        <v>0</v>
      </c>
      <c r="T266" s="77">
        <v>0</v>
      </c>
      <c r="U266" s="77">
        <v>0</v>
      </c>
      <c r="V266" s="77">
        <v>277</v>
      </c>
      <c r="W266" s="82" t="s">
        <v>5431</v>
      </c>
      <c r="X266" s="77"/>
      <c r="Y266" s="77"/>
      <c r="Z266" s="77"/>
      <c r="AA266" s="77" t="s">
        <v>7687</v>
      </c>
      <c r="AB266" s="77" t="s">
        <v>10132</v>
      </c>
      <c r="AC266" s="82" t="s">
        <v>10144</v>
      </c>
      <c r="AD266" s="77" t="s">
        <v>10184</v>
      </c>
      <c r="AE266" s="80" t="str">
        <f>HYPERLINK("https://twitter.com/iamclaraslots/status/1643429373733683202")</f>
        <v>https://twitter.com/iamclaraslots/status/1643429373733683202</v>
      </c>
      <c r="AF266" s="79">
        <v>45021.072569444441</v>
      </c>
      <c r="AG266" s="85">
        <v>45021</v>
      </c>
      <c r="AH266" s="82" t="s">
        <v>10461</v>
      </c>
      <c r="AI266" s="77" t="b">
        <v>0</v>
      </c>
      <c r="AJ266" s="77"/>
      <c r="AK266" s="77"/>
      <c r="AL266" s="77"/>
      <c r="AM266" s="77"/>
      <c r="AN266" s="77"/>
      <c r="AO266" s="77"/>
      <c r="AP266" s="77"/>
      <c r="AQ266" s="77" t="s">
        <v>14331</v>
      </c>
      <c r="AR266" s="77"/>
      <c r="AS266" s="77"/>
      <c r="AT266" s="77"/>
      <c r="AU266" s="77"/>
      <c r="AV266" s="80" t="str">
        <f>HYPERLINK("https://pbs.twimg.com/media/Fs6iS6aWAAcCMrw.jpg")</f>
        <v>https://pbs.twimg.com/media/Fs6iS6aWAAcCMrw.jpg</v>
      </c>
      <c r="AW266" s="82" t="s">
        <v>17039</v>
      </c>
      <c r="AX266" s="82" t="s">
        <v>17039</v>
      </c>
      <c r="AY266" s="77"/>
      <c r="AZ266" s="82" t="s">
        <v>20971</v>
      </c>
      <c r="BA266" s="82" t="s">
        <v>20971</v>
      </c>
      <c r="BB266" s="82" t="s">
        <v>20971</v>
      </c>
      <c r="BC266" s="82" t="s">
        <v>17039</v>
      </c>
      <c r="BD266" s="82" t="s">
        <v>21102</v>
      </c>
      <c r="BE266" s="77"/>
      <c r="BF266" s="77"/>
      <c r="BG266" s="77"/>
      <c r="BH266" s="77"/>
      <c r="BI266" s="77"/>
    </row>
    <row r="267" spans="1:61" x14ac:dyDescent="0.25">
      <c r="A267" s="62" t="s">
        <v>351</v>
      </c>
      <c r="B267" s="62" t="s">
        <v>351</v>
      </c>
      <c r="C267" s="63"/>
      <c r="D267" s="64"/>
      <c r="E267" s="65"/>
      <c r="F267" s="66"/>
      <c r="G267" s="63"/>
      <c r="H267" s="67"/>
      <c r="I267" s="68"/>
      <c r="J267" s="68"/>
      <c r="K267" s="32"/>
      <c r="L267" s="75">
        <v>267</v>
      </c>
      <c r="M267" s="75"/>
      <c r="N267" s="70"/>
      <c r="O267" s="77" t="s">
        <v>179</v>
      </c>
      <c r="P267" s="79">
        <v>45009.030868055554</v>
      </c>
      <c r="Q267" s="77" t="s">
        <v>1551</v>
      </c>
      <c r="R267" s="77">
        <v>0</v>
      </c>
      <c r="S267" s="77">
        <v>0</v>
      </c>
      <c r="T267" s="77">
        <v>0</v>
      </c>
      <c r="U267" s="77">
        <v>0</v>
      </c>
      <c r="V267" s="77">
        <v>339</v>
      </c>
      <c r="W267" s="82" t="s">
        <v>5432</v>
      </c>
      <c r="X267" s="80" t="str">
        <f>HYPERLINK("https://p.eduzz.com/1334556?a=1171167906")</f>
        <v>https://p.eduzz.com/1334556?a=1171167906</v>
      </c>
      <c r="Y267" s="77" t="s">
        <v>7245</v>
      </c>
      <c r="Z267" s="77"/>
      <c r="AA267" s="77" t="s">
        <v>7688</v>
      </c>
      <c r="AB267" s="77" t="s">
        <v>10130</v>
      </c>
      <c r="AC267" s="82" t="s">
        <v>10144</v>
      </c>
      <c r="AD267" s="77" t="s">
        <v>10184</v>
      </c>
      <c r="AE267" s="80" t="str">
        <f>HYPERLINK("https://twitter.com/mairiju/status/1639065605234991107")</f>
        <v>https://twitter.com/mairiju/status/1639065605234991107</v>
      </c>
      <c r="AF267" s="79">
        <v>45009.030868055554</v>
      </c>
      <c r="AG267" s="85">
        <v>45009</v>
      </c>
      <c r="AH267" s="82" t="s">
        <v>10462</v>
      </c>
      <c r="AI267" s="77" t="b">
        <v>0</v>
      </c>
      <c r="AJ267" s="77"/>
      <c r="AK267" s="77"/>
      <c r="AL267" s="77"/>
      <c r="AM267" s="77"/>
      <c r="AN267" s="77"/>
      <c r="AO267" s="77"/>
      <c r="AP267" s="77"/>
      <c r="AQ267" s="77" t="s">
        <v>14332</v>
      </c>
      <c r="AR267" s="77"/>
      <c r="AS267" s="77"/>
      <c r="AT267" s="77"/>
      <c r="AU267" s="77"/>
      <c r="AV267" s="80" t="str">
        <f>HYPERLINK("https://pbs.twimg.com/media/Fr8he3eWwAEgzht.jpg")</f>
        <v>https://pbs.twimg.com/media/Fr8he3eWwAEgzht.jpg</v>
      </c>
      <c r="AW267" s="82" t="s">
        <v>17040</v>
      </c>
      <c r="AX267" s="82" t="s">
        <v>17040</v>
      </c>
      <c r="AY267" s="77"/>
      <c r="AZ267" s="82" t="s">
        <v>20971</v>
      </c>
      <c r="BA267" s="82" t="s">
        <v>20971</v>
      </c>
      <c r="BB267" s="82" t="s">
        <v>20971</v>
      </c>
      <c r="BC267" s="82" t="s">
        <v>17040</v>
      </c>
      <c r="BD267" s="82" t="s">
        <v>21103</v>
      </c>
      <c r="BE267" s="77"/>
      <c r="BF267" s="77"/>
      <c r="BG267" s="77"/>
      <c r="BH267" s="77"/>
      <c r="BI267" s="77"/>
    </row>
    <row r="268" spans="1:61" x14ac:dyDescent="0.25">
      <c r="A268" s="62" t="s">
        <v>351</v>
      </c>
      <c r="B268" s="62" t="s">
        <v>351</v>
      </c>
      <c r="C268" s="63"/>
      <c r="D268" s="64"/>
      <c r="E268" s="65"/>
      <c r="F268" s="66"/>
      <c r="G268" s="63"/>
      <c r="H268" s="67"/>
      <c r="I268" s="68"/>
      <c r="J268" s="68"/>
      <c r="K268" s="32"/>
      <c r="L268" s="75">
        <v>268</v>
      </c>
      <c r="M268" s="75"/>
      <c r="N268" s="70"/>
      <c r="O268" s="77" t="s">
        <v>179</v>
      </c>
      <c r="P268" s="79">
        <v>45009.030509259261</v>
      </c>
      <c r="Q268" s="77" t="s">
        <v>1552</v>
      </c>
      <c r="R268" s="77">
        <v>0</v>
      </c>
      <c r="S268" s="77">
        <v>0</v>
      </c>
      <c r="T268" s="77">
        <v>0</v>
      </c>
      <c r="U268" s="77">
        <v>0</v>
      </c>
      <c r="V268" s="77">
        <v>226</v>
      </c>
      <c r="W268" s="82" t="s">
        <v>5432</v>
      </c>
      <c r="X268" s="80" t="str">
        <f>HYPERLINK("https://p.eduzz.com/1334556?a=1171167906")</f>
        <v>https://p.eduzz.com/1334556?a=1171167906</v>
      </c>
      <c r="Y268" s="77" t="s">
        <v>7245</v>
      </c>
      <c r="Z268" s="77"/>
      <c r="AA268" s="77"/>
      <c r="AB268" s="77"/>
      <c r="AC268" s="82" t="s">
        <v>10144</v>
      </c>
      <c r="AD268" s="77" t="s">
        <v>10184</v>
      </c>
      <c r="AE268" s="80" t="str">
        <f>HYPERLINK("https://twitter.com/mairiju/status/1639065474339340288")</f>
        <v>https://twitter.com/mairiju/status/1639065474339340288</v>
      </c>
      <c r="AF268" s="79">
        <v>45009.030509259261</v>
      </c>
      <c r="AG268" s="85">
        <v>45009</v>
      </c>
      <c r="AH268" s="82" t="s">
        <v>10463</v>
      </c>
      <c r="AI268" s="77" t="b">
        <v>0</v>
      </c>
      <c r="AJ268" s="77"/>
      <c r="AK268" s="77"/>
      <c r="AL268" s="77"/>
      <c r="AM268" s="77"/>
      <c r="AN268" s="77"/>
      <c r="AO268" s="77"/>
      <c r="AP268" s="77"/>
      <c r="AQ268" s="77"/>
      <c r="AR268" s="77"/>
      <c r="AS268" s="77"/>
      <c r="AT268" s="77"/>
      <c r="AU268" s="77"/>
      <c r="AV268" s="80" t="str">
        <f>HYPERLINK("https://pbs.twimg.com/profile_images/1494499399006834689/XZ2tgSkn_normal.jpg")</f>
        <v>https://pbs.twimg.com/profile_images/1494499399006834689/XZ2tgSkn_normal.jpg</v>
      </c>
      <c r="AW268" s="82" t="s">
        <v>17041</v>
      </c>
      <c r="AX268" s="82" t="s">
        <v>17041</v>
      </c>
      <c r="AY268" s="77"/>
      <c r="AZ268" s="82" t="s">
        <v>20971</v>
      </c>
      <c r="BA268" s="82" t="s">
        <v>20971</v>
      </c>
      <c r="BB268" s="82" t="s">
        <v>20971</v>
      </c>
      <c r="BC268" s="82" t="s">
        <v>17041</v>
      </c>
      <c r="BD268" s="82" t="s">
        <v>21103</v>
      </c>
      <c r="BE268" s="77"/>
      <c r="BF268" s="77"/>
      <c r="BG268" s="77"/>
      <c r="BH268" s="77"/>
      <c r="BI268" s="77"/>
    </row>
    <row r="269" spans="1:61" x14ac:dyDescent="0.25">
      <c r="A269" s="62" t="s">
        <v>352</v>
      </c>
      <c r="B269" s="62" t="s">
        <v>352</v>
      </c>
      <c r="C269" s="63"/>
      <c r="D269" s="64"/>
      <c r="E269" s="65"/>
      <c r="F269" s="66"/>
      <c r="G269" s="63"/>
      <c r="H269" s="67"/>
      <c r="I269" s="68"/>
      <c r="J269" s="68"/>
      <c r="K269" s="32"/>
      <c r="L269" s="75">
        <v>269</v>
      </c>
      <c r="M269" s="75"/>
      <c r="N269" s="70"/>
      <c r="O269" s="77" t="s">
        <v>179</v>
      </c>
      <c r="P269" s="79">
        <v>45090.136111111111</v>
      </c>
      <c r="Q269" s="77" t="s">
        <v>1553</v>
      </c>
      <c r="R269" s="77">
        <v>0</v>
      </c>
      <c r="S269" s="77">
        <v>0</v>
      </c>
      <c r="T269" s="77">
        <v>0</v>
      </c>
      <c r="U269" s="77">
        <v>0</v>
      </c>
      <c r="V269" s="77">
        <v>12</v>
      </c>
      <c r="W269" s="82" t="s">
        <v>5433</v>
      </c>
      <c r="X269" s="80" t="str">
        <f>HYPERLINK("https://www.ysense.com/?rb=99242478")</f>
        <v>https://www.ysense.com/?rb=99242478</v>
      </c>
      <c r="Y269" s="77" t="s">
        <v>7290</v>
      </c>
      <c r="Z269" s="77"/>
      <c r="AA269" s="77"/>
      <c r="AB269" s="77"/>
      <c r="AC269" s="82" t="s">
        <v>10146</v>
      </c>
      <c r="AD269" s="77" t="s">
        <v>10184</v>
      </c>
      <c r="AE269" s="80" t="str">
        <f>HYPERLINK("https://twitter.com/joh_smoke_weed/status/1668457161138098178")</f>
        <v>https://twitter.com/joh_smoke_weed/status/1668457161138098178</v>
      </c>
      <c r="AF269" s="79">
        <v>45090.136111111111</v>
      </c>
      <c r="AG269" s="85">
        <v>45090</v>
      </c>
      <c r="AH269" s="82" t="s">
        <v>10464</v>
      </c>
      <c r="AI269" s="77" t="b">
        <v>0</v>
      </c>
      <c r="AJ269" s="77"/>
      <c r="AK269" s="77"/>
      <c r="AL269" s="77"/>
      <c r="AM269" s="77"/>
      <c r="AN269" s="77"/>
      <c r="AO269" s="77"/>
      <c r="AP269" s="77"/>
      <c r="AQ269" s="77"/>
      <c r="AR269" s="77"/>
      <c r="AS269" s="77"/>
      <c r="AT269" s="77"/>
      <c r="AU269" s="77"/>
      <c r="AV269" s="80" t="str">
        <f>HYPERLINK("https://pbs.twimg.com/profile_images/1623493467795075072/qk6OKysT_normal.jpg")</f>
        <v>https://pbs.twimg.com/profile_images/1623493467795075072/qk6OKysT_normal.jpg</v>
      </c>
      <c r="AW269" s="82" t="s">
        <v>17042</v>
      </c>
      <c r="AX269" s="82" t="s">
        <v>17042</v>
      </c>
      <c r="AY269" s="77"/>
      <c r="AZ269" s="82" t="s">
        <v>20971</v>
      </c>
      <c r="BA269" s="82" t="s">
        <v>20971</v>
      </c>
      <c r="BB269" s="82" t="s">
        <v>20971</v>
      </c>
      <c r="BC269" s="82" t="s">
        <v>17042</v>
      </c>
      <c r="BD269" s="77">
        <v>2857158742</v>
      </c>
      <c r="BE269" s="77"/>
      <c r="BF269" s="77"/>
      <c r="BG269" s="77"/>
      <c r="BH269" s="77"/>
      <c r="BI269" s="77"/>
    </row>
    <row r="270" spans="1:61" x14ac:dyDescent="0.25">
      <c r="A270" s="62" t="s">
        <v>353</v>
      </c>
      <c r="B270" s="62" t="s">
        <v>353</v>
      </c>
      <c r="C270" s="63"/>
      <c r="D270" s="64"/>
      <c r="E270" s="65"/>
      <c r="F270" s="66"/>
      <c r="G270" s="63"/>
      <c r="H270" s="67"/>
      <c r="I270" s="68"/>
      <c r="J270" s="68"/>
      <c r="K270" s="32"/>
      <c r="L270" s="75">
        <v>270</v>
      </c>
      <c r="M270" s="75"/>
      <c r="N270" s="70"/>
      <c r="O270" s="77" t="s">
        <v>179</v>
      </c>
      <c r="P270" s="79">
        <v>44992.539513888885</v>
      </c>
      <c r="Q270" s="77" t="s">
        <v>1554</v>
      </c>
      <c r="R270" s="77">
        <v>0</v>
      </c>
      <c r="S270" s="77">
        <v>0</v>
      </c>
      <c r="T270" s="77">
        <v>0</v>
      </c>
      <c r="U270" s="77">
        <v>1</v>
      </c>
      <c r="V270" s="77">
        <v>13</v>
      </c>
      <c r="W270" s="82" t="s">
        <v>5434</v>
      </c>
      <c r="X270" s="77"/>
      <c r="Y270" s="77"/>
      <c r="Z270" s="77"/>
      <c r="AA270" s="77" t="s">
        <v>7689</v>
      </c>
      <c r="AB270" s="77" t="s">
        <v>10130</v>
      </c>
      <c r="AC270" s="82" t="s">
        <v>10145</v>
      </c>
      <c r="AD270" s="77" t="s">
        <v>10184</v>
      </c>
      <c r="AE270" s="80" t="str">
        <f>HYPERLINK("https://twitter.com/mdgtips/status/1633089337741983748")</f>
        <v>https://twitter.com/mdgtips/status/1633089337741983748</v>
      </c>
      <c r="AF270" s="79">
        <v>44992.539513888885</v>
      </c>
      <c r="AG270" s="85">
        <v>44992</v>
      </c>
      <c r="AH270" s="82" t="s">
        <v>10465</v>
      </c>
      <c r="AI270" s="77" t="b">
        <v>0</v>
      </c>
      <c r="AJ270" s="77"/>
      <c r="AK270" s="77"/>
      <c r="AL270" s="77"/>
      <c r="AM270" s="77"/>
      <c r="AN270" s="77"/>
      <c r="AO270" s="77"/>
      <c r="AP270" s="77"/>
      <c r="AQ270" s="77" t="s">
        <v>14333</v>
      </c>
      <c r="AR270" s="77"/>
      <c r="AS270" s="77"/>
      <c r="AT270" s="77"/>
      <c r="AU270" s="77"/>
      <c r="AV270" s="80" t="str">
        <f>HYPERLINK("https://pbs.twimg.com/media/FqnmFRXXgAE1cs0.jpg")</f>
        <v>https://pbs.twimg.com/media/FqnmFRXXgAE1cs0.jpg</v>
      </c>
      <c r="AW270" s="82" t="s">
        <v>17043</v>
      </c>
      <c r="AX270" s="82" t="s">
        <v>17043</v>
      </c>
      <c r="AY270" s="77"/>
      <c r="AZ270" s="82" t="s">
        <v>20971</v>
      </c>
      <c r="BA270" s="82" t="s">
        <v>20971</v>
      </c>
      <c r="BB270" s="82" t="s">
        <v>20971</v>
      </c>
      <c r="BC270" s="82" t="s">
        <v>17043</v>
      </c>
      <c r="BD270" s="82" t="s">
        <v>21104</v>
      </c>
      <c r="BE270" s="77"/>
      <c r="BF270" s="77"/>
      <c r="BG270" s="77"/>
      <c r="BH270" s="77"/>
      <c r="BI270" s="77"/>
    </row>
    <row r="271" spans="1:61" x14ac:dyDescent="0.25">
      <c r="A271" s="62" t="s">
        <v>354</v>
      </c>
      <c r="B271" s="62" t="s">
        <v>354</v>
      </c>
      <c r="C271" s="63"/>
      <c r="D271" s="64"/>
      <c r="E271" s="65"/>
      <c r="F271" s="66"/>
      <c r="G271" s="63"/>
      <c r="H271" s="67"/>
      <c r="I271" s="68"/>
      <c r="J271" s="68"/>
      <c r="K271" s="32"/>
      <c r="L271" s="75">
        <v>271</v>
      </c>
      <c r="M271" s="75"/>
      <c r="N271" s="70"/>
      <c r="O271" s="77" t="s">
        <v>179</v>
      </c>
      <c r="P271" s="79">
        <v>45078.487141203703</v>
      </c>
      <c r="Q271" s="77" t="s">
        <v>1555</v>
      </c>
      <c r="R271" s="77">
        <v>0</v>
      </c>
      <c r="S271" s="77">
        <v>0</v>
      </c>
      <c r="T271" s="77">
        <v>0</v>
      </c>
      <c r="U271" s="77">
        <v>0</v>
      </c>
      <c r="V271" s="77">
        <v>9</v>
      </c>
      <c r="W271" s="82" t="s">
        <v>5435</v>
      </c>
      <c r="X271" s="80" t="str">
        <f>HYPERLINK("https://www.instagram.com/reel/Cs8iNMrAbKF/?igshid=MTVlNTYxMjY2ZQ==")</f>
        <v>https://www.instagram.com/reel/Cs8iNMrAbKF/?igshid=MTVlNTYxMjY2ZQ==</v>
      </c>
      <c r="Y271" s="77" t="s">
        <v>7250</v>
      </c>
      <c r="Z271" s="77"/>
      <c r="AA271" s="77"/>
      <c r="AB271" s="77"/>
      <c r="AC271" s="82" t="s">
        <v>10144</v>
      </c>
      <c r="AD271" s="77" t="s">
        <v>10184</v>
      </c>
      <c r="AE271" s="80" t="str">
        <f>HYPERLINK("https://twitter.com/khalebbueno/status/1664235718284115968")</f>
        <v>https://twitter.com/khalebbueno/status/1664235718284115968</v>
      </c>
      <c r="AF271" s="79">
        <v>45078.487141203703</v>
      </c>
      <c r="AG271" s="85">
        <v>45078</v>
      </c>
      <c r="AH271" s="82" t="s">
        <v>10466</v>
      </c>
      <c r="AI271" s="77" t="b">
        <v>0</v>
      </c>
      <c r="AJ271" s="77"/>
      <c r="AK271" s="77"/>
      <c r="AL271" s="77"/>
      <c r="AM271" s="77"/>
      <c r="AN271" s="77"/>
      <c r="AO271" s="77"/>
      <c r="AP271" s="77"/>
      <c r="AQ271" s="77"/>
      <c r="AR271" s="77"/>
      <c r="AS271" s="77"/>
      <c r="AT271" s="77"/>
      <c r="AU271" s="77"/>
      <c r="AV271" s="80" t="str">
        <f>HYPERLINK("https://pbs.twimg.com/profile_images/970483405937930240/T7s1_v-C_normal.jpg")</f>
        <v>https://pbs.twimg.com/profile_images/970483405937930240/T7s1_v-C_normal.jpg</v>
      </c>
      <c r="AW271" s="82" t="s">
        <v>17044</v>
      </c>
      <c r="AX271" s="82" t="s">
        <v>17044</v>
      </c>
      <c r="AY271" s="77"/>
      <c r="AZ271" s="82" t="s">
        <v>20971</v>
      </c>
      <c r="BA271" s="82" t="s">
        <v>20971</v>
      </c>
      <c r="BB271" s="82" t="s">
        <v>20971</v>
      </c>
      <c r="BC271" s="82" t="s">
        <v>17044</v>
      </c>
      <c r="BD271" s="77">
        <v>50893753</v>
      </c>
      <c r="BE271" s="77"/>
      <c r="BF271" s="77"/>
      <c r="BG271" s="77"/>
      <c r="BH271" s="77"/>
      <c r="BI271" s="77"/>
    </row>
    <row r="272" spans="1:61" x14ac:dyDescent="0.25">
      <c r="A272" s="62" t="s">
        <v>355</v>
      </c>
      <c r="B272" s="62" t="s">
        <v>355</v>
      </c>
      <c r="C272" s="63"/>
      <c r="D272" s="64"/>
      <c r="E272" s="65"/>
      <c r="F272" s="66"/>
      <c r="G272" s="63"/>
      <c r="H272" s="67"/>
      <c r="I272" s="68"/>
      <c r="J272" s="68"/>
      <c r="K272" s="32"/>
      <c r="L272" s="75">
        <v>272</v>
      </c>
      <c r="M272" s="75"/>
      <c r="N272" s="70"/>
      <c r="O272" s="77" t="s">
        <v>179</v>
      </c>
      <c r="P272" s="79">
        <v>44998.875949074078</v>
      </c>
      <c r="Q272" s="77" t="s">
        <v>1556</v>
      </c>
      <c r="R272" s="77">
        <v>0</v>
      </c>
      <c r="S272" s="77">
        <v>0</v>
      </c>
      <c r="T272" s="77">
        <v>0</v>
      </c>
      <c r="U272" s="77">
        <v>0</v>
      </c>
      <c r="V272" s="77">
        <v>36</v>
      </c>
      <c r="W272" s="82" t="s">
        <v>5436</v>
      </c>
      <c r="X272" s="77"/>
      <c r="Y272" s="77"/>
      <c r="Z272" s="77"/>
      <c r="AA272" s="77" t="s">
        <v>7690</v>
      </c>
      <c r="AB272" s="77" t="s">
        <v>10131</v>
      </c>
      <c r="AC272" s="82" t="s">
        <v>10144</v>
      </c>
      <c r="AD272" s="77" t="s">
        <v>10184</v>
      </c>
      <c r="AE272" s="80" t="str">
        <f>HYPERLINK("https://twitter.com/atimopayoficial/status/1635385585597808640")</f>
        <v>https://twitter.com/atimopayoficial/status/1635385585597808640</v>
      </c>
      <c r="AF272" s="79">
        <v>44998.875949074078</v>
      </c>
      <c r="AG272" s="85">
        <v>44998</v>
      </c>
      <c r="AH272" s="82" t="s">
        <v>10467</v>
      </c>
      <c r="AI272" s="77" t="b">
        <v>0</v>
      </c>
      <c r="AJ272" s="77"/>
      <c r="AK272" s="77"/>
      <c r="AL272" s="77"/>
      <c r="AM272" s="77"/>
      <c r="AN272" s="77"/>
      <c r="AO272" s="77"/>
      <c r="AP272" s="77"/>
      <c r="AQ272" s="77" t="s">
        <v>14334</v>
      </c>
      <c r="AR272" s="77"/>
      <c r="AS272" s="77"/>
      <c r="AT272" s="77"/>
      <c r="AU272" s="77"/>
      <c r="AV272" s="80" t="str">
        <f>HYPERLINK("https://pbs.twimg.com/media/FrIOgoxXwAEIpRd.jpg")</f>
        <v>https://pbs.twimg.com/media/FrIOgoxXwAEIpRd.jpg</v>
      </c>
      <c r="AW272" s="82" t="s">
        <v>17045</v>
      </c>
      <c r="AX272" s="82" t="s">
        <v>17045</v>
      </c>
      <c r="AY272" s="77"/>
      <c r="AZ272" s="82" t="s">
        <v>20971</v>
      </c>
      <c r="BA272" s="82" t="s">
        <v>20971</v>
      </c>
      <c r="BB272" s="82" t="s">
        <v>20971</v>
      </c>
      <c r="BC272" s="82" t="s">
        <v>17045</v>
      </c>
      <c r="BD272" s="82" t="s">
        <v>21105</v>
      </c>
      <c r="BE272" s="77"/>
      <c r="BF272" s="77"/>
      <c r="BG272" s="77"/>
      <c r="BH272" s="77"/>
      <c r="BI272" s="77"/>
    </row>
    <row r="273" spans="1:61" x14ac:dyDescent="0.25">
      <c r="A273" s="62" t="s">
        <v>356</v>
      </c>
      <c r="B273" s="62" t="s">
        <v>356</v>
      </c>
      <c r="C273" s="63"/>
      <c r="D273" s="64"/>
      <c r="E273" s="65"/>
      <c r="F273" s="66"/>
      <c r="G273" s="63"/>
      <c r="H273" s="67"/>
      <c r="I273" s="68"/>
      <c r="J273" s="68"/>
      <c r="K273" s="32"/>
      <c r="L273" s="75">
        <v>273</v>
      </c>
      <c r="M273" s="75"/>
      <c r="N273" s="70"/>
      <c r="O273" s="77" t="s">
        <v>179</v>
      </c>
      <c r="P273" s="79">
        <v>44971.680543981478</v>
      </c>
      <c r="Q273" s="77" t="s">
        <v>1557</v>
      </c>
      <c r="R273" s="77">
        <v>0</v>
      </c>
      <c r="S273" s="77">
        <v>0</v>
      </c>
      <c r="T273" s="77">
        <v>0</v>
      </c>
      <c r="U273" s="77">
        <v>0</v>
      </c>
      <c r="V273" s="77">
        <v>6</v>
      </c>
      <c r="W273" s="82" t="s">
        <v>5437</v>
      </c>
      <c r="X273" s="80" t="str">
        <f>HYPERLINK("https://canalizandoomelhor.wordpress.com/2023/02/06/gerando-grana-com-seu-pc/")</f>
        <v>https://canalizandoomelhor.wordpress.com/2023/02/06/gerando-grana-com-seu-pc/</v>
      </c>
      <c r="Y273" s="77" t="s">
        <v>7291</v>
      </c>
      <c r="Z273" s="77"/>
      <c r="AA273" s="77"/>
      <c r="AB273" s="77"/>
      <c r="AC273" s="82" t="s">
        <v>10146</v>
      </c>
      <c r="AD273" s="77" t="s">
        <v>10184</v>
      </c>
      <c r="AE273" s="80" t="str">
        <f>HYPERLINK("https://twitter.com/vibescia/status/1625530302402625537")</f>
        <v>https://twitter.com/vibescia/status/1625530302402625537</v>
      </c>
      <c r="AF273" s="79">
        <v>44971.680543981478</v>
      </c>
      <c r="AG273" s="85">
        <v>44971</v>
      </c>
      <c r="AH273" s="82" t="s">
        <v>10468</v>
      </c>
      <c r="AI273" s="77" t="b">
        <v>0</v>
      </c>
      <c r="AJ273" s="77"/>
      <c r="AK273" s="77"/>
      <c r="AL273" s="77"/>
      <c r="AM273" s="77"/>
      <c r="AN273" s="77"/>
      <c r="AO273" s="77"/>
      <c r="AP273" s="77"/>
      <c r="AQ273" s="77"/>
      <c r="AR273" s="77"/>
      <c r="AS273" s="77"/>
      <c r="AT273" s="77"/>
      <c r="AU273" s="77"/>
      <c r="AV273" s="80" t="str">
        <f>HYPERLINK("https://pbs.twimg.com/profile_images/1692003309001830400/PRIe8uqd_normal.jpg")</f>
        <v>https://pbs.twimg.com/profile_images/1692003309001830400/PRIe8uqd_normal.jpg</v>
      </c>
      <c r="AW273" s="82" t="s">
        <v>17046</v>
      </c>
      <c r="AX273" s="82" t="s">
        <v>17046</v>
      </c>
      <c r="AY273" s="77"/>
      <c r="AZ273" s="82" t="s">
        <v>20971</v>
      </c>
      <c r="BA273" s="82" t="s">
        <v>20971</v>
      </c>
      <c r="BB273" s="82" t="s">
        <v>20971</v>
      </c>
      <c r="BC273" s="82" t="s">
        <v>17046</v>
      </c>
      <c r="BD273" s="82" t="s">
        <v>21106</v>
      </c>
      <c r="BE273" s="77"/>
      <c r="BF273" s="77"/>
      <c r="BG273" s="77"/>
      <c r="BH273" s="77"/>
      <c r="BI273" s="77"/>
    </row>
    <row r="274" spans="1:61" x14ac:dyDescent="0.25">
      <c r="A274" s="62" t="s">
        <v>356</v>
      </c>
      <c r="B274" s="62" t="s">
        <v>356</v>
      </c>
      <c r="C274" s="63"/>
      <c r="D274" s="64"/>
      <c r="E274" s="65"/>
      <c r="F274" s="66"/>
      <c r="G274" s="63"/>
      <c r="H274" s="67"/>
      <c r="I274" s="68"/>
      <c r="J274" s="68"/>
      <c r="K274" s="32"/>
      <c r="L274" s="75">
        <v>274</v>
      </c>
      <c r="M274" s="75"/>
      <c r="N274" s="70"/>
      <c r="O274" s="77" t="s">
        <v>179</v>
      </c>
      <c r="P274" s="79">
        <v>45047.714456018519</v>
      </c>
      <c r="Q274" s="77" t="s">
        <v>1558</v>
      </c>
      <c r="R274" s="77">
        <v>0</v>
      </c>
      <c r="S274" s="77">
        <v>1</v>
      </c>
      <c r="T274" s="77">
        <v>0</v>
      </c>
      <c r="U274" s="77">
        <v>1</v>
      </c>
      <c r="V274" s="77">
        <v>32</v>
      </c>
      <c r="W274" s="82" t="s">
        <v>5438</v>
      </c>
      <c r="X274" s="80" t="str">
        <f>HYPERLINK("https://s.kwai.app/w/jf4OpIzT")</f>
        <v>https://s.kwai.app/w/jf4OpIzT</v>
      </c>
      <c r="Y274" s="77" t="s">
        <v>7292</v>
      </c>
      <c r="Z274" s="77"/>
      <c r="AA274" s="77" t="s">
        <v>7691</v>
      </c>
      <c r="AB274" s="77" t="s">
        <v>10133</v>
      </c>
      <c r="AC274" s="82" t="s">
        <v>10146</v>
      </c>
      <c r="AD274" s="77" t="s">
        <v>10184</v>
      </c>
      <c r="AE274" s="80" t="str">
        <f>HYPERLINK("https://twitter.com/vibescia/status/1653084068051927050")</f>
        <v>https://twitter.com/vibescia/status/1653084068051927050</v>
      </c>
      <c r="AF274" s="79">
        <v>45047.714456018519</v>
      </c>
      <c r="AG274" s="85">
        <v>45047</v>
      </c>
      <c r="AH274" s="82" t="s">
        <v>10469</v>
      </c>
      <c r="AI274" s="77" t="b">
        <v>0</v>
      </c>
      <c r="AJ274" s="77"/>
      <c r="AK274" s="77"/>
      <c r="AL274" s="77"/>
      <c r="AM274" s="77"/>
      <c r="AN274" s="77"/>
      <c r="AO274" s="77"/>
      <c r="AP274" s="77"/>
      <c r="AQ274" s="77" t="s">
        <v>14335</v>
      </c>
      <c r="AR274" s="77"/>
      <c r="AS274" s="77"/>
      <c r="AT274" s="77"/>
      <c r="AU274" s="77"/>
      <c r="AV274" s="80" t="str">
        <f>HYPERLINK("https://pbs.twimg.com/tweet_video_thumb/FvDvMkyXwBIyvat.jpg")</f>
        <v>https://pbs.twimg.com/tweet_video_thumb/FvDvMkyXwBIyvat.jpg</v>
      </c>
      <c r="AW274" s="82" t="s">
        <v>17047</v>
      </c>
      <c r="AX274" s="82" t="s">
        <v>17047</v>
      </c>
      <c r="AY274" s="77"/>
      <c r="AZ274" s="82" t="s">
        <v>20971</v>
      </c>
      <c r="BA274" s="82" t="s">
        <v>20971</v>
      </c>
      <c r="BB274" s="82" t="s">
        <v>20971</v>
      </c>
      <c r="BC274" s="82" t="s">
        <v>17047</v>
      </c>
      <c r="BD274" s="82" t="s">
        <v>21106</v>
      </c>
      <c r="BE274" s="77"/>
      <c r="BF274" s="77"/>
      <c r="BG274" s="77"/>
      <c r="BH274" s="77"/>
      <c r="BI274" s="77"/>
    </row>
    <row r="275" spans="1:61" x14ac:dyDescent="0.25">
      <c r="A275" s="62" t="s">
        <v>356</v>
      </c>
      <c r="B275" s="62" t="s">
        <v>356</v>
      </c>
      <c r="C275" s="63"/>
      <c r="D275" s="64"/>
      <c r="E275" s="65"/>
      <c r="F275" s="66"/>
      <c r="G275" s="63"/>
      <c r="H275" s="67"/>
      <c r="I275" s="68"/>
      <c r="J275" s="68"/>
      <c r="K275" s="32"/>
      <c r="L275" s="75">
        <v>275</v>
      </c>
      <c r="M275" s="75"/>
      <c r="N275" s="70"/>
      <c r="O275" s="77" t="s">
        <v>1286</v>
      </c>
      <c r="P275" s="79">
        <v>45049.717662037037</v>
      </c>
      <c r="Q275" s="77" t="s">
        <v>1559</v>
      </c>
      <c r="R275" s="77">
        <v>0</v>
      </c>
      <c r="S275" s="77">
        <v>0</v>
      </c>
      <c r="T275" s="77">
        <v>0</v>
      </c>
      <c r="U275" s="77">
        <v>0</v>
      </c>
      <c r="V275" s="77">
        <v>14</v>
      </c>
      <c r="W275" s="82" t="s">
        <v>5439</v>
      </c>
      <c r="X275" s="77"/>
      <c r="Y275" s="77"/>
      <c r="Z275" s="77"/>
      <c r="AA275" s="77"/>
      <c r="AB275" s="77"/>
      <c r="AC275" s="82" t="s">
        <v>10146</v>
      </c>
      <c r="AD275" s="77" t="s">
        <v>10186</v>
      </c>
      <c r="AE275" s="80" t="str">
        <f>HYPERLINK("https://twitter.com/vibescia/status/1653810005441691649")</f>
        <v>https://twitter.com/vibescia/status/1653810005441691649</v>
      </c>
      <c r="AF275" s="79">
        <v>45049.717662037037</v>
      </c>
      <c r="AG275" s="85">
        <v>45049</v>
      </c>
      <c r="AH275" s="82" t="s">
        <v>10470</v>
      </c>
      <c r="AI275" s="77"/>
      <c r="AJ275" s="77"/>
      <c r="AK275" s="77"/>
      <c r="AL275" s="77"/>
      <c r="AM275" s="77"/>
      <c r="AN275" s="77"/>
      <c r="AO275" s="77"/>
      <c r="AP275" s="77"/>
      <c r="AQ275" s="77"/>
      <c r="AR275" s="77"/>
      <c r="AS275" s="77"/>
      <c r="AT275" s="77"/>
      <c r="AU275" s="77"/>
      <c r="AV275" s="80" t="str">
        <f>HYPERLINK("https://pbs.twimg.com/profile_images/1692003309001830400/PRIe8uqd_normal.jpg")</f>
        <v>https://pbs.twimg.com/profile_images/1692003309001830400/PRIe8uqd_normal.jpg</v>
      </c>
      <c r="AW275" s="82" t="s">
        <v>17048</v>
      </c>
      <c r="AX275" s="82" t="s">
        <v>17048</v>
      </c>
      <c r="AY275" s="77"/>
      <c r="AZ275" s="82" t="s">
        <v>20971</v>
      </c>
      <c r="BA275" s="82" t="s">
        <v>17047</v>
      </c>
      <c r="BB275" s="82" t="s">
        <v>20971</v>
      </c>
      <c r="BC275" s="82" t="s">
        <v>17047</v>
      </c>
      <c r="BD275" s="82" t="s">
        <v>21106</v>
      </c>
      <c r="BE275" s="77"/>
      <c r="BF275" s="77"/>
      <c r="BG275" s="77"/>
      <c r="BH275" s="77"/>
      <c r="BI275" s="77"/>
    </row>
    <row r="276" spans="1:61" x14ac:dyDescent="0.25">
      <c r="A276" s="62" t="s">
        <v>356</v>
      </c>
      <c r="B276" s="62" t="s">
        <v>356</v>
      </c>
      <c r="C276" s="63"/>
      <c r="D276" s="64"/>
      <c r="E276" s="65"/>
      <c r="F276" s="66"/>
      <c r="G276" s="63"/>
      <c r="H276" s="67"/>
      <c r="I276" s="68"/>
      <c r="J276" s="68"/>
      <c r="K276" s="32"/>
      <c r="L276" s="75">
        <v>276</v>
      </c>
      <c r="M276" s="75"/>
      <c r="N276" s="70"/>
      <c r="O276" s="77" t="s">
        <v>179</v>
      </c>
      <c r="P276" s="79">
        <v>45039.577430555553</v>
      </c>
      <c r="Q276" s="77" t="s">
        <v>1560</v>
      </c>
      <c r="R276" s="77">
        <v>0</v>
      </c>
      <c r="S276" s="77">
        <v>0</v>
      </c>
      <c r="T276" s="77">
        <v>0</v>
      </c>
      <c r="U276" s="77">
        <v>1</v>
      </c>
      <c r="V276" s="77">
        <v>63</v>
      </c>
      <c r="W276" s="82" t="s">
        <v>5438</v>
      </c>
      <c r="X276" s="80" t="str">
        <f>HYPERLINK("https://s.kwai.app/w/jf4OpIzT")</f>
        <v>https://s.kwai.app/w/jf4OpIzT</v>
      </c>
      <c r="Y276" s="77" t="s">
        <v>7292</v>
      </c>
      <c r="Z276" s="77"/>
      <c r="AA276" s="77" t="s">
        <v>7692</v>
      </c>
      <c r="AB276" s="77" t="s">
        <v>10133</v>
      </c>
      <c r="AC276" s="82" t="s">
        <v>10146</v>
      </c>
      <c r="AD276" s="77" t="s">
        <v>10184</v>
      </c>
      <c r="AE276" s="80" t="str">
        <f>HYPERLINK("https://twitter.com/vibescia/status/1650135307705020419")</f>
        <v>https://twitter.com/vibescia/status/1650135307705020419</v>
      </c>
      <c r="AF276" s="79">
        <v>45039.577430555553</v>
      </c>
      <c r="AG276" s="85">
        <v>45039</v>
      </c>
      <c r="AH276" s="82" t="s">
        <v>10471</v>
      </c>
      <c r="AI276" s="77" t="b">
        <v>0</v>
      </c>
      <c r="AJ276" s="77"/>
      <c r="AK276" s="77"/>
      <c r="AL276" s="77"/>
      <c r="AM276" s="77"/>
      <c r="AN276" s="77"/>
      <c r="AO276" s="77"/>
      <c r="AP276" s="77"/>
      <c r="AQ276" s="77" t="s">
        <v>14336</v>
      </c>
      <c r="AR276" s="77"/>
      <c r="AS276" s="77"/>
      <c r="AT276" s="77"/>
      <c r="AU276" s="77"/>
      <c r="AV276" s="80" t="str">
        <f>HYPERLINK("https://pbs.twimg.com/tweet_video_thumb/FuZ1TljWcAAIWkN.jpg")</f>
        <v>https://pbs.twimg.com/tweet_video_thumb/FuZ1TljWcAAIWkN.jpg</v>
      </c>
      <c r="AW276" s="82" t="s">
        <v>17049</v>
      </c>
      <c r="AX276" s="82" t="s">
        <v>17049</v>
      </c>
      <c r="AY276" s="77"/>
      <c r="AZ276" s="82" t="s">
        <v>20971</v>
      </c>
      <c r="BA276" s="82" t="s">
        <v>20971</v>
      </c>
      <c r="BB276" s="82" t="s">
        <v>20971</v>
      </c>
      <c r="BC276" s="82" t="s">
        <v>17049</v>
      </c>
      <c r="BD276" s="82" t="s">
        <v>21106</v>
      </c>
      <c r="BE276" s="77"/>
      <c r="BF276" s="77"/>
      <c r="BG276" s="77"/>
      <c r="BH276" s="77"/>
      <c r="BI276" s="77"/>
    </row>
    <row r="277" spans="1:61" x14ac:dyDescent="0.25">
      <c r="A277" s="62" t="s">
        <v>356</v>
      </c>
      <c r="B277" s="62" t="s">
        <v>356</v>
      </c>
      <c r="C277" s="63"/>
      <c r="D277" s="64"/>
      <c r="E277" s="65"/>
      <c r="F277" s="66"/>
      <c r="G277" s="63"/>
      <c r="H277" s="67"/>
      <c r="I277" s="68"/>
      <c r="J277" s="68"/>
      <c r="K277" s="32"/>
      <c r="L277" s="75">
        <v>277</v>
      </c>
      <c r="M277" s="75"/>
      <c r="N277" s="70"/>
      <c r="O277" s="77" t="s">
        <v>1286</v>
      </c>
      <c r="P277" s="79">
        <v>45047.726412037038</v>
      </c>
      <c r="Q277" s="77" t="s">
        <v>1561</v>
      </c>
      <c r="R277" s="77">
        <v>0</v>
      </c>
      <c r="S277" s="77">
        <v>0</v>
      </c>
      <c r="T277" s="77">
        <v>0</v>
      </c>
      <c r="U277" s="77">
        <v>0</v>
      </c>
      <c r="V277" s="77">
        <v>21</v>
      </c>
      <c r="W277" s="82" t="s">
        <v>5440</v>
      </c>
      <c r="X277" s="77"/>
      <c r="Y277" s="77"/>
      <c r="Z277" s="77"/>
      <c r="AA277" s="77"/>
      <c r="AB277" s="77"/>
      <c r="AC277" s="82" t="s">
        <v>10146</v>
      </c>
      <c r="AD277" s="77" t="s">
        <v>10186</v>
      </c>
      <c r="AE277" s="80" t="str">
        <f>HYPERLINK("https://twitter.com/vibescia/status/1653088399757131776")</f>
        <v>https://twitter.com/vibescia/status/1653088399757131776</v>
      </c>
      <c r="AF277" s="79">
        <v>45047.726412037038</v>
      </c>
      <c r="AG277" s="85">
        <v>45047</v>
      </c>
      <c r="AH277" s="82" t="s">
        <v>10472</v>
      </c>
      <c r="AI277" s="77"/>
      <c r="AJ277" s="77"/>
      <c r="AK277" s="77"/>
      <c r="AL277" s="77"/>
      <c r="AM277" s="77"/>
      <c r="AN277" s="77"/>
      <c r="AO277" s="77"/>
      <c r="AP277" s="77"/>
      <c r="AQ277" s="77"/>
      <c r="AR277" s="77"/>
      <c r="AS277" s="77"/>
      <c r="AT277" s="77"/>
      <c r="AU277" s="77"/>
      <c r="AV277" s="80" t="str">
        <f>HYPERLINK("https://pbs.twimg.com/profile_images/1692003309001830400/PRIe8uqd_normal.jpg")</f>
        <v>https://pbs.twimg.com/profile_images/1692003309001830400/PRIe8uqd_normal.jpg</v>
      </c>
      <c r="AW277" s="82" t="s">
        <v>17050</v>
      </c>
      <c r="AX277" s="82" t="s">
        <v>17050</v>
      </c>
      <c r="AY277" s="77"/>
      <c r="AZ277" s="82" t="s">
        <v>20971</v>
      </c>
      <c r="BA277" s="82" t="s">
        <v>17049</v>
      </c>
      <c r="BB277" s="82" t="s">
        <v>20971</v>
      </c>
      <c r="BC277" s="82" t="s">
        <v>17049</v>
      </c>
      <c r="BD277" s="82" t="s">
        <v>21106</v>
      </c>
      <c r="BE277" s="77"/>
      <c r="BF277" s="77"/>
      <c r="BG277" s="77"/>
      <c r="BH277" s="77"/>
      <c r="BI277" s="77"/>
    </row>
    <row r="278" spans="1:61" x14ac:dyDescent="0.25">
      <c r="A278" s="62" t="s">
        <v>356</v>
      </c>
      <c r="B278" s="62" t="s">
        <v>356</v>
      </c>
      <c r="C278" s="63"/>
      <c r="D278" s="64"/>
      <c r="E278" s="65"/>
      <c r="F278" s="66"/>
      <c r="G278" s="63"/>
      <c r="H278" s="67"/>
      <c r="I278" s="68"/>
      <c r="J278" s="68"/>
      <c r="K278" s="32"/>
      <c r="L278" s="75">
        <v>278</v>
      </c>
      <c r="M278" s="75"/>
      <c r="N278" s="70"/>
      <c r="O278" s="77" t="s">
        <v>1286</v>
      </c>
      <c r="P278" s="79">
        <v>45040.777245370373</v>
      </c>
      <c r="Q278" s="77" t="s">
        <v>1559</v>
      </c>
      <c r="R278" s="77">
        <v>0</v>
      </c>
      <c r="S278" s="77">
        <v>1</v>
      </c>
      <c r="T278" s="77">
        <v>1</v>
      </c>
      <c r="U278" s="77">
        <v>0</v>
      </c>
      <c r="V278" s="77">
        <v>24</v>
      </c>
      <c r="W278" s="82" t="s">
        <v>5439</v>
      </c>
      <c r="X278" s="77"/>
      <c r="Y278" s="77"/>
      <c r="Z278" s="77"/>
      <c r="AA278" s="77"/>
      <c r="AB278" s="77"/>
      <c r="AC278" s="82" t="s">
        <v>10146</v>
      </c>
      <c r="AD278" s="77" t="s">
        <v>10186</v>
      </c>
      <c r="AE278" s="80" t="str">
        <f>HYPERLINK("https://twitter.com/vibescia/status/1650570109038018560")</f>
        <v>https://twitter.com/vibescia/status/1650570109038018560</v>
      </c>
      <c r="AF278" s="79">
        <v>45040.777245370373</v>
      </c>
      <c r="AG278" s="85">
        <v>45040</v>
      </c>
      <c r="AH278" s="82" t="s">
        <v>10473</v>
      </c>
      <c r="AI278" s="77"/>
      <c r="AJ278" s="77"/>
      <c r="AK278" s="77"/>
      <c r="AL278" s="77"/>
      <c r="AM278" s="77"/>
      <c r="AN278" s="77"/>
      <c r="AO278" s="77"/>
      <c r="AP278" s="77"/>
      <c r="AQ278" s="77"/>
      <c r="AR278" s="77"/>
      <c r="AS278" s="77"/>
      <c r="AT278" s="77"/>
      <c r="AU278" s="77"/>
      <c r="AV278" s="80" t="str">
        <f>HYPERLINK("https://pbs.twimg.com/profile_images/1692003309001830400/PRIe8uqd_normal.jpg")</f>
        <v>https://pbs.twimg.com/profile_images/1692003309001830400/PRIe8uqd_normal.jpg</v>
      </c>
      <c r="AW278" s="82" t="s">
        <v>17051</v>
      </c>
      <c r="AX278" s="82" t="s">
        <v>17051</v>
      </c>
      <c r="AY278" s="77"/>
      <c r="AZ278" s="82" t="s">
        <v>20971</v>
      </c>
      <c r="BA278" s="82" t="s">
        <v>17049</v>
      </c>
      <c r="BB278" s="82" t="s">
        <v>20971</v>
      </c>
      <c r="BC278" s="82" t="s">
        <v>17049</v>
      </c>
      <c r="BD278" s="82" t="s">
        <v>21106</v>
      </c>
      <c r="BE278" s="77"/>
      <c r="BF278" s="77"/>
      <c r="BG278" s="77"/>
      <c r="BH278" s="77"/>
      <c r="BI278" s="77"/>
    </row>
    <row r="279" spans="1:61" x14ac:dyDescent="0.25">
      <c r="A279" s="62" t="s">
        <v>356</v>
      </c>
      <c r="B279" s="62" t="s">
        <v>356</v>
      </c>
      <c r="C279" s="63"/>
      <c r="D279" s="64"/>
      <c r="E279" s="65"/>
      <c r="F279" s="66"/>
      <c r="G279" s="63"/>
      <c r="H279" s="67"/>
      <c r="I279" s="68"/>
      <c r="J279" s="68"/>
      <c r="K279" s="32"/>
      <c r="L279" s="75">
        <v>279</v>
      </c>
      <c r="M279" s="75"/>
      <c r="N279" s="70"/>
      <c r="O279" s="77" t="s">
        <v>179</v>
      </c>
      <c r="P279" s="79">
        <v>45040.755891203706</v>
      </c>
      <c r="Q279" s="77" t="s">
        <v>1562</v>
      </c>
      <c r="R279" s="77">
        <v>0</v>
      </c>
      <c r="S279" s="77">
        <v>0</v>
      </c>
      <c r="T279" s="77">
        <v>1</v>
      </c>
      <c r="U279" s="77">
        <v>0</v>
      </c>
      <c r="V279" s="77">
        <v>37</v>
      </c>
      <c r="W279" s="82" t="s">
        <v>5441</v>
      </c>
      <c r="X279" s="80" t="str">
        <f>HYPERLINK("https://s.kwai.app/w/jiyg3yEv")</f>
        <v>https://s.kwai.app/w/jiyg3yEv</v>
      </c>
      <c r="Y279" s="77" t="s">
        <v>7292</v>
      </c>
      <c r="Z279" s="77"/>
      <c r="AA279" s="77"/>
      <c r="AB279" s="77"/>
      <c r="AC279" s="82" t="s">
        <v>10144</v>
      </c>
      <c r="AD279" s="77" t="s">
        <v>10184</v>
      </c>
      <c r="AE279" s="80" t="str">
        <f>HYPERLINK("https://twitter.com/vibescia/status/1650562368093446152")</f>
        <v>https://twitter.com/vibescia/status/1650562368093446152</v>
      </c>
      <c r="AF279" s="79">
        <v>45040.755891203706</v>
      </c>
      <c r="AG279" s="85">
        <v>45040</v>
      </c>
      <c r="AH279" s="82" t="s">
        <v>10474</v>
      </c>
      <c r="AI279" s="77" t="b">
        <v>0</v>
      </c>
      <c r="AJ279" s="77"/>
      <c r="AK279" s="77"/>
      <c r="AL279" s="77"/>
      <c r="AM279" s="77"/>
      <c r="AN279" s="77"/>
      <c r="AO279" s="77"/>
      <c r="AP279" s="77"/>
      <c r="AQ279" s="77"/>
      <c r="AR279" s="77"/>
      <c r="AS279" s="77"/>
      <c r="AT279" s="77"/>
      <c r="AU279" s="77"/>
      <c r="AV279" s="80" t="str">
        <f>HYPERLINK("https://pbs.twimg.com/profile_images/1692003309001830400/PRIe8uqd_normal.jpg")</f>
        <v>https://pbs.twimg.com/profile_images/1692003309001830400/PRIe8uqd_normal.jpg</v>
      </c>
      <c r="AW279" s="82" t="s">
        <v>17052</v>
      </c>
      <c r="AX279" s="82" t="s">
        <v>17052</v>
      </c>
      <c r="AY279" s="77"/>
      <c r="AZ279" s="82" t="s">
        <v>20971</v>
      </c>
      <c r="BA279" s="82" t="s">
        <v>20971</v>
      </c>
      <c r="BB279" s="82" t="s">
        <v>20971</v>
      </c>
      <c r="BC279" s="82" t="s">
        <v>17052</v>
      </c>
      <c r="BD279" s="82" t="s">
        <v>21106</v>
      </c>
      <c r="BE279" s="77"/>
      <c r="BF279" s="77"/>
      <c r="BG279" s="77"/>
      <c r="BH279" s="77"/>
      <c r="BI279" s="77"/>
    </row>
    <row r="280" spans="1:61" x14ac:dyDescent="0.25">
      <c r="A280" s="62" t="s">
        <v>356</v>
      </c>
      <c r="B280" s="62" t="s">
        <v>356</v>
      </c>
      <c r="C280" s="63"/>
      <c r="D280" s="64"/>
      <c r="E280" s="65"/>
      <c r="F280" s="66"/>
      <c r="G280" s="63"/>
      <c r="H280" s="67"/>
      <c r="I280" s="68"/>
      <c r="J280" s="68"/>
      <c r="K280" s="32"/>
      <c r="L280" s="75">
        <v>280</v>
      </c>
      <c r="M280" s="75"/>
      <c r="N280" s="70"/>
      <c r="O280" s="77" t="s">
        <v>179</v>
      </c>
      <c r="P280" s="79">
        <v>45039.004282407404</v>
      </c>
      <c r="Q280" s="77" t="s">
        <v>1563</v>
      </c>
      <c r="R280" s="77">
        <v>0</v>
      </c>
      <c r="S280" s="77">
        <v>0</v>
      </c>
      <c r="T280" s="77">
        <v>0</v>
      </c>
      <c r="U280" s="77">
        <v>0</v>
      </c>
      <c r="V280" s="77">
        <v>19</v>
      </c>
      <c r="W280" s="82" t="s">
        <v>5438</v>
      </c>
      <c r="X280" s="80" t="str">
        <f>HYPERLINK("https://s.kwai.app/w/jf4OpIzT")</f>
        <v>https://s.kwai.app/w/jf4OpIzT</v>
      </c>
      <c r="Y280" s="77" t="s">
        <v>7292</v>
      </c>
      <c r="Z280" s="77"/>
      <c r="AA280" s="77" t="s">
        <v>7693</v>
      </c>
      <c r="AB280" s="77" t="s">
        <v>10133</v>
      </c>
      <c r="AC280" s="82" t="s">
        <v>10146</v>
      </c>
      <c r="AD280" s="77" t="s">
        <v>10184</v>
      </c>
      <c r="AE280" s="80" t="str">
        <f>HYPERLINK("https://twitter.com/vibescia/status/1649927606085492739")</f>
        <v>https://twitter.com/vibescia/status/1649927606085492739</v>
      </c>
      <c r="AF280" s="79">
        <v>45039.004282407404</v>
      </c>
      <c r="AG280" s="85">
        <v>45039</v>
      </c>
      <c r="AH280" s="82" t="s">
        <v>10475</v>
      </c>
      <c r="AI280" s="77" t="b">
        <v>0</v>
      </c>
      <c r="AJ280" s="77"/>
      <c r="AK280" s="77"/>
      <c r="AL280" s="77"/>
      <c r="AM280" s="77"/>
      <c r="AN280" s="77"/>
      <c r="AO280" s="77"/>
      <c r="AP280" s="77"/>
      <c r="AQ280" s="77" t="s">
        <v>14337</v>
      </c>
      <c r="AR280" s="77"/>
      <c r="AS280" s="77"/>
      <c r="AT280" s="77"/>
      <c r="AU280" s="77"/>
      <c r="AV280" s="80" t="str">
        <f>HYPERLINK("https://pbs.twimg.com/tweet_video_thumb/FuW4aK-WYAAOY_a.jpg")</f>
        <v>https://pbs.twimg.com/tweet_video_thumb/FuW4aK-WYAAOY_a.jpg</v>
      </c>
      <c r="AW280" s="82" t="s">
        <v>17053</v>
      </c>
      <c r="AX280" s="82" t="s">
        <v>17053</v>
      </c>
      <c r="AY280" s="77"/>
      <c r="AZ280" s="82" t="s">
        <v>20971</v>
      </c>
      <c r="BA280" s="82" t="s">
        <v>20971</v>
      </c>
      <c r="BB280" s="82" t="s">
        <v>20971</v>
      </c>
      <c r="BC280" s="82" t="s">
        <v>17053</v>
      </c>
      <c r="BD280" s="82" t="s">
        <v>21106</v>
      </c>
      <c r="BE280" s="77"/>
      <c r="BF280" s="77"/>
      <c r="BG280" s="77"/>
      <c r="BH280" s="77"/>
      <c r="BI280" s="77"/>
    </row>
    <row r="281" spans="1:61" x14ac:dyDescent="0.25">
      <c r="A281" s="62" t="s">
        <v>356</v>
      </c>
      <c r="B281" s="62" t="s">
        <v>356</v>
      </c>
      <c r="C281" s="63"/>
      <c r="D281" s="64"/>
      <c r="E281" s="65"/>
      <c r="F281" s="66"/>
      <c r="G281" s="63"/>
      <c r="H281" s="67"/>
      <c r="I281" s="68"/>
      <c r="J281" s="68"/>
      <c r="K281" s="32"/>
      <c r="L281" s="75">
        <v>281</v>
      </c>
      <c r="M281" s="75"/>
      <c r="N281" s="70"/>
      <c r="O281" s="77" t="s">
        <v>179</v>
      </c>
      <c r="P281" s="79">
        <v>45038.056296296294</v>
      </c>
      <c r="Q281" s="77" t="s">
        <v>1564</v>
      </c>
      <c r="R281" s="77">
        <v>0</v>
      </c>
      <c r="S281" s="77">
        <v>0</v>
      </c>
      <c r="T281" s="77">
        <v>0</v>
      </c>
      <c r="U281" s="77">
        <v>0</v>
      </c>
      <c r="V281" s="77">
        <v>16</v>
      </c>
      <c r="W281" s="82" t="s">
        <v>5439</v>
      </c>
      <c r="X281" s="80" t="str">
        <f>HYPERLINK("https://s.kwai.app/w/jf4OpIzT")</f>
        <v>https://s.kwai.app/w/jf4OpIzT</v>
      </c>
      <c r="Y281" s="77" t="s">
        <v>7292</v>
      </c>
      <c r="Z281" s="77"/>
      <c r="AA281" s="77"/>
      <c r="AB281" s="77"/>
      <c r="AC281" s="82" t="s">
        <v>10144</v>
      </c>
      <c r="AD281" s="77" t="s">
        <v>10184</v>
      </c>
      <c r="AE281" s="80" t="str">
        <f>HYPERLINK("https://twitter.com/vibescia/status/1649584066994356229")</f>
        <v>https://twitter.com/vibescia/status/1649584066994356229</v>
      </c>
      <c r="AF281" s="79">
        <v>45038.056296296294</v>
      </c>
      <c r="AG281" s="85">
        <v>45038</v>
      </c>
      <c r="AH281" s="82" t="s">
        <v>10476</v>
      </c>
      <c r="AI281" s="77" t="b">
        <v>0</v>
      </c>
      <c r="AJ281" s="77"/>
      <c r="AK281" s="77"/>
      <c r="AL281" s="77"/>
      <c r="AM281" s="77"/>
      <c r="AN281" s="77"/>
      <c r="AO281" s="77"/>
      <c r="AP281" s="77"/>
      <c r="AQ281" s="77"/>
      <c r="AR281" s="77"/>
      <c r="AS281" s="77"/>
      <c r="AT281" s="77"/>
      <c r="AU281" s="77"/>
      <c r="AV281" s="80" t="str">
        <f>HYPERLINK("https://pbs.twimg.com/profile_images/1692003309001830400/PRIe8uqd_normal.jpg")</f>
        <v>https://pbs.twimg.com/profile_images/1692003309001830400/PRIe8uqd_normal.jpg</v>
      </c>
      <c r="AW281" s="82" t="s">
        <v>17054</v>
      </c>
      <c r="AX281" s="82" t="s">
        <v>17054</v>
      </c>
      <c r="AY281" s="77"/>
      <c r="AZ281" s="82" t="s">
        <v>20971</v>
      </c>
      <c r="BA281" s="82" t="s">
        <v>20971</v>
      </c>
      <c r="BB281" s="82" t="s">
        <v>20971</v>
      </c>
      <c r="BC281" s="82" t="s">
        <v>17054</v>
      </c>
      <c r="BD281" s="82" t="s">
        <v>21106</v>
      </c>
      <c r="BE281" s="77"/>
      <c r="BF281" s="77"/>
      <c r="BG281" s="77"/>
      <c r="BH281" s="77"/>
      <c r="BI281" s="77"/>
    </row>
    <row r="282" spans="1:61" x14ac:dyDescent="0.25">
      <c r="A282" s="62" t="s">
        <v>357</v>
      </c>
      <c r="B282" s="62" t="s">
        <v>357</v>
      </c>
      <c r="C282" s="63"/>
      <c r="D282" s="64"/>
      <c r="E282" s="65"/>
      <c r="F282" s="66"/>
      <c r="G282" s="63"/>
      <c r="H282" s="67"/>
      <c r="I282" s="68"/>
      <c r="J282" s="68"/>
      <c r="K282" s="32"/>
      <c r="L282" s="75">
        <v>282</v>
      </c>
      <c r="M282" s="75"/>
      <c r="N282" s="70"/>
      <c r="O282" s="77" t="s">
        <v>179</v>
      </c>
      <c r="P282" s="79">
        <v>45115.09175925926</v>
      </c>
      <c r="Q282" s="77" t="s">
        <v>1565</v>
      </c>
      <c r="R282" s="77">
        <v>0</v>
      </c>
      <c r="S282" s="77">
        <v>0</v>
      </c>
      <c r="T282" s="77">
        <v>0</v>
      </c>
      <c r="U282" s="77">
        <v>0</v>
      </c>
      <c r="V282" s="77">
        <v>39</v>
      </c>
      <c r="W282" s="82" t="s">
        <v>5442</v>
      </c>
      <c r="X282" s="80" t="str">
        <f>HYPERLINK("https://pay.kiwify.com.br/hqtvfgF?afid=mam0ZgMS")</f>
        <v>https://pay.kiwify.com.br/hqtvfgF?afid=mam0ZgMS</v>
      </c>
      <c r="Y282" s="77" t="s">
        <v>7252</v>
      </c>
      <c r="Z282" s="77"/>
      <c r="AA282" s="77" t="s">
        <v>7694</v>
      </c>
      <c r="AB282" s="77" t="s">
        <v>10129</v>
      </c>
      <c r="AC282" s="82" t="s">
        <v>10144</v>
      </c>
      <c r="AD282" s="77" t="s">
        <v>10184</v>
      </c>
      <c r="AE282" s="80" t="str">
        <f>HYPERLINK("https://twitter.com/faturandomilhoe/status/1677500784613654528")</f>
        <v>https://twitter.com/faturandomilhoe/status/1677500784613654528</v>
      </c>
      <c r="AF282" s="79">
        <v>45115.09175925926</v>
      </c>
      <c r="AG282" s="85">
        <v>45115</v>
      </c>
      <c r="AH282" s="82" t="s">
        <v>10477</v>
      </c>
      <c r="AI282" s="77" t="b">
        <v>0</v>
      </c>
      <c r="AJ282" s="77"/>
      <c r="AK282" s="77"/>
      <c r="AL282" s="77"/>
      <c r="AM282" s="77"/>
      <c r="AN282" s="77"/>
      <c r="AO282" s="77"/>
      <c r="AP282" s="77"/>
      <c r="AQ282" s="77" t="s">
        <v>14338</v>
      </c>
      <c r="AR282" s="77">
        <v>5866</v>
      </c>
      <c r="AS282" s="77"/>
      <c r="AT282" s="77"/>
      <c r="AU282" s="77"/>
      <c r="AV282" s="80" t="str">
        <f>HYPERLINK("https://pbs.twimg.com/ext_tw_video_thumb/1677500751877111812/pu/img/gCqncmJjQX0-sNHQ.jpg")</f>
        <v>https://pbs.twimg.com/ext_tw_video_thumb/1677500751877111812/pu/img/gCqncmJjQX0-sNHQ.jpg</v>
      </c>
      <c r="AW282" s="82" t="s">
        <v>17055</v>
      </c>
      <c r="AX282" s="82" t="s">
        <v>17055</v>
      </c>
      <c r="AY282" s="77"/>
      <c r="AZ282" s="82" t="s">
        <v>20971</v>
      </c>
      <c r="BA282" s="82" t="s">
        <v>20971</v>
      </c>
      <c r="BB282" s="82" t="s">
        <v>20971</v>
      </c>
      <c r="BC282" s="82" t="s">
        <v>17055</v>
      </c>
      <c r="BD282" s="82" t="s">
        <v>21107</v>
      </c>
      <c r="BE282" s="77"/>
      <c r="BF282" s="77"/>
      <c r="BG282" s="77"/>
      <c r="BH282" s="77"/>
      <c r="BI282" s="77"/>
    </row>
    <row r="283" spans="1:61" x14ac:dyDescent="0.25">
      <c r="A283" s="62" t="s">
        <v>358</v>
      </c>
      <c r="B283" s="62" t="s">
        <v>358</v>
      </c>
      <c r="C283" s="63"/>
      <c r="D283" s="64"/>
      <c r="E283" s="65"/>
      <c r="F283" s="66"/>
      <c r="G283" s="63"/>
      <c r="H283" s="67"/>
      <c r="I283" s="68"/>
      <c r="J283" s="68"/>
      <c r="K283" s="32"/>
      <c r="L283" s="75">
        <v>283</v>
      </c>
      <c r="M283" s="75"/>
      <c r="N283" s="70"/>
      <c r="O283" s="77" t="s">
        <v>179</v>
      </c>
      <c r="P283" s="79">
        <v>45012.561539351853</v>
      </c>
      <c r="Q283" s="77" t="s">
        <v>1566</v>
      </c>
      <c r="R283" s="77">
        <v>0</v>
      </c>
      <c r="S283" s="77">
        <v>0</v>
      </c>
      <c r="T283" s="77">
        <v>0</v>
      </c>
      <c r="U283" s="77">
        <v>0</v>
      </c>
      <c r="V283" s="77">
        <v>21</v>
      </c>
      <c r="W283" s="82" t="s">
        <v>5443</v>
      </c>
      <c r="X283" s="80" t="str">
        <f>HYPERLINK("https://lucrandoassistindovideosnocelular.blogspot.com/2023/03/ganhe-dinheiro-assistindo-videos-no.html")</f>
        <v>https://lucrandoassistindovideosnocelular.blogspot.com/2023/03/ganhe-dinheiro-assistindo-videos-no.html</v>
      </c>
      <c r="Y283" s="77" t="s">
        <v>7261</v>
      </c>
      <c r="Z283" s="77"/>
      <c r="AA283" s="77"/>
      <c r="AB283" s="77"/>
      <c r="AC283" s="82" t="s">
        <v>10144</v>
      </c>
      <c r="AD283" s="77" t="s">
        <v>10184</v>
      </c>
      <c r="AE283" s="80" t="str">
        <f>HYPERLINK("https://twitter.com/emanuelsummers_/status/1640345078085328906")</f>
        <v>https://twitter.com/emanuelsummers_/status/1640345078085328906</v>
      </c>
      <c r="AF283" s="79">
        <v>45012.561539351853</v>
      </c>
      <c r="AG283" s="85">
        <v>45012</v>
      </c>
      <c r="AH283" s="82" t="s">
        <v>10478</v>
      </c>
      <c r="AI283" s="77" t="b">
        <v>0</v>
      </c>
      <c r="AJ283" s="77"/>
      <c r="AK283" s="77"/>
      <c r="AL283" s="77"/>
      <c r="AM283" s="77"/>
      <c r="AN283" s="77"/>
      <c r="AO283" s="77"/>
      <c r="AP283" s="77"/>
      <c r="AQ283" s="77"/>
      <c r="AR283" s="77"/>
      <c r="AS283" s="77"/>
      <c r="AT283" s="77"/>
      <c r="AU283" s="77"/>
      <c r="AV283" s="80" t="str">
        <f>HYPERLINK("https://pbs.twimg.com/profile_images/1542855710937124864/f2UF0wO4_normal.jpg")</f>
        <v>https://pbs.twimg.com/profile_images/1542855710937124864/f2UF0wO4_normal.jpg</v>
      </c>
      <c r="AW283" s="82" t="s">
        <v>17056</v>
      </c>
      <c r="AX283" s="82" t="s">
        <v>17056</v>
      </c>
      <c r="AY283" s="77"/>
      <c r="AZ283" s="82" t="s">
        <v>20971</v>
      </c>
      <c r="BA283" s="82" t="s">
        <v>20971</v>
      </c>
      <c r="BB283" s="82" t="s">
        <v>20971</v>
      </c>
      <c r="BC283" s="82" t="s">
        <v>17056</v>
      </c>
      <c r="BD283" s="82" t="s">
        <v>21108</v>
      </c>
      <c r="BE283" s="77"/>
      <c r="BF283" s="77"/>
      <c r="BG283" s="77"/>
      <c r="BH283" s="77"/>
      <c r="BI283" s="77"/>
    </row>
    <row r="284" spans="1:61" x14ac:dyDescent="0.25">
      <c r="A284" s="62" t="s">
        <v>359</v>
      </c>
      <c r="B284" s="62" t="s">
        <v>359</v>
      </c>
      <c r="C284" s="63"/>
      <c r="D284" s="64"/>
      <c r="E284" s="65"/>
      <c r="F284" s="66"/>
      <c r="G284" s="63"/>
      <c r="H284" s="67"/>
      <c r="I284" s="68"/>
      <c r="J284" s="68"/>
      <c r="K284" s="32"/>
      <c r="L284" s="75">
        <v>284</v>
      </c>
      <c r="M284" s="75"/>
      <c r="N284" s="70"/>
      <c r="O284" s="77" t="s">
        <v>179</v>
      </c>
      <c r="P284" s="79">
        <v>45061.880624999998</v>
      </c>
      <c r="Q284" s="77" t="s">
        <v>1567</v>
      </c>
      <c r="R284" s="77">
        <v>0</v>
      </c>
      <c r="S284" s="77">
        <v>0</v>
      </c>
      <c r="T284" s="77">
        <v>0</v>
      </c>
      <c r="U284" s="77">
        <v>0</v>
      </c>
      <c r="V284" s="77">
        <v>8</v>
      </c>
      <c r="W284" s="82" t="s">
        <v>5444</v>
      </c>
      <c r="X284" s="80" t="str">
        <f>HYPERLINK("http://www.dtcwb.com.br")</f>
        <v>http://www.dtcwb.com.br</v>
      </c>
      <c r="Y284" s="77" t="s">
        <v>7252</v>
      </c>
      <c r="Z284" s="77"/>
      <c r="AA284" s="77"/>
      <c r="AB284" s="77"/>
      <c r="AC284" s="82" t="s">
        <v>10151</v>
      </c>
      <c r="AD284" s="77" t="s">
        <v>10184</v>
      </c>
      <c r="AE284" s="80" t="str">
        <f>HYPERLINK("https://twitter.com/dtcwbbr/status/1658217717076205582")</f>
        <v>https://twitter.com/dtcwbbr/status/1658217717076205582</v>
      </c>
      <c r="AF284" s="79">
        <v>45061.880624999998</v>
      </c>
      <c r="AG284" s="85">
        <v>45061</v>
      </c>
      <c r="AH284" s="82" t="s">
        <v>10479</v>
      </c>
      <c r="AI284" s="77" t="b">
        <v>0</v>
      </c>
      <c r="AJ284" s="77"/>
      <c r="AK284" s="77"/>
      <c r="AL284" s="77"/>
      <c r="AM284" s="77"/>
      <c r="AN284" s="77"/>
      <c r="AO284" s="77"/>
      <c r="AP284" s="77"/>
      <c r="AQ284" s="77"/>
      <c r="AR284" s="77"/>
      <c r="AS284" s="77"/>
      <c r="AT284" s="77"/>
      <c r="AU284" s="77"/>
      <c r="AV284" s="80" t="str">
        <f>HYPERLINK("https://pbs.twimg.com/profile_images/1655308364300140554/ufpNilB7_normal.jpg")</f>
        <v>https://pbs.twimg.com/profile_images/1655308364300140554/ufpNilB7_normal.jpg</v>
      </c>
      <c r="AW284" s="82" t="s">
        <v>17057</v>
      </c>
      <c r="AX284" s="82" t="s">
        <v>17057</v>
      </c>
      <c r="AY284" s="77"/>
      <c r="AZ284" s="82" t="s">
        <v>20971</v>
      </c>
      <c r="BA284" s="82" t="s">
        <v>20971</v>
      </c>
      <c r="BB284" s="82" t="s">
        <v>20971</v>
      </c>
      <c r="BC284" s="82" t="s">
        <v>17057</v>
      </c>
      <c r="BD284" s="82" t="s">
        <v>21109</v>
      </c>
      <c r="BE284" s="77"/>
      <c r="BF284" s="77"/>
      <c r="BG284" s="77"/>
      <c r="BH284" s="77"/>
      <c r="BI284" s="77"/>
    </row>
    <row r="285" spans="1:61" x14ac:dyDescent="0.25">
      <c r="A285" s="62" t="s">
        <v>360</v>
      </c>
      <c r="B285" s="62" t="s">
        <v>1244</v>
      </c>
      <c r="C285" s="63"/>
      <c r="D285" s="64"/>
      <c r="E285" s="65"/>
      <c r="F285" s="66"/>
      <c r="G285" s="63"/>
      <c r="H285" s="67"/>
      <c r="I285" s="68"/>
      <c r="J285" s="68"/>
      <c r="K285" s="32"/>
      <c r="L285" s="75">
        <v>285</v>
      </c>
      <c r="M285" s="75"/>
      <c r="N285" s="70"/>
      <c r="O285" s="77" t="s">
        <v>1285</v>
      </c>
      <c r="P285" s="79">
        <v>45041.0231712963</v>
      </c>
      <c r="Q285" s="77" t="s">
        <v>1568</v>
      </c>
      <c r="R285" s="77">
        <v>0</v>
      </c>
      <c r="S285" s="77">
        <v>1</v>
      </c>
      <c r="T285" s="77">
        <v>0</v>
      </c>
      <c r="U285" s="77">
        <v>0</v>
      </c>
      <c r="V285" s="77">
        <v>237</v>
      </c>
      <c r="W285" s="82" t="s">
        <v>5445</v>
      </c>
      <c r="X285" s="80" t="str">
        <f>HYPERLINK("http://app.binaryetrade.com/register/97432")</f>
        <v>http://app.binaryetrade.com/register/97432</v>
      </c>
      <c r="Y285" s="77" t="s">
        <v>7293</v>
      </c>
      <c r="Z285" s="77" t="s">
        <v>1244</v>
      </c>
      <c r="AA285" s="77" t="s">
        <v>7695</v>
      </c>
      <c r="AB285" s="77" t="s">
        <v>10130</v>
      </c>
      <c r="AC285" s="82" t="s">
        <v>10144</v>
      </c>
      <c r="AD285" s="77" t="s">
        <v>10184</v>
      </c>
      <c r="AE285" s="80" t="str">
        <f>HYPERLINK("https://twitter.com/hugocos00279853/status/1650659227352936451")</f>
        <v>https://twitter.com/hugocos00279853/status/1650659227352936451</v>
      </c>
      <c r="AF285" s="79">
        <v>45041.0231712963</v>
      </c>
      <c r="AG285" s="85">
        <v>45041</v>
      </c>
      <c r="AH285" s="82" t="s">
        <v>10480</v>
      </c>
      <c r="AI285" s="77" t="b">
        <v>0</v>
      </c>
      <c r="AJ285" s="77"/>
      <c r="AK285" s="77"/>
      <c r="AL285" s="77"/>
      <c r="AM285" s="77"/>
      <c r="AN285" s="77"/>
      <c r="AO285" s="77"/>
      <c r="AP285" s="77"/>
      <c r="AQ285" s="77" t="s">
        <v>14339</v>
      </c>
      <c r="AR285" s="77"/>
      <c r="AS285" s="77"/>
      <c r="AT285" s="77"/>
      <c r="AU285" s="77"/>
      <c r="AV285" s="80" t="str">
        <f>HYPERLINK("https://pbs.twimg.com/media/FuhR0d_WYAAYI5f.jpg")</f>
        <v>https://pbs.twimg.com/media/FuhR0d_WYAAYI5f.jpg</v>
      </c>
      <c r="AW285" s="82" t="s">
        <v>17058</v>
      </c>
      <c r="AX285" s="82" t="s">
        <v>17058</v>
      </c>
      <c r="AY285" s="77"/>
      <c r="AZ285" s="82" t="s">
        <v>20971</v>
      </c>
      <c r="BA285" s="82" t="s">
        <v>20971</v>
      </c>
      <c r="BB285" s="82" t="s">
        <v>20971</v>
      </c>
      <c r="BC285" s="82" t="s">
        <v>17058</v>
      </c>
      <c r="BD285" s="82" t="s">
        <v>21110</v>
      </c>
      <c r="BE285" s="77"/>
      <c r="BF285" s="77"/>
      <c r="BG285" s="77"/>
      <c r="BH285" s="77"/>
      <c r="BI285" s="77"/>
    </row>
    <row r="286" spans="1:61" x14ac:dyDescent="0.25">
      <c r="A286" s="62" t="s">
        <v>361</v>
      </c>
      <c r="B286" s="62" t="s">
        <v>361</v>
      </c>
      <c r="C286" s="63"/>
      <c r="D286" s="64"/>
      <c r="E286" s="65"/>
      <c r="F286" s="66"/>
      <c r="G286" s="63"/>
      <c r="H286" s="67"/>
      <c r="I286" s="68"/>
      <c r="J286" s="68"/>
      <c r="K286" s="32"/>
      <c r="L286" s="75">
        <v>286</v>
      </c>
      <c r="M286" s="75"/>
      <c r="N286" s="70"/>
      <c r="O286" s="77" t="s">
        <v>179</v>
      </c>
      <c r="P286" s="79">
        <v>45051.588067129633</v>
      </c>
      <c r="Q286" s="77" t="s">
        <v>1569</v>
      </c>
      <c r="R286" s="77">
        <v>0</v>
      </c>
      <c r="S286" s="77">
        <v>0</v>
      </c>
      <c r="T286" s="77">
        <v>0</v>
      </c>
      <c r="U286" s="77">
        <v>0</v>
      </c>
      <c r="V286" s="77">
        <v>13</v>
      </c>
      <c r="W286" s="82" t="s">
        <v>5446</v>
      </c>
      <c r="X286" s="77"/>
      <c r="Y286" s="77"/>
      <c r="Z286" s="77"/>
      <c r="AA286" s="77"/>
      <c r="AB286" s="77"/>
      <c r="AC286" s="82" t="s">
        <v>10146</v>
      </c>
      <c r="AD286" s="77" t="s">
        <v>10184</v>
      </c>
      <c r="AE286" s="80" t="str">
        <f>HYPERLINK("https://twitter.com/paulaminadeouro/status/1654487817022590977")</f>
        <v>https://twitter.com/paulaminadeouro/status/1654487817022590977</v>
      </c>
      <c r="AF286" s="79">
        <v>45051.588067129633</v>
      </c>
      <c r="AG286" s="85">
        <v>45051</v>
      </c>
      <c r="AH286" s="82" t="s">
        <v>10481</v>
      </c>
      <c r="AI286" s="77"/>
      <c r="AJ286" s="77"/>
      <c r="AK286" s="77"/>
      <c r="AL286" s="77"/>
      <c r="AM286" s="77"/>
      <c r="AN286" s="77"/>
      <c r="AO286" s="77"/>
      <c r="AP286" s="77"/>
      <c r="AQ286" s="77"/>
      <c r="AR286" s="77"/>
      <c r="AS286" s="77"/>
      <c r="AT286" s="77"/>
      <c r="AU286" s="77"/>
      <c r="AV286" s="80" t="str">
        <f>HYPERLINK("https://pbs.twimg.com/profile_images/1654507333140074496/6iw35wbF_normal.jpg")</f>
        <v>https://pbs.twimg.com/profile_images/1654507333140074496/6iw35wbF_normal.jpg</v>
      </c>
      <c r="AW286" s="82" t="s">
        <v>17059</v>
      </c>
      <c r="AX286" s="82" t="s">
        <v>17059</v>
      </c>
      <c r="AY286" s="77"/>
      <c r="AZ286" s="82" t="s">
        <v>20971</v>
      </c>
      <c r="BA286" s="82" t="s">
        <v>20971</v>
      </c>
      <c r="BB286" s="82" t="s">
        <v>20971</v>
      </c>
      <c r="BC286" s="82" t="s">
        <v>17059</v>
      </c>
      <c r="BD286" s="82" t="s">
        <v>21111</v>
      </c>
      <c r="BE286" s="77"/>
      <c r="BF286" s="77"/>
      <c r="BG286" s="77"/>
      <c r="BH286" s="77"/>
      <c r="BI286" s="77"/>
    </row>
    <row r="287" spans="1:61" x14ac:dyDescent="0.25">
      <c r="A287" s="62" t="s">
        <v>361</v>
      </c>
      <c r="B287" s="62" t="s">
        <v>361</v>
      </c>
      <c r="C287" s="63"/>
      <c r="D287" s="64"/>
      <c r="E287" s="65"/>
      <c r="F287" s="66"/>
      <c r="G287" s="63"/>
      <c r="H287" s="67"/>
      <c r="I287" s="68"/>
      <c r="J287" s="68"/>
      <c r="K287" s="32"/>
      <c r="L287" s="75">
        <v>287</v>
      </c>
      <c r="M287" s="75"/>
      <c r="N287" s="70"/>
      <c r="O287" s="77" t="s">
        <v>179</v>
      </c>
      <c r="P287" s="79">
        <v>45051.586168981485</v>
      </c>
      <c r="Q287" s="77" t="s">
        <v>1570</v>
      </c>
      <c r="R287" s="77">
        <v>0</v>
      </c>
      <c r="S287" s="77">
        <v>0</v>
      </c>
      <c r="T287" s="77">
        <v>0</v>
      </c>
      <c r="U287" s="77">
        <v>0</v>
      </c>
      <c r="V287" s="77">
        <v>20</v>
      </c>
      <c r="W287" s="82" t="s">
        <v>5446</v>
      </c>
      <c r="X287" s="77"/>
      <c r="Y287" s="77"/>
      <c r="Z287" s="77"/>
      <c r="AA287" s="77"/>
      <c r="AB287" s="77"/>
      <c r="AC287" s="82" t="s">
        <v>10146</v>
      </c>
      <c r="AD287" s="77" t="s">
        <v>10184</v>
      </c>
      <c r="AE287" s="80" t="str">
        <f>HYPERLINK("https://twitter.com/paulaminadeouro/status/1654487129114697728")</f>
        <v>https://twitter.com/paulaminadeouro/status/1654487129114697728</v>
      </c>
      <c r="AF287" s="79">
        <v>45051.586168981485</v>
      </c>
      <c r="AG287" s="85">
        <v>45051</v>
      </c>
      <c r="AH287" s="82" t="s">
        <v>10482</v>
      </c>
      <c r="AI287" s="77"/>
      <c r="AJ287" s="77"/>
      <c r="AK287" s="77"/>
      <c r="AL287" s="77"/>
      <c r="AM287" s="77"/>
      <c r="AN287" s="77"/>
      <c r="AO287" s="77"/>
      <c r="AP287" s="77"/>
      <c r="AQ287" s="77"/>
      <c r="AR287" s="77"/>
      <c r="AS287" s="77"/>
      <c r="AT287" s="77"/>
      <c r="AU287" s="77"/>
      <c r="AV287" s="80" t="str">
        <f>HYPERLINK("https://pbs.twimg.com/profile_images/1654507333140074496/6iw35wbF_normal.jpg")</f>
        <v>https://pbs.twimg.com/profile_images/1654507333140074496/6iw35wbF_normal.jpg</v>
      </c>
      <c r="AW287" s="82" t="s">
        <v>17060</v>
      </c>
      <c r="AX287" s="82" t="s">
        <v>17060</v>
      </c>
      <c r="AY287" s="77"/>
      <c r="AZ287" s="82" t="s">
        <v>20971</v>
      </c>
      <c r="BA287" s="82" t="s">
        <v>20971</v>
      </c>
      <c r="BB287" s="82" t="s">
        <v>20971</v>
      </c>
      <c r="BC287" s="82" t="s">
        <v>17060</v>
      </c>
      <c r="BD287" s="82" t="s">
        <v>21111</v>
      </c>
      <c r="BE287" s="77"/>
      <c r="BF287" s="77"/>
      <c r="BG287" s="77"/>
      <c r="BH287" s="77"/>
      <c r="BI287" s="77"/>
    </row>
    <row r="288" spans="1:61" x14ac:dyDescent="0.25">
      <c r="A288" s="62" t="s">
        <v>361</v>
      </c>
      <c r="B288" s="62" t="s">
        <v>361</v>
      </c>
      <c r="C288" s="63"/>
      <c r="D288" s="64"/>
      <c r="E288" s="65"/>
      <c r="F288" s="66"/>
      <c r="G288" s="63"/>
      <c r="H288" s="67"/>
      <c r="I288" s="68"/>
      <c r="J288" s="68"/>
      <c r="K288" s="32"/>
      <c r="L288" s="75">
        <v>288</v>
      </c>
      <c r="M288" s="75"/>
      <c r="N288" s="70"/>
      <c r="O288" s="77" t="s">
        <v>179</v>
      </c>
      <c r="P288" s="79">
        <v>45051.582754629628</v>
      </c>
      <c r="Q288" s="77" t="s">
        <v>1571</v>
      </c>
      <c r="R288" s="77">
        <v>0</v>
      </c>
      <c r="S288" s="77">
        <v>0</v>
      </c>
      <c r="T288" s="77">
        <v>0</v>
      </c>
      <c r="U288" s="77">
        <v>0</v>
      </c>
      <c r="V288" s="77">
        <v>18</v>
      </c>
      <c r="W288" s="82" t="s">
        <v>5447</v>
      </c>
      <c r="X288" s="77"/>
      <c r="Y288" s="77"/>
      <c r="Z288" s="77"/>
      <c r="AA288" s="77"/>
      <c r="AB288" s="77"/>
      <c r="AC288" s="82" t="s">
        <v>10146</v>
      </c>
      <c r="AD288" s="77" t="s">
        <v>10184</v>
      </c>
      <c r="AE288" s="80" t="str">
        <f>HYPERLINK("https://twitter.com/paulaminadeouro/status/1654485891635720192")</f>
        <v>https://twitter.com/paulaminadeouro/status/1654485891635720192</v>
      </c>
      <c r="AF288" s="79">
        <v>45051.582754629628</v>
      </c>
      <c r="AG288" s="85">
        <v>45051</v>
      </c>
      <c r="AH288" s="82" t="s">
        <v>10483</v>
      </c>
      <c r="AI288" s="77"/>
      <c r="AJ288" s="77"/>
      <c r="AK288" s="77"/>
      <c r="AL288" s="77"/>
      <c r="AM288" s="77"/>
      <c r="AN288" s="77"/>
      <c r="AO288" s="77"/>
      <c r="AP288" s="77"/>
      <c r="AQ288" s="77"/>
      <c r="AR288" s="77"/>
      <c r="AS288" s="77"/>
      <c r="AT288" s="77"/>
      <c r="AU288" s="77"/>
      <c r="AV288" s="80" t="str">
        <f>HYPERLINK("https://pbs.twimg.com/profile_images/1654507333140074496/6iw35wbF_normal.jpg")</f>
        <v>https://pbs.twimg.com/profile_images/1654507333140074496/6iw35wbF_normal.jpg</v>
      </c>
      <c r="AW288" s="82" t="s">
        <v>17061</v>
      </c>
      <c r="AX288" s="82" t="s">
        <v>17061</v>
      </c>
      <c r="AY288" s="77"/>
      <c r="AZ288" s="82" t="s">
        <v>20971</v>
      </c>
      <c r="BA288" s="82" t="s">
        <v>20971</v>
      </c>
      <c r="BB288" s="82" t="s">
        <v>20971</v>
      </c>
      <c r="BC288" s="82" t="s">
        <v>17061</v>
      </c>
      <c r="BD288" s="82" t="s">
        <v>21111</v>
      </c>
      <c r="BE288" s="77"/>
      <c r="BF288" s="77"/>
      <c r="BG288" s="77"/>
      <c r="BH288" s="77"/>
      <c r="BI288" s="77"/>
    </row>
    <row r="289" spans="1:61" x14ac:dyDescent="0.25">
      <c r="A289" s="62" t="s">
        <v>361</v>
      </c>
      <c r="B289" s="62" t="s">
        <v>361</v>
      </c>
      <c r="C289" s="63"/>
      <c r="D289" s="64"/>
      <c r="E289" s="65"/>
      <c r="F289" s="66"/>
      <c r="G289" s="63"/>
      <c r="H289" s="67"/>
      <c r="I289" s="68"/>
      <c r="J289" s="68"/>
      <c r="K289" s="32"/>
      <c r="L289" s="75">
        <v>289</v>
      </c>
      <c r="M289" s="75"/>
      <c r="N289" s="70"/>
      <c r="O289" s="77" t="s">
        <v>179</v>
      </c>
      <c r="P289" s="79">
        <v>45051.575555555559</v>
      </c>
      <c r="Q289" s="77" t="s">
        <v>1572</v>
      </c>
      <c r="R289" s="77">
        <v>0</v>
      </c>
      <c r="S289" s="77">
        <v>0</v>
      </c>
      <c r="T289" s="77">
        <v>0</v>
      </c>
      <c r="U289" s="77">
        <v>0</v>
      </c>
      <c r="V289" s="77">
        <v>26</v>
      </c>
      <c r="W289" s="82" t="s">
        <v>5448</v>
      </c>
      <c r="X289" s="77"/>
      <c r="Y289" s="77"/>
      <c r="Z289" s="77"/>
      <c r="AA289" s="77"/>
      <c r="AB289" s="77"/>
      <c r="AC289" s="82" t="s">
        <v>10146</v>
      </c>
      <c r="AD289" s="77" t="s">
        <v>10184</v>
      </c>
      <c r="AE289" s="80" t="str">
        <f>HYPERLINK("https://twitter.com/paulaminadeouro/status/1654483286578671623")</f>
        <v>https://twitter.com/paulaminadeouro/status/1654483286578671623</v>
      </c>
      <c r="AF289" s="79">
        <v>45051.575555555559</v>
      </c>
      <c r="AG289" s="85">
        <v>45051</v>
      </c>
      <c r="AH289" s="82" t="s">
        <v>10484</v>
      </c>
      <c r="AI289" s="77"/>
      <c r="AJ289" s="77"/>
      <c r="AK289" s="77"/>
      <c r="AL289" s="77"/>
      <c r="AM289" s="77"/>
      <c r="AN289" s="77"/>
      <c r="AO289" s="77"/>
      <c r="AP289" s="77"/>
      <c r="AQ289" s="77"/>
      <c r="AR289" s="77"/>
      <c r="AS289" s="77"/>
      <c r="AT289" s="77"/>
      <c r="AU289" s="77"/>
      <c r="AV289" s="80" t="str">
        <f>HYPERLINK("https://pbs.twimg.com/profile_images/1654507333140074496/6iw35wbF_normal.jpg")</f>
        <v>https://pbs.twimg.com/profile_images/1654507333140074496/6iw35wbF_normal.jpg</v>
      </c>
      <c r="AW289" s="82" t="s">
        <v>17062</v>
      </c>
      <c r="AX289" s="82" t="s">
        <v>17062</v>
      </c>
      <c r="AY289" s="77"/>
      <c r="AZ289" s="82" t="s">
        <v>20971</v>
      </c>
      <c r="BA289" s="82" t="s">
        <v>20971</v>
      </c>
      <c r="BB289" s="82" t="s">
        <v>20971</v>
      </c>
      <c r="BC289" s="82" t="s">
        <v>17062</v>
      </c>
      <c r="BD289" s="82" t="s">
        <v>21111</v>
      </c>
      <c r="BE289" s="77"/>
      <c r="BF289" s="77"/>
      <c r="BG289" s="77"/>
      <c r="BH289" s="77"/>
      <c r="BI289" s="77"/>
    </row>
    <row r="290" spans="1:61" x14ac:dyDescent="0.25">
      <c r="A290" s="62" t="s">
        <v>361</v>
      </c>
      <c r="B290" s="62" t="s">
        <v>361</v>
      </c>
      <c r="C290" s="63"/>
      <c r="D290" s="64"/>
      <c r="E290" s="65"/>
      <c r="F290" s="66"/>
      <c r="G290" s="63"/>
      <c r="H290" s="67"/>
      <c r="I290" s="68"/>
      <c r="J290" s="68"/>
      <c r="K290" s="32"/>
      <c r="L290" s="75">
        <v>290</v>
      </c>
      <c r="M290" s="75"/>
      <c r="N290" s="70"/>
      <c r="O290" s="77" t="s">
        <v>179</v>
      </c>
      <c r="P290" s="79">
        <v>45051.569826388892</v>
      </c>
      <c r="Q290" s="77" t="s">
        <v>1573</v>
      </c>
      <c r="R290" s="77">
        <v>0</v>
      </c>
      <c r="S290" s="77">
        <v>1</v>
      </c>
      <c r="T290" s="77">
        <v>0</v>
      </c>
      <c r="U290" s="77">
        <v>0</v>
      </c>
      <c r="V290" s="77">
        <v>32</v>
      </c>
      <c r="W290" s="82" t="s">
        <v>5449</v>
      </c>
      <c r="X290" s="77"/>
      <c r="Y290" s="77"/>
      <c r="Z290" s="77"/>
      <c r="AA290" s="77"/>
      <c r="AB290" s="77"/>
      <c r="AC290" s="82" t="s">
        <v>10146</v>
      </c>
      <c r="AD290" s="77" t="s">
        <v>10184</v>
      </c>
      <c r="AE290" s="80" t="str">
        <f>HYPERLINK("https://twitter.com/paulaminadeouro/status/1654481206799392769")</f>
        <v>https://twitter.com/paulaminadeouro/status/1654481206799392769</v>
      </c>
      <c r="AF290" s="79">
        <v>45051.569826388892</v>
      </c>
      <c r="AG290" s="85">
        <v>45051</v>
      </c>
      <c r="AH290" s="82" t="s">
        <v>10485</v>
      </c>
      <c r="AI290" s="77"/>
      <c r="AJ290" s="77"/>
      <c r="AK290" s="77"/>
      <c r="AL290" s="77"/>
      <c r="AM290" s="77"/>
      <c r="AN290" s="77"/>
      <c r="AO290" s="77"/>
      <c r="AP290" s="77"/>
      <c r="AQ290" s="77"/>
      <c r="AR290" s="77"/>
      <c r="AS290" s="77"/>
      <c r="AT290" s="77"/>
      <c r="AU290" s="77"/>
      <c r="AV290" s="80" t="str">
        <f>HYPERLINK("https://pbs.twimg.com/profile_images/1654507333140074496/6iw35wbF_normal.jpg")</f>
        <v>https://pbs.twimg.com/profile_images/1654507333140074496/6iw35wbF_normal.jpg</v>
      </c>
      <c r="AW290" s="82" t="s">
        <v>17063</v>
      </c>
      <c r="AX290" s="82" t="s">
        <v>17063</v>
      </c>
      <c r="AY290" s="77"/>
      <c r="AZ290" s="82" t="s">
        <v>20971</v>
      </c>
      <c r="BA290" s="82" t="s">
        <v>20971</v>
      </c>
      <c r="BB290" s="82" t="s">
        <v>20971</v>
      </c>
      <c r="BC290" s="82" t="s">
        <v>17063</v>
      </c>
      <c r="BD290" s="82" t="s">
        <v>21111</v>
      </c>
      <c r="BE290" s="77"/>
      <c r="BF290" s="77"/>
      <c r="BG290" s="77"/>
      <c r="BH290" s="77"/>
      <c r="BI290" s="77"/>
    </row>
    <row r="291" spans="1:61" x14ac:dyDescent="0.25">
      <c r="A291" s="62" t="s">
        <v>361</v>
      </c>
      <c r="B291" s="62" t="s">
        <v>361</v>
      </c>
      <c r="C291" s="63"/>
      <c r="D291" s="64"/>
      <c r="E291" s="65"/>
      <c r="F291" s="66"/>
      <c r="G291" s="63"/>
      <c r="H291" s="67"/>
      <c r="I291" s="68"/>
      <c r="J291" s="68"/>
      <c r="K291" s="32"/>
      <c r="L291" s="75">
        <v>291</v>
      </c>
      <c r="M291" s="75"/>
      <c r="N291" s="70"/>
      <c r="O291" s="77" t="s">
        <v>179</v>
      </c>
      <c r="P291" s="79">
        <v>45051.559733796297</v>
      </c>
      <c r="Q291" s="77" t="s">
        <v>1574</v>
      </c>
      <c r="R291" s="77">
        <v>0</v>
      </c>
      <c r="S291" s="77">
        <v>1</v>
      </c>
      <c r="T291" s="77">
        <v>1</v>
      </c>
      <c r="U291" s="77">
        <v>0</v>
      </c>
      <c r="V291" s="77">
        <v>60</v>
      </c>
      <c r="W291" s="82" t="s">
        <v>5450</v>
      </c>
      <c r="X291" s="77"/>
      <c r="Y291" s="77"/>
      <c r="Z291" s="77"/>
      <c r="AA291" s="77"/>
      <c r="AB291" s="77"/>
      <c r="AC291" s="82" t="s">
        <v>10146</v>
      </c>
      <c r="AD291" s="77" t="s">
        <v>10184</v>
      </c>
      <c r="AE291" s="80" t="str">
        <f>HYPERLINK("https://twitter.com/paulaminadeouro/status/1654477549529956357")</f>
        <v>https://twitter.com/paulaminadeouro/status/1654477549529956357</v>
      </c>
      <c r="AF291" s="79">
        <v>45051.559733796297</v>
      </c>
      <c r="AG291" s="85">
        <v>45051</v>
      </c>
      <c r="AH291" s="82" t="s">
        <v>10486</v>
      </c>
      <c r="AI291" s="77"/>
      <c r="AJ291" s="77"/>
      <c r="AK291" s="77"/>
      <c r="AL291" s="77"/>
      <c r="AM291" s="77"/>
      <c r="AN291" s="77"/>
      <c r="AO291" s="77"/>
      <c r="AP291" s="77"/>
      <c r="AQ291" s="77"/>
      <c r="AR291" s="77"/>
      <c r="AS291" s="77"/>
      <c r="AT291" s="77"/>
      <c r="AU291" s="77"/>
      <c r="AV291" s="80" t="str">
        <f>HYPERLINK("https://pbs.twimg.com/profile_images/1654507333140074496/6iw35wbF_normal.jpg")</f>
        <v>https://pbs.twimg.com/profile_images/1654507333140074496/6iw35wbF_normal.jpg</v>
      </c>
      <c r="AW291" s="82" t="s">
        <v>17064</v>
      </c>
      <c r="AX291" s="82" t="s">
        <v>17064</v>
      </c>
      <c r="AY291" s="77"/>
      <c r="AZ291" s="82" t="s">
        <v>20971</v>
      </c>
      <c r="BA291" s="82" t="s">
        <v>20971</v>
      </c>
      <c r="BB291" s="82" t="s">
        <v>20971</v>
      </c>
      <c r="BC291" s="82" t="s">
        <v>17064</v>
      </c>
      <c r="BD291" s="82" t="s">
        <v>21111</v>
      </c>
      <c r="BE291" s="77"/>
      <c r="BF291" s="77"/>
      <c r="BG291" s="77"/>
      <c r="BH291" s="77"/>
      <c r="BI291" s="77"/>
    </row>
    <row r="292" spans="1:61" x14ac:dyDescent="0.25">
      <c r="A292" s="62" t="s">
        <v>361</v>
      </c>
      <c r="B292" s="62" t="s">
        <v>361</v>
      </c>
      <c r="C292" s="63"/>
      <c r="D292" s="64"/>
      <c r="E292" s="65"/>
      <c r="F292" s="66"/>
      <c r="G292" s="63"/>
      <c r="H292" s="67"/>
      <c r="I292" s="68"/>
      <c r="J292" s="68"/>
      <c r="K292" s="32"/>
      <c r="L292" s="75">
        <v>292</v>
      </c>
      <c r="M292" s="75"/>
      <c r="N292" s="70"/>
      <c r="O292" s="77" t="s">
        <v>179</v>
      </c>
      <c r="P292" s="79">
        <v>45054.985486111109</v>
      </c>
      <c r="Q292" s="77" t="s">
        <v>1575</v>
      </c>
      <c r="R292" s="77">
        <v>0</v>
      </c>
      <c r="S292" s="77">
        <v>1</v>
      </c>
      <c r="T292" s="77">
        <v>0</v>
      </c>
      <c r="U292" s="77">
        <v>0</v>
      </c>
      <c r="V292" s="77">
        <v>33</v>
      </c>
      <c r="W292" s="82" t="s">
        <v>5451</v>
      </c>
      <c r="X292" s="77"/>
      <c r="Y292" s="77"/>
      <c r="Z292" s="77"/>
      <c r="AA292" s="77" t="s">
        <v>7696</v>
      </c>
      <c r="AB292" s="77" t="s">
        <v>10130</v>
      </c>
      <c r="AC292" s="82" t="s">
        <v>10146</v>
      </c>
      <c r="AD292" s="77" t="s">
        <v>10184</v>
      </c>
      <c r="AE292" s="80" t="str">
        <f>HYPERLINK("https://twitter.com/paulaminadeouro/status/1655719000599322626")</f>
        <v>https://twitter.com/paulaminadeouro/status/1655719000599322626</v>
      </c>
      <c r="AF292" s="79">
        <v>45054.985486111109</v>
      </c>
      <c r="AG292" s="85">
        <v>45054</v>
      </c>
      <c r="AH292" s="82" t="s">
        <v>10487</v>
      </c>
      <c r="AI292" s="77" t="b">
        <v>0</v>
      </c>
      <c r="AJ292" s="77"/>
      <c r="AK292" s="77"/>
      <c r="AL292" s="77"/>
      <c r="AM292" s="77"/>
      <c r="AN292" s="77"/>
      <c r="AO292" s="77"/>
      <c r="AP292" s="77"/>
      <c r="AQ292" s="77" t="s">
        <v>14340</v>
      </c>
      <c r="AR292" s="77"/>
      <c r="AS292" s="77"/>
      <c r="AT292" s="77"/>
      <c r="AU292" s="77"/>
      <c r="AV292" s="80" t="str">
        <f>HYPERLINK("https://pbs.twimg.com/media/FvpH9pFWAAAFjpS.jpg")</f>
        <v>https://pbs.twimg.com/media/FvpH9pFWAAAFjpS.jpg</v>
      </c>
      <c r="AW292" s="82" t="s">
        <v>17065</v>
      </c>
      <c r="AX292" s="82" t="s">
        <v>17065</v>
      </c>
      <c r="AY292" s="77"/>
      <c r="AZ292" s="82" t="s">
        <v>20971</v>
      </c>
      <c r="BA292" s="82" t="s">
        <v>20971</v>
      </c>
      <c r="BB292" s="82" t="s">
        <v>20971</v>
      </c>
      <c r="BC292" s="82" t="s">
        <v>17065</v>
      </c>
      <c r="BD292" s="82" t="s">
        <v>21111</v>
      </c>
      <c r="BE292" s="77"/>
      <c r="BF292" s="77"/>
      <c r="BG292" s="77"/>
      <c r="BH292" s="77"/>
      <c r="BI292" s="77"/>
    </row>
    <row r="293" spans="1:61" x14ac:dyDescent="0.25">
      <c r="A293" s="62" t="s">
        <v>362</v>
      </c>
      <c r="B293" s="62" t="s">
        <v>362</v>
      </c>
      <c r="C293" s="63"/>
      <c r="D293" s="64"/>
      <c r="E293" s="65"/>
      <c r="F293" s="66"/>
      <c r="G293" s="63"/>
      <c r="H293" s="67"/>
      <c r="I293" s="68"/>
      <c r="J293" s="68"/>
      <c r="K293" s="32"/>
      <c r="L293" s="75">
        <v>293</v>
      </c>
      <c r="M293" s="75"/>
      <c r="N293" s="70"/>
      <c r="O293" s="77" t="s">
        <v>179</v>
      </c>
      <c r="P293" s="79">
        <v>44994.771493055552</v>
      </c>
      <c r="Q293" s="77" t="s">
        <v>1576</v>
      </c>
      <c r="R293" s="77">
        <v>0</v>
      </c>
      <c r="S293" s="77">
        <v>0</v>
      </c>
      <c r="T293" s="77">
        <v>0</v>
      </c>
      <c r="U293" s="77">
        <v>0</v>
      </c>
      <c r="V293" s="77">
        <v>40</v>
      </c>
      <c r="W293" s="82" t="s">
        <v>5236</v>
      </c>
      <c r="X293" s="80" t="str">
        <f>HYPERLINK("https://go.hotmart.com/B80216064S?ap=3c6a")</f>
        <v>https://go.hotmart.com/B80216064S?ap=3c6a</v>
      </c>
      <c r="Y293" s="77" t="s">
        <v>7251</v>
      </c>
      <c r="Z293" s="77"/>
      <c r="AA293" s="77"/>
      <c r="AB293" s="77"/>
      <c r="AC293" s="82" t="s">
        <v>10146</v>
      </c>
      <c r="AD293" s="77" t="s">
        <v>10184</v>
      </c>
      <c r="AE293" s="80" t="str">
        <f>HYPERLINK("https://twitter.com/milenabucatte/status/1633898181787303953")</f>
        <v>https://twitter.com/milenabucatte/status/1633898181787303953</v>
      </c>
      <c r="AF293" s="79">
        <v>44994.771493055552</v>
      </c>
      <c r="AG293" s="85">
        <v>44994</v>
      </c>
      <c r="AH293" s="82" t="s">
        <v>10488</v>
      </c>
      <c r="AI293" s="77" t="b">
        <v>0</v>
      </c>
      <c r="AJ293" s="77"/>
      <c r="AK293" s="77"/>
      <c r="AL293" s="77"/>
      <c r="AM293" s="77"/>
      <c r="AN293" s="77"/>
      <c r="AO293" s="77"/>
      <c r="AP293" s="77"/>
      <c r="AQ293" s="77"/>
      <c r="AR293" s="77"/>
      <c r="AS293" s="77"/>
      <c r="AT293" s="77"/>
      <c r="AU293" s="77"/>
      <c r="AV293" s="80" t="str">
        <f>HYPERLINK("https://pbs.twimg.com/profile_images/1628838050607374338/mw6mkIRa_normal.png")</f>
        <v>https://pbs.twimg.com/profile_images/1628838050607374338/mw6mkIRa_normal.png</v>
      </c>
      <c r="AW293" s="82" t="s">
        <v>17066</v>
      </c>
      <c r="AX293" s="82" t="s">
        <v>17066</v>
      </c>
      <c r="AY293" s="77"/>
      <c r="AZ293" s="82" t="s">
        <v>20971</v>
      </c>
      <c r="BA293" s="82" t="s">
        <v>20971</v>
      </c>
      <c r="BB293" s="82" t="s">
        <v>20971</v>
      </c>
      <c r="BC293" s="82" t="s">
        <v>17066</v>
      </c>
      <c r="BD293" s="82" t="s">
        <v>21112</v>
      </c>
      <c r="BE293" s="77"/>
      <c r="BF293" s="77"/>
      <c r="BG293" s="77"/>
      <c r="BH293" s="77"/>
      <c r="BI293" s="77"/>
    </row>
    <row r="294" spans="1:61" x14ac:dyDescent="0.25">
      <c r="A294" s="62" t="s">
        <v>362</v>
      </c>
      <c r="B294" s="62" t="s">
        <v>362</v>
      </c>
      <c r="C294" s="63"/>
      <c r="D294" s="64"/>
      <c r="E294" s="65"/>
      <c r="F294" s="66"/>
      <c r="G294" s="63"/>
      <c r="H294" s="67"/>
      <c r="I294" s="68"/>
      <c r="J294" s="68"/>
      <c r="K294" s="32"/>
      <c r="L294" s="75">
        <v>294</v>
      </c>
      <c r="M294" s="75"/>
      <c r="N294" s="70"/>
      <c r="O294" s="77" t="s">
        <v>179</v>
      </c>
      <c r="P294" s="79">
        <v>44994.71465277778</v>
      </c>
      <c r="Q294" s="77" t="s">
        <v>1577</v>
      </c>
      <c r="R294" s="77">
        <v>0</v>
      </c>
      <c r="S294" s="77">
        <v>0</v>
      </c>
      <c r="T294" s="77">
        <v>0</v>
      </c>
      <c r="U294" s="77">
        <v>0</v>
      </c>
      <c r="V294" s="77">
        <v>36</v>
      </c>
      <c r="W294" s="82" t="s">
        <v>5236</v>
      </c>
      <c r="X294" s="80" t="str">
        <f>HYPERLINK("https://go.hotmart.com/U80522142O")</f>
        <v>https://go.hotmart.com/U80522142O</v>
      </c>
      <c r="Y294" s="77" t="s">
        <v>7251</v>
      </c>
      <c r="Z294" s="77"/>
      <c r="AA294" s="77" t="s">
        <v>7697</v>
      </c>
      <c r="AB294" s="77" t="s">
        <v>10130</v>
      </c>
      <c r="AC294" s="82" t="s">
        <v>10146</v>
      </c>
      <c r="AD294" s="77" t="s">
        <v>10184</v>
      </c>
      <c r="AE294" s="80" t="str">
        <f>HYPERLINK("https://twitter.com/milenabucatte/status/1633877582675312659")</f>
        <v>https://twitter.com/milenabucatte/status/1633877582675312659</v>
      </c>
      <c r="AF294" s="79">
        <v>44994.71465277778</v>
      </c>
      <c r="AG294" s="85">
        <v>44994</v>
      </c>
      <c r="AH294" s="82" t="s">
        <v>10489</v>
      </c>
      <c r="AI294" s="77" t="b">
        <v>0</v>
      </c>
      <c r="AJ294" s="77"/>
      <c r="AK294" s="77"/>
      <c r="AL294" s="77"/>
      <c r="AM294" s="77"/>
      <c r="AN294" s="77"/>
      <c r="AO294" s="77"/>
      <c r="AP294" s="77"/>
      <c r="AQ294" s="77" t="s">
        <v>14341</v>
      </c>
      <c r="AR294" s="77"/>
      <c r="AS294" s="77"/>
      <c r="AT294" s="77"/>
      <c r="AU294" s="77"/>
      <c r="AV294" s="80" t="str">
        <f>HYPERLINK("https://pbs.twimg.com/media/FqyyE3XWABQS4vi.jpg")</f>
        <v>https://pbs.twimg.com/media/FqyyE3XWABQS4vi.jpg</v>
      </c>
      <c r="AW294" s="82" t="s">
        <v>17067</v>
      </c>
      <c r="AX294" s="82" t="s">
        <v>17067</v>
      </c>
      <c r="AY294" s="77"/>
      <c r="AZ294" s="82" t="s">
        <v>20971</v>
      </c>
      <c r="BA294" s="82" t="s">
        <v>20971</v>
      </c>
      <c r="BB294" s="82" t="s">
        <v>20971</v>
      </c>
      <c r="BC294" s="82" t="s">
        <v>17067</v>
      </c>
      <c r="BD294" s="82" t="s">
        <v>21112</v>
      </c>
      <c r="BE294" s="77"/>
      <c r="BF294" s="77"/>
      <c r="BG294" s="77"/>
      <c r="BH294" s="77"/>
      <c r="BI294" s="77"/>
    </row>
    <row r="295" spans="1:61" x14ac:dyDescent="0.25">
      <c r="A295" s="62" t="s">
        <v>363</v>
      </c>
      <c r="B295" s="62" t="s">
        <v>363</v>
      </c>
      <c r="C295" s="63"/>
      <c r="D295" s="64"/>
      <c r="E295" s="65"/>
      <c r="F295" s="66"/>
      <c r="G295" s="63"/>
      <c r="H295" s="67"/>
      <c r="I295" s="68"/>
      <c r="J295" s="68"/>
      <c r="K295" s="32"/>
      <c r="L295" s="75">
        <v>295</v>
      </c>
      <c r="M295" s="75"/>
      <c r="N295" s="70"/>
      <c r="O295" s="77" t="s">
        <v>179</v>
      </c>
      <c r="P295" s="79">
        <v>45049.254571759258</v>
      </c>
      <c r="Q295" s="77" t="s">
        <v>1578</v>
      </c>
      <c r="R295" s="77">
        <v>0</v>
      </c>
      <c r="S295" s="77">
        <v>0</v>
      </c>
      <c r="T295" s="77">
        <v>0</v>
      </c>
      <c r="U295" s="77">
        <v>0</v>
      </c>
      <c r="V295" s="77">
        <v>381</v>
      </c>
      <c r="W295" s="82" t="s">
        <v>5452</v>
      </c>
      <c r="X295" s="80" t="str">
        <f>HYPERLINK("https://clubewin.com/#/?invite_code=3TR7XW")</f>
        <v>https://clubewin.com/#/?invite_code=3TR7XW</v>
      </c>
      <c r="Y295" s="77" t="s">
        <v>7294</v>
      </c>
      <c r="Z295" s="77"/>
      <c r="AA295" s="77"/>
      <c r="AB295" s="77"/>
      <c r="AC295" s="82" t="s">
        <v>10144</v>
      </c>
      <c r="AD295" s="77" t="s">
        <v>10184</v>
      </c>
      <c r="AE295" s="80" t="str">
        <f>HYPERLINK("https://twitter.com/brunohenri1989/status/1653642189673463808")</f>
        <v>https://twitter.com/brunohenri1989/status/1653642189673463808</v>
      </c>
      <c r="AF295" s="79">
        <v>45049.254571759258</v>
      </c>
      <c r="AG295" s="85">
        <v>45049</v>
      </c>
      <c r="AH295" s="82" t="s">
        <v>10490</v>
      </c>
      <c r="AI295" s="77" t="b">
        <v>0</v>
      </c>
      <c r="AJ295" s="77" t="s">
        <v>14008</v>
      </c>
      <c r="AK295" s="77" t="s">
        <v>14033</v>
      </c>
      <c r="AL295" s="77" t="s">
        <v>14035</v>
      </c>
      <c r="AM295" s="77" t="s">
        <v>14050</v>
      </c>
      <c r="AN295" s="77" t="s">
        <v>14087</v>
      </c>
      <c r="AO295" s="77" t="s">
        <v>14125</v>
      </c>
      <c r="AP295" s="77" t="s">
        <v>14149</v>
      </c>
      <c r="AQ295" s="77"/>
      <c r="AR295" s="77"/>
      <c r="AS295" s="77"/>
      <c r="AT295" s="77"/>
      <c r="AU295" s="77"/>
      <c r="AV295" s="80" t="str">
        <f>HYPERLINK("https://pbs.twimg.com/profile_images/1602770913602191360/ZdN7ic5C_normal.jpg")</f>
        <v>https://pbs.twimg.com/profile_images/1602770913602191360/ZdN7ic5C_normal.jpg</v>
      </c>
      <c r="AW295" s="82" t="s">
        <v>17068</v>
      </c>
      <c r="AX295" s="82" t="s">
        <v>17068</v>
      </c>
      <c r="AY295" s="77"/>
      <c r="AZ295" s="82" t="s">
        <v>20971</v>
      </c>
      <c r="BA295" s="82" t="s">
        <v>20971</v>
      </c>
      <c r="BB295" s="82" t="s">
        <v>20971</v>
      </c>
      <c r="BC295" s="82" t="s">
        <v>17068</v>
      </c>
      <c r="BD295" s="82" t="s">
        <v>21113</v>
      </c>
      <c r="BE295" s="77"/>
      <c r="BF295" s="77"/>
      <c r="BG295" s="77"/>
      <c r="BH295" s="77"/>
      <c r="BI295" s="77"/>
    </row>
    <row r="296" spans="1:61" x14ac:dyDescent="0.25">
      <c r="A296" s="62" t="s">
        <v>364</v>
      </c>
      <c r="B296" s="62" t="s">
        <v>1241</v>
      </c>
      <c r="C296" s="63"/>
      <c r="D296" s="64"/>
      <c r="E296" s="65"/>
      <c r="F296" s="66"/>
      <c r="G296" s="63"/>
      <c r="H296" s="67"/>
      <c r="I296" s="68"/>
      <c r="J296" s="68"/>
      <c r="K296" s="32"/>
      <c r="L296" s="75">
        <v>296</v>
      </c>
      <c r="M296" s="75"/>
      <c r="N296" s="70"/>
      <c r="O296" s="77" t="s">
        <v>1285</v>
      </c>
      <c r="P296" s="79">
        <v>44979.677083333336</v>
      </c>
      <c r="Q296" s="77" t="s">
        <v>1579</v>
      </c>
      <c r="R296" s="77">
        <v>0</v>
      </c>
      <c r="S296" s="77">
        <v>0</v>
      </c>
      <c r="T296" s="77">
        <v>0</v>
      </c>
      <c r="U296" s="77">
        <v>0</v>
      </c>
      <c r="V296" s="77">
        <v>19</v>
      </c>
      <c r="W296" s="82" t="s">
        <v>5453</v>
      </c>
      <c r="X296" s="80" t="str">
        <f>HYPERLINK("https://youtu.be/MmewsactN3w")</f>
        <v>https://youtu.be/MmewsactN3w</v>
      </c>
      <c r="Y296" s="77" t="s">
        <v>7248</v>
      </c>
      <c r="Z296" s="77" t="s">
        <v>1241</v>
      </c>
      <c r="AA296" s="77"/>
      <c r="AB296" s="77"/>
      <c r="AC296" s="82" t="s">
        <v>10146</v>
      </c>
      <c r="AD296" s="77" t="s">
        <v>10184</v>
      </c>
      <c r="AE296" s="80" t="str">
        <f>HYPERLINK("https://twitter.com/tradewebbrasil/status/1628428150265769984")</f>
        <v>https://twitter.com/tradewebbrasil/status/1628428150265769984</v>
      </c>
      <c r="AF296" s="79">
        <v>44979.677083333336</v>
      </c>
      <c r="AG296" s="85">
        <v>44979</v>
      </c>
      <c r="AH296" s="82" t="s">
        <v>10491</v>
      </c>
      <c r="AI296" s="77" t="b">
        <v>0</v>
      </c>
      <c r="AJ296" s="77"/>
      <c r="AK296" s="77"/>
      <c r="AL296" s="77"/>
      <c r="AM296" s="77"/>
      <c r="AN296" s="77"/>
      <c r="AO296" s="77"/>
      <c r="AP296" s="77"/>
      <c r="AQ296" s="77"/>
      <c r="AR296" s="77"/>
      <c r="AS296" s="77"/>
      <c r="AT296" s="77"/>
      <c r="AU296" s="77"/>
      <c r="AV296" s="80" t="str">
        <f>HYPERLINK("https://pbs.twimg.com/profile_images/1349169776350928897/sT7YYA8T_normal.jpg")</f>
        <v>https://pbs.twimg.com/profile_images/1349169776350928897/sT7YYA8T_normal.jpg</v>
      </c>
      <c r="AW296" s="82" t="s">
        <v>17069</v>
      </c>
      <c r="AX296" s="82" t="s">
        <v>17069</v>
      </c>
      <c r="AY296" s="77"/>
      <c r="AZ296" s="82" t="s">
        <v>20971</v>
      </c>
      <c r="BA296" s="82" t="s">
        <v>20971</v>
      </c>
      <c r="BB296" s="82" t="s">
        <v>20971</v>
      </c>
      <c r="BC296" s="82" t="s">
        <v>17069</v>
      </c>
      <c r="BD296" s="77">
        <v>206288600</v>
      </c>
      <c r="BE296" s="77"/>
      <c r="BF296" s="77"/>
      <c r="BG296" s="77"/>
      <c r="BH296" s="77"/>
      <c r="BI296" s="77"/>
    </row>
    <row r="297" spans="1:61" x14ac:dyDescent="0.25">
      <c r="A297" s="62" t="s">
        <v>365</v>
      </c>
      <c r="B297" s="62" t="s">
        <v>365</v>
      </c>
      <c r="C297" s="63"/>
      <c r="D297" s="64"/>
      <c r="E297" s="65"/>
      <c r="F297" s="66"/>
      <c r="G297" s="63"/>
      <c r="H297" s="67"/>
      <c r="I297" s="68"/>
      <c r="J297" s="68"/>
      <c r="K297" s="32"/>
      <c r="L297" s="75">
        <v>297</v>
      </c>
      <c r="M297" s="75"/>
      <c r="N297" s="70"/>
      <c r="O297" s="77" t="s">
        <v>179</v>
      </c>
      <c r="P297" s="79">
        <v>45081.790879629632</v>
      </c>
      <c r="Q297" s="77" t="s">
        <v>1580</v>
      </c>
      <c r="R297" s="77">
        <v>0</v>
      </c>
      <c r="S297" s="77">
        <v>0</v>
      </c>
      <c r="T297" s="77">
        <v>0</v>
      </c>
      <c r="U297" s="77">
        <v>0</v>
      </c>
      <c r="V297" s="77">
        <v>119</v>
      </c>
      <c r="W297" s="82" t="s">
        <v>5454</v>
      </c>
      <c r="X297" s="80" t="str">
        <f>HYPERLINK("https://edzz.la/EDTG6?a=37764216")</f>
        <v>https://edzz.la/EDTG6?a=37764216</v>
      </c>
      <c r="Y297" s="77" t="s">
        <v>7271</v>
      </c>
      <c r="Z297" s="77"/>
      <c r="AA297" s="77"/>
      <c r="AB297" s="77"/>
      <c r="AC297" s="82" t="s">
        <v>10144</v>
      </c>
      <c r="AD297" s="77" t="s">
        <v>10184</v>
      </c>
      <c r="AE297" s="80" t="str">
        <f>HYPERLINK("https://twitter.com/natisoares66/status/1665432952803663872")</f>
        <v>https://twitter.com/natisoares66/status/1665432952803663872</v>
      </c>
      <c r="AF297" s="79">
        <v>45081.790879629632</v>
      </c>
      <c r="AG297" s="85">
        <v>45081</v>
      </c>
      <c r="AH297" s="82" t="s">
        <v>10492</v>
      </c>
      <c r="AI297" s="77" t="b">
        <v>0</v>
      </c>
      <c r="AJ297" s="77"/>
      <c r="AK297" s="77"/>
      <c r="AL297" s="77"/>
      <c r="AM297" s="77"/>
      <c r="AN297" s="77"/>
      <c r="AO297" s="77"/>
      <c r="AP297" s="77"/>
      <c r="AQ297" s="77"/>
      <c r="AR297" s="77"/>
      <c r="AS297" s="77"/>
      <c r="AT297" s="77"/>
      <c r="AU297" s="77"/>
      <c r="AV297" s="80" t="str">
        <f>HYPERLINK("https://pbs.twimg.com/profile_images/1677750050754121733/b2silIh4_normal.jpg")</f>
        <v>https://pbs.twimg.com/profile_images/1677750050754121733/b2silIh4_normal.jpg</v>
      </c>
      <c r="AW297" s="82" t="s">
        <v>17070</v>
      </c>
      <c r="AX297" s="82" t="s">
        <v>17070</v>
      </c>
      <c r="AY297" s="77"/>
      <c r="AZ297" s="82" t="s">
        <v>20971</v>
      </c>
      <c r="BA297" s="82" t="s">
        <v>20971</v>
      </c>
      <c r="BB297" s="82" t="s">
        <v>20971</v>
      </c>
      <c r="BC297" s="82" t="s">
        <v>17070</v>
      </c>
      <c r="BD297" s="82" t="s">
        <v>20909</v>
      </c>
      <c r="BE297" s="77"/>
      <c r="BF297" s="77"/>
      <c r="BG297" s="77"/>
      <c r="BH297" s="77"/>
      <c r="BI297" s="77"/>
    </row>
    <row r="298" spans="1:61" x14ac:dyDescent="0.25">
      <c r="A298" s="62" t="s">
        <v>365</v>
      </c>
      <c r="B298" s="62" t="s">
        <v>365</v>
      </c>
      <c r="C298" s="63"/>
      <c r="D298" s="64"/>
      <c r="E298" s="65"/>
      <c r="F298" s="66"/>
      <c r="G298" s="63"/>
      <c r="H298" s="67"/>
      <c r="I298" s="68"/>
      <c r="J298" s="68"/>
      <c r="K298" s="32"/>
      <c r="L298" s="75">
        <v>298</v>
      </c>
      <c r="M298" s="75"/>
      <c r="N298" s="70"/>
      <c r="O298" s="77" t="s">
        <v>179</v>
      </c>
      <c r="P298" s="79">
        <v>45116.757638888892</v>
      </c>
      <c r="Q298" s="77" t="s">
        <v>1581</v>
      </c>
      <c r="R298" s="77">
        <v>0</v>
      </c>
      <c r="S298" s="77">
        <v>0</v>
      </c>
      <c r="T298" s="77">
        <v>0</v>
      </c>
      <c r="U298" s="77">
        <v>0</v>
      </c>
      <c r="V298" s="77">
        <v>22</v>
      </c>
      <c r="W298" s="82" t="s">
        <v>5455</v>
      </c>
      <c r="X298" s="80" t="str">
        <f>HYPERLINK("https://www.lobo8888.com/?code=qtnysd")</f>
        <v>https://www.lobo8888.com/?code=qtnysd</v>
      </c>
      <c r="Y298" s="77" t="s">
        <v>7295</v>
      </c>
      <c r="Z298" s="77"/>
      <c r="AA298" s="77" t="s">
        <v>7698</v>
      </c>
      <c r="AB298" s="77" t="s">
        <v>10130</v>
      </c>
      <c r="AC298" s="82" t="s">
        <v>10144</v>
      </c>
      <c r="AD298" s="77" t="s">
        <v>10184</v>
      </c>
      <c r="AE298" s="80" t="str">
        <f>HYPERLINK("https://twitter.com/natisoares66/status/1678104480011759617")</f>
        <v>https://twitter.com/natisoares66/status/1678104480011759617</v>
      </c>
      <c r="AF298" s="79">
        <v>45116.757638888892</v>
      </c>
      <c r="AG298" s="85">
        <v>45116</v>
      </c>
      <c r="AH298" s="82" t="s">
        <v>10493</v>
      </c>
      <c r="AI298" s="77" t="b">
        <v>0</v>
      </c>
      <c r="AJ298" s="77"/>
      <c r="AK298" s="77"/>
      <c r="AL298" s="77"/>
      <c r="AM298" s="77"/>
      <c r="AN298" s="77"/>
      <c r="AO298" s="77"/>
      <c r="AP298" s="77"/>
      <c r="AQ298" s="77" t="s">
        <v>14342</v>
      </c>
      <c r="AR298" s="77"/>
      <c r="AS298" s="77"/>
      <c r="AT298" s="77"/>
      <c r="AU298" s="77"/>
      <c r="AV298" s="80" t="str">
        <f>HYPERLINK("https://pbs.twimg.com/media/F0nTIZFXsAEWK1i.jpg")</f>
        <v>https://pbs.twimg.com/media/F0nTIZFXsAEWK1i.jpg</v>
      </c>
      <c r="AW298" s="82" t="s">
        <v>17071</v>
      </c>
      <c r="AX298" s="82" t="s">
        <v>17071</v>
      </c>
      <c r="AY298" s="77"/>
      <c r="AZ298" s="82" t="s">
        <v>20971</v>
      </c>
      <c r="BA298" s="82" t="s">
        <v>20971</v>
      </c>
      <c r="BB298" s="82" t="s">
        <v>20971</v>
      </c>
      <c r="BC298" s="82" t="s">
        <v>17071</v>
      </c>
      <c r="BD298" s="82" t="s">
        <v>20909</v>
      </c>
      <c r="BE298" s="77"/>
      <c r="BF298" s="77"/>
      <c r="BG298" s="77"/>
      <c r="BH298" s="77"/>
      <c r="BI298" s="77"/>
    </row>
    <row r="299" spans="1:61" x14ac:dyDescent="0.25">
      <c r="A299" s="62" t="s">
        <v>365</v>
      </c>
      <c r="B299" s="62" t="s">
        <v>365</v>
      </c>
      <c r="C299" s="63"/>
      <c r="D299" s="64"/>
      <c r="E299" s="65"/>
      <c r="F299" s="66"/>
      <c r="G299" s="63"/>
      <c r="H299" s="67"/>
      <c r="I299" s="68"/>
      <c r="J299" s="68"/>
      <c r="K299" s="32"/>
      <c r="L299" s="75">
        <v>299</v>
      </c>
      <c r="M299" s="75"/>
      <c r="N299" s="70"/>
      <c r="O299" s="77" t="s">
        <v>1284</v>
      </c>
      <c r="P299" s="79">
        <v>45074.960625</v>
      </c>
      <c r="Q299" s="77" t="s">
        <v>1582</v>
      </c>
      <c r="R299" s="77">
        <v>0</v>
      </c>
      <c r="S299" s="77">
        <v>0</v>
      </c>
      <c r="T299" s="77">
        <v>0</v>
      </c>
      <c r="U299" s="77">
        <v>0</v>
      </c>
      <c r="V299" s="77">
        <v>45</v>
      </c>
      <c r="W299" s="82" t="s">
        <v>5456</v>
      </c>
      <c r="X299" s="77"/>
      <c r="Y299" s="77"/>
      <c r="Z299" s="77"/>
      <c r="AA299" s="77"/>
      <c r="AB299" s="77"/>
      <c r="AC299" s="82" t="s">
        <v>10144</v>
      </c>
      <c r="AD299" s="77" t="s">
        <v>10186</v>
      </c>
      <c r="AE299" s="80" t="str">
        <f>HYPERLINK("https://twitter.com/natisoares66/status/1662957749406244864")</f>
        <v>https://twitter.com/natisoares66/status/1662957749406244864</v>
      </c>
      <c r="AF299" s="79">
        <v>45074.960625</v>
      </c>
      <c r="AG299" s="85">
        <v>45074</v>
      </c>
      <c r="AH299" s="82" t="s">
        <v>10494</v>
      </c>
      <c r="AI299" s="77"/>
      <c r="AJ299" s="77"/>
      <c r="AK299" s="77"/>
      <c r="AL299" s="77"/>
      <c r="AM299" s="77"/>
      <c r="AN299" s="77"/>
      <c r="AO299" s="77"/>
      <c r="AP299" s="77"/>
      <c r="AQ299" s="77"/>
      <c r="AR299" s="77"/>
      <c r="AS299" s="77"/>
      <c r="AT299" s="77"/>
      <c r="AU299" s="77"/>
      <c r="AV299" s="80" t="str">
        <f>HYPERLINK("https://pbs.twimg.com/profile_images/1677750050754121733/b2silIh4_normal.jpg")</f>
        <v>https://pbs.twimg.com/profile_images/1677750050754121733/b2silIh4_normal.jpg</v>
      </c>
      <c r="AW299" s="82" t="s">
        <v>17072</v>
      </c>
      <c r="AX299" s="82" t="s">
        <v>20799</v>
      </c>
      <c r="AY299" s="82" t="s">
        <v>20909</v>
      </c>
      <c r="AZ299" s="82" t="s">
        <v>20799</v>
      </c>
      <c r="BA299" s="82" t="s">
        <v>20971</v>
      </c>
      <c r="BB299" s="82" t="s">
        <v>20971</v>
      </c>
      <c r="BC299" s="82" t="s">
        <v>20799</v>
      </c>
      <c r="BD299" s="82" t="s">
        <v>20909</v>
      </c>
      <c r="BE299" s="77"/>
      <c r="BF299" s="77"/>
      <c r="BG299" s="77"/>
      <c r="BH299" s="77"/>
      <c r="BI299" s="77"/>
    </row>
    <row r="300" spans="1:61" x14ac:dyDescent="0.25">
      <c r="A300" s="62" t="s">
        <v>365</v>
      </c>
      <c r="B300" s="62" t="s">
        <v>365</v>
      </c>
      <c r="C300" s="63"/>
      <c r="D300" s="64"/>
      <c r="E300" s="65"/>
      <c r="F300" s="66"/>
      <c r="G300" s="63"/>
      <c r="H300" s="67"/>
      <c r="I300" s="68"/>
      <c r="J300" s="68"/>
      <c r="K300" s="32"/>
      <c r="L300" s="75">
        <v>300</v>
      </c>
      <c r="M300" s="75"/>
      <c r="N300" s="70"/>
      <c r="O300" s="77" t="s">
        <v>179</v>
      </c>
      <c r="P300" s="79">
        <v>45114.03800925926</v>
      </c>
      <c r="Q300" s="77" t="s">
        <v>1583</v>
      </c>
      <c r="R300" s="77">
        <v>0</v>
      </c>
      <c r="S300" s="77">
        <v>0</v>
      </c>
      <c r="T300" s="77">
        <v>0</v>
      </c>
      <c r="U300" s="77">
        <v>0</v>
      </c>
      <c r="V300" s="77">
        <v>198</v>
      </c>
      <c r="W300" s="82" t="s">
        <v>5457</v>
      </c>
      <c r="X300" s="77"/>
      <c r="Y300" s="77"/>
      <c r="Z300" s="77"/>
      <c r="AA300" s="77" t="s">
        <v>7699</v>
      </c>
      <c r="AB300" s="77" t="s">
        <v>10129</v>
      </c>
      <c r="AC300" s="82" t="s">
        <v>10144</v>
      </c>
      <c r="AD300" s="77" t="s">
        <v>10184</v>
      </c>
      <c r="AE300" s="80" t="str">
        <f>HYPERLINK("https://twitter.com/natisoares66/status/1677118921176936451")</f>
        <v>https://twitter.com/natisoares66/status/1677118921176936451</v>
      </c>
      <c r="AF300" s="79">
        <v>45114.03800925926</v>
      </c>
      <c r="AG300" s="85">
        <v>45114</v>
      </c>
      <c r="AH300" s="82" t="s">
        <v>10495</v>
      </c>
      <c r="AI300" s="77" t="b">
        <v>0</v>
      </c>
      <c r="AJ300" s="77"/>
      <c r="AK300" s="77"/>
      <c r="AL300" s="77"/>
      <c r="AM300" s="77"/>
      <c r="AN300" s="77"/>
      <c r="AO300" s="77"/>
      <c r="AP300" s="77"/>
      <c r="AQ300" s="77" t="s">
        <v>14343</v>
      </c>
      <c r="AR300" s="77">
        <v>15088</v>
      </c>
      <c r="AS300" s="77"/>
      <c r="AT300" s="77"/>
      <c r="AU300" s="77"/>
      <c r="AV300" s="80" t="str">
        <f>HYPERLINK("https://pbs.twimg.com/ext_tw_video_thumb/1677118874431496197/pu/img/J1rxFS8Sni-fgUTy.jpg")</f>
        <v>https://pbs.twimg.com/ext_tw_video_thumb/1677118874431496197/pu/img/J1rxFS8Sni-fgUTy.jpg</v>
      </c>
      <c r="AW300" s="82" t="s">
        <v>17073</v>
      </c>
      <c r="AX300" s="82" t="s">
        <v>17073</v>
      </c>
      <c r="AY300" s="77"/>
      <c r="AZ300" s="82" t="s">
        <v>20971</v>
      </c>
      <c r="BA300" s="82" t="s">
        <v>20971</v>
      </c>
      <c r="BB300" s="82" t="s">
        <v>20971</v>
      </c>
      <c r="BC300" s="82" t="s">
        <v>17073</v>
      </c>
      <c r="BD300" s="82" t="s">
        <v>20909</v>
      </c>
      <c r="BE300" s="77"/>
      <c r="BF300" s="77"/>
      <c r="BG300" s="77"/>
      <c r="BH300" s="77"/>
      <c r="BI300" s="77"/>
    </row>
    <row r="301" spans="1:61" x14ac:dyDescent="0.25">
      <c r="A301" s="62" t="s">
        <v>366</v>
      </c>
      <c r="B301" s="62" t="s">
        <v>366</v>
      </c>
      <c r="C301" s="63"/>
      <c r="D301" s="64"/>
      <c r="E301" s="65"/>
      <c r="F301" s="66"/>
      <c r="G301" s="63"/>
      <c r="H301" s="67"/>
      <c r="I301" s="68"/>
      <c r="J301" s="68"/>
      <c r="K301" s="32"/>
      <c r="L301" s="75">
        <v>301</v>
      </c>
      <c r="M301" s="75"/>
      <c r="N301" s="70"/>
      <c r="O301" s="77" t="s">
        <v>179</v>
      </c>
      <c r="P301" s="79">
        <v>45112.360613425924</v>
      </c>
      <c r="Q301" s="77" t="s">
        <v>1584</v>
      </c>
      <c r="R301" s="77">
        <v>0</v>
      </c>
      <c r="S301" s="77">
        <v>0</v>
      </c>
      <c r="T301" s="77">
        <v>0</v>
      </c>
      <c r="U301" s="77">
        <v>0</v>
      </c>
      <c r="V301" s="77">
        <v>138</v>
      </c>
      <c r="W301" s="82" t="s">
        <v>5458</v>
      </c>
      <c r="X301" s="77"/>
      <c r="Y301" s="77"/>
      <c r="Z301" s="77"/>
      <c r="AA301" s="77" t="s">
        <v>7700</v>
      </c>
      <c r="AB301" s="77" t="s">
        <v>10129</v>
      </c>
      <c r="AC301" s="82" t="s">
        <v>10146</v>
      </c>
      <c r="AD301" s="77" t="s">
        <v>10184</v>
      </c>
      <c r="AE301" s="80" t="str">
        <f>HYPERLINK("https://twitter.com/funnybetbrasil/status/1676511052626907136")</f>
        <v>https://twitter.com/funnybetbrasil/status/1676511052626907136</v>
      </c>
      <c r="AF301" s="79">
        <v>45112.360613425924</v>
      </c>
      <c r="AG301" s="85">
        <v>45112</v>
      </c>
      <c r="AH301" s="82" t="s">
        <v>10496</v>
      </c>
      <c r="AI301" s="77" t="b">
        <v>0</v>
      </c>
      <c r="AJ301" s="77"/>
      <c r="AK301" s="77"/>
      <c r="AL301" s="77"/>
      <c r="AM301" s="77"/>
      <c r="AN301" s="77"/>
      <c r="AO301" s="77"/>
      <c r="AP301" s="77"/>
      <c r="AQ301" s="77" t="s">
        <v>14344</v>
      </c>
      <c r="AR301" s="77">
        <v>65736</v>
      </c>
      <c r="AS301" s="77"/>
      <c r="AT301" s="77"/>
      <c r="AU301" s="77"/>
      <c r="AV301" s="80" t="str">
        <f>HYPERLINK("https://pbs.twimg.com/ext_tw_video_thumb/1676510982607175680/pu/img/5UcTimoeUFqyt99f.jpg")</f>
        <v>https://pbs.twimg.com/ext_tw_video_thumb/1676510982607175680/pu/img/5UcTimoeUFqyt99f.jpg</v>
      </c>
      <c r="AW301" s="82" t="s">
        <v>17074</v>
      </c>
      <c r="AX301" s="82" t="s">
        <v>17074</v>
      </c>
      <c r="AY301" s="77"/>
      <c r="AZ301" s="82" t="s">
        <v>20971</v>
      </c>
      <c r="BA301" s="82" t="s">
        <v>20971</v>
      </c>
      <c r="BB301" s="82" t="s">
        <v>20971</v>
      </c>
      <c r="BC301" s="82" t="s">
        <v>17074</v>
      </c>
      <c r="BD301" s="82" t="s">
        <v>21114</v>
      </c>
      <c r="BE301" s="77"/>
      <c r="BF301" s="77"/>
      <c r="BG301" s="77"/>
      <c r="BH301" s="77"/>
      <c r="BI301" s="77"/>
    </row>
    <row r="302" spans="1:61" x14ac:dyDescent="0.25">
      <c r="A302" s="62" t="s">
        <v>366</v>
      </c>
      <c r="B302" s="62" t="s">
        <v>366</v>
      </c>
      <c r="C302" s="63"/>
      <c r="D302" s="64"/>
      <c r="E302" s="65"/>
      <c r="F302" s="66"/>
      <c r="G302" s="63"/>
      <c r="H302" s="67"/>
      <c r="I302" s="68"/>
      <c r="J302" s="68"/>
      <c r="K302" s="32"/>
      <c r="L302" s="75">
        <v>302</v>
      </c>
      <c r="M302" s="75"/>
      <c r="N302" s="70"/>
      <c r="O302" s="77" t="s">
        <v>179</v>
      </c>
      <c r="P302" s="79">
        <v>45112.344560185185</v>
      </c>
      <c r="Q302" s="77" t="s">
        <v>1585</v>
      </c>
      <c r="R302" s="77">
        <v>0</v>
      </c>
      <c r="S302" s="77">
        <v>0</v>
      </c>
      <c r="T302" s="77">
        <v>0</v>
      </c>
      <c r="U302" s="77">
        <v>0</v>
      </c>
      <c r="V302" s="77">
        <v>112</v>
      </c>
      <c r="W302" s="82" t="s">
        <v>5459</v>
      </c>
      <c r="X302" s="77"/>
      <c r="Y302" s="77"/>
      <c r="Z302" s="77"/>
      <c r="AA302" s="77" t="s">
        <v>7701</v>
      </c>
      <c r="AB302" s="77" t="s">
        <v>10129</v>
      </c>
      <c r="AC302" s="82" t="s">
        <v>10146</v>
      </c>
      <c r="AD302" s="77" t="s">
        <v>10184</v>
      </c>
      <c r="AE302" s="80" t="str">
        <f>HYPERLINK("https://twitter.com/funnybetbrasil/status/1676505235626287104")</f>
        <v>https://twitter.com/funnybetbrasil/status/1676505235626287104</v>
      </c>
      <c r="AF302" s="79">
        <v>45112.344560185185</v>
      </c>
      <c r="AG302" s="85">
        <v>45112</v>
      </c>
      <c r="AH302" s="82" t="s">
        <v>10497</v>
      </c>
      <c r="AI302" s="77" t="b">
        <v>0</v>
      </c>
      <c r="AJ302" s="77"/>
      <c r="AK302" s="77"/>
      <c r="AL302" s="77"/>
      <c r="AM302" s="77"/>
      <c r="AN302" s="77"/>
      <c r="AO302" s="77"/>
      <c r="AP302" s="77"/>
      <c r="AQ302" s="77" t="s">
        <v>14345</v>
      </c>
      <c r="AR302" s="77">
        <v>42966</v>
      </c>
      <c r="AS302" s="77"/>
      <c r="AT302" s="77"/>
      <c r="AU302" s="77"/>
      <c r="AV302" s="80" t="str">
        <f>HYPERLINK("https://pbs.twimg.com/ext_tw_video_thumb/1676501903964766208/pu/img/6eRJRBgfUqWAKi2J.jpg")</f>
        <v>https://pbs.twimg.com/ext_tw_video_thumb/1676501903964766208/pu/img/6eRJRBgfUqWAKi2J.jpg</v>
      </c>
      <c r="AW302" s="82" t="s">
        <v>17075</v>
      </c>
      <c r="AX302" s="82" t="s">
        <v>17075</v>
      </c>
      <c r="AY302" s="77"/>
      <c r="AZ302" s="82" t="s">
        <v>20971</v>
      </c>
      <c r="BA302" s="82" t="s">
        <v>20971</v>
      </c>
      <c r="BB302" s="82" t="s">
        <v>20971</v>
      </c>
      <c r="BC302" s="82" t="s">
        <v>17075</v>
      </c>
      <c r="BD302" s="82" t="s">
        <v>21114</v>
      </c>
      <c r="BE302" s="77"/>
      <c r="BF302" s="77"/>
      <c r="BG302" s="77"/>
      <c r="BH302" s="77"/>
      <c r="BI302" s="77"/>
    </row>
    <row r="303" spans="1:61" x14ac:dyDescent="0.25">
      <c r="A303" s="62" t="s">
        <v>366</v>
      </c>
      <c r="B303" s="62" t="s">
        <v>366</v>
      </c>
      <c r="C303" s="63"/>
      <c r="D303" s="64"/>
      <c r="E303" s="65"/>
      <c r="F303" s="66"/>
      <c r="G303" s="63"/>
      <c r="H303" s="67"/>
      <c r="I303" s="68"/>
      <c r="J303" s="68"/>
      <c r="K303" s="32"/>
      <c r="L303" s="75">
        <v>303</v>
      </c>
      <c r="M303" s="75"/>
      <c r="N303" s="70"/>
      <c r="O303" s="77" t="s">
        <v>179</v>
      </c>
      <c r="P303" s="79">
        <v>45125.405312499999</v>
      </c>
      <c r="Q303" s="77" t="s">
        <v>1586</v>
      </c>
      <c r="R303" s="77">
        <v>0</v>
      </c>
      <c r="S303" s="77">
        <v>1</v>
      </c>
      <c r="T303" s="77">
        <v>1</v>
      </c>
      <c r="U303" s="77">
        <v>0</v>
      </c>
      <c r="V303" s="77">
        <v>787</v>
      </c>
      <c r="W303" s="82" t="s">
        <v>5460</v>
      </c>
      <c r="X303" s="77"/>
      <c r="Y303" s="77"/>
      <c r="Z303" s="77"/>
      <c r="AA303" s="77" t="s">
        <v>7702</v>
      </c>
      <c r="AB303" s="77" t="s">
        <v>10129</v>
      </c>
      <c r="AC303" s="82" t="s">
        <v>10146</v>
      </c>
      <c r="AD303" s="77" t="s">
        <v>10184</v>
      </c>
      <c r="AE303" s="80" t="str">
        <f>HYPERLINK("https://twitter.com/funnybetbrasil/status/1681238292262469633")</f>
        <v>https://twitter.com/funnybetbrasil/status/1681238292262469633</v>
      </c>
      <c r="AF303" s="79">
        <v>45125.405312499999</v>
      </c>
      <c r="AG303" s="85">
        <v>45125</v>
      </c>
      <c r="AH303" s="82" t="s">
        <v>10498</v>
      </c>
      <c r="AI303" s="77" t="b">
        <v>0</v>
      </c>
      <c r="AJ303" s="77"/>
      <c r="AK303" s="77"/>
      <c r="AL303" s="77"/>
      <c r="AM303" s="77"/>
      <c r="AN303" s="77"/>
      <c r="AO303" s="77"/>
      <c r="AP303" s="77"/>
      <c r="AQ303" s="77" t="s">
        <v>14346</v>
      </c>
      <c r="AR303" s="77">
        <v>19388</v>
      </c>
      <c r="AS303" s="77"/>
      <c r="AT303" s="77"/>
      <c r="AU303" s="77"/>
      <c r="AV303" s="80" t="str">
        <f>HYPERLINK("https://pbs.twimg.com/ext_tw_video_thumb/1681238057419153408/pu/img/uPMCJv-lm9dtTxCr.jpg")</f>
        <v>https://pbs.twimg.com/ext_tw_video_thumb/1681238057419153408/pu/img/uPMCJv-lm9dtTxCr.jpg</v>
      </c>
      <c r="AW303" s="82" t="s">
        <v>17076</v>
      </c>
      <c r="AX303" s="82" t="s">
        <v>17076</v>
      </c>
      <c r="AY303" s="77"/>
      <c r="AZ303" s="82" t="s">
        <v>20971</v>
      </c>
      <c r="BA303" s="82" t="s">
        <v>20971</v>
      </c>
      <c r="BB303" s="82" t="s">
        <v>20971</v>
      </c>
      <c r="BC303" s="82" t="s">
        <v>17076</v>
      </c>
      <c r="BD303" s="82" t="s">
        <v>21114</v>
      </c>
      <c r="BE303" s="77"/>
      <c r="BF303" s="77"/>
      <c r="BG303" s="77"/>
      <c r="BH303" s="77"/>
      <c r="BI303" s="77"/>
    </row>
    <row r="304" spans="1:61" x14ac:dyDescent="0.25">
      <c r="A304" s="62" t="s">
        <v>366</v>
      </c>
      <c r="B304" s="62" t="s">
        <v>366</v>
      </c>
      <c r="C304" s="63"/>
      <c r="D304" s="64"/>
      <c r="E304" s="65"/>
      <c r="F304" s="66"/>
      <c r="G304" s="63"/>
      <c r="H304" s="67"/>
      <c r="I304" s="68"/>
      <c r="J304" s="68"/>
      <c r="K304" s="32"/>
      <c r="L304" s="75">
        <v>304</v>
      </c>
      <c r="M304" s="75"/>
      <c r="N304" s="70"/>
      <c r="O304" s="77" t="s">
        <v>179</v>
      </c>
      <c r="P304" s="79">
        <v>45149.527083333334</v>
      </c>
      <c r="Q304" s="77" t="s">
        <v>1587</v>
      </c>
      <c r="R304" s="77">
        <v>0</v>
      </c>
      <c r="S304" s="77">
        <v>0</v>
      </c>
      <c r="T304" s="77">
        <v>0</v>
      </c>
      <c r="U304" s="77">
        <v>0</v>
      </c>
      <c r="V304" s="77">
        <v>103</v>
      </c>
      <c r="W304" s="82" t="s">
        <v>5461</v>
      </c>
      <c r="X304" s="77"/>
      <c r="Y304" s="77"/>
      <c r="Z304" s="77"/>
      <c r="AA304" s="77" t="s">
        <v>7703</v>
      </c>
      <c r="AB304" s="77" t="s">
        <v>10129</v>
      </c>
      <c r="AC304" s="82" t="s">
        <v>10146</v>
      </c>
      <c r="AD304" s="77" t="s">
        <v>10183</v>
      </c>
      <c r="AE304" s="80" t="str">
        <f>HYPERLINK("https://twitter.com/funnybetbrasil/status/1689979728680419330")</f>
        <v>https://twitter.com/funnybetbrasil/status/1689979728680419330</v>
      </c>
      <c r="AF304" s="79">
        <v>45149.527083333334</v>
      </c>
      <c r="AG304" s="85">
        <v>45149</v>
      </c>
      <c r="AH304" s="82" t="s">
        <v>10499</v>
      </c>
      <c r="AI304" s="77" t="b">
        <v>0</v>
      </c>
      <c r="AJ304" s="77"/>
      <c r="AK304" s="77"/>
      <c r="AL304" s="77"/>
      <c r="AM304" s="77"/>
      <c r="AN304" s="77"/>
      <c r="AO304" s="77"/>
      <c r="AP304" s="77"/>
      <c r="AQ304" s="77" t="s">
        <v>14347</v>
      </c>
      <c r="AR304" s="77">
        <v>12050</v>
      </c>
      <c r="AS304" s="77"/>
      <c r="AT304" s="77"/>
      <c r="AU304" s="77"/>
      <c r="AV304" s="80" t="str">
        <f>HYPERLINK("https://pbs.twimg.com/ext_tw_video_thumb/1689632478338932737/pu/img/VX1W9OiJd3rI7zjR.jpg")</f>
        <v>https://pbs.twimg.com/ext_tw_video_thumb/1689632478338932737/pu/img/VX1W9OiJd3rI7zjR.jpg</v>
      </c>
      <c r="AW304" s="82" t="s">
        <v>17077</v>
      </c>
      <c r="AX304" s="82" t="s">
        <v>17077</v>
      </c>
      <c r="AY304" s="77"/>
      <c r="AZ304" s="82" t="s">
        <v>20971</v>
      </c>
      <c r="BA304" s="82" t="s">
        <v>20971</v>
      </c>
      <c r="BB304" s="82" t="s">
        <v>20971</v>
      </c>
      <c r="BC304" s="82" t="s">
        <v>17077</v>
      </c>
      <c r="BD304" s="82" t="s">
        <v>21114</v>
      </c>
      <c r="BE304" s="77"/>
      <c r="BF304" s="77"/>
      <c r="BG304" s="77"/>
      <c r="BH304" s="77"/>
      <c r="BI304" s="77"/>
    </row>
    <row r="305" spans="1:61" x14ac:dyDescent="0.25">
      <c r="A305" s="62" t="s">
        <v>366</v>
      </c>
      <c r="B305" s="62" t="s">
        <v>366</v>
      </c>
      <c r="C305" s="63"/>
      <c r="D305" s="64"/>
      <c r="E305" s="65"/>
      <c r="F305" s="66"/>
      <c r="G305" s="63"/>
      <c r="H305" s="67"/>
      <c r="I305" s="68"/>
      <c r="J305" s="68"/>
      <c r="K305" s="32"/>
      <c r="L305" s="75">
        <v>305</v>
      </c>
      <c r="M305" s="75"/>
      <c r="N305" s="70"/>
      <c r="O305" s="77" t="s">
        <v>179</v>
      </c>
      <c r="P305" s="79">
        <v>45148.566967592589</v>
      </c>
      <c r="Q305" s="77" t="s">
        <v>1588</v>
      </c>
      <c r="R305" s="77">
        <v>0</v>
      </c>
      <c r="S305" s="77">
        <v>0</v>
      </c>
      <c r="T305" s="77">
        <v>0</v>
      </c>
      <c r="U305" s="77">
        <v>0</v>
      </c>
      <c r="V305" s="77">
        <v>136</v>
      </c>
      <c r="W305" s="82" t="s">
        <v>5461</v>
      </c>
      <c r="X305" s="77"/>
      <c r="Y305" s="77"/>
      <c r="Z305" s="77"/>
      <c r="AA305" s="77" t="s">
        <v>7704</v>
      </c>
      <c r="AB305" s="77" t="s">
        <v>10129</v>
      </c>
      <c r="AC305" s="82" t="s">
        <v>10146</v>
      </c>
      <c r="AD305" s="77" t="s">
        <v>10183</v>
      </c>
      <c r="AE305" s="80" t="str">
        <f>HYPERLINK("https://twitter.com/funnybetbrasil/status/1689631796806508544")</f>
        <v>https://twitter.com/funnybetbrasil/status/1689631796806508544</v>
      </c>
      <c r="AF305" s="79">
        <v>45148.566967592589</v>
      </c>
      <c r="AG305" s="85">
        <v>45148</v>
      </c>
      <c r="AH305" s="82" t="s">
        <v>10500</v>
      </c>
      <c r="AI305" s="77" t="b">
        <v>0</v>
      </c>
      <c r="AJ305" s="77"/>
      <c r="AK305" s="77"/>
      <c r="AL305" s="77"/>
      <c r="AM305" s="77"/>
      <c r="AN305" s="77"/>
      <c r="AO305" s="77"/>
      <c r="AP305" s="77"/>
      <c r="AQ305" s="77" t="s">
        <v>14348</v>
      </c>
      <c r="AR305" s="77">
        <v>10008</v>
      </c>
      <c r="AS305" s="77"/>
      <c r="AT305" s="77"/>
      <c r="AU305" s="77"/>
      <c r="AV305" s="80" t="str">
        <f>HYPERLINK("https://pbs.twimg.com/ext_tw_video_thumb/1689631633392189440/pu/img/wdxlDdCvYnuxB19j.jpg")</f>
        <v>https://pbs.twimg.com/ext_tw_video_thumb/1689631633392189440/pu/img/wdxlDdCvYnuxB19j.jpg</v>
      </c>
      <c r="AW305" s="82" t="s">
        <v>17078</v>
      </c>
      <c r="AX305" s="82" t="s">
        <v>17078</v>
      </c>
      <c r="AY305" s="77"/>
      <c r="AZ305" s="82" t="s">
        <v>20971</v>
      </c>
      <c r="BA305" s="82" t="s">
        <v>20971</v>
      </c>
      <c r="BB305" s="82" t="s">
        <v>20971</v>
      </c>
      <c r="BC305" s="82" t="s">
        <v>17078</v>
      </c>
      <c r="BD305" s="82" t="s">
        <v>21114</v>
      </c>
      <c r="BE305" s="77"/>
      <c r="BF305" s="77"/>
      <c r="BG305" s="77"/>
      <c r="BH305" s="77"/>
      <c r="BI305" s="77"/>
    </row>
    <row r="306" spans="1:61" x14ac:dyDescent="0.25">
      <c r="A306" s="62" t="s">
        <v>366</v>
      </c>
      <c r="B306" s="62" t="s">
        <v>366</v>
      </c>
      <c r="C306" s="63"/>
      <c r="D306" s="64"/>
      <c r="E306" s="65"/>
      <c r="F306" s="66"/>
      <c r="G306" s="63"/>
      <c r="H306" s="67"/>
      <c r="I306" s="68"/>
      <c r="J306" s="68"/>
      <c r="K306" s="32"/>
      <c r="L306" s="75">
        <v>306</v>
      </c>
      <c r="M306" s="75"/>
      <c r="N306" s="70"/>
      <c r="O306" s="77" t="s">
        <v>179</v>
      </c>
      <c r="P306" s="79">
        <v>45104.367129629631</v>
      </c>
      <c r="Q306" s="77" t="s">
        <v>1589</v>
      </c>
      <c r="R306" s="77">
        <v>0</v>
      </c>
      <c r="S306" s="77">
        <v>0</v>
      </c>
      <c r="T306" s="77">
        <v>0</v>
      </c>
      <c r="U306" s="77">
        <v>0</v>
      </c>
      <c r="V306" s="77">
        <v>209</v>
      </c>
      <c r="W306" s="82" t="s">
        <v>5458</v>
      </c>
      <c r="X306" s="77"/>
      <c r="Y306" s="77"/>
      <c r="Z306" s="77"/>
      <c r="AA306" s="77" t="s">
        <v>7705</v>
      </c>
      <c r="AB306" s="77" t="s">
        <v>10129</v>
      </c>
      <c r="AC306" s="82" t="s">
        <v>10146</v>
      </c>
      <c r="AD306" s="77" t="s">
        <v>10184</v>
      </c>
      <c r="AE306" s="80" t="str">
        <f>HYPERLINK("https://twitter.com/funnybetbrasil/status/1673614310910689282")</f>
        <v>https://twitter.com/funnybetbrasil/status/1673614310910689282</v>
      </c>
      <c r="AF306" s="79">
        <v>45104.367129629631</v>
      </c>
      <c r="AG306" s="85">
        <v>45104</v>
      </c>
      <c r="AH306" s="82" t="s">
        <v>10501</v>
      </c>
      <c r="AI306" s="77" t="b">
        <v>0</v>
      </c>
      <c r="AJ306" s="77"/>
      <c r="AK306" s="77"/>
      <c r="AL306" s="77"/>
      <c r="AM306" s="77"/>
      <c r="AN306" s="77"/>
      <c r="AO306" s="77"/>
      <c r="AP306" s="77"/>
      <c r="AQ306" s="77" t="s">
        <v>14349</v>
      </c>
      <c r="AR306" s="77">
        <v>57000</v>
      </c>
      <c r="AS306" s="77"/>
      <c r="AT306" s="77"/>
      <c r="AU306" s="77"/>
      <c r="AV306" s="80" t="str">
        <f>HYPERLINK("https://pbs.twimg.com/ext_tw_video_thumb/1673613762933260288/pu/img/GjQnkECjPT0FvRry.jpg")</f>
        <v>https://pbs.twimg.com/ext_tw_video_thumb/1673613762933260288/pu/img/GjQnkECjPT0FvRry.jpg</v>
      </c>
      <c r="AW306" s="82" t="s">
        <v>17079</v>
      </c>
      <c r="AX306" s="82" t="s">
        <v>17079</v>
      </c>
      <c r="AY306" s="77"/>
      <c r="AZ306" s="82" t="s">
        <v>20971</v>
      </c>
      <c r="BA306" s="82" t="s">
        <v>20971</v>
      </c>
      <c r="BB306" s="82" t="s">
        <v>20971</v>
      </c>
      <c r="BC306" s="82" t="s">
        <v>17079</v>
      </c>
      <c r="BD306" s="82" t="s">
        <v>21114</v>
      </c>
      <c r="BE306" s="77"/>
      <c r="BF306" s="77"/>
      <c r="BG306" s="77"/>
      <c r="BH306" s="77"/>
      <c r="BI306" s="77"/>
    </row>
    <row r="307" spans="1:61" x14ac:dyDescent="0.25">
      <c r="A307" s="62" t="s">
        <v>366</v>
      </c>
      <c r="B307" s="62" t="s">
        <v>366</v>
      </c>
      <c r="C307" s="63"/>
      <c r="D307" s="64"/>
      <c r="E307" s="65"/>
      <c r="F307" s="66"/>
      <c r="G307" s="63"/>
      <c r="H307" s="67"/>
      <c r="I307" s="68"/>
      <c r="J307" s="68"/>
      <c r="K307" s="32"/>
      <c r="L307" s="75">
        <v>307</v>
      </c>
      <c r="M307" s="75"/>
      <c r="N307" s="70"/>
      <c r="O307" s="77" t="s">
        <v>179</v>
      </c>
      <c r="P307" s="79">
        <v>45183.741412037038</v>
      </c>
      <c r="Q307" s="77" t="s">
        <v>1590</v>
      </c>
      <c r="R307" s="77">
        <v>0</v>
      </c>
      <c r="S307" s="77">
        <v>0</v>
      </c>
      <c r="T307" s="77">
        <v>0</v>
      </c>
      <c r="U307" s="77">
        <v>0</v>
      </c>
      <c r="V307" s="77">
        <v>37</v>
      </c>
      <c r="W307" s="82" t="s">
        <v>5462</v>
      </c>
      <c r="X307" s="77"/>
      <c r="Y307" s="77"/>
      <c r="Z307" s="77"/>
      <c r="AA307" s="77" t="s">
        <v>7706</v>
      </c>
      <c r="AB307" s="77" t="s">
        <v>10129</v>
      </c>
      <c r="AC307" s="82" t="s">
        <v>10146</v>
      </c>
      <c r="AD307" s="77" t="s">
        <v>10184</v>
      </c>
      <c r="AE307" s="80" t="str">
        <f>HYPERLINK("https://twitter.com/funnybetbrasil/status/1702378586127343734")</f>
        <v>https://twitter.com/funnybetbrasil/status/1702378586127343734</v>
      </c>
      <c r="AF307" s="79">
        <v>45183.741412037038</v>
      </c>
      <c r="AG307" s="85">
        <v>45183</v>
      </c>
      <c r="AH307" s="82" t="s">
        <v>10502</v>
      </c>
      <c r="AI307" s="77" t="b">
        <v>0</v>
      </c>
      <c r="AJ307" s="77"/>
      <c r="AK307" s="77"/>
      <c r="AL307" s="77"/>
      <c r="AM307" s="77"/>
      <c r="AN307" s="77"/>
      <c r="AO307" s="77"/>
      <c r="AP307" s="77"/>
      <c r="AQ307" s="77" t="s">
        <v>14350</v>
      </c>
      <c r="AR307" s="77">
        <v>42500</v>
      </c>
      <c r="AS307" s="77"/>
      <c r="AT307" s="77"/>
      <c r="AU307" s="77"/>
      <c r="AV307" s="80" t="str">
        <f>HYPERLINK("https://pbs.twimg.com/ext_tw_video_thumb/1702378387044704258/pu/img/5bfp5fzu5u9GEO6H.jpg")</f>
        <v>https://pbs.twimg.com/ext_tw_video_thumb/1702378387044704258/pu/img/5bfp5fzu5u9GEO6H.jpg</v>
      </c>
      <c r="AW307" s="82" t="s">
        <v>17080</v>
      </c>
      <c r="AX307" s="82" t="s">
        <v>17080</v>
      </c>
      <c r="AY307" s="77"/>
      <c r="AZ307" s="82" t="s">
        <v>20971</v>
      </c>
      <c r="BA307" s="82" t="s">
        <v>20971</v>
      </c>
      <c r="BB307" s="82" t="s">
        <v>20971</v>
      </c>
      <c r="BC307" s="82" t="s">
        <v>17080</v>
      </c>
      <c r="BD307" s="82" t="s">
        <v>21114</v>
      </c>
      <c r="BE307" s="77"/>
      <c r="BF307" s="77"/>
      <c r="BG307" s="77"/>
      <c r="BH307" s="77"/>
      <c r="BI307" s="77"/>
    </row>
    <row r="308" spans="1:61" x14ac:dyDescent="0.25">
      <c r="A308" s="62" t="s">
        <v>366</v>
      </c>
      <c r="B308" s="62" t="s">
        <v>366</v>
      </c>
      <c r="C308" s="63"/>
      <c r="D308" s="64"/>
      <c r="E308" s="65"/>
      <c r="F308" s="66"/>
      <c r="G308" s="63"/>
      <c r="H308" s="67"/>
      <c r="I308" s="68"/>
      <c r="J308" s="68"/>
      <c r="K308" s="32"/>
      <c r="L308" s="75">
        <v>308</v>
      </c>
      <c r="M308" s="75"/>
      <c r="N308" s="70"/>
      <c r="O308" s="77" t="s">
        <v>179</v>
      </c>
      <c r="P308" s="79">
        <v>45120.404872685183</v>
      </c>
      <c r="Q308" s="77" t="s">
        <v>1591</v>
      </c>
      <c r="R308" s="77">
        <v>0</v>
      </c>
      <c r="S308" s="77">
        <v>0</v>
      </c>
      <c r="T308" s="77">
        <v>0</v>
      </c>
      <c r="U308" s="77">
        <v>0</v>
      </c>
      <c r="V308" s="77">
        <v>84</v>
      </c>
      <c r="W308" s="82" t="s">
        <v>5462</v>
      </c>
      <c r="X308" s="77"/>
      <c r="Y308" s="77"/>
      <c r="Z308" s="77"/>
      <c r="AA308" s="77" t="s">
        <v>7707</v>
      </c>
      <c r="AB308" s="77" t="s">
        <v>10129</v>
      </c>
      <c r="AC308" s="82" t="s">
        <v>10146</v>
      </c>
      <c r="AD308" s="77" t="s">
        <v>10184</v>
      </c>
      <c r="AE308" s="80" t="str">
        <f>HYPERLINK("https://twitter.com/funnybetbrasil/status/1679426194679185409")</f>
        <v>https://twitter.com/funnybetbrasil/status/1679426194679185409</v>
      </c>
      <c r="AF308" s="79">
        <v>45120.404872685183</v>
      </c>
      <c r="AG308" s="85">
        <v>45120</v>
      </c>
      <c r="AH308" s="82" t="s">
        <v>10503</v>
      </c>
      <c r="AI308" s="77" t="b">
        <v>0</v>
      </c>
      <c r="AJ308" s="77"/>
      <c r="AK308" s="77"/>
      <c r="AL308" s="77"/>
      <c r="AM308" s="77"/>
      <c r="AN308" s="77"/>
      <c r="AO308" s="77"/>
      <c r="AP308" s="77"/>
      <c r="AQ308" s="77" t="s">
        <v>14351</v>
      </c>
      <c r="AR308" s="77">
        <v>37383</v>
      </c>
      <c r="AS308" s="77"/>
      <c r="AT308" s="77"/>
      <c r="AU308" s="77"/>
      <c r="AV308" s="80" t="str">
        <f>HYPERLINK("https://pbs.twimg.com/ext_tw_video_thumb/1679425151790731266/pu/img/4OLTOFO4pzQA7LQk.jpg")</f>
        <v>https://pbs.twimg.com/ext_tw_video_thumb/1679425151790731266/pu/img/4OLTOFO4pzQA7LQk.jpg</v>
      </c>
      <c r="AW308" s="82" t="s">
        <v>17081</v>
      </c>
      <c r="AX308" s="82" t="s">
        <v>17081</v>
      </c>
      <c r="AY308" s="77"/>
      <c r="AZ308" s="82" t="s">
        <v>20971</v>
      </c>
      <c r="BA308" s="82" t="s">
        <v>20971</v>
      </c>
      <c r="BB308" s="82" t="s">
        <v>20971</v>
      </c>
      <c r="BC308" s="82" t="s">
        <v>17081</v>
      </c>
      <c r="BD308" s="82" t="s">
        <v>21114</v>
      </c>
      <c r="BE308" s="77"/>
      <c r="BF308" s="77"/>
      <c r="BG308" s="77"/>
      <c r="BH308" s="77"/>
      <c r="BI308" s="77"/>
    </row>
    <row r="309" spans="1:61" x14ac:dyDescent="0.25">
      <c r="A309" s="62" t="s">
        <v>367</v>
      </c>
      <c r="B309" s="62" t="s">
        <v>367</v>
      </c>
      <c r="C309" s="63"/>
      <c r="D309" s="64"/>
      <c r="E309" s="65"/>
      <c r="F309" s="66"/>
      <c r="G309" s="63"/>
      <c r="H309" s="67"/>
      <c r="I309" s="68"/>
      <c r="J309" s="68"/>
      <c r="K309" s="32"/>
      <c r="L309" s="75">
        <v>309</v>
      </c>
      <c r="M309" s="75"/>
      <c r="N309" s="70"/>
      <c r="O309" s="77" t="s">
        <v>179</v>
      </c>
      <c r="P309" s="79">
        <v>44975.719652777778</v>
      </c>
      <c r="Q309" s="77" t="s">
        <v>1592</v>
      </c>
      <c r="R309" s="77">
        <v>0</v>
      </c>
      <c r="S309" s="77">
        <v>0</v>
      </c>
      <c r="T309" s="77">
        <v>0</v>
      </c>
      <c r="U309" s="77">
        <v>0</v>
      </c>
      <c r="V309" s="77">
        <v>44</v>
      </c>
      <c r="W309" s="82" t="s">
        <v>5236</v>
      </c>
      <c r="X309" s="80" t="str">
        <f>HYPERLINK("https://bee-economia.com/download?code=Z2R932")</f>
        <v>https://bee-economia.com/download?code=Z2R932</v>
      </c>
      <c r="Y309" s="77" t="s">
        <v>7296</v>
      </c>
      <c r="Z309" s="77"/>
      <c r="AA309" s="77"/>
      <c r="AB309" s="77"/>
      <c r="AC309" s="82" t="s">
        <v>10144</v>
      </c>
      <c r="AD309" s="77" t="s">
        <v>10184</v>
      </c>
      <c r="AE309" s="80" t="str">
        <f>HYPERLINK("https://twitter.com/juliettefreer/status/1626994027198312449")</f>
        <v>https://twitter.com/juliettefreer/status/1626994027198312449</v>
      </c>
      <c r="AF309" s="79">
        <v>44975.719652777778</v>
      </c>
      <c r="AG309" s="85">
        <v>44975</v>
      </c>
      <c r="AH309" s="82" t="s">
        <v>10504</v>
      </c>
      <c r="AI309" s="77" t="b">
        <v>0</v>
      </c>
      <c r="AJ309" s="77"/>
      <c r="AK309" s="77"/>
      <c r="AL309" s="77"/>
      <c r="AM309" s="77"/>
      <c r="AN309" s="77"/>
      <c r="AO309" s="77"/>
      <c r="AP309" s="77"/>
      <c r="AQ309" s="77"/>
      <c r="AR309" s="77"/>
      <c r="AS309" s="77"/>
      <c r="AT309" s="77"/>
      <c r="AU309" s="77"/>
      <c r="AV309" s="80" t="str">
        <f>HYPERLINK("https://abs.twimg.com/sticky/default_profile_images/default_profile_normal.png")</f>
        <v>https://abs.twimg.com/sticky/default_profile_images/default_profile_normal.png</v>
      </c>
      <c r="AW309" s="82" t="s">
        <v>17082</v>
      </c>
      <c r="AX309" s="82" t="s">
        <v>17082</v>
      </c>
      <c r="AY309" s="77"/>
      <c r="AZ309" s="82" t="s">
        <v>20971</v>
      </c>
      <c r="BA309" s="82" t="s">
        <v>20971</v>
      </c>
      <c r="BB309" s="82" t="s">
        <v>20971</v>
      </c>
      <c r="BC309" s="82" t="s">
        <v>17082</v>
      </c>
      <c r="BD309" s="82" t="s">
        <v>21115</v>
      </c>
      <c r="BE309" s="77"/>
      <c r="BF309" s="77"/>
      <c r="BG309" s="77"/>
      <c r="BH309" s="77"/>
      <c r="BI309" s="77"/>
    </row>
    <row r="310" spans="1:61" x14ac:dyDescent="0.25">
      <c r="A310" s="62" t="s">
        <v>367</v>
      </c>
      <c r="B310" s="62" t="s">
        <v>367</v>
      </c>
      <c r="C310" s="63"/>
      <c r="D310" s="64"/>
      <c r="E310" s="65"/>
      <c r="F310" s="66"/>
      <c r="G310" s="63"/>
      <c r="H310" s="67"/>
      <c r="I310" s="68"/>
      <c r="J310" s="68"/>
      <c r="K310" s="32"/>
      <c r="L310" s="75">
        <v>310</v>
      </c>
      <c r="M310" s="75"/>
      <c r="N310" s="70"/>
      <c r="O310" s="77" t="s">
        <v>179</v>
      </c>
      <c r="P310" s="79">
        <v>45044.843854166669</v>
      </c>
      <c r="Q310" s="77" t="s">
        <v>1593</v>
      </c>
      <c r="R310" s="77">
        <v>0</v>
      </c>
      <c r="S310" s="77">
        <v>2</v>
      </c>
      <c r="T310" s="77">
        <v>12</v>
      </c>
      <c r="U310" s="77">
        <v>0</v>
      </c>
      <c r="V310" s="77">
        <v>131</v>
      </c>
      <c r="W310" s="82" t="s">
        <v>5236</v>
      </c>
      <c r="X310" s="80" t="str">
        <f>HYPERLINK("https://s.kwai.app/w/CMi1j2OE")</f>
        <v>https://s.kwai.app/w/CMi1j2OE</v>
      </c>
      <c r="Y310" s="77" t="s">
        <v>7292</v>
      </c>
      <c r="Z310" s="77"/>
      <c r="AA310" s="77"/>
      <c r="AB310" s="77"/>
      <c r="AC310" s="82" t="s">
        <v>10144</v>
      </c>
      <c r="AD310" s="77" t="s">
        <v>10184</v>
      </c>
      <c r="AE310" s="80" t="str">
        <f>HYPERLINK("https://twitter.com/juliettefreer/status/1652043797402886148")</f>
        <v>https://twitter.com/juliettefreer/status/1652043797402886148</v>
      </c>
      <c r="AF310" s="79">
        <v>45044.843854166669</v>
      </c>
      <c r="AG310" s="85">
        <v>45044</v>
      </c>
      <c r="AH310" s="82" t="s">
        <v>10505</v>
      </c>
      <c r="AI310" s="77" t="b">
        <v>0</v>
      </c>
      <c r="AJ310" s="77"/>
      <c r="AK310" s="77"/>
      <c r="AL310" s="77"/>
      <c r="AM310" s="77"/>
      <c r="AN310" s="77"/>
      <c r="AO310" s="77"/>
      <c r="AP310" s="77"/>
      <c r="AQ310" s="77"/>
      <c r="AR310" s="77"/>
      <c r="AS310" s="77"/>
      <c r="AT310" s="77"/>
      <c r="AU310" s="77"/>
      <c r="AV310" s="80" t="str">
        <f>HYPERLINK("https://abs.twimg.com/sticky/default_profile_images/default_profile_normal.png")</f>
        <v>https://abs.twimg.com/sticky/default_profile_images/default_profile_normal.png</v>
      </c>
      <c r="AW310" s="82" t="s">
        <v>17083</v>
      </c>
      <c r="AX310" s="82" t="s">
        <v>17083</v>
      </c>
      <c r="AY310" s="77"/>
      <c r="AZ310" s="82" t="s">
        <v>20971</v>
      </c>
      <c r="BA310" s="82" t="s">
        <v>20971</v>
      </c>
      <c r="BB310" s="82" t="s">
        <v>20971</v>
      </c>
      <c r="BC310" s="82" t="s">
        <v>17083</v>
      </c>
      <c r="BD310" s="82" t="s">
        <v>21115</v>
      </c>
      <c r="BE310" s="77"/>
      <c r="BF310" s="77"/>
      <c r="BG310" s="77"/>
      <c r="BH310" s="77"/>
      <c r="BI310" s="77"/>
    </row>
    <row r="311" spans="1:61" x14ac:dyDescent="0.25">
      <c r="A311" s="62" t="s">
        <v>368</v>
      </c>
      <c r="B311" s="62" t="s">
        <v>368</v>
      </c>
      <c r="C311" s="63"/>
      <c r="D311" s="64"/>
      <c r="E311" s="65"/>
      <c r="F311" s="66"/>
      <c r="G311" s="63"/>
      <c r="H311" s="67"/>
      <c r="I311" s="68"/>
      <c r="J311" s="68"/>
      <c r="K311" s="32"/>
      <c r="L311" s="75">
        <v>311</v>
      </c>
      <c r="M311" s="75"/>
      <c r="N311" s="70"/>
      <c r="O311" s="77" t="s">
        <v>179</v>
      </c>
      <c r="P311" s="79">
        <v>45007.750011574077</v>
      </c>
      <c r="Q311" s="77" t="s">
        <v>1594</v>
      </c>
      <c r="R311" s="77">
        <v>0</v>
      </c>
      <c r="S311" s="77">
        <v>0</v>
      </c>
      <c r="T311" s="77">
        <v>0</v>
      </c>
      <c r="U311" s="77">
        <v>0</v>
      </c>
      <c r="V311" s="77">
        <v>18</v>
      </c>
      <c r="W311" s="82" t="s">
        <v>5463</v>
      </c>
      <c r="X311" s="80" t="str">
        <f>HYPERLINK("http://flordelisdistribuidora.com/?route=trabalho/consultora")</f>
        <v>http://flordelisdistribuidora.com/?route=trabalho/consultora</v>
      </c>
      <c r="Y311" s="77" t="s">
        <v>7297</v>
      </c>
      <c r="Z311" s="77"/>
      <c r="AA311" s="77"/>
      <c r="AB311" s="77"/>
      <c r="AC311" s="82" t="s">
        <v>10152</v>
      </c>
      <c r="AD311" s="77" t="s">
        <v>10184</v>
      </c>
      <c r="AE311" s="80" t="str">
        <f>HYPERLINK("https://twitter.com/flor_de_lis_dis/status/1638601440175202315")</f>
        <v>https://twitter.com/flor_de_lis_dis/status/1638601440175202315</v>
      </c>
      <c r="AF311" s="79">
        <v>45007.750011574077</v>
      </c>
      <c r="AG311" s="85">
        <v>45007</v>
      </c>
      <c r="AH311" s="82" t="s">
        <v>10506</v>
      </c>
      <c r="AI311" s="77" t="b">
        <v>0</v>
      </c>
      <c r="AJ311" s="77"/>
      <c r="AK311" s="77"/>
      <c r="AL311" s="77"/>
      <c r="AM311" s="77"/>
      <c r="AN311" s="77"/>
      <c r="AO311" s="77"/>
      <c r="AP311" s="77"/>
      <c r="AQ311" s="77"/>
      <c r="AR311" s="77"/>
      <c r="AS311" s="77"/>
      <c r="AT311" s="77"/>
      <c r="AU311" s="77"/>
      <c r="AV311" s="80" t="str">
        <f>HYPERLINK("https://pbs.twimg.com/profile_images/879694607281516546/csicG1gk_normal.jpg")</f>
        <v>https://pbs.twimg.com/profile_images/879694607281516546/csicG1gk_normal.jpg</v>
      </c>
      <c r="AW311" s="82" t="s">
        <v>17084</v>
      </c>
      <c r="AX311" s="82" t="s">
        <v>17084</v>
      </c>
      <c r="AY311" s="77"/>
      <c r="AZ311" s="82" t="s">
        <v>20971</v>
      </c>
      <c r="BA311" s="82" t="s">
        <v>20971</v>
      </c>
      <c r="BB311" s="82" t="s">
        <v>20971</v>
      </c>
      <c r="BC311" s="82" t="s">
        <v>17084</v>
      </c>
      <c r="BD311" s="82" t="s">
        <v>21116</v>
      </c>
      <c r="BE311" s="77"/>
      <c r="BF311" s="77"/>
      <c r="BG311" s="77"/>
      <c r="BH311" s="77"/>
      <c r="BI311" s="77"/>
    </row>
    <row r="312" spans="1:61" x14ac:dyDescent="0.25">
      <c r="A312" s="62" t="s">
        <v>368</v>
      </c>
      <c r="B312" s="62" t="s">
        <v>368</v>
      </c>
      <c r="C312" s="63"/>
      <c r="D312" s="64"/>
      <c r="E312" s="65"/>
      <c r="F312" s="66"/>
      <c r="G312" s="63"/>
      <c r="H312" s="67"/>
      <c r="I312" s="68"/>
      <c r="J312" s="68"/>
      <c r="K312" s="32"/>
      <c r="L312" s="75">
        <v>312</v>
      </c>
      <c r="M312" s="75"/>
      <c r="N312" s="70"/>
      <c r="O312" s="77" t="s">
        <v>179</v>
      </c>
      <c r="P312" s="79">
        <v>45027.750023148146</v>
      </c>
      <c r="Q312" s="77" t="s">
        <v>1595</v>
      </c>
      <c r="R312" s="77">
        <v>0</v>
      </c>
      <c r="S312" s="77">
        <v>0</v>
      </c>
      <c r="T312" s="77">
        <v>0</v>
      </c>
      <c r="U312" s="77">
        <v>0</v>
      </c>
      <c r="V312" s="77">
        <v>14</v>
      </c>
      <c r="W312" s="82" t="s">
        <v>5463</v>
      </c>
      <c r="X312" s="80" t="str">
        <f>HYPERLINK("http://flordelisdistribuidora.com/?route=trabalho/consultora")</f>
        <v>http://flordelisdistribuidora.com/?route=trabalho/consultora</v>
      </c>
      <c r="Y312" s="77" t="s">
        <v>7297</v>
      </c>
      <c r="Z312" s="77"/>
      <c r="AA312" s="77"/>
      <c r="AB312" s="77"/>
      <c r="AC312" s="82" t="s">
        <v>10152</v>
      </c>
      <c r="AD312" s="77" t="s">
        <v>10184</v>
      </c>
      <c r="AE312" s="80" t="str">
        <f>HYPERLINK("https://twitter.com/flor_de_lis_dis/status/1645849198846267406")</f>
        <v>https://twitter.com/flor_de_lis_dis/status/1645849198846267406</v>
      </c>
      <c r="AF312" s="79">
        <v>45027.750023148146</v>
      </c>
      <c r="AG312" s="85">
        <v>45027</v>
      </c>
      <c r="AH312" s="82" t="s">
        <v>10507</v>
      </c>
      <c r="AI312" s="77" t="b">
        <v>0</v>
      </c>
      <c r="AJ312" s="77"/>
      <c r="AK312" s="77"/>
      <c r="AL312" s="77"/>
      <c r="AM312" s="77"/>
      <c r="AN312" s="77"/>
      <c r="AO312" s="77"/>
      <c r="AP312" s="77"/>
      <c r="AQ312" s="77"/>
      <c r="AR312" s="77"/>
      <c r="AS312" s="77"/>
      <c r="AT312" s="77"/>
      <c r="AU312" s="77"/>
      <c r="AV312" s="80" t="str">
        <f>HYPERLINK("https://pbs.twimg.com/profile_images/879694607281516546/csicG1gk_normal.jpg")</f>
        <v>https://pbs.twimg.com/profile_images/879694607281516546/csicG1gk_normal.jpg</v>
      </c>
      <c r="AW312" s="82" t="s">
        <v>17085</v>
      </c>
      <c r="AX312" s="82" t="s">
        <v>17085</v>
      </c>
      <c r="AY312" s="77"/>
      <c r="AZ312" s="82" t="s">
        <v>20971</v>
      </c>
      <c r="BA312" s="82" t="s">
        <v>20971</v>
      </c>
      <c r="BB312" s="82" t="s">
        <v>20971</v>
      </c>
      <c r="BC312" s="82" t="s">
        <v>17085</v>
      </c>
      <c r="BD312" s="82" t="s">
        <v>21116</v>
      </c>
      <c r="BE312" s="77"/>
      <c r="BF312" s="77"/>
      <c r="BG312" s="77"/>
      <c r="BH312" s="77"/>
      <c r="BI312" s="77"/>
    </row>
    <row r="313" spans="1:61" x14ac:dyDescent="0.25">
      <c r="A313" s="62" t="s">
        <v>369</v>
      </c>
      <c r="B313" s="62" t="s">
        <v>369</v>
      </c>
      <c r="C313" s="63"/>
      <c r="D313" s="64"/>
      <c r="E313" s="65"/>
      <c r="F313" s="66"/>
      <c r="G313" s="63"/>
      <c r="H313" s="67"/>
      <c r="I313" s="68"/>
      <c r="J313" s="68"/>
      <c r="K313" s="32"/>
      <c r="L313" s="75">
        <v>313</v>
      </c>
      <c r="M313" s="75"/>
      <c r="N313" s="70"/>
      <c r="O313" s="77" t="s">
        <v>179</v>
      </c>
      <c r="P313" s="79">
        <v>45009.098263888889</v>
      </c>
      <c r="Q313" s="77" t="s">
        <v>1596</v>
      </c>
      <c r="R313" s="77">
        <v>0</v>
      </c>
      <c r="S313" s="77">
        <v>0</v>
      </c>
      <c r="T313" s="77">
        <v>0</v>
      </c>
      <c r="U313" s="77">
        <v>0</v>
      </c>
      <c r="V313" s="77">
        <v>263</v>
      </c>
      <c r="W313" s="82" t="s">
        <v>5464</v>
      </c>
      <c r="X313" s="80" t="str">
        <f>HYPERLINK("https://bit.ly/MPO_7")</f>
        <v>https://bit.ly/MPO_7</v>
      </c>
      <c r="Y313" s="77" t="s">
        <v>7268</v>
      </c>
      <c r="Z313" s="77"/>
      <c r="AA313" s="77" t="s">
        <v>7708</v>
      </c>
      <c r="AB313" s="77" t="s">
        <v>10129</v>
      </c>
      <c r="AC313" s="82" t="s">
        <v>10144</v>
      </c>
      <c r="AD313" s="77" t="s">
        <v>10184</v>
      </c>
      <c r="AE313" s="80" t="str">
        <f>HYPERLINK("https://twitter.com/danieleanile_/status/1639090029392789506")</f>
        <v>https://twitter.com/danieleanile_/status/1639090029392789506</v>
      </c>
      <c r="AF313" s="79">
        <v>45009.098263888889</v>
      </c>
      <c r="AG313" s="85">
        <v>45009</v>
      </c>
      <c r="AH313" s="82" t="s">
        <v>10508</v>
      </c>
      <c r="AI313" s="77" t="b">
        <v>0</v>
      </c>
      <c r="AJ313" s="77"/>
      <c r="AK313" s="77"/>
      <c r="AL313" s="77"/>
      <c r="AM313" s="77"/>
      <c r="AN313" s="77"/>
      <c r="AO313" s="77"/>
      <c r="AP313" s="77"/>
      <c r="AQ313" s="77" t="s">
        <v>14352</v>
      </c>
      <c r="AR313" s="77">
        <v>10000</v>
      </c>
      <c r="AS313" s="77"/>
      <c r="AT313" s="77"/>
      <c r="AU313" s="77"/>
      <c r="AV313" s="80" t="str">
        <f>HYPERLINK("https://pbs.twimg.com/ext_tw_video_thumb/1639089999583891457/pu/img/iSn3Lhv9QzXt8vYf.jpg")</f>
        <v>https://pbs.twimg.com/ext_tw_video_thumb/1639089999583891457/pu/img/iSn3Lhv9QzXt8vYf.jpg</v>
      </c>
      <c r="AW313" s="82" t="s">
        <v>17086</v>
      </c>
      <c r="AX313" s="82" t="s">
        <v>17086</v>
      </c>
      <c r="AY313" s="77"/>
      <c r="AZ313" s="82" t="s">
        <v>20971</v>
      </c>
      <c r="BA313" s="82" t="s">
        <v>20971</v>
      </c>
      <c r="BB313" s="82" t="s">
        <v>20971</v>
      </c>
      <c r="BC313" s="82" t="s">
        <v>17086</v>
      </c>
      <c r="BD313" s="82" t="s">
        <v>21117</v>
      </c>
      <c r="BE313" s="77"/>
      <c r="BF313" s="77"/>
      <c r="BG313" s="77"/>
      <c r="BH313" s="77"/>
      <c r="BI313" s="77"/>
    </row>
    <row r="314" spans="1:61" x14ac:dyDescent="0.25">
      <c r="A314" s="62" t="s">
        <v>369</v>
      </c>
      <c r="B314" s="62" t="s">
        <v>369</v>
      </c>
      <c r="C314" s="63"/>
      <c r="D314" s="64"/>
      <c r="E314" s="65"/>
      <c r="F314" s="66"/>
      <c r="G314" s="63"/>
      <c r="H314" s="67"/>
      <c r="I314" s="68"/>
      <c r="J314" s="68"/>
      <c r="K314" s="32"/>
      <c r="L314" s="75">
        <v>314</v>
      </c>
      <c r="M314" s="75"/>
      <c r="N314" s="70"/>
      <c r="O314" s="77" t="s">
        <v>179</v>
      </c>
      <c r="P314" s="79">
        <v>45010.87327546296</v>
      </c>
      <c r="Q314" s="77" t="s">
        <v>1597</v>
      </c>
      <c r="R314" s="77">
        <v>0</v>
      </c>
      <c r="S314" s="77">
        <v>0</v>
      </c>
      <c r="T314" s="77">
        <v>0</v>
      </c>
      <c r="U314" s="77">
        <v>0</v>
      </c>
      <c r="V314" s="77">
        <v>184</v>
      </c>
      <c r="W314" s="82" t="s">
        <v>5465</v>
      </c>
      <c r="X314" s="80" t="str">
        <f>HYPERLINK("https://bit.ly/MPO_7")</f>
        <v>https://bit.ly/MPO_7</v>
      </c>
      <c r="Y314" s="77" t="s">
        <v>7268</v>
      </c>
      <c r="Z314" s="77"/>
      <c r="AA314" s="77" t="s">
        <v>7709</v>
      </c>
      <c r="AB314" s="77" t="s">
        <v>10130</v>
      </c>
      <c r="AC314" s="82" t="s">
        <v>10146</v>
      </c>
      <c r="AD314" s="77" t="s">
        <v>10184</v>
      </c>
      <c r="AE314" s="80" t="str">
        <f>HYPERLINK("https://twitter.com/danieleanile_/status/1639733273243836421")</f>
        <v>https://twitter.com/danieleanile_/status/1639733273243836421</v>
      </c>
      <c r="AF314" s="79">
        <v>45010.87327546296</v>
      </c>
      <c r="AG314" s="85">
        <v>45010</v>
      </c>
      <c r="AH314" s="82" t="s">
        <v>10509</v>
      </c>
      <c r="AI314" s="77" t="b">
        <v>0</v>
      </c>
      <c r="AJ314" s="77"/>
      <c r="AK314" s="77"/>
      <c r="AL314" s="77"/>
      <c r="AM314" s="77"/>
      <c r="AN314" s="77"/>
      <c r="AO314" s="77"/>
      <c r="AP314" s="77"/>
      <c r="AQ314" s="77" t="s">
        <v>14353</v>
      </c>
      <c r="AR314" s="77"/>
      <c r="AS314" s="77"/>
      <c r="AT314" s="77"/>
      <c r="AU314" s="77"/>
      <c r="AV314" s="80" t="str">
        <f>HYPERLINK("https://pbs.twimg.com/media/FsF-_V9XwAI0oiy.jpg")</f>
        <v>https://pbs.twimg.com/media/FsF-_V9XwAI0oiy.jpg</v>
      </c>
      <c r="AW314" s="82" t="s">
        <v>17087</v>
      </c>
      <c r="AX314" s="82" t="s">
        <v>17087</v>
      </c>
      <c r="AY314" s="77"/>
      <c r="AZ314" s="82" t="s">
        <v>20971</v>
      </c>
      <c r="BA314" s="82" t="s">
        <v>20971</v>
      </c>
      <c r="BB314" s="82" t="s">
        <v>20971</v>
      </c>
      <c r="BC314" s="82" t="s">
        <v>17087</v>
      </c>
      <c r="BD314" s="82" t="s">
        <v>21117</v>
      </c>
      <c r="BE314" s="77"/>
      <c r="BF314" s="77"/>
      <c r="BG314" s="77"/>
      <c r="BH314" s="77"/>
      <c r="BI314" s="77"/>
    </row>
    <row r="315" spans="1:61" x14ac:dyDescent="0.25">
      <c r="A315" s="62" t="s">
        <v>369</v>
      </c>
      <c r="B315" s="62" t="s">
        <v>369</v>
      </c>
      <c r="C315" s="63"/>
      <c r="D315" s="64"/>
      <c r="E315" s="65"/>
      <c r="F315" s="66"/>
      <c r="G315" s="63"/>
      <c r="H315" s="67"/>
      <c r="I315" s="68"/>
      <c r="J315" s="68"/>
      <c r="K315" s="32"/>
      <c r="L315" s="75">
        <v>315</v>
      </c>
      <c r="M315" s="75"/>
      <c r="N315" s="70"/>
      <c r="O315" s="77" t="s">
        <v>179</v>
      </c>
      <c r="P315" s="79">
        <v>45010.610520833332</v>
      </c>
      <c r="Q315" s="77" t="s">
        <v>1598</v>
      </c>
      <c r="R315" s="77">
        <v>1</v>
      </c>
      <c r="S315" s="77">
        <v>1</v>
      </c>
      <c r="T315" s="77">
        <v>1</v>
      </c>
      <c r="U315" s="77">
        <v>0</v>
      </c>
      <c r="V315" s="77">
        <v>291</v>
      </c>
      <c r="W315" s="82" t="s">
        <v>5466</v>
      </c>
      <c r="X315" s="80" t="str">
        <f>HYPERLINK("https://bit.ly/MPO_7")</f>
        <v>https://bit.ly/MPO_7</v>
      </c>
      <c r="Y315" s="77" t="s">
        <v>7268</v>
      </c>
      <c r="Z315" s="77"/>
      <c r="AA315" s="77" t="s">
        <v>7710</v>
      </c>
      <c r="AB315" s="77" t="s">
        <v>10129</v>
      </c>
      <c r="AC315" s="82" t="s">
        <v>10144</v>
      </c>
      <c r="AD315" s="77" t="s">
        <v>10184</v>
      </c>
      <c r="AE315" s="80" t="str">
        <f>HYPERLINK("https://twitter.com/danieleanile_/status/1639638053772750851")</f>
        <v>https://twitter.com/danieleanile_/status/1639638053772750851</v>
      </c>
      <c r="AF315" s="79">
        <v>45010.610520833332</v>
      </c>
      <c r="AG315" s="85">
        <v>45010</v>
      </c>
      <c r="AH315" s="82" t="s">
        <v>10510</v>
      </c>
      <c r="AI315" s="77" t="b">
        <v>0</v>
      </c>
      <c r="AJ315" s="77"/>
      <c r="AK315" s="77"/>
      <c r="AL315" s="77"/>
      <c r="AM315" s="77"/>
      <c r="AN315" s="77"/>
      <c r="AO315" s="77"/>
      <c r="AP315" s="77"/>
      <c r="AQ315" s="77" t="s">
        <v>14354</v>
      </c>
      <c r="AR315" s="77">
        <v>9966</v>
      </c>
      <c r="AS315" s="77"/>
      <c r="AT315" s="77"/>
      <c r="AU315" s="77"/>
      <c r="AV315" s="80" t="str">
        <f>HYPERLINK("https://pbs.twimg.com/ext_tw_video_thumb/1639638000408711169/pu/img/sqHsVUU_xQl9yXAO.jpg")</f>
        <v>https://pbs.twimg.com/ext_tw_video_thumb/1639638000408711169/pu/img/sqHsVUU_xQl9yXAO.jpg</v>
      </c>
      <c r="AW315" s="82" t="s">
        <v>17088</v>
      </c>
      <c r="AX315" s="82" t="s">
        <v>17088</v>
      </c>
      <c r="AY315" s="77"/>
      <c r="AZ315" s="82" t="s">
        <v>20971</v>
      </c>
      <c r="BA315" s="82" t="s">
        <v>20971</v>
      </c>
      <c r="BB315" s="82" t="s">
        <v>20971</v>
      </c>
      <c r="BC315" s="82" t="s">
        <v>17088</v>
      </c>
      <c r="BD315" s="82" t="s">
        <v>21117</v>
      </c>
      <c r="BE315" s="77"/>
      <c r="BF315" s="77"/>
      <c r="BG315" s="77"/>
      <c r="BH315" s="77"/>
      <c r="BI315" s="77"/>
    </row>
    <row r="316" spans="1:61" x14ac:dyDescent="0.25">
      <c r="A316" s="62" t="s">
        <v>369</v>
      </c>
      <c r="B316" s="62" t="s">
        <v>369</v>
      </c>
      <c r="C316" s="63"/>
      <c r="D316" s="64"/>
      <c r="E316" s="65"/>
      <c r="F316" s="66"/>
      <c r="G316" s="63"/>
      <c r="H316" s="67"/>
      <c r="I316" s="68"/>
      <c r="J316" s="68"/>
      <c r="K316" s="32"/>
      <c r="L316" s="75">
        <v>316</v>
      </c>
      <c r="M316" s="75"/>
      <c r="N316" s="70"/>
      <c r="O316" s="77" t="s">
        <v>179</v>
      </c>
      <c r="P316" s="79">
        <v>45016.727777777778</v>
      </c>
      <c r="Q316" s="77" t="s">
        <v>1599</v>
      </c>
      <c r="R316" s="77">
        <v>0</v>
      </c>
      <c r="S316" s="77">
        <v>1</v>
      </c>
      <c r="T316" s="77">
        <v>0</v>
      </c>
      <c r="U316" s="77">
        <v>0</v>
      </c>
      <c r="V316" s="77">
        <v>354</v>
      </c>
      <c r="W316" s="82" t="s">
        <v>5467</v>
      </c>
      <c r="X316" s="80" t="str">
        <f>HYPERLINK("https://bit.ly/3YGlJiu")</f>
        <v>https://bit.ly/3YGlJiu</v>
      </c>
      <c r="Y316" s="77" t="s">
        <v>7268</v>
      </c>
      <c r="Z316" s="77"/>
      <c r="AA316" s="77" t="s">
        <v>7711</v>
      </c>
      <c r="AB316" s="77" t="s">
        <v>10130</v>
      </c>
      <c r="AC316" s="82" t="s">
        <v>10146</v>
      </c>
      <c r="AD316" s="77" t="s">
        <v>10184</v>
      </c>
      <c r="AE316" s="80" t="str">
        <f>HYPERLINK("https://twitter.com/danieleanile_/status/1641854872029888526")</f>
        <v>https://twitter.com/danieleanile_/status/1641854872029888526</v>
      </c>
      <c r="AF316" s="79">
        <v>45016.727777777778</v>
      </c>
      <c r="AG316" s="85">
        <v>45016</v>
      </c>
      <c r="AH316" s="82" t="s">
        <v>10511</v>
      </c>
      <c r="AI316" s="77" t="b">
        <v>0</v>
      </c>
      <c r="AJ316" s="77"/>
      <c r="AK316" s="77"/>
      <c r="AL316" s="77"/>
      <c r="AM316" s="77"/>
      <c r="AN316" s="77"/>
      <c r="AO316" s="77"/>
      <c r="AP316" s="77"/>
      <c r="AQ316" s="77" t="s">
        <v>14355</v>
      </c>
      <c r="AR316" s="77"/>
      <c r="AS316" s="77"/>
      <c r="AT316" s="77"/>
      <c r="AU316" s="77"/>
      <c r="AV316" s="80" t="str">
        <f>HYPERLINK("https://pbs.twimg.com/media/FskJAdSWABwPTM8.jpg")</f>
        <v>https://pbs.twimg.com/media/FskJAdSWABwPTM8.jpg</v>
      </c>
      <c r="AW316" s="82" t="s">
        <v>17089</v>
      </c>
      <c r="AX316" s="82" t="s">
        <v>17089</v>
      </c>
      <c r="AY316" s="77"/>
      <c r="AZ316" s="82" t="s">
        <v>20971</v>
      </c>
      <c r="BA316" s="82" t="s">
        <v>20971</v>
      </c>
      <c r="BB316" s="82" t="s">
        <v>20971</v>
      </c>
      <c r="BC316" s="82" t="s">
        <v>17089</v>
      </c>
      <c r="BD316" s="82" t="s">
        <v>21117</v>
      </c>
      <c r="BE316" s="77"/>
      <c r="BF316" s="77"/>
      <c r="BG316" s="77"/>
      <c r="BH316" s="77"/>
      <c r="BI316" s="77"/>
    </row>
    <row r="317" spans="1:61" x14ac:dyDescent="0.25">
      <c r="A317" s="62" t="s">
        <v>369</v>
      </c>
      <c r="B317" s="62" t="s">
        <v>369</v>
      </c>
      <c r="C317" s="63"/>
      <c r="D317" s="64"/>
      <c r="E317" s="65"/>
      <c r="F317" s="66"/>
      <c r="G317" s="63"/>
      <c r="H317" s="67"/>
      <c r="I317" s="68"/>
      <c r="J317" s="68"/>
      <c r="K317" s="32"/>
      <c r="L317" s="75">
        <v>317</v>
      </c>
      <c r="M317" s="75"/>
      <c r="N317" s="70"/>
      <c r="O317" s="77" t="s">
        <v>179</v>
      </c>
      <c r="P317" s="79">
        <v>44994.873171296298</v>
      </c>
      <c r="Q317" s="77" t="s">
        <v>1600</v>
      </c>
      <c r="R317" s="77">
        <v>0</v>
      </c>
      <c r="S317" s="77">
        <v>0</v>
      </c>
      <c r="T317" s="77">
        <v>0</v>
      </c>
      <c r="U317" s="77">
        <v>0</v>
      </c>
      <c r="V317" s="77">
        <v>270</v>
      </c>
      <c r="W317" s="82" t="s">
        <v>5468</v>
      </c>
      <c r="X317" s="80" t="str">
        <f>HYPERLINK("https://bit.ly/3YZpYpQ")</f>
        <v>https://bit.ly/3YZpYpQ</v>
      </c>
      <c r="Y317" s="77" t="s">
        <v>7268</v>
      </c>
      <c r="Z317" s="77"/>
      <c r="AA317" s="77" t="s">
        <v>7712</v>
      </c>
      <c r="AB317" s="77" t="s">
        <v>10129</v>
      </c>
      <c r="AC317" s="82" t="s">
        <v>10144</v>
      </c>
      <c r="AD317" s="77" t="s">
        <v>10184</v>
      </c>
      <c r="AE317" s="80" t="str">
        <f>HYPERLINK("https://twitter.com/danieleanile_/status/1633935027720298496")</f>
        <v>https://twitter.com/danieleanile_/status/1633935027720298496</v>
      </c>
      <c r="AF317" s="79">
        <v>44994.873171296298</v>
      </c>
      <c r="AG317" s="85">
        <v>44994</v>
      </c>
      <c r="AH317" s="82" t="s">
        <v>10512</v>
      </c>
      <c r="AI317" s="77" t="b">
        <v>0</v>
      </c>
      <c r="AJ317" s="77"/>
      <c r="AK317" s="77"/>
      <c r="AL317" s="77"/>
      <c r="AM317" s="77"/>
      <c r="AN317" s="77"/>
      <c r="AO317" s="77"/>
      <c r="AP317" s="77"/>
      <c r="AQ317" s="77" t="s">
        <v>14356</v>
      </c>
      <c r="AR317" s="77">
        <v>14975</v>
      </c>
      <c r="AS317" s="77"/>
      <c r="AT317" s="77"/>
      <c r="AU317" s="77"/>
      <c r="AV317" s="80" t="str">
        <f>HYPERLINK("https://pbs.twimg.com/ext_tw_video_thumb/1633934994065313794/pu/img/D5NWTMkHDP1dj7PB.jpg")</f>
        <v>https://pbs.twimg.com/ext_tw_video_thumb/1633934994065313794/pu/img/D5NWTMkHDP1dj7PB.jpg</v>
      </c>
      <c r="AW317" s="82" t="s">
        <v>17090</v>
      </c>
      <c r="AX317" s="82" t="s">
        <v>17090</v>
      </c>
      <c r="AY317" s="77"/>
      <c r="AZ317" s="82" t="s">
        <v>20971</v>
      </c>
      <c r="BA317" s="82" t="s">
        <v>20971</v>
      </c>
      <c r="BB317" s="82" t="s">
        <v>20971</v>
      </c>
      <c r="BC317" s="82" t="s">
        <v>17090</v>
      </c>
      <c r="BD317" s="82" t="s">
        <v>21117</v>
      </c>
      <c r="BE317" s="77"/>
      <c r="BF317" s="77"/>
      <c r="BG317" s="77"/>
      <c r="BH317" s="77"/>
      <c r="BI317" s="77"/>
    </row>
    <row r="318" spans="1:61" x14ac:dyDescent="0.25">
      <c r="A318" s="62" t="s">
        <v>369</v>
      </c>
      <c r="B318" s="62" t="s">
        <v>369</v>
      </c>
      <c r="C318" s="63"/>
      <c r="D318" s="64"/>
      <c r="E318" s="65"/>
      <c r="F318" s="66"/>
      <c r="G318" s="63"/>
      <c r="H318" s="67"/>
      <c r="I318" s="68"/>
      <c r="J318" s="68"/>
      <c r="K318" s="32"/>
      <c r="L318" s="75">
        <v>318</v>
      </c>
      <c r="M318" s="75"/>
      <c r="N318" s="70"/>
      <c r="O318" s="77" t="s">
        <v>179</v>
      </c>
      <c r="P318" s="79">
        <v>44993.858807870369</v>
      </c>
      <c r="Q318" s="77" t="s">
        <v>1601</v>
      </c>
      <c r="R318" s="77">
        <v>0</v>
      </c>
      <c r="S318" s="77">
        <v>0</v>
      </c>
      <c r="T318" s="77">
        <v>0</v>
      </c>
      <c r="U318" s="77">
        <v>0</v>
      </c>
      <c r="V318" s="77">
        <v>529</v>
      </c>
      <c r="W318" s="82" t="s">
        <v>5469</v>
      </c>
      <c r="X318" s="80" t="str">
        <f>HYPERLINK("https://bit.ly/3YXoLyG")</f>
        <v>https://bit.ly/3YXoLyG</v>
      </c>
      <c r="Y318" s="77" t="s">
        <v>7268</v>
      </c>
      <c r="Z318" s="77"/>
      <c r="AA318" s="77" t="s">
        <v>7713</v>
      </c>
      <c r="AB318" s="77" t="s">
        <v>10129</v>
      </c>
      <c r="AC318" s="82" t="s">
        <v>10146</v>
      </c>
      <c r="AD318" s="77" t="s">
        <v>10184</v>
      </c>
      <c r="AE318" s="80" t="str">
        <f>HYPERLINK("https://twitter.com/danieleanile_/status/1633567436396953600")</f>
        <v>https://twitter.com/danieleanile_/status/1633567436396953600</v>
      </c>
      <c r="AF318" s="79">
        <v>44993.858807870369</v>
      </c>
      <c r="AG318" s="85">
        <v>44993</v>
      </c>
      <c r="AH318" s="82" t="s">
        <v>10513</v>
      </c>
      <c r="AI318" s="77" t="b">
        <v>0</v>
      </c>
      <c r="AJ318" s="77"/>
      <c r="AK318" s="77"/>
      <c r="AL318" s="77"/>
      <c r="AM318" s="77"/>
      <c r="AN318" s="77"/>
      <c r="AO318" s="77"/>
      <c r="AP318" s="77"/>
      <c r="AQ318" s="77" t="s">
        <v>14357</v>
      </c>
      <c r="AR318" s="77">
        <v>21780</v>
      </c>
      <c r="AS318" s="77"/>
      <c r="AT318" s="77"/>
      <c r="AU318" s="77"/>
      <c r="AV318" s="80" t="str">
        <f>HYPERLINK("https://pbs.twimg.com/ext_tw_video_thumb/1633565114283507712/pu/img/DUOhEvPej8QgJ9HA.jpg")</f>
        <v>https://pbs.twimg.com/ext_tw_video_thumb/1633565114283507712/pu/img/DUOhEvPej8QgJ9HA.jpg</v>
      </c>
      <c r="AW318" s="82" t="s">
        <v>17091</v>
      </c>
      <c r="AX318" s="82" t="s">
        <v>17091</v>
      </c>
      <c r="AY318" s="77"/>
      <c r="AZ318" s="82" t="s">
        <v>20971</v>
      </c>
      <c r="BA318" s="82" t="s">
        <v>20971</v>
      </c>
      <c r="BB318" s="82" t="s">
        <v>20971</v>
      </c>
      <c r="BC318" s="82" t="s">
        <v>17091</v>
      </c>
      <c r="BD318" s="82" t="s">
        <v>21117</v>
      </c>
      <c r="BE318" s="77"/>
      <c r="BF318" s="77"/>
      <c r="BG318" s="77"/>
      <c r="BH318" s="77"/>
      <c r="BI318" s="77"/>
    </row>
    <row r="319" spans="1:61" x14ac:dyDescent="0.25">
      <c r="A319" s="62" t="s">
        <v>369</v>
      </c>
      <c r="B319" s="62" t="s">
        <v>369</v>
      </c>
      <c r="C319" s="63"/>
      <c r="D319" s="64"/>
      <c r="E319" s="65"/>
      <c r="F319" s="66"/>
      <c r="G319" s="63"/>
      <c r="H319" s="67"/>
      <c r="I319" s="68"/>
      <c r="J319" s="68"/>
      <c r="K319" s="32"/>
      <c r="L319" s="75">
        <v>319</v>
      </c>
      <c r="M319" s="75"/>
      <c r="N319" s="70"/>
      <c r="O319" s="77" t="s">
        <v>179</v>
      </c>
      <c r="P319" s="79">
        <v>44993.738587962966</v>
      </c>
      <c r="Q319" s="77" t="s">
        <v>1602</v>
      </c>
      <c r="R319" s="77">
        <v>0</v>
      </c>
      <c r="S319" s="77">
        <v>0</v>
      </c>
      <c r="T319" s="77">
        <v>0</v>
      </c>
      <c r="U319" s="77">
        <v>0</v>
      </c>
      <c r="V319" s="77">
        <v>498</v>
      </c>
      <c r="W319" s="82" t="s">
        <v>5470</v>
      </c>
      <c r="X319" s="80" t="str">
        <f>HYPERLINK("https://bit.ly/3XIgFJk")</f>
        <v>https://bit.ly/3XIgFJk</v>
      </c>
      <c r="Y319" s="77" t="s">
        <v>7268</v>
      </c>
      <c r="Z319" s="77"/>
      <c r="AA319" s="77" t="s">
        <v>7714</v>
      </c>
      <c r="AB319" s="77" t="s">
        <v>10129</v>
      </c>
      <c r="AC319" s="82" t="s">
        <v>10144</v>
      </c>
      <c r="AD319" s="77" t="s">
        <v>10184</v>
      </c>
      <c r="AE319" s="80" t="str">
        <f>HYPERLINK("https://twitter.com/danieleanile_/status/1633523869406355460")</f>
        <v>https://twitter.com/danieleanile_/status/1633523869406355460</v>
      </c>
      <c r="AF319" s="79">
        <v>44993.738587962966</v>
      </c>
      <c r="AG319" s="85">
        <v>44993</v>
      </c>
      <c r="AH319" s="82" t="s">
        <v>10514</v>
      </c>
      <c r="AI319" s="77" t="b">
        <v>0</v>
      </c>
      <c r="AJ319" s="77"/>
      <c r="AK319" s="77"/>
      <c r="AL319" s="77"/>
      <c r="AM319" s="77"/>
      <c r="AN319" s="77"/>
      <c r="AO319" s="77"/>
      <c r="AP319" s="77"/>
      <c r="AQ319" s="77" t="s">
        <v>14358</v>
      </c>
      <c r="AR319" s="77">
        <v>33250</v>
      </c>
      <c r="AS319" s="77"/>
      <c r="AT319" s="77"/>
      <c r="AU319" s="77"/>
      <c r="AV319" s="80" t="str">
        <f>HYPERLINK("https://pbs.twimg.com/ext_tw_video_thumb/1633523783821664256/pu/img/pG1M1AbvNT1jDB5n.jpg")</f>
        <v>https://pbs.twimg.com/ext_tw_video_thumb/1633523783821664256/pu/img/pG1M1AbvNT1jDB5n.jpg</v>
      </c>
      <c r="AW319" s="82" t="s">
        <v>17092</v>
      </c>
      <c r="AX319" s="82" t="s">
        <v>17092</v>
      </c>
      <c r="AY319" s="77"/>
      <c r="AZ319" s="82" t="s">
        <v>20971</v>
      </c>
      <c r="BA319" s="82" t="s">
        <v>20971</v>
      </c>
      <c r="BB319" s="82" t="s">
        <v>20971</v>
      </c>
      <c r="BC319" s="82" t="s">
        <v>17092</v>
      </c>
      <c r="BD319" s="82" t="s">
        <v>21117</v>
      </c>
      <c r="BE319" s="77"/>
      <c r="BF319" s="77"/>
      <c r="BG319" s="77"/>
      <c r="BH319" s="77"/>
      <c r="BI319" s="77"/>
    </row>
    <row r="320" spans="1:61" x14ac:dyDescent="0.25">
      <c r="A320" s="62" t="s">
        <v>369</v>
      </c>
      <c r="B320" s="62" t="s">
        <v>369</v>
      </c>
      <c r="C320" s="63"/>
      <c r="D320" s="64"/>
      <c r="E320" s="65"/>
      <c r="F320" s="66"/>
      <c r="G320" s="63"/>
      <c r="H320" s="67"/>
      <c r="I320" s="68"/>
      <c r="J320" s="68"/>
      <c r="K320" s="32"/>
      <c r="L320" s="75">
        <v>320</v>
      </c>
      <c r="M320" s="75"/>
      <c r="N320" s="70"/>
      <c r="O320" s="77" t="s">
        <v>179</v>
      </c>
      <c r="P320" s="79">
        <v>44993.589861111112</v>
      </c>
      <c r="Q320" s="77" t="s">
        <v>1603</v>
      </c>
      <c r="R320" s="77">
        <v>0</v>
      </c>
      <c r="S320" s="77">
        <v>0</v>
      </c>
      <c r="T320" s="77">
        <v>0</v>
      </c>
      <c r="U320" s="77">
        <v>0</v>
      </c>
      <c r="V320" s="77">
        <v>651</v>
      </c>
      <c r="W320" s="82" t="s">
        <v>5471</v>
      </c>
      <c r="X320" s="80" t="str">
        <f>HYPERLINK("https://bit.ly/3YGlJiu")</f>
        <v>https://bit.ly/3YGlJiu</v>
      </c>
      <c r="Y320" s="77" t="s">
        <v>7268</v>
      </c>
      <c r="Z320" s="77"/>
      <c r="AA320" s="77" t="s">
        <v>7715</v>
      </c>
      <c r="AB320" s="77" t="s">
        <v>10129</v>
      </c>
      <c r="AC320" s="82" t="s">
        <v>10144</v>
      </c>
      <c r="AD320" s="77" t="s">
        <v>10184</v>
      </c>
      <c r="AE320" s="80" t="str">
        <f>HYPERLINK("https://twitter.com/danieleanile_/status/1633469972209958916")</f>
        <v>https://twitter.com/danieleanile_/status/1633469972209958916</v>
      </c>
      <c r="AF320" s="79">
        <v>44993.589861111112</v>
      </c>
      <c r="AG320" s="85">
        <v>44993</v>
      </c>
      <c r="AH320" s="82" t="s">
        <v>10515</v>
      </c>
      <c r="AI320" s="77" t="b">
        <v>0</v>
      </c>
      <c r="AJ320" s="77"/>
      <c r="AK320" s="77"/>
      <c r="AL320" s="77"/>
      <c r="AM320" s="77"/>
      <c r="AN320" s="77"/>
      <c r="AO320" s="77"/>
      <c r="AP320" s="77"/>
      <c r="AQ320" s="77" t="s">
        <v>14359</v>
      </c>
      <c r="AR320" s="77">
        <v>35107</v>
      </c>
      <c r="AS320" s="77"/>
      <c r="AT320" s="77"/>
      <c r="AU320" s="77"/>
      <c r="AV320" s="80" t="str">
        <f>HYPERLINK("https://pbs.twimg.com/ext_tw_video_thumb/1633469897693962242/pu/img/geYYUlJ8EEK1I-o0.jpg")</f>
        <v>https://pbs.twimg.com/ext_tw_video_thumb/1633469897693962242/pu/img/geYYUlJ8EEK1I-o0.jpg</v>
      </c>
      <c r="AW320" s="82" t="s">
        <v>17093</v>
      </c>
      <c r="AX320" s="82" t="s">
        <v>17093</v>
      </c>
      <c r="AY320" s="77"/>
      <c r="AZ320" s="82" t="s">
        <v>20971</v>
      </c>
      <c r="BA320" s="82" t="s">
        <v>20971</v>
      </c>
      <c r="BB320" s="82" t="s">
        <v>20971</v>
      </c>
      <c r="BC320" s="82" t="s">
        <v>17093</v>
      </c>
      <c r="BD320" s="82" t="s">
        <v>21117</v>
      </c>
      <c r="BE320" s="77"/>
      <c r="BF320" s="77"/>
      <c r="BG320" s="77"/>
      <c r="BH320" s="77"/>
      <c r="BI320" s="77"/>
    </row>
    <row r="321" spans="1:61" x14ac:dyDescent="0.25">
      <c r="A321" s="62" t="s">
        <v>369</v>
      </c>
      <c r="B321" s="62" t="s">
        <v>369</v>
      </c>
      <c r="C321" s="63"/>
      <c r="D321" s="64"/>
      <c r="E321" s="65"/>
      <c r="F321" s="66"/>
      <c r="G321" s="63"/>
      <c r="H321" s="67"/>
      <c r="I321" s="68"/>
      <c r="J321" s="68"/>
      <c r="K321" s="32"/>
      <c r="L321" s="75">
        <v>321</v>
      </c>
      <c r="M321" s="75"/>
      <c r="N321" s="70"/>
      <c r="O321" s="77" t="s">
        <v>179</v>
      </c>
      <c r="P321" s="79">
        <v>45038.95113425926</v>
      </c>
      <c r="Q321" s="77" t="s">
        <v>1604</v>
      </c>
      <c r="R321" s="77">
        <v>0</v>
      </c>
      <c r="S321" s="77">
        <v>1</v>
      </c>
      <c r="T321" s="77">
        <v>0</v>
      </c>
      <c r="U321" s="77">
        <v>0</v>
      </c>
      <c r="V321" s="77">
        <v>180</v>
      </c>
      <c r="W321" s="82" t="s">
        <v>5472</v>
      </c>
      <c r="X321" s="80" t="str">
        <f>HYPERLINK("https://bit.ly/MPF_")</f>
        <v>https://bit.ly/MPF_</v>
      </c>
      <c r="Y321" s="77" t="s">
        <v>7268</v>
      </c>
      <c r="Z321" s="77"/>
      <c r="AA321" s="77" t="s">
        <v>7716</v>
      </c>
      <c r="AB321" s="77" t="s">
        <v>10130</v>
      </c>
      <c r="AC321" s="82" t="s">
        <v>10144</v>
      </c>
      <c r="AD321" s="77" t="s">
        <v>10184</v>
      </c>
      <c r="AE321" s="80" t="str">
        <f>HYPERLINK("https://twitter.com/danieleanile_/status/1649908347682840577")</f>
        <v>https://twitter.com/danieleanile_/status/1649908347682840577</v>
      </c>
      <c r="AF321" s="79">
        <v>45038.95113425926</v>
      </c>
      <c r="AG321" s="85">
        <v>45038</v>
      </c>
      <c r="AH321" s="82" t="s">
        <v>10516</v>
      </c>
      <c r="AI321" s="77" t="b">
        <v>0</v>
      </c>
      <c r="AJ321" s="77"/>
      <c r="AK321" s="77"/>
      <c r="AL321" s="77"/>
      <c r="AM321" s="77"/>
      <c r="AN321" s="77"/>
      <c r="AO321" s="77"/>
      <c r="AP321" s="77"/>
      <c r="AQ321" s="77" t="s">
        <v>14360</v>
      </c>
      <c r="AR321" s="77"/>
      <c r="AS321" s="77"/>
      <c r="AT321" s="77"/>
      <c r="AU321" s="77"/>
      <c r="AV321" s="80" t="str">
        <f>HYPERLINK("https://pbs.twimg.com/media/FuWm5elWcAAt4Bt.jpg")</f>
        <v>https://pbs.twimg.com/media/FuWm5elWcAAt4Bt.jpg</v>
      </c>
      <c r="AW321" s="82" t="s">
        <v>17094</v>
      </c>
      <c r="AX321" s="82" t="s">
        <v>17094</v>
      </c>
      <c r="AY321" s="77"/>
      <c r="AZ321" s="82" t="s">
        <v>20971</v>
      </c>
      <c r="BA321" s="82" t="s">
        <v>20971</v>
      </c>
      <c r="BB321" s="82" t="s">
        <v>20971</v>
      </c>
      <c r="BC321" s="82" t="s">
        <v>17094</v>
      </c>
      <c r="BD321" s="82" t="s">
        <v>21117</v>
      </c>
      <c r="BE321" s="77"/>
      <c r="BF321" s="77"/>
      <c r="BG321" s="77"/>
      <c r="BH321" s="77"/>
      <c r="BI321" s="77"/>
    </row>
    <row r="322" spans="1:61" x14ac:dyDescent="0.25">
      <c r="A322" s="62" t="s">
        <v>369</v>
      </c>
      <c r="B322" s="62" t="s">
        <v>369</v>
      </c>
      <c r="C322" s="63"/>
      <c r="D322" s="64"/>
      <c r="E322" s="65"/>
      <c r="F322" s="66"/>
      <c r="G322" s="63"/>
      <c r="H322" s="67"/>
      <c r="I322" s="68"/>
      <c r="J322" s="68"/>
      <c r="K322" s="32"/>
      <c r="L322" s="75">
        <v>322</v>
      </c>
      <c r="M322" s="75"/>
      <c r="N322" s="70"/>
      <c r="O322" s="77" t="s">
        <v>179</v>
      </c>
      <c r="P322" s="79">
        <v>44993.493298611109</v>
      </c>
      <c r="Q322" s="77" t="s">
        <v>1605</v>
      </c>
      <c r="R322" s="77">
        <v>0</v>
      </c>
      <c r="S322" s="77">
        <v>2</v>
      </c>
      <c r="T322" s="77">
        <v>0</v>
      </c>
      <c r="U322" s="77">
        <v>0</v>
      </c>
      <c r="V322" s="77">
        <v>56</v>
      </c>
      <c r="W322" s="82" t="s">
        <v>5473</v>
      </c>
      <c r="X322" s="77"/>
      <c r="Y322" s="77"/>
      <c r="Z322" s="77"/>
      <c r="AA322" s="77" t="s">
        <v>7717</v>
      </c>
      <c r="AB322" s="77" t="s">
        <v>10130</v>
      </c>
      <c r="AC322" s="82" t="s">
        <v>10144</v>
      </c>
      <c r="AD322" s="77" t="s">
        <v>10184</v>
      </c>
      <c r="AE322" s="80" t="str">
        <f>HYPERLINK("https://twitter.com/danieleanile_/status/1633434980121542656")</f>
        <v>https://twitter.com/danieleanile_/status/1633434980121542656</v>
      </c>
      <c r="AF322" s="79">
        <v>44993.493298611109</v>
      </c>
      <c r="AG322" s="85">
        <v>44993</v>
      </c>
      <c r="AH322" s="82" t="s">
        <v>10517</v>
      </c>
      <c r="AI322" s="77" t="b">
        <v>0</v>
      </c>
      <c r="AJ322" s="77"/>
      <c r="AK322" s="77"/>
      <c r="AL322" s="77"/>
      <c r="AM322" s="77"/>
      <c r="AN322" s="77"/>
      <c r="AO322" s="77"/>
      <c r="AP322" s="77"/>
      <c r="AQ322" s="77" t="s">
        <v>14361</v>
      </c>
      <c r="AR322" s="77"/>
      <c r="AS322" s="77"/>
      <c r="AT322" s="77"/>
      <c r="AU322" s="77"/>
      <c r="AV322" s="80" t="str">
        <f>HYPERLINK("https://pbs.twimg.com/media/FqsgdPWXoAIFaZl.jpg")</f>
        <v>https://pbs.twimg.com/media/FqsgdPWXoAIFaZl.jpg</v>
      </c>
      <c r="AW322" s="82" t="s">
        <v>17095</v>
      </c>
      <c r="AX322" s="82" t="s">
        <v>17095</v>
      </c>
      <c r="AY322" s="77"/>
      <c r="AZ322" s="82" t="s">
        <v>20971</v>
      </c>
      <c r="BA322" s="82" t="s">
        <v>20971</v>
      </c>
      <c r="BB322" s="82" t="s">
        <v>20971</v>
      </c>
      <c r="BC322" s="82" t="s">
        <v>17095</v>
      </c>
      <c r="BD322" s="82" t="s">
        <v>21117</v>
      </c>
      <c r="BE322" s="77"/>
      <c r="BF322" s="77"/>
      <c r="BG322" s="77"/>
      <c r="BH322" s="77"/>
      <c r="BI322" s="77"/>
    </row>
    <row r="323" spans="1:61" x14ac:dyDescent="0.25">
      <c r="A323" s="62" t="s">
        <v>369</v>
      </c>
      <c r="B323" s="62" t="s">
        <v>369</v>
      </c>
      <c r="C323" s="63"/>
      <c r="D323" s="64"/>
      <c r="E323" s="65"/>
      <c r="F323" s="66"/>
      <c r="G323" s="63"/>
      <c r="H323" s="67"/>
      <c r="I323" s="68"/>
      <c r="J323" s="68"/>
      <c r="K323" s="32"/>
      <c r="L323" s="75">
        <v>323</v>
      </c>
      <c r="M323" s="75"/>
      <c r="N323" s="70"/>
      <c r="O323" s="77" t="s">
        <v>179</v>
      </c>
      <c r="P323" s="79">
        <v>44993.127696759257</v>
      </c>
      <c r="Q323" s="77" t="s">
        <v>1606</v>
      </c>
      <c r="R323" s="77">
        <v>0</v>
      </c>
      <c r="S323" s="77">
        <v>1</v>
      </c>
      <c r="T323" s="77">
        <v>0</v>
      </c>
      <c r="U323" s="77">
        <v>0</v>
      </c>
      <c r="V323" s="77">
        <v>50</v>
      </c>
      <c r="W323" s="82" t="s">
        <v>5474</v>
      </c>
      <c r="X323" s="80" t="str">
        <f>HYPERLINK("https://bit.ly/queroaprenderda")</f>
        <v>https://bit.ly/queroaprenderda</v>
      </c>
      <c r="Y323" s="77" t="s">
        <v>7268</v>
      </c>
      <c r="Z323" s="77"/>
      <c r="AA323" s="77" t="s">
        <v>7718</v>
      </c>
      <c r="AB323" s="77" t="s">
        <v>10129</v>
      </c>
      <c r="AC323" s="82" t="s">
        <v>10146</v>
      </c>
      <c r="AD323" s="77" t="s">
        <v>10184</v>
      </c>
      <c r="AE323" s="80" t="str">
        <f>HYPERLINK("https://twitter.com/danieleanile_/status/1633302489297563651")</f>
        <v>https://twitter.com/danieleanile_/status/1633302489297563651</v>
      </c>
      <c r="AF323" s="79">
        <v>44993.127696759257</v>
      </c>
      <c r="AG323" s="85">
        <v>44993</v>
      </c>
      <c r="AH323" s="82" t="s">
        <v>10518</v>
      </c>
      <c r="AI323" s="77" t="b">
        <v>0</v>
      </c>
      <c r="AJ323" s="77"/>
      <c r="AK323" s="77"/>
      <c r="AL323" s="77"/>
      <c r="AM323" s="77"/>
      <c r="AN323" s="77"/>
      <c r="AO323" s="77"/>
      <c r="AP323" s="77"/>
      <c r="AQ323" s="77" t="s">
        <v>14362</v>
      </c>
      <c r="AR323" s="77">
        <v>10709</v>
      </c>
      <c r="AS323" s="77"/>
      <c r="AT323" s="77"/>
      <c r="AU323" s="77"/>
      <c r="AV323" s="80" t="str">
        <f>HYPERLINK("https://pbs.twimg.com/ext_tw_video_thumb/1633299793123442688/pu/img/aquqaGTyKTD6UTo1.jpg")</f>
        <v>https://pbs.twimg.com/ext_tw_video_thumb/1633299793123442688/pu/img/aquqaGTyKTD6UTo1.jpg</v>
      </c>
      <c r="AW323" s="82" t="s">
        <v>17096</v>
      </c>
      <c r="AX323" s="82" t="s">
        <v>17096</v>
      </c>
      <c r="AY323" s="77"/>
      <c r="AZ323" s="82" t="s">
        <v>20971</v>
      </c>
      <c r="BA323" s="82" t="s">
        <v>20971</v>
      </c>
      <c r="BB323" s="82" t="s">
        <v>20971</v>
      </c>
      <c r="BC323" s="82" t="s">
        <v>17096</v>
      </c>
      <c r="BD323" s="82" t="s">
        <v>21117</v>
      </c>
      <c r="BE323" s="77"/>
      <c r="BF323" s="77"/>
      <c r="BG323" s="77"/>
      <c r="BH323" s="77"/>
      <c r="BI323" s="77"/>
    </row>
    <row r="324" spans="1:61" x14ac:dyDescent="0.25">
      <c r="A324" s="62" t="s">
        <v>369</v>
      </c>
      <c r="B324" s="62" t="s">
        <v>369</v>
      </c>
      <c r="C324" s="63"/>
      <c r="D324" s="64"/>
      <c r="E324" s="65"/>
      <c r="F324" s="66"/>
      <c r="G324" s="63"/>
      <c r="H324" s="67"/>
      <c r="I324" s="68"/>
      <c r="J324" s="68"/>
      <c r="K324" s="32"/>
      <c r="L324" s="75">
        <v>324</v>
      </c>
      <c r="M324" s="75"/>
      <c r="N324" s="70"/>
      <c r="O324" s="77" t="s">
        <v>179</v>
      </c>
      <c r="P324" s="79">
        <v>44992.747499999998</v>
      </c>
      <c r="Q324" s="77" t="s">
        <v>1607</v>
      </c>
      <c r="R324" s="77">
        <v>0</v>
      </c>
      <c r="S324" s="77">
        <v>0</v>
      </c>
      <c r="T324" s="77">
        <v>0</v>
      </c>
      <c r="U324" s="77">
        <v>0</v>
      </c>
      <c r="V324" s="77">
        <v>46</v>
      </c>
      <c r="W324" s="82" t="s">
        <v>5475</v>
      </c>
      <c r="X324" s="77"/>
      <c r="Y324" s="77"/>
      <c r="Z324" s="77"/>
      <c r="AA324" s="77" t="s">
        <v>7719</v>
      </c>
      <c r="AB324" s="77" t="s">
        <v>10130</v>
      </c>
      <c r="AC324" s="82" t="s">
        <v>10144</v>
      </c>
      <c r="AD324" s="77" t="s">
        <v>10184</v>
      </c>
      <c r="AE324" s="80" t="str">
        <f>HYPERLINK("https://twitter.com/danieleanile_/status/1633164711221948447")</f>
        <v>https://twitter.com/danieleanile_/status/1633164711221948447</v>
      </c>
      <c r="AF324" s="79">
        <v>44992.747499999998</v>
      </c>
      <c r="AG324" s="85">
        <v>44992</v>
      </c>
      <c r="AH324" s="82" t="s">
        <v>10519</v>
      </c>
      <c r="AI324" s="77" t="b">
        <v>0</v>
      </c>
      <c r="AJ324" s="77"/>
      <c r="AK324" s="77"/>
      <c r="AL324" s="77"/>
      <c r="AM324" s="77"/>
      <c r="AN324" s="77"/>
      <c r="AO324" s="77"/>
      <c r="AP324" s="77"/>
      <c r="AQ324" s="77" t="s">
        <v>14363</v>
      </c>
      <c r="AR324" s="77"/>
      <c r="AS324" s="77"/>
      <c r="AT324" s="77"/>
      <c r="AU324" s="77"/>
      <c r="AV324" s="80" t="str">
        <f>HYPERLINK("https://pbs.twimg.com/media/FqoqphkWcBsqske.jpg")</f>
        <v>https://pbs.twimg.com/media/FqoqphkWcBsqske.jpg</v>
      </c>
      <c r="AW324" s="82" t="s">
        <v>17097</v>
      </c>
      <c r="AX324" s="82" t="s">
        <v>17097</v>
      </c>
      <c r="AY324" s="77"/>
      <c r="AZ324" s="82" t="s">
        <v>20971</v>
      </c>
      <c r="BA324" s="82" t="s">
        <v>20971</v>
      </c>
      <c r="BB324" s="82" t="s">
        <v>20971</v>
      </c>
      <c r="BC324" s="82" t="s">
        <v>17097</v>
      </c>
      <c r="BD324" s="82" t="s">
        <v>21117</v>
      </c>
      <c r="BE324" s="77"/>
      <c r="BF324" s="77"/>
      <c r="BG324" s="77"/>
      <c r="BH324" s="77"/>
      <c r="BI324" s="77"/>
    </row>
    <row r="325" spans="1:61" x14ac:dyDescent="0.25">
      <c r="A325" s="62" t="s">
        <v>369</v>
      </c>
      <c r="B325" s="62" t="s">
        <v>369</v>
      </c>
      <c r="C325" s="63"/>
      <c r="D325" s="64"/>
      <c r="E325" s="65"/>
      <c r="F325" s="66"/>
      <c r="G325" s="63"/>
      <c r="H325" s="67"/>
      <c r="I325" s="68"/>
      <c r="J325" s="68"/>
      <c r="K325" s="32"/>
      <c r="L325" s="75">
        <v>325</v>
      </c>
      <c r="M325" s="75"/>
      <c r="N325" s="70"/>
      <c r="O325" s="77" t="s">
        <v>179</v>
      </c>
      <c r="P325" s="79">
        <v>45079.40824074074</v>
      </c>
      <c r="Q325" s="77" t="s">
        <v>1608</v>
      </c>
      <c r="R325" s="77">
        <v>0</v>
      </c>
      <c r="S325" s="77">
        <v>0</v>
      </c>
      <c r="T325" s="77">
        <v>0</v>
      </c>
      <c r="U325" s="77">
        <v>0</v>
      </c>
      <c r="V325" s="77">
        <v>69</v>
      </c>
      <c r="W325" s="82" t="s">
        <v>5476</v>
      </c>
      <c r="X325" s="80" t="str">
        <f>HYPERLINK("https://kiwify.app/HtEQYXe?afid=qPA4zYVl")</f>
        <v>https://kiwify.app/HtEQYXe?afid=qPA4zYVl</v>
      </c>
      <c r="Y325" s="77" t="s">
        <v>7269</v>
      </c>
      <c r="Z325" s="77"/>
      <c r="AA325" s="77" t="s">
        <v>7720</v>
      </c>
      <c r="AB325" s="77" t="s">
        <v>10130</v>
      </c>
      <c r="AC325" s="82" t="s">
        <v>10144</v>
      </c>
      <c r="AD325" s="77" t="s">
        <v>10184</v>
      </c>
      <c r="AE325" s="80" t="str">
        <f>HYPERLINK("https://twitter.com/danieleanile_/status/1664569509888368641")</f>
        <v>https://twitter.com/danieleanile_/status/1664569509888368641</v>
      </c>
      <c r="AF325" s="79">
        <v>45079.40824074074</v>
      </c>
      <c r="AG325" s="85">
        <v>45079</v>
      </c>
      <c r="AH325" s="82" t="s">
        <v>10520</v>
      </c>
      <c r="AI325" s="77" t="b">
        <v>0</v>
      </c>
      <c r="AJ325" s="77"/>
      <c r="AK325" s="77"/>
      <c r="AL325" s="77"/>
      <c r="AM325" s="77"/>
      <c r="AN325" s="77"/>
      <c r="AO325" s="77"/>
      <c r="AP325" s="77"/>
      <c r="AQ325" s="77" t="s">
        <v>14364</v>
      </c>
      <c r="AR325" s="77"/>
      <c r="AS325" s="77"/>
      <c r="AT325" s="77"/>
      <c r="AU325" s="77"/>
      <c r="AV325" s="80" t="str">
        <f>HYPERLINK("https://pbs.twimg.com/media/Fxm9JaRXoAUp4bM.jpg")</f>
        <v>https://pbs.twimg.com/media/Fxm9JaRXoAUp4bM.jpg</v>
      </c>
      <c r="AW325" s="82" t="s">
        <v>17098</v>
      </c>
      <c r="AX325" s="82" t="s">
        <v>17098</v>
      </c>
      <c r="AY325" s="77"/>
      <c r="AZ325" s="82" t="s">
        <v>20971</v>
      </c>
      <c r="BA325" s="82" t="s">
        <v>20971</v>
      </c>
      <c r="BB325" s="82" t="s">
        <v>20971</v>
      </c>
      <c r="BC325" s="82" t="s">
        <v>17098</v>
      </c>
      <c r="BD325" s="82" t="s">
        <v>21117</v>
      </c>
      <c r="BE325" s="77"/>
      <c r="BF325" s="77"/>
      <c r="BG325" s="77"/>
      <c r="BH325" s="77"/>
      <c r="BI325" s="77"/>
    </row>
    <row r="326" spans="1:61" x14ac:dyDescent="0.25">
      <c r="A326" s="62" t="s">
        <v>369</v>
      </c>
      <c r="B326" s="62" t="s">
        <v>369</v>
      </c>
      <c r="C326" s="63"/>
      <c r="D326" s="64"/>
      <c r="E326" s="65"/>
      <c r="F326" s="66"/>
      <c r="G326" s="63"/>
      <c r="H326" s="67"/>
      <c r="I326" s="68"/>
      <c r="J326" s="68"/>
      <c r="K326" s="32"/>
      <c r="L326" s="75">
        <v>326</v>
      </c>
      <c r="M326" s="75"/>
      <c r="N326" s="70"/>
      <c r="O326" s="77" t="s">
        <v>179</v>
      </c>
      <c r="P326" s="79">
        <v>45087.098726851851</v>
      </c>
      <c r="Q326" s="77" t="s">
        <v>1609</v>
      </c>
      <c r="R326" s="77">
        <v>0</v>
      </c>
      <c r="S326" s="77">
        <v>0</v>
      </c>
      <c r="T326" s="77">
        <v>0</v>
      </c>
      <c r="U326" s="77">
        <v>0</v>
      </c>
      <c r="V326" s="77">
        <v>29</v>
      </c>
      <c r="W326" s="82" t="s">
        <v>5477</v>
      </c>
      <c r="X326" s="80" t="str">
        <f>HYPERLINK("https://kiwify.app/HtEQYXe?afid=qPA4zYVl")</f>
        <v>https://kiwify.app/HtEQYXe?afid=qPA4zYVl</v>
      </c>
      <c r="Y326" s="77" t="s">
        <v>7269</v>
      </c>
      <c r="Z326" s="77"/>
      <c r="AA326" s="77" t="s">
        <v>7721</v>
      </c>
      <c r="AB326" s="77" t="s">
        <v>10129</v>
      </c>
      <c r="AC326" s="82" t="s">
        <v>10144</v>
      </c>
      <c r="AD326" s="77" t="s">
        <v>10184</v>
      </c>
      <c r="AE326" s="80" t="str">
        <f>HYPERLINK("https://twitter.com/danieleanile_/status/1667356450417438722")</f>
        <v>https://twitter.com/danieleanile_/status/1667356450417438722</v>
      </c>
      <c r="AF326" s="79">
        <v>45087.098726851851</v>
      </c>
      <c r="AG326" s="85">
        <v>45087</v>
      </c>
      <c r="AH326" s="82" t="s">
        <v>10521</v>
      </c>
      <c r="AI326" s="77" t="b">
        <v>0</v>
      </c>
      <c r="AJ326" s="77"/>
      <c r="AK326" s="77"/>
      <c r="AL326" s="77"/>
      <c r="AM326" s="77"/>
      <c r="AN326" s="77"/>
      <c r="AO326" s="77"/>
      <c r="AP326" s="77"/>
      <c r="AQ326" s="77" t="s">
        <v>14365</v>
      </c>
      <c r="AR326" s="77">
        <v>5966</v>
      </c>
      <c r="AS326" s="77"/>
      <c r="AT326" s="77"/>
      <c r="AU326" s="77"/>
      <c r="AV326" s="80" t="str">
        <f>HYPERLINK("https://pbs.twimg.com/ext_tw_video_thumb/1667356392942981120/pu/img/s9cF8DH6eBRiglEZ.jpg")</f>
        <v>https://pbs.twimg.com/ext_tw_video_thumb/1667356392942981120/pu/img/s9cF8DH6eBRiglEZ.jpg</v>
      </c>
      <c r="AW326" s="82" t="s">
        <v>17099</v>
      </c>
      <c r="AX326" s="82" t="s">
        <v>17099</v>
      </c>
      <c r="AY326" s="77"/>
      <c r="AZ326" s="82" t="s">
        <v>20971</v>
      </c>
      <c r="BA326" s="82" t="s">
        <v>20971</v>
      </c>
      <c r="BB326" s="82" t="s">
        <v>20971</v>
      </c>
      <c r="BC326" s="82" t="s">
        <v>17099</v>
      </c>
      <c r="BD326" s="82" t="s">
        <v>21117</v>
      </c>
      <c r="BE326" s="77"/>
      <c r="BF326" s="77"/>
      <c r="BG326" s="77"/>
      <c r="BH326" s="77"/>
      <c r="BI326" s="77"/>
    </row>
    <row r="327" spans="1:61" x14ac:dyDescent="0.25">
      <c r="A327" s="62" t="s">
        <v>369</v>
      </c>
      <c r="B327" s="62" t="s">
        <v>369</v>
      </c>
      <c r="C327" s="63"/>
      <c r="D327" s="64"/>
      <c r="E327" s="65"/>
      <c r="F327" s="66"/>
      <c r="G327" s="63"/>
      <c r="H327" s="67"/>
      <c r="I327" s="68"/>
      <c r="J327" s="68"/>
      <c r="K327" s="32"/>
      <c r="L327" s="75">
        <v>327</v>
      </c>
      <c r="M327" s="75"/>
      <c r="N327" s="70"/>
      <c r="O327" s="77" t="s">
        <v>179</v>
      </c>
      <c r="P327" s="79">
        <v>45100.072858796295</v>
      </c>
      <c r="Q327" s="77" t="s">
        <v>1610</v>
      </c>
      <c r="R327" s="77">
        <v>0</v>
      </c>
      <c r="S327" s="77">
        <v>0</v>
      </c>
      <c r="T327" s="77">
        <v>0</v>
      </c>
      <c r="U327" s="77">
        <v>0</v>
      </c>
      <c r="V327" s="77">
        <v>80</v>
      </c>
      <c r="W327" s="82" t="s">
        <v>5478</v>
      </c>
      <c r="X327" s="80" t="str">
        <f>HYPERLINK("https://bit.ly/MPO_7")</f>
        <v>https://bit.ly/MPO_7</v>
      </c>
      <c r="Y327" s="77" t="s">
        <v>7268</v>
      </c>
      <c r="Z327" s="77"/>
      <c r="AA327" s="77" t="s">
        <v>7722</v>
      </c>
      <c r="AB327" s="77" t="s">
        <v>10129</v>
      </c>
      <c r="AC327" s="82" t="s">
        <v>10144</v>
      </c>
      <c r="AD327" s="77" t="s">
        <v>10184</v>
      </c>
      <c r="AE327" s="80" t="str">
        <f>HYPERLINK("https://twitter.com/danieleanile_/status/1672058119877165057")</f>
        <v>https://twitter.com/danieleanile_/status/1672058119877165057</v>
      </c>
      <c r="AF327" s="79">
        <v>45100.072858796295</v>
      </c>
      <c r="AG327" s="85">
        <v>45100</v>
      </c>
      <c r="AH327" s="82" t="s">
        <v>10522</v>
      </c>
      <c r="AI327" s="77" t="b">
        <v>0</v>
      </c>
      <c r="AJ327" s="77"/>
      <c r="AK327" s="77"/>
      <c r="AL327" s="77"/>
      <c r="AM327" s="77"/>
      <c r="AN327" s="77"/>
      <c r="AO327" s="77"/>
      <c r="AP327" s="77"/>
      <c r="AQ327" s="77" t="s">
        <v>14366</v>
      </c>
      <c r="AR327" s="77">
        <v>4533</v>
      </c>
      <c r="AS327" s="77"/>
      <c r="AT327" s="77"/>
      <c r="AU327" s="77"/>
      <c r="AV327" s="80" t="str">
        <f>HYPERLINK("https://pbs.twimg.com/ext_tw_video_thumb/1672058096036769794/pu/img/E7RjCbwfq1zPQuJm.jpg")</f>
        <v>https://pbs.twimg.com/ext_tw_video_thumb/1672058096036769794/pu/img/E7RjCbwfq1zPQuJm.jpg</v>
      </c>
      <c r="AW327" s="82" t="s">
        <v>17100</v>
      </c>
      <c r="AX327" s="82" t="s">
        <v>17100</v>
      </c>
      <c r="AY327" s="77"/>
      <c r="AZ327" s="82" t="s">
        <v>20971</v>
      </c>
      <c r="BA327" s="82" t="s">
        <v>20971</v>
      </c>
      <c r="BB327" s="82" t="s">
        <v>20971</v>
      </c>
      <c r="BC327" s="82" t="s">
        <v>17100</v>
      </c>
      <c r="BD327" s="82" t="s">
        <v>21117</v>
      </c>
      <c r="BE327" s="77"/>
      <c r="BF327" s="77"/>
      <c r="BG327" s="77"/>
      <c r="BH327" s="77"/>
      <c r="BI327" s="77"/>
    </row>
    <row r="328" spans="1:61" x14ac:dyDescent="0.25">
      <c r="A328" s="62" t="s">
        <v>369</v>
      </c>
      <c r="B328" s="62" t="s">
        <v>369</v>
      </c>
      <c r="C328" s="63"/>
      <c r="D328" s="64"/>
      <c r="E328" s="65"/>
      <c r="F328" s="66"/>
      <c r="G328" s="63"/>
      <c r="H328" s="67"/>
      <c r="I328" s="68"/>
      <c r="J328" s="68"/>
      <c r="K328" s="32"/>
      <c r="L328" s="75">
        <v>328</v>
      </c>
      <c r="M328" s="75"/>
      <c r="N328" s="70"/>
      <c r="O328" s="77" t="s">
        <v>179</v>
      </c>
      <c r="P328" s="79">
        <v>45029.796423611115</v>
      </c>
      <c r="Q328" s="77" t="s">
        <v>1611</v>
      </c>
      <c r="R328" s="77">
        <v>0</v>
      </c>
      <c r="S328" s="77">
        <v>0</v>
      </c>
      <c r="T328" s="77">
        <v>0</v>
      </c>
      <c r="U328" s="77">
        <v>0</v>
      </c>
      <c r="V328" s="77">
        <v>196</v>
      </c>
      <c r="W328" s="82" t="s">
        <v>5479</v>
      </c>
      <c r="X328" s="80" t="str">
        <f>HYPERLINK("https://bit.ly/MPF_")</f>
        <v>https://bit.ly/MPF_</v>
      </c>
      <c r="Y328" s="77" t="s">
        <v>7268</v>
      </c>
      <c r="Z328" s="77"/>
      <c r="AA328" s="77" t="s">
        <v>7723</v>
      </c>
      <c r="AB328" s="77" t="s">
        <v>10129</v>
      </c>
      <c r="AC328" s="82" t="s">
        <v>10144</v>
      </c>
      <c r="AD328" s="77" t="s">
        <v>10184</v>
      </c>
      <c r="AE328" s="80" t="str">
        <f>HYPERLINK("https://twitter.com/danieleanile_/status/1646590789621800961")</f>
        <v>https://twitter.com/danieleanile_/status/1646590789621800961</v>
      </c>
      <c r="AF328" s="79">
        <v>45029.796423611115</v>
      </c>
      <c r="AG328" s="85">
        <v>45029</v>
      </c>
      <c r="AH328" s="82" t="s">
        <v>10523</v>
      </c>
      <c r="AI328" s="77" t="b">
        <v>0</v>
      </c>
      <c r="AJ328" s="77"/>
      <c r="AK328" s="77"/>
      <c r="AL328" s="77"/>
      <c r="AM328" s="77"/>
      <c r="AN328" s="77"/>
      <c r="AO328" s="77"/>
      <c r="AP328" s="77"/>
      <c r="AQ328" s="77" t="s">
        <v>14367</v>
      </c>
      <c r="AR328" s="77">
        <v>9983</v>
      </c>
      <c r="AS328" s="77"/>
      <c r="AT328" s="77"/>
      <c r="AU328" s="77"/>
      <c r="AV328" s="80" t="str">
        <f>HYPERLINK("https://pbs.twimg.com/ext_tw_video_thumb/1646590720751304705/pu/img/3z4YAsrndH19QSwM.jpg")</f>
        <v>https://pbs.twimg.com/ext_tw_video_thumb/1646590720751304705/pu/img/3z4YAsrndH19QSwM.jpg</v>
      </c>
      <c r="AW328" s="82" t="s">
        <v>17101</v>
      </c>
      <c r="AX328" s="82" t="s">
        <v>17101</v>
      </c>
      <c r="AY328" s="77"/>
      <c r="AZ328" s="82" t="s">
        <v>20971</v>
      </c>
      <c r="BA328" s="82" t="s">
        <v>20971</v>
      </c>
      <c r="BB328" s="82" t="s">
        <v>20971</v>
      </c>
      <c r="BC328" s="82" t="s">
        <v>17101</v>
      </c>
      <c r="BD328" s="82" t="s">
        <v>21117</v>
      </c>
      <c r="BE328" s="77"/>
      <c r="BF328" s="77"/>
      <c r="BG328" s="77"/>
      <c r="BH328" s="77"/>
      <c r="BI328" s="77"/>
    </row>
    <row r="329" spans="1:61" x14ac:dyDescent="0.25">
      <c r="A329" s="62" t="s">
        <v>370</v>
      </c>
      <c r="B329" s="62" t="s">
        <v>370</v>
      </c>
      <c r="C329" s="63"/>
      <c r="D329" s="64"/>
      <c r="E329" s="65"/>
      <c r="F329" s="66"/>
      <c r="G329" s="63"/>
      <c r="H329" s="67"/>
      <c r="I329" s="68"/>
      <c r="J329" s="68"/>
      <c r="K329" s="32"/>
      <c r="L329" s="75">
        <v>329</v>
      </c>
      <c r="M329" s="75"/>
      <c r="N329" s="70"/>
      <c r="O329" s="77" t="s">
        <v>179</v>
      </c>
      <c r="P329" s="79">
        <v>45033.890509259261</v>
      </c>
      <c r="Q329" s="77" t="s">
        <v>1612</v>
      </c>
      <c r="R329" s="77">
        <v>2</v>
      </c>
      <c r="S329" s="77">
        <v>7</v>
      </c>
      <c r="T329" s="77">
        <v>3</v>
      </c>
      <c r="U329" s="77">
        <v>0</v>
      </c>
      <c r="V329" s="77">
        <v>189</v>
      </c>
      <c r="W329" s="82" t="s">
        <v>5480</v>
      </c>
      <c r="X329" s="80" t="str">
        <f>HYPERLINK("http://bit.ly/3ZqPvHP")</f>
        <v>http://bit.ly/3ZqPvHP</v>
      </c>
      <c r="Y329" s="77" t="s">
        <v>7268</v>
      </c>
      <c r="Z329" s="77"/>
      <c r="AA329" s="77" t="s">
        <v>7724</v>
      </c>
      <c r="AB329" s="77" t="s">
        <v>10130</v>
      </c>
      <c r="AC329" s="82" t="s">
        <v>10146</v>
      </c>
      <c r="AD329" s="77" t="s">
        <v>10184</v>
      </c>
      <c r="AE329" s="80" t="str">
        <f>HYPERLINK("https://twitter.com/wilsonsoaresnu1/status/1648074437567152130")</f>
        <v>https://twitter.com/wilsonsoaresnu1/status/1648074437567152130</v>
      </c>
      <c r="AF329" s="79">
        <v>45033.890509259261</v>
      </c>
      <c r="AG329" s="85">
        <v>45033</v>
      </c>
      <c r="AH329" s="82" t="s">
        <v>10524</v>
      </c>
      <c r="AI329" s="77" t="b">
        <v>0</v>
      </c>
      <c r="AJ329" s="77"/>
      <c r="AK329" s="77"/>
      <c r="AL329" s="77"/>
      <c r="AM329" s="77"/>
      <c r="AN329" s="77"/>
      <c r="AO329" s="77"/>
      <c r="AP329" s="77"/>
      <c r="AQ329" s="77" t="s">
        <v>14368</v>
      </c>
      <c r="AR329" s="77"/>
      <c r="AS329" s="77"/>
      <c r="AT329" s="77"/>
      <c r="AU329" s="77"/>
      <c r="AV329" s="80" t="str">
        <f>HYPERLINK("https://pbs.twimg.com/media/Ft8inMoXwAMUid_.jpg")</f>
        <v>https://pbs.twimg.com/media/Ft8inMoXwAMUid_.jpg</v>
      </c>
      <c r="AW329" s="82" t="s">
        <v>17102</v>
      </c>
      <c r="AX329" s="82" t="s">
        <v>17102</v>
      </c>
      <c r="AY329" s="77"/>
      <c r="AZ329" s="82" t="s">
        <v>20971</v>
      </c>
      <c r="BA329" s="82" t="s">
        <v>20971</v>
      </c>
      <c r="BB329" s="82" t="s">
        <v>20971</v>
      </c>
      <c r="BC329" s="82" t="s">
        <v>17102</v>
      </c>
      <c r="BD329" s="82" t="s">
        <v>21118</v>
      </c>
      <c r="BE329" s="77"/>
      <c r="BF329" s="77"/>
      <c r="BG329" s="77"/>
      <c r="BH329" s="77"/>
      <c r="BI329" s="77"/>
    </row>
    <row r="330" spans="1:61" x14ac:dyDescent="0.25">
      <c r="A330" s="62" t="s">
        <v>370</v>
      </c>
      <c r="B330" s="62" t="s">
        <v>370</v>
      </c>
      <c r="C330" s="63"/>
      <c r="D330" s="64"/>
      <c r="E330" s="65"/>
      <c r="F330" s="66"/>
      <c r="G330" s="63"/>
      <c r="H330" s="67"/>
      <c r="I330" s="68"/>
      <c r="J330" s="68"/>
      <c r="K330" s="32"/>
      <c r="L330" s="75">
        <v>330</v>
      </c>
      <c r="M330" s="75"/>
      <c r="N330" s="70"/>
      <c r="O330" s="77" t="s">
        <v>179</v>
      </c>
      <c r="P330" s="79">
        <v>45035.792337962965</v>
      </c>
      <c r="Q330" s="77" t="s">
        <v>1613</v>
      </c>
      <c r="R330" s="77">
        <v>1</v>
      </c>
      <c r="S330" s="77">
        <v>1</v>
      </c>
      <c r="T330" s="77">
        <v>0</v>
      </c>
      <c r="U330" s="77">
        <v>0</v>
      </c>
      <c r="V330" s="77">
        <v>116</v>
      </c>
      <c r="W330" s="82" t="s">
        <v>5480</v>
      </c>
      <c r="X330" s="80" t="str">
        <f>HYPERLINK("https://lmwr.com/?ref=2NNBZE")</f>
        <v>https://lmwr.com/?ref=2NNBZE</v>
      </c>
      <c r="Y330" s="77" t="s">
        <v>7298</v>
      </c>
      <c r="Z330" s="77"/>
      <c r="AA330" s="77" t="s">
        <v>7725</v>
      </c>
      <c r="AB330" s="77" t="s">
        <v>10130</v>
      </c>
      <c r="AC330" s="82" t="s">
        <v>10146</v>
      </c>
      <c r="AD330" s="77" t="s">
        <v>10184</v>
      </c>
      <c r="AE330" s="80" t="str">
        <f>HYPERLINK("https://twitter.com/wilsonsoaresnu1/status/1648763639929659399")</f>
        <v>https://twitter.com/wilsonsoaresnu1/status/1648763639929659399</v>
      </c>
      <c r="AF330" s="79">
        <v>45035.792337962965</v>
      </c>
      <c r="AG330" s="85">
        <v>45035</v>
      </c>
      <c r="AH330" s="82" t="s">
        <v>10525</v>
      </c>
      <c r="AI330" s="77" t="b">
        <v>0</v>
      </c>
      <c r="AJ330" s="77"/>
      <c r="AK330" s="77"/>
      <c r="AL330" s="77"/>
      <c r="AM330" s="77"/>
      <c r="AN330" s="77"/>
      <c r="AO330" s="77"/>
      <c r="AP330" s="77"/>
      <c r="AQ330" s="77" t="s">
        <v>14369</v>
      </c>
      <c r="AR330" s="77"/>
      <c r="AS330" s="77"/>
      <c r="AT330" s="77"/>
      <c r="AU330" s="77"/>
      <c r="AV330" s="80" t="str">
        <f>HYPERLINK("https://pbs.twimg.com/media/FuGVoRkWYDkEbmT.jpg")</f>
        <v>https://pbs.twimg.com/media/FuGVoRkWYDkEbmT.jpg</v>
      </c>
      <c r="AW330" s="82" t="s">
        <v>17103</v>
      </c>
      <c r="AX330" s="82" t="s">
        <v>17103</v>
      </c>
      <c r="AY330" s="77"/>
      <c r="AZ330" s="82" t="s">
        <v>20971</v>
      </c>
      <c r="BA330" s="82" t="s">
        <v>20971</v>
      </c>
      <c r="BB330" s="82" t="s">
        <v>20971</v>
      </c>
      <c r="BC330" s="82" t="s">
        <v>17103</v>
      </c>
      <c r="BD330" s="82" t="s">
        <v>21118</v>
      </c>
      <c r="BE330" s="77"/>
      <c r="BF330" s="77"/>
      <c r="BG330" s="77"/>
      <c r="BH330" s="77"/>
      <c r="BI330" s="77"/>
    </row>
    <row r="331" spans="1:61" x14ac:dyDescent="0.25">
      <c r="A331" s="62" t="s">
        <v>371</v>
      </c>
      <c r="B331" s="62" t="s">
        <v>371</v>
      </c>
      <c r="C331" s="63"/>
      <c r="D331" s="64"/>
      <c r="E331" s="65"/>
      <c r="F331" s="66"/>
      <c r="G331" s="63"/>
      <c r="H331" s="67"/>
      <c r="I331" s="68"/>
      <c r="J331" s="68"/>
      <c r="K331" s="32"/>
      <c r="L331" s="75">
        <v>331</v>
      </c>
      <c r="M331" s="75"/>
      <c r="N331" s="70"/>
      <c r="O331" s="77" t="s">
        <v>179</v>
      </c>
      <c r="P331" s="79">
        <v>45164.963807870372</v>
      </c>
      <c r="Q331" s="77" t="s">
        <v>1614</v>
      </c>
      <c r="R331" s="77">
        <v>0</v>
      </c>
      <c r="S331" s="77">
        <v>0</v>
      </c>
      <c r="T331" s="77">
        <v>0</v>
      </c>
      <c r="U331" s="77">
        <v>0</v>
      </c>
      <c r="V331" s="77">
        <v>37</v>
      </c>
      <c r="W331" s="82" t="s">
        <v>5481</v>
      </c>
      <c r="X331" s="80" t="str">
        <f>HYPERLINK("https://ganhardinheiroonline1000.blogspot.com/2023/08/blog-post_26.html?spref=tw")</f>
        <v>https://ganhardinheiroonline1000.blogspot.com/2023/08/blog-post_26.html?spref=tw</v>
      </c>
      <c r="Y331" s="77" t="s">
        <v>7261</v>
      </c>
      <c r="Z331" s="77"/>
      <c r="AA331" s="77"/>
      <c r="AB331" s="77"/>
      <c r="AC331" s="82" t="s">
        <v>10146</v>
      </c>
      <c r="AD331" s="77" t="s">
        <v>10184</v>
      </c>
      <c r="AE331" s="80" t="str">
        <f>HYPERLINK("https://twitter.com/maryap44615347/status/1695573812492878103")</f>
        <v>https://twitter.com/maryap44615347/status/1695573812492878103</v>
      </c>
      <c r="AF331" s="79">
        <v>45164.963807870372</v>
      </c>
      <c r="AG331" s="85">
        <v>45164</v>
      </c>
      <c r="AH331" s="82" t="s">
        <v>10526</v>
      </c>
      <c r="AI331" s="77" t="b">
        <v>0</v>
      </c>
      <c r="AJ331" s="77"/>
      <c r="AK331" s="77"/>
      <c r="AL331" s="77"/>
      <c r="AM331" s="77"/>
      <c r="AN331" s="77"/>
      <c r="AO331" s="77"/>
      <c r="AP331" s="77"/>
      <c r="AQ331" s="77"/>
      <c r="AR331" s="77"/>
      <c r="AS331" s="77"/>
      <c r="AT331" s="77"/>
      <c r="AU331" s="77"/>
      <c r="AV331" s="80" t="str">
        <f>HYPERLINK("https://pbs.twimg.com/profile_images/1701564071965806592/aMZQgcYd_normal.jpg")</f>
        <v>https://pbs.twimg.com/profile_images/1701564071965806592/aMZQgcYd_normal.jpg</v>
      </c>
      <c r="AW331" s="82" t="s">
        <v>17104</v>
      </c>
      <c r="AX331" s="82" t="s">
        <v>17104</v>
      </c>
      <c r="AY331" s="77"/>
      <c r="AZ331" s="82" t="s">
        <v>20971</v>
      </c>
      <c r="BA331" s="82" t="s">
        <v>20971</v>
      </c>
      <c r="BB331" s="82" t="s">
        <v>20971</v>
      </c>
      <c r="BC331" s="82" t="s">
        <v>17104</v>
      </c>
      <c r="BD331" s="82" t="s">
        <v>21119</v>
      </c>
      <c r="BE331" s="77"/>
      <c r="BF331" s="77"/>
      <c r="BG331" s="77"/>
      <c r="BH331" s="77"/>
      <c r="BI331" s="77"/>
    </row>
    <row r="332" spans="1:61" x14ac:dyDescent="0.25">
      <c r="A332" s="62" t="s">
        <v>372</v>
      </c>
      <c r="B332" s="62" t="s">
        <v>372</v>
      </c>
      <c r="C332" s="63"/>
      <c r="D332" s="64"/>
      <c r="E332" s="65"/>
      <c r="F332" s="66"/>
      <c r="G332" s="63"/>
      <c r="H332" s="67"/>
      <c r="I332" s="68"/>
      <c r="J332" s="68"/>
      <c r="K332" s="32"/>
      <c r="L332" s="75">
        <v>332</v>
      </c>
      <c r="M332" s="75"/>
      <c r="N332" s="70"/>
      <c r="O332" s="77" t="s">
        <v>179</v>
      </c>
      <c r="P332" s="79">
        <v>45111.830983796295</v>
      </c>
      <c r="Q332" s="77" t="s">
        <v>1615</v>
      </c>
      <c r="R332" s="77">
        <v>0</v>
      </c>
      <c r="S332" s="77">
        <v>0</v>
      </c>
      <c r="T332" s="77">
        <v>0</v>
      </c>
      <c r="U332" s="77">
        <v>0</v>
      </c>
      <c r="V332" s="77">
        <v>75</v>
      </c>
      <c r="W332" s="82" t="s">
        <v>5482</v>
      </c>
      <c r="X332" s="77"/>
      <c r="Y332" s="77"/>
      <c r="Z332" s="77"/>
      <c r="AA332" s="77"/>
      <c r="AB332" s="77"/>
      <c r="AC332" s="82" t="s">
        <v>10146</v>
      </c>
      <c r="AD332" s="77" t="s">
        <v>10184</v>
      </c>
      <c r="AE332" s="80" t="str">
        <f>HYPERLINK("https://twitter.com/andrenegociosbr/status/1676319119426068483")</f>
        <v>https://twitter.com/andrenegociosbr/status/1676319119426068483</v>
      </c>
      <c r="AF332" s="79">
        <v>45111.830983796295</v>
      </c>
      <c r="AG332" s="85">
        <v>45111</v>
      </c>
      <c r="AH332" s="82" t="s">
        <v>10527</v>
      </c>
      <c r="AI332" s="77"/>
      <c r="AJ332" s="77"/>
      <c r="AK332" s="77"/>
      <c r="AL332" s="77"/>
      <c r="AM332" s="77"/>
      <c r="AN332" s="77"/>
      <c r="AO332" s="77"/>
      <c r="AP332" s="77"/>
      <c r="AQ332" s="77"/>
      <c r="AR332" s="77"/>
      <c r="AS332" s="77"/>
      <c r="AT332" s="77"/>
      <c r="AU332" s="77"/>
      <c r="AV332" s="80" t="str">
        <f>HYPERLINK("https://pbs.twimg.com/profile_images/1665669594776780809/oBKSQn5I_normal.jpg")</f>
        <v>https://pbs.twimg.com/profile_images/1665669594776780809/oBKSQn5I_normal.jpg</v>
      </c>
      <c r="AW332" s="82" t="s">
        <v>17105</v>
      </c>
      <c r="AX332" s="82" t="s">
        <v>17105</v>
      </c>
      <c r="AY332" s="77"/>
      <c r="AZ332" s="82" t="s">
        <v>20971</v>
      </c>
      <c r="BA332" s="82" t="s">
        <v>20971</v>
      </c>
      <c r="BB332" s="82" t="s">
        <v>20971</v>
      </c>
      <c r="BC332" s="82" t="s">
        <v>17105</v>
      </c>
      <c r="BD332" s="82" t="s">
        <v>21120</v>
      </c>
      <c r="BE332" s="77"/>
      <c r="BF332" s="77"/>
      <c r="BG332" s="77"/>
      <c r="BH332" s="77"/>
      <c r="BI332" s="77"/>
    </row>
    <row r="333" spans="1:61" x14ac:dyDescent="0.25">
      <c r="A333" s="62" t="s">
        <v>373</v>
      </c>
      <c r="B333" s="62" t="s">
        <v>373</v>
      </c>
      <c r="C333" s="63"/>
      <c r="D333" s="64"/>
      <c r="E333" s="65"/>
      <c r="F333" s="66"/>
      <c r="G333" s="63"/>
      <c r="H333" s="67"/>
      <c r="I333" s="68"/>
      <c r="J333" s="68"/>
      <c r="K333" s="32"/>
      <c r="L333" s="75">
        <v>333</v>
      </c>
      <c r="M333" s="75"/>
      <c r="N333" s="70"/>
      <c r="O333" s="77" t="s">
        <v>179</v>
      </c>
      <c r="P333" s="79">
        <v>45118.146006944444</v>
      </c>
      <c r="Q333" s="77" t="s">
        <v>1616</v>
      </c>
      <c r="R333" s="77">
        <v>0</v>
      </c>
      <c r="S333" s="77">
        <v>1</v>
      </c>
      <c r="T333" s="77">
        <v>0</v>
      </c>
      <c r="U333" s="77">
        <v>0</v>
      </c>
      <c r="V333" s="77">
        <v>46</v>
      </c>
      <c r="W333" s="82" t="s">
        <v>5483</v>
      </c>
      <c r="X333" s="77"/>
      <c r="Y333" s="77"/>
      <c r="Z333" s="77"/>
      <c r="AA333" s="77" t="s">
        <v>7726</v>
      </c>
      <c r="AB333" s="77" t="s">
        <v>10130</v>
      </c>
      <c r="AC333" s="82" t="s">
        <v>10145</v>
      </c>
      <c r="AD333" s="77" t="s">
        <v>10184</v>
      </c>
      <c r="AE333" s="80" t="str">
        <f>HYPERLINK("https://twitter.com/rickwareoficial/status/1678607608419323904")</f>
        <v>https://twitter.com/rickwareoficial/status/1678607608419323904</v>
      </c>
      <c r="AF333" s="79">
        <v>45118.146006944444</v>
      </c>
      <c r="AG333" s="85">
        <v>45118</v>
      </c>
      <c r="AH333" s="82" t="s">
        <v>10528</v>
      </c>
      <c r="AI333" s="77" t="b">
        <v>0</v>
      </c>
      <c r="AJ333" s="77"/>
      <c r="AK333" s="77"/>
      <c r="AL333" s="77"/>
      <c r="AM333" s="77"/>
      <c r="AN333" s="77"/>
      <c r="AO333" s="77"/>
      <c r="AP333" s="77"/>
      <c r="AQ333" s="77" t="s">
        <v>14370</v>
      </c>
      <c r="AR333" s="77"/>
      <c r="AS333" s="77"/>
      <c r="AT333" s="77"/>
      <c r="AU333" s="77"/>
      <c r="AV333" s="80" t="str">
        <f>HYPERLINK("https://pbs.twimg.com/media/F0ucuFnacAAmQd2.jpg")</f>
        <v>https://pbs.twimg.com/media/F0ucuFnacAAmQd2.jpg</v>
      </c>
      <c r="AW333" s="82" t="s">
        <v>17106</v>
      </c>
      <c r="AX333" s="82" t="s">
        <v>17106</v>
      </c>
      <c r="AY333" s="77"/>
      <c r="AZ333" s="82" t="s">
        <v>20971</v>
      </c>
      <c r="BA333" s="82" t="s">
        <v>20971</v>
      </c>
      <c r="BB333" s="82" t="s">
        <v>20971</v>
      </c>
      <c r="BC333" s="82" t="s">
        <v>17106</v>
      </c>
      <c r="BD333" s="77">
        <v>66406376</v>
      </c>
      <c r="BE333" s="77"/>
      <c r="BF333" s="77"/>
      <c r="BG333" s="77"/>
      <c r="BH333" s="77"/>
      <c r="BI333" s="77"/>
    </row>
    <row r="334" spans="1:61" x14ac:dyDescent="0.25">
      <c r="A334" s="62" t="s">
        <v>374</v>
      </c>
      <c r="B334" s="62" t="s">
        <v>374</v>
      </c>
      <c r="C334" s="63"/>
      <c r="D334" s="64"/>
      <c r="E334" s="65"/>
      <c r="F334" s="66"/>
      <c r="G334" s="63"/>
      <c r="H334" s="67"/>
      <c r="I334" s="68"/>
      <c r="J334" s="68"/>
      <c r="K334" s="32"/>
      <c r="L334" s="75">
        <v>334</v>
      </c>
      <c r="M334" s="75"/>
      <c r="N334" s="70"/>
      <c r="O334" s="77" t="s">
        <v>179</v>
      </c>
      <c r="P334" s="79">
        <v>45046.700243055559</v>
      </c>
      <c r="Q334" s="77" t="s">
        <v>1617</v>
      </c>
      <c r="R334" s="77">
        <v>0</v>
      </c>
      <c r="S334" s="77">
        <v>0</v>
      </c>
      <c r="T334" s="77">
        <v>0</v>
      </c>
      <c r="U334" s="77">
        <v>0</v>
      </c>
      <c r="V334" s="77">
        <v>54</v>
      </c>
      <c r="W334" s="82" t="s">
        <v>5484</v>
      </c>
      <c r="X334" s="80" t="str">
        <f>HYPERLINK("https://kwai-video.com/p/xpLCcChv")</f>
        <v>https://kwai-video.com/p/xpLCcChv</v>
      </c>
      <c r="Y334" s="77" t="s">
        <v>7299</v>
      </c>
      <c r="Z334" s="77"/>
      <c r="AA334" s="77"/>
      <c r="AB334" s="77"/>
      <c r="AC334" s="82" t="s">
        <v>10144</v>
      </c>
      <c r="AD334" s="77" t="s">
        <v>10184</v>
      </c>
      <c r="AE334" s="80" t="str">
        <f>HYPERLINK("https://twitter.com/ildefon24325870/status/1652716530298232834")</f>
        <v>https://twitter.com/ildefon24325870/status/1652716530298232834</v>
      </c>
      <c r="AF334" s="79">
        <v>45046.700243055559</v>
      </c>
      <c r="AG334" s="85">
        <v>45046</v>
      </c>
      <c r="AH334" s="82" t="s">
        <v>10529</v>
      </c>
      <c r="AI334" s="77" t="b">
        <v>0</v>
      </c>
      <c r="AJ334" s="77"/>
      <c r="AK334" s="77"/>
      <c r="AL334" s="77"/>
      <c r="AM334" s="77"/>
      <c r="AN334" s="77"/>
      <c r="AO334" s="77"/>
      <c r="AP334" s="77"/>
      <c r="AQ334" s="77"/>
      <c r="AR334" s="77"/>
      <c r="AS334" s="77"/>
      <c r="AT334" s="77"/>
      <c r="AU334" s="77"/>
      <c r="AV334" s="80" t="str">
        <f>HYPERLINK("https://pbs.twimg.com/profile_images/1651008849002782726/vnb0vQG1_normal.jpg")</f>
        <v>https://pbs.twimg.com/profile_images/1651008849002782726/vnb0vQG1_normal.jpg</v>
      </c>
      <c r="AW334" s="82" t="s">
        <v>17107</v>
      </c>
      <c r="AX334" s="82" t="s">
        <v>17107</v>
      </c>
      <c r="AY334" s="77"/>
      <c r="AZ334" s="82" t="s">
        <v>20971</v>
      </c>
      <c r="BA334" s="82" t="s">
        <v>20971</v>
      </c>
      <c r="BB334" s="82" t="s">
        <v>20971</v>
      </c>
      <c r="BC334" s="82" t="s">
        <v>17107</v>
      </c>
      <c r="BD334" s="82" t="s">
        <v>21121</v>
      </c>
      <c r="BE334" s="77"/>
      <c r="BF334" s="77"/>
      <c r="BG334" s="77"/>
      <c r="BH334" s="77"/>
      <c r="BI334" s="77"/>
    </row>
    <row r="335" spans="1:61" x14ac:dyDescent="0.25">
      <c r="A335" s="62" t="s">
        <v>375</v>
      </c>
      <c r="B335" s="62" t="s">
        <v>1240</v>
      </c>
      <c r="C335" s="63"/>
      <c r="D335" s="64"/>
      <c r="E335" s="65"/>
      <c r="F335" s="66"/>
      <c r="G335" s="63"/>
      <c r="H335" s="67"/>
      <c r="I335" s="68"/>
      <c r="J335" s="68"/>
      <c r="K335" s="32"/>
      <c r="L335" s="75">
        <v>335</v>
      </c>
      <c r="M335" s="75"/>
      <c r="N335" s="70"/>
      <c r="O335" s="77" t="s">
        <v>1284</v>
      </c>
      <c r="P335" s="79">
        <v>45085.996504629627</v>
      </c>
      <c r="Q335" s="77" t="s">
        <v>1618</v>
      </c>
      <c r="R335" s="77">
        <v>0</v>
      </c>
      <c r="S335" s="77">
        <v>1</v>
      </c>
      <c r="T335" s="77">
        <v>0</v>
      </c>
      <c r="U335" s="77">
        <v>0</v>
      </c>
      <c r="V335" s="77">
        <v>168</v>
      </c>
      <c r="W335" s="82" t="s">
        <v>5485</v>
      </c>
      <c r="X335" s="77"/>
      <c r="Y335" s="77"/>
      <c r="Z335" s="77" t="s">
        <v>1240</v>
      </c>
      <c r="AA335" s="77"/>
      <c r="AB335" s="77"/>
      <c r="AC335" s="82" t="s">
        <v>10144</v>
      </c>
      <c r="AD335" s="77" t="s">
        <v>10184</v>
      </c>
      <c r="AE335" s="80" t="str">
        <f>HYPERLINK("https://twitter.com/rafacotton/status/1666957018433744897")</f>
        <v>https://twitter.com/rafacotton/status/1666957018433744897</v>
      </c>
      <c r="AF335" s="79">
        <v>45085.996504629627</v>
      </c>
      <c r="AG335" s="85">
        <v>45085</v>
      </c>
      <c r="AH335" s="82" t="s">
        <v>10530</v>
      </c>
      <c r="AI335" s="77"/>
      <c r="AJ335" s="77"/>
      <c r="AK335" s="77"/>
      <c r="AL335" s="77"/>
      <c r="AM335" s="77"/>
      <c r="AN335" s="77"/>
      <c r="AO335" s="77"/>
      <c r="AP335" s="77"/>
      <c r="AQ335" s="77"/>
      <c r="AR335" s="77"/>
      <c r="AS335" s="77"/>
      <c r="AT335" s="77"/>
      <c r="AU335" s="77"/>
      <c r="AV335" s="80" t="str">
        <f>HYPERLINK("https://pbs.twimg.com/profile_images/1636502594523676675/KFHBgXLB_normal.jpg")</f>
        <v>https://pbs.twimg.com/profile_images/1636502594523676675/KFHBgXLB_normal.jpg</v>
      </c>
      <c r="AW335" s="82" t="s">
        <v>17108</v>
      </c>
      <c r="AX335" s="82" t="s">
        <v>20800</v>
      </c>
      <c r="AY335" s="82" t="s">
        <v>20899</v>
      </c>
      <c r="AZ335" s="82" t="s">
        <v>20800</v>
      </c>
      <c r="BA335" s="82" t="s">
        <v>20971</v>
      </c>
      <c r="BB335" s="82" t="s">
        <v>20971</v>
      </c>
      <c r="BC335" s="82" t="s">
        <v>20800</v>
      </c>
      <c r="BD335" s="82" t="s">
        <v>21122</v>
      </c>
      <c r="BE335" s="77"/>
      <c r="BF335" s="77"/>
      <c r="BG335" s="77"/>
      <c r="BH335" s="77"/>
      <c r="BI335" s="77"/>
    </row>
    <row r="336" spans="1:61" x14ac:dyDescent="0.25">
      <c r="A336" s="62" t="s">
        <v>376</v>
      </c>
      <c r="B336" s="62" t="s">
        <v>376</v>
      </c>
      <c r="C336" s="63"/>
      <c r="D336" s="64"/>
      <c r="E336" s="65"/>
      <c r="F336" s="66"/>
      <c r="G336" s="63"/>
      <c r="H336" s="67"/>
      <c r="I336" s="68"/>
      <c r="J336" s="68"/>
      <c r="K336" s="32"/>
      <c r="L336" s="75">
        <v>336</v>
      </c>
      <c r="M336" s="75"/>
      <c r="N336" s="70"/>
      <c r="O336" s="77" t="s">
        <v>179</v>
      </c>
      <c r="P336" s="79">
        <v>45028.918668981481</v>
      </c>
      <c r="Q336" s="77" t="s">
        <v>1619</v>
      </c>
      <c r="R336" s="77">
        <v>0</v>
      </c>
      <c r="S336" s="77">
        <v>0</v>
      </c>
      <c r="T336" s="77">
        <v>1</v>
      </c>
      <c r="U336" s="77">
        <v>0</v>
      </c>
      <c r="V336" s="77">
        <v>25</v>
      </c>
      <c r="W336" s="82" t="s">
        <v>5486</v>
      </c>
      <c r="X336" s="80" t="str">
        <f>HYPERLINK("https://linktr.ee/Rendaextraemdolar23")</f>
        <v>https://linktr.ee/Rendaextraemdolar23</v>
      </c>
      <c r="Y336" s="77" t="s">
        <v>7300</v>
      </c>
      <c r="Z336" s="77"/>
      <c r="AA336" s="77" t="s">
        <v>7727</v>
      </c>
      <c r="AB336" s="77" t="s">
        <v>10132</v>
      </c>
      <c r="AC336" s="82" t="s">
        <v>10144</v>
      </c>
      <c r="AD336" s="77" t="s">
        <v>10184</v>
      </c>
      <c r="AE336" s="80" t="str">
        <f>HYPERLINK("https://twitter.com/rendadolar/status/1646272702888681472")</f>
        <v>https://twitter.com/rendadolar/status/1646272702888681472</v>
      </c>
      <c r="AF336" s="79">
        <v>45028.918668981481</v>
      </c>
      <c r="AG336" s="85">
        <v>45028</v>
      </c>
      <c r="AH336" s="82" t="s">
        <v>10531</v>
      </c>
      <c r="AI336" s="77" t="b">
        <v>0</v>
      </c>
      <c r="AJ336" s="77"/>
      <c r="AK336" s="77"/>
      <c r="AL336" s="77"/>
      <c r="AM336" s="77"/>
      <c r="AN336" s="77"/>
      <c r="AO336" s="77"/>
      <c r="AP336" s="77"/>
      <c r="AQ336" s="77" t="s">
        <v>14371</v>
      </c>
      <c r="AR336" s="77"/>
      <c r="AS336" s="77"/>
      <c r="AT336" s="77"/>
      <c r="AU336" s="77"/>
      <c r="AV336" s="80" t="str">
        <f>HYPERLINK("https://pbs.twimg.com/media/Fti8S3zXwAEWbJu.jpg")</f>
        <v>https://pbs.twimg.com/media/Fti8S3zXwAEWbJu.jpg</v>
      </c>
      <c r="AW336" s="82" t="s">
        <v>17109</v>
      </c>
      <c r="AX336" s="82" t="s">
        <v>17109</v>
      </c>
      <c r="AY336" s="77"/>
      <c r="AZ336" s="82" t="s">
        <v>20971</v>
      </c>
      <c r="BA336" s="82" t="s">
        <v>20971</v>
      </c>
      <c r="BB336" s="82" t="s">
        <v>20971</v>
      </c>
      <c r="BC336" s="82" t="s">
        <v>17109</v>
      </c>
      <c r="BD336" s="82" t="s">
        <v>21123</v>
      </c>
      <c r="BE336" s="77"/>
      <c r="BF336" s="77"/>
      <c r="BG336" s="77"/>
      <c r="BH336" s="77"/>
      <c r="BI336" s="77"/>
    </row>
    <row r="337" spans="1:61" x14ac:dyDescent="0.25">
      <c r="A337" s="62" t="s">
        <v>376</v>
      </c>
      <c r="B337" s="62" t="s">
        <v>376</v>
      </c>
      <c r="C337" s="63"/>
      <c r="D337" s="64"/>
      <c r="E337" s="65"/>
      <c r="F337" s="66"/>
      <c r="G337" s="63"/>
      <c r="H337" s="67"/>
      <c r="I337" s="68"/>
      <c r="J337" s="68"/>
      <c r="K337" s="32"/>
      <c r="L337" s="75">
        <v>337</v>
      </c>
      <c r="M337" s="75"/>
      <c r="N337" s="70"/>
      <c r="O337" s="77" t="s">
        <v>179</v>
      </c>
      <c r="P337" s="79">
        <v>45019.94667824074</v>
      </c>
      <c r="Q337" s="77" t="s">
        <v>1620</v>
      </c>
      <c r="R337" s="77">
        <v>0</v>
      </c>
      <c r="S337" s="77">
        <v>0</v>
      </c>
      <c r="T337" s="77">
        <v>0</v>
      </c>
      <c r="U337" s="77">
        <v>0</v>
      </c>
      <c r="V337" s="77">
        <v>22</v>
      </c>
      <c r="W337" s="82" t="s">
        <v>5487</v>
      </c>
      <c r="X337" s="80" t="str">
        <f>HYPERLINK("https://linktr.ee/Rendaextraemdolar23")</f>
        <v>https://linktr.ee/Rendaextraemdolar23</v>
      </c>
      <c r="Y337" s="77" t="s">
        <v>7300</v>
      </c>
      <c r="Z337" s="77"/>
      <c r="AA337" s="77" t="s">
        <v>7728</v>
      </c>
      <c r="AB337" s="77" t="s">
        <v>10132</v>
      </c>
      <c r="AC337" s="82" t="s">
        <v>10144</v>
      </c>
      <c r="AD337" s="77" t="s">
        <v>10184</v>
      </c>
      <c r="AE337" s="80" t="str">
        <f>HYPERLINK("https://twitter.com/rendadolar/status/1643021363286880257")</f>
        <v>https://twitter.com/rendadolar/status/1643021363286880257</v>
      </c>
      <c r="AF337" s="79">
        <v>45019.94667824074</v>
      </c>
      <c r="AG337" s="85">
        <v>45019</v>
      </c>
      <c r="AH337" s="82" t="s">
        <v>10532</v>
      </c>
      <c r="AI337" s="77" t="b">
        <v>0</v>
      </c>
      <c r="AJ337" s="77"/>
      <c r="AK337" s="77"/>
      <c r="AL337" s="77"/>
      <c r="AM337" s="77"/>
      <c r="AN337" s="77"/>
      <c r="AO337" s="77"/>
      <c r="AP337" s="77"/>
      <c r="AQ337" s="77" t="s">
        <v>14372</v>
      </c>
      <c r="AR337" s="77"/>
      <c r="AS337" s="77"/>
      <c r="AT337" s="77"/>
      <c r="AU337" s="77"/>
      <c r="AV337" s="80" t="str">
        <f>HYPERLINK("https://pbs.twimg.com/media/Fs0vN4OXsAAH0Fs.jpg")</f>
        <v>https://pbs.twimg.com/media/Fs0vN4OXsAAH0Fs.jpg</v>
      </c>
      <c r="AW337" s="82" t="s">
        <v>17110</v>
      </c>
      <c r="AX337" s="82" t="s">
        <v>17110</v>
      </c>
      <c r="AY337" s="77"/>
      <c r="AZ337" s="82" t="s">
        <v>20971</v>
      </c>
      <c r="BA337" s="82" t="s">
        <v>20971</v>
      </c>
      <c r="BB337" s="82" t="s">
        <v>20971</v>
      </c>
      <c r="BC337" s="82" t="s">
        <v>17110</v>
      </c>
      <c r="BD337" s="82" t="s">
        <v>21123</v>
      </c>
      <c r="BE337" s="77"/>
      <c r="BF337" s="77"/>
      <c r="BG337" s="77"/>
      <c r="BH337" s="77"/>
      <c r="BI337" s="77"/>
    </row>
    <row r="338" spans="1:61" x14ac:dyDescent="0.25">
      <c r="A338" s="62" t="s">
        <v>376</v>
      </c>
      <c r="B338" s="62" t="s">
        <v>376</v>
      </c>
      <c r="C338" s="63"/>
      <c r="D338" s="64"/>
      <c r="E338" s="65"/>
      <c r="F338" s="66"/>
      <c r="G338" s="63"/>
      <c r="H338" s="67"/>
      <c r="I338" s="68"/>
      <c r="J338" s="68"/>
      <c r="K338" s="32"/>
      <c r="L338" s="75">
        <v>338</v>
      </c>
      <c r="M338" s="75"/>
      <c r="N338" s="70"/>
      <c r="O338" s="77" t="s">
        <v>179</v>
      </c>
      <c r="P338" s="79">
        <v>45016.730486111112</v>
      </c>
      <c r="Q338" s="77" t="s">
        <v>1621</v>
      </c>
      <c r="R338" s="77">
        <v>0</v>
      </c>
      <c r="S338" s="77">
        <v>0</v>
      </c>
      <c r="T338" s="77">
        <v>1</v>
      </c>
      <c r="U338" s="77">
        <v>0</v>
      </c>
      <c r="V338" s="77">
        <v>45</v>
      </c>
      <c r="W338" s="82" t="s">
        <v>5488</v>
      </c>
      <c r="X338" s="77"/>
      <c r="Y338" s="77"/>
      <c r="Z338" s="77"/>
      <c r="AA338" s="77" t="s">
        <v>7729</v>
      </c>
      <c r="AB338" s="77" t="s">
        <v>10131</v>
      </c>
      <c r="AC338" s="82" t="s">
        <v>10144</v>
      </c>
      <c r="AD338" s="77" t="s">
        <v>10184</v>
      </c>
      <c r="AE338" s="80" t="str">
        <f>HYPERLINK("https://twitter.com/rendadolar/status/1641855852779798545")</f>
        <v>https://twitter.com/rendadolar/status/1641855852779798545</v>
      </c>
      <c r="AF338" s="79">
        <v>45016.730486111112</v>
      </c>
      <c r="AG338" s="85">
        <v>45016</v>
      </c>
      <c r="AH338" s="82" t="s">
        <v>10533</v>
      </c>
      <c r="AI338" s="77" t="b">
        <v>0</v>
      </c>
      <c r="AJ338" s="77"/>
      <c r="AK338" s="77"/>
      <c r="AL338" s="77"/>
      <c r="AM338" s="77"/>
      <c r="AN338" s="77"/>
      <c r="AO338" s="77"/>
      <c r="AP338" s="77"/>
      <c r="AQ338" s="77" t="s">
        <v>14373</v>
      </c>
      <c r="AR338" s="77"/>
      <c r="AS338" s="77"/>
      <c r="AT338" s="77"/>
      <c r="AU338" s="77"/>
      <c r="AV338" s="80" t="str">
        <f>HYPERLINK("https://pbs.twimg.com/media/FskLMEqWABEEbfT.jpg")</f>
        <v>https://pbs.twimg.com/media/FskLMEqWABEEbfT.jpg</v>
      </c>
      <c r="AW338" s="82" t="s">
        <v>17111</v>
      </c>
      <c r="AX338" s="82" t="s">
        <v>17111</v>
      </c>
      <c r="AY338" s="77"/>
      <c r="AZ338" s="82" t="s">
        <v>20971</v>
      </c>
      <c r="BA338" s="82" t="s">
        <v>20971</v>
      </c>
      <c r="BB338" s="82" t="s">
        <v>20971</v>
      </c>
      <c r="BC338" s="82" t="s">
        <v>17111</v>
      </c>
      <c r="BD338" s="82" t="s">
        <v>21123</v>
      </c>
      <c r="BE338" s="77"/>
      <c r="BF338" s="77"/>
      <c r="BG338" s="77"/>
      <c r="BH338" s="77"/>
      <c r="BI338" s="77"/>
    </row>
    <row r="339" spans="1:61" x14ac:dyDescent="0.25">
      <c r="A339" s="62" t="s">
        <v>377</v>
      </c>
      <c r="B339" s="62" t="s">
        <v>377</v>
      </c>
      <c r="C339" s="63"/>
      <c r="D339" s="64"/>
      <c r="E339" s="65"/>
      <c r="F339" s="66"/>
      <c r="G339" s="63"/>
      <c r="H339" s="67"/>
      <c r="I339" s="68"/>
      <c r="J339" s="68"/>
      <c r="K339" s="32"/>
      <c r="L339" s="75">
        <v>339</v>
      </c>
      <c r="M339" s="75"/>
      <c r="N339" s="70"/>
      <c r="O339" s="77" t="s">
        <v>179</v>
      </c>
      <c r="P339" s="79">
        <v>44977.63994212963</v>
      </c>
      <c r="Q339" s="77" t="s">
        <v>1622</v>
      </c>
      <c r="R339" s="77">
        <v>0</v>
      </c>
      <c r="S339" s="77">
        <v>0</v>
      </c>
      <c r="T339" s="77">
        <v>0</v>
      </c>
      <c r="U339" s="77">
        <v>0</v>
      </c>
      <c r="V339" s="77">
        <v>25</v>
      </c>
      <c r="W339" s="82" t="s">
        <v>5489</v>
      </c>
      <c r="X339" s="77"/>
      <c r="Y339" s="77"/>
      <c r="Z339" s="77"/>
      <c r="AA339" s="77" t="s">
        <v>7730</v>
      </c>
      <c r="AB339" s="77" t="s">
        <v>10130</v>
      </c>
      <c r="AC339" s="82" t="s">
        <v>10144</v>
      </c>
      <c r="AD339" s="77" t="s">
        <v>10184</v>
      </c>
      <c r="AE339" s="80" t="str">
        <f>HYPERLINK("https://twitter.com/nixinmarketing/status/1627689916170731520")</f>
        <v>https://twitter.com/nixinmarketing/status/1627689916170731520</v>
      </c>
      <c r="AF339" s="79">
        <v>44977.63994212963</v>
      </c>
      <c r="AG339" s="85">
        <v>44977</v>
      </c>
      <c r="AH339" s="82" t="s">
        <v>10534</v>
      </c>
      <c r="AI339" s="77" t="b">
        <v>0</v>
      </c>
      <c r="AJ339" s="77"/>
      <c r="AK339" s="77"/>
      <c r="AL339" s="77"/>
      <c r="AM339" s="77"/>
      <c r="AN339" s="77"/>
      <c r="AO339" s="77"/>
      <c r="AP339" s="77"/>
      <c r="AQ339" s="77" t="s">
        <v>14374</v>
      </c>
      <c r="AR339" s="77"/>
      <c r="AS339" s="77"/>
      <c r="AT339" s="77"/>
      <c r="AU339" s="77"/>
      <c r="AV339" s="80" t="str">
        <f>HYPERLINK("https://pbs.twimg.com/media/Fpa3WYTXsAMiDZT.jpg")</f>
        <v>https://pbs.twimg.com/media/Fpa3WYTXsAMiDZT.jpg</v>
      </c>
      <c r="AW339" s="82" t="s">
        <v>17112</v>
      </c>
      <c r="AX339" s="82" t="s">
        <v>17112</v>
      </c>
      <c r="AY339" s="77"/>
      <c r="AZ339" s="82" t="s">
        <v>20971</v>
      </c>
      <c r="BA339" s="82" t="s">
        <v>20971</v>
      </c>
      <c r="BB339" s="82" t="s">
        <v>20971</v>
      </c>
      <c r="BC339" s="82" t="s">
        <v>17112</v>
      </c>
      <c r="BD339" s="82" t="s">
        <v>21124</v>
      </c>
      <c r="BE339" s="77"/>
      <c r="BF339" s="77"/>
      <c r="BG339" s="77"/>
      <c r="BH339" s="77"/>
      <c r="BI339" s="77"/>
    </row>
    <row r="340" spans="1:61" x14ac:dyDescent="0.25">
      <c r="A340" s="62" t="s">
        <v>377</v>
      </c>
      <c r="B340" s="62" t="s">
        <v>377</v>
      </c>
      <c r="C340" s="63"/>
      <c r="D340" s="64"/>
      <c r="E340" s="65"/>
      <c r="F340" s="66"/>
      <c r="G340" s="63"/>
      <c r="H340" s="67"/>
      <c r="I340" s="68"/>
      <c r="J340" s="68"/>
      <c r="K340" s="32"/>
      <c r="L340" s="75">
        <v>340</v>
      </c>
      <c r="M340" s="75"/>
      <c r="N340" s="70"/>
      <c r="O340" s="77" t="s">
        <v>179</v>
      </c>
      <c r="P340" s="79">
        <v>44976.647951388892</v>
      </c>
      <c r="Q340" s="77" t="s">
        <v>1623</v>
      </c>
      <c r="R340" s="77">
        <v>0</v>
      </c>
      <c r="S340" s="77">
        <v>0</v>
      </c>
      <c r="T340" s="77">
        <v>0</v>
      </c>
      <c r="U340" s="77">
        <v>0</v>
      </c>
      <c r="V340" s="77">
        <v>26</v>
      </c>
      <c r="W340" s="82" t="s">
        <v>5490</v>
      </c>
      <c r="X340" s="77"/>
      <c r="Y340" s="77"/>
      <c r="Z340" s="77"/>
      <c r="AA340" s="77" t="s">
        <v>7731</v>
      </c>
      <c r="AB340" s="77" t="s">
        <v>10130</v>
      </c>
      <c r="AC340" s="82" t="s">
        <v>10144</v>
      </c>
      <c r="AD340" s="77" t="s">
        <v>10184</v>
      </c>
      <c r="AE340" s="80" t="str">
        <f>HYPERLINK("https://twitter.com/nixinmarketing/status/1627330428490117120")</f>
        <v>https://twitter.com/nixinmarketing/status/1627330428490117120</v>
      </c>
      <c r="AF340" s="79">
        <v>44976.647951388892</v>
      </c>
      <c r="AG340" s="85">
        <v>44976</v>
      </c>
      <c r="AH340" s="82" t="s">
        <v>10535</v>
      </c>
      <c r="AI340" s="77" t="b">
        <v>0</v>
      </c>
      <c r="AJ340" s="77"/>
      <c r="AK340" s="77"/>
      <c r="AL340" s="77"/>
      <c r="AM340" s="77"/>
      <c r="AN340" s="77"/>
      <c r="AO340" s="77"/>
      <c r="AP340" s="77"/>
      <c r="AQ340" s="77" t="s">
        <v>14375</v>
      </c>
      <c r="AR340" s="77"/>
      <c r="AS340" s="77"/>
      <c r="AT340" s="77"/>
      <c r="AU340" s="77"/>
      <c r="AV340" s="80" t="str">
        <f>HYPERLINK("https://pbs.twimg.com/media/FpVwZm3WcAANTWp.jpg")</f>
        <v>https://pbs.twimg.com/media/FpVwZm3WcAANTWp.jpg</v>
      </c>
      <c r="AW340" s="82" t="s">
        <v>17113</v>
      </c>
      <c r="AX340" s="82" t="s">
        <v>17113</v>
      </c>
      <c r="AY340" s="77"/>
      <c r="AZ340" s="82" t="s">
        <v>20971</v>
      </c>
      <c r="BA340" s="82" t="s">
        <v>20971</v>
      </c>
      <c r="BB340" s="82" t="s">
        <v>20971</v>
      </c>
      <c r="BC340" s="82" t="s">
        <v>17113</v>
      </c>
      <c r="BD340" s="82" t="s">
        <v>21124</v>
      </c>
      <c r="BE340" s="77"/>
      <c r="BF340" s="77"/>
      <c r="BG340" s="77"/>
      <c r="BH340" s="77"/>
      <c r="BI340" s="77"/>
    </row>
    <row r="341" spans="1:61" x14ac:dyDescent="0.25">
      <c r="A341" s="62" t="s">
        <v>378</v>
      </c>
      <c r="B341" s="62" t="s">
        <v>378</v>
      </c>
      <c r="C341" s="63"/>
      <c r="D341" s="64"/>
      <c r="E341" s="65"/>
      <c r="F341" s="66"/>
      <c r="G341" s="63"/>
      <c r="H341" s="67"/>
      <c r="I341" s="68"/>
      <c r="J341" s="68"/>
      <c r="K341" s="32"/>
      <c r="L341" s="75">
        <v>341</v>
      </c>
      <c r="M341" s="75"/>
      <c r="N341" s="70"/>
      <c r="O341" s="77" t="s">
        <v>179</v>
      </c>
      <c r="P341" s="79">
        <v>45020.155787037038</v>
      </c>
      <c r="Q341" s="77" t="s">
        <v>1624</v>
      </c>
      <c r="R341" s="77">
        <v>0</v>
      </c>
      <c r="S341" s="77">
        <v>1</v>
      </c>
      <c r="T341" s="77">
        <v>0</v>
      </c>
      <c r="U341" s="77">
        <v>0</v>
      </c>
      <c r="V341" s="77">
        <v>65</v>
      </c>
      <c r="W341" s="82" t="s">
        <v>5236</v>
      </c>
      <c r="X341" s="80" t="str">
        <f>HYPERLINK("https://youtu.be/zRB1KzUOITs")</f>
        <v>https://youtu.be/zRB1KzUOITs</v>
      </c>
      <c r="Y341" s="77" t="s">
        <v>7248</v>
      </c>
      <c r="Z341" s="77"/>
      <c r="AA341" s="77" t="s">
        <v>7732</v>
      </c>
      <c r="AB341" s="77" t="s">
        <v>10130</v>
      </c>
      <c r="AC341" s="82" t="s">
        <v>10144</v>
      </c>
      <c r="AD341" s="77" t="s">
        <v>10184</v>
      </c>
      <c r="AE341" s="80" t="str">
        <f>HYPERLINK("https://twitter.com/omarcelopassos/status/1643097141672308737")</f>
        <v>https://twitter.com/omarcelopassos/status/1643097141672308737</v>
      </c>
      <c r="AF341" s="79">
        <v>45020.155787037038</v>
      </c>
      <c r="AG341" s="85">
        <v>45020</v>
      </c>
      <c r="AH341" s="82" t="s">
        <v>10536</v>
      </c>
      <c r="AI341" s="77" t="b">
        <v>0</v>
      </c>
      <c r="AJ341" s="77"/>
      <c r="AK341" s="77"/>
      <c r="AL341" s="77"/>
      <c r="AM341" s="77"/>
      <c r="AN341" s="77"/>
      <c r="AO341" s="77"/>
      <c r="AP341" s="77"/>
      <c r="AQ341" s="77" t="s">
        <v>14376</v>
      </c>
      <c r="AR341" s="77"/>
      <c r="AS341" s="77"/>
      <c r="AT341" s="77"/>
      <c r="AU341" s="77"/>
      <c r="AV341" s="80" t="str">
        <f>HYPERLINK("https://pbs.twimg.com/media/Fs10I7GXsAENW-I.jpg")</f>
        <v>https://pbs.twimg.com/media/Fs10I7GXsAENW-I.jpg</v>
      </c>
      <c r="AW341" s="82" t="s">
        <v>17114</v>
      </c>
      <c r="AX341" s="82" t="s">
        <v>17114</v>
      </c>
      <c r="AY341" s="77"/>
      <c r="AZ341" s="82" t="s">
        <v>20971</v>
      </c>
      <c r="BA341" s="82" t="s">
        <v>20971</v>
      </c>
      <c r="BB341" s="82" t="s">
        <v>20971</v>
      </c>
      <c r="BC341" s="82" t="s">
        <v>17114</v>
      </c>
      <c r="BD341" s="82" t="s">
        <v>21125</v>
      </c>
      <c r="BE341" s="77"/>
      <c r="BF341" s="77"/>
      <c r="BG341" s="77"/>
      <c r="BH341" s="77"/>
      <c r="BI341" s="77"/>
    </row>
    <row r="342" spans="1:61" x14ac:dyDescent="0.25">
      <c r="A342" s="62" t="s">
        <v>379</v>
      </c>
      <c r="B342" s="62" t="s">
        <v>379</v>
      </c>
      <c r="C342" s="63"/>
      <c r="D342" s="64"/>
      <c r="E342" s="65"/>
      <c r="F342" s="66"/>
      <c r="G342" s="63"/>
      <c r="H342" s="67"/>
      <c r="I342" s="68"/>
      <c r="J342" s="68"/>
      <c r="K342" s="32"/>
      <c r="L342" s="75">
        <v>342</v>
      </c>
      <c r="M342" s="75"/>
      <c r="N342" s="70"/>
      <c r="O342" s="77" t="s">
        <v>179</v>
      </c>
      <c r="P342" s="79">
        <v>44997.855439814812</v>
      </c>
      <c r="Q342" s="77" t="s">
        <v>1625</v>
      </c>
      <c r="R342" s="77">
        <v>0</v>
      </c>
      <c r="S342" s="77">
        <v>1</v>
      </c>
      <c r="T342" s="77">
        <v>5</v>
      </c>
      <c r="U342" s="77">
        <v>0</v>
      </c>
      <c r="V342" s="77">
        <v>273</v>
      </c>
      <c r="W342" s="82" t="s">
        <v>5491</v>
      </c>
      <c r="X342" s="77"/>
      <c r="Y342" s="77"/>
      <c r="Z342" s="77"/>
      <c r="AA342" s="77"/>
      <c r="AB342" s="77"/>
      <c r="AC342" s="82" t="s">
        <v>10144</v>
      </c>
      <c r="AD342" s="77" t="s">
        <v>10184</v>
      </c>
      <c r="AE342" s="80" t="str">
        <f>HYPERLINK("https://twitter.com/ionarlinda/status/1635015768206376962")</f>
        <v>https://twitter.com/ionarlinda/status/1635015768206376962</v>
      </c>
      <c r="AF342" s="79">
        <v>44997.855439814812</v>
      </c>
      <c r="AG342" s="85">
        <v>44997</v>
      </c>
      <c r="AH342" s="82" t="s">
        <v>10537</v>
      </c>
      <c r="AI342" s="77"/>
      <c r="AJ342" s="77" t="s">
        <v>14009</v>
      </c>
      <c r="AK342" s="77" t="s">
        <v>14033</v>
      </c>
      <c r="AL342" s="77" t="s">
        <v>14035</v>
      </c>
      <c r="AM342" s="77" t="s">
        <v>14051</v>
      </c>
      <c r="AN342" s="77" t="s">
        <v>14088</v>
      </c>
      <c r="AO342" s="77" t="s">
        <v>14126</v>
      </c>
      <c r="AP342" s="77" t="s">
        <v>14149</v>
      </c>
      <c r="AQ342" s="77"/>
      <c r="AR342" s="77"/>
      <c r="AS342" s="77"/>
      <c r="AT342" s="77"/>
      <c r="AU342" s="77"/>
      <c r="AV342" s="80" t="str">
        <f>HYPERLINK("https://pbs.twimg.com/profile_images/1602029790306992130/f4N00p5U_normal.jpg")</f>
        <v>https://pbs.twimg.com/profile_images/1602029790306992130/f4N00p5U_normal.jpg</v>
      </c>
      <c r="AW342" s="82" t="s">
        <v>17115</v>
      </c>
      <c r="AX342" s="82" t="s">
        <v>17115</v>
      </c>
      <c r="AY342" s="77"/>
      <c r="AZ342" s="82" t="s">
        <v>20971</v>
      </c>
      <c r="BA342" s="82" t="s">
        <v>20971</v>
      </c>
      <c r="BB342" s="82" t="s">
        <v>20971</v>
      </c>
      <c r="BC342" s="82" t="s">
        <v>17115</v>
      </c>
      <c r="BD342" s="77">
        <v>99128672</v>
      </c>
      <c r="BE342" s="77"/>
      <c r="BF342" s="77"/>
      <c r="BG342" s="77"/>
      <c r="BH342" s="77"/>
      <c r="BI342" s="77"/>
    </row>
    <row r="343" spans="1:61" x14ac:dyDescent="0.25">
      <c r="A343" s="62" t="s">
        <v>380</v>
      </c>
      <c r="B343" s="62" t="s">
        <v>380</v>
      </c>
      <c r="C343" s="63"/>
      <c r="D343" s="64"/>
      <c r="E343" s="65"/>
      <c r="F343" s="66"/>
      <c r="G343" s="63"/>
      <c r="H343" s="67"/>
      <c r="I343" s="68"/>
      <c r="J343" s="68"/>
      <c r="K343" s="32"/>
      <c r="L343" s="75">
        <v>343</v>
      </c>
      <c r="M343" s="75"/>
      <c r="N343" s="70"/>
      <c r="O343" s="77" t="s">
        <v>179</v>
      </c>
      <c r="P343" s="79">
        <v>44987.953449074077</v>
      </c>
      <c r="Q343" s="77" t="s">
        <v>1626</v>
      </c>
      <c r="R343" s="77">
        <v>0</v>
      </c>
      <c r="S343" s="77">
        <v>0</v>
      </c>
      <c r="T343" s="77">
        <v>0</v>
      </c>
      <c r="U343" s="77">
        <v>0</v>
      </c>
      <c r="V343" s="77">
        <v>44</v>
      </c>
      <c r="W343" s="82" t="s">
        <v>5492</v>
      </c>
      <c r="X343" s="80" t="str">
        <f>HYPERLINK("https://p.eduzz.com/1807487")</f>
        <v>https://p.eduzz.com/1807487</v>
      </c>
      <c r="Y343" s="77" t="s">
        <v>7245</v>
      </c>
      <c r="Z343" s="77"/>
      <c r="AA343" s="77" t="s">
        <v>7733</v>
      </c>
      <c r="AB343" s="77" t="s">
        <v>10131</v>
      </c>
      <c r="AC343" s="82" t="s">
        <v>10144</v>
      </c>
      <c r="AD343" s="77" t="s">
        <v>10184</v>
      </c>
      <c r="AE343" s="80" t="str">
        <f>HYPERLINK("https://twitter.com/cons1erika/status/1631427405381353474")</f>
        <v>https://twitter.com/cons1erika/status/1631427405381353474</v>
      </c>
      <c r="AF343" s="79">
        <v>44987.953449074077</v>
      </c>
      <c r="AG343" s="85">
        <v>44987</v>
      </c>
      <c r="AH343" s="82" t="s">
        <v>10538</v>
      </c>
      <c r="AI343" s="77" t="b">
        <v>0</v>
      </c>
      <c r="AJ343" s="77"/>
      <c r="AK343" s="77"/>
      <c r="AL343" s="77"/>
      <c r="AM343" s="77"/>
      <c r="AN343" s="77"/>
      <c r="AO343" s="77"/>
      <c r="AP343" s="77"/>
      <c r="AQ343" s="77" t="s">
        <v>14377</v>
      </c>
      <c r="AR343" s="77"/>
      <c r="AS343" s="77"/>
      <c r="AT343" s="77"/>
      <c r="AU343" s="77"/>
      <c r="AV343" s="80" t="str">
        <f>HYPERLINK("https://pbs.twimg.com/media/FqP-kenWwAMmkrl.jpg")</f>
        <v>https://pbs.twimg.com/media/FqP-kenWwAMmkrl.jpg</v>
      </c>
      <c r="AW343" s="82" t="s">
        <v>17116</v>
      </c>
      <c r="AX343" s="82" t="s">
        <v>17116</v>
      </c>
      <c r="AY343" s="77"/>
      <c r="AZ343" s="82" t="s">
        <v>20971</v>
      </c>
      <c r="BA343" s="82" t="s">
        <v>20971</v>
      </c>
      <c r="BB343" s="82" t="s">
        <v>20971</v>
      </c>
      <c r="BC343" s="82" t="s">
        <v>17116</v>
      </c>
      <c r="BD343" s="82" t="s">
        <v>21126</v>
      </c>
      <c r="BE343" s="77"/>
      <c r="BF343" s="77"/>
      <c r="BG343" s="77"/>
      <c r="BH343" s="77"/>
      <c r="BI343" s="77"/>
    </row>
    <row r="344" spans="1:61" x14ac:dyDescent="0.25">
      <c r="A344" s="62" t="s">
        <v>381</v>
      </c>
      <c r="B344" s="62" t="s">
        <v>381</v>
      </c>
      <c r="C344" s="63"/>
      <c r="D344" s="64"/>
      <c r="E344" s="65"/>
      <c r="F344" s="66"/>
      <c r="G344" s="63"/>
      <c r="H344" s="67"/>
      <c r="I344" s="68"/>
      <c r="J344" s="68"/>
      <c r="K344" s="32"/>
      <c r="L344" s="75">
        <v>344</v>
      </c>
      <c r="M344" s="75"/>
      <c r="N344" s="70"/>
      <c r="O344" s="77" t="s">
        <v>179</v>
      </c>
      <c r="P344" s="79">
        <v>45112.718217592592</v>
      </c>
      <c r="Q344" s="77" t="s">
        <v>1627</v>
      </c>
      <c r="R344" s="77">
        <v>0</v>
      </c>
      <c r="S344" s="77">
        <v>1</v>
      </c>
      <c r="T344" s="77">
        <v>2</v>
      </c>
      <c r="U344" s="77">
        <v>0</v>
      </c>
      <c r="V344" s="77">
        <v>43</v>
      </c>
      <c r="W344" s="82" t="s">
        <v>5493</v>
      </c>
      <c r="X344" s="77"/>
      <c r="Y344" s="77"/>
      <c r="Z344" s="77"/>
      <c r="AA344" s="77" t="s">
        <v>7734</v>
      </c>
      <c r="AB344" s="77" t="s">
        <v>10130</v>
      </c>
      <c r="AC344" s="82" t="s">
        <v>10144</v>
      </c>
      <c r="AD344" s="77" t="s">
        <v>10184</v>
      </c>
      <c r="AE344" s="80" t="str">
        <f>HYPERLINK("https://twitter.com/ophandrade/status/1676640644939350020")</f>
        <v>https://twitter.com/ophandrade/status/1676640644939350020</v>
      </c>
      <c r="AF344" s="79">
        <v>45112.718217592592</v>
      </c>
      <c r="AG344" s="85">
        <v>45112</v>
      </c>
      <c r="AH344" s="82" t="s">
        <v>10539</v>
      </c>
      <c r="AI344" s="77" t="b">
        <v>0</v>
      </c>
      <c r="AJ344" s="77"/>
      <c r="AK344" s="77"/>
      <c r="AL344" s="77"/>
      <c r="AM344" s="77"/>
      <c r="AN344" s="77"/>
      <c r="AO344" s="77"/>
      <c r="AP344" s="77"/>
      <c r="AQ344" s="77" t="s">
        <v>14378</v>
      </c>
      <c r="AR344" s="77"/>
      <c r="AS344" s="77"/>
      <c r="AT344" s="77"/>
      <c r="AU344" s="77"/>
      <c r="AV344" s="80" t="str">
        <f>HYPERLINK("https://pbs.twimg.com/media/F0Sfx3oXgBISPVy.jpg")</f>
        <v>https://pbs.twimg.com/media/F0Sfx3oXgBISPVy.jpg</v>
      </c>
      <c r="AW344" s="82" t="s">
        <v>17117</v>
      </c>
      <c r="AX344" s="82" t="s">
        <v>17117</v>
      </c>
      <c r="AY344" s="77"/>
      <c r="AZ344" s="82" t="s">
        <v>20971</v>
      </c>
      <c r="BA344" s="82" t="s">
        <v>20971</v>
      </c>
      <c r="BB344" s="82" t="s">
        <v>20971</v>
      </c>
      <c r="BC344" s="82" t="s">
        <v>17117</v>
      </c>
      <c r="BD344" s="82" t="s">
        <v>21127</v>
      </c>
      <c r="BE344" s="77"/>
      <c r="BF344" s="77"/>
      <c r="BG344" s="77"/>
      <c r="BH344" s="77"/>
      <c r="BI344" s="77"/>
    </row>
    <row r="345" spans="1:61" x14ac:dyDescent="0.25">
      <c r="A345" s="62" t="s">
        <v>382</v>
      </c>
      <c r="B345" s="62" t="s">
        <v>382</v>
      </c>
      <c r="C345" s="63"/>
      <c r="D345" s="64"/>
      <c r="E345" s="65"/>
      <c r="F345" s="66"/>
      <c r="G345" s="63"/>
      <c r="H345" s="67"/>
      <c r="I345" s="68"/>
      <c r="J345" s="68"/>
      <c r="K345" s="32"/>
      <c r="L345" s="75">
        <v>345</v>
      </c>
      <c r="M345" s="75"/>
      <c r="N345" s="70"/>
      <c r="O345" s="77" t="s">
        <v>179</v>
      </c>
      <c r="P345" s="79">
        <v>45062.793923611112</v>
      </c>
      <c r="Q345" s="77" t="s">
        <v>1628</v>
      </c>
      <c r="R345" s="77">
        <v>0</v>
      </c>
      <c r="S345" s="77">
        <v>0</v>
      </c>
      <c r="T345" s="77">
        <v>0</v>
      </c>
      <c r="U345" s="77">
        <v>0</v>
      </c>
      <c r="V345" s="77">
        <v>169</v>
      </c>
      <c r="W345" s="82" t="s">
        <v>5494</v>
      </c>
      <c r="X345" s="80" t="str">
        <f>HYPERLINK("https://l1nk.dev/Minespro3847")</f>
        <v>https://l1nk.dev/Minespro3847</v>
      </c>
      <c r="Y345" s="77" t="s">
        <v>7301</v>
      </c>
      <c r="Z345" s="77"/>
      <c r="AA345" s="77" t="s">
        <v>7735</v>
      </c>
      <c r="AB345" s="77" t="s">
        <v>10134</v>
      </c>
      <c r="AC345" s="82" t="s">
        <v>10144</v>
      </c>
      <c r="AD345" s="77" t="s">
        <v>10184</v>
      </c>
      <c r="AE345" s="80" t="str">
        <f>HYPERLINK("https://twitter.com/negralho2/status/1658548683032387605")</f>
        <v>https://twitter.com/negralho2/status/1658548683032387605</v>
      </c>
      <c r="AF345" s="79">
        <v>45062.793923611112</v>
      </c>
      <c r="AG345" s="85">
        <v>45062</v>
      </c>
      <c r="AH345" s="82" t="s">
        <v>10540</v>
      </c>
      <c r="AI345" s="77" t="b">
        <v>0</v>
      </c>
      <c r="AJ345" s="77"/>
      <c r="AK345" s="77"/>
      <c r="AL345" s="77"/>
      <c r="AM345" s="77"/>
      <c r="AN345" s="77"/>
      <c r="AO345" s="77"/>
      <c r="AP345" s="77"/>
      <c r="AQ345" s="77" t="s">
        <v>14379</v>
      </c>
      <c r="AR345" s="77">
        <v>13120</v>
      </c>
      <c r="AS345" s="77"/>
      <c r="AT345" s="77"/>
      <c r="AU345" s="77"/>
      <c r="AV345" s="80" t="str">
        <f>HYPERLINK("https://pbs.twimg.com/media/FwRZN9MWYEIm06A.jpg")</f>
        <v>https://pbs.twimg.com/media/FwRZN9MWYEIm06A.jpg</v>
      </c>
      <c r="AW345" s="82" t="s">
        <v>17118</v>
      </c>
      <c r="AX345" s="82" t="s">
        <v>17118</v>
      </c>
      <c r="AY345" s="77"/>
      <c r="AZ345" s="82" t="s">
        <v>20971</v>
      </c>
      <c r="BA345" s="82" t="s">
        <v>20971</v>
      </c>
      <c r="BB345" s="82" t="s">
        <v>20971</v>
      </c>
      <c r="BC345" s="82" t="s">
        <v>17118</v>
      </c>
      <c r="BD345" s="82" t="s">
        <v>21128</v>
      </c>
      <c r="BE345" s="77"/>
      <c r="BF345" s="77"/>
      <c r="BG345" s="77"/>
      <c r="BH345" s="77"/>
      <c r="BI345" s="77"/>
    </row>
    <row r="346" spans="1:61" x14ac:dyDescent="0.25">
      <c r="A346" s="62" t="s">
        <v>383</v>
      </c>
      <c r="B346" s="62" t="s">
        <v>383</v>
      </c>
      <c r="C346" s="63"/>
      <c r="D346" s="64"/>
      <c r="E346" s="65"/>
      <c r="F346" s="66"/>
      <c r="G346" s="63"/>
      <c r="H346" s="67"/>
      <c r="I346" s="68"/>
      <c r="J346" s="68"/>
      <c r="K346" s="32"/>
      <c r="L346" s="75">
        <v>346</v>
      </c>
      <c r="M346" s="75"/>
      <c r="N346" s="70"/>
      <c r="O346" s="77" t="s">
        <v>179</v>
      </c>
      <c r="P346" s="79">
        <v>45001.755439814813</v>
      </c>
      <c r="Q346" s="77" t="s">
        <v>1629</v>
      </c>
      <c r="R346" s="77">
        <v>0</v>
      </c>
      <c r="S346" s="77">
        <v>1</v>
      </c>
      <c r="T346" s="77">
        <v>0</v>
      </c>
      <c r="U346" s="77">
        <v>0</v>
      </c>
      <c r="V346" s="77">
        <v>42</v>
      </c>
      <c r="W346" s="82" t="s">
        <v>5495</v>
      </c>
      <c r="X346" s="80" t="str">
        <f>HYPERLINK("https://hotm.art/barbeiroaulagratuit")</f>
        <v>https://hotm.art/barbeiroaulagratuit</v>
      </c>
      <c r="Y346" s="77" t="s">
        <v>7260</v>
      </c>
      <c r="Z346" s="77"/>
      <c r="AA346" s="77" t="s">
        <v>7736</v>
      </c>
      <c r="AB346" s="77" t="s">
        <v>10130</v>
      </c>
      <c r="AC346" s="82" t="s">
        <v>10146</v>
      </c>
      <c r="AD346" s="77" t="s">
        <v>10184</v>
      </c>
      <c r="AE346" s="80" t="str">
        <f>HYPERLINK("https://twitter.com/edudias007/status/1636429079657234440")</f>
        <v>https://twitter.com/edudias007/status/1636429079657234440</v>
      </c>
      <c r="AF346" s="79">
        <v>45001.755439814813</v>
      </c>
      <c r="AG346" s="85">
        <v>45001</v>
      </c>
      <c r="AH346" s="82" t="s">
        <v>10541</v>
      </c>
      <c r="AI346" s="77" t="b">
        <v>0</v>
      </c>
      <c r="AJ346" s="77"/>
      <c r="AK346" s="77"/>
      <c r="AL346" s="77"/>
      <c r="AM346" s="77"/>
      <c r="AN346" s="77"/>
      <c r="AO346" s="77"/>
      <c r="AP346" s="77"/>
      <c r="AQ346" s="77" t="s">
        <v>14380</v>
      </c>
      <c r="AR346" s="77"/>
      <c r="AS346" s="77"/>
      <c r="AT346" s="77"/>
      <c r="AU346" s="77"/>
      <c r="AV346" s="80" t="str">
        <f>HYPERLINK("https://pbs.twimg.com/media/FrXDiQ5XsAEhFWx.jpg")</f>
        <v>https://pbs.twimg.com/media/FrXDiQ5XsAEhFWx.jpg</v>
      </c>
      <c r="AW346" s="82" t="s">
        <v>17119</v>
      </c>
      <c r="AX346" s="82" t="s">
        <v>17119</v>
      </c>
      <c r="AY346" s="77"/>
      <c r="AZ346" s="82" t="s">
        <v>20971</v>
      </c>
      <c r="BA346" s="82" t="s">
        <v>20971</v>
      </c>
      <c r="BB346" s="82" t="s">
        <v>20971</v>
      </c>
      <c r="BC346" s="82" t="s">
        <v>17119</v>
      </c>
      <c r="BD346" s="82" t="s">
        <v>21129</v>
      </c>
      <c r="BE346" s="77"/>
      <c r="BF346" s="77"/>
      <c r="BG346" s="77"/>
      <c r="BH346" s="77"/>
      <c r="BI346" s="77"/>
    </row>
    <row r="347" spans="1:61" x14ac:dyDescent="0.25">
      <c r="A347" s="62" t="s">
        <v>384</v>
      </c>
      <c r="B347" s="62" t="s">
        <v>384</v>
      </c>
      <c r="C347" s="63"/>
      <c r="D347" s="64"/>
      <c r="E347" s="65"/>
      <c r="F347" s="66"/>
      <c r="G347" s="63"/>
      <c r="H347" s="67"/>
      <c r="I347" s="68"/>
      <c r="J347" s="68"/>
      <c r="K347" s="32"/>
      <c r="L347" s="75">
        <v>347</v>
      </c>
      <c r="M347" s="75"/>
      <c r="N347" s="70"/>
      <c r="O347" s="77" t="s">
        <v>179</v>
      </c>
      <c r="P347" s="79">
        <v>45001.5003125</v>
      </c>
      <c r="Q347" s="77" t="s">
        <v>1630</v>
      </c>
      <c r="R347" s="77">
        <v>0</v>
      </c>
      <c r="S347" s="77">
        <v>0</v>
      </c>
      <c r="T347" s="77">
        <v>0</v>
      </c>
      <c r="U347" s="77">
        <v>0</v>
      </c>
      <c r="V347" s="77">
        <v>30</v>
      </c>
      <c r="W347" s="82" t="s">
        <v>5496</v>
      </c>
      <c r="X347" s="77"/>
      <c r="Y347" s="77"/>
      <c r="Z347" s="77"/>
      <c r="AA347" s="77" t="s">
        <v>7737</v>
      </c>
      <c r="AB347" s="77" t="s">
        <v>10130</v>
      </c>
      <c r="AC347" s="82" t="s">
        <v>10153</v>
      </c>
      <c r="AD347" s="77" t="s">
        <v>10184</v>
      </c>
      <c r="AE347" s="80" t="str">
        <f>HYPERLINK("https://twitter.com/cantorparafesta/status/1636336626031906818")</f>
        <v>https://twitter.com/cantorparafesta/status/1636336626031906818</v>
      </c>
      <c r="AF347" s="79">
        <v>45001.5003125</v>
      </c>
      <c r="AG347" s="85">
        <v>45001</v>
      </c>
      <c r="AH347" s="82" t="s">
        <v>10542</v>
      </c>
      <c r="AI347" s="77" t="b">
        <v>0</v>
      </c>
      <c r="AJ347" s="77"/>
      <c r="AK347" s="77"/>
      <c r="AL347" s="77"/>
      <c r="AM347" s="77"/>
      <c r="AN347" s="77"/>
      <c r="AO347" s="77"/>
      <c r="AP347" s="77"/>
      <c r="AQ347" s="77" t="s">
        <v>14381</v>
      </c>
      <c r="AR347" s="77"/>
      <c r="AS347" s="77"/>
      <c r="AT347" s="77"/>
      <c r="AU347" s="77"/>
      <c r="AV347" s="80" t="str">
        <f>HYPERLINK("https://pbs.twimg.com/media/FrVvbqCXoAAqkCb.png")</f>
        <v>https://pbs.twimg.com/media/FrVvbqCXoAAqkCb.png</v>
      </c>
      <c r="AW347" s="82" t="s">
        <v>17120</v>
      </c>
      <c r="AX347" s="82" t="s">
        <v>17120</v>
      </c>
      <c r="AY347" s="77"/>
      <c r="AZ347" s="82" t="s">
        <v>20971</v>
      </c>
      <c r="BA347" s="82" t="s">
        <v>20971</v>
      </c>
      <c r="BB347" s="82" t="s">
        <v>20971</v>
      </c>
      <c r="BC347" s="82" t="s">
        <v>17120</v>
      </c>
      <c r="BD347" s="77">
        <v>2356982354</v>
      </c>
      <c r="BE347" s="77"/>
      <c r="BF347" s="77"/>
      <c r="BG347" s="77"/>
      <c r="BH347" s="77"/>
      <c r="BI347" s="77"/>
    </row>
    <row r="348" spans="1:61" x14ac:dyDescent="0.25">
      <c r="A348" s="62" t="s">
        <v>384</v>
      </c>
      <c r="B348" s="62" t="s">
        <v>384</v>
      </c>
      <c r="C348" s="63"/>
      <c r="D348" s="64"/>
      <c r="E348" s="65"/>
      <c r="F348" s="66"/>
      <c r="G348" s="63"/>
      <c r="H348" s="67"/>
      <c r="I348" s="68"/>
      <c r="J348" s="68"/>
      <c r="K348" s="32"/>
      <c r="L348" s="75">
        <v>348</v>
      </c>
      <c r="M348" s="75"/>
      <c r="N348" s="70"/>
      <c r="O348" s="77" t="s">
        <v>179</v>
      </c>
      <c r="P348" s="79">
        <v>45024.623113425929</v>
      </c>
      <c r="Q348" s="77" t="s">
        <v>1631</v>
      </c>
      <c r="R348" s="77">
        <v>0</v>
      </c>
      <c r="S348" s="77">
        <v>0</v>
      </c>
      <c r="T348" s="77">
        <v>0</v>
      </c>
      <c r="U348" s="77">
        <v>0</v>
      </c>
      <c r="V348" s="77">
        <v>28</v>
      </c>
      <c r="W348" s="82" t="s">
        <v>5497</v>
      </c>
      <c r="X348" s="77"/>
      <c r="Y348" s="77"/>
      <c r="Z348" s="77"/>
      <c r="AA348" s="77" t="s">
        <v>7738</v>
      </c>
      <c r="AB348" s="77" t="s">
        <v>10130</v>
      </c>
      <c r="AC348" s="82" t="s">
        <v>10153</v>
      </c>
      <c r="AD348" s="77" t="s">
        <v>10184</v>
      </c>
      <c r="AE348" s="80" t="str">
        <f>HYPERLINK("https://twitter.com/cantorparafesta/status/1644716046534729728")</f>
        <v>https://twitter.com/cantorparafesta/status/1644716046534729728</v>
      </c>
      <c r="AF348" s="79">
        <v>45024.623113425929</v>
      </c>
      <c r="AG348" s="85">
        <v>45024</v>
      </c>
      <c r="AH348" s="82" t="s">
        <v>10543</v>
      </c>
      <c r="AI348" s="77" t="b">
        <v>0</v>
      </c>
      <c r="AJ348" s="77"/>
      <c r="AK348" s="77"/>
      <c r="AL348" s="77"/>
      <c r="AM348" s="77"/>
      <c r="AN348" s="77"/>
      <c r="AO348" s="77"/>
      <c r="AP348" s="77"/>
      <c r="AQ348" s="77" t="s">
        <v>14382</v>
      </c>
      <c r="AR348" s="77"/>
      <c r="AS348" s="77"/>
      <c r="AT348" s="77"/>
      <c r="AU348" s="77"/>
      <c r="AV348" s="80" t="str">
        <f>HYPERLINK("https://pbs.twimg.com/media/FtM0eIKXsAAEDcN.jpg")</f>
        <v>https://pbs.twimg.com/media/FtM0eIKXsAAEDcN.jpg</v>
      </c>
      <c r="AW348" s="82" t="s">
        <v>17121</v>
      </c>
      <c r="AX348" s="82" t="s">
        <v>17121</v>
      </c>
      <c r="AY348" s="77"/>
      <c r="AZ348" s="82" t="s">
        <v>20971</v>
      </c>
      <c r="BA348" s="82" t="s">
        <v>20971</v>
      </c>
      <c r="BB348" s="82" t="s">
        <v>20971</v>
      </c>
      <c r="BC348" s="82" t="s">
        <v>17121</v>
      </c>
      <c r="BD348" s="77">
        <v>2356982354</v>
      </c>
      <c r="BE348" s="77"/>
      <c r="BF348" s="77"/>
      <c r="BG348" s="77"/>
      <c r="BH348" s="77"/>
      <c r="BI348" s="77"/>
    </row>
    <row r="349" spans="1:61" x14ac:dyDescent="0.25">
      <c r="A349" s="62" t="s">
        <v>384</v>
      </c>
      <c r="B349" s="62" t="s">
        <v>384</v>
      </c>
      <c r="C349" s="63"/>
      <c r="D349" s="64"/>
      <c r="E349" s="65"/>
      <c r="F349" s="66"/>
      <c r="G349" s="63"/>
      <c r="H349" s="67"/>
      <c r="I349" s="68"/>
      <c r="J349" s="68"/>
      <c r="K349" s="32"/>
      <c r="L349" s="75">
        <v>349</v>
      </c>
      <c r="M349" s="75"/>
      <c r="N349" s="70"/>
      <c r="O349" s="77" t="s">
        <v>179</v>
      </c>
      <c r="P349" s="79">
        <v>44993.501296296294</v>
      </c>
      <c r="Q349" s="77" t="s">
        <v>1632</v>
      </c>
      <c r="R349" s="77">
        <v>0</v>
      </c>
      <c r="S349" s="77">
        <v>0</v>
      </c>
      <c r="T349" s="77">
        <v>0</v>
      </c>
      <c r="U349" s="77">
        <v>0</v>
      </c>
      <c r="V349" s="77">
        <v>16</v>
      </c>
      <c r="W349" s="82" t="s">
        <v>5497</v>
      </c>
      <c r="X349" s="77"/>
      <c r="Y349" s="77"/>
      <c r="Z349" s="77"/>
      <c r="AA349" s="77" t="s">
        <v>7739</v>
      </c>
      <c r="AB349" s="77" t="s">
        <v>10130</v>
      </c>
      <c r="AC349" s="82" t="s">
        <v>10153</v>
      </c>
      <c r="AD349" s="77" t="s">
        <v>10184</v>
      </c>
      <c r="AE349" s="80" t="str">
        <f>HYPERLINK("https://twitter.com/cantorparafesta/status/1633437877508923397")</f>
        <v>https://twitter.com/cantorparafesta/status/1633437877508923397</v>
      </c>
      <c r="AF349" s="79">
        <v>44993.501296296294</v>
      </c>
      <c r="AG349" s="85">
        <v>44993</v>
      </c>
      <c r="AH349" s="82" t="s">
        <v>10544</v>
      </c>
      <c r="AI349" s="77" t="b">
        <v>0</v>
      </c>
      <c r="AJ349" s="77"/>
      <c r="AK349" s="77"/>
      <c r="AL349" s="77"/>
      <c r="AM349" s="77"/>
      <c r="AN349" s="77"/>
      <c r="AO349" s="77"/>
      <c r="AP349" s="77"/>
      <c r="AQ349" s="77" t="s">
        <v>14383</v>
      </c>
      <c r="AR349" s="77"/>
      <c r="AS349" s="77"/>
      <c r="AT349" s="77"/>
      <c r="AU349" s="77"/>
      <c r="AV349" s="80" t="str">
        <f>HYPERLINK("https://pbs.twimg.com/media/FqsjCPWWcAAO4NP.jpg")</f>
        <v>https://pbs.twimg.com/media/FqsjCPWWcAAO4NP.jpg</v>
      </c>
      <c r="AW349" s="82" t="s">
        <v>17122</v>
      </c>
      <c r="AX349" s="82" t="s">
        <v>17122</v>
      </c>
      <c r="AY349" s="77"/>
      <c r="AZ349" s="82" t="s">
        <v>20971</v>
      </c>
      <c r="BA349" s="82" t="s">
        <v>20971</v>
      </c>
      <c r="BB349" s="82" t="s">
        <v>20971</v>
      </c>
      <c r="BC349" s="82" t="s">
        <v>17122</v>
      </c>
      <c r="BD349" s="77">
        <v>2356982354</v>
      </c>
      <c r="BE349" s="77"/>
      <c r="BF349" s="77"/>
      <c r="BG349" s="77"/>
      <c r="BH349" s="77"/>
      <c r="BI349" s="77"/>
    </row>
    <row r="350" spans="1:61" x14ac:dyDescent="0.25">
      <c r="A350" s="62" t="s">
        <v>384</v>
      </c>
      <c r="B350" s="62" t="s">
        <v>384</v>
      </c>
      <c r="C350" s="63"/>
      <c r="D350" s="64"/>
      <c r="E350" s="65"/>
      <c r="F350" s="66"/>
      <c r="G350" s="63"/>
      <c r="H350" s="67"/>
      <c r="I350" s="68"/>
      <c r="J350" s="68"/>
      <c r="K350" s="32"/>
      <c r="L350" s="75">
        <v>350</v>
      </c>
      <c r="M350" s="75"/>
      <c r="N350" s="70"/>
      <c r="O350" s="77" t="s">
        <v>179</v>
      </c>
      <c r="P350" s="79">
        <v>45032.623113425929</v>
      </c>
      <c r="Q350" s="77" t="s">
        <v>1633</v>
      </c>
      <c r="R350" s="77">
        <v>0</v>
      </c>
      <c r="S350" s="77">
        <v>0</v>
      </c>
      <c r="T350" s="77">
        <v>0</v>
      </c>
      <c r="U350" s="77">
        <v>0</v>
      </c>
      <c r="V350" s="77">
        <v>36</v>
      </c>
      <c r="W350" s="82" t="s">
        <v>5496</v>
      </c>
      <c r="X350" s="77"/>
      <c r="Y350" s="77"/>
      <c r="Z350" s="77"/>
      <c r="AA350" s="77" t="s">
        <v>7740</v>
      </c>
      <c r="AB350" s="77" t="s">
        <v>10130</v>
      </c>
      <c r="AC350" s="82" t="s">
        <v>10153</v>
      </c>
      <c r="AD350" s="77" t="s">
        <v>10184</v>
      </c>
      <c r="AE350" s="80" t="str">
        <f>HYPERLINK("https://twitter.com/cantorparafesta/status/1647615151447715844")</f>
        <v>https://twitter.com/cantorparafesta/status/1647615151447715844</v>
      </c>
      <c r="AF350" s="79">
        <v>45032.623113425929</v>
      </c>
      <c r="AG350" s="85">
        <v>45032</v>
      </c>
      <c r="AH350" s="82" t="s">
        <v>10543</v>
      </c>
      <c r="AI350" s="77" t="b">
        <v>0</v>
      </c>
      <c r="AJ350" s="77"/>
      <c r="AK350" s="77"/>
      <c r="AL350" s="77"/>
      <c r="AM350" s="77"/>
      <c r="AN350" s="77"/>
      <c r="AO350" s="77"/>
      <c r="AP350" s="77"/>
      <c r="AQ350" s="77" t="s">
        <v>14384</v>
      </c>
      <c r="AR350" s="77"/>
      <c r="AS350" s="77"/>
      <c r="AT350" s="77"/>
      <c r="AU350" s="77"/>
      <c r="AV350" s="80" t="str">
        <f>HYPERLINK("https://pbs.twimg.com/media/Ft2BMRfXoAM1Cq2.png")</f>
        <v>https://pbs.twimg.com/media/Ft2BMRfXoAM1Cq2.png</v>
      </c>
      <c r="AW350" s="82" t="s">
        <v>17123</v>
      </c>
      <c r="AX350" s="82" t="s">
        <v>17123</v>
      </c>
      <c r="AY350" s="77"/>
      <c r="AZ350" s="82" t="s">
        <v>20971</v>
      </c>
      <c r="BA350" s="82" t="s">
        <v>20971</v>
      </c>
      <c r="BB350" s="82" t="s">
        <v>20971</v>
      </c>
      <c r="BC350" s="82" t="s">
        <v>17123</v>
      </c>
      <c r="BD350" s="77">
        <v>2356982354</v>
      </c>
      <c r="BE350" s="77"/>
      <c r="BF350" s="77"/>
      <c r="BG350" s="77"/>
      <c r="BH350" s="77"/>
      <c r="BI350" s="77"/>
    </row>
    <row r="351" spans="1:61" x14ac:dyDescent="0.25">
      <c r="A351" s="62" t="s">
        <v>384</v>
      </c>
      <c r="B351" s="62" t="s">
        <v>384</v>
      </c>
      <c r="C351" s="63"/>
      <c r="D351" s="64"/>
      <c r="E351" s="65"/>
      <c r="F351" s="66"/>
      <c r="G351" s="63"/>
      <c r="H351" s="67"/>
      <c r="I351" s="68"/>
      <c r="J351" s="68"/>
      <c r="K351" s="32"/>
      <c r="L351" s="75">
        <v>351</v>
      </c>
      <c r="M351" s="75"/>
      <c r="N351" s="70"/>
      <c r="O351" s="77" t="s">
        <v>179</v>
      </c>
      <c r="P351" s="79">
        <v>45064.916863425926</v>
      </c>
      <c r="Q351" s="77" t="s">
        <v>1634</v>
      </c>
      <c r="R351" s="77">
        <v>0</v>
      </c>
      <c r="S351" s="77">
        <v>0</v>
      </c>
      <c r="T351" s="77">
        <v>0</v>
      </c>
      <c r="U351" s="77">
        <v>0</v>
      </c>
      <c r="V351" s="77">
        <v>21</v>
      </c>
      <c r="W351" s="82" t="s">
        <v>5497</v>
      </c>
      <c r="X351" s="77"/>
      <c r="Y351" s="77"/>
      <c r="Z351" s="77"/>
      <c r="AA351" s="77" t="s">
        <v>7741</v>
      </c>
      <c r="AB351" s="77" t="s">
        <v>10130</v>
      </c>
      <c r="AC351" s="82" t="s">
        <v>10153</v>
      </c>
      <c r="AD351" s="77" t="s">
        <v>10184</v>
      </c>
      <c r="AE351" s="80" t="str">
        <f>HYPERLINK("https://twitter.com/cantorparafesta/status/1659318012321710082")</f>
        <v>https://twitter.com/cantorparafesta/status/1659318012321710082</v>
      </c>
      <c r="AF351" s="79">
        <v>45064.916863425926</v>
      </c>
      <c r="AG351" s="85">
        <v>45064</v>
      </c>
      <c r="AH351" s="82" t="s">
        <v>10545</v>
      </c>
      <c r="AI351" s="77" t="b">
        <v>0</v>
      </c>
      <c r="AJ351" s="77"/>
      <c r="AK351" s="77"/>
      <c r="AL351" s="77"/>
      <c r="AM351" s="77"/>
      <c r="AN351" s="77"/>
      <c r="AO351" s="77"/>
      <c r="AP351" s="77"/>
      <c r="AQ351" s="77" t="s">
        <v>14385</v>
      </c>
      <c r="AR351" s="77"/>
      <c r="AS351" s="77"/>
      <c r="AT351" s="77"/>
      <c r="AU351" s="77"/>
      <c r="AV351" s="80" t="str">
        <f>HYPERLINK("https://pbs.twimg.com/media/FwcU4YcXgAcnd2R.jpg")</f>
        <v>https://pbs.twimg.com/media/FwcU4YcXgAcnd2R.jpg</v>
      </c>
      <c r="AW351" s="82" t="s">
        <v>17124</v>
      </c>
      <c r="AX351" s="82" t="s">
        <v>17124</v>
      </c>
      <c r="AY351" s="77"/>
      <c r="AZ351" s="82" t="s">
        <v>20971</v>
      </c>
      <c r="BA351" s="82" t="s">
        <v>20971</v>
      </c>
      <c r="BB351" s="82" t="s">
        <v>20971</v>
      </c>
      <c r="BC351" s="82" t="s">
        <v>17124</v>
      </c>
      <c r="BD351" s="77">
        <v>2356982354</v>
      </c>
      <c r="BE351" s="77"/>
      <c r="BF351" s="77"/>
      <c r="BG351" s="77"/>
      <c r="BH351" s="77"/>
      <c r="BI351" s="77"/>
    </row>
    <row r="352" spans="1:61" x14ac:dyDescent="0.25">
      <c r="A352" s="62" t="s">
        <v>385</v>
      </c>
      <c r="B352" s="62" t="s">
        <v>385</v>
      </c>
      <c r="C352" s="63"/>
      <c r="D352" s="64"/>
      <c r="E352" s="65"/>
      <c r="F352" s="66"/>
      <c r="G352" s="63"/>
      <c r="H352" s="67"/>
      <c r="I352" s="68"/>
      <c r="J352" s="68"/>
      <c r="K352" s="32"/>
      <c r="L352" s="75">
        <v>352</v>
      </c>
      <c r="M352" s="75"/>
      <c r="N352" s="70"/>
      <c r="O352" s="77" t="s">
        <v>1284</v>
      </c>
      <c r="P352" s="79">
        <v>44965.651597222219</v>
      </c>
      <c r="Q352" s="77" t="s">
        <v>1635</v>
      </c>
      <c r="R352" s="77">
        <v>0</v>
      </c>
      <c r="S352" s="77">
        <v>0</v>
      </c>
      <c r="T352" s="77">
        <v>0</v>
      </c>
      <c r="U352" s="77">
        <v>0</v>
      </c>
      <c r="V352" s="77">
        <v>34</v>
      </c>
      <c r="W352" s="82" t="s">
        <v>5498</v>
      </c>
      <c r="X352" s="77"/>
      <c r="Y352" s="77"/>
      <c r="Z352" s="77"/>
      <c r="AA352" s="77"/>
      <c r="AB352" s="77"/>
      <c r="AC352" s="82" t="s">
        <v>10146</v>
      </c>
      <c r="AD352" s="77" t="s">
        <v>10184</v>
      </c>
      <c r="AE352" s="80" t="str">
        <f>HYPERLINK("https://twitter.com/mktdigital2023/status/1623345484852080642")</f>
        <v>https://twitter.com/mktdigital2023/status/1623345484852080642</v>
      </c>
      <c r="AF352" s="79">
        <v>44965.651597222219</v>
      </c>
      <c r="AG352" s="85">
        <v>44965</v>
      </c>
      <c r="AH352" s="82" t="s">
        <v>10546</v>
      </c>
      <c r="AI352" s="77"/>
      <c r="AJ352" s="77"/>
      <c r="AK352" s="77"/>
      <c r="AL352" s="77"/>
      <c r="AM352" s="77"/>
      <c r="AN352" s="77"/>
      <c r="AO352" s="77"/>
      <c r="AP352" s="77"/>
      <c r="AQ352" s="77"/>
      <c r="AR352" s="77"/>
      <c r="AS352" s="77"/>
      <c r="AT352" s="77"/>
      <c r="AU352" s="77"/>
      <c r="AV352" s="80" t="str">
        <f>HYPERLINK("https://pbs.twimg.com/profile_images/1613935197732364289/GaEpArku_normal.jpg")</f>
        <v>https://pbs.twimg.com/profile_images/1613935197732364289/GaEpArku_normal.jpg</v>
      </c>
      <c r="AW352" s="82" t="s">
        <v>17125</v>
      </c>
      <c r="AX352" s="82" t="s">
        <v>20801</v>
      </c>
      <c r="AY352" s="82" t="s">
        <v>20910</v>
      </c>
      <c r="AZ352" s="82" t="s">
        <v>20972</v>
      </c>
      <c r="BA352" s="82" t="s">
        <v>20971</v>
      </c>
      <c r="BB352" s="82" t="s">
        <v>20971</v>
      </c>
      <c r="BC352" s="82" t="s">
        <v>20972</v>
      </c>
      <c r="BD352" s="82" t="s">
        <v>20910</v>
      </c>
      <c r="BE352" s="77"/>
      <c r="BF352" s="77"/>
      <c r="BG352" s="77"/>
      <c r="BH352" s="77"/>
      <c r="BI352" s="77"/>
    </row>
    <row r="353" spans="1:61" x14ac:dyDescent="0.25">
      <c r="A353" s="62" t="s">
        <v>385</v>
      </c>
      <c r="B353" s="62" t="s">
        <v>385</v>
      </c>
      <c r="C353" s="63"/>
      <c r="D353" s="64"/>
      <c r="E353" s="65"/>
      <c r="F353" s="66"/>
      <c r="G353" s="63"/>
      <c r="H353" s="67"/>
      <c r="I353" s="68"/>
      <c r="J353" s="68"/>
      <c r="K353" s="32"/>
      <c r="L353" s="75">
        <v>353</v>
      </c>
      <c r="M353" s="75"/>
      <c r="N353" s="70"/>
      <c r="O353" s="77" t="s">
        <v>179</v>
      </c>
      <c r="P353" s="79">
        <v>44964.533356481479</v>
      </c>
      <c r="Q353" s="77" t="s">
        <v>1636</v>
      </c>
      <c r="R353" s="77">
        <v>1</v>
      </c>
      <c r="S353" s="77">
        <v>0</v>
      </c>
      <c r="T353" s="77">
        <v>0</v>
      </c>
      <c r="U353" s="77">
        <v>0</v>
      </c>
      <c r="V353" s="77">
        <v>36</v>
      </c>
      <c r="W353" s="82" t="s">
        <v>5499</v>
      </c>
      <c r="X353" s="80" t="str">
        <f>HYPERLINK("https://go.hotmart.com/L78388156D")</f>
        <v>https://go.hotmart.com/L78388156D</v>
      </c>
      <c r="Y353" s="77" t="s">
        <v>7251</v>
      </c>
      <c r="Z353" s="77"/>
      <c r="AA353" s="77" t="s">
        <v>7742</v>
      </c>
      <c r="AB353" s="77" t="s">
        <v>10129</v>
      </c>
      <c r="AC353" s="82" t="s">
        <v>10146</v>
      </c>
      <c r="AD353" s="77" t="s">
        <v>10184</v>
      </c>
      <c r="AE353" s="80" t="str">
        <f>HYPERLINK("https://twitter.com/mktdigital2023/status/1622940246194155521")</f>
        <v>https://twitter.com/mktdigital2023/status/1622940246194155521</v>
      </c>
      <c r="AF353" s="79">
        <v>44964.533356481479</v>
      </c>
      <c r="AG353" s="85">
        <v>44964</v>
      </c>
      <c r="AH353" s="82" t="s">
        <v>10547</v>
      </c>
      <c r="AI353" s="77" t="b">
        <v>0</v>
      </c>
      <c r="AJ353" s="77"/>
      <c r="AK353" s="77"/>
      <c r="AL353" s="77"/>
      <c r="AM353" s="77"/>
      <c r="AN353" s="77"/>
      <c r="AO353" s="77"/>
      <c r="AP353" s="77"/>
      <c r="AQ353" s="77" t="s">
        <v>14386</v>
      </c>
      <c r="AR353" s="77">
        <v>31960</v>
      </c>
      <c r="AS353" s="77"/>
      <c r="AT353" s="77"/>
      <c r="AU353" s="77"/>
      <c r="AV353" s="80" t="str">
        <f>HYPERLINK("https://pbs.twimg.com/ext_tw_video_thumb/1622939356754284544/pu/img/05p_dC-Ska1dilzu.jpg")</f>
        <v>https://pbs.twimg.com/ext_tw_video_thumb/1622939356754284544/pu/img/05p_dC-Ska1dilzu.jpg</v>
      </c>
      <c r="AW353" s="82" t="s">
        <v>17126</v>
      </c>
      <c r="AX353" s="82" t="s">
        <v>17126</v>
      </c>
      <c r="AY353" s="77"/>
      <c r="AZ353" s="82" t="s">
        <v>20971</v>
      </c>
      <c r="BA353" s="82" t="s">
        <v>20971</v>
      </c>
      <c r="BB353" s="82" t="s">
        <v>20971</v>
      </c>
      <c r="BC353" s="82" t="s">
        <v>17126</v>
      </c>
      <c r="BD353" s="82" t="s">
        <v>20910</v>
      </c>
      <c r="BE353" s="77"/>
      <c r="BF353" s="77"/>
      <c r="BG353" s="77"/>
      <c r="BH353" s="77"/>
      <c r="BI353" s="77"/>
    </row>
    <row r="354" spans="1:61" x14ac:dyDescent="0.25">
      <c r="A354" s="62" t="s">
        <v>385</v>
      </c>
      <c r="B354" s="62" t="s">
        <v>385</v>
      </c>
      <c r="C354" s="63"/>
      <c r="D354" s="64"/>
      <c r="E354" s="65"/>
      <c r="F354" s="66"/>
      <c r="G354" s="63"/>
      <c r="H354" s="67"/>
      <c r="I354" s="68"/>
      <c r="J354" s="68"/>
      <c r="K354" s="32"/>
      <c r="L354" s="75">
        <v>354</v>
      </c>
      <c r="M354" s="75"/>
      <c r="N354" s="70"/>
      <c r="O354" s="77" t="s">
        <v>179</v>
      </c>
      <c r="P354" s="79">
        <v>44958.643043981479</v>
      </c>
      <c r="Q354" s="77" t="s">
        <v>1637</v>
      </c>
      <c r="R354" s="77">
        <v>1</v>
      </c>
      <c r="S354" s="77">
        <v>0</v>
      </c>
      <c r="T354" s="77">
        <v>0</v>
      </c>
      <c r="U354" s="77">
        <v>0</v>
      </c>
      <c r="V354" s="77">
        <v>36</v>
      </c>
      <c r="W354" s="82" t="s">
        <v>5500</v>
      </c>
      <c r="X354" s="80" t="str">
        <f>HYPERLINK("https://go.hotmart.com/L78388156D?ap=0536")</f>
        <v>https://go.hotmart.com/L78388156D?ap=0536</v>
      </c>
      <c r="Y354" s="77" t="s">
        <v>7251</v>
      </c>
      <c r="Z354" s="77"/>
      <c r="AA354" s="77" t="s">
        <v>7743</v>
      </c>
      <c r="AB354" s="77" t="s">
        <v>10130</v>
      </c>
      <c r="AC354" s="82" t="s">
        <v>10146</v>
      </c>
      <c r="AD354" s="77" t="s">
        <v>10184</v>
      </c>
      <c r="AE354" s="80" t="str">
        <f>HYPERLINK("https://twitter.com/mktdigital2023/status/1620805670026231810")</f>
        <v>https://twitter.com/mktdigital2023/status/1620805670026231810</v>
      </c>
      <c r="AF354" s="79">
        <v>44958.643043981479</v>
      </c>
      <c r="AG354" s="85">
        <v>44958</v>
      </c>
      <c r="AH354" s="82" t="s">
        <v>10548</v>
      </c>
      <c r="AI354" s="77" t="b">
        <v>0</v>
      </c>
      <c r="AJ354" s="77"/>
      <c r="AK354" s="77"/>
      <c r="AL354" s="77"/>
      <c r="AM354" s="77"/>
      <c r="AN354" s="77"/>
      <c r="AO354" s="77"/>
      <c r="AP354" s="77"/>
      <c r="AQ354" s="77" t="s">
        <v>14387</v>
      </c>
      <c r="AR354" s="77"/>
      <c r="AS354" s="77"/>
      <c r="AT354" s="77"/>
      <c r="AU354" s="77"/>
      <c r="AV354" s="80" t="str">
        <f>HYPERLINK("https://pbs.twimg.com/media/Fn5Bo4EXgAEbmbB.jpg")</f>
        <v>https://pbs.twimg.com/media/Fn5Bo4EXgAEbmbB.jpg</v>
      </c>
      <c r="AW354" s="82" t="s">
        <v>17127</v>
      </c>
      <c r="AX354" s="82" t="s">
        <v>17127</v>
      </c>
      <c r="AY354" s="77"/>
      <c r="AZ354" s="82" t="s">
        <v>20971</v>
      </c>
      <c r="BA354" s="82" t="s">
        <v>20971</v>
      </c>
      <c r="BB354" s="82" t="s">
        <v>20971</v>
      </c>
      <c r="BC354" s="82" t="s">
        <v>17127</v>
      </c>
      <c r="BD354" s="82" t="s">
        <v>20910</v>
      </c>
      <c r="BE354" s="77"/>
      <c r="BF354" s="77"/>
      <c r="BG354" s="77"/>
      <c r="BH354" s="77"/>
      <c r="BI354" s="77"/>
    </row>
    <row r="355" spans="1:61" x14ac:dyDescent="0.25">
      <c r="A355" s="62" t="s">
        <v>385</v>
      </c>
      <c r="B355" s="62" t="s">
        <v>385</v>
      </c>
      <c r="C355" s="63"/>
      <c r="D355" s="64"/>
      <c r="E355" s="65"/>
      <c r="F355" s="66"/>
      <c r="G355" s="63"/>
      <c r="H355" s="67"/>
      <c r="I355" s="68"/>
      <c r="J355" s="68"/>
      <c r="K355" s="32"/>
      <c r="L355" s="75">
        <v>355</v>
      </c>
      <c r="M355" s="75"/>
      <c r="N355" s="70"/>
      <c r="O355" s="77" t="s">
        <v>179</v>
      </c>
      <c r="P355" s="79">
        <v>44957.601469907408</v>
      </c>
      <c r="Q355" s="77" t="s">
        <v>1638</v>
      </c>
      <c r="R355" s="77">
        <v>0</v>
      </c>
      <c r="S355" s="77">
        <v>0</v>
      </c>
      <c r="T355" s="77">
        <v>0</v>
      </c>
      <c r="U355" s="77">
        <v>0</v>
      </c>
      <c r="V355" s="77">
        <v>17</v>
      </c>
      <c r="W355" s="82" t="s">
        <v>5335</v>
      </c>
      <c r="X355" s="80" t="str">
        <f>HYPERLINK("https://go.hotmart.com/L78388156D")</f>
        <v>https://go.hotmart.com/L78388156D</v>
      </c>
      <c r="Y355" s="77" t="s">
        <v>7251</v>
      </c>
      <c r="Z355" s="77"/>
      <c r="AA355" s="77" t="s">
        <v>7744</v>
      </c>
      <c r="AB355" s="77" t="s">
        <v>10130</v>
      </c>
      <c r="AC355" s="82" t="s">
        <v>10146</v>
      </c>
      <c r="AD355" s="77" t="s">
        <v>10184</v>
      </c>
      <c r="AE355" s="80" t="str">
        <f>HYPERLINK("https://twitter.com/mktdigital2023/status/1620428217395081216")</f>
        <v>https://twitter.com/mktdigital2023/status/1620428217395081216</v>
      </c>
      <c r="AF355" s="79">
        <v>44957.601469907408</v>
      </c>
      <c r="AG355" s="85">
        <v>44957</v>
      </c>
      <c r="AH355" s="82" t="s">
        <v>10549</v>
      </c>
      <c r="AI355" s="77" t="b">
        <v>0</v>
      </c>
      <c r="AJ355" s="77"/>
      <c r="AK355" s="77"/>
      <c r="AL355" s="77"/>
      <c r="AM355" s="77"/>
      <c r="AN355" s="77"/>
      <c r="AO355" s="77"/>
      <c r="AP355" s="77"/>
      <c r="AQ355" s="77" t="s">
        <v>14388</v>
      </c>
      <c r="AR355" s="77"/>
      <c r="AS355" s="77"/>
      <c r="AT355" s="77"/>
      <c r="AU355" s="77"/>
      <c r="AV355" s="80" t="str">
        <f>HYPERLINK("https://pbs.twimg.com/media/FnzpumiaEAYeWxV.jpg")</f>
        <v>https://pbs.twimg.com/media/FnzpumiaEAYeWxV.jpg</v>
      </c>
      <c r="AW355" s="82" t="s">
        <v>17128</v>
      </c>
      <c r="AX355" s="82" t="s">
        <v>17128</v>
      </c>
      <c r="AY355" s="77"/>
      <c r="AZ355" s="82" t="s">
        <v>20971</v>
      </c>
      <c r="BA355" s="82" t="s">
        <v>20971</v>
      </c>
      <c r="BB355" s="82" t="s">
        <v>20971</v>
      </c>
      <c r="BC355" s="82" t="s">
        <v>17128</v>
      </c>
      <c r="BD355" s="82" t="s">
        <v>20910</v>
      </c>
      <c r="BE355" s="77"/>
      <c r="BF355" s="77"/>
      <c r="BG355" s="77"/>
      <c r="BH355" s="77"/>
      <c r="BI355" s="77"/>
    </row>
    <row r="356" spans="1:61" x14ac:dyDescent="0.25">
      <c r="A356" s="62" t="s">
        <v>386</v>
      </c>
      <c r="B356" s="62" t="s">
        <v>386</v>
      </c>
      <c r="C356" s="63"/>
      <c r="D356" s="64"/>
      <c r="E356" s="65"/>
      <c r="F356" s="66"/>
      <c r="G356" s="63"/>
      <c r="H356" s="67"/>
      <c r="I356" s="68"/>
      <c r="J356" s="68"/>
      <c r="K356" s="32"/>
      <c r="L356" s="75">
        <v>356</v>
      </c>
      <c r="M356" s="75"/>
      <c r="N356" s="70"/>
      <c r="O356" s="77" t="s">
        <v>179</v>
      </c>
      <c r="P356" s="79">
        <v>45090.492002314815</v>
      </c>
      <c r="Q356" s="77" t="s">
        <v>1639</v>
      </c>
      <c r="R356" s="77">
        <v>0</v>
      </c>
      <c r="S356" s="77">
        <v>1</v>
      </c>
      <c r="T356" s="77">
        <v>1</v>
      </c>
      <c r="U356" s="77">
        <v>0</v>
      </c>
      <c r="V356" s="77">
        <v>143</v>
      </c>
      <c r="W356" s="82" t="s">
        <v>5501</v>
      </c>
      <c r="X356" s="77"/>
      <c r="Y356" s="77"/>
      <c r="Z356" s="77"/>
      <c r="AA356" s="77" t="s">
        <v>7745</v>
      </c>
      <c r="AB356" s="77" t="s">
        <v>10129</v>
      </c>
      <c r="AC356" s="82" t="s">
        <v>10146</v>
      </c>
      <c r="AD356" s="77" t="s">
        <v>10184</v>
      </c>
      <c r="AE356" s="80" t="str">
        <f>HYPERLINK("https://twitter.com/smashupbrazil/status/1668586133691969536")</f>
        <v>https://twitter.com/smashupbrazil/status/1668586133691969536</v>
      </c>
      <c r="AF356" s="79">
        <v>45090.492002314815</v>
      </c>
      <c r="AG356" s="85">
        <v>45090</v>
      </c>
      <c r="AH356" s="82" t="s">
        <v>10550</v>
      </c>
      <c r="AI356" s="77" t="b">
        <v>0</v>
      </c>
      <c r="AJ356" s="77"/>
      <c r="AK356" s="77"/>
      <c r="AL356" s="77"/>
      <c r="AM356" s="77"/>
      <c r="AN356" s="77"/>
      <c r="AO356" s="77"/>
      <c r="AP356" s="77"/>
      <c r="AQ356" s="77" t="s">
        <v>14389</v>
      </c>
      <c r="AR356" s="77">
        <v>19388</v>
      </c>
      <c r="AS356" s="77"/>
      <c r="AT356" s="77"/>
      <c r="AU356" s="77"/>
      <c r="AV356" s="80" t="str">
        <f>HYPERLINK("https://pbs.twimg.com/ext_tw_video_thumb/1668586028549169152/pu/img/q6Tj5TG07vsn2R7t.jpg")</f>
        <v>https://pbs.twimg.com/ext_tw_video_thumb/1668586028549169152/pu/img/q6Tj5TG07vsn2R7t.jpg</v>
      </c>
      <c r="AW356" s="82" t="s">
        <v>17129</v>
      </c>
      <c r="AX356" s="82" t="s">
        <v>17129</v>
      </c>
      <c r="AY356" s="77"/>
      <c r="AZ356" s="82" t="s">
        <v>20971</v>
      </c>
      <c r="BA356" s="82" t="s">
        <v>20971</v>
      </c>
      <c r="BB356" s="82" t="s">
        <v>20971</v>
      </c>
      <c r="BC356" s="82" t="s">
        <v>17129</v>
      </c>
      <c r="BD356" s="82" t="s">
        <v>21130</v>
      </c>
      <c r="BE356" s="77"/>
      <c r="BF356" s="77"/>
      <c r="BG356" s="77"/>
      <c r="BH356" s="77"/>
      <c r="BI356" s="77"/>
    </row>
    <row r="357" spans="1:61" x14ac:dyDescent="0.25">
      <c r="A357" s="62" t="s">
        <v>386</v>
      </c>
      <c r="B357" s="62" t="s">
        <v>386</v>
      </c>
      <c r="C357" s="63"/>
      <c r="D357" s="64"/>
      <c r="E357" s="65"/>
      <c r="F357" s="66"/>
      <c r="G357" s="63"/>
      <c r="H357" s="67"/>
      <c r="I357" s="68"/>
      <c r="J357" s="68"/>
      <c r="K357" s="32"/>
      <c r="L357" s="75">
        <v>357</v>
      </c>
      <c r="M357" s="75"/>
      <c r="N357" s="70"/>
      <c r="O357" s="77" t="s">
        <v>179</v>
      </c>
      <c r="P357" s="79">
        <v>45090.491550925923</v>
      </c>
      <c r="Q357" s="77" t="s">
        <v>1640</v>
      </c>
      <c r="R357" s="77">
        <v>0</v>
      </c>
      <c r="S357" s="77">
        <v>1</v>
      </c>
      <c r="T357" s="77">
        <v>0</v>
      </c>
      <c r="U357" s="77">
        <v>0</v>
      </c>
      <c r="V357" s="77">
        <v>135</v>
      </c>
      <c r="W357" s="82" t="s">
        <v>5502</v>
      </c>
      <c r="X357" s="77"/>
      <c r="Y357" s="77"/>
      <c r="Z357" s="77"/>
      <c r="AA357" s="77" t="s">
        <v>7746</v>
      </c>
      <c r="AB357" s="77" t="s">
        <v>10129</v>
      </c>
      <c r="AC357" s="82" t="s">
        <v>10146</v>
      </c>
      <c r="AD357" s="77" t="s">
        <v>10184</v>
      </c>
      <c r="AE357" s="80" t="str">
        <f>HYPERLINK("https://twitter.com/smashupbrazil/status/1668585969250099202")</f>
        <v>https://twitter.com/smashupbrazil/status/1668585969250099202</v>
      </c>
      <c r="AF357" s="79">
        <v>45090.491550925923</v>
      </c>
      <c r="AG357" s="85">
        <v>45090</v>
      </c>
      <c r="AH357" s="82" t="s">
        <v>10551</v>
      </c>
      <c r="AI357" s="77" t="b">
        <v>0</v>
      </c>
      <c r="AJ357" s="77"/>
      <c r="AK357" s="77"/>
      <c r="AL357" s="77"/>
      <c r="AM357" s="77"/>
      <c r="AN357" s="77"/>
      <c r="AO357" s="77"/>
      <c r="AP357" s="77"/>
      <c r="AQ357" s="77" t="s">
        <v>14390</v>
      </c>
      <c r="AR357" s="77">
        <v>12003</v>
      </c>
      <c r="AS357" s="77"/>
      <c r="AT357" s="77"/>
      <c r="AU357" s="77"/>
      <c r="AV357" s="80" t="str">
        <f>HYPERLINK("https://pbs.twimg.com/ext_tw_video_thumb/1668585886932684801/pu/img/aC18Th51UlRoQNqx.jpg")</f>
        <v>https://pbs.twimg.com/ext_tw_video_thumb/1668585886932684801/pu/img/aC18Th51UlRoQNqx.jpg</v>
      </c>
      <c r="AW357" s="82" t="s">
        <v>17130</v>
      </c>
      <c r="AX357" s="82" t="s">
        <v>17130</v>
      </c>
      <c r="AY357" s="77"/>
      <c r="AZ357" s="82" t="s">
        <v>20971</v>
      </c>
      <c r="BA357" s="82" t="s">
        <v>20971</v>
      </c>
      <c r="BB357" s="82" t="s">
        <v>20971</v>
      </c>
      <c r="BC357" s="82" t="s">
        <v>17130</v>
      </c>
      <c r="BD357" s="82" t="s">
        <v>21130</v>
      </c>
      <c r="BE357" s="77"/>
      <c r="BF357" s="77"/>
      <c r="BG357" s="77"/>
      <c r="BH357" s="77"/>
      <c r="BI357" s="77"/>
    </row>
    <row r="358" spans="1:61" x14ac:dyDescent="0.25">
      <c r="A358" s="62" t="s">
        <v>386</v>
      </c>
      <c r="B358" s="62" t="s">
        <v>386</v>
      </c>
      <c r="C358" s="63"/>
      <c r="D358" s="64"/>
      <c r="E358" s="65"/>
      <c r="F358" s="66"/>
      <c r="G358" s="63"/>
      <c r="H358" s="67"/>
      <c r="I358" s="68"/>
      <c r="J358" s="68"/>
      <c r="K358" s="32"/>
      <c r="L358" s="75">
        <v>358</v>
      </c>
      <c r="M358" s="75"/>
      <c r="N358" s="70"/>
      <c r="O358" s="77" t="s">
        <v>179</v>
      </c>
      <c r="P358" s="79">
        <v>45090.491203703707</v>
      </c>
      <c r="Q358" s="77" t="s">
        <v>1641</v>
      </c>
      <c r="R358" s="77">
        <v>0</v>
      </c>
      <c r="S358" s="77">
        <v>1</v>
      </c>
      <c r="T358" s="77">
        <v>0</v>
      </c>
      <c r="U358" s="77">
        <v>0</v>
      </c>
      <c r="V358" s="77">
        <v>101</v>
      </c>
      <c r="W358" s="82" t="s">
        <v>5503</v>
      </c>
      <c r="X358" s="77"/>
      <c r="Y358" s="77"/>
      <c r="Z358" s="77"/>
      <c r="AA358" s="77" t="s">
        <v>7747</v>
      </c>
      <c r="AB358" s="77" t="s">
        <v>10129</v>
      </c>
      <c r="AC358" s="82" t="s">
        <v>10146</v>
      </c>
      <c r="AD358" s="77" t="s">
        <v>10184</v>
      </c>
      <c r="AE358" s="80" t="str">
        <f>HYPERLINK("https://twitter.com/smashupbrazil/status/1668585843878146051")</f>
        <v>https://twitter.com/smashupbrazil/status/1668585843878146051</v>
      </c>
      <c r="AF358" s="79">
        <v>45090.491203703707</v>
      </c>
      <c r="AG358" s="85">
        <v>45090</v>
      </c>
      <c r="AH358" s="82" t="s">
        <v>10552</v>
      </c>
      <c r="AI358" s="77" t="b">
        <v>0</v>
      </c>
      <c r="AJ358" s="77"/>
      <c r="AK358" s="77"/>
      <c r="AL358" s="77"/>
      <c r="AM358" s="77"/>
      <c r="AN358" s="77"/>
      <c r="AO358" s="77"/>
      <c r="AP358" s="77"/>
      <c r="AQ358" s="77" t="s">
        <v>14391</v>
      </c>
      <c r="AR358" s="77">
        <v>13119</v>
      </c>
      <c r="AS358" s="77"/>
      <c r="AT358" s="77"/>
      <c r="AU358" s="77"/>
      <c r="AV358" s="80" t="str">
        <f>HYPERLINK("https://pbs.twimg.com/ext_tw_video_thumb/1668585714282541056/pu/img/WmbABKY0jW7A3h5y.jpg")</f>
        <v>https://pbs.twimg.com/ext_tw_video_thumb/1668585714282541056/pu/img/WmbABKY0jW7A3h5y.jpg</v>
      </c>
      <c r="AW358" s="82" t="s">
        <v>17131</v>
      </c>
      <c r="AX358" s="82" t="s">
        <v>17131</v>
      </c>
      <c r="AY358" s="77"/>
      <c r="AZ358" s="82" t="s">
        <v>20971</v>
      </c>
      <c r="BA358" s="82" t="s">
        <v>20971</v>
      </c>
      <c r="BB358" s="82" t="s">
        <v>20971</v>
      </c>
      <c r="BC358" s="82" t="s">
        <v>17131</v>
      </c>
      <c r="BD358" s="82" t="s">
        <v>21130</v>
      </c>
      <c r="BE358" s="77"/>
      <c r="BF358" s="77"/>
      <c r="BG358" s="77"/>
      <c r="BH358" s="77"/>
      <c r="BI358" s="77"/>
    </row>
    <row r="359" spans="1:61" x14ac:dyDescent="0.25">
      <c r="A359" s="62" t="s">
        <v>386</v>
      </c>
      <c r="B359" s="62" t="s">
        <v>386</v>
      </c>
      <c r="C359" s="63"/>
      <c r="D359" s="64"/>
      <c r="E359" s="65"/>
      <c r="F359" s="66"/>
      <c r="G359" s="63"/>
      <c r="H359" s="67"/>
      <c r="I359" s="68"/>
      <c r="J359" s="68"/>
      <c r="K359" s="32"/>
      <c r="L359" s="75">
        <v>359</v>
      </c>
      <c r="M359" s="75"/>
      <c r="N359" s="70"/>
      <c r="O359" s="77" t="s">
        <v>179</v>
      </c>
      <c r="P359" s="79">
        <v>45063.421249999999</v>
      </c>
      <c r="Q359" s="77" t="s">
        <v>1642</v>
      </c>
      <c r="R359" s="77">
        <v>0</v>
      </c>
      <c r="S359" s="77">
        <v>1</v>
      </c>
      <c r="T359" s="77">
        <v>1</v>
      </c>
      <c r="U359" s="77">
        <v>0</v>
      </c>
      <c r="V359" s="77">
        <v>108</v>
      </c>
      <c r="W359" s="82" t="s">
        <v>5504</v>
      </c>
      <c r="X359" s="77"/>
      <c r="Y359" s="77"/>
      <c r="Z359" s="77"/>
      <c r="AA359" s="77" t="s">
        <v>7748</v>
      </c>
      <c r="AB359" s="77" t="s">
        <v>10129</v>
      </c>
      <c r="AC359" s="82" t="s">
        <v>10146</v>
      </c>
      <c r="AD359" s="77" t="s">
        <v>10183</v>
      </c>
      <c r="AE359" s="80" t="str">
        <f>HYPERLINK("https://twitter.com/smashupbrazil/status/1658776022114873344")</f>
        <v>https://twitter.com/smashupbrazil/status/1658776022114873344</v>
      </c>
      <c r="AF359" s="79">
        <v>45063.421249999999</v>
      </c>
      <c r="AG359" s="85">
        <v>45063</v>
      </c>
      <c r="AH359" s="82" t="s">
        <v>10553</v>
      </c>
      <c r="AI359" s="77" t="b">
        <v>0</v>
      </c>
      <c r="AJ359" s="77"/>
      <c r="AK359" s="77"/>
      <c r="AL359" s="77"/>
      <c r="AM359" s="77"/>
      <c r="AN359" s="77"/>
      <c r="AO359" s="77"/>
      <c r="AP359" s="77"/>
      <c r="AQ359" s="77" t="s">
        <v>14392</v>
      </c>
      <c r="AR359" s="77">
        <v>43537</v>
      </c>
      <c r="AS359" s="77"/>
      <c r="AT359" s="77"/>
      <c r="AU359" s="77"/>
      <c r="AV359" s="80" t="str">
        <f>HYPERLINK("https://pbs.twimg.com/ext_tw_video_thumb/1658775941160615937/pu/img/psPK1eHsCDb8WMlY.jpg")</f>
        <v>https://pbs.twimg.com/ext_tw_video_thumb/1658775941160615937/pu/img/psPK1eHsCDb8WMlY.jpg</v>
      </c>
      <c r="AW359" s="82" t="s">
        <v>17132</v>
      </c>
      <c r="AX359" s="82" t="s">
        <v>17132</v>
      </c>
      <c r="AY359" s="77"/>
      <c r="AZ359" s="82" t="s">
        <v>20971</v>
      </c>
      <c r="BA359" s="82" t="s">
        <v>20971</v>
      </c>
      <c r="BB359" s="82" t="s">
        <v>20971</v>
      </c>
      <c r="BC359" s="82" t="s">
        <v>17132</v>
      </c>
      <c r="BD359" s="82" t="s">
        <v>21130</v>
      </c>
      <c r="BE359" s="77"/>
      <c r="BF359" s="77"/>
      <c r="BG359" s="77"/>
      <c r="BH359" s="77"/>
      <c r="BI359" s="77"/>
    </row>
    <row r="360" spans="1:61" x14ac:dyDescent="0.25">
      <c r="A360" s="62" t="s">
        <v>386</v>
      </c>
      <c r="B360" s="62" t="s">
        <v>386</v>
      </c>
      <c r="C360" s="63"/>
      <c r="D360" s="64"/>
      <c r="E360" s="65"/>
      <c r="F360" s="66"/>
      <c r="G360" s="63"/>
      <c r="H360" s="67"/>
      <c r="I360" s="68"/>
      <c r="J360" s="68"/>
      <c r="K360" s="32"/>
      <c r="L360" s="75">
        <v>360</v>
      </c>
      <c r="M360" s="75"/>
      <c r="N360" s="70"/>
      <c r="O360" s="77" t="s">
        <v>179</v>
      </c>
      <c r="P360" s="79">
        <v>45010.541678240741</v>
      </c>
      <c r="Q360" s="77" t="s">
        <v>1643</v>
      </c>
      <c r="R360" s="77">
        <v>0</v>
      </c>
      <c r="S360" s="77">
        <v>0</v>
      </c>
      <c r="T360" s="77">
        <v>0</v>
      </c>
      <c r="U360" s="77">
        <v>0</v>
      </c>
      <c r="V360" s="77">
        <v>283</v>
      </c>
      <c r="W360" s="82" t="s">
        <v>5505</v>
      </c>
      <c r="X360" s="77"/>
      <c r="Y360" s="77"/>
      <c r="Z360" s="77"/>
      <c r="AA360" s="77" t="s">
        <v>7749</v>
      </c>
      <c r="AB360" s="77" t="s">
        <v>10130</v>
      </c>
      <c r="AC360" s="82" t="s">
        <v>10146</v>
      </c>
      <c r="AD360" s="77" t="s">
        <v>10184</v>
      </c>
      <c r="AE360" s="80" t="str">
        <f>HYPERLINK("https://twitter.com/smashupbrazil/status/1639613104525918208")</f>
        <v>https://twitter.com/smashupbrazil/status/1639613104525918208</v>
      </c>
      <c r="AF360" s="79">
        <v>45010.541678240741</v>
      </c>
      <c r="AG360" s="85">
        <v>45010</v>
      </c>
      <c r="AH360" s="82" t="s">
        <v>10554</v>
      </c>
      <c r="AI360" s="77" t="b">
        <v>0</v>
      </c>
      <c r="AJ360" s="77"/>
      <c r="AK360" s="77"/>
      <c r="AL360" s="77"/>
      <c r="AM360" s="77"/>
      <c r="AN360" s="77"/>
      <c r="AO360" s="77"/>
      <c r="AP360" s="77"/>
      <c r="AQ360" s="77" t="s">
        <v>14393</v>
      </c>
      <c r="AR360" s="77"/>
      <c r="AS360" s="77"/>
      <c r="AT360" s="77"/>
      <c r="AU360" s="77"/>
      <c r="AV360" s="80" t="str">
        <f>HYPERLINK("https://pbs.twimg.com/media/FsDk4vEXoAIhA-K.png")</f>
        <v>https://pbs.twimg.com/media/FsDk4vEXoAIhA-K.png</v>
      </c>
      <c r="AW360" s="82" t="s">
        <v>17133</v>
      </c>
      <c r="AX360" s="82" t="s">
        <v>17133</v>
      </c>
      <c r="AY360" s="77"/>
      <c r="AZ360" s="82" t="s">
        <v>20971</v>
      </c>
      <c r="BA360" s="82" t="s">
        <v>20971</v>
      </c>
      <c r="BB360" s="82" t="s">
        <v>20971</v>
      </c>
      <c r="BC360" s="82" t="s">
        <v>17133</v>
      </c>
      <c r="BD360" s="82" t="s">
        <v>21130</v>
      </c>
      <c r="BE360" s="77"/>
      <c r="BF360" s="77"/>
      <c r="BG360" s="77"/>
      <c r="BH360" s="77"/>
      <c r="BI360" s="77"/>
    </row>
    <row r="361" spans="1:61" x14ac:dyDescent="0.25">
      <c r="A361" s="62" t="s">
        <v>386</v>
      </c>
      <c r="B361" s="62" t="s">
        <v>386</v>
      </c>
      <c r="C361" s="63"/>
      <c r="D361" s="64"/>
      <c r="E361" s="65"/>
      <c r="F361" s="66"/>
      <c r="G361" s="63"/>
      <c r="H361" s="67"/>
      <c r="I361" s="68"/>
      <c r="J361" s="68"/>
      <c r="K361" s="32"/>
      <c r="L361" s="75">
        <v>361</v>
      </c>
      <c r="M361" s="75"/>
      <c r="N361" s="70"/>
      <c r="O361" s="77" t="s">
        <v>179</v>
      </c>
      <c r="P361" s="79">
        <v>45010.520833333336</v>
      </c>
      <c r="Q361" s="77" t="s">
        <v>1644</v>
      </c>
      <c r="R361" s="77">
        <v>0</v>
      </c>
      <c r="S361" s="77">
        <v>1</v>
      </c>
      <c r="T361" s="77">
        <v>0</v>
      </c>
      <c r="U361" s="77">
        <v>0</v>
      </c>
      <c r="V361" s="77">
        <v>215</v>
      </c>
      <c r="W361" s="82" t="s">
        <v>5506</v>
      </c>
      <c r="X361" s="77"/>
      <c r="Y361" s="77"/>
      <c r="Z361" s="77"/>
      <c r="AA361" s="77" t="s">
        <v>7750</v>
      </c>
      <c r="AB361" s="77" t="s">
        <v>10130</v>
      </c>
      <c r="AC361" s="82" t="s">
        <v>10146</v>
      </c>
      <c r="AD361" s="77" t="s">
        <v>10184</v>
      </c>
      <c r="AE361" s="80" t="str">
        <f>HYPERLINK("https://twitter.com/smashupbrazil/status/1639605550395850752")</f>
        <v>https://twitter.com/smashupbrazil/status/1639605550395850752</v>
      </c>
      <c r="AF361" s="79">
        <v>45010.520833333336</v>
      </c>
      <c r="AG361" s="85">
        <v>45010</v>
      </c>
      <c r="AH361" s="82" t="s">
        <v>10555</v>
      </c>
      <c r="AI361" s="77" t="b">
        <v>0</v>
      </c>
      <c r="AJ361" s="77"/>
      <c r="AK361" s="77"/>
      <c r="AL361" s="77"/>
      <c r="AM361" s="77"/>
      <c r="AN361" s="77"/>
      <c r="AO361" s="77"/>
      <c r="AP361" s="77"/>
      <c r="AQ361" s="77" t="s">
        <v>14394</v>
      </c>
      <c r="AR361" s="77"/>
      <c r="AS361" s="77"/>
      <c r="AT361" s="77"/>
      <c r="AU361" s="77"/>
      <c r="AV361" s="80" t="str">
        <f>HYPERLINK("https://pbs.twimg.com/media/FsDkxWMXoAQz_Y6.png")</f>
        <v>https://pbs.twimg.com/media/FsDkxWMXoAQz_Y6.png</v>
      </c>
      <c r="AW361" s="82" t="s">
        <v>17134</v>
      </c>
      <c r="AX361" s="82" t="s">
        <v>17134</v>
      </c>
      <c r="AY361" s="77"/>
      <c r="AZ361" s="82" t="s">
        <v>20971</v>
      </c>
      <c r="BA361" s="82" t="s">
        <v>20971</v>
      </c>
      <c r="BB361" s="82" t="s">
        <v>20971</v>
      </c>
      <c r="BC361" s="82" t="s">
        <v>17134</v>
      </c>
      <c r="BD361" s="82" t="s">
        <v>21130</v>
      </c>
      <c r="BE361" s="77"/>
      <c r="BF361" s="77"/>
      <c r="BG361" s="77"/>
      <c r="BH361" s="77"/>
      <c r="BI361" s="77"/>
    </row>
    <row r="362" spans="1:61" x14ac:dyDescent="0.25">
      <c r="A362" s="62" t="s">
        <v>386</v>
      </c>
      <c r="B362" s="62" t="s">
        <v>386</v>
      </c>
      <c r="C362" s="63"/>
      <c r="D362" s="64"/>
      <c r="E362" s="65"/>
      <c r="F362" s="66"/>
      <c r="G362" s="63"/>
      <c r="H362" s="67"/>
      <c r="I362" s="68"/>
      <c r="J362" s="68"/>
      <c r="K362" s="32"/>
      <c r="L362" s="75">
        <v>362</v>
      </c>
      <c r="M362" s="75"/>
      <c r="N362" s="70"/>
      <c r="O362" s="77" t="s">
        <v>179</v>
      </c>
      <c r="P362" s="79">
        <v>45010.500023148146</v>
      </c>
      <c r="Q362" s="77" t="s">
        <v>1645</v>
      </c>
      <c r="R362" s="77">
        <v>0</v>
      </c>
      <c r="S362" s="77">
        <v>0</v>
      </c>
      <c r="T362" s="77">
        <v>0</v>
      </c>
      <c r="U362" s="77">
        <v>0</v>
      </c>
      <c r="V362" s="77">
        <v>212</v>
      </c>
      <c r="W362" s="82" t="s">
        <v>5507</v>
      </c>
      <c r="X362" s="77"/>
      <c r="Y362" s="77"/>
      <c r="Z362" s="77"/>
      <c r="AA362" s="77" t="s">
        <v>7751</v>
      </c>
      <c r="AB362" s="77" t="s">
        <v>10130</v>
      </c>
      <c r="AC362" s="82" t="s">
        <v>10146</v>
      </c>
      <c r="AD362" s="77" t="s">
        <v>10184</v>
      </c>
      <c r="AE362" s="80" t="str">
        <f>HYPERLINK("https://twitter.com/smashupbrazil/status/1639598009603457024")</f>
        <v>https://twitter.com/smashupbrazil/status/1639598009603457024</v>
      </c>
      <c r="AF362" s="79">
        <v>45010.500023148146</v>
      </c>
      <c r="AG362" s="85">
        <v>45010</v>
      </c>
      <c r="AH362" s="82" t="s">
        <v>10385</v>
      </c>
      <c r="AI362" s="77" t="b">
        <v>0</v>
      </c>
      <c r="AJ362" s="77"/>
      <c r="AK362" s="77"/>
      <c r="AL362" s="77"/>
      <c r="AM362" s="77"/>
      <c r="AN362" s="77"/>
      <c r="AO362" s="77"/>
      <c r="AP362" s="77"/>
      <c r="AQ362" s="77" t="s">
        <v>14395</v>
      </c>
      <c r="AR362" s="77"/>
      <c r="AS362" s="77"/>
      <c r="AT362" s="77"/>
      <c r="AU362" s="77"/>
      <c r="AV362" s="80" t="str">
        <f>HYPERLINK("https://pbs.twimg.com/media/FsDhF1FWAAAyjSW.png")</f>
        <v>https://pbs.twimg.com/media/FsDhF1FWAAAyjSW.png</v>
      </c>
      <c r="AW362" s="82" t="s">
        <v>17135</v>
      </c>
      <c r="AX362" s="82" t="s">
        <v>17135</v>
      </c>
      <c r="AY362" s="77"/>
      <c r="AZ362" s="82" t="s">
        <v>20971</v>
      </c>
      <c r="BA362" s="82" t="s">
        <v>20971</v>
      </c>
      <c r="BB362" s="82" t="s">
        <v>20971</v>
      </c>
      <c r="BC362" s="82" t="s">
        <v>17135</v>
      </c>
      <c r="BD362" s="82" t="s">
        <v>21130</v>
      </c>
      <c r="BE362" s="77"/>
      <c r="BF362" s="77"/>
      <c r="BG362" s="77"/>
      <c r="BH362" s="77"/>
      <c r="BI362" s="77"/>
    </row>
    <row r="363" spans="1:61" x14ac:dyDescent="0.25">
      <c r="A363" s="62" t="s">
        <v>386</v>
      </c>
      <c r="B363" s="62" t="s">
        <v>386</v>
      </c>
      <c r="C363" s="63"/>
      <c r="D363" s="64"/>
      <c r="E363" s="65"/>
      <c r="F363" s="66"/>
      <c r="G363" s="63"/>
      <c r="H363" s="67"/>
      <c r="I363" s="68"/>
      <c r="J363" s="68"/>
      <c r="K363" s="32"/>
      <c r="L363" s="75">
        <v>363</v>
      </c>
      <c r="M363" s="75"/>
      <c r="N363" s="70"/>
      <c r="O363" s="77" t="s">
        <v>179</v>
      </c>
      <c r="P363" s="79">
        <v>45102.410243055558</v>
      </c>
      <c r="Q363" s="77" t="s">
        <v>1646</v>
      </c>
      <c r="R363" s="77">
        <v>0</v>
      </c>
      <c r="S363" s="77">
        <v>0</v>
      </c>
      <c r="T363" s="77">
        <v>0</v>
      </c>
      <c r="U363" s="77">
        <v>0</v>
      </c>
      <c r="V363" s="77">
        <v>129</v>
      </c>
      <c r="W363" s="82" t="s">
        <v>5502</v>
      </c>
      <c r="X363" s="77"/>
      <c r="Y363" s="77"/>
      <c r="Z363" s="77"/>
      <c r="AA363" s="77" t="s">
        <v>7752</v>
      </c>
      <c r="AB363" s="77" t="s">
        <v>10129</v>
      </c>
      <c r="AC363" s="82" t="s">
        <v>10146</v>
      </c>
      <c r="AD363" s="77" t="s">
        <v>10184</v>
      </c>
      <c r="AE363" s="80" t="str">
        <f>HYPERLINK("https://twitter.com/smashupbrazil/status/1672905158995374080")</f>
        <v>https://twitter.com/smashupbrazil/status/1672905158995374080</v>
      </c>
      <c r="AF363" s="79">
        <v>45102.410243055558</v>
      </c>
      <c r="AG363" s="85">
        <v>45102</v>
      </c>
      <c r="AH363" s="82" t="s">
        <v>10556</v>
      </c>
      <c r="AI363" s="77" t="b">
        <v>0</v>
      </c>
      <c r="AJ363" s="77"/>
      <c r="AK363" s="77"/>
      <c r="AL363" s="77"/>
      <c r="AM363" s="77"/>
      <c r="AN363" s="77"/>
      <c r="AO363" s="77"/>
      <c r="AP363" s="77"/>
      <c r="AQ363" s="77" t="s">
        <v>14396</v>
      </c>
      <c r="AR363" s="77">
        <v>10750</v>
      </c>
      <c r="AS363" s="77"/>
      <c r="AT363" s="77"/>
      <c r="AU363" s="77"/>
      <c r="AV363" s="80" t="str">
        <f>HYPERLINK("https://pbs.twimg.com/ext_tw_video_thumb/1672905026656776193/pu/img/_YXHjfku27ikWeqg.jpg")</f>
        <v>https://pbs.twimg.com/ext_tw_video_thumb/1672905026656776193/pu/img/_YXHjfku27ikWeqg.jpg</v>
      </c>
      <c r="AW363" s="82" t="s">
        <v>17136</v>
      </c>
      <c r="AX363" s="82" t="s">
        <v>17136</v>
      </c>
      <c r="AY363" s="77"/>
      <c r="AZ363" s="82" t="s">
        <v>20971</v>
      </c>
      <c r="BA363" s="82" t="s">
        <v>20971</v>
      </c>
      <c r="BB363" s="82" t="s">
        <v>20971</v>
      </c>
      <c r="BC363" s="82" t="s">
        <v>17136</v>
      </c>
      <c r="BD363" s="82" t="s">
        <v>21130</v>
      </c>
      <c r="BE363" s="77"/>
      <c r="BF363" s="77"/>
      <c r="BG363" s="77"/>
      <c r="BH363" s="77"/>
      <c r="BI363" s="77"/>
    </row>
    <row r="364" spans="1:61" x14ac:dyDescent="0.25">
      <c r="A364" s="62" t="s">
        <v>386</v>
      </c>
      <c r="B364" s="62" t="s">
        <v>386</v>
      </c>
      <c r="C364" s="63"/>
      <c r="D364" s="64"/>
      <c r="E364" s="65"/>
      <c r="F364" s="66"/>
      <c r="G364" s="63"/>
      <c r="H364" s="67"/>
      <c r="I364" s="68"/>
      <c r="J364" s="68"/>
      <c r="K364" s="32"/>
      <c r="L364" s="75">
        <v>364</v>
      </c>
      <c r="M364" s="75"/>
      <c r="N364" s="70"/>
      <c r="O364" s="77" t="s">
        <v>179</v>
      </c>
      <c r="P364" s="79">
        <v>45102.409108796295</v>
      </c>
      <c r="Q364" s="77" t="s">
        <v>1647</v>
      </c>
      <c r="R364" s="77">
        <v>0</v>
      </c>
      <c r="S364" s="77">
        <v>0</v>
      </c>
      <c r="T364" s="77">
        <v>0</v>
      </c>
      <c r="U364" s="77">
        <v>0</v>
      </c>
      <c r="V364" s="77">
        <v>121</v>
      </c>
      <c r="W364" s="82" t="s">
        <v>5501</v>
      </c>
      <c r="X364" s="77"/>
      <c r="Y364" s="77"/>
      <c r="Z364" s="77"/>
      <c r="AA364" s="77" t="s">
        <v>7753</v>
      </c>
      <c r="AB364" s="77" t="s">
        <v>10129</v>
      </c>
      <c r="AC364" s="82" t="s">
        <v>10146</v>
      </c>
      <c r="AD364" s="77" t="s">
        <v>10184</v>
      </c>
      <c r="AE364" s="80" t="str">
        <f>HYPERLINK("https://twitter.com/smashupbrazil/status/1672904747035107334")</f>
        <v>https://twitter.com/smashupbrazil/status/1672904747035107334</v>
      </c>
      <c r="AF364" s="79">
        <v>45102.409108796295</v>
      </c>
      <c r="AG364" s="85">
        <v>45102</v>
      </c>
      <c r="AH364" s="82" t="s">
        <v>10557</v>
      </c>
      <c r="AI364" s="77" t="b">
        <v>0</v>
      </c>
      <c r="AJ364" s="77"/>
      <c r="AK364" s="77"/>
      <c r="AL364" s="77"/>
      <c r="AM364" s="77"/>
      <c r="AN364" s="77"/>
      <c r="AO364" s="77"/>
      <c r="AP364" s="77"/>
      <c r="AQ364" s="77" t="s">
        <v>14397</v>
      </c>
      <c r="AR364" s="77">
        <v>12212</v>
      </c>
      <c r="AS364" s="77"/>
      <c r="AT364" s="77"/>
      <c r="AU364" s="77"/>
      <c r="AV364" s="80" t="str">
        <f>HYPERLINK("https://pbs.twimg.com/ext_tw_video_thumb/1672904618282500096/pu/img/-S6Ynv0ClafZnJ2Y.jpg")</f>
        <v>https://pbs.twimg.com/ext_tw_video_thumb/1672904618282500096/pu/img/-S6Ynv0ClafZnJ2Y.jpg</v>
      </c>
      <c r="AW364" s="82" t="s">
        <v>17137</v>
      </c>
      <c r="AX364" s="82" t="s">
        <v>17137</v>
      </c>
      <c r="AY364" s="77"/>
      <c r="AZ364" s="82" t="s">
        <v>20971</v>
      </c>
      <c r="BA364" s="82" t="s">
        <v>20971</v>
      </c>
      <c r="BB364" s="82" t="s">
        <v>20971</v>
      </c>
      <c r="BC364" s="82" t="s">
        <v>17137</v>
      </c>
      <c r="BD364" s="82" t="s">
        <v>21130</v>
      </c>
      <c r="BE364" s="77"/>
      <c r="BF364" s="77"/>
      <c r="BG364" s="77"/>
      <c r="BH364" s="77"/>
      <c r="BI364" s="77"/>
    </row>
    <row r="365" spans="1:61" x14ac:dyDescent="0.25">
      <c r="A365" s="62" t="s">
        <v>386</v>
      </c>
      <c r="B365" s="62" t="s">
        <v>386</v>
      </c>
      <c r="C365" s="63"/>
      <c r="D365" s="64"/>
      <c r="E365" s="65"/>
      <c r="F365" s="66"/>
      <c r="G365" s="63"/>
      <c r="H365" s="67"/>
      <c r="I365" s="68"/>
      <c r="J365" s="68"/>
      <c r="K365" s="32"/>
      <c r="L365" s="75">
        <v>365</v>
      </c>
      <c r="M365" s="75"/>
      <c r="N365" s="70"/>
      <c r="O365" s="77" t="s">
        <v>179</v>
      </c>
      <c r="P365" s="79">
        <v>45087.560416666667</v>
      </c>
      <c r="Q365" s="77" t="s">
        <v>1648</v>
      </c>
      <c r="R365" s="77">
        <v>0</v>
      </c>
      <c r="S365" s="77">
        <v>0</v>
      </c>
      <c r="T365" s="77">
        <v>0</v>
      </c>
      <c r="U365" s="77">
        <v>0</v>
      </c>
      <c r="V365" s="77">
        <v>99</v>
      </c>
      <c r="W365" s="82" t="s">
        <v>5504</v>
      </c>
      <c r="X365" s="77"/>
      <c r="Y365" s="77"/>
      <c r="Z365" s="77"/>
      <c r="AA365" s="77" t="s">
        <v>7754</v>
      </c>
      <c r="AB365" s="77" t="s">
        <v>10129</v>
      </c>
      <c r="AC365" s="82" t="s">
        <v>10146</v>
      </c>
      <c r="AD365" s="77" t="s">
        <v>10183</v>
      </c>
      <c r="AE365" s="80" t="str">
        <f>HYPERLINK("https://twitter.com/smashupbrazil/status/1667523760558047236")</f>
        <v>https://twitter.com/smashupbrazil/status/1667523760558047236</v>
      </c>
      <c r="AF365" s="79">
        <v>45087.560416666667</v>
      </c>
      <c r="AG365" s="85">
        <v>45087</v>
      </c>
      <c r="AH365" s="82" t="s">
        <v>10558</v>
      </c>
      <c r="AI365" s="77" t="b">
        <v>0</v>
      </c>
      <c r="AJ365" s="77"/>
      <c r="AK365" s="77"/>
      <c r="AL365" s="77"/>
      <c r="AM365" s="77"/>
      <c r="AN365" s="77"/>
      <c r="AO365" s="77"/>
      <c r="AP365" s="77"/>
      <c r="AQ365" s="77" t="s">
        <v>14398</v>
      </c>
      <c r="AR365" s="77">
        <v>21687</v>
      </c>
      <c r="AS365" s="77"/>
      <c r="AT365" s="77"/>
      <c r="AU365" s="77"/>
      <c r="AV365" s="80" t="str">
        <f>HYPERLINK("https://pbs.twimg.com/ext_tw_video_thumb/1667086037858893825/pu/img/H49HDO-37bin-Krw.jpg")</f>
        <v>https://pbs.twimg.com/ext_tw_video_thumb/1667086037858893825/pu/img/H49HDO-37bin-Krw.jpg</v>
      </c>
      <c r="AW365" s="82" t="s">
        <v>17138</v>
      </c>
      <c r="AX365" s="82" t="s">
        <v>17138</v>
      </c>
      <c r="AY365" s="77"/>
      <c r="AZ365" s="82" t="s">
        <v>20971</v>
      </c>
      <c r="BA365" s="82" t="s">
        <v>20971</v>
      </c>
      <c r="BB365" s="82" t="s">
        <v>20971</v>
      </c>
      <c r="BC365" s="82" t="s">
        <v>17138</v>
      </c>
      <c r="BD365" s="82" t="s">
        <v>21130</v>
      </c>
      <c r="BE365" s="77"/>
      <c r="BF365" s="77"/>
      <c r="BG365" s="77"/>
      <c r="BH365" s="77"/>
      <c r="BI365" s="77"/>
    </row>
    <row r="366" spans="1:61" x14ac:dyDescent="0.25">
      <c r="A366" s="62" t="s">
        <v>386</v>
      </c>
      <c r="B366" s="62" t="s">
        <v>386</v>
      </c>
      <c r="C366" s="63"/>
      <c r="D366" s="64"/>
      <c r="E366" s="65"/>
      <c r="F366" s="66"/>
      <c r="G366" s="63"/>
      <c r="H366" s="67"/>
      <c r="I366" s="68"/>
      <c r="J366" s="68"/>
      <c r="K366" s="32"/>
      <c r="L366" s="75">
        <v>366</v>
      </c>
      <c r="M366" s="75"/>
      <c r="N366" s="70"/>
      <c r="O366" s="77" t="s">
        <v>179</v>
      </c>
      <c r="P366" s="79">
        <v>45087.102083333331</v>
      </c>
      <c r="Q366" s="77" t="s">
        <v>1649</v>
      </c>
      <c r="R366" s="77">
        <v>0</v>
      </c>
      <c r="S366" s="77">
        <v>0</v>
      </c>
      <c r="T366" s="77">
        <v>0</v>
      </c>
      <c r="U366" s="77">
        <v>0</v>
      </c>
      <c r="V366" s="77">
        <v>131</v>
      </c>
      <c r="W366" s="82" t="s">
        <v>5504</v>
      </c>
      <c r="X366" s="77"/>
      <c r="Y366" s="77"/>
      <c r="Z366" s="77"/>
      <c r="AA366" s="77" t="s">
        <v>7755</v>
      </c>
      <c r="AB366" s="77" t="s">
        <v>10129</v>
      </c>
      <c r="AC366" s="82" t="s">
        <v>10146</v>
      </c>
      <c r="AD366" s="77" t="s">
        <v>10183</v>
      </c>
      <c r="AE366" s="80" t="str">
        <f>HYPERLINK("https://twitter.com/smashupbrazil/status/1667357665826324481")</f>
        <v>https://twitter.com/smashupbrazil/status/1667357665826324481</v>
      </c>
      <c r="AF366" s="79">
        <v>45087.102083333331</v>
      </c>
      <c r="AG366" s="85">
        <v>45087</v>
      </c>
      <c r="AH366" s="82" t="s">
        <v>10559</v>
      </c>
      <c r="AI366" s="77" t="b">
        <v>0</v>
      </c>
      <c r="AJ366" s="77"/>
      <c r="AK366" s="77"/>
      <c r="AL366" s="77"/>
      <c r="AM366" s="77"/>
      <c r="AN366" s="77"/>
      <c r="AO366" s="77"/>
      <c r="AP366" s="77"/>
      <c r="AQ366" s="77" t="s">
        <v>14399</v>
      </c>
      <c r="AR366" s="77">
        <v>50317</v>
      </c>
      <c r="AS366" s="77"/>
      <c r="AT366" s="77"/>
      <c r="AU366" s="77"/>
      <c r="AV366" s="80" t="str">
        <f>HYPERLINK("https://pbs.twimg.com/ext_tw_video_thumb/1667085800373202945/pu/img/Yu7um-7eJ7blAXdR.jpg")</f>
        <v>https://pbs.twimg.com/ext_tw_video_thumb/1667085800373202945/pu/img/Yu7um-7eJ7blAXdR.jpg</v>
      </c>
      <c r="AW366" s="82" t="s">
        <v>17139</v>
      </c>
      <c r="AX366" s="82" t="s">
        <v>17139</v>
      </c>
      <c r="AY366" s="77"/>
      <c r="AZ366" s="82" t="s">
        <v>20971</v>
      </c>
      <c r="BA366" s="82" t="s">
        <v>20971</v>
      </c>
      <c r="BB366" s="82" t="s">
        <v>20971</v>
      </c>
      <c r="BC366" s="82" t="s">
        <v>17139</v>
      </c>
      <c r="BD366" s="82" t="s">
        <v>21130</v>
      </c>
      <c r="BE366" s="77"/>
      <c r="BF366" s="77"/>
      <c r="BG366" s="77"/>
      <c r="BH366" s="77"/>
      <c r="BI366" s="77"/>
    </row>
    <row r="367" spans="1:61" x14ac:dyDescent="0.25">
      <c r="A367" s="62" t="s">
        <v>386</v>
      </c>
      <c r="B367" s="62" t="s">
        <v>386</v>
      </c>
      <c r="C367" s="63"/>
      <c r="D367" s="64"/>
      <c r="E367" s="65"/>
      <c r="F367" s="66"/>
      <c r="G367" s="63"/>
      <c r="H367" s="67"/>
      <c r="I367" s="68"/>
      <c r="J367" s="68"/>
      <c r="K367" s="32"/>
      <c r="L367" s="75">
        <v>367</v>
      </c>
      <c r="M367" s="75"/>
      <c r="N367" s="70"/>
      <c r="O367" s="77" t="s">
        <v>179</v>
      </c>
      <c r="P367" s="79">
        <v>45087.018055555556</v>
      </c>
      <c r="Q367" s="77" t="s">
        <v>1650</v>
      </c>
      <c r="R367" s="77">
        <v>0</v>
      </c>
      <c r="S367" s="77">
        <v>0</v>
      </c>
      <c r="T367" s="77">
        <v>0</v>
      </c>
      <c r="U367" s="77">
        <v>0</v>
      </c>
      <c r="V367" s="77">
        <v>143</v>
      </c>
      <c r="W367" s="82" t="s">
        <v>5504</v>
      </c>
      <c r="X367" s="77"/>
      <c r="Y367" s="77"/>
      <c r="Z367" s="77"/>
      <c r="AA367" s="77" t="s">
        <v>7756</v>
      </c>
      <c r="AB367" s="77" t="s">
        <v>10129</v>
      </c>
      <c r="AC367" s="82" t="s">
        <v>10146</v>
      </c>
      <c r="AD367" s="77" t="s">
        <v>10183</v>
      </c>
      <c r="AE367" s="80" t="str">
        <f>HYPERLINK("https://twitter.com/smashupbrazil/status/1667327215179005958")</f>
        <v>https://twitter.com/smashupbrazil/status/1667327215179005958</v>
      </c>
      <c r="AF367" s="79">
        <v>45087.018055555556</v>
      </c>
      <c r="AG367" s="85">
        <v>45087</v>
      </c>
      <c r="AH367" s="82" t="s">
        <v>10560</v>
      </c>
      <c r="AI367" s="77" t="b">
        <v>0</v>
      </c>
      <c r="AJ367" s="77"/>
      <c r="AK367" s="77"/>
      <c r="AL367" s="77"/>
      <c r="AM367" s="77"/>
      <c r="AN367" s="77"/>
      <c r="AO367" s="77"/>
      <c r="AP367" s="77"/>
      <c r="AQ367" s="77" t="s">
        <v>14400</v>
      </c>
      <c r="AR367" s="77">
        <v>45742</v>
      </c>
      <c r="AS367" s="77"/>
      <c r="AT367" s="77"/>
      <c r="AU367" s="77"/>
      <c r="AV367" s="80" t="str">
        <f>HYPERLINK("https://pbs.twimg.com/ext_tw_video_thumb/1667085653471813633/pu/img/5n5jSMIlgDXsz1cn.jpg")</f>
        <v>https://pbs.twimg.com/ext_tw_video_thumb/1667085653471813633/pu/img/5n5jSMIlgDXsz1cn.jpg</v>
      </c>
      <c r="AW367" s="82" t="s">
        <v>17140</v>
      </c>
      <c r="AX367" s="82" t="s">
        <v>17140</v>
      </c>
      <c r="AY367" s="77"/>
      <c r="AZ367" s="82" t="s">
        <v>20971</v>
      </c>
      <c r="BA367" s="82" t="s">
        <v>20971</v>
      </c>
      <c r="BB367" s="82" t="s">
        <v>20971</v>
      </c>
      <c r="BC367" s="82" t="s">
        <v>17140</v>
      </c>
      <c r="BD367" s="82" t="s">
        <v>21130</v>
      </c>
      <c r="BE367" s="77"/>
      <c r="BF367" s="77"/>
      <c r="BG367" s="77"/>
      <c r="BH367" s="77"/>
      <c r="BI367" s="77"/>
    </row>
    <row r="368" spans="1:61" x14ac:dyDescent="0.25">
      <c r="A368" s="62" t="s">
        <v>386</v>
      </c>
      <c r="B368" s="62" t="s">
        <v>386</v>
      </c>
      <c r="C368" s="63"/>
      <c r="D368" s="64"/>
      <c r="E368" s="65"/>
      <c r="F368" s="66"/>
      <c r="G368" s="63"/>
      <c r="H368" s="67"/>
      <c r="I368" s="68"/>
      <c r="J368" s="68"/>
      <c r="K368" s="32"/>
      <c r="L368" s="75">
        <v>368</v>
      </c>
      <c r="M368" s="75"/>
      <c r="N368" s="70"/>
      <c r="O368" s="77" t="s">
        <v>179</v>
      </c>
      <c r="P368" s="79">
        <v>45076.444895833331</v>
      </c>
      <c r="Q368" s="77" t="s">
        <v>1651</v>
      </c>
      <c r="R368" s="77">
        <v>0</v>
      </c>
      <c r="S368" s="77">
        <v>2</v>
      </c>
      <c r="T368" s="77">
        <v>1</v>
      </c>
      <c r="U368" s="77">
        <v>0</v>
      </c>
      <c r="V368" s="77">
        <v>225</v>
      </c>
      <c r="W368" s="82" t="s">
        <v>5504</v>
      </c>
      <c r="X368" s="77"/>
      <c r="Y368" s="77"/>
      <c r="Z368" s="77"/>
      <c r="AA368" s="77" t="s">
        <v>7757</v>
      </c>
      <c r="AB368" s="77" t="s">
        <v>10129</v>
      </c>
      <c r="AC368" s="82" t="s">
        <v>10146</v>
      </c>
      <c r="AD368" s="77" t="s">
        <v>10183</v>
      </c>
      <c r="AE368" s="80" t="str">
        <f>HYPERLINK("https://twitter.com/smashupbrazil/status/1663495629929078786")</f>
        <v>https://twitter.com/smashupbrazil/status/1663495629929078786</v>
      </c>
      <c r="AF368" s="79">
        <v>45076.444895833331</v>
      </c>
      <c r="AG368" s="85">
        <v>45076</v>
      </c>
      <c r="AH368" s="82" t="s">
        <v>10561</v>
      </c>
      <c r="AI368" s="77" t="b">
        <v>0</v>
      </c>
      <c r="AJ368" s="77"/>
      <c r="AK368" s="77"/>
      <c r="AL368" s="77"/>
      <c r="AM368" s="77"/>
      <c r="AN368" s="77"/>
      <c r="AO368" s="77"/>
      <c r="AP368" s="77"/>
      <c r="AQ368" s="77" t="s">
        <v>14401</v>
      </c>
      <c r="AR368" s="77">
        <v>57910</v>
      </c>
      <c r="AS368" s="77"/>
      <c r="AT368" s="77"/>
      <c r="AU368" s="77"/>
      <c r="AV368" s="80" t="str">
        <f>HYPERLINK("https://pbs.twimg.com/ext_tw_video_thumb/1663495516393558018/pu/img/JWoK6Kd7p-uuqvMo.jpg")</f>
        <v>https://pbs.twimg.com/ext_tw_video_thumb/1663495516393558018/pu/img/JWoK6Kd7p-uuqvMo.jpg</v>
      </c>
      <c r="AW368" s="82" t="s">
        <v>17141</v>
      </c>
      <c r="AX368" s="82" t="s">
        <v>17141</v>
      </c>
      <c r="AY368" s="77"/>
      <c r="AZ368" s="82" t="s">
        <v>20971</v>
      </c>
      <c r="BA368" s="82" t="s">
        <v>20971</v>
      </c>
      <c r="BB368" s="82" t="s">
        <v>20971</v>
      </c>
      <c r="BC368" s="82" t="s">
        <v>17141</v>
      </c>
      <c r="BD368" s="82" t="s">
        <v>21130</v>
      </c>
      <c r="BE368" s="77"/>
      <c r="BF368" s="77"/>
      <c r="BG368" s="77"/>
      <c r="BH368" s="77"/>
      <c r="BI368" s="77"/>
    </row>
    <row r="369" spans="1:61" x14ac:dyDescent="0.25">
      <c r="A369" s="62" t="s">
        <v>386</v>
      </c>
      <c r="B369" s="62" t="s">
        <v>386</v>
      </c>
      <c r="C369" s="63"/>
      <c r="D369" s="64"/>
      <c r="E369" s="65"/>
      <c r="F369" s="66"/>
      <c r="G369" s="63"/>
      <c r="H369" s="67"/>
      <c r="I369" s="68"/>
      <c r="J369" s="68"/>
      <c r="K369" s="32"/>
      <c r="L369" s="75">
        <v>369</v>
      </c>
      <c r="M369" s="75"/>
      <c r="N369" s="70"/>
      <c r="O369" s="77" t="s">
        <v>179</v>
      </c>
      <c r="P369" s="79">
        <v>45076.444467592592</v>
      </c>
      <c r="Q369" s="77" t="s">
        <v>1652</v>
      </c>
      <c r="R369" s="77">
        <v>0</v>
      </c>
      <c r="S369" s="77">
        <v>0</v>
      </c>
      <c r="T369" s="77">
        <v>3</v>
      </c>
      <c r="U369" s="77">
        <v>0</v>
      </c>
      <c r="V369" s="77">
        <v>185</v>
      </c>
      <c r="W369" s="82" t="s">
        <v>5504</v>
      </c>
      <c r="X369" s="77"/>
      <c r="Y369" s="77"/>
      <c r="Z369" s="77"/>
      <c r="AA369" s="77" t="s">
        <v>7758</v>
      </c>
      <c r="AB369" s="77" t="s">
        <v>10129</v>
      </c>
      <c r="AC369" s="82" t="s">
        <v>10146</v>
      </c>
      <c r="AD369" s="77" t="s">
        <v>10183</v>
      </c>
      <c r="AE369" s="80" t="str">
        <f>HYPERLINK("https://twitter.com/smashupbrazil/status/1663495474509234176")</f>
        <v>https://twitter.com/smashupbrazil/status/1663495474509234176</v>
      </c>
      <c r="AF369" s="79">
        <v>45076.444467592592</v>
      </c>
      <c r="AG369" s="85">
        <v>45076</v>
      </c>
      <c r="AH369" s="82" t="s">
        <v>10562</v>
      </c>
      <c r="AI369" s="77" t="b">
        <v>0</v>
      </c>
      <c r="AJ369" s="77"/>
      <c r="AK369" s="77"/>
      <c r="AL369" s="77"/>
      <c r="AM369" s="77"/>
      <c r="AN369" s="77"/>
      <c r="AO369" s="77"/>
      <c r="AP369" s="77"/>
      <c r="AQ369" s="77" t="s">
        <v>14402</v>
      </c>
      <c r="AR369" s="77">
        <v>40588</v>
      </c>
      <c r="AS369" s="77"/>
      <c r="AT369" s="77"/>
      <c r="AU369" s="77"/>
      <c r="AV369" s="80" t="str">
        <f>HYPERLINK("https://pbs.twimg.com/ext_tw_video_thumb/1663495402451005441/pu/img/Qomn8mXQ7kdXVH0_.jpg")</f>
        <v>https://pbs.twimg.com/ext_tw_video_thumb/1663495402451005441/pu/img/Qomn8mXQ7kdXVH0_.jpg</v>
      </c>
      <c r="AW369" s="82" t="s">
        <v>17142</v>
      </c>
      <c r="AX369" s="82" t="s">
        <v>17142</v>
      </c>
      <c r="AY369" s="77"/>
      <c r="AZ369" s="82" t="s">
        <v>20971</v>
      </c>
      <c r="BA369" s="82" t="s">
        <v>20971</v>
      </c>
      <c r="BB369" s="82" t="s">
        <v>20971</v>
      </c>
      <c r="BC369" s="82" t="s">
        <v>17142</v>
      </c>
      <c r="BD369" s="82" t="s">
        <v>21130</v>
      </c>
      <c r="BE369" s="77"/>
      <c r="BF369" s="77"/>
      <c r="BG369" s="77"/>
      <c r="BH369" s="77"/>
      <c r="BI369" s="77"/>
    </row>
    <row r="370" spans="1:61" x14ac:dyDescent="0.25">
      <c r="A370" s="62" t="s">
        <v>386</v>
      </c>
      <c r="B370" s="62" t="s">
        <v>386</v>
      </c>
      <c r="C370" s="63"/>
      <c r="D370" s="64"/>
      <c r="E370" s="65"/>
      <c r="F370" s="66"/>
      <c r="G370" s="63"/>
      <c r="H370" s="67"/>
      <c r="I370" s="68"/>
      <c r="J370" s="68"/>
      <c r="K370" s="32"/>
      <c r="L370" s="75">
        <v>370</v>
      </c>
      <c r="M370" s="75"/>
      <c r="N370" s="70"/>
      <c r="O370" s="77" t="s">
        <v>179</v>
      </c>
      <c r="P370" s="79">
        <v>45076.444143518522</v>
      </c>
      <c r="Q370" s="77" t="s">
        <v>1653</v>
      </c>
      <c r="R370" s="77">
        <v>0</v>
      </c>
      <c r="S370" s="77">
        <v>0</v>
      </c>
      <c r="T370" s="77">
        <v>2</v>
      </c>
      <c r="U370" s="77">
        <v>0</v>
      </c>
      <c r="V370" s="77">
        <v>156</v>
      </c>
      <c r="W370" s="82" t="s">
        <v>5504</v>
      </c>
      <c r="X370" s="77"/>
      <c r="Y370" s="77"/>
      <c r="Z370" s="77"/>
      <c r="AA370" s="77" t="s">
        <v>7759</v>
      </c>
      <c r="AB370" s="77" t="s">
        <v>10129</v>
      </c>
      <c r="AC370" s="82" t="s">
        <v>10146</v>
      </c>
      <c r="AD370" s="77" t="s">
        <v>10183</v>
      </c>
      <c r="AE370" s="80" t="str">
        <f>HYPERLINK("https://twitter.com/smashupbrazil/status/1663495357047660546")</f>
        <v>https://twitter.com/smashupbrazil/status/1663495357047660546</v>
      </c>
      <c r="AF370" s="79">
        <v>45076.444143518522</v>
      </c>
      <c r="AG370" s="85">
        <v>45076</v>
      </c>
      <c r="AH370" s="82" t="s">
        <v>10563</v>
      </c>
      <c r="AI370" s="77" t="b">
        <v>0</v>
      </c>
      <c r="AJ370" s="77"/>
      <c r="AK370" s="77"/>
      <c r="AL370" s="77"/>
      <c r="AM370" s="77"/>
      <c r="AN370" s="77"/>
      <c r="AO370" s="77"/>
      <c r="AP370" s="77"/>
      <c r="AQ370" s="77" t="s">
        <v>14403</v>
      </c>
      <c r="AR370" s="77">
        <v>55100</v>
      </c>
      <c r="AS370" s="77"/>
      <c r="AT370" s="77"/>
      <c r="AU370" s="77"/>
      <c r="AV370" s="80" t="str">
        <f>HYPERLINK("https://pbs.twimg.com/ext_tw_video_thumb/1663495189015547904/pu/img/YGMOLDPYJD1LtKDC.jpg")</f>
        <v>https://pbs.twimg.com/ext_tw_video_thumb/1663495189015547904/pu/img/YGMOLDPYJD1LtKDC.jpg</v>
      </c>
      <c r="AW370" s="82" t="s">
        <v>17143</v>
      </c>
      <c r="AX370" s="82" t="s">
        <v>17143</v>
      </c>
      <c r="AY370" s="77"/>
      <c r="AZ370" s="82" t="s">
        <v>20971</v>
      </c>
      <c r="BA370" s="82" t="s">
        <v>20971</v>
      </c>
      <c r="BB370" s="82" t="s">
        <v>20971</v>
      </c>
      <c r="BC370" s="82" t="s">
        <v>17143</v>
      </c>
      <c r="BD370" s="82" t="s">
        <v>21130</v>
      </c>
      <c r="BE370" s="77"/>
      <c r="BF370" s="77"/>
      <c r="BG370" s="77"/>
      <c r="BH370" s="77"/>
      <c r="BI370" s="77"/>
    </row>
    <row r="371" spans="1:61" x14ac:dyDescent="0.25">
      <c r="A371" s="62" t="s">
        <v>386</v>
      </c>
      <c r="B371" s="62" t="s">
        <v>386</v>
      </c>
      <c r="C371" s="63"/>
      <c r="D371" s="64"/>
      <c r="E371" s="65"/>
      <c r="F371" s="66"/>
      <c r="G371" s="63"/>
      <c r="H371" s="67"/>
      <c r="I371" s="68"/>
      <c r="J371" s="68"/>
      <c r="K371" s="32"/>
      <c r="L371" s="75">
        <v>371</v>
      </c>
      <c r="M371" s="75"/>
      <c r="N371" s="70"/>
      <c r="O371" s="77" t="s">
        <v>179</v>
      </c>
      <c r="P371" s="79">
        <v>45107.569351851853</v>
      </c>
      <c r="Q371" s="77" t="s">
        <v>1654</v>
      </c>
      <c r="R371" s="77">
        <v>0</v>
      </c>
      <c r="S371" s="77">
        <v>0</v>
      </c>
      <c r="T371" s="77">
        <v>0</v>
      </c>
      <c r="U371" s="77">
        <v>0</v>
      </c>
      <c r="V371" s="77">
        <v>123</v>
      </c>
      <c r="W371" s="82" t="s">
        <v>5504</v>
      </c>
      <c r="X371" s="77"/>
      <c r="Y371" s="77"/>
      <c r="Z371" s="77"/>
      <c r="AA371" s="77" t="s">
        <v>7760</v>
      </c>
      <c r="AB371" s="77" t="s">
        <v>10129</v>
      </c>
      <c r="AC371" s="82" t="s">
        <v>10146</v>
      </c>
      <c r="AD371" s="77" t="s">
        <v>10183</v>
      </c>
      <c r="AE371" s="80" t="str">
        <f>HYPERLINK("https://twitter.com/smashupbrazil/status/1674774758880337923")</f>
        <v>https://twitter.com/smashupbrazil/status/1674774758880337923</v>
      </c>
      <c r="AF371" s="79">
        <v>45107.569351851853</v>
      </c>
      <c r="AG371" s="85">
        <v>45107</v>
      </c>
      <c r="AH371" s="82" t="s">
        <v>10564</v>
      </c>
      <c r="AI371" s="77" t="b">
        <v>0</v>
      </c>
      <c r="AJ371" s="77"/>
      <c r="AK371" s="77"/>
      <c r="AL371" s="77"/>
      <c r="AM371" s="77"/>
      <c r="AN371" s="77"/>
      <c r="AO371" s="77"/>
      <c r="AP371" s="77"/>
      <c r="AQ371" s="77" t="s">
        <v>14404</v>
      </c>
      <c r="AR371" s="77">
        <v>12421</v>
      </c>
      <c r="AS371" s="77"/>
      <c r="AT371" s="77"/>
      <c r="AU371" s="77"/>
      <c r="AV371" s="80" t="str">
        <f>HYPERLINK("https://pbs.twimg.com/ext_tw_video_thumb/1674774443477049345/pu/img/tGOilwHOWmc9aktp.jpg")</f>
        <v>https://pbs.twimg.com/ext_tw_video_thumb/1674774443477049345/pu/img/tGOilwHOWmc9aktp.jpg</v>
      </c>
      <c r="AW371" s="82" t="s">
        <v>17144</v>
      </c>
      <c r="AX371" s="82" t="s">
        <v>17144</v>
      </c>
      <c r="AY371" s="77"/>
      <c r="AZ371" s="82" t="s">
        <v>20971</v>
      </c>
      <c r="BA371" s="82" t="s">
        <v>20971</v>
      </c>
      <c r="BB371" s="82" t="s">
        <v>20971</v>
      </c>
      <c r="BC371" s="82" t="s">
        <v>17144</v>
      </c>
      <c r="BD371" s="82" t="s">
        <v>21130</v>
      </c>
      <c r="BE371" s="77"/>
      <c r="BF371" s="77"/>
      <c r="BG371" s="77"/>
      <c r="BH371" s="77"/>
      <c r="BI371" s="77"/>
    </row>
    <row r="372" spans="1:61" x14ac:dyDescent="0.25">
      <c r="A372" s="62" t="s">
        <v>386</v>
      </c>
      <c r="B372" s="62" t="s">
        <v>386</v>
      </c>
      <c r="C372" s="63"/>
      <c r="D372" s="64"/>
      <c r="E372" s="65"/>
      <c r="F372" s="66"/>
      <c r="G372" s="63"/>
      <c r="H372" s="67"/>
      <c r="I372" s="68"/>
      <c r="J372" s="68"/>
      <c r="K372" s="32"/>
      <c r="L372" s="75">
        <v>372</v>
      </c>
      <c r="M372" s="75"/>
      <c r="N372" s="70"/>
      <c r="O372" s="77" t="s">
        <v>179</v>
      </c>
      <c r="P372" s="79">
        <v>45107.568391203706</v>
      </c>
      <c r="Q372" s="77" t="s">
        <v>1655</v>
      </c>
      <c r="R372" s="77">
        <v>0</v>
      </c>
      <c r="S372" s="77">
        <v>0</v>
      </c>
      <c r="T372" s="77">
        <v>0</v>
      </c>
      <c r="U372" s="77">
        <v>0</v>
      </c>
      <c r="V372" s="77">
        <v>100</v>
      </c>
      <c r="W372" s="82" t="s">
        <v>5508</v>
      </c>
      <c r="X372" s="77"/>
      <c r="Y372" s="77"/>
      <c r="Z372" s="77"/>
      <c r="AA372" s="77" t="s">
        <v>7761</v>
      </c>
      <c r="AB372" s="77" t="s">
        <v>10129</v>
      </c>
      <c r="AC372" s="82" t="s">
        <v>10146</v>
      </c>
      <c r="AD372" s="77" t="s">
        <v>10184</v>
      </c>
      <c r="AE372" s="80" t="str">
        <f>HYPERLINK("https://twitter.com/smashupbrazil/status/1674774407091466242")</f>
        <v>https://twitter.com/smashupbrazil/status/1674774407091466242</v>
      </c>
      <c r="AF372" s="79">
        <v>45107.568391203706</v>
      </c>
      <c r="AG372" s="85">
        <v>45107</v>
      </c>
      <c r="AH372" s="82" t="s">
        <v>10565</v>
      </c>
      <c r="AI372" s="77" t="b">
        <v>0</v>
      </c>
      <c r="AJ372" s="77"/>
      <c r="AK372" s="77"/>
      <c r="AL372" s="77"/>
      <c r="AM372" s="77"/>
      <c r="AN372" s="77"/>
      <c r="AO372" s="77"/>
      <c r="AP372" s="77"/>
      <c r="AQ372" s="77" t="s">
        <v>14405</v>
      </c>
      <c r="AR372" s="77">
        <v>9983</v>
      </c>
      <c r="AS372" s="77"/>
      <c r="AT372" s="77"/>
      <c r="AU372" s="77"/>
      <c r="AV372" s="80" t="str">
        <f>HYPERLINK("https://pbs.twimg.com/ext_tw_video_thumb/1674774192598966272/pu/img/wpl_XhAYXyG2q-JR.jpg")</f>
        <v>https://pbs.twimg.com/ext_tw_video_thumb/1674774192598966272/pu/img/wpl_XhAYXyG2q-JR.jpg</v>
      </c>
      <c r="AW372" s="82" t="s">
        <v>17145</v>
      </c>
      <c r="AX372" s="82" t="s">
        <v>17145</v>
      </c>
      <c r="AY372" s="77"/>
      <c r="AZ372" s="82" t="s">
        <v>20971</v>
      </c>
      <c r="BA372" s="82" t="s">
        <v>20971</v>
      </c>
      <c r="BB372" s="82" t="s">
        <v>20971</v>
      </c>
      <c r="BC372" s="82" t="s">
        <v>17145</v>
      </c>
      <c r="BD372" s="82" t="s">
        <v>21130</v>
      </c>
      <c r="BE372" s="77"/>
      <c r="BF372" s="77"/>
      <c r="BG372" s="77"/>
      <c r="BH372" s="77"/>
      <c r="BI372" s="77"/>
    </row>
    <row r="373" spans="1:61" x14ac:dyDescent="0.25">
      <c r="A373" s="62" t="s">
        <v>386</v>
      </c>
      <c r="B373" s="62" t="s">
        <v>386</v>
      </c>
      <c r="C373" s="63"/>
      <c r="D373" s="64"/>
      <c r="E373" s="65"/>
      <c r="F373" s="66"/>
      <c r="G373" s="63"/>
      <c r="H373" s="67"/>
      <c r="I373" s="68"/>
      <c r="J373" s="68"/>
      <c r="K373" s="32"/>
      <c r="L373" s="75">
        <v>373</v>
      </c>
      <c r="M373" s="75"/>
      <c r="N373" s="70"/>
      <c r="O373" s="77" t="s">
        <v>179</v>
      </c>
      <c r="P373" s="79">
        <v>45107.567615740743</v>
      </c>
      <c r="Q373" s="77" t="s">
        <v>1656</v>
      </c>
      <c r="R373" s="77">
        <v>0</v>
      </c>
      <c r="S373" s="77">
        <v>0</v>
      </c>
      <c r="T373" s="77">
        <v>0</v>
      </c>
      <c r="U373" s="77">
        <v>0</v>
      </c>
      <c r="V373" s="77">
        <v>94</v>
      </c>
      <c r="W373" s="82" t="s">
        <v>5508</v>
      </c>
      <c r="X373" s="77"/>
      <c r="Y373" s="77"/>
      <c r="Z373" s="77"/>
      <c r="AA373" s="77" t="s">
        <v>7762</v>
      </c>
      <c r="AB373" s="77" t="s">
        <v>10129</v>
      </c>
      <c r="AC373" s="82" t="s">
        <v>10146</v>
      </c>
      <c r="AD373" s="77" t="s">
        <v>10184</v>
      </c>
      <c r="AE373" s="80" t="str">
        <f>HYPERLINK("https://twitter.com/smashupbrazil/status/1674774126920351744")</f>
        <v>https://twitter.com/smashupbrazil/status/1674774126920351744</v>
      </c>
      <c r="AF373" s="79">
        <v>45107.567615740743</v>
      </c>
      <c r="AG373" s="85">
        <v>45107</v>
      </c>
      <c r="AH373" s="82" t="s">
        <v>10566</v>
      </c>
      <c r="AI373" s="77" t="b">
        <v>0</v>
      </c>
      <c r="AJ373" s="77"/>
      <c r="AK373" s="77"/>
      <c r="AL373" s="77"/>
      <c r="AM373" s="77"/>
      <c r="AN373" s="77"/>
      <c r="AO373" s="77"/>
      <c r="AP373" s="77"/>
      <c r="AQ373" s="77" t="s">
        <v>14406</v>
      </c>
      <c r="AR373" s="77">
        <v>9983</v>
      </c>
      <c r="AS373" s="77"/>
      <c r="AT373" s="77"/>
      <c r="AU373" s="77"/>
      <c r="AV373" s="80" t="str">
        <f>HYPERLINK("https://pbs.twimg.com/ext_tw_video_thumb/1674773674107506689/pu/img/gXqooW8LxLbV1QlA.jpg")</f>
        <v>https://pbs.twimg.com/ext_tw_video_thumb/1674773674107506689/pu/img/gXqooW8LxLbV1QlA.jpg</v>
      </c>
      <c r="AW373" s="82" t="s">
        <v>17146</v>
      </c>
      <c r="AX373" s="82" t="s">
        <v>17146</v>
      </c>
      <c r="AY373" s="77"/>
      <c r="AZ373" s="82" t="s">
        <v>20971</v>
      </c>
      <c r="BA373" s="82" t="s">
        <v>20971</v>
      </c>
      <c r="BB373" s="82" t="s">
        <v>20971</v>
      </c>
      <c r="BC373" s="82" t="s">
        <v>17146</v>
      </c>
      <c r="BD373" s="82" t="s">
        <v>21130</v>
      </c>
      <c r="BE373" s="77"/>
      <c r="BF373" s="77"/>
      <c r="BG373" s="77"/>
      <c r="BH373" s="77"/>
      <c r="BI373" s="77"/>
    </row>
    <row r="374" spans="1:61" x14ac:dyDescent="0.25">
      <c r="A374" s="62" t="s">
        <v>386</v>
      </c>
      <c r="B374" s="62" t="s">
        <v>386</v>
      </c>
      <c r="C374" s="63"/>
      <c r="D374" s="64"/>
      <c r="E374" s="65"/>
      <c r="F374" s="66"/>
      <c r="G374" s="63"/>
      <c r="H374" s="67"/>
      <c r="I374" s="68"/>
      <c r="J374" s="68"/>
      <c r="K374" s="32"/>
      <c r="L374" s="75">
        <v>374</v>
      </c>
      <c r="M374" s="75"/>
      <c r="N374" s="70"/>
      <c r="O374" s="77" t="s">
        <v>179</v>
      </c>
      <c r="P374" s="79">
        <v>45063.420891203707</v>
      </c>
      <c r="Q374" s="77" t="s">
        <v>1657</v>
      </c>
      <c r="R374" s="77">
        <v>0</v>
      </c>
      <c r="S374" s="77">
        <v>1</v>
      </c>
      <c r="T374" s="77">
        <v>0</v>
      </c>
      <c r="U374" s="77">
        <v>0</v>
      </c>
      <c r="V374" s="77">
        <v>99</v>
      </c>
      <c r="W374" s="82" t="s">
        <v>5504</v>
      </c>
      <c r="X374" s="77"/>
      <c r="Y374" s="77"/>
      <c r="Z374" s="77"/>
      <c r="AA374" s="77" t="s">
        <v>7763</v>
      </c>
      <c r="AB374" s="77" t="s">
        <v>10129</v>
      </c>
      <c r="AC374" s="82" t="s">
        <v>10146</v>
      </c>
      <c r="AD374" s="77" t="s">
        <v>10183</v>
      </c>
      <c r="AE374" s="80" t="str">
        <f>HYPERLINK("https://twitter.com/smashupbrazil/status/1658775890015268867")</f>
        <v>https://twitter.com/smashupbrazil/status/1658775890015268867</v>
      </c>
      <c r="AF374" s="79">
        <v>45063.420891203707</v>
      </c>
      <c r="AG374" s="85">
        <v>45063</v>
      </c>
      <c r="AH374" s="82" t="s">
        <v>10567</v>
      </c>
      <c r="AI374" s="77" t="b">
        <v>0</v>
      </c>
      <c r="AJ374" s="77"/>
      <c r="AK374" s="77"/>
      <c r="AL374" s="77"/>
      <c r="AM374" s="77"/>
      <c r="AN374" s="77"/>
      <c r="AO374" s="77"/>
      <c r="AP374" s="77"/>
      <c r="AQ374" s="77" t="s">
        <v>14407</v>
      </c>
      <c r="AR374" s="77">
        <v>67268</v>
      </c>
      <c r="AS374" s="77"/>
      <c r="AT374" s="77"/>
      <c r="AU374" s="77"/>
      <c r="AV374" s="80" t="str">
        <f>HYPERLINK("https://pbs.twimg.com/ext_tw_video_thumb/1658775806871519232/pu/img/e3e4yLQ8f1iCANp0.jpg")</f>
        <v>https://pbs.twimg.com/ext_tw_video_thumb/1658775806871519232/pu/img/e3e4yLQ8f1iCANp0.jpg</v>
      </c>
      <c r="AW374" s="82" t="s">
        <v>17147</v>
      </c>
      <c r="AX374" s="82" t="s">
        <v>17147</v>
      </c>
      <c r="AY374" s="77"/>
      <c r="AZ374" s="82" t="s">
        <v>20971</v>
      </c>
      <c r="BA374" s="82" t="s">
        <v>20971</v>
      </c>
      <c r="BB374" s="82" t="s">
        <v>20971</v>
      </c>
      <c r="BC374" s="82" t="s">
        <v>17147</v>
      </c>
      <c r="BD374" s="82" t="s">
        <v>21130</v>
      </c>
      <c r="BE374" s="77"/>
      <c r="BF374" s="77"/>
      <c r="BG374" s="77"/>
      <c r="BH374" s="77"/>
      <c r="BI374" s="77"/>
    </row>
    <row r="375" spans="1:61" x14ac:dyDescent="0.25">
      <c r="A375" s="62" t="s">
        <v>386</v>
      </c>
      <c r="B375" s="62" t="s">
        <v>386</v>
      </c>
      <c r="C375" s="63"/>
      <c r="D375" s="64"/>
      <c r="E375" s="65"/>
      <c r="F375" s="66"/>
      <c r="G375" s="63"/>
      <c r="H375" s="67"/>
      <c r="I375" s="68"/>
      <c r="J375" s="68"/>
      <c r="K375" s="32"/>
      <c r="L375" s="75">
        <v>375</v>
      </c>
      <c r="M375" s="75"/>
      <c r="N375" s="70"/>
      <c r="O375" s="77" t="s">
        <v>179</v>
      </c>
      <c r="P375" s="79">
        <v>45063.418657407405</v>
      </c>
      <c r="Q375" s="77" t="s">
        <v>1658</v>
      </c>
      <c r="R375" s="77">
        <v>0</v>
      </c>
      <c r="S375" s="77">
        <v>1</v>
      </c>
      <c r="T375" s="77">
        <v>0</v>
      </c>
      <c r="U375" s="77">
        <v>0</v>
      </c>
      <c r="V375" s="77">
        <v>109</v>
      </c>
      <c r="W375" s="82" t="s">
        <v>5504</v>
      </c>
      <c r="X375" s="77"/>
      <c r="Y375" s="77"/>
      <c r="Z375" s="77"/>
      <c r="AA375" s="77" t="s">
        <v>7764</v>
      </c>
      <c r="AB375" s="77" t="s">
        <v>10129</v>
      </c>
      <c r="AC375" s="82" t="s">
        <v>10146</v>
      </c>
      <c r="AD375" s="77" t="s">
        <v>10183</v>
      </c>
      <c r="AE375" s="80" t="str">
        <f>HYPERLINK("https://twitter.com/smashupbrazil/status/1658775079617024000")</f>
        <v>https://twitter.com/smashupbrazil/status/1658775079617024000</v>
      </c>
      <c r="AF375" s="79">
        <v>45063.418657407405</v>
      </c>
      <c r="AG375" s="85">
        <v>45063</v>
      </c>
      <c r="AH375" s="82" t="s">
        <v>10568</v>
      </c>
      <c r="AI375" s="77" t="b">
        <v>0</v>
      </c>
      <c r="AJ375" s="77"/>
      <c r="AK375" s="77"/>
      <c r="AL375" s="77"/>
      <c r="AM375" s="77"/>
      <c r="AN375" s="77"/>
      <c r="AO375" s="77"/>
      <c r="AP375" s="77"/>
      <c r="AQ375" s="77" t="s">
        <v>14408</v>
      </c>
      <c r="AR375" s="77">
        <v>15209</v>
      </c>
      <c r="AS375" s="77"/>
      <c r="AT375" s="77"/>
      <c r="AU375" s="77"/>
      <c r="AV375" s="80" t="str">
        <f>HYPERLINK("https://pbs.twimg.com/ext_tw_video_thumb/1658775004136308738/pu/img/uZW3KioiIG4Zizkt.jpg")</f>
        <v>https://pbs.twimg.com/ext_tw_video_thumb/1658775004136308738/pu/img/uZW3KioiIG4Zizkt.jpg</v>
      </c>
      <c r="AW375" s="82" t="s">
        <v>17148</v>
      </c>
      <c r="AX375" s="82" t="s">
        <v>17148</v>
      </c>
      <c r="AY375" s="77"/>
      <c r="AZ375" s="82" t="s">
        <v>20971</v>
      </c>
      <c r="BA375" s="82" t="s">
        <v>20971</v>
      </c>
      <c r="BB375" s="82" t="s">
        <v>20971</v>
      </c>
      <c r="BC375" s="82" t="s">
        <v>17148</v>
      </c>
      <c r="BD375" s="82" t="s">
        <v>21130</v>
      </c>
      <c r="BE375" s="77"/>
      <c r="BF375" s="77"/>
      <c r="BG375" s="77"/>
      <c r="BH375" s="77"/>
      <c r="BI375" s="77"/>
    </row>
    <row r="376" spans="1:61" x14ac:dyDescent="0.25">
      <c r="A376" s="62" t="s">
        <v>386</v>
      </c>
      <c r="B376" s="62" t="s">
        <v>386</v>
      </c>
      <c r="C376" s="63"/>
      <c r="D376" s="64"/>
      <c r="E376" s="65"/>
      <c r="F376" s="66"/>
      <c r="G376" s="63"/>
      <c r="H376" s="67"/>
      <c r="I376" s="68"/>
      <c r="J376" s="68"/>
      <c r="K376" s="32"/>
      <c r="L376" s="75">
        <v>376</v>
      </c>
      <c r="M376" s="75"/>
      <c r="N376" s="70"/>
      <c r="O376" s="77" t="s">
        <v>179</v>
      </c>
      <c r="P376" s="79">
        <v>45063.418275462966</v>
      </c>
      <c r="Q376" s="77" t="s">
        <v>1659</v>
      </c>
      <c r="R376" s="77">
        <v>0</v>
      </c>
      <c r="S376" s="77">
        <v>1</v>
      </c>
      <c r="T376" s="77">
        <v>0</v>
      </c>
      <c r="U376" s="77">
        <v>0</v>
      </c>
      <c r="V376" s="77">
        <v>101</v>
      </c>
      <c r="W376" s="82" t="s">
        <v>5504</v>
      </c>
      <c r="X376" s="77"/>
      <c r="Y376" s="77"/>
      <c r="Z376" s="77"/>
      <c r="AA376" s="77" t="s">
        <v>7765</v>
      </c>
      <c r="AB376" s="77" t="s">
        <v>10129</v>
      </c>
      <c r="AC376" s="82" t="s">
        <v>10146</v>
      </c>
      <c r="AD376" s="77" t="s">
        <v>10183</v>
      </c>
      <c r="AE376" s="80" t="str">
        <f>HYPERLINK("https://twitter.com/smashupbrazil/status/1658774941339209728")</f>
        <v>https://twitter.com/smashupbrazil/status/1658774941339209728</v>
      </c>
      <c r="AF376" s="79">
        <v>45063.418275462966</v>
      </c>
      <c r="AG376" s="85">
        <v>45063</v>
      </c>
      <c r="AH376" s="82" t="s">
        <v>10569</v>
      </c>
      <c r="AI376" s="77" t="b">
        <v>0</v>
      </c>
      <c r="AJ376" s="77"/>
      <c r="AK376" s="77"/>
      <c r="AL376" s="77"/>
      <c r="AM376" s="77"/>
      <c r="AN376" s="77"/>
      <c r="AO376" s="77"/>
      <c r="AP376" s="77"/>
      <c r="AQ376" s="77" t="s">
        <v>14409</v>
      </c>
      <c r="AR376" s="77">
        <v>49133</v>
      </c>
      <c r="AS376" s="77"/>
      <c r="AT376" s="77"/>
      <c r="AU376" s="77"/>
      <c r="AV376" s="80" t="str">
        <f>HYPERLINK("https://pbs.twimg.com/ext_tw_video_thumb/1658774852105281536/pu/img/SdRggoliXIDgT0e9.jpg")</f>
        <v>https://pbs.twimg.com/ext_tw_video_thumb/1658774852105281536/pu/img/SdRggoliXIDgT0e9.jpg</v>
      </c>
      <c r="AW376" s="82" t="s">
        <v>17149</v>
      </c>
      <c r="AX376" s="82" t="s">
        <v>17149</v>
      </c>
      <c r="AY376" s="77"/>
      <c r="AZ376" s="82" t="s">
        <v>20971</v>
      </c>
      <c r="BA376" s="82" t="s">
        <v>20971</v>
      </c>
      <c r="BB376" s="82" t="s">
        <v>20971</v>
      </c>
      <c r="BC376" s="82" t="s">
        <v>17149</v>
      </c>
      <c r="BD376" s="82" t="s">
        <v>21130</v>
      </c>
      <c r="BE376" s="77"/>
      <c r="BF376" s="77"/>
      <c r="BG376" s="77"/>
      <c r="BH376" s="77"/>
      <c r="BI376" s="77"/>
    </row>
    <row r="377" spans="1:61" x14ac:dyDescent="0.25">
      <c r="A377" s="62" t="s">
        <v>386</v>
      </c>
      <c r="B377" s="62" t="s">
        <v>386</v>
      </c>
      <c r="C377" s="63"/>
      <c r="D377" s="64"/>
      <c r="E377" s="65"/>
      <c r="F377" s="66"/>
      <c r="G377" s="63"/>
      <c r="H377" s="67"/>
      <c r="I377" s="68"/>
      <c r="J377" s="68"/>
      <c r="K377" s="32"/>
      <c r="L377" s="75">
        <v>377</v>
      </c>
      <c r="M377" s="75"/>
      <c r="N377" s="70"/>
      <c r="O377" s="77" t="s">
        <v>179</v>
      </c>
      <c r="P377" s="79">
        <v>45062.272372685184</v>
      </c>
      <c r="Q377" s="77" t="s">
        <v>1660</v>
      </c>
      <c r="R377" s="77">
        <v>0</v>
      </c>
      <c r="S377" s="77">
        <v>1</v>
      </c>
      <c r="T377" s="77">
        <v>0</v>
      </c>
      <c r="U377" s="77">
        <v>0</v>
      </c>
      <c r="V377" s="77">
        <v>136</v>
      </c>
      <c r="W377" s="82" t="s">
        <v>5504</v>
      </c>
      <c r="X377" s="77"/>
      <c r="Y377" s="77"/>
      <c r="Z377" s="77"/>
      <c r="AA377" s="77" t="s">
        <v>7766</v>
      </c>
      <c r="AB377" s="77" t="s">
        <v>10129</v>
      </c>
      <c r="AC377" s="82" t="s">
        <v>10146</v>
      </c>
      <c r="AD377" s="77" t="s">
        <v>10183</v>
      </c>
      <c r="AE377" s="80" t="str">
        <f>HYPERLINK("https://twitter.com/smashupbrazil/status/1658359683000721408")</f>
        <v>https://twitter.com/smashupbrazil/status/1658359683000721408</v>
      </c>
      <c r="AF377" s="79">
        <v>45062.272372685184</v>
      </c>
      <c r="AG377" s="85">
        <v>45062</v>
      </c>
      <c r="AH377" s="82" t="s">
        <v>10570</v>
      </c>
      <c r="AI377" s="77" t="b">
        <v>0</v>
      </c>
      <c r="AJ377" s="77"/>
      <c r="AK377" s="77"/>
      <c r="AL377" s="77"/>
      <c r="AM377" s="77"/>
      <c r="AN377" s="77"/>
      <c r="AO377" s="77"/>
      <c r="AP377" s="77"/>
      <c r="AQ377" s="77" t="s">
        <v>14410</v>
      </c>
      <c r="AR377" s="77">
        <v>53406</v>
      </c>
      <c r="AS377" s="77"/>
      <c r="AT377" s="77"/>
      <c r="AU377" s="77"/>
      <c r="AV377" s="80" t="str">
        <f>HYPERLINK("https://pbs.twimg.com/ext_tw_video_thumb/1658359605292933121/pu/img/DupDXCW3hFmiV_DI.jpg")</f>
        <v>https://pbs.twimg.com/ext_tw_video_thumb/1658359605292933121/pu/img/DupDXCW3hFmiV_DI.jpg</v>
      </c>
      <c r="AW377" s="82" t="s">
        <v>17150</v>
      </c>
      <c r="AX377" s="82" t="s">
        <v>17150</v>
      </c>
      <c r="AY377" s="77"/>
      <c r="AZ377" s="82" t="s">
        <v>20971</v>
      </c>
      <c r="BA377" s="82" t="s">
        <v>20971</v>
      </c>
      <c r="BB377" s="82" t="s">
        <v>20971</v>
      </c>
      <c r="BC377" s="82" t="s">
        <v>17150</v>
      </c>
      <c r="BD377" s="82" t="s">
        <v>21130</v>
      </c>
      <c r="BE377" s="77"/>
      <c r="BF377" s="77"/>
      <c r="BG377" s="77"/>
      <c r="BH377" s="77"/>
      <c r="BI377" s="77"/>
    </row>
    <row r="378" spans="1:61" x14ac:dyDescent="0.25">
      <c r="A378" s="62" t="s">
        <v>386</v>
      </c>
      <c r="B378" s="62" t="s">
        <v>386</v>
      </c>
      <c r="C378" s="63"/>
      <c r="D378" s="64"/>
      <c r="E378" s="65"/>
      <c r="F378" s="66"/>
      <c r="G378" s="63"/>
      <c r="H378" s="67"/>
      <c r="I378" s="68"/>
      <c r="J378" s="68"/>
      <c r="K378" s="32"/>
      <c r="L378" s="75">
        <v>378</v>
      </c>
      <c r="M378" s="75"/>
      <c r="N378" s="70"/>
      <c r="O378" s="77" t="s">
        <v>179</v>
      </c>
      <c r="P378" s="79">
        <v>45062.271898148145</v>
      </c>
      <c r="Q378" s="77" t="s">
        <v>1661</v>
      </c>
      <c r="R378" s="77">
        <v>0</v>
      </c>
      <c r="S378" s="77">
        <v>0</v>
      </c>
      <c r="T378" s="77">
        <v>0</v>
      </c>
      <c r="U378" s="77">
        <v>0</v>
      </c>
      <c r="V378" s="77">
        <v>102</v>
      </c>
      <c r="W378" s="82" t="s">
        <v>5504</v>
      </c>
      <c r="X378" s="77"/>
      <c r="Y378" s="77"/>
      <c r="Z378" s="77"/>
      <c r="AA378" s="77" t="s">
        <v>7767</v>
      </c>
      <c r="AB378" s="77" t="s">
        <v>10130</v>
      </c>
      <c r="AC378" s="82" t="s">
        <v>10146</v>
      </c>
      <c r="AD378" s="77" t="s">
        <v>10183</v>
      </c>
      <c r="AE378" s="80" t="str">
        <f>HYPERLINK("https://twitter.com/smashupbrazil/status/1658359510413574145")</f>
        <v>https://twitter.com/smashupbrazil/status/1658359510413574145</v>
      </c>
      <c r="AF378" s="79">
        <v>45062.271898148145</v>
      </c>
      <c r="AG378" s="85">
        <v>45062</v>
      </c>
      <c r="AH378" s="82" t="s">
        <v>10571</v>
      </c>
      <c r="AI378" s="77" t="b">
        <v>0</v>
      </c>
      <c r="AJ378" s="77"/>
      <c r="AK378" s="77"/>
      <c r="AL378" s="77"/>
      <c r="AM378" s="77"/>
      <c r="AN378" s="77"/>
      <c r="AO378" s="77"/>
      <c r="AP378" s="77"/>
      <c r="AQ378" s="77" t="s">
        <v>14411</v>
      </c>
      <c r="AR378" s="77"/>
      <c r="AS378" s="77"/>
      <c r="AT378" s="77"/>
      <c r="AU378" s="77"/>
      <c r="AV378" s="80" t="str">
        <f>HYPERLINK("https://pbs.twimg.com/media/FwOtK0xWwAAWnea.jpg")</f>
        <v>https://pbs.twimg.com/media/FwOtK0xWwAAWnea.jpg</v>
      </c>
      <c r="AW378" s="82" t="s">
        <v>17151</v>
      </c>
      <c r="AX378" s="82" t="s">
        <v>17151</v>
      </c>
      <c r="AY378" s="77"/>
      <c r="AZ378" s="82" t="s">
        <v>20971</v>
      </c>
      <c r="BA378" s="82" t="s">
        <v>20971</v>
      </c>
      <c r="BB378" s="82" t="s">
        <v>20971</v>
      </c>
      <c r="BC378" s="82" t="s">
        <v>17151</v>
      </c>
      <c r="BD378" s="82" t="s">
        <v>21130</v>
      </c>
      <c r="BE378" s="77"/>
      <c r="BF378" s="77"/>
      <c r="BG378" s="77"/>
      <c r="BH378" s="77"/>
      <c r="BI378" s="77"/>
    </row>
    <row r="379" spans="1:61" x14ac:dyDescent="0.25">
      <c r="A379" s="62" t="s">
        <v>386</v>
      </c>
      <c r="B379" s="62" t="s">
        <v>386</v>
      </c>
      <c r="C379" s="63"/>
      <c r="D379" s="64"/>
      <c r="E379" s="65"/>
      <c r="F379" s="66"/>
      <c r="G379" s="63"/>
      <c r="H379" s="67"/>
      <c r="I379" s="68"/>
      <c r="J379" s="68"/>
      <c r="K379" s="32"/>
      <c r="L379" s="75">
        <v>379</v>
      </c>
      <c r="M379" s="75"/>
      <c r="N379" s="70"/>
      <c r="O379" s="77" t="s">
        <v>179</v>
      </c>
      <c r="P379" s="79">
        <v>45062.27175925926</v>
      </c>
      <c r="Q379" s="77" t="s">
        <v>1662</v>
      </c>
      <c r="R379" s="77">
        <v>0</v>
      </c>
      <c r="S379" s="77">
        <v>3</v>
      </c>
      <c r="T379" s="77">
        <v>1</v>
      </c>
      <c r="U379" s="77">
        <v>0</v>
      </c>
      <c r="V379" s="77">
        <v>124</v>
      </c>
      <c r="W379" s="82" t="s">
        <v>5504</v>
      </c>
      <c r="X379" s="77"/>
      <c r="Y379" s="77"/>
      <c r="Z379" s="77"/>
      <c r="AA379" s="77" t="s">
        <v>7768</v>
      </c>
      <c r="AB379" s="77" t="s">
        <v>10130</v>
      </c>
      <c r="AC379" s="82" t="s">
        <v>10146</v>
      </c>
      <c r="AD379" s="77" t="s">
        <v>10183</v>
      </c>
      <c r="AE379" s="80" t="str">
        <f>HYPERLINK("https://twitter.com/smashupbrazil/status/1658359457095598082")</f>
        <v>https://twitter.com/smashupbrazil/status/1658359457095598082</v>
      </c>
      <c r="AF379" s="79">
        <v>45062.27175925926</v>
      </c>
      <c r="AG379" s="85">
        <v>45062</v>
      </c>
      <c r="AH379" s="82" t="s">
        <v>10572</v>
      </c>
      <c r="AI379" s="77" t="b">
        <v>0</v>
      </c>
      <c r="AJ379" s="77"/>
      <c r="AK379" s="77"/>
      <c r="AL379" s="77"/>
      <c r="AM379" s="77"/>
      <c r="AN379" s="77"/>
      <c r="AO379" s="77"/>
      <c r="AP379" s="77"/>
      <c r="AQ379" s="77" t="s">
        <v>14412</v>
      </c>
      <c r="AR379" s="77"/>
      <c r="AS379" s="77"/>
      <c r="AT379" s="77"/>
      <c r="AU379" s="77"/>
      <c r="AV379" s="80" t="str">
        <f>HYPERLINK("https://pbs.twimg.com/media/FwOtH9PXwAEVo7G.jpg")</f>
        <v>https://pbs.twimg.com/media/FwOtH9PXwAEVo7G.jpg</v>
      </c>
      <c r="AW379" s="82" t="s">
        <v>17152</v>
      </c>
      <c r="AX379" s="82" t="s">
        <v>17152</v>
      </c>
      <c r="AY379" s="77"/>
      <c r="AZ379" s="82" t="s">
        <v>20971</v>
      </c>
      <c r="BA379" s="82" t="s">
        <v>20971</v>
      </c>
      <c r="BB379" s="82" t="s">
        <v>20971</v>
      </c>
      <c r="BC379" s="82" t="s">
        <v>17152</v>
      </c>
      <c r="BD379" s="82" t="s">
        <v>21130</v>
      </c>
      <c r="BE379" s="77"/>
      <c r="BF379" s="77"/>
      <c r="BG379" s="77"/>
      <c r="BH379" s="77"/>
      <c r="BI379" s="77"/>
    </row>
    <row r="380" spans="1:61" x14ac:dyDescent="0.25">
      <c r="A380" s="62" t="s">
        <v>386</v>
      </c>
      <c r="B380" s="62" t="s">
        <v>386</v>
      </c>
      <c r="C380" s="63"/>
      <c r="D380" s="64"/>
      <c r="E380" s="65"/>
      <c r="F380" s="66"/>
      <c r="G380" s="63"/>
      <c r="H380" s="67"/>
      <c r="I380" s="68"/>
      <c r="J380" s="68"/>
      <c r="K380" s="32"/>
      <c r="L380" s="75">
        <v>380</v>
      </c>
      <c r="M380" s="75"/>
      <c r="N380" s="70"/>
      <c r="O380" s="77" t="s">
        <v>179</v>
      </c>
      <c r="P380" s="79">
        <v>45062.271643518521</v>
      </c>
      <c r="Q380" s="77" t="s">
        <v>1663</v>
      </c>
      <c r="R380" s="77">
        <v>0</v>
      </c>
      <c r="S380" s="77">
        <v>0</v>
      </c>
      <c r="T380" s="77">
        <v>0</v>
      </c>
      <c r="U380" s="77">
        <v>0</v>
      </c>
      <c r="V380" s="77">
        <v>89</v>
      </c>
      <c r="W380" s="82" t="s">
        <v>5504</v>
      </c>
      <c r="X380" s="77"/>
      <c r="Y380" s="77"/>
      <c r="Z380" s="77"/>
      <c r="AA380" s="77" t="s">
        <v>7769</v>
      </c>
      <c r="AB380" s="77" t="s">
        <v>10130</v>
      </c>
      <c r="AC380" s="82" t="s">
        <v>10146</v>
      </c>
      <c r="AD380" s="77" t="s">
        <v>10183</v>
      </c>
      <c r="AE380" s="80" t="str">
        <f>HYPERLINK("https://twitter.com/smashupbrazil/status/1658359414976397312")</f>
        <v>https://twitter.com/smashupbrazil/status/1658359414976397312</v>
      </c>
      <c r="AF380" s="79">
        <v>45062.271643518521</v>
      </c>
      <c r="AG380" s="85">
        <v>45062</v>
      </c>
      <c r="AH380" s="82" t="s">
        <v>10573</v>
      </c>
      <c r="AI380" s="77" t="b">
        <v>0</v>
      </c>
      <c r="AJ380" s="77"/>
      <c r="AK380" s="77"/>
      <c r="AL380" s="77"/>
      <c r="AM380" s="77"/>
      <c r="AN380" s="77"/>
      <c r="AO380" s="77"/>
      <c r="AP380" s="77"/>
      <c r="AQ380" s="77" t="s">
        <v>14413</v>
      </c>
      <c r="AR380" s="77"/>
      <c r="AS380" s="77"/>
      <c r="AT380" s="77"/>
      <c r="AU380" s="77"/>
      <c r="AV380" s="80" t="str">
        <f>HYPERLINK("https://pbs.twimg.com/media/FwOtFO7XoAIDS-7.jpg")</f>
        <v>https://pbs.twimg.com/media/FwOtFO7XoAIDS-7.jpg</v>
      </c>
      <c r="AW380" s="82" t="s">
        <v>17153</v>
      </c>
      <c r="AX380" s="82" t="s">
        <v>17153</v>
      </c>
      <c r="AY380" s="77"/>
      <c r="AZ380" s="82" t="s">
        <v>20971</v>
      </c>
      <c r="BA380" s="82" t="s">
        <v>20971</v>
      </c>
      <c r="BB380" s="82" t="s">
        <v>20971</v>
      </c>
      <c r="BC380" s="82" t="s">
        <v>17153</v>
      </c>
      <c r="BD380" s="82" t="s">
        <v>21130</v>
      </c>
      <c r="BE380" s="77"/>
      <c r="BF380" s="77"/>
      <c r="BG380" s="77"/>
      <c r="BH380" s="77"/>
      <c r="BI380" s="77"/>
    </row>
    <row r="381" spans="1:61" x14ac:dyDescent="0.25">
      <c r="A381" s="62" t="s">
        <v>386</v>
      </c>
      <c r="B381" s="62" t="s">
        <v>386</v>
      </c>
      <c r="C381" s="63"/>
      <c r="D381" s="64"/>
      <c r="E381" s="65"/>
      <c r="F381" s="66"/>
      <c r="G381" s="63"/>
      <c r="H381" s="67"/>
      <c r="I381" s="68"/>
      <c r="J381" s="68"/>
      <c r="K381" s="32"/>
      <c r="L381" s="75">
        <v>381</v>
      </c>
      <c r="M381" s="75"/>
      <c r="N381" s="70"/>
      <c r="O381" s="77" t="s">
        <v>179</v>
      </c>
      <c r="P381" s="79">
        <v>45062.271493055552</v>
      </c>
      <c r="Q381" s="77" t="s">
        <v>1664</v>
      </c>
      <c r="R381" s="77">
        <v>0</v>
      </c>
      <c r="S381" s="77">
        <v>0</v>
      </c>
      <c r="T381" s="77">
        <v>0</v>
      </c>
      <c r="U381" s="77">
        <v>0</v>
      </c>
      <c r="V381" s="77">
        <v>79</v>
      </c>
      <c r="W381" s="82" t="s">
        <v>5504</v>
      </c>
      <c r="X381" s="77"/>
      <c r="Y381" s="77"/>
      <c r="Z381" s="77"/>
      <c r="AA381" s="77" t="s">
        <v>7770</v>
      </c>
      <c r="AB381" s="77" t="s">
        <v>10130</v>
      </c>
      <c r="AC381" s="82" t="s">
        <v>10146</v>
      </c>
      <c r="AD381" s="77" t="s">
        <v>10183</v>
      </c>
      <c r="AE381" s="80" t="str">
        <f>HYPERLINK("https://twitter.com/smashupbrazil/status/1658359363591913472")</f>
        <v>https://twitter.com/smashupbrazil/status/1658359363591913472</v>
      </c>
      <c r="AF381" s="79">
        <v>45062.271493055552</v>
      </c>
      <c r="AG381" s="85">
        <v>45062</v>
      </c>
      <c r="AH381" s="82" t="s">
        <v>10574</v>
      </c>
      <c r="AI381" s="77" t="b">
        <v>0</v>
      </c>
      <c r="AJ381" s="77"/>
      <c r="AK381" s="77"/>
      <c r="AL381" s="77"/>
      <c r="AM381" s="77"/>
      <c r="AN381" s="77"/>
      <c r="AO381" s="77"/>
      <c r="AP381" s="77"/>
      <c r="AQ381" s="77" t="s">
        <v>14414</v>
      </c>
      <c r="AR381" s="77"/>
      <c r="AS381" s="77"/>
      <c r="AT381" s="77"/>
      <c r="AU381" s="77"/>
      <c r="AV381" s="80" t="str">
        <f>HYPERLINK("https://pbs.twimg.com/media/FwOs_OIXsAIuHDk.jpg")</f>
        <v>https://pbs.twimg.com/media/FwOs_OIXsAIuHDk.jpg</v>
      </c>
      <c r="AW381" s="82" t="s">
        <v>17154</v>
      </c>
      <c r="AX381" s="82" t="s">
        <v>17154</v>
      </c>
      <c r="AY381" s="77"/>
      <c r="AZ381" s="82" t="s">
        <v>20971</v>
      </c>
      <c r="BA381" s="82" t="s">
        <v>20971</v>
      </c>
      <c r="BB381" s="82" t="s">
        <v>20971</v>
      </c>
      <c r="BC381" s="82" t="s">
        <v>17154</v>
      </c>
      <c r="BD381" s="82" t="s">
        <v>21130</v>
      </c>
      <c r="BE381" s="77"/>
      <c r="BF381" s="77"/>
      <c r="BG381" s="77"/>
      <c r="BH381" s="77"/>
      <c r="BI381" s="77"/>
    </row>
    <row r="382" spans="1:61" x14ac:dyDescent="0.25">
      <c r="A382" s="62" t="s">
        <v>386</v>
      </c>
      <c r="B382" s="62" t="s">
        <v>386</v>
      </c>
      <c r="C382" s="63"/>
      <c r="D382" s="64"/>
      <c r="E382" s="65"/>
      <c r="F382" s="66"/>
      <c r="G382" s="63"/>
      <c r="H382" s="67"/>
      <c r="I382" s="68"/>
      <c r="J382" s="68"/>
      <c r="K382" s="32"/>
      <c r="L382" s="75">
        <v>382</v>
      </c>
      <c r="M382" s="75"/>
      <c r="N382" s="70"/>
      <c r="O382" s="77" t="s">
        <v>179</v>
      </c>
      <c r="P382" s="79">
        <v>45173.512499999997</v>
      </c>
      <c r="Q382" s="77" t="s">
        <v>1665</v>
      </c>
      <c r="R382" s="77">
        <v>0</v>
      </c>
      <c r="S382" s="77">
        <v>1</v>
      </c>
      <c r="T382" s="77">
        <v>0</v>
      </c>
      <c r="U382" s="77">
        <v>0</v>
      </c>
      <c r="V382" s="77">
        <v>90</v>
      </c>
      <c r="W382" s="82" t="s">
        <v>5504</v>
      </c>
      <c r="X382" s="77"/>
      <c r="Y382" s="77"/>
      <c r="Z382" s="77"/>
      <c r="AA382" s="77" t="s">
        <v>7771</v>
      </c>
      <c r="AB382" s="77" t="s">
        <v>10129</v>
      </c>
      <c r="AC382" s="82" t="s">
        <v>10146</v>
      </c>
      <c r="AD382" s="77" t="s">
        <v>10183</v>
      </c>
      <c r="AE382" s="80" t="str">
        <f>HYPERLINK("https://twitter.com/smashupbrazil/status/1698671753244057839")</f>
        <v>https://twitter.com/smashupbrazil/status/1698671753244057839</v>
      </c>
      <c r="AF382" s="79">
        <v>45173.512499999997</v>
      </c>
      <c r="AG382" s="85">
        <v>45173</v>
      </c>
      <c r="AH382" s="82" t="s">
        <v>10575</v>
      </c>
      <c r="AI382" s="77" t="b">
        <v>0</v>
      </c>
      <c r="AJ382" s="77"/>
      <c r="AK382" s="77"/>
      <c r="AL382" s="77"/>
      <c r="AM382" s="77"/>
      <c r="AN382" s="77"/>
      <c r="AO382" s="77"/>
      <c r="AP382" s="77"/>
      <c r="AQ382" s="77" t="s">
        <v>14415</v>
      </c>
      <c r="AR382" s="77">
        <v>16233</v>
      </c>
      <c r="AS382" s="77"/>
      <c r="AT382" s="77"/>
      <c r="AU382" s="77"/>
      <c r="AV382" s="80" t="str">
        <f>HYPERLINK("https://pbs.twimg.com/ext_tw_video_thumb/1698671530857861120/pu/img/mjfYOVFvHMLPrca4.jpg")</f>
        <v>https://pbs.twimg.com/ext_tw_video_thumb/1698671530857861120/pu/img/mjfYOVFvHMLPrca4.jpg</v>
      </c>
      <c r="AW382" s="82" t="s">
        <v>17155</v>
      </c>
      <c r="AX382" s="82" t="s">
        <v>17155</v>
      </c>
      <c r="AY382" s="77"/>
      <c r="AZ382" s="82" t="s">
        <v>20971</v>
      </c>
      <c r="BA382" s="82" t="s">
        <v>20971</v>
      </c>
      <c r="BB382" s="82" t="s">
        <v>20971</v>
      </c>
      <c r="BC382" s="82" t="s">
        <v>17155</v>
      </c>
      <c r="BD382" s="82" t="s">
        <v>21130</v>
      </c>
      <c r="BE382" s="77"/>
      <c r="BF382" s="77"/>
      <c r="BG382" s="77"/>
      <c r="BH382" s="77"/>
      <c r="BI382" s="77"/>
    </row>
    <row r="383" spans="1:61" x14ac:dyDescent="0.25">
      <c r="A383" s="62" t="s">
        <v>386</v>
      </c>
      <c r="B383" s="62" t="s">
        <v>386</v>
      </c>
      <c r="C383" s="63"/>
      <c r="D383" s="64"/>
      <c r="E383" s="65"/>
      <c r="F383" s="66"/>
      <c r="G383" s="63"/>
      <c r="H383" s="67"/>
      <c r="I383" s="68"/>
      <c r="J383" s="68"/>
      <c r="K383" s="32"/>
      <c r="L383" s="75">
        <v>383</v>
      </c>
      <c r="M383" s="75"/>
      <c r="N383" s="70"/>
      <c r="O383" s="77" t="s">
        <v>179</v>
      </c>
      <c r="P383" s="79">
        <v>45108.578263888892</v>
      </c>
      <c r="Q383" s="77" t="s">
        <v>1666</v>
      </c>
      <c r="R383" s="77">
        <v>0</v>
      </c>
      <c r="S383" s="77">
        <v>0</v>
      </c>
      <c r="T383" s="77">
        <v>0</v>
      </c>
      <c r="U383" s="77">
        <v>0</v>
      </c>
      <c r="V383" s="77">
        <v>165</v>
      </c>
      <c r="W383" s="82" t="s">
        <v>5502</v>
      </c>
      <c r="X383" s="77"/>
      <c r="Y383" s="77"/>
      <c r="Z383" s="77"/>
      <c r="AA383" s="77" t="s">
        <v>7772</v>
      </c>
      <c r="AB383" s="77" t="s">
        <v>10129</v>
      </c>
      <c r="AC383" s="82" t="s">
        <v>10146</v>
      </c>
      <c r="AD383" s="77" t="s">
        <v>10184</v>
      </c>
      <c r="AE383" s="80" t="str">
        <f>HYPERLINK("https://twitter.com/smashupbrazil/status/1675140375051137027")</f>
        <v>https://twitter.com/smashupbrazil/status/1675140375051137027</v>
      </c>
      <c r="AF383" s="79">
        <v>45108.578263888892</v>
      </c>
      <c r="AG383" s="85">
        <v>45108</v>
      </c>
      <c r="AH383" s="82" t="s">
        <v>10576</v>
      </c>
      <c r="AI383" s="77" t="b">
        <v>0</v>
      </c>
      <c r="AJ383" s="77"/>
      <c r="AK383" s="77"/>
      <c r="AL383" s="77"/>
      <c r="AM383" s="77"/>
      <c r="AN383" s="77"/>
      <c r="AO383" s="77"/>
      <c r="AP383" s="77"/>
      <c r="AQ383" s="77" t="s">
        <v>14416</v>
      </c>
      <c r="AR383" s="77">
        <v>7940</v>
      </c>
      <c r="AS383" s="77"/>
      <c r="AT383" s="77"/>
      <c r="AU383" s="77"/>
      <c r="AV383" s="80" t="str">
        <f>HYPERLINK("https://pbs.twimg.com/ext_tw_video_thumb/1675140326934061056/pu/img/I7sOV_CerlZhvMXq.jpg")</f>
        <v>https://pbs.twimg.com/ext_tw_video_thumb/1675140326934061056/pu/img/I7sOV_CerlZhvMXq.jpg</v>
      </c>
      <c r="AW383" s="82" t="s">
        <v>17156</v>
      </c>
      <c r="AX383" s="82" t="s">
        <v>17156</v>
      </c>
      <c r="AY383" s="77"/>
      <c r="AZ383" s="82" t="s">
        <v>20971</v>
      </c>
      <c r="BA383" s="82" t="s">
        <v>20971</v>
      </c>
      <c r="BB383" s="82" t="s">
        <v>20971</v>
      </c>
      <c r="BC383" s="82" t="s">
        <v>17156</v>
      </c>
      <c r="BD383" s="82" t="s">
        <v>21130</v>
      </c>
      <c r="BE383" s="77"/>
      <c r="BF383" s="77"/>
      <c r="BG383" s="77"/>
      <c r="BH383" s="77"/>
      <c r="BI383" s="77"/>
    </row>
    <row r="384" spans="1:61" x14ac:dyDescent="0.25">
      <c r="A384" s="62" t="s">
        <v>386</v>
      </c>
      <c r="B384" s="62" t="s">
        <v>386</v>
      </c>
      <c r="C384" s="63"/>
      <c r="D384" s="64"/>
      <c r="E384" s="65"/>
      <c r="F384" s="66"/>
      <c r="G384" s="63"/>
      <c r="H384" s="67"/>
      <c r="I384" s="68"/>
      <c r="J384" s="68"/>
      <c r="K384" s="32"/>
      <c r="L384" s="75">
        <v>384</v>
      </c>
      <c r="M384" s="75"/>
      <c r="N384" s="70"/>
      <c r="O384" s="77" t="s">
        <v>179</v>
      </c>
      <c r="P384" s="79">
        <v>45108.577835648146</v>
      </c>
      <c r="Q384" s="77" t="s">
        <v>1667</v>
      </c>
      <c r="R384" s="77">
        <v>0</v>
      </c>
      <c r="S384" s="77">
        <v>0</v>
      </c>
      <c r="T384" s="77">
        <v>1</v>
      </c>
      <c r="U384" s="77">
        <v>0</v>
      </c>
      <c r="V384" s="77">
        <v>162</v>
      </c>
      <c r="W384" s="82" t="s">
        <v>5502</v>
      </c>
      <c r="X384" s="77"/>
      <c r="Y384" s="77"/>
      <c r="Z384" s="77"/>
      <c r="AA384" s="77" t="s">
        <v>7773</v>
      </c>
      <c r="AB384" s="77" t="s">
        <v>10129</v>
      </c>
      <c r="AC384" s="82" t="s">
        <v>10146</v>
      </c>
      <c r="AD384" s="77" t="s">
        <v>10184</v>
      </c>
      <c r="AE384" s="80" t="str">
        <f>HYPERLINK("https://twitter.com/smashupbrazil/status/1675140220692447232")</f>
        <v>https://twitter.com/smashupbrazil/status/1675140220692447232</v>
      </c>
      <c r="AF384" s="79">
        <v>45108.577835648146</v>
      </c>
      <c r="AG384" s="85">
        <v>45108</v>
      </c>
      <c r="AH384" s="82" t="s">
        <v>10577</v>
      </c>
      <c r="AI384" s="77" t="b">
        <v>0</v>
      </c>
      <c r="AJ384" s="77"/>
      <c r="AK384" s="77"/>
      <c r="AL384" s="77"/>
      <c r="AM384" s="77"/>
      <c r="AN384" s="77"/>
      <c r="AO384" s="77"/>
      <c r="AP384" s="77"/>
      <c r="AQ384" s="77" t="s">
        <v>14417</v>
      </c>
      <c r="AR384" s="77">
        <v>10680</v>
      </c>
      <c r="AS384" s="77"/>
      <c r="AT384" s="77"/>
      <c r="AU384" s="77"/>
      <c r="AV384" s="80" t="str">
        <f>HYPERLINK("https://pbs.twimg.com/ext_tw_video_thumb/1675140073979797506/pu/img/NyVsuPLcZekX15Ll.jpg")</f>
        <v>https://pbs.twimg.com/ext_tw_video_thumb/1675140073979797506/pu/img/NyVsuPLcZekX15Ll.jpg</v>
      </c>
      <c r="AW384" s="82" t="s">
        <v>17157</v>
      </c>
      <c r="AX384" s="82" t="s">
        <v>17157</v>
      </c>
      <c r="AY384" s="77"/>
      <c r="AZ384" s="82" t="s">
        <v>20971</v>
      </c>
      <c r="BA384" s="82" t="s">
        <v>20971</v>
      </c>
      <c r="BB384" s="82" t="s">
        <v>20971</v>
      </c>
      <c r="BC384" s="82" t="s">
        <v>17157</v>
      </c>
      <c r="BD384" s="82" t="s">
        <v>21130</v>
      </c>
      <c r="BE384" s="77"/>
      <c r="BF384" s="77"/>
      <c r="BG384" s="77"/>
      <c r="BH384" s="77"/>
      <c r="BI384" s="77"/>
    </row>
    <row r="385" spans="1:61" x14ac:dyDescent="0.25">
      <c r="A385" s="62" t="s">
        <v>386</v>
      </c>
      <c r="B385" s="62" t="s">
        <v>386</v>
      </c>
      <c r="C385" s="63"/>
      <c r="D385" s="64"/>
      <c r="E385" s="65"/>
      <c r="F385" s="66"/>
      <c r="G385" s="63"/>
      <c r="H385" s="67"/>
      <c r="I385" s="68"/>
      <c r="J385" s="68"/>
      <c r="K385" s="32"/>
      <c r="L385" s="75">
        <v>385</v>
      </c>
      <c r="M385" s="75"/>
      <c r="N385" s="70"/>
      <c r="O385" s="77" t="s">
        <v>179</v>
      </c>
      <c r="P385" s="79">
        <v>45108.576620370368</v>
      </c>
      <c r="Q385" s="77" t="s">
        <v>1668</v>
      </c>
      <c r="R385" s="77">
        <v>0</v>
      </c>
      <c r="S385" s="77">
        <v>0</v>
      </c>
      <c r="T385" s="77">
        <v>0</v>
      </c>
      <c r="U385" s="77">
        <v>0</v>
      </c>
      <c r="V385" s="77">
        <v>148</v>
      </c>
      <c r="W385" s="82" t="s">
        <v>5502</v>
      </c>
      <c r="X385" s="77"/>
      <c r="Y385" s="77"/>
      <c r="Z385" s="77"/>
      <c r="AA385" s="77" t="s">
        <v>7774</v>
      </c>
      <c r="AB385" s="77" t="s">
        <v>10129</v>
      </c>
      <c r="AC385" s="82" t="s">
        <v>10146</v>
      </c>
      <c r="AD385" s="77" t="s">
        <v>10184</v>
      </c>
      <c r="AE385" s="80" t="str">
        <f>HYPERLINK("https://twitter.com/smashupbrazil/status/1675139777287401473")</f>
        <v>https://twitter.com/smashupbrazil/status/1675139777287401473</v>
      </c>
      <c r="AF385" s="79">
        <v>45108.576620370368</v>
      </c>
      <c r="AG385" s="85">
        <v>45108</v>
      </c>
      <c r="AH385" s="82" t="s">
        <v>10578</v>
      </c>
      <c r="AI385" s="77" t="b">
        <v>0</v>
      </c>
      <c r="AJ385" s="77"/>
      <c r="AK385" s="77"/>
      <c r="AL385" s="77"/>
      <c r="AM385" s="77"/>
      <c r="AN385" s="77"/>
      <c r="AO385" s="77"/>
      <c r="AP385" s="77"/>
      <c r="AQ385" s="77" t="s">
        <v>14418</v>
      </c>
      <c r="AR385" s="77">
        <v>10680</v>
      </c>
      <c r="AS385" s="77"/>
      <c r="AT385" s="77"/>
      <c r="AU385" s="77"/>
      <c r="AV385" s="80" t="str">
        <f>HYPERLINK("https://pbs.twimg.com/ext_tw_video_thumb/1675139075735420930/pu/img/uXYthfz81V9PHFCm.jpg")</f>
        <v>https://pbs.twimg.com/ext_tw_video_thumb/1675139075735420930/pu/img/uXYthfz81V9PHFCm.jpg</v>
      </c>
      <c r="AW385" s="82" t="s">
        <v>17158</v>
      </c>
      <c r="AX385" s="82" t="s">
        <v>17158</v>
      </c>
      <c r="AY385" s="77"/>
      <c r="AZ385" s="82" t="s">
        <v>20971</v>
      </c>
      <c r="BA385" s="82" t="s">
        <v>20971</v>
      </c>
      <c r="BB385" s="82" t="s">
        <v>20971</v>
      </c>
      <c r="BC385" s="82" t="s">
        <v>17158</v>
      </c>
      <c r="BD385" s="82" t="s">
        <v>21130</v>
      </c>
      <c r="BE385" s="77"/>
      <c r="BF385" s="77"/>
      <c r="BG385" s="77"/>
      <c r="BH385" s="77"/>
      <c r="BI385" s="77"/>
    </row>
    <row r="386" spans="1:61" x14ac:dyDescent="0.25">
      <c r="A386" s="62" t="s">
        <v>386</v>
      </c>
      <c r="B386" s="62" t="s">
        <v>386</v>
      </c>
      <c r="C386" s="63"/>
      <c r="D386" s="64"/>
      <c r="E386" s="65"/>
      <c r="F386" s="66"/>
      <c r="G386" s="63"/>
      <c r="H386" s="67"/>
      <c r="I386" s="68"/>
      <c r="J386" s="68"/>
      <c r="K386" s="32"/>
      <c r="L386" s="75">
        <v>386</v>
      </c>
      <c r="M386" s="75"/>
      <c r="N386" s="70"/>
      <c r="O386" s="77" t="s">
        <v>179</v>
      </c>
      <c r="P386" s="79">
        <v>45088.061805555553</v>
      </c>
      <c r="Q386" s="77" t="s">
        <v>1669</v>
      </c>
      <c r="R386" s="77">
        <v>0</v>
      </c>
      <c r="S386" s="77">
        <v>0</v>
      </c>
      <c r="T386" s="77">
        <v>1</v>
      </c>
      <c r="U386" s="77">
        <v>0</v>
      </c>
      <c r="V386" s="77">
        <v>163</v>
      </c>
      <c r="W386" s="82" t="s">
        <v>5504</v>
      </c>
      <c r="X386" s="77"/>
      <c r="Y386" s="77"/>
      <c r="Z386" s="77"/>
      <c r="AA386" s="77" t="s">
        <v>7775</v>
      </c>
      <c r="AB386" s="77" t="s">
        <v>10129</v>
      </c>
      <c r="AC386" s="82" t="s">
        <v>10146</v>
      </c>
      <c r="AD386" s="77" t="s">
        <v>10183</v>
      </c>
      <c r="AE386" s="80" t="str">
        <f>HYPERLINK("https://twitter.com/smashupbrazil/status/1667705457648226305")</f>
        <v>https://twitter.com/smashupbrazil/status/1667705457648226305</v>
      </c>
      <c r="AF386" s="79">
        <v>45088.061805555553</v>
      </c>
      <c r="AG386" s="85">
        <v>45088</v>
      </c>
      <c r="AH386" s="82" t="s">
        <v>10579</v>
      </c>
      <c r="AI386" s="77" t="b">
        <v>0</v>
      </c>
      <c r="AJ386" s="77"/>
      <c r="AK386" s="77"/>
      <c r="AL386" s="77"/>
      <c r="AM386" s="77"/>
      <c r="AN386" s="77"/>
      <c r="AO386" s="77"/>
      <c r="AP386" s="77"/>
      <c r="AQ386" s="77" t="s">
        <v>14419</v>
      </c>
      <c r="AR386" s="77">
        <v>51501</v>
      </c>
      <c r="AS386" s="77"/>
      <c r="AT386" s="77"/>
      <c r="AU386" s="77"/>
      <c r="AV386" s="80" t="str">
        <f>HYPERLINK("https://pbs.twimg.com/ext_tw_video_thumb/1667086512993759234/pu/img/Rt1iwxlWBlguBUAJ.jpg")</f>
        <v>https://pbs.twimg.com/ext_tw_video_thumb/1667086512993759234/pu/img/Rt1iwxlWBlguBUAJ.jpg</v>
      </c>
      <c r="AW386" s="82" t="s">
        <v>17159</v>
      </c>
      <c r="AX386" s="82" t="s">
        <v>17159</v>
      </c>
      <c r="AY386" s="77"/>
      <c r="AZ386" s="82" t="s">
        <v>20971</v>
      </c>
      <c r="BA386" s="82" t="s">
        <v>20971</v>
      </c>
      <c r="BB386" s="82" t="s">
        <v>20971</v>
      </c>
      <c r="BC386" s="82" t="s">
        <v>17159</v>
      </c>
      <c r="BD386" s="82" t="s">
        <v>21130</v>
      </c>
      <c r="BE386" s="77"/>
      <c r="BF386" s="77"/>
      <c r="BG386" s="77"/>
      <c r="BH386" s="77"/>
      <c r="BI386" s="77"/>
    </row>
    <row r="387" spans="1:61" x14ac:dyDescent="0.25">
      <c r="A387" s="62" t="s">
        <v>386</v>
      </c>
      <c r="B387" s="62" t="s">
        <v>386</v>
      </c>
      <c r="C387" s="63"/>
      <c r="D387" s="64"/>
      <c r="E387" s="65"/>
      <c r="F387" s="66"/>
      <c r="G387" s="63"/>
      <c r="H387" s="67"/>
      <c r="I387" s="68"/>
      <c r="J387" s="68"/>
      <c r="K387" s="32"/>
      <c r="L387" s="75">
        <v>387</v>
      </c>
      <c r="M387" s="75"/>
      <c r="N387" s="70"/>
      <c r="O387" s="77" t="s">
        <v>179</v>
      </c>
      <c r="P387" s="79">
        <v>45087.936111111114</v>
      </c>
      <c r="Q387" s="77" t="s">
        <v>1670</v>
      </c>
      <c r="R387" s="77">
        <v>0</v>
      </c>
      <c r="S387" s="77">
        <v>1</v>
      </c>
      <c r="T387" s="77">
        <v>0</v>
      </c>
      <c r="U387" s="77">
        <v>0</v>
      </c>
      <c r="V387" s="77">
        <v>125</v>
      </c>
      <c r="W387" s="82" t="s">
        <v>5504</v>
      </c>
      <c r="X387" s="77"/>
      <c r="Y387" s="77"/>
      <c r="Z387" s="77"/>
      <c r="AA387" s="77" t="s">
        <v>7776</v>
      </c>
      <c r="AB387" s="77" t="s">
        <v>10129</v>
      </c>
      <c r="AC387" s="82" t="s">
        <v>10146</v>
      </c>
      <c r="AD387" s="77" t="s">
        <v>10183</v>
      </c>
      <c r="AE387" s="80" t="str">
        <f>HYPERLINK("https://twitter.com/smashupbrazil/status/1667659907431030788")</f>
        <v>https://twitter.com/smashupbrazil/status/1667659907431030788</v>
      </c>
      <c r="AF387" s="79">
        <v>45087.936111111114</v>
      </c>
      <c r="AG387" s="85">
        <v>45087</v>
      </c>
      <c r="AH387" s="82" t="s">
        <v>10580</v>
      </c>
      <c r="AI387" s="77" t="b">
        <v>0</v>
      </c>
      <c r="AJ387" s="77"/>
      <c r="AK387" s="77"/>
      <c r="AL387" s="77"/>
      <c r="AM387" s="77"/>
      <c r="AN387" s="77"/>
      <c r="AO387" s="77"/>
      <c r="AP387" s="77"/>
      <c r="AQ387" s="77" t="s">
        <v>14420</v>
      </c>
      <c r="AR387" s="77">
        <v>59745</v>
      </c>
      <c r="AS387" s="77"/>
      <c r="AT387" s="77"/>
      <c r="AU387" s="77"/>
      <c r="AV387" s="80" t="str">
        <f>HYPERLINK("https://pbs.twimg.com/ext_tw_video_thumb/1667086221997113345/pu/img/nTmHFa1L19MjG5HE.jpg")</f>
        <v>https://pbs.twimg.com/ext_tw_video_thumb/1667086221997113345/pu/img/nTmHFa1L19MjG5HE.jpg</v>
      </c>
      <c r="AW387" s="82" t="s">
        <v>17160</v>
      </c>
      <c r="AX387" s="82" t="s">
        <v>17160</v>
      </c>
      <c r="AY387" s="77"/>
      <c r="AZ387" s="82" t="s">
        <v>20971</v>
      </c>
      <c r="BA387" s="82" t="s">
        <v>20971</v>
      </c>
      <c r="BB387" s="82" t="s">
        <v>20971</v>
      </c>
      <c r="BC387" s="82" t="s">
        <v>17160</v>
      </c>
      <c r="BD387" s="82" t="s">
        <v>21130</v>
      </c>
      <c r="BE387" s="77"/>
      <c r="BF387" s="77"/>
      <c r="BG387" s="77"/>
      <c r="BH387" s="77"/>
      <c r="BI387" s="77"/>
    </row>
    <row r="388" spans="1:61" x14ac:dyDescent="0.25">
      <c r="A388" s="62" t="s">
        <v>386</v>
      </c>
      <c r="B388" s="62" t="s">
        <v>386</v>
      </c>
      <c r="C388" s="63"/>
      <c r="D388" s="64"/>
      <c r="E388" s="65"/>
      <c r="F388" s="66"/>
      <c r="G388" s="63"/>
      <c r="H388" s="67"/>
      <c r="I388" s="68"/>
      <c r="J388" s="68"/>
      <c r="K388" s="32"/>
      <c r="L388" s="75">
        <v>388</v>
      </c>
      <c r="M388" s="75"/>
      <c r="N388" s="70"/>
      <c r="O388" s="77" t="s">
        <v>179</v>
      </c>
      <c r="P388" s="79">
        <v>45066.339259259257</v>
      </c>
      <c r="Q388" s="77" t="s">
        <v>1671</v>
      </c>
      <c r="R388" s="77">
        <v>1</v>
      </c>
      <c r="S388" s="77">
        <v>0</v>
      </c>
      <c r="T388" s="77">
        <v>0</v>
      </c>
      <c r="U388" s="77">
        <v>0</v>
      </c>
      <c r="V388" s="77">
        <v>138</v>
      </c>
      <c r="W388" s="82" t="s">
        <v>5504</v>
      </c>
      <c r="X388" s="77"/>
      <c r="Y388" s="77"/>
      <c r="Z388" s="77"/>
      <c r="AA388" s="77" t="s">
        <v>7777</v>
      </c>
      <c r="AB388" s="77" t="s">
        <v>10129</v>
      </c>
      <c r="AC388" s="82" t="s">
        <v>10146</v>
      </c>
      <c r="AD388" s="77" t="s">
        <v>10183</v>
      </c>
      <c r="AE388" s="80" t="str">
        <f>HYPERLINK("https://twitter.com/smashupbrazil/status/1659833470904827905")</f>
        <v>https://twitter.com/smashupbrazil/status/1659833470904827905</v>
      </c>
      <c r="AF388" s="79">
        <v>45066.339259259257</v>
      </c>
      <c r="AG388" s="85">
        <v>45066</v>
      </c>
      <c r="AH388" s="82" t="s">
        <v>10581</v>
      </c>
      <c r="AI388" s="77" t="b">
        <v>0</v>
      </c>
      <c r="AJ388" s="77"/>
      <c r="AK388" s="77"/>
      <c r="AL388" s="77"/>
      <c r="AM388" s="77"/>
      <c r="AN388" s="77"/>
      <c r="AO388" s="77"/>
      <c r="AP388" s="77"/>
      <c r="AQ388" s="77" t="s">
        <v>14421</v>
      </c>
      <c r="AR388" s="77">
        <v>67105</v>
      </c>
      <c r="AS388" s="77"/>
      <c r="AT388" s="77"/>
      <c r="AU388" s="77"/>
      <c r="AV388" s="80" t="str">
        <f>HYPERLINK("https://pbs.twimg.com/ext_tw_video_thumb/1659833410100113408/pu/img/0XYC6kSKcfCFcHjE.jpg")</f>
        <v>https://pbs.twimg.com/ext_tw_video_thumb/1659833410100113408/pu/img/0XYC6kSKcfCFcHjE.jpg</v>
      </c>
      <c r="AW388" s="82" t="s">
        <v>17161</v>
      </c>
      <c r="AX388" s="82" t="s">
        <v>17161</v>
      </c>
      <c r="AY388" s="77"/>
      <c r="AZ388" s="82" t="s">
        <v>20971</v>
      </c>
      <c r="BA388" s="82" t="s">
        <v>20971</v>
      </c>
      <c r="BB388" s="82" t="s">
        <v>20971</v>
      </c>
      <c r="BC388" s="82" t="s">
        <v>17161</v>
      </c>
      <c r="BD388" s="82" t="s">
        <v>21130</v>
      </c>
      <c r="BE388" s="77"/>
      <c r="BF388" s="77"/>
      <c r="BG388" s="77"/>
      <c r="BH388" s="77"/>
      <c r="BI388" s="77"/>
    </row>
    <row r="389" spans="1:61" x14ac:dyDescent="0.25">
      <c r="A389" s="62" t="s">
        <v>386</v>
      </c>
      <c r="B389" s="62" t="s">
        <v>386</v>
      </c>
      <c r="C389" s="63"/>
      <c r="D389" s="64"/>
      <c r="E389" s="65"/>
      <c r="F389" s="66"/>
      <c r="G389" s="63"/>
      <c r="H389" s="67"/>
      <c r="I389" s="68"/>
      <c r="J389" s="68"/>
      <c r="K389" s="32"/>
      <c r="L389" s="75">
        <v>389</v>
      </c>
      <c r="M389" s="75"/>
      <c r="N389" s="70"/>
      <c r="O389" s="77" t="s">
        <v>179</v>
      </c>
      <c r="P389" s="79">
        <v>45066.338935185187</v>
      </c>
      <c r="Q389" s="77" t="s">
        <v>1672</v>
      </c>
      <c r="R389" s="77">
        <v>1</v>
      </c>
      <c r="S389" s="77">
        <v>1</v>
      </c>
      <c r="T389" s="77">
        <v>0</v>
      </c>
      <c r="U389" s="77">
        <v>0</v>
      </c>
      <c r="V389" s="77">
        <v>130</v>
      </c>
      <c r="W389" s="82" t="s">
        <v>5504</v>
      </c>
      <c r="X389" s="77"/>
      <c r="Y389" s="77"/>
      <c r="Z389" s="77"/>
      <c r="AA389" s="77" t="s">
        <v>7778</v>
      </c>
      <c r="AB389" s="77" t="s">
        <v>10129</v>
      </c>
      <c r="AC389" s="82" t="s">
        <v>10146</v>
      </c>
      <c r="AD389" s="77" t="s">
        <v>10183</v>
      </c>
      <c r="AE389" s="80" t="str">
        <f>HYPERLINK("https://twitter.com/smashupbrazil/status/1659833354970071043")</f>
        <v>https://twitter.com/smashupbrazil/status/1659833354970071043</v>
      </c>
      <c r="AF389" s="79">
        <v>45066.338935185187</v>
      </c>
      <c r="AG389" s="85">
        <v>45066</v>
      </c>
      <c r="AH389" s="82" t="s">
        <v>10582</v>
      </c>
      <c r="AI389" s="77" t="b">
        <v>0</v>
      </c>
      <c r="AJ389" s="77"/>
      <c r="AK389" s="77"/>
      <c r="AL389" s="77"/>
      <c r="AM389" s="77"/>
      <c r="AN389" s="77"/>
      <c r="AO389" s="77"/>
      <c r="AP389" s="77"/>
      <c r="AQ389" s="77" t="s">
        <v>14422</v>
      </c>
      <c r="AR389" s="77">
        <v>52477</v>
      </c>
      <c r="AS389" s="77"/>
      <c r="AT389" s="77"/>
      <c r="AU389" s="77"/>
      <c r="AV389" s="80" t="str">
        <f>HYPERLINK("https://pbs.twimg.com/ext_tw_video_thumb/1659833260740952066/pu/img/UJqUFYPejXI3ATRz.jpg")</f>
        <v>https://pbs.twimg.com/ext_tw_video_thumb/1659833260740952066/pu/img/UJqUFYPejXI3ATRz.jpg</v>
      </c>
      <c r="AW389" s="82" t="s">
        <v>17162</v>
      </c>
      <c r="AX389" s="82" t="s">
        <v>17162</v>
      </c>
      <c r="AY389" s="77"/>
      <c r="AZ389" s="82" t="s">
        <v>20971</v>
      </c>
      <c r="BA389" s="82" t="s">
        <v>20971</v>
      </c>
      <c r="BB389" s="82" t="s">
        <v>20971</v>
      </c>
      <c r="BC389" s="82" t="s">
        <v>17162</v>
      </c>
      <c r="BD389" s="82" t="s">
        <v>21130</v>
      </c>
      <c r="BE389" s="77"/>
      <c r="BF389" s="77"/>
      <c r="BG389" s="77"/>
      <c r="BH389" s="77"/>
      <c r="BI389" s="77"/>
    </row>
    <row r="390" spans="1:61" x14ac:dyDescent="0.25">
      <c r="A390" s="62" t="s">
        <v>386</v>
      </c>
      <c r="B390" s="62" t="s">
        <v>386</v>
      </c>
      <c r="C390" s="63"/>
      <c r="D390" s="64"/>
      <c r="E390" s="65"/>
      <c r="F390" s="66"/>
      <c r="G390" s="63"/>
      <c r="H390" s="67"/>
      <c r="I390" s="68"/>
      <c r="J390" s="68"/>
      <c r="K390" s="32"/>
      <c r="L390" s="75">
        <v>390</v>
      </c>
      <c r="M390" s="75"/>
      <c r="N390" s="70"/>
      <c r="O390" s="77" t="s">
        <v>179</v>
      </c>
      <c r="P390" s="79">
        <v>45066.338576388887</v>
      </c>
      <c r="Q390" s="77" t="s">
        <v>1673</v>
      </c>
      <c r="R390" s="77">
        <v>1</v>
      </c>
      <c r="S390" s="77">
        <v>0</v>
      </c>
      <c r="T390" s="77">
        <v>0</v>
      </c>
      <c r="U390" s="77">
        <v>0</v>
      </c>
      <c r="V390" s="77">
        <v>107</v>
      </c>
      <c r="W390" s="82" t="s">
        <v>5504</v>
      </c>
      <c r="X390" s="77"/>
      <c r="Y390" s="77"/>
      <c r="Z390" s="77"/>
      <c r="AA390" s="77" t="s">
        <v>7779</v>
      </c>
      <c r="AB390" s="77" t="s">
        <v>10129</v>
      </c>
      <c r="AC390" s="82" t="s">
        <v>10146</v>
      </c>
      <c r="AD390" s="77" t="s">
        <v>10183</v>
      </c>
      <c r="AE390" s="80" t="str">
        <f>HYPERLINK("https://twitter.com/smashupbrazil/status/1659833222669258752")</f>
        <v>https://twitter.com/smashupbrazil/status/1659833222669258752</v>
      </c>
      <c r="AF390" s="79">
        <v>45066.338576388887</v>
      </c>
      <c r="AG390" s="85">
        <v>45066</v>
      </c>
      <c r="AH390" s="82" t="s">
        <v>10583</v>
      </c>
      <c r="AI390" s="77" t="b">
        <v>0</v>
      </c>
      <c r="AJ390" s="77"/>
      <c r="AK390" s="77"/>
      <c r="AL390" s="77"/>
      <c r="AM390" s="77"/>
      <c r="AN390" s="77"/>
      <c r="AO390" s="77"/>
      <c r="AP390" s="77"/>
      <c r="AQ390" s="77" t="s">
        <v>14423</v>
      </c>
      <c r="AR390" s="77">
        <v>52477</v>
      </c>
      <c r="AS390" s="77"/>
      <c r="AT390" s="77"/>
      <c r="AU390" s="77"/>
      <c r="AV390" s="80" t="str">
        <f>HYPERLINK("https://pbs.twimg.com/ext_tw_video_thumb/1659833165303693312/pu/img/rUPrltDKWV0MKooF.jpg")</f>
        <v>https://pbs.twimg.com/ext_tw_video_thumb/1659833165303693312/pu/img/rUPrltDKWV0MKooF.jpg</v>
      </c>
      <c r="AW390" s="82" t="s">
        <v>17163</v>
      </c>
      <c r="AX390" s="82" t="s">
        <v>17163</v>
      </c>
      <c r="AY390" s="77"/>
      <c r="AZ390" s="82" t="s">
        <v>20971</v>
      </c>
      <c r="BA390" s="82" t="s">
        <v>20971</v>
      </c>
      <c r="BB390" s="82" t="s">
        <v>20971</v>
      </c>
      <c r="BC390" s="82" t="s">
        <v>17163</v>
      </c>
      <c r="BD390" s="82" t="s">
        <v>21130</v>
      </c>
      <c r="BE390" s="77"/>
      <c r="BF390" s="77"/>
      <c r="BG390" s="77"/>
      <c r="BH390" s="77"/>
      <c r="BI390" s="77"/>
    </row>
    <row r="391" spans="1:61" x14ac:dyDescent="0.25">
      <c r="A391" s="62" t="s">
        <v>386</v>
      </c>
      <c r="B391" s="62" t="s">
        <v>386</v>
      </c>
      <c r="C391" s="63"/>
      <c r="D391" s="64"/>
      <c r="E391" s="65"/>
      <c r="F391" s="66"/>
      <c r="G391" s="63"/>
      <c r="H391" s="67"/>
      <c r="I391" s="68"/>
      <c r="J391" s="68"/>
      <c r="K391" s="32"/>
      <c r="L391" s="75">
        <v>391</v>
      </c>
      <c r="M391" s="75"/>
      <c r="N391" s="70"/>
      <c r="O391" s="77" t="s">
        <v>179</v>
      </c>
      <c r="P391" s="79">
        <v>45066.338090277779</v>
      </c>
      <c r="Q391" s="77" t="s">
        <v>1674</v>
      </c>
      <c r="R391" s="77">
        <v>0</v>
      </c>
      <c r="S391" s="77">
        <v>1</v>
      </c>
      <c r="T391" s="77">
        <v>0</v>
      </c>
      <c r="U391" s="77">
        <v>0</v>
      </c>
      <c r="V391" s="77">
        <v>85</v>
      </c>
      <c r="W391" s="82" t="s">
        <v>5504</v>
      </c>
      <c r="X391" s="77"/>
      <c r="Y391" s="77"/>
      <c r="Z391" s="77"/>
      <c r="AA391" s="77" t="s">
        <v>7780</v>
      </c>
      <c r="AB391" s="77" t="s">
        <v>10130</v>
      </c>
      <c r="AC391" s="82" t="s">
        <v>10146</v>
      </c>
      <c r="AD391" s="77" t="s">
        <v>10183</v>
      </c>
      <c r="AE391" s="80" t="str">
        <f>HYPERLINK("https://twitter.com/smashupbrazil/status/1659833045916975104")</f>
        <v>https://twitter.com/smashupbrazil/status/1659833045916975104</v>
      </c>
      <c r="AF391" s="79">
        <v>45066.338090277779</v>
      </c>
      <c r="AG391" s="85">
        <v>45066</v>
      </c>
      <c r="AH391" s="82" t="s">
        <v>10584</v>
      </c>
      <c r="AI391" s="77" t="b">
        <v>0</v>
      </c>
      <c r="AJ391" s="77"/>
      <c r="AK391" s="77"/>
      <c r="AL391" s="77"/>
      <c r="AM391" s="77"/>
      <c r="AN391" s="77"/>
      <c r="AO391" s="77"/>
      <c r="AP391" s="77"/>
      <c r="AQ391" s="77" t="s">
        <v>14424</v>
      </c>
      <c r="AR391" s="77"/>
      <c r="AS391" s="77"/>
      <c r="AT391" s="77"/>
      <c r="AU391" s="77"/>
      <c r="AV391" s="80" t="str">
        <f>HYPERLINK("https://pbs.twimg.com/media/FwjpVrCWwAIwuAC.jpg")</f>
        <v>https://pbs.twimg.com/media/FwjpVrCWwAIwuAC.jpg</v>
      </c>
      <c r="AW391" s="82" t="s">
        <v>17164</v>
      </c>
      <c r="AX391" s="82" t="s">
        <v>17164</v>
      </c>
      <c r="AY391" s="77"/>
      <c r="AZ391" s="82" t="s">
        <v>20971</v>
      </c>
      <c r="BA391" s="82" t="s">
        <v>20971</v>
      </c>
      <c r="BB391" s="82" t="s">
        <v>20971</v>
      </c>
      <c r="BC391" s="82" t="s">
        <v>17164</v>
      </c>
      <c r="BD391" s="82" t="s">
        <v>21130</v>
      </c>
      <c r="BE391" s="77"/>
      <c r="BF391" s="77"/>
      <c r="BG391" s="77"/>
      <c r="BH391" s="77"/>
      <c r="BI391" s="77"/>
    </row>
    <row r="392" spans="1:61" x14ac:dyDescent="0.25">
      <c r="A392" s="62" t="s">
        <v>386</v>
      </c>
      <c r="B392" s="62" t="s">
        <v>386</v>
      </c>
      <c r="C392" s="63"/>
      <c r="D392" s="64"/>
      <c r="E392" s="65"/>
      <c r="F392" s="66"/>
      <c r="G392" s="63"/>
      <c r="H392" s="67"/>
      <c r="I392" s="68"/>
      <c r="J392" s="68"/>
      <c r="K392" s="32"/>
      <c r="L392" s="75">
        <v>392</v>
      </c>
      <c r="M392" s="75"/>
      <c r="N392" s="70"/>
      <c r="O392" s="77" t="s">
        <v>179</v>
      </c>
      <c r="P392" s="79">
        <v>45066.337604166663</v>
      </c>
      <c r="Q392" s="77" t="s">
        <v>1675</v>
      </c>
      <c r="R392" s="77">
        <v>0</v>
      </c>
      <c r="S392" s="77">
        <v>0</v>
      </c>
      <c r="T392" s="77">
        <v>0</v>
      </c>
      <c r="U392" s="77">
        <v>0</v>
      </c>
      <c r="V392" s="77">
        <v>69</v>
      </c>
      <c r="W392" s="82" t="s">
        <v>5504</v>
      </c>
      <c r="X392" s="77"/>
      <c r="Y392" s="77"/>
      <c r="Z392" s="77"/>
      <c r="AA392" s="77" t="s">
        <v>7781</v>
      </c>
      <c r="AB392" s="77" t="s">
        <v>10130</v>
      </c>
      <c r="AC392" s="82" t="s">
        <v>10146</v>
      </c>
      <c r="AD392" s="77" t="s">
        <v>10183</v>
      </c>
      <c r="AE392" s="80" t="str">
        <f>HYPERLINK("https://twitter.com/smashupbrazil/status/1659832872423890979")</f>
        <v>https://twitter.com/smashupbrazil/status/1659832872423890979</v>
      </c>
      <c r="AF392" s="79">
        <v>45066.337604166663</v>
      </c>
      <c r="AG392" s="85">
        <v>45066</v>
      </c>
      <c r="AH392" s="82" t="s">
        <v>10585</v>
      </c>
      <c r="AI392" s="77" t="b">
        <v>0</v>
      </c>
      <c r="AJ392" s="77"/>
      <c r="AK392" s="77"/>
      <c r="AL392" s="77"/>
      <c r="AM392" s="77"/>
      <c r="AN392" s="77"/>
      <c r="AO392" s="77"/>
      <c r="AP392" s="77"/>
      <c r="AQ392" s="77" t="s">
        <v>14425</v>
      </c>
      <c r="AR392" s="77"/>
      <c r="AS392" s="77"/>
      <c r="AT392" s="77"/>
      <c r="AU392" s="77"/>
      <c r="AV392" s="80" t="str">
        <f>HYPERLINK("https://pbs.twimg.com/media/FwjpLvLXsAEBnYq.jpg")</f>
        <v>https://pbs.twimg.com/media/FwjpLvLXsAEBnYq.jpg</v>
      </c>
      <c r="AW392" s="82" t="s">
        <v>17165</v>
      </c>
      <c r="AX392" s="82" t="s">
        <v>17165</v>
      </c>
      <c r="AY392" s="77"/>
      <c r="AZ392" s="82" t="s">
        <v>20971</v>
      </c>
      <c r="BA392" s="82" t="s">
        <v>20971</v>
      </c>
      <c r="BB392" s="82" t="s">
        <v>20971</v>
      </c>
      <c r="BC392" s="82" t="s">
        <v>17165</v>
      </c>
      <c r="BD392" s="82" t="s">
        <v>21130</v>
      </c>
      <c r="BE392" s="77"/>
      <c r="BF392" s="77"/>
      <c r="BG392" s="77"/>
      <c r="BH392" s="77"/>
      <c r="BI392" s="77"/>
    </row>
    <row r="393" spans="1:61" x14ac:dyDescent="0.25">
      <c r="A393" s="62" t="s">
        <v>386</v>
      </c>
      <c r="B393" s="62" t="s">
        <v>386</v>
      </c>
      <c r="C393" s="63"/>
      <c r="D393" s="64"/>
      <c r="E393" s="65"/>
      <c r="F393" s="66"/>
      <c r="G393" s="63"/>
      <c r="H393" s="67"/>
      <c r="I393" s="68"/>
      <c r="J393" s="68"/>
      <c r="K393" s="32"/>
      <c r="L393" s="75">
        <v>393</v>
      </c>
      <c r="M393" s="75"/>
      <c r="N393" s="70"/>
      <c r="O393" s="77" t="s">
        <v>179</v>
      </c>
      <c r="P393" s="79">
        <v>45066.337442129632</v>
      </c>
      <c r="Q393" s="77" t="s">
        <v>1676</v>
      </c>
      <c r="R393" s="77">
        <v>0</v>
      </c>
      <c r="S393" s="77">
        <v>0</v>
      </c>
      <c r="T393" s="77">
        <v>0</v>
      </c>
      <c r="U393" s="77">
        <v>0</v>
      </c>
      <c r="V393" s="77">
        <v>87</v>
      </c>
      <c r="W393" s="82" t="s">
        <v>5504</v>
      </c>
      <c r="X393" s="77"/>
      <c r="Y393" s="77"/>
      <c r="Z393" s="77"/>
      <c r="AA393" s="77" t="s">
        <v>7782</v>
      </c>
      <c r="AB393" s="77" t="s">
        <v>10130</v>
      </c>
      <c r="AC393" s="82" t="s">
        <v>10146</v>
      </c>
      <c r="AD393" s="77" t="s">
        <v>10183</v>
      </c>
      <c r="AE393" s="80" t="str">
        <f>HYPERLINK("https://twitter.com/smashupbrazil/status/1659832814857011203")</f>
        <v>https://twitter.com/smashupbrazil/status/1659832814857011203</v>
      </c>
      <c r="AF393" s="79">
        <v>45066.337442129632</v>
      </c>
      <c r="AG393" s="85">
        <v>45066</v>
      </c>
      <c r="AH393" s="82" t="s">
        <v>10586</v>
      </c>
      <c r="AI393" s="77" t="b">
        <v>0</v>
      </c>
      <c r="AJ393" s="77"/>
      <c r="AK393" s="77"/>
      <c r="AL393" s="77"/>
      <c r="AM393" s="77"/>
      <c r="AN393" s="77"/>
      <c r="AO393" s="77"/>
      <c r="AP393" s="77"/>
      <c r="AQ393" s="77" t="s">
        <v>14426</v>
      </c>
      <c r="AR393" s="77"/>
      <c r="AS393" s="77"/>
      <c r="AT393" s="77"/>
      <c r="AU393" s="77"/>
      <c r="AV393" s="80" t="str">
        <f>HYPERLINK("https://pbs.twimg.com/media/FwjpDwbXoAALK0k.jpg")</f>
        <v>https://pbs.twimg.com/media/FwjpDwbXoAALK0k.jpg</v>
      </c>
      <c r="AW393" s="82" t="s">
        <v>17166</v>
      </c>
      <c r="AX393" s="82" t="s">
        <v>17166</v>
      </c>
      <c r="AY393" s="77"/>
      <c r="AZ393" s="82" t="s">
        <v>20971</v>
      </c>
      <c r="BA393" s="82" t="s">
        <v>20971</v>
      </c>
      <c r="BB393" s="82" t="s">
        <v>20971</v>
      </c>
      <c r="BC393" s="82" t="s">
        <v>17166</v>
      </c>
      <c r="BD393" s="82" t="s">
        <v>21130</v>
      </c>
      <c r="BE393" s="77"/>
      <c r="BF393" s="77"/>
      <c r="BG393" s="77"/>
      <c r="BH393" s="77"/>
      <c r="BI393" s="77"/>
    </row>
    <row r="394" spans="1:61" x14ac:dyDescent="0.25">
      <c r="A394" s="62" t="s">
        <v>386</v>
      </c>
      <c r="B394" s="62" t="s">
        <v>386</v>
      </c>
      <c r="C394" s="63"/>
      <c r="D394" s="64"/>
      <c r="E394" s="65"/>
      <c r="F394" s="66"/>
      <c r="G394" s="63"/>
      <c r="H394" s="67"/>
      <c r="I394" s="68"/>
      <c r="J394" s="68"/>
      <c r="K394" s="32"/>
      <c r="L394" s="75">
        <v>394</v>
      </c>
      <c r="M394" s="75"/>
      <c r="N394" s="70"/>
      <c r="O394" s="77" t="s">
        <v>179</v>
      </c>
      <c r="P394" s="79">
        <v>45173.931944444441</v>
      </c>
      <c r="Q394" s="77" t="s">
        <v>1677</v>
      </c>
      <c r="R394" s="77">
        <v>0</v>
      </c>
      <c r="S394" s="77">
        <v>0</v>
      </c>
      <c r="T394" s="77">
        <v>0</v>
      </c>
      <c r="U394" s="77">
        <v>0</v>
      </c>
      <c r="V394" s="77">
        <v>129</v>
      </c>
      <c r="W394" s="82" t="s">
        <v>5504</v>
      </c>
      <c r="X394" s="77"/>
      <c r="Y394" s="77"/>
      <c r="Z394" s="77"/>
      <c r="AA394" s="77" t="s">
        <v>7783</v>
      </c>
      <c r="AB394" s="77" t="s">
        <v>10129</v>
      </c>
      <c r="AC394" s="82" t="s">
        <v>10146</v>
      </c>
      <c r="AD394" s="77" t="s">
        <v>10183</v>
      </c>
      <c r="AE394" s="80" t="str">
        <f>HYPERLINK("https://twitter.com/smashupbrazil/status/1698823753793409185")</f>
        <v>https://twitter.com/smashupbrazil/status/1698823753793409185</v>
      </c>
      <c r="AF394" s="79">
        <v>45173.931944444441</v>
      </c>
      <c r="AG394" s="85">
        <v>45173</v>
      </c>
      <c r="AH394" s="82" t="s">
        <v>10587</v>
      </c>
      <c r="AI394" s="77" t="b">
        <v>0</v>
      </c>
      <c r="AJ394" s="77"/>
      <c r="AK394" s="77"/>
      <c r="AL394" s="77"/>
      <c r="AM394" s="77"/>
      <c r="AN394" s="77"/>
      <c r="AO394" s="77"/>
      <c r="AP394" s="77"/>
      <c r="AQ394" s="77" t="s">
        <v>14427</v>
      </c>
      <c r="AR394" s="77">
        <v>46138</v>
      </c>
      <c r="AS394" s="77"/>
      <c r="AT394" s="77"/>
      <c r="AU394" s="77"/>
      <c r="AV394" s="80" t="str">
        <f>HYPERLINK("https://pbs.twimg.com/ext_tw_video_thumb/1698672744542752768/pu/img/dX5LVQ05UxtoH-fv.jpg")</f>
        <v>https://pbs.twimg.com/ext_tw_video_thumb/1698672744542752768/pu/img/dX5LVQ05UxtoH-fv.jpg</v>
      </c>
      <c r="AW394" s="82" t="s">
        <v>17167</v>
      </c>
      <c r="AX394" s="82" t="s">
        <v>17167</v>
      </c>
      <c r="AY394" s="77"/>
      <c r="AZ394" s="82" t="s">
        <v>20971</v>
      </c>
      <c r="BA394" s="82" t="s">
        <v>20971</v>
      </c>
      <c r="BB394" s="82" t="s">
        <v>20971</v>
      </c>
      <c r="BC394" s="82" t="s">
        <v>17167</v>
      </c>
      <c r="BD394" s="82" t="s">
        <v>21130</v>
      </c>
      <c r="BE394" s="77"/>
      <c r="BF394" s="77"/>
      <c r="BG394" s="77"/>
      <c r="BH394" s="77"/>
      <c r="BI394" s="77"/>
    </row>
    <row r="395" spans="1:61" x14ac:dyDescent="0.25">
      <c r="A395" s="62" t="s">
        <v>386</v>
      </c>
      <c r="B395" s="62" t="s">
        <v>386</v>
      </c>
      <c r="C395" s="63"/>
      <c r="D395" s="64"/>
      <c r="E395" s="65"/>
      <c r="F395" s="66"/>
      <c r="G395" s="63"/>
      <c r="H395" s="67"/>
      <c r="I395" s="68"/>
      <c r="J395" s="68"/>
      <c r="K395" s="32"/>
      <c r="L395" s="75">
        <v>395</v>
      </c>
      <c r="M395" s="75"/>
      <c r="N395" s="70"/>
      <c r="O395" s="77" t="s">
        <v>179</v>
      </c>
      <c r="P395" s="79">
        <v>45120.876388888886</v>
      </c>
      <c r="Q395" s="77" t="s">
        <v>1678</v>
      </c>
      <c r="R395" s="77">
        <v>0</v>
      </c>
      <c r="S395" s="77">
        <v>0</v>
      </c>
      <c r="T395" s="77">
        <v>1</v>
      </c>
      <c r="U395" s="77">
        <v>0</v>
      </c>
      <c r="V395" s="77">
        <v>153</v>
      </c>
      <c r="W395" s="82" t="s">
        <v>5462</v>
      </c>
      <c r="X395" s="77"/>
      <c r="Y395" s="77"/>
      <c r="Z395" s="77"/>
      <c r="AA395" s="77" t="s">
        <v>7784</v>
      </c>
      <c r="AB395" s="77" t="s">
        <v>10129</v>
      </c>
      <c r="AC395" s="82" t="s">
        <v>10146</v>
      </c>
      <c r="AD395" s="77" t="s">
        <v>10184</v>
      </c>
      <c r="AE395" s="80" t="str">
        <f>HYPERLINK("https://twitter.com/smashupbrazil/status/1679597064513105920")</f>
        <v>https://twitter.com/smashupbrazil/status/1679597064513105920</v>
      </c>
      <c r="AF395" s="79">
        <v>45120.876388888886</v>
      </c>
      <c r="AG395" s="85">
        <v>45120</v>
      </c>
      <c r="AH395" s="82" t="s">
        <v>10588</v>
      </c>
      <c r="AI395" s="77" t="b">
        <v>0</v>
      </c>
      <c r="AJ395" s="77"/>
      <c r="AK395" s="77"/>
      <c r="AL395" s="77"/>
      <c r="AM395" s="77"/>
      <c r="AN395" s="77"/>
      <c r="AO395" s="77"/>
      <c r="AP395" s="77"/>
      <c r="AQ395" s="77" t="s">
        <v>14428</v>
      </c>
      <c r="AR395" s="77">
        <v>37383</v>
      </c>
      <c r="AS395" s="77"/>
      <c r="AT395" s="77"/>
      <c r="AU395" s="77"/>
      <c r="AV395" s="80" t="str">
        <f>HYPERLINK("https://pbs.twimg.com/ext_tw_video_thumb/1679431101775851521/pu/img/BHS2zurnTny2xQUs.jpg")</f>
        <v>https://pbs.twimg.com/ext_tw_video_thumb/1679431101775851521/pu/img/BHS2zurnTny2xQUs.jpg</v>
      </c>
      <c r="AW395" s="82" t="s">
        <v>17168</v>
      </c>
      <c r="AX395" s="82" t="s">
        <v>17168</v>
      </c>
      <c r="AY395" s="77"/>
      <c r="AZ395" s="82" t="s">
        <v>20971</v>
      </c>
      <c r="BA395" s="82" t="s">
        <v>20971</v>
      </c>
      <c r="BB395" s="82" t="s">
        <v>20971</v>
      </c>
      <c r="BC395" s="82" t="s">
        <v>17168</v>
      </c>
      <c r="BD395" s="82" t="s">
        <v>21130</v>
      </c>
      <c r="BE395" s="77"/>
      <c r="BF395" s="77"/>
      <c r="BG395" s="77"/>
      <c r="BH395" s="77"/>
      <c r="BI395" s="77"/>
    </row>
    <row r="396" spans="1:61" x14ac:dyDescent="0.25">
      <c r="A396" s="62" t="s">
        <v>386</v>
      </c>
      <c r="B396" s="62" t="s">
        <v>386</v>
      </c>
      <c r="C396" s="63"/>
      <c r="D396" s="64"/>
      <c r="E396" s="65"/>
      <c r="F396" s="66"/>
      <c r="G396" s="63"/>
      <c r="H396" s="67"/>
      <c r="I396" s="68"/>
      <c r="J396" s="68"/>
      <c r="K396" s="32"/>
      <c r="L396" s="75">
        <v>396</v>
      </c>
      <c r="M396" s="75"/>
      <c r="N396" s="70"/>
      <c r="O396" s="77" t="s">
        <v>179</v>
      </c>
      <c r="P396" s="79">
        <v>45103.566874999997</v>
      </c>
      <c r="Q396" s="77" t="s">
        <v>1679</v>
      </c>
      <c r="R396" s="77">
        <v>0</v>
      </c>
      <c r="S396" s="77">
        <v>0</v>
      </c>
      <c r="T396" s="77">
        <v>0</v>
      </c>
      <c r="U396" s="77">
        <v>0</v>
      </c>
      <c r="V396" s="77">
        <v>155</v>
      </c>
      <c r="W396" s="82" t="s">
        <v>5504</v>
      </c>
      <c r="X396" s="77"/>
      <c r="Y396" s="77"/>
      <c r="Z396" s="77"/>
      <c r="AA396" s="77" t="s">
        <v>7785</v>
      </c>
      <c r="AB396" s="77" t="s">
        <v>10129</v>
      </c>
      <c r="AC396" s="82" t="s">
        <v>10146</v>
      </c>
      <c r="AD396" s="77" t="s">
        <v>10183</v>
      </c>
      <c r="AE396" s="80" t="str">
        <f>HYPERLINK("https://twitter.com/smashupbrazil/status/1673324306456010757")</f>
        <v>https://twitter.com/smashupbrazil/status/1673324306456010757</v>
      </c>
      <c r="AF396" s="79">
        <v>45103.566874999997</v>
      </c>
      <c r="AG396" s="85">
        <v>45103</v>
      </c>
      <c r="AH396" s="82" t="s">
        <v>10589</v>
      </c>
      <c r="AI396" s="77" t="b">
        <v>0</v>
      </c>
      <c r="AJ396" s="77"/>
      <c r="AK396" s="77"/>
      <c r="AL396" s="77"/>
      <c r="AM396" s="77"/>
      <c r="AN396" s="77"/>
      <c r="AO396" s="77"/>
      <c r="AP396" s="77"/>
      <c r="AQ396" s="77" t="s">
        <v>14429</v>
      </c>
      <c r="AR396" s="77">
        <v>58333</v>
      </c>
      <c r="AS396" s="77"/>
      <c r="AT396" s="77"/>
      <c r="AU396" s="77"/>
      <c r="AV396" s="80" t="str">
        <f>HYPERLINK("https://pbs.twimg.com/ext_tw_video_thumb/1673323796227321856/pu/img/S1Uk_pck0mahLjEQ.jpg")</f>
        <v>https://pbs.twimg.com/ext_tw_video_thumb/1673323796227321856/pu/img/S1Uk_pck0mahLjEQ.jpg</v>
      </c>
      <c r="AW396" s="82" t="s">
        <v>17169</v>
      </c>
      <c r="AX396" s="82" t="s">
        <v>17169</v>
      </c>
      <c r="AY396" s="77"/>
      <c r="AZ396" s="82" t="s">
        <v>20971</v>
      </c>
      <c r="BA396" s="82" t="s">
        <v>20971</v>
      </c>
      <c r="BB396" s="82" t="s">
        <v>20971</v>
      </c>
      <c r="BC396" s="82" t="s">
        <v>17169</v>
      </c>
      <c r="BD396" s="82" t="s">
        <v>21130</v>
      </c>
      <c r="BE396" s="77"/>
      <c r="BF396" s="77"/>
      <c r="BG396" s="77"/>
      <c r="BH396" s="77"/>
      <c r="BI396" s="77"/>
    </row>
    <row r="397" spans="1:61" x14ac:dyDescent="0.25">
      <c r="A397" s="62" t="s">
        <v>386</v>
      </c>
      <c r="B397" s="62" t="s">
        <v>386</v>
      </c>
      <c r="C397" s="63"/>
      <c r="D397" s="64"/>
      <c r="E397" s="65"/>
      <c r="F397" s="66"/>
      <c r="G397" s="63"/>
      <c r="H397" s="67"/>
      <c r="I397" s="68"/>
      <c r="J397" s="68"/>
      <c r="K397" s="32"/>
      <c r="L397" s="75">
        <v>397</v>
      </c>
      <c r="M397" s="75"/>
      <c r="N397" s="70"/>
      <c r="O397" s="77" t="s">
        <v>179</v>
      </c>
      <c r="P397" s="79">
        <v>45103.565254629626</v>
      </c>
      <c r="Q397" s="77" t="s">
        <v>1680</v>
      </c>
      <c r="R397" s="77">
        <v>0</v>
      </c>
      <c r="S397" s="77">
        <v>0</v>
      </c>
      <c r="T397" s="77">
        <v>0</v>
      </c>
      <c r="U397" s="77">
        <v>0</v>
      </c>
      <c r="V397" s="77">
        <v>144</v>
      </c>
      <c r="W397" s="82" t="s">
        <v>5504</v>
      </c>
      <c r="X397" s="77"/>
      <c r="Y397" s="77"/>
      <c r="Z397" s="77"/>
      <c r="AA397" s="77" t="s">
        <v>7786</v>
      </c>
      <c r="AB397" s="77" t="s">
        <v>10129</v>
      </c>
      <c r="AC397" s="82" t="s">
        <v>10146</v>
      </c>
      <c r="AD397" s="77" t="s">
        <v>10183</v>
      </c>
      <c r="AE397" s="80" t="str">
        <f>HYPERLINK("https://twitter.com/smashupbrazil/status/1673323720436269059")</f>
        <v>https://twitter.com/smashupbrazil/status/1673323720436269059</v>
      </c>
      <c r="AF397" s="79">
        <v>45103.565254629626</v>
      </c>
      <c r="AG397" s="85">
        <v>45103</v>
      </c>
      <c r="AH397" s="82" t="s">
        <v>10590</v>
      </c>
      <c r="AI397" s="77" t="b">
        <v>0</v>
      </c>
      <c r="AJ397" s="77"/>
      <c r="AK397" s="77"/>
      <c r="AL397" s="77"/>
      <c r="AM397" s="77"/>
      <c r="AN397" s="77"/>
      <c r="AO397" s="77"/>
      <c r="AP397" s="77"/>
      <c r="AQ397" s="77" t="s">
        <v>14430</v>
      </c>
      <c r="AR397" s="77">
        <v>18203</v>
      </c>
      <c r="AS397" s="77"/>
      <c r="AT397" s="77"/>
      <c r="AU397" s="77"/>
      <c r="AV397" s="80" t="str">
        <f>HYPERLINK("https://pbs.twimg.com/ext_tw_video_thumb/1673323481923047424/pu/img/VHFs6dCllWeBmlkB.jpg")</f>
        <v>https://pbs.twimg.com/ext_tw_video_thumb/1673323481923047424/pu/img/VHFs6dCllWeBmlkB.jpg</v>
      </c>
      <c r="AW397" s="82" t="s">
        <v>17170</v>
      </c>
      <c r="AX397" s="82" t="s">
        <v>17170</v>
      </c>
      <c r="AY397" s="77"/>
      <c r="AZ397" s="82" t="s">
        <v>20971</v>
      </c>
      <c r="BA397" s="82" t="s">
        <v>20971</v>
      </c>
      <c r="BB397" s="82" t="s">
        <v>20971</v>
      </c>
      <c r="BC397" s="82" t="s">
        <v>17170</v>
      </c>
      <c r="BD397" s="82" t="s">
        <v>21130</v>
      </c>
      <c r="BE397" s="77"/>
      <c r="BF397" s="77"/>
      <c r="BG397" s="77"/>
      <c r="BH397" s="77"/>
      <c r="BI397" s="77"/>
    </row>
    <row r="398" spans="1:61" x14ac:dyDescent="0.25">
      <c r="A398" s="62" t="s">
        <v>386</v>
      </c>
      <c r="B398" s="62" t="s">
        <v>386</v>
      </c>
      <c r="C398" s="63"/>
      <c r="D398" s="64"/>
      <c r="E398" s="65"/>
      <c r="F398" s="66"/>
      <c r="G398" s="63"/>
      <c r="H398" s="67"/>
      <c r="I398" s="68"/>
      <c r="J398" s="68"/>
      <c r="K398" s="32"/>
      <c r="L398" s="75">
        <v>398</v>
      </c>
      <c r="M398" s="75"/>
      <c r="N398" s="70"/>
      <c r="O398" s="77" t="s">
        <v>179</v>
      </c>
      <c r="P398" s="79">
        <v>45103.564502314817</v>
      </c>
      <c r="Q398" s="77" t="s">
        <v>1681</v>
      </c>
      <c r="R398" s="77">
        <v>0</v>
      </c>
      <c r="S398" s="77">
        <v>0</v>
      </c>
      <c r="T398" s="77">
        <v>0</v>
      </c>
      <c r="U398" s="77">
        <v>0</v>
      </c>
      <c r="V398" s="77">
        <v>143</v>
      </c>
      <c r="W398" s="82" t="s">
        <v>5504</v>
      </c>
      <c r="X398" s="77"/>
      <c r="Y398" s="77"/>
      <c r="Z398" s="77"/>
      <c r="AA398" s="77" t="s">
        <v>7787</v>
      </c>
      <c r="AB398" s="77" t="s">
        <v>10129</v>
      </c>
      <c r="AC398" s="82" t="s">
        <v>10146</v>
      </c>
      <c r="AD398" s="77" t="s">
        <v>10183</v>
      </c>
      <c r="AE398" s="80" t="str">
        <f>HYPERLINK("https://twitter.com/smashupbrazil/status/1673323448905375751")</f>
        <v>https://twitter.com/smashupbrazil/status/1673323448905375751</v>
      </c>
      <c r="AF398" s="79">
        <v>45103.564502314817</v>
      </c>
      <c r="AG398" s="85">
        <v>45103</v>
      </c>
      <c r="AH398" s="82" t="s">
        <v>10591</v>
      </c>
      <c r="AI398" s="77" t="b">
        <v>0</v>
      </c>
      <c r="AJ398" s="77"/>
      <c r="AK398" s="77"/>
      <c r="AL398" s="77"/>
      <c r="AM398" s="77"/>
      <c r="AN398" s="77"/>
      <c r="AO398" s="77"/>
      <c r="AP398" s="77"/>
      <c r="AQ398" s="77" t="s">
        <v>14431</v>
      </c>
      <c r="AR398" s="77">
        <v>11215</v>
      </c>
      <c r="AS398" s="77"/>
      <c r="AT398" s="77"/>
      <c r="AU398" s="77"/>
      <c r="AV398" s="80" t="str">
        <f>HYPERLINK("https://pbs.twimg.com/ext_tw_video_thumb/1673323365514313737/pu/img/cRINUXIOdTrEkIrU.jpg")</f>
        <v>https://pbs.twimg.com/ext_tw_video_thumb/1673323365514313737/pu/img/cRINUXIOdTrEkIrU.jpg</v>
      </c>
      <c r="AW398" s="82" t="s">
        <v>17171</v>
      </c>
      <c r="AX398" s="82" t="s">
        <v>17171</v>
      </c>
      <c r="AY398" s="77"/>
      <c r="AZ398" s="82" t="s">
        <v>20971</v>
      </c>
      <c r="BA398" s="82" t="s">
        <v>20971</v>
      </c>
      <c r="BB398" s="82" t="s">
        <v>20971</v>
      </c>
      <c r="BC398" s="82" t="s">
        <v>17171</v>
      </c>
      <c r="BD398" s="82" t="s">
        <v>21130</v>
      </c>
      <c r="BE398" s="77"/>
      <c r="BF398" s="77"/>
      <c r="BG398" s="77"/>
      <c r="BH398" s="77"/>
      <c r="BI398" s="77"/>
    </row>
    <row r="399" spans="1:61" x14ac:dyDescent="0.25">
      <c r="A399" s="62" t="s">
        <v>386</v>
      </c>
      <c r="B399" s="62" t="s">
        <v>386</v>
      </c>
      <c r="C399" s="63"/>
      <c r="D399" s="64"/>
      <c r="E399" s="65"/>
      <c r="F399" s="66"/>
      <c r="G399" s="63"/>
      <c r="H399" s="67"/>
      <c r="I399" s="68"/>
      <c r="J399" s="68"/>
      <c r="K399" s="32"/>
      <c r="L399" s="75">
        <v>399</v>
      </c>
      <c r="M399" s="75"/>
      <c r="N399" s="70"/>
      <c r="O399" s="77" t="s">
        <v>179</v>
      </c>
      <c r="P399" s="79">
        <v>45086.892361111109</v>
      </c>
      <c r="Q399" s="77" t="s">
        <v>1682</v>
      </c>
      <c r="R399" s="77">
        <v>0</v>
      </c>
      <c r="S399" s="77">
        <v>0</v>
      </c>
      <c r="T399" s="77">
        <v>0</v>
      </c>
      <c r="U399" s="77">
        <v>0</v>
      </c>
      <c r="V399" s="77">
        <v>104</v>
      </c>
      <c r="W399" s="82" t="s">
        <v>5504</v>
      </c>
      <c r="X399" s="77"/>
      <c r="Y399" s="77"/>
      <c r="Z399" s="77"/>
      <c r="AA399" s="77" t="s">
        <v>7788</v>
      </c>
      <c r="AB399" s="77" t="s">
        <v>10129</v>
      </c>
      <c r="AC399" s="82" t="s">
        <v>10146</v>
      </c>
      <c r="AD399" s="77" t="s">
        <v>10183</v>
      </c>
      <c r="AE399" s="80" t="str">
        <f>HYPERLINK("https://twitter.com/smashupbrazil/status/1667281665247559681")</f>
        <v>https://twitter.com/smashupbrazil/status/1667281665247559681</v>
      </c>
      <c r="AF399" s="79">
        <v>45086.892361111109</v>
      </c>
      <c r="AG399" s="85">
        <v>45086</v>
      </c>
      <c r="AH399" s="82" t="s">
        <v>10592</v>
      </c>
      <c r="AI399" s="77" t="b">
        <v>0</v>
      </c>
      <c r="AJ399" s="77"/>
      <c r="AK399" s="77"/>
      <c r="AL399" s="77"/>
      <c r="AM399" s="77"/>
      <c r="AN399" s="77"/>
      <c r="AO399" s="77"/>
      <c r="AP399" s="77"/>
      <c r="AQ399" s="77" t="s">
        <v>14432</v>
      </c>
      <c r="AR399" s="77">
        <v>49272</v>
      </c>
      <c r="AS399" s="77"/>
      <c r="AT399" s="77"/>
      <c r="AU399" s="77"/>
      <c r="AV399" s="80" t="str">
        <f>HYPERLINK("https://pbs.twimg.com/ext_tw_video_thumb/1667085519442915328/pu/img/yhzRL2QYOFOEI1wz.jpg")</f>
        <v>https://pbs.twimg.com/ext_tw_video_thumb/1667085519442915328/pu/img/yhzRL2QYOFOEI1wz.jpg</v>
      </c>
      <c r="AW399" s="82" t="s">
        <v>17172</v>
      </c>
      <c r="AX399" s="82" t="s">
        <v>17172</v>
      </c>
      <c r="AY399" s="77"/>
      <c r="AZ399" s="82" t="s">
        <v>20971</v>
      </c>
      <c r="BA399" s="82" t="s">
        <v>20971</v>
      </c>
      <c r="BB399" s="82" t="s">
        <v>20971</v>
      </c>
      <c r="BC399" s="82" t="s">
        <v>17172</v>
      </c>
      <c r="BD399" s="82" t="s">
        <v>21130</v>
      </c>
      <c r="BE399" s="77"/>
      <c r="BF399" s="77"/>
      <c r="BG399" s="77"/>
      <c r="BH399" s="77"/>
      <c r="BI399" s="77"/>
    </row>
    <row r="400" spans="1:61" x14ac:dyDescent="0.25">
      <c r="A400" s="62" t="s">
        <v>386</v>
      </c>
      <c r="B400" s="62" t="s">
        <v>386</v>
      </c>
      <c r="C400" s="63"/>
      <c r="D400" s="64"/>
      <c r="E400" s="65"/>
      <c r="F400" s="66"/>
      <c r="G400" s="63"/>
      <c r="H400" s="67"/>
      <c r="I400" s="68"/>
      <c r="J400" s="68"/>
      <c r="K400" s="32"/>
      <c r="L400" s="75">
        <v>400</v>
      </c>
      <c r="M400" s="75"/>
      <c r="N400" s="70"/>
      <c r="O400" s="77" t="s">
        <v>179</v>
      </c>
      <c r="P400" s="79">
        <v>45086.600694444445</v>
      </c>
      <c r="Q400" s="77" t="s">
        <v>1683</v>
      </c>
      <c r="R400" s="77">
        <v>0</v>
      </c>
      <c r="S400" s="77">
        <v>0</v>
      </c>
      <c r="T400" s="77">
        <v>0</v>
      </c>
      <c r="U400" s="77">
        <v>0</v>
      </c>
      <c r="V400" s="77">
        <v>104</v>
      </c>
      <c r="W400" s="82" t="s">
        <v>5504</v>
      </c>
      <c r="X400" s="77"/>
      <c r="Y400" s="77"/>
      <c r="Z400" s="77"/>
      <c r="AA400" s="77" t="s">
        <v>7789</v>
      </c>
      <c r="AB400" s="77" t="s">
        <v>10129</v>
      </c>
      <c r="AC400" s="82" t="s">
        <v>10146</v>
      </c>
      <c r="AD400" s="77" t="s">
        <v>10183</v>
      </c>
      <c r="AE400" s="80" t="str">
        <f>HYPERLINK("https://twitter.com/smashupbrazil/status/1667175968828522496")</f>
        <v>https://twitter.com/smashupbrazil/status/1667175968828522496</v>
      </c>
      <c r="AF400" s="79">
        <v>45086.600694444445</v>
      </c>
      <c r="AG400" s="85">
        <v>45086</v>
      </c>
      <c r="AH400" s="82" t="s">
        <v>10593</v>
      </c>
      <c r="AI400" s="77" t="b">
        <v>0</v>
      </c>
      <c r="AJ400" s="77"/>
      <c r="AK400" s="77"/>
      <c r="AL400" s="77"/>
      <c r="AM400" s="77"/>
      <c r="AN400" s="77"/>
      <c r="AO400" s="77"/>
      <c r="AP400" s="77"/>
      <c r="AQ400" s="77" t="s">
        <v>14433</v>
      </c>
      <c r="AR400" s="77">
        <v>55053</v>
      </c>
      <c r="AS400" s="77"/>
      <c r="AT400" s="77"/>
      <c r="AU400" s="77"/>
      <c r="AV400" s="80" t="str">
        <f>HYPERLINK("https://pbs.twimg.com/ext_tw_video_thumb/1667085294301065216/pu/img/B6ufLUVp13ai7bhs.jpg")</f>
        <v>https://pbs.twimg.com/ext_tw_video_thumb/1667085294301065216/pu/img/B6ufLUVp13ai7bhs.jpg</v>
      </c>
      <c r="AW400" s="82" t="s">
        <v>17173</v>
      </c>
      <c r="AX400" s="82" t="s">
        <v>17173</v>
      </c>
      <c r="AY400" s="77"/>
      <c r="AZ400" s="82" t="s">
        <v>20971</v>
      </c>
      <c r="BA400" s="82" t="s">
        <v>20971</v>
      </c>
      <c r="BB400" s="82" t="s">
        <v>20971</v>
      </c>
      <c r="BC400" s="82" t="s">
        <v>17173</v>
      </c>
      <c r="BD400" s="82" t="s">
        <v>21130</v>
      </c>
      <c r="BE400" s="77"/>
      <c r="BF400" s="77"/>
      <c r="BG400" s="77"/>
      <c r="BH400" s="77"/>
      <c r="BI400" s="77"/>
    </row>
    <row r="401" spans="1:61" x14ac:dyDescent="0.25">
      <c r="A401" s="62" t="s">
        <v>386</v>
      </c>
      <c r="B401" s="62" t="s">
        <v>386</v>
      </c>
      <c r="C401" s="63"/>
      <c r="D401" s="64"/>
      <c r="E401" s="65"/>
      <c r="F401" s="66"/>
      <c r="G401" s="63"/>
      <c r="H401" s="67"/>
      <c r="I401" s="68"/>
      <c r="J401" s="68"/>
      <c r="K401" s="32"/>
      <c r="L401" s="75">
        <v>401</v>
      </c>
      <c r="M401" s="75"/>
      <c r="N401" s="70"/>
      <c r="O401" s="77" t="s">
        <v>179</v>
      </c>
      <c r="P401" s="79">
        <v>45086.350312499999</v>
      </c>
      <c r="Q401" s="77" t="s">
        <v>1684</v>
      </c>
      <c r="R401" s="77">
        <v>0</v>
      </c>
      <c r="S401" s="77">
        <v>1</v>
      </c>
      <c r="T401" s="77">
        <v>3</v>
      </c>
      <c r="U401" s="77">
        <v>0</v>
      </c>
      <c r="V401" s="77">
        <v>197</v>
      </c>
      <c r="W401" s="82" t="s">
        <v>5509</v>
      </c>
      <c r="X401" s="77"/>
      <c r="Y401" s="77"/>
      <c r="Z401" s="77"/>
      <c r="AA401" s="77" t="s">
        <v>7790</v>
      </c>
      <c r="AB401" s="77" t="s">
        <v>10130</v>
      </c>
      <c r="AC401" s="82" t="s">
        <v>10146</v>
      </c>
      <c r="AD401" s="77" t="s">
        <v>10184</v>
      </c>
      <c r="AE401" s="80" t="str">
        <f>HYPERLINK("https://twitter.com/smashupbrazil/status/1667085233156419584")</f>
        <v>https://twitter.com/smashupbrazil/status/1667085233156419584</v>
      </c>
      <c r="AF401" s="79">
        <v>45086.350312499999</v>
      </c>
      <c r="AG401" s="85">
        <v>45086</v>
      </c>
      <c r="AH401" s="82" t="s">
        <v>10594</v>
      </c>
      <c r="AI401" s="77" t="b">
        <v>0</v>
      </c>
      <c r="AJ401" s="77"/>
      <c r="AK401" s="77"/>
      <c r="AL401" s="77"/>
      <c r="AM401" s="77"/>
      <c r="AN401" s="77"/>
      <c r="AO401" s="77"/>
      <c r="AP401" s="77"/>
      <c r="AQ401" s="77" t="s">
        <v>14434</v>
      </c>
      <c r="AR401" s="77"/>
      <c r="AS401" s="77"/>
      <c r="AT401" s="77"/>
      <c r="AU401" s="77"/>
      <c r="AV401" s="80" t="str">
        <f>HYPERLINK("https://pbs.twimg.com/media/FyKtHoSWwAASgs2.jpg")</f>
        <v>https://pbs.twimg.com/media/FyKtHoSWwAASgs2.jpg</v>
      </c>
      <c r="AW401" s="82" t="s">
        <v>17174</v>
      </c>
      <c r="AX401" s="82" t="s">
        <v>17174</v>
      </c>
      <c r="AY401" s="77"/>
      <c r="AZ401" s="82" t="s">
        <v>20971</v>
      </c>
      <c r="BA401" s="82" t="s">
        <v>20971</v>
      </c>
      <c r="BB401" s="82" t="s">
        <v>20971</v>
      </c>
      <c r="BC401" s="82" t="s">
        <v>17174</v>
      </c>
      <c r="BD401" s="82" t="s">
        <v>21130</v>
      </c>
      <c r="BE401" s="77"/>
      <c r="BF401" s="77"/>
      <c r="BG401" s="77"/>
      <c r="BH401" s="77"/>
      <c r="BI401" s="77"/>
    </row>
    <row r="402" spans="1:61" x14ac:dyDescent="0.25">
      <c r="A402" s="62" t="s">
        <v>386</v>
      </c>
      <c r="B402" s="62" t="s">
        <v>386</v>
      </c>
      <c r="C402" s="63"/>
      <c r="D402" s="64"/>
      <c r="E402" s="65"/>
      <c r="F402" s="66"/>
      <c r="G402" s="63"/>
      <c r="H402" s="67"/>
      <c r="I402" s="68"/>
      <c r="J402" s="68"/>
      <c r="K402" s="32"/>
      <c r="L402" s="75">
        <v>402</v>
      </c>
      <c r="M402" s="75"/>
      <c r="N402" s="70"/>
      <c r="O402" s="77" t="s">
        <v>179</v>
      </c>
      <c r="P402" s="79">
        <v>45057.560416666667</v>
      </c>
      <c r="Q402" s="77" t="s">
        <v>1685</v>
      </c>
      <c r="R402" s="77">
        <v>0</v>
      </c>
      <c r="S402" s="77">
        <v>1</v>
      </c>
      <c r="T402" s="77">
        <v>2</v>
      </c>
      <c r="U402" s="77">
        <v>0</v>
      </c>
      <c r="V402" s="77">
        <v>197</v>
      </c>
      <c r="W402" s="82" t="s">
        <v>5504</v>
      </c>
      <c r="X402" s="77"/>
      <c r="Y402" s="77"/>
      <c r="Z402" s="77"/>
      <c r="AA402" s="77" t="s">
        <v>7791</v>
      </c>
      <c r="AB402" s="77" t="s">
        <v>10129</v>
      </c>
      <c r="AC402" s="82" t="s">
        <v>10146</v>
      </c>
      <c r="AD402" s="77" t="s">
        <v>10183</v>
      </c>
      <c r="AE402" s="80" t="str">
        <f>HYPERLINK("https://twitter.com/smashupbrazil/status/1656652127467634692")</f>
        <v>https://twitter.com/smashupbrazil/status/1656652127467634692</v>
      </c>
      <c r="AF402" s="79">
        <v>45057.560416666667</v>
      </c>
      <c r="AG402" s="85">
        <v>45057</v>
      </c>
      <c r="AH402" s="82" t="s">
        <v>10558</v>
      </c>
      <c r="AI402" s="77" t="b">
        <v>0</v>
      </c>
      <c r="AJ402" s="77"/>
      <c r="AK402" s="77"/>
      <c r="AL402" s="77"/>
      <c r="AM402" s="77"/>
      <c r="AN402" s="77"/>
      <c r="AO402" s="77"/>
      <c r="AP402" s="77"/>
      <c r="AQ402" s="77" t="s">
        <v>14435</v>
      </c>
      <c r="AR402" s="77">
        <v>51176</v>
      </c>
      <c r="AS402" s="77"/>
      <c r="AT402" s="77"/>
      <c r="AU402" s="77"/>
      <c r="AV402" s="80" t="str">
        <f>HYPERLINK("https://pbs.twimg.com/ext_tw_video_thumb/1656649550243799042/pu/img/ySXnQVDJAlgYb_eY.jpg")</f>
        <v>https://pbs.twimg.com/ext_tw_video_thumb/1656649550243799042/pu/img/ySXnQVDJAlgYb_eY.jpg</v>
      </c>
      <c r="AW402" s="82" t="s">
        <v>17175</v>
      </c>
      <c r="AX402" s="82" t="s">
        <v>17175</v>
      </c>
      <c r="AY402" s="77"/>
      <c r="AZ402" s="82" t="s">
        <v>20971</v>
      </c>
      <c r="BA402" s="82" t="s">
        <v>20971</v>
      </c>
      <c r="BB402" s="82" t="s">
        <v>20971</v>
      </c>
      <c r="BC402" s="82" t="s">
        <v>17175</v>
      </c>
      <c r="BD402" s="82" t="s">
        <v>21130</v>
      </c>
      <c r="BE402" s="77"/>
      <c r="BF402" s="77"/>
      <c r="BG402" s="77"/>
      <c r="BH402" s="77"/>
      <c r="BI402" s="77"/>
    </row>
    <row r="403" spans="1:61" x14ac:dyDescent="0.25">
      <c r="A403" s="62" t="s">
        <v>386</v>
      </c>
      <c r="B403" s="62" t="s">
        <v>386</v>
      </c>
      <c r="C403" s="63"/>
      <c r="D403" s="64"/>
      <c r="E403" s="65"/>
      <c r="F403" s="66"/>
      <c r="G403" s="63"/>
      <c r="H403" s="67"/>
      <c r="I403" s="68"/>
      <c r="J403" s="68"/>
      <c r="K403" s="32"/>
      <c r="L403" s="75">
        <v>403</v>
      </c>
      <c r="M403" s="75"/>
      <c r="N403" s="70"/>
      <c r="O403" s="77" t="s">
        <v>179</v>
      </c>
      <c r="P403" s="79">
        <v>45057.545972222222</v>
      </c>
      <c r="Q403" s="77" t="s">
        <v>1686</v>
      </c>
      <c r="R403" s="77">
        <v>0</v>
      </c>
      <c r="S403" s="77">
        <v>2</v>
      </c>
      <c r="T403" s="77">
        <v>0</v>
      </c>
      <c r="U403" s="77">
        <v>0</v>
      </c>
      <c r="V403" s="77">
        <v>131</v>
      </c>
      <c r="W403" s="82" t="s">
        <v>5504</v>
      </c>
      <c r="X403" s="77"/>
      <c r="Y403" s="77"/>
      <c r="Z403" s="77"/>
      <c r="AA403" s="77" t="s">
        <v>7792</v>
      </c>
      <c r="AB403" s="77" t="s">
        <v>10130</v>
      </c>
      <c r="AC403" s="82" t="s">
        <v>10146</v>
      </c>
      <c r="AD403" s="77" t="s">
        <v>10183</v>
      </c>
      <c r="AE403" s="80" t="str">
        <f>HYPERLINK("https://twitter.com/smashupbrazil/status/1656646890660716545")</f>
        <v>https://twitter.com/smashupbrazil/status/1656646890660716545</v>
      </c>
      <c r="AF403" s="79">
        <v>45057.545972222222</v>
      </c>
      <c r="AG403" s="85">
        <v>45057</v>
      </c>
      <c r="AH403" s="82" t="s">
        <v>10595</v>
      </c>
      <c r="AI403" s="77" t="b">
        <v>0</v>
      </c>
      <c r="AJ403" s="77"/>
      <c r="AK403" s="77"/>
      <c r="AL403" s="77"/>
      <c r="AM403" s="77"/>
      <c r="AN403" s="77"/>
      <c r="AO403" s="77"/>
      <c r="AP403" s="77"/>
      <c r="AQ403" s="77" t="s">
        <v>14436</v>
      </c>
      <c r="AR403" s="77"/>
      <c r="AS403" s="77"/>
      <c r="AT403" s="77"/>
      <c r="AU403" s="77"/>
      <c r="AV403" s="80" t="str">
        <f>HYPERLINK("https://pbs.twimg.com/media/Fv2XTq4WIAg8ro6.png")</f>
        <v>https://pbs.twimg.com/media/Fv2XTq4WIAg8ro6.png</v>
      </c>
      <c r="AW403" s="82" t="s">
        <v>17176</v>
      </c>
      <c r="AX403" s="82" t="s">
        <v>17176</v>
      </c>
      <c r="AY403" s="77"/>
      <c r="AZ403" s="82" t="s">
        <v>20971</v>
      </c>
      <c r="BA403" s="82" t="s">
        <v>20971</v>
      </c>
      <c r="BB403" s="82" t="s">
        <v>20971</v>
      </c>
      <c r="BC403" s="82" t="s">
        <v>17176</v>
      </c>
      <c r="BD403" s="82" t="s">
        <v>21130</v>
      </c>
      <c r="BE403" s="77"/>
      <c r="BF403" s="77"/>
      <c r="BG403" s="77"/>
      <c r="BH403" s="77"/>
      <c r="BI403" s="77"/>
    </row>
    <row r="404" spans="1:61" x14ac:dyDescent="0.25">
      <c r="A404" s="62" t="s">
        <v>386</v>
      </c>
      <c r="B404" s="62" t="s">
        <v>386</v>
      </c>
      <c r="C404" s="63"/>
      <c r="D404" s="64"/>
      <c r="E404" s="65"/>
      <c r="F404" s="66"/>
      <c r="G404" s="63"/>
      <c r="H404" s="67"/>
      <c r="I404" s="68"/>
      <c r="J404" s="68"/>
      <c r="K404" s="32"/>
      <c r="L404" s="75">
        <v>404</v>
      </c>
      <c r="M404" s="75"/>
      <c r="N404" s="70"/>
      <c r="O404" s="77" t="s">
        <v>179</v>
      </c>
      <c r="P404" s="79">
        <v>45057.545069444444</v>
      </c>
      <c r="Q404" s="77" t="s">
        <v>1687</v>
      </c>
      <c r="R404" s="77">
        <v>0</v>
      </c>
      <c r="S404" s="77">
        <v>1</v>
      </c>
      <c r="T404" s="77">
        <v>0</v>
      </c>
      <c r="U404" s="77">
        <v>0</v>
      </c>
      <c r="V404" s="77">
        <v>144</v>
      </c>
      <c r="W404" s="82" t="s">
        <v>5510</v>
      </c>
      <c r="X404" s="77"/>
      <c r="Y404" s="77"/>
      <c r="Z404" s="77"/>
      <c r="AA404" s="77" t="s">
        <v>7793</v>
      </c>
      <c r="AB404" s="77" t="s">
        <v>10130</v>
      </c>
      <c r="AC404" s="82" t="s">
        <v>10146</v>
      </c>
      <c r="AD404" s="77" t="s">
        <v>10188</v>
      </c>
      <c r="AE404" s="80" t="str">
        <f>HYPERLINK("https://twitter.com/smashupbrazil/status/1656646562620030978")</f>
        <v>https://twitter.com/smashupbrazil/status/1656646562620030978</v>
      </c>
      <c r="AF404" s="79">
        <v>45057.545069444444</v>
      </c>
      <c r="AG404" s="85">
        <v>45057</v>
      </c>
      <c r="AH404" s="82" t="s">
        <v>10596</v>
      </c>
      <c r="AI404" s="77" t="b">
        <v>0</v>
      </c>
      <c r="AJ404" s="77"/>
      <c r="AK404" s="77"/>
      <c r="AL404" s="77"/>
      <c r="AM404" s="77"/>
      <c r="AN404" s="77"/>
      <c r="AO404" s="77"/>
      <c r="AP404" s="77"/>
      <c r="AQ404" s="77" t="s">
        <v>14437</v>
      </c>
      <c r="AR404" s="77"/>
      <c r="AS404" s="77"/>
      <c r="AT404" s="77"/>
      <c r="AU404" s="77"/>
      <c r="AV404" s="80" t="str">
        <f>HYPERLINK("https://pbs.twimg.com/media/Fv2XHZ8WwAYE2yA.png")</f>
        <v>https://pbs.twimg.com/media/Fv2XHZ8WwAYE2yA.png</v>
      </c>
      <c r="AW404" s="82" t="s">
        <v>17177</v>
      </c>
      <c r="AX404" s="82" t="s">
        <v>17177</v>
      </c>
      <c r="AY404" s="77"/>
      <c r="AZ404" s="82" t="s">
        <v>20971</v>
      </c>
      <c r="BA404" s="82" t="s">
        <v>20971</v>
      </c>
      <c r="BB404" s="82" t="s">
        <v>20971</v>
      </c>
      <c r="BC404" s="82" t="s">
        <v>17177</v>
      </c>
      <c r="BD404" s="82" t="s">
        <v>21130</v>
      </c>
      <c r="BE404" s="77"/>
      <c r="BF404" s="77"/>
      <c r="BG404" s="77"/>
      <c r="BH404" s="77"/>
      <c r="BI404" s="77"/>
    </row>
    <row r="405" spans="1:61" x14ac:dyDescent="0.25">
      <c r="A405" s="62" t="s">
        <v>386</v>
      </c>
      <c r="B405" s="62" t="s">
        <v>386</v>
      </c>
      <c r="C405" s="63"/>
      <c r="D405" s="64"/>
      <c r="E405" s="65"/>
      <c r="F405" s="66"/>
      <c r="G405" s="63"/>
      <c r="H405" s="67"/>
      <c r="I405" s="68"/>
      <c r="J405" s="68"/>
      <c r="K405" s="32"/>
      <c r="L405" s="75">
        <v>405</v>
      </c>
      <c r="M405" s="75"/>
      <c r="N405" s="70"/>
      <c r="O405" s="77" t="s">
        <v>179</v>
      </c>
      <c r="P405" s="79">
        <v>45057.544432870367</v>
      </c>
      <c r="Q405" s="77" t="s">
        <v>1688</v>
      </c>
      <c r="R405" s="77">
        <v>0</v>
      </c>
      <c r="S405" s="77">
        <v>0</v>
      </c>
      <c r="T405" s="77">
        <v>0</v>
      </c>
      <c r="U405" s="77">
        <v>0</v>
      </c>
      <c r="V405" s="77">
        <v>147</v>
      </c>
      <c r="W405" s="82" t="s">
        <v>5511</v>
      </c>
      <c r="X405" s="77"/>
      <c r="Y405" s="77"/>
      <c r="Z405" s="77"/>
      <c r="AA405" s="77" t="s">
        <v>7794</v>
      </c>
      <c r="AB405" s="77" t="s">
        <v>10130</v>
      </c>
      <c r="AC405" s="82" t="s">
        <v>10146</v>
      </c>
      <c r="AD405" s="77" t="s">
        <v>10184</v>
      </c>
      <c r="AE405" s="80" t="str">
        <f>HYPERLINK("https://twitter.com/smashupbrazil/status/1656646331673313283")</f>
        <v>https://twitter.com/smashupbrazil/status/1656646331673313283</v>
      </c>
      <c r="AF405" s="79">
        <v>45057.544432870367</v>
      </c>
      <c r="AG405" s="85">
        <v>45057</v>
      </c>
      <c r="AH405" s="82" t="s">
        <v>10597</v>
      </c>
      <c r="AI405" s="77" t="b">
        <v>0</v>
      </c>
      <c r="AJ405" s="77"/>
      <c r="AK405" s="77"/>
      <c r="AL405" s="77"/>
      <c r="AM405" s="77"/>
      <c r="AN405" s="77"/>
      <c r="AO405" s="77"/>
      <c r="AP405" s="77"/>
      <c r="AQ405" s="77" t="s">
        <v>14438</v>
      </c>
      <c r="AR405" s="77"/>
      <c r="AS405" s="77"/>
      <c r="AT405" s="77"/>
      <c r="AU405" s="77"/>
      <c r="AV405" s="80" t="str">
        <f>HYPERLINK("https://pbs.twimg.com/media/Fv2W8ddXsAAwM-i.png")</f>
        <v>https://pbs.twimg.com/media/Fv2W8ddXsAAwM-i.png</v>
      </c>
      <c r="AW405" s="82" t="s">
        <v>17178</v>
      </c>
      <c r="AX405" s="82" t="s">
        <v>17178</v>
      </c>
      <c r="AY405" s="77"/>
      <c r="AZ405" s="82" t="s">
        <v>20971</v>
      </c>
      <c r="BA405" s="82" t="s">
        <v>20971</v>
      </c>
      <c r="BB405" s="82" t="s">
        <v>20971</v>
      </c>
      <c r="BC405" s="82" t="s">
        <v>17178</v>
      </c>
      <c r="BD405" s="82" t="s">
        <v>21130</v>
      </c>
      <c r="BE405" s="77"/>
      <c r="BF405" s="77"/>
      <c r="BG405" s="77"/>
      <c r="BH405" s="77"/>
      <c r="BI405" s="77"/>
    </row>
    <row r="406" spans="1:61" x14ac:dyDescent="0.25">
      <c r="A406" s="62" t="s">
        <v>386</v>
      </c>
      <c r="B406" s="62" t="s">
        <v>386</v>
      </c>
      <c r="C406" s="63"/>
      <c r="D406" s="64"/>
      <c r="E406" s="65"/>
      <c r="F406" s="66"/>
      <c r="G406" s="63"/>
      <c r="H406" s="67"/>
      <c r="I406" s="68"/>
      <c r="J406" s="68"/>
      <c r="K406" s="32"/>
      <c r="L406" s="75">
        <v>406</v>
      </c>
      <c r="M406" s="75"/>
      <c r="N406" s="70"/>
      <c r="O406" s="77" t="s">
        <v>179</v>
      </c>
      <c r="P406" s="79">
        <v>45008.51798611111</v>
      </c>
      <c r="Q406" s="77" t="s">
        <v>1689</v>
      </c>
      <c r="R406" s="77">
        <v>0</v>
      </c>
      <c r="S406" s="77">
        <v>0</v>
      </c>
      <c r="T406" s="77">
        <v>0</v>
      </c>
      <c r="U406" s="77">
        <v>0</v>
      </c>
      <c r="V406" s="77">
        <v>125</v>
      </c>
      <c r="W406" s="82" t="s">
        <v>5504</v>
      </c>
      <c r="X406" s="77"/>
      <c r="Y406" s="77"/>
      <c r="Z406" s="77"/>
      <c r="AA406" s="77" t="s">
        <v>7795</v>
      </c>
      <c r="AB406" s="77" t="s">
        <v>10130</v>
      </c>
      <c r="AC406" s="82" t="s">
        <v>10146</v>
      </c>
      <c r="AD406" s="77" t="s">
        <v>10183</v>
      </c>
      <c r="AE406" s="80" t="str">
        <f>HYPERLINK("https://twitter.com/smashupbrazil/status/1638879742345527296")</f>
        <v>https://twitter.com/smashupbrazil/status/1638879742345527296</v>
      </c>
      <c r="AF406" s="79">
        <v>45008.51798611111</v>
      </c>
      <c r="AG406" s="85">
        <v>45008</v>
      </c>
      <c r="AH406" s="82" t="s">
        <v>10598</v>
      </c>
      <c r="AI406" s="77" t="b">
        <v>0</v>
      </c>
      <c r="AJ406" s="77"/>
      <c r="AK406" s="77"/>
      <c r="AL406" s="77"/>
      <c r="AM406" s="77"/>
      <c r="AN406" s="77"/>
      <c r="AO406" s="77"/>
      <c r="AP406" s="77"/>
      <c r="AQ406" s="77" t="s">
        <v>14439</v>
      </c>
      <c r="AR406" s="77"/>
      <c r="AS406" s="77"/>
      <c r="AT406" s="77"/>
      <c r="AU406" s="77"/>
      <c r="AV406" s="80" t="str">
        <f>HYPERLINK("https://pbs.twimg.com/media/Fr54UyMWAAA5sEh.jpg")</f>
        <v>https://pbs.twimg.com/media/Fr54UyMWAAA5sEh.jpg</v>
      </c>
      <c r="AW406" s="82" t="s">
        <v>17179</v>
      </c>
      <c r="AX406" s="82" t="s">
        <v>17179</v>
      </c>
      <c r="AY406" s="77"/>
      <c r="AZ406" s="82" t="s">
        <v>20971</v>
      </c>
      <c r="BA406" s="82" t="s">
        <v>20971</v>
      </c>
      <c r="BB406" s="82" t="s">
        <v>20971</v>
      </c>
      <c r="BC406" s="82" t="s">
        <v>17179</v>
      </c>
      <c r="BD406" s="82" t="s">
        <v>21130</v>
      </c>
      <c r="BE406" s="77"/>
      <c r="BF406" s="77"/>
      <c r="BG406" s="77"/>
      <c r="BH406" s="77"/>
      <c r="BI406" s="77"/>
    </row>
    <row r="407" spans="1:61" x14ac:dyDescent="0.25">
      <c r="A407" s="62" t="s">
        <v>386</v>
      </c>
      <c r="B407" s="62" t="s">
        <v>386</v>
      </c>
      <c r="C407" s="63"/>
      <c r="D407" s="64"/>
      <c r="E407" s="65"/>
      <c r="F407" s="66"/>
      <c r="G407" s="63"/>
      <c r="H407" s="67"/>
      <c r="I407" s="68"/>
      <c r="J407" s="68"/>
      <c r="K407" s="32"/>
      <c r="L407" s="75">
        <v>407</v>
      </c>
      <c r="M407" s="75"/>
      <c r="N407" s="70"/>
      <c r="O407" s="77" t="s">
        <v>179</v>
      </c>
      <c r="P407" s="79">
        <v>45007.426111111112</v>
      </c>
      <c r="Q407" s="77" t="s">
        <v>1690</v>
      </c>
      <c r="R407" s="77">
        <v>0</v>
      </c>
      <c r="S407" s="77">
        <v>1</v>
      </c>
      <c r="T407" s="77">
        <v>0</v>
      </c>
      <c r="U407" s="77">
        <v>0</v>
      </c>
      <c r="V407" s="77">
        <v>141</v>
      </c>
      <c r="W407" s="82" t="s">
        <v>5504</v>
      </c>
      <c r="X407" s="77"/>
      <c r="Y407" s="77"/>
      <c r="Z407" s="77"/>
      <c r="AA407" s="77" t="s">
        <v>7796</v>
      </c>
      <c r="AB407" s="77" t="s">
        <v>10129</v>
      </c>
      <c r="AC407" s="82" t="s">
        <v>10146</v>
      </c>
      <c r="AD407" s="77" t="s">
        <v>10183</v>
      </c>
      <c r="AE407" s="80" t="str">
        <f>HYPERLINK("https://twitter.com/smashupbrazil/status/1638484060551954432")</f>
        <v>https://twitter.com/smashupbrazil/status/1638484060551954432</v>
      </c>
      <c r="AF407" s="79">
        <v>45007.426111111112</v>
      </c>
      <c r="AG407" s="85">
        <v>45007</v>
      </c>
      <c r="AH407" s="82" t="s">
        <v>10599</v>
      </c>
      <c r="AI407" s="77" t="b">
        <v>0</v>
      </c>
      <c r="AJ407" s="77"/>
      <c r="AK407" s="77"/>
      <c r="AL407" s="77"/>
      <c r="AM407" s="77"/>
      <c r="AN407" s="77"/>
      <c r="AO407" s="77"/>
      <c r="AP407" s="77"/>
      <c r="AQ407" s="77" t="s">
        <v>14440</v>
      </c>
      <c r="AR407" s="77">
        <v>30000</v>
      </c>
      <c r="AS407" s="77"/>
      <c r="AT407" s="77"/>
      <c r="AU407" s="77"/>
      <c r="AV407" s="80" t="str">
        <f>HYPERLINK("https://pbs.twimg.com/ext_tw_video_thumb/1638477682345213953/pu/img/QvcJOZlQLEHonCjv.jpg")</f>
        <v>https://pbs.twimg.com/ext_tw_video_thumb/1638477682345213953/pu/img/QvcJOZlQLEHonCjv.jpg</v>
      </c>
      <c r="AW407" s="82" t="s">
        <v>17180</v>
      </c>
      <c r="AX407" s="82" t="s">
        <v>17180</v>
      </c>
      <c r="AY407" s="77"/>
      <c r="AZ407" s="82" t="s">
        <v>20971</v>
      </c>
      <c r="BA407" s="82" t="s">
        <v>20971</v>
      </c>
      <c r="BB407" s="82" t="s">
        <v>20971</v>
      </c>
      <c r="BC407" s="82" t="s">
        <v>17180</v>
      </c>
      <c r="BD407" s="82" t="s">
        <v>21130</v>
      </c>
      <c r="BE407" s="77"/>
      <c r="BF407" s="77"/>
      <c r="BG407" s="77"/>
      <c r="BH407" s="77"/>
      <c r="BI407" s="77"/>
    </row>
    <row r="408" spans="1:61" x14ac:dyDescent="0.25">
      <c r="A408" s="62" t="s">
        <v>386</v>
      </c>
      <c r="B408" s="62" t="s">
        <v>386</v>
      </c>
      <c r="C408" s="63"/>
      <c r="D408" s="64"/>
      <c r="E408" s="65"/>
      <c r="F408" s="66"/>
      <c r="G408" s="63"/>
      <c r="H408" s="67"/>
      <c r="I408" s="68"/>
      <c r="J408" s="68"/>
      <c r="K408" s="32"/>
      <c r="L408" s="75">
        <v>408</v>
      </c>
      <c r="M408" s="75"/>
      <c r="N408" s="70"/>
      <c r="O408" s="77" t="s">
        <v>179</v>
      </c>
      <c r="P408" s="79">
        <v>45191.23541666667</v>
      </c>
      <c r="Q408" s="77" t="s">
        <v>1691</v>
      </c>
      <c r="R408" s="77">
        <v>0</v>
      </c>
      <c r="S408" s="77">
        <v>1</v>
      </c>
      <c r="T408" s="77">
        <v>1</v>
      </c>
      <c r="U408" s="77">
        <v>0</v>
      </c>
      <c r="V408" s="77">
        <v>37</v>
      </c>
      <c r="W408" s="82" t="s">
        <v>5511</v>
      </c>
      <c r="X408" s="77"/>
      <c r="Y408" s="77"/>
      <c r="Z408" s="77"/>
      <c r="AA408" s="77" t="s">
        <v>7797</v>
      </c>
      <c r="AB408" s="77" t="s">
        <v>10129</v>
      </c>
      <c r="AC408" s="82" t="s">
        <v>10146</v>
      </c>
      <c r="AD408" s="77" t="s">
        <v>10184</v>
      </c>
      <c r="AE408" s="80" t="str">
        <f>HYPERLINK("https://twitter.com/smashupbrazil/status/1705094322188677145")</f>
        <v>https://twitter.com/smashupbrazil/status/1705094322188677145</v>
      </c>
      <c r="AF408" s="79">
        <v>45191.23541666667</v>
      </c>
      <c r="AG408" s="85">
        <v>45191</v>
      </c>
      <c r="AH408" s="82" t="s">
        <v>10600</v>
      </c>
      <c r="AI408" s="77" t="b">
        <v>0</v>
      </c>
      <c r="AJ408" s="77"/>
      <c r="AK408" s="77"/>
      <c r="AL408" s="77"/>
      <c r="AM408" s="77"/>
      <c r="AN408" s="77"/>
      <c r="AO408" s="77"/>
      <c r="AP408" s="77"/>
      <c r="AQ408" s="77" t="s">
        <v>14441</v>
      </c>
      <c r="AR408" s="77">
        <v>17233</v>
      </c>
      <c r="AS408" s="77"/>
      <c r="AT408" s="77"/>
      <c r="AU408" s="77"/>
      <c r="AV408" s="80" t="str">
        <f>HYPERLINK("https://pbs.twimg.com/ext_tw_video_thumb/1704867658825617408/pu/img/mXn1k8McJT6Y1krq.jpg")</f>
        <v>https://pbs.twimg.com/ext_tw_video_thumb/1704867658825617408/pu/img/mXn1k8McJT6Y1krq.jpg</v>
      </c>
      <c r="AW408" s="82" t="s">
        <v>17181</v>
      </c>
      <c r="AX408" s="82" t="s">
        <v>17181</v>
      </c>
      <c r="AY408" s="77"/>
      <c r="AZ408" s="82" t="s">
        <v>20971</v>
      </c>
      <c r="BA408" s="82" t="s">
        <v>20971</v>
      </c>
      <c r="BB408" s="82" t="s">
        <v>20971</v>
      </c>
      <c r="BC408" s="82" t="s">
        <v>17181</v>
      </c>
      <c r="BD408" s="82" t="s">
        <v>21130</v>
      </c>
      <c r="BE408" s="77"/>
      <c r="BF408" s="77"/>
      <c r="BG408" s="77"/>
      <c r="BH408" s="77"/>
      <c r="BI408" s="77"/>
    </row>
    <row r="409" spans="1:61" x14ac:dyDescent="0.25">
      <c r="A409" s="62" t="s">
        <v>386</v>
      </c>
      <c r="B409" s="62" t="s">
        <v>386</v>
      </c>
      <c r="C409" s="63"/>
      <c r="D409" s="64"/>
      <c r="E409" s="65"/>
      <c r="F409" s="66"/>
      <c r="G409" s="63"/>
      <c r="H409" s="67"/>
      <c r="I409" s="68"/>
      <c r="J409" s="68"/>
      <c r="K409" s="32"/>
      <c r="L409" s="75">
        <v>409</v>
      </c>
      <c r="M409" s="75"/>
      <c r="N409" s="70"/>
      <c r="O409" s="77" t="s">
        <v>179</v>
      </c>
      <c r="P409" s="79">
        <v>45192.945833333331</v>
      </c>
      <c r="Q409" s="77" t="s">
        <v>1692</v>
      </c>
      <c r="R409" s="77">
        <v>0</v>
      </c>
      <c r="S409" s="77">
        <v>0</v>
      </c>
      <c r="T409" s="77">
        <v>0</v>
      </c>
      <c r="U409" s="77">
        <v>0</v>
      </c>
      <c r="V409" s="77">
        <v>54</v>
      </c>
      <c r="W409" s="82" t="s">
        <v>5511</v>
      </c>
      <c r="X409" s="77"/>
      <c r="Y409" s="77"/>
      <c r="Z409" s="77"/>
      <c r="AA409" s="77" t="s">
        <v>7798</v>
      </c>
      <c r="AB409" s="77" t="s">
        <v>10129</v>
      </c>
      <c r="AC409" s="82" t="s">
        <v>10146</v>
      </c>
      <c r="AD409" s="77" t="s">
        <v>10184</v>
      </c>
      <c r="AE409" s="80" t="str">
        <f>HYPERLINK("https://twitter.com/smashupbrazil/status/1705714156442415150")</f>
        <v>https://twitter.com/smashupbrazil/status/1705714156442415150</v>
      </c>
      <c r="AF409" s="79">
        <v>45192.945833333331</v>
      </c>
      <c r="AG409" s="85">
        <v>45192</v>
      </c>
      <c r="AH409" s="82" t="s">
        <v>10601</v>
      </c>
      <c r="AI409" s="77" t="b">
        <v>0</v>
      </c>
      <c r="AJ409" s="77"/>
      <c r="AK409" s="77"/>
      <c r="AL409" s="77"/>
      <c r="AM409" s="77"/>
      <c r="AN409" s="77"/>
      <c r="AO409" s="77"/>
      <c r="AP409" s="77"/>
      <c r="AQ409" s="77" t="s">
        <v>14442</v>
      </c>
      <c r="AR409" s="77">
        <v>41933</v>
      </c>
      <c r="AS409" s="77"/>
      <c r="AT409" s="77"/>
      <c r="AU409" s="77"/>
      <c r="AV409" s="80" t="str">
        <f>HYPERLINK("https://pbs.twimg.com/ext_tw_video_thumb/1705608550012334080/pu/img/QHsQaEZ8SxL3bjCl.jpg")</f>
        <v>https://pbs.twimg.com/ext_tw_video_thumb/1705608550012334080/pu/img/QHsQaEZ8SxL3bjCl.jpg</v>
      </c>
      <c r="AW409" s="82" t="s">
        <v>17182</v>
      </c>
      <c r="AX409" s="82" t="s">
        <v>17182</v>
      </c>
      <c r="AY409" s="77"/>
      <c r="AZ409" s="82" t="s">
        <v>20971</v>
      </c>
      <c r="BA409" s="82" t="s">
        <v>20971</v>
      </c>
      <c r="BB409" s="82" t="s">
        <v>20971</v>
      </c>
      <c r="BC409" s="82" t="s">
        <v>17182</v>
      </c>
      <c r="BD409" s="82" t="s">
        <v>21130</v>
      </c>
      <c r="BE409" s="77"/>
      <c r="BF409" s="77"/>
      <c r="BG409" s="77"/>
      <c r="BH409" s="77"/>
      <c r="BI409" s="77"/>
    </row>
    <row r="410" spans="1:61" x14ac:dyDescent="0.25">
      <c r="A410" s="62" t="s">
        <v>386</v>
      </c>
      <c r="B410" s="62" t="s">
        <v>386</v>
      </c>
      <c r="C410" s="63"/>
      <c r="D410" s="64"/>
      <c r="E410" s="65"/>
      <c r="F410" s="66"/>
      <c r="G410" s="63"/>
      <c r="H410" s="67"/>
      <c r="I410" s="68"/>
      <c r="J410" s="68"/>
      <c r="K410" s="32"/>
      <c r="L410" s="75">
        <v>410</v>
      </c>
      <c r="M410" s="75"/>
      <c r="N410" s="70"/>
      <c r="O410" s="77" t="s">
        <v>179</v>
      </c>
      <c r="P410" s="79">
        <v>45192.495138888888</v>
      </c>
      <c r="Q410" s="77" t="s">
        <v>1693</v>
      </c>
      <c r="R410" s="77">
        <v>0</v>
      </c>
      <c r="S410" s="77">
        <v>0</v>
      </c>
      <c r="T410" s="77">
        <v>0</v>
      </c>
      <c r="U410" s="77">
        <v>0</v>
      </c>
      <c r="V410" s="77">
        <v>119</v>
      </c>
      <c r="W410" s="82" t="s">
        <v>5504</v>
      </c>
      <c r="X410" s="77"/>
      <c r="Y410" s="77"/>
      <c r="Z410" s="77"/>
      <c r="AA410" s="77" t="s">
        <v>7799</v>
      </c>
      <c r="AB410" s="77" t="s">
        <v>10129</v>
      </c>
      <c r="AC410" s="82" t="s">
        <v>10146</v>
      </c>
      <c r="AD410" s="77" t="s">
        <v>10183</v>
      </c>
      <c r="AE410" s="80" t="str">
        <f>HYPERLINK("https://twitter.com/smashupbrazil/status/1705550830345318467")</f>
        <v>https://twitter.com/smashupbrazil/status/1705550830345318467</v>
      </c>
      <c r="AF410" s="79">
        <v>45192.495138888888</v>
      </c>
      <c r="AG410" s="85">
        <v>45192</v>
      </c>
      <c r="AH410" s="82" t="s">
        <v>10602</v>
      </c>
      <c r="AI410" s="77" t="b">
        <v>0</v>
      </c>
      <c r="AJ410" s="77"/>
      <c r="AK410" s="77"/>
      <c r="AL410" s="77"/>
      <c r="AM410" s="77"/>
      <c r="AN410" s="77"/>
      <c r="AO410" s="77"/>
      <c r="AP410" s="77"/>
      <c r="AQ410" s="77" t="s">
        <v>14443</v>
      </c>
      <c r="AR410" s="77">
        <v>12003</v>
      </c>
      <c r="AS410" s="77"/>
      <c r="AT410" s="77"/>
      <c r="AU410" s="77"/>
      <c r="AV410" s="80" t="str">
        <f>HYPERLINK("https://pbs.twimg.com/ext_tw_video_thumb/1704871470470664192/pu/img/5ewCCGIizMXBkQKm.jpg")</f>
        <v>https://pbs.twimg.com/ext_tw_video_thumb/1704871470470664192/pu/img/5ewCCGIizMXBkQKm.jpg</v>
      </c>
      <c r="AW410" s="82" t="s">
        <v>17183</v>
      </c>
      <c r="AX410" s="82" t="s">
        <v>17183</v>
      </c>
      <c r="AY410" s="77"/>
      <c r="AZ410" s="82" t="s">
        <v>20971</v>
      </c>
      <c r="BA410" s="82" t="s">
        <v>20971</v>
      </c>
      <c r="BB410" s="82" t="s">
        <v>20971</v>
      </c>
      <c r="BC410" s="82" t="s">
        <v>17183</v>
      </c>
      <c r="BD410" s="82" t="s">
        <v>21130</v>
      </c>
      <c r="BE410" s="77"/>
      <c r="BF410" s="77"/>
      <c r="BG410" s="77"/>
      <c r="BH410" s="77"/>
      <c r="BI410" s="77"/>
    </row>
    <row r="411" spans="1:61" x14ac:dyDescent="0.25">
      <c r="A411" s="62" t="s">
        <v>386</v>
      </c>
      <c r="B411" s="62" t="s">
        <v>386</v>
      </c>
      <c r="C411" s="63"/>
      <c r="D411" s="64"/>
      <c r="E411" s="65"/>
      <c r="F411" s="66"/>
      <c r="G411" s="63"/>
      <c r="H411" s="67"/>
      <c r="I411" s="68"/>
      <c r="J411" s="68"/>
      <c r="K411" s="32"/>
      <c r="L411" s="75">
        <v>411</v>
      </c>
      <c r="M411" s="75"/>
      <c r="N411" s="70"/>
      <c r="O411" s="77" t="s">
        <v>179</v>
      </c>
      <c r="P411" s="79">
        <v>45075.303078703706</v>
      </c>
      <c r="Q411" s="77" t="s">
        <v>1694</v>
      </c>
      <c r="R411" s="77">
        <v>0</v>
      </c>
      <c r="S411" s="77">
        <v>0</v>
      </c>
      <c r="T411" s="77">
        <v>1</v>
      </c>
      <c r="U411" s="77">
        <v>0</v>
      </c>
      <c r="V411" s="77">
        <v>163</v>
      </c>
      <c r="W411" s="82" t="s">
        <v>5504</v>
      </c>
      <c r="X411" s="77"/>
      <c r="Y411" s="77"/>
      <c r="Z411" s="77"/>
      <c r="AA411" s="77" t="s">
        <v>7800</v>
      </c>
      <c r="AB411" s="77" t="s">
        <v>10129</v>
      </c>
      <c r="AC411" s="82" t="s">
        <v>10146</v>
      </c>
      <c r="AD411" s="77" t="s">
        <v>10183</v>
      </c>
      <c r="AE411" s="80" t="str">
        <f>HYPERLINK("https://twitter.com/smashupbrazil/status/1663081850267418627")</f>
        <v>https://twitter.com/smashupbrazil/status/1663081850267418627</v>
      </c>
      <c r="AF411" s="79">
        <v>45075.303078703706</v>
      </c>
      <c r="AG411" s="85">
        <v>45075</v>
      </c>
      <c r="AH411" s="82" t="s">
        <v>10603</v>
      </c>
      <c r="AI411" s="77" t="b">
        <v>0</v>
      </c>
      <c r="AJ411" s="77"/>
      <c r="AK411" s="77"/>
      <c r="AL411" s="77"/>
      <c r="AM411" s="77"/>
      <c r="AN411" s="77"/>
      <c r="AO411" s="77"/>
      <c r="AP411" s="77"/>
      <c r="AQ411" s="77" t="s">
        <v>14444</v>
      </c>
      <c r="AR411" s="77">
        <v>36316</v>
      </c>
      <c r="AS411" s="77"/>
      <c r="AT411" s="77"/>
      <c r="AU411" s="77"/>
      <c r="AV411" s="80" t="str">
        <f>HYPERLINK("https://pbs.twimg.com/ext_tw_video_thumb/1663081756499558400/pu/img/QcQ2TxwCMPzeQ-OF.jpg")</f>
        <v>https://pbs.twimg.com/ext_tw_video_thumb/1663081756499558400/pu/img/QcQ2TxwCMPzeQ-OF.jpg</v>
      </c>
      <c r="AW411" s="82" t="s">
        <v>17184</v>
      </c>
      <c r="AX411" s="82" t="s">
        <v>17184</v>
      </c>
      <c r="AY411" s="77"/>
      <c r="AZ411" s="82" t="s">
        <v>20971</v>
      </c>
      <c r="BA411" s="82" t="s">
        <v>20971</v>
      </c>
      <c r="BB411" s="82" t="s">
        <v>20971</v>
      </c>
      <c r="BC411" s="82" t="s">
        <v>17184</v>
      </c>
      <c r="BD411" s="82" t="s">
        <v>21130</v>
      </c>
      <c r="BE411" s="77"/>
      <c r="BF411" s="77"/>
      <c r="BG411" s="77"/>
      <c r="BH411" s="77"/>
      <c r="BI411" s="77"/>
    </row>
    <row r="412" spans="1:61" x14ac:dyDescent="0.25">
      <c r="A412" s="62" t="s">
        <v>386</v>
      </c>
      <c r="B412" s="62" t="s">
        <v>386</v>
      </c>
      <c r="C412" s="63"/>
      <c r="D412" s="64"/>
      <c r="E412" s="65"/>
      <c r="F412" s="66"/>
      <c r="G412" s="63"/>
      <c r="H412" s="67"/>
      <c r="I412" s="68"/>
      <c r="J412" s="68"/>
      <c r="K412" s="32"/>
      <c r="L412" s="75">
        <v>412</v>
      </c>
      <c r="M412" s="75"/>
      <c r="N412" s="70"/>
      <c r="O412" s="77" t="s">
        <v>179</v>
      </c>
      <c r="P412" s="79">
        <v>45075.301979166667</v>
      </c>
      <c r="Q412" s="77" t="s">
        <v>1695</v>
      </c>
      <c r="R412" s="77">
        <v>0</v>
      </c>
      <c r="S412" s="77">
        <v>0</v>
      </c>
      <c r="T412" s="77">
        <v>1</v>
      </c>
      <c r="U412" s="77">
        <v>0</v>
      </c>
      <c r="V412" s="77">
        <v>147</v>
      </c>
      <c r="W412" s="82" t="s">
        <v>5504</v>
      </c>
      <c r="X412" s="77"/>
      <c r="Y412" s="77"/>
      <c r="Z412" s="77"/>
      <c r="AA412" s="77" t="s">
        <v>7801</v>
      </c>
      <c r="AB412" s="77" t="s">
        <v>10129</v>
      </c>
      <c r="AC412" s="82" t="s">
        <v>10146</v>
      </c>
      <c r="AD412" s="77" t="s">
        <v>10183</v>
      </c>
      <c r="AE412" s="80" t="str">
        <f>HYPERLINK("https://twitter.com/smashupbrazil/status/1663081454601904133")</f>
        <v>https://twitter.com/smashupbrazil/status/1663081454601904133</v>
      </c>
      <c r="AF412" s="79">
        <v>45075.301979166667</v>
      </c>
      <c r="AG412" s="85">
        <v>45075</v>
      </c>
      <c r="AH412" s="82" t="s">
        <v>10604</v>
      </c>
      <c r="AI412" s="77" t="b">
        <v>0</v>
      </c>
      <c r="AJ412" s="77"/>
      <c r="AK412" s="77"/>
      <c r="AL412" s="77"/>
      <c r="AM412" s="77"/>
      <c r="AN412" s="77"/>
      <c r="AO412" s="77"/>
      <c r="AP412" s="77"/>
      <c r="AQ412" s="77" t="s">
        <v>14445</v>
      </c>
      <c r="AR412" s="77">
        <v>24775</v>
      </c>
      <c r="AS412" s="77"/>
      <c r="AT412" s="77"/>
      <c r="AU412" s="77"/>
      <c r="AV412" s="80" t="str">
        <f>HYPERLINK("https://pbs.twimg.com/ext_tw_video_thumb/1663081407516688384/pu/img/VOn_4ON_-El4svpj.jpg")</f>
        <v>https://pbs.twimg.com/ext_tw_video_thumb/1663081407516688384/pu/img/VOn_4ON_-El4svpj.jpg</v>
      </c>
      <c r="AW412" s="82" t="s">
        <v>17185</v>
      </c>
      <c r="AX412" s="82" t="s">
        <v>17185</v>
      </c>
      <c r="AY412" s="77"/>
      <c r="AZ412" s="82" t="s">
        <v>20971</v>
      </c>
      <c r="BA412" s="82" t="s">
        <v>20971</v>
      </c>
      <c r="BB412" s="82" t="s">
        <v>20971</v>
      </c>
      <c r="BC412" s="82" t="s">
        <v>17185</v>
      </c>
      <c r="BD412" s="82" t="s">
        <v>21130</v>
      </c>
      <c r="BE412" s="77"/>
      <c r="BF412" s="77"/>
      <c r="BG412" s="77"/>
      <c r="BH412" s="77"/>
      <c r="BI412" s="77"/>
    </row>
    <row r="413" spans="1:61" x14ac:dyDescent="0.25">
      <c r="A413" s="62" t="s">
        <v>386</v>
      </c>
      <c r="B413" s="62" t="s">
        <v>386</v>
      </c>
      <c r="C413" s="63"/>
      <c r="D413" s="64"/>
      <c r="E413" s="65"/>
      <c r="F413" s="66"/>
      <c r="G413" s="63"/>
      <c r="H413" s="67"/>
      <c r="I413" s="68"/>
      <c r="J413" s="68"/>
      <c r="K413" s="32"/>
      <c r="L413" s="75">
        <v>413</v>
      </c>
      <c r="M413" s="75"/>
      <c r="N413" s="70"/>
      <c r="O413" s="77" t="s">
        <v>179</v>
      </c>
      <c r="P413" s="79">
        <v>45075.301701388889</v>
      </c>
      <c r="Q413" s="77" t="s">
        <v>1696</v>
      </c>
      <c r="R413" s="77">
        <v>0</v>
      </c>
      <c r="S413" s="77">
        <v>0</v>
      </c>
      <c r="T413" s="77">
        <v>3</v>
      </c>
      <c r="U413" s="77">
        <v>0</v>
      </c>
      <c r="V413" s="77">
        <v>156</v>
      </c>
      <c r="W413" s="82" t="s">
        <v>5504</v>
      </c>
      <c r="X413" s="77"/>
      <c r="Y413" s="77"/>
      <c r="Z413" s="77"/>
      <c r="AA413" s="77" t="s">
        <v>7802</v>
      </c>
      <c r="AB413" s="77" t="s">
        <v>10129</v>
      </c>
      <c r="AC413" s="82" t="s">
        <v>10146</v>
      </c>
      <c r="AD413" s="77" t="s">
        <v>10183</v>
      </c>
      <c r="AE413" s="80" t="str">
        <f>HYPERLINK("https://twitter.com/smashupbrazil/status/1663081353405947911")</f>
        <v>https://twitter.com/smashupbrazil/status/1663081353405947911</v>
      </c>
      <c r="AF413" s="79">
        <v>45075.301701388889</v>
      </c>
      <c r="AG413" s="85">
        <v>45075</v>
      </c>
      <c r="AH413" s="82" t="s">
        <v>10605</v>
      </c>
      <c r="AI413" s="77" t="b">
        <v>0</v>
      </c>
      <c r="AJ413" s="77"/>
      <c r="AK413" s="77"/>
      <c r="AL413" s="77"/>
      <c r="AM413" s="77"/>
      <c r="AN413" s="77"/>
      <c r="AO413" s="77"/>
      <c r="AP413" s="77"/>
      <c r="AQ413" s="77" t="s">
        <v>14446</v>
      </c>
      <c r="AR413" s="77">
        <v>57539</v>
      </c>
      <c r="AS413" s="77"/>
      <c r="AT413" s="77"/>
      <c r="AU413" s="77"/>
      <c r="AV413" s="80" t="str">
        <f>HYPERLINK("https://pbs.twimg.com/ext_tw_video_thumb/1663081104826421249/pu/img/zJhJQjTz1e00NF00.jpg")</f>
        <v>https://pbs.twimg.com/ext_tw_video_thumb/1663081104826421249/pu/img/zJhJQjTz1e00NF00.jpg</v>
      </c>
      <c r="AW413" s="82" t="s">
        <v>17186</v>
      </c>
      <c r="AX413" s="82" t="s">
        <v>17186</v>
      </c>
      <c r="AY413" s="77"/>
      <c r="AZ413" s="82" t="s">
        <v>20971</v>
      </c>
      <c r="BA413" s="82" t="s">
        <v>20971</v>
      </c>
      <c r="BB413" s="82" t="s">
        <v>20971</v>
      </c>
      <c r="BC413" s="82" t="s">
        <v>17186</v>
      </c>
      <c r="BD413" s="82" t="s">
        <v>21130</v>
      </c>
      <c r="BE413" s="77"/>
      <c r="BF413" s="77"/>
      <c r="BG413" s="77"/>
      <c r="BH413" s="77"/>
      <c r="BI413" s="77"/>
    </row>
    <row r="414" spans="1:61" x14ac:dyDescent="0.25">
      <c r="A414" s="62" t="s">
        <v>386</v>
      </c>
      <c r="B414" s="62" t="s">
        <v>386</v>
      </c>
      <c r="C414" s="63"/>
      <c r="D414" s="64"/>
      <c r="E414" s="65"/>
      <c r="F414" s="66"/>
      <c r="G414" s="63"/>
      <c r="H414" s="67"/>
      <c r="I414" s="68"/>
      <c r="J414" s="68"/>
      <c r="K414" s="32"/>
      <c r="L414" s="75">
        <v>414</v>
      </c>
      <c r="M414" s="75"/>
      <c r="N414" s="70"/>
      <c r="O414" s="77" t="s">
        <v>179</v>
      </c>
      <c r="P414" s="79">
        <v>45074.146689814814</v>
      </c>
      <c r="Q414" s="77" t="s">
        <v>1697</v>
      </c>
      <c r="R414" s="77">
        <v>0</v>
      </c>
      <c r="S414" s="77">
        <v>0</v>
      </c>
      <c r="T414" s="77">
        <v>0</v>
      </c>
      <c r="U414" s="77">
        <v>0</v>
      </c>
      <c r="V414" s="77">
        <v>144</v>
      </c>
      <c r="W414" s="82" t="s">
        <v>5502</v>
      </c>
      <c r="X414" s="77"/>
      <c r="Y414" s="77"/>
      <c r="Z414" s="77"/>
      <c r="AA414" s="77" t="s">
        <v>7803</v>
      </c>
      <c r="AB414" s="77" t="s">
        <v>10129</v>
      </c>
      <c r="AC414" s="82" t="s">
        <v>10146</v>
      </c>
      <c r="AD414" s="77" t="s">
        <v>10184</v>
      </c>
      <c r="AE414" s="80" t="str">
        <f>HYPERLINK("https://twitter.com/smashupbrazil/status/1662662787829563393")</f>
        <v>https://twitter.com/smashupbrazil/status/1662662787829563393</v>
      </c>
      <c r="AF414" s="79">
        <v>45074.146689814814</v>
      </c>
      <c r="AG414" s="85">
        <v>45074</v>
      </c>
      <c r="AH414" s="82" t="s">
        <v>10606</v>
      </c>
      <c r="AI414" s="77" t="b">
        <v>0</v>
      </c>
      <c r="AJ414" s="77"/>
      <c r="AK414" s="77"/>
      <c r="AL414" s="77"/>
      <c r="AM414" s="77"/>
      <c r="AN414" s="77"/>
      <c r="AO414" s="77"/>
      <c r="AP414" s="77"/>
      <c r="AQ414" s="77" t="s">
        <v>14447</v>
      </c>
      <c r="AR414" s="77">
        <v>8777</v>
      </c>
      <c r="AS414" s="77"/>
      <c r="AT414" s="77"/>
      <c r="AU414" s="77"/>
      <c r="AV414" s="80" t="str">
        <f>HYPERLINK("https://pbs.twimg.com/ext_tw_video_thumb/1662662507373240320/pu/img/QkJptylKsIV9R-Sh.jpg")</f>
        <v>https://pbs.twimg.com/ext_tw_video_thumb/1662662507373240320/pu/img/QkJptylKsIV9R-Sh.jpg</v>
      </c>
      <c r="AW414" s="82" t="s">
        <v>17187</v>
      </c>
      <c r="AX414" s="82" t="s">
        <v>17187</v>
      </c>
      <c r="AY414" s="77"/>
      <c r="AZ414" s="82" t="s">
        <v>20971</v>
      </c>
      <c r="BA414" s="82" t="s">
        <v>20971</v>
      </c>
      <c r="BB414" s="82" t="s">
        <v>20971</v>
      </c>
      <c r="BC414" s="82" t="s">
        <v>17187</v>
      </c>
      <c r="BD414" s="82" t="s">
        <v>21130</v>
      </c>
      <c r="BE414" s="77"/>
      <c r="BF414" s="77"/>
      <c r="BG414" s="77"/>
      <c r="BH414" s="77"/>
      <c r="BI414" s="77"/>
    </row>
    <row r="415" spans="1:61" x14ac:dyDescent="0.25">
      <c r="A415" s="62" t="s">
        <v>386</v>
      </c>
      <c r="B415" s="62" t="s">
        <v>386</v>
      </c>
      <c r="C415" s="63"/>
      <c r="D415" s="64"/>
      <c r="E415" s="65"/>
      <c r="F415" s="66"/>
      <c r="G415" s="63"/>
      <c r="H415" s="67"/>
      <c r="I415" s="68"/>
      <c r="J415" s="68"/>
      <c r="K415" s="32"/>
      <c r="L415" s="75">
        <v>415</v>
      </c>
      <c r="M415" s="75"/>
      <c r="N415" s="70"/>
      <c r="O415" s="77" t="s">
        <v>179</v>
      </c>
      <c r="P415" s="79">
        <v>45196.071527777778</v>
      </c>
      <c r="Q415" s="77" t="s">
        <v>1698</v>
      </c>
      <c r="R415" s="77">
        <v>0</v>
      </c>
      <c r="S415" s="77">
        <v>0</v>
      </c>
      <c r="T415" s="77">
        <v>1</v>
      </c>
      <c r="U415" s="77">
        <v>0</v>
      </c>
      <c r="V415" s="77">
        <v>85</v>
      </c>
      <c r="W415" s="82" t="s">
        <v>5512</v>
      </c>
      <c r="X415" s="77"/>
      <c r="Y415" s="77"/>
      <c r="Z415" s="77"/>
      <c r="AA415" s="77" t="s">
        <v>7804</v>
      </c>
      <c r="AB415" s="77" t="s">
        <v>10129</v>
      </c>
      <c r="AC415" s="82" t="s">
        <v>10146</v>
      </c>
      <c r="AD415" s="77" t="s">
        <v>10183</v>
      </c>
      <c r="AE415" s="80" t="str">
        <f>HYPERLINK("https://twitter.com/smashupbrazil/status/1706846870218146078")</f>
        <v>https://twitter.com/smashupbrazil/status/1706846870218146078</v>
      </c>
      <c r="AF415" s="79">
        <v>45196.071527777778</v>
      </c>
      <c r="AG415" s="85">
        <v>45196</v>
      </c>
      <c r="AH415" s="82" t="s">
        <v>10607</v>
      </c>
      <c r="AI415" s="77" t="b">
        <v>0</v>
      </c>
      <c r="AJ415" s="77"/>
      <c r="AK415" s="77"/>
      <c r="AL415" s="77"/>
      <c r="AM415" s="77"/>
      <c r="AN415" s="77"/>
      <c r="AO415" s="77"/>
      <c r="AP415" s="77"/>
      <c r="AQ415" s="77" t="s">
        <v>14448</v>
      </c>
      <c r="AR415" s="77">
        <v>40766</v>
      </c>
      <c r="AS415" s="77"/>
      <c r="AT415" s="77"/>
      <c r="AU415" s="77"/>
      <c r="AV415" s="80" t="str">
        <f>HYPERLINK("https://pbs.twimg.com/ext_tw_video_thumb/1706756163847831553/pu/img/qXK1tcujIEQ3YF4N.jpg")</f>
        <v>https://pbs.twimg.com/ext_tw_video_thumb/1706756163847831553/pu/img/qXK1tcujIEQ3YF4N.jpg</v>
      </c>
      <c r="AW415" s="82" t="s">
        <v>17188</v>
      </c>
      <c r="AX415" s="82" t="s">
        <v>17188</v>
      </c>
      <c r="AY415" s="77"/>
      <c r="AZ415" s="82" t="s">
        <v>20971</v>
      </c>
      <c r="BA415" s="82" t="s">
        <v>20971</v>
      </c>
      <c r="BB415" s="82" t="s">
        <v>20971</v>
      </c>
      <c r="BC415" s="82" t="s">
        <v>17188</v>
      </c>
      <c r="BD415" s="82" t="s">
        <v>21130</v>
      </c>
      <c r="BE415" s="77"/>
      <c r="BF415" s="77"/>
      <c r="BG415" s="77"/>
      <c r="BH415" s="77"/>
      <c r="BI415" s="77"/>
    </row>
    <row r="416" spans="1:61" x14ac:dyDescent="0.25">
      <c r="A416" s="62" t="s">
        <v>386</v>
      </c>
      <c r="B416" s="62" t="s">
        <v>386</v>
      </c>
      <c r="C416" s="63"/>
      <c r="D416" s="64"/>
      <c r="E416" s="65"/>
      <c r="F416" s="66"/>
      <c r="G416" s="63"/>
      <c r="H416" s="67"/>
      <c r="I416" s="68"/>
      <c r="J416" s="68"/>
      <c r="K416" s="32"/>
      <c r="L416" s="75">
        <v>416</v>
      </c>
      <c r="M416" s="75"/>
      <c r="N416" s="70"/>
      <c r="O416" s="77" t="s">
        <v>179</v>
      </c>
      <c r="P416" s="79">
        <v>45195.821134259262</v>
      </c>
      <c r="Q416" s="77" t="s">
        <v>1699</v>
      </c>
      <c r="R416" s="77">
        <v>0</v>
      </c>
      <c r="S416" s="77">
        <v>0</v>
      </c>
      <c r="T416" s="77">
        <v>1</v>
      </c>
      <c r="U416" s="77">
        <v>0</v>
      </c>
      <c r="V416" s="77">
        <v>58</v>
      </c>
      <c r="W416" s="82" t="s">
        <v>5504</v>
      </c>
      <c r="X416" s="77"/>
      <c r="Y416" s="77"/>
      <c r="Z416" s="77"/>
      <c r="AA416" s="77" t="s">
        <v>7805</v>
      </c>
      <c r="AB416" s="77" t="s">
        <v>10129</v>
      </c>
      <c r="AC416" s="82" t="s">
        <v>10146</v>
      </c>
      <c r="AD416" s="77" t="s">
        <v>10183</v>
      </c>
      <c r="AE416" s="80" t="str">
        <f>HYPERLINK("https://twitter.com/smashupbrazil/status/1706756132449272032")</f>
        <v>https://twitter.com/smashupbrazil/status/1706756132449272032</v>
      </c>
      <c r="AF416" s="79">
        <v>45195.821134259262</v>
      </c>
      <c r="AG416" s="85">
        <v>45195</v>
      </c>
      <c r="AH416" s="82" t="s">
        <v>10608</v>
      </c>
      <c r="AI416" s="77" t="b">
        <v>0</v>
      </c>
      <c r="AJ416" s="77"/>
      <c r="AK416" s="77"/>
      <c r="AL416" s="77"/>
      <c r="AM416" s="77"/>
      <c r="AN416" s="77"/>
      <c r="AO416" s="77"/>
      <c r="AP416" s="77"/>
      <c r="AQ416" s="77" t="s">
        <v>14449</v>
      </c>
      <c r="AR416" s="77">
        <v>12003</v>
      </c>
      <c r="AS416" s="77"/>
      <c r="AT416" s="77"/>
      <c r="AU416" s="77"/>
      <c r="AV416" s="80" t="str">
        <f>HYPERLINK("https://pbs.twimg.com/ext_tw_video_thumb/1706756022483009536/pu/img/BXpG8VHqHz1my6Qq.jpg")</f>
        <v>https://pbs.twimg.com/ext_tw_video_thumb/1706756022483009536/pu/img/BXpG8VHqHz1my6Qq.jpg</v>
      </c>
      <c r="AW416" s="82" t="s">
        <v>17189</v>
      </c>
      <c r="AX416" s="82" t="s">
        <v>17189</v>
      </c>
      <c r="AY416" s="77"/>
      <c r="AZ416" s="82" t="s">
        <v>20971</v>
      </c>
      <c r="BA416" s="82" t="s">
        <v>20971</v>
      </c>
      <c r="BB416" s="82" t="s">
        <v>20971</v>
      </c>
      <c r="BC416" s="82" t="s">
        <v>17189</v>
      </c>
      <c r="BD416" s="82" t="s">
        <v>21130</v>
      </c>
      <c r="BE416" s="77"/>
      <c r="BF416" s="77"/>
      <c r="BG416" s="77"/>
      <c r="BH416" s="77"/>
      <c r="BI416" s="77"/>
    </row>
    <row r="417" spans="1:61" x14ac:dyDescent="0.25">
      <c r="A417" s="62" t="s">
        <v>386</v>
      </c>
      <c r="B417" s="62" t="s">
        <v>386</v>
      </c>
      <c r="C417" s="63"/>
      <c r="D417" s="64"/>
      <c r="E417" s="65"/>
      <c r="F417" s="66"/>
      <c r="G417" s="63"/>
      <c r="H417" s="67"/>
      <c r="I417" s="68"/>
      <c r="J417" s="68"/>
      <c r="K417" s="32"/>
      <c r="L417" s="75">
        <v>417</v>
      </c>
      <c r="M417" s="75"/>
      <c r="N417" s="70"/>
      <c r="O417" s="77" t="s">
        <v>179</v>
      </c>
      <c r="P417" s="79">
        <v>45190.942361111112</v>
      </c>
      <c r="Q417" s="77" t="s">
        <v>1700</v>
      </c>
      <c r="R417" s="77">
        <v>0</v>
      </c>
      <c r="S417" s="77">
        <v>0</v>
      </c>
      <c r="T417" s="77">
        <v>0</v>
      </c>
      <c r="U417" s="77">
        <v>0</v>
      </c>
      <c r="V417" s="77">
        <v>66</v>
      </c>
      <c r="W417" s="82" t="s">
        <v>5513</v>
      </c>
      <c r="X417" s="77"/>
      <c r="Y417" s="77"/>
      <c r="Z417" s="77"/>
      <c r="AA417" s="77" t="s">
        <v>7806</v>
      </c>
      <c r="AB417" s="77" t="s">
        <v>10129</v>
      </c>
      <c r="AC417" s="82" t="s">
        <v>10146</v>
      </c>
      <c r="AD417" s="77" t="s">
        <v>10184</v>
      </c>
      <c r="AE417" s="80" t="str">
        <f>HYPERLINK("https://twitter.com/smashupbrazil/status/1704988122621309148")</f>
        <v>https://twitter.com/smashupbrazil/status/1704988122621309148</v>
      </c>
      <c r="AF417" s="79">
        <v>45190.942361111112</v>
      </c>
      <c r="AG417" s="85">
        <v>45190</v>
      </c>
      <c r="AH417" s="82" t="s">
        <v>10609</v>
      </c>
      <c r="AI417" s="77" t="b">
        <v>0</v>
      </c>
      <c r="AJ417" s="77"/>
      <c r="AK417" s="77"/>
      <c r="AL417" s="77"/>
      <c r="AM417" s="77"/>
      <c r="AN417" s="77"/>
      <c r="AO417" s="77"/>
      <c r="AP417" s="77"/>
      <c r="AQ417" s="77" t="s">
        <v>14450</v>
      </c>
      <c r="AR417" s="77">
        <v>24938</v>
      </c>
      <c r="AS417" s="77"/>
      <c r="AT417" s="77"/>
      <c r="AU417" s="77"/>
      <c r="AV417" s="80" t="str">
        <f>HYPERLINK("https://pbs.twimg.com/ext_tw_video_thumb/1704867419603542016/pu/img/Ba2vAHBFCS4bFe98.jpg")</f>
        <v>https://pbs.twimg.com/ext_tw_video_thumb/1704867419603542016/pu/img/Ba2vAHBFCS4bFe98.jpg</v>
      </c>
      <c r="AW417" s="82" t="s">
        <v>17190</v>
      </c>
      <c r="AX417" s="82" t="s">
        <v>17190</v>
      </c>
      <c r="AY417" s="77"/>
      <c r="AZ417" s="82" t="s">
        <v>20971</v>
      </c>
      <c r="BA417" s="82" t="s">
        <v>20971</v>
      </c>
      <c r="BB417" s="82" t="s">
        <v>20971</v>
      </c>
      <c r="BC417" s="82" t="s">
        <v>17190</v>
      </c>
      <c r="BD417" s="82" t="s">
        <v>21130</v>
      </c>
      <c r="BE417" s="77"/>
      <c r="BF417" s="77"/>
      <c r="BG417" s="77"/>
      <c r="BH417" s="77"/>
      <c r="BI417" s="77"/>
    </row>
    <row r="418" spans="1:61" x14ac:dyDescent="0.25">
      <c r="A418" s="62" t="s">
        <v>386</v>
      </c>
      <c r="B418" s="62" t="s">
        <v>386</v>
      </c>
      <c r="C418" s="63"/>
      <c r="D418" s="64"/>
      <c r="E418" s="65"/>
      <c r="F418" s="66"/>
      <c r="G418" s="63"/>
      <c r="H418" s="67"/>
      <c r="I418" s="68"/>
      <c r="J418" s="68"/>
      <c r="K418" s="32"/>
      <c r="L418" s="75">
        <v>418</v>
      </c>
      <c r="M418" s="75"/>
      <c r="N418" s="70"/>
      <c r="O418" s="77" t="s">
        <v>179</v>
      </c>
      <c r="P418" s="79">
        <v>45190.620173611111</v>
      </c>
      <c r="Q418" s="77" t="s">
        <v>1701</v>
      </c>
      <c r="R418" s="77">
        <v>0</v>
      </c>
      <c r="S418" s="77">
        <v>0</v>
      </c>
      <c r="T418" s="77">
        <v>0</v>
      </c>
      <c r="U418" s="77">
        <v>0</v>
      </c>
      <c r="V418" s="77">
        <v>71</v>
      </c>
      <c r="W418" s="82" t="s">
        <v>5504</v>
      </c>
      <c r="X418" s="77"/>
      <c r="Y418" s="77"/>
      <c r="Z418" s="77"/>
      <c r="AA418" s="77" t="s">
        <v>7807</v>
      </c>
      <c r="AB418" s="77" t="s">
        <v>10129</v>
      </c>
      <c r="AC418" s="82" t="s">
        <v>10146</v>
      </c>
      <c r="AD418" s="77" t="s">
        <v>10183</v>
      </c>
      <c r="AE418" s="80" t="str">
        <f>HYPERLINK("https://twitter.com/smashupbrazil/status/1704871368150618621")</f>
        <v>https://twitter.com/smashupbrazil/status/1704871368150618621</v>
      </c>
      <c r="AF418" s="79">
        <v>45190.620173611111</v>
      </c>
      <c r="AG418" s="85">
        <v>45190</v>
      </c>
      <c r="AH418" s="82" t="s">
        <v>10610</v>
      </c>
      <c r="AI418" s="77" t="b">
        <v>0</v>
      </c>
      <c r="AJ418" s="77"/>
      <c r="AK418" s="77"/>
      <c r="AL418" s="77"/>
      <c r="AM418" s="77"/>
      <c r="AN418" s="77"/>
      <c r="AO418" s="77"/>
      <c r="AP418" s="77"/>
      <c r="AQ418" s="77" t="s">
        <v>14451</v>
      </c>
      <c r="AR418" s="77">
        <v>12003</v>
      </c>
      <c r="AS418" s="77"/>
      <c r="AT418" s="77"/>
      <c r="AU418" s="77"/>
      <c r="AV418" s="80" t="str">
        <f>HYPERLINK("https://pbs.twimg.com/ext_tw_video_thumb/1704871139129122816/pu/img/V9Na1HwzwhgchbPC.jpg")</f>
        <v>https://pbs.twimg.com/ext_tw_video_thumb/1704871139129122816/pu/img/V9Na1HwzwhgchbPC.jpg</v>
      </c>
      <c r="AW418" s="82" t="s">
        <v>17191</v>
      </c>
      <c r="AX418" s="82" t="s">
        <v>17191</v>
      </c>
      <c r="AY418" s="77"/>
      <c r="AZ418" s="82" t="s">
        <v>20971</v>
      </c>
      <c r="BA418" s="82" t="s">
        <v>20971</v>
      </c>
      <c r="BB418" s="82" t="s">
        <v>20971</v>
      </c>
      <c r="BC418" s="82" t="s">
        <v>17191</v>
      </c>
      <c r="BD418" s="82" t="s">
        <v>21130</v>
      </c>
      <c r="BE418" s="77"/>
      <c r="BF418" s="77"/>
      <c r="BG418" s="77"/>
      <c r="BH418" s="77"/>
      <c r="BI418" s="77"/>
    </row>
    <row r="419" spans="1:61" x14ac:dyDescent="0.25">
      <c r="A419" s="62" t="s">
        <v>386</v>
      </c>
      <c r="B419" s="62" t="s">
        <v>386</v>
      </c>
      <c r="C419" s="63"/>
      <c r="D419" s="64"/>
      <c r="E419" s="65"/>
      <c r="F419" s="66"/>
      <c r="G419" s="63"/>
      <c r="H419" s="67"/>
      <c r="I419" s="68"/>
      <c r="J419" s="68"/>
      <c r="K419" s="32"/>
      <c r="L419" s="75">
        <v>419</v>
      </c>
      <c r="M419" s="75"/>
      <c r="N419" s="70"/>
      <c r="O419" s="77" t="s">
        <v>179</v>
      </c>
      <c r="P419" s="79">
        <v>45182.917361111111</v>
      </c>
      <c r="Q419" s="77" t="s">
        <v>1702</v>
      </c>
      <c r="R419" s="77">
        <v>0</v>
      </c>
      <c r="S419" s="77">
        <v>0</v>
      </c>
      <c r="T419" s="77">
        <v>1</v>
      </c>
      <c r="U419" s="77">
        <v>0</v>
      </c>
      <c r="V419" s="77">
        <v>152</v>
      </c>
      <c r="W419" s="82" t="s">
        <v>5514</v>
      </c>
      <c r="X419" s="77"/>
      <c r="Y419" s="77"/>
      <c r="Z419" s="77"/>
      <c r="AA419" s="77" t="s">
        <v>7808</v>
      </c>
      <c r="AB419" s="77" t="s">
        <v>10129</v>
      </c>
      <c r="AC419" s="82" t="s">
        <v>10146</v>
      </c>
      <c r="AD419" s="77" t="s">
        <v>10184</v>
      </c>
      <c r="AE419" s="80" t="str">
        <f>HYPERLINK("https://twitter.com/smashupbrazil/status/1702079960091926897")</f>
        <v>https://twitter.com/smashupbrazil/status/1702079960091926897</v>
      </c>
      <c r="AF419" s="79">
        <v>45182.917361111111</v>
      </c>
      <c r="AG419" s="85">
        <v>45182</v>
      </c>
      <c r="AH419" s="82" t="s">
        <v>10611</v>
      </c>
      <c r="AI419" s="77" t="b">
        <v>0</v>
      </c>
      <c r="AJ419" s="77"/>
      <c r="AK419" s="77"/>
      <c r="AL419" s="77"/>
      <c r="AM419" s="77"/>
      <c r="AN419" s="77"/>
      <c r="AO419" s="77"/>
      <c r="AP419" s="77"/>
      <c r="AQ419" s="77" t="s">
        <v>14452</v>
      </c>
      <c r="AR419" s="77">
        <v>38966</v>
      </c>
      <c r="AS419" s="77"/>
      <c r="AT419" s="77"/>
      <c r="AU419" s="77"/>
      <c r="AV419" s="80" t="str">
        <f>HYPERLINK("https://pbs.twimg.com/ext_tw_video_thumb/1701958926390935552/pu/img/Qa9ld2GHuZtqL65V.jpg")</f>
        <v>https://pbs.twimg.com/ext_tw_video_thumb/1701958926390935552/pu/img/Qa9ld2GHuZtqL65V.jpg</v>
      </c>
      <c r="AW419" s="82" t="s">
        <v>17192</v>
      </c>
      <c r="AX419" s="82" t="s">
        <v>17192</v>
      </c>
      <c r="AY419" s="77"/>
      <c r="AZ419" s="82" t="s">
        <v>20971</v>
      </c>
      <c r="BA419" s="82" t="s">
        <v>20971</v>
      </c>
      <c r="BB419" s="82" t="s">
        <v>20971</v>
      </c>
      <c r="BC419" s="82" t="s">
        <v>17192</v>
      </c>
      <c r="BD419" s="82" t="s">
        <v>21130</v>
      </c>
      <c r="BE419" s="77"/>
      <c r="BF419" s="77"/>
      <c r="BG419" s="77"/>
      <c r="BH419" s="77"/>
      <c r="BI419" s="77"/>
    </row>
    <row r="420" spans="1:61" x14ac:dyDescent="0.25">
      <c r="A420" s="62" t="s">
        <v>386</v>
      </c>
      <c r="B420" s="62" t="s">
        <v>386</v>
      </c>
      <c r="C420" s="63"/>
      <c r="D420" s="64"/>
      <c r="E420" s="65"/>
      <c r="F420" s="66"/>
      <c r="G420" s="63"/>
      <c r="H420" s="67"/>
      <c r="I420" s="68"/>
      <c r="J420" s="68"/>
      <c r="K420" s="32"/>
      <c r="L420" s="75">
        <v>420</v>
      </c>
      <c r="M420" s="75"/>
      <c r="N420" s="70"/>
      <c r="O420" s="77" t="s">
        <v>179</v>
      </c>
      <c r="P420" s="79">
        <v>45180.938194444447</v>
      </c>
      <c r="Q420" s="77" t="s">
        <v>1703</v>
      </c>
      <c r="R420" s="77">
        <v>0</v>
      </c>
      <c r="S420" s="77">
        <v>0</v>
      </c>
      <c r="T420" s="77">
        <v>0</v>
      </c>
      <c r="U420" s="77">
        <v>0</v>
      </c>
      <c r="V420" s="77">
        <v>177</v>
      </c>
      <c r="W420" s="82" t="s">
        <v>5504</v>
      </c>
      <c r="X420" s="77"/>
      <c r="Y420" s="77"/>
      <c r="Z420" s="77"/>
      <c r="AA420" s="77" t="s">
        <v>7809</v>
      </c>
      <c r="AB420" s="77" t="s">
        <v>10129</v>
      </c>
      <c r="AC420" s="82" t="s">
        <v>10146</v>
      </c>
      <c r="AD420" s="77" t="s">
        <v>10183</v>
      </c>
      <c r="AE420" s="80" t="str">
        <f>HYPERLINK("https://twitter.com/smashupbrazil/status/1701362733881475088")</f>
        <v>https://twitter.com/smashupbrazil/status/1701362733881475088</v>
      </c>
      <c r="AF420" s="79">
        <v>45180.938194444447</v>
      </c>
      <c r="AG420" s="85">
        <v>45180</v>
      </c>
      <c r="AH420" s="82" t="s">
        <v>10612</v>
      </c>
      <c r="AI420" s="77" t="b">
        <v>0</v>
      </c>
      <c r="AJ420" s="77"/>
      <c r="AK420" s="77"/>
      <c r="AL420" s="77"/>
      <c r="AM420" s="77"/>
      <c r="AN420" s="77"/>
      <c r="AO420" s="77"/>
      <c r="AP420" s="77"/>
      <c r="AQ420" s="77" t="s">
        <v>14453</v>
      </c>
      <c r="AR420" s="77">
        <v>34551</v>
      </c>
      <c r="AS420" s="77"/>
      <c r="AT420" s="77"/>
      <c r="AU420" s="77"/>
      <c r="AV420" s="80" t="str">
        <f>HYPERLINK("https://pbs.twimg.com/ext_tw_video_thumb/1701287211839397888/pu/img/kP6Ldb9xYfr-HQBA.jpg")</f>
        <v>https://pbs.twimg.com/ext_tw_video_thumb/1701287211839397888/pu/img/kP6Ldb9xYfr-HQBA.jpg</v>
      </c>
      <c r="AW420" s="82" t="s">
        <v>17193</v>
      </c>
      <c r="AX420" s="82" t="s">
        <v>17193</v>
      </c>
      <c r="AY420" s="77"/>
      <c r="AZ420" s="82" t="s">
        <v>20971</v>
      </c>
      <c r="BA420" s="82" t="s">
        <v>20971</v>
      </c>
      <c r="BB420" s="82" t="s">
        <v>20971</v>
      </c>
      <c r="BC420" s="82" t="s">
        <v>17193</v>
      </c>
      <c r="BD420" s="82" t="s">
        <v>21130</v>
      </c>
      <c r="BE420" s="77"/>
      <c r="BF420" s="77"/>
      <c r="BG420" s="77"/>
      <c r="BH420" s="77"/>
      <c r="BI420" s="77"/>
    </row>
    <row r="421" spans="1:61" x14ac:dyDescent="0.25">
      <c r="A421" s="62" t="s">
        <v>386</v>
      </c>
      <c r="B421" s="62" t="s">
        <v>386</v>
      </c>
      <c r="C421" s="63"/>
      <c r="D421" s="64"/>
      <c r="E421" s="65"/>
      <c r="F421" s="66"/>
      <c r="G421" s="63"/>
      <c r="H421" s="67"/>
      <c r="I421" s="68"/>
      <c r="J421" s="68"/>
      <c r="K421" s="32"/>
      <c r="L421" s="75">
        <v>421</v>
      </c>
      <c r="M421" s="75"/>
      <c r="N421" s="70"/>
      <c r="O421" s="77" t="s">
        <v>179</v>
      </c>
      <c r="P421" s="79">
        <v>45180.729618055557</v>
      </c>
      <c r="Q421" s="77" t="s">
        <v>1704</v>
      </c>
      <c r="R421" s="77">
        <v>0</v>
      </c>
      <c r="S421" s="77">
        <v>0</v>
      </c>
      <c r="T421" s="77">
        <v>2</v>
      </c>
      <c r="U421" s="77">
        <v>0</v>
      </c>
      <c r="V421" s="77">
        <v>122</v>
      </c>
      <c r="W421" s="82" t="s">
        <v>5504</v>
      </c>
      <c r="X421" s="77"/>
      <c r="Y421" s="77"/>
      <c r="Z421" s="77"/>
      <c r="AA421" s="77" t="s">
        <v>7810</v>
      </c>
      <c r="AB421" s="77" t="s">
        <v>10129</v>
      </c>
      <c r="AC421" s="82" t="s">
        <v>10146</v>
      </c>
      <c r="AD421" s="77" t="s">
        <v>10183</v>
      </c>
      <c r="AE421" s="80" t="str">
        <f>HYPERLINK("https://twitter.com/smashupbrazil/status/1701287150795497659")</f>
        <v>https://twitter.com/smashupbrazil/status/1701287150795497659</v>
      </c>
      <c r="AF421" s="79">
        <v>45180.729618055557</v>
      </c>
      <c r="AG421" s="85">
        <v>45180</v>
      </c>
      <c r="AH421" s="82" t="s">
        <v>10613</v>
      </c>
      <c r="AI421" s="77" t="b">
        <v>0</v>
      </c>
      <c r="AJ421" s="77"/>
      <c r="AK421" s="77"/>
      <c r="AL421" s="77"/>
      <c r="AM421" s="77"/>
      <c r="AN421" s="77"/>
      <c r="AO421" s="77"/>
      <c r="AP421" s="77"/>
      <c r="AQ421" s="77" t="s">
        <v>14454</v>
      </c>
      <c r="AR421" s="77">
        <v>25466</v>
      </c>
      <c r="AS421" s="77"/>
      <c r="AT421" s="77"/>
      <c r="AU421" s="77"/>
      <c r="AV421" s="80" t="str">
        <f>HYPERLINK("https://pbs.twimg.com/ext_tw_video_thumb/1701287058839572480/pu/img/fejik9Vggj_7t1Q-.jpg")</f>
        <v>https://pbs.twimg.com/ext_tw_video_thumb/1701287058839572480/pu/img/fejik9Vggj_7t1Q-.jpg</v>
      </c>
      <c r="AW421" s="82" t="s">
        <v>17194</v>
      </c>
      <c r="AX421" s="82" t="s">
        <v>17194</v>
      </c>
      <c r="AY421" s="77"/>
      <c r="AZ421" s="82" t="s">
        <v>20971</v>
      </c>
      <c r="BA421" s="82" t="s">
        <v>20971</v>
      </c>
      <c r="BB421" s="82" t="s">
        <v>20971</v>
      </c>
      <c r="BC421" s="82" t="s">
        <v>17194</v>
      </c>
      <c r="BD421" s="82" t="s">
        <v>21130</v>
      </c>
      <c r="BE421" s="77"/>
      <c r="BF421" s="77"/>
      <c r="BG421" s="77"/>
      <c r="BH421" s="77"/>
      <c r="BI421" s="77"/>
    </row>
    <row r="422" spans="1:61" x14ac:dyDescent="0.25">
      <c r="A422" s="62" t="s">
        <v>386</v>
      </c>
      <c r="B422" s="62" t="s">
        <v>386</v>
      </c>
      <c r="C422" s="63"/>
      <c r="D422" s="64"/>
      <c r="E422" s="65"/>
      <c r="F422" s="66"/>
      <c r="G422" s="63"/>
      <c r="H422" s="67"/>
      <c r="I422" s="68"/>
      <c r="J422" s="68"/>
      <c r="K422" s="32"/>
      <c r="L422" s="75">
        <v>422</v>
      </c>
      <c r="M422" s="75"/>
      <c r="N422" s="70"/>
      <c r="O422" s="77" t="s">
        <v>179</v>
      </c>
      <c r="P422" s="79">
        <v>45052.587627314817</v>
      </c>
      <c r="Q422" s="77" t="s">
        <v>1705</v>
      </c>
      <c r="R422" s="77">
        <v>0</v>
      </c>
      <c r="S422" s="77">
        <v>0</v>
      </c>
      <c r="T422" s="77">
        <v>0</v>
      </c>
      <c r="U422" s="77">
        <v>0</v>
      </c>
      <c r="V422" s="77">
        <v>185</v>
      </c>
      <c r="W422" s="82" t="s">
        <v>5508</v>
      </c>
      <c r="X422" s="77"/>
      <c r="Y422" s="77"/>
      <c r="Z422" s="77"/>
      <c r="AA422" s="77" t="s">
        <v>7811</v>
      </c>
      <c r="AB422" s="77" t="s">
        <v>10129</v>
      </c>
      <c r="AC422" s="82" t="s">
        <v>10146</v>
      </c>
      <c r="AD422" s="77" t="s">
        <v>10184</v>
      </c>
      <c r="AE422" s="80" t="str">
        <f>HYPERLINK("https://twitter.com/smashupbrazil/status/1654850047052267521")</f>
        <v>https://twitter.com/smashupbrazil/status/1654850047052267521</v>
      </c>
      <c r="AF422" s="79">
        <v>45052.587627314817</v>
      </c>
      <c r="AG422" s="85">
        <v>45052</v>
      </c>
      <c r="AH422" s="82" t="s">
        <v>10614</v>
      </c>
      <c r="AI422" s="77" t="b">
        <v>0</v>
      </c>
      <c r="AJ422" s="77"/>
      <c r="AK422" s="77"/>
      <c r="AL422" s="77"/>
      <c r="AM422" s="77"/>
      <c r="AN422" s="77"/>
      <c r="AO422" s="77"/>
      <c r="AP422" s="77"/>
      <c r="AQ422" s="77" t="s">
        <v>14455</v>
      </c>
      <c r="AR422" s="77">
        <v>41841</v>
      </c>
      <c r="AS422" s="77"/>
      <c r="AT422" s="77"/>
      <c r="AU422" s="77"/>
      <c r="AV422" s="80" t="str">
        <f>HYPERLINK("https://pbs.twimg.com/ext_tw_video_thumb/1654849870912528384/pu/img/rqAhyZmhi2iNfFmb.jpg")</f>
        <v>https://pbs.twimg.com/ext_tw_video_thumb/1654849870912528384/pu/img/rqAhyZmhi2iNfFmb.jpg</v>
      </c>
      <c r="AW422" s="82" t="s">
        <v>17195</v>
      </c>
      <c r="AX422" s="82" t="s">
        <v>17195</v>
      </c>
      <c r="AY422" s="77"/>
      <c r="AZ422" s="82" t="s">
        <v>20971</v>
      </c>
      <c r="BA422" s="82" t="s">
        <v>20971</v>
      </c>
      <c r="BB422" s="82" t="s">
        <v>20971</v>
      </c>
      <c r="BC422" s="82" t="s">
        <v>17195</v>
      </c>
      <c r="BD422" s="82" t="s">
        <v>21130</v>
      </c>
      <c r="BE422" s="77"/>
      <c r="BF422" s="77"/>
      <c r="BG422" s="77"/>
      <c r="BH422" s="77"/>
      <c r="BI422" s="77"/>
    </row>
    <row r="423" spans="1:61" x14ac:dyDescent="0.25">
      <c r="A423" s="62" t="s">
        <v>386</v>
      </c>
      <c r="B423" s="62" t="s">
        <v>386</v>
      </c>
      <c r="C423" s="63"/>
      <c r="D423" s="64"/>
      <c r="E423" s="65"/>
      <c r="F423" s="66"/>
      <c r="G423" s="63"/>
      <c r="H423" s="67"/>
      <c r="I423" s="68"/>
      <c r="J423" s="68"/>
      <c r="K423" s="32"/>
      <c r="L423" s="75">
        <v>423</v>
      </c>
      <c r="M423" s="75"/>
      <c r="N423" s="70"/>
      <c r="O423" s="77" t="s">
        <v>179</v>
      </c>
      <c r="P423" s="79">
        <v>45052.587060185186</v>
      </c>
      <c r="Q423" s="77" t="s">
        <v>1706</v>
      </c>
      <c r="R423" s="77">
        <v>0</v>
      </c>
      <c r="S423" s="77">
        <v>0</v>
      </c>
      <c r="T423" s="77">
        <v>0</v>
      </c>
      <c r="U423" s="77">
        <v>0</v>
      </c>
      <c r="V423" s="77">
        <v>200</v>
      </c>
      <c r="W423" s="82" t="s">
        <v>5513</v>
      </c>
      <c r="X423" s="77"/>
      <c r="Y423" s="77"/>
      <c r="Z423" s="77"/>
      <c r="AA423" s="77" t="s">
        <v>7812</v>
      </c>
      <c r="AB423" s="77" t="s">
        <v>10129</v>
      </c>
      <c r="AC423" s="82" t="s">
        <v>10146</v>
      </c>
      <c r="AD423" s="77" t="s">
        <v>10184</v>
      </c>
      <c r="AE423" s="80" t="str">
        <f>HYPERLINK("https://twitter.com/smashupbrazil/status/1654849841447534594")</f>
        <v>https://twitter.com/smashupbrazil/status/1654849841447534594</v>
      </c>
      <c r="AF423" s="79">
        <v>45052.587060185186</v>
      </c>
      <c r="AG423" s="85">
        <v>45052</v>
      </c>
      <c r="AH423" s="82" t="s">
        <v>10615</v>
      </c>
      <c r="AI423" s="77" t="b">
        <v>0</v>
      </c>
      <c r="AJ423" s="77"/>
      <c r="AK423" s="77"/>
      <c r="AL423" s="77"/>
      <c r="AM423" s="77"/>
      <c r="AN423" s="77"/>
      <c r="AO423" s="77"/>
      <c r="AP423" s="77"/>
      <c r="AQ423" s="77" t="s">
        <v>14456</v>
      </c>
      <c r="AR423" s="77">
        <v>54450</v>
      </c>
      <c r="AS423" s="77"/>
      <c r="AT423" s="77"/>
      <c r="AU423" s="77"/>
      <c r="AV423" s="80" t="str">
        <f>HYPERLINK("https://pbs.twimg.com/ext_tw_video_thumb/1654849701051547650/pu/img/6nU4ccFJR12dTD0G.jpg")</f>
        <v>https://pbs.twimg.com/ext_tw_video_thumb/1654849701051547650/pu/img/6nU4ccFJR12dTD0G.jpg</v>
      </c>
      <c r="AW423" s="82" t="s">
        <v>17196</v>
      </c>
      <c r="AX423" s="82" t="s">
        <v>17196</v>
      </c>
      <c r="AY423" s="77"/>
      <c r="AZ423" s="82" t="s">
        <v>20971</v>
      </c>
      <c r="BA423" s="82" t="s">
        <v>20971</v>
      </c>
      <c r="BB423" s="82" t="s">
        <v>20971</v>
      </c>
      <c r="BC423" s="82" t="s">
        <v>17196</v>
      </c>
      <c r="BD423" s="82" t="s">
        <v>21130</v>
      </c>
      <c r="BE423" s="77"/>
      <c r="BF423" s="77"/>
      <c r="BG423" s="77"/>
      <c r="BH423" s="77"/>
      <c r="BI423" s="77"/>
    </row>
    <row r="424" spans="1:61" x14ac:dyDescent="0.25">
      <c r="A424" s="62" t="s">
        <v>386</v>
      </c>
      <c r="B424" s="62" t="s">
        <v>386</v>
      </c>
      <c r="C424" s="63"/>
      <c r="D424" s="64"/>
      <c r="E424" s="65"/>
      <c r="F424" s="66"/>
      <c r="G424" s="63"/>
      <c r="H424" s="67"/>
      <c r="I424" s="68"/>
      <c r="J424" s="68"/>
      <c r="K424" s="32"/>
      <c r="L424" s="75">
        <v>424</v>
      </c>
      <c r="M424" s="75"/>
      <c r="N424" s="70"/>
      <c r="O424" s="77" t="s">
        <v>179</v>
      </c>
      <c r="P424" s="79">
        <v>45052.586562500001</v>
      </c>
      <c r="Q424" s="77" t="s">
        <v>1707</v>
      </c>
      <c r="R424" s="77">
        <v>0</v>
      </c>
      <c r="S424" s="77">
        <v>0</v>
      </c>
      <c r="T424" s="77">
        <v>0</v>
      </c>
      <c r="U424" s="77">
        <v>0</v>
      </c>
      <c r="V424" s="77">
        <v>167</v>
      </c>
      <c r="W424" s="82" t="s">
        <v>5510</v>
      </c>
      <c r="X424" s="77"/>
      <c r="Y424" s="77"/>
      <c r="Z424" s="77"/>
      <c r="AA424" s="77" t="s">
        <v>7813</v>
      </c>
      <c r="AB424" s="77" t="s">
        <v>10129</v>
      </c>
      <c r="AC424" s="82" t="s">
        <v>10146</v>
      </c>
      <c r="AD424" s="77" t="s">
        <v>10184</v>
      </c>
      <c r="AE424" s="80" t="str">
        <f>HYPERLINK("https://twitter.com/smashupbrazil/status/1654849660895342594")</f>
        <v>https://twitter.com/smashupbrazil/status/1654849660895342594</v>
      </c>
      <c r="AF424" s="79">
        <v>45052.586562500001</v>
      </c>
      <c r="AG424" s="85">
        <v>45052</v>
      </c>
      <c r="AH424" s="82" t="s">
        <v>10616</v>
      </c>
      <c r="AI424" s="77" t="b">
        <v>0</v>
      </c>
      <c r="AJ424" s="77"/>
      <c r="AK424" s="77"/>
      <c r="AL424" s="77"/>
      <c r="AM424" s="77"/>
      <c r="AN424" s="77"/>
      <c r="AO424" s="77"/>
      <c r="AP424" s="77"/>
      <c r="AQ424" s="77" t="s">
        <v>14457</v>
      </c>
      <c r="AR424" s="77">
        <v>46347</v>
      </c>
      <c r="AS424" s="77"/>
      <c r="AT424" s="77"/>
      <c r="AU424" s="77"/>
      <c r="AV424" s="80" t="str">
        <f>HYPERLINK("https://pbs.twimg.com/ext_tw_video_thumb/1654849465646297090/pu/img/aLg01FRniH0CfhRz.jpg")</f>
        <v>https://pbs.twimg.com/ext_tw_video_thumb/1654849465646297090/pu/img/aLg01FRniH0CfhRz.jpg</v>
      </c>
      <c r="AW424" s="82" t="s">
        <v>17197</v>
      </c>
      <c r="AX424" s="82" t="s">
        <v>17197</v>
      </c>
      <c r="AY424" s="77"/>
      <c r="AZ424" s="82" t="s">
        <v>20971</v>
      </c>
      <c r="BA424" s="82" t="s">
        <v>20971</v>
      </c>
      <c r="BB424" s="82" t="s">
        <v>20971</v>
      </c>
      <c r="BC424" s="82" t="s">
        <v>17197</v>
      </c>
      <c r="BD424" s="82" t="s">
        <v>21130</v>
      </c>
      <c r="BE424" s="77"/>
      <c r="BF424" s="77"/>
      <c r="BG424" s="77"/>
      <c r="BH424" s="77"/>
      <c r="BI424" s="77"/>
    </row>
    <row r="425" spans="1:61" x14ac:dyDescent="0.25">
      <c r="A425" s="62" t="s">
        <v>386</v>
      </c>
      <c r="B425" s="62" t="s">
        <v>386</v>
      </c>
      <c r="C425" s="63"/>
      <c r="D425" s="64"/>
      <c r="E425" s="65"/>
      <c r="F425" s="66"/>
      <c r="G425" s="63"/>
      <c r="H425" s="67"/>
      <c r="I425" s="68"/>
      <c r="J425" s="68"/>
      <c r="K425" s="32"/>
      <c r="L425" s="75">
        <v>425</v>
      </c>
      <c r="M425" s="75"/>
      <c r="N425" s="70"/>
      <c r="O425" s="77" t="s">
        <v>179</v>
      </c>
      <c r="P425" s="79">
        <v>45051.409479166665</v>
      </c>
      <c r="Q425" s="77" t="s">
        <v>1708</v>
      </c>
      <c r="R425" s="77">
        <v>0</v>
      </c>
      <c r="S425" s="77">
        <v>0</v>
      </c>
      <c r="T425" s="77">
        <v>0</v>
      </c>
      <c r="U425" s="77">
        <v>0</v>
      </c>
      <c r="V425" s="77">
        <v>109</v>
      </c>
      <c r="W425" s="82" t="s">
        <v>5501</v>
      </c>
      <c r="X425" s="77"/>
      <c r="Y425" s="77"/>
      <c r="Z425" s="77"/>
      <c r="AA425" s="77" t="s">
        <v>7814</v>
      </c>
      <c r="AB425" s="77" t="s">
        <v>10130</v>
      </c>
      <c r="AC425" s="82" t="s">
        <v>10146</v>
      </c>
      <c r="AD425" s="77" t="s">
        <v>10184</v>
      </c>
      <c r="AE425" s="80" t="str">
        <f>HYPERLINK("https://twitter.com/smashupbrazil/status/1654423101654827009")</f>
        <v>https://twitter.com/smashupbrazil/status/1654423101654827009</v>
      </c>
      <c r="AF425" s="79">
        <v>45051.409479166665</v>
      </c>
      <c r="AG425" s="85">
        <v>45051</v>
      </c>
      <c r="AH425" s="82" t="s">
        <v>10617</v>
      </c>
      <c r="AI425" s="77" t="b">
        <v>0</v>
      </c>
      <c r="AJ425" s="77"/>
      <c r="AK425" s="77"/>
      <c r="AL425" s="77"/>
      <c r="AM425" s="77"/>
      <c r="AN425" s="77"/>
      <c r="AO425" s="77"/>
      <c r="AP425" s="77"/>
      <c r="AQ425" s="77" t="s">
        <v>14458</v>
      </c>
      <c r="AR425" s="77"/>
      <c r="AS425" s="77"/>
      <c r="AT425" s="77"/>
      <c r="AU425" s="77"/>
      <c r="AV425" s="80" t="str">
        <f>HYPERLINK("https://pbs.twimg.com/media/FvWw3oZWIAAXjZd.png")</f>
        <v>https://pbs.twimg.com/media/FvWw3oZWIAAXjZd.png</v>
      </c>
      <c r="AW425" s="82" t="s">
        <v>17198</v>
      </c>
      <c r="AX425" s="82" t="s">
        <v>17198</v>
      </c>
      <c r="AY425" s="77"/>
      <c r="AZ425" s="82" t="s">
        <v>20971</v>
      </c>
      <c r="BA425" s="82" t="s">
        <v>20971</v>
      </c>
      <c r="BB425" s="82" t="s">
        <v>20971</v>
      </c>
      <c r="BC425" s="82" t="s">
        <v>17198</v>
      </c>
      <c r="BD425" s="82" t="s">
        <v>21130</v>
      </c>
      <c r="BE425" s="77"/>
      <c r="BF425" s="77"/>
      <c r="BG425" s="77"/>
      <c r="BH425" s="77"/>
      <c r="BI425" s="77"/>
    </row>
    <row r="426" spans="1:61" x14ac:dyDescent="0.25">
      <c r="A426" s="62" t="s">
        <v>386</v>
      </c>
      <c r="B426" s="62" t="s">
        <v>386</v>
      </c>
      <c r="C426" s="63"/>
      <c r="D426" s="64"/>
      <c r="E426" s="65"/>
      <c r="F426" s="66"/>
      <c r="G426" s="63"/>
      <c r="H426" s="67"/>
      <c r="I426" s="68"/>
      <c r="J426" s="68"/>
      <c r="K426" s="32"/>
      <c r="L426" s="75">
        <v>426</v>
      </c>
      <c r="M426" s="75"/>
      <c r="N426" s="70"/>
      <c r="O426" s="77" t="s">
        <v>179</v>
      </c>
      <c r="P426" s="79">
        <v>45051.408842592595</v>
      </c>
      <c r="Q426" s="77" t="s">
        <v>1709</v>
      </c>
      <c r="R426" s="77">
        <v>0</v>
      </c>
      <c r="S426" s="77">
        <v>0</v>
      </c>
      <c r="T426" s="77">
        <v>0</v>
      </c>
      <c r="U426" s="77">
        <v>0</v>
      </c>
      <c r="V426" s="77">
        <v>160</v>
      </c>
      <c r="W426" s="82" t="s">
        <v>5503</v>
      </c>
      <c r="X426" s="77"/>
      <c r="Y426" s="77"/>
      <c r="Z426" s="77"/>
      <c r="AA426" s="77" t="s">
        <v>7815</v>
      </c>
      <c r="AB426" s="77" t="s">
        <v>10130</v>
      </c>
      <c r="AC426" s="82" t="s">
        <v>10146</v>
      </c>
      <c r="AD426" s="77" t="s">
        <v>10184</v>
      </c>
      <c r="AE426" s="80" t="str">
        <f>HYPERLINK("https://twitter.com/smashupbrazil/status/1654422870527811585")</f>
        <v>https://twitter.com/smashupbrazil/status/1654422870527811585</v>
      </c>
      <c r="AF426" s="79">
        <v>45051.408842592595</v>
      </c>
      <c r="AG426" s="85">
        <v>45051</v>
      </c>
      <c r="AH426" s="82" t="s">
        <v>10618</v>
      </c>
      <c r="AI426" s="77" t="b">
        <v>0</v>
      </c>
      <c r="AJ426" s="77"/>
      <c r="AK426" s="77"/>
      <c r="AL426" s="77"/>
      <c r="AM426" s="77"/>
      <c r="AN426" s="77"/>
      <c r="AO426" s="77"/>
      <c r="AP426" s="77"/>
      <c r="AQ426" s="77" t="s">
        <v>14459</v>
      </c>
      <c r="AR426" s="77"/>
      <c r="AS426" s="77"/>
      <c r="AT426" s="77"/>
      <c r="AU426" s="77"/>
      <c r="AV426" s="80" t="str">
        <f>HYPERLINK("https://pbs.twimg.com/media/FvWwvu9X0AMujH9.png")</f>
        <v>https://pbs.twimg.com/media/FvWwvu9X0AMujH9.png</v>
      </c>
      <c r="AW426" s="82" t="s">
        <v>17199</v>
      </c>
      <c r="AX426" s="82" t="s">
        <v>17199</v>
      </c>
      <c r="AY426" s="77"/>
      <c r="AZ426" s="82" t="s">
        <v>20971</v>
      </c>
      <c r="BA426" s="82" t="s">
        <v>20971</v>
      </c>
      <c r="BB426" s="82" t="s">
        <v>20971</v>
      </c>
      <c r="BC426" s="82" t="s">
        <v>17199</v>
      </c>
      <c r="BD426" s="82" t="s">
        <v>21130</v>
      </c>
      <c r="BE426" s="77"/>
      <c r="BF426" s="77"/>
      <c r="BG426" s="77"/>
      <c r="BH426" s="77"/>
      <c r="BI426" s="77"/>
    </row>
    <row r="427" spans="1:61" x14ac:dyDescent="0.25">
      <c r="A427" s="62" t="s">
        <v>386</v>
      </c>
      <c r="B427" s="62" t="s">
        <v>386</v>
      </c>
      <c r="C427" s="63"/>
      <c r="D427" s="64"/>
      <c r="E427" s="65"/>
      <c r="F427" s="66"/>
      <c r="G427" s="63"/>
      <c r="H427" s="67"/>
      <c r="I427" s="68"/>
      <c r="J427" s="68"/>
      <c r="K427" s="32"/>
      <c r="L427" s="75">
        <v>427</v>
      </c>
      <c r="M427" s="75"/>
      <c r="N427" s="70"/>
      <c r="O427" s="77" t="s">
        <v>179</v>
      </c>
      <c r="P427" s="79">
        <v>45028.372152777774</v>
      </c>
      <c r="Q427" s="77" t="s">
        <v>1710</v>
      </c>
      <c r="R427" s="77">
        <v>0</v>
      </c>
      <c r="S427" s="77">
        <v>0</v>
      </c>
      <c r="T427" s="77">
        <v>1</v>
      </c>
      <c r="U427" s="77">
        <v>0</v>
      </c>
      <c r="V427" s="77">
        <v>195</v>
      </c>
      <c r="W427" s="82" t="s">
        <v>5501</v>
      </c>
      <c r="X427" s="77"/>
      <c r="Y427" s="77"/>
      <c r="Z427" s="77"/>
      <c r="AA427" s="77" t="s">
        <v>7816</v>
      </c>
      <c r="AB427" s="77" t="s">
        <v>10129</v>
      </c>
      <c r="AC427" s="82" t="s">
        <v>10146</v>
      </c>
      <c r="AD427" s="77" t="s">
        <v>10184</v>
      </c>
      <c r="AE427" s="80" t="str">
        <f>HYPERLINK("https://twitter.com/smashupbrazil/status/1646074652459147269")</f>
        <v>https://twitter.com/smashupbrazil/status/1646074652459147269</v>
      </c>
      <c r="AF427" s="79">
        <v>45028.372152777774</v>
      </c>
      <c r="AG427" s="85">
        <v>45028</v>
      </c>
      <c r="AH427" s="82" t="s">
        <v>10619</v>
      </c>
      <c r="AI427" s="77" t="b">
        <v>0</v>
      </c>
      <c r="AJ427" s="77"/>
      <c r="AK427" s="77"/>
      <c r="AL427" s="77"/>
      <c r="AM427" s="77"/>
      <c r="AN427" s="77"/>
      <c r="AO427" s="77"/>
      <c r="AP427" s="77"/>
      <c r="AQ427" s="77" t="s">
        <v>14460</v>
      </c>
      <c r="AR427" s="77">
        <v>36316</v>
      </c>
      <c r="AS427" s="77"/>
      <c r="AT427" s="77"/>
      <c r="AU427" s="77"/>
      <c r="AV427" s="80" t="str">
        <f>HYPERLINK("https://pbs.twimg.com/ext_tw_video_thumb/1646074374942777346/pu/img/xsnDTql1hL8E0lxX.jpg")</f>
        <v>https://pbs.twimg.com/ext_tw_video_thumb/1646074374942777346/pu/img/xsnDTql1hL8E0lxX.jpg</v>
      </c>
      <c r="AW427" s="82" t="s">
        <v>17200</v>
      </c>
      <c r="AX427" s="82" t="s">
        <v>17200</v>
      </c>
      <c r="AY427" s="77"/>
      <c r="AZ427" s="82" t="s">
        <v>20971</v>
      </c>
      <c r="BA427" s="82" t="s">
        <v>20971</v>
      </c>
      <c r="BB427" s="82" t="s">
        <v>20971</v>
      </c>
      <c r="BC427" s="82" t="s">
        <v>17200</v>
      </c>
      <c r="BD427" s="82" t="s">
        <v>21130</v>
      </c>
      <c r="BE427" s="77"/>
      <c r="BF427" s="77"/>
      <c r="BG427" s="77"/>
      <c r="BH427" s="77"/>
      <c r="BI427" s="77"/>
    </row>
    <row r="428" spans="1:61" x14ac:dyDescent="0.25">
      <c r="A428" s="62" t="s">
        <v>387</v>
      </c>
      <c r="B428" s="62" t="s">
        <v>387</v>
      </c>
      <c r="C428" s="63"/>
      <c r="D428" s="64"/>
      <c r="E428" s="65"/>
      <c r="F428" s="66"/>
      <c r="G428" s="63"/>
      <c r="H428" s="67"/>
      <c r="I428" s="68"/>
      <c r="J428" s="68"/>
      <c r="K428" s="32"/>
      <c r="L428" s="75">
        <v>428</v>
      </c>
      <c r="M428" s="75"/>
      <c r="N428" s="70"/>
      <c r="O428" s="77" t="s">
        <v>179</v>
      </c>
      <c r="P428" s="79">
        <v>45062.684062499997</v>
      </c>
      <c r="Q428" s="77" t="s">
        <v>1711</v>
      </c>
      <c r="R428" s="77">
        <v>0</v>
      </c>
      <c r="S428" s="77">
        <v>0</v>
      </c>
      <c r="T428" s="77">
        <v>0</v>
      </c>
      <c r="U428" s="77">
        <v>0</v>
      </c>
      <c r="V428" s="77">
        <v>113</v>
      </c>
      <c r="W428" s="82" t="s">
        <v>5515</v>
      </c>
      <c r="X428" s="77"/>
      <c r="Y428" s="77"/>
      <c r="Z428" s="77"/>
      <c r="AA428" s="77" t="s">
        <v>7817</v>
      </c>
      <c r="AB428" s="77" t="s">
        <v>10129</v>
      </c>
      <c r="AC428" s="82" t="s">
        <v>10144</v>
      </c>
      <c r="AD428" s="77" t="s">
        <v>10183</v>
      </c>
      <c r="AE428" s="80" t="str">
        <f>HYPERLINK("https://twitter.com/mariaap84148514/status/1658508872795947018")</f>
        <v>https://twitter.com/mariaap84148514/status/1658508872795947018</v>
      </c>
      <c r="AF428" s="79">
        <v>45062.684062499997</v>
      </c>
      <c r="AG428" s="85">
        <v>45062</v>
      </c>
      <c r="AH428" s="82" t="s">
        <v>10620</v>
      </c>
      <c r="AI428" s="77" t="b">
        <v>0</v>
      </c>
      <c r="AJ428" s="77"/>
      <c r="AK428" s="77"/>
      <c r="AL428" s="77"/>
      <c r="AM428" s="77"/>
      <c r="AN428" s="77"/>
      <c r="AO428" s="77"/>
      <c r="AP428" s="77"/>
      <c r="AQ428" s="77" t="s">
        <v>14461</v>
      </c>
      <c r="AR428" s="77">
        <v>11760</v>
      </c>
      <c r="AS428" s="77"/>
      <c r="AT428" s="77"/>
      <c r="AU428" s="77"/>
      <c r="AV428" s="80" t="str">
        <f>HYPERLINK("https://pbs.twimg.com/ext_tw_video_thumb/1658508617178292224/pu/img/t_CMZj-K3E6d_Scs.jpg")</f>
        <v>https://pbs.twimg.com/ext_tw_video_thumb/1658508617178292224/pu/img/t_CMZj-K3E6d_Scs.jpg</v>
      </c>
      <c r="AW428" s="82" t="s">
        <v>17201</v>
      </c>
      <c r="AX428" s="82" t="s">
        <v>17201</v>
      </c>
      <c r="AY428" s="77"/>
      <c r="AZ428" s="82" t="s">
        <v>20971</v>
      </c>
      <c r="BA428" s="82" t="s">
        <v>20971</v>
      </c>
      <c r="BB428" s="82" t="s">
        <v>20971</v>
      </c>
      <c r="BC428" s="82" t="s">
        <v>17201</v>
      </c>
      <c r="BD428" s="82" t="s">
        <v>21131</v>
      </c>
      <c r="BE428" s="77"/>
      <c r="BF428" s="77"/>
      <c r="BG428" s="77"/>
      <c r="BH428" s="77"/>
      <c r="BI428" s="77"/>
    </row>
    <row r="429" spans="1:61" x14ac:dyDescent="0.25">
      <c r="A429" s="62" t="s">
        <v>388</v>
      </c>
      <c r="B429" s="62" t="s">
        <v>388</v>
      </c>
      <c r="C429" s="63"/>
      <c r="D429" s="64"/>
      <c r="E429" s="65"/>
      <c r="F429" s="66"/>
      <c r="G429" s="63"/>
      <c r="H429" s="67"/>
      <c r="I429" s="68"/>
      <c r="J429" s="68"/>
      <c r="K429" s="32"/>
      <c r="L429" s="75">
        <v>429</v>
      </c>
      <c r="M429" s="75"/>
      <c r="N429" s="70"/>
      <c r="O429" s="77" t="s">
        <v>179</v>
      </c>
      <c r="P429" s="79">
        <v>45009.608761574076</v>
      </c>
      <c r="Q429" s="77" t="s">
        <v>1712</v>
      </c>
      <c r="R429" s="77">
        <v>0</v>
      </c>
      <c r="S429" s="77">
        <v>0</v>
      </c>
      <c r="T429" s="77">
        <v>3</v>
      </c>
      <c r="U429" s="77">
        <v>0</v>
      </c>
      <c r="V429" s="77">
        <v>165</v>
      </c>
      <c r="W429" s="82" t="s">
        <v>5516</v>
      </c>
      <c r="X429" s="80" t="str">
        <f>HYPERLINK("https://s.kwai.app/w/-GOSfjsk")</f>
        <v>https://s.kwai.app/w/-GOSfjsk</v>
      </c>
      <c r="Y429" s="77" t="s">
        <v>7292</v>
      </c>
      <c r="Z429" s="77"/>
      <c r="AA429" s="77"/>
      <c r="AB429" s="77"/>
      <c r="AC429" s="82" t="s">
        <v>10144</v>
      </c>
      <c r="AD429" s="77" t="s">
        <v>10184</v>
      </c>
      <c r="AE429" s="80" t="str">
        <f>HYPERLINK("https://twitter.com/fabriciane_20/status/1639275028490452992")</f>
        <v>https://twitter.com/fabriciane_20/status/1639275028490452992</v>
      </c>
      <c r="AF429" s="79">
        <v>45009.608761574076</v>
      </c>
      <c r="AG429" s="85">
        <v>45009</v>
      </c>
      <c r="AH429" s="82" t="s">
        <v>10621</v>
      </c>
      <c r="AI429" s="77" t="b">
        <v>0</v>
      </c>
      <c r="AJ429" s="77"/>
      <c r="AK429" s="77"/>
      <c r="AL429" s="77"/>
      <c r="AM429" s="77"/>
      <c r="AN429" s="77"/>
      <c r="AO429" s="77"/>
      <c r="AP429" s="77"/>
      <c r="AQ429" s="77"/>
      <c r="AR429" s="77"/>
      <c r="AS429" s="77"/>
      <c r="AT429" s="77"/>
      <c r="AU429" s="77"/>
      <c r="AV429" s="80" t="str">
        <f>HYPERLINK("https://pbs.twimg.com/profile_images/1647965281023655937/QmyqHWpl_normal.jpg")</f>
        <v>https://pbs.twimg.com/profile_images/1647965281023655937/QmyqHWpl_normal.jpg</v>
      </c>
      <c r="AW429" s="82" t="s">
        <v>17202</v>
      </c>
      <c r="AX429" s="82" t="s">
        <v>17202</v>
      </c>
      <c r="AY429" s="77"/>
      <c r="AZ429" s="82" t="s">
        <v>20971</v>
      </c>
      <c r="BA429" s="82" t="s">
        <v>20971</v>
      </c>
      <c r="BB429" s="82" t="s">
        <v>20971</v>
      </c>
      <c r="BC429" s="82" t="s">
        <v>17202</v>
      </c>
      <c r="BD429" s="82" t="s">
        <v>21132</v>
      </c>
      <c r="BE429" s="77"/>
      <c r="BF429" s="77"/>
      <c r="BG429" s="77"/>
      <c r="BH429" s="77"/>
      <c r="BI429" s="77"/>
    </row>
    <row r="430" spans="1:61" x14ac:dyDescent="0.25">
      <c r="A430" s="62" t="s">
        <v>388</v>
      </c>
      <c r="B430" s="62" t="s">
        <v>388</v>
      </c>
      <c r="C430" s="63"/>
      <c r="D430" s="64"/>
      <c r="E430" s="65"/>
      <c r="F430" s="66"/>
      <c r="G430" s="63"/>
      <c r="H430" s="67"/>
      <c r="I430" s="68"/>
      <c r="J430" s="68"/>
      <c r="K430" s="32"/>
      <c r="L430" s="75">
        <v>430</v>
      </c>
      <c r="M430" s="75"/>
      <c r="N430" s="70"/>
      <c r="O430" s="77" t="s">
        <v>179</v>
      </c>
      <c r="P430" s="79">
        <v>45042.956446759257</v>
      </c>
      <c r="Q430" s="77" t="s">
        <v>1713</v>
      </c>
      <c r="R430" s="77">
        <v>0</v>
      </c>
      <c r="S430" s="77">
        <v>1</v>
      </c>
      <c r="T430" s="77">
        <v>6</v>
      </c>
      <c r="U430" s="77">
        <v>0</v>
      </c>
      <c r="V430" s="77">
        <v>234</v>
      </c>
      <c r="W430" s="82" t="s">
        <v>5517</v>
      </c>
      <c r="X430" s="80" t="str">
        <f>HYPERLINK("https://s.kwai.app/w/nNj-uxS5")</f>
        <v>https://s.kwai.app/w/nNj-uxS5</v>
      </c>
      <c r="Y430" s="77" t="s">
        <v>7292</v>
      </c>
      <c r="Z430" s="77"/>
      <c r="AA430" s="77"/>
      <c r="AB430" s="77"/>
      <c r="AC430" s="82" t="s">
        <v>10144</v>
      </c>
      <c r="AD430" s="77" t="s">
        <v>10184</v>
      </c>
      <c r="AE430" s="80" t="str">
        <f>HYPERLINK("https://twitter.com/fabriciane_20/status/1651359823231893506")</f>
        <v>https://twitter.com/fabriciane_20/status/1651359823231893506</v>
      </c>
      <c r="AF430" s="79">
        <v>45042.956446759257</v>
      </c>
      <c r="AG430" s="85">
        <v>45042</v>
      </c>
      <c r="AH430" s="82" t="s">
        <v>10622</v>
      </c>
      <c r="AI430" s="77" t="b">
        <v>0</v>
      </c>
      <c r="AJ430" s="77"/>
      <c r="AK430" s="77"/>
      <c r="AL430" s="77"/>
      <c r="AM430" s="77"/>
      <c r="AN430" s="77"/>
      <c r="AO430" s="77"/>
      <c r="AP430" s="77"/>
      <c r="AQ430" s="77"/>
      <c r="AR430" s="77"/>
      <c r="AS430" s="77"/>
      <c r="AT430" s="77"/>
      <c r="AU430" s="77"/>
      <c r="AV430" s="80" t="str">
        <f>HYPERLINK("https://pbs.twimg.com/profile_images/1647965281023655937/QmyqHWpl_normal.jpg")</f>
        <v>https://pbs.twimg.com/profile_images/1647965281023655937/QmyqHWpl_normal.jpg</v>
      </c>
      <c r="AW430" s="82" t="s">
        <v>17203</v>
      </c>
      <c r="AX430" s="82" t="s">
        <v>17203</v>
      </c>
      <c r="AY430" s="77"/>
      <c r="AZ430" s="82" t="s">
        <v>20971</v>
      </c>
      <c r="BA430" s="82" t="s">
        <v>20971</v>
      </c>
      <c r="BB430" s="82" t="s">
        <v>20971</v>
      </c>
      <c r="BC430" s="82" t="s">
        <v>17203</v>
      </c>
      <c r="BD430" s="82" t="s">
        <v>21132</v>
      </c>
      <c r="BE430" s="77"/>
      <c r="BF430" s="77"/>
      <c r="BG430" s="77"/>
      <c r="BH430" s="77"/>
      <c r="BI430" s="77"/>
    </row>
    <row r="431" spans="1:61" x14ac:dyDescent="0.25">
      <c r="A431" s="62" t="s">
        <v>388</v>
      </c>
      <c r="B431" s="62" t="s">
        <v>388</v>
      </c>
      <c r="C431" s="63"/>
      <c r="D431" s="64"/>
      <c r="E431" s="65"/>
      <c r="F431" s="66"/>
      <c r="G431" s="63"/>
      <c r="H431" s="67"/>
      <c r="I431" s="68"/>
      <c r="J431" s="68"/>
      <c r="K431" s="32"/>
      <c r="L431" s="75">
        <v>431</v>
      </c>
      <c r="M431" s="75"/>
      <c r="N431" s="70"/>
      <c r="O431" s="77" t="s">
        <v>179</v>
      </c>
      <c r="P431" s="79">
        <v>45040.641365740739</v>
      </c>
      <c r="Q431" s="77" t="s">
        <v>1714</v>
      </c>
      <c r="R431" s="77">
        <v>0</v>
      </c>
      <c r="S431" s="77">
        <v>0</v>
      </c>
      <c r="T431" s="77">
        <v>0</v>
      </c>
      <c r="U431" s="77">
        <v>0</v>
      </c>
      <c r="V431" s="77">
        <v>89</v>
      </c>
      <c r="W431" s="82" t="s">
        <v>5518</v>
      </c>
      <c r="X431" s="77"/>
      <c r="Y431" s="77"/>
      <c r="Z431" s="77"/>
      <c r="AA431" s="77" t="s">
        <v>7818</v>
      </c>
      <c r="AB431" s="77" t="s">
        <v>10128</v>
      </c>
      <c r="AC431" s="82" t="s">
        <v>10144</v>
      </c>
      <c r="AD431" s="77" t="s">
        <v>10184</v>
      </c>
      <c r="AE431" s="80" t="str">
        <f>HYPERLINK("https://twitter.com/fabriciane_20/status/1650520868231979010")</f>
        <v>https://twitter.com/fabriciane_20/status/1650520868231979010</v>
      </c>
      <c r="AF431" s="79">
        <v>45040.641365740739</v>
      </c>
      <c r="AG431" s="85">
        <v>45040</v>
      </c>
      <c r="AH431" s="82" t="s">
        <v>10623</v>
      </c>
      <c r="AI431" s="77" t="b">
        <v>0</v>
      </c>
      <c r="AJ431" s="77"/>
      <c r="AK431" s="77"/>
      <c r="AL431" s="77"/>
      <c r="AM431" s="77"/>
      <c r="AN431" s="77"/>
      <c r="AO431" s="77"/>
      <c r="AP431" s="77"/>
      <c r="AQ431" s="77" t="s">
        <v>14462</v>
      </c>
      <c r="AR431" s="77"/>
      <c r="AS431" s="77"/>
      <c r="AT431" s="77"/>
      <c r="AU431" s="77"/>
      <c r="AV431" s="80" t="str">
        <f>HYPERLINK("https://pbs.twimg.com/media/FufT-fiXsAQq2oh.jpg")</f>
        <v>https://pbs.twimg.com/media/FufT-fiXsAQq2oh.jpg</v>
      </c>
      <c r="AW431" s="82" t="s">
        <v>17204</v>
      </c>
      <c r="AX431" s="82" t="s">
        <v>17204</v>
      </c>
      <c r="AY431" s="77"/>
      <c r="AZ431" s="82" t="s">
        <v>20971</v>
      </c>
      <c r="BA431" s="82" t="s">
        <v>20971</v>
      </c>
      <c r="BB431" s="82" t="s">
        <v>20971</v>
      </c>
      <c r="BC431" s="82" t="s">
        <v>17204</v>
      </c>
      <c r="BD431" s="82" t="s">
        <v>21132</v>
      </c>
      <c r="BE431" s="77"/>
      <c r="BF431" s="77"/>
      <c r="BG431" s="77"/>
      <c r="BH431" s="77"/>
      <c r="BI431" s="77"/>
    </row>
    <row r="432" spans="1:61" x14ac:dyDescent="0.25">
      <c r="A432" s="62" t="s">
        <v>389</v>
      </c>
      <c r="B432" s="62" t="s">
        <v>389</v>
      </c>
      <c r="C432" s="63"/>
      <c r="D432" s="64"/>
      <c r="E432" s="65"/>
      <c r="F432" s="66"/>
      <c r="G432" s="63"/>
      <c r="H432" s="67"/>
      <c r="I432" s="68"/>
      <c r="J432" s="68"/>
      <c r="K432" s="32"/>
      <c r="L432" s="75">
        <v>432</v>
      </c>
      <c r="M432" s="75"/>
      <c r="N432" s="70"/>
      <c r="O432" s="77" t="s">
        <v>179</v>
      </c>
      <c r="P432" s="79">
        <v>45030.68644675926</v>
      </c>
      <c r="Q432" s="77" t="s">
        <v>1715</v>
      </c>
      <c r="R432" s="77">
        <v>0</v>
      </c>
      <c r="S432" s="77">
        <v>2</v>
      </c>
      <c r="T432" s="77">
        <v>0</v>
      </c>
      <c r="U432" s="77">
        <v>0</v>
      </c>
      <c r="V432" s="77">
        <v>32</v>
      </c>
      <c r="W432" s="82" t="s">
        <v>5519</v>
      </c>
      <c r="X432" s="80" t="str">
        <f>HYPERLINK("https://leidimaia.blogspot.com/2023/04/profissoesparatrabalhardiretodocelular.html?spref=tw")</f>
        <v>https://leidimaia.blogspot.com/2023/04/profissoesparatrabalhardiretodocelular.html?spref=tw</v>
      </c>
      <c r="Y432" s="77" t="s">
        <v>7261</v>
      </c>
      <c r="Z432" s="77"/>
      <c r="AA432" s="77" t="s">
        <v>7819</v>
      </c>
      <c r="AB432" s="77" t="s">
        <v>10130</v>
      </c>
      <c r="AC432" s="82" t="s">
        <v>10146</v>
      </c>
      <c r="AD432" s="77" t="s">
        <v>10184</v>
      </c>
      <c r="AE432" s="80" t="str">
        <f>HYPERLINK("https://twitter.com/leidimaia_/status/1646913325190594562")</f>
        <v>https://twitter.com/leidimaia_/status/1646913325190594562</v>
      </c>
      <c r="AF432" s="79">
        <v>45030.68644675926</v>
      </c>
      <c r="AG432" s="85">
        <v>45030</v>
      </c>
      <c r="AH432" s="82" t="s">
        <v>10624</v>
      </c>
      <c r="AI432" s="77" t="b">
        <v>0</v>
      </c>
      <c r="AJ432" s="77"/>
      <c r="AK432" s="77"/>
      <c r="AL432" s="77"/>
      <c r="AM432" s="77"/>
      <c r="AN432" s="77"/>
      <c r="AO432" s="77"/>
      <c r="AP432" s="77"/>
      <c r="AQ432" s="77" t="s">
        <v>14463</v>
      </c>
      <c r="AR432" s="77"/>
      <c r="AS432" s="77"/>
      <c r="AT432" s="77"/>
      <c r="AU432" s="77"/>
      <c r="AV432" s="80" t="str">
        <f>HYPERLINK("https://pbs.twimg.com/media/FtsC7HZWYAswmCp.jpg")</f>
        <v>https://pbs.twimg.com/media/FtsC7HZWYAswmCp.jpg</v>
      </c>
      <c r="AW432" s="82" t="s">
        <v>17205</v>
      </c>
      <c r="AX432" s="82" t="s">
        <v>17205</v>
      </c>
      <c r="AY432" s="77"/>
      <c r="AZ432" s="82" t="s">
        <v>20971</v>
      </c>
      <c r="BA432" s="82" t="s">
        <v>20971</v>
      </c>
      <c r="BB432" s="82" t="s">
        <v>20971</v>
      </c>
      <c r="BC432" s="82" t="s">
        <v>17205</v>
      </c>
      <c r="BD432" s="82" t="s">
        <v>21133</v>
      </c>
      <c r="BE432" s="77"/>
      <c r="BF432" s="77"/>
      <c r="BG432" s="77"/>
      <c r="BH432" s="77"/>
      <c r="BI432" s="77"/>
    </row>
    <row r="433" spans="1:61" x14ac:dyDescent="0.25">
      <c r="A433" s="62" t="s">
        <v>390</v>
      </c>
      <c r="B433" s="62" t="s">
        <v>390</v>
      </c>
      <c r="C433" s="63"/>
      <c r="D433" s="64"/>
      <c r="E433" s="65"/>
      <c r="F433" s="66"/>
      <c r="G433" s="63"/>
      <c r="H433" s="67"/>
      <c r="I433" s="68"/>
      <c r="J433" s="68"/>
      <c r="K433" s="32"/>
      <c r="L433" s="75">
        <v>433</v>
      </c>
      <c r="M433" s="75"/>
      <c r="N433" s="70"/>
      <c r="O433" s="77" t="s">
        <v>179</v>
      </c>
      <c r="P433" s="79">
        <v>45146.953969907408</v>
      </c>
      <c r="Q433" s="77" t="s">
        <v>1716</v>
      </c>
      <c r="R433" s="77">
        <v>0</v>
      </c>
      <c r="S433" s="77">
        <v>0</v>
      </c>
      <c r="T433" s="77">
        <v>0</v>
      </c>
      <c r="U433" s="77">
        <v>0</v>
      </c>
      <c r="V433" s="77">
        <v>14</v>
      </c>
      <c r="W433" s="82" t="s">
        <v>5520</v>
      </c>
      <c r="X433" s="80" t="str">
        <f>HYPERLINK("https://youtu.be/NDYlyA1apt0")</f>
        <v>https://youtu.be/NDYlyA1apt0</v>
      </c>
      <c r="Y433" s="77" t="s">
        <v>7248</v>
      </c>
      <c r="Z433" s="77"/>
      <c r="AA433" s="77"/>
      <c r="AB433" s="77"/>
      <c r="AC433" s="82" t="s">
        <v>10144</v>
      </c>
      <c r="AD433" s="77" t="s">
        <v>10189</v>
      </c>
      <c r="AE433" s="80" t="str">
        <f>HYPERLINK("https://twitter.com/dicasdeumadm/status/1689047266332479489")</f>
        <v>https://twitter.com/dicasdeumadm/status/1689047266332479489</v>
      </c>
      <c r="AF433" s="79">
        <v>45146.953969907408</v>
      </c>
      <c r="AG433" s="85">
        <v>45146</v>
      </c>
      <c r="AH433" s="82" t="s">
        <v>10625</v>
      </c>
      <c r="AI433" s="77" t="b">
        <v>0</v>
      </c>
      <c r="AJ433" s="77"/>
      <c r="AK433" s="77"/>
      <c r="AL433" s="77"/>
      <c r="AM433" s="77"/>
      <c r="AN433" s="77"/>
      <c r="AO433" s="77"/>
      <c r="AP433" s="77"/>
      <c r="AQ433" s="77"/>
      <c r="AR433" s="77"/>
      <c r="AS433" s="77"/>
      <c r="AT433" s="77"/>
      <c r="AU433" s="77"/>
      <c r="AV433" s="80" t="str">
        <f>HYPERLINK("https://pbs.twimg.com/profile_images/1654255591567638528/IouWXOEX_normal.jpg")</f>
        <v>https://pbs.twimg.com/profile_images/1654255591567638528/IouWXOEX_normal.jpg</v>
      </c>
      <c r="AW433" s="82" t="s">
        <v>17206</v>
      </c>
      <c r="AX433" s="82" t="s">
        <v>17206</v>
      </c>
      <c r="AY433" s="77"/>
      <c r="AZ433" s="82" t="s">
        <v>20971</v>
      </c>
      <c r="BA433" s="82" t="s">
        <v>20971</v>
      </c>
      <c r="BB433" s="82" t="s">
        <v>20971</v>
      </c>
      <c r="BC433" s="82" t="s">
        <v>17206</v>
      </c>
      <c r="BD433" s="82" t="s">
        <v>21134</v>
      </c>
      <c r="BE433" s="77"/>
      <c r="BF433" s="77"/>
      <c r="BG433" s="77"/>
      <c r="BH433" s="77"/>
      <c r="BI433" s="77"/>
    </row>
    <row r="434" spans="1:61" x14ac:dyDescent="0.25">
      <c r="A434" s="62" t="s">
        <v>391</v>
      </c>
      <c r="B434" s="62" t="s">
        <v>391</v>
      </c>
      <c r="C434" s="63"/>
      <c r="D434" s="64"/>
      <c r="E434" s="65"/>
      <c r="F434" s="66"/>
      <c r="G434" s="63"/>
      <c r="H434" s="67"/>
      <c r="I434" s="68"/>
      <c r="J434" s="68"/>
      <c r="K434" s="32"/>
      <c r="L434" s="75">
        <v>434</v>
      </c>
      <c r="M434" s="75"/>
      <c r="N434" s="70"/>
      <c r="O434" s="77" t="s">
        <v>179</v>
      </c>
      <c r="P434" s="79">
        <v>44977.666516203702</v>
      </c>
      <c r="Q434" s="77" t="s">
        <v>1717</v>
      </c>
      <c r="R434" s="77">
        <v>0</v>
      </c>
      <c r="S434" s="77">
        <v>0</v>
      </c>
      <c r="T434" s="77">
        <v>0</v>
      </c>
      <c r="U434" s="77">
        <v>0</v>
      </c>
      <c r="V434" s="77">
        <v>21</v>
      </c>
      <c r="W434" s="82" t="s">
        <v>5521</v>
      </c>
      <c r="X434" s="80" t="str">
        <f>HYPERLINK("https://sun.eduzz.com/1510441?a=1047523031")</f>
        <v>https://sun.eduzz.com/1510441?a=1047523031</v>
      </c>
      <c r="Y434" s="77" t="s">
        <v>7245</v>
      </c>
      <c r="Z434" s="77"/>
      <c r="AA434" s="77"/>
      <c r="AB434" s="77"/>
      <c r="AC434" s="82" t="s">
        <v>10144</v>
      </c>
      <c r="AD434" s="77" t="s">
        <v>10184</v>
      </c>
      <c r="AE434" s="80" t="str">
        <f>HYPERLINK("https://twitter.com/beasikeira/status/1627699544103219204")</f>
        <v>https://twitter.com/beasikeira/status/1627699544103219204</v>
      </c>
      <c r="AF434" s="79">
        <v>44977.666516203702</v>
      </c>
      <c r="AG434" s="85">
        <v>44977</v>
      </c>
      <c r="AH434" s="82" t="s">
        <v>10626</v>
      </c>
      <c r="AI434" s="77" t="b">
        <v>0</v>
      </c>
      <c r="AJ434" s="77"/>
      <c r="AK434" s="77"/>
      <c r="AL434" s="77"/>
      <c r="AM434" s="77"/>
      <c r="AN434" s="77"/>
      <c r="AO434" s="77"/>
      <c r="AP434" s="77"/>
      <c r="AQ434" s="77"/>
      <c r="AR434" s="77"/>
      <c r="AS434" s="77"/>
      <c r="AT434" s="77"/>
      <c r="AU434" s="77"/>
      <c r="AV434" s="80" t="str">
        <f>HYPERLINK("https://pbs.twimg.com/profile_images/1604149612566220801/UCpxGcQc_normal.jpg")</f>
        <v>https://pbs.twimg.com/profile_images/1604149612566220801/UCpxGcQc_normal.jpg</v>
      </c>
      <c r="AW434" s="82" t="s">
        <v>17207</v>
      </c>
      <c r="AX434" s="82" t="s">
        <v>17207</v>
      </c>
      <c r="AY434" s="77"/>
      <c r="AZ434" s="82" t="s">
        <v>20971</v>
      </c>
      <c r="BA434" s="82" t="s">
        <v>20971</v>
      </c>
      <c r="BB434" s="82" t="s">
        <v>20971</v>
      </c>
      <c r="BC434" s="82" t="s">
        <v>17207</v>
      </c>
      <c r="BD434" s="82" t="s">
        <v>21135</v>
      </c>
      <c r="BE434" s="77"/>
      <c r="BF434" s="77"/>
      <c r="BG434" s="77"/>
      <c r="BH434" s="77"/>
      <c r="BI434" s="77"/>
    </row>
    <row r="435" spans="1:61" x14ac:dyDescent="0.25">
      <c r="A435" s="62" t="s">
        <v>392</v>
      </c>
      <c r="B435" s="62" t="s">
        <v>392</v>
      </c>
      <c r="C435" s="63"/>
      <c r="D435" s="64"/>
      <c r="E435" s="65"/>
      <c r="F435" s="66"/>
      <c r="G435" s="63"/>
      <c r="H435" s="67"/>
      <c r="I435" s="68"/>
      <c r="J435" s="68"/>
      <c r="K435" s="32"/>
      <c r="L435" s="75">
        <v>435</v>
      </c>
      <c r="M435" s="75"/>
      <c r="N435" s="70"/>
      <c r="O435" s="77" t="s">
        <v>1285</v>
      </c>
      <c r="P435" s="79">
        <v>44975.667002314818</v>
      </c>
      <c r="Q435" s="77" t="s">
        <v>1718</v>
      </c>
      <c r="R435" s="77">
        <v>0</v>
      </c>
      <c r="S435" s="77">
        <v>0</v>
      </c>
      <c r="T435" s="77">
        <v>0</v>
      </c>
      <c r="U435" s="77">
        <v>0</v>
      </c>
      <c r="V435" s="77">
        <v>12</v>
      </c>
      <c r="W435" s="82" t="s">
        <v>5522</v>
      </c>
      <c r="X435" s="77"/>
      <c r="Y435" s="77"/>
      <c r="Z435" s="77" t="s">
        <v>392</v>
      </c>
      <c r="AA435" s="77" t="s">
        <v>7820</v>
      </c>
      <c r="AB435" s="77" t="s">
        <v>10129</v>
      </c>
      <c r="AC435" s="82" t="s">
        <v>10154</v>
      </c>
      <c r="AD435" s="77" t="s">
        <v>10184</v>
      </c>
      <c r="AE435" s="80" t="str">
        <f>HYPERLINK("https://twitter.com/laerciolobanco/status/1626974947229794304")</f>
        <v>https://twitter.com/laerciolobanco/status/1626974947229794304</v>
      </c>
      <c r="AF435" s="79">
        <v>44975.667002314818</v>
      </c>
      <c r="AG435" s="85">
        <v>44975</v>
      </c>
      <c r="AH435" s="82" t="s">
        <v>10627</v>
      </c>
      <c r="AI435" s="77" t="b">
        <v>0</v>
      </c>
      <c r="AJ435" s="77"/>
      <c r="AK435" s="77"/>
      <c r="AL435" s="77"/>
      <c r="AM435" s="77"/>
      <c r="AN435" s="77"/>
      <c r="AO435" s="77"/>
      <c r="AP435" s="77"/>
      <c r="AQ435" s="77" t="s">
        <v>14464</v>
      </c>
      <c r="AR435" s="77">
        <v>55066</v>
      </c>
      <c r="AS435" s="77"/>
      <c r="AT435" s="77"/>
      <c r="AU435" s="77"/>
      <c r="AV435" s="80" t="str">
        <f>HYPERLINK("https://pbs.twimg.com/ext_tw_video_thumb/1626974889860034561/pu/img/1yHy1InDjlG1107f.jpg")</f>
        <v>https://pbs.twimg.com/ext_tw_video_thumb/1626974889860034561/pu/img/1yHy1InDjlG1107f.jpg</v>
      </c>
      <c r="AW435" s="82" t="s">
        <v>17208</v>
      </c>
      <c r="AX435" s="82" t="s">
        <v>17208</v>
      </c>
      <c r="AY435" s="77"/>
      <c r="AZ435" s="82" t="s">
        <v>20971</v>
      </c>
      <c r="BA435" s="82" t="s">
        <v>20971</v>
      </c>
      <c r="BB435" s="82" t="s">
        <v>20971</v>
      </c>
      <c r="BC435" s="82" t="s">
        <v>17208</v>
      </c>
      <c r="BD435" s="82" t="s">
        <v>21136</v>
      </c>
      <c r="BE435" s="77"/>
      <c r="BF435" s="77"/>
      <c r="BG435" s="77"/>
      <c r="BH435" s="77"/>
      <c r="BI435" s="77"/>
    </row>
    <row r="436" spans="1:61" x14ac:dyDescent="0.25">
      <c r="A436" s="62" t="s">
        <v>392</v>
      </c>
      <c r="B436" s="62" t="s">
        <v>392</v>
      </c>
      <c r="C436" s="63"/>
      <c r="D436" s="64"/>
      <c r="E436" s="65"/>
      <c r="F436" s="66"/>
      <c r="G436" s="63"/>
      <c r="H436" s="67"/>
      <c r="I436" s="68"/>
      <c r="J436" s="68"/>
      <c r="K436" s="32"/>
      <c r="L436" s="75">
        <v>436</v>
      </c>
      <c r="M436" s="75"/>
      <c r="N436" s="70"/>
      <c r="O436" s="77" t="s">
        <v>1285</v>
      </c>
      <c r="P436" s="79">
        <v>45021.04184027778</v>
      </c>
      <c r="Q436" s="77" t="s">
        <v>1719</v>
      </c>
      <c r="R436" s="77">
        <v>0</v>
      </c>
      <c r="S436" s="77">
        <v>1</v>
      </c>
      <c r="T436" s="77">
        <v>0</v>
      </c>
      <c r="U436" s="77">
        <v>0</v>
      </c>
      <c r="V436" s="77">
        <v>9</v>
      </c>
      <c r="W436" s="82" t="s">
        <v>5522</v>
      </c>
      <c r="X436" s="77"/>
      <c r="Y436" s="77"/>
      <c r="Z436" s="77" t="s">
        <v>392</v>
      </c>
      <c r="AA436" s="77" t="s">
        <v>7821</v>
      </c>
      <c r="AB436" s="77" t="s">
        <v>10130</v>
      </c>
      <c r="AC436" s="82" t="s">
        <v>10154</v>
      </c>
      <c r="AD436" s="77" t="s">
        <v>10184</v>
      </c>
      <c r="AE436" s="80" t="str">
        <f>HYPERLINK("https://twitter.com/laerciolobanco/status/1643418235482812416")</f>
        <v>https://twitter.com/laerciolobanco/status/1643418235482812416</v>
      </c>
      <c r="AF436" s="79">
        <v>45021.04184027778</v>
      </c>
      <c r="AG436" s="85">
        <v>45021</v>
      </c>
      <c r="AH436" s="82" t="s">
        <v>10628</v>
      </c>
      <c r="AI436" s="77" t="b">
        <v>0</v>
      </c>
      <c r="AJ436" s="77"/>
      <c r="AK436" s="77"/>
      <c r="AL436" s="77"/>
      <c r="AM436" s="77"/>
      <c r="AN436" s="77"/>
      <c r="AO436" s="77"/>
      <c r="AP436" s="77"/>
      <c r="AQ436" s="77" t="s">
        <v>14465</v>
      </c>
      <c r="AR436" s="77"/>
      <c r="AS436" s="77"/>
      <c r="AT436" s="77"/>
      <c r="AU436" s="77"/>
      <c r="AV436" s="80" t="str">
        <f>HYPERLINK("https://pbs.twimg.com/media/Fs6YLRzWIAQFkYz.jpg")</f>
        <v>https://pbs.twimg.com/media/Fs6YLRzWIAQFkYz.jpg</v>
      </c>
      <c r="AW436" s="82" t="s">
        <v>17209</v>
      </c>
      <c r="AX436" s="82" t="s">
        <v>17209</v>
      </c>
      <c r="AY436" s="77"/>
      <c r="AZ436" s="82" t="s">
        <v>20971</v>
      </c>
      <c r="BA436" s="82" t="s">
        <v>20971</v>
      </c>
      <c r="BB436" s="82" t="s">
        <v>20971</v>
      </c>
      <c r="BC436" s="82" t="s">
        <v>17209</v>
      </c>
      <c r="BD436" s="82" t="s">
        <v>21136</v>
      </c>
      <c r="BE436" s="77"/>
      <c r="BF436" s="77"/>
      <c r="BG436" s="77"/>
      <c r="BH436" s="77"/>
      <c r="BI436" s="77"/>
    </row>
    <row r="437" spans="1:61" x14ac:dyDescent="0.25">
      <c r="A437" s="62" t="s">
        <v>392</v>
      </c>
      <c r="B437" s="62" t="s">
        <v>392</v>
      </c>
      <c r="C437" s="63"/>
      <c r="D437" s="64"/>
      <c r="E437" s="65"/>
      <c r="F437" s="66"/>
      <c r="G437" s="63"/>
      <c r="H437" s="67"/>
      <c r="I437" s="68"/>
      <c r="J437" s="68"/>
      <c r="K437" s="32"/>
      <c r="L437" s="75">
        <v>437</v>
      </c>
      <c r="M437" s="75"/>
      <c r="N437" s="70"/>
      <c r="O437" s="77" t="s">
        <v>1285</v>
      </c>
      <c r="P437" s="79">
        <v>45020.041875000003</v>
      </c>
      <c r="Q437" s="77" t="s">
        <v>1720</v>
      </c>
      <c r="R437" s="77">
        <v>0</v>
      </c>
      <c r="S437" s="77">
        <v>0</v>
      </c>
      <c r="T437" s="77">
        <v>0</v>
      </c>
      <c r="U437" s="77">
        <v>0</v>
      </c>
      <c r="V437" s="77">
        <v>9</v>
      </c>
      <c r="W437" s="82" t="s">
        <v>5522</v>
      </c>
      <c r="X437" s="77"/>
      <c r="Y437" s="77"/>
      <c r="Z437" s="77" t="s">
        <v>392</v>
      </c>
      <c r="AA437" s="77" t="s">
        <v>7822</v>
      </c>
      <c r="AB437" s="77" t="s">
        <v>10130</v>
      </c>
      <c r="AC437" s="82" t="s">
        <v>10154</v>
      </c>
      <c r="AD437" s="77" t="s">
        <v>10184</v>
      </c>
      <c r="AE437" s="80" t="str">
        <f>HYPERLINK("https://twitter.com/laerciolobanco/status/1643055860845780992")</f>
        <v>https://twitter.com/laerciolobanco/status/1643055860845780992</v>
      </c>
      <c r="AF437" s="79">
        <v>45020.041875000003</v>
      </c>
      <c r="AG437" s="85">
        <v>45020</v>
      </c>
      <c r="AH437" s="82" t="s">
        <v>10629</v>
      </c>
      <c r="AI437" s="77" t="b">
        <v>0</v>
      </c>
      <c r="AJ437" s="77"/>
      <c r="AK437" s="77"/>
      <c r="AL437" s="77"/>
      <c r="AM437" s="77"/>
      <c r="AN437" s="77"/>
      <c r="AO437" s="77"/>
      <c r="AP437" s="77"/>
      <c r="AQ437" s="77" t="s">
        <v>14466</v>
      </c>
      <c r="AR437" s="77"/>
      <c r="AS437" s="77"/>
      <c r="AT437" s="77"/>
      <c r="AU437" s="77"/>
      <c r="AV437" s="80" t="str">
        <f>HYPERLINK("https://pbs.twimg.com/media/Fs1OmSIXoAUfk4A.jpg")</f>
        <v>https://pbs.twimg.com/media/Fs1OmSIXoAUfk4A.jpg</v>
      </c>
      <c r="AW437" s="82" t="s">
        <v>17210</v>
      </c>
      <c r="AX437" s="82" t="s">
        <v>17210</v>
      </c>
      <c r="AY437" s="77"/>
      <c r="AZ437" s="82" t="s">
        <v>20971</v>
      </c>
      <c r="BA437" s="82" t="s">
        <v>20971</v>
      </c>
      <c r="BB437" s="82" t="s">
        <v>20971</v>
      </c>
      <c r="BC437" s="82" t="s">
        <v>17210</v>
      </c>
      <c r="BD437" s="82" t="s">
        <v>21136</v>
      </c>
      <c r="BE437" s="77"/>
      <c r="BF437" s="77"/>
      <c r="BG437" s="77"/>
      <c r="BH437" s="77"/>
      <c r="BI437" s="77"/>
    </row>
    <row r="438" spans="1:61" x14ac:dyDescent="0.25">
      <c r="A438" s="62" t="s">
        <v>392</v>
      </c>
      <c r="B438" s="62" t="s">
        <v>392</v>
      </c>
      <c r="C438" s="63"/>
      <c r="D438" s="64"/>
      <c r="E438" s="65"/>
      <c r="F438" s="66"/>
      <c r="G438" s="63"/>
      <c r="H438" s="67"/>
      <c r="I438" s="68"/>
      <c r="J438" s="68"/>
      <c r="K438" s="32"/>
      <c r="L438" s="75">
        <v>438</v>
      </c>
      <c r="M438" s="75"/>
      <c r="N438" s="70"/>
      <c r="O438" s="77" t="s">
        <v>1285</v>
      </c>
      <c r="P438" s="79">
        <v>45001.04184027778</v>
      </c>
      <c r="Q438" s="77" t="s">
        <v>1721</v>
      </c>
      <c r="R438" s="77">
        <v>0</v>
      </c>
      <c r="S438" s="77">
        <v>0</v>
      </c>
      <c r="T438" s="77">
        <v>0</v>
      </c>
      <c r="U438" s="77">
        <v>0</v>
      </c>
      <c r="V438" s="77">
        <v>10</v>
      </c>
      <c r="W438" s="82" t="s">
        <v>5522</v>
      </c>
      <c r="X438" s="77"/>
      <c r="Y438" s="77"/>
      <c r="Z438" s="77" t="s">
        <v>392</v>
      </c>
      <c r="AA438" s="77" t="s">
        <v>7823</v>
      </c>
      <c r="AB438" s="77" t="s">
        <v>10130</v>
      </c>
      <c r="AC438" s="82" t="s">
        <v>10154</v>
      </c>
      <c r="AD438" s="77" t="s">
        <v>10184</v>
      </c>
      <c r="AE438" s="80" t="str">
        <f>HYPERLINK("https://twitter.com/laerciolobanco/status/1636170480179634179")</f>
        <v>https://twitter.com/laerciolobanco/status/1636170480179634179</v>
      </c>
      <c r="AF438" s="79">
        <v>45001.04184027778</v>
      </c>
      <c r="AG438" s="85">
        <v>45001</v>
      </c>
      <c r="AH438" s="82" t="s">
        <v>10628</v>
      </c>
      <c r="AI438" s="77" t="b">
        <v>0</v>
      </c>
      <c r="AJ438" s="77"/>
      <c r="AK438" s="77"/>
      <c r="AL438" s="77"/>
      <c r="AM438" s="77"/>
      <c r="AN438" s="77"/>
      <c r="AO438" s="77"/>
      <c r="AP438" s="77"/>
      <c r="AQ438" s="77" t="s">
        <v>14467</v>
      </c>
      <c r="AR438" s="77"/>
      <c r="AS438" s="77"/>
      <c r="AT438" s="77"/>
      <c r="AU438" s="77"/>
      <c r="AV438" s="80" t="str">
        <f>HYPERLINK("https://pbs.twimg.com/media/FrTYYZrWYAI70V4.jpg")</f>
        <v>https://pbs.twimg.com/media/FrTYYZrWYAI70V4.jpg</v>
      </c>
      <c r="AW438" s="82" t="s">
        <v>17211</v>
      </c>
      <c r="AX438" s="82" t="s">
        <v>17211</v>
      </c>
      <c r="AY438" s="77"/>
      <c r="AZ438" s="82" t="s">
        <v>20971</v>
      </c>
      <c r="BA438" s="82" t="s">
        <v>20971</v>
      </c>
      <c r="BB438" s="82" t="s">
        <v>20971</v>
      </c>
      <c r="BC438" s="82" t="s">
        <v>17211</v>
      </c>
      <c r="BD438" s="82" t="s">
        <v>21136</v>
      </c>
      <c r="BE438" s="77"/>
      <c r="BF438" s="77"/>
      <c r="BG438" s="77"/>
      <c r="BH438" s="77"/>
      <c r="BI438" s="77"/>
    </row>
    <row r="439" spans="1:61" x14ac:dyDescent="0.25">
      <c r="A439" s="62" t="s">
        <v>392</v>
      </c>
      <c r="B439" s="62" t="s">
        <v>392</v>
      </c>
      <c r="C439" s="63"/>
      <c r="D439" s="64"/>
      <c r="E439" s="65"/>
      <c r="F439" s="66"/>
      <c r="G439" s="63"/>
      <c r="H439" s="67"/>
      <c r="I439" s="68"/>
      <c r="J439" s="68"/>
      <c r="K439" s="32"/>
      <c r="L439" s="75">
        <v>439</v>
      </c>
      <c r="M439" s="75"/>
      <c r="N439" s="70"/>
      <c r="O439" s="77" t="s">
        <v>1285</v>
      </c>
      <c r="P439" s="79">
        <v>45000.041863425926</v>
      </c>
      <c r="Q439" s="77" t="s">
        <v>1722</v>
      </c>
      <c r="R439" s="77">
        <v>0</v>
      </c>
      <c r="S439" s="77">
        <v>0</v>
      </c>
      <c r="T439" s="77">
        <v>0</v>
      </c>
      <c r="U439" s="77">
        <v>0</v>
      </c>
      <c r="V439" s="77">
        <v>6</v>
      </c>
      <c r="W439" s="82" t="s">
        <v>5522</v>
      </c>
      <c r="X439" s="77"/>
      <c r="Y439" s="77"/>
      <c r="Z439" s="77" t="s">
        <v>392</v>
      </c>
      <c r="AA439" s="77" t="s">
        <v>7824</v>
      </c>
      <c r="AB439" s="77" t="s">
        <v>10130</v>
      </c>
      <c r="AC439" s="82" t="s">
        <v>10154</v>
      </c>
      <c r="AD439" s="77" t="s">
        <v>10184</v>
      </c>
      <c r="AE439" s="80" t="str">
        <f>HYPERLINK("https://twitter.com/laerciolobanco/status/1635808100002168835")</f>
        <v>https://twitter.com/laerciolobanco/status/1635808100002168835</v>
      </c>
      <c r="AF439" s="79">
        <v>45000.041863425926</v>
      </c>
      <c r="AG439" s="85">
        <v>45000</v>
      </c>
      <c r="AH439" s="82" t="s">
        <v>10630</v>
      </c>
      <c r="AI439" s="77" t="b">
        <v>0</v>
      </c>
      <c r="AJ439" s="77"/>
      <c r="AK439" s="77"/>
      <c r="AL439" s="77"/>
      <c r="AM439" s="77"/>
      <c r="AN439" s="77"/>
      <c r="AO439" s="77"/>
      <c r="AP439" s="77"/>
      <c r="AQ439" s="77" t="s">
        <v>14468</v>
      </c>
      <c r="AR439" s="77"/>
      <c r="AS439" s="77"/>
      <c r="AT439" s="77"/>
      <c r="AU439" s="77"/>
      <c r="AV439" s="80" t="str">
        <f>HYPERLINK("https://pbs.twimg.com/media/FrOOzGwWAAQ8EYw.jpg")</f>
        <v>https://pbs.twimg.com/media/FrOOzGwWAAQ8EYw.jpg</v>
      </c>
      <c r="AW439" s="82" t="s">
        <v>17212</v>
      </c>
      <c r="AX439" s="82" t="s">
        <v>17212</v>
      </c>
      <c r="AY439" s="77"/>
      <c r="AZ439" s="82" t="s">
        <v>20971</v>
      </c>
      <c r="BA439" s="82" t="s">
        <v>20971</v>
      </c>
      <c r="BB439" s="82" t="s">
        <v>20971</v>
      </c>
      <c r="BC439" s="82" t="s">
        <v>17212</v>
      </c>
      <c r="BD439" s="82" t="s">
        <v>21136</v>
      </c>
      <c r="BE439" s="77"/>
      <c r="BF439" s="77"/>
      <c r="BG439" s="77"/>
      <c r="BH439" s="77"/>
      <c r="BI439" s="77"/>
    </row>
    <row r="440" spans="1:61" x14ac:dyDescent="0.25">
      <c r="A440" s="62" t="s">
        <v>392</v>
      </c>
      <c r="B440" s="62" t="s">
        <v>392</v>
      </c>
      <c r="C440" s="63"/>
      <c r="D440" s="64"/>
      <c r="E440" s="65"/>
      <c r="F440" s="66"/>
      <c r="G440" s="63"/>
      <c r="H440" s="67"/>
      <c r="I440" s="68"/>
      <c r="J440" s="68"/>
      <c r="K440" s="32"/>
      <c r="L440" s="75">
        <v>440</v>
      </c>
      <c r="M440" s="75"/>
      <c r="N440" s="70"/>
      <c r="O440" s="77" t="s">
        <v>1285</v>
      </c>
      <c r="P440" s="79">
        <v>45179.490439814814</v>
      </c>
      <c r="Q440" s="77" t="s">
        <v>1723</v>
      </c>
      <c r="R440" s="77">
        <v>0</v>
      </c>
      <c r="S440" s="77">
        <v>0</v>
      </c>
      <c r="T440" s="77">
        <v>0</v>
      </c>
      <c r="U440" s="77">
        <v>0</v>
      </c>
      <c r="V440" s="77">
        <v>12</v>
      </c>
      <c r="W440" s="82" t="s">
        <v>5523</v>
      </c>
      <c r="X440" s="77"/>
      <c r="Y440" s="77"/>
      <c r="Z440" s="77" t="s">
        <v>392</v>
      </c>
      <c r="AA440" s="77" t="s">
        <v>7825</v>
      </c>
      <c r="AB440" s="77" t="s">
        <v>10129</v>
      </c>
      <c r="AC440" s="82" t="s">
        <v>10154</v>
      </c>
      <c r="AD440" s="77" t="s">
        <v>10184</v>
      </c>
      <c r="AE440" s="80" t="str">
        <f>HYPERLINK("https://twitter.com/laerciolobanco/status/1700838084756005316")</f>
        <v>https://twitter.com/laerciolobanco/status/1700838084756005316</v>
      </c>
      <c r="AF440" s="79">
        <v>45179.490439814814</v>
      </c>
      <c r="AG440" s="85">
        <v>45179</v>
      </c>
      <c r="AH440" s="82" t="s">
        <v>10631</v>
      </c>
      <c r="AI440" s="77" t="b">
        <v>0</v>
      </c>
      <c r="AJ440" s="77"/>
      <c r="AK440" s="77"/>
      <c r="AL440" s="77"/>
      <c r="AM440" s="77"/>
      <c r="AN440" s="77"/>
      <c r="AO440" s="77"/>
      <c r="AP440" s="77"/>
      <c r="AQ440" s="77" t="s">
        <v>14469</v>
      </c>
      <c r="AR440" s="77">
        <v>52733</v>
      </c>
      <c r="AS440" s="77"/>
      <c r="AT440" s="77"/>
      <c r="AU440" s="77"/>
      <c r="AV440" s="80" t="str">
        <f>HYPERLINK("https://pbs.twimg.com/ext_tw_video_thumb/1700838031157075968/pu/img/Uprn_5KfrXvuhBIt.jpg")</f>
        <v>https://pbs.twimg.com/ext_tw_video_thumb/1700838031157075968/pu/img/Uprn_5KfrXvuhBIt.jpg</v>
      </c>
      <c r="AW440" s="82" t="s">
        <v>17213</v>
      </c>
      <c r="AX440" s="82" t="s">
        <v>17213</v>
      </c>
      <c r="AY440" s="77"/>
      <c r="AZ440" s="82" t="s">
        <v>20971</v>
      </c>
      <c r="BA440" s="82" t="s">
        <v>20971</v>
      </c>
      <c r="BB440" s="82" t="s">
        <v>20971</v>
      </c>
      <c r="BC440" s="82" t="s">
        <v>17213</v>
      </c>
      <c r="BD440" s="82" t="s">
        <v>21136</v>
      </c>
      <c r="BE440" s="77"/>
      <c r="BF440" s="77"/>
      <c r="BG440" s="77"/>
      <c r="BH440" s="77"/>
      <c r="BI440" s="77"/>
    </row>
    <row r="441" spans="1:61" x14ac:dyDescent="0.25">
      <c r="A441" s="62" t="s">
        <v>392</v>
      </c>
      <c r="B441" s="62" t="s">
        <v>392</v>
      </c>
      <c r="C441" s="63"/>
      <c r="D441" s="64"/>
      <c r="E441" s="65"/>
      <c r="F441" s="66"/>
      <c r="G441" s="63"/>
      <c r="H441" s="67"/>
      <c r="I441" s="68"/>
      <c r="J441" s="68"/>
      <c r="K441" s="32"/>
      <c r="L441" s="75">
        <v>441</v>
      </c>
      <c r="M441" s="75"/>
      <c r="N441" s="70"/>
      <c r="O441" s="77" t="s">
        <v>1285</v>
      </c>
      <c r="P441" s="79">
        <v>45178.490335648145</v>
      </c>
      <c r="Q441" s="77" t="s">
        <v>1724</v>
      </c>
      <c r="R441" s="77">
        <v>0</v>
      </c>
      <c r="S441" s="77">
        <v>0</v>
      </c>
      <c r="T441" s="77">
        <v>0</v>
      </c>
      <c r="U441" s="77">
        <v>0</v>
      </c>
      <c r="V441" s="77">
        <v>13</v>
      </c>
      <c r="W441" s="82" t="s">
        <v>5524</v>
      </c>
      <c r="X441" s="77"/>
      <c r="Y441" s="77"/>
      <c r="Z441" s="77" t="s">
        <v>392</v>
      </c>
      <c r="AA441" s="77" t="s">
        <v>7826</v>
      </c>
      <c r="AB441" s="77" t="s">
        <v>10129</v>
      </c>
      <c r="AC441" s="82" t="s">
        <v>10154</v>
      </c>
      <c r="AD441" s="77" t="s">
        <v>10184</v>
      </c>
      <c r="AE441" s="80" t="str">
        <f>HYPERLINK("https://twitter.com/laerciolobanco/status/1700475661838659622")</f>
        <v>https://twitter.com/laerciolobanco/status/1700475661838659622</v>
      </c>
      <c r="AF441" s="79">
        <v>45178.490335648145</v>
      </c>
      <c r="AG441" s="85">
        <v>45178</v>
      </c>
      <c r="AH441" s="82" t="s">
        <v>10632</v>
      </c>
      <c r="AI441" s="77" t="b">
        <v>0</v>
      </c>
      <c r="AJ441" s="77"/>
      <c r="AK441" s="77"/>
      <c r="AL441" s="77"/>
      <c r="AM441" s="77"/>
      <c r="AN441" s="77"/>
      <c r="AO441" s="77"/>
      <c r="AP441" s="77"/>
      <c r="AQ441" s="77" t="s">
        <v>14470</v>
      </c>
      <c r="AR441" s="77">
        <v>61566</v>
      </c>
      <c r="AS441" s="77"/>
      <c r="AT441" s="77"/>
      <c r="AU441" s="77"/>
      <c r="AV441" s="80" t="str">
        <f>HYPERLINK("https://pbs.twimg.com/ext_tw_video_thumb/1700475604628393984/pu/img/6XHY-EWhAydQiJBg.jpg")</f>
        <v>https://pbs.twimg.com/ext_tw_video_thumb/1700475604628393984/pu/img/6XHY-EWhAydQiJBg.jpg</v>
      </c>
      <c r="AW441" s="82" t="s">
        <v>17214</v>
      </c>
      <c r="AX441" s="82" t="s">
        <v>17214</v>
      </c>
      <c r="AY441" s="77"/>
      <c r="AZ441" s="82" t="s">
        <v>20971</v>
      </c>
      <c r="BA441" s="82" t="s">
        <v>20971</v>
      </c>
      <c r="BB441" s="82" t="s">
        <v>20971</v>
      </c>
      <c r="BC441" s="82" t="s">
        <v>17214</v>
      </c>
      <c r="BD441" s="82" t="s">
        <v>21136</v>
      </c>
      <c r="BE441" s="77"/>
      <c r="BF441" s="77"/>
      <c r="BG441" s="77"/>
      <c r="BH441" s="77"/>
      <c r="BI441" s="77"/>
    </row>
    <row r="442" spans="1:61" x14ac:dyDescent="0.25">
      <c r="A442" s="62" t="s">
        <v>392</v>
      </c>
      <c r="B442" s="62" t="s">
        <v>392</v>
      </c>
      <c r="C442" s="63"/>
      <c r="D442" s="64"/>
      <c r="E442" s="65"/>
      <c r="F442" s="66"/>
      <c r="G442" s="63"/>
      <c r="H442" s="67"/>
      <c r="I442" s="68"/>
      <c r="J442" s="68"/>
      <c r="K442" s="32"/>
      <c r="L442" s="75">
        <v>442</v>
      </c>
      <c r="M442" s="75"/>
      <c r="N442" s="70"/>
      <c r="O442" s="77" t="s">
        <v>1285</v>
      </c>
      <c r="P442" s="79">
        <v>45157.708587962959</v>
      </c>
      <c r="Q442" s="77" t="s">
        <v>1725</v>
      </c>
      <c r="R442" s="77">
        <v>0</v>
      </c>
      <c r="S442" s="77">
        <v>0</v>
      </c>
      <c r="T442" s="77">
        <v>0</v>
      </c>
      <c r="U442" s="77">
        <v>0</v>
      </c>
      <c r="V442" s="77">
        <v>8</v>
      </c>
      <c r="W442" s="82" t="s">
        <v>5522</v>
      </c>
      <c r="X442" s="77"/>
      <c r="Y442" s="77"/>
      <c r="Z442" s="77" t="s">
        <v>392</v>
      </c>
      <c r="AA442" s="77" t="s">
        <v>7827</v>
      </c>
      <c r="AB442" s="77" t="s">
        <v>10130</v>
      </c>
      <c r="AC442" s="82" t="s">
        <v>10154</v>
      </c>
      <c r="AD442" s="77" t="s">
        <v>10184</v>
      </c>
      <c r="AE442" s="80" t="str">
        <f>HYPERLINK("https://twitter.com/laerciolobanco/status/1692944605879157044")</f>
        <v>https://twitter.com/laerciolobanco/status/1692944605879157044</v>
      </c>
      <c r="AF442" s="79">
        <v>45157.708587962959</v>
      </c>
      <c r="AG442" s="85">
        <v>45157</v>
      </c>
      <c r="AH442" s="82" t="s">
        <v>10633</v>
      </c>
      <c r="AI442" s="77" t="b">
        <v>0</v>
      </c>
      <c r="AJ442" s="77"/>
      <c r="AK442" s="77"/>
      <c r="AL442" s="77"/>
      <c r="AM442" s="77"/>
      <c r="AN442" s="77"/>
      <c r="AO442" s="77"/>
      <c r="AP442" s="77"/>
      <c r="AQ442" s="77" t="s">
        <v>14471</v>
      </c>
      <c r="AR442" s="77"/>
      <c r="AS442" s="77"/>
      <c r="AT442" s="77"/>
      <c r="AU442" s="77"/>
      <c r="AV442" s="80" t="str">
        <f>HYPERLINK("https://pbs.twimg.com/media/F36MJd-WYAAsvhG.jpg")</f>
        <v>https://pbs.twimg.com/media/F36MJd-WYAAsvhG.jpg</v>
      </c>
      <c r="AW442" s="82" t="s">
        <v>17215</v>
      </c>
      <c r="AX442" s="82" t="s">
        <v>17215</v>
      </c>
      <c r="AY442" s="77"/>
      <c r="AZ442" s="82" t="s">
        <v>20971</v>
      </c>
      <c r="BA442" s="82" t="s">
        <v>20971</v>
      </c>
      <c r="BB442" s="82" t="s">
        <v>20971</v>
      </c>
      <c r="BC442" s="82" t="s">
        <v>17215</v>
      </c>
      <c r="BD442" s="82" t="s">
        <v>21136</v>
      </c>
      <c r="BE442" s="77"/>
      <c r="BF442" s="77"/>
      <c r="BG442" s="77"/>
      <c r="BH442" s="77"/>
      <c r="BI442" s="77"/>
    </row>
    <row r="443" spans="1:61" x14ac:dyDescent="0.25">
      <c r="A443" s="62" t="s">
        <v>392</v>
      </c>
      <c r="B443" s="62" t="s">
        <v>392</v>
      </c>
      <c r="C443" s="63"/>
      <c r="D443" s="64"/>
      <c r="E443" s="65"/>
      <c r="F443" s="66"/>
      <c r="G443" s="63"/>
      <c r="H443" s="67"/>
      <c r="I443" s="68"/>
      <c r="J443" s="68"/>
      <c r="K443" s="32"/>
      <c r="L443" s="75">
        <v>443</v>
      </c>
      <c r="M443" s="75"/>
      <c r="N443" s="70"/>
      <c r="O443" s="77" t="s">
        <v>1285</v>
      </c>
      <c r="P443" s="79">
        <v>45156.708645833336</v>
      </c>
      <c r="Q443" s="77" t="s">
        <v>1726</v>
      </c>
      <c r="R443" s="77">
        <v>0</v>
      </c>
      <c r="S443" s="77">
        <v>0</v>
      </c>
      <c r="T443" s="77">
        <v>0</v>
      </c>
      <c r="U443" s="77">
        <v>0</v>
      </c>
      <c r="V443" s="77">
        <v>7</v>
      </c>
      <c r="W443" s="82" t="s">
        <v>5522</v>
      </c>
      <c r="X443" s="77"/>
      <c r="Y443" s="77"/>
      <c r="Z443" s="77" t="s">
        <v>392</v>
      </c>
      <c r="AA443" s="77" t="s">
        <v>7828</v>
      </c>
      <c r="AB443" s="77" t="s">
        <v>10130</v>
      </c>
      <c r="AC443" s="82" t="s">
        <v>10154</v>
      </c>
      <c r="AD443" s="77" t="s">
        <v>10184</v>
      </c>
      <c r="AE443" s="80" t="str">
        <f>HYPERLINK("https://twitter.com/laerciolobanco/status/1692582240054640828")</f>
        <v>https://twitter.com/laerciolobanco/status/1692582240054640828</v>
      </c>
      <c r="AF443" s="79">
        <v>45156.708645833336</v>
      </c>
      <c r="AG443" s="85">
        <v>45156</v>
      </c>
      <c r="AH443" s="82" t="s">
        <v>10634</v>
      </c>
      <c r="AI443" s="77" t="b">
        <v>0</v>
      </c>
      <c r="AJ443" s="77"/>
      <c r="AK443" s="77"/>
      <c r="AL443" s="77"/>
      <c r="AM443" s="77"/>
      <c r="AN443" s="77"/>
      <c r="AO443" s="77"/>
      <c r="AP443" s="77"/>
      <c r="AQ443" s="77" t="s">
        <v>14472</v>
      </c>
      <c r="AR443" s="77"/>
      <c r="AS443" s="77"/>
      <c r="AT443" s="77"/>
      <c r="AU443" s="77"/>
      <c r="AV443" s="80" t="str">
        <f>HYPERLINK("https://pbs.twimg.com/media/F31Ck_7XgAAZGC3.jpg")</f>
        <v>https://pbs.twimg.com/media/F31Ck_7XgAAZGC3.jpg</v>
      </c>
      <c r="AW443" s="82" t="s">
        <v>17216</v>
      </c>
      <c r="AX443" s="82" t="s">
        <v>17216</v>
      </c>
      <c r="AY443" s="77"/>
      <c r="AZ443" s="82" t="s">
        <v>20971</v>
      </c>
      <c r="BA443" s="82" t="s">
        <v>20971</v>
      </c>
      <c r="BB443" s="82" t="s">
        <v>20971</v>
      </c>
      <c r="BC443" s="82" t="s">
        <v>17216</v>
      </c>
      <c r="BD443" s="82" t="s">
        <v>21136</v>
      </c>
      <c r="BE443" s="77"/>
      <c r="BF443" s="77"/>
      <c r="BG443" s="77"/>
      <c r="BH443" s="77"/>
      <c r="BI443" s="77"/>
    </row>
    <row r="444" spans="1:61" x14ac:dyDescent="0.25">
      <c r="A444" s="62" t="s">
        <v>392</v>
      </c>
      <c r="B444" s="62" t="s">
        <v>392</v>
      </c>
      <c r="C444" s="63"/>
      <c r="D444" s="64"/>
      <c r="E444" s="65"/>
      <c r="F444" s="66"/>
      <c r="G444" s="63"/>
      <c r="H444" s="67"/>
      <c r="I444" s="68"/>
      <c r="J444" s="68"/>
      <c r="K444" s="32"/>
      <c r="L444" s="75">
        <v>444</v>
      </c>
      <c r="M444" s="75"/>
      <c r="N444" s="70"/>
      <c r="O444" s="77" t="s">
        <v>1285</v>
      </c>
      <c r="P444" s="79">
        <v>45155.708599537036</v>
      </c>
      <c r="Q444" s="77" t="s">
        <v>1727</v>
      </c>
      <c r="R444" s="77">
        <v>0</v>
      </c>
      <c r="S444" s="77">
        <v>0</v>
      </c>
      <c r="T444" s="77">
        <v>0</v>
      </c>
      <c r="U444" s="77">
        <v>0</v>
      </c>
      <c r="V444" s="77">
        <v>11</v>
      </c>
      <c r="W444" s="82" t="s">
        <v>5522</v>
      </c>
      <c r="X444" s="77"/>
      <c r="Y444" s="77"/>
      <c r="Z444" s="77" t="s">
        <v>392</v>
      </c>
      <c r="AA444" s="77" t="s">
        <v>7829</v>
      </c>
      <c r="AB444" s="77" t="s">
        <v>10130</v>
      </c>
      <c r="AC444" s="82" t="s">
        <v>10154</v>
      </c>
      <c r="AD444" s="77" t="s">
        <v>10184</v>
      </c>
      <c r="AE444" s="80" t="str">
        <f>HYPERLINK("https://twitter.com/laerciolobanco/status/1692219836066116100")</f>
        <v>https://twitter.com/laerciolobanco/status/1692219836066116100</v>
      </c>
      <c r="AF444" s="79">
        <v>45155.708599537036</v>
      </c>
      <c r="AG444" s="85">
        <v>45155</v>
      </c>
      <c r="AH444" s="82" t="s">
        <v>10635</v>
      </c>
      <c r="AI444" s="77" t="b">
        <v>0</v>
      </c>
      <c r="AJ444" s="77"/>
      <c r="AK444" s="77"/>
      <c r="AL444" s="77"/>
      <c r="AM444" s="77"/>
      <c r="AN444" s="77"/>
      <c r="AO444" s="77"/>
      <c r="AP444" s="77"/>
      <c r="AQ444" s="77" t="s">
        <v>14473</v>
      </c>
      <c r="AR444" s="77"/>
      <c r="AS444" s="77"/>
      <c r="AT444" s="77"/>
      <c r="AU444" s="77"/>
      <c r="AV444" s="80" t="str">
        <f>HYPERLINK("https://pbs.twimg.com/media/F3v4-UMXMBgvEBL.jpg")</f>
        <v>https://pbs.twimg.com/media/F3v4-UMXMBgvEBL.jpg</v>
      </c>
      <c r="AW444" s="82" t="s">
        <v>17217</v>
      </c>
      <c r="AX444" s="82" t="s">
        <v>17217</v>
      </c>
      <c r="AY444" s="77"/>
      <c r="AZ444" s="82" t="s">
        <v>20971</v>
      </c>
      <c r="BA444" s="82" t="s">
        <v>20971</v>
      </c>
      <c r="BB444" s="82" t="s">
        <v>20971</v>
      </c>
      <c r="BC444" s="82" t="s">
        <v>17217</v>
      </c>
      <c r="BD444" s="82" t="s">
        <v>21136</v>
      </c>
      <c r="BE444" s="77"/>
      <c r="BF444" s="77"/>
      <c r="BG444" s="77"/>
      <c r="BH444" s="77"/>
      <c r="BI444" s="77"/>
    </row>
    <row r="445" spans="1:61" x14ac:dyDescent="0.25">
      <c r="A445" s="62" t="s">
        <v>392</v>
      </c>
      <c r="B445" s="62" t="s">
        <v>392</v>
      </c>
      <c r="C445" s="63"/>
      <c r="D445" s="64"/>
      <c r="E445" s="65"/>
      <c r="F445" s="66"/>
      <c r="G445" s="63"/>
      <c r="H445" s="67"/>
      <c r="I445" s="68"/>
      <c r="J445" s="68"/>
      <c r="K445" s="32"/>
      <c r="L445" s="75">
        <v>445</v>
      </c>
      <c r="M445" s="75"/>
      <c r="N445" s="70"/>
      <c r="O445" s="77" t="s">
        <v>1285</v>
      </c>
      <c r="P445" s="79">
        <v>45136.740370370368</v>
      </c>
      <c r="Q445" s="77" t="s">
        <v>1728</v>
      </c>
      <c r="R445" s="77">
        <v>0</v>
      </c>
      <c r="S445" s="77">
        <v>0</v>
      </c>
      <c r="T445" s="77">
        <v>0</v>
      </c>
      <c r="U445" s="77">
        <v>0</v>
      </c>
      <c r="V445" s="77">
        <v>4</v>
      </c>
      <c r="W445" s="82" t="s">
        <v>5522</v>
      </c>
      <c r="X445" s="77"/>
      <c r="Y445" s="77"/>
      <c r="Z445" s="77" t="s">
        <v>392</v>
      </c>
      <c r="AA445" s="77" t="s">
        <v>7830</v>
      </c>
      <c r="AB445" s="77" t="s">
        <v>10129</v>
      </c>
      <c r="AC445" s="82" t="s">
        <v>10154</v>
      </c>
      <c r="AD445" s="77" t="s">
        <v>10184</v>
      </c>
      <c r="AE445" s="80" t="str">
        <f>HYPERLINK("https://twitter.com/laerciolobanco/status/1685345978444808193")</f>
        <v>https://twitter.com/laerciolobanco/status/1685345978444808193</v>
      </c>
      <c r="AF445" s="79">
        <v>45136.740370370368</v>
      </c>
      <c r="AG445" s="85">
        <v>45136</v>
      </c>
      <c r="AH445" s="82" t="s">
        <v>10636</v>
      </c>
      <c r="AI445" s="77" t="b">
        <v>0</v>
      </c>
      <c r="AJ445" s="77"/>
      <c r="AK445" s="77"/>
      <c r="AL445" s="77"/>
      <c r="AM445" s="77"/>
      <c r="AN445" s="77"/>
      <c r="AO445" s="77"/>
      <c r="AP445" s="77"/>
      <c r="AQ445" s="77" t="s">
        <v>14474</v>
      </c>
      <c r="AR445" s="77">
        <v>50466</v>
      </c>
      <c r="AS445" s="77"/>
      <c r="AT445" s="77"/>
      <c r="AU445" s="77"/>
      <c r="AV445" s="80" t="str">
        <f>HYPERLINK("https://pbs.twimg.com/ext_tw_video_thumb/1685345923252039680/pu/img/HBWFP-gdK1XTuNPO.jpg")</f>
        <v>https://pbs.twimg.com/ext_tw_video_thumb/1685345923252039680/pu/img/HBWFP-gdK1XTuNPO.jpg</v>
      </c>
      <c r="AW445" s="82" t="s">
        <v>17218</v>
      </c>
      <c r="AX445" s="82" t="s">
        <v>17218</v>
      </c>
      <c r="AY445" s="77"/>
      <c r="AZ445" s="82" t="s">
        <v>20971</v>
      </c>
      <c r="BA445" s="82" t="s">
        <v>20971</v>
      </c>
      <c r="BB445" s="82" t="s">
        <v>20971</v>
      </c>
      <c r="BC445" s="82" t="s">
        <v>17218</v>
      </c>
      <c r="BD445" s="82" t="s">
        <v>21136</v>
      </c>
      <c r="BE445" s="77"/>
      <c r="BF445" s="77"/>
      <c r="BG445" s="77"/>
      <c r="BH445" s="77"/>
      <c r="BI445" s="77"/>
    </row>
    <row r="446" spans="1:61" x14ac:dyDescent="0.25">
      <c r="A446" s="62" t="s">
        <v>392</v>
      </c>
      <c r="B446" s="62" t="s">
        <v>392</v>
      </c>
      <c r="C446" s="63"/>
      <c r="D446" s="64"/>
      <c r="E446" s="65"/>
      <c r="F446" s="66"/>
      <c r="G446" s="63"/>
      <c r="H446" s="67"/>
      <c r="I446" s="68"/>
      <c r="J446" s="68"/>
      <c r="K446" s="32"/>
      <c r="L446" s="75">
        <v>446</v>
      </c>
      <c r="M446" s="75"/>
      <c r="N446" s="70"/>
      <c r="O446" s="77" t="s">
        <v>1285</v>
      </c>
      <c r="P446" s="79">
        <v>45135.741157407407</v>
      </c>
      <c r="Q446" s="77" t="s">
        <v>1729</v>
      </c>
      <c r="R446" s="77">
        <v>0</v>
      </c>
      <c r="S446" s="77">
        <v>0</v>
      </c>
      <c r="T446" s="77">
        <v>0</v>
      </c>
      <c r="U446" s="77">
        <v>0</v>
      </c>
      <c r="V446" s="77">
        <v>10</v>
      </c>
      <c r="W446" s="82" t="s">
        <v>5522</v>
      </c>
      <c r="X446" s="77"/>
      <c r="Y446" s="77"/>
      <c r="Z446" s="77" t="s">
        <v>392</v>
      </c>
      <c r="AA446" s="77" t="s">
        <v>7831</v>
      </c>
      <c r="AB446" s="77" t="s">
        <v>10129</v>
      </c>
      <c r="AC446" s="82" t="s">
        <v>10154</v>
      </c>
      <c r="AD446" s="77" t="s">
        <v>10184</v>
      </c>
      <c r="AE446" s="80" t="str">
        <f>HYPERLINK("https://twitter.com/laerciolobanco/status/1684983877436092425")</f>
        <v>https://twitter.com/laerciolobanco/status/1684983877436092425</v>
      </c>
      <c r="AF446" s="79">
        <v>45135.741157407407</v>
      </c>
      <c r="AG446" s="85">
        <v>45135</v>
      </c>
      <c r="AH446" s="82" t="s">
        <v>10637</v>
      </c>
      <c r="AI446" s="77" t="b">
        <v>0</v>
      </c>
      <c r="AJ446" s="77"/>
      <c r="AK446" s="77"/>
      <c r="AL446" s="77"/>
      <c r="AM446" s="77"/>
      <c r="AN446" s="77"/>
      <c r="AO446" s="77"/>
      <c r="AP446" s="77"/>
      <c r="AQ446" s="77" t="s">
        <v>14475</v>
      </c>
      <c r="AR446" s="77">
        <v>59866</v>
      </c>
      <c r="AS446" s="77"/>
      <c r="AT446" s="77"/>
      <c r="AU446" s="77"/>
      <c r="AV446" s="80" t="str">
        <f>HYPERLINK("https://pbs.twimg.com/ext_tw_video_thumb/1684983818938134528/pu/img/DJoP_rOgSw-yi3gQ.jpg")</f>
        <v>https://pbs.twimg.com/ext_tw_video_thumb/1684983818938134528/pu/img/DJoP_rOgSw-yi3gQ.jpg</v>
      </c>
      <c r="AW446" s="82" t="s">
        <v>17219</v>
      </c>
      <c r="AX446" s="82" t="s">
        <v>17219</v>
      </c>
      <c r="AY446" s="77"/>
      <c r="AZ446" s="82" t="s">
        <v>20971</v>
      </c>
      <c r="BA446" s="82" t="s">
        <v>20971</v>
      </c>
      <c r="BB446" s="82" t="s">
        <v>20971</v>
      </c>
      <c r="BC446" s="82" t="s">
        <v>17219</v>
      </c>
      <c r="BD446" s="82" t="s">
        <v>21136</v>
      </c>
      <c r="BE446" s="77"/>
      <c r="BF446" s="77"/>
      <c r="BG446" s="77"/>
      <c r="BH446" s="77"/>
      <c r="BI446" s="77"/>
    </row>
    <row r="447" spans="1:61" x14ac:dyDescent="0.25">
      <c r="A447" s="62" t="s">
        <v>392</v>
      </c>
      <c r="B447" s="62" t="s">
        <v>392</v>
      </c>
      <c r="C447" s="63"/>
      <c r="D447" s="64"/>
      <c r="E447" s="65"/>
      <c r="F447" s="66"/>
      <c r="G447" s="63"/>
      <c r="H447" s="67"/>
      <c r="I447" s="68"/>
      <c r="J447" s="68"/>
      <c r="K447" s="32"/>
      <c r="L447" s="75">
        <v>447</v>
      </c>
      <c r="M447" s="75"/>
      <c r="N447" s="70"/>
      <c r="O447" s="77" t="s">
        <v>1285</v>
      </c>
      <c r="P447" s="79">
        <v>45135.740486111114</v>
      </c>
      <c r="Q447" s="77" t="s">
        <v>1730</v>
      </c>
      <c r="R447" s="77">
        <v>0</v>
      </c>
      <c r="S447" s="77">
        <v>0</v>
      </c>
      <c r="T447" s="77">
        <v>0</v>
      </c>
      <c r="U447" s="77">
        <v>0</v>
      </c>
      <c r="V447" s="77">
        <v>9</v>
      </c>
      <c r="W447" s="82" t="s">
        <v>5522</v>
      </c>
      <c r="X447" s="77"/>
      <c r="Y447" s="77"/>
      <c r="Z447" s="77" t="s">
        <v>392</v>
      </c>
      <c r="AA447" s="77" t="s">
        <v>7832</v>
      </c>
      <c r="AB447" s="77" t="s">
        <v>10129</v>
      </c>
      <c r="AC447" s="82" t="s">
        <v>10154</v>
      </c>
      <c r="AD447" s="77" t="s">
        <v>10184</v>
      </c>
      <c r="AE447" s="80" t="str">
        <f>HYPERLINK("https://twitter.com/laerciolobanco/status/1684983634179043329")</f>
        <v>https://twitter.com/laerciolobanco/status/1684983634179043329</v>
      </c>
      <c r="AF447" s="79">
        <v>45135.740486111114</v>
      </c>
      <c r="AG447" s="85">
        <v>45135</v>
      </c>
      <c r="AH447" s="82" t="s">
        <v>10638</v>
      </c>
      <c r="AI447" s="77" t="b">
        <v>0</v>
      </c>
      <c r="AJ447" s="77"/>
      <c r="AK447" s="77"/>
      <c r="AL447" s="77"/>
      <c r="AM447" s="77"/>
      <c r="AN447" s="77"/>
      <c r="AO447" s="77"/>
      <c r="AP447" s="77"/>
      <c r="AQ447" s="77" t="s">
        <v>14476</v>
      </c>
      <c r="AR447" s="77">
        <v>59866</v>
      </c>
      <c r="AS447" s="77"/>
      <c r="AT447" s="77"/>
      <c r="AU447" s="77"/>
      <c r="AV447" s="80" t="str">
        <f>HYPERLINK("https://pbs.twimg.com/ext_tw_video_thumb/1684983575030943744/pu/img/VN6YGTpQCGC3Bk0-.jpg")</f>
        <v>https://pbs.twimg.com/ext_tw_video_thumb/1684983575030943744/pu/img/VN6YGTpQCGC3Bk0-.jpg</v>
      </c>
      <c r="AW447" s="82" t="s">
        <v>17220</v>
      </c>
      <c r="AX447" s="82" t="s">
        <v>17220</v>
      </c>
      <c r="AY447" s="77"/>
      <c r="AZ447" s="82" t="s">
        <v>20971</v>
      </c>
      <c r="BA447" s="82" t="s">
        <v>20971</v>
      </c>
      <c r="BB447" s="82" t="s">
        <v>20971</v>
      </c>
      <c r="BC447" s="82" t="s">
        <v>17220</v>
      </c>
      <c r="BD447" s="82" t="s">
        <v>21136</v>
      </c>
      <c r="BE447" s="77"/>
      <c r="BF447" s="77"/>
      <c r="BG447" s="77"/>
      <c r="BH447" s="77"/>
      <c r="BI447" s="77"/>
    </row>
    <row r="448" spans="1:61" x14ac:dyDescent="0.25">
      <c r="A448" s="62" t="s">
        <v>392</v>
      </c>
      <c r="B448" s="62" t="s">
        <v>392</v>
      </c>
      <c r="C448" s="63"/>
      <c r="D448" s="64"/>
      <c r="E448" s="65"/>
      <c r="F448" s="66"/>
      <c r="G448" s="63"/>
      <c r="H448" s="67"/>
      <c r="I448" s="68"/>
      <c r="J448" s="68"/>
      <c r="K448" s="32"/>
      <c r="L448" s="75">
        <v>448</v>
      </c>
      <c r="M448" s="75"/>
      <c r="N448" s="70"/>
      <c r="O448" s="77" t="s">
        <v>1285</v>
      </c>
      <c r="P448" s="79">
        <v>45024.041875000003</v>
      </c>
      <c r="Q448" s="77" t="s">
        <v>1731</v>
      </c>
      <c r="R448" s="77">
        <v>0</v>
      </c>
      <c r="S448" s="77">
        <v>0</v>
      </c>
      <c r="T448" s="77">
        <v>0</v>
      </c>
      <c r="U448" s="77">
        <v>0</v>
      </c>
      <c r="V448" s="77">
        <v>10</v>
      </c>
      <c r="W448" s="82" t="s">
        <v>5522</v>
      </c>
      <c r="X448" s="77"/>
      <c r="Y448" s="77"/>
      <c r="Z448" s="77" t="s">
        <v>392</v>
      </c>
      <c r="AA448" s="77" t="s">
        <v>7833</v>
      </c>
      <c r="AB448" s="77" t="s">
        <v>10130</v>
      </c>
      <c r="AC448" s="82" t="s">
        <v>10154</v>
      </c>
      <c r="AD448" s="77" t="s">
        <v>10184</v>
      </c>
      <c r="AE448" s="80" t="str">
        <f>HYPERLINK("https://twitter.com/laerciolobanco/status/1644505412513812481")</f>
        <v>https://twitter.com/laerciolobanco/status/1644505412513812481</v>
      </c>
      <c r="AF448" s="79">
        <v>45024.041875000003</v>
      </c>
      <c r="AG448" s="85">
        <v>45024</v>
      </c>
      <c r="AH448" s="82" t="s">
        <v>10629</v>
      </c>
      <c r="AI448" s="77" t="b">
        <v>0</v>
      </c>
      <c r="AJ448" s="77"/>
      <c r="AK448" s="77"/>
      <c r="AL448" s="77"/>
      <c r="AM448" s="77"/>
      <c r="AN448" s="77"/>
      <c r="AO448" s="77"/>
      <c r="AP448" s="77"/>
      <c r="AQ448" s="77" t="s">
        <v>14477</v>
      </c>
      <c r="AR448" s="77"/>
      <c r="AS448" s="77"/>
      <c r="AT448" s="77"/>
      <c r="AU448" s="77"/>
      <c r="AV448" s="80" t="str">
        <f>HYPERLINK("https://pbs.twimg.com/media/FtJ09SfX0AEB6CZ.jpg")</f>
        <v>https://pbs.twimg.com/media/FtJ09SfX0AEB6CZ.jpg</v>
      </c>
      <c r="AW448" s="82" t="s">
        <v>17221</v>
      </c>
      <c r="AX448" s="82" t="s">
        <v>17221</v>
      </c>
      <c r="AY448" s="77"/>
      <c r="AZ448" s="82" t="s">
        <v>20971</v>
      </c>
      <c r="BA448" s="82" t="s">
        <v>20971</v>
      </c>
      <c r="BB448" s="82" t="s">
        <v>20971</v>
      </c>
      <c r="BC448" s="82" t="s">
        <v>17221</v>
      </c>
      <c r="BD448" s="82" t="s">
        <v>21136</v>
      </c>
      <c r="BE448" s="77"/>
      <c r="BF448" s="77"/>
      <c r="BG448" s="77"/>
      <c r="BH448" s="77"/>
      <c r="BI448" s="77"/>
    </row>
    <row r="449" spans="1:61" x14ac:dyDescent="0.25">
      <c r="A449" s="62" t="s">
        <v>392</v>
      </c>
      <c r="B449" s="62" t="s">
        <v>392</v>
      </c>
      <c r="C449" s="63"/>
      <c r="D449" s="64"/>
      <c r="E449" s="65"/>
      <c r="F449" s="66"/>
      <c r="G449" s="63"/>
      <c r="H449" s="67"/>
      <c r="I449" s="68"/>
      <c r="J449" s="68"/>
      <c r="K449" s="32"/>
      <c r="L449" s="75">
        <v>449</v>
      </c>
      <c r="M449" s="75"/>
      <c r="N449" s="70"/>
      <c r="O449" s="77" t="s">
        <v>1285</v>
      </c>
      <c r="P449" s="79">
        <v>45023.041886574072</v>
      </c>
      <c r="Q449" s="77" t="s">
        <v>1732</v>
      </c>
      <c r="R449" s="77">
        <v>0</v>
      </c>
      <c r="S449" s="77">
        <v>0</v>
      </c>
      <c r="T449" s="77">
        <v>0</v>
      </c>
      <c r="U449" s="77">
        <v>0</v>
      </c>
      <c r="V449" s="77">
        <v>10</v>
      </c>
      <c r="W449" s="82" t="s">
        <v>5522</v>
      </c>
      <c r="X449" s="77"/>
      <c r="Y449" s="77"/>
      <c r="Z449" s="77" t="s">
        <v>392</v>
      </c>
      <c r="AA449" s="77" t="s">
        <v>7834</v>
      </c>
      <c r="AB449" s="77" t="s">
        <v>10130</v>
      </c>
      <c r="AC449" s="82" t="s">
        <v>10154</v>
      </c>
      <c r="AD449" s="77" t="s">
        <v>10184</v>
      </c>
      <c r="AE449" s="80" t="str">
        <f>HYPERLINK("https://twitter.com/laerciolobanco/status/1644143031069581312")</f>
        <v>https://twitter.com/laerciolobanco/status/1644143031069581312</v>
      </c>
      <c r="AF449" s="79">
        <v>45023.041886574072</v>
      </c>
      <c r="AG449" s="85">
        <v>45023</v>
      </c>
      <c r="AH449" s="82" t="s">
        <v>10639</v>
      </c>
      <c r="AI449" s="77" t="b">
        <v>0</v>
      </c>
      <c r="AJ449" s="77"/>
      <c r="AK449" s="77"/>
      <c r="AL449" s="77"/>
      <c r="AM449" s="77"/>
      <c r="AN449" s="77"/>
      <c r="AO449" s="77"/>
      <c r="AP449" s="77"/>
      <c r="AQ449" s="77" t="s">
        <v>14478</v>
      </c>
      <c r="AR449" s="77"/>
      <c r="AS449" s="77"/>
      <c r="AT449" s="77"/>
      <c r="AU449" s="77"/>
      <c r="AV449" s="80" t="str">
        <f>HYPERLINK("https://pbs.twimg.com/media/FtErX73WwAAuqR1.jpg")</f>
        <v>https://pbs.twimg.com/media/FtErX73WwAAuqR1.jpg</v>
      </c>
      <c r="AW449" s="82" t="s">
        <v>17222</v>
      </c>
      <c r="AX449" s="82" t="s">
        <v>17222</v>
      </c>
      <c r="AY449" s="77"/>
      <c r="AZ449" s="82" t="s">
        <v>20971</v>
      </c>
      <c r="BA449" s="82" t="s">
        <v>20971</v>
      </c>
      <c r="BB449" s="82" t="s">
        <v>20971</v>
      </c>
      <c r="BC449" s="82" t="s">
        <v>17222</v>
      </c>
      <c r="BD449" s="82" t="s">
        <v>21136</v>
      </c>
      <c r="BE449" s="77"/>
      <c r="BF449" s="77"/>
      <c r="BG449" s="77"/>
      <c r="BH449" s="77"/>
      <c r="BI449" s="77"/>
    </row>
    <row r="450" spans="1:61" x14ac:dyDescent="0.25">
      <c r="A450" s="62" t="s">
        <v>392</v>
      </c>
      <c r="B450" s="62" t="s">
        <v>392</v>
      </c>
      <c r="C450" s="63"/>
      <c r="D450" s="64"/>
      <c r="E450" s="65"/>
      <c r="F450" s="66"/>
      <c r="G450" s="63"/>
      <c r="H450" s="67"/>
      <c r="I450" s="68"/>
      <c r="J450" s="68"/>
      <c r="K450" s="32"/>
      <c r="L450" s="75">
        <v>450</v>
      </c>
      <c r="M450" s="75"/>
      <c r="N450" s="70"/>
      <c r="O450" s="77" t="s">
        <v>1285</v>
      </c>
      <c r="P450" s="79">
        <v>45022.041898148149</v>
      </c>
      <c r="Q450" s="77" t="s">
        <v>1733</v>
      </c>
      <c r="R450" s="77">
        <v>0</v>
      </c>
      <c r="S450" s="77">
        <v>0</v>
      </c>
      <c r="T450" s="77">
        <v>0</v>
      </c>
      <c r="U450" s="77">
        <v>0</v>
      </c>
      <c r="V450" s="77">
        <v>10</v>
      </c>
      <c r="W450" s="82" t="s">
        <v>5522</v>
      </c>
      <c r="X450" s="77"/>
      <c r="Y450" s="77"/>
      <c r="Z450" s="77" t="s">
        <v>392</v>
      </c>
      <c r="AA450" s="77" t="s">
        <v>7835</v>
      </c>
      <c r="AB450" s="77" t="s">
        <v>10130</v>
      </c>
      <c r="AC450" s="82" t="s">
        <v>10154</v>
      </c>
      <c r="AD450" s="77" t="s">
        <v>10184</v>
      </c>
      <c r="AE450" s="80" t="str">
        <f>HYPERLINK("https://twitter.com/laerciolobanco/status/1643780644491735042")</f>
        <v>https://twitter.com/laerciolobanco/status/1643780644491735042</v>
      </c>
      <c r="AF450" s="79">
        <v>45022.041898148149</v>
      </c>
      <c r="AG450" s="85">
        <v>45022</v>
      </c>
      <c r="AH450" s="82" t="s">
        <v>10640</v>
      </c>
      <c r="AI450" s="77" t="b">
        <v>0</v>
      </c>
      <c r="AJ450" s="77"/>
      <c r="AK450" s="77"/>
      <c r="AL450" s="77"/>
      <c r="AM450" s="77"/>
      <c r="AN450" s="77"/>
      <c r="AO450" s="77"/>
      <c r="AP450" s="77"/>
      <c r="AQ450" s="77" t="s">
        <v>14479</v>
      </c>
      <c r="AR450" s="77"/>
      <c r="AS450" s="77"/>
      <c r="AT450" s="77"/>
      <c r="AU450" s="77"/>
      <c r="AV450" s="80" t="str">
        <f>HYPERLINK("https://pbs.twimg.com/media/Fs_hyR-WYAEzdBG.jpg")</f>
        <v>https://pbs.twimg.com/media/Fs_hyR-WYAEzdBG.jpg</v>
      </c>
      <c r="AW450" s="82" t="s">
        <v>17223</v>
      </c>
      <c r="AX450" s="82" t="s">
        <v>17223</v>
      </c>
      <c r="AY450" s="77"/>
      <c r="AZ450" s="82" t="s">
        <v>20971</v>
      </c>
      <c r="BA450" s="82" t="s">
        <v>20971</v>
      </c>
      <c r="BB450" s="82" t="s">
        <v>20971</v>
      </c>
      <c r="BC450" s="82" t="s">
        <v>17223</v>
      </c>
      <c r="BD450" s="82" t="s">
        <v>21136</v>
      </c>
      <c r="BE450" s="77"/>
      <c r="BF450" s="77"/>
      <c r="BG450" s="77"/>
      <c r="BH450" s="77"/>
      <c r="BI450" s="77"/>
    </row>
    <row r="451" spans="1:61" x14ac:dyDescent="0.25">
      <c r="A451" s="62" t="s">
        <v>392</v>
      </c>
      <c r="B451" s="62" t="s">
        <v>392</v>
      </c>
      <c r="C451" s="63"/>
      <c r="D451" s="64"/>
      <c r="E451" s="65"/>
      <c r="F451" s="66"/>
      <c r="G451" s="63"/>
      <c r="H451" s="67"/>
      <c r="I451" s="68"/>
      <c r="J451" s="68"/>
      <c r="K451" s="32"/>
      <c r="L451" s="75">
        <v>451</v>
      </c>
      <c r="M451" s="75"/>
      <c r="N451" s="70"/>
      <c r="O451" s="77" t="s">
        <v>1285</v>
      </c>
      <c r="P451" s="79">
        <v>45169.708634259259</v>
      </c>
      <c r="Q451" s="77" t="s">
        <v>1734</v>
      </c>
      <c r="R451" s="77">
        <v>0</v>
      </c>
      <c r="S451" s="77">
        <v>0</v>
      </c>
      <c r="T451" s="77">
        <v>0</v>
      </c>
      <c r="U451" s="77">
        <v>0</v>
      </c>
      <c r="V451" s="77">
        <v>5</v>
      </c>
      <c r="W451" s="82" t="s">
        <v>5522</v>
      </c>
      <c r="X451" s="77"/>
      <c r="Y451" s="77"/>
      <c r="Z451" s="77" t="s">
        <v>392</v>
      </c>
      <c r="AA451" s="77" t="s">
        <v>7836</v>
      </c>
      <c r="AB451" s="77" t="s">
        <v>10130</v>
      </c>
      <c r="AC451" s="82" t="s">
        <v>10154</v>
      </c>
      <c r="AD451" s="77" t="s">
        <v>10184</v>
      </c>
      <c r="AE451" s="80" t="str">
        <f>HYPERLINK("https://twitter.com/laerciolobanco/status/1697293276800303329")</f>
        <v>https://twitter.com/laerciolobanco/status/1697293276800303329</v>
      </c>
      <c r="AF451" s="79">
        <v>45169.708634259259</v>
      </c>
      <c r="AG451" s="85">
        <v>45169</v>
      </c>
      <c r="AH451" s="82" t="s">
        <v>10641</v>
      </c>
      <c r="AI451" s="77" t="b">
        <v>0</v>
      </c>
      <c r="AJ451" s="77"/>
      <c r="AK451" s="77"/>
      <c r="AL451" s="77"/>
      <c r="AM451" s="77"/>
      <c r="AN451" s="77"/>
      <c r="AO451" s="77"/>
      <c r="AP451" s="77"/>
      <c r="AQ451" s="77" t="s">
        <v>14480</v>
      </c>
      <c r="AR451" s="77"/>
      <c r="AS451" s="77"/>
      <c r="AT451" s="77"/>
      <c r="AU451" s="77"/>
      <c r="AV451" s="80" t="str">
        <f>HYPERLINK("https://pbs.twimg.com/media/F43_PZiXgAAAkEH.jpg")</f>
        <v>https://pbs.twimg.com/media/F43_PZiXgAAAkEH.jpg</v>
      </c>
      <c r="AW451" s="82" t="s">
        <v>17224</v>
      </c>
      <c r="AX451" s="82" t="s">
        <v>17224</v>
      </c>
      <c r="AY451" s="77"/>
      <c r="AZ451" s="82" t="s">
        <v>20971</v>
      </c>
      <c r="BA451" s="82" t="s">
        <v>20971</v>
      </c>
      <c r="BB451" s="82" t="s">
        <v>20971</v>
      </c>
      <c r="BC451" s="82" t="s">
        <v>17224</v>
      </c>
      <c r="BD451" s="82" t="s">
        <v>21136</v>
      </c>
      <c r="BE451" s="77"/>
      <c r="BF451" s="77"/>
      <c r="BG451" s="77"/>
      <c r="BH451" s="77"/>
      <c r="BI451" s="77"/>
    </row>
    <row r="452" spans="1:61" x14ac:dyDescent="0.25">
      <c r="A452" s="62" t="s">
        <v>392</v>
      </c>
      <c r="B452" s="62" t="s">
        <v>392</v>
      </c>
      <c r="C452" s="63"/>
      <c r="D452" s="64"/>
      <c r="E452" s="65"/>
      <c r="F452" s="66"/>
      <c r="G452" s="63"/>
      <c r="H452" s="67"/>
      <c r="I452" s="68"/>
      <c r="J452" s="68"/>
      <c r="K452" s="32"/>
      <c r="L452" s="75">
        <v>452</v>
      </c>
      <c r="M452" s="75"/>
      <c r="N452" s="70"/>
      <c r="O452" s="77" t="s">
        <v>1285</v>
      </c>
      <c r="P452" s="79">
        <v>45168.708634259259</v>
      </c>
      <c r="Q452" s="77" t="s">
        <v>1735</v>
      </c>
      <c r="R452" s="77">
        <v>0</v>
      </c>
      <c r="S452" s="77">
        <v>1</v>
      </c>
      <c r="T452" s="77">
        <v>0</v>
      </c>
      <c r="U452" s="77">
        <v>0</v>
      </c>
      <c r="V452" s="77">
        <v>10</v>
      </c>
      <c r="W452" s="82" t="s">
        <v>5522</v>
      </c>
      <c r="X452" s="77"/>
      <c r="Y452" s="77"/>
      <c r="Z452" s="77" t="s">
        <v>392</v>
      </c>
      <c r="AA452" s="77" t="s">
        <v>7837</v>
      </c>
      <c r="AB452" s="77" t="s">
        <v>10130</v>
      </c>
      <c r="AC452" s="82" t="s">
        <v>10154</v>
      </c>
      <c r="AD452" s="77" t="s">
        <v>10184</v>
      </c>
      <c r="AE452" s="80" t="str">
        <f>HYPERLINK("https://twitter.com/laerciolobanco/status/1696930889459028339")</f>
        <v>https://twitter.com/laerciolobanco/status/1696930889459028339</v>
      </c>
      <c r="AF452" s="79">
        <v>45168.708634259259</v>
      </c>
      <c r="AG452" s="85">
        <v>45168</v>
      </c>
      <c r="AH452" s="82" t="s">
        <v>10641</v>
      </c>
      <c r="AI452" s="77" t="b">
        <v>0</v>
      </c>
      <c r="AJ452" s="77"/>
      <c r="AK452" s="77"/>
      <c r="AL452" s="77"/>
      <c r="AM452" s="77"/>
      <c r="AN452" s="77"/>
      <c r="AO452" s="77"/>
      <c r="AP452" s="77"/>
      <c r="AQ452" s="77" t="s">
        <v>14481</v>
      </c>
      <c r="AR452" s="77"/>
      <c r="AS452" s="77"/>
      <c r="AT452" s="77"/>
      <c r="AU452" s="77"/>
      <c r="AV452" s="80" t="str">
        <f>HYPERLINK("https://pbs.twimg.com/media/F4y1pryWgAAroKq.jpg")</f>
        <v>https://pbs.twimg.com/media/F4y1pryWgAAroKq.jpg</v>
      </c>
      <c r="AW452" s="82" t="s">
        <v>17225</v>
      </c>
      <c r="AX452" s="82" t="s">
        <v>17225</v>
      </c>
      <c r="AY452" s="77"/>
      <c r="AZ452" s="82" t="s">
        <v>20971</v>
      </c>
      <c r="BA452" s="82" t="s">
        <v>20971</v>
      </c>
      <c r="BB452" s="82" t="s">
        <v>20971</v>
      </c>
      <c r="BC452" s="82" t="s">
        <v>17225</v>
      </c>
      <c r="BD452" s="82" t="s">
        <v>21136</v>
      </c>
      <c r="BE452" s="77"/>
      <c r="BF452" s="77"/>
      <c r="BG452" s="77"/>
      <c r="BH452" s="77"/>
      <c r="BI452" s="77"/>
    </row>
    <row r="453" spans="1:61" x14ac:dyDescent="0.25">
      <c r="A453" s="62" t="s">
        <v>392</v>
      </c>
      <c r="B453" s="62" t="s">
        <v>392</v>
      </c>
      <c r="C453" s="63"/>
      <c r="D453" s="64"/>
      <c r="E453" s="65"/>
      <c r="F453" s="66"/>
      <c r="G453" s="63"/>
      <c r="H453" s="67"/>
      <c r="I453" s="68"/>
      <c r="J453" s="68"/>
      <c r="K453" s="32"/>
      <c r="L453" s="75">
        <v>453</v>
      </c>
      <c r="M453" s="75"/>
      <c r="N453" s="70"/>
      <c r="O453" s="77" t="s">
        <v>1285</v>
      </c>
      <c r="P453" s="79">
        <v>45161.708611111113</v>
      </c>
      <c r="Q453" s="77" t="s">
        <v>1736</v>
      </c>
      <c r="R453" s="77">
        <v>0</v>
      </c>
      <c r="S453" s="77">
        <v>0</v>
      </c>
      <c r="T453" s="77">
        <v>0</v>
      </c>
      <c r="U453" s="77">
        <v>0</v>
      </c>
      <c r="V453" s="77">
        <v>6</v>
      </c>
      <c r="W453" s="82" t="s">
        <v>5522</v>
      </c>
      <c r="X453" s="77"/>
      <c r="Y453" s="77"/>
      <c r="Z453" s="77" t="s">
        <v>392</v>
      </c>
      <c r="AA453" s="77" t="s">
        <v>7838</v>
      </c>
      <c r="AB453" s="77" t="s">
        <v>10130</v>
      </c>
      <c r="AC453" s="82" t="s">
        <v>10154</v>
      </c>
      <c r="AD453" s="77" t="s">
        <v>10184</v>
      </c>
      <c r="AE453" s="80" t="str">
        <f>HYPERLINK("https://twitter.com/laerciolobanco/status/1694394168779362625")</f>
        <v>https://twitter.com/laerciolobanco/status/1694394168779362625</v>
      </c>
      <c r="AF453" s="79">
        <v>45161.708611111113</v>
      </c>
      <c r="AG453" s="85">
        <v>45161</v>
      </c>
      <c r="AH453" s="82" t="s">
        <v>10642</v>
      </c>
      <c r="AI453" s="77" t="b">
        <v>0</v>
      </c>
      <c r="AJ453" s="77"/>
      <c r="AK453" s="77"/>
      <c r="AL453" s="77"/>
      <c r="AM453" s="77"/>
      <c r="AN453" s="77"/>
      <c r="AO453" s="77"/>
      <c r="AP453" s="77"/>
      <c r="AQ453" s="77" t="s">
        <v>14482</v>
      </c>
      <c r="AR453" s="77"/>
      <c r="AS453" s="77"/>
      <c r="AT453" s="77"/>
      <c r="AU453" s="77"/>
      <c r="AV453" s="80" t="str">
        <f>HYPERLINK("https://pbs.twimg.com/media/F4OyhIbWgAAHsPq.jpg")</f>
        <v>https://pbs.twimg.com/media/F4OyhIbWgAAHsPq.jpg</v>
      </c>
      <c r="AW453" s="82" t="s">
        <v>17226</v>
      </c>
      <c r="AX453" s="82" t="s">
        <v>17226</v>
      </c>
      <c r="AY453" s="77"/>
      <c r="AZ453" s="82" t="s">
        <v>20971</v>
      </c>
      <c r="BA453" s="82" t="s">
        <v>20971</v>
      </c>
      <c r="BB453" s="82" t="s">
        <v>20971</v>
      </c>
      <c r="BC453" s="82" t="s">
        <v>17226</v>
      </c>
      <c r="BD453" s="82" t="s">
        <v>21136</v>
      </c>
      <c r="BE453" s="77"/>
      <c r="BF453" s="77"/>
      <c r="BG453" s="77"/>
      <c r="BH453" s="77"/>
      <c r="BI453" s="77"/>
    </row>
    <row r="454" spans="1:61" x14ac:dyDescent="0.25">
      <c r="A454" s="62" t="s">
        <v>392</v>
      </c>
      <c r="B454" s="62" t="s">
        <v>392</v>
      </c>
      <c r="C454" s="63"/>
      <c r="D454" s="64"/>
      <c r="E454" s="65"/>
      <c r="F454" s="66"/>
      <c r="G454" s="63"/>
      <c r="H454" s="67"/>
      <c r="I454" s="68"/>
      <c r="J454" s="68"/>
      <c r="K454" s="32"/>
      <c r="L454" s="75">
        <v>454</v>
      </c>
      <c r="M454" s="75"/>
      <c r="N454" s="70"/>
      <c r="O454" s="77" t="s">
        <v>1285</v>
      </c>
      <c r="P454" s="79">
        <v>45160.708587962959</v>
      </c>
      <c r="Q454" s="77" t="s">
        <v>1737</v>
      </c>
      <c r="R454" s="77">
        <v>0</v>
      </c>
      <c r="S454" s="77">
        <v>1</v>
      </c>
      <c r="T454" s="77">
        <v>0</v>
      </c>
      <c r="U454" s="77">
        <v>0</v>
      </c>
      <c r="V454" s="77">
        <v>18</v>
      </c>
      <c r="W454" s="82" t="s">
        <v>5522</v>
      </c>
      <c r="X454" s="77"/>
      <c r="Y454" s="77"/>
      <c r="Z454" s="77" t="s">
        <v>392</v>
      </c>
      <c r="AA454" s="77" t="s">
        <v>7839</v>
      </c>
      <c r="AB454" s="77" t="s">
        <v>10130</v>
      </c>
      <c r="AC454" s="82" t="s">
        <v>10154</v>
      </c>
      <c r="AD454" s="77" t="s">
        <v>10184</v>
      </c>
      <c r="AE454" s="80" t="str">
        <f>HYPERLINK("https://twitter.com/laerciolobanco/status/1694031772315443493")</f>
        <v>https://twitter.com/laerciolobanco/status/1694031772315443493</v>
      </c>
      <c r="AF454" s="79">
        <v>45160.708587962959</v>
      </c>
      <c r="AG454" s="85">
        <v>45160</v>
      </c>
      <c r="AH454" s="82" t="s">
        <v>10633</v>
      </c>
      <c r="AI454" s="77" t="b">
        <v>0</v>
      </c>
      <c r="AJ454" s="77"/>
      <c r="AK454" s="77"/>
      <c r="AL454" s="77"/>
      <c r="AM454" s="77"/>
      <c r="AN454" s="77"/>
      <c r="AO454" s="77"/>
      <c r="AP454" s="77"/>
      <c r="AQ454" s="77" t="s">
        <v>14483</v>
      </c>
      <c r="AR454" s="77"/>
      <c r="AS454" s="77"/>
      <c r="AT454" s="77"/>
      <c r="AU454" s="77"/>
      <c r="AV454" s="80" t="str">
        <f>HYPERLINK("https://pbs.twimg.com/media/F4Jo64UXwAAw-NG.jpg")</f>
        <v>https://pbs.twimg.com/media/F4Jo64UXwAAw-NG.jpg</v>
      </c>
      <c r="AW454" s="82" t="s">
        <v>17227</v>
      </c>
      <c r="AX454" s="82" t="s">
        <v>17227</v>
      </c>
      <c r="AY454" s="77"/>
      <c r="AZ454" s="82" t="s">
        <v>20971</v>
      </c>
      <c r="BA454" s="82" t="s">
        <v>20971</v>
      </c>
      <c r="BB454" s="82" t="s">
        <v>20971</v>
      </c>
      <c r="BC454" s="82" t="s">
        <v>17227</v>
      </c>
      <c r="BD454" s="82" t="s">
        <v>21136</v>
      </c>
      <c r="BE454" s="77"/>
      <c r="BF454" s="77"/>
      <c r="BG454" s="77"/>
      <c r="BH454" s="77"/>
      <c r="BI454" s="77"/>
    </row>
    <row r="455" spans="1:61" x14ac:dyDescent="0.25">
      <c r="A455" s="62" t="s">
        <v>392</v>
      </c>
      <c r="B455" s="62" t="s">
        <v>392</v>
      </c>
      <c r="C455" s="63"/>
      <c r="D455" s="64"/>
      <c r="E455" s="65"/>
      <c r="F455" s="66"/>
      <c r="G455" s="63"/>
      <c r="H455" s="67"/>
      <c r="I455" s="68"/>
      <c r="J455" s="68"/>
      <c r="K455" s="32"/>
      <c r="L455" s="75">
        <v>455</v>
      </c>
      <c r="M455" s="75"/>
      <c r="N455" s="70"/>
      <c r="O455" s="77" t="s">
        <v>1285</v>
      </c>
      <c r="P455" s="79">
        <v>45152.708553240744</v>
      </c>
      <c r="Q455" s="77" t="s">
        <v>1738</v>
      </c>
      <c r="R455" s="77">
        <v>0</v>
      </c>
      <c r="S455" s="77">
        <v>0</v>
      </c>
      <c r="T455" s="77">
        <v>0</v>
      </c>
      <c r="U455" s="77">
        <v>0</v>
      </c>
      <c r="V455" s="77">
        <v>7</v>
      </c>
      <c r="W455" s="82" t="s">
        <v>5522</v>
      </c>
      <c r="X455" s="77"/>
      <c r="Y455" s="77"/>
      <c r="Z455" s="77" t="s">
        <v>392</v>
      </c>
      <c r="AA455" s="77" t="s">
        <v>7840</v>
      </c>
      <c r="AB455" s="77" t="s">
        <v>10130</v>
      </c>
      <c r="AC455" s="82" t="s">
        <v>10154</v>
      </c>
      <c r="AD455" s="77" t="s">
        <v>10184</v>
      </c>
      <c r="AE455" s="80" t="str">
        <f>HYPERLINK("https://twitter.com/laerciolobanco/status/1691132654836502533")</f>
        <v>https://twitter.com/laerciolobanco/status/1691132654836502533</v>
      </c>
      <c r="AF455" s="79">
        <v>45152.708553240744</v>
      </c>
      <c r="AG455" s="85">
        <v>45152</v>
      </c>
      <c r="AH455" s="82" t="s">
        <v>10643</v>
      </c>
      <c r="AI455" s="77" t="b">
        <v>0</v>
      </c>
      <c r="AJ455" s="77"/>
      <c r="AK455" s="77"/>
      <c r="AL455" s="77"/>
      <c r="AM455" s="77"/>
      <c r="AN455" s="77"/>
      <c r="AO455" s="77"/>
      <c r="AP455" s="77"/>
      <c r="AQ455" s="77" t="s">
        <v>14484</v>
      </c>
      <c r="AR455" s="77"/>
      <c r="AS455" s="77"/>
      <c r="AT455" s="77"/>
      <c r="AU455" s="77"/>
      <c r="AV455" s="80" t="str">
        <f>HYPERLINK("https://pbs.twimg.com/media/F3gcMBiX0AoZM5X.jpg")</f>
        <v>https://pbs.twimg.com/media/F3gcMBiX0AoZM5X.jpg</v>
      </c>
      <c r="AW455" s="82" t="s">
        <v>17228</v>
      </c>
      <c r="AX455" s="82" t="s">
        <v>17228</v>
      </c>
      <c r="AY455" s="77"/>
      <c r="AZ455" s="82" t="s">
        <v>20971</v>
      </c>
      <c r="BA455" s="82" t="s">
        <v>20971</v>
      </c>
      <c r="BB455" s="82" t="s">
        <v>20971</v>
      </c>
      <c r="BC455" s="82" t="s">
        <v>17228</v>
      </c>
      <c r="BD455" s="82" t="s">
        <v>21136</v>
      </c>
      <c r="BE455" s="77"/>
      <c r="BF455" s="77"/>
      <c r="BG455" s="77"/>
      <c r="BH455" s="77"/>
      <c r="BI455" s="77"/>
    </row>
    <row r="456" spans="1:61" x14ac:dyDescent="0.25">
      <c r="A456" s="62" t="s">
        <v>392</v>
      </c>
      <c r="B456" s="62" t="s">
        <v>392</v>
      </c>
      <c r="C456" s="63"/>
      <c r="D456" s="64"/>
      <c r="E456" s="65"/>
      <c r="F456" s="66"/>
      <c r="G456" s="63"/>
      <c r="H456" s="67"/>
      <c r="I456" s="68"/>
      <c r="J456" s="68"/>
      <c r="K456" s="32"/>
      <c r="L456" s="75">
        <v>456</v>
      </c>
      <c r="M456" s="75"/>
      <c r="N456" s="70"/>
      <c r="O456" s="77" t="s">
        <v>1285</v>
      </c>
      <c r="P456" s="79">
        <v>45151.708564814813</v>
      </c>
      <c r="Q456" s="77" t="s">
        <v>1739</v>
      </c>
      <c r="R456" s="77">
        <v>0</v>
      </c>
      <c r="S456" s="77">
        <v>0</v>
      </c>
      <c r="T456" s="77">
        <v>0</v>
      </c>
      <c r="U456" s="77">
        <v>0</v>
      </c>
      <c r="V456" s="77">
        <v>8</v>
      </c>
      <c r="W456" s="82" t="s">
        <v>5522</v>
      </c>
      <c r="X456" s="77"/>
      <c r="Y456" s="77"/>
      <c r="Z456" s="77" t="s">
        <v>392</v>
      </c>
      <c r="AA456" s="77" t="s">
        <v>7841</v>
      </c>
      <c r="AB456" s="77" t="s">
        <v>10130</v>
      </c>
      <c r="AC456" s="82" t="s">
        <v>10154</v>
      </c>
      <c r="AD456" s="77" t="s">
        <v>10184</v>
      </c>
      <c r="AE456" s="80" t="str">
        <f>HYPERLINK("https://twitter.com/laerciolobanco/status/1690770271005773824")</f>
        <v>https://twitter.com/laerciolobanco/status/1690770271005773824</v>
      </c>
      <c r="AF456" s="79">
        <v>45151.708564814813</v>
      </c>
      <c r="AG456" s="85">
        <v>45151</v>
      </c>
      <c r="AH456" s="82" t="s">
        <v>10644</v>
      </c>
      <c r="AI456" s="77" t="b">
        <v>0</v>
      </c>
      <c r="AJ456" s="77"/>
      <c r="AK456" s="77"/>
      <c r="AL456" s="77"/>
      <c r="AM456" s="77"/>
      <c r="AN456" s="77"/>
      <c r="AO456" s="77"/>
      <c r="AP456" s="77"/>
      <c r="AQ456" s="77" t="s">
        <v>14485</v>
      </c>
      <c r="AR456" s="77"/>
      <c r="AS456" s="77"/>
      <c r="AT456" s="77"/>
      <c r="AU456" s="77"/>
      <c r="AV456" s="80" t="str">
        <f>HYPERLINK("https://pbs.twimg.com/media/F3bSmdvWIAAyW1b.jpg")</f>
        <v>https://pbs.twimg.com/media/F3bSmdvWIAAyW1b.jpg</v>
      </c>
      <c r="AW456" s="82" t="s">
        <v>17229</v>
      </c>
      <c r="AX456" s="82" t="s">
        <v>17229</v>
      </c>
      <c r="AY456" s="77"/>
      <c r="AZ456" s="82" t="s">
        <v>20971</v>
      </c>
      <c r="BA456" s="82" t="s">
        <v>20971</v>
      </c>
      <c r="BB456" s="82" t="s">
        <v>20971</v>
      </c>
      <c r="BC456" s="82" t="s">
        <v>17229</v>
      </c>
      <c r="BD456" s="82" t="s">
        <v>21136</v>
      </c>
      <c r="BE456" s="77"/>
      <c r="BF456" s="77"/>
      <c r="BG456" s="77"/>
      <c r="BH456" s="77"/>
      <c r="BI456" s="77"/>
    </row>
    <row r="457" spans="1:61" x14ac:dyDescent="0.25">
      <c r="A457" s="62" t="s">
        <v>392</v>
      </c>
      <c r="B457" s="62" t="s">
        <v>392</v>
      </c>
      <c r="C457" s="63"/>
      <c r="D457" s="64"/>
      <c r="E457" s="65"/>
      <c r="F457" s="66"/>
      <c r="G457" s="63"/>
      <c r="H457" s="67"/>
      <c r="I457" s="68"/>
      <c r="J457" s="68"/>
      <c r="K457" s="32"/>
      <c r="L457" s="75">
        <v>457</v>
      </c>
      <c r="M457" s="75"/>
      <c r="N457" s="70"/>
      <c r="O457" s="77" t="s">
        <v>1285</v>
      </c>
      <c r="P457" s="79">
        <v>45150.70853009259</v>
      </c>
      <c r="Q457" s="77" t="s">
        <v>1740</v>
      </c>
      <c r="R457" s="77">
        <v>0</v>
      </c>
      <c r="S457" s="77">
        <v>0</v>
      </c>
      <c r="T457" s="77">
        <v>0</v>
      </c>
      <c r="U457" s="77">
        <v>0</v>
      </c>
      <c r="V457" s="77">
        <v>7</v>
      </c>
      <c r="W457" s="82" t="s">
        <v>5522</v>
      </c>
      <c r="X457" s="77"/>
      <c r="Y457" s="77"/>
      <c r="Z457" s="77" t="s">
        <v>392</v>
      </c>
      <c r="AA457" s="77" t="s">
        <v>7842</v>
      </c>
      <c r="AB457" s="77" t="s">
        <v>10130</v>
      </c>
      <c r="AC457" s="82" t="s">
        <v>10154</v>
      </c>
      <c r="AD457" s="77" t="s">
        <v>10184</v>
      </c>
      <c r="AE457" s="80" t="str">
        <f>HYPERLINK("https://twitter.com/laerciolobanco/status/1690407871098314752")</f>
        <v>https://twitter.com/laerciolobanco/status/1690407871098314752</v>
      </c>
      <c r="AF457" s="79">
        <v>45150.70853009259</v>
      </c>
      <c r="AG457" s="85">
        <v>45150</v>
      </c>
      <c r="AH457" s="82" t="s">
        <v>10645</v>
      </c>
      <c r="AI457" s="77" t="b">
        <v>0</v>
      </c>
      <c r="AJ457" s="77"/>
      <c r="AK457" s="77"/>
      <c r="AL457" s="77"/>
      <c r="AM457" s="77"/>
      <c r="AN457" s="77"/>
      <c r="AO457" s="77"/>
      <c r="AP457" s="77"/>
      <c r="AQ457" s="77" t="s">
        <v>14486</v>
      </c>
      <c r="AR457" s="77"/>
      <c r="AS457" s="77"/>
      <c r="AT457" s="77"/>
      <c r="AU457" s="77"/>
      <c r="AV457" s="80" t="str">
        <f>HYPERLINK("https://pbs.twimg.com/media/F3WJAEZXMAAZ-j8.jpg")</f>
        <v>https://pbs.twimg.com/media/F3WJAEZXMAAZ-j8.jpg</v>
      </c>
      <c r="AW457" s="82" t="s">
        <v>17230</v>
      </c>
      <c r="AX457" s="82" t="s">
        <v>17230</v>
      </c>
      <c r="AY457" s="77"/>
      <c r="AZ457" s="82" t="s">
        <v>20971</v>
      </c>
      <c r="BA457" s="82" t="s">
        <v>20971</v>
      </c>
      <c r="BB457" s="82" t="s">
        <v>20971</v>
      </c>
      <c r="BC457" s="82" t="s">
        <v>17230</v>
      </c>
      <c r="BD457" s="82" t="s">
        <v>21136</v>
      </c>
      <c r="BE457" s="77"/>
      <c r="BF457" s="77"/>
      <c r="BG457" s="77"/>
      <c r="BH457" s="77"/>
      <c r="BI457" s="77"/>
    </row>
    <row r="458" spans="1:61" x14ac:dyDescent="0.25">
      <c r="A458" s="62" t="s">
        <v>392</v>
      </c>
      <c r="B458" s="62" t="s">
        <v>392</v>
      </c>
      <c r="C458" s="63"/>
      <c r="D458" s="64"/>
      <c r="E458" s="65"/>
      <c r="F458" s="66"/>
      <c r="G458" s="63"/>
      <c r="H458" s="67"/>
      <c r="I458" s="68"/>
      <c r="J458" s="68"/>
      <c r="K458" s="32"/>
      <c r="L458" s="75">
        <v>458</v>
      </c>
      <c r="M458" s="75"/>
      <c r="N458" s="70"/>
      <c r="O458" s="77" t="s">
        <v>1285</v>
      </c>
      <c r="P458" s="79">
        <v>45143.708587962959</v>
      </c>
      <c r="Q458" s="77" t="s">
        <v>1741</v>
      </c>
      <c r="R458" s="77">
        <v>0</v>
      </c>
      <c r="S458" s="77">
        <v>0</v>
      </c>
      <c r="T458" s="77">
        <v>0</v>
      </c>
      <c r="U458" s="77">
        <v>0</v>
      </c>
      <c r="V458" s="77">
        <v>10</v>
      </c>
      <c r="W458" s="82" t="s">
        <v>5522</v>
      </c>
      <c r="X458" s="77"/>
      <c r="Y458" s="77"/>
      <c r="Z458" s="77" t="s">
        <v>392</v>
      </c>
      <c r="AA458" s="77" t="s">
        <v>7843</v>
      </c>
      <c r="AB458" s="77" t="s">
        <v>10130</v>
      </c>
      <c r="AC458" s="82" t="s">
        <v>10154</v>
      </c>
      <c r="AD458" s="77" t="s">
        <v>10184</v>
      </c>
      <c r="AE458" s="80" t="str">
        <f>HYPERLINK("https://twitter.com/laerciolobanco/status/1687871179166535680")</f>
        <v>https://twitter.com/laerciolobanco/status/1687871179166535680</v>
      </c>
      <c r="AF458" s="79">
        <v>45143.708587962959</v>
      </c>
      <c r="AG458" s="85">
        <v>45143</v>
      </c>
      <c r="AH458" s="82" t="s">
        <v>10633</v>
      </c>
      <c r="AI458" s="77" t="b">
        <v>0</v>
      </c>
      <c r="AJ458" s="77"/>
      <c r="AK458" s="77"/>
      <c r="AL458" s="77"/>
      <c r="AM458" s="77"/>
      <c r="AN458" s="77"/>
      <c r="AO458" s="77"/>
      <c r="AP458" s="77"/>
      <c r="AQ458" s="77" t="s">
        <v>14487</v>
      </c>
      <c r="AR458" s="77"/>
      <c r="AS458" s="77"/>
      <c r="AT458" s="77"/>
      <c r="AU458" s="77"/>
      <c r="AV458" s="80" t="str">
        <f>HYPERLINK("https://pbs.twimg.com/media/F2yF5JtXkAEJJlQ.jpg")</f>
        <v>https://pbs.twimg.com/media/F2yF5JtXkAEJJlQ.jpg</v>
      </c>
      <c r="AW458" s="82" t="s">
        <v>17231</v>
      </c>
      <c r="AX458" s="82" t="s">
        <v>17231</v>
      </c>
      <c r="AY458" s="77"/>
      <c r="AZ458" s="82" t="s">
        <v>20971</v>
      </c>
      <c r="BA458" s="82" t="s">
        <v>20971</v>
      </c>
      <c r="BB458" s="82" t="s">
        <v>20971</v>
      </c>
      <c r="BC458" s="82" t="s">
        <v>17231</v>
      </c>
      <c r="BD458" s="82" t="s">
        <v>21136</v>
      </c>
      <c r="BE458" s="77"/>
      <c r="BF458" s="77"/>
      <c r="BG458" s="77"/>
      <c r="BH458" s="77"/>
      <c r="BI458" s="77"/>
    </row>
    <row r="459" spans="1:61" x14ac:dyDescent="0.25">
      <c r="A459" s="62" t="s">
        <v>392</v>
      </c>
      <c r="B459" s="62" t="s">
        <v>392</v>
      </c>
      <c r="C459" s="63"/>
      <c r="D459" s="64"/>
      <c r="E459" s="65"/>
      <c r="F459" s="66"/>
      <c r="G459" s="63"/>
      <c r="H459" s="67"/>
      <c r="I459" s="68"/>
      <c r="J459" s="68"/>
      <c r="K459" s="32"/>
      <c r="L459" s="75">
        <v>459</v>
      </c>
      <c r="M459" s="75"/>
      <c r="N459" s="70"/>
      <c r="O459" s="77" t="s">
        <v>1285</v>
      </c>
      <c r="P459" s="79">
        <v>45142.708645833336</v>
      </c>
      <c r="Q459" s="77" t="s">
        <v>1742</v>
      </c>
      <c r="R459" s="77">
        <v>0</v>
      </c>
      <c r="S459" s="77">
        <v>0</v>
      </c>
      <c r="T459" s="77">
        <v>0</v>
      </c>
      <c r="U459" s="77">
        <v>0</v>
      </c>
      <c r="V459" s="77">
        <v>6</v>
      </c>
      <c r="W459" s="82" t="s">
        <v>5522</v>
      </c>
      <c r="X459" s="77"/>
      <c r="Y459" s="77"/>
      <c r="Z459" s="77" t="s">
        <v>392</v>
      </c>
      <c r="AA459" s="77" t="s">
        <v>7844</v>
      </c>
      <c r="AB459" s="77" t="s">
        <v>10130</v>
      </c>
      <c r="AC459" s="82" t="s">
        <v>10154</v>
      </c>
      <c r="AD459" s="77" t="s">
        <v>10184</v>
      </c>
      <c r="AE459" s="80" t="str">
        <f>HYPERLINK("https://twitter.com/laerciolobanco/status/1687508812599529477")</f>
        <v>https://twitter.com/laerciolobanco/status/1687508812599529477</v>
      </c>
      <c r="AF459" s="79">
        <v>45142.708645833336</v>
      </c>
      <c r="AG459" s="85">
        <v>45142</v>
      </c>
      <c r="AH459" s="82" t="s">
        <v>10634</v>
      </c>
      <c r="AI459" s="77" t="b">
        <v>0</v>
      </c>
      <c r="AJ459" s="77"/>
      <c r="AK459" s="77"/>
      <c r="AL459" s="77"/>
      <c r="AM459" s="77"/>
      <c r="AN459" s="77"/>
      <c r="AO459" s="77"/>
      <c r="AP459" s="77"/>
      <c r="AQ459" s="77" t="s">
        <v>14488</v>
      </c>
      <c r="AR459" s="77"/>
      <c r="AS459" s="77"/>
      <c r="AT459" s="77"/>
      <c r="AU459" s="77"/>
      <c r="AV459" s="80" t="str">
        <f>HYPERLINK("https://pbs.twimg.com/media/F2s8Up3XoAI9dkX.jpg")</f>
        <v>https://pbs.twimg.com/media/F2s8Up3XoAI9dkX.jpg</v>
      </c>
      <c r="AW459" s="82" t="s">
        <v>17232</v>
      </c>
      <c r="AX459" s="82" t="s">
        <v>17232</v>
      </c>
      <c r="AY459" s="77"/>
      <c r="AZ459" s="82" t="s">
        <v>20971</v>
      </c>
      <c r="BA459" s="82" t="s">
        <v>20971</v>
      </c>
      <c r="BB459" s="82" t="s">
        <v>20971</v>
      </c>
      <c r="BC459" s="82" t="s">
        <v>17232</v>
      </c>
      <c r="BD459" s="82" t="s">
        <v>21136</v>
      </c>
      <c r="BE459" s="77"/>
      <c r="BF459" s="77"/>
      <c r="BG459" s="77"/>
      <c r="BH459" s="77"/>
      <c r="BI459" s="77"/>
    </row>
    <row r="460" spans="1:61" x14ac:dyDescent="0.25">
      <c r="A460" s="62" t="s">
        <v>392</v>
      </c>
      <c r="B460" s="62" t="s">
        <v>392</v>
      </c>
      <c r="C460" s="63"/>
      <c r="D460" s="64"/>
      <c r="E460" s="65"/>
      <c r="F460" s="66"/>
      <c r="G460" s="63"/>
      <c r="H460" s="67"/>
      <c r="I460" s="68"/>
      <c r="J460" s="68"/>
      <c r="K460" s="32"/>
      <c r="L460" s="75">
        <v>460</v>
      </c>
      <c r="M460" s="75"/>
      <c r="N460" s="70"/>
      <c r="O460" s="77" t="s">
        <v>1285</v>
      </c>
      <c r="P460" s="79">
        <v>44987.750277777777</v>
      </c>
      <c r="Q460" s="77" t="s">
        <v>1743</v>
      </c>
      <c r="R460" s="77">
        <v>0</v>
      </c>
      <c r="S460" s="77">
        <v>0</v>
      </c>
      <c r="T460" s="77">
        <v>0</v>
      </c>
      <c r="U460" s="77">
        <v>0</v>
      </c>
      <c r="V460" s="77">
        <v>8</v>
      </c>
      <c r="W460" s="82" t="s">
        <v>5522</v>
      </c>
      <c r="X460" s="77"/>
      <c r="Y460" s="77"/>
      <c r="Z460" s="77" t="s">
        <v>392</v>
      </c>
      <c r="AA460" s="77" t="s">
        <v>7845</v>
      </c>
      <c r="AB460" s="77" t="s">
        <v>10130</v>
      </c>
      <c r="AC460" s="82" t="s">
        <v>10154</v>
      </c>
      <c r="AD460" s="77" t="s">
        <v>10184</v>
      </c>
      <c r="AE460" s="80" t="str">
        <f>HYPERLINK("https://twitter.com/laerciolobanco/status/1631353778640244737")</f>
        <v>https://twitter.com/laerciolobanco/status/1631353778640244737</v>
      </c>
      <c r="AF460" s="79">
        <v>44987.750277777777</v>
      </c>
      <c r="AG460" s="85">
        <v>44987</v>
      </c>
      <c r="AH460" s="82" t="s">
        <v>10646</v>
      </c>
      <c r="AI460" s="77" t="b">
        <v>0</v>
      </c>
      <c r="AJ460" s="77"/>
      <c r="AK460" s="77"/>
      <c r="AL460" s="77"/>
      <c r="AM460" s="77"/>
      <c r="AN460" s="77"/>
      <c r="AO460" s="77"/>
      <c r="AP460" s="77"/>
      <c r="AQ460" s="77" t="s">
        <v>14489</v>
      </c>
      <c r="AR460" s="77"/>
      <c r="AS460" s="77"/>
      <c r="AT460" s="77"/>
      <c r="AU460" s="77"/>
      <c r="AV460" s="80" t="str">
        <f>HYPERLINK("https://pbs.twimg.com/media/FqO7nffWAAgoHgO.jpg")</f>
        <v>https://pbs.twimg.com/media/FqO7nffWAAgoHgO.jpg</v>
      </c>
      <c r="AW460" s="82" t="s">
        <v>17233</v>
      </c>
      <c r="AX460" s="82" t="s">
        <v>17233</v>
      </c>
      <c r="AY460" s="77"/>
      <c r="AZ460" s="82" t="s">
        <v>20971</v>
      </c>
      <c r="BA460" s="82" t="s">
        <v>20971</v>
      </c>
      <c r="BB460" s="82" t="s">
        <v>20971</v>
      </c>
      <c r="BC460" s="82" t="s">
        <v>17233</v>
      </c>
      <c r="BD460" s="82" t="s">
        <v>21136</v>
      </c>
      <c r="BE460" s="77"/>
      <c r="BF460" s="77"/>
      <c r="BG460" s="77"/>
      <c r="BH460" s="77"/>
      <c r="BI460" s="77"/>
    </row>
    <row r="461" spans="1:61" x14ac:dyDescent="0.25">
      <c r="A461" s="62" t="s">
        <v>392</v>
      </c>
      <c r="B461" s="62" t="s">
        <v>392</v>
      </c>
      <c r="C461" s="63"/>
      <c r="D461" s="64"/>
      <c r="E461" s="65"/>
      <c r="F461" s="66"/>
      <c r="G461" s="63"/>
      <c r="H461" s="67"/>
      <c r="I461" s="68"/>
      <c r="J461" s="68"/>
      <c r="K461" s="32"/>
      <c r="L461" s="75">
        <v>461</v>
      </c>
      <c r="M461" s="75"/>
      <c r="N461" s="70"/>
      <c r="O461" s="77" t="s">
        <v>1285</v>
      </c>
      <c r="P461" s="79">
        <v>44986.750324074077</v>
      </c>
      <c r="Q461" s="77" t="s">
        <v>1744</v>
      </c>
      <c r="R461" s="77">
        <v>0</v>
      </c>
      <c r="S461" s="77">
        <v>0</v>
      </c>
      <c r="T461" s="77">
        <v>0</v>
      </c>
      <c r="U461" s="77">
        <v>0</v>
      </c>
      <c r="V461" s="77">
        <v>9</v>
      </c>
      <c r="W461" s="82" t="s">
        <v>5522</v>
      </c>
      <c r="X461" s="77"/>
      <c r="Y461" s="77"/>
      <c r="Z461" s="77" t="s">
        <v>392</v>
      </c>
      <c r="AA461" s="77" t="s">
        <v>7846</v>
      </c>
      <c r="AB461" s="77" t="s">
        <v>10130</v>
      </c>
      <c r="AC461" s="82" t="s">
        <v>10154</v>
      </c>
      <c r="AD461" s="77" t="s">
        <v>10184</v>
      </c>
      <c r="AE461" s="80" t="str">
        <f>HYPERLINK("https://twitter.com/laerciolobanco/status/1630991406708785157")</f>
        <v>https://twitter.com/laerciolobanco/status/1630991406708785157</v>
      </c>
      <c r="AF461" s="79">
        <v>44986.750324074077</v>
      </c>
      <c r="AG461" s="85">
        <v>44986</v>
      </c>
      <c r="AH461" s="82" t="s">
        <v>10647</v>
      </c>
      <c r="AI461" s="77" t="b">
        <v>0</v>
      </c>
      <c r="AJ461" s="77"/>
      <c r="AK461" s="77"/>
      <c r="AL461" s="77"/>
      <c r="AM461" s="77"/>
      <c r="AN461" s="77"/>
      <c r="AO461" s="77"/>
      <c r="AP461" s="77"/>
      <c r="AQ461" s="77" t="s">
        <v>14490</v>
      </c>
      <c r="AR461" s="77"/>
      <c r="AS461" s="77"/>
      <c r="AT461" s="77"/>
      <c r="AU461" s="77"/>
      <c r="AV461" s="80" t="str">
        <f>HYPERLINK("https://pbs.twimg.com/media/FqJyCpyXgAIwtEP.jpg")</f>
        <v>https://pbs.twimg.com/media/FqJyCpyXgAIwtEP.jpg</v>
      </c>
      <c r="AW461" s="82" t="s">
        <v>17234</v>
      </c>
      <c r="AX461" s="82" t="s">
        <v>17234</v>
      </c>
      <c r="AY461" s="77"/>
      <c r="AZ461" s="82" t="s">
        <v>20971</v>
      </c>
      <c r="BA461" s="82" t="s">
        <v>20971</v>
      </c>
      <c r="BB461" s="82" t="s">
        <v>20971</v>
      </c>
      <c r="BC461" s="82" t="s">
        <v>17234</v>
      </c>
      <c r="BD461" s="82" t="s">
        <v>21136</v>
      </c>
      <c r="BE461" s="77"/>
      <c r="BF461" s="77"/>
      <c r="BG461" s="77"/>
      <c r="BH461" s="77"/>
      <c r="BI461" s="77"/>
    </row>
    <row r="462" spans="1:61" x14ac:dyDescent="0.25">
      <c r="A462" s="62" t="s">
        <v>392</v>
      </c>
      <c r="B462" s="62" t="s">
        <v>392</v>
      </c>
      <c r="C462" s="63"/>
      <c r="D462" s="64"/>
      <c r="E462" s="65"/>
      <c r="F462" s="66"/>
      <c r="G462" s="63"/>
      <c r="H462" s="67"/>
      <c r="I462" s="68"/>
      <c r="J462" s="68"/>
      <c r="K462" s="32"/>
      <c r="L462" s="75">
        <v>462</v>
      </c>
      <c r="M462" s="75"/>
      <c r="N462" s="70"/>
      <c r="O462" s="77" t="s">
        <v>1285</v>
      </c>
      <c r="P462" s="79">
        <v>45172.708564814813</v>
      </c>
      <c r="Q462" s="77" t="s">
        <v>1745</v>
      </c>
      <c r="R462" s="77">
        <v>0</v>
      </c>
      <c r="S462" s="77">
        <v>0</v>
      </c>
      <c r="T462" s="77">
        <v>0</v>
      </c>
      <c r="U462" s="77">
        <v>0</v>
      </c>
      <c r="V462" s="77">
        <v>2</v>
      </c>
      <c r="W462" s="82" t="s">
        <v>5522</v>
      </c>
      <c r="X462" s="77"/>
      <c r="Y462" s="77"/>
      <c r="Z462" s="77" t="s">
        <v>392</v>
      </c>
      <c r="AA462" s="77" t="s">
        <v>7847</v>
      </c>
      <c r="AB462" s="77" t="s">
        <v>10130</v>
      </c>
      <c r="AC462" s="82" t="s">
        <v>10154</v>
      </c>
      <c r="AD462" s="77" t="s">
        <v>10184</v>
      </c>
      <c r="AE462" s="80" t="str">
        <f>HYPERLINK("https://twitter.com/laerciolobanco/status/1698380416623722939")</f>
        <v>https://twitter.com/laerciolobanco/status/1698380416623722939</v>
      </c>
      <c r="AF462" s="79">
        <v>45172.708564814813</v>
      </c>
      <c r="AG462" s="85">
        <v>45172</v>
      </c>
      <c r="AH462" s="82" t="s">
        <v>10644</v>
      </c>
      <c r="AI462" s="77" t="b">
        <v>0</v>
      </c>
      <c r="AJ462" s="77"/>
      <c r="AK462" s="77"/>
      <c r="AL462" s="77"/>
      <c r="AM462" s="77"/>
      <c r="AN462" s="77"/>
      <c r="AO462" s="77"/>
      <c r="AP462" s="77"/>
      <c r="AQ462" s="77" t="s">
        <v>14491</v>
      </c>
      <c r="AR462" s="77"/>
      <c r="AS462" s="77"/>
      <c r="AT462" s="77"/>
      <c r="AU462" s="77"/>
      <c r="AV462" s="80" t="str">
        <f>HYPERLINK("https://pbs.twimg.com/media/F5Hb_RLXgAA4Hpc.jpg")</f>
        <v>https://pbs.twimg.com/media/F5Hb_RLXgAA4Hpc.jpg</v>
      </c>
      <c r="AW462" s="82" t="s">
        <v>17235</v>
      </c>
      <c r="AX462" s="82" t="s">
        <v>17235</v>
      </c>
      <c r="AY462" s="77"/>
      <c r="AZ462" s="82" t="s">
        <v>20971</v>
      </c>
      <c r="BA462" s="82" t="s">
        <v>20971</v>
      </c>
      <c r="BB462" s="82" t="s">
        <v>20971</v>
      </c>
      <c r="BC462" s="82" t="s">
        <v>17235</v>
      </c>
      <c r="BD462" s="82" t="s">
        <v>21136</v>
      </c>
      <c r="BE462" s="77"/>
      <c r="BF462" s="77"/>
      <c r="BG462" s="77"/>
      <c r="BH462" s="77"/>
      <c r="BI462" s="77"/>
    </row>
    <row r="463" spans="1:61" x14ac:dyDescent="0.25">
      <c r="A463" s="62" t="s">
        <v>392</v>
      </c>
      <c r="B463" s="62" t="s">
        <v>392</v>
      </c>
      <c r="C463" s="63"/>
      <c r="D463" s="64"/>
      <c r="E463" s="65"/>
      <c r="F463" s="66"/>
      <c r="G463" s="63"/>
      <c r="H463" s="67"/>
      <c r="I463" s="68"/>
      <c r="J463" s="68"/>
      <c r="K463" s="32"/>
      <c r="L463" s="75">
        <v>463</v>
      </c>
      <c r="M463" s="75"/>
      <c r="N463" s="70"/>
      <c r="O463" s="77" t="s">
        <v>1285</v>
      </c>
      <c r="P463" s="79">
        <v>45166.407048611109</v>
      </c>
      <c r="Q463" s="77" t="s">
        <v>1746</v>
      </c>
      <c r="R463" s="77">
        <v>0</v>
      </c>
      <c r="S463" s="77">
        <v>0</v>
      </c>
      <c r="T463" s="77">
        <v>0</v>
      </c>
      <c r="U463" s="77">
        <v>0</v>
      </c>
      <c r="V463" s="77">
        <v>11</v>
      </c>
      <c r="W463" s="82" t="s">
        <v>5525</v>
      </c>
      <c r="X463" s="77"/>
      <c r="Y463" s="77"/>
      <c r="Z463" s="77" t="s">
        <v>392</v>
      </c>
      <c r="AA463" s="77" t="s">
        <v>7848</v>
      </c>
      <c r="AB463" s="77" t="s">
        <v>10129</v>
      </c>
      <c r="AC463" s="82" t="s">
        <v>10154</v>
      </c>
      <c r="AD463" s="77" t="s">
        <v>10184</v>
      </c>
      <c r="AE463" s="80" t="str">
        <f>HYPERLINK("https://twitter.com/laerciolobanco/status/1696096822597435408")</f>
        <v>https://twitter.com/laerciolobanco/status/1696096822597435408</v>
      </c>
      <c r="AF463" s="79">
        <v>45166.407048611109</v>
      </c>
      <c r="AG463" s="85">
        <v>45166</v>
      </c>
      <c r="AH463" s="82" t="s">
        <v>10648</v>
      </c>
      <c r="AI463" s="77" t="b">
        <v>0</v>
      </c>
      <c r="AJ463" s="77"/>
      <c r="AK463" s="77"/>
      <c r="AL463" s="77"/>
      <c r="AM463" s="77"/>
      <c r="AN463" s="77"/>
      <c r="AO463" s="77"/>
      <c r="AP463" s="77"/>
      <c r="AQ463" s="77" t="s">
        <v>14492</v>
      </c>
      <c r="AR463" s="77">
        <v>42666</v>
      </c>
      <c r="AS463" s="77"/>
      <c r="AT463" s="77"/>
      <c r="AU463" s="77"/>
      <c r="AV463" s="80" t="str">
        <f>HYPERLINK("https://pbs.twimg.com/ext_tw_video_thumb/1696096769761792000/pu/img/CJAbPWM5bW2g4iKA.jpg")</f>
        <v>https://pbs.twimg.com/ext_tw_video_thumb/1696096769761792000/pu/img/CJAbPWM5bW2g4iKA.jpg</v>
      </c>
      <c r="AW463" s="82" t="s">
        <v>17236</v>
      </c>
      <c r="AX463" s="82" t="s">
        <v>17236</v>
      </c>
      <c r="AY463" s="77"/>
      <c r="AZ463" s="82" t="s">
        <v>20971</v>
      </c>
      <c r="BA463" s="82" t="s">
        <v>20971</v>
      </c>
      <c r="BB463" s="82" t="s">
        <v>20971</v>
      </c>
      <c r="BC463" s="82" t="s">
        <v>17236</v>
      </c>
      <c r="BD463" s="82" t="s">
        <v>21136</v>
      </c>
      <c r="BE463" s="77"/>
      <c r="BF463" s="77"/>
      <c r="BG463" s="77"/>
      <c r="BH463" s="77"/>
      <c r="BI463" s="77"/>
    </row>
    <row r="464" spans="1:61" x14ac:dyDescent="0.25">
      <c r="A464" s="62" t="s">
        <v>392</v>
      </c>
      <c r="B464" s="62" t="s">
        <v>392</v>
      </c>
      <c r="C464" s="63"/>
      <c r="D464" s="64"/>
      <c r="E464" s="65"/>
      <c r="F464" s="66"/>
      <c r="G464" s="63"/>
      <c r="H464" s="67"/>
      <c r="I464" s="68"/>
      <c r="J464" s="68"/>
      <c r="K464" s="32"/>
      <c r="L464" s="75">
        <v>464</v>
      </c>
      <c r="M464" s="75"/>
      <c r="N464" s="70"/>
      <c r="O464" s="77" t="s">
        <v>1285</v>
      </c>
      <c r="P464" s="79">
        <v>45159.708564814813</v>
      </c>
      <c r="Q464" s="77" t="s">
        <v>1747</v>
      </c>
      <c r="R464" s="77">
        <v>0</v>
      </c>
      <c r="S464" s="77">
        <v>0</v>
      </c>
      <c r="T464" s="77">
        <v>0</v>
      </c>
      <c r="U464" s="77">
        <v>0</v>
      </c>
      <c r="V464" s="77">
        <v>10</v>
      </c>
      <c r="W464" s="82" t="s">
        <v>5522</v>
      </c>
      <c r="X464" s="77"/>
      <c r="Y464" s="77"/>
      <c r="Z464" s="77" t="s">
        <v>392</v>
      </c>
      <c r="AA464" s="77" t="s">
        <v>7849</v>
      </c>
      <c r="AB464" s="77" t="s">
        <v>10130</v>
      </c>
      <c r="AC464" s="82" t="s">
        <v>10154</v>
      </c>
      <c r="AD464" s="77" t="s">
        <v>10184</v>
      </c>
      <c r="AE464" s="80" t="str">
        <f>HYPERLINK("https://twitter.com/laerciolobanco/status/1693669373100143058")</f>
        <v>https://twitter.com/laerciolobanco/status/1693669373100143058</v>
      </c>
      <c r="AF464" s="79">
        <v>45159.708564814813</v>
      </c>
      <c r="AG464" s="85">
        <v>45159</v>
      </c>
      <c r="AH464" s="82" t="s">
        <v>10644</v>
      </c>
      <c r="AI464" s="77" t="b">
        <v>0</v>
      </c>
      <c r="AJ464" s="77"/>
      <c r="AK464" s="77"/>
      <c r="AL464" s="77"/>
      <c r="AM464" s="77"/>
      <c r="AN464" s="77"/>
      <c r="AO464" s="77"/>
      <c r="AP464" s="77"/>
      <c r="AQ464" s="77" t="s">
        <v>14493</v>
      </c>
      <c r="AR464" s="77"/>
      <c r="AS464" s="77"/>
      <c r="AT464" s="77"/>
      <c r="AU464" s="77"/>
      <c r="AV464" s="80" t="str">
        <f>HYPERLINK("https://pbs.twimg.com/media/F4EfUeQWAAAA2H7.jpg")</f>
        <v>https://pbs.twimg.com/media/F4EfUeQWAAAA2H7.jpg</v>
      </c>
      <c r="AW464" s="82" t="s">
        <v>17237</v>
      </c>
      <c r="AX464" s="82" t="s">
        <v>17237</v>
      </c>
      <c r="AY464" s="77"/>
      <c r="AZ464" s="82" t="s">
        <v>20971</v>
      </c>
      <c r="BA464" s="82" t="s">
        <v>20971</v>
      </c>
      <c r="BB464" s="82" t="s">
        <v>20971</v>
      </c>
      <c r="BC464" s="82" t="s">
        <v>17237</v>
      </c>
      <c r="BD464" s="82" t="s">
        <v>21136</v>
      </c>
      <c r="BE464" s="77"/>
      <c r="BF464" s="77"/>
      <c r="BG464" s="77"/>
      <c r="BH464" s="77"/>
      <c r="BI464" s="77"/>
    </row>
    <row r="465" spans="1:61" x14ac:dyDescent="0.25">
      <c r="A465" s="62" t="s">
        <v>392</v>
      </c>
      <c r="B465" s="62" t="s">
        <v>392</v>
      </c>
      <c r="C465" s="63"/>
      <c r="D465" s="64"/>
      <c r="E465" s="65"/>
      <c r="F465" s="66"/>
      <c r="G465" s="63"/>
      <c r="H465" s="67"/>
      <c r="I465" s="68"/>
      <c r="J465" s="68"/>
      <c r="K465" s="32"/>
      <c r="L465" s="75">
        <v>465</v>
      </c>
      <c r="M465" s="75"/>
      <c r="N465" s="70"/>
      <c r="O465" s="77" t="s">
        <v>1285</v>
      </c>
      <c r="P465" s="79">
        <v>45158.708564814813</v>
      </c>
      <c r="Q465" s="77" t="s">
        <v>1748</v>
      </c>
      <c r="R465" s="77">
        <v>0</v>
      </c>
      <c r="S465" s="77">
        <v>0</v>
      </c>
      <c r="T465" s="77">
        <v>0</v>
      </c>
      <c r="U465" s="77">
        <v>0</v>
      </c>
      <c r="V465" s="77">
        <v>6</v>
      </c>
      <c r="W465" s="82" t="s">
        <v>5522</v>
      </c>
      <c r="X465" s="77"/>
      <c r="Y465" s="77"/>
      <c r="Z465" s="77" t="s">
        <v>392</v>
      </c>
      <c r="AA465" s="77" t="s">
        <v>7850</v>
      </c>
      <c r="AB465" s="77" t="s">
        <v>10130</v>
      </c>
      <c r="AC465" s="82" t="s">
        <v>10154</v>
      </c>
      <c r="AD465" s="77" t="s">
        <v>10184</v>
      </c>
      <c r="AE465" s="80" t="str">
        <f>HYPERLINK("https://twitter.com/laerciolobanco/status/1693306986027192798")</f>
        <v>https://twitter.com/laerciolobanco/status/1693306986027192798</v>
      </c>
      <c r="AF465" s="79">
        <v>45158.708564814813</v>
      </c>
      <c r="AG465" s="85">
        <v>45158</v>
      </c>
      <c r="AH465" s="82" t="s">
        <v>10644</v>
      </c>
      <c r="AI465" s="77" t="b">
        <v>0</v>
      </c>
      <c r="AJ465" s="77"/>
      <c r="AK465" s="77"/>
      <c r="AL465" s="77"/>
      <c r="AM465" s="77"/>
      <c r="AN465" s="77"/>
      <c r="AO465" s="77"/>
      <c r="AP465" s="77"/>
      <c r="AQ465" s="77" t="s">
        <v>14494</v>
      </c>
      <c r="AR465" s="77"/>
      <c r="AS465" s="77"/>
      <c r="AT465" s="77"/>
      <c r="AU465" s="77"/>
      <c r="AV465" s="80" t="str">
        <f>HYPERLINK("https://pbs.twimg.com/media/F3_VuusWsAAMC3d.jpg")</f>
        <v>https://pbs.twimg.com/media/F3_VuusWsAAMC3d.jpg</v>
      </c>
      <c r="AW465" s="82" t="s">
        <v>17238</v>
      </c>
      <c r="AX465" s="82" t="s">
        <v>17238</v>
      </c>
      <c r="AY465" s="77"/>
      <c r="AZ465" s="82" t="s">
        <v>20971</v>
      </c>
      <c r="BA465" s="82" t="s">
        <v>20971</v>
      </c>
      <c r="BB465" s="82" t="s">
        <v>20971</v>
      </c>
      <c r="BC465" s="82" t="s">
        <v>17238</v>
      </c>
      <c r="BD465" s="82" t="s">
        <v>21136</v>
      </c>
      <c r="BE465" s="77"/>
      <c r="BF465" s="77"/>
      <c r="BG465" s="77"/>
      <c r="BH465" s="77"/>
      <c r="BI465" s="77"/>
    </row>
    <row r="466" spans="1:61" x14ac:dyDescent="0.25">
      <c r="A466" s="62" t="s">
        <v>392</v>
      </c>
      <c r="B466" s="62" t="s">
        <v>392</v>
      </c>
      <c r="C466" s="63"/>
      <c r="D466" s="64"/>
      <c r="E466" s="65"/>
      <c r="F466" s="66"/>
      <c r="G466" s="63"/>
      <c r="H466" s="67"/>
      <c r="I466" s="68"/>
      <c r="J466" s="68"/>
      <c r="K466" s="32"/>
      <c r="L466" s="75">
        <v>466</v>
      </c>
      <c r="M466" s="75"/>
      <c r="N466" s="70"/>
      <c r="O466" s="77" t="s">
        <v>1285</v>
      </c>
      <c r="P466" s="79">
        <v>45149.708645833336</v>
      </c>
      <c r="Q466" s="77" t="s">
        <v>1749</v>
      </c>
      <c r="R466" s="77">
        <v>0</v>
      </c>
      <c r="S466" s="77">
        <v>0</v>
      </c>
      <c r="T466" s="77">
        <v>0</v>
      </c>
      <c r="U466" s="77">
        <v>0</v>
      </c>
      <c r="V466" s="77">
        <v>9</v>
      </c>
      <c r="W466" s="82" t="s">
        <v>5522</v>
      </c>
      <c r="X466" s="77"/>
      <c r="Y466" s="77"/>
      <c r="Z466" s="77" t="s">
        <v>392</v>
      </c>
      <c r="AA466" s="77" t="s">
        <v>7851</v>
      </c>
      <c r="AB466" s="77" t="s">
        <v>10130</v>
      </c>
      <c r="AC466" s="82" t="s">
        <v>10154</v>
      </c>
      <c r="AD466" s="77" t="s">
        <v>10184</v>
      </c>
      <c r="AE466" s="80" t="str">
        <f>HYPERLINK("https://twitter.com/laerciolobanco/status/1690045526752866304")</f>
        <v>https://twitter.com/laerciolobanco/status/1690045526752866304</v>
      </c>
      <c r="AF466" s="79">
        <v>45149.708645833336</v>
      </c>
      <c r="AG466" s="85">
        <v>45149</v>
      </c>
      <c r="AH466" s="82" t="s">
        <v>10634</v>
      </c>
      <c r="AI466" s="77" t="b">
        <v>0</v>
      </c>
      <c r="AJ466" s="77"/>
      <c r="AK466" s="77"/>
      <c r="AL466" s="77"/>
      <c r="AM466" s="77"/>
      <c r="AN466" s="77"/>
      <c r="AO466" s="77"/>
      <c r="AP466" s="77"/>
      <c r="AQ466" s="77" t="s">
        <v>14495</v>
      </c>
      <c r="AR466" s="77"/>
      <c r="AS466" s="77"/>
      <c r="AT466" s="77"/>
      <c r="AU466" s="77"/>
      <c r="AV466" s="80" t="str">
        <f>HYPERLINK("https://pbs.twimg.com/media/F3Q_c2qXsBIbidX.jpg")</f>
        <v>https://pbs.twimg.com/media/F3Q_c2qXsBIbidX.jpg</v>
      </c>
      <c r="AW466" s="82" t="s">
        <v>17239</v>
      </c>
      <c r="AX466" s="82" t="s">
        <v>17239</v>
      </c>
      <c r="AY466" s="77"/>
      <c r="AZ466" s="82" t="s">
        <v>20971</v>
      </c>
      <c r="BA466" s="82" t="s">
        <v>20971</v>
      </c>
      <c r="BB466" s="82" t="s">
        <v>20971</v>
      </c>
      <c r="BC466" s="82" t="s">
        <v>17239</v>
      </c>
      <c r="BD466" s="82" t="s">
        <v>21136</v>
      </c>
      <c r="BE466" s="77"/>
      <c r="BF466" s="77"/>
      <c r="BG466" s="77"/>
      <c r="BH466" s="77"/>
      <c r="BI466" s="77"/>
    </row>
    <row r="467" spans="1:61" x14ac:dyDescent="0.25">
      <c r="A467" s="62" t="s">
        <v>392</v>
      </c>
      <c r="B467" s="62" t="s">
        <v>392</v>
      </c>
      <c r="C467" s="63"/>
      <c r="D467" s="64"/>
      <c r="E467" s="65"/>
      <c r="F467" s="66"/>
      <c r="G467" s="63"/>
      <c r="H467" s="67"/>
      <c r="I467" s="68"/>
      <c r="J467" s="68"/>
      <c r="K467" s="32"/>
      <c r="L467" s="75">
        <v>467</v>
      </c>
      <c r="M467" s="75"/>
      <c r="N467" s="70"/>
      <c r="O467" s="77" t="s">
        <v>1285</v>
      </c>
      <c r="P467" s="79">
        <v>45148.708611111113</v>
      </c>
      <c r="Q467" s="77" t="s">
        <v>1750</v>
      </c>
      <c r="R467" s="77">
        <v>0</v>
      </c>
      <c r="S467" s="77">
        <v>0</v>
      </c>
      <c r="T467" s="77">
        <v>0</v>
      </c>
      <c r="U467" s="77">
        <v>0</v>
      </c>
      <c r="V467" s="77">
        <v>6</v>
      </c>
      <c r="W467" s="82" t="s">
        <v>5522</v>
      </c>
      <c r="X467" s="77"/>
      <c r="Y467" s="77"/>
      <c r="Z467" s="77" t="s">
        <v>392</v>
      </c>
      <c r="AA467" s="77" t="s">
        <v>7852</v>
      </c>
      <c r="AB467" s="77" t="s">
        <v>10130</v>
      </c>
      <c r="AC467" s="82" t="s">
        <v>10154</v>
      </c>
      <c r="AD467" s="77" t="s">
        <v>10184</v>
      </c>
      <c r="AE467" s="80" t="str">
        <f>HYPERLINK("https://twitter.com/laerciolobanco/status/1689683125801033728")</f>
        <v>https://twitter.com/laerciolobanco/status/1689683125801033728</v>
      </c>
      <c r="AF467" s="79">
        <v>45148.708611111113</v>
      </c>
      <c r="AG467" s="85">
        <v>45148</v>
      </c>
      <c r="AH467" s="82" t="s">
        <v>10642</v>
      </c>
      <c r="AI467" s="77" t="b">
        <v>0</v>
      </c>
      <c r="AJ467" s="77"/>
      <c r="AK467" s="77"/>
      <c r="AL467" s="77"/>
      <c r="AM467" s="77"/>
      <c r="AN467" s="77"/>
      <c r="AO467" s="77"/>
      <c r="AP467" s="77"/>
      <c r="AQ467" s="77" t="s">
        <v>14496</v>
      </c>
      <c r="AR467" s="77"/>
      <c r="AS467" s="77"/>
      <c r="AT467" s="77"/>
      <c r="AU467" s="77"/>
      <c r="AV467" s="80" t="str">
        <f>HYPERLINK("https://pbs.twimg.com/media/F3L12V4WgAArILw.jpg")</f>
        <v>https://pbs.twimg.com/media/F3L12V4WgAArILw.jpg</v>
      </c>
      <c r="AW467" s="82" t="s">
        <v>17240</v>
      </c>
      <c r="AX467" s="82" t="s">
        <v>17240</v>
      </c>
      <c r="AY467" s="77"/>
      <c r="AZ467" s="82" t="s">
        <v>20971</v>
      </c>
      <c r="BA467" s="82" t="s">
        <v>20971</v>
      </c>
      <c r="BB467" s="82" t="s">
        <v>20971</v>
      </c>
      <c r="BC467" s="82" t="s">
        <v>17240</v>
      </c>
      <c r="BD467" s="82" t="s">
        <v>21136</v>
      </c>
      <c r="BE467" s="77"/>
      <c r="BF467" s="77"/>
      <c r="BG467" s="77"/>
      <c r="BH467" s="77"/>
      <c r="BI467" s="77"/>
    </row>
    <row r="468" spans="1:61" x14ac:dyDescent="0.25">
      <c r="A468" s="62" t="s">
        <v>392</v>
      </c>
      <c r="B468" s="62" t="s">
        <v>392</v>
      </c>
      <c r="C468" s="63"/>
      <c r="D468" s="64"/>
      <c r="E468" s="65"/>
      <c r="F468" s="66"/>
      <c r="G468" s="63"/>
      <c r="H468" s="67"/>
      <c r="I468" s="68"/>
      <c r="J468" s="68"/>
      <c r="K468" s="32"/>
      <c r="L468" s="75">
        <v>468</v>
      </c>
      <c r="M468" s="75"/>
      <c r="N468" s="70"/>
      <c r="O468" s="77" t="s">
        <v>1285</v>
      </c>
      <c r="P468" s="79">
        <v>45140.708564814813</v>
      </c>
      <c r="Q468" s="77" t="s">
        <v>1751</v>
      </c>
      <c r="R468" s="77">
        <v>0</v>
      </c>
      <c r="S468" s="77">
        <v>0</v>
      </c>
      <c r="T468" s="77">
        <v>0</v>
      </c>
      <c r="U468" s="77">
        <v>0</v>
      </c>
      <c r="V468" s="77">
        <v>5</v>
      </c>
      <c r="W468" s="82" t="s">
        <v>5522</v>
      </c>
      <c r="X468" s="77"/>
      <c r="Y468" s="77"/>
      <c r="Z468" s="77" t="s">
        <v>392</v>
      </c>
      <c r="AA468" s="77" t="s">
        <v>7853</v>
      </c>
      <c r="AB468" s="77" t="s">
        <v>10130</v>
      </c>
      <c r="AC468" s="82" t="s">
        <v>10154</v>
      </c>
      <c r="AD468" s="77" t="s">
        <v>10184</v>
      </c>
      <c r="AE468" s="80" t="str">
        <f>HYPERLINK("https://twitter.com/laerciolobanco/status/1686784006174523418")</f>
        <v>https://twitter.com/laerciolobanco/status/1686784006174523418</v>
      </c>
      <c r="AF468" s="79">
        <v>45140.708564814813</v>
      </c>
      <c r="AG468" s="85">
        <v>45140</v>
      </c>
      <c r="AH468" s="82" t="s">
        <v>10644</v>
      </c>
      <c r="AI468" s="77" t="b">
        <v>0</v>
      </c>
      <c r="AJ468" s="77"/>
      <c r="AK468" s="77"/>
      <c r="AL468" s="77"/>
      <c r="AM468" s="77"/>
      <c r="AN468" s="77"/>
      <c r="AO468" s="77"/>
      <c r="AP468" s="77"/>
      <c r="AQ468" s="77" t="s">
        <v>14497</v>
      </c>
      <c r="AR468" s="77"/>
      <c r="AS468" s="77"/>
      <c r="AT468" s="77"/>
      <c r="AU468" s="77"/>
      <c r="AV468" s="80" t="str">
        <f>HYPERLINK("https://pbs.twimg.com/media/F2ipHXSXwAYlcXV.jpg")</f>
        <v>https://pbs.twimg.com/media/F2ipHXSXwAYlcXV.jpg</v>
      </c>
      <c r="AW468" s="82" t="s">
        <v>17241</v>
      </c>
      <c r="AX468" s="82" t="s">
        <v>17241</v>
      </c>
      <c r="AY468" s="77"/>
      <c r="AZ468" s="82" t="s">
        <v>20971</v>
      </c>
      <c r="BA468" s="82" t="s">
        <v>20971</v>
      </c>
      <c r="BB468" s="82" t="s">
        <v>20971</v>
      </c>
      <c r="BC468" s="82" t="s">
        <v>17241</v>
      </c>
      <c r="BD468" s="82" t="s">
        <v>21136</v>
      </c>
      <c r="BE468" s="77"/>
      <c r="BF468" s="77"/>
      <c r="BG468" s="77"/>
      <c r="BH468" s="77"/>
      <c r="BI468" s="77"/>
    </row>
    <row r="469" spans="1:61" x14ac:dyDescent="0.25">
      <c r="A469" s="62" t="s">
        <v>392</v>
      </c>
      <c r="B469" s="62" t="s">
        <v>392</v>
      </c>
      <c r="C469" s="63"/>
      <c r="D469" s="64"/>
      <c r="E469" s="65"/>
      <c r="F469" s="66"/>
      <c r="G469" s="63"/>
      <c r="H469" s="67"/>
      <c r="I469" s="68"/>
      <c r="J469" s="68"/>
      <c r="K469" s="32"/>
      <c r="L469" s="75">
        <v>469</v>
      </c>
      <c r="M469" s="75"/>
      <c r="N469" s="70"/>
      <c r="O469" s="77" t="s">
        <v>1285</v>
      </c>
      <c r="P469" s="79">
        <v>45008.041875000003</v>
      </c>
      <c r="Q469" s="77" t="s">
        <v>1752</v>
      </c>
      <c r="R469" s="77">
        <v>0</v>
      </c>
      <c r="S469" s="77">
        <v>0</v>
      </c>
      <c r="T469" s="77">
        <v>0</v>
      </c>
      <c r="U469" s="77">
        <v>0</v>
      </c>
      <c r="V469" s="77">
        <v>9</v>
      </c>
      <c r="W469" s="82" t="s">
        <v>5522</v>
      </c>
      <c r="X469" s="77"/>
      <c r="Y469" s="77"/>
      <c r="Z469" s="77" t="s">
        <v>392</v>
      </c>
      <c r="AA469" s="77" t="s">
        <v>7854</v>
      </c>
      <c r="AB469" s="77" t="s">
        <v>10130</v>
      </c>
      <c r="AC469" s="82" t="s">
        <v>10154</v>
      </c>
      <c r="AD469" s="77" t="s">
        <v>10184</v>
      </c>
      <c r="AE469" s="80" t="str">
        <f>HYPERLINK("https://twitter.com/laerciolobanco/status/1638707206005878784")</f>
        <v>https://twitter.com/laerciolobanco/status/1638707206005878784</v>
      </c>
      <c r="AF469" s="79">
        <v>45008.041875000003</v>
      </c>
      <c r="AG469" s="85">
        <v>45008</v>
      </c>
      <c r="AH469" s="82" t="s">
        <v>10629</v>
      </c>
      <c r="AI469" s="77" t="b">
        <v>0</v>
      </c>
      <c r="AJ469" s="77"/>
      <c r="AK469" s="77"/>
      <c r="AL469" s="77"/>
      <c r="AM469" s="77"/>
      <c r="AN469" s="77"/>
      <c r="AO469" s="77"/>
      <c r="AP469" s="77"/>
      <c r="AQ469" s="77" t="s">
        <v>14498</v>
      </c>
      <c r="AR469" s="77"/>
      <c r="AS469" s="77"/>
      <c r="AT469" s="77"/>
      <c r="AU469" s="77"/>
      <c r="AV469" s="80" t="str">
        <f>HYPERLINK("https://pbs.twimg.com/media/Fr3bhRBWYAE6VDD.jpg")</f>
        <v>https://pbs.twimg.com/media/Fr3bhRBWYAE6VDD.jpg</v>
      </c>
      <c r="AW469" s="82" t="s">
        <v>17242</v>
      </c>
      <c r="AX469" s="82" t="s">
        <v>17242</v>
      </c>
      <c r="AY469" s="77"/>
      <c r="AZ469" s="82" t="s">
        <v>20971</v>
      </c>
      <c r="BA469" s="82" t="s">
        <v>20971</v>
      </c>
      <c r="BB469" s="82" t="s">
        <v>20971</v>
      </c>
      <c r="BC469" s="82" t="s">
        <v>17242</v>
      </c>
      <c r="BD469" s="82" t="s">
        <v>21136</v>
      </c>
      <c r="BE469" s="77"/>
      <c r="BF469" s="77"/>
      <c r="BG469" s="77"/>
      <c r="BH469" s="77"/>
      <c r="BI469" s="77"/>
    </row>
    <row r="470" spans="1:61" x14ac:dyDescent="0.25">
      <c r="A470" s="62" t="s">
        <v>392</v>
      </c>
      <c r="B470" s="62" t="s">
        <v>392</v>
      </c>
      <c r="C470" s="63"/>
      <c r="D470" s="64"/>
      <c r="E470" s="65"/>
      <c r="F470" s="66"/>
      <c r="G470" s="63"/>
      <c r="H470" s="67"/>
      <c r="I470" s="68"/>
      <c r="J470" s="68"/>
      <c r="K470" s="32"/>
      <c r="L470" s="75">
        <v>470</v>
      </c>
      <c r="M470" s="75"/>
      <c r="N470" s="70"/>
      <c r="O470" s="77" t="s">
        <v>1285</v>
      </c>
      <c r="P470" s="79">
        <v>45005.625393518516</v>
      </c>
      <c r="Q470" s="77" t="s">
        <v>1753</v>
      </c>
      <c r="R470" s="77">
        <v>0</v>
      </c>
      <c r="S470" s="77">
        <v>0</v>
      </c>
      <c r="T470" s="77">
        <v>0</v>
      </c>
      <c r="U470" s="77">
        <v>0</v>
      </c>
      <c r="V470" s="77">
        <v>14</v>
      </c>
      <c r="W470" s="82" t="s">
        <v>5522</v>
      </c>
      <c r="X470" s="77"/>
      <c r="Y470" s="77"/>
      <c r="Z470" s="77" t="s">
        <v>392</v>
      </c>
      <c r="AA470" s="77" t="s">
        <v>7855</v>
      </c>
      <c r="AB470" s="77" t="s">
        <v>10130</v>
      </c>
      <c r="AC470" s="82" t="s">
        <v>10154</v>
      </c>
      <c r="AD470" s="77" t="s">
        <v>10184</v>
      </c>
      <c r="AE470" s="80" t="str">
        <f>HYPERLINK("https://twitter.com/laerciolobanco/status/1637831503592734720")</f>
        <v>https://twitter.com/laerciolobanco/status/1637831503592734720</v>
      </c>
      <c r="AF470" s="79">
        <v>45005.625393518516</v>
      </c>
      <c r="AG470" s="85">
        <v>45005</v>
      </c>
      <c r="AH470" s="82" t="s">
        <v>10649</v>
      </c>
      <c r="AI470" s="77" t="b">
        <v>0</v>
      </c>
      <c r="AJ470" s="77"/>
      <c r="AK470" s="77"/>
      <c r="AL470" s="77"/>
      <c r="AM470" s="77"/>
      <c r="AN470" s="77"/>
      <c r="AO470" s="77"/>
      <c r="AP470" s="77"/>
      <c r="AQ470" s="77" t="s">
        <v>14499</v>
      </c>
      <c r="AR470" s="77"/>
      <c r="AS470" s="77"/>
      <c r="AT470" s="77"/>
      <c r="AU470" s="77"/>
      <c r="AV470" s="80" t="str">
        <f>HYPERLINK("https://pbs.twimg.com/media/Frq_EnzWYAAWoKE.jpg")</f>
        <v>https://pbs.twimg.com/media/Frq_EnzWYAAWoKE.jpg</v>
      </c>
      <c r="AW470" s="82" t="s">
        <v>17243</v>
      </c>
      <c r="AX470" s="82" t="s">
        <v>17243</v>
      </c>
      <c r="AY470" s="77"/>
      <c r="AZ470" s="82" t="s">
        <v>20971</v>
      </c>
      <c r="BA470" s="82" t="s">
        <v>20971</v>
      </c>
      <c r="BB470" s="82" t="s">
        <v>20971</v>
      </c>
      <c r="BC470" s="82" t="s">
        <v>17243</v>
      </c>
      <c r="BD470" s="82" t="s">
        <v>21136</v>
      </c>
      <c r="BE470" s="77"/>
      <c r="BF470" s="77"/>
      <c r="BG470" s="77"/>
      <c r="BH470" s="77"/>
      <c r="BI470" s="77"/>
    </row>
    <row r="471" spans="1:61" x14ac:dyDescent="0.25">
      <c r="A471" s="62" t="s">
        <v>392</v>
      </c>
      <c r="B471" s="62" t="s">
        <v>392</v>
      </c>
      <c r="C471" s="63"/>
      <c r="D471" s="64"/>
      <c r="E471" s="65"/>
      <c r="F471" s="66"/>
      <c r="G471" s="63"/>
      <c r="H471" s="67"/>
      <c r="I471" s="68"/>
      <c r="J471" s="68"/>
      <c r="K471" s="32"/>
      <c r="L471" s="75">
        <v>471</v>
      </c>
      <c r="M471" s="75"/>
      <c r="N471" s="70"/>
      <c r="O471" s="77" t="s">
        <v>1285</v>
      </c>
      <c r="P471" s="79">
        <v>45176.490532407406</v>
      </c>
      <c r="Q471" s="77" t="s">
        <v>1754</v>
      </c>
      <c r="R471" s="77">
        <v>0</v>
      </c>
      <c r="S471" s="77">
        <v>0</v>
      </c>
      <c r="T471" s="77">
        <v>0</v>
      </c>
      <c r="U471" s="77">
        <v>0</v>
      </c>
      <c r="V471" s="77">
        <v>25</v>
      </c>
      <c r="W471" s="82" t="s">
        <v>5526</v>
      </c>
      <c r="X471" s="77"/>
      <c r="Y471" s="77"/>
      <c r="Z471" s="77" t="s">
        <v>392</v>
      </c>
      <c r="AA471" s="77" t="s">
        <v>7856</v>
      </c>
      <c r="AB471" s="77" t="s">
        <v>10129</v>
      </c>
      <c r="AC471" s="82" t="s">
        <v>10154</v>
      </c>
      <c r="AD471" s="77" t="s">
        <v>10184</v>
      </c>
      <c r="AE471" s="80" t="str">
        <f>HYPERLINK("https://twitter.com/laerciolobanco/status/1699750955569271105")</f>
        <v>https://twitter.com/laerciolobanco/status/1699750955569271105</v>
      </c>
      <c r="AF471" s="79">
        <v>45176.490532407406</v>
      </c>
      <c r="AG471" s="85">
        <v>45176</v>
      </c>
      <c r="AH471" s="82" t="s">
        <v>10650</v>
      </c>
      <c r="AI471" s="77" t="b">
        <v>0</v>
      </c>
      <c r="AJ471" s="77"/>
      <c r="AK471" s="77"/>
      <c r="AL471" s="77"/>
      <c r="AM471" s="77"/>
      <c r="AN471" s="77"/>
      <c r="AO471" s="77"/>
      <c r="AP471" s="77"/>
      <c r="AQ471" s="77" t="s">
        <v>14500</v>
      </c>
      <c r="AR471" s="77">
        <v>53400</v>
      </c>
      <c r="AS471" s="77"/>
      <c r="AT471" s="77"/>
      <c r="AU471" s="77"/>
      <c r="AV471" s="80" t="str">
        <f>HYPERLINK("https://pbs.twimg.com/ext_tw_video_thumb/1699750898782658560/pu/img/iUvfL8kh1pyEiqAv.jpg")</f>
        <v>https://pbs.twimg.com/ext_tw_video_thumb/1699750898782658560/pu/img/iUvfL8kh1pyEiqAv.jpg</v>
      </c>
      <c r="AW471" s="82" t="s">
        <v>17244</v>
      </c>
      <c r="AX471" s="82" t="s">
        <v>17244</v>
      </c>
      <c r="AY471" s="77"/>
      <c r="AZ471" s="82" t="s">
        <v>20971</v>
      </c>
      <c r="BA471" s="82" t="s">
        <v>20971</v>
      </c>
      <c r="BB471" s="82" t="s">
        <v>20971</v>
      </c>
      <c r="BC471" s="82" t="s">
        <v>17244</v>
      </c>
      <c r="BD471" s="82" t="s">
        <v>21136</v>
      </c>
      <c r="BE471" s="77"/>
      <c r="BF471" s="77"/>
      <c r="BG471" s="77"/>
      <c r="BH471" s="77"/>
      <c r="BI471" s="77"/>
    </row>
    <row r="472" spans="1:61" x14ac:dyDescent="0.25">
      <c r="A472" s="62" t="s">
        <v>392</v>
      </c>
      <c r="B472" s="62" t="s">
        <v>392</v>
      </c>
      <c r="C472" s="63"/>
      <c r="D472" s="64"/>
      <c r="E472" s="65"/>
      <c r="F472" s="66"/>
      <c r="G472" s="63"/>
      <c r="H472" s="67"/>
      <c r="I472" s="68"/>
      <c r="J472" s="68"/>
      <c r="K472" s="32"/>
      <c r="L472" s="75">
        <v>472</v>
      </c>
      <c r="M472" s="75"/>
      <c r="N472" s="70"/>
      <c r="O472" s="77" t="s">
        <v>1285</v>
      </c>
      <c r="P472" s="79">
        <v>45171.708622685182</v>
      </c>
      <c r="Q472" s="77" t="s">
        <v>1755</v>
      </c>
      <c r="R472" s="77">
        <v>0</v>
      </c>
      <c r="S472" s="77">
        <v>0</v>
      </c>
      <c r="T472" s="77">
        <v>0</v>
      </c>
      <c r="U472" s="77">
        <v>0</v>
      </c>
      <c r="V472" s="77">
        <v>6</v>
      </c>
      <c r="W472" s="82" t="s">
        <v>5522</v>
      </c>
      <c r="X472" s="77"/>
      <c r="Y472" s="77"/>
      <c r="Z472" s="77" t="s">
        <v>392</v>
      </c>
      <c r="AA472" s="77" t="s">
        <v>7857</v>
      </c>
      <c r="AB472" s="77" t="s">
        <v>10130</v>
      </c>
      <c r="AC472" s="82" t="s">
        <v>10154</v>
      </c>
      <c r="AD472" s="77" t="s">
        <v>10184</v>
      </c>
      <c r="AE472" s="80" t="str">
        <f>HYPERLINK("https://twitter.com/laerciolobanco/status/1698018049234796807")</f>
        <v>https://twitter.com/laerciolobanco/status/1698018049234796807</v>
      </c>
      <c r="AF472" s="79">
        <v>45171.708622685182</v>
      </c>
      <c r="AG472" s="85">
        <v>45171</v>
      </c>
      <c r="AH472" s="82" t="s">
        <v>10651</v>
      </c>
      <c r="AI472" s="77" t="b">
        <v>0</v>
      </c>
      <c r="AJ472" s="77"/>
      <c r="AK472" s="77"/>
      <c r="AL472" s="77"/>
      <c r="AM472" s="77"/>
      <c r="AN472" s="77"/>
      <c r="AO472" s="77"/>
      <c r="AP472" s="77"/>
      <c r="AQ472" s="77" t="s">
        <v>14501</v>
      </c>
      <c r="AR472" s="77"/>
      <c r="AS472" s="77"/>
      <c r="AT472" s="77"/>
      <c r="AU472" s="77"/>
      <c r="AV472" s="80" t="str">
        <f>HYPERLINK("https://pbs.twimg.com/media/F5CSau3XsAAbqj8.jpg")</f>
        <v>https://pbs.twimg.com/media/F5CSau3XsAAbqj8.jpg</v>
      </c>
      <c r="AW472" s="82" t="s">
        <v>17245</v>
      </c>
      <c r="AX472" s="82" t="s">
        <v>17245</v>
      </c>
      <c r="AY472" s="77"/>
      <c r="AZ472" s="82" t="s">
        <v>20971</v>
      </c>
      <c r="BA472" s="82" t="s">
        <v>20971</v>
      </c>
      <c r="BB472" s="82" t="s">
        <v>20971</v>
      </c>
      <c r="BC472" s="82" t="s">
        <v>17245</v>
      </c>
      <c r="BD472" s="82" t="s">
        <v>21136</v>
      </c>
      <c r="BE472" s="77"/>
      <c r="BF472" s="77"/>
      <c r="BG472" s="77"/>
      <c r="BH472" s="77"/>
      <c r="BI472" s="77"/>
    </row>
    <row r="473" spans="1:61" x14ac:dyDescent="0.25">
      <c r="A473" s="62" t="s">
        <v>392</v>
      </c>
      <c r="B473" s="62" t="s">
        <v>392</v>
      </c>
      <c r="C473" s="63"/>
      <c r="D473" s="64"/>
      <c r="E473" s="65"/>
      <c r="F473" s="66"/>
      <c r="G473" s="63"/>
      <c r="H473" s="67"/>
      <c r="I473" s="68"/>
      <c r="J473" s="68"/>
      <c r="K473" s="32"/>
      <c r="L473" s="75">
        <v>473</v>
      </c>
      <c r="M473" s="75"/>
      <c r="N473" s="70"/>
      <c r="O473" s="77" t="s">
        <v>1285</v>
      </c>
      <c r="P473" s="79">
        <v>45170.708553240744</v>
      </c>
      <c r="Q473" s="77" t="s">
        <v>1756</v>
      </c>
      <c r="R473" s="77">
        <v>0</v>
      </c>
      <c r="S473" s="77">
        <v>0</v>
      </c>
      <c r="T473" s="77">
        <v>0</v>
      </c>
      <c r="U473" s="77">
        <v>0</v>
      </c>
      <c r="V473" s="77">
        <v>6</v>
      </c>
      <c r="W473" s="82" t="s">
        <v>5522</v>
      </c>
      <c r="X473" s="77"/>
      <c r="Y473" s="77"/>
      <c r="Z473" s="77" t="s">
        <v>392</v>
      </c>
      <c r="AA473" s="77" t="s">
        <v>7858</v>
      </c>
      <c r="AB473" s="77" t="s">
        <v>10130</v>
      </c>
      <c r="AC473" s="82" t="s">
        <v>10154</v>
      </c>
      <c r="AD473" s="77" t="s">
        <v>10184</v>
      </c>
      <c r="AE473" s="80" t="str">
        <f>HYPERLINK("https://twitter.com/laerciolobanco/status/1697655635658018954")</f>
        <v>https://twitter.com/laerciolobanco/status/1697655635658018954</v>
      </c>
      <c r="AF473" s="79">
        <v>45170.708553240744</v>
      </c>
      <c r="AG473" s="85">
        <v>45170</v>
      </c>
      <c r="AH473" s="82" t="s">
        <v>10643</v>
      </c>
      <c r="AI473" s="77" t="b">
        <v>0</v>
      </c>
      <c r="AJ473" s="77"/>
      <c r="AK473" s="77"/>
      <c r="AL473" s="77"/>
      <c r="AM473" s="77"/>
      <c r="AN473" s="77"/>
      <c r="AO473" s="77"/>
      <c r="AP473" s="77"/>
      <c r="AQ473" s="77" t="s">
        <v>14502</v>
      </c>
      <c r="AR473" s="77"/>
      <c r="AS473" s="77"/>
      <c r="AT473" s="77"/>
      <c r="AU473" s="77"/>
      <c r="AV473" s="80" t="str">
        <f>HYPERLINK("https://pbs.twimg.com/media/F49IzdUWcAAQRWE.jpg")</f>
        <v>https://pbs.twimg.com/media/F49IzdUWcAAQRWE.jpg</v>
      </c>
      <c r="AW473" s="82" t="s">
        <v>17246</v>
      </c>
      <c r="AX473" s="82" t="s">
        <v>17246</v>
      </c>
      <c r="AY473" s="77"/>
      <c r="AZ473" s="82" t="s">
        <v>20971</v>
      </c>
      <c r="BA473" s="82" t="s">
        <v>20971</v>
      </c>
      <c r="BB473" s="82" t="s">
        <v>20971</v>
      </c>
      <c r="BC473" s="82" t="s">
        <v>17246</v>
      </c>
      <c r="BD473" s="82" t="s">
        <v>21136</v>
      </c>
      <c r="BE473" s="77"/>
      <c r="BF473" s="77"/>
      <c r="BG473" s="77"/>
      <c r="BH473" s="77"/>
      <c r="BI473" s="77"/>
    </row>
    <row r="474" spans="1:61" x14ac:dyDescent="0.25">
      <c r="A474" s="62" t="s">
        <v>392</v>
      </c>
      <c r="B474" s="62" t="s">
        <v>392</v>
      </c>
      <c r="C474" s="63"/>
      <c r="D474" s="64"/>
      <c r="E474" s="65"/>
      <c r="F474" s="66"/>
      <c r="G474" s="63"/>
      <c r="H474" s="67"/>
      <c r="I474" s="68"/>
      <c r="J474" s="68"/>
      <c r="K474" s="32"/>
      <c r="L474" s="75">
        <v>474</v>
      </c>
      <c r="M474" s="75"/>
      <c r="N474" s="70"/>
      <c r="O474" s="77" t="s">
        <v>1285</v>
      </c>
      <c r="P474" s="79">
        <v>45167.70857638889</v>
      </c>
      <c r="Q474" s="77" t="s">
        <v>1757</v>
      </c>
      <c r="R474" s="77">
        <v>0</v>
      </c>
      <c r="S474" s="77">
        <v>0</v>
      </c>
      <c r="T474" s="77">
        <v>0</v>
      </c>
      <c r="U474" s="77">
        <v>0</v>
      </c>
      <c r="V474" s="77">
        <v>6</v>
      </c>
      <c r="W474" s="82" t="s">
        <v>5522</v>
      </c>
      <c r="X474" s="77"/>
      <c r="Y474" s="77"/>
      <c r="Z474" s="77" t="s">
        <v>392</v>
      </c>
      <c r="AA474" s="77" t="s">
        <v>7859</v>
      </c>
      <c r="AB474" s="77" t="s">
        <v>10130</v>
      </c>
      <c r="AC474" s="82" t="s">
        <v>10154</v>
      </c>
      <c r="AD474" s="77" t="s">
        <v>10184</v>
      </c>
      <c r="AE474" s="80" t="str">
        <f>HYPERLINK("https://twitter.com/laerciolobanco/status/1696568480995176487")</f>
        <v>https://twitter.com/laerciolobanco/status/1696568480995176487</v>
      </c>
      <c r="AF474" s="79">
        <v>45167.70857638889</v>
      </c>
      <c r="AG474" s="85">
        <v>45167</v>
      </c>
      <c r="AH474" s="82" t="s">
        <v>10652</v>
      </c>
      <c r="AI474" s="77" t="b">
        <v>0</v>
      </c>
      <c r="AJ474" s="77"/>
      <c r="AK474" s="77"/>
      <c r="AL474" s="77"/>
      <c r="AM474" s="77"/>
      <c r="AN474" s="77"/>
      <c r="AO474" s="77"/>
      <c r="AP474" s="77"/>
      <c r="AQ474" s="77" t="s">
        <v>14503</v>
      </c>
      <c r="AR474" s="77"/>
      <c r="AS474" s="77"/>
      <c r="AT474" s="77"/>
      <c r="AU474" s="77"/>
      <c r="AV474" s="80" t="str">
        <f>HYPERLINK("https://pbs.twimg.com/media/F4tsCumXcAARUje.jpg")</f>
        <v>https://pbs.twimg.com/media/F4tsCumXcAARUje.jpg</v>
      </c>
      <c r="AW474" s="82" t="s">
        <v>17247</v>
      </c>
      <c r="AX474" s="82" t="s">
        <v>17247</v>
      </c>
      <c r="AY474" s="77"/>
      <c r="AZ474" s="82" t="s">
        <v>20971</v>
      </c>
      <c r="BA474" s="82" t="s">
        <v>20971</v>
      </c>
      <c r="BB474" s="82" t="s">
        <v>20971</v>
      </c>
      <c r="BC474" s="82" t="s">
        <v>17247</v>
      </c>
      <c r="BD474" s="82" t="s">
        <v>21136</v>
      </c>
      <c r="BE474" s="77"/>
      <c r="BF474" s="77"/>
      <c r="BG474" s="77"/>
      <c r="BH474" s="77"/>
      <c r="BI474" s="77"/>
    </row>
    <row r="475" spans="1:61" x14ac:dyDescent="0.25">
      <c r="A475" s="62" t="s">
        <v>392</v>
      </c>
      <c r="B475" s="62" t="s">
        <v>392</v>
      </c>
      <c r="C475" s="63"/>
      <c r="D475" s="64"/>
      <c r="E475" s="65"/>
      <c r="F475" s="66"/>
      <c r="G475" s="63"/>
      <c r="H475" s="67"/>
      <c r="I475" s="68"/>
      <c r="J475" s="68"/>
      <c r="K475" s="32"/>
      <c r="L475" s="75">
        <v>475</v>
      </c>
      <c r="M475" s="75"/>
      <c r="N475" s="70"/>
      <c r="O475" s="77" t="s">
        <v>1285</v>
      </c>
      <c r="P475" s="79">
        <v>45166.708599537036</v>
      </c>
      <c r="Q475" s="77" t="s">
        <v>1758</v>
      </c>
      <c r="R475" s="77">
        <v>0</v>
      </c>
      <c r="S475" s="77">
        <v>0</v>
      </c>
      <c r="T475" s="77">
        <v>0</v>
      </c>
      <c r="U475" s="77">
        <v>0</v>
      </c>
      <c r="V475" s="77">
        <v>4</v>
      </c>
      <c r="W475" s="82" t="s">
        <v>5522</v>
      </c>
      <c r="X475" s="77"/>
      <c r="Y475" s="77"/>
      <c r="Z475" s="77" t="s">
        <v>392</v>
      </c>
      <c r="AA475" s="77" t="s">
        <v>7860</v>
      </c>
      <c r="AB475" s="77" t="s">
        <v>10130</v>
      </c>
      <c r="AC475" s="82" t="s">
        <v>10154</v>
      </c>
      <c r="AD475" s="77" t="s">
        <v>10184</v>
      </c>
      <c r="AE475" s="80" t="str">
        <f>HYPERLINK("https://twitter.com/laerciolobanco/status/1696206100628976060")</f>
        <v>https://twitter.com/laerciolobanco/status/1696206100628976060</v>
      </c>
      <c r="AF475" s="79">
        <v>45166.708599537036</v>
      </c>
      <c r="AG475" s="85">
        <v>45166</v>
      </c>
      <c r="AH475" s="82" t="s">
        <v>10635</v>
      </c>
      <c r="AI475" s="77" t="b">
        <v>0</v>
      </c>
      <c r="AJ475" s="77"/>
      <c r="AK475" s="77"/>
      <c r="AL475" s="77"/>
      <c r="AM475" s="77"/>
      <c r="AN475" s="77"/>
      <c r="AO475" s="77"/>
      <c r="AP475" s="77"/>
      <c r="AQ475" s="77" t="s">
        <v>14504</v>
      </c>
      <c r="AR475" s="77"/>
      <c r="AS475" s="77"/>
      <c r="AT475" s="77"/>
      <c r="AU475" s="77"/>
      <c r="AV475" s="80" t="str">
        <f>HYPERLINK("https://pbs.twimg.com/media/F4oidagWUAAq5HG.jpg")</f>
        <v>https://pbs.twimg.com/media/F4oidagWUAAq5HG.jpg</v>
      </c>
      <c r="AW475" s="82" t="s">
        <v>17248</v>
      </c>
      <c r="AX475" s="82" t="s">
        <v>17248</v>
      </c>
      <c r="AY475" s="77"/>
      <c r="AZ475" s="82" t="s">
        <v>20971</v>
      </c>
      <c r="BA475" s="82" t="s">
        <v>20971</v>
      </c>
      <c r="BB475" s="82" t="s">
        <v>20971</v>
      </c>
      <c r="BC475" s="82" t="s">
        <v>17248</v>
      </c>
      <c r="BD475" s="82" t="s">
        <v>21136</v>
      </c>
      <c r="BE475" s="77"/>
      <c r="BF475" s="77"/>
      <c r="BG475" s="77"/>
      <c r="BH475" s="77"/>
      <c r="BI475" s="77"/>
    </row>
    <row r="476" spans="1:61" x14ac:dyDescent="0.25">
      <c r="A476" s="62" t="s">
        <v>392</v>
      </c>
      <c r="B476" s="62" t="s">
        <v>392</v>
      </c>
      <c r="C476" s="63"/>
      <c r="D476" s="64"/>
      <c r="E476" s="65"/>
      <c r="F476" s="66"/>
      <c r="G476" s="63"/>
      <c r="H476" s="67"/>
      <c r="I476" s="68"/>
      <c r="J476" s="68"/>
      <c r="K476" s="32"/>
      <c r="L476" s="75">
        <v>476</v>
      </c>
      <c r="M476" s="75"/>
      <c r="N476" s="70"/>
      <c r="O476" s="77" t="s">
        <v>1285</v>
      </c>
      <c r="P476" s="79">
        <v>45154.708587962959</v>
      </c>
      <c r="Q476" s="77" t="s">
        <v>1759</v>
      </c>
      <c r="R476" s="77">
        <v>0</v>
      </c>
      <c r="S476" s="77">
        <v>0</v>
      </c>
      <c r="T476" s="77">
        <v>0</v>
      </c>
      <c r="U476" s="77">
        <v>0</v>
      </c>
      <c r="V476" s="77">
        <v>10</v>
      </c>
      <c r="W476" s="82" t="s">
        <v>5522</v>
      </c>
      <c r="X476" s="77"/>
      <c r="Y476" s="77"/>
      <c r="Z476" s="77" t="s">
        <v>392</v>
      </c>
      <c r="AA476" s="77" t="s">
        <v>7861</v>
      </c>
      <c r="AB476" s="77" t="s">
        <v>10130</v>
      </c>
      <c r="AC476" s="82" t="s">
        <v>10154</v>
      </c>
      <c r="AD476" s="77" t="s">
        <v>10184</v>
      </c>
      <c r="AE476" s="80" t="str">
        <f>HYPERLINK("https://twitter.com/laerciolobanco/status/1691857444161421545")</f>
        <v>https://twitter.com/laerciolobanco/status/1691857444161421545</v>
      </c>
      <c r="AF476" s="79">
        <v>45154.708587962959</v>
      </c>
      <c r="AG476" s="85">
        <v>45154</v>
      </c>
      <c r="AH476" s="82" t="s">
        <v>10633</v>
      </c>
      <c r="AI476" s="77" t="b">
        <v>0</v>
      </c>
      <c r="AJ476" s="77"/>
      <c r="AK476" s="77"/>
      <c r="AL476" s="77"/>
      <c r="AM476" s="77"/>
      <c r="AN476" s="77"/>
      <c r="AO476" s="77"/>
      <c r="AP476" s="77"/>
      <c r="AQ476" s="77" t="s">
        <v>14505</v>
      </c>
      <c r="AR476" s="77"/>
      <c r="AS476" s="77"/>
      <c r="AT476" s="77"/>
      <c r="AU476" s="77"/>
      <c r="AV476" s="80" t="str">
        <f>HYPERLINK("https://pbs.twimg.com/media/F3qvYT2XgAI9wvP.jpg")</f>
        <v>https://pbs.twimg.com/media/F3qvYT2XgAI9wvP.jpg</v>
      </c>
      <c r="AW476" s="82" t="s">
        <v>17249</v>
      </c>
      <c r="AX476" s="82" t="s">
        <v>17249</v>
      </c>
      <c r="AY476" s="77"/>
      <c r="AZ476" s="82" t="s">
        <v>20971</v>
      </c>
      <c r="BA476" s="82" t="s">
        <v>20971</v>
      </c>
      <c r="BB476" s="82" t="s">
        <v>20971</v>
      </c>
      <c r="BC476" s="82" t="s">
        <v>17249</v>
      </c>
      <c r="BD476" s="82" t="s">
        <v>21136</v>
      </c>
      <c r="BE476" s="77"/>
      <c r="BF476" s="77"/>
      <c r="BG476" s="77"/>
      <c r="BH476" s="77"/>
      <c r="BI476" s="77"/>
    </row>
    <row r="477" spans="1:61" x14ac:dyDescent="0.25">
      <c r="A477" s="62" t="s">
        <v>392</v>
      </c>
      <c r="B477" s="62" t="s">
        <v>392</v>
      </c>
      <c r="C477" s="63"/>
      <c r="D477" s="64"/>
      <c r="E477" s="65"/>
      <c r="F477" s="66"/>
      <c r="G477" s="63"/>
      <c r="H477" s="67"/>
      <c r="I477" s="68"/>
      <c r="J477" s="68"/>
      <c r="K477" s="32"/>
      <c r="L477" s="75">
        <v>477</v>
      </c>
      <c r="M477" s="75"/>
      <c r="N477" s="70"/>
      <c r="O477" s="77" t="s">
        <v>1285</v>
      </c>
      <c r="P477" s="79">
        <v>45153.70857638889</v>
      </c>
      <c r="Q477" s="77" t="s">
        <v>1760</v>
      </c>
      <c r="R477" s="77">
        <v>0</v>
      </c>
      <c r="S477" s="77">
        <v>0</v>
      </c>
      <c r="T477" s="77">
        <v>0</v>
      </c>
      <c r="U477" s="77">
        <v>0</v>
      </c>
      <c r="V477" s="77">
        <v>8</v>
      </c>
      <c r="W477" s="82" t="s">
        <v>5522</v>
      </c>
      <c r="X477" s="77"/>
      <c r="Y477" s="77"/>
      <c r="Z477" s="77" t="s">
        <v>392</v>
      </c>
      <c r="AA477" s="77" t="s">
        <v>7862</v>
      </c>
      <c r="AB477" s="77" t="s">
        <v>10130</v>
      </c>
      <c r="AC477" s="82" t="s">
        <v>10154</v>
      </c>
      <c r="AD477" s="77" t="s">
        <v>10184</v>
      </c>
      <c r="AE477" s="80" t="str">
        <f>HYPERLINK("https://twitter.com/laerciolobanco/status/1691495050692243457")</f>
        <v>https://twitter.com/laerciolobanco/status/1691495050692243457</v>
      </c>
      <c r="AF477" s="79">
        <v>45153.70857638889</v>
      </c>
      <c r="AG477" s="85">
        <v>45153</v>
      </c>
      <c r="AH477" s="82" t="s">
        <v>10652</v>
      </c>
      <c r="AI477" s="77" t="b">
        <v>0</v>
      </c>
      <c r="AJ477" s="77"/>
      <c r="AK477" s="77"/>
      <c r="AL477" s="77"/>
      <c r="AM477" s="77"/>
      <c r="AN477" s="77"/>
      <c r="AO477" s="77"/>
      <c r="AP477" s="77"/>
      <c r="AQ477" s="77" t="s">
        <v>14506</v>
      </c>
      <c r="AR477" s="77"/>
      <c r="AS477" s="77"/>
      <c r="AT477" s="77"/>
      <c r="AU477" s="77"/>
      <c r="AV477" s="80" t="str">
        <f>HYPERLINK("https://pbs.twimg.com/media/F3llyQkXsAkRJ-0.jpg")</f>
        <v>https://pbs.twimg.com/media/F3llyQkXsAkRJ-0.jpg</v>
      </c>
      <c r="AW477" s="82" t="s">
        <v>17250</v>
      </c>
      <c r="AX477" s="82" t="s">
        <v>17250</v>
      </c>
      <c r="AY477" s="77"/>
      <c r="AZ477" s="82" t="s">
        <v>20971</v>
      </c>
      <c r="BA477" s="82" t="s">
        <v>20971</v>
      </c>
      <c r="BB477" s="82" t="s">
        <v>20971</v>
      </c>
      <c r="BC477" s="82" t="s">
        <v>17250</v>
      </c>
      <c r="BD477" s="82" t="s">
        <v>21136</v>
      </c>
      <c r="BE477" s="77"/>
      <c r="BF477" s="77"/>
      <c r="BG477" s="77"/>
      <c r="BH477" s="77"/>
      <c r="BI477" s="77"/>
    </row>
    <row r="478" spans="1:61" x14ac:dyDescent="0.25">
      <c r="A478" s="62" t="s">
        <v>392</v>
      </c>
      <c r="B478" s="62" t="s">
        <v>392</v>
      </c>
      <c r="C478" s="63"/>
      <c r="D478" s="64"/>
      <c r="E478" s="65"/>
      <c r="F478" s="66"/>
      <c r="G478" s="63"/>
      <c r="H478" s="67"/>
      <c r="I478" s="68"/>
      <c r="J478" s="68"/>
      <c r="K478" s="32"/>
      <c r="L478" s="75">
        <v>478</v>
      </c>
      <c r="M478" s="75"/>
      <c r="N478" s="70"/>
      <c r="O478" s="77" t="s">
        <v>1285</v>
      </c>
      <c r="P478" s="79">
        <v>45147.708657407406</v>
      </c>
      <c r="Q478" s="77" t="s">
        <v>1761</v>
      </c>
      <c r="R478" s="77">
        <v>0</v>
      </c>
      <c r="S478" s="77">
        <v>0</v>
      </c>
      <c r="T478" s="77">
        <v>0</v>
      </c>
      <c r="U478" s="77">
        <v>0</v>
      </c>
      <c r="V478" s="77">
        <v>11</v>
      </c>
      <c r="W478" s="82" t="s">
        <v>5522</v>
      </c>
      <c r="X478" s="77"/>
      <c r="Y478" s="77"/>
      <c r="Z478" s="77" t="s">
        <v>392</v>
      </c>
      <c r="AA478" s="77" t="s">
        <v>7863</v>
      </c>
      <c r="AB478" s="77" t="s">
        <v>10130</v>
      </c>
      <c r="AC478" s="82" t="s">
        <v>10154</v>
      </c>
      <c r="AD478" s="77" t="s">
        <v>10184</v>
      </c>
      <c r="AE478" s="80" t="str">
        <f>HYPERLINK("https://twitter.com/laerciolobanco/status/1689320755081748508")</f>
        <v>https://twitter.com/laerciolobanco/status/1689320755081748508</v>
      </c>
      <c r="AF478" s="79">
        <v>45147.708657407406</v>
      </c>
      <c r="AG478" s="85">
        <v>45147</v>
      </c>
      <c r="AH478" s="82" t="s">
        <v>10653</v>
      </c>
      <c r="AI478" s="77" t="b">
        <v>0</v>
      </c>
      <c r="AJ478" s="77"/>
      <c r="AK478" s="77"/>
      <c r="AL478" s="77"/>
      <c r="AM478" s="77"/>
      <c r="AN478" s="77"/>
      <c r="AO478" s="77"/>
      <c r="AP478" s="77"/>
      <c r="AQ478" s="77" t="s">
        <v>14507</v>
      </c>
      <c r="AR478" s="77"/>
      <c r="AS478" s="77"/>
      <c r="AT478" s="77"/>
      <c r="AU478" s="77"/>
      <c r="AV478" s="80" t="str">
        <f>HYPERLINK("https://pbs.twimg.com/media/F3GsRlxXoA0ojgN.jpg")</f>
        <v>https://pbs.twimg.com/media/F3GsRlxXoA0ojgN.jpg</v>
      </c>
      <c r="AW478" s="82" t="s">
        <v>17251</v>
      </c>
      <c r="AX478" s="82" t="s">
        <v>17251</v>
      </c>
      <c r="AY478" s="77"/>
      <c r="AZ478" s="82" t="s">
        <v>20971</v>
      </c>
      <c r="BA478" s="82" t="s">
        <v>20971</v>
      </c>
      <c r="BB478" s="82" t="s">
        <v>20971</v>
      </c>
      <c r="BC478" s="82" t="s">
        <v>17251</v>
      </c>
      <c r="BD478" s="82" t="s">
        <v>21136</v>
      </c>
      <c r="BE478" s="77"/>
      <c r="BF478" s="77"/>
      <c r="BG478" s="77"/>
      <c r="BH478" s="77"/>
      <c r="BI478" s="77"/>
    </row>
    <row r="479" spans="1:61" x14ac:dyDescent="0.25">
      <c r="A479" s="62" t="s">
        <v>392</v>
      </c>
      <c r="B479" s="62" t="s">
        <v>392</v>
      </c>
      <c r="C479" s="63"/>
      <c r="D479" s="64"/>
      <c r="E479" s="65"/>
      <c r="F479" s="66"/>
      <c r="G479" s="63"/>
      <c r="H479" s="67"/>
      <c r="I479" s="68"/>
      <c r="J479" s="68"/>
      <c r="K479" s="32"/>
      <c r="L479" s="75">
        <v>479</v>
      </c>
      <c r="M479" s="75"/>
      <c r="N479" s="70"/>
      <c r="O479" s="77" t="s">
        <v>1285</v>
      </c>
      <c r="P479" s="79">
        <v>45146.70853009259</v>
      </c>
      <c r="Q479" s="77" t="s">
        <v>1762</v>
      </c>
      <c r="R479" s="77">
        <v>0</v>
      </c>
      <c r="S479" s="77">
        <v>0</v>
      </c>
      <c r="T479" s="77">
        <v>0</v>
      </c>
      <c r="U479" s="77">
        <v>0</v>
      </c>
      <c r="V479" s="77">
        <v>6</v>
      </c>
      <c r="W479" s="82" t="s">
        <v>5522</v>
      </c>
      <c r="X479" s="77"/>
      <c r="Y479" s="77"/>
      <c r="Z479" s="77" t="s">
        <v>392</v>
      </c>
      <c r="AA479" s="77" t="s">
        <v>7864</v>
      </c>
      <c r="AB479" s="77" t="s">
        <v>10130</v>
      </c>
      <c r="AC479" s="82" t="s">
        <v>10154</v>
      </c>
      <c r="AD479" s="77" t="s">
        <v>10184</v>
      </c>
      <c r="AE479" s="80" t="str">
        <f>HYPERLINK("https://twitter.com/laerciolobanco/status/1688958321418547211")</f>
        <v>https://twitter.com/laerciolobanco/status/1688958321418547211</v>
      </c>
      <c r="AF479" s="79">
        <v>45146.70853009259</v>
      </c>
      <c r="AG479" s="85">
        <v>45146</v>
      </c>
      <c r="AH479" s="82" t="s">
        <v>10645</v>
      </c>
      <c r="AI479" s="77" t="b">
        <v>0</v>
      </c>
      <c r="AJ479" s="77"/>
      <c r="AK479" s="77"/>
      <c r="AL479" s="77"/>
      <c r="AM479" s="77"/>
      <c r="AN479" s="77"/>
      <c r="AO479" s="77"/>
      <c r="AP479" s="77"/>
      <c r="AQ479" s="77" t="s">
        <v>14508</v>
      </c>
      <c r="AR479" s="77"/>
      <c r="AS479" s="77"/>
      <c r="AT479" s="77"/>
      <c r="AU479" s="77"/>
      <c r="AV479" s="80" t="str">
        <f>HYPERLINK("https://pbs.twimg.com/media/F3BipLpXsAIuDiG.jpg")</f>
        <v>https://pbs.twimg.com/media/F3BipLpXsAIuDiG.jpg</v>
      </c>
      <c r="AW479" s="82" t="s">
        <v>17252</v>
      </c>
      <c r="AX479" s="82" t="s">
        <v>17252</v>
      </c>
      <c r="AY479" s="77"/>
      <c r="AZ479" s="82" t="s">
        <v>20971</v>
      </c>
      <c r="BA479" s="82" t="s">
        <v>20971</v>
      </c>
      <c r="BB479" s="82" t="s">
        <v>20971</v>
      </c>
      <c r="BC479" s="82" t="s">
        <v>17252</v>
      </c>
      <c r="BD479" s="82" t="s">
        <v>21136</v>
      </c>
      <c r="BE479" s="77"/>
      <c r="BF479" s="77"/>
      <c r="BG479" s="77"/>
      <c r="BH479" s="77"/>
      <c r="BI479" s="77"/>
    </row>
    <row r="480" spans="1:61" x14ac:dyDescent="0.25">
      <c r="A480" s="62" t="s">
        <v>392</v>
      </c>
      <c r="B480" s="62" t="s">
        <v>392</v>
      </c>
      <c r="C480" s="63"/>
      <c r="D480" s="64"/>
      <c r="E480" s="65"/>
      <c r="F480" s="66"/>
      <c r="G480" s="63"/>
      <c r="H480" s="67"/>
      <c r="I480" s="68"/>
      <c r="J480" s="68"/>
      <c r="K480" s="32"/>
      <c r="L480" s="75">
        <v>480</v>
      </c>
      <c r="M480" s="75"/>
      <c r="N480" s="70"/>
      <c r="O480" s="77" t="s">
        <v>1285</v>
      </c>
      <c r="P480" s="79">
        <v>45134.730023148149</v>
      </c>
      <c r="Q480" s="77" t="s">
        <v>1763</v>
      </c>
      <c r="R480" s="77">
        <v>0</v>
      </c>
      <c r="S480" s="77">
        <v>0</v>
      </c>
      <c r="T480" s="77">
        <v>0</v>
      </c>
      <c r="U480" s="77">
        <v>0</v>
      </c>
      <c r="V480" s="77">
        <v>11</v>
      </c>
      <c r="W480" s="82" t="s">
        <v>5522</v>
      </c>
      <c r="X480" s="77"/>
      <c r="Y480" s="77"/>
      <c r="Z480" s="77" t="s">
        <v>392</v>
      </c>
      <c r="AA480" s="77" t="s">
        <v>7865</v>
      </c>
      <c r="AB480" s="77" t="s">
        <v>10129</v>
      </c>
      <c r="AC480" s="82" t="s">
        <v>10154</v>
      </c>
      <c r="AD480" s="77" t="s">
        <v>10184</v>
      </c>
      <c r="AE480" s="80" t="str">
        <f>HYPERLINK("https://twitter.com/laerciolobanco/status/1684617452661972992")</f>
        <v>https://twitter.com/laerciolobanco/status/1684617452661972992</v>
      </c>
      <c r="AF480" s="79">
        <v>45134.730023148149</v>
      </c>
      <c r="AG480" s="85">
        <v>45134</v>
      </c>
      <c r="AH480" s="82" t="s">
        <v>10654</v>
      </c>
      <c r="AI480" s="77" t="b">
        <v>0</v>
      </c>
      <c r="AJ480" s="77"/>
      <c r="AK480" s="77"/>
      <c r="AL480" s="77"/>
      <c r="AM480" s="77"/>
      <c r="AN480" s="77"/>
      <c r="AO480" s="77"/>
      <c r="AP480" s="77"/>
      <c r="AQ480" s="77" t="s">
        <v>14509</v>
      </c>
      <c r="AR480" s="77">
        <v>47466</v>
      </c>
      <c r="AS480" s="77"/>
      <c r="AT480" s="77"/>
      <c r="AU480" s="77"/>
      <c r="AV480" s="80" t="str">
        <f>HYPERLINK("https://pbs.twimg.com/ext_tw_video_thumb/1684617396173037568/pu/img/ootgY-4BZebwWoEc.jpg")</f>
        <v>https://pbs.twimg.com/ext_tw_video_thumb/1684617396173037568/pu/img/ootgY-4BZebwWoEc.jpg</v>
      </c>
      <c r="AW480" s="82" t="s">
        <v>17253</v>
      </c>
      <c r="AX480" s="82" t="s">
        <v>17253</v>
      </c>
      <c r="AY480" s="77"/>
      <c r="AZ480" s="82" t="s">
        <v>20971</v>
      </c>
      <c r="BA480" s="82" t="s">
        <v>20971</v>
      </c>
      <c r="BB480" s="82" t="s">
        <v>20971</v>
      </c>
      <c r="BC480" s="82" t="s">
        <v>17253</v>
      </c>
      <c r="BD480" s="82" t="s">
        <v>21136</v>
      </c>
      <c r="BE480" s="77"/>
      <c r="BF480" s="77"/>
      <c r="BG480" s="77"/>
      <c r="BH480" s="77"/>
      <c r="BI480" s="77"/>
    </row>
    <row r="481" spans="1:61" x14ac:dyDescent="0.25">
      <c r="A481" s="62" t="s">
        <v>392</v>
      </c>
      <c r="B481" s="62" t="s">
        <v>392</v>
      </c>
      <c r="C481" s="63"/>
      <c r="D481" s="64"/>
      <c r="E481" s="65"/>
      <c r="F481" s="66"/>
      <c r="G481" s="63"/>
      <c r="H481" s="67"/>
      <c r="I481" s="68"/>
      <c r="J481" s="68"/>
      <c r="K481" s="32"/>
      <c r="L481" s="75">
        <v>481</v>
      </c>
      <c r="M481" s="75"/>
      <c r="N481" s="70"/>
      <c r="O481" s="77" t="s">
        <v>1285</v>
      </c>
      <c r="P481" s="79">
        <v>45133.730081018519</v>
      </c>
      <c r="Q481" s="77" t="s">
        <v>1764</v>
      </c>
      <c r="R481" s="77">
        <v>0</v>
      </c>
      <c r="S481" s="77">
        <v>0</v>
      </c>
      <c r="T481" s="77">
        <v>0</v>
      </c>
      <c r="U481" s="77">
        <v>0</v>
      </c>
      <c r="V481" s="77">
        <v>15</v>
      </c>
      <c r="W481" s="82" t="s">
        <v>5522</v>
      </c>
      <c r="X481" s="77"/>
      <c r="Y481" s="77"/>
      <c r="Z481" s="77" t="s">
        <v>392</v>
      </c>
      <c r="AA481" s="77" t="s">
        <v>7866</v>
      </c>
      <c r="AB481" s="77" t="s">
        <v>10129</v>
      </c>
      <c r="AC481" s="82" t="s">
        <v>10154</v>
      </c>
      <c r="AD481" s="77" t="s">
        <v>10184</v>
      </c>
      <c r="AE481" s="80" t="str">
        <f>HYPERLINK("https://twitter.com/laerciolobanco/status/1684255089744019457")</f>
        <v>https://twitter.com/laerciolobanco/status/1684255089744019457</v>
      </c>
      <c r="AF481" s="79">
        <v>45133.730081018519</v>
      </c>
      <c r="AG481" s="85">
        <v>45133</v>
      </c>
      <c r="AH481" s="82" t="s">
        <v>10655</v>
      </c>
      <c r="AI481" s="77" t="b">
        <v>0</v>
      </c>
      <c r="AJ481" s="77"/>
      <c r="AK481" s="77"/>
      <c r="AL481" s="77"/>
      <c r="AM481" s="77"/>
      <c r="AN481" s="77"/>
      <c r="AO481" s="77"/>
      <c r="AP481" s="77"/>
      <c r="AQ481" s="77" t="s">
        <v>14510</v>
      </c>
      <c r="AR481" s="77">
        <v>49433</v>
      </c>
      <c r="AS481" s="77"/>
      <c r="AT481" s="77"/>
      <c r="AU481" s="77"/>
      <c r="AV481" s="80" t="str">
        <f>HYPERLINK("https://pbs.twimg.com/ext_tw_video_thumb/1684255034836385798/pu/img/4RecJUTcgGtJG9OY.jpg")</f>
        <v>https://pbs.twimg.com/ext_tw_video_thumb/1684255034836385798/pu/img/4RecJUTcgGtJG9OY.jpg</v>
      </c>
      <c r="AW481" s="82" t="s">
        <v>17254</v>
      </c>
      <c r="AX481" s="82" t="s">
        <v>17254</v>
      </c>
      <c r="AY481" s="77"/>
      <c r="AZ481" s="82" t="s">
        <v>20971</v>
      </c>
      <c r="BA481" s="82" t="s">
        <v>20971</v>
      </c>
      <c r="BB481" s="82" t="s">
        <v>20971</v>
      </c>
      <c r="BC481" s="82" t="s">
        <v>17254</v>
      </c>
      <c r="BD481" s="82" t="s">
        <v>21136</v>
      </c>
      <c r="BE481" s="77"/>
      <c r="BF481" s="77"/>
      <c r="BG481" s="77"/>
      <c r="BH481" s="77"/>
      <c r="BI481" s="77"/>
    </row>
    <row r="482" spans="1:61" x14ac:dyDescent="0.25">
      <c r="A482" s="62" t="s">
        <v>392</v>
      </c>
      <c r="B482" s="62" t="s">
        <v>392</v>
      </c>
      <c r="C482" s="63"/>
      <c r="D482" s="64"/>
      <c r="E482" s="65"/>
      <c r="F482" s="66"/>
      <c r="G482" s="63"/>
      <c r="H482" s="67"/>
      <c r="I482" s="68"/>
      <c r="J482" s="68"/>
      <c r="K482" s="32"/>
      <c r="L482" s="75">
        <v>482</v>
      </c>
      <c r="M482" s="75"/>
      <c r="N482" s="70"/>
      <c r="O482" s="77" t="s">
        <v>1285</v>
      </c>
      <c r="P482" s="79">
        <v>45132.72184027778</v>
      </c>
      <c r="Q482" s="77" t="s">
        <v>1765</v>
      </c>
      <c r="R482" s="77">
        <v>0</v>
      </c>
      <c r="S482" s="77">
        <v>0</v>
      </c>
      <c r="T482" s="77">
        <v>0</v>
      </c>
      <c r="U482" s="77">
        <v>0</v>
      </c>
      <c r="V482" s="77">
        <v>14</v>
      </c>
      <c r="W482" s="82" t="s">
        <v>5522</v>
      </c>
      <c r="X482" s="77"/>
      <c r="Y482" s="77"/>
      <c r="Z482" s="77" t="s">
        <v>392</v>
      </c>
      <c r="AA482" s="77" t="s">
        <v>7867</v>
      </c>
      <c r="AB482" s="77" t="s">
        <v>10129</v>
      </c>
      <c r="AC482" s="82" t="s">
        <v>10154</v>
      </c>
      <c r="AD482" s="77" t="s">
        <v>10184</v>
      </c>
      <c r="AE482" s="80" t="str">
        <f>HYPERLINK("https://twitter.com/laerciolobanco/status/1683889714288373780")</f>
        <v>https://twitter.com/laerciolobanco/status/1683889714288373780</v>
      </c>
      <c r="AF482" s="79">
        <v>45132.72184027778</v>
      </c>
      <c r="AG482" s="85">
        <v>45132</v>
      </c>
      <c r="AH482" s="82" t="s">
        <v>10656</v>
      </c>
      <c r="AI482" s="77" t="b">
        <v>0</v>
      </c>
      <c r="AJ482" s="77"/>
      <c r="AK482" s="77"/>
      <c r="AL482" s="77"/>
      <c r="AM482" s="77"/>
      <c r="AN482" s="77"/>
      <c r="AO482" s="77"/>
      <c r="AP482" s="77"/>
      <c r="AQ482" s="77" t="s">
        <v>14511</v>
      </c>
      <c r="AR482" s="77">
        <v>51900</v>
      </c>
      <c r="AS482" s="77"/>
      <c r="AT482" s="77"/>
      <c r="AU482" s="77"/>
      <c r="AV482" s="80" t="str">
        <f>HYPERLINK("https://pbs.twimg.com/ext_tw_video_thumb/1683889656834715648/pu/img/Xi0CfDqGobGd7zSh.jpg")</f>
        <v>https://pbs.twimg.com/ext_tw_video_thumb/1683889656834715648/pu/img/Xi0CfDqGobGd7zSh.jpg</v>
      </c>
      <c r="AW482" s="82" t="s">
        <v>17255</v>
      </c>
      <c r="AX482" s="82" t="s">
        <v>17255</v>
      </c>
      <c r="AY482" s="77"/>
      <c r="AZ482" s="82" t="s">
        <v>20971</v>
      </c>
      <c r="BA482" s="82" t="s">
        <v>20971</v>
      </c>
      <c r="BB482" s="82" t="s">
        <v>20971</v>
      </c>
      <c r="BC482" s="82" t="s">
        <v>17255</v>
      </c>
      <c r="BD482" s="82" t="s">
        <v>21136</v>
      </c>
      <c r="BE482" s="77"/>
      <c r="BF482" s="77"/>
      <c r="BG482" s="77"/>
      <c r="BH482" s="77"/>
      <c r="BI482" s="77"/>
    </row>
    <row r="483" spans="1:61" x14ac:dyDescent="0.25">
      <c r="A483" s="62" t="s">
        <v>392</v>
      </c>
      <c r="B483" s="62" t="s">
        <v>392</v>
      </c>
      <c r="C483" s="63"/>
      <c r="D483" s="64"/>
      <c r="E483" s="65"/>
      <c r="F483" s="66"/>
      <c r="G483" s="63"/>
      <c r="H483" s="67"/>
      <c r="I483" s="68"/>
      <c r="J483" s="68"/>
      <c r="K483" s="32"/>
      <c r="L483" s="75">
        <v>483</v>
      </c>
      <c r="M483" s="75"/>
      <c r="N483" s="70"/>
      <c r="O483" s="77" t="s">
        <v>1285</v>
      </c>
      <c r="P483" s="79">
        <v>45132.594618055555</v>
      </c>
      <c r="Q483" s="77" t="s">
        <v>1766</v>
      </c>
      <c r="R483" s="77">
        <v>0</v>
      </c>
      <c r="S483" s="77">
        <v>0</v>
      </c>
      <c r="T483" s="77">
        <v>0</v>
      </c>
      <c r="U483" s="77">
        <v>0</v>
      </c>
      <c r="V483" s="77">
        <v>10</v>
      </c>
      <c r="W483" s="82" t="s">
        <v>5522</v>
      </c>
      <c r="X483" s="77"/>
      <c r="Y483" s="77"/>
      <c r="Z483" s="77" t="s">
        <v>392</v>
      </c>
      <c r="AA483" s="77" t="s">
        <v>7868</v>
      </c>
      <c r="AB483" s="77" t="s">
        <v>10129</v>
      </c>
      <c r="AC483" s="82" t="s">
        <v>10154</v>
      </c>
      <c r="AD483" s="77" t="s">
        <v>10184</v>
      </c>
      <c r="AE483" s="80" t="str">
        <f>HYPERLINK("https://twitter.com/laerciolobanco/status/1683843609156792321")</f>
        <v>https://twitter.com/laerciolobanco/status/1683843609156792321</v>
      </c>
      <c r="AF483" s="79">
        <v>45132.594618055555</v>
      </c>
      <c r="AG483" s="85">
        <v>45132</v>
      </c>
      <c r="AH483" s="82" t="s">
        <v>10657</v>
      </c>
      <c r="AI483" s="77" t="b">
        <v>0</v>
      </c>
      <c r="AJ483" s="77"/>
      <c r="AK483" s="77"/>
      <c r="AL483" s="77"/>
      <c r="AM483" s="77"/>
      <c r="AN483" s="77"/>
      <c r="AO483" s="77"/>
      <c r="AP483" s="77"/>
      <c r="AQ483" s="77" t="s">
        <v>14512</v>
      </c>
      <c r="AR483" s="77">
        <v>51900</v>
      </c>
      <c r="AS483" s="77"/>
      <c r="AT483" s="77"/>
      <c r="AU483" s="77"/>
      <c r="AV483" s="80" t="str">
        <f>HYPERLINK("https://pbs.twimg.com/ext_tw_video_thumb/1683843537748758530/pu/img/KF8k6LoBH573h9DE.jpg")</f>
        <v>https://pbs.twimg.com/ext_tw_video_thumb/1683843537748758530/pu/img/KF8k6LoBH573h9DE.jpg</v>
      </c>
      <c r="AW483" s="82" t="s">
        <v>17256</v>
      </c>
      <c r="AX483" s="82" t="s">
        <v>17256</v>
      </c>
      <c r="AY483" s="77"/>
      <c r="AZ483" s="82" t="s">
        <v>20971</v>
      </c>
      <c r="BA483" s="82" t="s">
        <v>20971</v>
      </c>
      <c r="BB483" s="82" t="s">
        <v>20971</v>
      </c>
      <c r="BC483" s="82" t="s">
        <v>17256</v>
      </c>
      <c r="BD483" s="82" t="s">
        <v>21136</v>
      </c>
      <c r="BE483" s="77"/>
      <c r="BF483" s="77"/>
      <c r="BG483" s="77"/>
      <c r="BH483" s="77"/>
      <c r="BI483" s="77"/>
    </row>
    <row r="484" spans="1:61" x14ac:dyDescent="0.25">
      <c r="A484" s="62" t="s">
        <v>392</v>
      </c>
      <c r="B484" s="62" t="s">
        <v>392</v>
      </c>
      <c r="C484" s="63"/>
      <c r="D484" s="64"/>
      <c r="E484" s="65"/>
      <c r="F484" s="66"/>
      <c r="G484" s="63"/>
      <c r="H484" s="67"/>
      <c r="I484" s="68"/>
      <c r="J484" s="68"/>
      <c r="K484" s="32"/>
      <c r="L484" s="75">
        <v>484</v>
      </c>
      <c r="M484" s="75"/>
      <c r="N484" s="70"/>
      <c r="O484" s="77" t="s">
        <v>1285</v>
      </c>
      <c r="P484" s="79">
        <v>45019.041875000003</v>
      </c>
      <c r="Q484" s="77" t="s">
        <v>1767</v>
      </c>
      <c r="R484" s="77">
        <v>0</v>
      </c>
      <c r="S484" s="77">
        <v>0</v>
      </c>
      <c r="T484" s="77">
        <v>0</v>
      </c>
      <c r="U484" s="77">
        <v>0</v>
      </c>
      <c r="V484" s="77">
        <v>19</v>
      </c>
      <c r="W484" s="82" t="s">
        <v>5522</v>
      </c>
      <c r="X484" s="77"/>
      <c r="Y484" s="77"/>
      <c r="Z484" s="77" t="s">
        <v>392</v>
      </c>
      <c r="AA484" s="77" t="s">
        <v>7869</v>
      </c>
      <c r="AB484" s="77" t="s">
        <v>10130</v>
      </c>
      <c r="AC484" s="82" t="s">
        <v>10154</v>
      </c>
      <c r="AD484" s="77" t="s">
        <v>10184</v>
      </c>
      <c r="AE484" s="80" t="str">
        <f>HYPERLINK("https://twitter.com/laerciolobanco/status/1642693473710080004")</f>
        <v>https://twitter.com/laerciolobanco/status/1642693473710080004</v>
      </c>
      <c r="AF484" s="79">
        <v>45019.041875000003</v>
      </c>
      <c r="AG484" s="85">
        <v>45019</v>
      </c>
      <c r="AH484" s="82" t="s">
        <v>10629</v>
      </c>
      <c r="AI484" s="77" t="b">
        <v>0</v>
      </c>
      <c r="AJ484" s="77"/>
      <c r="AK484" s="77"/>
      <c r="AL484" s="77"/>
      <c r="AM484" s="77"/>
      <c r="AN484" s="77"/>
      <c r="AO484" s="77"/>
      <c r="AP484" s="77"/>
      <c r="AQ484" s="77" t="s">
        <v>14513</v>
      </c>
      <c r="AR484" s="77"/>
      <c r="AS484" s="77"/>
      <c r="AT484" s="77"/>
      <c r="AU484" s="77"/>
      <c r="AV484" s="80" t="str">
        <f>HYPERLINK("https://pbs.twimg.com/media/FswFAleWwAI8ORK.jpg")</f>
        <v>https://pbs.twimg.com/media/FswFAleWwAI8ORK.jpg</v>
      </c>
      <c r="AW484" s="82" t="s">
        <v>17257</v>
      </c>
      <c r="AX484" s="82" t="s">
        <v>17257</v>
      </c>
      <c r="AY484" s="77"/>
      <c r="AZ484" s="82" t="s">
        <v>20971</v>
      </c>
      <c r="BA484" s="82" t="s">
        <v>20971</v>
      </c>
      <c r="BB484" s="82" t="s">
        <v>20971</v>
      </c>
      <c r="BC484" s="82" t="s">
        <v>17257</v>
      </c>
      <c r="BD484" s="82" t="s">
        <v>21136</v>
      </c>
      <c r="BE484" s="77"/>
      <c r="BF484" s="77"/>
      <c r="BG484" s="77"/>
      <c r="BH484" s="77"/>
      <c r="BI484" s="77"/>
    </row>
    <row r="485" spans="1:61" x14ac:dyDescent="0.25">
      <c r="A485" s="62" t="s">
        <v>392</v>
      </c>
      <c r="B485" s="62" t="s">
        <v>392</v>
      </c>
      <c r="C485" s="63"/>
      <c r="D485" s="64"/>
      <c r="E485" s="65"/>
      <c r="F485" s="66"/>
      <c r="G485" s="63"/>
      <c r="H485" s="67"/>
      <c r="I485" s="68"/>
      <c r="J485" s="68"/>
      <c r="K485" s="32"/>
      <c r="L485" s="75">
        <v>485</v>
      </c>
      <c r="M485" s="75"/>
      <c r="N485" s="70"/>
      <c r="O485" s="77" t="s">
        <v>1285</v>
      </c>
      <c r="P485" s="79">
        <v>45017.041909722226</v>
      </c>
      <c r="Q485" s="77" t="s">
        <v>1768</v>
      </c>
      <c r="R485" s="77">
        <v>0</v>
      </c>
      <c r="S485" s="77">
        <v>0</v>
      </c>
      <c r="T485" s="77">
        <v>0</v>
      </c>
      <c r="U485" s="77">
        <v>0</v>
      </c>
      <c r="V485" s="77">
        <v>19</v>
      </c>
      <c r="W485" s="82" t="s">
        <v>5522</v>
      </c>
      <c r="X485" s="77"/>
      <c r="Y485" s="77"/>
      <c r="Z485" s="77" t="s">
        <v>392</v>
      </c>
      <c r="AA485" s="77" t="s">
        <v>7870</v>
      </c>
      <c r="AB485" s="77" t="s">
        <v>10130</v>
      </c>
      <c r="AC485" s="82" t="s">
        <v>10154</v>
      </c>
      <c r="AD485" s="77" t="s">
        <v>10184</v>
      </c>
      <c r="AE485" s="80" t="str">
        <f>HYPERLINK("https://twitter.com/laerciolobanco/status/1641968711224504320")</f>
        <v>https://twitter.com/laerciolobanco/status/1641968711224504320</v>
      </c>
      <c r="AF485" s="79">
        <v>45017.041909722226</v>
      </c>
      <c r="AG485" s="85">
        <v>45017</v>
      </c>
      <c r="AH485" s="82" t="s">
        <v>10658</v>
      </c>
      <c r="AI485" s="77" t="b">
        <v>0</v>
      </c>
      <c r="AJ485" s="77"/>
      <c r="AK485" s="77"/>
      <c r="AL485" s="77"/>
      <c r="AM485" s="77"/>
      <c r="AN485" s="77"/>
      <c r="AO485" s="77"/>
      <c r="AP485" s="77"/>
      <c r="AQ485" s="77" t="s">
        <v>14514</v>
      </c>
      <c r="AR485" s="77"/>
      <c r="AS485" s="77"/>
      <c r="AT485" s="77"/>
      <c r="AU485" s="77"/>
      <c r="AV485" s="80" t="str">
        <f>HYPERLINK("https://pbs.twimg.com/media/Fslx11KWwAEIIfn.jpg")</f>
        <v>https://pbs.twimg.com/media/Fslx11KWwAEIIfn.jpg</v>
      </c>
      <c r="AW485" s="82" t="s">
        <v>17258</v>
      </c>
      <c r="AX485" s="82" t="s">
        <v>17258</v>
      </c>
      <c r="AY485" s="77"/>
      <c r="AZ485" s="82" t="s">
        <v>20971</v>
      </c>
      <c r="BA485" s="82" t="s">
        <v>20971</v>
      </c>
      <c r="BB485" s="82" t="s">
        <v>20971</v>
      </c>
      <c r="BC485" s="82" t="s">
        <v>17258</v>
      </c>
      <c r="BD485" s="82" t="s">
        <v>21136</v>
      </c>
      <c r="BE485" s="77"/>
      <c r="BF485" s="77"/>
      <c r="BG485" s="77"/>
      <c r="BH485" s="77"/>
      <c r="BI485" s="77"/>
    </row>
    <row r="486" spans="1:61" x14ac:dyDescent="0.25">
      <c r="A486" s="62" t="s">
        <v>392</v>
      </c>
      <c r="B486" s="62" t="s">
        <v>392</v>
      </c>
      <c r="C486" s="63"/>
      <c r="D486" s="64"/>
      <c r="E486" s="65"/>
      <c r="F486" s="66"/>
      <c r="G486" s="63"/>
      <c r="H486" s="67"/>
      <c r="I486" s="68"/>
      <c r="J486" s="68"/>
      <c r="K486" s="32"/>
      <c r="L486" s="75">
        <v>486</v>
      </c>
      <c r="M486" s="75"/>
      <c r="N486" s="70"/>
      <c r="O486" s="77" t="s">
        <v>1285</v>
      </c>
      <c r="P486" s="79">
        <v>45016.041875000003</v>
      </c>
      <c r="Q486" s="77" t="s">
        <v>1769</v>
      </c>
      <c r="R486" s="77">
        <v>0</v>
      </c>
      <c r="S486" s="77">
        <v>0</v>
      </c>
      <c r="T486" s="77">
        <v>0</v>
      </c>
      <c r="U486" s="77">
        <v>0</v>
      </c>
      <c r="V486" s="77">
        <v>15</v>
      </c>
      <c r="W486" s="82" t="s">
        <v>5522</v>
      </c>
      <c r="X486" s="77"/>
      <c r="Y486" s="77"/>
      <c r="Z486" s="77" t="s">
        <v>392</v>
      </c>
      <c r="AA486" s="77" t="s">
        <v>7871</v>
      </c>
      <c r="AB486" s="77" t="s">
        <v>10130</v>
      </c>
      <c r="AC486" s="82" t="s">
        <v>10154</v>
      </c>
      <c r="AD486" s="77" t="s">
        <v>10184</v>
      </c>
      <c r="AE486" s="80" t="str">
        <f>HYPERLINK("https://twitter.com/laerciolobanco/status/1641606309563727872")</f>
        <v>https://twitter.com/laerciolobanco/status/1641606309563727872</v>
      </c>
      <c r="AF486" s="79">
        <v>45016.041875000003</v>
      </c>
      <c r="AG486" s="85">
        <v>45016</v>
      </c>
      <c r="AH486" s="82" t="s">
        <v>10629</v>
      </c>
      <c r="AI486" s="77" t="b">
        <v>0</v>
      </c>
      <c r="AJ486" s="77"/>
      <c r="AK486" s="77"/>
      <c r="AL486" s="77"/>
      <c r="AM486" s="77"/>
      <c r="AN486" s="77"/>
      <c r="AO486" s="77"/>
      <c r="AP486" s="77"/>
      <c r="AQ486" s="77" t="s">
        <v>14515</v>
      </c>
      <c r="AR486" s="77"/>
      <c r="AS486" s="77"/>
      <c r="AT486" s="77"/>
      <c r="AU486" s="77"/>
      <c r="AV486" s="80" t="str">
        <f>HYPERLINK("https://pbs.twimg.com/media/FsgoPU0WwAAlchi.jpg")</f>
        <v>https://pbs.twimg.com/media/FsgoPU0WwAAlchi.jpg</v>
      </c>
      <c r="AW486" s="82" t="s">
        <v>17259</v>
      </c>
      <c r="AX486" s="82" t="s">
        <v>17259</v>
      </c>
      <c r="AY486" s="77"/>
      <c r="AZ486" s="82" t="s">
        <v>20971</v>
      </c>
      <c r="BA486" s="82" t="s">
        <v>20971</v>
      </c>
      <c r="BB486" s="82" t="s">
        <v>20971</v>
      </c>
      <c r="BC486" s="82" t="s">
        <v>17259</v>
      </c>
      <c r="BD486" s="82" t="s">
        <v>21136</v>
      </c>
      <c r="BE486" s="77"/>
      <c r="BF486" s="77"/>
      <c r="BG486" s="77"/>
      <c r="BH486" s="77"/>
      <c r="BI486" s="77"/>
    </row>
    <row r="487" spans="1:61" x14ac:dyDescent="0.25">
      <c r="A487" s="62" t="s">
        <v>392</v>
      </c>
      <c r="B487" s="62" t="s">
        <v>392</v>
      </c>
      <c r="C487" s="63"/>
      <c r="D487" s="64"/>
      <c r="E487" s="65"/>
      <c r="F487" s="66"/>
      <c r="G487" s="63"/>
      <c r="H487" s="67"/>
      <c r="I487" s="68"/>
      <c r="J487" s="68"/>
      <c r="K487" s="32"/>
      <c r="L487" s="75">
        <v>487</v>
      </c>
      <c r="M487" s="75"/>
      <c r="N487" s="70"/>
      <c r="O487" s="77" t="s">
        <v>1285</v>
      </c>
      <c r="P487" s="79">
        <v>44999.041863425926</v>
      </c>
      <c r="Q487" s="77" t="s">
        <v>1770</v>
      </c>
      <c r="R487" s="77">
        <v>0</v>
      </c>
      <c r="S487" s="77">
        <v>0</v>
      </c>
      <c r="T487" s="77">
        <v>0</v>
      </c>
      <c r="U487" s="77">
        <v>0</v>
      </c>
      <c r="V487" s="77">
        <v>4</v>
      </c>
      <c r="W487" s="82" t="s">
        <v>5522</v>
      </c>
      <c r="X487" s="77"/>
      <c r="Y487" s="77"/>
      <c r="Z487" s="77" t="s">
        <v>392</v>
      </c>
      <c r="AA487" s="77" t="s">
        <v>7872</v>
      </c>
      <c r="AB487" s="77" t="s">
        <v>10130</v>
      </c>
      <c r="AC487" s="82" t="s">
        <v>10154</v>
      </c>
      <c r="AD487" s="77" t="s">
        <v>10184</v>
      </c>
      <c r="AE487" s="80" t="str">
        <f>HYPERLINK("https://twitter.com/laerciolobanco/status/1635445712556007424")</f>
        <v>https://twitter.com/laerciolobanco/status/1635445712556007424</v>
      </c>
      <c r="AF487" s="79">
        <v>44999.041863425926</v>
      </c>
      <c r="AG487" s="85">
        <v>44999</v>
      </c>
      <c r="AH487" s="82" t="s">
        <v>10630</v>
      </c>
      <c r="AI487" s="77" t="b">
        <v>0</v>
      </c>
      <c r="AJ487" s="77"/>
      <c r="AK487" s="77"/>
      <c r="AL487" s="77"/>
      <c r="AM487" s="77"/>
      <c r="AN487" s="77"/>
      <c r="AO487" s="77"/>
      <c r="AP487" s="77"/>
      <c r="AQ487" s="77" t="s">
        <v>14516</v>
      </c>
      <c r="AR487" s="77"/>
      <c r="AS487" s="77"/>
      <c r="AT487" s="77"/>
      <c r="AU487" s="77"/>
      <c r="AV487" s="80" t="str">
        <f>HYPERLINK("https://pbs.twimg.com/media/FrJFNY5WYAAeDvb.jpg")</f>
        <v>https://pbs.twimg.com/media/FrJFNY5WYAAeDvb.jpg</v>
      </c>
      <c r="AW487" s="82" t="s">
        <v>17260</v>
      </c>
      <c r="AX487" s="82" t="s">
        <v>17260</v>
      </c>
      <c r="AY487" s="77"/>
      <c r="AZ487" s="82" t="s">
        <v>20971</v>
      </c>
      <c r="BA487" s="82" t="s">
        <v>20971</v>
      </c>
      <c r="BB487" s="82" t="s">
        <v>20971</v>
      </c>
      <c r="BC487" s="82" t="s">
        <v>17260</v>
      </c>
      <c r="BD487" s="82" t="s">
        <v>21136</v>
      </c>
      <c r="BE487" s="77"/>
      <c r="BF487" s="77"/>
      <c r="BG487" s="77"/>
      <c r="BH487" s="77"/>
      <c r="BI487" s="77"/>
    </row>
    <row r="488" spans="1:61" x14ac:dyDescent="0.25">
      <c r="A488" s="62" t="s">
        <v>392</v>
      </c>
      <c r="B488" s="62" t="s">
        <v>392</v>
      </c>
      <c r="C488" s="63"/>
      <c r="D488" s="64"/>
      <c r="E488" s="65"/>
      <c r="F488" s="66"/>
      <c r="G488" s="63"/>
      <c r="H488" s="67"/>
      <c r="I488" s="68"/>
      <c r="J488" s="68"/>
      <c r="K488" s="32"/>
      <c r="L488" s="75">
        <v>488</v>
      </c>
      <c r="M488" s="75"/>
      <c r="N488" s="70"/>
      <c r="O488" s="77" t="s">
        <v>1285</v>
      </c>
      <c r="P488" s="79">
        <v>45188.584988425922</v>
      </c>
      <c r="Q488" s="77" t="s">
        <v>1771</v>
      </c>
      <c r="R488" s="77">
        <v>0</v>
      </c>
      <c r="S488" s="77">
        <v>0</v>
      </c>
      <c r="T488" s="77">
        <v>0</v>
      </c>
      <c r="U488" s="77">
        <v>0</v>
      </c>
      <c r="V488" s="77">
        <v>15</v>
      </c>
      <c r="W488" s="82" t="s">
        <v>5522</v>
      </c>
      <c r="X488" s="77"/>
      <c r="Y488" s="77"/>
      <c r="Z488" s="77" t="s">
        <v>392</v>
      </c>
      <c r="AA488" s="77" t="s">
        <v>7873</v>
      </c>
      <c r="AB488" s="77" t="s">
        <v>10129</v>
      </c>
      <c r="AC488" s="82" t="s">
        <v>10154</v>
      </c>
      <c r="AD488" s="77" t="s">
        <v>10184</v>
      </c>
      <c r="AE488" s="80" t="str">
        <f>HYPERLINK("https://twitter.com/laerciolobanco/status/1704133842322231348")</f>
        <v>https://twitter.com/laerciolobanco/status/1704133842322231348</v>
      </c>
      <c r="AF488" s="79">
        <v>45188.584988425922</v>
      </c>
      <c r="AG488" s="85">
        <v>45188</v>
      </c>
      <c r="AH488" s="82" t="s">
        <v>10659</v>
      </c>
      <c r="AI488" s="77" t="b">
        <v>0</v>
      </c>
      <c r="AJ488" s="77"/>
      <c r="AK488" s="77"/>
      <c r="AL488" s="77"/>
      <c r="AM488" s="77"/>
      <c r="AN488" s="77"/>
      <c r="AO488" s="77"/>
      <c r="AP488" s="77"/>
      <c r="AQ488" s="77" t="s">
        <v>14517</v>
      </c>
      <c r="AR488" s="77">
        <v>52133</v>
      </c>
      <c r="AS488" s="77"/>
      <c r="AT488" s="77"/>
      <c r="AU488" s="77"/>
      <c r="AV488" s="80" t="str">
        <f>HYPERLINK("https://pbs.twimg.com/ext_tw_video_thumb/1704133789692125184/pu/img/RtCWAwWy3m7fkPcP.jpg")</f>
        <v>https://pbs.twimg.com/ext_tw_video_thumb/1704133789692125184/pu/img/RtCWAwWy3m7fkPcP.jpg</v>
      </c>
      <c r="AW488" s="82" t="s">
        <v>17261</v>
      </c>
      <c r="AX488" s="82" t="s">
        <v>17261</v>
      </c>
      <c r="AY488" s="77"/>
      <c r="AZ488" s="82" t="s">
        <v>20971</v>
      </c>
      <c r="BA488" s="82" t="s">
        <v>20971</v>
      </c>
      <c r="BB488" s="82" t="s">
        <v>20971</v>
      </c>
      <c r="BC488" s="82" t="s">
        <v>17261</v>
      </c>
      <c r="BD488" s="82" t="s">
        <v>21136</v>
      </c>
      <c r="BE488" s="77"/>
      <c r="BF488" s="77"/>
      <c r="BG488" s="77"/>
      <c r="BH488" s="77"/>
      <c r="BI488" s="77"/>
    </row>
    <row r="489" spans="1:61" x14ac:dyDescent="0.25">
      <c r="A489" s="62" t="s">
        <v>392</v>
      </c>
      <c r="B489" s="62" t="s">
        <v>392</v>
      </c>
      <c r="C489" s="63"/>
      <c r="D489" s="64"/>
      <c r="E489" s="65"/>
      <c r="F489" s="66"/>
      <c r="G489" s="63"/>
      <c r="H489" s="67"/>
      <c r="I489" s="68"/>
      <c r="J489" s="68"/>
      <c r="K489" s="32"/>
      <c r="L489" s="75">
        <v>489</v>
      </c>
      <c r="M489" s="75"/>
      <c r="N489" s="70"/>
      <c r="O489" s="77" t="s">
        <v>1285</v>
      </c>
      <c r="P489" s="79">
        <v>45165.708587962959</v>
      </c>
      <c r="Q489" s="77" t="s">
        <v>1772</v>
      </c>
      <c r="R489" s="77">
        <v>0</v>
      </c>
      <c r="S489" s="77">
        <v>0</v>
      </c>
      <c r="T489" s="77">
        <v>0</v>
      </c>
      <c r="U489" s="77">
        <v>0</v>
      </c>
      <c r="V489" s="77">
        <v>11</v>
      </c>
      <c r="W489" s="82" t="s">
        <v>5522</v>
      </c>
      <c r="X489" s="77"/>
      <c r="Y489" s="77"/>
      <c r="Z489" s="77" t="s">
        <v>392</v>
      </c>
      <c r="AA489" s="77" t="s">
        <v>7874</v>
      </c>
      <c r="AB489" s="77" t="s">
        <v>10130</v>
      </c>
      <c r="AC489" s="82" t="s">
        <v>10154</v>
      </c>
      <c r="AD489" s="77" t="s">
        <v>10184</v>
      </c>
      <c r="AE489" s="80" t="str">
        <f>HYPERLINK("https://twitter.com/laerciolobanco/status/1695843710599057605")</f>
        <v>https://twitter.com/laerciolobanco/status/1695843710599057605</v>
      </c>
      <c r="AF489" s="79">
        <v>45165.708587962959</v>
      </c>
      <c r="AG489" s="85">
        <v>45165</v>
      </c>
      <c r="AH489" s="82" t="s">
        <v>10633</v>
      </c>
      <c r="AI489" s="77" t="b">
        <v>0</v>
      </c>
      <c r="AJ489" s="77"/>
      <c r="AK489" s="77"/>
      <c r="AL489" s="77"/>
      <c r="AM489" s="77"/>
      <c r="AN489" s="77"/>
      <c r="AO489" s="77"/>
      <c r="AP489" s="77"/>
      <c r="AQ489" s="77" t="s">
        <v>14518</v>
      </c>
      <c r="AR489" s="77"/>
      <c r="AS489" s="77"/>
      <c r="AT489" s="77"/>
      <c r="AU489" s="77"/>
      <c r="AV489" s="80" t="str">
        <f>HYPERLINK("https://pbs.twimg.com/media/F4jY3jMW0AAcEPl.jpg")</f>
        <v>https://pbs.twimg.com/media/F4jY3jMW0AAcEPl.jpg</v>
      </c>
      <c r="AW489" s="82" t="s">
        <v>17262</v>
      </c>
      <c r="AX489" s="82" t="s">
        <v>17262</v>
      </c>
      <c r="AY489" s="77"/>
      <c r="AZ489" s="82" t="s">
        <v>20971</v>
      </c>
      <c r="BA489" s="82" t="s">
        <v>20971</v>
      </c>
      <c r="BB489" s="82" t="s">
        <v>20971</v>
      </c>
      <c r="BC489" s="82" t="s">
        <v>17262</v>
      </c>
      <c r="BD489" s="82" t="s">
        <v>21136</v>
      </c>
      <c r="BE489" s="77"/>
      <c r="BF489" s="77"/>
      <c r="BG489" s="77"/>
      <c r="BH489" s="77"/>
      <c r="BI489" s="77"/>
    </row>
    <row r="490" spans="1:61" x14ac:dyDescent="0.25">
      <c r="A490" s="62" t="s">
        <v>392</v>
      </c>
      <c r="B490" s="62" t="s">
        <v>392</v>
      </c>
      <c r="C490" s="63"/>
      <c r="D490" s="64"/>
      <c r="E490" s="65"/>
      <c r="F490" s="66"/>
      <c r="G490" s="63"/>
      <c r="H490" s="67"/>
      <c r="I490" s="68"/>
      <c r="J490" s="68"/>
      <c r="K490" s="32"/>
      <c r="L490" s="75">
        <v>490</v>
      </c>
      <c r="M490" s="75"/>
      <c r="N490" s="70"/>
      <c r="O490" s="77" t="s">
        <v>1285</v>
      </c>
      <c r="P490" s="79">
        <v>45164.70853009259</v>
      </c>
      <c r="Q490" s="77" t="s">
        <v>1773</v>
      </c>
      <c r="R490" s="77">
        <v>0</v>
      </c>
      <c r="S490" s="77">
        <v>0</v>
      </c>
      <c r="T490" s="77">
        <v>0</v>
      </c>
      <c r="U490" s="77">
        <v>0</v>
      </c>
      <c r="V490" s="77">
        <v>2</v>
      </c>
      <c r="W490" s="82" t="s">
        <v>5522</v>
      </c>
      <c r="X490" s="77"/>
      <c r="Y490" s="77"/>
      <c r="Z490" s="77" t="s">
        <v>392</v>
      </c>
      <c r="AA490" s="77" t="s">
        <v>7875</v>
      </c>
      <c r="AB490" s="77" t="s">
        <v>10130</v>
      </c>
      <c r="AC490" s="82" t="s">
        <v>10154</v>
      </c>
      <c r="AD490" s="77" t="s">
        <v>10184</v>
      </c>
      <c r="AE490" s="80" t="str">
        <f>HYPERLINK("https://twitter.com/laerciolobanco/status/1695481303368425635")</f>
        <v>https://twitter.com/laerciolobanco/status/1695481303368425635</v>
      </c>
      <c r="AF490" s="79">
        <v>45164.70853009259</v>
      </c>
      <c r="AG490" s="85">
        <v>45164</v>
      </c>
      <c r="AH490" s="82" t="s">
        <v>10645</v>
      </c>
      <c r="AI490" s="77" t="b">
        <v>0</v>
      </c>
      <c r="AJ490" s="77"/>
      <c r="AK490" s="77"/>
      <c r="AL490" s="77"/>
      <c r="AM490" s="77"/>
      <c r="AN490" s="77"/>
      <c r="AO490" s="77"/>
      <c r="AP490" s="77"/>
      <c r="AQ490" s="77" t="s">
        <v>14519</v>
      </c>
      <c r="AR490" s="77"/>
      <c r="AS490" s="77"/>
      <c r="AT490" s="77"/>
      <c r="AU490" s="77"/>
      <c r="AV490" s="80" t="str">
        <f>HYPERLINK("https://pbs.twimg.com/media/F4ePQsvW0AAjPE-.jpg")</f>
        <v>https://pbs.twimg.com/media/F4ePQsvW0AAjPE-.jpg</v>
      </c>
      <c r="AW490" s="82" t="s">
        <v>17263</v>
      </c>
      <c r="AX490" s="82" t="s">
        <v>17263</v>
      </c>
      <c r="AY490" s="77"/>
      <c r="AZ490" s="82" t="s">
        <v>20971</v>
      </c>
      <c r="BA490" s="82" t="s">
        <v>20971</v>
      </c>
      <c r="BB490" s="82" t="s">
        <v>20971</v>
      </c>
      <c r="BC490" s="82" t="s">
        <v>17263</v>
      </c>
      <c r="BD490" s="82" t="s">
        <v>21136</v>
      </c>
      <c r="BE490" s="77"/>
      <c r="BF490" s="77"/>
      <c r="BG490" s="77"/>
      <c r="BH490" s="77"/>
      <c r="BI490" s="77"/>
    </row>
    <row r="491" spans="1:61" x14ac:dyDescent="0.25">
      <c r="A491" s="62" t="s">
        <v>392</v>
      </c>
      <c r="B491" s="62" t="s">
        <v>392</v>
      </c>
      <c r="C491" s="63"/>
      <c r="D491" s="64"/>
      <c r="E491" s="65"/>
      <c r="F491" s="66"/>
      <c r="G491" s="63"/>
      <c r="H491" s="67"/>
      <c r="I491" s="68"/>
      <c r="J491" s="68"/>
      <c r="K491" s="32"/>
      <c r="L491" s="75">
        <v>491</v>
      </c>
      <c r="M491" s="75"/>
      <c r="N491" s="70"/>
      <c r="O491" s="77" t="s">
        <v>1285</v>
      </c>
      <c r="P491" s="79">
        <v>45163.70857638889</v>
      </c>
      <c r="Q491" s="77" t="s">
        <v>1774</v>
      </c>
      <c r="R491" s="77">
        <v>0</v>
      </c>
      <c r="S491" s="77">
        <v>0</v>
      </c>
      <c r="T491" s="77">
        <v>0</v>
      </c>
      <c r="U491" s="77">
        <v>0</v>
      </c>
      <c r="V491" s="77">
        <v>1</v>
      </c>
      <c r="W491" s="82" t="s">
        <v>5522</v>
      </c>
      <c r="X491" s="77"/>
      <c r="Y491" s="77"/>
      <c r="Z491" s="77" t="s">
        <v>392</v>
      </c>
      <c r="AA491" s="77" t="s">
        <v>7876</v>
      </c>
      <c r="AB491" s="77" t="s">
        <v>10130</v>
      </c>
      <c r="AC491" s="82" t="s">
        <v>10154</v>
      </c>
      <c r="AD491" s="77" t="s">
        <v>10184</v>
      </c>
      <c r="AE491" s="80" t="str">
        <f>HYPERLINK("https://twitter.com/laerciolobanco/status/1695118932636549539")</f>
        <v>https://twitter.com/laerciolobanco/status/1695118932636549539</v>
      </c>
      <c r="AF491" s="79">
        <v>45163.70857638889</v>
      </c>
      <c r="AG491" s="85">
        <v>45163</v>
      </c>
      <c r="AH491" s="82" t="s">
        <v>10652</v>
      </c>
      <c r="AI491" s="77" t="b">
        <v>0</v>
      </c>
      <c r="AJ491" s="77"/>
      <c r="AK491" s="77"/>
      <c r="AL491" s="77"/>
      <c r="AM491" s="77"/>
      <c r="AN491" s="77"/>
      <c r="AO491" s="77"/>
      <c r="AP491" s="77"/>
      <c r="AQ491" s="77" t="s">
        <v>14520</v>
      </c>
      <c r="AR491" s="77"/>
      <c r="AS491" s="77"/>
      <c r="AT491" s="77"/>
      <c r="AU491" s="77"/>
      <c r="AV491" s="80" t="str">
        <f>HYPERLINK("https://pbs.twimg.com/media/F4ZFr70XQBMYHRo.jpg")</f>
        <v>https://pbs.twimg.com/media/F4ZFr70XQBMYHRo.jpg</v>
      </c>
      <c r="AW491" s="82" t="s">
        <v>17264</v>
      </c>
      <c r="AX491" s="82" t="s">
        <v>17264</v>
      </c>
      <c r="AY491" s="77"/>
      <c r="AZ491" s="82" t="s">
        <v>20971</v>
      </c>
      <c r="BA491" s="82" t="s">
        <v>20971</v>
      </c>
      <c r="BB491" s="82" t="s">
        <v>20971</v>
      </c>
      <c r="BC491" s="82" t="s">
        <v>17264</v>
      </c>
      <c r="BD491" s="82" t="s">
        <v>21136</v>
      </c>
      <c r="BE491" s="77"/>
      <c r="BF491" s="77"/>
      <c r="BG491" s="77"/>
      <c r="BH491" s="77"/>
      <c r="BI491" s="77"/>
    </row>
    <row r="492" spans="1:61" x14ac:dyDescent="0.25">
      <c r="A492" s="62" t="s">
        <v>392</v>
      </c>
      <c r="B492" s="62" t="s">
        <v>392</v>
      </c>
      <c r="C492" s="63"/>
      <c r="D492" s="64"/>
      <c r="E492" s="65"/>
      <c r="F492" s="66"/>
      <c r="G492" s="63"/>
      <c r="H492" s="67"/>
      <c r="I492" s="68"/>
      <c r="J492" s="68"/>
      <c r="K492" s="32"/>
      <c r="L492" s="75">
        <v>492</v>
      </c>
      <c r="M492" s="75"/>
      <c r="N492" s="70"/>
      <c r="O492" s="77" t="s">
        <v>1285</v>
      </c>
      <c r="P492" s="79">
        <v>45153.389664351853</v>
      </c>
      <c r="Q492" s="77" t="s">
        <v>1775</v>
      </c>
      <c r="R492" s="77">
        <v>0</v>
      </c>
      <c r="S492" s="77">
        <v>0</v>
      </c>
      <c r="T492" s="77">
        <v>0</v>
      </c>
      <c r="U492" s="77">
        <v>0</v>
      </c>
      <c r="V492" s="77">
        <v>23</v>
      </c>
      <c r="W492" s="82" t="s">
        <v>5527</v>
      </c>
      <c r="X492" s="77"/>
      <c r="Y492" s="77"/>
      <c r="Z492" s="77" t="s">
        <v>392</v>
      </c>
      <c r="AA492" s="77" t="s">
        <v>7877</v>
      </c>
      <c r="AB492" s="77" t="s">
        <v>10129</v>
      </c>
      <c r="AC492" s="82" t="s">
        <v>10154</v>
      </c>
      <c r="AD492" s="77" t="s">
        <v>10184</v>
      </c>
      <c r="AE492" s="80" t="str">
        <f>HYPERLINK("https://twitter.com/laerciolobanco/status/1691379482580406272")</f>
        <v>https://twitter.com/laerciolobanco/status/1691379482580406272</v>
      </c>
      <c r="AF492" s="79">
        <v>45153.389664351853</v>
      </c>
      <c r="AG492" s="85">
        <v>45153</v>
      </c>
      <c r="AH492" s="82" t="s">
        <v>10660</v>
      </c>
      <c r="AI492" s="77" t="b">
        <v>0</v>
      </c>
      <c r="AJ492" s="77"/>
      <c r="AK492" s="77"/>
      <c r="AL492" s="77"/>
      <c r="AM492" s="77"/>
      <c r="AN492" s="77"/>
      <c r="AO492" s="77"/>
      <c r="AP492" s="77"/>
      <c r="AQ492" s="77" t="s">
        <v>14521</v>
      </c>
      <c r="AR492" s="77">
        <v>42800</v>
      </c>
      <c r="AS492" s="77"/>
      <c r="AT492" s="77"/>
      <c r="AU492" s="77"/>
      <c r="AV492" s="80" t="str">
        <f>HYPERLINK("https://pbs.twimg.com/ext_tw_video_thumb/1691379429358911488/pu/img/iLho7vBwqyN61BcN.jpg")</f>
        <v>https://pbs.twimg.com/ext_tw_video_thumb/1691379429358911488/pu/img/iLho7vBwqyN61BcN.jpg</v>
      </c>
      <c r="AW492" s="82" t="s">
        <v>17265</v>
      </c>
      <c r="AX492" s="82" t="s">
        <v>17265</v>
      </c>
      <c r="AY492" s="77"/>
      <c r="AZ492" s="82" t="s">
        <v>20971</v>
      </c>
      <c r="BA492" s="82" t="s">
        <v>20971</v>
      </c>
      <c r="BB492" s="82" t="s">
        <v>20971</v>
      </c>
      <c r="BC492" s="82" t="s">
        <v>17265</v>
      </c>
      <c r="BD492" s="82" t="s">
        <v>21136</v>
      </c>
      <c r="BE492" s="77"/>
      <c r="BF492" s="77"/>
      <c r="BG492" s="77"/>
      <c r="BH492" s="77"/>
      <c r="BI492" s="77"/>
    </row>
    <row r="493" spans="1:61" x14ac:dyDescent="0.25">
      <c r="A493" s="62" t="s">
        <v>392</v>
      </c>
      <c r="B493" s="62" t="s">
        <v>392</v>
      </c>
      <c r="C493" s="63"/>
      <c r="D493" s="64"/>
      <c r="E493" s="65"/>
      <c r="F493" s="66"/>
      <c r="G493" s="63"/>
      <c r="H493" s="67"/>
      <c r="I493" s="68"/>
      <c r="J493" s="68"/>
      <c r="K493" s="32"/>
      <c r="L493" s="75">
        <v>493</v>
      </c>
      <c r="M493" s="75"/>
      <c r="N493" s="70"/>
      <c r="O493" s="77" t="s">
        <v>1285</v>
      </c>
      <c r="P493" s="79">
        <v>45145.708599537036</v>
      </c>
      <c r="Q493" s="77" t="s">
        <v>1776</v>
      </c>
      <c r="R493" s="77">
        <v>0</v>
      </c>
      <c r="S493" s="77">
        <v>0</v>
      </c>
      <c r="T493" s="77">
        <v>0</v>
      </c>
      <c r="U493" s="77">
        <v>0</v>
      </c>
      <c r="V493" s="77">
        <v>5</v>
      </c>
      <c r="W493" s="82" t="s">
        <v>5522</v>
      </c>
      <c r="X493" s="77"/>
      <c r="Y493" s="77"/>
      <c r="Z493" s="77" t="s">
        <v>392</v>
      </c>
      <c r="AA493" s="77" t="s">
        <v>7878</v>
      </c>
      <c r="AB493" s="77" t="s">
        <v>10130</v>
      </c>
      <c r="AC493" s="82" t="s">
        <v>10154</v>
      </c>
      <c r="AD493" s="77" t="s">
        <v>10184</v>
      </c>
      <c r="AE493" s="80" t="str">
        <f>HYPERLINK("https://twitter.com/laerciolobanco/status/1688595956386742282")</f>
        <v>https://twitter.com/laerciolobanco/status/1688595956386742282</v>
      </c>
      <c r="AF493" s="79">
        <v>45145.708599537036</v>
      </c>
      <c r="AG493" s="85">
        <v>45145</v>
      </c>
      <c r="AH493" s="82" t="s">
        <v>10635</v>
      </c>
      <c r="AI493" s="77" t="b">
        <v>0</v>
      </c>
      <c r="AJ493" s="77"/>
      <c r="AK493" s="77"/>
      <c r="AL493" s="77"/>
      <c r="AM493" s="77"/>
      <c r="AN493" s="77"/>
      <c r="AO493" s="77"/>
      <c r="AP493" s="77"/>
      <c r="AQ493" s="77" t="s">
        <v>14522</v>
      </c>
      <c r="AR493" s="77"/>
      <c r="AS493" s="77"/>
      <c r="AT493" s="77"/>
      <c r="AU493" s="77"/>
      <c r="AV493" s="80" t="str">
        <f>HYPERLINK("https://pbs.twimg.com/media/F28ZEu7XwAc2JUN.jpg")</f>
        <v>https://pbs.twimg.com/media/F28ZEu7XwAc2JUN.jpg</v>
      </c>
      <c r="AW493" s="82" t="s">
        <v>17266</v>
      </c>
      <c r="AX493" s="82" t="s">
        <v>17266</v>
      </c>
      <c r="AY493" s="77"/>
      <c r="AZ493" s="82" t="s">
        <v>20971</v>
      </c>
      <c r="BA493" s="82" t="s">
        <v>20971</v>
      </c>
      <c r="BB493" s="82" t="s">
        <v>20971</v>
      </c>
      <c r="BC493" s="82" t="s">
        <v>17266</v>
      </c>
      <c r="BD493" s="82" t="s">
        <v>21136</v>
      </c>
      <c r="BE493" s="77"/>
      <c r="BF493" s="77"/>
      <c r="BG493" s="77"/>
      <c r="BH493" s="77"/>
      <c r="BI493" s="77"/>
    </row>
    <row r="494" spans="1:61" x14ac:dyDescent="0.25">
      <c r="A494" s="62" t="s">
        <v>392</v>
      </c>
      <c r="B494" s="62" t="s">
        <v>392</v>
      </c>
      <c r="C494" s="63"/>
      <c r="D494" s="64"/>
      <c r="E494" s="65"/>
      <c r="F494" s="66"/>
      <c r="G494" s="63"/>
      <c r="H494" s="67"/>
      <c r="I494" s="68"/>
      <c r="J494" s="68"/>
      <c r="K494" s="32"/>
      <c r="L494" s="75">
        <v>494</v>
      </c>
      <c r="M494" s="75"/>
      <c r="N494" s="70"/>
      <c r="O494" s="77" t="s">
        <v>1285</v>
      </c>
      <c r="P494" s="79">
        <v>45144.70857638889</v>
      </c>
      <c r="Q494" s="77" t="s">
        <v>1777</v>
      </c>
      <c r="R494" s="77">
        <v>0</v>
      </c>
      <c r="S494" s="77">
        <v>0</v>
      </c>
      <c r="T494" s="77">
        <v>0</v>
      </c>
      <c r="U494" s="77">
        <v>0</v>
      </c>
      <c r="V494" s="77">
        <v>8</v>
      </c>
      <c r="W494" s="82" t="s">
        <v>5522</v>
      </c>
      <c r="X494" s="77"/>
      <c r="Y494" s="77"/>
      <c r="Z494" s="77" t="s">
        <v>392</v>
      </c>
      <c r="AA494" s="77" t="s">
        <v>7879</v>
      </c>
      <c r="AB494" s="77" t="s">
        <v>10130</v>
      </c>
      <c r="AC494" s="82" t="s">
        <v>10154</v>
      </c>
      <c r="AD494" s="77" t="s">
        <v>10184</v>
      </c>
      <c r="AE494" s="80" t="str">
        <f>HYPERLINK("https://twitter.com/laerciolobanco/status/1688233559088041985")</f>
        <v>https://twitter.com/laerciolobanco/status/1688233559088041985</v>
      </c>
      <c r="AF494" s="79">
        <v>45144.70857638889</v>
      </c>
      <c r="AG494" s="85">
        <v>45144</v>
      </c>
      <c r="AH494" s="82" t="s">
        <v>10652</v>
      </c>
      <c r="AI494" s="77" t="b">
        <v>0</v>
      </c>
      <c r="AJ494" s="77"/>
      <c r="AK494" s="77"/>
      <c r="AL494" s="77"/>
      <c r="AM494" s="77"/>
      <c r="AN494" s="77"/>
      <c r="AO494" s="77"/>
      <c r="AP494" s="77"/>
      <c r="AQ494" s="77" t="s">
        <v>14523</v>
      </c>
      <c r="AR494" s="77"/>
      <c r="AS494" s="77"/>
      <c r="AT494" s="77"/>
      <c r="AU494" s="77"/>
      <c r="AV494" s="80" t="str">
        <f>HYPERLINK("https://pbs.twimg.com/media/F23PedRW4AAUQGI.jpg")</f>
        <v>https://pbs.twimg.com/media/F23PedRW4AAUQGI.jpg</v>
      </c>
      <c r="AW494" s="82" t="s">
        <v>17267</v>
      </c>
      <c r="AX494" s="82" t="s">
        <v>17267</v>
      </c>
      <c r="AY494" s="77"/>
      <c r="AZ494" s="82" t="s">
        <v>20971</v>
      </c>
      <c r="BA494" s="82" t="s">
        <v>20971</v>
      </c>
      <c r="BB494" s="82" t="s">
        <v>20971</v>
      </c>
      <c r="BC494" s="82" t="s">
        <v>17267</v>
      </c>
      <c r="BD494" s="82" t="s">
        <v>21136</v>
      </c>
      <c r="BE494" s="77"/>
      <c r="BF494" s="77"/>
      <c r="BG494" s="77"/>
      <c r="BH494" s="77"/>
      <c r="BI494" s="77"/>
    </row>
    <row r="495" spans="1:61" x14ac:dyDescent="0.25">
      <c r="A495" s="62" t="s">
        <v>392</v>
      </c>
      <c r="B495" s="62" t="s">
        <v>392</v>
      </c>
      <c r="C495" s="63"/>
      <c r="D495" s="64"/>
      <c r="E495" s="65"/>
      <c r="F495" s="66"/>
      <c r="G495" s="63"/>
      <c r="H495" s="67"/>
      <c r="I495" s="68"/>
      <c r="J495" s="68"/>
      <c r="K495" s="32"/>
      <c r="L495" s="75">
        <v>495</v>
      </c>
      <c r="M495" s="75"/>
      <c r="N495" s="70"/>
      <c r="O495" s="77" t="s">
        <v>1285</v>
      </c>
      <c r="P495" s="79">
        <v>44985.750300925924</v>
      </c>
      <c r="Q495" s="77" t="s">
        <v>1778</v>
      </c>
      <c r="R495" s="77">
        <v>0</v>
      </c>
      <c r="S495" s="77">
        <v>0</v>
      </c>
      <c r="T495" s="77">
        <v>0</v>
      </c>
      <c r="U495" s="77">
        <v>0</v>
      </c>
      <c r="V495" s="77">
        <v>8</v>
      </c>
      <c r="W495" s="82" t="s">
        <v>5522</v>
      </c>
      <c r="X495" s="77"/>
      <c r="Y495" s="77"/>
      <c r="Z495" s="77" t="s">
        <v>392</v>
      </c>
      <c r="AA495" s="77" t="s">
        <v>7880</v>
      </c>
      <c r="AB495" s="77" t="s">
        <v>10130</v>
      </c>
      <c r="AC495" s="82" t="s">
        <v>10154</v>
      </c>
      <c r="AD495" s="77" t="s">
        <v>10184</v>
      </c>
      <c r="AE495" s="80" t="str">
        <f>HYPERLINK("https://twitter.com/laerciolobanco/status/1630629011205373952")</f>
        <v>https://twitter.com/laerciolobanco/status/1630629011205373952</v>
      </c>
      <c r="AF495" s="79">
        <v>44985.750300925924</v>
      </c>
      <c r="AG495" s="85">
        <v>44985</v>
      </c>
      <c r="AH495" s="82" t="s">
        <v>10661</v>
      </c>
      <c r="AI495" s="77" t="b">
        <v>0</v>
      </c>
      <c r="AJ495" s="77"/>
      <c r="AK495" s="77"/>
      <c r="AL495" s="77"/>
      <c r="AM495" s="77"/>
      <c r="AN495" s="77"/>
      <c r="AO495" s="77"/>
      <c r="AP495" s="77"/>
      <c r="AQ495" s="77" t="s">
        <v>14524</v>
      </c>
      <c r="AR495" s="77"/>
      <c r="AS495" s="77"/>
      <c r="AT495" s="77"/>
      <c r="AU495" s="77"/>
      <c r="AV495" s="80" t="str">
        <f>HYPERLINK("https://pbs.twimg.com/media/FqEocehWAAMY-xi.jpg")</f>
        <v>https://pbs.twimg.com/media/FqEocehWAAMY-xi.jpg</v>
      </c>
      <c r="AW495" s="82" t="s">
        <v>17268</v>
      </c>
      <c r="AX495" s="82" t="s">
        <v>17268</v>
      </c>
      <c r="AY495" s="77"/>
      <c r="AZ495" s="82" t="s">
        <v>20971</v>
      </c>
      <c r="BA495" s="82" t="s">
        <v>20971</v>
      </c>
      <c r="BB495" s="82" t="s">
        <v>20971</v>
      </c>
      <c r="BC495" s="82" t="s">
        <v>17268</v>
      </c>
      <c r="BD495" s="82" t="s">
        <v>21136</v>
      </c>
      <c r="BE495" s="77"/>
      <c r="BF495" s="77"/>
      <c r="BG495" s="77"/>
      <c r="BH495" s="77"/>
      <c r="BI495" s="77"/>
    </row>
    <row r="496" spans="1:61" x14ac:dyDescent="0.25">
      <c r="A496" s="62" t="s">
        <v>392</v>
      </c>
      <c r="B496" s="62" t="s">
        <v>392</v>
      </c>
      <c r="C496" s="63"/>
      <c r="D496" s="64"/>
      <c r="E496" s="65"/>
      <c r="F496" s="66"/>
      <c r="G496" s="63"/>
      <c r="H496" s="67"/>
      <c r="I496" s="68"/>
      <c r="J496" s="68"/>
      <c r="K496" s="32"/>
      <c r="L496" s="75">
        <v>496</v>
      </c>
      <c r="M496" s="75"/>
      <c r="N496" s="70"/>
      <c r="O496" s="77" t="s">
        <v>1285</v>
      </c>
      <c r="P496" s="79">
        <v>44984.750300925924</v>
      </c>
      <c r="Q496" s="77" t="s">
        <v>1779</v>
      </c>
      <c r="R496" s="77">
        <v>0</v>
      </c>
      <c r="S496" s="77">
        <v>0</v>
      </c>
      <c r="T496" s="77">
        <v>0</v>
      </c>
      <c r="U496" s="77">
        <v>0</v>
      </c>
      <c r="V496" s="77">
        <v>7</v>
      </c>
      <c r="W496" s="82" t="s">
        <v>5522</v>
      </c>
      <c r="X496" s="77"/>
      <c r="Y496" s="77"/>
      <c r="Z496" s="77" t="s">
        <v>392</v>
      </c>
      <c r="AA496" s="77" t="s">
        <v>7881</v>
      </c>
      <c r="AB496" s="77" t="s">
        <v>10130</v>
      </c>
      <c r="AC496" s="82" t="s">
        <v>10154</v>
      </c>
      <c r="AD496" s="77" t="s">
        <v>10184</v>
      </c>
      <c r="AE496" s="80" t="str">
        <f>HYPERLINK("https://twitter.com/laerciolobanco/status/1630266624589570049")</f>
        <v>https://twitter.com/laerciolobanco/status/1630266624589570049</v>
      </c>
      <c r="AF496" s="79">
        <v>44984.750300925924</v>
      </c>
      <c r="AG496" s="85">
        <v>44984</v>
      </c>
      <c r="AH496" s="82" t="s">
        <v>10661</v>
      </c>
      <c r="AI496" s="77" t="b">
        <v>0</v>
      </c>
      <c r="AJ496" s="77"/>
      <c r="AK496" s="77"/>
      <c r="AL496" s="77"/>
      <c r="AM496" s="77"/>
      <c r="AN496" s="77"/>
      <c r="AO496" s="77"/>
      <c r="AP496" s="77"/>
      <c r="AQ496" s="77" t="s">
        <v>14525</v>
      </c>
      <c r="AR496" s="77"/>
      <c r="AS496" s="77"/>
      <c r="AT496" s="77"/>
      <c r="AU496" s="77"/>
      <c r="AV496" s="80" t="str">
        <f>HYPERLINK("https://pbs.twimg.com/media/Fp_e2vlWYAMEt7o.jpg")</f>
        <v>https://pbs.twimg.com/media/Fp_e2vlWYAMEt7o.jpg</v>
      </c>
      <c r="AW496" s="82" t="s">
        <v>17269</v>
      </c>
      <c r="AX496" s="82" t="s">
        <v>17269</v>
      </c>
      <c r="AY496" s="77"/>
      <c r="AZ496" s="82" t="s">
        <v>20971</v>
      </c>
      <c r="BA496" s="82" t="s">
        <v>20971</v>
      </c>
      <c r="BB496" s="82" t="s">
        <v>20971</v>
      </c>
      <c r="BC496" s="82" t="s">
        <v>17269</v>
      </c>
      <c r="BD496" s="82" t="s">
        <v>21136</v>
      </c>
      <c r="BE496" s="77"/>
      <c r="BF496" s="77"/>
      <c r="BG496" s="77"/>
      <c r="BH496" s="77"/>
      <c r="BI496" s="77"/>
    </row>
    <row r="497" spans="1:61" x14ac:dyDescent="0.25">
      <c r="A497" s="62" t="s">
        <v>392</v>
      </c>
      <c r="B497" s="62" t="s">
        <v>392</v>
      </c>
      <c r="C497" s="63"/>
      <c r="D497" s="64"/>
      <c r="E497" s="65"/>
      <c r="F497" s="66"/>
      <c r="G497" s="63"/>
      <c r="H497" s="67"/>
      <c r="I497" s="68"/>
      <c r="J497" s="68"/>
      <c r="K497" s="32"/>
      <c r="L497" s="75">
        <v>497</v>
      </c>
      <c r="M497" s="75"/>
      <c r="N497" s="70"/>
      <c r="O497" s="77" t="s">
        <v>1285</v>
      </c>
      <c r="P497" s="79">
        <v>44981.750300925924</v>
      </c>
      <c r="Q497" s="77" t="s">
        <v>1780</v>
      </c>
      <c r="R497" s="77">
        <v>0</v>
      </c>
      <c r="S497" s="77">
        <v>0</v>
      </c>
      <c r="T497" s="77">
        <v>0</v>
      </c>
      <c r="U497" s="77">
        <v>0</v>
      </c>
      <c r="V497" s="77">
        <v>12</v>
      </c>
      <c r="W497" s="82" t="s">
        <v>5522</v>
      </c>
      <c r="X497" s="77"/>
      <c r="Y497" s="77"/>
      <c r="Z497" s="77" t="s">
        <v>392</v>
      </c>
      <c r="AA497" s="77" t="s">
        <v>7882</v>
      </c>
      <c r="AB497" s="77" t="s">
        <v>10130</v>
      </c>
      <c r="AC497" s="82" t="s">
        <v>10154</v>
      </c>
      <c r="AD497" s="77" t="s">
        <v>10184</v>
      </c>
      <c r="AE497" s="80" t="str">
        <f>HYPERLINK("https://twitter.com/laerciolobanco/status/1629179459457671168")</f>
        <v>https://twitter.com/laerciolobanco/status/1629179459457671168</v>
      </c>
      <c r="AF497" s="79">
        <v>44981.750300925924</v>
      </c>
      <c r="AG497" s="85">
        <v>44981</v>
      </c>
      <c r="AH497" s="82" t="s">
        <v>10661</v>
      </c>
      <c r="AI497" s="77" t="b">
        <v>0</v>
      </c>
      <c r="AJ497" s="77"/>
      <c r="AK497" s="77"/>
      <c r="AL497" s="77"/>
      <c r="AM497" s="77"/>
      <c r="AN497" s="77"/>
      <c r="AO497" s="77"/>
      <c r="AP497" s="77"/>
      <c r="AQ497" s="77" t="s">
        <v>14526</v>
      </c>
      <c r="AR497" s="77"/>
      <c r="AS497" s="77"/>
      <c r="AT497" s="77"/>
      <c r="AU497" s="77"/>
      <c r="AV497" s="80" t="str">
        <f>HYPERLINK("https://pbs.twimg.com/media/FpwCFcAX0AYzrbN.jpg")</f>
        <v>https://pbs.twimg.com/media/FpwCFcAX0AYzrbN.jpg</v>
      </c>
      <c r="AW497" s="82" t="s">
        <v>17270</v>
      </c>
      <c r="AX497" s="82" t="s">
        <v>17270</v>
      </c>
      <c r="AY497" s="77"/>
      <c r="AZ497" s="82" t="s">
        <v>20971</v>
      </c>
      <c r="BA497" s="82" t="s">
        <v>20971</v>
      </c>
      <c r="BB497" s="82" t="s">
        <v>20971</v>
      </c>
      <c r="BC497" s="82" t="s">
        <v>17270</v>
      </c>
      <c r="BD497" s="82" t="s">
        <v>21136</v>
      </c>
      <c r="BE497" s="77"/>
      <c r="BF497" s="77"/>
      <c r="BG497" s="77"/>
      <c r="BH497" s="77"/>
      <c r="BI497" s="77"/>
    </row>
    <row r="498" spans="1:61" x14ac:dyDescent="0.25">
      <c r="A498" s="62" t="s">
        <v>392</v>
      </c>
      <c r="B498" s="62" t="s">
        <v>392</v>
      </c>
      <c r="C498" s="63"/>
      <c r="D498" s="64"/>
      <c r="E498" s="65"/>
      <c r="F498" s="66"/>
      <c r="G498" s="63"/>
      <c r="H498" s="67"/>
      <c r="I498" s="68"/>
      <c r="J498" s="68"/>
      <c r="K498" s="32"/>
      <c r="L498" s="75">
        <v>498</v>
      </c>
      <c r="M498" s="75"/>
      <c r="N498" s="70"/>
      <c r="O498" s="77" t="s">
        <v>1285</v>
      </c>
      <c r="P498" s="79">
        <v>44980.750347222223</v>
      </c>
      <c r="Q498" s="77" t="s">
        <v>1781</v>
      </c>
      <c r="R498" s="77">
        <v>0</v>
      </c>
      <c r="S498" s="77">
        <v>0</v>
      </c>
      <c r="T498" s="77">
        <v>0</v>
      </c>
      <c r="U498" s="77">
        <v>0</v>
      </c>
      <c r="V498" s="77">
        <v>8</v>
      </c>
      <c r="W498" s="82" t="s">
        <v>5522</v>
      </c>
      <c r="X498" s="77"/>
      <c r="Y498" s="77"/>
      <c r="Z498" s="77" t="s">
        <v>392</v>
      </c>
      <c r="AA498" s="77" t="s">
        <v>7883</v>
      </c>
      <c r="AB498" s="77" t="s">
        <v>10130</v>
      </c>
      <c r="AC498" s="82" t="s">
        <v>10154</v>
      </c>
      <c r="AD498" s="77" t="s">
        <v>10184</v>
      </c>
      <c r="AE498" s="80" t="str">
        <f>HYPERLINK("https://twitter.com/laerciolobanco/status/1628817088398729216")</f>
        <v>https://twitter.com/laerciolobanco/status/1628817088398729216</v>
      </c>
      <c r="AF498" s="79">
        <v>44980.750347222223</v>
      </c>
      <c r="AG498" s="85">
        <v>44980</v>
      </c>
      <c r="AH498" s="82" t="s">
        <v>10662</v>
      </c>
      <c r="AI498" s="77" t="b">
        <v>0</v>
      </c>
      <c r="AJ498" s="77"/>
      <c r="AK498" s="77"/>
      <c r="AL498" s="77"/>
      <c r="AM498" s="77"/>
      <c r="AN498" s="77"/>
      <c r="AO498" s="77"/>
      <c r="AP498" s="77"/>
      <c r="AQ498" s="77" t="s">
        <v>14527</v>
      </c>
      <c r="AR498" s="77"/>
      <c r="AS498" s="77"/>
      <c r="AT498" s="77"/>
      <c r="AU498" s="77"/>
      <c r="AV498" s="80" t="str">
        <f>HYPERLINK("https://pbs.twimg.com/media/Fpq4gqiXgAEiWsB.jpg")</f>
        <v>https://pbs.twimg.com/media/Fpq4gqiXgAEiWsB.jpg</v>
      </c>
      <c r="AW498" s="82" t="s">
        <v>17271</v>
      </c>
      <c r="AX498" s="82" t="s">
        <v>17271</v>
      </c>
      <c r="AY498" s="77"/>
      <c r="AZ498" s="82" t="s">
        <v>20971</v>
      </c>
      <c r="BA498" s="82" t="s">
        <v>20971</v>
      </c>
      <c r="BB498" s="82" t="s">
        <v>20971</v>
      </c>
      <c r="BC498" s="82" t="s">
        <v>17271</v>
      </c>
      <c r="BD498" s="82" t="s">
        <v>21136</v>
      </c>
      <c r="BE498" s="77"/>
      <c r="BF498" s="77"/>
      <c r="BG498" s="77"/>
      <c r="BH498" s="77"/>
      <c r="BI498" s="77"/>
    </row>
    <row r="499" spans="1:61" x14ac:dyDescent="0.25">
      <c r="A499" s="62" t="s">
        <v>392</v>
      </c>
      <c r="B499" s="62" t="s">
        <v>392</v>
      </c>
      <c r="C499" s="63"/>
      <c r="D499" s="64"/>
      <c r="E499" s="65"/>
      <c r="F499" s="66"/>
      <c r="G499" s="63"/>
      <c r="H499" s="67"/>
      <c r="I499" s="68"/>
      <c r="J499" s="68"/>
      <c r="K499" s="32"/>
      <c r="L499" s="75">
        <v>499</v>
      </c>
      <c r="M499" s="75"/>
      <c r="N499" s="70"/>
      <c r="O499" s="77" t="s">
        <v>1285</v>
      </c>
      <c r="P499" s="79">
        <v>44979.750289351854</v>
      </c>
      <c r="Q499" s="77" t="s">
        <v>1782</v>
      </c>
      <c r="R499" s="77">
        <v>0</v>
      </c>
      <c r="S499" s="77">
        <v>0</v>
      </c>
      <c r="T499" s="77">
        <v>0</v>
      </c>
      <c r="U499" s="77">
        <v>0</v>
      </c>
      <c r="V499" s="77">
        <v>10</v>
      </c>
      <c r="W499" s="82" t="s">
        <v>5522</v>
      </c>
      <c r="X499" s="77"/>
      <c r="Y499" s="77"/>
      <c r="Z499" s="77" t="s">
        <v>392</v>
      </c>
      <c r="AA499" s="77" t="s">
        <v>7884</v>
      </c>
      <c r="AB499" s="77" t="s">
        <v>10130</v>
      </c>
      <c r="AC499" s="82" t="s">
        <v>10154</v>
      </c>
      <c r="AD499" s="77" t="s">
        <v>10184</v>
      </c>
      <c r="AE499" s="80" t="str">
        <f>HYPERLINK("https://twitter.com/laerciolobanco/status/1628454678479400961")</f>
        <v>https://twitter.com/laerciolobanco/status/1628454678479400961</v>
      </c>
      <c r="AF499" s="79">
        <v>44979.750289351854</v>
      </c>
      <c r="AG499" s="85">
        <v>44979</v>
      </c>
      <c r="AH499" s="82" t="s">
        <v>10663</v>
      </c>
      <c r="AI499" s="77" t="b">
        <v>0</v>
      </c>
      <c r="AJ499" s="77"/>
      <c r="AK499" s="77"/>
      <c r="AL499" s="77"/>
      <c r="AM499" s="77"/>
      <c r="AN499" s="77"/>
      <c r="AO499" s="77"/>
      <c r="AP499" s="77"/>
      <c r="AQ499" s="77" t="s">
        <v>14528</v>
      </c>
      <c r="AR499" s="77"/>
      <c r="AS499" s="77"/>
      <c r="AT499" s="77"/>
      <c r="AU499" s="77"/>
      <c r="AV499" s="80" t="str">
        <f>HYPERLINK("https://pbs.twimg.com/media/Fplu5pRWcAEOGHF.jpg")</f>
        <v>https://pbs.twimg.com/media/Fplu5pRWcAEOGHF.jpg</v>
      </c>
      <c r="AW499" s="82" t="s">
        <v>17272</v>
      </c>
      <c r="AX499" s="82" t="s">
        <v>17272</v>
      </c>
      <c r="AY499" s="77"/>
      <c r="AZ499" s="82" t="s">
        <v>20971</v>
      </c>
      <c r="BA499" s="82" t="s">
        <v>20971</v>
      </c>
      <c r="BB499" s="82" t="s">
        <v>20971</v>
      </c>
      <c r="BC499" s="82" t="s">
        <v>17272</v>
      </c>
      <c r="BD499" s="82" t="s">
        <v>21136</v>
      </c>
      <c r="BE499" s="77"/>
      <c r="BF499" s="77"/>
      <c r="BG499" s="77"/>
      <c r="BH499" s="77"/>
      <c r="BI499" s="77"/>
    </row>
    <row r="500" spans="1:61" x14ac:dyDescent="0.25">
      <c r="A500" s="62" t="s">
        <v>392</v>
      </c>
      <c r="B500" s="62" t="s">
        <v>392</v>
      </c>
      <c r="C500" s="63"/>
      <c r="D500" s="64"/>
      <c r="E500" s="65"/>
      <c r="F500" s="66"/>
      <c r="G500" s="63"/>
      <c r="H500" s="67"/>
      <c r="I500" s="68"/>
      <c r="J500" s="68"/>
      <c r="K500" s="32"/>
      <c r="L500" s="75">
        <v>500</v>
      </c>
      <c r="M500" s="75"/>
      <c r="N500" s="70"/>
      <c r="O500" s="77" t="s">
        <v>1285</v>
      </c>
      <c r="P500" s="79">
        <v>44978.750231481485</v>
      </c>
      <c r="Q500" s="77" t="s">
        <v>1783</v>
      </c>
      <c r="R500" s="77">
        <v>0</v>
      </c>
      <c r="S500" s="77">
        <v>0</v>
      </c>
      <c r="T500" s="77">
        <v>0</v>
      </c>
      <c r="U500" s="77">
        <v>0</v>
      </c>
      <c r="V500" s="77">
        <v>14</v>
      </c>
      <c r="W500" s="82" t="s">
        <v>5522</v>
      </c>
      <c r="X500" s="77"/>
      <c r="Y500" s="77"/>
      <c r="Z500" s="77" t="s">
        <v>392</v>
      </c>
      <c r="AA500" s="77" t="s">
        <v>7885</v>
      </c>
      <c r="AB500" s="77" t="s">
        <v>10130</v>
      </c>
      <c r="AC500" s="82" t="s">
        <v>10154</v>
      </c>
      <c r="AD500" s="77" t="s">
        <v>10184</v>
      </c>
      <c r="AE500" s="80" t="str">
        <f>HYPERLINK("https://twitter.com/laerciolobanco/status/1628092272209166338")</f>
        <v>https://twitter.com/laerciolobanco/status/1628092272209166338</v>
      </c>
      <c r="AF500" s="79">
        <v>44978.750231481485</v>
      </c>
      <c r="AG500" s="85">
        <v>44978</v>
      </c>
      <c r="AH500" s="82" t="s">
        <v>10664</v>
      </c>
      <c r="AI500" s="77" t="b">
        <v>0</v>
      </c>
      <c r="AJ500" s="77"/>
      <c r="AK500" s="77"/>
      <c r="AL500" s="77"/>
      <c r="AM500" s="77"/>
      <c r="AN500" s="77"/>
      <c r="AO500" s="77"/>
      <c r="AP500" s="77"/>
      <c r="AQ500" s="77" t="s">
        <v>14529</v>
      </c>
      <c r="AR500" s="77"/>
      <c r="AS500" s="77"/>
      <c r="AT500" s="77"/>
      <c r="AU500" s="77"/>
      <c r="AV500" s="80" t="str">
        <f>HYPERLINK("https://pbs.twimg.com/media/FpglSxUWAAAu7fQ.jpg")</f>
        <v>https://pbs.twimg.com/media/FpglSxUWAAAu7fQ.jpg</v>
      </c>
      <c r="AW500" s="82" t="s">
        <v>17273</v>
      </c>
      <c r="AX500" s="82" t="s">
        <v>17273</v>
      </c>
      <c r="AY500" s="77"/>
      <c r="AZ500" s="82" t="s">
        <v>20971</v>
      </c>
      <c r="BA500" s="82" t="s">
        <v>20971</v>
      </c>
      <c r="BB500" s="82" t="s">
        <v>20971</v>
      </c>
      <c r="BC500" s="82" t="s">
        <v>17273</v>
      </c>
      <c r="BD500" s="82" t="s">
        <v>21136</v>
      </c>
      <c r="BE500" s="77"/>
      <c r="BF500" s="77"/>
      <c r="BG500" s="77"/>
      <c r="BH500" s="77"/>
      <c r="BI500" s="77"/>
    </row>
    <row r="501" spans="1:61" x14ac:dyDescent="0.25">
      <c r="A501" s="62" t="s">
        <v>392</v>
      </c>
      <c r="B501" s="62" t="s">
        <v>392</v>
      </c>
      <c r="C501" s="63"/>
      <c r="D501" s="64"/>
      <c r="E501" s="65"/>
      <c r="F501" s="66"/>
      <c r="G501" s="63"/>
      <c r="H501" s="67"/>
      <c r="I501" s="68"/>
      <c r="J501" s="68"/>
      <c r="K501" s="32"/>
      <c r="L501" s="75">
        <v>501</v>
      </c>
      <c r="M501" s="75"/>
      <c r="N501" s="70"/>
      <c r="O501" s="77" t="s">
        <v>1285</v>
      </c>
      <c r="P501" s="79">
        <v>44977.750300925924</v>
      </c>
      <c r="Q501" s="77" t="s">
        <v>1784</v>
      </c>
      <c r="R501" s="77">
        <v>0</v>
      </c>
      <c r="S501" s="77">
        <v>0</v>
      </c>
      <c r="T501" s="77">
        <v>0</v>
      </c>
      <c r="U501" s="77">
        <v>0</v>
      </c>
      <c r="V501" s="77">
        <v>10</v>
      </c>
      <c r="W501" s="82" t="s">
        <v>5522</v>
      </c>
      <c r="X501" s="77"/>
      <c r="Y501" s="77"/>
      <c r="Z501" s="77" t="s">
        <v>392</v>
      </c>
      <c r="AA501" s="77" t="s">
        <v>7886</v>
      </c>
      <c r="AB501" s="77" t="s">
        <v>10130</v>
      </c>
      <c r="AC501" s="82" t="s">
        <v>10154</v>
      </c>
      <c r="AD501" s="77" t="s">
        <v>10184</v>
      </c>
      <c r="AE501" s="80" t="str">
        <f>HYPERLINK("https://twitter.com/laerciolobanco/status/1627729908062425105")</f>
        <v>https://twitter.com/laerciolobanco/status/1627729908062425105</v>
      </c>
      <c r="AF501" s="79">
        <v>44977.750300925924</v>
      </c>
      <c r="AG501" s="85">
        <v>44977</v>
      </c>
      <c r="AH501" s="82" t="s">
        <v>10661</v>
      </c>
      <c r="AI501" s="77" t="b">
        <v>0</v>
      </c>
      <c r="AJ501" s="77"/>
      <c r="AK501" s="77"/>
      <c r="AL501" s="77"/>
      <c r="AM501" s="77"/>
      <c r="AN501" s="77"/>
      <c r="AO501" s="77"/>
      <c r="AP501" s="77"/>
      <c r="AQ501" s="77" t="s">
        <v>14530</v>
      </c>
      <c r="AR501" s="77"/>
      <c r="AS501" s="77"/>
      <c r="AT501" s="77"/>
      <c r="AU501" s="77"/>
      <c r="AV501" s="80" t="str">
        <f>HYPERLINK("https://pbs.twimg.com/media/FpbbuYCXoAAEm8w.jpg")</f>
        <v>https://pbs.twimg.com/media/FpbbuYCXoAAEm8w.jpg</v>
      </c>
      <c r="AW501" s="82" t="s">
        <v>17274</v>
      </c>
      <c r="AX501" s="82" t="s">
        <v>17274</v>
      </c>
      <c r="AY501" s="77"/>
      <c r="AZ501" s="82" t="s">
        <v>20971</v>
      </c>
      <c r="BA501" s="82" t="s">
        <v>20971</v>
      </c>
      <c r="BB501" s="82" t="s">
        <v>20971</v>
      </c>
      <c r="BC501" s="82" t="s">
        <v>17274</v>
      </c>
      <c r="BD501" s="82" t="s">
        <v>21136</v>
      </c>
      <c r="BE501" s="77"/>
      <c r="BF501" s="77"/>
      <c r="BG501" s="77"/>
      <c r="BH501" s="77"/>
      <c r="BI501" s="77"/>
    </row>
    <row r="502" spans="1:61" x14ac:dyDescent="0.25">
      <c r="A502" s="62" t="s">
        <v>392</v>
      </c>
      <c r="B502" s="62" t="s">
        <v>392</v>
      </c>
      <c r="C502" s="63"/>
      <c r="D502" s="64"/>
      <c r="E502" s="65"/>
      <c r="F502" s="66"/>
      <c r="G502" s="63"/>
      <c r="H502" s="67"/>
      <c r="I502" s="68"/>
      <c r="J502" s="68"/>
      <c r="K502" s="32"/>
      <c r="L502" s="75">
        <v>502</v>
      </c>
      <c r="M502" s="75"/>
      <c r="N502" s="70"/>
      <c r="O502" s="77" t="s">
        <v>1285</v>
      </c>
      <c r="P502" s="79">
        <v>45177.490428240744</v>
      </c>
      <c r="Q502" s="77" t="s">
        <v>1785</v>
      </c>
      <c r="R502" s="77">
        <v>0</v>
      </c>
      <c r="S502" s="77">
        <v>0</v>
      </c>
      <c r="T502" s="77">
        <v>0</v>
      </c>
      <c r="U502" s="77">
        <v>0</v>
      </c>
      <c r="V502" s="77">
        <v>13</v>
      </c>
      <c r="W502" s="82" t="s">
        <v>5528</v>
      </c>
      <c r="X502" s="77"/>
      <c r="Y502" s="77"/>
      <c r="Z502" s="77" t="s">
        <v>392</v>
      </c>
      <c r="AA502" s="77" t="s">
        <v>7887</v>
      </c>
      <c r="AB502" s="77" t="s">
        <v>10129</v>
      </c>
      <c r="AC502" s="82" t="s">
        <v>10154</v>
      </c>
      <c r="AD502" s="77" t="s">
        <v>10184</v>
      </c>
      <c r="AE502" s="80" t="str">
        <f>HYPERLINK("https://twitter.com/laerciolobanco/status/1700113307074539928")</f>
        <v>https://twitter.com/laerciolobanco/status/1700113307074539928</v>
      </c>
      <c r="AF502" s="79">
        <v>45177.490428240744</v>
      </c>
      <c r="AG502" s="85">
        <v>45177</v>
      </c>
      <c r="AH502" s="82" t="s">
        <v>10665</v>
      </c>
      <c r="AI502" s="77" t="b">
        <v>0</v>
      </c>
      <c r="AJ502" s="77"/>
      <c r="AK502" s="77"/>
      <c r="AL502" s="77"/>
      <c r="AM502" s="77"/>
      <c r="AN502" s="77"/>
      <c r="AO502" s="77"/>
      <c r="AP502" s="77"/>
      <c r="AQ502" s="77" t="s">
        <v>14531</v>
      </c>
      <c r="AR502" s="77">
        <v>45400</v>
      </c>
      <c r="AS502" s="77"/>
      <c r="AT502" s="77"/>
      <c r="AU502" s="77"/>
      <c r="AV502" s="80" t="str">
        <f>HYPERLINK("https://pbs.twimg.com/ext_tw_video_thumb/1700113254532493313/pu/img/3ycinx5rmp1I2Fvq.jpg")</f>
        <v>https://pbs.twimg.com/ext_tw_video_thumb/1700113254532493313/pu/img/3ycinx5rmp1I2Fvq.jpg</v>
      </c>
      <c r="AW502" s="82" t="s">
        <v>17275</v>
      </c>
      <c r="AX502" s="82" t="s">
        <v>17275</v>
      </c>
      <c r="AY502" s="77"/>
      <c r="AZ502" s="82" t="s">
        <v>20971</v>
      </c>
      <c r="BA502" s="82" t="s">
        <v>20971</v>
      </c>
      <c r="BB502" s="82" t="s">
        <v>20971</v>
      </c>
      <c r="BC502" s="82" t="s">
        <v>17275</v>
      </c>
      <c r="BD502" s="82" t="s">
        <v>21136</v>
      </c>
      <c r="BE502" s="77"/>
      <c r="BF502" s="77"/>
      <c r="BG502" s="77"/>
      <c r="BH502" s="77"/>
      <c r="BI502" s="77"/>
    </row>
    <row r="503" spans="1:61" x14ac:dyDescent="0.25">
      <c r="A503" s="62" t="s">
        <v>392</v>
      </c>
      <c r="B503" s="62" t="s">
        <v>392</v>
      </c>
      <c r="C503" s="63"/>
      <c r="D503" s="64"/>
      <c r="E503" s="65"/>
      <c r="F503" s="66"/>
      <c r="G503" s="63"/>
      <c r="H503" s="67"/>
      <c r="I503" s="68"/>
      <c r="J503" s="68"/>
      <c r="K503" s="32"/>
      <c r="L503" s="75">
        <v>503</v>
      </c>
      <c r="M503" s="75"/>
      <c r="N503" s="70"/>
      <c r="O503" s="77" t="s">
        <v>1285</v>
      </c>
      <c r="P503" s="79">
        <v>45175.49050925926</v>
      </c>
      <c r="Q503" s="77" t="s">
        <v>1786</v>
      </c>
      <c r="R503" s="77">
        <v>0</v>
      </c>
      <c r="S503" s="77">
        <v>0</v>
      </c>
      <c r="T503" s="77">
        <v>0</v>
      </c>
      <c r="U503" s="77">
        <v>0</v>
      </c>
      <c r="V503" s="77">
        <v>30</v>
      </c>
      <c r="W503" s="82" t="s">
        <v>5529</v>
      </c>
      <c r="X503" s="77"/>
      <c r="Y503" s="77"/>
      <c r="Z503" s="77" t="s">
        <v>392</v>
      </c>
      <c r="AA503" s="77" t="s">
        <v>7888</v>
      </c>
      <c r="AB503" s="77" t="s">
        <v>10129</v>
      </c>
      <c r="AC503" s="82" t="s">
        <v>10154</v>
      </c>
      <c r="AD503" s="77" t="s">
        <v>10184</v>
      </c>
      <c r="AE503" s="80" t="str">
        <f>HYPERLINK("https://twitter.com/laerciolobanco/status/1699388558287528152")</f>
        <v>https://twitter.com/laerciolobanco/status/1699388558287528152</v>
      </c>
      <c r="AF503" s="79">
        <v>45175.49050925926</v>
      </c>
      <c r="AG503" s="85">
        <v>45175</v>
      </c>
      <c r="AH503" s="82" t="s">
        <v>10666</v>
      </c>
      <c r="AI503" s="77" t="b">
        <v>0</v>
      </c>
      <c r="AJ503" s="77"/>
      <c r="AK503" s="77"/>
      <c r="AL503" s="77"/>
      <c r="AM503" s="77"/>
      <c r="AN503" s="77"/>
      <c r="AO503" s="77"/>
      <c r="AP503" s="77"/>
      <c r="AQ503" s="77" t="s">
        <v>14532</v>
      </c>
      <c r="AR503" s="77">
        <v>45633</v>
      </c>
      <c r="AS503" s="77"/>
      <c r="AT503" s="77"/>
      <c r="AU503" s="77"/>
      <c r="AV503" s="80" t="str">
        <f>HYPERLINK("https://pbs.twimg.com/ext_tw_video_thumb/1699388505795739648/pu/img/aZgwRb0yVs0VjdjS.jpg")</f>
        <v>https://pbs.twimg.com/ext_tw_video_thumb/1699388505795739648/pu/img/aZgwRb0yVs0VjdjS.jpg</v>
      </c>
      <c r="AW503" s="82" t="s">
        <v>17276</v>
      </c>
      <c r="AX503" s="82" t="s">
        <v>17276</v>
      </c>
      <c r="AY503" s="77"/>
      <c r="AZ503" s="82" t="s">
        <v>20971</v>
      </c>
      <c r="BA503" s="82" t="s">
        <v>20971</v>
      </c>
      <c r="BB503" s="82" t="s">
        <v>20971</v>
      </c>
      <c r="BC503" s="82" t="s">
        <v>17276</v>
      </c>
      <c r="BD503" s="82" t="s">
        <v>21136</v>
      </c>
      <c r="BE503" s="77"/>
      <c r="BF503" s="77"/>
      <c r="BG503" s="77"/>
      <c r="BH503" s="77"/>
      <c r="BI503" s="77"/>
    </row>
    <row r="504" spans="1:61" x14ac:dyDescent="0.25">
      <c r="A504" s="62" t="s">
        <v>392</v>
      </c>
      <c r="B504" s="62" t="s">
        <v>392</v>
      </c>
      <c r="C504" s="63"/>
      <c r="D504" s="64"/>
      <c r="E504" s="65"/>
      <c r="F504" s="66"/>
      <c r="G504" s="63"/>
      <c r="H504" s="67"/>
      <c r="I504" s="68"/>
      <c r="J504" s="68"/>
      <c r="K504" s="32"/>
      <c r="L504" s="75">
        <v>504</v>
      </c>
      <c r="M504" s="75"/>
      <c r="N504" s="70"/>
      <c r="O504" s="77" t="s">
        <v>1285</v>
      </c>
      <c r="P504" s="79">
        <v>45162.708599537036</v>
      </c>
      <c r="Q504" s="77" t="s">
        <v>1787</v>
      </c>
      <c r="R504" s="77">
        <v>0</v>
      </c>
      <c r="S504" s="77">
        <v>0</v>
      </c>
      <c r="T504" s="77">
        <v>0</v>
      </c>
      <c r="U504" s="77">
        <v>0</v>
      </c>
      <c r="V504" s="77">
        <v>9</v>
      </c>
      <c r="W504" s="82" t="s">
        <v>5522</v>
      </c>
      <c r="X504" s="77"/>
      <c r="Y504" s="77"/>
      <c r="Z504" s="77" t="s">
        <v>392</v>
      </c>
      <c r="AA504" s="77" t="s">
        <v>7889</v>
      </c>
      <c r="AB504" s="77" t="s">
        <v>10130</v>
      </c>
      <c r="AC504" s="82" t="s">
        <v>10154</v>
      </c>
      <c r="AD504" s="77" t="s">
        <v>10184</v>
      </c>
      <c r="AE504" s="80" t="str">
        <f>HYPERLINK("https://twitter.com/laerciolobanco/status/1694756552006128082")</f>
        <v>https://twitter.com/laerciolobanco/status/1694756552006128082</v>
      </c>
      <c r="AF504" s="79">
        <v>45162.708599537036</v>
      </c>
      <c r="AG504" s="85">
        <v>45162</v>
      </c>
      <c r="AH504" s="82" t="s">
        <v>10635</v>
      </c>
      <c r="AI504" s="77" t="b">
        <v>0</v>
      </c>
      <c r="AJ504" s="77"/>
      <c r="AK504" s="77"/>
      <c r="AL504" s="77"/>
      <c r="AM504" s="77"/>
      <c r="AN504" s="77"/>
      <c r="AO504" s="77"/>
      <c r="AP504" s="77"/>
      <c r="AQ504" s="77" t="s">
        <v>14533</v>
      </c>
      <c r="AR504" s="77"/>
      <c r="AS504" s="77"/>
      <c r="AT504" s="77"/>
      <c r="AU504" s="77"/>
      <c r="AV504" s="80" t="str">
        <f>HYPERLINK("https://pbs.twimg.com/media/F4T8GlzWMAADUVX.jpg")</f>
        <v>https://pbs.twimg.com/media/F4T8GlzWMAADUVX.jpg</v>
      </c>
      <c r="AW504" s="82" t="s">
        <v>17277</v>
      </c>
      <c r="AX504" s="82" t="s">
        <v>17277</v>
      </c>
      <c r="AY504" s="77"/>
      <c r="AZ504" s="82" t="s">
        <v>20971</v>
      </c>
      <c r="BA504" s="82" t="s">
        <v>20971</v>
      </c>
      <c r="BB504" s="82" t="s">
        <v>20971</v>
      </c>
      <c r="BC504" s="82" t="s">
        <v>17277</v>
      </c>
      <c r="BD504" s="82" t="s">
        <v>21136</v>
      </c>
      <c r="BE504" s="77"/>
      <c r="BF504" s="77"/>
      <c r="BG504" s="77"/>
      <c r="BH504" s="77"/>
      <c r="BI504" s="77"/>
    </row>
    <row r="505" spans="1:61" x14ac:dyDescent="0.25">
      <c r="A505" s="62" t="s">
        <v>392</v>
      </c>
      <c r="B505" s="62" t="s">
        <v>392</v>
      </c>
      <c r="C505" s="63"/>
      <c r="D505" s="64"/>
      <c r="E505" s="65"/>
      <c r="F505" s="66"/>
      <c r="G505" s="63"/>
      <c r="H505" s="67"/>
      <c r="I505" s="68"/>
      <c r="J505" s="68"/>
      <c r="K505" s="32"/>
      <c r="L505" s="75">
        <v>505</v>
      </c>
      <c r="M505" s="75"/>
      <c r="N505" s="70"/>
      <c r="O505" s="77" t="s">
        <v>1285</v>
      </c>
      <c r="P505" s="79">
        <v>45141.708587962959</v>
      </c>
      <c r="Q505" s="77" t="s">
        <v>1788</v>
      </c>
      <c r="R505" s="77">
        <v>0</v>
      </c>
      <c r="S505" s="77">
        <v>0</v>
      </c>
      <c r="T505" s="77">
        <v>0</v>
      </c>
      <c r="U505" s="77">
        <v>0</v>
      </c>
      <c r="V505" s="77">
        <v>6</v>
      </c>
      <c r="W505" s="82" t="s">
        <v>5522</v>
      </c>
      <c r="X505" s="77"/>
      <c r="Y505" s="77"/>
      <c r="Z505" s="77" t="s">
        <v>392</v>
      </c>
      <c r="AA505" s="77" t="s">
        <v>7890</v>
      </c>
      <c r="AB505" s="77" t="s">
        <v>10130</v>
      </c>
      <c r="AC505" s="82" t="s">
        <v>10154</v>
      </c>
      <c r="AD505" s="77" t="s">
        <v>10184</v>
      </c>
      <c r="AE505" s="80" t="str">
        <f>HYPERLINK("https://twitter.com/laerciolobanco/status/1687146402881708037")</f>
        <v>https://twitter.com/laerciolobanco/status/1687146402881708037</v>
      </c>
      <c r="AF505" s="79">
        <v>45141.708587962959</v>
      </c>
      <c r="AG505" s="85">
        <v>45141</v>
      </c>
      <c r="AH505" s="82" t="s">
        <v>10633</v>
      </c>
      <c r="AI505" s="77" t="b">
        <v>0</v>
      </c>
      <c r="AJ505" s="77"/>
      <c r="AK505" s="77"/>
      <c r="AL505" s="77"/>
      <c r="AM505" s="77"/>
      <c r="AN505" s="77"/>
      <c r="AO505" s="77"/>
      <c r="AP505" s="77"/>
      <c r="AQ505" s="77" t="s">
        <v>14534</v>
      </c>
      <c r="AR505" s="77"/>
      <c r="AS505" s="77"/>
      <c r="AT505" s="77"/>
      <c r="AU505" s="77"/>
      <c r="AV505" s="80" t="str">
        <f>HYPERLINK("https://pbs.twimg.com/media/F2nytoXXoBMFd5h.jpg")</f>
        <v>https://pbs.twimg.com/media/F2nytoXXoBMFd5h.jpg</v>
      </c>
      <c r="AW505" s="82" t="s">
        <v>17278</v>
      </c>
      <c r="AX505" s="82" t="s">
        <v>17278</v>
      </c>
      <c r="AY505" s="77"/>
      <c r="AZ505" s="82" t="s">
        <v>20971</v>
      </c>
      <c r="BA505" s="82" t="s">
        <v>20971</v>
      </c>
      <c r="BB505" s="82" t="s">
        <v>20971</v>
      </c>
      <c r="BC505" s="82" t="s">
        <v>17278</v>
      </c>
      <c r="BD505" s="82" t="s">
        <v>21136</v>
      </c>
      <c r="BE505" s="77"/>
      <c r="BF505" s="77"/>
      <c r="BG505" s="77"/>
      <c r="BH505" s="77"/>
      <c r="BI505" s="77"/>
    </row>
    <row r="506" spans="1:61" x14ac:dyDescent="0.25">
      <c r="A506" s="62" t="s">
        <v>392</v>
      </c>
      <c r="B506" s="62" t="s">
        <v>392</v>
      </c>
      <c r="C506" s="63"/>
      <c r="D506" s="64"/>
      <c r="E506" s="65"/>
      <c r="F506" s="66"/>
      <c r="G506" s="63"/>
      <c r="H506" s="67"/>
      <c r="I506" s="68"/>
      <c r="J506" s="68"/>
      <c r="K506" s="32"/>
      <c r="L506" s="75">
        <v>506</v>
      </c>
      <c r="M506" s="75"/>
      <c r="N506" s="70"/>
      <c r="O506" s="77" t="s">
        <v>1285</v>
      </c>
      <c r="P506" s="79">
        <v>45005.041863425926</v>
      </c>
      <c r="Q506" s="77" t="s">
        <v>1789</v>
      </c>
      <c r="R506" s="77">
        <v>0</v>
      </c>
      <c r="S506" s="77">
        <v>0</v>
      </c>
      <c r="T506" s="77">
        <v>0</v>
      </c>
      <c r="U506" s="77">
        <v>0</v>
      </c>
      <c r="V506" s="77">
        <v>12</v>
      </c>
      <c r="W506" s="82" t="s">
        <v>5522</v>
      </c>
      <c r="X506" s="77"/>
      <c r="Y506" s="77"/>
      <c r="Z506" s="77" t="s">
        <v>392</v>
      </c>
      <c r="AA506" s="77" t="s">
        <v>7891</v>
      </c>
      <c r="AB506" s="77" t="s">
        <v>10130</v>
      </c>
      <c r="AC506" s="82" t="s">
        <v>10154</v>
      </c>
      <c r="AD506" s="77" t="s">
        <v>10184</v>
      </c>
      <c r="AE506" s="80" t="str">
        <f>HYPERLINK("https://twitter.com/laerciolobanco/status/1637620040294907906")</f>
        <v>https://twitter.com/laerciolobanco/status/1637620040294907906</v>
      </c>
      <c r="AF506" s="79">
        <v>45005.041863425926</v>
      </c>
      <c r="AG506" s="85">
        <v>45005</v>
      </c>
      <c r="AH506" s="82" t="s">
        <v>10630</v>
      </c>
      <c r="AI506" s="77" t="b">
        <v>0</v>
      </c>
      <c r="AJ506" s="77"/>
      <c r="AK506" s="77"/>
      <c r="AL506" s="77"/>
      <c r="AM506" s="77"/>
      <c r="AN506" s="77"/>
      <c r="AO506" s="77"/>
      <c r="AP506" s="77"/>
      <c r="AQ506" s="77" t="s">
        <v>14535</v>
      </c>
      <c r="AR506" s="77"/>
      <c r="AS506" s="77"/>
      <c r="AT506" s="77"/>
      <c r="AU506" s="77"/>
      <c r="AV506" s="80" t="str">
        <f>HYPERLINK("https://pbs.twimg.com/media/Frn-v5EXoAEIFyR.jpg")</f>
        <v>https://pbs.twimg.com/media/Frn-v5EXoAEIFyR.jpg</v>
      </c>
      <c r="AW506" s="82" t="s">
        <v>17279</v>
      </c>
      <c r="AX506" s="82" t="s">
        <v>17279</v>
      </c>
      <c r="AY506" s="77"/>
      <c r="AZ506" s="82" t="s">
        <v>20971</v>
      </c>
      <c r="BA506" s="82" t="s">
        <v>20971</v>
      </c>
      <c r="BB506" s="82" t="s">
        <v>20971</v>
      </c>
      <c r="BC506" s="82" t="s">
        <v>17279</v>
      </c>
      <c r="BD506" s="82" t="s">
        <v>21136</v>
      </c>
      <c r="BE506" s="77"/>
      <c r="BF506" s="77"/>
      <c r="BG506" s="77"/>
      <c r="BH506" s="77"/>
      <c r="BI506" s="77"/>
    </row>
    <row r="507" spans="1:61" x14ac:dyDescent="0.25">
      <c r="A507" s="62" t="s">
        <v>392</v>
      </c>
      <c r="B507" s="62" t="s">
        <v>392</v>
      </c>
      <c r="C507" s="63"/>
      <c r="D507" s="64"/>
      <c r="E507" s="65"/>
      <c r="F507" s="66"/>
      <c r="G507" s="63"/>
      <c r="H507" s="67"/>
      <c r="I507" s="68"/>
      <c r="J507" s="68"/>
      <c r="K507" s="32"/>
      <c r="L507" s="75">
        <v>507</v>
      </c>
      <c r="M507" s="75"/>
      <c r="N507" s="70"/>
      <c r="O507" s="77" t="s">
        <v>1285</v>
      </c>
      <c r="P507" s="79">
        <v>45004.04184027778</v>
      </c>
      <c r="Q507" s="77" t="s">
        <v>1790</v>
      </c>
      <c r="R507" s="77">
        <v>0</v>
      </c>
      <c r="S507" s="77">
        <v>0</v>
      </c>
      <c r="T507" s="77">
        <v>0</v>
      </c>
      <c r="U507" s="77">
        <v>0</v>
      </c>
      <c r="V507" s="77">
        <v>15</v>
      </c>
      <c r="W507" s="82" t="s">
        <v>5522</v>
      </c>
      <c r="X507" s="77"/>
      <c r="Y507" s="77"/>
      <c r="Z507" s="77" t="s">
        <v>392</v>
      </c>
      <c r="AA507" s="77" t="s">
        <v>7892</v>
      </c>
      <c r="AB507" s="77" t="s">
        <v>10130</v>
      </c>
      <c r="AC507" s="82" t="s">
        <v>10154</v>
      </c>
      <c r="AD507" s="77" t="s">
        <v>10184</v>
      </c>
      <c r="AE507" s="80" t="str">
        <f>HYPERLINK("https://twitter.com/laerciolobanco/status/1637257643210178563")</f>
        <v>https://twitter.com/laerciolobanco/status/1637257643210178563</v>
      </c>
      <c r="AF507" s="79">
        <v>45004.04184027778</v>
      </c>
      <c r="AG507" s="85">
        <v>45004</v>
      </c>
      <c r="AH507" s="82" t="s">
        <v>10628</v>
      </c>
      <c r="AI507" s="77" t="b">
        <v>0</v>
      </c>
      <c r="AJ507" s="77"/>
      <c r="AK507" s="77"/>
      <c r="AL507" s="77"/>
      <c r="AM507" s="77"/>
      <c r="AN507" s="77"/>
      <c r="AO507" s="77"/>
      <c r="AP507" s="77"/>
      <c r="AQ507" s="77" t="s">
        <v>14536</v>
      </c>
      <c r="AR507" s="77"/>
      <c r="AS507" s="77"/>
      <c r="AT507" s="77"/>
      <c r="AU507" s="77"/>
      <c r="AV507" s="80" t="str">
        <f>HYPERLINK("https://pbs.twimg.com/media/Fri1Jj6XgAImalo.jpg")</f>
        <v>https://pbs.twimg.com/media/Fri1Jj6XgAImalo.jpg</v>
      </c>
      <c r="AW507" s="82" t="s">
        <v>17280</v>
      </c>
      <c r="AX507" s="82" t="s">
        <v>17280</v>
      </c>
      <c r="AY507" s="77"/>
      <c r="AZ507" s="82" t="s">
        <v>20971</v>
      </c>
      <c r="BA507" s="82" t="s">
        <v>20971</v>
      </c>
      <c r="BB507" s="82" t="s">
        <v>20971</v>
      </c>
      <c r="BC507" s="82" t="s">
        <v>17280</v>
      </c>
      <c r="BD507" s="82" t="s">
        <v>21136</v>
      </c>
      <c r="BE507" s="77"/>
      <c r="BF507" s="77"/>
      <c r="BG507" s="77"/>
      <c r="BH507" s="77"/>
      <c r="BI507" s="77"/>
    </row>
    <row r="508" spans="1:61" x14ac:dyDescent="0.25">
      <c r="A508" s="62" t="s">
        <v>392</v>
      </c>
      <c r="B508" s="62" t="s">
        <v>392</v>
      </c>
      <c r="C508" s="63"/>
      <c r="D508" s="64"/>
      <c r="E508" s="65"/>
      <c r="F508" s="66"/>
      <c r="G508" s="63"/>
      <c r="H508" s="67"/>
      <c r="I508" s="68"/>
      <c r="J508" s="68"/>
      <c r="K508" s="32"/>
      <c r="L508" s="75">
        <v>508</v>
      </c>
      <c r="M508" s="75"/>
      <c r="N508" s="70"/>
      <c r="O508" s="77" t="s">
        <v>1285</v>
      </c>
      <c r="P508" s="79">
        <v>45003.041886574072</v>
      </c>
      <c r="Q508" s="77" t="s">
        <v>1791</v>
      </c>
      <c r="R508" s="77">
        <v>0</v>
      </c>
      <c r="S508" s="77">
        <v>0</v>
      </c>
      <c r="T508" s="77">
        <v>0</v>
      </c>
      <c r="U508" s="77">
        <v>0</v>
      </c>
      <c r="V508" s="77">
        <v>8</v>
      </c>
      <c r="W508" s="82" t="s">
        <v>5522</v>
      </c>
      <c r="X508" s="77"/>
      <c r="Y508" s="77"/>
      <c r="Z508" s="77" t="s">
        <v>392</v>
      </c>
      <c r="AA508" s="77" t="s">
        <v>7893</v>
      </c>
      <c r="AB508" s="77" t="s">
        <v>10130</v>
      </c>
      <c r="AC508" s="82" t="s">
        <v>10154</v>
      </c>
      <c r="AD508" s="77" t="s">
        <v>10184</v>
      </c>
      <c r="AE508" s="80" t="str">
        <f>HYPERLINK("https://twitter.com/laerciolobanco/status/1636895270758764546")</f>
        <v>https://twitter.com/laerciolobanco/status/1636895270758764546</v>
      </c>
      <c r="AF508" s="79">
        <v>45003.041886574072</v>
      </c>
      <c r="AG508" s="85">
        <v>45003</v>
      </c>
      <c r="AH508" s="82" t="s">
        <v>10639</v>
      </c>
      <c r="AI508" s="77" t="b">
        <v>0</v>
      </c>
      <c r="AJ508" s="77"/>
      <c r="AK508" s="77"/>
      <c r="AL508" s="77"/>
      <c r="AM508" s="77"/>
      <c r="AN508" s="77"/>
      <c r="AO508" s="77"/>
      <c r="AP508" s="77"/>
      <c r="AQ508" s="77" t="s">
        <v>14537</v>
      </c>
      <c r="AR508" s="77"/>
      <c r="AS508" s="77"/>
      <c r="AT508" s="77"/>
      <c r="AU508" s="77"/>
      <c r="AV508" s="80" t="str">
        <f>HYPERLINK("https://pbs.twimg.com/media/FrdrkxxXgAApbht.jpg")</f>
        <v>https://pbs.twimg.com/media/FrdrkxxXgAApbht.jpg</v>
      </c>
      <c r="AW508" s="82" t="s">
        <v>17281</v>
      </c>
      <c r="AX508" s="82" t="s">
        <v>17281</v>
      </c>
      <c r="AY508" s="77"/>
      <c r="AZ508" s="82" t="s">
        <v>20971</v>
      </c>
      <c r="BA508" s="82" t="s">
        <v>20971</v>
      </c>
      <c r="BB508" s="82" t="s">
        <v>20971</v>
      </c>
      <c r="BC508" s="82" t="s">
        <v>17281</v>
      </c>
      <c r="BD508" s="82" t="s">
        <v>21136</v>
      </c>
      <c r="BE508" s="77"/>
      <c r="BF508" s="77"/>
      <c r="BG508" s="77"/>
      <c r="BH508" s="77"/>
      <c r="BI508" s="77"/>
    </row>
    <row r="509" spans="1:61" x14ac:dyDescent="0.25">
      <c r="A509" s="62" t="s">
        <v>392</v>
      </c>
      <c r="B509" s="62" t="s">
        <v>392</v>
      </c>
      <c r="C509" s="63"/>
      <c r="D509" s="64"/>
      <c r="E509" s="65"/>
      <c r="F509" s="66"/>
      <c r="G509" s="63"/>
      <c r="H509" s="67"/>
      <c r="I509" s="68"/>
      <c r="J509" s="68"/>
      <c r="K509" s="32"/>
      <c r="L509" s="75">
        <v>509</v>
      </c>
      <c r="M509" s="75"/>
      <c r="N509" s="70"/>
      <c r="O509" s="77" t="s">
        <v>1285</v>
      </c>
      <c r="P509" s="79">
        <v>45002.041851851849</v>
      </c>
      <c r="Q509" s="77" t="s">
        <v>1792</v>
      </c>
      <c r="R509" s="77">
        <v>0</v>
      </c>
      <c r="S509" s="77">
        <v>0</v>
      </c>
      <c r="T509" s="77">
        <v>0</v>
      </c>
      <c r="U509" s="77">
        <v>0</v>
      </c>
      <c r="V509" s="77">
        <v>12</v>
      </c>
      <c r="W509" s="82" t="s">
        <v>5522</v>
      </c>
      <c r="X509" s="77"/>
      <c r="Y509" s="77"/>
      <c r="Z509" s="77" t="s">
        <v>392</v>
      </c>
      <c r="AA509" s="77" t="s">
        <v>7894</v>
      </c>
      <c r="AB509" s="77" t="s">
        <v>10130</v>
      </c>
      <c r="AC509" s="82" t="s">
        <v>10154</v>
      </c>
      <c r="AD509" s="77" t="s">
        <v>10184</v>
      </c>
      <c r="AE509" s="80" t="str">
        <f>HYPERLINK("https://twitter.com/laerciolobanco/status/1636532872491470848")</f>
        <v>https://twitter.com/laerciolobanco/status/1636532872491470848</v>
      </c>
      <c r="AF509" s="79">
        <v>45002.041851851849</v>
      </c>
      <c r="AG509" s="85">
        <v>45002</v>
      </c>
      <c r="AH509" s="82" t="s">
        <v>10667</v>
      </c>
      <c r="AI509" s="77" t="b">
        <v>0</v>
      </c>
      <c r="AJ509" s="77"/>
      <c r="AK509" s="77"/>
      <c r="AL509" s="77"/>
      <c r="AM509" s="77"/>
      <c r="AN509" s="77"/>
      <c r="AO509" s="77"/>
      <c r="AP509" s="77"/>
      <c r="AQ509" s="77" t="s">
        <v>14538</v>
      </c>
      <c r="AR509" s="77"/>
      <c r="AS509" s="77"/>
      <c r="AT509" s="77"/>
      <c r="AU509" s="77"/>
      <c r="AV509" s="80" t="str">
        <f>HYPERLINK("https://pbs.twimg.com/media/FrYh-Y9XoAEs_a4.jpg")</f>
        <v>https://pbs.twimg.com/media/FrYh-Y9XoAEs_a4.jpg</v>
      </c>
      <c r="AW509" s="82" t="s">
        <v>17282</v>
      </c>
      <c r="AX509" s="82" t="s">
        <v>17282</v>
      </c>
      <c r="AY509" s="77"/>
      <c r="AZ509" s="82" t="s">
        <v>20971</v>
      </c>
      <c r="BA509" s="82" t="s">
        <v>20971</v>
      </c>
      <c r="BB509" s="82" t="s">
        <v>20971</v>
      </c>
      <c r="BC509" s="82" t="s">
        <v>17282</v>
      </c>
      <c r="BD509" s="82" t="s">
        <v>21136</v>
      </c>
      <c r="BE509" s="77"/>
      <c r="BF509" s="77"/>
      <c r="BG509" s="77"/>
      <c r="BH509" s="77"/>
      <c r="BI509" s="77"/>
    </row>
    <row r="510" spans="1:61" x14ac:dyDescent="0.25">
      <c r="A510" s="62" t="s">
        <v>392</v>
      </c>
      <c r="B510" s="62" t="s">
        <v>392</v>
      </c>
      <c r="C510" s="63"/>
      <c r="D510" s="64"/>
      <c r="E510" s="65"/>
      <c r="F510" s="66"/>
      <c r="G510" s="63"/>
      <c r="H510" s="67"/>
      <c r="I510" s="68"/>
      <c r="J510" s="68"/>
      <c r="K510" s="32"/>
      <c r="L510" s="75">
        <v>510</v>
      </c>
      <c r="M510" s="75"/>
      <c r="N510" s="70"/>
      <c r="O510" s="77" t="s">
        <v>1285</v>
      </c>
      <c r="P510" s="79">
        <v>44974.750300925924</v>
      </c>
      <c r="Q510" s="77" t="s">
        <v>1793</v>
      </c>
      <c r="R510" s="77">
        <v>0</v>
      </c>
      <c r="S510" s="77">
        <v>0</v>
      </c>
      <c r="T510" s="77">
        <v>0</v>
      </c>
      <c r="U510" s="77">
        <v>0</v>
      </c>
      <c r="V510" s="77">
        <v>8</v>
      </c>
      <c r="W510" s="82" t="s">
        <v>5522</v>
      </c>
      <c r="X510" s="77"/>
      <c r="Y510" s="77"/>
      <c r="Z510" s="77" t="s">
        <v>392</v>
      </c>
      <c r="AA510" s="77" t="s">
        <v>7895</v>
      </c>
      <c r="AB510" s="77" t="s">
        <v>10130</v>
      </c>
      <c r="AC510" s="82" t="s">
        <v>10154</v>
      </c>
      <c r="AD510" s="77" t="s">
        <v>10184</v>
      </c>
      <c r="AE510" s="80" t="str">
        <f>HYPERLINK("https://twitter.com/laerciolobanco/status/1626642745660940288")</f>
        <v>https://twitter.com/laerciolobanco/status/1626642745660940288</v>
      </c>
      <c r="AF510" s="79">
        <v>44974.750300925924</v>
      </c>
      <c r="AG510" s="85">
        <v>44974</v>
      </c>
      <c r="AH510" s="82" t="s">
        <v>10661</v>
      </c>
      <c r="AI510" s="77" t="b">
        <v>0</v>
      </c>
      <c r="AJ510" s="77"/>
      <c r="AK510" s="77"/>
      <c r="AL510" s="77"/>
      <c r="AM510" s="77"/>
      <c r="AN510" s="77"/>
      <c r="AO510" s="77"/>
      <c r="AP510" s="77"/>
      <c r="AQ510" s="77" t="s">
        <v>14539</v>
      </c>
      <c r="AR510" s="77"/>
      <c r="AS510" s="77"/>
      <c r="AT510" s="77"/>
      <c r="AU510" s="77"/>
      <c r="AV510" s="80" t="str">
        <f>HYPERLINK("https://pbs.twimg.com/media/FpL-9N4XsAEOvmQ.jpg")</f>
        <v>https://pbs.twimg.com/media/FpL-9N4XsAEOvmQ.jpg</v>
      </c>
      <c r="AW510" s="82" t="s">
        <v>17283</v>
      </c>
      <c r="AX510" s="82" t="s">
        <v>17283</v>
      </c>
      <c r="AY510" s="77"/>
      <c r="AZ510" s="82" t="s">
        <v>20971</v>
      </c>
      <c r="BA510" s="82" t="s">
        <v>20971</v>
      </c>
      <c r="BB510" s="82" t="s">
        <v>20971</v>
      </c>
      <c r="BC510" s="82" t="s">
        <v>17283</v>
      </c>
      <c r="BD510" s="82" t="s">
        <v>21136</v>
      </c>
      <c r="BE510" s="77"/>
      <c r="BF510" s="77"/>
      <c r="BG510" s="77"/>
      <c r="BH510" s="77"/>
      <c r="BI510" s="77"/>
    </row>
    <row r="511" spans="1:61" x14ac:dyDescent="0.25">
      <c r="A511" s="62" t="s">
        <v>392</v>
      </c>
      <c r="B511" s="62" t="s">
        <v>392</v>
      </c>
      <c r="C511" s="63"/>
      <c r="D511" s="64"/>
      <c r="E511" s="65"/>
      <c r="F511" s="66"/>
      <c r="G511" s="63"/>
      <c r="H511" s="67"/>
      <c r="I511" s="68"/>
      <c r="J511" s="68"/>
      <c r="K511" s="32"/>
      <c r="L511" s="75">
        <v>511</v>
      </c>
      <c r="M511" s="75"/>
      <c r="N511" s="70"/>
      <c r="O511" s="77" t="s">
        <v>1285</v>
      </c>
      <c r="P511" s="79">
        <v>44973.7503125</v>
      </c>
      <c r="Q511" s="77" t="s">
        <v>1794</v>
      </c>
      <c r="R511" s="77">
        <v>0</v>
      </c>
      <c r="S511" s="77">
        <v>0</v>
      </c>
      <c r="T511" s="77">
        <v>0</v>
      </c>
      <c r="U511" s="77">
        <v>0</v>
      </c>
      <c r="V511" s="77">
        <v>6</v>
      </c>
      <c r="W511" s="82" t="s">
        <v>5522</v>
      </c>
      <c r="X511" s="77"/>
      <c r="Y511" s="77"/>
      <c r="Z511" s="77" t="s">
        <v>392</v>
      </c>
      <c r="AA511" s="77" t="s">
        <v>7896</v>
      </c>
      <c r="AB511" s="77" t="s">
        <v>10130</v>
      </c>
      <c r="AC511" s="82" t="s">
        <v>10154</v>
      </c>
      <c r="AD511" s="77" t="s">
        <v>10184</v>
      </c>
      <c r="AE511" s="80" t="str">
        <f>HYPERLINK("https://twitter.com/laerciolobanco/status/1626280360043503617")</f>
        <v>https://twitter.com/laerciolobanco/status/1626280360043503617</v>
      </c>
      <c r="AF511" s="79">
        <v>44973.7503125</v>
      </c>
      <c r="AG511" s="85">
        <v>44973</v>
      </c>
      <c r="AH511" s="82" t="s">
        <v>10668</v>
      </c>
      <c r="AI511" s="77" t="b">
        <v>0</v>
      </c>
      <c r="AJ511" s="77"/>
      <c r="AK511" s="77"/>
      <c r="AL511" s="77"/>
      <c r="AM511" s="77"/>
      <c r="AN511" s="77"/>
      <c r="AO511" s="77"/>
      <c r="AP511" s="77"/>
      <c r="AQ511" s="77" t="s">
        <v>14540</v>
      </c>
      <c r="AR511" s="77"/>
      <c r="AS511" s="77"/>
      <c r="AT511" s="77"/>
      <c r="AU511" s="77"/>
      <c r="AV511" s="80" t="str">
        <f>HYPERLINK("https://pbs.twimg.com/media/FpG1XpZXgAAXJoK.jpg")</f>
        <v>https://pbs.twimg.com/media/FpG1XpZXgAAXJoK.jpg</v>
      </c>
      <c r="AW511" s="82" t="s">
        <v>17284</v>
      </c>
      <c r="AX511" s="82" t="s">
        <v>17284</v>
      </c>
      <c r="AY511" s="77"/>
      <c r="AZ511" s="82" t="s">
        <v>20971</v>
      </c>
      <c r="BA511" s="82" t="s">
        <v>20971</v>
      </c>
      <c r="BB511" s="82" t="s">
        <v>20971</v>
      </c>
      <c r="BC511" s="82" t="s">
        <v>17284</v>
      </c>
      <c r="BD511" s="82" t="s">
        <v>21136</v>
      </c>
      <c r="BE511" s="77"/>
      <c r="BF511" s="77"/>
      <c r="BG511" s="77"/>
      <c r="BH511" s="77"/>
      <c r="BI511" s="77"/>
    </row>
    <row r="512" spans="1:61" x14ac:dyDescent="0.25">
      <c r="A512" s="62" t="s">
        <v>392</v>
      </c>
      <c r="B512" s="62" t="s">
        <v>392</v>
      </c>
      <c r="C512" s="63"/>
      <c r="D512" s="64"/>
      <c r="E512" s="65"/>
      <c r="F512" s="66"/>
      <c r="G512" s="63"/>
      <c r="H512" s="67"/>
      <c r="I512" s="68"/>
      <c r="J512" s="68"/>
      <c r="K512" s="32"/>
      <c r="L512" s="75">
        <v>512</v>
      </c>
      <c r="M512" s="75"/>
      <c r="N512" s="70"/>
      <c r="O512" s="77" t="s">
        <v>1285</v>
      </c>
      <c r="P512" s="79">
        <v>44973.414155092592</v>
      </c>
      <c r="Q512" s="77" t="s">
        <v>1795</v>
      </c>
      <c r="R512" s="77">
        <v>0</v>
      </c>
      <c r="S512" s="77">
        <v>0</v>
      </c>
      <c r="T512" s="77">
        <v>0</v>
      </c>
      <c r="U512" s="77">
        <v>0</v>
      </c>
      <c r="V512" s="77">
        <v>14</v>
      </c>
      <c r="W512" s="82" t="s">
        <v>5522</v>
      </c>
      <c r="X512" s="77"/>
      <c r="Y512" s="77"/>
      <c r="Z512" s="77" t="s">
        <v>392</v>
      </c>
      <c r="AA512" s="77" t="s">
        <v>7897</v>
      </c>
      <c r="AB512" s="77" t="s">
        <v>10129</v>
      </c>
      <c r="AC512" s="82" t="s">
        <v>10154</v>
      </c>
      <c r="AD512" s="77" t="s">
        <v>10184</v>
      </c>
      <c r="AE512" s="80" t="str">
        <f>HYPERLINK("https://twitter.com/laerciolobanco/status/1626158543115001857")</f>
        <v>https://twitter.com/laerciolobanco/status/1626158543115001857</v>
      </c>
      <c r="AF512" s="79">
        <v>44973.414155092592</v>
      </c>
      <c r="AG512" s="85">
        <v>44973</v>
      </c>
      <c r="AH512" s="82" t="s">
        <v>10669</v>
      </c>
      <c r="AI512" s="77" t="b">
        <v>0</v>
      </c>
      <c r="AJ512" s="77"/>
      <c r="AK512" s="77"/>
      <c r="AL512" s="77"/>
      <c r="AM512" s="77"/>
      <c r="AN512" s="77"/>
      <c r="AO512" s="77"/>
      <c r="AP512" s="77"/>
      <c r="AQ512" s="77" t="s">
        <v>14541</v>
      </c>
      <c r="AR512" s="77">
        <v>54800</v>
      </c>
      <c r="AS512" s="77"/>
      <c r="AT512" s="77"/>
      <c r="AU512" s="77"/>
      <c r="AV512" s="80" t="str">
        <f>HYPERLINK("https://pbs.twimg.com/ext_tw_video_thumb/1626158486559117313/pu/img/9Aeu0nCszY--oDo-.jpg")</f>
        <v>https://pbs.twimg.com/ext_tw_video_thumb/1626158486559117313/pu/img/9Aeu0nCszY--oDo-.jpg</v>
      </c>
      <c r="AW512" s="82" t="s">
        <v>17285</v>
      </c>
      <c r="AX512" s="82" t="s">
        <v>17285</v>
      </c>
      <c r="AY512" s="77"/>
      <c r="AZ512" s="82" t="s">
        <v>20971</v>
      </c>
      <c r="BA512" s="82" t="s">
        <v>20971</v>
      </c>
      <c r="BB512" s="82" t="s">
        <v>20971</v>
      </c>
      <c r="BC512" s="82" t="s">
        <v>17285</v>
      </c>
      <c r="BD512" s="82" t="s">
        <v>21136</v>
      </c>
      <c r="BE512" s="77"/>
      <c r="BF512" s="77"/>
      <c r="BG512" s="77"/>
      <c r="BH512" s="77"/>
      <c r="BI512" s="77"/>
    </row>
    <row r="513" spans="1:61" x14ac:dyDescent="0.25">
      <c r="A513" s="62" t="s">
        <v>392</v>
      </c>
      <c r="B513" s="62" t="s">
        <v>392</v>
      </c>
      <c r="C513" s="63"/>
      <c r="D513" s="64"/>
      <c r="E513" s="65"/>
      <c r="F513" s="66"/>
      <c r="G513" s="63"/>
      <c r="H513" s="67"/>
      <c r="I513" s="68"/>
      <c r="J513" s="68"/>
      <c r="K513" s="32"/>
      <c r="L513" s="75">
        <v>513</v>
      </c>
      <c r="M513" s="75"/>
      <c r="N513" s="70"/>
      <c r="O513" s="77" t="s">
        <v>1285</v>
      </c>
      <c r="P513" s="79">
        <v>44972.750347222223</v>
      </c>
      <c r="Q513" s="77" t="s">
        <v>1796</v>
      </c>
      <c r="R513" s="77">
        <v>0</v>
      </c>
      <c r="S513" s="77">
        <v>0</v>
      </c>
      <c r="T513" s="77">
        <v>0</v>
      </c>
      <c r="U513" s="77">
        <v>0</v>
      </c>
      <c r="V513" s="77">
        <v>21</v>
      </c>
      <c r="W513" s="82" t="s">
        <v>5530</v>
      </c>
      <c r="X513" s="77"/>
      <c r="Y513" s="77"/>
      <c r="Z513" s="77" t="s">
        <v>392</v>
      </c>
      <c r="AA513" s="77" t="s">
        <v>7898</v>
      </c>
      <c r="AB513" s="77" t="s">
        <v>10130</v>
      </c>
      <c r="AC513" s="82" t="s">
        <v>10154</v>
      </c>
      <c r="AD513" s="77" t="s">
        <v>10184</v>
      </c>
      <c r="AE513" s="80" t="str">
        <f>HYPERLINK("https://twitter.com/laerciolobanco/status/1625917985696120834")</f>
        <v>https://twitter.com/laerciolobanco/status/1625917985696120834</v>
      </c>
      <c r="AF513" s="79">
        <v>44972.750347222223</v>
      </c>
      <c r="AG513" s="85">
        <v>44972</v>
      </c>
      <c r="AH513" s="82" t="s">
        <v>10662</v>
      </c>
      <c r="AI513" s="77" t="b">
        <v>0</v>
      </c>
      <c r="AJ513" s="77"/>
      <c r="AK513" s="77"/>
      <c r="AL513" s="77"/>
      <c r="AM513" s="77"/>
      <c r="AN513" s="77"/>
      <c r="AO513" s="77"/>
      <c r="AP513" s="77"/>
      <c r="AQ513" s="77" t="s">
        <v>14542</v>
      </c>
      <c r="AR513" s="77"/>
      <c r="AS513" s="77"/>
      <c r="AT513" s="77"/>
      <c r="AU513" s="77"/>
      <c r="AV513" s="80" t="str">
        <f>HYPERLINK("https://pbs.twimg.com/media/FpBrysPXsAAGg6L.jpg")</f>
        <v>https://pbs.twimg.com/media/FpBrysPXsAAGg6L.jpg</v>
      </c>
      <c r="AW513" s="82" t="s">
        <v>17286</v>
      </c>
      <c r="AX513" s="82" t="s">
        <v>17286</v>
      </c>
      <c r="AY513" s="77"/>
      <c r="AZ513" s="82" t="s">
        <v>20971</v>
      </c>
      <c r="BA513" s="82" t="s">
        <v>20971</v>
      </c>
      <c r="BB513" s="82" t="s">
        <v>20971</v>
      </c>
      <c r="BC513" s="82" t="s">
        <v>17286</v>
      </c>
      <c r="BD513" s="82" t="s">
        <v>21136</v>
      </c>
      <c r="BE513" s="77"/>
      <c r="BF513" s="77"/>
      <c r="BG513" s="77"/>
      <c r="BH513" s="77"/>
      <c r="BI513" s="77"/>
    </row>
    <row r="514" spans="1:61" x14ac:dyDescent="0.25">
      <c r="A514" s="62" t="s">
        <v>392</v>
      </c>
      <c r="B514" s="62" t="s">
        <v>392</v>
      </c>
      <c r="C514" s="63"/>
      <c r="D514" s="64"/>
      <c r="E514" s="65"/>
      <c r="F514" s="66"/>
      <c r="G514" s="63"/>
      <c r="H514" s="67"/>
      <c r="I514" s="68"/>
      <c r="J514" s="68"/>
      <c r="K514" s="32"/>
      <c r="L514" s="75">
        <v>514</v>
      </c>
      <c r="M514" s="75"/>
      <c r="N514" s="70"/>
      <c r="O514" s="77" t="s">
        <v>1285</v>
      </c>
      <c r="P514" s="79">
        <v>44971.750300925924</v>
      </c>
      <c r="Q514" s="77" t="s">
        <v>1797</v>
      </c>
      <c r="R514" s="77">
        <v>0</v>
      </c>
      <c r="S514" s="77">
        <v>0</v>
      </c>
      <c r="T514" s="77">
        <v>0</v>
      </c>
      <c r="U514" s="77">
        <v>0</v>
      </c>
      <c r="V514" s="77">
        <v>15</v>
      </c>
      <c r="W514" s="82" t="s">
        <v>5522</v>
      </c>
      <c r="X514" s="77"/>
      <c r="Y514" s="77"/>
      <c r="Z514" s="77" t="s">
        <v>392</v>
      </c>
      <c r="AA514" s="77" t="s">
        <v>7899</v>
      </c>
      <c r="AB514" s="77" t="s">
        <v>10130</v>
      </c>
      <c r="AC514" s="82" t="s">
        <v>10154</v>
      </c>
      <c r="AD514" s="77" t="s">
        <v>10184</v>
      </c>
      <c r="AE514" s="80" t="str">
        <f>HYPERLINK("https://twitter.com/laerciolobanco/status/1625555580940128278")</f>
        <v>https://twitter.com/laerciolobanco/status/1625555580940128278</v>
      </c>
      <c r="AF514" s="79">
        <v>44971.750300925924</v>
      </c>
      <c r="AG514" s="85">
        <v>44971</v>
      </c>
      <c r="AH514" s="82" t="s">
        <v>10661</v>
      </c>
      <c r="AI514" s="77" t="b">
        <v>0</v>
      </c>
      <c r="AJ514" s="77"/>
      <c r="AK514" s="77"/>
      <c r="AL514" s="77"/>
      <c r="AM514" s="77"/>
      <c r="AN514" s="77"/>
      <c r="AO514" s="77"/>
      <c r="AP514" s="77"/>
      <c r="AQ514" s="77" t="s">
        <v>14543</v>
      </c>
      <c r="AR514" s="77"/>
      <c r="AS514" s="77"/>
      <c r="AT514" s="77"/>
      <c r="AU514" s="77"/>
      <c r="AV514" s="80" t="str">
        <f>HYPERLINK("https://pbs.twimg.com/media/Fo8iL-JXEA0eY9G.jpg")</f>
        <v>https://pbs.twimg.com/media/Fo8iL-JXEA0eY9G.jpg</v>
      </c>
      <c r="AW514" s="82" t="s">
        <v>17287</v>
      </c>
      <c r="AX514" s="82" t="s">
        <v>17287</v>
      </c>
      <c r="AY514" s="77"/>
      <c r="AZ514" s="82" t="s">
        <v>20971</v>
      </c>
      <c r="BA514" s="82" t="s">
        <v>20971</v>
      </c>
      <c r="BB514" s="82" t="s">
        <v>20971</v>
      </c>
      <c r="BC514" s="82" t="s">
        <v>17287</v>
      </c>
      <c r="BD514" s="82" t="s">
        <v>21136</v>
      </c>
      <c r="BE514" s="77"/>
      <c r="BF514" s="77"/>
      <c r="BG514" s="77"/>
      <c r="BH514" s="77"/>
      <c r="BI514" s="77"/>
    </row>
    <row r="515" spans="1:61" x14ac:dyDescent="0.25">
      <c r="A515" s="62" t="s">
        <v>392</v>
      </c>
      <c r="B515" s="62" t="s">
        <v>392</v>
      </c>
      <c r="C515" s="63"/>
      <c r="D515" s="64"/>
      <c r="E515" s="65"/>
      <c r="F515" s="66"/>
      <c r="G515" s="63"/>
      <c r="H515" s="67"/>
      <c r="I515" s="68"/>
      <c r="J515" s="68"/>
      <c r="K515" s="32"/>
      <c r="L515" s="75">
        <v>515</v>
      </c>
      <c r="M515" s="75"/>
      <c r="N515" s="70"/>
      <c r="O515" s="77" t="s">
        <v>1285</v>
      </c>
      <c r="P515" s="79">
        <v>44970.750289351854</v>
      </c>
      <c r="Q515" s="77" t="s">
        <v>1798</v>
      </c>
      <c r="R515" s="77">
        <v>0</v>
      </c>
      <c r="S515" s="77">
        <v>0</v>
      </c>
      <c r="T515" s="77">
        <v>0</v>
      </c>
      <c r="U515" s="77">
        <v>0</v>
      </c>
      <c r="V515" s="77">
        <v>31</v>
      </c>
      <c r="W515" s="82" t="s">
        <v>5522</v>
      </c>
      <c r="X515" s="77"/>
      <c r="Y515" s="77"/>
      <c r="Z515" s="77" t="s">
        <v>392</v>
      </c>
      <c r="AA515" s="77" t="s">
        <v>7900</v>
      </c>
      <c r="AB515" s="77" t="s">
        <v>10130</v>
      </c>
      <c r="AC515" s="82" t="s">
        <v>10154</v>
      </c>
      <c r="AD515" s="77" t="s">
        <v>10184</v>
      </c>
      <c r="AE515" s="80" t="str">
        <f>HYPERLINK("https://twitter.com/laerciolobanco/status/1625193190641831937")</f>
        <v>https://twitter.com/laerciolobanco/status/1625193190641831937</v>
      </c>
      <c r="AF515" s="79">
        <v>44970.750289351854</v>
      </c>
      <c r="AG515" s="85">
        <v>44970</v>
      </c>
      <c r="AH515" s="82" t="s">
        <v>10663</v>
      </c>
      <c r="AI515" s="77" t="b">
        <v>0</v>
      </c>
      <c r="AJ515" s="77"/>
      <c r="AK515" s="77"/>
      <c r="AL515" s="77"/>
      <c r="AM515" s="77"/>
      <c r="AN515" s="77"/>
      <c r="AO515" s="77"/>
      <c r="AP515" s="77"/>
      <c r="AQ515" s="77" t="s">
        <v>14544</v>
      </c>
      <c r="AR515" s="77"/>
      <c r="AS515" s="77"/>
      <c r="AT515" s="77"/>
      <c r="AU515" s="77"/>
      <c r="AV515" s="80" t="str">
        <f>HYPERLINK("https://pbs.twimg.com/media/Fo3YmEKWIAAlhR_.jpg")</f>
        <v>https://pbs.twimg.com/media/Fo3YmEKWIAAlhR_.jpg</v>
      </c>
      <c r="AW515" s="82" t="s">
        <v>17288</v>
      </c>
      <c r="AX515" s="82" t="s">
        <v>17288</v>
      </c>
      <c r="AY515" s="77"/>
      <c r="AZ515" s="82" t="s">
        <v>20971</v>
      </c>
      <c r="BA515" s="82" t="s">
        <v>20971</v>
      </c>
      <c r="BB515" s="82" t="s">
        <v>20971</v>
      </c>
      <c r="BC515" s="82" t="s">
        <v>17288</v>
      </c>
      <c r="BD515" s="82" t="s">
        <v>21136</v>
      </c>
      <c r="BE515" s="77"/>
      <c r="BF515" s="77"/>
      <c r="BG515" s="77"/>
      <c r="BH515" s="77"/>
      <c r="BI515" s="77"/>
    </row>
    <row r="516" spans="1:61" x14ac:dyDescent="0.25">
      <c r="A516" s="62" t="s">
        <v>393</v>
      </c>
      <c r="B516" s="62" t="s">
        <v>393</v>
      </c>
      <c r="C516" s="63"/>
      <c r="D516" s="64"/>
      <c r="E516" s="65"/>
      <c r="F516" s="66"/>
      <c r="G516" s="63"/>
      <c r="H516" s="67"/>
      <c r="I516" s="68"/>
      <c r="J516" s="68"/>
      <c r="K516" s="32"/>
      <c r="L516" s="75">
        <v>516</v>
      </c>
      <c r="M516" s="75"/>
      <c r="N516" s="70"/>
      <c r="O516" s="77" t="s">
        <v>179</v>
      </c>
      <c r="P516" s="79">
        <v>45107.651388888888</v>
      </c>
      <c r="Q516" s="77" t="s">
        <v>1799</v>
      </c>
      <c r="R516" s="77">
        <v>0</v>
      </c>
      <c r="S516" s="77">
        <v>0</v>
      </c>
      <c r="T516" s="77">
        <v>0</v>
      </c>
      <c r="U516" s="77">
        <v>0</v>
      </c>
      <c r="V516" s="77">
        <v>101</v>
      </c>
      <c r="W516" s="82" t="s">
        <v>5531</v>
      </c>
      <c r="X516" s="77"/>
      <c r="Y516" s="77"/>
      <c r="Z516" s="77"/>
      <c r="AA516" s="77" t="s">
        <v>7901</v>
      </c>
      <c r="AB516" s="77" t="s">
        <v>10130</v>
      </c>
      <c r="AC516" s="82" t="s">
        <v>10146</v>
      </c>
      <c r="AD516" s="77" t="s">
        <v>10184</v>
      </c>
      <c r="AE516" s="80" t="str">
        <f>HYPERLINK("https://twitter.com/mobygo_rp/status/1674804484319465475")</f>
        <v>https://twitter.com/mobygo_rp/status/1674804484319465475</v>
      </c>
      <c r="AF516" s="79">
        <v>45107.651388888888</v>
      </c>
      <c r="AG516" s="85">
        <v>45107</v>
      </c>
      <c r="AH516" s="82" t="s">
        <v>10670</v>
      </c>
      <c r="AI516" s="77" t="b">
        <v>0</v>
      </c>
      <c r="AJ516" s="77"/>
      <c r="AK516" s="77"/>
      <c r="AL516" s="77"/>
      <c r="AM516" s="77"/>
      <c r="AN516" s="77"/>
      <c r="AO516" s="77"/>
      <c r="AP516" s="77"/>
      <c r="AQ516" s="77" t="s">
        <v>14545</v>
      </c>
      <c r="AR516" s="77"/>
      <c r="AS516" s="77"/>
      <c r="AT516" s="77"/>
      <c r="AU516" s="77"/>
      <c r="AV516" s="80" t="str">
        <f>HYPERLINK("https://pbs.twimg.com/media/Fz4VfLhagAAvGcy.jpg")</f>
        <v>https://pbs.twimg.com/media/Fz4VfLhagAAvGcy.jpg</v>
      </c>
      <c r="AW516" s="82" t="s">
        <v>17289</v>
      </c>
      <c r="AX516" s="82" t="s">
        <v>17289</v>
      </c>
      <c r="AY516" s="77"/>
      <c r="AZ516" s="82" t="s">
        <v>20971</v>
      </c>
      <c r="BA516" s="82" t="s">
        <v>20971</v>
      </c>
      <c r="BB516" s="82" t="s">
        <v>20971</v>
      </c>
      <c r="BC516" s="82" t="s">
        <v>17289</v>
      </c>
      <c r="BD516" s="82" t="s">
        <v>21137</v>
      </c>
      <c r="BE516" s="77"/>
      <c r="BF516" s="77"/>
      <c r="BG516" s="77"/>
      <c r="BH516" s="77"/>
      <c r="BI516" s="77"/>
    </row>
    <row r="517" spans="1:61" x14ac:dyDescent="0.25">
      <c r="A517" s="62" t="s">
        <v>394</v>
      </c>
      <c r="B517" s="62" t="s">
        <v>394</v>
      </c>
      <c r="C517" s="63"/>
      <c r="D517" s="64"/>
      <c r="E517" s="65"/>
      <c r="F517" s="66"/>
      <c r="G517" s="63"/>
      <c r="H517" s="67"/>
      <c r="I517" s="68"/>
      <c r="J517" s="68"/>
      <c r="K517" s="32"/>
      <c r="L517" s="75">
        <v>517</v>
      </c>
      <c r="M517" s="75"/>
      <c r="N517" s="70"/>
      <c r="O517" s="77" t="s">
        <v>1284</v>
      </c>
      <c r="P517" s="79">
        <v>44956.558356481481</v>
      </c>
      <c r="Q517" s="77" t="s">
        <v>1800</v>
      </c>
      <c r="R517" s="77">
        <v>0</v>
      </c>
      <c r="S517" s="77">
        <v>0</v>
      </c>
      <c r="T517" s="77">
        <v>1</v>
      </c>
      <c r="U517" s="77">
        <v>0</v>
      </c>
      <c r="V517" s="77">
        <v>17</v>
      </c>
      <c r="W517" s="82" t="s">
        <v>5236</v>
      </c>
      <c r="X517" s="77"/>
      <c r="Y517" s="77"/>
      <c r="Z517" s="77"/>
      <c r="AA517" s="77"/>
      <c r="AB517" s="77"/>
      <c r="AC517" s="82" t="s">
        <v>10145</v>
      </c>
      <c r="AD517" s="77" t="s">
        <v>10184</v>
      </c>
      <c r="AE517" s="80" t="str">
        <f>HYPERLINK("https://twitter.com/anadagrana/status/1620050205000499208")</f>
        <v>https://twitter.com/anadagrana/status/1620050205000499208</v>
      </c>
      <c r="AF517" s="79">
        <v>44956.558356481481</v>
      </c>
      <c r="AG517" s="85">
        <v>44956</v>
      </c>
      <c r="AH517" s="82" t="s">
        <v>10671</v>
      </c>
      <c r="AI517" s="77"/>
      <c r="AJ517" s="77"/>
      <c r="AK517" s="77"/>
      <c r="AL517" s="77"/>
      <c r="AM517" s="77"/>
      <c r="AN517" s="77"/>
      <c r="AO517" s="77"/>
      <c r="AP517" s="77"/>
      <c r="AQ517" s="77"/>
      <c r="AR517" s="77"/>
      <c r="AS517" s="77"/>
      <c r="AT517" s="77"/>
      <c r="AU517" s="77"/>
      <c r="AV517" s="80" t="str">
        <f>HYPERLINK("https://pbs.twimg.com/profile_images/1632534926460329986/jul1EYpU_normal.jpg")</f>
        <v>https://pbs.twimg.com/profile_images/1632534926460329986/jul1EYpU_normal.jpg</v>
      </c>
      <c r="AW517" s="82" t="s">
        <v>17290</v>
      </c>
      <c r="AX517" s="82" t="s">
        <v>20802</v>
      </c>
      <c r="AY517" s="82" t="s">
        <v>20911</v>
      </c>
      <c r="AZ517" s="82" t="s">
        <v>20973</v>
      </c>
      <c r="BA517" s="82" t="s">
        <v>20971</v>
      </c>
      <c r="BB517" s="82" t="s">
        <v>20971</v>
      </c>
      <c r="BC517" s="82" t="s">
        <v>20973</v>
      </c>
      <c r="BD517" s="82" t="s">
        <v>20911</v>
      </c>
      <c r="BE517" s="77"/>
      <c r="BF517" s="77"/>
      <c r="BG517" s="77"/>
      <c r="BH517" s="77"/>
      <c r="BI517" s="77"/>
    </row>
    <row r="518" spans="1:61" x14ac:dyDescent="0.25">
      <c r="A518" s="62" t="s">
        <v>395</v>
      </c>
      <c r="B518" s="62" t="s">
        <v>395</v>
      </c>
      <c r="C518" s="63"/>
      <c r="D518" s="64"/>
      <c r="E518" s="65"/>
      <c r="F518" s="66"/>
      <c r="G518" s="63"/>
      <c r="H518" s="67"/>
      <c r="I518" s="68"/>
      <c r="J518" s="68"/>
      <c r="K518" s="32"/>
      <c r="L518" s="75">
        <v>518</v>
      </c>
      <c r="M518" s="75"/>
      <c r="N518" s="70"/>
      <c r="O518" s="77" t="s">
        <v>179</v>
      </c>
      <c r="P518" s="79">
        <v>44994.639710648145</v>
      </c>
      <c r="Q518" s="77" t="s">
        <v>1801</v>
      </c>
      <c r="R518" s="77">
        <v>0</v>
      </c>
      <c r="S518" s="77">
        <v>0</v>
      </c>
      <c r="T518" s="77">
        <v>0</v>
      </c>
      <c r="U518" s="77">
        <v>0</v>
      </c>
      <c r="V518" s="77">
        <v>13</v>
      </c>
      <c r="W518" s="82" t="s">
        <v>5532</v>
      </c>
      <c r="X518" s="80" t="str">
        <f>HYPERLINK("https://www.iilion01.com/?inviteCode=PTxHCr3q")</f>
        <v>https://www.iilion01.com/?inviteCode=PTxHCr3q</v>
      </c>
      <c r="Y518" s="77" t="s">
        <v>7302</v>
      </c>
      <c r="Z518" s="77"/>
      <c r="AA518" s="77" t="s">
        <v>7902</v>
      </c>
      <c r="AB518" s="77" t="s">
        <v>10130</v>
      </c>
      <c r="AC518" s="82" t="s">
        <v>10145</v>
      </c>
      <c r="AD518" s="77" t="s">
        <v>10184</v>
      </c>
      <c r="AE518" s="80" t="str">
        <f>HYPERLINK("https://twitter.com/mixeusol/status/1633850425429352448")</f>
        <v>https://twitter.com/mixeusol/status/1633850425429352448</v>
      </c>
      <c r="AF518" s="79">
        <v>44994.639710648145</v>
      </c>
      <c r="AG518" s="85">
        <v>44994</v>
      </c>
      <c r="AH518" s="82" t="s">
        <v>10672</v>
      </c>
      <c r="AI518" s="77" t="b">
        <v>0</v>
      </c>
      <c r="AJ518" s="77"/>
      <c r="AK518" s="77"/>
      <c r="AL518" s="77"/>
      <c r="AM518" s="77"/>
      <c r="AN518" s="77"/>
      <c r="AO518" s="77"/>
      <c r="AP518" s="77"/>
      <c r="AQ518" s="77" t="s">
        <v>14546</v>
      </c>
      <c r="AR518" s="77"/>
      <c r="AS518" s="77"/>
      <c r="AT518" s="77"/>
      <c r="AU518" s="77"/>
      <c r="AV518" s="80" t="str">
        <f>HYPERLINK("https://pbs.twimg.com/media/FqyaTLlWAAEhxjA.jpg")</f>
        <v>https://pbs.twimg.com/media/FqyaTLlWAAEhxjA.jpg</v>
      </c>
      <c r="AW518" s="82" t="s">
        <v>17291</v>
      </c>
      <c r="AX518" s="82" t="s">
        <v>17291</v>
      </c>
      <c r="AY518" s="77"/>
      <c r="AZ518" s="82" t="s">
        <v>20971</v>
      </c>
      <c r="BA518" s="82" t="s">
        <v>20971</v>
      </c>
      <c r="BB518" s="82" t="s">
        <v>20971</v>
      </c>
      <c r="BC518" s="82" t="s">
        <v>17291</v>
      </c>
      <c r="BD518" s="77">
        <v>368384029</v>
      </c>
      <c r="BE518" s="77"/>
      <c r="BF518" s="77"/>
      <c r="BG518" s="77"/>
      <c r="BH518" s="77"/>
      <c r="BI518" s="77"/>
    </row>
    <row r="519" spans="1:61" x14ac:dyDescent="0.25">
      <c r="A519" s="62" t="s">
        <v>396</v>
      </c>
      <c r="B519" s="62" t="s">
        <v>396</v>
      </c>
      <c r="C519" s="63"/>
      <c r="D519" s="64"/>
      <c r="E519" s="65"/>
      <c r="F519" s="66"/>
      <c r="G519" s="63"/>
      <c r="H519" s="67"/>
      <c r="I519" s="68"/>
      <c r="J519" s="68"/>
      <c r="K519" s="32"/>
      <c r="L519" s="75">
        <v>519</v>
      </c>
      <c r="M519" s="75"/>
      <c r="N519" s="70"/>
      <c r="O519" s="77" t="s">
        <v>179</v>
      </c>
      <c r="P519" s="79">
        <v>45080.816296296296</v>
      </c>
      <c r="Q519" s="77" t="s">
        <v>1802</v>
      </c>
      <c r="R519" s="77">
        <v>0</v>
      </c>
      <c r="S519" s="77">
        <v>0</v>
      </c>
      <c r="T519" s="77">
        <v>0</v>
      </c>
      <c r="U519" s="77">
        <v>0</v>
      </c>
      <c r="V519" s="77">
        <v>10</v>
      </c>
      <c r="W519" s="82" t="s">
        <v>5533</v>
      </c>
      <c r="X519" s="77"/>
      <c r="Y519" s="77"/>
      <c r="Z519" s="77"/>
      <c r="AA519" s="77" t="s">
        <v>7903</v>
      </c>
      <c r="AB519" s="77" t="s">
        <v>10129</v>
      </c>
      <c r="AC519" s="82" t="s">
        <v>10144</v>
      </c>
      <c r="AD519" s="77" t="s">
        <v>10184</v>
      </c>
      <c r="AE519" s="80" t="str">
        <f>HYPERLINK("https://twitter.com/lrnevesofficial/status/1665079774941683714")</f>
        <v>https://twitter.com/lrnevesofficial/status/1665079774941683714</v>
      </c>
      <c r="AF519" s="79">
        <v>45080.816296296296</v>
      </c>
      <c r="AG519" s="85">
        <v>45080</v>
      </c>
      <c r="AH519" s="82" t="s">
        <v>10673</v>
      </c>
      <c r="AI519" s="77" t="b">
        <v>0</v>
      </c>
      <c r="AJ519" s="77"/>
      <c r="AK519" s="77"/>
      <c r="AL519" s="77"/>
      <c r="AM519" s="77"/>
      <c r="AN519" s="77"/>
      <c r="AO519" s="77"/>
      <c r="AP519" s="77"/>
      <c r="AQ519" s="77" t="s">
        <v>14547</v>
      </c>
      <c r="AR519" s="77">
        <v>15033</v>
      </c>
      <c r="AS519" s="77"/>
      <c r="AT519" s="77"/>
      <c r="AU519" s="77"/>
      <c r="AV519" s="80" t="str">
        <f>HYPERLINK("https://pbs.twimg.com/ext_tw_video_thumb/1665079745933979652/pu/img/MwILHBsiMSM4zlOY.jpg")</f>
        <v>https://pbs.twimg.com/ext_tw_video_thumb/1665079745933979652/pu/img/MwILHBsiMSM4zlOY.jpg</v>
      </c>
      <c r="AW519" s="82" t="s">
        <v>17292</v>
      </c>
      <c r="AX519" s="82" t="s">
        <v>17292</v>
      </c>
      <c r="AY519" s="77"/>
      <c r="AZ519" s="82" t="s">
        <v>20971</v>
      </c>
      <c r="BA519" s="82" t="s">
        <v>20971</v>
      </c>
      <c r="BB519" s="82" t="s">
        <v>20971</v>
      </c>
      <c r="BC519" s="82" t="s">
        <v>17292</v>
      </c>
      <c r="BD519" s="82" t="s">
        <v>21138</v>
      </c>
      <c r="BE519" s="77"/>
      <c r="BF519" s="77"/>
      <c r="BG519" s="77"/>
      <c r="BH519" s="77"/>
      <c r="BI519" s="77"/>
    </row>
    <row r="520" spans="1:61" x14ac:dyDescent="0.25">
      <c r="A520" s="62" t="s">
        <v>397</v>
      </c>
      <c r="B520" s="62" t="s">
        <v>397</v>
      </c>
      <c r="C520" s="63"/>
      <c r="D520" s="64"/>
      <c r="E520" s="65"/>
      <c r="F520" s="66"/>
      <c r="G520" s="63"/>
      <c r="H520" s="67"/>
      <c r="I520" s="68"/>
      <c r="J520" s="68"/>
      <c r="K520" s="32"/>
      <c r="L520" s="75">
        <v>520</v>
      </c>
      <c r="M520" s="75"/>
      <c r="N520" s="70"/>
      <c r="O520" s="77" t="s">
        <v>179</v>
      </c>
      <c r="P520" s="79">
        <v>44986.800891203704</v>
      </c>
      <c r="Q520" s="77" t="s">
        <v>1803</v>
      </c>
      <c r="R520" s="77">
        <v>0</v>
      </c>
      <c r="S520" s="77">
        <v>0</v>
      </c>
      <c r="T520" s="77">
        <v>0</v>
      </c>
      <c r="U520" s="77">
        <v>1</v>
      </c>
      <c r="V520" s="77">
        <v>78</v>
      </c>
      <c r="W520" s="82" t="s">
        <v>5534</v>
      </c>
      <c r="X520" s="80" t="str">
        <f>HYPERLINK("https://www.youtube.com/watch?v=cmFPOPERQ_g")</f>
        <v>https://www.youtube.com/watch?v=cmFPOPERQ_g</v>
      </c>
      <c r="Y520" s="77" t="s">
        <v>7303</v>
      </c>
      <c r="Z520" s="77"/>
      <c r="AA520" s="77"/>
      <c r="AB520" s="77"/>
      <c r="AC520" s="82" t="s">
        <v>10146</v>
      </c>
      <c r="AD520" s="77" t="s">
        <v>10184</v>
      </c>
      <c r="AE520" s="80" t="str">
        <f>HYPERLINK("https://twitter.com/onlinevieira/status/1631009732495278083")</f>
        <v>https://twitter.com/onlinevieira/status/1631009732495278083</v>
      </c>
      <c r="AF520" s="79">
        <v>44986.800891203704</v>
      </c>
      <c r="AG520" s="85">
        <v>44986</v>
      </c>
      <c r="AH520" s="82" t="s">
        <v>10674</v>
      </c>
      <c r="AI520" s="77" t="b">
        <v>0</v>
      </c>
      <c r="AJ520" s="77"/>
      <c r="AK520" s="77"/>
      <c r="AL520" s="77"/>
      <c r="AM520" s="77"/>
      <c r="AN520" s="77"/>
      <c r="AO520" s="77"/>
      <c r="AP520" s="77"/>
      <c r="AQ520" s="77"/>
      <c r="AR520" s="77"/>
      <c r="AS520" s="77"/>
      <c r="AT520" s="77"/>
      <c r="AU520" s="77"/>
      <c r="AV520" s="80" t="str">
        <f>HYPERLINK("https://pbs.twimg.com/profile_images/1588551655154499584/6uZNb8zC_normal.jpg")</f>
        <v>https://pbs.twimg.com/profile_images/1588551655154499584/6uZNb8zC_normal.jpg</v>
      </c>
      <c r="AW520" s="82" t="s">
        <v>17293</v>
      </c>
      <c r="AX520" s="82" t="s">
        <v>17293</v>
      </c>
      <c r="AY520" s="77"/>
      <c r="AZ520" s="82" t="s">
        <v>20971</v>
      </c>
      <c r="BA520" s="82" t="s">
        <v>20971</v>
      </c>
      <c r="BB520" s="82" t="s">
        <v>20971</v>
      </c>
      <c r="BC520" s="82" t="s">
        <v>17293</v>
      </c>
      <c r="BD520" s="82" t="s">
        <v>21139</v>
      </c>
      <c r="BE520" s="77"/>
      <c r="BF520" s="77"/>
      <c r="BG520" s="77"/>
      <c r="BH520" s="77"/>
      <c r="BI520" s="77"/>
    </row>
    <row r="521" spans="1:61" x14ac:dyDescent="0.25">
      <c r="A521" s="62" t="s">
        <v>397</v>
      </c>
      <c r="B521" s="62" t="s">
        <v>397</v>
      </c>
      <c r="C521" s="63"/>
      <c r="D521" s="64"/>
      <c r="E521" s="65"/>
      <c r="F521" s="66"/>
      <c r="G521" s="63"/>
      <c r="H521" s="67"/>
      <c r="I521" s="68"/>
      <c r="J521" s="68"/>
      <c r="K521" s="32"/>
      <c r="L521" s="75">
        <v>521</v>
      </c>
      <c r="M521" s="75"/>
      <c r="N521" s="70"/>
      <c r="O521" s="77" t="s">
        <v>179</v>
      </c>
      <c r="P521" s="79">
        <v>45009.770775462966</v>
      </c>
      <c r="Q521" s="77" t="s">
        <v>1804</v>
      </c>
      <c r="R521" s="77">
        <v>0</v>
      </c>
      <c r="S521" s="77">
        <v>0</v>
      </c>
      <c r="T521" s="77">
        <v>0</v>
      </c>
      <c r="U521" s="77">
        <v>0</v>
      </c>
      <c r="V521" s="77">
        <v>43</v>
      </c>
      <c r="W521" s="82" t="s">
        <v>5535</v>
      </c>
      <c r="X521" s="80" t="str">
        <f>HYPERLINK("https://www.youtube.com/watch?v=5I6Mwmi2Hxg")</f>
        <v>https://www.youtube.com/watch?v=5I6Mwmi2Hxg</v>
      </c>
      <c r="Y521" s="77" t="s">
        <v>7303</v>
      </c>
      <c r="Z521" s="77"/>
      <c r="AA521" s="77"/>
      <c r="AB521" s="77"/>
      <c r="AC521" s="82" t="s">
        <v>10146</v>
      </c>
      <c r="AD521" s="77" t="s">
        <v>10184</v>
      </c>
      <c r="AE521" s="80" t="str">
        <f>HYPERLINK("https://twitter.com/onlinevieira/status/1639333740454223874")</f>
        <v>https://twitter.com/onlinevieira/status/1639333740454223874</v>
      </c>
      <c r="AF521" s="79">
        <v>45009.770775462966</v>
      </c>
      <c r="AG521" s="85">
        <v>45009</v>
      </c>
      <c r="AH521" s="82" t="s">
        <v>10675</v>
      </c>
      <c r="AI521" s="77" t="b">
        <v>0</v>
      </c>
      <c r="AJ521" s="77"/>
      <c r="AK521" s="77"/>
      <c r="AL521" s="77"/>
      <c r="AM521" s="77"/>
      <c r="AN521" s="77"/>
      <c r="AO521" s="77"/>
      <c r="AP521" s="77"/>
      <c r="AQ521" s="77"/>
      <c r="AR521" s="77"/>
      <c r="AS521" s="77"/>
      <c r="AT521" s="77"/>
      <c r="AU521" s="77"/>
      <c r="AV521" s="80" t="str">
        <f>HYPERLINK("https://pbs.twimg.com/profile_images/1588551655154499584/6uZNb8zC_normal.jpg")</f>
        <v>https://pbs.twimg.com/profile_images/1588551655154499584/6uZNb8zC_normal.jpg</v>
      </c>
      <c r="AW521" s="82" t="s">
        <v>17294</v>
      </c>
      <c r="AX521" s="82" t="s">
        <v>17294</v>
      </c>
      <c r="AY521" s="77"/>
      <c r="AZ521" s="82" t="s">
        <v>20971</v>
      </c>
      <c r="BA521" s="82" t="s">
        <v>20971</v>
      </c>
      <c r="BB521" s="82" t="s">
        <v>20971</v>
      </c>
      <c r="BC521" s="82" t="s">
        <v>17294</v>
      </c>
      <c r="BD521" s="82" t="s">
        <v>21139</v>
      </c>
      <c r="BE521" s="77"/>
      <c r="BF521" s="77"/>
      <c r="BG521" s="77"/>
      <c r="BH521" s="77"/>
      <c r="BI521" s="77"/>
    </row>
    <row r="522" spans="1:61" x14ac:dyDescent="0.25">
      <c r="A522" s="62" t="s">
        <v>398</v>
      </c>
      <c r="B522" s="62" t="s">
        <v>398</v>
      </c>
      <c r="C522" s="63"/>
      <c r="D522" s="64"/>
      <c r="E522" s="65"/>
      <c r="F522" s="66"/>
      <c r="G522" s="63"/>
      <c r="H522" s="67"/>
      <c r="I522" s="68"/>
      <c r="J522" s="68"/>
      <c r="K522" s="32"/>
      <c r="L522" s="75">
        <v>522</v>
      </c>
      <c r="M522" s="75"/>
      <c r="N522" s="70"/>
      <c r="O522" s="77" t="s">
        <v>179</v>
      </c>
      <c r="P522" s="79">
        <v>45031.63753472222</v>
      </c>
      <c r="Q522" s="77" t="s">
        <v>1805</v>
      </c>
      <c r="R522" s="77">
        <v>0</v>
      </c>
      <c r="S522" s="77">
        <v>1</v>
      </c>
      <c r="T522" s="77">
        <v>0</v>
      </c>
      <c r="U522" s="77">
        <v>0</v>
      </c>
      <c r="V522" s="77">
        <v>50</v>
      </c>
      <c r="W522" s="82" t="s">
        <v>5536</v>
      </c>
      <c r="X522" s="77"/>
      <c r="Y522" s="77"/>
      <c r="Z522" s="77"/>
      <c r="AA522" s="77" t="s">
        <v>7904</v>
      </c>
      <c r="AB522" s="77" t="s">
        <v>10132</v>
      </c>
      <c r="AC522" s="82" t="s">
        <v>10144</v>
      </c>
      <c r="AD522" s="77" t="s">
        <v>10184</v>
      </c>
      <c r="AE522" s="80" t="str">
        <f>HYPERLINK("https://twitter.com/rainhadosjogoss/status/1647257988015554562")</f>
        <v>https://twitter.com/rainhadosjogoss/status/1647257988015554562</v>
      </c>
      <c r="AF522" s="79">
        <v>45031.63753472222</v>
      </c>
      <c r="AG522" s="85">
        <v>45031</v>
      </c>
      <c r="AH522" s="82" t="s">
        <v>10676</v>
      </c>
      <c r="AI522" s="77" t="b">
        <v>0</v>
      </c>
      <c r="AJ522" s="77"/>
      <c r="AK522" s="77"/>
      <c r="AL522" s="77"/>
      <c r="AM522" s="77"/>
      <c r="AN522" s="77"/>
      <c r="AO522" s="77"/>
      <c r="AP522" s="77"/>
      <c r="AQ522" s="77" t="s">
        <v>14548</v>
      </c>
      <c r="AR522" s="77"/>
      <c r="AS522" s="77"/>
      <c r="AT522" s="77"/>
      <c r="AU522" s="77"/>
      <c r="AV522" s="80" t="str">
        <f>HYPERLINK("https://pbs.twimg.com/media/Ftw8YxaWwAAXtX8.jpg")</f>
        <v>https://pbs.twimg.com/media/Ftw8YxaWwAAXtX8.jpg</v>
      </c>
      <c r="AW522" s="82" t="s">
        <v>17295</v>
      </c>
      <c r="AX522" s="82" t="s">
        <v>17295</v>
      </c>
      <c r="AY522" s="77"/>
      <c r="AZ522" s="82" t="s">
        <v>20971</v>
      </c>
      <c r="BA522" s="82" t="s">
        <v>20971</v>
      </c>
      <c r="BB522" s="82" t="s">
        <v>20971</v>
      </c>
      <c r="BC522" s="82" t="s">
        <v>17295</v>
      </c>
      <c r="BD522" s="82" t="s">
        <v>21140</v>
      </c>
      <c r="BE522" s="77"/>
      <c r="BF522" s="77"/>
      <c r="BG522" s="77"/>
      <c r="BH522" s="77"/>
      <c r="BI522" s="77"/>
    </row>
    <row r="523" spans="1:61" x14ac:dyDescent="0.25">
      <c r="A523" s="62" t="s">
        <v>399</v>
      </c>
      <c r="B523" s="62" t="s">
        <v>399</v>
      </c>
      <c r="C523" s="63"/>
      <c r="D523" s="64"/>
      <c r="E523" s="65"/>
      <c r="F523" s="66"/>
      <c r="G523" s="63"/>
      <c r="H523" s="67"/>
      <c r="I523" s="68"/>
      <c r="J523" s="68"/>
      <c r="K523" s="32"/>
      <c r="L523" s="75">
        <v>523</v>
      </c>
      <c r="M523" s="75"/>
      <c r="N523" s="70"/>
      <c r="O523" s="77" t="s">
        <v>179</v>
      </c>
      <c r="P523" s="79">
        <v>45152.915914351855</v>
      </c>
      <c r="Q523" s="77" t="s">
        <v>1806</v>
      </c>
      <c r="R523" s="77">
        <v>0</v>
      </c>
      <c r="S523" s="77">
        <v>0</v>
      </c>
      <c r="T523" s="77">
        <v>0</v>
      </c>
      <c r="U523" s="77">
        <v>0</v>
      </c>
      <c r="V523" s="77">
        <v>153</v>
      </c>
      <c r="W523" s="82" t="s">
        <v>5537</v>
      </c>
      <c r="X523" s="77"/>
      <c r="Y523" s="77"/>
      <c r="Z523" s="77"/>
      <c r="AA523" s="77" t="s">
        <v>7905</v>
      </c>
      <c r="AB523" s="77" t="s">
        <v>10130</v>
      </c>
      <c r="AC523" s="82" t="s">
        <v>10145</v>
      </c>
      <c r="AD523" s="77" t="s">
        <v>10184</v>
      </c>
      <c r="AE523" s="80" t="str">
        <f>HYPERLINK("https://twitter.com/victormaceio/status/1691207799240368128")</f>
        <v>https://twitter.com/victormaceio/status/1691207799240368128</v>
      </c>
      <c r="AF523" s="79">
        <v>45152.915914351855</v>
      </c>
      <c r="AG523" s="85">
        <v>45152</v>
      </c>
      <c r="AH523" s="82" t="s">
        <v>10677</v>
      </c>
      <c r="AI523" s="77" t="b">
        <v>0</v>
      </c>
      <c r="AJ523" s="77"/>
      <c r="AK523" s="77"/>
      <c r="AL523" s="77"/>
      <c r="AM523" s="77"/>
      <c r="AN523" s="77"/>
      <c r="AO523" s="77"/>
      <c r="AP523" s="77"/>
      <c r="AQ523" s="77" t="s">
        <v>14549</v>
      </c>
      <c r="AR523" s="77"/>
      <c r="AS523" s="77"/>
      <c r="AT523" s="77"/>
      <c r="AU523" s="77"/>
      <c r="AV523" s="80" t="str">
        <f>HYPERLINK("https://pbs.twimg.com/media/F3hghX9W4AERJ1Y.jpg")</f>
        <v>https://pbs.twimg.com/media/F3hghX9W4AERJ1Y.jpg</v>
      </c>
      <c r="AW523" s="82" t="s">
        <v>17296</v>
      </c>
      <c r="AX523" s="82" t="s">
        <v>17296</v>
      </c>
      <c r="AY523" s="77"/>
      <c r="AZ523" s="82" t="s">
        <v>20971</v>
      </c>
      <c r="BA523" s="82" t="s">
        <v>20971</v>
      </c>
      <c r="BB523" s="82" t="s">
        <v>20971</v>
      </c>
      <c r="BC523" s="82" t="s">
        <v>17296</v>
      </c>
      <c r="BD523" s="82" t="s">
        <v>21141</v>
      </c>
      <c r="BE523" s="77"/>
      <c r="BF523" s="77"/>
      <c r="BG523" s="77"/>
      <c r="BH523" s="77"/>
      <c r="BI523" s="77"/>
    </row>
    <row r="524" spans="1:61" x14ac:dyDescent="0.25">
      <c r="A524" s="62" t="s">
        <v>400</v>
      </c>
      <c r="B524" s="62" t="s">
        <v>400</v>
      </c>
      <c r="C524" s="63"/>
      <c r="D524" s="64"/>
      <c r="E524" s="65"/>
      <c r="F524" s="66"/>
      <c r="G524" s="63"/>
      <c r="H524" s="67"/>
      <c r="I524" s="68"/>
      <c r="J524" s="68"/>
      <c r="K524" s="32"/>
      <c r="L524" s="75">
        <v>524</v>
      </c>
      <c r="M524" s="75"/>
      <c r="N524" s="70"/>
      <c r="O524" s="77" t="s">
        <v>179</v>
      </c>
      <c r="P524" s="79">
        <v>45182.05369212963</v>
      </c>
      <c r="Q524" s="77" t="s">
        <v>1807</v>
      </c>
      <c r="R524" s="77">
        <v>0</v>
      </c>
      <c r="S524" s="77">
        <v>0</v>
      </c>
      <c r="T524" s="77">
        <v>0</v>
      </c>
      <c r="U524" s="77">
        <v>0</v>
      </c>
      <c r="V524" s="77">
        <v>8</v>
      </c>
      <c r="W524" s="82" t="s">
        <v>5538</v>
      </c>
      <c r="X524" s="77"/>
      <c r="Y524" s="77"/>
      <c r="Z524" s="77"/>
      <c r="AA524" s="77" t="s">
        <v>7906</v>
      </c>
      <c r="AB524" s="77" t="s">
        <v>10130</v>
      </c>
      <c r="AC524" s="82" t="s">
        <v>10146</v>
      </c>
      <c r="AD524" s="77" t="s">
        <v>10184</v>
      </c>
      <c r="AE524" s="80" t="str">
        <f>HYPERLINK("https://twitter.com/lucrarcomreceit/status/1701766979240046661")</f>
        <v>https://twitter.com/lucrarcomreceit/status/1701766979240046661</v>
      </c>
      <c r="AF524" s="79">
        <v>45182.05369212963</v>
      </c>
      <c r="AG524" s="85">
        <v>45182</v>
      </c>
      <c r="AH524" s="82" t="s">
        <v>10678</v>
      </c>
      <c r="AI524" s="77" t="b">
        <v>0</v>
      </c>
      <c r="AJ524" s="77"/>
      <c r="AK524" s="77"/>
      <c r="AL524" s="77"/>
      <c r="AM524" s="77"/>
      <c r="AN524" s="77"/>
      <c r="AO524" s="77"/>
      <c r="AP524" s="77"/>
      <c r="AQ524" s="77" t="s">
        <v>14550</v>
      </c>
      <c r="AR524" s="77"/>
      <c r="AS524" s="77"/>
      <c r="AT524" s="77"/>
      <c r="AU524" s="77"/>
      <c r="AV524" s="80" t="str">
        <f>HYPERLINK("https://pbs.twimg.com/media/F53j5yHWcAAogzq.jpg")</f>
        <v>https://pbs.twimg.com/media/F53j5yHWcAAogzq.jpg</v>
      </c>
      <c r="AW524" s="82" t="s">
        <v>17297</v>
      </c>
      <c r="AX524" s="82" t="s">
        <v>17297</v>
      </c>
      <c r="AY524" s="77"/>
      <c r="AZ524" s="82" t="s">
        <v>20971</v>
      </c>
      <c r="BA524" s="82" t="s">
        <v>20971</v>
      </c>
      <c r="BB524" s="82" t="s">
        <v>20971</v>
      </c>
      <c r="BC524" s="82" t="s">
        <v>17297</v>
      </c>
      <c r="BD524" s="82" t="s">
        <v>21142</v>
      </c>
      <c r="BE524" s="77"/>
      <c r="BF524" s="77"/>
      <c r="BG524" s="77"/>
      <c r="BH524" s="77"/>
      <c r="BI524" s="77"/>
    </row>
    <row r="525" spans="1:61" x14ac:dyDescent="0.25">
      <c r="A525" s="62" t="s">
        <v>401</v>
      </c>
      <c r="B525" s="62" t="s">
        <v>401</v>
      </c>
      <c r="C525" s="63"/>
      <c r="D525" s="64"/>
      <c r="E525" s="65"/>
      <c r="F525" s="66"/>
      <c r="G525" s="63"/>
      <c r="H525" s="67"/>
      <c r="I525" s="68"/>
      <c r="J525" s="68"/>
      <c r="K525" s="32"/>
      <c r="L525" s="75">
        <v>525</v>
      </c>
      <c r="M525" s="75"/>
      <c r="N525" s="70"/>
      <c r="O525" s="77" t="s">
        <v>179</v>
      </c>
      <c r="P525" s="79">
        <v>44983.775543981479</v>
      </c>
      <c r="Q525" s="77" t="s">
        <v>1808</v>
      </c>
      <c r="R525" s="77">
        <v>0</v>
      </c>
      <c r="S525" s="77">
        <v>0</v>
      </c>
      <c r="T525" s="77">
        <v>0</v>
      </c>
      <c r="U525" s="77">
        <v>0</v>
      </c>
      <c r="V525" s="77">
        <v>53</v>
      </c>
      <c r="W525" s="82" t="s">
        <v>5335</v>
      </c>
      <c r="X525" s="77"/>
      <c r="Y525" s="77"/>
      <c r="Z525" s="77"/>
      <c r="AA525" s="77" t="s">
        <v>7907</v>
      </c>
      <c r="AB525" s="77" t="s">
        <v>10129</v>
      </c>
      <c r="AC525" s="82" t="s">
        <v>10144</v>
      </c>
      <c r="AD525" s="77" t="s">
        <v>10184</v>
      </c>
      <c r="AE525" s="80" t="str">
        <f>HYPERLINK("https://twitter.com/sarita19amt/status/1629913384396238849")</f>
        <v>https://twitter.com/sarita19amt/status/1629913384396238849</v>
      </c>
      <c r="AF525" s="79">
        <v>44983.775543981479</v>
      </c>
      <c r="AG525" s="85">
        <v>44983</v>
      </c>
      <c r="AH525" s="82" t="s">
        <v>10679</v>
      </c>
      <c r="AI525" s="77" t="b">
        <v>0</v>
      </c>
      <c r="AJ525" s="77"/>
      <c r="AK525" s="77"/>
      <c r="AL525" s="77"/>
      <c r="AM525" s="77"/>
      <c r="AN525" s="77"/>
      <c r="AO525" s="77"/>
      <c r="AP525" s="77"/>
      <c r="AQ525" s="77" t="s">
        <v>14551</v>
      </c>
      <c r="AR525" s="77">
        <v>5033</v>
      </c>
      <c r="AS525" s="77"/>
      <c r="AT525" s="77"/>
      <c r="AU525" s="77"/>
      <c r="AV525" s="80" t="str">
        <f>HYPERLINK("https://pbs.twimg.com/ext_tw_video_thumb/1629913364674621445/pu/img/Sn9Y492C2Dy2zsgc.jpg")</f>
        <v>https://pbs.twimg.com/ext_tw_video_thumb/1629913364674621445/pu/img/Sn9Y492C2Dy2zsgc.jpg</v>
      </c>
      <c r="AW525" s="82" t="s">
        <v>17298</v>
      </c>
      <c r="AX525" s="82" t="s">
        <v>17298</v>
      </c>
      <c r="AY525" s="77"/>
      <c r="AZ525" s="82" t="s">
        <v>20971</v>
      </c>
      <c r="BA525" s="82" t="s">
        <v>20971</v>
      </c>
      <c r="BB525" s="82" t="s">
        <v>20971</v>
      </c>
      <c r="BC525" s="82" t="s">
        <v>17298</v>
      </c>
      <c r="BD525" s="82" t="s">
        <v>21143</v>
      </c>
      <c r="BE525" s="77"/>
      <c r="BF525" s="77"/>
      <c r="BG525" s="77"/>
      <c r="BH525" s="77"/>
      <c r="BI525" s="77"/>
    </row>
    <row r="526" spans="1:61" x14ac:dyDescent="0.25">
      <c r="A526" s="62" t="s">
        <v>402</v>
      </c>
      <c r="B526" s="62" t="s">
        <v>402</v>
      </c>
      <c r="C526" s="63"/>
      <c r="D526" s="64"/>
      <c r="E526" s="65"/>
      <c r="F526" s="66"/>
      <c r="G526" s="63"/>
      <c r="H526" s="67"/>
      <c r="I526" s="68"/>
      <c r="J526" s="68"/>
      <c r="K526" s="32"/>
      <c r="L526" s="75">
        <v>526</v>
      </c>
      <c r="M526" s="75"/>
      <c r="N526" s="70"/>
      <c r="O526" s="77" t="s">
        <v>179</v>
      </c>
      <c r="P526" s="79">
        <v>45058.855567129627</v>
      </c>
      <c r="Q526" s="77" t="s">
        <v>1809</v>
      </c>
      <c r="R526" s="77">
        <v>0</v>
      </c>
      <c r="S526" s="77">
        <v>3</v>
      </c>
      <c r="T526" s="77">
        <v>2</v>
      </c>
      <c r="U526" s="77">
        <v>0</v>
      </c>
      <c r="V526" s="77">
        <v>320</v>
      </c>
      <c r="W526" s="82" t="s">
        <v>5539</v>
      </c>
      <c r="X526" s="80" t="str">
        <f>HYPERLINK("https://game.brlwin.com/?code=vzujmv")</f>
        <v>https://game.brlwin.com/?code=vzujmv</v>
      </c>
      <c r="Y526" s="77" t="s">
        <v>7304</v>
      </c>
      <c r="Z526" s="77"/>
      <c r="AA526" s="77" t="s">
        <v>7908</v>
      </c>
      <c r="AB526" s="77" t="s">
        <v>10130</v>
      </c>
      <c r="AC526" s="82" t="s">
        <v>10145</v>
      </c>
      <c r="AD526" s="77" t="s">
        <v>10184</v>
      </c>
      <c r="AE526" s="80" t="str">
        <f>HYPERLINK("https://twitter.com/slotsdalua/status/1657121473981566994")</f>
        <v>https://twitter.com/slotsdalua/status/1657121473981566994</v>
      </c>
      <c r="AF526" s="79">
        <v>45058.855567129627</v>
      </c>
      <c r="AG526" s="85">
        <v>45058</v>
      </c>
      <c r="AH526" s="82" t="s">
        <v>10680</v>
      </c>
      <c r="AI526" s="77" t="b">
        <v>0</v>
      </c>
      <c r="AJ526" s="77"/>
      <c r="AK526" s="77"/>
      <c r="AL526" s="77"/>
      <c r="AM526" s="77"/>
      <c r="AN526" s="77"/>
      <c r="AO526" s="77"/>
      <c r="AP526" s="77"/>
      <c r="AQ526" s="77" t="s">
        <v>14552</v>
      </c>
      <c r="AR526" s="77"/>
      <c r="AS526" s="77"/>
      <c r="AT526" s="77"/>
      <c r="AU526" s="77"/>
      <c r="AV526" s="80" t="str">
        <f>HYPERLINK("https://pbs.twimg.com/media/Fv9HMmlX0CsOB-4.jpg")</f>
        <v>https://pbs.twimg.com/media/Fv9HMmlX0CsOB-4.jpg</v>
      </c>
      <c r="AW526" s="82" t="s">
        <v>17299</v>
      </c>
      <c r="AX526" s="82" t="s">
        <v>17299</v>
      </c>
      <c r="AY526" s="77"/>
      <c r="AZ526" s="82" t="s">
        <v>20971</v>
      </c>
      <c r="BA526" s="82" t="s">
        <v>20971</v>
      </c>
      <c r="BB526" s="82" t="s">
        <v>20971</v>
      </c>
      <c r="BC526" s="82" t="s">
        <v>17299</v>
      </c>
      <c r="BD526" s="82" t="s">
        <v>21144</v>
      </c>
      <c r="BE526" s="77"/>
      <c r="BF526" s="77"/>
      <c r="BG526" s="77"/>
      <c r="BH526" s="77"/>
      <c r="BI526" s="77"/>
    </row>
    <row r="527" spans="1:61" x14ac:dyDescent="0.25">
      <c r="A527" s="62" t="s">
        <v>403</v>
      </c>
      <c r="B527" s="62" t="s">
        <v>403</v>
      </c>
      <c r="C527" s="63"/>
      <c r="D527" s="64"/>
      <c r="E527" s="65"/>
      <c r="F527" s="66"/>
      <c r="G527" s="63"/>
      <c r="H527" s="67"/>
      <c r="I527" s="68"/>
      <c r="J527" s="68"/>
      <c r="K527" s="32"/>
      <c r="L527" s="75">
        <v>527</v>
      </c>
      <c r="M527" s="75"/>
      <c r="N527" s="70"/>
      <c r="O527" s="77" t="s">
        <v>179</v>
      </c>
      <c r="P527" s="79">
        <v>45019.863495370373</v>
      </c>
      <c r="Q527" s="77" t="s">
        <v>1810</v>
      </c>
      <c r="R527" s="77">
        <v>0</v>
      </c>
      <c r="S527" s="77">
        <v>0</v>
      </c>
      <c r="T527" s="77">
        <v>0</v>
      </c>
      <c r="U527" s="77">
        <v>0</v>
      </c>
      <c r="V527" s="77">
        <v>29</v>
      </c>
      <c r="W527" s="82" t="s">
        <v>5540</v>
      </c>
      <c r="X527" s="77"/>
      <c r="Y527" s="77"/>
      <c r="Z527" s="77"/>
      <c r="AA527" s="77"/>
      <c r="AB527" s="77"/>
      <c r="AC527" s="82" t="s">
        <v>10145</v>
      </c>
      <c r="AD527" s="77" t="s">
        <v>10184</v>
      </c>
      <c r="AE527" s="80" t="str">
        <f>HYPERLINK("https://twitter.com/hebbermasc/status/1642991216907124742")</f>
        <v>https://twitter.com/hebbermasc/status/1642991216907124742</v>
      </c>
      <c r="AF527" s="79">
        <v>45019.863495370373</v>
      </c>
      <c r="AG527" s="85">
        <v>45019</v>
      </c>
      <c r="AH527" s="82" t="s">
        <v>10681</v>
      </c>
      <c r="AI527" s="77"/>
      <c r="AJ527" s="77"/>
      <c r="AK527" s="77"/>
      <c r="AL527" s="77"/>
      <c r="AM527" s="77"/>
      <c r="AN527" s="77"/>
      <c r="AO527" s="77"/>
      <c r="AP527" s="77"/>
      <c r="AQ527" s="77"/>
      <c r="AR527" s="77"/>
      <c r="AS527" s="77"/>
      <c r="AT527" s="77"/>
      <c r="AU527" s="77"/>
      <c r="AV527" s="80" t="str">
        <f>HYPERLINK("https://pbs.twimg.com/profile_images/1642719924882661378/XOAKn0rm_normal.jpg")</f>
        <v>https://pbs.twimg.com/profile_images/1642719924882661378/XOAKn0rm_normal.jpg</v>
      </c>
      <c r="AW527" s="82" t="s">
        <v>17300</v>
      </c>
      <c r="AX527" s="82" t="s">
        <v>17300</v>
      </c>
      <c r="AY527" s="77"/>
      <c r="AZ527" s="82" t="s">
        <v>20971</v>
      </c>
      <c r="BA527" s="82" t="s">
        <v>20971</v>
      </c>
      <c r="BB527" s="82" t="s">
        <v>20971</v>
      </c>
      <c r="BC527" s="82" t="s">
        <v>17300</v>
      </c>
      <c r="BD527" s="82" t="s">
        <v>21145</v>
      </c>
      <c r="BE527" s="77"/>
      <c r="BF527" s="77"/>
      <c r="BG527" s="77"/>
      <c r="BH527" s="77"/>
      <c r="BI527" s="77"/>
    </row>
    <row r="528" spans="1:61" x14ac:dyDescent="0.25">
      <c r="A528" s="62" t="s">
        <v>403</v>
      </c>
      <c r="B528" s="62" t="s">
        <v>403</v>
      </c>
      <c r="C528" s="63"/>
      <c r="D528" s="64"/>
      <c r="E528" s="65"/>
      <c r="F528" s="66"/>
      <c r="G528" s="63"/>
      <c r="H528" s="67"/>
      <c r="I528" s="68"/>
      <c r="J528" s="68"/>
      <c r="K528" s="32"/>
      <c r="L528" s="75">
        <v>528</v>
      </c>
      <c r="M528" s="75"/>
      <c r="N528" s="70"/>
      <c r="O528" s="77" t="s">
        <v>179</v>
      </c>
      <c r="P528" s="79">
        <v>45019.120219907411</v>
      </c>
      <c r="Q528" s="77" t="s">
        <v>1811</v>
      </c>
      <c r="R528" s="77">
        <v>0</v>
      </c>
      <c r="S528" s="77">
        <v>0</v>
      </c>
      <c r="T528" s="77">
        <v>0</v>
      </c>
      <c r="U528" s="77">
        <v>0</v>
      </c>
      <c r="V528" s="77">
        <v>29</v>
      </c>
      <c r="W528" s="82" t="s">
        <v>5541</v>
      </c>
      <c r="X528" s="77"/>
      <c r="Y528" s="77"/>
      <c r="Z528" s="77"/>
      <c r="AA528" s="77" t="s">
        <v>7909</v>
      </c>
      <c r="AB528" s="77" t="s">
        <v>10130</v>
      </c>
      <c r="AC528" s="82" t="s">
        <v>10145</v>
      </c>
      <c r="AD528" s="77" t="s">
        <v>10184</v>
      </c>
      <c r="AE528" s="80" t="str">
        <f>HYPERLINK("https://twitter.com/hebbermasc/status/1642721863133454336")</f>
        <v>https://twitter.com/hebbermasc/status/1642721863133454336</v>
      </c>
      <c r="AF528" s="79">
        <v>45019.120219907411</v>
      </c>
      <c r="AG528" s="85">
        <v>45019</v>
      </c>
      <c r="AH528" s="82" t="s">
        <v>10682</v>
      </c>
      <c r="AI528" s="77" t="b">
        <v>0</v>
      </c>
      <c r="AJ528" s="77"/>
      <c r="AK528" s="77"/>
      <c r="AL528" s="77"/>
      <c r="AM528" s="77"/>
      <c r="AN528" s="77"/>
      <c r="AO528" s="77"/>
      <c r="AP528" s="77"/>
      <c r="AQ528" s="77" t="s">
        <v>14553</v>
      </c>
      <c r="AR528" s="77"/>
      <c r="AS528" s="77"/>
      <c r="AT528" s="77"/>
      <c r="AU528" s="77"/>
      <c r="AV528" s="80" t="str">
        <f>HYPERLINK("https://pbs.twimg.com/media/Fswe01EXoAAUNXn.jpg")</f>
        <v>https://pbs.twimg.com/media/Fswe01EXoAAUNXn.jpg</v>
      </c>
      <c r="AW528" s="82" t="s">
        <v>17301</v>
      </c>
      <c r="AX528" s="82" t="s">
        <v>17301</v>
      </c>
      <c r="AY528" s="77"/>
      <c r="AZ528" s="82" t="s">
        <v>20971</v>
      </c>
      <c r="BA528" s="82" t="s">
        <v>20971</v>
      </c>
      <c r="BB528" s="82" t="s">
        <v>20971</v>
      </c>
      <c r="BC528" s="82" t="s">
        <v>17301</v>
      </c>
      <c r="BD528" s="82" t="s">
        <v>21145</v>
      </c>
      <c r="BE528" s="77"/>
      <c r="BF528" s="77"/>
      <c r="BG528" s="77"/>
      <c r="BH528" s="77"/>
      <c r="BI528" s="77"/>
    </row>
    <row r="529" spans="1:61" x14ac:dyDescent="0.25">
      <c r="A529" s="62" t="s">
        <v>404</v>
      </c>
      <c r="B529" s="62" t="s">
        <v>404</v>
      </c>
      <c r="C529" s="63"/>
      <c r="D529" s="64"/>
      <c r="E529" s="65"/>
      <c r="F529" s="66"/>
      <c r="G529" s="63"/>
      <c r="H529" s="67"/>
      <c r="I529" s="68"/>
      <c r="J529" s="68"/>
      <c r="K529" s="32"/>
      <c r="L529" s="75">
        <v>529</v>
      </c>
      <c r="M529" s="75"/>
      <c r="N529" s="70"/>
      <c r="O529" s="77" t="s">
        <v>179</v>
      </c>
      <c r="P529" s="79">
        <v>44982.005740740744</v>
      </c>
      <c r="Q529" s="77" t="s">
        <v>1812</v>
      </c>
      <c r="R529" s="77">
        <v>0</v>
      </c>
      <c r="S529" s="77">
        <v>2</v>
      </c>
      <c r="T529" s="77">
        <v>0</v>
      </c>
      <c r="U529" s="77">
        <v>0</v>
      </c>
      <c r="V529" s="77">
        <v>70</v>
      </c>
      <c r="W529" s="82" t="s">
        <v>5542</v>
      </c>
      <c r="X529" s="77"/>
      <c r="Y529" s="77"/>
      <c r="Z529" s="77"/>
      <c r="AA529" s="77" t="s">
        <v>7910</v>
      </c>
      <c r="AB529" s="77" t="s">
        <v>10129</v>
      </c>
      <c r="AC529" s="82" t="s">
        <v>10144</v>
      </c>
      <c r="AD529" s="77" t="s">
        <v>10183</v>
      </c>
      <c r="AE529" s="80" t="str">
        <f>HYPERLINK("https://twitter.com/tradersaed/status/1629272028774539265")</f>
        <v>https://twitter.com/tradersaed/status/1629272028774539265</v>
      </c>
      <c r="AF529" s="79">
        <v>44982.005740740744</v>
      </c>
      <c r="AG529" s="85">
        <v>44982</v>
      </c>
      <c r="AH529" s="82" t="s">
        <v>10683</v>
      </c>
      <c r="AI529" s="77" t="b">
        <v>0</v>
      </c>
      <c r="AJ529" s="77"/>
      <c r="AK529" s="77"/>
      <c r="AL529" s="77"/>
      <c r="AM529" s="77"/>
      <c r="AN529" s="77"/>
      <c r="AO529" s="77"/>
      <c r="AP529" s="77"/>
      <c r="AQ529" s="77" t="s">
        <v>14554</v>
      </c>
      <c r="AR529" s="77">
        <v>23733</v>
      </c>
      <c r="AS529" s="77"/>
      <c r="AT529" s="77"/>
      <c r="AU529" s="77"/>
      <c r="AV529" s="80" t="str">
        <f>HYPERLINK("https://pbs.twimg.com/ext_tw_video_thumb/1629271989163634689/pu/img/z6m76oChO9iV90iG.jpg")</f>
        <v>https://pbs.twimg.com/ext_tw_video_thumb/1629271989163634689/pu/img/z6m76oChO9iV90iG.jpg</v>
      </c>
      <c r="AW529" s="82" t="s">
        <v>17302</v>
      </c>
      <c r="AX529" s="82" t="s">
        <v>17302</v>
      </c>
      <c r="AY529" s="77"/>
      <c r="AZ529" s="82" t="s">
        <v>20971</v>
      </c>
      <c r="BA529" s="82" t="s">
        <v>20971</v>
      </c>
      <c r="BB529" s="82" t="s">
        <v>20971</v>
      </c>
      <c r="BC529" s="82" t="s">
        <v>17302</v>
      </c>
      <c r="BD529" s="82" t="s">
        <v>21146</v>
      </c>
      <c r="BE529" s="77"/>
      <c r="BF529" s="77"/>
      <c r="BG529" s="77"/>
      <c r="BH529" s="77"/>
      <c r="BI529" s="77"/>
    </row>
    <row r="530" spans="1:61" x14ac:dyDescent="0.25">
      <c r="A530" s="62" t="s">
        <v>405</v>
      </c>
      <c r="B530" s="62" t="s">
        <v>405</v>
      </c>
      <c r="C530" s="63"/>
      <c r="D530" s="64"/>
      <c r="E530" s="65"/>
      <c r="F530" s="66"/>
      <c r="G530" s="63"/>
      <c r="H530" s="67"/>
      <c r="I530" s="68"/>
      <c r="J530" s="68"/>
      <c r="K530" s="32"/>
      <c r="L530" s="75">
        <v>530</v>
      </c>
      <c r="M530" s="75"/>
      <c r="N530" s="70"/>
      <c r="O530" s="77" t="s">
        <v>179</v>
      </c>
      <c r="P530" s="79">
        <v>45161.671076388891</v>
      </c>
      <c r="Q530" s="77" t="s">
        <v>1813</v>
      </c>
      <c r="R530" s="77">
        <v>1</v>
      </c>
      <c r="S530" s="77">
        <v>1</v>
      </c>
      <c r="T530" s="77">
        <v>0</v>
      </c>
      <c r="U530" s="77">
        <v>0</v>
      </c>
      <c r="V530" s="77">
        <v>34</v>
      </c>
      <c r="W530" s="82" t="s">
        <v>5543</v>
      </c>
      <c r="X530" s="77"/>
      <c r="Y530" s="77"/>
      <c r="Z530" s="77"/>
      <c r="AA530" s="77" t="s">
        <v>7911</v>
      </c>
      <c r="AB530" s="77" t="s">
        <v>10130</v>
      </c>
      <c r="AC530" s="82" t="s">
        <v>10145</v>
      </c>
      <c r="AD530" s="77" t="s">
        <v>10184</v>
      </c>
      <c r="AE530" s="80" t="str">
        <f>HYPERLINK("https://twitter.com/beyourscompany/status/1694380565070291160")</f>
        <v>https://twitter.com/beyourscompany/status/1694380565070291160</v>
      </c>
      <c r="AF530" s="79">
        <v>45161.671076388891</v>
      </c>
      <c r="AG530" s="85">
        <v>45161</v>
      </c>
      <c r="AH530" s="82" t="s">
        <v>10684</v>
      </c>
      <c r="AI530" s="77" t="b">
        <v>0</v>
      </c>
      <c r="AJ530" s="77"/>
      <c r="AK530" s="77"/>
      <c r="AL530" s="77"/>
      <c r="AM530" s="77"/>
      <c r="AN530" s="77"/>
      <c r="AO530" s="77"/>
      <c r="AP530" s="77"/>
      <c r="AQ530" s="77" t="s">
        <v>14555</v>
      </c>
      <c r="AR530" s="77"/>
      <c r="AS530" s="77"/>
      <c r="AT530" s="77"/>
      <c r="AU530" s="77"/>
      <c r="AV530" s="80" t="str">
        <f>HYPERLINK("https://pbs.twimg.com/media/F4OmJJFXgAAkhPR.jpg")</f>
        <v>https://pbs.twimg.com/media/F4OmJJFXgAAkhPR.jpg</v>
      </c>
      <c r="AW530" s="82" t="s">
        <v>17303</v>
      </c>
      <c r="AX530" s="82" t="s">
        <v>17303</v>
      </c>
      <c r="AY530" s="77"/>
      <c r="AZ530" s="82" t="s">
        <v>20971</v>
      </c>
      <c r="BA530" s="82" t="s">
        <v>20971</v>
      </c>
      <c r="BB530" s="82" t="s">
        <v>20971</v>
      </c>
      <c r="BC530" s="82" t="s">
        <v>17303</v>
      </c>
      <c r="BD530" s="82" t="s">
        <v>21147</v>
      </c>
      <c r="BE530" s="77"/>
      <c r="BF530" s="77"/>
      <c r="BG530" s="77"/>
      <c r="BH530" s="77"/>
      <c r="BI530" s="77"/>
    </row>
    <row r="531" spans="1:61" x14ac:dyDescent="0.25">
      <c r="A531" s="62" t="s">
        <v>405</v>
      </c>
      <c r="B531" s="62" t="s">
        <v>405</v>
      </c>
      <c r="C531" s="63"/>
      <c r="D531" s="64"/>
      <c r="E531" s="65"/>
      <c r="F531" s="66"/>
      <c r="G531" s="63"/>
      <c r="H531" s="67"/>
      <c r="I531" s="68"/>
      <c r="J531" s="68"/>
      <c r="K531" s="32"/>
      <c r="L531" s="75">
        <v>531</v>
      </c>
      <c r="M531" s="75"/>
      <c r="N531" s="70"/>
      <c r="O531" s="77" t="s">
        <v>179</v>
      </c>
      <c r="P531" s="79">
        <v>45167.094166666669</v>
      </c>
      <c r="Q531" s="77" t="s">
        <v>1814</v>
      </c>
      <c r="R531" s="77">
        <v>0</v>
      </c>
      <c r="S531" s="77">
        <v>0</v>
      </c>
      <c r="T531" s="77">
        <v>0</v>
      </c>
      <c r="U531" s="77">
        <v>0</v>
      </c>
      <c r="V531" s="77">
        <v>187</v>
      </c>
      <c r="W531" s="82" t="s">
        <v>5544</v>
      </c>
      <c r="X531" s="80" t="str">
        <f>HYPERLINK("https://chk.eduzz.com/1460936?a=34262233")</f>
        <v>https://chk.eduzz.com/1460936?a=34262233</v>
      </c>
      <c r="Y531" s="77" t="s">
        <v>7245</v>
      </c>
      <c r="Z531" s="77"/>
      <c r="AA531" s="77" t="s">
        <v>7912</v>
      </c>
      <c r="AB531" s="77" t="s">
        <v>10130</v>
      </c>
      <c r="AC531" s="82" t="s">
        <v>10146</v>
      </c>
      <c r="AD531" s="77" t="s">
        <v>10184</v>
      </c>
      <c r="AE531" s="80" t="str">
        <f>HYPERLINK("https://twitter.com/beyourscompany/status/1696345829240430618")</f>
        <v>https://twitter.com/beyourscompany/status/1696345829240430618</v>
      </c>
      <c r="AF531" s="79">
        <v>45167.094166666669</v>
      </c>
      <c r="AG531" s="85">
        <v>45167</v>
      </c>
      <c r="AH531" s="82" t="s">
        <v>10685</v>
      </c>
      <c r="AI531" s="77" t="b">
        <v>0</v>
      </c>
      <c r="AJ531" s="77"/>
      <c r="AK531" s="77"/>
      <c r="AL531" s="77"/>
      <c r="AM531" s="77"/>
      <c r="AN531" s="77"/>
      <c r="AO531" s="77"/>
      <c r="AP531" s="77"/>
      <c r="AQ531" s="77" t="s">
        <v>14556</v>
      </c>
      <c r="AR531" s="77"/>
      <c r="AS531" s="77"/>
      <c r="AT531" s="77"/>
      <c r="AU531" s="77"/>
      <c r="AV531" s="80" t="str">
        <f>HYPERLINK("https://pbs.twimg.com/media/F4qhVlkXEAA6-eJ.jpg")</f>
        <v>https://pbs.twimg.com/media/F4qhVlkXEAA6-eJ.jpg</v>
      </c>
      <c r="AW531" s="82" t="s">
        <v>17304</v>
      </c>
      <c r="AX531" s="82" t="s">
        <v>17304</v>
      </c>
      <c r="AY531" s="77"/>
      <c r="AZ531" s="82" t="s">
        <v>20971</v>
      </c>
      <c r="BA531" s="82" t="s">
        <v>20971</v>
      </c>
      <c r="BB531" s="82" t="s">
        <v>20971</v>
      </c>
      <c r="BC531" s="82" t="s">
        <v>17304</v>
      </c>
      <c r="BD531" s="82" t="s">
        <v>21147</v>
      </c>
      <c r="BE531" s="77"/>
      <c r="BF531" s="77"/>
      <c r="BG531" s="77"/>
      <c r="BH531" s="77"/>
      <c r="BI531" s="77"/>
    </row>
    <row r="532" spans="1:61" x14ac:dyDescent="0.25">
      <c r="A532" s="62" t="s">
        <v>405</v>
      </c>
      <c r="B532" s="62" t="s">
        <v>405</v>
      </c>
      <c r="C532" s="63"/>
      <c r="D532" s="64"/>
      <c r="E532" s="65"/>
      <c r="F532" s="66"/>
      <c r="G532" s="63"/>
      <c r="H532" s="67"/>
      <c r="I532" s="68"/>
      <c r="J532" s="68"/>
      <c r="K532" s="32"/>
      <c r="L532" s="75">
        <v>532</v>
      </c>
      <c r="M532" s="75"/>
      <c r="N532" s="70"/>
      <c r="O532" s="77" t="s">
        <v>179</v>
      </c>
      <c r="P532" s="79">
        <v>45163.172731481478</v>
      </c>
      <c r="Q532" s="77" t="s">
        <v>1815</v>
      </c>
      <c r="R532" s="77">
        <v>0</v>
      </c>
      <c r="S532" s="77">
        <v>1</v>
      </c>
      <c r="T532" s="77">
        <v>0</v>
      </c>
      <c r="U532" s="77">
        <v>0</v>
      </c>
      <c r="V532" s="77">
        <v>29</v>
      </c>
      <c r="W532" s="82" t="s">
        <v>5545</v>
      </c>
      <c r="X532" s="80" t="str">
        <f>HYPERLINK("https://www.instagram.com/reel/CwWnXIcMhGk/?igshid=MTVlNTYxMjY2ZQ==")</f>
        <v>https://www.instagram.com/reel/CwWnXIcMhGk/?igshid=MTVlNTYxMjY2ZQ==</v>
      </c>
      <c r="Y532" s="77" t="s">
        <v>7250</v>
      </c>
      <c r="Z532" s="77"/>
      <c r="AA532" s="77"/>
      <c r="AB532" s="77"/>
      <c r="AC532" s="82" t="s">
        <v>10145</v>
      </c>
      <c r="AD532" s="77" t="s">
        <v>10184</v>
      </c>
      <c r="AE532" s="80" t="str">
        <f>HYPERLINK("https://twitter.com/beyourscompany/status/1694924744884191335")</f>
        <v>https://twitter.com/beyourscompany/status/1694924744884191335</v>
      </c>
      <c r="AF532" s="79">
        <v>45163.172731481478</v>
      </c>
      <c r="AG532" s="85">
        <v>45163</v>
      </c>
      <c r="AH532" s="82" t="s">
        <v>10686</v>
      </c>
      <c r="AI532" s="77" t="b">
        <v>0</v>
      </c>
      <c r="AJ532" s="77"/>
      <c r="AK532" s="77"/>
      <c r="AL532" s="77"/>
      <c r="AM532" s="77"/>
      <c r="AN532" s="77"/>
      <c r="AO532" s="77"/>
      <c r="AP532" s="77"/>
      <c r="AQ532" s="77"/>
      <c r="AR532" s="77"/>
      <c r="AS532" s="77"/>
      <c r="AT532" s="77"/>
      <c r="AU532" s="77"/>
      <c r="AV532" s="80" t="str">
        <f>HYPERLINK("https://pbs.twimg.com/profile_images/1693798116053377024/cxGXWjJM_normal.png")</f>
        <v>https://pbs.twimg.com/profile_images/1693798116053377024/cxGXWjJM_normal.png</v>
      </c>
      <c r="AW532" s="82" t="s">
        <v>17305</v>
      </c>
      <c r="AX532" s="82" t="s">
        <v>17305</v>
      </c>
      <c r="AY532" s="77"/>
      <c r="AZ532" s="82" t="s">
        <v>20971</v>
      </c>
      <c r="BA532" s="82" t="s">
        <v>20971</v>
      </c>
      <c r="BB532" s="82" t="s">
        <v>20971</v>
      </c>
      <c r="BC532" s="82" t="s">
        <v>17305</v>
      </c>
      <c r="BD532" s="82" t="s">
        <v>21147</v>
      </c>
      <c r="BE532" s="77"/>
      <c r="BF532" s="77"/>
      <c r="BG532" s="77"/>
      <c r="BH532" s="77"/>
      <c r="BI532" s="77"/>
    </row>
    <row r="533" spans="1:61" x14ac:dyDescent="0.25">
      <c r="A533" s="62" t="s">
        <v>406</v>
      </c>
      <c r="B533" s="62" t="s">
        <v>406</v>
      </c>
      <c r="C533" s="63"/>
      <c r="D533" s="64"/>
      <c r="E533" s="65"/>
      <c r="F533" s="66"/>
      <c r="G533" s="63"/>
      <c r="H533" s="67"/>
      <c r="I533" s="68"/>
      <c r="J533" s="68"/>
      <c r="K533" s="32"/>
      <c r="L533" s="75">
        <v>533</v>
      </c>
      <c r="M533" s="75"/>
      <c r="N533" s="70"/>
      <c r="O533" s="77" t="s">
        <v>179</v>
      </c>
      <c r="P533" s="79">
        <v>44987.092627314814</v>
      </c>
      <c r="Q533" s="77" t="s">
        <v>1816</v>
      </c>
      <c r="R533" s="77">
        <v>0</v>
      </c>
      <c r="S533" s="77">
        <v>0</v>
      </c>
      <c r="T533" s="77">
        <v>0</v>
      </c>
      <c r="U533" s="77">
        <v>0</v>
      </c>
      <c r="V533" s="77">
        <v>31</v>
      </c>
      <c r="W533" s="82" t="s">
        <v>5546</v>
      </c>
      <c r="X533" s="80" t="str">
        <f>HYPERLINK("https://docs.google.com/forms/d/e/1FAIpQLScLT804Xq81Of_D4dJZ_pcs3Fa351IHbsM6Hu2lVdyjIlwNQA/viewform?usp=fb_send_twt")</f>
        <v>https://docs.google.com/forms/d/e/1FAIpQLScLT804Xq81Of_D4dJZ_pcs3Fa351IHbsM6Hu2lVdyjIlwNQA/viewform?usp=fb_send_twt</v>
      </c>
      <c r="Y533" s="77" t="s">
        <v>7305</v>
      </c>
      <c r="Z533" s="77"/>
      <c r="AA533" s="77"/>
      <c r="AB533" s="77"/>
      <c r="AC533" s="82" t="s">
        <v>10146</v>
      </c>
      <c r="AD533" s="77" t="s">
        <v>10185</v>
      </c>
      <c r="AE533" s="80" t="str">
        <f>HYPERLINK("https://twitter.com/canalqb/status/1631115452473638917")</f>
        <v>https://twitter.com/canalqb/status/1631115452473638917</v>
      </c>
      <c r="AF533" s="79">
        <v>44987.092627314814</v>
      </c>
      <c r="AG533" s="85">
        <v>44987</v>
      </c>
      <c r="AH533" s="82" t="s">
        <v>10687</v>
      </c>
      <c r="AI533" s="77" t="b">
        <v>0</v>
      </c>
      <c r="AJ533" s="77"/>
      <c r="AK533" s="77"/>
      <c r="AL533" s="77"/>
      <c r="AM533" s="77"/>
      <c r="AN533" s="77"/>
      <c r="AO533" s="77"/>
      <c r="AP533" s="77"/>
      <c r="AQ533" s="77"/>
      <c r="AR533" s="77"/>
      <c r="AS533" s="77"/>
      <c r="AT533" s="77"/>
      <c r="AU533" s="77"/>
      <c r="AV533" s="80" t="str">
        <f>HYPERLINK("https://pbs.twimg.com/profile_images/1494034729989025798/n7SDYvEe_normal.jpg")</f>
        <v>https://pbs.twimg.com/profile_images/1494034729989025798/n7SDYvEe_normal.jpg</v>
      </c>
      <c r="AW533" s="82" t="s">
        <v>17306</v>
      </c>
      <c r="AX533" s="82" t="s">
        <v>17306</v>
      </c>
      <c r="AY533" s="77"/>
      <c r="AZ533" s="82" t="s">
        <v>20971</v>
      </c>
      <c r="BA533" s="82" t="s">
        <v>20971</v>
      </c>
      <c r="BB533" s="82" t="s">
        <v>20971</v>
      </c>
      <c r="BC533" s="82" t="s">
        <v>17306</v>
      </c>
      <c r="BD533" s="77">
        <v>1925123718</v>
      </c>
      <c r="BE533" s="77"/>
      <c r="BF533" s="77"/>
      <c r="BG533" s="77"/>
      <c r="BH533" s="77"/>
      <c r="BI533" s="77"/>
    </row>
    <row r="534" spans="1:61" x14ac:dyDescent="0.25">
      <c r="A534" s="62" t="s">
        <v>407</v>
      </c>
      <c r="B534" s="62" t="s">
        <v>407</v>
      </c>
      <c r="C534" s="63"/>
      <c r="D534" s="64"/>
      <c r="E534" s="65"/>
      <c r="F534" s="66"/>
      <c r="G534" s="63"/>
      <c r="H534" s="67"/>
      <c r="I534" s="68"/>
      <c r="J534" s="68"/>
      <c r="K534" s="32"/>
      <c r="L534" s="75">
        <v>534</v>
      </c>
      <c r="M534" s="75"/>
      <c r="N534" s="70"/>
      <c r="O534" s="77" t="s">
        <v>179</v>
      </c>
      <c r="P534" s="79">
        <v>45129.739872685182</v>
      </c>
      <c r="Q534" s="77" t="s">
        <v>1817</v>
      </c>
      <c r="R534" s="77">
        <v>0</v>
      </c>
      <c r="S534" s="77">
        <v>0</v>
      </c>
      <c r="T534" s="77">
        <v>1</v>
      </c>
      <c r="U534" s="77">
        <v>0</v>
      </c>
      <c r="V534" s="77">
        <v>14</v>
      </c>
      <c r="W534" s="82" t="s">
        <v>5547</v>
      </c>
      <c r="X534" s="80" t="str">
        <f>HYPERLINK("https://www.tiktok.com/t/ZM2b67pSv/")</f>
        <v>https://www.tiktok.com/t/ZM2b67pSv/</v>
      </c>
      <c r="Y534" s="77" t="s">
        <v>7306</v>
      </c>
      <c r="Z534" s="77"/>
      <c r="AA534" s="77" t="s">
        <v>7913</v>
      </c>
      <c r="AB534" s="77" t="s">
        <v>10129</v>
      </c>
      <c r="AC534" s="82" t="s">
        <v>10144</v>
      </c>
      <c r="AD534" s="77" t="s">
        <v>10184</v>
      </c>
      <c r="AE534" s="80" t="str">
        <f>HYPERLINK("https://twitter.com/diogofcastilho1/status/1682809082758017025")</f>
        <v>https://twitter.com/diogofcastilho1/status/1682809082758017025</v>
      </c>
      <c r="AF534" s="79">
        <v>45129.739872685182</v>
      </c>
      <c r="AG534" s="85">
        <v>45129</v>
      </c>
      <c r="AH534" s="82" t="s">
        <v>10688</v>
      </c>
      <c r="AI534" s="77" t="b">
        <v>1</v>
      </c>
      <c r="AJ534" s="77"/>
      <c r="AK534" s="77"/>
      <c r="AL534" s="77"/>
      <c r="AM534" s="77"/>
      <c r="AN534" s="77"/>
      <c r="AO534" s="77"/>
      <c r="AP534" s="77"/>
      <c r="AQ534" s="77" t="s">
        <v>14557</v>
      </c>
      <c r="AR534" s="77">
        <v>139873</v>
      </c>
      <c r="AS534" s="77"/>
      <c r="AT534" s="77"/>
      <c r="AU534" s="77"/>
      <c r="AV534" s="80" t="str">
        <f>HYPERLINK("https://pbs.twimg.com/ext_tw_video_thumb/1682808956706586627/pu/img/VcW_8oWmY16yeN4a.jpg")</f>
        <v>https://pbs.twimg.com/ext_tw_video_thumb/1682808956706586627/pu/img/VcW_8oWmY16yeN4a.jpg</v>
      </c>
      <c r="AW534" s="82" t="s">
        <v>17307</v>
      </c>
      <c r="AX534" s="82" t="s">
        <v>17307</v>
      </c>
      <c r="AY534" s="77"/>
      <c r="AZ534" s="82" t="s">
        <v>20971</v>
      </c>
      <c r="BA534" s="82" t="s">
        <v>20971</v>
      </c>
      <c r="BB534" s="82" t="s">
        <v>20971</v>
      </c>
      <c r="BC534" s="82" t="s">
        <v>17307</v>
      </c>
      <c r="BD534" s="82" t="s">
        <v>21148</v>
      </c>
      <c r="BE534" s="77"/>
      <c r="BF534" s="77"/>
      <c r="BG534" s="77"/>
      <c r="BH534" s="77"/>
      <c r="BI534" s="77"/>
    </row>
    <row r="535" spans="1:61" x14ac:dyDescent="0.25">
      <c r="A535" s="62" t="s">
        <v>408</v>
      </c>
      <c r="B535" s="62" t="s">
        <v>408</v>
      </c>
      <c r="C535" s="63"/>
      <c r="D535" s="64"/>
      <c r="E535" s="65"/>
      <c r="F535" s="66"/>
      <c r="G535" s="63"/>
      <c r="H535" s="67"/>
      <c r="I535" s="68"/>
      <c r="J535" s="68"/>
      <c r="K535" s="32"/>
      <c r="L535" s="75">
        <v>535</v>
      </c>
      <c r="M535" s="75"/>
      <c r="N535" s="70"/>
      <c r="O535" s="77" t="s">
        <v>179</v>
      </c>
      <c r="P535" s="79">
        <v>45090.782731481479</v>
      </c>
      <c r="Q535" s="77" t="s">
        <v>1818</v>
      </c>
      <c r="R535" s="77">
        <v>0</v>
      </c>
      <c r="S535" s="77">
        <v>0</v>
      </c>
      <c r="T535" s="77">
        <v>0</v>
      </c>
      <c r="U535" s="77">
        <v>0</v>
      </c>
      <c r="V535" s="77">
        <v>81</v>
      </c>
      <c r="W535" s="82" t="s">
        <v>5548</v>
      </c>
      <c r="X535" s="80" t="str">
        <f>HYPERLINK("http://bit.ly/3JcVeLU")</f>
        <v>http://bit.ly/3JcVeLU</v>
      </c>
      <c r="Y535" s="77" t="s">
        <v>7268</v>
      </c>
      <c r="Z535" s="77"/>
      <c r="AA535" s="77"/>
      <c r="AB535" s="77"/>
      <c r="AC535" s="82" t="s">
        <v>10146</v>
      </c>
      <c r="AD535" s="77" t="s">
        <v>10184</v>
      </c>
      <c r="AE535" s="80" t="str">
        <f>HYPERLINK("https://twitter.com/alleph/status/1668691491093356579")</f>
        <v>https://twitter.com/alleph/status/1668691491093356579</v>
      </c>
      <c r="AF535" s="79">
        <v>45090.782731481479</v>
      </c>
      <c r="AG535" s="85">
        <v>45090</v>
      </c>
      <c r="AH535" s="82" t="s">
        <v>10689</v>
      </c>
      <c r="AI535" s="77" t="b">
        <v>0</v>
      </c>
      <c r="AJ535" s="77"/>
      <c r="AK535" s="77"/>
      <c r="AL535" s="77"/>
      <c r="AM535" s="77"/>
      <c r="AN535" s="77"/>
      <c r="AO535" s="77"/>
      <c r="AP535" s="77"/>
      <c r="AQ535" s="77"/>
      <c r="AR535" s="77"/>
      <c r="AS535" s="77"/>
      <c r="AT535" s="77"/>
      <c r="AU535" s="77"/>
      <c r="AV535" s="80" t="str">
        <f>HYPERLINK("https://pbs.twimg.com/profile_images/1635270992808255491/pNn0IscL_normal.jpg")</f>
        <v>https://pbs.twimg.com/profile_images/1635270992808255491/pNn0IscL_normal.jpg</v>
      </c>
      <c r="AW535" s="82" t="s">
        <v>17308</v>
      </c>
      <c r="AX535" s="82" t="s">
        <v>17308</v>
      </c>
      <c r="AY535" s="77"/>
      <c r="AZ535" s="82" t="s">
        <v>20971</v>
      </c>
      <c r="BA535" s="82" t="s">
        <v>20971</v>
      </c>
      <c r="BB535" s="82" t="s">
        <v>20971</v>
      </c>
      <c r="BC535" s="82" t="s">
        <v>17308</v>
      </c>
      <c r="BD535" s="77">
        <v>41043862</v>
      </c>
      <c r="BE535" s="77"/>
      <c r="BF535" s="77"/>
      <c r="BG535" s="77"/>
      <c r="BH535" s="77"/>
      <c r="BI535" s="77"/>
    </row>
    <row r="536" spans="1:61" x14ac:dyDescent="0.25">
      <c r="A536" s="62" t="s">
        <v>409</v>
      </c>
      <c r="B536" s="62" t="s">
        <v>409</v>
      </c>
      <c r="C536" s="63"/>
      <c r="D536" s="64"/>
      <c r="E536" s="65"/>
      <c r="F536" s="66"/>
      <c r="G536" s="63"/>
      <c r="H536" s="67"/>
      <c r="I536" s="68"/>
      <c r="J536" s="68"/>
      <c r="K536" s="32"/>
      <c r="L536" s="75">
        <v>536</v>
      </c>
      <c r="M536" s="75"/>
      <c r="N536" s="70"/>
      <c r="O536" s="77" t="s">
        <v>179</v>
      </c>
      <c r="P536" s="79">
        <v>44987.771805555552</v>
      </c>
      <c r="Q536" s="77" t="s">
        <v>1819</v>
      </c>
      <c r="R536" s="77">
        <v>0</v>
      </c>
      <c r="S536" s="77">
        <v>2</v>
      </c>
      <c r="T536" s="77">
        <v>0</v>
      </c>
      <c r="U536" s="77">
        <v>0</v>
      </c>
      <c r="V536" s="77">
        <v>28</v>
      </c>
      <c r="W536" s="82" t="s">
        <v>5549</v>
      </c>
      <c r="X536" s="80" t="str">
        <f>HYPERLINK("https://www.financasecia.com.br/renda-extra-2023/")</f>
        <v>https://www.financasecia.com.br/renda-extra-2023/</v>
      </c>
      <c r="Y536" s="77" t="s">
        <v>7252</v>
      </c>
      <c r="Z536" s="77"/>
      <c r="AA536" s="77" t="s">
        <v>7914</v>
      </c>
      <c r="AB536" s="77" t="s">
        <v>10130</v>
      </c>
      <c r="AC536" s="82" t="s">
        <v>10146</v>
      </c>
      <c r="AD536" s="77" t="s">
        <v>10184</v>
      </c>
      <c r="AE536" s="80" t="str">
        <f>HYPERLINK("https://twitter.com/financasecia/status/1631361579609473025")</f>
        <v>https://twitter.com/financasecia/status/1631361579609473025</v>
      </c>
      <c r="AF536" s="79">
        <v>44987.771805555552</v>
      </c>
      <c r="AG536" s="85">
        <v>44987</v>
      </c>
      <c r="AH536" s="82" t="s">
        <v>10690</v>
      </c>
      <c r="AI536" s="77" t="b">
        <v>0</v>
      </c>
      <c r="AJ536" s="77"/>
      <c r="AK536" s="77"/>
      <c r="AL536" s="77"/>
      <c r="AM536" s="77"/>
      <c r="AN536" s="77"/>
      <c r="AO536" s="77"/>
      <c r="AP536" s="77"/>
      <c r="AQ536" s="77" t="s">
        <v>14558</v>
      </c>
      <c r="AR536" s="77"/>
      <c r="AS536" s="77"/>
      <c r="AT536" s="77"/>
      <c r="AU536" s="77"/>
      <c r="AV536" s="80" t="str">
        <f>HYPERLINK("https://pbs.twimg.com/media/FqPCY8iX0AECJYR.jpg")</f>
        <v>https://pbs.twimg.com/media/FqPCY8iX0AECJYR.jpg</v>
      </c>
      <c r="AW536" s="82" t="s">
        <v>17309</v>
      </c>
      <c r="AX536" s="82" t="s">
        <v>17309</v>
      </c>
      <c r="AY536" s="77"/>
      <c r="AZ536" s="82" t="s">
        <v>20971</v>
      </c>
      <c r="BA536" s="82" t="s">
        <v>20971</v>
      </c>
      <c r="BB536" s="82" t="s">
        <v>20971</v>
      </c>
      <c r="BC536" s="82" t="s">
        <v>17309</v>
      </c>
      <c r="BD536" s="82" t="s">
        <v>21149</v>
      </c>
      <c r="BE536" s="77"/>
      <c r="BF536" s="77"/>
      <c r="BG536" s="77"/>
      <c r="BH536" s="77"/>
      <c r="BI536" s="77"/>
    </row>
    <row r="537" spans="1:61" x14ac:dyDescent="0.25">
      <c r="A537" s="62" t="s">
        <v>409</v>
      </c>
      <c r="B537" s="62" t="s">
        <v>409</v>
      </c>
      <c r="C537" s="63"/>
      <c r="D537" s="64"/>
      <c r="E537" s="65"/>
      <c r="F537" s="66"/>
      <c r="G537" s="63"/>
      <c r="H537" s="67"/>
      <c r="I537" s="68"/>
      <c r="J537" s="68"/>
      <c r="K537" s="32"/>
      <c r="L537" s="75">
        <v>537</v>
      </c>
      <c r="M537" s="75"/>
      <c r="N537" s="70"/>
      <c r="O537" s="77" t="s">
        <v>179</v>
      </c>
      <c r="P537" s="79">
        <v>44986.916250000002</v>
      </c>
      <c r="Q537" s="77" t="s">
        <v>1820</v>
      </c>
      <c r="R537" s="77">
        <v>0</v>
      </c>
      <c r="S537" s="77">
        <v>2</v>
      </c>
      <c r="T537" s="77">
        <v>0</v>
      </c>
      <c r="U537" s="77">
        <v>0</v>
      </c>
      <c r="V537" s="77">
        <v>28</v>
      </c>
      <c r="W537" s="82" t="s">
        <v>5550</v>
      </c>
      <c r="X537" s="80" t="str">
        <f>HYPERLINK("https://www.financasecia.com.br/o-homem-mais-rico-da-babilonia/")</f>
        <v>https://www.financasecia.com.br/o-homem-mais-rico-da-babilonia/</v>
      </c>
      <c r="Y537" s="77" t="s">
        <v>7252</v>
      </c>
      <c r="Z537" s="77"/>
      <c r="AA537" s="77" t="s">
        <v>7915</v>
      </c>
      <c r="AB537" s="77" t="s">
        <v>10130</v>
      </c>
      <c r="AC537" s="82" t="s">
        <v>10146</v>
      </c>
      <c r="AD537" s="77" t="s">
        <v>10184</v>
      </c>
      <c r="AE537" s="80" t="str">
        <f>HYPERLINK("https://twitter.com/financasecia/status/1631051535353348097")</f>
        <v>https://twitter.com/financasecia/status/1631051535353348097</v>
      </c>
      <c r="AF537" s="79">
        <v>44986.916250000002</v>
      </c>
      <c r="AG537" s="85">
        <v>44986</v>
      </c>
      <c r="AH537" s="82" t="s">
        <v>10691</v>
      </c>
      <c r="AI537" s="77" t="b">
        <v>0</v>
      </c>
      <c r="AJ537" s="77"/>
      <c r="AK537" s="77"/>
      <c r="AL537" s="77"/>
      <c r="AM537" s="77"/>
      <c r="AN537" s="77"/>
      <c r="AO537" s="77"/>
      <c r="AP537" s="77"/>
      <c r="AQ537" s="77" t="s">
        <v>14559</v>
      </c>
      <c r="AR537" s="77"/>
      <c r="AS537" s="77"/>
      <c r="AT537" s="77"/>
      <c r="AU537" s="77"/>
      <c r="AV537" s="80" t="str">
        <f>HYPERLINK("https://pbs.twimg.com/media/FqKoZm6XgAAzoyw.jpg")</f>
        <v>https://pbs.twimg.com/media/FqKoZm6XgAAzoyw.jpg</v>
      </c>
      <c r="AW537" s="82" t="s">
        <v>17310</v>
      </c>
      <c r="AX537" s="82" t="s">
        <v>17310</v>
      </c>
      <c r="AY537" s="77"/>
      <c r="AZ537" s="82" t="s">
        <v>20971</v>
      </c>
      <c r="BA537" s="82" t="s">
        <v>20971</v>
      </c>
      <c r="BB537" s="82" t="s">
        <v>20971</v>
      </c>
      <c r="BC537" s="82" t="s">
        <v>17310</v>
      </c>
      <c r="BD537" s="82" t="s">
        <v>21149</v>
      </c>
      <c r="BE537" s="77"/>
      <c r="BF537" s="77"/>
      <c r="BG537" s="77"/>
      <c r="BH537" s="77"/>
      <c r="BI537" s="77"/>
    </row>
    <row r="538" spans="1:61" x14ac:dyDescent="0.25">
      <c r="A538" s="62" t="s">
        <v>410</v>
      </c>
      <c r="B538" s="62" t="s">
        <v>1245</v>
      </c>
      <c r="C538" s="63"/>
      <c r="D538" s="64"/>
      <c r="E538" s="65"/>
      <c r="F538" s="66"/>
      <c r="G538" s="63"/>
      <c r="H538" s="67"/>
      <c r="I538" s="68"/>
      <c r="J538" s="68"/>
      <c r="K538" s="32"/>
      <c r="L538" s="75">
        <v>538</v>
      </c>
      <c r="M538" s="75"/>
      <c r="N538" s="70"/>
      <c r="O538" s="77" t="s">
        <v>1284</v>
      </c>
      <c r="P538" s="79">
        <v>45158.771053240744</v>
      </c>
      <c r="Q538" s="77" t="s">
        <v>1821</v>
      </c>
      <c r="R538" s="77">
        <v>1</v>
      </c>
      <c r="S538" s="77">
        <v>252</v>
      </c>
      <c r="T538" s="77">
        <v>35</v>
      </c>
      <c r="U538" s="77">
        <v>5</v>
      </c>
      <c r="V538" s="77">
        <v>16758</v>
      </c>
      <c r="W538" s="77"/>
      <c r="X538" s="77"/>
      <c r="Y538" s="77"/>
      <c r="Z538" s="77" t="s">
        <v>1245</v>
      </c>
      <c r="AA538" s="77"/>
      <c r="AB538" s="77"/>
      <c r="AC538" s="82" t="s">
        <v>10145</v>
      </c>
      <c r="AD538" s="77" t="s">
        <v>10184</v>
      </c>
      <c r="AE538" s="80" t="str">
        <f>HYPERLINK("https://twitter.com/victorsarro/status/1693329632513445954")</f>
        <v>https://twitter.com/victorsarro/status/1693329632513445954</v>
      </c>
      <c r="AF538" s="79">
        <v>45158.771053240744</v>
      </c>
      <c r="AG538" s="85">
        <v>45158</v>
      </c>
      <c r="AH538" s="82" t="s">
        <v>10692</v>
      </c>
      <c r="AI538" s="77"/>
      <c r="AJ538" s="77"/>
      <c r="AK538" s="77"/>
      <c r="AL538" s="77"/>
      <c r="AM538" s="77"/>
      <c r="AN538" s="77"/>
      <c r="AO538" s="77"/>
      <c r="AP538" s="77"/>
      <c r="AQ538" s="77"/>
      <c r="AR538" s="77"/>
      <c r="AS538" s="77"/>
      <c r="AT538" s="77"/>
      <c r="AU538" s="77"/>
      <c r="AV538" s="80" t="str">
        <f>HYPERLINK("https://pbs.twimg.com/profile_images/1304238091033600001/cerF8IXJ_normal.jpg")</f>
        <v>https://pbs.twimg.com/profile_images/1304238091033600001/cerF8IXJ_normal.jpg</v>
      </c>
      <c r="AW538" s="82" t="s">
        <v>17311</v>
      </c>
      <c r="AX538" s="82" t="s">
        <v>20803</v>
      </c>
      <c r="AY538" s="82" t="s">
        <v>20912</v>
      </c>
      <c r="AZ538" s="82" t="s">
        <v>20803</v>
      </c>
      <c r="BA538" s="82" t="s">
        <v>20971</v>
      </c>
      <c r="BB538" s="82" t="s">
        <v>20971</v>
      </c>
      <c r="BC538" s="82" t="s">
        <v>20803</v>
      </c>
      <c r="BD538" s="77">
        <v>34105736</v>
      </c>
      <c r="BE538" s="77"/>
      <c r="BF538" s="77"/>
      <c r="BG538" s="77"/>
      <c r="BH538" s="77"/>
      <c r="BI538" s="77"/>
    </row>
    <row r="539" spans="1:61" x14ac:dyDescent="0.25">
      <c r="A539" s="62" t="s">
        <v>411</v>
      </c>
      <c r="B539" s="62" t="s">
        <v>411</v>
      </c>
      <c r="C539" s="63"/>
      <c r="D539" s="64"/>
      <c r="E539" s="65"/>
      <c r="F539" s="66"/>
      <c r="G539" s="63"/>
      <c r="H539" s="67"/>
      <c r="I539" s="68"/>
      <c r="J539" s="68"/>
      <c r="K539" s="32"/>
      <c r="L539" s="75">
        <v>539</v>
      </c>
      <c r="M539" s="75"/>
      <c r="N539" s="70"/>
      <c r="O539" s="77" t="s">
        <v>179</v>
      </c>
      <c r="P539" s="79">
        <v>45167.061956018515</v>
      </c>
      <c r="Q539" s="77" t="s">
        <v>1822</v>
      </c>
      <c r="R539" s="77">
        <v>0</v>
      </c>
      <c r="S539" s="77">
        <v>0</v>
      </c>
      <c r="T539" s="77">
        <v>0</v>
      </c>
      <c r="U539" s="77">
        <v>0</v>
      </c>
      <c r="V539" s="77">
        <v>103</v>
      </c>
      <c r="W539" s="82" t="s">
        <v>5551</v>
      </c>
      <c r="X539" s="80" t="str">
        <f>HYPERLINK("http://app.only777.com/?invite=WLH68C")</f>
        <v>http://app.only777.com/?invite=WLH68C</v>
      </c>
      <c r="Y539" s="77" t="s">
        <v>7307</v>
      </c>
      <c r="Z539" s="77"/>
      <c r="AA539" s="77" t="s">
        <v>7916</v>
      </c>
      <c r="AB539" s="77" t="s">
        <v>10128</v>
      </c>
      <c r="AC539" s="82" t="s">
        <v>10145</v>
      </c>
      <c r="AD539" s="77" t="s">
        <v>10184</v>
      </c>
      <c r="AE539" s="80" t="str">
        <f>HYPERLINK("https://twitter.com/granaextra3/status/1696334156605579418")</f>
        <v>https://twitter.com/granaextra3/status/1696334156605579418</v>
      </c>
      <c r="AF539" s="79">
        <v>45167.061956018515</v>
      </c>
      <c r="AG539" s="85">
        <v>45167</v>
      </c>
      <c r="AH539" s="82" t="s">
        <v>10693</v>
      </c>
      <c r="AI539" s="77" t="b">
        <v>1</v>
      </c>
      <c r="AJ539" s="77"/>
      <c r="AK539" s="77"/>
      <c r="AL539" s="77"/>
      <c r="AM539" s="77"/>
      <c r="AN539" s="77"/>
      <c r="AO539" s="77"/>
      <c r="AP539" s="77"/>
      <c r="AQ539" s="77" t="s">
        <v>14560</v>
      </c>
      <c r="AR539" s="77"/>
      <c r="AS539" s="77"/>
      <c r="AT539" s="77"/>
      <c r="AU539" s="77"/>
      <c r="AV539" s="80" t="str">
        <f>HYPERLINK("https://pbs.twimg.com/media/F4qW7JAWgAIClc7.jpg")</f>
        <v>https://pbs.twimg.com/media/F4qW7JAWgAIClc7.jpg</v>
      </c>
      <c r="AW539" s="82" t="s">
        <v>17312</v>
      </c>
      <c r="AX539" s="82" t="s">
        <v>17312</v>
      </c>
      <c r="AY539" s="77"/>
      <c r="AZ539" s="82" t="s">
        <v>20971</v>
      </c>
      <c r="BA539" s="82" t="s">
        <v>20971</v>
      </c>
      <c r="BB539" s="82" t="s">
        <v>20971</v>
      </c>
      <c r="BC539" s="82" t="s">
        <v>17312</v>
      </c>
      <c r="BD539" s="82" t="s">
        <v>21150</v>
      </c>
      <c r="BE539" s="77"/>
      <c r="BF539" s="77"/>
      <c r="BG539" s="77"/>
      <c r="BH539" s="77"/>
      <c r="BI539" s="77"/>
    </row>
    <row r="540" spans="1:61" x14ac:dyDescent="0.25">
      <c r="A540" s="62" t="s">
        <v>411</v>
      </c>
      <c r="B540" s="62" t="s">
        <v>411</v>
      </c>
      <c r="C540" s="63"/>
      <c r="D540" s="64"/>
      <c r="E540" s="65"/>
      <c r="F540" s="66"/>
      <c r="G540" s="63"/>
      <c r="H540" s="67"/>
      <c r="I540" s="68"/>
      <c r="J540" s="68"/>
      <c r="K540" s="32"/>
      <c r="L540" s="75">
        <v>540</v>
      </c>
      <c r="M540" s="75"/>
      <c r="N540" s="70"/>
      <c r="O540" s="77" t="s">
        <v>179</v>
      </c>
      <c r="P540" s="79">
        <v>45167.059502314813</v>
      </c>
      <c r="Q540" s="77" t="s">
        <v>1823</v>
      </c>
      <c r="R540" s="77">
        <v>0</v>
      </c>
      <c r="S540" s="77">
        <v>0</v>
      </c>
      <c r="T540" s="77">
        <v>0</v>
      </c>
      <c r="U540" s="77">
        <v>0</v>
      </c>
      <c r="V540" s="77">
        <v>49</v>
      </c>
      <c r="W540" s="82" t="s">
        <v>5551</v>
      </c>
      <c r="X540" s="80" t="str">
        <f>HYPERLINK("http://app.only777.com/?invite=WLH68C")</f>
        <v>http://app.only777.com/?invite=WLH68C</v>
      </c>
      <c r="Y540" s="77" t="s">
        <v>7307</v>
      </c>
      <c r="Z540" s="77"/>
      <c r="AA540" s="77" t="s">
        <v>7917</v>
      </c>
      <c r="AB540" s="77" t="s">
        <v>10128</v>
      </c>
      <c r="AC540" s="82" t="s">
        <v>10145</v>
      </c>
      <c r="AD540" s="77" t="s">
        <v>10184</v>
      </c>
      <c r="AE540" s="80" t="str">
        <f>HYPERLINK("https://twitter.com/granaextra3/status/1696333264003215737")</f>
        <v>https://twitter.com/granaextra3/status/1696333264003215737</v>
      </c>
      <c r="AF540" s="79">
        <v>45167.059502314813</v>
      </c>
      <c r="AG540" s="85">
        <v>45167</v>
      </c>
      <c r="AH540" s="82" t="s">
        <v>10694</v>
      </c>
      <c r="AI540" s="77" t="b">
        <v>1</v>
      </c>
      <c r="AJ540" s="77"/>
      <c r="AK540" s="77"/>
      <c r="AL540" s="77"/>
      <c r="AM540" s="77"/>
      <c r="AN540" s="77"/>
      <c r="AO540" s="77"/>
      <c r="AP540" s="77"/>
      <c r="AQ540" s="77" t="s">
        <v>14561</v>
      </c>
      <c r="AR540" s="77"/>
      <c r="AS540" s="77"/>
      <c r="AT540" s="77"/>
      <c r="AU540" s="77"/>
      <c r="AV540" s="80" t="str">
        <f>HYPERLINK("https://pbs.twimg.com/media/F4qWHKRW8AAEWrK.jpg")</f>
        <v>https://pbs.twimg.com/media/F4qWHKRW8AAEWrK.jpg</v>
      </c>
      <c r="AW540" s="82" t="s">
        <v>17313</v>
      </c>
      <c r="AX540" s="82" t="s">
        <v>17313</v>
      </c>
      <c r="AY540" s="77"/>
      <c r="AZ540" s="82" t="s">
        <v>20971</v>
      </c>
      <c r="BA540" s="82" t="s">
        <v>20971</v>
      </c>
      <c r="BB540" s="82" t="s">
        <v>20971</v>
      </c>
      <c r="BC540" s="82" t="s">
        <v>17313</v>
      </c>
      <c r="BD540" s="82" t="s">
        <v>21150</v>
      </c>
      <c r="BE540" s="77"/>
      <c r="BF540" s="77"/>
      <c r="BG540" s="77"/>
      <c r="BH540" s="77"/>
      <c r="BI540" s="77"/>
    </row>
    <row r="541" spans="1:61" x14ac:dyDescent="0.25">
      <c r="A541" s="62" t="s">
        <v>412</v>
      </c>
      <c r="B541" s="62" t="s">
        <v>412</v>
      </c>
      <c r="C541" s="63"/>
      <c r="D541" s="64"/>
      <c r="E541" s="65"/>
      <c r="F541" s="66"/>
      <c r="G541" s="63"/>
      <c r="H541" s="67"/>
      <c r="I541" s="68"/>
      <c r="J541" s="68"/>
      <c r="K541" s="32"/>
      <c r="L541" s="75">
        <v>541</v>
      </c>
      <c r="M541" s="75"/>
      <c r="N541" s="70"/>
      <c r="O541" s="77" t="s">
        <v>179</v>
      </c>
      <c r="P541" s="79">
        <v>45178.079259259262</v>
      </c>
      <c r="Q541" s="77" t="s">
        <v>1824</v>
      </c>
      <c r="R541" s="77">
        <v>0</v>
      </c>
      <c r="S541" s="77">
        <v>0</v>
      </c>
      <c r="T541" s="77">
        <v>0</v>
      </c>
      <c r="U541" s="77">
        <v>0</v>
      </c>
      <c r="V541" s="77">
        <v>20</v>
      </c>
      <c r="W541" s="82" t="s">
        <v>5236</v>
      </c>
      <c r="X541" s="77"/>
      <c r="Y541" s="77"/>
      <c r="Z541" s="77"/>
      <c r="AA541" s="77" t="s">
        <v>7918</v>
      </c>
      <c r="AB541" s="77" t="s">
        <v>10129</v>
      </c>
      <c r="AC541" s="82" t="s">
        <v>10144</v>
      </c>
      <c r="AD541" s="77" t="s">
        <v>10184</v>
      </c>
      <c r="AE541" s="80" t="str">
        <f>HYPERLINK("https://twitter.com/5tradewithjr/status/1700326690730225732")</f>
        <v>https://twitter.com/5tradewithjr/status/1700326690730225732</v>
      </c>
      <c r="AF541" s="79">
        <v>45178.079259259262</v>
      </c>
      <c r="AG541" s="85">
        <v>45178</v>
      </c>
      <c r="AH541" s="82" t="s">
        <v>10695</v>
      </c>
      <c r="AI541" s="77" t="b">
        <v>0</v>
      </c>
      <c r="AJ541" s="77"/>
      <c r="AK541" s="77"/>
      <c r="AL541" s="77"/>
      <c r="AM541" s="77"/>
      <c r="AN541" s="77"/>
      <c r="AO541" s="77"/>
      <c r="AP541" s="77"/>
      <c r="AQ541" s="77" t="s">
        <v>14562</v>
      </c>
      <c r="AR541" s="77">
        <v>41850</v>
      </c>
      <c r="AS541" s="77"/>
      <c r="AT541" s="77"/>
      <c r="AU541" s="77"/>
      <c r="AV541" s="80" t="str">
        <f>HYPERLINK("https://pbs.twimg.com/ext_tw_video_thumb/1700326605640376320/pu/img/td32fvvqNvhL22lD.jpg")</f>
        <v>https://pbs.twimg.com/ext_tw_video_thumb/1700326605640376320/pu/img/td32fvvqNvhL22lD.jpg</v>
      </c>
      <c r="AW541" s="82" t="s">
        <v>17314</v>
      </c>
      <c r="AX541" s="82" t="s">
        <v>17314</v>
      </c>
      <c r="AY541" s="77"/>
      <c r="AZ541" s="82" t="s">
        <v>20971</v>
      </c>
      <c r="BA541" s="82" t="s">
        <v>20971</v>
      </c>
      <c r="BB541" s="82" t="s">
        <v>20971</v>
      </c>
      <c r="BC541" s="82" t="s">
        <v>17314</v>
      </c>
      <c r="BD541" s="82" t="s">
        <v>21151</v>
      </c>
      <c r="BE541" s="77"/>
      <c r="BF541" s="77"/>
      <c r="BG541" s="77"/>
      <c r="BH541" s="77"/>
      <c r="BI541" s="77"/>
    </row>
    <row r="542" spans="1:61" x14ac:dyDescent="0.25">
      <c r="A542" s="62" t="s">
        <v>413</v>
      </c>
      <c r="B542" s="62" t="s">
        <v>413</v>
      </c>
      <c r="C542" s="63"/>
      <c r="D542" s="64"/>
      <c r="E542" s="65"/>
      <c r="F542" s="66"/>
      <c r="G542" s="63"/>
      <c r="H542" s="67"/>
      <c r="I542" s="68"/>
      <c r="J542" s="68"/>
      <c r="K542" s="32"/>
      <c r="L542" s="75">
        <v>542</v>
      </c>
      <c r="M542" s="75"/>
      <c r="N542" s="70"/>
      <c r="O542" s="77" t="s">
        <v>179</v>
      </c>
      <c r="P542" s="79">
        <v>45058.510671296295</v>
      </c>
      <c r="Q542" s="77" t="s">
        <v>1825</v>
      </c>
      <c r="R542" s="77">
        <v>0</v>
      </c>
      <c r="S542" s="77">
        <v>0</v>
      </c>
      <c r="T542" s="77">
        <v>0</v>
      </c>
      <c r="U542" s="77">
        <v>0</v>
      </c>
      <c r="V542" s="77">
        <v>29</v>
      </c>
      <c r="W542" s="82" t="s">
        <v>5552</v>
      </c>
      <c r="X542" s="77"/>
      <c r="Y542" s="77"/>
      <c r="Z542" s="77"/>
      <c r="AA542" s="77" t="s">
        <v>7919</v>
      </c>
      <c r="AB542" s="77" t="s">
        <v>10133</v>
      </c>
      <c r="AC542" s="82" t="s">
        <v>10146</v>
      </c>
      <c r="AD542" s="77" t="s">
        <v>10184</v>
      </c>
      <c r="AE542" s="80" t="str">
        <f>HYPERLINK("https://twitter.com/gatosabidotv/status/1656996486184353795")</f>
        <v>https://twitter.com/gatosabidotv/status/1656996486184353795</v>
      </c>
      <c r="AF542" s="79">
        <v>45058.510671296295</v>
      </c>
      <c r="AG542" s="85">
        <v>45058</v>
      </c>
      <c r="AH542" s="82" t="s">
        <v>10696</v>
      </c>
      <c r="AI542" s="77" t="b">
        <v>0</v>
      </c>
      <c r="AJ542" s="77"/>
      <c r="AK542" s="77"/>
      <c r="AL542" s="77"/>
      <c r="AM542" s="77"/>
      <c r="AN542" s="77"/>
      <c r="AO542" s="77"/>
      <c r="AP542" s="77"/>
      <c r="AQ542" s="77" t="s">
        <v>14563</v>
      </c>
      <c r="AR542" s="77"/>
      <c r="AS542" s="77"/>
      <c r="AT542" s="77"/>
      <c r="AU542" s="77"/>
      <c r="AV542" s="80" t="str">
        <f>HYPERLINK("https://pbs.twimg.com/tweet_video_thumb/Fv7VhJlWwAwVPcS.jpg")</f>
        <v>https://pbs.twimg.com/tweet_video_thumb/Fv7VhJlWwAwVPcS.jpg</v>
      </c>
      <c r="AW542" s="82" t="s">
        <v>17315</v>
      </c>
      <c r="AX542" s="82" t="s">
        <v>17315</v>
      </c>
      <c r="AY542" s="77"/>
      <c r="AZ542" s="82" t="s">
        <v>20971</v>
      </c>
      <c r="BA542" s="82" t="s">
        <v>20971</v>
      </c>
      <c r="BB542" s="82" t="s">
        <v>20971</v>
      </c>
      <c r="BC542" s="82" t="s">
        <v>17315</v>
      </c>
      <c r="BD542" s="77">
        <v>115766955</v>
      </c>
      <c r="BE542" s="77"/>
      <c r="BF542" s="77"/>
      <c r="BG542" s="77"/>
      <c r="BH542" s="77"/>
      <c r="BI542" s="77"/>
    </row>
    <row r="543" spans="1:61" x14ac:dyDescent="0.25">
      <c r="A543" s="62" t="s">
        <v>413</v>
      </c>
      <c r="B543" s="62" t="s">
        <v>413</v>
      </c>
      <c r="C543" s="63"/>
      <c r="D543" s="64"/>
      <c r="E543" s="65"/>
      <c r="F543" s="66"/>
      <c r="G543" s="63"/>
      <c r="H543" s="67"/>
      <c r="I543" s="68"/>
      <c r="J543" s="68"/>
      <c r="K543" s="32"/>
      <c r="L543" s="75">
        <v>543</v>
      </c>
      <c r="M543" s="75"/>
      <c r="N543" s="70"/>
      <c r="O543" s="77" t="s">
        <v>179</v>
      </c>
      <c r="P543" s="79">
        <v>45062.532372685186</v>
      </c>
      <c r="Q543" s="77" t="s">
        <v>1826</v>
      </c>
      <c r="R543" s="77">
        <v>0</v>
      </c>
      <c r="S543" s="77">
        <v>0</v>
      </c>
      <c r="T543" s="77">
        <v>0</v>
      </c>
      <c r="U543" s="77">
        <v>0</v>
      </c>
      <c r="V543" s="77">
        <v>72</v>
      </c>
      <c r="W543" s="82" t="s">
        <v>5553</v>
      </c>
      <c r="X543" s="77"/>
      <c r="Y543" s="77"/>
      <c r="Z543" s="77"/>
      <c r="AA543" s="77" t="s">
        <v>7920</v>
      </c>
      <c r="AB543" s="77" t="s">
        <v>10133</v>
      </c>
      <c r="AC543" s="82" t="s">
        <v>10146</v>
      </c>
      <c r="AD543" s="77" t="s">
        <v>10184</v>
      </c>
      <c r="AE543" s="80" t="str">
        <f>HYPERLINK("https://twitter.com/gatosabidotv/status/1658453902616829952")</f>
        <v>https://twitter.com/gatosabidotv/status/1658453902616829952</v>
      </c>
      <c r="AF543" s="79">
        <v>45062.532372685186</v>
      </c>
      <c r="AG543" s="85">
        <v>45062</v>
      </c>
      <c r="AH543" s="82" t="s">
        <v>10697</v>
      </c>
      <c r="AI543" s="77" t="b">
        <v>0</v>
      </c>
      <c r="AJ543" s="77"/>
      <c r="AK543" s="77"/>
      <c r="AL543" s="77"/>
      <c r="AM543" s="77"/>
      <c r="AN543" s="77"/>
      <c r="AO543" s="77"/>
      <c r="AP543" s="77"/>
      <c r="AQ543" s="77" t="s">
        <v>14564</v>
      </c>
      <c r="AR543" s="77"/>
      <c r="AS543" s="77"/>
      <c r="AT543" s="77"/>
      <c r="AU543" s="77"/>
      <c r="AV543" s="80" t="str">
        <f>HYPERLINK("https://pbs.twimg.com/tweet_video_thumb/FwQDBpjXsAEQLIM.jpg")</f>
        <v>https://pbs.twimg.com/tweet_video_thumb/FwQDBpjXsAEQLIM.jpg</v>
      </c>
      <c r="AW543" s="82" t="s">
        <v>17316</v>
      </c>
      <c r="AX543" s="82" t="s">
        <v>17316</v>
      </c>
      <c r="AY543" s="77"/>
      <c r="AZ543" s="82" t="s">
        <v>20971</v>
      </c>
      <c r="BA543" s="82" t="s">
        <v>20971</v>
      </c>
      <c r="BB543" s="82" t="s">
        <v>20971</v>
      </c>
      <c r="BC543" s="82" t="s">
        <v>17316</v>
      </c>
      <c r="BD543" s="77">
        <v>115766955</v>
      </c>
      <c r="BE543" s="77"/>
      <c r="BF543" s="77"/>
      <c r="BG543" s="77"/>
      <c r="BH543" s="77"/>
      <c r="BI543" s="77"/>
    </row>
    <row r="544" spans="1:61" x14ac:dyDescent="0.25">
      <c r="A544" s="62" t="s">
        <v>414</v>
      </c>
      <c r="B544" s="62" t="s">
        <v>414</v>
      </c>
      <c r="C544" s="63"/>
      <c r="D544" s="64"/>
      <c r="E544" s="65"/>
      <c r="F544" s="66"/>
      <c r="G544" s="63"/>
      <c r="H544" s="67"/>
      <c r="I544" s="68"/>
      <c r="J544" s="68"/>
      <c r="K544" s="32"/>
      <c r="L544" s="75">
        <v>544</v>
      </c>
      <c r="M544" s="75"/>
      <c r="N544" s="70"/>
      <c r="O544" s="77" t="s">
        <v>179</v>
      </c>
      <c r="P544" s="79">
        <v>44967.652928240743</v>
      </c>
      <c r="Q544" s="77" t="s">
        <v>1827</v>
      </c>
      <c r="R544" s="77">
        <v>0</v>
      </c>
      <c r="S544" s="77">
        <v>0</v>
      </c>
      <c r="T544" s="77">
        <v>0</v>
      </c>
      <c r="U544" s="77">
        <v>0</v>
      </c>
      <c r="V544" s="77">
        <v>3</v>
      </c>
      <c r="W544" s="82" t="s">
        <v>5554</v>
      </c>
      <c r="X544" s="77"/>
      <c r="Y544" s="77"/>
      <c r="Z544" s="77"/>
      <c r="AA544" s="77"/>
      <c r="AB544" s="77"/>
      <c r="AC544" s="82" t="s">
        <v>10144</v>
      </c>
      <c r="AD544" s="77" t="s">
        <v>10184</v>
      </c>
      <c r="AE544" s="80" t="str">
        <f>HYPERLINK("https://twitter.com/lojavirtualdo0/status/1624070744102653953")</f>
        <v>https://twitter.com/lojavirtualdo0/status/1624070744102653953</v>
      </c>
      <c r="AF544" s="79">
        <v>44967.652928240743</v>
      </c>
      <c r="AG544" s="85">
        <v>44967</v>
      </c>
      <c r="AH544" s="82" t="s">
        <v>10698</v>
      </c>
      <c r="AI544" s="77"/>
      <c r="AJ544" s="77"/>
      <c r="AK544" s="77"/>
      <c r="AL544" s="77"/>
      <c r="AM544" s="77"/>
      <c r="AN544" s="77"/>
      <c r="AO544" s="77"/>
      <c r="AP544" s="77"/>
      <c r="AQ544" s="77"/>
      <c r="AR544" s="77"/>
      <c r="AS544" s="77"/>
      <c r="AT544" s="77"/>
      <c r="AU544" s="77"/>
      <c r="AV544" s="80" t="str">
        <f>HYPERLINK("https://abs.twimg.com/sticky/default_profile_images/default_profile_normal.png")</f>
        <v>https://abs.twimg.com/sticky/default_profile_images/default_profile_normal.png</v>
      </c>
      <c r="AW544" s="82" t="s">
        <v>17317</v>
      </c>
      <c r="AX544" s="82" t="s">
        <v>17317</v>
      </c>
      <c r="AY544" s="77"/>
      <c r="AZ544" s="82" t="s">
        <v>20971</v>
      </c>
      <c r="BA544" s="82" t="s">
        <v>20971</v>
      </c>
      <c r="BB544" s="82" t="s">
        <v>20971</v>
      </c>
      <c r="BC544" s="82" t="s">
        <v>17317</v>
      </c>
      <c r="BD544" s="82" t="s">
        <v>21152</v>
      </c>
      <c r="BE544" s="77"/>
      <c r="BF544" s="77"/>
      <c r="BG544" s="77"/>
      <c r="BH544" s="77"/>
      <c r="BI544" s="77"/>
    </row>
    <row r="545" spans="1:61" x14ac:dyDescent="0.25">
      <c r="A545" s="62" t="s">
        <v>414</v>
      </c>
      <c r="B545" s="62" t="s">
        <v>414</v>
      </c>
      <c r="C545" s="63"/>
      <c r="D545" s="64"/>
      <c r="E545" s="65"/>
      <c r="F545" s="66"/>
      <c r="G545" s="63"/>
      <c r="H545" s="67"/>
      <c r="I545" s="68"/>
      <c r="J545" s="68"/>
      <c r="K545" s="32"/>
      <c r="L545" s="75">
        <v>545</v>
      </c>
      <c r="M545" s="75"/>
      <c r="N545" s="70"/>
      <c r="O545" s="77" t="s">
        <v>179</v>
      </c>
      <c r="P545" s="79">
        <v>44967.149444444447</v>
      </c>
      <c r="Q545" s="77" t="s">
        <v>1828</v>
      </c>
      <c r="R545" s="77">
        <v>0</v>
      </c>
      <c r="S545" s="77">
        <v>0</v>
      </c>
      <c r="T545" s="77">
        <v>1</v>
      </c>
      <c r="U545" s="77">
        <v>0</v>
      </c>
      <c r="V545" s="77">
        <v>8</v>
      </c>
      <c r="W545" s="82" t="s">
        <v>5555</v>
      </c>
      <c r="X545" s="77"/>
      <c r="Y545" s="77"/>
      <c r="Z545" s="77"/>
      <c r="AA545" s="77" t="s">
        <v>7921</v>
      </c>
      <c r="AB545" s="77" t="s">
        <v>10130</v>
      </c>
      <c r="AC545" s="82" t="s">
        <v>10144</v>
      </c>
      <c r="AD545" s="77" t="s">
        <v>10184</v>
      </c>
      <c r="AE545" s="80" t="str">
        <f>HYPERLINK("https://twitter.com/lojavirtualdo0/status/1623888286220517376")</f>
        <v>https://twitter.com/lojavirtualdo0/status/1623888286220517376</v>
      </c>
      <c r="AF545" s="79">
        <v>44967.149444444447</v>
      </c>
      <c r="AG545" s="85">
        <v>44967</v>
      </c>
      <c r="AH545" s="82" t="s">
        <v>10699</v>
      </c>
      <c r="AI545" s="77" t="b">
        <v>0</v>
      </c>
      <c r="AJ545" s="77"/>
      <c r="AK545" s="77"/>
      <c r="AL545" s="77"/>
      <c r="AM545" s="77"/>
      <c r="AN545" s="77"/>
      <c r="AO545" s="77"/>
      <c r="AP545" s="77"/>
      <c r="AQ545" s="77" t="s">
        <v>14565</v>
      </c>
      <c r="AR545" s="77"/>
      <c r="AS545" s="77"/>
      <c r="AT545" s="77"/>
      <c r="AU545" s="77"/>
      <c r="AV545" s="80" t="str">
        <f>HYPERLINK("https://pbs.twimg.com/media/Fok1ynLXgAAtf3F.jpg")</f>
        <v>https://pbs.twimg.com/media/Fok1ynLXgAAtf3F.jpg</v>
      </c>
      <c r="AW545" s="82" t="s">
        <v>17318</v>
      </c>
      <c r="AX545" s="82" t="s">
        <v>17318</v>
      </c>
      <c r="AY545" s="77"/>
      <c r="AZ545" s="82" t="s">
        <v>20971</v>
      </c>
      <c r="BA545" s="82" t="s">
        <v>20971</v>
      </c>
      <c r="BB545" s="82" t="s">
        <v>20971</v>
      </c>
      <c r="BC545" s="82" t="s">
        <v>17318</v>
      </c>
      <c r="BD545" s="82" t="s">
        <v>21152</v>
      </c>
      <c r="BE545" s="77"/>
      <c r="BF545" s="77"/>
      <c r="BG545" s="77"/>
      <c r="BH545" s="77"/>
      <c r="BI545" s="77"/>
    </row>
    <row r="546" spans="1:61" x14ac:dyDescent="0.25">
      <c r="A546" s="62" t="s">
        <v>415</v>
      </c>
      <c r="B546" s="62" t="s">
        <v>415</v>
      </c>
      <c r="C546" s="63"/>
      <c r="D546" s="64"/>
      <c r="E546" s="65"/>
      <c r="F546" s="66"/>
      <c r="G546" s="63"/>
      <c r="H546" s="67"/>
      <c r="I546" s="68"/>
      <c r="J546" s="68"/>
      <c r="K546" s="32"/>
      <c r="L546" s="75">
        <v>546</v>
      </c>
      <c r="M546" s="75"/>
      <c r="N546" s="70"/>
      <c r="O546" s="77" t="s">
        <v>1285</v>
      </c>
      <c r="P546" s="79">
        <v>45135.584907407407</v>
      </c>
      <c r="Q546" s="77" t="s">
        <v>1829</v>
      </c>
      <c r="R546" s="77">
        <v>0</v>
      </c>
      <c r="S546" s="77">
        <v>0</v>
      </c>
      <c r="T546" s="77">
        <v>0</v>
      </c>
      <c r="U546" s="77">
        <v>0</v>
      </c>
      <c r="V546" s="77">
        <v>10</v>
      </c>
      <c r="W546" s="82" t="s">
        <v>5556</v>
      </c>
      <c r="X546" s="77"/>
      <c r="Y546" s="77"/>
      <c r="Z546" s="77" t="s">
        <v>415</v>
      </c>
      <c r="AA546" s="77"/>
      <c r="AB546" s="77"/>
      <c r="AC546" s="82" t="s">
        <v>10144</v>
      </c>
      <c r="AD546" s="77" t="s">
        <v>10184</v>
      </c>
      <c r="AE546" s="80" t="str">
        <f>HYPERLINK("https://twitter.com/matteo007z/status/1684927254365634560")</f>
        <v>https://twitter.com/matteo007z/status/1684927254365634560</v>
      </c>
      <c r="AF546" s="79">
        <v>45135.584907407407</v>
      </c>
      <c r="AG546" s="85">
        <v>45135</v>
      </c>
      <c r="AH546" s="82" t="s">
        <v>10700</v>
      </c>
      <c r="AI546" s="77"/>
      <c r="AJ546" s="77"/>
      <c r="AK546" s="77"/>
      <c r="AL546" s="77"/>
      <c r="AM546" s="77"/>
      <c r="AN546" s="77"/>
      <c r="AO546" s="77"/>
      <c r="AP546" s="77"/>
      <c r="AQ546" s="77"/>
      <c r="AR546" s="77"/>
      <c r="AS546" s="77"/>
      <c r="AT546" s="77"/>
      <c r="AU546" s="77"/>
      <c r="AV546" s="80" t="str">
        <f>HYPERLINK("https://abs.twimg.com/sticky/default_profile_images/default_profile_normal.png")</f>
        <v>https://abs.twimg.com/sticky/default_profile_images/default_profile_normal.png</v>
      </c>
      <c r="AW546" s="82" t="s">
        <v>17319</v>
      </c>
      <c r="AX546" s="82" t="s">
        <v>17319</v>
      </c>
      <c r="AY546" s="77"/>
      <c r="AZ546" s="82" t="s">
        <v>20971</v>
      </c>
      <c r="BA546" s="82" t="s">
        <v>20971</v>
      </c>
      <c r="BB546" s="82" t="s">
        <v>20971</v>
      </c>
      <c r="BC546" s="82" t="s">
        <v>17319</v>
      </c>
      <c r="BD546" s="82" t="s">
        <v>21153</v>
      </c>
      <c r="BE546" s="77"/>
      <c r="BF546" s="77"/>
      <c r="BG546" s="77"/>
      <c r="BH546" s="77"/>
      <c r="BI546" s="77"/>
    </row>
    <row r="547" spans="1:61" x14ac:dyDescent="0.25">
      <c r="A547" s="62" t="s">
        <v>416</v>
      </c>
      <c r="B547" s="62" t="s">
        <v>1241</v>
      </c>
      <c r="C547" s="63"/>
      <c r="D547" s="64"/>
      <c r="E547" s="65"/>
      <c r="F547" s="66"/>
      <c r="G547" s="63"/>
      <c r="H547" s="67"/>
      <c r="I547" s="68"/>
      <c r="J547" s="68"/>
      <c r="K547" s="32"/>
      <c r="L547" s="75">
        <v>547</v>
      </c>
      <c r="M547" s="75"/>
      <c r="N547" s="70"/>
      <c r="O547" s="77" t="s">
        <v>1285</v>
      </c>
      <c r="P547" s="79">
        <v>44976.493703703702</v>
      </c>
      <c r="Q547" s="77" t="s">
        <v>1830</v>
      </c>
      <c r="R547" s="77">
        <v>0</v>
      </c>
      <c r="S547" s="77">
        <v>1</v>
      </c>
      <c r="T547" s="77">
        <v>2</v>
      </c>
      <c r="U547" s="77">
        <v>0</v>
      </c>
      <c r="V547" s="77">
        <v>44</v>
      </c>
      <c r="W547" s="82" t="s">
        <v>5557</v>
      </c>
      <c r="X547" s="80" t="str">
        <f>HYPERLINK("https://youtu.be/4kVSVeZbEAE")</f>
        <v>https://youtu.be/4kVSVeZbEAE</v>
      </c>
      <c r="Y547" s="77" t="s">
        <v>7248</v>
      </c>
      <c r="Z547" s="77" t="s">
        <v>1241</v>
      </c>
      <c r="AA547" s="77"/>
      <c r="AB547" s="77"/>
      <c r="AC547" s="82" t="s">
        <v>10146</v>
      </c>
      <c r="AD547" s="77" t="s">
        <v>10184</v>
      </c>
      <c r="AE547" s="80" t="str">
        <f>HYPERLINK("https://twitter.com/l_universe020/status/1627274532703596547")</f>
        <v>https://twitter.com/l_universe020/status/1627274532703596547</v>
      </c>
      <c r="AF547" s="79">
        <v>44976.493703703702</v>
      </c>
      <c r="AG547" s="85">
        <v>44976</v>
      </c>
      <c r="AH547" s="82" t="s">
        <v>10701</v>
      </c>
      <c r="AI547" s="77" t="b">
        <v>0</v>
      </c>
      <c r="AJ547" s="77"/>
      <c r="AK547" s="77"/>
      <c r="AL547" s="77"/>
      <c r="AM547" s="77"/>
      <c r="AN547" s="77"/>
      <c r="AO547" s="77"/>
      <c r="AP547" s="77"/>
      <c r="AQ547" s="77"/>
      <c r="AR547" s="77"/>
      <c r="AS547" s="77"/>
      <c r="AT547" s="77"/>
      <c r="AU547" s="77"/>
      <c r="AV547" s="80" t="str">
        <f>HYPERLINK("https://pbs.twimg.com/profile_images/1605292076169678857/GpSma_wV_normal.jpg")</f>
        <v>https://pbs.twimg.com/profile_images/1605292076169678857/GpSma_wV_normal.jpg</v>
      </c>
      <c r="AW547" s="82" t="s">
        <v>17320</v>
      </c>
      <c r="AX547" s="82" t="s">
        <v>17320</v>
      </c>
      <c r="AY547" s="77"/>
      <c r="AZ547" s="82" t="s">
        <v>20971</v>
      </c>
      <c r="BA547" s="82" t="s">
        <v>20971</v>
      </c>
      <c r="BB547" s="82" t="s">
        <v>20971</v>
      </c>
      <c r="BC547" s="82" t="s">
        <v>17320</v>
      </c>
      <c r="BD547" s="82" t="s">
        <v>21154</v>
      </c>
      <c r="BE547" s="77"/>
      <c r="BF547" s="77"/>
      <c r="BG547" s="77"/>
      <c r="BH547" s="77"/>
      <c r="BI547" s="77"/>
    </row>
    <row r="548" spans="1:61" x14ac:dyDescent="0.25">
      <c r="A548" s="62" t="s">
        <v>416</v>
      </c>
      <c r="B548" s="62" t="s">
        <v>1241</v>
      </c>
      <c r="C548" s="63"/>
      <c r="D548" s="64"/>
      <c r="E548" s="65"/>
      <c r="F548" s="66"/>
      <c r="G548" s="63"/>
      <c r="H548" s="67"/>
      <c r="I548" s="68"/>
      <c r="J548" s="68"/>
      <c r="K548" s="32"/>
      <c r="L548" s="75">
        <v>548</v>
      </c>
      <c r="M548" s="75"/>
      <c r="N548" s="70"/>
      <c r="O548" s="77" t="s">
        <v>1285</v>
      </c>
      <c r="P548" s="79">
        <v>45004.767164351855</v>
      </c>
      <c r="Q548" s="77" t="s">
        <v>1831</v>
      </c>
      <c r="R548" s="77">
        <v>0</v>
      </c>
      <c r="S548" s="77">
        <v>1</v>
      </c>
      <c r="T548" s="77">
        <v>0</v>
      </c>
      <c r="U548" s="77">
        <v>0</v>
      </c>
      <c r="V548" s="77">
        <v>22</v>
      </c>
      <c r="W548" s="82" t="s">
        <v>5558</v>
      </c>
      <c r="X548" s="80" t="str">
        <f>HYPERLINK("https://youtu.be/N8PrF_023iU")</f>
        <v>https://youtu.be/N8PrF_023iU</v>
      </c>
      <c r="Y548" s="77" t="s">
        <v>7248</v>
      </c>
      <c r="Z548" s="77" t="s">
        <v>1241</v>
      </c>
      <c r="AA548" s="77"/>
      <c r="AB548" s="77"/>
      <c r="AC548" s="82" t="s">
        <v>10146</v>
      </c>
      <c r="AD548" s="77" t="s">
        <v>10184</v>
      </c>
      <c r="AE548" s="80" t="str">
        <f>HYPERLINK("https://twitter.com/l_universe020/status/1637520492708995076")</f>
        <v>https://twitter.com/l_universe020/status/1637520492708995076</v>
      </c>
      <c r="AF548" s="79">
        <v>45004.767164351855</v>
      </c>
      <c r="AG548" s="85">
        <v>45004</v>
      </c>
      <c r="AH548" s="82" t="s">
        <v>10702</v>
      </c>
      <c r="AI548" s="77" t="b">
        <v>0</v>
      </c>
      <c r="AJ548" s="77"/>
      <c r="AK548" s="77"/>
      <c r="AL548" s="77"/>
      <c r="AM548" s="77"/>
      <c r="AN548" s="77"/>
      <c r="AO548" s="77"/>
      <c r="AP548" s="77"/>
      <c r="AQ548" s="77"/>
      <c r="AR548" s="77"/>
      <c r="AS548" s="77"/>
      <c r="AT548" s="77"/>
      <c r="AU548" s="77"/>
      <c r="AV548" s="80" t="str">
        <f>HYPERLINK("https://pbs.twimg.com/profile_images/1605292076169678857/GpSma_wV_normal.jpg")</f>
        <v>https://pbs.twimg.com/profile_images/1605292076169678857/GpSma_wV_normal.jpg</v>
      </c>
      <c r="AW548" s="82" t="s">
        <v>17321</v>
      </c>
      <c r="AX548" s="82" t="s">
        <v>17321</v>
      </c>
      <c r="AY548" s="77"/>
      <c r="AZ548" s="82" t="s">
        <v>20971</v>
      </c>
      <c r="BA548" s="82" t="s">
        <v>20971</v>
      </c>
      <c r="BB548" s="82" t="s">
        <v>20971</v>
      </c>
      <c r="BC548" s="82" t="s">
        <v>17321</v>
      </c>
      <c r="BD548" s="82" t="s">
        <v>21154</v>
      </c>
      <c r="BE548" s="77"/>
      <c r="BF548" s="77"/>
      <c r="BG548" s="77"/>
      <c r="BH548" s="77"/>
      <c r="BI548" s="77"/>
    </row>
    <row r="549" spans="1:61" x14ac:dyDescent="0.25">
      <c r="A549" s="62" t="s">
        <v>417</v>
      </c>
      <c r="B549" s="62" t="s">
        <v>417</v>
      </c>
      <c r="C549" s="63"/>
      <c r="D549" s="64"/>
      <c r="E549" s="65"/>
      <c r="F549" s="66"/>
      <c r="G549" s="63"/>
      <c r="H549" s="67"/>
      <c r="I549" s="68"/>
      <c r="J549" s="68"/>
      <c r="K549" s="32"/>
      <c r="L549" s="75">
        <v>549</v>
      </c>
      <c r="M549" s="75"/>
      <c r="N549" s="70"/>
      <c r="O549" s="77" t="s">
        <v>179</v>
      </c>
      <c r="P549" s="79">
        <v>45006.592152777775</v>
      </c>
      <c r="Q549" s="77" t="s">
        <v>1832</v>
      </c>
      <c r="R549" s="77">
        <v>0</v>
      </c>
      <c r="S549" s="77">
        <v>0</v>
      </c>
      <c r="T549" s="77">
        <v>0</v>
      </c>
      <c r="U549" s="77">
        <v>0</v>
      </c>
      <c r="V549" s="77">
        <v>8</v>
      </c>
      <c r="W549" s="82" t="s">
        <v>5559</v>
      </c>
      <c r="X549" s="80" t="str">
        <f>HYPERLINK("https://www.instagram.com/reel/CqDbopiOGm-/?igshid=MDJmNzVkMjY=")</f>
        <v>https://www.instagram.com/reel/CqDbopiOGm-/?igshid=MDJmNzVkMjY=</v>
      </c>
      <c r="Y549" s="77" t="s">
        <v>7250</v>
      </c>
      <c r="Z549" s="77"/>
      <c r="AA549" s="77"/>
      <c r="AB549" s="77"/>
      <c r="AC549" s="82" t="s">
        <v>10144</v>
      </c>
      <c r="AD549" s="77" t="s">
        <v>10184</v>
      </c>
      <c r="AE549" s="80" t="str">
        <f>HYPERLINK("https://twitter.com/irineubere/status/1638181844998041602")</f>
        <v>https://twitter.com/irineubere/status/1638181844998041602</v>
      </c>
      <c r="AF549" s="79">
        <v>45006.592152777775</v>
      </c>
      <c r="AG549" s="85">
        <v>45006</v>
      </c>
      <c r="AH549" s="82" t="s">
        <v>10703</v>
      </c>
      <c r="AI549" s="77" t="b">
        <v>0</v>
      </c>
      <c r="AJ549" s="77"/>
      <c r="AK549" s="77"/>
      <c r="AL549" s="77"/>
      <c r="AM549" s="77"/>
      <c r="AN549" s="77"/>
      <c r="AO549" s="77"/>
      <c r="AP549" s="77"/>
      <c r="AQ549" s="77"/>
      <c r="AR549" s="77"/>
      <c r="AS549" s="77"/>
      <c r="AT549" s="77"/>
      <c r="AU549" s="77"/>
      <c r="AV549" s="80" t="str">
        <f>HYPERLINK("https://pbs.twimg.com/profile_images/1609890382300471297/1HGHH84K_normal.png")</f>
        <v>https://pbs.twimg.com/profile_images/1609890382300471297/1HGHH84K_normal.png</v>
      </c>
      <c r="AW549" s="82" t="s">
        <v>17322</v>
      </c>
      <c r="AX549" s="82" t="s">
        <v>17322</v>
      </c>
      <c r="AY549" s="77"/>
      <c r="AZ549" s="82" t="s">
        <v>20971</v>
      </c>
      <c r="BA549" s="82" t="s">
        <v>20971</v>
      </c>
      <c r="BB549" s="82" t="s">
        <v>20971</v>
      </c>
      <c r="BC549" s="82" t="s">
        <v>17322</v>
      </c>
      <c r="BD549" s="77">
        <v>536380588</v>
      </c>
      <c r="BE549" s="77"/>
      <c r="BF549" s="77"/>
      <c r="BG549" s="77"/>
      <c r="BH549" s="77"/>
      <c r="BI549" s="77"/>
    </row>
    <row r="550" spans="1:61" x14ac:dyDescent="0.25">
      <c r="A550" s="62" t="s">
        <v>418</v>
      </c>
      <c r="B550" s="62" t="s">
        <v>418</v>
      </c>
      <c r="C550" s="63"/>
      <c r="D550" s="64"/>
      <c r="E550" s="65"/>
      <c r="F550" s="66"/>
      <c r="G550" s="63"/>
      <c r="H550" s="67"/>
      <c r="I550" s="68"/>
      <c r="J550" s="68"/>
      <c r="K550" s="32"/>
      <c r="L550" s="75">
        <v>550</v>
      </c>
      <c r="M550" s="75"/>
      <c r="N550" s="70"/>
      <c r="O550" s="77" t="s">
        <v>179</v>
      </c>
      <c r="P550" s="79">
        <v>45075.80431712963</v>
      </c>
      <c r="Q550" s="77" t="s">
        <v>1833</v>
      </c>
      <c r="R550" s="77">
        <v>0</v>
      </c>
      <c r="S550" s="77">
        <v>0</v>
      </c>
      <c r="T550" s="77">
        <v>0</v>
      </c>
      <c r="U550" s="77">
        <v>0</v>
      </c>
      <c r="V550" s="77">
        <v>7</v>
      </c>
      <c r="W550" s="82" t="s">
        <v>5560</v>
      </c>
      <c r="X550" s="80" t="str">
        <f>HYPERLINK("https://www.freeclassificados.com/ads/quem-disse-que-todas-as-portas-de-uma-casa-precisam-ser-brancas/")</f>
        <v>https://www.freeclassificados.com/ads/quem-disse-que-todas-as-portas-de-uma-casa-precisam-ser-brancas/</v>
      </c>
      <c r="Y550" s="77" t="s">
        <v>7308</v>
      </c>
      <c r="Z550" s="77"/>
      <c r="AA550" s="77"/>
      <c r="AB550" s="77"/>
      <c r="AC550" s="82" t="s">
        <v>10155</v>
      </c>
      <c r="AD550" s="77" t="s">
        <v>10184</v>
      </c>
      <c r="AE550" s="80" t="str">
        <f>HYPERLINK("https://twitter.com/freeclassific/status/1663263495188811778")</f>
        <v>https://twitter.com/freeclassific/status/1663263495188811778</v>
      </c>
      <c r="AF550" s="79">
        <v>45075.80431712963</v>
      </c>
      <c r="AG550" s="85">
        <v>45075</v>
      </c>
      <c r="AH550" s="82" t="s">
        <v>10704</v>
      </c>
      <c r="AI550" s="77" t="b">
        <v>0</v>
      </c>
      <c r="AJ550" s="77"/>
      <c r="AK550" s="77"/>
      <c r="AL550" s="77"/>
      <c r="AM550" s="77"/>
      <c r="AN550" s="77"/>
      <c r="AO550" s="77"/>
      <c r="AP550" s="77"/>
      <c r="AQ550" s="77"/>
      <c r="AR550" s="77"/>
      <c r="AS550" s="77"/>
      <c r="AT550" s="77"/>
      <c r="AU550" s="77"/>
      <c r="AV550" s="80" t="str">
        <f>HYPERLINK("https://pbs.twimg.com/profile_images/1431648743728852993/tLJ7F5Lu_normal.png")</f>
        <v>https://pbs.twimg.com/profile_images/1431648743728852993/tLJ7F5Lu_normal.png</v>
      </c>
      <c r="AW550" s="82" t="s">
        <v>17323</v>
      </c>
      <c r="AX550" s="82" t="s">
        <v>17323</v>
      </c>
      <c r="AY550" s="77"/>
      <c r="AZ550" s="82" t="s">
        <v>20971</v>
      </c>
      <c r="BA550" s="82" t="s">
        <v>20971</v>
      </c>
      <c r="BB550" s="82" t="s">
        <v>20971</v>
      </c>
      <c r="BC550" s="82" t="s">
        <v>17323</v>
      </c>
      <c r="BD550" s="77">
        <v>489723814</v>
      </c>
      <c r="BE550" s="77"/>
      <c r="BF550" s="77"/>
      <c r="BG550" s="77"/>
      <c r="BH550" s="77"/>
      <c r="BI550" s="77"/>
    </row>
    <row r="551" spans="1:61" x14ac:dyDescent="0.25">
      <c r="A551" s="62" t="s">
        <v>418</v>
      </c>
      <c r="B551" s="62" t="s">
        <v>418</v>
      </c>
      <c r="C551" s="63"/>
      <c r="D551" s="64"/>
      <c r="E551" s="65"/>
      <c r="F551" s="66"/>
      <c r="G551" s="63"/>
      <c r="H551" s="67"/>
      <c r="I551" s="68"/>
      <c r="J551" s="68"/>
      <c r="K551" s="32"/>
      <c r="L551" s="75">
        <v>551</v>
      </c>
      <c r="M551" s="75"/>
      <c r="N551" s="70"/>
      <c r="O551" s="77" t="s">
        <v>179</v>
      </c>
      <c r="P551" s="79">
        <v>45075.803541666668</v>
      </c>
      <c r="Q551" s="77" t="s">
        <v>1834</v>
      </c>
      <c r="R551" s="77">
        <v>0</v>
      </c>
      <c r="S551" s="77">
        <v>0</v>
      </c>
      <c r="T551" s="77">
        <v>0</v>
      </c>
      <c r="U551" s="77">
        <v>0</v>
      </c>
      <c r="V551" s="77">
        <v>8</v>
      </c>
      <c r="W551" s="82" t="s">
        <v>5560</v>
      </c>
      <c r="X551" s="80" t="str">
        <f>HYPERLINK("https://www.freeclassificados.com/ads/resistente-aconchegante-e-versatil-nao-temos-duvida-que-o-forro-de-madeira-virou-tendencia/")</f>
        <v>https://www.freeclassificados.com/ads/resistente-aconchegante-e-versatil-nao-temos-duvida-que-o-forro-de-madeira-virou-tendencia/</v>
      </c>
      <c r="Y551" s="77" t="s">
        <v>7308</v>
      </c>
      <c r="Z551" s="77"/>
      <c r="AA551" s="77"/>
      <c r="AB551" s="77"/>
      <c r="AC551" s="82" t="s">
        <v>10155</v>
      </c>
      <c r="AD551" s="77" t="s">
        <v>10184</v>
      </c>
      <c r="AE551" s="80" t="str">
        <f>HYPERLINK("https://twitter.com/freeclassific/status/1663263211095994368")</f>
        <v>https://twitter.com/freeclassific/status/1663263211095994368</v>
      </c>
      <c r="AF551" s="79">
        <v>45075.803541666668</v>
      </c>
      <c r="AG551" s="85">
        <v>45075</v>
      </c>
      <c r="AH551" s="82" t="s">
        <v>10705</v>
      </c>
      <c r="AI551" s="77" t="b">
        <v>0</v>
      </c>
      <c r="AJ551" s="77"/>
      <c r="AK551" s="77"/>
      <c r="AL551" s="77"/>
      <c r="AM551" s="77"/>
      <c r="AN551" s="77"/>
      <c r="AO551" s="77"/>
      <c r="AP551" s="77"/>
      <c r="AQ551" s="77"/>
      <c r="AR551" s="77"/>
      <c r="AS551" s="77"/>
      <c r="AT551" s="77"/>
      <c r="AU551" s="77"/>
      <c r="AV551" s="80" t="str">
        <f>HYPERLINK("https://pbs.twimg.com/profile_images/1431648743728852993/tLJ7F5Lu_normal.png")</f>
        <v>https://pbs.twimg.com/profile_images/1431648743728852993/tLJ7F5Lu_normal.png</v>
      </c>
      <c r="AW551" s="82" t="s">
        <v>17324</v>
      </c>
      <c r="AX551" s="82" t="s">
        <v>17324</v>
      </c>
      <c r="AY551" s="77"/>
      <c r="AZ551" s="82" t="s">
        <v>20971</v>
      </c>
      <c r="BA551" s="82" t="s">
        <v>20971</v>
      </c>
      <c r="BB551" s="82" t="s">
        <v>20971</v>
      </c>
      <c r="BC551" s="82" t="s">
        <v>17324</v>
      </c>
      <c r="BD551" s="77">
        <v>489723814</v>
      </c>
      <c r="BE551" s="77"/>
      <c r="BF551" s="77"/>
      <c r="BG551" s="77"/>
      <c r="BH551" s="77"/>
      <c r="BI551" s="77"/>
    </row>
    <row r="552" spans="1:61" x14ac:dyDescent="0.25">
      <c r="A552" s="62" t="s">
        <v>418</v>
      </c>
      <c r="B552" s="62" t="s">
        <v>418</v>
      </c>
      <c r="C552" s="63"/>
      <c r="D552" s="64"/>
      <c r="E552" s="65"/>
      <c r="F552" s="66"/>
      <c r="G552" s="63"/>
      <c r="H552" s="67"/>
      <c r="I552" s="68"/>
      <c r="J552" s="68"/>
      <c r="K552" s="32"/>
      <c r="L552" s="75">
        <v>552</v>
      </c>
      <c r="M552" s="75"/>
      <c r="N552" s="70"/>
      <c r="O552" s="77" t="s">
        <v>179</v>
      </c>
      <c r="P552" s="79">
        <v>45075.739363425928</v>
      </c>
      <c r="Q552" s="77" t="s">
        <v>1835</v>
      </c>
      <c r="R552" s="77">
        <v>0</v>
      </c>
      <c r="S552" s="77">
        <v>0</v>
      </c>
      <c r="T552" s="77">
        <v>0</v>
      </c>
      <c r="U552" s="77">
        <v>0</v>
      </c>
      <c r="V552" s="77">
        <v>19</v>
      </c>
      <c r="W552" s="82" t="s">
        <v>5560</v>
      </c>
      <c r="X552" s="80" t="str">
        <f>HYPERLINK("https://www.freeclassificados.com/ads/djsomiluminacao-para-sua-festa-11-91480-8788-whatsapp/")</f>
        <v>https://www.freeclassificados.com/ads/djsomiluminacao-para-sua-festa-11-91480-8788-whatsapp/</v>
      </c>
      <c r="Y552" s="77" t="s">
        <v>7308</v>
      </c>
      <c r="Z552" s="77"/>
      <c r="AA552" s="77"/>
      <c r="AB552" s="77"/>
      <c r="AC552" s="82" t="s">
        <v>10155</v>
      </c>
      <c r="AD552" s="77" t="s">
        <v>10184</v>
      </c>
      <c r="AE552" s="80" t="str">
        <f>HYPERLINK("https://twitter.com/freeclassific/status/1663239954267521024")</f>
        <v>https://twitter.com/freeclassific/status/1663239954267521024</v>
      </c>
      <c r="AF552" s="79">
        <v>45075.739363425928</v>
      </c>
      <c r="AG552" s="85">
        <v>45075</v>
      </c>
      <c r="AH552" s="82" t="s">
        <v>10706</v>
      </c>
      <c r="AI552" s="77" t="b">
        <v>0</v>
      </c>
      <c r="AJ552" s="77"/>
      <c r="AK552" s="77"/>
      <c r="AL552" s="77"/>
      <c r="AM552" s="77"/>
      <c r="AN552" s="77"/>
      <c r="AO552" s="77"/>
      <c r="AP552" s="77"/>
      <c r="AQ552" s="77"/>
      <c r="AR552" s="77"/>
      <c r="AS552" s="77"/>
      <c r="AT552" s="77"/>
      <c r="AU552" s="77"/>
      <c r="AV552" s="80" t="str">
        <f>HYPERLINK("https://pbs.twimg.com/profile_images/1431648743728852993/tLJ7F5Lu_normal.png")</f>
        <v>https://pbs.twimg.com/profile_images/1431648743728852993/tLJ7F5Lu_normal.png</v>
      </c>
      <c r="AW552" s="82" t="s">
        <v>17325</v>
      </c>
      <c r="AX552" s="82" t="s">
        <v>17325</v>
      </c>
      <c r="AY552" s="77"/>
      <c r="AZ552" s="82" t="s">
        <v>20971</v>
      </c>
      <c r="BA552" s="82" t="s">
        <v>20971</v>
      </c>
      <c r="BB552" s="82" t="s">
        <v>20971</v>
      </c>
      <c r="BC552" s="82" t="s">
        <v>17325</v>
      </c>
      <c r="BD552" s="77">
        <v>489723814</v>
      </c>
      <c r="BE552" s="77"/>
      <c r="BF552" s="77"/>
      <c r="BG552" s="77"/>
      <c r="BH552" s="77"/>
      <c r="BI552" s="77"/>
    </row>
    <row r="553" spans="1:61" x14ac:dyDescent="0.25">
      <c r="A553" s="62" t="s">
        <v>418</v>
      </c>
      <c r="B553" s="62" t="s">
        <v>418</v>
      </c>
      <c r="C553" s="63"/>
      <c r="D553" s="64"/>
      <c r="E553" s="65"/>
      <c r="F553" s="66"/>
      <c r="G553" s="63"/>
      <c r="H553" s="67"/>
      <c r="I553" s="68"/>
      <c r="J553" s="68"/>
      <c r="K553" s="32"/>
      <c r="L553" s="75">
        <v>553</v>
      </c>
      <c r="M553" s="75"/>
      <c r="N553" s="70"/>
      <c r="O553" s="77" t="s">
        <v>179</v>
      </c>
      <c r="P553" s="79">
        <v>45075.678900462961</v>
      </c>
      <c r="Q553" s="77" t="s">
        <v>1836</v>
      </c>
      <c r="R553" s="77">
        <v>0</v>
      </c>
      <c r="S553" s="77">
        <v>0</v>
      </c>
      <c r="T553" s="77">
        <v>0</v>
      </c>
      <c r="U553" s="77">
        <v>0</v>
      </c>
      <c r="V553" s="77">
        <v>13</v>
      </c>
      <c r="W553" s="82" t="s">
        <v>5560</v>
      </c>
      <c r="X553" s="80" t="str">
        <f>HYPERLINK("https://www.freeclassificados.com/ads/cerca-eletrica-guarulhos-11-98475-2594-alarme-cameras-instalacao-manutencao/")</f>
        <v>https://www.freeclassificados.com/ads/cerca-eletrica-guarulhos-11-98475-2594-alarme-cameras-instalacao-manutencao/</v>
      </c>
      <c r="Y553" s="77" t="s">
        <v>7308</v>
      </c>
      <c r="Z553" s="77"/>
      <c r="AA553" s="77"/>
      <c r="AB553" s="77"/>
      <c r="AC553" s="82" t="s">
        <v>10155</v>
      </c>
      <c r="AD553" s="77" t="s">
        <v>10184</v>
      </c>
      <c r="AE553" s="80" t="str">
        <f>HYPERLINK("https://twitter.com/freeclassific/status/1663218042216796160")</f>
        <v>https://twitter.com/freeclassific/status/1663218042216796160</v>
      </c>
      <c r="AF553" s="79">
        <v>45075.678900462961</v>
      </c>
      <c r="AG553" s="85">
        <v>45075</v>
      </c>
      <c r="AH553" s="82" t="s">
        <v>10707</v>
      </c>
      <c r="AI553" s="77" t="b">
        <v>0</v>
      </c>
      <c r="AJ553" s="77"/>
      <c r="AK553" s="77"/>
      <c r="AL553" s="77"/>
      <c r="AM553" s="77"/>
      <c r="AN553" s="77"/>
      <c r="AO553" s="77"/>
      <c r="AP553" s="77"/>
      <c r="AQ553" s="77"/>
      <c r="AR553" s="77"/>
      <c r="AS553" s="77"/>
      <c r="AT553" s="77"/>
      <c r="AU553" s="77"/>
      <c r="AV553" s="80" t="str">
        <f>HYPERLINK("https://pbs.twimg.com/profile_images/1431648743728852993/tLJ7F5Lu_normal.png")</f>
        <v>https://pbs.twimg.com/profile_images/1431648743728852993/tLJ7F5Lu_normal.png</v>
      </c>
      <c r="AW553" s="82" t="s">
        <v>17326</v>
      </c>
      <c r="AX553" s="82" t="s">
        <v>17326</v>
      </c>
      <c r="AY553" s="77"/>
      <c r="AZ553" s="82" t="s">
        <v>20971</v>
      </c>
      <c r="BA553" s="82" t="s">
        <v>20971</v>
      </c>
      <c r="BB553" s="82" t="s">
        <v>20971</v>
      </c>
      <c r="BC553" s="82" t="s">
        <v>17326</v>
      </c>
      <c r="BD553" s="77">
        <v>489723814</v>
      </c>
      <c r="BE553" s="77"/>
      <c r="BF553" s="77"/>
      <c r="BG553" s="77"/>
      <c r="BH553" s="77"/>
      <c r="BI553" s="77"/>
    </row>
    <row r="554" spans="1:61" x14ac:dyDescent="0.25">
      <c r="A554" s="62" t="s">
        <v>418</v>
      </c>
      <c r="B554" s="62" t="s">
        <v>418</v>
      </c>
      <c r="C554" s="63"/>
      <c r="D554" s="64"/>
      <c r="E554" s="65"/>
      <c r="F554" s="66"/>
      <c r="G554" s="63"/>
      <c r="H554" s="67"/>
      <c r="I554" s="68"/>
      <c r="J554" s="68"/>
      <c r="K554" s="32"/>
      <c r="L554" s="75">
        <v>554</v>
      </c>
      <c r="M554" s="75"/>
      <c r="N554" s="70"/>
      <c r="O554" s="77" t="s">
        <v>179</v>
      </c>
      <c r="P554" s="79">
        <v>45074.870532407411</v>
      </c>
      <c r="Q554" s="77" t="s">
        <v>1837</v>
      </c>
      <c r="R554" s="77">
        <v>0</v>
      </c>
      <c r="S554" s="77">
        <v>0</v>
      </c>
      <c r="T554" s="77">
        <v>0</v>
      </c>
      <c r="U554" s="77">
        <v>0</v>
      </c>
      <c r="V554" s="77">
        <v>16</v>
      </c>
      <c r="W554" s="82" t="s">
        <v>5560</v>
      </c>
      <c r="X554" s="80" t="str">
        <f>HYPERLINK("https://www.freeclassificados.com/ads/barbie-show-animacao-de-festas-11948594445/")</f>
        <v>https://www.freeclassificados.com/ads/barbie-show-animacao-de-festas-11948594445/</v>
      </c>
      <c r="Y554" s="77" t="s">
        <v>7308</v>
      </c>
      <c r="Z554" s="77"/>
      <c r="AA554" s="77"/>
      <c r="AB554" s="77"/>
      <c r="AC554" s="82" t="s">
        <v>10155</v>
      </c>
      <c r="AD554" s="77" t="s">
        <v>10184</v>
      </c>
      <c r="AE554" s="80" t="str">
        <f>HYPERLINK("https://twitter.com/freeclassific/status/1662925101648723968")</f>
        <v>https://twitter.com/freeclassific/status/1662925101648723968</v>
      </c>
      <c r="AF554" s="79">
        <v>45074.870532407411</v>
      </c>
      <c r="AG554" s="85">
        <v>45074</v>
      </c>
      <c r="AH554" s="82" t="s">
        <v>10708</v>
      </c>
      <c r="AI554" s="77" t="b">
        <v>0</v>
      </c>
      <c r="AJ554" s="77"/>
      <c r="AK554" s="77"/>
      <c r="AL554" s="77"/>
      <c r="AM554" s="77"/>
      <c r="AN554" s="77"/>
      <c r="AO554" s="77"/>
      <c r="AP554" s="77"/>
      <c r="AQ554" s="77"/>
      <c r="AR554" s="77"/>
      <c r="AS554" s="77"/>
      <c r="AT554" s="77"/>
      <c r="AU554" s="77"/>
      <c r="AV554" s="80" t="str">
        <f>HYPERLINK("https://pbs.twimg.com/profile_images/1431648743728852993/tLJ7F5Lu_normal.png")</f>
        <v>https://pbs.twimg.com/profile_images/1431648743728852993/tLJ7F5Lu_normal.png</v>
      </c>
      <c r="AW554" s="82" t="s">
        <v>17327</v>
      </c>
      <c r="AX554" s="82" t="s">
        <v>17327</v>
      </c>
      <c r="AY554" s="77"/>
      <c r="AZ554" s="82" t="s">
        <v>20971</v>
      </c>
      <c r="BA554" s="82" t="s">
        <v>20971</v>
      </c>
      <c r="BB554" s="82" t="s">
        <v>20971</v>
      </c>
      <c r="BC554" s="82" t="s">
        <v>17327</v>
      </c>
      <c r="BD554" s="77">
        <v>489723814</v>
      </c>
      <c r="BE554" s="77"/>
      <c r="BF554" s="77"/>
      <c r="BG554" s="77"/>
      <c r="BH554" s="77"/>
      <c r="BI554" s="77"/>
    </row>
    <row r="555" spans="1:61" x14ac:dyDescent="0.25">
      <c r="A555" s="62" t="s">
        <v>418</v>
      </c>
      <c r="B555" s="62" t="s">
        <v>418</v>
      </c>
      <c r="C555" s="63"/>
      <c r="D555" s="64"/>
      <c r="E555" s="65"/>
      <c r="F555" s="66"/>
      <c r="G555" s="63"/>
      <c r="H555" s="67"/>
      <c r="I555" s="68"/>
      <c r="J555" s="68"/>
      <c r="K555" s="32"/>
      <c r="L555" s="75">
        <v>555</v>
      </c>
      <c r="M555" s="75"/>
      <c r="N555" s="70"/>
      <c r="O555" s="77" t="s">
        <v>179</v>
      </c>
      <c r="P555" s="79">
        <v>45074.794282407405</v>
      </c>
      <c r="Q555" s="77" t="s">
        <v>1838</v>
      </c>
      <c r="R555" s="77">
        <v>0</v>
      </c>
      <c r="S555" s="77">
        <v>0</v>
      </c>
      <c r="T555" s="77">
        <v>0</v>
      </c>
      <c r="U555" s="77">
        <v>0</v>
      </c>
      <c r="V555" s="77">
        <v>15</v>
      </c>
      <c r="W555" s="82" t="s">
        <v>5560</v>
      </c>
      <c r="X555" s="80" t="str">
        <f>HYPERLINK("https://www.freeclassificados.com/ads/barbie-animacao-de-festas-11948594445/")</f>
        <v>https://www.freeclassificados.com/ads/barbie-animacao-de-festas-11948594445/</v>
      </c>
      <c r="Y555" s="77" t="s">
        <v>7308</v>
      </c>
      <c r="Z555" s="77"/>
      <c r="AA555" s="77"/>
      <c r="AB555" s="77"/>
      <c r="AC555" s="82" t="s">
        <v>10155</v>
      </c>
      <c r="AD555" s="77" t="s">
        <v>10184</v>
      </c>
      <c r="AE555" s="80" t="str">
        <f>HYPERLINK("https://twitter.com/freeclassific/status/1662897470169546752")</f>
        <v>https://twitter.com/freeclassific/status/1662897470169546752</v>
      </c>
      <c r="AF555" s="79">
        <v>45074.794282407405</v>
      </c>
      <c r="AG555" s="85">
        <v>45074</v>
      </c>
      <c r="AH555" s="82" t="s">
        <v>10709</v>
      </c>
      <c r="AI555" s="77" t="b">
        <v>0</v>
      </c>
      <c r="AJ555" s="77"/>
      <c r="AK555" s="77"/>
      <c r="AL555" s="77"/>
      <c r="AM555" s="77"/>
      <c r="AN555" s="77"/>
      <c r="AO555" s="77"/>
      <c r="AP555" s="77"/>
      <c r="AQ555" s="77"/>
      <c r="AR555" s="77"/>
      <c r="AS555" s="77"/>
      <c r="AT555" s="77"/>
      <c r="AU555" s="77"/>
      <c r="AV555" s="80" t="str">
        <f>HYPERLINK("https://pbs.twimg.com/profile_images/1431648743728852993/tLJ7F5Lu_normal.png")</f>
        <v>https://pbs.twimg.com/profile_images/1431648743728852993/tLJ7F5Lu_normal.png</v>
      </c>
      <c r="AW555" s="82" t="s">
        <v>17328</v>
      </c>
      <c r="AX555" s="82" t="s">
        <v>17328</v>
      </c>
      <c r="AY555" s="77"/>
      <c r="AZ555" s="82" t="s">
        <v>20971</v>
      </c>
      <c r="BA555" s="82" t="s">
        <v>20971</v>
      </c>
      <c r="BB555" s="82" t="s">
        <v>20971</v>
      </c>
      <c r="BC555" s="82" t="s">
        <v>17328</v>
      </c>
      <c r="BD555" s="77">
        <v>489723814</v>
      </c>
      <c r="BE555" s="77"/>
      <c r="BF555" s="77"/>
      <c r="BG555" s="77"/>
      <c r="BH555" s="77"/>
      <c r="BI555" s="77"/>
    </row>
    <row r="556" spans="1:61" x14ac:dyDescent="0.25">
      <c r="A556" s="62" t="s">
        <v>418</v>
      </c>
      <c r="B556" s="62" t="s">
        <v>418</v>
      </c>
      <c r="C556" s="63"/>
      <c r="D556" s="64"/>
      <c r="E556" s="65"/>
      <c r="F556" s="66"/>
      <c r="G556" s="63"/>
      <c r="H556" s="67"/>
      <c r="I556" s="68"/>
      <c r="J556" s="68"/>
      <c r="K556" s="32"/>
      <c r="L556" s="75">
        <v>556</v>
      </c>
      <c r="M556" s="75"/>
      <c r="N556" s="70"/>
      <c r="O556" s="77" t="s">
        <v>179</v>
      </c>
      <c r="P556" s="79">
        <v>45073.88077546296</v>
      </c>
      <c r="Q556" s="77" t="s">
        <v>1839</v>
      </c>
      <c r="R556" s="77">
        <v>0</v>
      </c>
      <c r="S556" s="77">
        <v>0</v>
      </c>
      <c r="T556" s="77">
        <v>0</v>
      </c>
      <c r="U556" s="77">
        <v>0</v>
      </c>
      <c r="V556" s="77">
        <v>18</v>
      </c>
      <c r="W556" s="82" t="s">
        <v>5560</v>
      </c>
      <c r="X556" s="80" t="str">
        <f>HYPERLINK("https://www.freeclassificados.com/ads/bela-adormecida-11948594445-animacao-de-festas/")</f>
        <v>https://www.freeclassificados.com/ads/bela-adormecida-11948594445-animacao-de-festas/</v>
      </c>
      <c r="Y556" s="77" t="s">
        <v>7308</v>
      </c>
      <c r="Z556" s="77"/>
      <c r="AA556" s="77"/>
      <c r="AB556" s="77"/>
      <c r="AC556" s="82" t="s">
        <v>10155</v>
      </c>
      <c r="AD556" s="77" t="s">
        <v>10184</v>
      </c>
      <c r="AE556" s="80" t="str">
        <f>HYPERLINK("https://twitter.com/freeclassific/status/1662566425087844352")</f>
        <v>https://twitter.com/freeclassific/status/1662566425087844352</v>
      </c>
      <c r="AF556" s="79">
        <v>45073.88077546296</v>
      </c>
      <c r="AG556" s="85">
        <v>45073</v>
      </c>
      <c r="AH556" s="82" t="s">
        <v>10710</v>
      </c>
      <c r="AI556" s="77" t="b">
        <v>0</v>
      </c>
      <c r="AJ556" s="77"/>
      <c r="AK556" s="77"/>
      <c r="AL556" s="77"/>
      <c r="AM556" s="77"/>
      <c r="AN556" s="77"/>
      <c r="AO556" s="77"/>
      <c r="AP556" s="77"/>
      <c r="AQ556" s="77"/>
      <c r="AR556" s="77"/>
      <c r="AS556" s="77"/>
      <c r="AT556" s="77"/>
      <c r="AU556" s="77"/>
      <c r="AV556" s="80" t="str">
        <f>HYPERLINK("https://pbs.twimg.com/profile_images/1431648743728852993/tLJ7F5Lu_normal.png")</f>
        <v>https://pbs.twimg.com/profile_images/1431648743728852993/tLJ7F5Lu_normal.png</v>
      </c>
      <c r="AW556" s="82" t="s">
        <v>17329</v>
      </c>
      <c r="AX556" s="82" t="s">
        <v>17329</v>
      </c>
      <c r="AY556" s="77"/>
      <c r="AZ556" s="82" t="s">
        <v>20971</v>
      </c>
      <c r="BA556" s="82" t="s">
        <v>20971</v>
      </c>
      <c r="BB556" s="82" t="s">
        <v>20971</v>
      </c>
      <c r="BC556" s="82" t="s">
        <v>17329</v>
      </c>
      <c r="BD556" s="77">
        <v>489723814</v>
      </c>
      <c r="BE556" s="77"/>
      <c r="BF556" s="77"/>
      <c r="BG556" s="77"/>
      <c r="BH556" s="77"/>
      <c r="BI556" s="77"/>
    </row>
    <row r="557" spans="1:61" x14ac:dyDescent="0.25">
      <c r="A557" s="62" t="s">
        <v>418</v>
      </c>
      <c r="B557" s="62" t="s">
        <v>418</v>
      </c>
      <c r="C557" s="63"/>
      <c r="D557" s="64"/>
      <c r="E557" s="65"/>
      <c r="F557" s="66"/>
      <c r="G557" s="63"/>
      <c r="H557" s="67"/>
      <c r="I557" s="68"/>
      <c r="J557" s="68"/>
      <c r="K557" s="32"/>
      <c r="L557" s="75">
        <v>557</v>
      </c>
      <c r="M557" s="75"/>
      <c r="N557" s="70"/>
      <c r="O557" s="77" t="s">
        <v>179</v>
      </c>
      <c r="P557" s="79">
        <v>45073.702141203707</v>
      </c>
      <c r="Q557" s="77" t="s">
        <v>1840</v>
      </c>
      <c r="R557" s="77">
        <v>0</v>
      </c>
      <c r="S557" s="77">
        <v>0</v>
      </c>
      <c r="T557" s="77">
        <v>0</v>
      </c>
      <c r="U557" s="77">
        <v>0</v>
      </c>
      <c r="V557" s="77">
        <v>41</v>
      </c>
      <c r="W557" s="82" t="s">
        <v>5560</v>
      </c>
      <c r="X557" s="80" t="str">
        <f>HYPERLINK("https://www.freeclassificados.com/ads/anitta-cover-o-show-11948594445/")</f>
        <v>https://www.freeclassificados.com/ads/anitta-cover-o-show-11948594445/</v>
      </c>
      <c r="Y557" s="77" t="s">
        <v>7308</v>
      </c>
      <c r="Z557" s="77"/>
      <c r="AA557" s="77"/>
      <c r="AB557" s="77"/>
      <c r="AC557" s="82" t="s">
        <v>10155</v>
      </c>
      <c r="AD557" s="77" t="s">
        <v>10185</v>
      </c>
      <c r="AE557" s="80" t="str">
        <f>HYPERLINK("https://twitter.com/freeclassific/status/1662501690233479169")</f>
        <v>https://twitter.com/freeclassific/status/1662501690233479169</v>
      </c>
      <c r="AF557" s="79">
        <v>45073.702141203707</v>
      </c>
      <c r="AG557" s="85">
        <v>45073</v>
      </c>
      <c r="AH557" s="82" t="s">
        <v>10711</v>
      </c>
      <c r="AI557" s="77" t="b">
        <v>0</v>
      </c>
      <c r="AJ557" s="77"/>
      <c r="AK557" s="77"/>
      <c r="AL557" s="77"/>
      <c r="AM557" s="77"/>
      <c r="AN557" s="77"/>
      <c r="AO557" s="77"/>
      <c r="AP557" s="77"/>
      <c r="AQ557" s="77"/>
      <c r="AR557" s="77"/>
      <c r="AS557" s="77"/>
      <c r="AT557" s="77"/>
      <c r="AU557" s="77"/>
      <c r="AV557" s="80" t="str">
        <f>HYPERLINK("https://pbs.twimg.com/profile_images/1431648743728852993/tLJ7F5Lu_normal.png")</f>
        <v>https://pbs.twimg.com/profile_images/1431648743728852993/tLJ7F5Lu_normal.png</v>
      </c>
      <c r="AW557" s="82" t="s">
        <v>17330</v>
      </c>
      <c r="AX557" s="82" t="s">
        <v>17330</v>
      </c>
      <c r="AY557" s="77"/>
      <c r="AZ557" s="82" t="s">
        <v>20971</v>
      </c>
      <c r="BA557" s="82" t="s">
        <v>20971</v>
      </c>
      <c r="BB557" s="82" t="s">
        <v>20971</v>
      </c>
      <c r="BC557" s="82" t="s">
        <v>17330</v>
      </c>
      <c r="BD557" s="77">
        <v>489723814</v>
      </c>
      <c r="BE557" s="77"/>
      <c r="BF557" s="77"/>
      <c r="BG557" s="77"/>
      <c r="BH557" s="77"/>
      <c r="BI557" s="77"/>
    </row>
    <row r="558" spans="1:61" x14ac:dyDescent="0.25">
      <c r="A558" s="62" t="s">
        <v>418</v>
      </c>
      <c r="B558" s="62" t="s">
        <v>418</v>
      </c>
      <c r="C558" s="63"/>
      <c r="D558" s="64"/>
      <c r="E558" s="65"/>
      <c r="F558" s="66"/>
      <c r="G558" s="63"/>
      <c r="H558" s="67"/>
      <c r="I558" s="68"/>
      <c r="J558" s="68"/>
      <c r="K558" s="32"/>
      <c r="L558" s="75">
        <v>558</v>
      </c>
      <c r="M558" s="75"/>
      <c r="N558" s="70"/>
      <c r="O558" s="77" t="s">
        <v>179</v>
      </c>
      <c r="P558" s="79">
        <v>45072.968518518515</v>
      </c>
      <c r="Q558" s="77" t="s">
        <v>1841</v>
      </c>
      <c r="R558" s="77">
        <v>0</v>
      </c>
      <c r="S558" s="77">
        <v>0</v>
      </c>
      <c r="T558" s="77">
        <v>0</v>
      </c>
      <c r="U558" s="77">
        <v>0</v>
      </c>
      <c r="V558" s="77">
        <v>14</v>
      </c>
      <c r="W558" s="82" t="s">
        <v>5560</v>
      </c>
      <c r="X558" s="80" t="str">
        <f>HYPERLINK("https://www.freeclassificados.com/ads/trabalhe-com-seu-celular-3/")</f>
        <v>https://www.freeclassificados.com/ads/trabalhe-com-seu-celular-3/</v>
      </c>
      <c r="Y558" s="77" t="s">
        <v>7308</v>
      </c>
      <c r="Z558" s="77"/>
      <c r="AA558" s="77"/>
      <c r="AB558" s="77"/>
      <c r="AC558" s="82" t="s">
        <v>10155</v>
      </c>
      <c r="AD558" s="77" t="s">
        <v>10184</v>
      </c>
      <c r="AE558" s="80" t="str">
        <f>HYPERLINK("https://twitter.com/freeclassific/status/1662235832726724608")</f>
        <v>https://twitter.com/freeclassific/status/1662235832726724608</v>
      </c>
      <c r="AF558" s="79">
        <v>45072.968518518515</v>
      </c>
      <c r="AG558" s="85">
        <v>45072</v>
      </c>
      <c r="AH558" s="82" t="s">
        <v>10712</v>
      </c>
      <c r="AI558" s="77" t="b">
        <v>0</v>
      </c>
      <c r="AJ558" s="77"/>
      <c r="AK558" s="77"/>
      <c r="AL558" s="77"/>
      <c r="AM558" s="77"/>
      <c r="AN558" s="77"/>
      <c r="AO558" s="77"/>
      <c r="AP558" s="77"/>
      <c r="AQ558" s="77"/>
      <c r="AR558" s="77"/>
      <c r="AS558" s="77"/>
      <c r="AT558" s="77"/>
      <c r="AU558" s="77"/>
      <c r="AV558" s="80" t="str">
        <f>HYPERLINK("https://pbs.twimg.com/profile_images/1431648743728852993/tLJ7F5Lu_normal.png")</f>
        <v>https://pbs.twimg.com/profile_images/1431648743728852993/tLJ7F5Lu_normal.png</v>
      </c>
      <c r="AW558" s="82" t="s">
        <v>17331</v>
      </c>
      <c r="AX558" s="82" t="s">
        <v>17331</v>
      </c>
      <c r="AY558" s="77"/>
      <c r="AZ558" s="82" t="s">
        <v>20971</v>
      </c>
      <c r="BA558" s="82" t="s">
        <v>20971</v>
      </c>
      <c r="BB558" s="82" t="s">
        <v>20971</v>
      </c>
      <c r="BC558" s="82" t="s">
        <v>17331</v>
      </c>
      <c r="BD558" s="77">
        <v>489723814</v>
      </c>
      <c r="BE558" s="77"/>
      <c r="BF558" s="77"/>
      <c r="BG558" s="77"/>
      <c r="BH558" s="77"/>
      <c r="BI558" s="77"/>
    </row>
    <row r="559" spans="1:61" x14ac:dyDescent="0.25">
      <c r="A559" s="62" t="s">
        <v>418</v>
      </c>
      <c r="B559" s="62" t="s">
        <v>418</v>
      </c>
      <c r="C559" s="63"/>
      <c r="D559" s="64"/>
      <c r="E559" s="65"/>
      <c r="F559" s="66"/>
      <c r="G559" s="63"/>
      <c r="H559" s="67"/>
      <c r="I559" s="68"/>
      <c r="J559" s="68"/>
      <c r="K559" s="32"/>
      <c r="L559" s="75">
        <v>559</v>
      </c>
      <c r="M559" s="75"/>
      <c r="N559" s="70"/>
      <c r="O559" s="77" t="s">
        <v>179</v>
      </c>
      <c r="P559" s="79">
        <v>45072.569340277776</v>
      </c>
      <c r="Q559" s="77" t="s">
        <v>1842</v>
      </c>
      <c r="R559" s="77">
        <v>0</v>
      </c>
      <c r="S559" s="77">
        <v>0</v>
      </c>
      <c r="T559" s="77">
        <v>0</v>
      </c>
      <c r="U559" s="77">
        <v>0</v>
      </c>
      <c r="V559" s="77">
        <v>13</v>
      </c>
      <c r="W559" s="82" t="s">
        <v>5560</v>
      </c>
      <c r="X559" s="80" t="str">
        <f>HYPERLINK("https://www.freeclassificados.com/ads/imovel-a-venda-02-dormitorios-ultimo-andar-sacada-e-churrasqueira/")</f>
        <v>https://www.freeclassificados.com/ads/imovel-a-venda-02-dormitorios-ultimo-andar-sacada-e-churrasqueira/</v>
      </c>
      <c r="Y559" s="77" t="s">
        <v>7308</v>
      </c>
      <c r="Z559" s="77"/>
      <c r="AA559" s="77"/>
      <c r="AB559" s="77"/>
      <c r="AC559" s="82" t="s">
        <v>10155</v>
      </c>
      <c r="AD559" s="77" t="s">
        <v>10184</v>
      </c>
      <c r="AE559" s="80" t="str">
        <f>HYPERLINK("https://twitter.com/freeclassific/status/1662091178265944066")</f>
        <v>https://twitter.com/freeclassific/status/1662091178265944066</v>
      </c>
      <c r="AF559" s="79">
        <v>45072.569340277776</v>
      </c>
      <c r="AG559" s="85">
        <v>45072</v>
      </c>
      <c r="AH559" s="82" t="s">
        <v>10713</v>
      </c>
      <c r="AI559" s="77" t="b">
        <v>0</v>
      </c>
      <c r="AJ559" s="77"/>
      <c r="AK559" s="77"/>
      <c r="AL559" s="77"/>
      <c r="AM559" s="77"/>
      <c r="AN559" s="77"/>
      <c r="AO559" s="77"/>
      <c r="AP559" s="77"/>
      <c r="AQ559" s="77"/>
      <c r="AR559" s="77"/>
      <c r="AS559" s="77"/>
      <c r="AT559" s="77"/>
      <c r="AU559" s="77"/>
      <c r="AV559" s="80" t="str">
        <f>HYPERLINK("https://pbs.twimg.com/profile_images/1431648743728852993/tLJ7F5Lu_normal.png")</f>
        <v>https://pbs.twimg.com/profile_images/1431648743728852993/tLJ7F5Lu_normal.png</v>
      </c>
      <c r="AW559" s="82" t="s">
        <v>17332</v>
      </c>
      <c r="AX559" s="82" t="s">
        <v>17332</v>
      </c>
      <c r="AY559" s="77"/>
      <c r="AZ559" s="82" t="s">
        <v>20971</v>
      </c>
      <c r="BA559" s="82" t="s">
        <v>20971</v>
      </c>
      <c r="BB559" s="82" t="s">
        <v>20971</v>
      </c>
      <c r="BC559" s="82" t="s">
        <v>17332</v>
      </c>
      <c r="BD559" s="77">
        <v>489723814</v>
      </c>
      <c r="BE559" s="77"/>
      <c r="BF559" s="77"/>
      <c r="BG559" s="77"/>
      <c r="BH559" s="77"/>
      <c r="BI559" s="77"/>
    </row>
    <row r="560" spans="1:61" x14ac:dyDescent="0.25">
      <c r="A560" s="62" t="s">
        <v>418</v>
      </c>
      <c r="B560" s="62" t="s">
        <v>418</v>
      </c>
      <c r="C560" s="63"/>
      <c r="D560" s="64"/>
      <c r="E560" s="65"/>
      <c r="F560" s="66"/>
      <c r="G560" s="63"/>
      <c r="H560" s="67"/>
      <c r="I560" s="68"/>
      <c r="J560" s="68"/>
      <c r="K560" s="32"/>
      <c r="L560" s="75">
        <v>560</v>
      </c>
      <c r="M560" s="75"/>
      <c r="N560" s="70"/>
      <c r="O560" s="77" t="s">
        <v>179</v>
      </c>
      <c r="P560" s="79">
        <v>45072.512638888889</v>
      </c>
      <c r="Q560" s="77" t="s">
        <v>1843</v>
      </c>
      <c r="R560" s="77">
        <v>0</v>
      </c>
      <c r="S560" s="77">
        <v>0</v>
      </c>
      <c r="T560" s="77">
        <v>0</v>
      </c>
      <c r="U560" s="77">
        <v>0</v>
      </c>
      <c r="V560" s="77">
        <v>17</v>
      </c>
      <c r="W560" s="82" t="s">
        <v>5560</v>
      </c>
      <c r="X560" s="80" t="str">
        <f>HYPERLINK("https://www.freeclassificados.com/ads/sacos-kraft-personalizados-rio-embalagens-rj/")</f>
        <v>https://www.freeclassificados.com/ads/sacos-kraft-personalizados-rio-embalagens-rj/</v>
      </c>
      <c r="Y560" s="77" t="s">
        <v>7308</v>
      </c>
      <c r="Z560" s="77"/>
      <c r="AA560" s="77"/>
      <c r="AB560" s="77"/>
      <c r="AC560" s="82" t="s">
        <v>10155</v>
      </c>
      <c r="AD560" s="77" t="s">
        <v>10184</v>
      </c>
      <c r="AE560" s="80" t="str">
        <f>HYPERLINK("https://twitter.com/freeclassific/status/1662070630618124289")</f>
        <v>https://twitter.com/freeclassific/status/1662070630618124289</v>
      </c>
      <c r="AF560" s="79">
        <v>45072.512638888889</v>
      </c>
      <c r="AG560" s="85">
        <v>45072</v>
      </c>
      <c r="AH560" s="82" t="s">
        <v>10714</v>
      </c>
      <c r="AI560" s="77" t="b">
        <v>0</v>
      </c>
      <c r="AJ560" s="77"/>
      <c r="AK560" s="77"/>
      <c r="AL560" s="77"/>
      <c r="AM560" s="77"/>
      <c r="AN560" s="77"/>
      <c r="AO560" s="77"/>
      <c r="AP560" s="77"/>
      <c r="AQ560" s="77"/>
      <c r="AR560" s="77"/>
      <c r="AS560" s="77"/>
      <c r="AT560" s="77"/>
      <c r="AU560" s="77"/>
      <c r="AV560" s="80" t="str">
        <f>HYPERLINK("https://pbs.twimg.com/profile_images/1431648743728852993/tLJ7F5Lu_normal.png")</f>
        <v>https://pbs.twimg.com/profile_images/1431648743728852993/tLJ7F5Lu_normal.png</v>
      </c>
      <c r="AW560" s="82" t="s">
        <v>17333</v>
      </c>
      <c r="AX560" s="82" t="s">
        <v>17333</v>
      </c>
      <c r="AY560" s="77"/>
      <c r="AZ560" s="82" t="s">
        <v>20971</v>
      </c>
      <c r="BA560" s="82" t="s">
        <v>20971</v>
      </c>
      <c r="BB560" s="82" t="s">
        <v>20971</v>
      </c>
      <c r="BC560" s="82" t="s">
        <v>17333</v>
      </c>
      <c r="BD560" s="77">
        <v>489723814</v>
      </c>
      <c r="BE560" s="77"/>
      <c r="BF560" s="77"/>
      <c r="BG560" s="77"/>
      <c r="BH560" s="77"/>
      <c r="BI560" s="77"/>
    </row>
    <row r="561" spans="1:61" x14ac:dyDescent="0.25">
      <c r="A561" s="62" t="s">
        <v>418</v>
      </c>
      <c r="B561" s="62" t="s">
        <v>418</v>
      </c>
      <c r="C561" s="63"/>
      <c r="D561" s="64"/>
      <c r="E561" s="65"/>
      <c r="F561" s="66"/>
      <c r="G561" s="63"/>
      <c r="H561" s="67"/>
      <c r="I561" s="68"/>
      <c r="J561" s="68"/>
      <c r="K561" s="32"/>
      <c r="L561" s="75">
        <v>561</v>
      </c>
      <c r="M561" s="75"/>
      <c r="N561" s="70"/>
      <c r="O561" s="77" t="s">
        <v>179</v>
      </c>
      <c r="P561" s="79">
        <v>45072.386493055557</v>
      </c>
      <c r="Q561" s="77" t="s">
        <v>1844</v>
      </c>
      <c r="R561" s="77">
        <v>0</v>
      </c>
      <c r="S561" s="77">
        <v>0</v>
      </c>
      <c r="T561" s="77">
        <v>0</v>
      </c>
      <c r="U561" s="77">
        <v>0</v>
      </c>
      <c r="V561" s="77">
        <v>14</v>
      </c>
      <c r="W561" s="82" t="s">
        <v>5560</v>
      </c>
      <c r="X561" s="80" t="str">
        <f>HYPERLINK("https://www.freeclassificados.com/ads/ssd-solucao-quimica-automatica-para-limpeza/")</f>
        <v>https://www.freeclassificados.com/ads/ssd-solucao-quimica-automatica-para-limpeza/</v>
      </c>
      <c r="Y561" s="77" t="s">
        <v>7308</v>
      </c>
      <c r="Z561" s="77"/>
      <c r="AA561" s="77"/>
      <c r="AB561" s="77"/>
      <c r="AC561" s="82" t="s">
        <v>10155</v>
      </c>
      <c r="AD561" s="77" t="s">
        <v>10184</v>
      </c>
      <c r="AE561" s="80" t="str">
        <f>HYPERLINK("https://twitter.com/freeclassific/status/1662024914566774784")</f>
        <v>https://twitter.com/freeclassific/status/1662024914566774784</v>
      </c>
      <c r="AF561" s="79">
        <v>45072.386493055557</v>
      </c>
      <c r="AG561" s="85">
        <v>45072</v>
      </c>
      <c r="AH561" s="82" t="s">
        <v>10715</v>
      </c>
      <c r="AI561" s="77" t="b">
        <v>0</v>
      </c>
      <c r="AJ561" s="77"/>
      <c r="AK561" s="77"/>
      <c r="AL561" s="77"/>
      <c r="AM561" s="77"/>
      <c r="AN561" s="77"/>
      <c r="AO561" s="77"/>
      <c r="AP561" s="77"/>
      <c r="AQ561" s="77"/>
      <c r="AR561" s="77"/>
      <c r="AS561" s="77"/>
      <c r="AT561" s="77"/>
      <c r="AU561" s="77"/>
      <c r="AV561" s="80" t="str">
        <f>HYPERLINK("https://pbs.twimg.com/profile_images/1431648743728852993/tLJ7F5Lu_normal.png")</f>
        <v>https://pbs.twimg.com/profile_images/1431648743728852993/tLJ7F5Lu_normal.png</v>
      </c>
      <c r="AW561" s="82" t="s">
        <v>17334</v>
      </c>
      <c r="AX561" s="82" t="s">
        <v>17334</v>
      </c>
      <c r="AY561" s="77"/>
      <c r="AZ561" s="82" t="s">
        <v>20971</v>
      </c>
      <c r="BA561" s="82" t="s">
        <v>20971</v>
      </c>
      <c r="BB561" s="82" t="s">
        <v>20971</v>
      </c>
      <c r="BC561" s="82" t="s">
        <v>17334</v>
      </c>
      <c r="BD561" s="77">
        <v>489723814</v>
      </c>
      <c r="BE561" s="77"/>
      <c r="BF561" s="77"/>
      <c r="BG561" s="77"/>
      <c r="BH561" s="77"/>
      <c r="BI561" s="77"/>
    </row>
    <row r="562" spans="1:61" x14ac:dyDescent="0.25">
      <c r="A562" s="62" t="s">
        <v>418</v>
      </c>
      <c r="B562" s="62" t="s">
        <v>418</v>
      </c>
      <c r="C562" s="63"/>
      <c r="D562" s="64"/>
      <c r="E562" s="65"/>
      <c r="F562" s="66"/>
      <c r="G562" s="63"/>
      <c r="H562" s="67"/>
      <c r="I562" s="68"/>
      <c r="J562" s="68"/>
      <c r="K562" s="32"/>
      <c r="L562" s="75">
        <v>562</v>
      </c>
      <c r="M562" s="75"/>
      <c r="N562" s="70"/>
      <c r="O562" s="77" t="s">
        <v>179</v>
      </c>
      <c r="P562" s="79">
        <v>45043.4921412037</v>
      </c>
      <c r="Q562" s="77" t="s">
        <v>1845</v>
      </c>
      <c r="R562" s="77">
        <v>0</v>
      </c>
      <c r="S562" s="77">
        <v>0</v>
      </c>
      <c r="T562" s="77">
        <v>0</v>
      </c>
      <c r="U562" s="77">
        <v>0</v>
      </c>
      <c r="V562" s="77">
        <v>23</v>
      </c>
      <c r="W562" s="82" t="s">
        <v>5335</v>
      </c>
      <c r="X562" s="80" t="str">
        <f>HYPERLINK("https://www.freeclassificados.com/ads/detetives-particulares-atendimento-24hrs-toda-florianopolis-sc/")</f>
        <v>https://www.freeclassificados.com/ads/detetives-particulares-atendimento-24hrs-toda-florianopolis-sc/</v>
      </c>
      <c r="Y562" s="77" t="s">
        <v>7308</v>
      </c>
      <c r="Z562" s="77"/>
      <c r="AA562" s="77"/>
      <c r="AB562" s="77"/>
      <c r="AC562" s="82" t="s">
        <v>10155</v>
      </c>
      <c r="AD562" s="77" t="s">
        <v>10184</v>
      </c>
      <c r="AE562" s="80" t="str">
        <f>HYPERLINK("https://twitter.com/freeclassific/status/1651553954587873280")</f>
        <v>https://twitter.com/freeclassific/status/1651553954587873280</v>
      </c>
      <c r="AF562" s="79">
        <v>45043.4921412037</v>
      </c>
      <c r="AG562" s="85">
        <v>45043</v>
      </c>
      <c r="AH562" s="82" t="s">
        <v>10716</v>
      </c>
      <c r="AI562" s="77" t="b">
        <v>0</v>
      </c>
      <c r="AJ562" s="77"/>
      <c r="AK562" s="77"/>
      <c r="AL562" s="77"/>
      <c r="AM562" s="77"/>
      <c r="AN562" s="77"/>
      <c r="AO562" s="77"/>
      <c r="AP562" s="77"/>
      <c r="AQ562" s="77"/>
      <c r="AR562" s="77"/>
      <c r="AS562" s="77"/>
      <c r="AT562" s="77"/>
      <c r="AU562" s="77"/>
      <c r="AV562" s="80" t="str">
        <f>HYPERLINK("https://pbs.twimg.com/profile_images/1431648743728852993/tLJ7F5Lu_normal.png")</f>
        <v>https://pbs.twimg.com/profile_images/1431648743728852993/tLJ7F5Lu_normal.png</v>
      </c>
      <c r="AW562" s="82" t="s">
        <v>17335</v>
      </c>
      <c r="AX562" s="82" t="s">
        <v>17335</v>
      </c>
      <c r="AY562" s="77"/>
      <c r="AZ562" s="82" t="s">
        <v>20971</v>
      </c>
      <c r="BA562" s="82" t="s">
        <v>20971</v>
      </c>
      <c r="BB562" s="82" t="s">
        <v>20971</v>
      </c>
      <c r="BC562" s="82" t="s">
        <v>17335</v>
      </c>
      <c r="BD562" s="77">
        <v>489723814</v>
      </c>
      <c r="BE562" s="77"/>
      <c r="BF562" s="77"/>
      <c r="BG562" s="77"/>
      <c r="BH562" s="77"/>
      <c r="BI562" s="77"/>
    </row>
    <row r="563" spans="1:61" x14ac:dyDescent="0.25">
      <c r="A563" s="62" t="s">
        <v>418</v>
      </c>
      <c r="B563" s="62" t="s">
        <v>418</v>
      </c>
      <c r="C563" s="63"/>
      <c r="D563" s="64"/>
      <c r="E563" s="65"/>
      <c r="F563" s="66"/>
      <c r="G563" s="63"/>
      <c r="H563" s="67"/>
      <c r="I563" s="68"/>
      <c r="J563" s="68"/>
      <c r="K563" s="32"/>
      <c r="L563" s="75">
        <v>563</v>
      </c>
      <c r="M563" s="75"/>
      <c r="N563" s="70"/>
      <c r="O563" s="77" t="s">
        <v>179</v>
      </c>
      <c r="P563" s="79">
        <v>45043.298020833332</v>
      </c>
      <c r="Q563" s="77" t="s">
        <v>1846</v>
      </c>
      <c r="R563" s="77">
        <v>0</v>
      </c>
      <c r="S563" s="77">
        <v>0</v>
      </c>
      <c r="T563" s="77">
        <v>0</v>
      </c>
      <c r="U563" s="77">
        <v>0</v>
      </c>
      <c r="V563" s="77">
        <v>23</v>
      </c>
      <c r="W563" s="82" t="s">
        <v>5335</v>
      </c>
      <c r="X563" s="80" t="str">
        <f>HYPERLINK("https://www.freeclassificados.com/ads/detetives-particulares-do-centro-em-florianopolis-santa-catarina-sc/")</f>
        <v>https://www.freeclassificados.com/ads/detetives-particulares-do-centro-em-florianopolis-santa-catarina-sc/</v>
      </c>
      <c r="Y563" s="77" t="s">
        <v>7308</v>
      </c>
      <c r="Z563" s="77"/>
      <c r="AA563" s="77"/>
      <c r="AB563" s="77"/>
      <c r="AC563" s="82" t="s">
        <v>10155</v>
      </c>
      <c r="AD563" s="77" t="s">
        <v>10184</v>
      </c>
      <c r="AE563" s="80" t="str">
        <f>HYPERLINK("https://twitter.com/freeclassific/status/1651483607167541249")</f>
        <v>https://twitter.com/freeclassific/status/1651483607167541249</v>
      </c>
      <c r="AF563" s="79">
        <v>45043.298020833332</v>
      </c>
      <c r="AG563" s="85">
        <v>45043</v>
      </c>
      <c r="AH563" s="82" t="s">
        <v>10717</v>
      </c>
      <c r="AI563" s="77" t="b">
        <v>0</v>
      </c>
      <c r="AJ563" s="77"/>
      <c r="AK563" s="77"/>
      <c r="AL563" s="77"/>
      <c r="AM563" s="77"/>
      <c r="AN563" s="77"/>
      <c r="AO563" s="77"/>
      <c r="AP563" s="77"/>
      <c r="AQ563" s="77"/>
      <c r="AR563" s="77"/>
      <c r="AS563" s="77"/>
      <c r="AT563" s="77"/>
      <c r="AU563" s="77"/>
      <c r="AV563" s="80" t="str">
        <f>HYPERLINK("https://pbs.twimg.com/profile_images/1431648743728852993/tLJ7F5Lu_normal.png")</f>
        <v>https://pbs.twimg.com/profile_images/1431648743728852993/tLJ7F5Lu_normal.png</v>
      </c>
      <c r="AW563" s="82" t="s">
        <v>17336</v>
      </c>
      <c r="AX563" s="82" t="s">
        <v>17336</v>
      </c>
      <c r="AY563" s="77"/>
      <c r="AZ563" s="82" t="s">
        <v>20971</v>
      </c>
      <c r="BA563" s="82" t="s">
        <v>20971</v>
      </c>
      <c r="BB563" s="82" t="s">
        <v>20971</v>
      </c>
      <c r="BC563" s="82" t="s">
        <v>17336</v>
      </c>
      <c r="BD563" s="77">
        <v>489723814</v>
      </c>
      <c r="BE563" s="77"/>
      <c r="BF563" s="77"/>
      <c r="BG563" s="77"/>
      <c r="BH563" s="77"/>
      <c r="BI563" s="77"/>
    </row>
    <row r="564" spans="1:61" x14ac:dyDescent="0.25">
      <c r="A564" s="62" t="s">
        <v>418</v>
      </c>
      <c r="B564" s="62" t="s">
        <v>418</v>
      </c>
      <c r="C564" s="63"/>
      <c r="D564" s="64"/>
      <c r="E564" s="65"/>
      <c r="F564" s="66"/>
      <c r="G564" s="63"/>
      <c r="H564" s="67"/>
      <c r="I564" s="68"/>
      <c r="J564" s="68"/>
      <c r="K564" s="32"/>
      <c r="L564" s="75">
        <v>564</v>
      </c>
      <c r="M564" s="75"/>
      <c r="N564" s="70"/>
      <c r="O564" s="77" t="s">
        <v>179</v>
      </c>
      <c r="P564" s="79">
        <v>45043.284618055557</v>
      </c>
      <c r="Q564" s="77" t="s">
        <v>1847</v>
      </c>
      <c r="R564" s="77">
        <v>0</v>
      </c>
      <c r="S564" s="77">
        <v>0</v>
      </c>
      <c r="T564" s="77">
        <v>0</v>
      </c>
      <c r="U564" s="77">
        <v>0</v>
      </c>
      <c r="V564" s="77">
        <v>21</v>
      </c>
      <c r="W564" s="82" t="s">
        <v>5335</v>
      </c>
      <c r="X564" s="80" t="str">
        <f>HYPERLINK("https://www.freeclassificados.com/ads/detetives-particulares-em-florianopolis-santa-catarina-sc/")</f>
        <v>https://www.freeclassificados.com/ads/detetives-particulares-em-florianopolis-santa-catarina-sc/</v>
      </c>
      <c r="Y564" s="77" t="s">
        <v>7308</v>
      </c>
      <c r="Z564" s="77"/>
      <c r="AA564" s="77"/>
      <c r="AB564" s="77"/>
      <c r="AC564" s="82" t="s">
        <v>10155</v>
      </c>
      <c r="AD564" s="77" t="s">
        <v>10184</v>
      </c>
      <c r="AE564" s="80" t="str">
        <f>HYPERLINK("https://twitter.com/freeclassific/status/1651478750444527617")</f>
        <v>https://twitter.com/freeclassific/status/1651478750444527617</v>
      </c>
      <c r="AF564" s="79">
        <v>45043.284618055557</v>
      </c>
      <c r="AG564" s="85">
        <v>45043</v>
      </c>
      <c r="AH564" s="82" t="s">
        <v>10718</v>
      </c>
      <c r="AI564" s="77" t="b">
        <v>0</v>
      </c>
      <c r="AJ564" s="77"/>
      <c r="AK564" s="77"/>
      <c r="AL564" s="77"/>
      <c r="AM564" s="77"/>
      <c r="AN564" s="77"/>
      <c r="AO564" s="77"/>
      <c r="AP564" s="77"/>
      <c r="AQ564" s="77"/>
      <c r="AR564" s="77"/>
      <c r="AS564" s="77"/>
      <c r="AT564" s="77"/>
      <c r="AU564" s="77"/>
      <c r="AV564" s="80" t="str">
        <f>HYPERLINK("https://pbs.twimg.com/profile_images/1431648743728852993/tLJ7F5Lu_normal.png")</f>
        <v>https://pbs.twimg.com/profile_images/1431648743728852993/tLJ7F5Lu_normal.png</v>
      </c>
      <c r="AW564" s="82" t="s">
        <v>17337</v>
      </c>
      <c r="AX564" s="82" t="s">
        <v>17337</v>
      </c>
      <c r="AY564" s="77"/>
      <c r="AZ564" s="82" t="s">
        <v>20971</v>
      </c>
      <c r="BA564" s="82" t="s">
        <v>20971</v>
      </c>
      <c r="BB564" s="82" t="s">
        <v>20971</v>
      </c>
      <c r="BC564" s="82" t="s">
        <v>17337</v>
      </c>
      <c r="BD564" s="77">
        <v>489723814</v>
      </c>
      <c r="BE564" s="77"/>
      <c r="BF564" s="77"/>
      <c r="BG564" s="77"/>
      <c r="BH564" s="77"/>
      <c r="BI564" s="77"/>
    </row>
    <row r="565" spans="1:61" x14ac:dyDescent="0.25">
      <c r="A565" s="62" t="s">
        <v>418</v>
      </c>
      <c r="B565" s="62" t="s">
        <v>418</v>
      </c>
      <c r="C565" s="63"/>
      <c r="D565" s="64"/>
      <c r="E565" s="65"/>
      <c r="F565" s="66"/>
      <c r="G565" s="63"/>
      <c r="H565" s="67"/>
      <c r="I565" s="68"/>
      <c r="J565" s="68"/>
      <c r="K565" s="32"/>
      <c r="L565" s="75">
        <v>565</v>
      </c>
      <c r="M565" s="75"/>
      <c r="N565" s="70"/>
      <c r="O565" s="77" t="s">
        <v>179</v>
      </c>
      <c r="P565" s="79">
        <v>45043.262974537036</v>
      </c>
      <c r="Q565" s="77" t="s">
        <v>1848</v>
      </c>
      <c r="R565" s="77">
        <v>0</v>
      </c>
      <c r="S565" s="77">
        <v>0</v>
      </c>
      <c r="T565" s="77">
        <v>0</v>
      </c>
      <c r="U565" s="77">
        <v>0</v>
      </c>
      <c r="V565" s="77">
        <v>19</v>
      </c>
      <c r="W565" s="82" t="s">
        <v>5335</v>
      </c>
      <c r="X565" s="80" t="str">
        <f>HYPERLINK("https://www.freeclassificados.com/ads/detetive-particular-centro-de-florianopolis-sc/")</f>
        <v>https://www.freeclassificados.com/ads/detetive-particular-centro-de-florianopolis-sc/</v>
      </c>
      <c r="Y565" s="77" t="s">
        <v>7308</v>
      </c>
      <c r="Z565" s="77"/>
      <c r="AA565" s="77"/>
      <c r="AB565" s="77"/>
      <c r="AC565" s="82" t="s">
        <v>10155</v>
      </c>
      <c r="AD565" s="77" t="s">
        <v>10184</v>
      </c>
      <c r="AE565" s="80" t="str">
        <f>HYPERLINK("https://twitter.com/freeclassific/status/1651470906546585602")</f>
        <v>https://twitter.com/freeclassific/status/1651470906546585602</v>
      </c>
      <c r="AF565" s="79">
        <v>45043.262974537036</v>
      </c>
      <c r="AG565" s="85">
        <v>45043</v>
      </c>
      <c r="AH565" s="82" t="s">
        <v>10719</v>
      </c>
      <c r="AI565" s="77" t="b">
        <v>0</v>
      </c>
      <c r="AJ565" s="77"/>
      <c r="AK565" s="77"/>
      <c r="AL565" s="77"/>
      <c r="AM565" s="77"/>
      <c r="AN565" s="77"/>
      <c r="AO565" s="77"/>
      <c r="AP565" s="77"/>
      <c r="AQ565" s="77"/>
      <c r="AR565" s="77"/>
      <c r="AS565" s="77"/>
      <c r="AT565" s="77"/>
      <c r="AU565" s="77"/>
      <c r="AV565" s="80" t="str">
        <f>HYPERLINK("https://pbs.twimg.com/profile_images/1431648743728852993/tLJ7F5Lu_normal.png")</f>
        <v>https://pbs.twimg.com/profile_images/1431648743728852993/tLJ7F5Lu_normal.png</v>
      </c>
      <c r="AW565" s="82" t="s">
        <v>17338</v>
      </c>
      <c r="AX565" s="82" t="s">
        <v>17338</v>
      </c>
      <c r="AY565" s="77"/>
      <c r="AZ565" s="82" t="s">
        <v>20971</v>
      </c>
      <c r="BA565" s="82" t="s">
        <v>20971</v>
      </c>
      <c r="BB565" s="82" t="s">
        <v>20971</v>
      </c>
      <c r="BC565" s="82" t="s">
        <v>17338</v>
      </c>
      <c r="BD565" s="77">
        <v>489723814</v>
      </c>
      <c r="BE565" s="77"/>
      <c r="BF565" s="77"/>
      <c r="BG565" s="77"/>
      <c r="BH565" s="77"/>
      <c r="BI565" s="77"/>
    </row>
    <row r="566" spans="1:61" x14ac:dyDescent="0.25">
      <c r="A566" s="62" t="s">
        <v>418</v>
      </c>
      <c r="B566" s="62" t="s">
        <v>418</v>
      </c>
      <c r="C566" s="63"/>
      <c r="D566" s="64"/>
      <c r="E566" s="65"/>
      <c r="F566" s="66"/>
      <c r="G566" s="63"/>
      <c r="H566" s="67"/>
      <c r="I566" s="68"/>
      <c r="J566" s="68"/>
      <c r="K566" s="32"/>
      <c r="L566" s="75">
        <v>566</v>
      </c>
      <c r="M566" s="75"/>
      <c r="N566" s="70"/>
      <c r="O566" s="77" t="s">
        <v>179</v>
      </c>
      <c r="P566" s="79">
        <v>45042.82540509259</v>
      </c>
      <c r="Q566" s="77" t="s">
        <v>1849</v>
      </c>
      <c r="R566" s="77">
        <v>0</v>
      </c>
      <c r="S566" s="77">
        <v>0</v>
      </c>
      <c r="T566" s="77">
        <v>0</v>
      </c>
      <c r="U566" s="77">
        <v>0</v>
      </c>
      <c r="V566" s="77">
        <v>20</v>
      </c>
      <c r="W566" s="82" t="s">
        <v>5335</v>
      </c>
      <c r="X566" s="80" t="str">
        <f>HYPERLINK("https://www.freeclassificados.com/ads/anuncios-na-internet-criacao-de-sites-e-anuncios-no-google-agencia-nunes-divulgacao-online-para-empresas-2/")</f>
        <v>https://www.freeclassificados.com/ads/anuncios-na-internet-criacao-de-sites-e-anuncios-no-google-agencia-nunes-divulgacao-online-para-empresas-2/</v>
      </c>
      <c r="Y566" s="77" t="s">
        <v>7308</v>
      </c>
      <c r="Z566" s="77"/>
      <c r="AA566" s="77"/>
      <c r="AB566" s="77"/>
      <c r="AC566" s="82" t="s">
        <v>10155</v>
      </c>
      <c r="AD566" s="77" t="s">
        <v>10184</v>
      </c>
      <c r="AE566" s="80" t="str">
        <f>HYPERLINK("https://twitter.com/freeclassific/status/1651312336198840324")</f>
        <v>https://twitter.com/freeclassific/status/1651312336198840324</v>
      </c>
      <c r="AF566" s="79">
        <v>45042.82540509259</v>
      </c>
      <c r="AG566" s="85">
        <v>45042</v>
      </c>
      <c r="AH566" s="82" t="s">
        <v>10720</v>
      </c>
      <c r="AI566" s="77" t="b">
        <v>0</v>
      </c>
      <c r="AJ566" s="77"/>
      <c r="AK566" s="77"/>
      <c r="AL566" s="77"/>
      <c r="AM566" s="77"/>
      <c r="AN566" s="77"/>
      <c r="AO566" s="77"/>
      <c r="AP566" s="77"/>
      <c r="AQ566" s="77"/>
      <c r="AR566" s="77"/>
      <c r="AS566" s="77"/>
      <c r="AT566" s="77"/>
      <c r="AU566" s="77"/>
      <c r="AV566" s="80" t="str">
        <f>HYPERLINK("https://pbs.twimg.com/profile_images/1431648743728852993/tLJ7F5Lu_normal.png")</f>
        <v>https://pbs.twimg.com/profile_images/1431648743728852993/tLJ7F5Lu_normal.png</v>
      </c>
      <c r="AW566" s="82" t="s">
        <v>17339</v>
      </c>
      <c r="AX566" s="82" t="s">
        <v>17339</v>
      </c>
      <c r="AY566" s="77"/>
      <c r="AZ566" s="82" t="s">
        <v>20971</v>
      </c>
      <c r="BA566" s="82" t="s">
        <v>20971</v>
      </c>
      <c r="BB566" s="82" t="s">
        <v>20971</v>
      </c>
      <c r="BC566" s="82" t="s">
        <v>17339</v>
      </c>
      <c r="BD566" s="77">
        <v>489723814</v>
      </c>
      <c r="BE566" s="77"/>
      <c r="BF566" s="77"/>
      <c r="BG566" s="77"/>
      <c r="BH566" s="77"/>
      <c r="BI566" s="77"/>
    </row>
    <row r="567" spans="1:61" x14ac:dyDescent="0.25">
      <c r="A567" s="62" t="s">
        <v>418</v>
      </c>
      <c r="B567" s="62" t="s">
        <v>418</v>
      </c>
      <c r="C567" s="63"/>
      <c r="D567" s="64"/>
      <c r="E567" s="65"/>
      <c r="F567" s="66"/>
      <c r="G567" s="63"/>
      <c r="H567" s="67"/>
      <c r="I567" s="68"/>
      <c r="J567" s="68"/>
      <c r="K567" s="32"/>
      <c r="L567" s="75">
        <v>567</v>
      </c>
      <c r="M567" s="75"/>
      <c r="N567" s="70"/>
      <c r="O567" s="77" t="s">
        <v>179</v>
      </c>
      <c r="P567" s="79">
        <v>45042.628842592596</v>
      </c>
      <c r="Q567" s="77" t="s">
        <v>1850</v>
      </c>
      <c r="R567" s="77">
        <v>0</v>
      </c>
      <c r="S567" s="77">
        <v>0</v>
      </c>
      <c r="T567" s="77">
        <v>0</v>
      </c>
      <c r="U567" s="77">
        <v>0</v>
      </c>
      <c r="V567" s="77">
        <v>13</v>
      </c>
      <c r="W567" s="82" t="s">
        <v>5335</v>
      </c>
      <c r="X567" s="80" t="str">
        <f>HYPERLINK("https://www.freeclassificados.com/ads/embalagens-em-promocao/")</f>
        <v>https://www.freeclassificados.com/ads/embalagens-em-promocao/</v>
      </c>
      <c r="Y567" s="77" t="s">
        <v>7308</v>
      </c>
      <c r="Z567" s="77"/>
      <c r="AA567" s="77"/>
      <c r="AB567" s="77"/>
      <c r="AC567" s="82" t="s">
        <v>10155</v>
      </c>
      <c r="AD567" s="77" t="s">
        <v>10184</v>
      </c>
      <c r="AE567" s="80" t="str">
        <f>HYPERLINK("https://twitter.com/freeclassific/status/1651241104854097920")</f>
        <v>https://twitter.com/freeclassific/status/1651241104854097920</v>
      </c>
      <c r="AF567" s="79">
        <v>45042.628842592596</v>
      </c>
      <c r="AG567" s="85">
        <v>45042</v>
      </c>
      <c r="AH567" s="82" t="s">
        <v>10721</v>
      </c>
      <c r="AI567" s="77" t="b">
        <v>0</v>
      </c>
      <c r="AJ567" s="77"/>
      <c r="AK567" s="77"/>
      <c r="AL567" s="77"/>
      <c r="AM567" s="77"/>
      <c r="AN567" s="77"/>
      <c r="AO567" s="77"/>
      <c r="AP567" s="77"/>
      <c r="AQ567" s="77"/>
      <c r="AR567" s="77"/>
      <c r="AS567" s="77"/>
      <c r="AT567" s="77"/>
      <c r="AU567" s="77"/>
      <c r="AV567" s="80" t="str">
        <f>HYPERLINK("https://pbs.twimg.com/profile_images/1431648743728852993/tLJ7F5Lu_normal.png")</f>
        <v>https://pbs.twimg.com/profile_images/1431648743728852993/tLJ7F5Lu_normal.png</v>
      </c>
      <c r="AW567" s="82" t="s">
        <v>17340</v>
      </c>
      <c r="AX567" s="82" t="s">
        <v>17340</v>
      </c>
      <c r="AY567" s="77"/>
      <c r="AZ567" s="82" t="s">
        <v>20971</v>
      </c>
      <c r="BA567" s="82" t="s">
        <v>20971</v>
      </c>
      <c r="BB567" s="82" t="s">
        <v>20971</v>
      </c>
      <c r="BC567" s="82" t="s">
        <v>17340</v>
      </c>
      <c r="BD567" s="77">
        <v>489723814</v>
      </c>
      <c r="BE567" s="77"/>
      <c r="BF567" s="77"/>
      <c r="BG567" s="77"/>
      <c r="BH567" s="77"/>
      <c r="BI567" s="77"/>
    </row>
    <row r="568" spans="1:61" x14ac:dyDescent="0.25">
      <c r="A568" s="62" t="s">
        <v>418</v>
      </c>
      <c r="B568" s="62" t="s">
        <v>418</v>
      </c>
      <c r="C568" s="63"/>
      <c r="D568" s="64"/>
      <c r="E568" s="65"/>
      <c r="F568" s="66"/>
      <c r="G568" s="63"/>
      <c r="H568" s="67"/>
      <c r="I568" s="68"/>
      <c r="J568" s="68"/>
      <c r="K568" s="32"/>
      <c r="L568" s="75">
        <v>568</v>
      </c>
      <c r="M568" s="75"/>
      <c r="N568" s="70"/>
      <c r="O568" s="77" t="s">
        <v>179</v>
      </c>
      <c r="P568" s="79">
        <v>45042.61614583333</v>
      </c>
      <c r="Q568" s="77" t="s">
        <v>1851</v>
      </c>
      <c r="R568" s="77">
        <v>0</v>
      </c>
      <c r="S568" s="77">
        <v>0</v>
      </c>
      <c r="T568" s="77">
        <v>0</v>
      </c>
      <c r="U568" s="77">
        <v>0</v>
      </c>
      <c r="V568" s="77">
        <v>13</v>
      </c>
      <c r="W568" s="82" t="s">
        <v>5335</v>
      </c>
      <c r="X568" s="80" t="str">
        <f>HYPERLINK("https://www.freeclassificados.com/ads/top-loja-casual-saude-beleza-e-suplemento-sexuais/")</f>
        <v>https://www.freeclassificados.com/ads/top-loja-casual-saude-beleza-e-suplemento-sexuais/</v>
      </c>
      <c r="Y568" s="77" t="s">
        <v>7308</v>
      </c>
      <c r="Z568" s="77"/>
      <c r="AA568" s="77"/>
      <c r="AB568" s="77"/>
      <c r="AC568" s="82" t="s">
        <v>10155</v>
      </c>
      <c r="AD568" s="77" t="s">
        <v>10184</v>
      </c>
      <c r="AE568" s="80" t="str">
        <f>HYPERLINK("https://twitter.com/freeclassific/status/1651236504193122310")</f>
        <v>https://twitter.com/freeclassific/status/1651236504193122310</v>
      </c>
      <c r="AF568" s="79">
        <v>45042.61614583333</v>
      </c>
      <c r="AG568" s="85">
        <v>45042</v>
      </c>
      <c r="AH568" s="82" t="s">
        <v>10722</v>
      </c>
      <c r="AI568" s="77" t="b">
        <v>0</v>
      </c>
      <c r="AJ568" s="77"/>
      <c r="AK568" s="77"/>
      <c r="AL568" s="77"/>
      <c r="AM568" s="77"/>
      <c r="AN568" s="77"/>
      <c r="AO568" s="77"/>
      <c r="AP568" s="77"/>
      <c r="AQ568" s="77"/>
      <c r="AR568" s="77"/>
      <c r="AS568" s="77"/>
      <c r="AT568" s="77"/>
      <c r="AU568" s="77"/>
      <c r="AV568" s="80" t="str">
        <f>HYPERLINK("https://pbs.twimg.com/profile_images/1431648743728852993/tLJ7F5Lu_normal.png")</f>
        <v>https://pbs.twimg.com/profile_images/1431648743728852993/tLJ7F5Lu_normal.png</v>
      </c>
      <c r="AW568" s="82" t="s">
        <v>17341</v>
      </c>
      <c r="AX568" s="82" t="s">
        <v>17341</v>
      </c>
      <c r="AY568" s="77"/>
      <c r="AZ568" s="82" t="s">
        <v>20971</v>
      </c>
      <c r="BA568" s="82" t="s">
        <v>20971</v>
      </c>
      <c r="BB568" s="82" t="s">
        <v>20971</v>
      </c>
      <c r="BC568" s="82" t="s">
        <v>17341</v>
      </c>
      <c r="BD568" s="77">
        <v>489723814</v>
      </c>
      <c r="BE568" s="77"/>
      <c r="BF568" s="77"/>
      <c r="BG568" s="77"/>
      <c r="BH568" s="77"/>
      <c r="BI568" s="77"/>
    </row>
    <row r="569" spans="1:61" x14ac:dyDescent="0.25">
      <c r="A569" s="62" t="s">
        <v>418</v>
      </c>
      <c r="B569" s="62" t="s">
        <v>418</v>
      </c>
      <c r="C569" s="63"/>
      <c r="D569" s="64"/>
      <c r="E569" s="65"/>
      <c r="F569" s="66"/>
      <c r="G569" s="63"/>
      <c r="H569" s="67"/>
      <c r="I569" s="68"/>
      <c r="J569" s="68"/>
      <c r="K569" s="32"/>
      <c r="L569" s="75">
        <v>569</v>
      </c>
      <c r="M569" s="75"/>
      <c r="N569" s="70"/>
      <c r="O569" s="77" t="s">
        <v>179</v>
      </c>
      <c r="P569" s="79">
        <v>45042.55809027778</v>
      </c>
      <c r="Q569" s="77" t="s">
        <v>1852</v>
      </c>
      <c r="R569" s="77">
        <v>0</v>
      </c>
      <c r="S569" s="77">
        <v>0</v>
      </c>
      <c r="T569" s="77">
        <v>0</v>
      </c>
      <c r="U569" s="77">
        <v>0</v>
      </c>
      <c r="V569" s="77">
        <v>14</v>
      </c>
      <c r="W569" s="82" t="s">
        <v>5335</v>
      </c>
      <c r="X569" s="80" t="str">
        <f>HYPERLINK("https://www.freeclassificados.com/ads/quem-ai-tem-um-refrigerador-em-casa/")</f>
        <v>https://www.freeclassificados.com/ads/quem-ai-tem-um-refrigerador-em-casa/</v>
      </c>
      <c r="Y569" s="77" t="s">
        <v>7308</v>
      </c>
      <c r="Z569" s="77"/>
      <c r="AA569" s="77"/>
      <c r="AB569" s="77"/>
      <c r="AC569" s="82" t="s">
        <v>10155</v>
      </c>
      <c r="AD569" s="77" t="s">
        <v>10184</v>
      </c>
      <c r="AE569" s="80" t="str">
        <f>HYPERLINK("https://twitter.com/freeclassific/status/1651215464960524288")</f>
        <v>https://twitter.com/freeclassific/status/1651215464960524288</v>
      </c>
      <c r="AF569" s="79">
        <v>45042.55809027778</v>
      </c>
      <c r="AG569" s="85">
        <v>45042</v>
      </c>
      <c r="AH569" s="82" t="s">
        <v>10723</v>
      </c>
      <c r="AI569" s="77" t="b">
        <v>0</v>
      </c>
      <c r="AJ569" s="77"/>
      <c r="AK569" s="77"/>
      <c r="AL569" s="77"/>
      <c r="AM569" s="77"/>
      <c r="AN569" s="77"/>
      <c r="AO569" s="77"/>
      <c r="AP569" s="77"/>
      <c r="AQ569" s="77"/>
      <c r="AR569" s="77"/>
      <c r="AS569" s="77"/>
      <c r="AT569" s="77"/>
      <c r="AU569" s="77"/>
      <c r="AV569" s="80" t="str">
        <f>HYPERLINK("https://pbs.twimg.com/profile_images/1431648743728852993/tLJ7F5Lu_normal.png")</f>
        <v>https://pbs.twimg.com/profile_images/1431648743728852993/tLJ7F5Lu_normal.png</v>
      </c>
      <c r="AW569" s="82" t="s">
        <v>17342</v>
      </c>
      <c r="AX569" s="82" t="s">
        <v>17342</v>
      </c>
      <c r="AY569" s="77"/>
      <c r="AZ569" s="82" t="s">
        <v>20971</v>
      </c>
      <c r="BA569" s="82" t="s">
        <v>20971</v>
      </c>
      <c r="BB569" s="82" t="s">
        <v>20971</v>
      </c>
      <c r="BC569" s="82" t="s">
        <v>17342</v>
      </c>
      <c r="BD569" s="77">
        <v>489723814</v>
      </c>
      <c r="BE569" s="77"/>
      <c r="BF569" s="77"/>
      <c r="BG569" s="77"/>
      <c r="BH569" s="77"/>
      <c r="BI569" s="77"/>
    </row>
    <row r="570" spans="1:61" x14ac:dyDescent="0.25">
      <c r="A570" s="62" t="s">
        <v>418</v>
      </c>
      <c r="B570" s="62" t="s">
        <v>418</v>
      </c>
      <c r="C570" s="63"/>
      <c r="D570" s="64"/>
      <c r="E570" s="65"/>
      <c r="F570" s="66"/>
      <c r="G570" s="63"/>
      <c r="H570" s="67"/>
      <c r="I570" s="68"/>
      <c r="J570" s="68"/>
      <c r="K570" s="32"/>
      <c r="L570" s="75">
        <v>570</v>
      </c>
      <c r="M570" s="75"/>
      <c r="N570" s="70"/>
      <c r="O570" s="77" t="s">
        <v>179</v>
      </c>
      <c r="P570" s="79">
        <v>45042.469814814816</v>
      </c>
      <c r="Q570" s="77" t="s">
        <v>1853</v>
      </c>
      <c r="R570" s="77">
        <v>0</v>
      </c>
      <c r="S570" s="77">
        <v>0</v>
      </c>
      <c r="T570" s="77">
        <v>0</v>
      </c>
      <c r="U570" s="77">
        <v>0</v>
      </c>
      <c r="V570" s="77">
        <v>13</v>
      </c>
      <c r="W570" s="82" t="s">
        <v>5335</v>
      </c>
      <c r="X570" s="80" t="str">
        <f>HYPERLINK("https://www.freeclassificados.com/ads/limpeza-e-impermeabilizacao-da-caixa-dagua/")</f>
        <v>https://www.freeclassificados.com/ads/limpeza-e-impermeabilizacao-da-caixa-dagua/</v>
      </c>
      <c r="Y570" s="77" t="s">
        <v>7308</v>
      </c>
      <c r="Z570" s="77"/>
      <c r="AA570" s="77"/>
      <c r="AB570" s="77"/>
      <c r="AC570" s="82" t="s">
        <v>10155</v>
      </c>
      <c r="AD570" s="77" t="s">
        <v>10184</v>
      </c>
      <c r="AE570" s="80" t="str">
        <f>HYPERLINK("https://twitter.com/freeclassific/status/1651183475876323328")</f>
        <v>https://twitter.com/freeclassific/status/1651183475876323328</v>
      </c>
      <c r="AF570" s="79">
        <v>45042.469814814816</v>
      </c>
      <c r="AG570" s="85">
        <v>45042</v>
      </c>
      <c r="AH570" s="82" t="s">
        <v>10724</v>
      </c>
      <c r="AI570" s="77" t="b">
        <v>0</v>
      </c>
      <c r="AJ570" s="77"/>
      <c r="AK570" s="77"/>
      <c r="AL570" s="77"/>
      <c r="AM570" s="77"/>
      <c r="AN570" s="77"/>
      <c r="AO570" s="77"/>
      <c r="AP570" s="77"/>
      <c r="AQ570" s="77"/>
      <c r="AR570" s="77"/>
      <c r="AS570" s="77"/>
      <c r="AT570" s="77"/>
      <c r="AU570" s="77"/>
      <c r="AV570" s="80" t="str">
        <f>HYPERLINK("https://pbs.twimg.com/profile_images/1431648743728852993/tLJ7F5Lu_normal.png")</f>
        <v>https://pbs.twimg.com/profile_images/1431648743728852993/tLJ7F5Lu_normal.png</v>
      </c>
      <c r="AW570" s="82" t="s">
        <v>17343</v>
      </c>
      <c r="AX570" s="82" t="s">
        <v>17343</v>
      </c>
      <c r="AY570" s="77"/>
      <c r="AZ570" s="82" t="s">
        <v>20971</v>
      </c>
      <c r="BA570" s="82" t="s">
        <v>20971</v>
      </c>
      <c r="BB570" s="82" t="s">
        <v>20971</v>
      </c>
      <c r="BC570" s="82" t="s">
        <v>17343</v>
      </c>
      <c r="BD570" s="77">
        <v>489723814</v>
      </c>
      <c r="BE570" s="77"/>
      <c r="BF570" s="77"/>
      <c r="BG570" s="77"/>
      <c r="BH570" s="77"/>
      <c r="BI570" s="77"/>
    </row>
    <row r="571" spans="1:61" x14ac:dyDescent="0.25">
      <c r="A571" s="62" t="s">
        <v>418</v>
      </c>
      <c r="B571" s="62" t="s">
        <v>418</v>
      </c>
      <c r="C571" s="63"/>
      <c r="D571" s="64"/>
      <c r="E571" s="65"/>
      <c r="F571" s="66"/>
      <c r="G571" s="63"/>
      <c r="H571" s="67"/>
      <c r="I571" s="68"/>
      <c r="J571" s="68"/>
      <c r="K571" s="32"/>
      <c r="L571" s="75">
        <v>571</v>
      </c>
      <c r="M571" s="75"/>
      <c r="N571" s="70"/>
      <c r="O571" s="77" t="s">
        <v>179</v>
      </c>
      <c r="P571" s="79">
        <v>45042.020486111112</v>
      </c>
      <c r="Q571" s="77" t="s">
        <v>1854</v>
      </c>
      <c r="R571" s="77">
        <v>0</v>
      </c>
      <c r="S571" s="77">
        <v>0</v>
      </c>
      <c r="T571" s="77">
        <v>0</v>
      </c>
      <c r="U571" s="77">
        <v>0</v>
      </c>
      <c r="V571" s="77">
        <v>13</v>
      </c>
      <c r="W571" s="82" t="s">
        <v>5335</v>
      </c>
      <c r="X571" s="80" t="str">
        <f>HYPERLINK("https://www.freeclassificados.com/ads/fr-promotora/")</f>
        <v>https://www.freeclassificados.com/ads/fr-promotora/</v>
      </c>
      <c r="Y571" s="77" t="s">
        <v>7308</v>
      </c>
      <c r="Z571" s="77"/>
      <c r="AA571" s="77"/>
      <c r="AB571" s="77"/>
      <c r="AC571" s="82" t="s">
        <v>10155</v>
      </c>
      <c r="AD571" s="77" t="s">
        <v>10190</v>
      </c>
      <c r="AE571" s="80" t="str">
        <f>HYPERLINK("https://twitter.com/freeclassific/status/1651020643679498240")</f>
        <v>https://twitter.com/freeclassific/status/1651020643679498240</v>
      </c>
      <c r="AF571" s="79">
        <v>45042.020486111112</v>
      </c>
      <c r="AG571" s="85">
        <v>45042</v>
      </c>
      <c r="AH571" s="82" t="s">
        <v>10725</v>
      </c>
      <c r="AI571" s="77" t="b">
        <v>0</v>
      </c>
      <c r="AJ571" s="77"/>
      <c r="AK571" s="77"/>
      <c r="AL571" s="77"/>
      <c r="AM571" s="77"/>
      <c r="AN571" s="77"/>
      <c r="AO571" s="77"/>
      <c r="AP571" s="77"/>
      <c r="AQ571" s="77"/>
      <c r="AR571" s="77"/>
      <c r="AS571" s="77"/>
      <c r="AT571" s="77"/>
      <c r="AU571" s="77"/>
      <c r="AV571" s="80" t="str">
        <f>HYPERLINK("https://pbs.twimg.com/profile_images/1431648743728852993/tLJ7F5Lu_normal.png")</f>
        <v>https://pbs.twimg.com/profile_images/1431648743728852993/tLJ7F5Lu_normal.png</v>
      </c>
      <c r="AW571" s="82" t="s">
        <v>17344</v>
      </c>
      <c r="AX571" s="82" t="s">
        <v>17344</v>
      </c>
      <c r="AY571" s="77"/>
      <c r="AZ571" s="82" t="s">
        <v>20971</v>
      </c>
      <c r="BA571" s="82" t="s">
        <v>20971</v>
      </c>
      <c r="BB571" s="82" t="s">
        <v>20971</v>
      </c>
      <c r="BC571" s="82" t="s">
        <v>17344</v>
      </c>
      <c r="BD571" s="77">
        <v>489723814</v>
      </c>
      <c r="BE571" s="77"/>
      <c r="BF571" s="77"/>
      <c r="BG571" s="77"/>
      <c r="BH571" s="77"/>
      <c r="BI571" s="77"/>
    </row>
    <row r="572" spans="1:61" x14ac:dyDescent="0.25">
      <c r="A572" s="62" t="s">
        <v>418</v>
      </c>
      <c r="B572" s="62" t="s">
        <v>418</v>
      </c>
      <c r="C572" s="63"/>
      <c r="D572" s="64"/>
      <c r="E572" s="65"/>
      <c r="F572" s="66"/>
      <c r="G572" s="63"/>
      <c r="H572" s="67"/>
      <c r="I572" s="68"/>
      <c r="J572" s="68"/>
      <c r="K572" s="32"/>
      <c r="L572" s="75">
        <v>572</v>
      </c>
      <c r="M572" s="75"/>
      <c r="N572" s="70"/>
      <c r="O572" s="77" t="s">
        <v>179</v>
      </c>
      <c r="P572" s="79">
        <v>45041.682962962965</v>
      </c>
      <c r="Q572" s="77" t="s">
        <v>1855</v>
      </c>
      <c r="R572" s="77">
        <v>0</v>
      </c>
      <c r="S572" s="77">
        <v>0</v>
      </c>
      <c r="T572" s="77">
        <v>0</v>
      </c>
      <c r="U572" s="77">
        <v>0</v>
      </c>
      <c r="V572" s="77">
        <v>11</v>
      </c>
      <c r="W572" s="82" t="s">
        <v>5335</v>
      </c>
      <c r="X572" s="80" t="str">
        <f>HYPERLINK("https://www.freeclassificados.com/ads/sua-maquina-de-gelo-everest-nao-esta-funcionando-corretamente/")</f>
        <v>https://www.freeclassificados.com/ads/sua-maquina-de-gelo-everest-nao-esta-funcionando-corretamente/</v>
      </c>
      <c r="Y572" s="77" t="s">
        <v>7308</v>
      </c>
      <c r="Z572" s="77"/>
      <c r="AA572" s="77"/>
      <c r="AB572" s="77"/>
      <c r="AC572" s="82" t="s">
        <v>10155</v>
      </c>
      <c r="AD572" s="77" t="s">
        <v>10184</v>
      </c>
      <c r="AE572" s="80" t="str">
        <f>HYPERLINK("https://twitter.com/freeclassific/status/1650898329453338624")</f>
        <v>https://twitter.com/freeclassific/status/1650898329453338624</v>
      </c>
      <c r="AF572" s="79">
        <v>45041.682962962965</v>
      </c>
      <c r="AG572" s="85">
        <v>45041</v>
      </c>
      <c r="AH572" s="82" t="s">
        <v>10726</v>
      </c>
      <c r="AI572" s="77" t="b">
        <v>0</v>
      </c>
      <c r="AJ572" s="77"/>
      <c r="AK572" s="77"/>
      <c r="AL572" s="77"/>
      <c r="AM572" s="77"/>
      <c r="AN572" s="77"/>
      <c r="AO572" s="77"/>
      <c r="AP572" s="77"/>
      <c r="AQ572" s="77"/>
      <c r="AR572" s="77"/>
      <c r="AS572" s="77"/>
      <c r="AT572" s="77"/>
      <c r="AU572" s="77"/>
      <c r="AV572" s="80" t="str">
        <f>HYPERLINK("https://pbs.twimg.com/profile_images/1431648743728852993/tLJ7F5Lu_normal.png")</f>
        <v>https://pbs.twimg.com/profile_images/1431648743728852993/tLJ7F5Lu_normal.png</v>
      </c>
      <c r="AW572" s="82" t="s">
        <v>17345</v>
      </c>
      <c r="AX572" s="82" t="s">
        <v>17345</v>
      </c>
      <c r="AY572" s="77"/>
      <c r="AZ572" s="82" t="s">
        <v>20971</v>
      </c>
      <c r="BA572" s="82" t="s">
        <v>20971</v>
      </c>
      <c r="BB572" s="82" t="s">
        <v>20971</v>
      </c>
      <c r="BC572" s="82" t="s">
        <v>17345</v>
      </c>
      <c r="BD572" s="77">
        <v>489723814</v>
      </c>
      <c r="BE572" s="77"/>
      <c r="BF572" s="77"/>
      <c r="BG572" s="77"/>
      <c r="BH572" s="77"/>
      <c r="BI572" s="77"/>
    </row>
    <row r="573" spans="1:61" x14ac:dyDescent="0.25">
      <c r="A573" s="62" t="s">
        <v>418</v>
      </c>
      <c r="B573" s="62" t="s">
        <v>418</v>
      </c>
      <c r="C573" s="63"/>
      <c r="D573" s="64"/>
      <c r="E573" s="65"/>
      <c r="F573" s="66"/>
      <c r="G573" s="63"/>
      <c r="H573" s="67"/>
      <c r="I573" s="68"/>
      <c r="J573" s="68"/>
      <c r="K573" s="32"/>
      <c r="L573" s="75">
        <v>573</v>
      </c>
      <c r="M573" s="75"/>
      <c r="N573" s="70"/>
      <c r="O573" s="77" t="s">
        <v>179</v>
      </c>
      <c r="P573" s="79">
        <v>45041.548449074071</v>
      </c>
      <c r="Q573" s="77" t="s">
        <v>1856</v>
      </c>
      <c r="R573" s="77">
        <v>0</v>
      </c>
      <c r="S573" s="77">
        <v>0</v>
      </c>
      <c r="T573" s="77">
        <v>0</v>
      </c>
      <c r="U573" s="77">
        <v>0</v>
      </c>
      <c r="V573" s="77">
        <v>12</v>
      </c>
      <c r="W573" s="82" t="s">
        <v>5335</v>
      </c>
      <c r="X573" s="80" t="str">
        <f>HYPERLINK("https://www.freeclassificados.com/ads/consertos-para-lavadoras-de-roupas-de-marcas-nacionais-e-importadas/")</f>
        <v>https://www.freeclassificados.com/ads/consertos-para-lavadoras-de-roupas-de-marcas-nacionais-e-importadas/</v>
      </c>
      <c r="Y573" s="77" t="s">
        <v>7308</v>
      </c>
      <c r="Z573" s="77"/>
      <c r="AA573" s="77"/>
      <c r="AB573" s="77"/>
      <c r="AC573" s="82" t="s">
        <v>10155</v>
      </c>
      <c r="AD573" s="77" t="s">
        <v>10184</v>
      </c>
      <c r="AE573" s="80" t="str">
        <f>HYPERLINK("https://twitter.com/freeclassific/status/1650849580924424192")</f>
        <v>https://twitter.com/freeclassific/status/1650849580924424192</v>
      </c>
      <c r="AF573" s="79">
        <v>45041.548449074071</v>
      </c>
      <c r="AG573" s="85">
        <v>45041</v>
      </c>
      <c r="AH573" s="82" t="s">
        <v>10727</v>
      </c>
      <c r="AI573" s="77" t="b">
        <v>0</v>
      </c>
      <c r="AJ573" s="77"/>
      <c r="AK573" s="77"/>
      <c r="AL573" s="77"/>
      <c r="AM573" s="77"/>
      <c r="AN573" s="77"/>
      <c r="AO573" s="77"/>
      <c r="AP573" s="77"/>
      <c r="AQ573" s="77"/>
      <c r="AR573" s="77"/>
      <c r="AS573" s="77"/>
      <c r="AT573" s="77"/>
      <c r="AU573" s="77"/>
      <c r="AV573" s="80" t="str">
        <f>HYPERLINK("https://pbs.twimg.com/profile_images/1431648743728852993/tLJ7F5Lu_normal.png")</f>
        <v>https://pbs.twimg.com/profile_images/1431648743728852993/tLJ7F5Lu_normal.png</v>
      </c>
      <c r="AW573" s="82" t="s">
        <v>17346</v>
      </c>
      <c r="AX573" s="82" t="s">
        <v>17346</v>
      </c>
      <c r="AY573" s="77"/>
      <c r="AZ573" s="82" t="s">
        <v>20971</v>
      </c>
      <c r="BA573" s="82" t="s">
        <v>20971</v>
      </c>
      <c r="BB573" s="82" t="s">
        <v>20971</v>
      </c>
      <c r="BC573" s="82" t="s">
        <v>17346</v>
      </c>
      <c r="BD573" s="77">
        <v>489723814</v>
      </c>
      <c r="BE573" s="77"/>
      <c r="BF573" s="77"/>
      <c r="BG573" s="77"/>
      <c r="BH573" s="77"/>
      <c r="BI573" s="77"/>
    </row>
    <row r="574" spans="1:61" x14ac:dyDescent="0.25">
      <c r="A574" s="62" t="s">
        <v>418</v>
      </c>
      <c r="B574" s="62" t="s">
        <v>418</v>
      </c>
      <c r="C574" s="63"/>
      <c r="D574" s="64"/>
      <c r="E574" s="65"/>
      <c r="F574" s="66"/>
      <c r="G574" s="63"/>
      <c r="H574" s="67"/>
      <c r="I574" s="68"/>
      <c r="J574" s="68"/>
      <c r="K574" s="32"/>
      <c r="L574" s="75">
        <v>574</v>
      </c>
      <c r="M574" s="75"/>
      <c r="N574" s="70"/>
      <c r="O574" s="77" t="s">
        <v>179</v>
      </c>
      <c r="P574" s="79">
        <v>45041.472337962965</v>
      </c>
      <c r="Q574" s="77" t="s">
        <v>1857</v>
      </c>
      <c r="R574" s="77">
        <v>0</v>
      </c>
      <c r="S574" s="77">
        <v>0</v>
      </c>
      <c r="T574" s="77">
        <v>0</v>
      </c>
      <c r="U574" s="77">
        <v>0</v>
      </c>
      <c r="V574" s="77">
        <v>18</v>
      </c>
      <c r="W574" s="82" t="s">
        <v>5335</v>
      </c>
      <c r="X574" s="80" t="str">
        <f>HYPERLINK("https://www.freeclassificados.com/ads/consertos-para-secadora-de-roupas-de-marcas-nacionais-e-importadas/")</f>
        <v>https://www.freeclassificados.com/ads/consertos-para-secadora-de-roupas-de-marcas-nacionais-e-importadas/</v>
      </c>
      <c r="Y574" s="77" t="s">
        <v>7308</v>
      </c>
      <c r="Z574" s="77"/>
      <c r="AA574" s="77"/>
      <c r="AB574" s="77"/>
      <c r="AC574" s="82" t="s">
        <v>10155</v>
      </c>
      <c r="AD574" s="77" t="s">
        <v>10184</v>
      </c>
      <c r="AE574" s="80" t="str">
        <f>HYPERLINK("https://twitter.com/freeclassific/status/1650822000892608514")</f>
        <v>https://twitter.com/freeclassific/status/1650822000892608514</v>
      </c>
      <c r="AF574" s="79">
        <v>45041.472337962965</v>
      </c>
      <c r="AG574" s="85">
        <v>45041</v>
      </c>
      <c r="AH574" s="82" t="s">
        <v>10728</v>
      </c>
      <c r="AI574" s="77" t="b">
        <v>0</v>
      </c>
      <c r="AJ574" s="77"/>
      <c r="AK574" s="77"/>
      <c r="AL574" s="77"/>
      <c r="AM574" s="77"/>
      <c r="AN574" s="77"/>
      <c r="AO574" s="77"/>
      <c r="AP574" s="77"/>
      <c r="AQ574" s="77"/>
      <c r="AR574" s="77"/>
      <c r="AS574" s="77"/>
      <c r="AT574" s="77"/>
      <c r="AU574" s="77"/>
      <c r="AV574" s="80" t="str">
        <f>HYPERLINK("https://pbs.twimg.com/profile_images/1431648743728852993/tLJ7F5Lu_normal.png")</f>
        <v>https://pbs.twimg.com/profile_images/1431648743728852993/tLJ7F5Lu_normal.png</v>
      </c>
      <c r="AW574" s="82" t="s">
        <v>17347</v>
      </c>
      <c r="AX574" s="82" t="s">
        <v>17347</v>
      </c>
      <c r="AY574" s="77"/>
      <c r="AZ574" s="82" t="s">
        <v>20971</v>
      </c>
      <c r="BA574" s="82" t="s">
        <v>20971</v>
      </c>
      <c r="BB574" s="82" t="s">
        <v>20971</v>
      </c>
      <c r="BC574" s="82" t="s">
        <v>17347</v>
      </c>
      <c r="BD574" s="77">
        <v>489723814</v>
      </c>
      <c r="BE574" s="77"/>
      <c r="BF574" s="77"/>
      <c r="BG574" s="77"/>
      <c r="BH574" s="77"/>
      <c r="BI574" s="77"/>
    </row>
    <row r="575" spans="1:61" x14ac:dyDescent="0.25">
      <c r="A575" s="62" t="s">
        <v>418</v>
      </c>
      <c r="B575" s="62" t="s">
        <v>418</v>
      </c>
      <c r="C575" s="63"/>
      <c r="D575" s="64"/>
      <c r="E575" s="65"/>
      <c r="F575" s="66"/>
      <c r="G575" s="63"/>
      <c r="H575" s="67"/>
      <c r="I575" s="68"/>
      <c r="J575" s="68"/>
      <c r="K575" s="32"/>
      <c r="L575" s="75">
        <v>575</v>
      </c>
      <c r="M575" s="75"/>
      <c r="N575" s="70"/>
      <c r="O575" s="77" t="s">
        <v>179</v>
      </c>
      <c r="P575" s="79">
        <v>45013.886354166665</v>
      </c>
      <c r="Q575" s="77" t="s">
        <v>1858</v>
      </c>
      <c r="R575" s="77">
        <v>0</v>
      </c>
      <c r="S575" s="77">
        <v>0</v>
      </c>
      <c r="T575" s="77">
        <v>0</v>
      </c>
      <c r="U575" s="77">
        <v>0</v>
      </c>
      <c r="V575" s="77">
        <v>99</v>
      </c>
      <c r="W575" s="82" t="s">
        <v>5335</v>
      </c>
      <c r="X575" s="80" t="str">
        <f>HYPERLINK("https://www.freeclassificados.com/ads/amarracao-amorosa-com-afastamento-de-rival/")</f>
        <v>https://www.freeclassificados.com/ads/amarracao-amorosa-com-afastamento-de-rival/</v>
      </c>
      <c r="Y575" s="77" t="s">
        <v>7308</v>
      </c>
      <c r="Z575" s="77"/>
      <c r="AA575" s="77"/>
      <c r="AB575" s="77"/>
      <c r="AC575" s="82" t="s">
        <v>10155</v>
      </c>
      <c r="AD575" s="77" t="s">
        <v>10184</v>
      </c>
      <c r="AE575" s="80" t="str">
        <f>HYPERLINK("https://twitter.com/freeclassific/status/1640825177213915137")</f>
        <v>https://twitter.com/freeclassific/status/1640825177213915137</v>
      </c>
      <c r="AF575" s="79">
        <v>45013.886354166665</v>
      </c>
      <c r="AG575" s="85">
        <v>45013</v>
      </c>
      <c r="AH575" s="82" t="s">
        <v>10729</v>
      </c>
      <c r="AI575" s="77" t="b">
        <v>0</v>
      </c>
      <c r="AJ575" s="77"/>
      <c r="AK575" s="77"/>
      <c r="AL575" s="77"/>
      <c r="AM575" s="77"/>
      <c r="AN575" s="77"/>
      <c r="AO575" s="77"/>
      <c r="AP575" s="77"/>
      <c r="AQ575" s="77"/>
      <c r="AR575" s="77"/>
      <c r="AS575" s="77"/>
      <c r="AT575" s="77"/>
      <c r="AU575" s="77"/>
      <c r="AV575" s="80" t="str">
        <f>HYPERLINK("https://pbs.twimg.com/profile_images/1431648743728852993/tLJ7F5Lu_normal.png")</f>
        <v>https://pbs.twimg.com/profile_images/1431648743728852993/tLJ7F5Lu_normal.png</v>
      </c>
      <c r="AW575" s="82" t="s">
        <v>17348</v>
      </c>
      <c r="AX575" s="82" t="s">
        <v>17348</v>
      </c>
      <c r="AY575" s="77"/>
      <c r="AZ575" s="82" t="s">
        <v>20971</v>
      </c>
      <c r="BA575" s="82" t="s">
        <v>20971</v>
      </c>
      <c r="BB575" s="82" t="s">
        <v>20971</v>
      </c>
      <c r="BC575" s="82" t="s">
        <v>17348</v>
      </c>
      <c r="BD575" s="77">
        <v>489723814</v>
      </c>
      <c r="BE575" s="77"/>
      <c r="BF575" s="77"/>
      <c r="BG575" s="77"/>
      <c r="BH575" s="77"/>
      <c r="BI575" s="77"/>
    </row>
    <row r="576" spans="1:61" x14ac:dyDescent="0.25">
      <c r="A576" s="62" t="s">
        <v>418</v>
      </c>
      <c r="B576" s="62" t="s">
        <v>418</v>
      </c>
      <c r="C576" s="63"/>
      <c r="D576" s="64"/>
      <c r="E576" s="65"/>
      <c r="F576" s="66"/>
      <c r="G576" s="63"/>
      <c r="H576" s="67"/>
      <c r="I576" s="68"/>
      <c r="J576" s="68"/>
      <c r="K576" s="32"/>
      <c r="L576" s="75">
        <v>576</v>
      </c>
      <c r="M576" s="75"/>
      <c r="N576" s="70"/>
      <c r="O576" s="77" t="s">
        <v>179</v>
      </c>
      <c r="P576" s="79">
        <v>45013.840798611112</v>
      </c>
      <c r="Q576" s="77" t="s">
        <v>1859</v>
      </c>
      <c r="R576" s="77">
        <v>0</v>
      </c>
      <c r="S576" s="77">
        <v>1</v>
      </c>
      <c r="T576" s="77">
        <v>0</v>
      </c>
      <c r="U576" s="77">
        <v>0</v>
      </c>
      <c r="V576" s="77">
        <v>15</v>
      </c>
      <c r="W576" s="82" t="s">
        <v>5335</v>
      </c>
      <c r="X576" s="80" t="str">
        <f>HYPERLINK("https://www.freeclassificados.com/ads/minha-barriga-bonita/")</f>
        <v>https://www.freeclassificados.com/ads/minha-barriga-bonita/</v>
      </c>
      <c r="Y576" s="77" t="s">
        <v>7308</v>
      </c>
      <c r="Z576" s="77"/>
      <c r="AA576" s="77"/>
      <c r="AB576" s="77"/>
      <c r="AC576" s="82" t="s">
        <v>10155</v>
      </c>
      <c r="AD576" s="77" t="s">
        <v>10184</v>
      </c>
      <c r="AE576" s="80" t="str">
        <f>HYPERLINK("https://twitter.com/freeclassific/status/1640808665199575040")</f>
        <v>https://twitter.com/freeclassific/status/1640808665199575040</v>
      </c>
      <c r="AF576" s="79">
        <v>45013.840798611112</v>
      </c>
      <c r="AG576" s="85">
        <v>45013</v>
      </c>
      <c r="AH576" s="82" t="s">
        <v>10730</v>
      </c>
      <c r="AI576" s="77" t="b">
        <v>0</v>
      </c>
      <c r="AJ576" s="77"/>
      <c r="AK576" s="77"/>
      <c r="AL576" s="77"/>
      <c r="AM576" s="77"/>
      <c r="AN576" s="77"/>
      <c r="AO576" s="77"/>
      <c r="AP576" s="77"/>
      <c r="AQ576" s="77"/>
      <c r="AR576" s="77"/>
      <c r="AS576" s="77"/>
      <c r="AT576" s="77"/>
      <c r="AU576" s="77"/>
      <c r="AV576" s="80" t="str">
        <f>HYPERLINK("https://pbs.twimg.com/profile_images/1431648743728852993/tLJ7F5Lu_normal.png")</f>
        <v>https://pbs.twimg.com/profile_images/1431648743728852993/tLJ7F5Lu_normal.png</v>
      </c>
      <c r="AW576" s="82" t="s">
        <v>17349</v>
      </c>
      <c r="AX576" s="82" t="s">
        <v>17349</v>
      </c>
      <c r="AY576" s="77"/>
      <c r="AZ576" s="82" t="s">
        <v>20971</v>
      </c>
      <c r="BA576" s="82" t="s">
        <v>20971</v>
      </c>
      <c r="BB576" s="82" t="s">
        <v>20971</v>
      </c>
      <c r="BC576" s="82" t="s">
        <v>17349</v>
      </c>
      <c r="BD576" s="77">
        <v>489723814</v>
      </c>
      <c r="BE576" s="77"/>
      <c r="BF576" s="77"/>
      <c r="BG576" s="77"/>
      <c r="BH576" s="77"/>
      <c r="BI576" s="77"/>
    </row>
    <row r="577" spans="1:61" x14ac:dyDescent="0.25">
      <c r="A577" s="62" t="s">
        <v>418</v>
      </c>
      <c r="B577" s="62" t="s">
        <v>418</v>
      </c>
      <c r="C577" s="63"/>
      <c r="D577" s="64"/>
      <c r="E577" s="65"/>
      <c r="F577" s="66"/>
      <c r="G577" s="63"/>
      <c r="H577" s="67"/>
      <c r="I577" s="68"/>
      <c r="J577" s="68"/>
      <c r="K577" s="32"/>
      <c r="L577" s="75">
        <v>577</v>
      </c>
      <c r="M577" s="75"/>
      <c r="N577" s="70"/>
      <c r="O577" s="77" t="s">
        <v>179</v>
      </c>
      <c r="P577" s="79">
        <v>45013.833541666667</v>
      </c>
      <c r="Q577" s="77" t="s">
        <v>1860</v>
      </c>
      <c r="R577" s="77">
        <v>0</v>
      </c>
      <c r="S577" s="77">
        <v>0</v>
      </c>
      <c r="T577" s="77">
        <v>0</v>
      </c>
      <c r="U577" s="77">
        <v>0</v>
      </c>
      <c r="V577" s="77">
        <v>12</v>
      </c>
      <c r="W577" s="82" t="s">
        <v>5335</v>
      </c>
      <c r="X577" s="80" t="str">
        <f>HYPERLINK("https://www.freeclassificados.com/ads/descubra-como-publicar-o-seu-negocio-em-350-classificados-gratis/")</f>
        <v>https://www.freeclassificados.com/ads/descubra-como-publicar-o-seu-negocio-em-350-classificados-gratis/</v>
      </c>
      <c r="Y577" s="77" t="s">
        <v>7308</v>
      </c>
      <c r="Z577" s="77"/>
      <c r="AA577" s="77"/>
      <c r="AB577" s="77"/>
      <c r="AC577" s="82" t="s">
        <v>10155</v>
      </c>
      <c r="AD577" s="77" t="s">
        <v>10184</v>
      </c>
      <c r="AE577" s="80" t="str">
        <f>HYPERLINK("https://twitter.com/freeclassific/status/1640806038634123265")</f>
        <v>https://twitter.com/freeclassific/status/1640806038634123265</v>
      </c>
      <c r="AF577" s="79">
        <v>45013.833541666667</v>
      </c>
      <c r="AG577" s="85">
        <v>45013</v>
      </c>
      <c r="AH577" s="82" t="s">
        <v>10731</v>
      </c>
      <c r="AI577" s="77" t="b">
        <v>0</v>
      </c>
      <c r="AJ577" s="77"/>
      <c r="AK577" s="77"/>
      <c r="AL577" s="77"/>
      <c r="AM577" s="77"/>
      <c r="AN577" s="77"/>
      <c r="AO577" s="77"/>
      <c r="AP577" s="77"/>
      <c r="AQ577" s="77"/>
      <c r="AR577" s="77"/>
      <c r="AS577" s="77"/>
      <c r="AT577" s="77"/>
      <c r="AU577" s="77"/>
      <c r="AV577" s="80" t="str">
        <f>HYPERLINK("https://pbs.twimg.com/profile_images/1431648743728852993/tLJ7F5Lu_normal.png")</f>
        <v>https://pbs.twimg.com/profile_images/1431648743728852993/tLJ7F5Lu_normal.png</v>
      </c>
      <c r="AW577" s="82" t="s">
        <v>17350</v>
      </c>
      <c r="AX577" s="82" t="s">
        <v>17350</v>
      </c>
      <c r="AY577" s="77"/>
      <c r="AZ577" s="82" t="s">
        <v>20971</v>
      </c>
      <c r="BA577" s="82" t="s">
        <v>20971</v>
      </c>
      <c r="BB577" s="82" t="s">
        <v>20971</v>
      </c>
      <c r="BC577" s="82" t="s">
        <v>17350</v>
      </c>
      <c r="BD577" s="77">
        <v>489723814</v>
      </c>
      <c r="BE577" s="77"/>
      <c r="BF577" s="77"/>
      <c r="BG577" s="77"/>
      <c r="BH577" s="77"/>
      <c r="BI577" s="77"/>
    </row>
    <row r="578" spans="1:61" x14ac:dyDescent="0.25">
      <c r="A578" s="62" t="s">
        <v>418</v>
      </c>
      <c r="B578" s="62" t="s">
        <v>418</v>
      </c>
      <c r="C578" s="63"/>
      <c r="D578" s="64"/>
      <c r="E578" s="65"/>
      <c r="F578" s="66"/>
      <c r="G578" s="63"/>
      <c r="H578" s="67"/>
      <c r="I578" s="68"/>
      <c r="J578" s="68"/>
      <c r="K578" s="32"/>
      <c r="L578" s="75">
        <v>578</v>
      </c>
      <c r="M578" s="75"/>
      <c r="N578" s="70"/>
      <c r="O578" s="77" t="s">
        <v>179</v>
      </c>
      <c r="P578" s="79">
        <v>45013.746817129628</v>
      </c>
      <c r="Q578" s="77" t="s">
        <v>1861</v>
      </c>
      <c r="R578" s="77">
        <v>0</v>
      </c>
      <c r="S578" s="77">
        <v>0</v>
      </c>
      <c r="T578" s="77">
        <v>0</v>
      </c>
      <c r="U578" s="77">
        <v>0</v>
      </c>
      <c r="V578" s="77">
        <v>7</v>
      </c>
      <c r="W578" s="82" t="s">
        <v>5335</v>
      </c>
      <c r="X578" s="80" t="str">
        <f>HYPERLINK("https://www.freeclassificados.com/ads/sacola-personalizada/")</f>
        <v>https://www.freeclassificados.com/ads/sacola-personalizada/</v>
      </c>
      <c r="Y578" s="77" t="s">
        <v>7308</v>
      </c>
      <c r="Z578" s="77"/>
      <c r="AA578" s="77"/>
      <c r="AB578" s="77"/>
      <c r="AC578" s="82" t="s">
        <v>10155</v>
      </c>
      <c r="AD578" s="77" t="s">
        <v>10187</v>
      </c>
      <c r="AE578" s="80" t="str">
        <f>HYPERLINK("https://twitter.com/freeclassific/status/1640774610441633794")</f>
        <v>https://twitter.com/freeclassific/status/1640774610441633794</v>
      </c>
      <c r="AF578" s="79">
        <v>45013.746817129628</v>
      </c>
      <c r="AG578" s="85">
        <v>45013</v>
      </c>
      <c r="AH578" s="82" t="s">
        <v>10732</v>
      </c>
      <c r="AI578" s="77" t="b">
        <v>0</v>
      </c>
      <c r="AJ578" s="77"/>
      <c r="AK578" s="77"/>
      <c r="AL578" s="77"/>
      <c r="AM578" s="77"/>
      <c r="AN578" s="77"/>
      <c r="AO578" s="77"/>
      <c r="AP578" s="77"/>
      <c r="AQ578" s="77"/>
      <c r="AR578" s="77"/>
      <c r="AS578" s="77"/>
      <c r="AT578" s="77"/>
      <c r="AU578" s="77"/>
      <c r="AV578" s="80" t="str">
        <f>HYPERLINK("https://pbs.twimg.com/profile_images/1431648743728852993/tLJ7F5Lu_normal.png")</f>
        <v>https://pbs.twimg.com/profile_images/1431648743728852993/tLJ7F5Lu_normal.png</v>
      </c>
      <c r="AW578" s="82" t="s">
        <v>17351</v>
      </c>
      <c r="AX578" s="82" t="s">
        <v>17351</v>
      </c>
      <c r="AY578" s="77"/>
      <c r="AZ578" s="82" t="s">
        <v>20971</v>
      </c>
      <c r="BA578" s="82" t="s">
        <v>20971</v>
      </c>
      <c r="BB578" s="82" t="s">
        <v>20971</v>
      </c>
      <c r="BC578" s="82" t="s">
        <v>17351</v>
      </c>
      <c r="BD578" s="77">
        <v>489723814</v>
      </c>
      <c r="BE578" s="77"/>
      <c r="BF578" s="77"/>
      <c r="BG578" s="77"/>
      <c r="BH578" s="77"/>
      <c r="BI578" s="77"/>
    </row>
    <row r="579" spans="1:61" x14ac:dyDescent="0.25">
      <c r="A579" s="62" t="s">
        <v>418</v>
      </c>
      <c r="B579" s="62" t="s">
        <v>418</v>
      </c>
      <c r="C579" s="63"/>
      <c r="D579" s="64"/>
      <c r="E579" s="65"/>
      <c r="F579" s="66"/>
      <c r="G579" s="63"/>
      <c r="H579" s="67"/>
      <c r="I579" s="68"/>
      <c r="J579" s="68"/>
      <c r="K579" s="32"/>
      <c r="L579" s="75">
        <v>579</v>
      </c>
      <c r="M579" s="75"/>
      <c r="N579" s="70"/>
      <c r="O579" s="77" t="s">
        <v>179</v>
      </c>
      <c r="P579" s="79">
        <v>45013.741527777776</v>
      </c>
      <c r="Q579" s="77" t="s">
        <v>1862</v>
      </c>
      <c r="R579" s="77">
        <v>0</v>
      </c>
      <c r="S579" s="77">
        <v>0</v>
      </c>
      <c r="T579" s="77">
        <v>0</v>
      </c>
      <c r="U579" s="77">
        <v>0</v>
      </c>
      <c r="V579" s="77">
        <v>10</v>
      </c>
      <c r="W579" s="82" t="s">
        <v>5335</v>
      </c>
      <c r="X579" s="80" t="str">
        <f>HYPERLINK("https://www.freeclassificados.com/ads/vendo-apartamento-uberlandia-mg-otimo-preco/")</f>
        <v>https://www.freeclassificados.com/ads/vendo-apartamento-uberlandia-mg-otimo-preco/</v>
      </c>
      <c r="Y579" s="77" t="s">
        <v>7308</v>
      </c>
      <c r="Z579" s="77"/>
      <c r="AA579" s="77"/>
      <c r="AB579" s="77"/>
      <c r="AC579" s="82" t="s">
        <v>10155</v>
      </c>
      <c r="AD579" s="77" t="s">
        <v>10184</v>
      </c>
      <c r="AE579" s="80" t="str">
        <f>HYPERLINK("https://twitter.com/freeclassific/status/1640772690343759874")</f>
        <v>https://twitter.com/freeclassific/status/1640772690343759874</v>
      </c>
      <c r="AF579" s="79">
        <v>45013.741527777776</v>
      </c>
      <c r="AG579" s="85">
        <v>45013</v>
      </c>
      <c r="AH579" s="82" t="s">
        <v>10733</v>
      </c>
      <c r="AI579" s="77" t="b">
        <v>0</v>
      </c>
      <c r="AJ579" s="77"/>
      <c r="AK579" s="77"/>
      <c r="AL579" s="77"/>
      <c r="AM579" s="77"/>
      <c r="AN579" s="77"/>
      <c r="AO579" s="77"/>
      <c r="AP579" s="77"/>
      <c r="AQ579" s="77"/>
      <c r="AR579" s="77"/>
      <c r="AS579" s="77"/>
      <c r="AT579" s="77"/>
      <c r="AU579" s="77"/>
      <c r="AV579" s="80" t="str">
        <f>HYPERLINK("https://pbs.twimg.com/profile_images/1431648743728852993/tLJ7F5Lu_normal.png")</f>
        <v>https://pbs.twimg.com/profile_images/1431648743728852993/tLJ7F5Lu_normal.png</v>
      </c>
      <c r="AW579" s="82" t="s">
        <v>17352</v>
      </c>
      <c r="AX579" s="82" t="s">
        <v>17352</v>
      </c>
      <c r="AY579" s="77"/>
      <c r="AZ579" s="82" t="s">
        <v>20971</v>
      </c>
      <c r="BA579" s="82" t="s">
        <v>20971</v>
      </c>
      <c r="BB579" s="82" t="s">
        <v>20971</v>
      </c>
      <c r="BC579" s="82" t="s">
        <v>17352</v>
      </c>
      <c r="BD579" s="77">
        <v>489723814</v>
      </c>
      <c r="BE579" s="77"/>
      <c r="BF579" s="77"/>
      <c r="BG579" s="77"/>
      <c r="BH579" s="77"/>
      <c r="BI579" s="77"/>
    </row>
    <row r="580" spans="1:61" x14ac:dyDescent="0.25">
      <c r="A580" s="62" t="s">
        <v>418</v>
      </c>
      <c r="B580" s="62" t="s">
        <v>418</v>
      </c>
      <c r="C580" s="63"/>
      <c r="D580" s="64"/>
      <c r="E580" s="65"/>
      <c r="F580" s="66"/>
      <c r="G580" s="63"/>
      <c r="H580" s="67"/>
      <c r="I580" s="68"/>
      <c r="J580" s="68"/>
      <c r="K580" s="32"/>
      <c r="L580" s="75">
        <v>580</v>
      </c>
      <c r="M580" s="75"/>
      <c r="N580" s="70"/>
      <c r="O580" s="77" t="s">
        <v>179</v>
      </c>
      <c r="P580" s="79">
        <v>45013.693124999998</v>
      </c>
      <c r="Q580" s="77" t="s">
        <v>1863</v>
      </c>
      <c r="R580" s="77">
        <v>0</v>
      </c>
      <c r="S580" s="77">
        <v>0</v>
      </c>
      <c r="T580" s="77">
        <v>0</v>
      </c>
      <c r="U580" s="77">
        <v>0</v>
      </c>
      <c r="V580" s="77">
        <v>18</v>
      </c>
      <c r="W580" s="82" t="s">
        <v>5335</v>
      </c>
      <c r="X580" s="80" t="str">
        <f>HYPERLINK("https://www.freeclassificados.com/ads/concreto-concreto-bombeado-concreto-usinado-para-lajes-e-pisos-rio-de-janeiro/")</f>
        <v>https://www.freeclassificados.com/ads/concreto-concreto-bombeado-concreto-usinado-para-lajes-e-pisos-rio-de-janeiro/</v>
      </c>
      <c r="Y580" s="77" t="s">
        <v>7308</v>
      </c>
      <c r="Z580" s="77"/>
      <c r="AA580" s="77"/>
      <c r="AB580" s="77"/>
      <c r="AC580" s="82" t="s">
        <v>10155</v>
      </c>
      <c r="AD580" s="77" t="s">
        <v>10184</v>
      </c>
      <c r="AE580" s="80" t="str">
        <f>HYPERLINK("https://twitter.com/freeclassific/status/1640755149567299584")</f>
        <v>https://twitter.com/freeclassific/status/1640755149567299584</v>
      </c>
      <c r="AF580" s="79">
        <v>45013.693124999998</v>
      </c>
      <c r="AG580" s="85">
        <v>45013</v>
      </c>
      <c r="AH580" s="82" t="s">
        <v>10734</v>
      </c>
      <c r="AI580" s="77" t="b">
        <v>0</v>
      </c>
      <c r="AJ580" s="77"/>
      <c r="AK580" s="77"/>
      <c r="AL580" s="77"/>
      <c r="AM580" s="77"/>
      <c r="AN580" s="77"/>
      <c r="AO580" s="77"/>
      <c r="AP580" s="77"/>
      <c r="AQ580" s="77"/>
      <c r="AR580" s="77"/>
      <c r="AS580" s="77"/>
      <c r="AT580" s="77"/>
      <c r="AU580" s="77"/>
      <c r="AV580" s="80" t="str">
        <f>HYPERLINK("https://pbs.twimg.com/profile_images/1431648743728852993/tLJ7F5Lu_normal.png")</f>
        <v>https://pbs.twimg.com/profile_images/1431648743728852993/tLJ7F5Lu_normal.png</v>
      </c>
      <c r="AW580" s="82" t="s">
        <v>17353</v>
      </c>
      <c r="AX580" s="82" t="s">
        <v>17353</v>
      </c>
      <c r="AY580" s="77"/>
      <c r="AZ580" s="82" t="s">
        <v>20971</v>
      </c>
      <c r="BA580" s="82" t="s">
        <v>20971</v>
      </c>
      <c r="BB580" s="82" t="s">
        <v>20971</v>
      </c>
      <c r="BC580" s="82" t="s">
        <v>17353</v>
      </c>
      <c r="BD580" s="77">
        <v>489723814</v>
      </c>
      <c r="BE580" s="77"/>
      <c r="BF580" s="77"/>
      <c r="BG580" s="77"/>
      <c r="BH580" s="77"/>
      <c r="BI580" s="77"/>
    </row>
    <row r="581" spans="1:61" x14ac:dyDescent="0.25">
      <c r="A581" s="62" t="s">
        <v>418</v>
      </c>
      <c r="B581" s="62" t="s">
        <v>418</v>
      </c>
      <c r="C581" s="63"/>
      <c r="D581" s="64"/>
      <c r="E581" s="65"/>
      <c r="F581" s="66"/>
      <c r="G581" s="63"/>
      <c r="H581" s="67"/>
      <c r="I581" s="68"/>
      <c r="J581" s="68"/>
      <c r="K581" s="32"/>
      <c r="L581" s="75">
        <v>581</v>
      </c>
      <c r="M581" s="75"/>
      <c r="N581" s="70"/>
      <c r="O581" s="77" t="s">
        <v>179</v>
      </c>
      <c r="P581" s="79">
        <v>45013.69085648148</v>
      </c>
      <c r="Q581" s="77" t="s">
        <v>1864</v>
      </c>
      <c r="R581" s="77">
        <v>0</v>
      </c>
      <c r="S581" s="77">
        <v>0</v>
      </c>
      <c r="T581" s="77">
        <v>0</v>
      </c>
      <c r="U581" s="77">
        <v>0</v>
      </c>
      <c r="V581" s="77">
        <v>15</v>
      </c>
      <c r="W581" s="82" t="s">
        <v>5335</v>
      </c>
      <c r="X581" s="80" t="str">
        <f>HYPERLINK("https://www.freeclassificados.com/ads/concreto-bombeado-concreto-usinado-piso-polido-rio-de-janeiro/")</f>
        <v>https://www.freeclassificados.com/ads/concreto-bombeado-concreto-usinado-piso-polido-rio-de-janeiro/</v>
      </c>
      <c r="Y581" s="77" t="s">
        <v>7308</v>
      </c>
      <c r="Z581" s="77"/>
      <c r="AA581" s="77"/>
      <c r="AB581" s="77"/>
      <c r="AC581" s="82" t="s">
        <v>10155</v>
      </c>
      <c r="AD581" s="77" t="s">
        <v>10184</v>
      </c>
      <c r="AE581" s="80" t="str">
        <f>HYPERLINK("https://twitter.com/freeclassific/status/1640754330864324609")</f>
        <v>https://twitter.com/freeclassific/status/1640754330864324609</v>
      </c>
      <c r="AF581" s="79">
        <v>45013.69085648148</v>
      </c>
      <c r="AG581" s="85">
        <v>45013</v>
      </c>
      <c r="AH581" s="82" t="s">
        <v>10735</v>
      </c>
      <c r="AI581" s="77" t="b">
        <v>0</v>
      </c>
      <c r="AJ581" s="77"/>
      <c r="AK581" s="77"/>
      <c r="AL581" s="77"/>
      <c r="AM581" s="77"/>
      <c r="AN581" s="77"/>
      <c r="AO581" s="77"/>
      <c r="AP581" s="77"/>
      <c r="AQ581" s="77"/>
      <c r="AR581" s="77"/>
      <c r="AS581" s="77"/>
      <c r="AT581" s="77"/>
      <c r="AU581" s="77"/>
      <c r="AV581" s="80" t="str">
        <f>HYPERLINK("https://pbs.twimg.com/profile_images/1431648743728852993/tLJ7F5Lu_normal.png")</f>
        <v>https://pbs.twimg.com/profile_images/1431648743728852993/tLJ7F5Lu_normal.png</v>
      </c>
      <c r="AW581" s="82" t="s">
        <v>17354</v>
      </c>
      <c r="AX581" s="82" t="s">
        <v>17354</v>
      </c>
      <c r="AY581" s="77"/>
      <c r="AZ581" s="82" t="s">
        <v>20971</v>
      </c>
      <c r="BA581" s="82" t="s">
        <v>20971</v>
      </c>
      <c r="BB581" s="82" t="s">
        <v>20971</v>
      </c>
      <c r="BC581" s="82" t="s">
        <v>17354</v>
      </c>
      <c r="BD581" s="77">
        <v>489723814</v>
      </c>
      <c r="BE581" s="77"/>
      <c r="BF581" s="77"/>
      <c r="BG581" s="77"/>
      <c r="BH581" s="77"/>
      <c r="BI581" s="77"/>
    </row>
    <row r="582" spans="1:61" x14ac:dyDescent="0.25">
      <c r="A582" s="62" t="s">
        <v>418</v>
      </c>
      <c r="B582" s="62" t="s">
        <v>418</v>
      </c>
      <c r="C582" s="63"/>
      <c r="D582" s="64"/>
      <c r="E582" s="65"/>
      <c r="F582" s="66"/>
      <c r="G582" s="63"/>
      <c r="H582" s="67"/>
      <c r="I582" s="68"/>
      <c r="J582" s="68"/>
      <c r="K582" s="32"/>
      <c r="L582" s="75">
        <v>582</v>
      </c>
      <c r="M582" s="75"/>
      <c r="N582" s="70"/>
      <c r="O582" s="77" t="s">
        <v>179</v>
      </c>
      <c r="P582" s="79">
        <v>45013.688645833332</v>
      </c>
      <c r="Q582" s="77" t="s">
        <v>1865</v>
      </c>
      <c r="R582" s="77">
        <v>0</v>
      </c>
      <c r="S582" s="77">
        <v>0</v>
      </c>
      <c r="T582" s="77">
        <v>0</v>
      </c>
      <c r="U582" s="77">
        <v>0</v>
      </c>
      <c r="V582" s="77">
        <v>11</v>
      </c>
      <c r="W582" s="82" t="s">
        <v>5335</v>
      </c>
      <c r="X582" s="80" t="str">
        <f>HYPERLINK("https://www.freeclassificados.com/ads/concreto-concreto-bombeado-concreto-usinado-rio-de-janeiro/")</f>
        <v>https://www.freeclassificados.com/ads/concreto-concreto-bombeado-concreto-usinado-rio-de-janeiro/</v>
      </c>
      <c r="Y582" s="77" t="s">
        <v>7308</v>
      </c>
      <c r="Z582" s="77"/>
      <c r="AA582" s="77"/>
      <c r="AB582" s="77"/>
      <c r="AC582" s="82" t="s">
        <v>10155</v>
      </c>
      <c r="AD582" s="77" t="s">
        <v>10184</v>
      </c>
      <c r="AE582" s="80" t="str">
        <f>HYPERLINK("https://twitter.com/freeclassific/status/1640753526803681281")</f>
        <v>https://twitter.com/freeclassific/status/1640753526803681281</v>
      </c>
      <c r="AF582" s="79">
        <v>45013.688645833332</v>
      </c>
      <c r="AG582" s="85">
        <v>45013</v>
      </c>
      <c r="AH582" s="82" t="s">
        <v>10736</v>
      </c>
      <c r="AI582" s="77" t="b">
        <v>0</v>
      </c>
      <c r="AJ582" s="77"/>
      <c r="AK582" s="77"/>
      <c r="AL582" s="77"/>
      <c r="AM582" s="77"/>
      <c r="AN582" s="77"/>
      <c r="AO582" s="77"/>
      <c r="AP582" s="77"/>
      <c r="AQ582" s="77"/>
      <c r="AR582" s="77"/>
      <c r="AS582" s="77"/>
      <c r="AT582" s="77"/>
      <c r="AU582" s="77"/>
      <c r="AV582" s="80" t="str">
        <f>HYPERLINK("https://pbs.twimg.com/profile_images/1431648743728852993/tLJ7F5Lu_normal.png")</f>
        <v>https://pbs.twimg.com/profile_images/1431648743728852993/tLJ7F5Lu_normal.png</v>
      </c>
      <c r="AW582" s="82" t="s">
        <v>17355</v>
      </c>
      <c r="AX582" s="82" t="s">
        <v>17355</v>
      </c>
      <c r="AY582" s="77"/>
      <c r="AZ582" s="82" t="s">
        <v>20971</v>
      </c>
      <c r="BA582" s="82" t="s">
        <v>20971</v>
      </c>
      <c r="BB582" s="82" t="s">
        <v>20971</v>
      </c>
      <c r="BC582" s="82" t="s">
        <v>17355</v>
      </c>
      <c r="BD582" s="77">
        <v>489723814</v>
      </c>
      <c r="BE582" s="77"/>
      <c r="BF582" s="77"/>
      <c r="BG582" s="77"/>
      <c r="BH582" s="77"/>
      <c r="BI582" s="77"/>
    </row>
    <row r="583" spans="1:61" x14ac:dyDescent="0.25">
      <c r="A583" s="62" t="s">
        <v>418</v>
      </c>
      <c r="B583" s="62" t="s">
        <v>418</v>
      </c>
      <c r="C583" s="63"/>
      <c r="D583" s="64"/>
      <c r="E583" s="65"/>
      <c r="F583" s="66"/>
      <c r="G583" s="63"/>
      <c r="H583" s="67"/>
      <c r="I583" s="68"/>
      <c r="J583" s="68"/>
      <c r="K583" s="32"/>
      <c r="L583" s="75">
        <v>583</v>
      </c>
      <c r="M583" s="75"/>
      <c r="N583" s="70"/>
      <c r="O583" s="77" t="s">
        <v>179</v>
      </c>
      <c r="P583" s="79">
        <v>45013.62232638889</v>
      </c>
      <c r="Q583" s="77" t="s">
        <v>1866</v>
      </c>
      <c r="R583" s="77">
        <v>0</v>
      </c>
      <c r="S583" s="77">
        <v>0</v>
      </c>
      <c r="T583" s="77">
        <v>0</v>
      </c>
      <c r="U583" s="77">
        <v>0</v>
      </c>
      <c r="V583" s="77">
        <v>8</v>
      </c>
      <c r="W583" s="82" t="s">
        <v>5335</v>
      </c>
      <c r="X583" s="80" t="str">
        <f>HYPERLINK("https://www.freeclassificados.com/ads/embalagens-para-delivery-personalizadas/")</f>
        <v>https://www.freeclassificados.com/ads/embalagens-para-delivery-personalizadas/</v>
      </c>
      <c r="Y583" s="77" t="s">
        <v>7308</v>
      </c>
      <c r="Z583" s="77"/>
      <c r="AA583" s="77"/>
      <c r="AB583" s="77"/>
      <c r="AC583" s="82" t="s">
        <v>10155</v>
      </c>
      <c r="AD583" s="77" t="s">
        <v>10184</v>
      </c>
      <c r="AE583" s="80" t="str">
        <f>HYPERLINK("https://twitter.com/freeclassific/status/1640729496587493377")</f>
        <v>https://twitter.com/freeclassific/status/1640729496587493377</v>
      </c>
      <c r="AF583" s="79">
        <v>45013.62232638889</v>
      </c>
      <c r="AG583" s="85">
        <v>45013</v>
      </c>
      <c r="AH583" s="82" t="s">
        <v>10737</v>
      </c>
      <c r="AI583" s="77" t="b">
        <v>0</v>
      </c>
      <c r="AJ583" s="77"/>
      <c r="AK583" s="77"/>
      <c r="AL583" s="77"/>
      <c r="AM583" s="77"/>
      <c r="AN583" s="77"/>
      <c r="AO583" s="77"/>
      <c r="AP583" s="77"/>
      <c r="AQ583" s="77"/>
      <c r="AR583" s="77"/>
      <c r="AS583" s="77"/>
      <c r="AT583" s="77"/>
      <c r="AU583" s="77"/>
      <c r="AV583" s="80" t="str">
        <f>HYPERLINK("https://pbs.twimg.com/profile_images/1431648743728852993/tLJ7F5Lu_normal.png")</f>
        <v>https://pbs.twimg.com/profile_images/1431648743728852993/tLJ7F5Lu_normal.png</v>
      </c>
      <c r="AW583" s="82" t="s">
        <v>17356</v>
      </c>
      <c r="AX583" s="82" t="s">
        <v>17356</v>
      </c>
      <c r="AY583" s="77"/>
      <c r="AZ583" s="82" t="s">
        <v>20971</v>
      </c>
      <c r="BA583" s="82" t="s">
        <v>20971</v>
      </c>
      <c r="BB583" s="82" t="s">
        <v>20971</v>
      </c>
      <c r="BC583" s="82" t="s">
        <v>17356</v>
      </c>
      <c r="BD583" s="77">
        <v>489723814</v>
      </c>
      <c r="BE583" s="77"/>
      <c r="BF583" s="77"/>
      <c r="BG583" s="77"/>
      <c r="BH583" s="77"/>
      <c r="BI583" s="77"/>
    </row>
    <row r="584" spans="1:61" x14ac:dyDescent="0.25">
      <c r="A584" s="62" t="s">
        <v>418</v>
      </c>
      <c r="B584" s="62" t="s">
        <v>418</v>
      </c>
      <c r="C584" s="63"/>
      <c r="D584" s="64"/>
      <c r="E584" s="65"/>
      <c r="F584" s="66"/>
      <c r="G584" s="63"/>
      <c r="H584" s="67"/>
      <c r="I584" s="68"/>
      <c r="J584" s="68"/>
      <c r="K584" s="32"/>
      <c r="L584" s="75">
        <v>584</v>
      </c>
      <c r="M584" s="75"/>
      <c r="N584" s="70"/>
      <c r="O584" s="77" t="s">
        <v>179</v>
      </c>
      <c r="P584" s="79">
        <v>45013.564004629632</v>
      </c>
      <c r="Q584" s="77" t="s">
        <v>1867</v>
      </c>
      <c r="R584" s="77">
        <v>0</v>
      </c>
      <c r="S584" s="77">
        <v>0</v>
      </c>
      <c r="T584" s="77">
        <v>0</v>
      </c>
      <c r="U584" s="77">
        <v>0</v>
      </c>
      <c r="V584" s="77">
        <v>18</v>
      </c>
      <c r="W584" s="82" t="s">
        <v>5335</v>
      </c>
      <c r="X584" s="80" t="str">
        <f>HYPERLINK("https://www.freeclassificados.com/ads/quiropraxia-freguesia-do-o-30-anos-de-experiencia/")</f>
        <v>https://www.freeclassificados.com/ads/quiropraxia-freguesia-do-o-30-anos-de-experiencia/</v>
      </c>
      <c r="Y584" s="77" t="s">
        <v>7308</v>
      </c>
      <c r="Z584" s="77"/>
      <c r="AA584" s="77"/>
      <c r="AB584" s="77"/>
      <c r="AC584" s="82" t="s">
        <v>10155</v>
      </c>
      <c r="AD584" s="77" t="s">
        <v>10184</v>
      </c>
      <c r="AE584" s="80" t="str">
        <f>HYPERLINK("https://twitter.com/freeclassific/status/1640708360944353280")</f>
        <v>https://twitter.com/freeclassific/status/1640708360944353280</v>
      </c>
      <c r="AF584" s="79">
        <v>45013.564004629632</v>
      </c>
      <c r="AG584" s="85">
        <v>45013</v>
      </c>
      <c r="AH584" s="82" t="s">
        <v>10738</v>
      </c>
      <c r="AI584" s="77" t="b">
        <v>0</v>
      </c>
      <c r="AJ584" s="77"/>
      <c r="AK584" s="77"/>
      <c r="AL584" s="77"/>
      <c r="AM584" s="77"/>
      <c r="AN584" s="77"/>
      <c r="AO584" s="77"/>
      <c r="AP584" s="77"/>
      <c r="AQ584" s="77"/>
      <c r="AR584" s="77"/>
      <c r="AS584" s="77"/>
      <c r="AT584" s="77"/>
      <c r="AU584" s="77"/>
      <c r="AV584" s="80" t="str">
        <f>HYPERLINK("https://pbs.twimg.com/profile_images/1431648743728852993/tLJ7F5Lu_normal.png")</f>
        <v>https://pbs.twimg.com/profile_images/1431648743728852993/tLJ7F5Lu_normal.png</v>
      </c>
      <c r="AW584" s="82" t="s">
        <v>17357</v>
      </c>
      <c r="AX584" s="82" t="s">
        <v>17357</v>
      </c>
      <c r="AY584" s="77"/>
      <c r="AZ584" s="82" t="s">
        <v>20971</v>
      </c>
      <c r="BA584" s="82" t="s">
        <v>20971</v>
      </c>
      <c r="BB584" s="82" t="s">
        <v>20971</v>
      </c>
      <c r="BC584" s="82" t="s">
        <v>17357</v>
      </c>
      <c r="BD584" s="77">
        <v>489723814</v>
      </c>
      <c r="BE584" s="77"/>
      <c r="BF584" s="77"/>
      <c r="BG584" s="77"/>
      <c r="BH584" s="77"/>
      <c r="BI584" s="77"/>
    </row>
    <row r="585" spans="1:61" x14ac:dyDescent="0.25">
      <c r="A585" s="62" t="s">
        <v>418</v>
      </c>
      <c r="B585" s="62" t="s">
        <v>418</v>
      </c>
      <c r="C585" s="63"/>
      <c r="D585" s="64"/>
      <c r="E585" s="65"/>
      <c r="F585" s="66"/>
      <c r="G585" s="63"/>
      <c r="H585" s="67"/>
      <c r="I585" s="68"/>
      <c r="J585" s="68"/>
      <c r="K585" s="32"/>
      <c r="L585" s="75">
        <v>585</v>
      </c>
      <c r="M585" s="75"/>
      <c r="N585" s="70"/>
      <c r="O585" s="77" t="s">
        <v>179</v>
      </c>
      <c r="P585" s="79">
        <v>45013.481574074074</v>
      </c>
      <c r="Q585" s="77" t="s">
        <v>1868</v>
      </c>
      <c r="R585" s="77">
        <v>0</v>
      </c>
      <c r="S585" s="77">
        <v>0</v>
      </c>
      <c r="T585" s="77">
        <v>0</v>
      </c>
      <c r="U585" s="77">
        <v>0</v>
      </c>
      <c r="V585" s="77">
        <v>18</v>
      </c>
      <c r="W585" s="82" t="s">
        <v>5335</v>
      </c>
      <c r="X585" s="80" t="str">
        <f>HYPERLINK("https://www.freeclassificados.com/ads/graduacao-e-pos-ead-sem-pagamento-antecipado/")</f>
        <v>https://www.freeclassificados.com/ads/graduacao-e-pos-ead-sem-pagamento-antecipado/</v>
      </c>
      <c r="Y585" s="77" t="s">
        <v>7308</v>
      </c>
      <c r="Z585" s="77"/>
      <c r="AA585" s="77"/>
      <c r="AB585" s="77"/>
      <c r="AC585" s="82" t="s">
        <v>10155</v>
      </c>
      <c r="AD585" s="77" t="s">
        <v>10184</v>
      </c>
      <c r="AE585" s="80" t="str">
        <f>HYPERLINK("https://twitter.com/freeclassific/status/1640678486447882241")</f>
        <v>https://twitter.com/freeclassific/status/1640678486447882241</v>
      </c>
      <c r="AF585" s="79">
        <v>45013.481574074074</v>
      </c>
      <c r="AG585" s="85">
        <v>45013</v>
      </c>
      <c r="AH585" s="82" t="s">
        <v>10739</v>
      </c>
      <c r="AI585" s="77" t="b">
        <v>0</v>
      </c>
      <c r="AJ585" s="77"/>
      <c r="AK585" s="77"/>
      <c r="AL585" s="77"/>
      <c r="AM585" s="77"/>
      <c r="AN585" s="77"/>
      <c r="AO585" s="77"/>
      <c r="AP585" s="77"/>
      <c r="AQ585" s="77"/>
      <c r="AR585" s="77"/>
      <c r="AS585" s="77"/>
      <c r="AT585" s="77"/>
      <c r="AU585" s="77"/>
      <c r="AV585" s="80" t="str">
        <f>HYPERLINK("https://pbs.twimg.com/profile_images/1431648743728852993/tLJ7F5Lu_normal.png")</f>
        <v>https://pbs.twimg.com/profile_images/1431648743728852993/tLJ7F5Lu_normal.png</v>
      </c>
      <c r="AW585" s="82" t="s">
        <v>17358</v>
      </c>
      <c r="AX585" s="82" t="s">
        <v>17358</v>
      </c>
      <c r="AY585" s="77"/>
      <c r="AZ585" s="82" t="s">
        <v>20971</v>
      </c>
      <c r="BA585" s="82" t="s">
        <v>20971</v>
      </c>
      <c r="BB585" s="82" t="s">
        <v>20971</v>
      </c>
      <c r="BC585" s="82" t="s">
        <v>17358</v>
      </c>
      <c r="BD585" s="77">
        <v>489723814</v>
      </c>
      <c r="BE585" s="77"/>
      <c r="BF585" s="77"/>
      <c r="BG585" s="77"/>
      <c r="BH585" s="77"/>
      <c r="BI585" s="77"/>
    </row>
    <row r="586" spans="1:61" x14ac:dyDescent="0.25">
      <c r="A586" s="62" t="s">
        <v>418</v>
      </c>
      <c r="B586" s="62" t="s">
        <v>418</v>
      </c>
      <c r="C586" s="63"/>
      <c r="D586" s="64"/>
      <c r="E586" s="65"/>
      <c r="F586" s="66"/>
      <c r="G586" s="63"/>
      <c r="H586" s="67"/>
      <c r="I586" s="68"/>
      <c r="J586" s="68"/>
      <c r="K586" s="32"/>
      <c r="L586" s="75">
        <v>586</v>
      </c>
      <c r="M586" s="75"/>
      <c r="N586" s="70"/>
      <c r="O586" s="77" t="s">
        <v>179</v>
      </c>
      <c r="P586" s="79">
        <v>45013.479479166665</v>
      </c>
      <c r="Q586" s="77" t="s">
        <v>1869</v>
      </c>
      <c r="R586" s="77">
        <v>0</v>
      </c>
      <c r="S586" s="77">
        <v>0</v>
      </c>
      <c r="T586" s="77">
        <v>0</v>
      </c>
      <c r="U586" s="77">
        <v>0</v>
      </c>
      <c r="V586" s="77">
        <v>5</v>
      </c>
      <c r="W586" s="82" t="s">
        <v>5335</v>
      </c>
      <c r="X586" s="80" t="str">
        <f>HYPERLINK("https://www.freeclassificados.com/ads/cursos-universitario-ead-sem-pagar-antecipado-3/")</f>
        <v>https://www.freeclassificados.com/ads/cursos-universitario-ead-sem-pagar-antecipado-3/</v>
      </c>
      <c r="Y586" s="77" t="s">
        <v>7308</v>
      </c>
      <c r="Z586" s="77"/>
      <c r="AA586" s="77"/>
      <c r="AB586" s="77"/>
      <c r="AC586" s="82" t="s">
        <v>10155</v>
      </c>
      <c r="AD586" s="77" t="s">
        <v>10184</v>
      </c>
      <c r="AE586" s="80" t="str">
        <f>HYPERLINK("https://twitter.com/freeclassific/status/1640677727413096450")</f>
        <v>https://twitter.com/freeclassific/status/1640677727413096450</v>
      </c>
      <c r="AF586" s="79">
        <v>45013.479479166665</v>
      </c>
      <c r="AG586" s="85">
        <v>45013</v>
      </c>
      <c r="AH586" s="82" t="s">
        <v>10740</v>
      </c>
      <c r="AI586" s="77" t="b">
        <v>0</v>
      </c>
      <c r="AJ586" s="77"/>
      <c r="AK586" s="77"/>
      <c r="AL586" s="77"/>
      <c r="AM586" s="77"/>
      <c r="AN586" s="77"/>
      <c r="AO586" s="77"/>
      <c r="AP586" s="77"/>
      <c r="AQ586" s="77"/>
      <c r="AR586" s="77"/>
      <c r="AS586" s="77"/>
      <c r="AT586" s="77"/>
      <c r="AU586" s="77"/>
      <c r="AV586" s="80" t="str">
        <f>HYPERLINK("https://pbs.twimg.com/profile_images/1431648743728852993/tLJ7F5Lu_normal.png")</f>
        <v>https://pbs.twimg.com/profile_images/1431648743728852993/tLJ7F5Lu_normal.png</v>
      </c>
      <c r="AW586" s="82" t="s">
        <v>17359</v>
      </c>
      <c r="AX586" s="82" t="s">
        <v>17359</v>
      </c>
      <c r="AY586" s="77"/>
      <c r="AZ586" s="82" t="s">
        <v>20971</v>
      </c>
      <c r="BA586" s="82" t="s">
        <v>20971</v>
      </c>
      <c r="BB586" s="82" t="s">
        <v>20971</v>
      </c>
      <c r="BC586" s="82" t="s">
        <v>17359</v>
      </c>
      <c r="BD586" s="77">
        <v>489723814</v>
      </c>
      <c r="BE586" s="77"/>
      <c r="BF586" s="77"/>
      <c r="BG586" s="77"/>
      <c r="BH586" s="77"/>
      <c r="BI586" s="77"/>
    </row>
    <row r="587" spans="1:61" x14ac:dyDescent="0.25">
      <c r="A587" s="62" t="s">
        <v>418</v>
      </c>
      <c r="B587" s="62" t="s">
        <v>418</v>
      </c>
      <c r="C587" s="63"/>
      <c r="D587" s="64"/>
      <c r="E587" s="65"/>
      <c r="F587" s="66"/>
      <c r="G587" s="63"/>
      <c r="H587" s="67"/>
      <c r="I587" s="68"/>
      <c r="J587" s="68"/>
      <c r="K587" s="32"/>
      <c r="L587" s="75">
        <v>587</v>
      </c>
      <c r="M587" s="75"/>
      <c r="N587" s="70"/>
      <c r="O587" s="77" t="s">
        <v>179</v>
      </c>
      <c r="P587" s="79">
        <v>45012.950289351851</v>
      </c>
      <c r="Q587" s="77" t="s">
        <v>1870</v>
      </c>
      <c r="R587" s="77">
        <v>0</v>
      </c>
      <c r="S587" s="77">
        <v>0</v>
      </c>
      <c r="T587" s="77">
        <v>0</v>
      </c>
      <c r="U587" s="77">
        <v>0</v>
      </c>
      <c r="V587" s="77">
        <v>12</v>
      </c>
      <c r="W587" s="82" t="s">
        <v>5335</v>
      </c>
      <c r="X587" s="80" t="str">
        <f>HYPERLINK("https://www.freeclassificados.com/ads/pare-de-matar-o-seu-animal-com-essa-comida/")</f>
        <v>https://www.freeclassificados.com/ads/pare-de-matar-o-seu-animal-com-essa-comida/</v>
      </c>
      <c r="Y587" s="77" t="s">
        <v>7308</v>
      </c>
      <c r="Z587" s="77"/>
      <c r="AA587" s="77"/>
      <c r="AB587" s="77"/>
      <c r="AC587" s="82" t="s">
        <v>10155</v>
      </c>
      <c r="AD587" s="77" t="s">
        <v>10184</v>
      </c>
      <c r="AE587" s="80" t="str">
        <f>HYPERLINK("https://twitter.com/freeclassific/status/1640485957110734848")</f>
        <v>https://twitter.com/freeclassific/status/1640485957110734848</v>
      </c>
      <c r="AF587" s="79">
        <v>45012.950289351851</v>
      </c>
      <c r="AG587" s="85">
        <v>45012</v>
      </c>
      <c r="AH587" s="82" t="s">
        <v>10741</v>
      </c>
      <c r="AI587" s="77" t="b">
        <v>0</v>
      </c>
      <c r="AJ587" s="77"/>
      <c r="AK587" s="77"/>
      <c r="AL587" s="77"/>
      <c r="AM587" s="77"/>
      <c r="AN587" s="77"/>
      <c r="AO587" s="77"/>
      <c r="AP587" s="77"/>
      <c r="AQ587" s="77"/>
      <c r="AR587" s="77"/>
      <c r="AS587" s="77"/>
      <c r="AT587" s="77"/>
      <c r="AU587" s="77"/>
      <c r="AV587" s="80" t="str">
        <f>HYPERLINK("https://pbs.twimg.com/profile_images/1431648743728852993/tLJ7F5Lu_normal.png")</f>
        <v>https://pbs.twimg.com/profile_images/1431648743728852993/tLJ7F5Lu_normal.png</v>
      </c>
      <c r="AW587" s="82" t="s">
        <v>17360</v>
      </c>
      <c r="AX587" s="82" t="s">
        <v>17360</v>
      </c>
      <c r="AY587" s="77"/>
      <c r="AZ587" s="82" t="s">
        <v>20971</v>
      </c>
      <c r="BA587" s="82" t="s">
        <v>20971</v>
      </c>
      <c r="BB587" s="82" t="s">
        <v>20971</v>
      </c>
      <c r="BC587" s="82" t="s">
        <v>17360</v>
      </c>
      <c r="BD587" s="77">
        <v>489723814</v>
      </c>
      <c r="BE587" s="77"/>
      <c r="BF587" s="77"/>
      <c r="BG587" s="77"/>
      <c r="BH587" s="77"/>
      <c r="BI587" s="77"/>
    </row>
    <row r="588" spans="1:61" x14ac:dyDescent="0.25">
      <c r="A588" s="62" t="s">
        <v>418</v>
      </c>
      <c r="B588" s="62" t="s">
        <v>418</v>
      </c>
      <c r="C588" s="63"/>
      <c r="D588" s="64"/>
      <c r="E588" s="65"/>
      <c r="F588" s="66"/>
      <c r="G588" s="63"/>
      <c r="H588" s="67"/>
      <c r="I588" s="68"/>
      <c r="J588" s="68"/>
      <c r="K588" s="32"/>
      <c r="L588" s="75">
        <v>588</v>
      </c>
      <c r="M588" s="75"/>
      <c r="N588" s="70"/>
      <c r="O588" s="77" t="s">
        <v>179</v>
      </c>
      <c r="P588" s="79">
        <v>45012.948113425926</v>
      </c>
      <c r="Q588" s="77" t="s">
        <v>1871</v>
      </c>
      <c r="R588" s="77">
        <v>0</v>
      </c>
      <c r="S588" s="77">
        <v>0</v>
      </c>
      <c r="T588" s="77">
        <v>0</v>
      </c>
      <c r="U588" s="77">
        <v>0</v>
      </c>
      <c r="V588" s="77">
        <v>14</v>
      </c>
      <c r="W588" s="82" t="s">
        <v>5335</v>
      </c>
      <c r="X588" s="80" t="str">
        <f>HYPERLINK("https://www.freeclassificados.com/ads/saiba-como-trabalhar-com-e-ganhar-um-bom-dinheiro-com-codornas/")</f>
        <v>https://www.freeclassificados.com/ads/saiba-como-trabalhar-com-e-ganhar-um-bom-dinheiro-com-codornas/</v>
      </c>
      <c r="Y588" s="77" t="s">
        <v>7308</v>
      </c>
      <c r="Z588" s="77"/>
      <c r="AA588" s="77"/>
      <c r="AB588" s="77"/>
      <c r="AC588" s="82" t="s">
        <v>10155</v>
      </c>
      <c r="AD588" s="77" t="s">
        <v>10184</v>
      </c>
      <c r="AE588" s="80" t="str">
        <f>HYPERLINK("https://twitter.com/freeclassific/status/1640485168896180224")</f>
        <v>https://twitter.com/freeclassific/status/1640485168896180224</v>
      </c>
      <c r="AF588" s="79">
        <v>45012.948113425926</v>
      </c>
      <c r="AG588" s="85">
        <v>45012</v>
      </c>
      <c r="AH588" s="82" t="s">
        <v>10742</v>
      </c>
      <c r="AI588" s="77" t="b">
        <v>0</v>
      </c>
      <c r="AJ588" s="77"/>
      <c r="AK588" s="77"/>
      <c r="AL588" s="77"/>
      <c r="AM588" s="77"/>
      <c r="AN588" s="77"/>
      <c r="AO588" s="77"/>
      <c r="AP588" s="77"/>
      <c r="AQ588" s="77"/>
      <c r="AR588" s="77"/>
      <c r="AS588" s="77"/>
      <c r="AT588" s="77"/>
      <c r="AU588" s="77"/>
      <c r="AV588" s="80" t="str">
        <f>HYPERLINK("https://pbs.twimg.com/profile_images/1431648743728852993/tLJ7F5Lu_normal.png")</f>
        <v>https://pbs.twimg.com/profile_images/1431648743728852993/tLJ7F5Lu_normal.png</v>
      </c>
      <c r="AW588" s="82" t="s">
        <v>17361</v>
      </c>
      <c r="AX588" s="82" t="s">
        <v>17361</v>
      </c>
      <c r="AY588" s="77"/>
      <c r="AZ588" s="82" t="s">
        <v>20971</v>
      </c>
      <c r="BA588" s="82" t="s">
        <v>20971</v>
      </c>
      <c r="BB588" s="82" t="s">
        <v>20971</v>
      </c>
      <c r="BC588" s="82" t="s">
        <v>17361</v>
      </c>
      <c r="BD588" s="77">
        <v>489723814</v>
      </c>
      <c r="BE588" s="77"/>
      <c r="BF588" s="77"/>
      <c r="BG588" s="77"/>
      <c r="BH588" s="77"/>
      <c r="BI588" s="77"/>
    </row>
    <row r="589" spans="1:61" x14ac:dyDescent="0.25">
      <c r="A589" s="62" t="s">
        <v>418</v>
      </c>
      <c r="B589" s="62" t="s">
        <v>418</v>
      </c>
      <c r="C589" s="63"/>
      <c r="D589" s="64"/>
      <c r="E589" s="65"/>
      <c r="F589" s="66"/>
      <c r="G589" s="63"/>
      <c r="H589" s="67"/>
      <c r="I589" s="68"/>
      <c r="J589" s="68"/>
      <c r="K589" s="32"/>
      <c r="L589" s="75">
        <v>589</v>
      </c>
      <c r="M589" s="75"/>
      <c r="N589" s="70"/>
      <c r="O589" s="77" t="s">
        <v>179</v>
      </c>
      <c r="P589" s="79">
        <v>45012.945787037039</v>
      </c>
      <c r="Q589" s="77" t="s">
        <v>1872</v>
      </c>
      <c r="R589" s="77">
        <v>0</v>
      </c>
      <c r="S589" s="77">
        <v>0</v>
      </c>
      <c r="T589" s="77">
        <v>0</v>
      </c>
      <c r="U589" s="77">
        <v>0</v>
      </c>
      <c r="V589" s="77">
        <v>11</v>
      </c>
      <c r="W589" s="82" t="s">
        <v>5335</v>
      </c>
      <c r="X589" s="80" t="str">
        <f>HYPERLINK("https://www.freeclassificados.com/ads/o-guia-completo-para-lucrar-com-a-criacao-de-codornas/")</f>
        <v>https://www.freeclassificados.com/ads/o-guia-completo-para-lucrar-com-a-criacao-de-codornas/</v>
      </c>
      <c r="Y589" s="77" t="s">
        <v>7308</v>
      </c>
      <c r="Z589" s="77"/>
      <c r="AA589" s="77"/>
      <c r="AB589" s="77"/>
      <c r="AC589" s="82" t="s">
        <v>10155</v>
      </c>
      <c r="AD589" s="77" t="s">
        <v>10184</v>
      </c>
      <c r="AE589" s="80" t="str">
        <f>HYPERLINK("https://twitter.com/freeclassific/status/1640484327007084545")</f>
        <v>https://twitter.com/freeclassific/status/1640484327007084545</v>
      </c>
      <c r="AF589" s="79">
        <v>45012.945787037039</v>
      </c>
      <c r="AG589" s="85">
        <v>45012</v>
      </c>
      <c r="AH589" s="82" t="s">
        <v>10743</v>
      </c>
      <c r="AI589" s="77" t="b">
        <v>0</v>
      </c>
      <c r="AJ589" s="77"/>
      <c r="AK589" s="77"/>
      <c r="AL589" s="77"/>
      <c r="AM589" s="77"/>
      <c r="AN589" s="77"/>
      <c r="AO589" s="77"/>
      <c r="AP589" s="77"/>
      <c r="AQ589" s="77"/>
      <c r="AR589" s="77"/>
      <c r="AS589" s="77"/>
      <c r="AT589" s="77"/>
      <c r="AU589" s="77"/>
      <c r="AV589" s="80" t="str">
        <f>HYPERLINK("https://pbs.twimg.com/profile_images/1431648743728852993/tLJ7F5Lu_normal.png")</f>
        <v>https://pbs.twimg.com/profile_images/1431648743728852993/tLJ7F5Lu_normal.png</v>
      </c>
      <c r="AW589" s="82" t="s">
        <v>17362</v>
      </c>
      <c r="AX589" s="82" t="s">
        <v>17362</v>
      </c>
      <c r="AY589" s="77"/>
      <c r="AZ589" s="82" t="s">
        <v>20971</v>
      </c>
      <c r="BA589" s="82" t="s">
        <v>20971</v>
      </c>
      <c r="BB589" s="82" t="s">
        <v>20971</v>
      </c>
      <c r="BC589" s="82" t="s">
        <v>17362</v>
      </c>
      <c r="BD589" s="77">
        <v>489723814</v>
      </c>
      <c r="BE589" s="77"/>
      <c r="BF589" s="77"/>
      <c r="BG589" s="77"/>
      <c r="BH589" s="77"/>
      <c r="BI589" s="77"/>
    </row>
    <row r="590" spans="1:61" x14ac:dyDescent="0.25">
      <c r="A590" s="62" t="s">
        <v>418</v>
      </c>
      <c r="B590" s="62" t="s">
        <v>418</v>
      </c>
      <c r="C590" s="63"/>
      <c r="D590" s="64"/>
      <c r="E590" s="65"/>
      <c r="F590" s="66"/>
      <c r="G590" s="63"/>
      <c r="H590" s="67"/>
      <c r="I590" s="68"/>
      <c r="J590" s="68"/>
      <c r="K590" s="32"/>
      <c r="L590" s="75">
        <v>590</v>
      </c>
      <c r="M590" s="75"/>
      <c r="N590" s="70"/>
      <c r="O590" s="77" t="s">
        <v>179</v>
      </c>
      <c r="P590" s="79">
        <v>45012.811759259261</v>
      </c>
      <c r="Q590" s="77" t="s">
        <v>1873</v>
      </c>
      <c r="R590" s="77">
        <v>0</v>
      </c>
      <c r="S590" s="77">
        <v>0</v>
      </c>
      <c r="T590" s="77">
        <v>0</v>
      </c>
      <c r="U590" s="77">
        <v>0</v>
      </c>
      <c r="V590" s="77">
        <v>6</v>
      </c>
      <c r="W590" s="82" t="s">
        <v>5335</v>
      </c>
      <c r="X590" s="80" t="str">
        <f>HYPERLINK("https://www.freeclassificados.com/ads/the-vale-das-juntas-isolacao-termica/")</f>
        <v>https://www.freeclassificados.com/ads/the-vale-das-juntas-isolacao-termica/</v>
      </c>
      <c r="Y590" s="77" t="s">
        <v>7308</v>
      </c>
      <c r="Z590" s="77"/>
      <c r="AA590" s="77"/>
      <c r="AB590" s="77"/>
      <c r="AC590" s="82" t="s">
        <v>10155</v>
      </c>
      <c r="AD590" s="77" t="s">
        <v>10184</v>
      </c>
      <c r="AE590" s="80" t="str">
        <f>HYPERLINK("https://twitter.com/freeclassific/status/1640435753430966272")</f>
        <v>https://twitter.com/freeclassific/status/1640435753430966272</v>
      </c>
      <c r="AF590" s="79">
        <v>45012.811759259261</v>
      </c>
      <c r="AG590" s="85">
        <v>45012</v>
      </c>
      <c r="AH590" s="82" t="s">
        <v>10744</v>
      </c>
      <c r="AI590" s="77" t="b">
        <v>0</v>
      </c>
      <c r="AJ590" s="77"/>
      <c r="AK590" s="77"/>
      <c r="AL590" s="77"/>
      <c r="AM590" s="77"/>
      <c r="AN590" s="77"/>
      <c r="AO590" s="77"/>
      <c r="AP590" s="77"/>
      <c r="AQ590" s="77"/>
      <c r="AR590" s="77"/>
      <c r="AS590" s="77"/>
      <c r="AT590" s="77"/>
      <c r="AU590" s="77"/>
      <c r="AV590" s="80" t="str">
        <f>HYPERLINK("https://pbs.twimg.com/profile_images/1431648743728852993/tLJ7F5Lu_normal.png")</f>
        <v>https://pbs.twimg.com/profile_images/1431648743728852993/tLJ7F5Lu_normal.png</v>
      </c>
      <c r="AW590" s="82" t="s">
        <v>17363</v>
      </c>
      <c r="AX590" s="82" t="s">
        <v>17363</v>
      </c>
      <c r="AY590" s="77"/>
      <c r="AZ590" s="82" t="s">
        <v>20971</v>
      </c>
      <c r="BA590" s="82" t="s">
        <v>20971</v>
      </c>
      <c r="BB590" s="82" t="s">
        <v>20971</v>
      </c>
      <c r="BC590" s="82" t="s">
        <v>17363</v>
      </c>
      <c r="BD590" s="77">
        <v>489723814</v>
      </c>
      <c r="BE590" s="77"/>
      <c r="BF590" s="77"/>
      <c r="BG590" s="77"/>
      <c r="BH590" s="77"/>
      <c r="BI590" s="77"/>
    </row>
    <row r="591" spans="1:61" x14ac:dyDescent="0.25">
      <c r="A591" s="62" t="s">
        <v>418</v>
      </c>
      <c r="B591" s="62" t="s">
        <v>418</v>
      </c>
      <c r="C591" s="63"/>
      <c r="D591" s="64"/>
      <c r="E591" s="65"/>
      <c r="F591" s="66"/>
      <c r="G591" s="63"/>
      <c r="H591" s="67"/>
      <c r="I591" s="68"/>
      <c r="J591" s="68"/>
      <c r="K591" s="32"/>
      <c r="L591" s="75">
        <v>591</v>
      </c>
      <c r="M591" s="75"/>
      <c r="N591" s="70"/>
      <c r="O591" s="77" t="s">
        <v>179</v>
      </c>
      <c r="P591" s="79">
        <v>45012.733368055553</v>
      </c>
      <c r="Q591" s="77" t="s">
        <v>1874</v>
      </c>
      <c r="R591" s="77">
        <v>0</v>
      </c>
      <c r="S591" s="77">
        <v>0</v>
      </c>
      <c r="T591" s="77">
        <v>0</v>
      </c>
      <c r="U591" s="77">
        <v>0</v>
      </c>
      <c r="V591" s="77">
        <v>6</v>
      </c>
      <c r="W591" s="82" t="s">
        <v>5335</v>
      </c>
      <c r="X591" s="80" t="str">
        <f>HYPERLINK("https://www.freeclassificados.com/ads/sacos-kraft-personalizados/")</f>
        <v>https://www.freeclassificados.com/ads/sacos-kraft-personalizados/</v>
      </c>
      <c r="Y591" s="77" t="s">
        <v>7308</v>
      </c>
      <c r="Z591" s="77"/>
      <c r="AA591" s="77"/>
      <c r="AB591" s="77"/>
      <c r="AC591" s="82" t="s">
        <v>10155</v>
      </c>
      <c r="AD591" s="77" t="s">
        <v>10187</v>
      </c>
      <c r="AE591" s="80" t="str">
        <f>HYPERLINK("https://twitter.com/freeclassific/status/1640407345225408513")</f>
        <v>https://twitter.com/freeclassific/status/1640407345225408513</v>
      </c>
      <c r="AF591" s="79">
        <v>45012.733368055553</v>
      </c>
      <c r="AG591" s="85">
        <v>45012</v>
      </c>
      <c r="AH591" s="82" t="s">
        <v>10745</v>
      </c>
      <c r="AI591" s="77" t="b">
        <v>0</v>
      </c>
      <c r="AJ591" s="77"/>
      <c r="AK591" s="77"/>
      <c r="AL591" s="77"/>
      <c r="AM591" s="77"/>
      <c r="AN591" s="77"/>
      <c r="AO591" s="77"/>
      <c r="AP591" s="77"/>
      <c r="AQ591" s="77"/>
      <c r="AR591" s="77"/>
      <c r="AS591" s="77"/>
      <c r="AT591" s="77"/>
      <c r="AU591" s="77"/>
      <c r="AV591" s="80" t="str">
        <f>HYPERLINK("https://pbs.twimg.com/profile_images/1431648743728852993/tLJ7F5Lu_normal.png")</f>
        <v>https://pbs.twimg.com/profile_images/1431648743728852993/tLJ7F5Lu_normal.png</v>
      </c>
      <c r="AW591" s="82" t="s">
        <v>17364</v>
      </c>
      <c r="AX591" s="82" t="s">
        <v>17364</v>
      </c>
      <c r="AY591" s="77"/>
      <c r="AZ591" s="82" t="s">
        <v>20971</v>
      </c>
      <c r="BA591" s="82" t="s">
        <v>20971</v>
      </c>
      <c r="BB591" s="82" t="s">
        <v>20971</v>
      </c>
      <c r="BC591" s="82" t="s">
        <v>17364</v>
      </c>
      <c r="BD591" s="77">
        <v>489723814</v>
      </c>
      <c r="BE591" s="77"/>
      <c r="BF591" s="77"/>
      <c r="BG591" s="77"/>
      <c r="BH591" s="77"/>
      <c r="BI591" s="77"/>
    </row>
    <row r="592" spans="1:61" x14ac:dyDescent="0.25">
      <c r="A592" s="62" t="s">
        <v>418</v>
      </c>
      <c r="B592" s="62" t="s">
        <v>418</v>
      </c>
      <c r="C592" s="63"/>
      <c r="D592" s="64"/>
      <c r="E592" s="65"/>
      <c r="F592" s="66"/>
      <c r="G592" s="63"/>
      <c r="H592" s="67"/>
      <c r="I592" s="68"/>
      <c r="J592" s="68"/>
      <c r="K592" s="32"/>
      <c r="L592" s="75">
        <v>592</v>
      </c>
      <c r="M592" s="75"/>
      <c r="N592" s="70"/>
      <c r="O592" s="77" t="s">
        <v>179</v>
      </c>
      <c r="P592" s="79">
        <v>44985.845405092594</v>
      </c>
      <c r="Q592" s="77" t="s">
        <v>1875</v>
      </c>
      <c r="R592" s="77">
        <v>0</v>
      </c>
      <c r="S592" s="77">
        <v>0</v>
      </c>
      <c r="T592" s="77">
        <v>0</v>
      </c>
      <c r="U592" s="77">
        <v>0</v>
      </c>
      <c r="V592" s="77">
        <v>9</v>
      </c>
      <c r="W592" s="82" t="s">
        <v>5335</v>
      </c>
      <c r="X592" s="80" t="str">
        <f>HYPERLINK("https://www.freeclassificados.com/ads/portugal-negocios-e-investimentos-e-produtos/")</f>
        <v>https://www.freeclassificados.com/ads/portugal-negocios-e-investimentos-e-produtos/</v>
      </c>
      <c r="Y592" s="77" t="s">
        <v>7308</v>
      </c>
      <c r="Z592" s="77"/>
      <c r="AA592" s="77"/>
      <c r="AB592" s="77"/>
      <c r="AC592" s="82" t="s">
        <v>10155</v>
      </c>
      <c r="AD592" s="77" t="s">
        <v>10184</v>
      </c>
      <c r="AE592" s="80" t="str">
        <f>HYPERLINK("https://twitter.com/freeclassific/status/1630663474966568977")</f>
        <v>https://twitter.com/freeclassific/status/1630663474966568977</v>
      </c>
      <c r="AF592" s="79">
        <v>44985.845405092594</v>
      </c>
      <c r="AG592" s="85">
        <v>44985</v>
      </c>
      <c r="AH592" s="82" t="s">
        <v>10746</v>
      </c>
      <c r="AI592" s="77" t="b">
        <v>0</v>
      </c>
      <c r="AJ592" s="77"/>
      <c r="AK592" s="77"/>
      <c r="AL592" s="77"/>
      <c r="AM592" s="77"/>
      <c r="AN592" s="77"/>
      <c r="AO592" s="77"/>
      <c r="AP592" s="77"/>
      <c r="AQ592" s="77"/>
      <c r="AR592" s="77"/>
      <c r="AS592" s="77"/>
      <c r="AT592" s="77"/>
      <c r="AU592" s="77"/>
      <c r="AV592" s="80" t="str">
        <f>HYPERLINK("https://pbs.twimg.com/profile_images/1431648743728852993/tLJ7F5Lu_normal.png")</f>
        <v>https://pbs.twimg.com/profile_images/1431648743728852993/tLJ7F5Lu_normal.png</v>
      </c>
      <c r="AW592" s="82" t="s">
        <v>17365</v>
      </c>
      <c r="AX592" s="82" t="s">
        <v>17365</v>
      </c>
      <c r="AY592" s="77"/>
      <c r="AZ592" s="82" t="s">
        <v>20971</v>
      </c>
      <c r="BA592" s="82" t="s">
        <v>20971</v>
      </c>
      <c r="BB592" s="82" t="s">
        <v>20971</v>
      </c>
      <c r="BC592" s="82" t="s">
        <v>17365</v>
      </c>
      <c r="BD592" s="77">
        <v>489723814</v>
      </c>
      <c r="BE592" s="77"/>
      <c r="BF592" s="77"/>
      <c r="BG592" s="77"/>
      <c r="BH592" s="77"/>
      <c r="BI592" s="77"/>
    </row>
    <row r="593" spans="1:61" x14ac:dyDescent="0.25">
      <c r="A593" s="62" t="s">
        <v>418</v>
      </c>
      <c r="B593" s="62" t="s">
        <v>418</v>
      </c>
      <c r="C593" s="63"/>
      <c r="D593" s="64"/>
      <c r="E593" s="65"/>
      <c r="F593" s="66"/>
      <c r="G593" s="63"/>
      <c r="H593" s="67"/>
      <c r="I593" s="68"/>
      <c r="J593" s="68"/>
      <c r="K593" s="32"/>
      <c r="L593" s="75">
        <v>593</v>
      </c>
      <c r="M593" s="75"/>
      <c r="N593" s="70"/>
      <c r="O593" s="77" t="s">
        <v>179</v>
      </c>
      <c r="P593" s="79">
        <v>44985.167407407411</v>
      </c>
      <c r="Q593" s="77" t="s">
        <v>1876</v>
      </c>
      <c r="R593" s="77">
        <v>0</v>
      </c>
      <c r="S593" s="77">
        <v>0</v>
      </c>
      <c r="T593" s="77">
        <v>0</v>
      </c>
      <c r="U593" s="77">
        <v>0</v>
      </c>
      <c r="V593" s="77">
        <v>8</v>
      </c>
      <c r="W593" s="82" t="s">
        <v>5335</v>
      </c>
      <c r="X593" s="80" t="str">
        <f>HYPERLINK("https://www.freeclassificados.com/ads/saude-beleza-e-suplemento-sexuais/")</f>
        <v>https://www.freeclassificados.com/ads/saude-beleza-e-suplemento-sexuais/</v>
      </c>
      <c r="Y593" s="77" t="s">
        <v>7308</v>
      </c>
      <c r="Z593" s="77"/>
      <c r="AA593" s="77"/>
      <c r="AB593" s="77"/>
      <c r="AC593" s="82" t="s">
        <v>10155</v>
      </c>
      <c r="AD593" s="77" t="s">
        <v>10184</v>
      </c>
      <c r="AE593" s="80" t="str">
        <f>HYPERLINK("https://twitter.com/freeclassific/status/1630417778208555008")</f>
        <v>https://twitter.com/freeclassific/status/1630417778208555008</v>
      </c>
      <c r="AF593" s="79">
        <v>44985.167407407411</v>
      </c>
      <c r="AG593" s="85">
        <v>44985</v>
      </c>
      <c r="AH593" s="82" t="s">
        <v>10747</v>
      </c>
      <c r="AI593" s="77" t="b">
        <v>0</v>
      </c>
      <c r="AJ593" s="77"/>
      <c r="AK593" s="77"/>
      <c r="AL593" s="77"/>
      <c r="AM593" s="77"/>
      <c r="AN593" s="77"/>
      <c r="AO593" s="77"/>
      <c r="AP593" s="77"/>
      <c r="AQ593" s="77"/>
      <c r="AR593" s="77"/>
      <c r="AS593" s="77"/>
      <c r="AT593" s="77"/>
      <c r="AU593" s="77"/>
      <c r="AV593" s="80" t="str">
        <f>HYPERLINK("https://pbs.twimg.com/profile_images/1431648743728852993/tLJ7F5Lu_normal.png")</f>
        <v>https://pbs.twimg.com/profile_images/1431648743728852993/tLJ7F5Lu_normal.png</v>
      </c>
      <c r="AW593" s="82" t="s">
        <v>17366</v>
      </c>
      <c r="AX593" s="82" t="s">
        <v>17366</v>
      </c>
      <c r="AY593" s="77"/>
      <c r="AZ593" s="82" t="s">
        <v>20971</v>
      </c>
      <c r="BA593" s="82" t="s">
        <v>20971</v>
      </c>
      <c r="BB593" s="82" t="s">
        <v>20971</v>
      </c>
      <c r="BC593" s="82" t="s">
        <v>17366</v>
      </c>
      <c r="BD593" s="77">
        <v>489723814</v>
      </c>
      <c r="BE593" s="77"/>
      <c r="BF593" s="77"/>
      <c r="BG593" s="77"/>
      <c r="BH593" s="77"/>
      <c r="BI593" s="77"/>
    </row>
    <row r="594" spans="1:61" x14ac:dyDescent="0.25">
      <c r="A594" s="62" t="s">
        <v>418</v>
      </c>
      <c r="B594" s="62" t="s">
        <v>418</v>
      </c>
      <c r="C594" s="63"/>
      <c r="D594" s="64"/>
      <c r="E594" s="65"/>
      <c r="F594" s="66"/>
      <c r="G594" s="63"/>
      <c r="H594" s="67"/>
      <c r="I594" s="68"/>
      <c r="J594" s="68"/>
      <c r="K594" s="32"/>
      <c r="L594" s="75">
        <v>594</v>
      </c>
      <c r="M594" s="75"/>
      <c r="N594" s="70"/>
      <c r="O594" s="77" t="s">
        <v>179</v>
      </c>
      <c r="P594" s="79">
        <v>44984.792743055557</v>
      </c>
      <c r="Q594" s="77" t="s">
        <v>1877</v>
      </c>
      <c r="R594" s="77">
        <v>0</v>
      </c>
      <c r="S594" s="77">
        <v>0</v>
      </c>
      <c r="T594" s="77">
        <v>0</v>
      </c>
      <c r="U594" s="77">
        <v>0</v>
      </c>
      <c r="V594" s="77">
        <v>7</v>
      </c>
      <c r="W594" s="82" t="s">
        <v>5335</v>
      </c>
      <c r="X594" s="80" t="str">
        <f>HYPERLINK("https://www.freeclassificados.com/ads/palco-coberta-som-luz-alugo-palco-aluguel-tablado-de-vidro-palco-madeira-9-86-25-98-82/")</f>
        <v>https://www.freeclassificados.com/ads/palco-coberta-som-luz-alugo-palco-aluguel-tablado-de-vidro-palco-madeira-9-86-25-98-82/</v>
      </c>
      <c r="Y594" s="77" t="s">
        <v>7308</v>
      </c>
      <c r="Z594" s="77"/>
      <c r="AA594" s="77"/>
      <c r="AB594" s="77"/>
      <c r="AC594" s="82" t="s">
        <v>10155</v>
      </c>
      <c r="AD594" s="77" t="s">
        <v>10184</v>
      </c>
      <c r="AE594" s="80" t="str">
        <f>HYPERLINK("https://twitter.com/freeclassific/status/1630282003500113920")</f>
        <v>https://twitter.com/freeclassific/status/1630282003500113920</v>
      </c>
      <c r="AF594" s="79">
        <v>44984.792743055557</v>
      </c>
      <c r="AG594" s="85">
        <v>44984</v>
      </c>
      <c r="AH594" s="82" t="s">
        <v>10748</v>
      </c>
      <c r="AI594" s="77" t="b">
        <v>0</v>
      </c>
      <c r="AJ594" s="77"/>
      <c r="AK594" s="77"/>
      <c r="AL594" s="77"/>
      <c r="AM594" s="77"/>
      <c r="AN594" s="77"/>
      <c r="AO594" s="77"/>
      <c r="AP594" s="77"/>
      <c r="AQ594" s="77"/>
      <c r="AR594" s="77"/>
      <c r="AS594" s="77"/>
      <c r="AT594" s="77"/>
      <c r="AU594" s="77"/>
      <c r="AV594" s="80" t="str">
        <f>HYPERLINK("https://pbs.twimg.com/profile_images/1431648743728852993/tLJ7F5Lu_normal.png")</f>
        <v>https://pbs.twimg.com/profile_images/1431648743728852993/tLJ7F5Lu_normal.png</v>
      </c>
      <c r="AW594" s="82" t="s">
        <v>17367</v>
      </c>
      <c r="AX594" s="82" t="s">
        <v>17367</v>
      </c>
      <c r="AY594" s="77"/>
      <c r="AZ594" s="82" t="s">
        <v>20971</v>
      </c>
      <c r="BA594" s="82" t="s">
        <v>20971</v>
      </c>
      <c r="BB594" s="82" t="s">
        <v>20971</v>
      </c>
      <c r="BC594" s="82" t="s">
        <v>17367</v>
      </c>
      <c r="BD594" s="77">
        <v>489723814</v>
      </c>
      <c r="BE594" s="77"/>
      <c r="BF594" s="77"/>
      <c r="BG594" s="77"/>
      <c r="BH594" s="77"/>
      <c r="BI594" s="77"/>
    </row>
    <row r="595" spans="1:61" x14ac:dyDescent="0.25">
      <c r="A595" s="62" t="s">
        <v>418</v>
      </c>
      <c r="B595" s="62" t="s">
        <v>418</v>
      </c>
      <c r="C595" s="63"/>
      <c r="D595" s="64"/>
      <c r="E595" s="65"/>
      <c r="F595" s="66"/>
      <c r="G595" s="63"/>
      <c r="H595" s="67"/>
      <c r="I595" s="68"/>
      <c r="J595" s="68"/>
      <c r="K595" s="32"/>
      <c r="L595" s="75">
        <v>595</v>
      </c>
      <c r="M595" s="75"/>
      <c r="N595" s="70"/>
      <c r="O595" s="77" t="s">
        <v>179</v>
      </c>
      <c r="P595" s="79">
        <v>44984.765694444446</v>
      </c>
      <c r="Q595" s="77" t="s">
        <v>1878</v>
      </c>
      <c r="R595" s="77">
        <v>0</v>
      </c>
      <c r="S595" s="77">
        <v>0</v>
      </c>
      <c r="T595" s="77">
        <v>0</v>
      </c>
      <c r="U595" s="77">
        <v>0</v>
      </c>
      <c r="V595" s="77">
        <v>12</v>
      </c>
      <c r="W595" s="82" t="s">
        <v>5335</v>
      </c>
      <c r="X595" s="80" t="str">
        <f>HYPERLINK("https://www.freeclassificados.com/ads/detetive-particular-em-santo-andre-sp/")</f>
        <v>https://www.freeclassificados.com/ads/detetive-particular-em-santo-andre-sp/</v>
      </c>
      <c r="Y595" s="77" t="s">
        <v>7308</v>
      </c>
      <c r="Z595" s="77"/>
      <c r="AA595" s="77"/>
      <c r="AB595" s="77"/>
      <c r="AC595" s="82" t="s">
        <v>10155</v>
      </c>
      <c r="AD595" s="77" t="s">
        <v>10184</v>
      </c>
      <c r="AE595" s="80" t="str">
        <f>HYPERLINK("https://twitter.com/freeclassific/status/1630272203425185792")</f>
        <v>https://twitter.com/freeclassific/status/1630272203425185792</v>
      </c>
      <c r="AF595" s="79">
        <v>44984.765694444446</v>
      </c>
      <c r="AG595" s="85">
        <v>44984</v>
      </c>
      <c r="AH595" s="82" t="s">
        <v>10749</v>
      </c>
      <c r="AI595" s="77" t="b">
        <v>0</v>
      </c>
      <c r="AJ595" s="77"/>
      <c r="AK595" s="77"/>
      <c r="AL595" s="77"/>
      <c r="AM595" s="77"/>
      <c r="AN595" s="77"/>
      <c r="AO595" s="77"/>
      <c r="AP595" s="77"/>
      <c r="AQ595" s="77"/>
      <c r="AR595" s="77"/>
      <c r="AS595" s="77"/>
      <c r="AT595" s="77"/>
      <c r="AU595" s="77"/>
      <c r="AV595" s="80" t="str">
        <f>HYPERLINK("https://pbs.twimg.com/profile_images/1431648743728852993/tLJ7F5Lu_normal.png")</f>
        <v>https://pbs.twimg.com/profile_images/1431648743728852993/tLJ7F5Lu_normal.png</v>
      </c>
      <c r="AW595" s="82" t="s">
        <v>17368</v>
      </c>
      <c r="AX595" s="82" t="s">
        <v>17368</v>
      </c>
      <c r="AY595" s="77"/>
      <c r="AZ595" s="82" t="s">
        <v>20971</v>
      </c>
      <c r="BA595" s="82" t="s">
        <v>20971</v>
      </c>
      <c r="BB595" s="82" t="s">
        <v>20971</v>
      </c>
      <c r="BC595" s="82" t="s">
        <v>17368</v>
      </c>
      <c r="BD595" s="77">
        <v>489723814</v>
      </c>
      <c r="BE595" s="77"/>
      <c r="BF595" s="77"/>
      <c r="BG595" s="77"/>
      <c r="BH595" s="77"/>
      <c r="BI595" s="77"/>
    </row>
    <row r="596" spans="1:61" x14ac:dyDescent="0.25">
      <c r="A596" s="62" t="s">
        <v>418</v>
      </c>
      <c r="B596" s="62" t="s">
        <v>418</v>
      </c>
      <c r="C596" s="63"/>
      <c r="D596" s="64"/>
      <c r="E596" s="65"/>
      <c r="F596" s="66"/>
      <c r="G596" s="63"/>
      <c r="H596" s="67"/>
      <c r="I596" s="68"/>
      <c r="J596" s="68"/>
      <c r="K596" s="32"/>
      <c r="L596" s="75">
        <v>596</v>
      </c>
      <c r="M596" s="75"/>
      <c r="N596" s="70"/>
      <c r="O596" s="77" t="s">
        <v>179</v>
      </c>
      <c r="P596" s="79">
        <v>44981.019155092596</v>
      </c>
      <c r="Q596" s="77" t="s">
        <v>1879</v>
      </c>
      <c r="R596" s="77">
        <v>0</v>
      </c>
      <c r="S596" s="77">
        <v>0</v>
      </c>
      <c r="T596" s="77">
        <v>0</v>
      </c>
      <c r="U596" s="77">
        <v>0</v>
      </c>
      <c r="V596" s="77">
        <v>7</v>
      </c>
      <c r="W596" s="82" t="s">
        <v>5335</v>
      </c>
      <c r="X596" s="80" t="str">
        <f>HYPERLINK("https://www.freeclassificados.com/ads/como-fazer-a-sua-propria-horta-organica-em-casa-sem-precisar-de-muito-espaco/")</f>
        <v>https://www.freeclassificados.com/ads/como-fazer-a-sua-propria-horta-organica-em-casa-sem-precisar-de-muito-espaco/</v>
      </c>
      <c r="Y596" s="77" t="s">
        <v>7308</v>
      </c>
      <c r="Z596" s="77"/>
      <c r="AA596" s="77"/>
      <c r="AB596" s="77"/>
      <c r="AC596" s="82" t="s">
        <v>10155</v>
      </c>
      <c r="AD596" s="77" t="s">
        <v>10184</v>
      </c>
      <c r="AE596" s="80" t="str">
        <f>HYPERLINK("https://twitter.com/freeclassific/status/1628914502560546818")</f>
        <v>https://twitter.com/freeclassific/status/1628914502560546818</v>
      </c>
      <c r="AF596" s="79">
        <v>44981.019155092596</v>
      </c>
      <c r="AG596" s="85">
        <v>44981</v>
      </c>
      <c r="AH596" s="82" t="s">
        <v>10750</v>
      </c>
      <c r="AI596" s="77" t="b">
        <v>0</v>
      </c>
      <c r="AJ596" s="77"/>
      <c r="AK596" s="77"/>
      <c r="AL596" s="77"/>
      <c r="AM596" s="77"/>
      <c r="AN596" s="77"/>
      <c r="AO596" s="77"/>
      <c r="AP596" s="77"/>
      <c r="AQ596" s="77"/>
      <c r="AR596" s="77"/>
      <c r="AS596" s="77"/>
      <c r="AT596" s="77"/>
      <c r="AU596" s="77"/>
      <c r="AV596" s="80" t="str">
        <f>HYPERLINK("https://pbs.twimg.com/profile_images/1431648743728852993/tLJ7F5Lu_normal.png")</f>
        <v>https://pbs.twimg.com/profile_images/1431648743728852993/tLJ7F5Lu_normal.png</v>
      </c>
      <c r="AW596" s="82" t="s">
        <v>17369</v>
      </c>
      <c r="AX596" s="82" t="s">
        <v>17369</v>
      </c>
      <c r="AY596" s="77"/>
      <c r="AZ596" s="82" t="s">
        <v>20971</v>
      </c>
      <c r="BA596" s="82" t="s">
        <v>20971</v>
      </c>
      <c r="BB596" s="82" t="s">
        <v>20971</v>
      </c>
      <c r="BC596" s="82" t="s">
        <v>17369</v>
      </c>
      <c r="BD596" s="77">
        <v>489723814</v>
      </c>
      <c r="BE596" s="77"/>
      <c r="BF596" s="77"/>
      <c r="BG596" s="77"/>
      <c r="BH596" s="77"/>
      <c r="BI596" s="77"/>
    </row>
    <row r="597" spans="1:61" x14ac:dyDescent="0.25">
      <c r="A597" s="62" t="s">
        <v>418</v>
      </c>
      <c r="B597" s="62" t="s">
        <v>418</v>
      </c>
      <c r="C597" s="63"/>
      <c r="D597" s="64"/>
      <c r="E597" s="65"/>
      <c r="F597" s="66"/>
      <c r="G597" s="63"/>
      <c r="H597" s="67"/>
      <c r="I597" s="68"/>
      <c r="J597" s="68"/>
      <c r="K597" s="32"/>
      <c r="L597" s="75">
        <v>597</v>
      </c>
      <c r="M597" s="75"/>
      <c r="N597" s="70"/>
      <c r="O597" s="77" t="s">
        <v>179</v>
      </c>
      <c r="P597" s="79">
        <v>44980.603634259256</v>
      </c>
      <c r="Q597" s="77" t="s">
        <v>1880</v>
      </c>
      <c r="R597" s="77">
        <v>0</v>
      </c>
      <c r="S597" s="77">
        <v>0</v>
      </c>
      <c r="T597" s="77">
        <v>0</v>
      </c>
      <c r="U597" s="77">
        <v>0</v>
      </c>
      <c r="V597" s="77">
        <v>6</v>
      </c>
      <c r="W597" s="82" t="s">
        <v>5335</v>
      </c>
      <c r="X597" s="80" t="str">
        <f>HYPERLINK("https://www.freeclassificados.com/ads/varais-de-todos-os-modelos/")</f>
        <v>https://www.freeclassificados.com/ads/varais-de-todos-os-modelos/</v>
      </c>
      <c r="Y597" s="77" t="s">
        <v>7308</v>
      </c>
      <c r="Z597" s="77"/>
      <c r="AA597" s="77"/>
      <c r="AB597" s="77"/>
      <c r="AC597" s="82" t="s">
        <v>10155</v>
      </c>
      <c r="AD597" s="77" t="s">
        <v>10184</v>
      </c>
      <c r="AE597" s="80" t="str">
        <f>HYPERLINK("https://twitter.com/freeclassific/status/1628763919857881088")</f>
        <v>https://twitter.com/freeclassific/status/1628763919857881088</v>
      </c>
      <c r="AF597" s="79">
        <v>44980.603634259256</v>
      </c>
      <c r="AG597" s="85">
        <v>44980</v>
      </c>
      <c r="AH597" s="82" t="s">
        <v>10751</v>
      </c>
      <c r="AI597" s="77" t="b">
        <v>0</v>
      </c>
      <c r="AJ597" s="77"/>
      <c r="AK597" s="77"/>
      <c r="AL597" s="77"/>
      <c r="AM597" s="77"/>
      <c r="AN597" s="77"/>
      <c r="AO597" s="77"/>
      <c r="AP597" s="77"/>
      <c r="AQ597" s="77"/>
      <c r="AR597" s="77"/>
      <c r="AS597" s="77"/>
      <c r="AT597" s="77"/>
      <c r="AU597" s="77"/>
      <c r="AV597" s="80" t="str">
        <f>HYPERLINK("https://pbs.twimg.com/profile_images/1431648743728852993/tLJ7F5Lu_normal.png")</f>
        <v>https://pbs.twimg.com/profile_images/1431648743728852993/tLJ7F5Lu_normal.png</v>
      </c>
      <c r="AW597" s="82" t="s">
        <v>17370</v>
      </c>
      <c r="AX597" s="82" t="s">
        <v>17370</v>
      </c>
      <c r="AY597" s="77"/>
      <c r="AZ597" s="82" t="s">
        <v>20971</v>
      </c>
      <c r="BA597" s="82" t="s">
        <v>20971</v>
      </c>
      <c r="BB597" s="82" t="s">
        <v>20971</v>
      </c>
      <c r="BC597" s="82" t="s">
        <v>17370</v>
      </c>
      <c r="BD597" s="77">
        <v>489723814</v>
      </c>
      <c r="BE597" s="77"/>
      <c r="BF597" s="77"/>
      <c r="BG597" s="77"/>
      <c r="BH597" s="77"/>
      <c r="BI597" s="77"/>
    </row>
    <row r="598" spans="1:61" x14ac:dyDescent="0.25">
      <c r="A598" s="62" t="s">
        <v>418</v>
      </c>
      <c r="B598" s="62" t="s">
        <v>418</v>
      </c>
      <c r="C598" s="63"/>
      <c r="D598" s="64"/>
      <c r="E598" s="65"/>
      <c r="F598" s="66"/>
      <c r="G598" s="63"/>
      <c r="H598" s="67"/>
      <c r="I598" s="68"/>
      <c r="J598" s="68"/>
      <c r="K598" s="32"/>
      <c r="L598" s="75">
        <v>598</v>
      </c>
      <c r="M598" s="75"/>
      <c r="N598" s="70"/>
      <c r="O598" s="77" t="s">
        <v>179</v>
      </c>
      <c r="P598" s="79">
        <v>44980.532627314817</v>
      </c>
      <c r="Q598" s="77" t="s">
        <v>1881</v>
      </c>
      <c r="R598" s="77">
        <v>0</v>
      </c>
      <c r="S598" s="77">
        <v>0</v>
      </c>
      <c r="T598" s="77">
        <v>0</v>
      </c>
      <c r="U598" s="77">
        <v>0</v>
      </c>
      <c r="V598" s="77">
        <v>11</v>
      </c>
      <c r="W598" s="82" t="s">
        <v>5335</v>
      </c>
      <c r="X598" s="80" t="str">
        <f>HYPERLINK("https://www.freeclassificados.com/ads/vendo-diplomas-universitarios/")</f>
        <v>https://www.freeclassificados.com/ads/vendo-diplomas-universitarios/</v>
      </c>
      <c r="Y598" s="77" t="s">
        <v>7308</v>
      </c>
      <c r="Z598" s="77"/>
      <c r="AA598" s="77"/>
      <c r="AB598" s="77"/>
      <c r="AC598" s="82" t="s">
        <v>10155</v>
      </c>
      <c r="AD598" s="77" t="s">
        <v>10184</v>
      </c>
      <c r="AE598" s="80" t="str">
        <f>HYPERLINK("https://twitter.com/freeclassific/status/1628738188582993921")</f>
        <v>https://twitter.com/freeclassific/status/1628738188582993921</v>
      </c>
      <c r="AF598" s="79">
        <v>44980.532627314817</v>
      </c>
      <c r="AG598" s="85">
        <v>44980</v>
      </c>
      <c r="AH598" s="82" t="s">
        <v>10752</v>
      </c>
      <c r="AI598" s="77" t="b">
        <v>0</v>
      </c>
      <c r="AJ598" s="77"/>
      <c r="AK598" s="77"/>
      <c r="AL598" s="77"/>
      <c r="AM598" s="77"/>
      <c r="AN598" s="77"/>
      <c r="AO598" s="77"/>
      <c r="AP598" s="77"/>
      <c r="AQ598" s="77"/>
      <c r="AR598" s="77"/>
      <c r="AS598" s="77"/>
      <c r="AT598" s="77"/>
      <c r="AU598" s="77"/>
      <c r="AV598" s="80" t="str">
        <f>HYPERLINK("https://pbs.twimg.com/profile_images/1431648743728852993/tLJ7F5Lu_normal.png")</f>
        <v>https://pbs.twimg.com/profile_images/1431648743728852993/tLJ7F5Lu_normal.png</v>
      </c>
      <c r="AW598" s="82" t="s">
        <v>17371</v>
      </c>
      <c r="AX598" s="82" t="s">
        <v>17371</v>
      </c>
      <c r="AY598" s="77"/>
      <c r="AZ598" s="82" t="s">
        <v>20971</v>
      </c>
      <c r="BA598" s="82" t="s">
        <v>20971</v>
      </c>
      <c r="BB598" s="82" t="s">
        <v>20971</v>
      </c>
      <c r="BC598" s="82" t="s">
        <v>17371</v>
      </c>
      <c r="BD598" s="77">
        <v>489723814</v>
      </c>
      <c r="BE598" s="77"/>
      <c r="BF598" s="77"/>
      <c r="BG598" s="77"/>
      <c r="BH598" s="77"/>
      <c r="BI598" s="77"/>
    </row>
    <row r="599" spans="1:61" x14ac:dyDescent="0.25">
      <c r="A599" s="62" t="s">
        <v>418</v>
      </c>
      <c r="B599" s="62" t="s">
        <v>418</v>
      </c>
      <c r="C599" s="63"/>
      <c r="D599" s="64"/>
      <c r="E599" s="65"/>
      <c r="F599" s="66"/>
      <c r="G599" s="63"/>
      <c r="H599" s="67"/>
      <c r="I599" s="68"/>
      <c r="J599" s="68"/>
      <c r="K599" s="32"/>
      <c r="L599" s="75">
        <v>599</v>
      </c>
      <c r="M599" s="75"/>
      <c r="N599" s="70"/>
      <c r="O599" s="77" t="s">
        <v>179</v>
      </c>
      <c r="P599" s="79">
        <v>44979.752187500002</v>
      </c>
      <c r="Q599" s="77" t="s">
        <v>1882</v>
      </c>
      <c r="R599" s="77">
        <v>0</v>
      </c>
      <c r="S599" s="77">
        <v>0</v>
      </c>
      <c r="T599" s="77">
        <v>0</v>
      </c>
      <c r="U599" s="77">
        <v>0</v>
      </c>
      <c r="V599" s="77">
        <v>8</v>
      </c>
      <c r="W599" s="82" t="s">
        <v>5335</v>
      </c>
      <c r="X599" s="80" t="str">
        <f>HYPERLINK("https://www.freeclassificados.com/ads/site-promocional-pagseguro/")</f>
        <v>https://www.freeclassificados.com/ads/site-promocional-pagseguro/</v>
      </c>
      <c r="Y599" s="77" t="s">
        <v>7308</v>
      </c>
      <c r="Z599" s="77"/>
      <c r="AA599" s="77"/>
      <c r="AB599" s="77"/>
      <c r="AC599" s="82" t="s">
        <v>10155</v>
      </c>
      <c r="AD599" s="77" t="s">
        <v>10187</v>
      </c>
      <c r="AE599" s="80" t="str">
        <f>HYPERLINK("https://twitter.com/freeclassific/status/1628455367108878337")</f>
        <v>https://twitter.com/freeclassific/status/1628455367108878337</v>
      </c>
      <c r="AF599" s="79">
        <v>44979.752187500002</v>
      </c>
      <c r="AG599" s="85">
        <v>44979</v>
      </c>
      <c r="AH599" s="82" t="s">
        <v>10753</v>
      </c>
      <c r="AI599" s="77" t="b">
        <v>0</v>
      </c>
      <c r="AJ599" s="77"/>
      <c r="AK599" s="77"/>
      <c r="AL599" s="77"/>
      <c r="AM599" s="77"/>
      <c r="AN599" s="77"/>
      <c r="AO599" s="77"/>
      <c r="AP599" s="77"/>
      <c r="AQ599" s="77"/>
      <c r="AR599" s="77"/>
      <c r="AS599" s="77"/>
      <c r="AT599" s="77"/>
      <c r="AU599" s="77"/>
      <c r="AV599" s="80" t="str">
        <f>HYPERLINK("https://pbs.twimg.com/profile_images/1431648743728852993/tLJ7F5Lu_normal.png")</f>
        <v>https://pbs.twimg.com/profile_images/1431648743728852993/tLJ7F5Lu_normal.png</v>
      </c>
      <c r="AW599" s="82" t="s">
        <v>17372</v>
      </c>
      <c r="AX599" s="82" t="s">
        <v>17372</v>
      </c>
      <c r="AY599" s="77"/>
      <c r="AZ599" s="82" t="s">
        <v>20971</v>
      </c>
      <c r="BA599" s="82" t="s">
        <v>20971</v>
      </c>
      <c r="BB599" s="82" t="s">
        <v>20971</v>
      </c>
      <c r="BC599" s="82" t="s">
        <v>17372</v>
      </c>
      <c r="BD599" s="77">
        <v>489723814</v>
      </c>
      <c r="BE599" s="77"/>
      <c r="BF599" s="77"/>
      <c r="BG599" s="77"/>
      <c r="BH599" s="77"/>
      <c r="BI599" s="77"/>
    </row>
    <row r="600" spans="1:61" x14ac:dyDescent="0.25">
      <c r="A600" s="62" t="s">
        <v>418</v>
      </c>
      <c r="B600" s="62" t="s">
        <v>418</v>
      </c>
      <c r="C600" s="63"/>
      <c r="D600" s="64"/>
      <c r="E600" s="65"/>
      <c r="F600" s="66"/>
      <c r="G600" s="63"/>
      <c r="H600" s="67"/>
      <c r="I600" s="68"/>
      <c r="J600" s="68"/>
      <c r="K600" s="32"/>
      <c r="L600" s="75">
        <v>600</v>
      </c>
      <c r="M600" s="75"/>
      <c r="N600" s="70"/>
      <c r="O600" s="77" t="s">
        <v>179</v>
      </c>
      <c r="P600" s="79">
        <v>44979.674050925925</v>
      </c>
      <c r="Q600" s="77" t="s">
        <v>1883</v>
      </c>
      <c r="R600" s="77">
        <v>0</v>
      </c>
      <c r="S600" s="77">
        <v>0</v>
      </c>
      <c r="T600" s="77">
        <v>0</v>
      </c>
      <c r="U600" s="77">
        <v>0</v>
      </c>
      <c r="V600" s="77">
        <v>10</v>
      </c>
      <c r="W600" s="82" t="s">
        <v>5335</v>
      </c>
      <c r="X600" s="80" t="str">
        <f>HYPERLINK("https://www.freeclassificados.com/ads/melhor-comissao/")</f>
        <v>https://www.freeclassificados.com/ads/melhor-comissao/</v>
      </c>
      <c r="Y600" s="77" t="s">
        <v>7308</v>
      </c>
      <c r="Z600" s="77"/>
      <c r="AA600" s="77"/>
      <c r="AB600" s="77"/>
      <c r="AC600" s="82" t="s">
        <v>10155</v>
      </c>
      <c r="AD600" s="77" t="s">
        <v>10184</v>
      </c>
      <c r="AE600" s="80" t="str">
        <f>HYPERLINK("https://twitter.com/freeclassific/status/1628427050922176512")</f>
        <v>https://twitter.com/freeclassific/status/1628427050922176512</v>
      </c>
      <c r="AF600" s="79">
        <v>44979.674050925925</v>
      </c>
      <c r="AG600" s="85">
        <v>44979</v>
      </c>
      <c r="AH600" s="82" t="s">
        <v>10754</v>
      </c>
      <c r="AI600" s="77" t="b">
        <v>0</v>
      </c>
      <c r="AJ600" s="77"/>
      <c r="AK600" s="77"/>
      <c r="AL600" s="77"/>
      <c r="AM600" s="77"/>
      <c r="AN600" s="77"/>
      <c r="AO600" s="77"/>
      <c r="AP600" s="77"/>
      <c r="AQ600" s="77"/>
      <c r="AR600" s="77"/>
      <c r="AS600" s="77"/>
      <c r="AT600" s="77"/>
      <c r="AU600" s="77"/>
      <c r="AV600" s="80" t="str">
        <f>HYPERLINK("https://pbs.twimg.com/profile_images/1431648743728852993/tLJ7F5Lu_normal.png")</f>
        <v>https://pbs.twimg.com/profile_images/1431648743728852993/tLJ7F5Lu_normal.png</v>
      </c>
      <c r="AW600" s="82" t="s">
        <v>17373</v>
      </c>
      <c r="AX600" s="82" t="s">
        <v>17373</v>
      </c>
      <c r="AY600" s="77"/>
      <c r="AZ600" s="82" t="s">
        <v>20971</v>
      </c>
      <c r="BA600" s="82" t="s">
        <v>20971</v>
      </c>
      <c r="BB600" s="82" t="s">
        <v>20971</v>
      </c>
      <c r="BC600" s="82" t="s">
        <v>17373</v>
      </c>
      <c r="BD600" s="77">
        <v>489723814</v>
      </c>
      <c r="BE600" s="77"/>
      <c r="BF600" s="77"/>
      <c r="BG600" s="77"/>
      <c r="BH600" s="77"/>
      <c r="BI600" s="77"/>
    </row>
    <row r="601" spans="1:61" x14ac:dyDescent="0.25">
      <c r="A601" s="62" t="s">
        <v>418</v>
      </c>
      <c r="B601" s="62" t="s">
        <v>418</v>
      </c>
      <c r="C601" s="63"/>
      <c r="D601" s="64"/>
      <c r="E601" s="65"/>
      <c r="F601" s="66"/>
      <c r="G601" s="63"/>
      <c r="H601" s="67"/>
      <c r="I601" s="68"/>
      <c r="J601" s="68"/>
      <c r="K601" s="32"/>
      <c r="L601" s="75">
        <v>601</v>
      </c>
      <c r="M601" s="75"/>
      <c r="N601" s="70"/>
      <c r="O601" s="77" t="s">
        <v>179</v>
      </c>
      <c r="P601" s="79">
        <v>44979.09746527778</v>
      </c>
      <c r="Q601" s="77" t="s">
        <v>1884</v>
      </c>
      <c r="R601" s="77">
        <v>0</v>
      </c>
      <c r="S601" s="77">
        <v>0</v>
      </c>
      <c r="T601" s="77">
        <v>0</v>
      </c>
      <c r="U601" s="77">
        <v>0</v>
      </c>
      <c r="V601" s="77">
        <v>14</v>
      </c>
      <c r="W601" s="82" t="s">
        <v>5335</v>
      </c>
      <c r="X601" s="80" t="str">
        <f>HYPERLINK("https://www.freeclassificados.com/ads/como-comprar-bijuterias-no-atacado-e-direto-da-fabrica-para-revender-no-varejo/")</f>
        <v>https://www.freeclassificados.com/ads/como-comprar-bijuterias-no-atacado-e-direto-da-fabrica-para-revender-no-varejo/</v>
      </c>
      <c r="Y601" s="77" t="s">
        <v>7308</v>
      </c>
      <c r="Z601" s="77"/>
      <c r="AA601" s="77"/>
      <c r="AB601" s="77"/>
      <c r="AC601" s="82" t="s">
        <v>10155</v>
      </c>
      <c r="AD601" s="77" t="s">
        <v>10184</v>
      </c>
      <c r="AE601" s="80" t="str">
        <f>HYPERLINK("https://twitter.com/freeclassific/status/1628218106081591296")</f>
        <v>https://twitter.com/freeclassific/status/1628218106081591296</v>
      </c>
      <c r="AF601" s="79">
        <v>44979.09746527778</v>
      </c>
      <c r="AG601" s="85">
        <v>44979</v>
      </c>
      <c r="AH601" s="82" t="s">
        <v>10755</v>
      </c>
      <c r="AI601" s="77" t="b">
        <v>0</v>
      </c>
      <c r="AJ601" s="77"/>
      <c r="AK601" s="77"/>
      <c r="AL601" s="77"/>
      <c r="AM601" s="77"/>
      <c r="AN601" s="77"/>
      <c r="AO601" s="77"/>
      <c r="AP601" s="77"/>
      <c r="AQ601" s="77"/>
      <c r="AR601" s="77"/>
      <c r="AS601" s="77"/>
      <c r="AT601" s="77"/>
      <c r="AU601" s="77"/>
      <c r="AV601" s="80" t="str">
        <f>HYPERLINK("https://pbs.twimg.com/profile_images/1431648743728852993/tLJ7F5Lu_normal.png")</f>
        <v>https://pbs.twimg.com/profile_images/1431648743728852993/tLJ7F5Lu_normal.png</v>
      </c>
      <c r="AW601" s="82" t="s">
        <v>17374</v>
      </c>
      <c r="AX601" s="82" t="s">
        <v>17374</v>
      </c>
      <c r="AY601" s="77"/>
      <c r="AZ601" s="82" t="s">
        <v>20971</v>
      </c>
      <c r="BA601" s="82" t="s">
        <v>20971</v>
      </c>
      <c r="BB601" s="82" t="s">
        <v>20971</v>
      </c>
      <c r="BC601" s="82" t="s">
        <v>17374</v>
      </c>
      <c r="BD601" s="77">
        <v>489723814</v>
      </c>
      <c r="BE601" s="77"/>
      <c r="BF601" s="77"/>
      <c r="BG601" s="77"/>
      <c r="BH601" s="77"/>
      <c r="BI601" s="77"/>
    </row>
    <row r="602" spans="1:61" x14ac:dyDescent="0.25">
      <c r="A602" s="62" t="s">
        <v>418</v>
      </c>
      <c r="B602" s="62" t="s">
        <v>418</v>
      </c>
      <c r="C602" s="63"/>
      <c r="D602" s="64"/>
      <c r="E602" s="65"/>
      <c r="F602" s="66"/>
      <c r="G602" s="63"/>
      <c r="H602" s="67"/>
      <c r="I602" s="68"/>
      <c r="J602" s="68"/>
      <c r="K602" s="32"/>
      <c r="L602" s="75">
        <v>602</v>
      </c>
      <c r="M602" s="75"/>
      <c r="N602" s="70"/>
      <c r="O602" s="77" t="s">
        <v>179</v>
      </c>
      <c r="P602" s="79">
        <v>44979.096030092594</v>
      </c>
      <c r="Q602" s="77" t="s">
        <v>1885</v>
      </c>
      <c r="R602" s="77">
        <v>0</v>
      </c>
      <c r="S602" s="77">
        <v>0</v>
      </c>
      <c r="T602" s="77">
        <v>0</v>
      </c>
      <c r="U602" s="77">
        <v>0</v>
      </c>
      <c r="V602" s="77">
        <v>29</v>
      </c>
      <c r="W602" s="82" t="s">
        <v>5335</v>
      </c>
      <c r="X602" s="80" t="str">
        <f>HYPERLINK("https://www.freeclassificados.com/ads/como-ganhar-dinheiro-em-casa-com-o-programa-de-afiliados-da-imagem-folheados-e-gratuito/")</f>
        <v>https://www.freeclassificados.com/ads/como-ganhar-dinheiro-em-casa-com-o-programa-de-afiliados-da-imagem-folheados-e-gratuito/</v>
      </c>
      <c r="Y602" s="77" t="s">
        <v>7308</v>
      </c>
      <c r="Z602" s="77"/>
      <c r="AA602" s="77"/>
      <c r="AB602" s="77"/>
      <c r="AC602" s="82" t="s">
        <v>10155</v>
      </c>
      <c r="AD602" s="77" t="s">
        <v>10184</v>
      </c>
      <c r="AE602" s="80" t="str">
        <f>HYPERLINK("https://twitter.com/freeclassific/status/1628217584922533889")</f>
        <v>https://twitter.com/freeclassific/status/1628217584922533889</v>
      </c>
      <c r="AF602" s="79">
        <v>44979.096030092594</v>
      </c>
      <c r="AG602" s="85">
        <v>44979</v>
      </c>
      <c r="AH602" s="82" t="s">
        <v>10756</v>
      </c>
      <c r="AI602" s="77" t="b">
        <v>0</v>
      </c>
      <c r="AJ602" s="77"/>
      <c r="AK602" s="77"/>
      <c r="AL602" s="77"/>
      <c r="AM602" s="77"/>
      <c r="AN602" s="77"/>
      <c r="AO602" s="77"/>
      <c r="AP602" s="77"/>
      <c r="AQ602" s="77"/>
      <c r="AR602" s="77"/>
      <c r="AS602" s="77"/>
      <c r="AT602" s="77"/>
      <c r="AU602" s="77"/>
      <c r="AV602" s="80" t="str">
        <f>HYPERLINK("https://pbs.twimg.com/profile_images/1431648743728852993/tLJ7F5Lu_normal.png")</f>
        <v>https://pbs.twimg.com/profile_images/1431648743728852993/tLJ7F5Lu_normal.png</v>
      </c>
      <c r="AW602" s="82" t="s">
        <v>17375</v>
      </c>
      <c r="AX602" s="82" t="s">
        <v>17375</v>
      </c>
      <c r="AY602" s="77"/>
      <c r="AZ602" s="82" t="s">
        <v>20971</v>
      </c>
      <c r="BA602" s="82" t="s">
        <v>20971</v>
      </c>
      <c r="BB602" s="82" t="s">
        <v>20971</v>
      </c>
      <c r="BC602" s="82" t="s">
        <v>17375</v>
      </c>
      <c r="BD602" s="77">
        <v>489723814</v>
      </c>
      <c r="BE602" s="77"/>
      <c r="BF602" s="77"/>
      <c r="BG602" s="77"/>
      <c r="BH602" s="77"/>
      <c r="BI602" s="77"/>
    </row>
    <row r="603" spans="1:61" x14ac:dyDescent="0.25">
      <c r="A603" s="62" t="s">
        <v>418</v>
      </c>
      <c r="B603" s="62" t="s">
        <v>418</v>
      </c>
      <c r="C603" s="63"/>
      <c r="D603" s="64"/>
      <c r="E603" s="65"/>
      <c r="F603" s="66"/>
      <c r="G603" s="63"/>
      <c r="H603" s="67"/>
      <c r="I603" s="68"/>
      <c r="J603" s="68"/>
      <c r="K603" s="32"/>
      <c r="L603" s="75">
        <v>603</v>
      </c>
      <c r="M603" s="75"/>
      <c r="N603" s="70"/>
      <c r="O603" s="77" t="s">
        <v>179</v>
      </c>
      <c r="P603" s="79">
        <v>44979.034687500003</v>
      </c>
      <c r="Q603" s="77" t="s">
        <v>1886</v>
      </c>
      <c r="R603" s="77">
        <v>0</v>
      </c>
      <c r="S603" s="77">
        <v>0</v>
      </c>
      <c r="T603" s="77">
        <v>0</v>
      </c>
      <c r="U603" s="77">
        <v>0</v>
      </c>
      <c r="V603" s="77">
        <v>9</v>
      </c>
      <c r="W603" s="82" t="s">
        <v>5335</v>
      </c>
      <c r="X603" s="80" t="str">
        <f>HYPERLINK("https://www.freeclassificados.com/ads/como-fazer-biscoito-e-ganhar-dinheiro-com-as-bolachas-decoradas-com-a-sweet-bite-academy/")</f>
        <v>https://www.freeclassificados.com/ads/como-fazer-biscoito-e-ganhar-dinheiro-com-as-bolachas-decoradas-com-a-sweet-bite-academy/</v>
      </c>
      <c r="Y603" s="77" t="s">
        <v>7308</v>
      </c>
      <c r="Z603" s="77"/>
      <c r="AA603" s="77"/>
      <c r="AB603" s="77"/>
      <c r="AC603" s="82" t="s">
        <v>10155</v>
      </c>
      <c r="AD603" s="77" t="s">
        <v>10184</v>
      </c>
      <c r="AE603" s="80" t="str">
        <f>HYPERLINK("https://twitter.com/freeclassific/status/1628195354507370496")</f>
        <v>https://twitter.com/freeclassific/status/1628195354507370496</v>
      </c>
      <c r="AF603" s="79">
        <v>44979.034687500003</v>
      </c>
      <c r="AG603" s="85">
        <v>44979</v>
      </c>
      <c r="AH603" s="82" t="s">
        <v>10757</v>
      </c>
      <c r="AI603" s="77" t="b">
        <v>0</v>
      </c>
      <c r="AJ603" s="77"/>
      <c r="AK603" s="77"/>
      <c r="AL603" s="77"/>
      <c r="AM603" s="77"/>
      <c r="AN603" s="77"/>
      <c r="AO603" s="77"/>
      <c r="AP603" s="77"/>
      <c r="AQ603" s="77"/>
      <c r="AR603" s="77"/>
      <c r="AS603" s="77"/>
      <c r="AT603" s="77"/>
      <c r="AU603" s="77"/>
      <c r="AV603" s="80" t="str">
        <f>HYPERLINK("https://pbs.twimg.com/profile_images/1431648743728852993/tLJ7F5Lu_normal.png")</f>
        <v>https://pbs.twimg.com/profile_images/1431648743728852993/tLJ7F5Lu_normal.png</v>
      </c>
      <c r="AW603" s="82" t="s">
        <v>17376</v>
      </c>
      <c r="AX603" s="82" t="s">
        <v>17376</v>
      </c>
      <c r="AY603" s="77"/>
      <c r="AZ603" s="82" t="s">
        <v>20971</v>
      </c>
      <c r="BA603" s="82" t="s">
        <v>20971</v>
      </c>
      <c r="BB603" s="82" t="s">
        <v>20971</v>
      </c>
      <c r="BC603" s="82" t="s">
        <v>17376</v>
      </c>
      <c r="BD603" s="77">
        <v>489723814</v>
      </c>
      <c r="BE603" s="77"/>
      <c r="BF603" s="77"/>
      <c r="BG603" s="77"/>
      <c r="BH603" s="77"/>
      <c r="BI603" s="77"/>
    </row>
    <row r="604" spans="1:61" x14ac:dyDescent="0.25">
      <c r="A604" s="62" t="s">
        <v>418</v>
      </c>
      <c r="B604" s="62" t="s">
        <v>418</v>
      </c>
      <c r="C604" s="63"/>
      <c r="D604" s="64"/>
      <c r="E604" s="65"/>
      <c r="F604" s="66"/>
      <c r="G604" s="63"/>
      <c r="H604" s="67"/>
      <c r="I604" s="68"/>
      <c r="J604" s="68"/>
      <c r="K604" s="32"/>
      <c r="L604" s="75">
        <v>604</v>
      </c>
      <c r="M604" s="75"/>
      <c r="N604" s="70"/>
      <c r="O604" s="77" t="s">
        <v>179</v>
      </c>
      <c r="P604" s="79">
        <v>44979.022002314814</v>
      </c>
      <c r="Q604" s="77" t="s">
        <v>1887</v>
      </c>
      <c r="R604" s="77">
        <v>0</v>
      </c>
      <c r="S604" s="77">
        <v>0</v>
      </c>
      <c r="T604" s="77">
        <v>0</v>
      </c>
      <c r="U604" s="77">
        <v>0</v>
      </c>
      <c r="V604" s="77">
        <v>24</v>
      </c>
      <c r="W604" s="82" t="s">
        <v>5335</v>
      </c>
      <c r="X604" s="80" t="str">
        <f>HYPERLINK("https://www.freeclassificados.com/ads/como-nao-perder-peso-com-o-metodo-de-emagrecimento-gdf-sem-voce-precisar-parar-de-comer/")</f>
        <v>https://www.freeclassificados.com/ads/como-nao-perder-peso-com-o-metodo-de-emagrecimento-gdf-sem-voce-precisar-parar-de-comer/</v>
      </c>
      <c r="Y604" s="77" t="s">
        <v>7308</v>
      </c>
      <c r="Z604" s="77"/>
      <c r="AA604" s="77"/>
      <c r="AB604" s="77"/>
      <c r="AC604" s="82" t="s">
        <v>10155</v>
      </c>
      <c r="AD604" s="77" t="s">
        <v>10184</v>
      </c>
      <c r="AE604" s="80" t="str">
        <f>HYPERLINK("https://twitter.com/freeclassific/status/1628190758812651520")</f>
        <v>https://twitter.com/freeclassific/status/1628190758812651520</v>
      </c>
      <c r="AF604" s="79">
        <v>44979.022002314814</v>
      </c>
      <c r="AG604" s="85">
        <v>44979</v>
      </c>
      <c r="AH604" s="82" t="s">
        <v>10758</v>
      </c>
      <c r="AI604" s="77" t="b">
        <v>0</v>
      </c>
      <c r="AJ604" s="77"/>
      <c r="AK604" s="77"/>
      <c r="AL604" s="77"/>
      <c r="AM604" s="77"/>
      <c r="AN604" s="77"/>
      <c r="AO604" s="77"/>
      <c r="AP604" s="77"/>
      <c r="AQ604" s="77"/>
      <c r="AR604" s="77"/>
      <c r="AS604" s="77"/>
      <c r="AT604" s="77"/>
      <c r="AU604" s="77"/>
      <c r="AV604" s="80" t="str">
        <f>HYPERLINK("https://pbs.twimg.com/profile_images/1431648743728852993/tLJ7F5Lu_normal.png")</f>
        <v>https://pbs.twimg.com/profile_images/1431648743728852993/tLJ7F5Lu_normal.png</v>
      </c>
      <c r="AW604" s="82" t="s">
        <v>17377</v>
      </c>
      <c r="AX604" s="82" t="s">
        <v>17377</v>
      </c>
      <c r="AY604" s="77"/>
      <c r="AZ604" s="82" t="s">
        <v>20971</v>
      </c>
      <c r="BA604" s="82" t="s">
        <v>20971</v>
      </c>
      <c r="BB604" s="82" t="s">
        <v>20971</v>
      </c>
      <c r="BC604" s="82" t="s">
        <v>17377</v>
      </c>
      <c r="BD604" s="77">
        <v>489723814</v>
      </c>
      <c r="BE604" s="77"/>
      <c r="BF604" s="77"/>
      <c r="BG604" s="77"/>
      <c r="BH604" s="77"/>
      <c r="BI604" s="77"/>
    </row>
    <row r="605" spans="1:61" x14ac:dyDescent="0.25">
      <c r="A605" s="62" t="s">
        <v>418</v>
      </c>
      <c r="B605" s="62" t="s">
        <v>418</v>
      </c>
      <c r="C605" s="63"/>
      <c r="D605" s="64"/>
      <c r="E605" s="65"/>
      <c r="F605" s="66"/>
      <c r="G605" s="63"/>
      <c r="H605" s="67"/>
      <c r="I605" s="68"/>
      <c r="J605" s="68"/>
      <c r="K605" s="32"/>
      <c r="L605" s="75">
        <v>605</v>
      </c>
      <c r="M605" s="75"/>
      <c r="N605" s="70"/>
      <c r="O605" s="77" t="s">
        <v>179</v>
      </c>
      <c r="P605" s="79">
        <v>44979.010034722225</v>
      </c>
      <c r="Q605" s="77" t="s">
        <v>1888</v>
      </c>
      <c r="R605" s="77">
        <v>0</v>
      </c>
      <c r="S605" s="77">
        <v>0</v>
      </c>
      <c r="T605" s="77">
        <v>0</v>
      </c>
      <c r="U605" s="77">
        <v>0</v>
      </c>
      <c r="V605" s="77">
        <v>15</v>
      </c>
      <c r="W605" s="82" t="s">
        <v>5335</v>
      </c>
      <c r="X605" s="80" t="str">
        <f>HYPERLINK("https://www.freeclassificados.com/ads/como-trabalhar-em-casa-com-bolos-no-pote-lucrativo-e-sem-faltar-trabalho/")</f>
        <v>https://www.freeclassificados.com/ads/como-trabalhar-em-casa-com-bolos-no-pote-lucrativo-e-sem-faltar-trabalho/</v>
      </c>
      <c r="Y605" s="77" t="s">
        <v>7308</v>
      </c>
      <c r="Z605" s="77"/>
      <c r="AA605" s="77"/>
      <c r="AB605" s="77"/>
      <c r="AC605" s="82" t="s">
        <v>10155</v>
      </c>
      <c r="AD605" s="77" t="s">
        <v>10184</v>
      </c>
      <c r="AE605" s="80" t="str">
        <f>HYPERLINK("https://twitter.com/freeclassific/status/1628186420497235968")</f>
        <v>https://twitter.com/freeclassific/status/1628186420497235968</v>
      </c>
      <c r="AF605" s="79">
        <v>44979.010034722225</v>
      </c>
      <c r="AG605" s="85">
        <v>44979</v>
      </c>
      <c r="AH605" s="82" t="s">
        <v>10759</v>
      </c>
      <c r="AI605" s="77" t="b">
        <v>0</v>
      </c>
      <c r="AJ605" s="77"/>
      <c r="AK605" s="77"/>
      <c r="AL605" s="77"/>
      <c r="AM605" s="77"/>
      <c r="AN605" s="77"/>
      <c r="AO605" s="77"/>
      <c r="AP605" s="77"/>
      <c r="AQ605" s="77"/>
      <c r="AR605" s="77"/>
      <c r="AS605" s="77"/>
      <c r="AT605" s="77"/>
      <c r="AU605" s="77"/>
      <c r="AV605" s="80" t="str">
        <f>HYPERLINK("https://pbs.twimg.com/profile_images/1431648743728852993/tLJ7F5Lu_normal.png")</f>
        <v>https://pbs.twimg.com/profile_images/1431648743728852993/tLJ7F5Lu_normal.png</v>
      </c>
      <c r="AW605" s="82" t="s">
        <v>17378</v>
      </c>
      <c r="AX605" s="82" t="s">
        <v>17378</v>
      </c>
      <c r="AY605" s="77"/>
      <c r="AZ605" s="82" t="s">
        <v>20971</v>
      </c>
      <c r="BA605" s="82" t="s">
        <v>20971</v>
      </c>
      <c r="BB605" s="82" t="s">
        <v>20971</v>
      </c>
      <c r="BC605" s="82" t="s">
        <v>17378</v>
      </c>
      <c r="BD605" s="77">
        <v>489723814</v>
      </c>
      <c r="BE605" s="77"/>
      <c r="BF605" s="77"/>
      <c r="BG605" s="77"/>
      <c r="BH605" s="77"/>
      <c r="BI605" s="77"/>
    </row>
    <row r="606" spans="1:61" x14ac:dyDescent="0.25">
      <c r="A606" s="62" t="s">
        <v>418</v>
      </c>
      <c r="B606" s="62" t="s">
        <v>418</v>
      </c>
      <c r="C606" s="63"/>
      <c r="D606" s="64"/>
      <c r="E606" s="65"/>
      <c r="F606" s="66"/>
      <c r="G606" s="63"/>
      <c r="H606" s="67"/>
      <c r="I606" s="68"/>
      <c r="J606" s="68"/>
      <c r="K606" s="32"/>
      <c r="L606" s="75">
        <v>606</v>
      </c>
      <c r="M606" s="75"/>
      <c r="N606" s="70"/>
      <c r="O606" s="77" t="s">
        <v>179</v>
      </c>
      <c r="P606" s="79">
        <v>44978.798449074071</v>
      </c>
      <c r="Q606" s="77" t="s">
        <v>1889</v>
      </c>
      <c r="R606" s="77">
        <v>0</v>
      </c>
      <c r="S606" s="77">
        <v>0</v>
      </c>
      <c r="T606" s="77">
        <v>0</v>
      </c>
      <c r="U606" s="77">
        <v>0</v>
      </c>
      <c r="V606" s="77">
        <v>8</v>
      </c>
      <c r="W606" s="82" t="s">
        <v>5335</v>
      </c>
      <c r="X606" s="80" t="str">
        <f>HYPERLINK("https://www.freeclassificados.com/ads/melhor-comissao/")</f>
        <v>https://www.freeclassificados.com/ads/melhor-comissao/</v>
      </c>
      <c r="Y606" s="77" t="s">
        <v>7308</v>
      </c>
      <c r="Z606" s="77"/>
      <c r="AA606" s="77"/>
      <c r="AB606" s="77"/>
      <c r="AC606" s="82" t="s">
        <v>10155</v>
      </c>
      <c r="AD606" s="77" t="s">
        <v>10184</v>
      </c>
      <c r="AE606" s="80" t="str">
        <f>HYPERLINK("https://twitter.com/freeclassific/status/1628109743939289088")</f>
        <v>https://twitter.com/freeclassific/status/1628109743939289088</v>
      </c>
      <c r="AF606" s="79">
        <v>44978.798449074071</v>
      </c>
      <c r="AG606" s="85">
        <v>44978</v>
      </c>
      <c r="AH606" s="82" t="s">
        <v>10760</v>
      </c>
      <c r="AI606" s="77" t="b">
        <v>0</v>
      </c>
      <c r="AJ606" s="77"/>
      <c r="AK606" s="77"/>
      <c r="AL606" s="77"/>
      <c r="AM606" s="77"/>
      <c r="AN606" s="77"/>
      <c r="AO606" s="77"/>
      <c r="AP606" s="77"/>
      <c r="AQ606" s="77"/>
      <c r="AR606" s="77"/>
      <c r="AS606" s="77"/>
      <c r="AT606" s="77"/>
      <c r="AU606" s="77"/>
      <c r="AV606" s="80" t="str">
        <f>HYPERLINK("https://pbs.twimg.com/profile_images/1431648743728852993/tLJ7F5Lu_normal.png")</f>
        <v>https://pbs.twimg.com/profile_images/1431648743728852993/tLJ7F5Lu_normal.png</v>
      </c>
      <c r="AW606" s="82" t="s">
        <v>17379</v>
      </c>
      <c r="AX606" s="82" t="s">
        <v>17379</v>
      </c>
      <c r="AY606" s="77"/>
      <c r="AZ606" s="82" t="s">
        <v>20971</v>
      </c>
      <c r="BA606" s="82" t="s">
        <v>20971</v>
      </c>
      <c r="BB606" s="82" t="s">
        <v>20971</v>
      </c>
      <c r="BC606" s="82" t="s">
        <v>17379</v>
      </c>
      <c r="BD606" s="77">
        <v>489723814</v>
      </c>
      <c r="BE606" s="77"/>
      <c r="BF606" s="77"/>
      <c r="BG606" s="77"/>
      <c r="BH606" s="77"/>
      <c r="BI606" s="77"/>
    </row>
    <row r="607" spans="1:61" x14ac:dyDescent="0.25">
      <c r="A607" s="62" t="s">
        <v>418</v>
      </c>
      <c r="B607" s="62" t="s">
        <v>418</v>
      </c>
      <c r="C607" s="63"/>
      <c r="D607" s="64"/>
      <c r="E607" s="65"/>
      <c r="F607" s="66"/>
      <c r="G607" s="63"/>
      <c r="H607" s="67"/>
      <c r="I607" s="68"/>
      <c r="J607" s="68"/>
      <c r="K607" s="32"/>
      <c r="L607" s="75">
        <v>607</v>
      </c>
      <c r="M607" s="75"/>
      <c r="N607" s="70"/>
      <c r="O607" s="77" t="s">
        <v>179</v>
      </c>
      <c r="P607" s="79">
        <v>45079.697800925926</v>
      </c>
      <c r="Q607" s="77" t="s">
        <v>1890</v>
      </c>
      <c r="R607" s="77">
        <v>0</v>
      </c>
      <c r="S607" s="77">
        <v>0</v>
      </c>
      <c r="T607" s="77">
        <v>0</v>
      </c>
      <c r="U607" s="77">
        <v>0</v>
      </c>
      <c r="V607" s="77">
        <v>10</v>
      </c>
      <c r="W607" s="82" t="s">
        <v>5560</v>
      </c>
      <c r="X607" s="80" t="str">
        <f>HYPERLINK("https://www.freeclassificados.com/ads/entre-lacos-o-show-cover-11948594445/")</f>
        <v>https://www.freeclassificados.com/ads/entre-lacos-o-show-cover-11948594445/</v>
      </c>
      <c r="Y607" s="77" t="s">
        <v>7308</v>
      </c>
      <c r="Z607" s="77"/>
      <c r="AA607" s="77"/>
      <c r="AB607" s="77"/>
      <c r="AC607" s="82" t="s">
        <v>10155</v>
      </c>
      <c r="AD607" s="77" t="s">
        <v>10184</v>
      </c>
      <c r="AE607" s="80" t="str">
        <f>HYPERLINK("https://twitter.com/freeclassific/status/1664674445234143233")</f>
        <v>https://twitter.com/freeclassific/status/1664674445234143233</v>
      </c>
      <c r="AF607" s="79">
        <v>45079.697800925926</v>
      </c>
      <c r="AG607" s="85">
        <v>45079</v>
      </c>
      <c r="AH607" s="82" t="s">
        <v>10761</v>
      </c>
      <c r="AI607" s="77" t="b">
        <v>0</v>
      </c>
      <c r="AJ607" s="77"/>
      <c r="AK607" s="77"/>
      <c r="AL607" s="77"/>
      <c r="AM607" s="77"/>
      <c r="AN607" s="77"/>
      <c r="AO607" s="77"/>
      <c r="AP607" s="77"/>
      <c r="AQ607" s="77"/>
      <c r="AR607" s="77"/>
      <c r="AS607" s="77"/>
      <c r="AT607" s="77"/>
      <c r="AU607" s="77"/>
      <c r="AV607" s="80" t="str">
        <f>HYPERLINK("https://pbs.twimg.com/profile_images/1431648743728852993/tLJ7F5Lu_normal.png")</f>
        <v>https://pbs.twimg.com/profile_images/1431648743728852993/tLJ7F5Lu_normal.png</v>
      </c>
      <c r="AW607" s="82" t="s">
        <v>17380</v>
      </c>
      <c r="AX607" s="82" t="s">
        <v>17380</v>
      </c>
      <c r="AY607" s="77"/>
      <c r="AZ607" s="82" t="s">
        <v>20971</v>
      </c>
      <c r="BA607" s="82" t="s">
        <v>20971</v>
      </c>
      <c r="BB607" s="82" t="s">
        <v>20971</v>
      </c>
      <c r="BC607" s="82" t="s">
        <v>17380</v>
      </c>
      <c r="BD607" s="77">
        <v>489723814</v>
      </c>
      <c r="BE607" s="77"/>
      <c r="BF607" s="77"/>
      <c r="BG607" s="77"/>
      <c r="BH607" s="77"/>
      <c r="BI607" s="77"/>
    </row>
    <row r="608" spans="1:61" x14ac:dyDescent="0.25">
      <c r="A608" s="62" t="s">
        <v>418</v>
      </c>
      <c r="B608" s="62" t="s">
        <v>418</v>
      </c>
      <c r="C608" s="63"/>
      <c r="D608" s="64"/>
      <c r="E608" s="65"/>
      <c r="F608" s="66"/>
      <c r="G608" s="63"/>
      <c r="H608" s="67"/>
      <c r="I608" s="68"/>
      <c r="J608" s="68"/>
      <c r="K608" s="32"/>
      <c r="L608" s="75">
        <v>608</v>
      </c>
      <c r="M608" s="75"/>
      <c r="N608" s="70"/>
      <c r="O608" s="77" t="s">
        <v>179</v>
      </c>
      <c r="P608" s="79">
        <v>45078.968634259261</v>
      </c>
      <c r="Q608" s="77" t="s">
        <v>1891</v>
      </c>
      <c r="R608" s="77">
        <v>0</v>
      </c>
      <c r="S608" s="77">
        <v>0</v>
      </c>
      <c r="T608" s="77">
        <v>0</v>
      </c>
      <c r="U608" s="77">
        <v>0</v>
      </c>
      <c r="V608" s="77">
        <v>14</v>
      </c>
      <c r="W608" s="82" t="s">
        <v>5560</v>
      </c>
      <c r="X608" s="80" t="str">
        <f>HYPERLINK("https://www.freeclassificados.com/ads/show-cover-peter-pan-sininho-chapeuzinho-vermelho-bailarina-11948594445/")</f>
        <v>https://www.freeclassificados.com/ads/show-cover-peter-pan-sininho-chapeuzinho-vermelho-bailarina-11948594445/</v>
      </c>
      <c r="Y608" s="77" t="s">
        <v>7308</v>
      </c>
      <c r="Z608" s="77"/>
      <c r="AA608" s="77"/>
      <c r="AB608" s="77"/>
      <c r="AC608" s="82" t="s">
        <v>10155</v>
      </c>
      <c r="AD608" s="77" t="s">
        <v>10184</v>
      </c>
      <c r="AE608" s="80" t="str">
        <f>HYPERLINK("https://twitter.com/freeclassific/status/1664410202693865473")</f>
        <v>https://twitter.com/freeclassific/status/1664410202693865473</v>
      </c>
      <c r="AF608" s="79">
        <v>45078.968634259261</v>
      </c>
      <c r="AG608" s="85">
        <v>45078</v>
      </c>
      <c r="AH608" s="82" t="s">
        <v>10762</v>
      </c>
      <c r="AI608" s="77" t="b">
        <v>0</v>
      </c>
      <c r="AJ608" s="77"/>
      <c r="AK608" s="77"/>
      <c r="AL608" s="77"/>
      <c r="AM608" s="77"/>
      <c r="AN608" s="77"/>
      <c r="AO608" s="77"/>
      <c r="AP608" s="77"/>
      <c r="AQ608" s="77"/>
      <c r="AR608" s="77"/>
      <c r="AS608" s="77"/>
      <c r="AT608" s="77"/>
      <c r="AU608" s="77"/>
      <c r="AV608" s="80" t="str">
        <f>HYPERLINK("https://pbs.twimg.com/profile_images/1431648743728852993/tLJ7F5Lu_normal.png")</f>
        <v>https://pbs.twimg.com/profile_images/1431648743728852993/tLJ7F5Lu_normal.png</v>
      </c>
      <c r="AW608" s="82" t="s">
        <v>17381</v>
      </c>
      <c r="AX608" s="82" t="s">
        <v>17381</v>
      </c>
      <c r="AY608" s="77"/>
      <c r="AZ608" s="82" t="s">
        <v>20971</v>
      </c>
      <c r="BA608" s="82" t="s">
        <v>20971</v>
      </c>
      <c r="BB608" s="82" t="s">
        <v>20971</v>
      </c>
      <c r="BC608" s="82" t="s">
        <v>17381</v>
      </c>
      <c r="BD608" s="77">
        <v>489723814</v>
      </c>
      <c r="BE608" s="77"/>
      <c r="BF608" s="77"/>
      <c r="BG608" s="77"/>
      <c r="BH608" s="77"/>
      <c r="BI608" s="77"/>
    </row>
    <row r="609" spans="1:61" x14ac:dyDescent="0.25">
      <c r="A609" s="62" t="s">
        <v>418</v>
      </c>
      <c r="B609" s="62" t="s">
        <v>418</v>
      </c>
      <c r="C609" s="63"/>
      <c r="D609" s="64"/>
      <c r="E609" s="65"/>
      <c r="F609" s="66"/>
      <c r="G609" s="63"/>
      <c r="H609" s="67"/>
      <c r="I609" s="68"/>
      <c r="J609" s="68"/>
      <c r="K609" s="32"/>
      <c r="L609" s="75">
        <v>609</v>
      </c>
      <c r="M609" s="75"/>
      <c r="N609" s="70"/>
      <c r="O609" s="77" t="s">
        <v>179</v>
      </c>
      <c r="P609" s="79">
        <v>45078.891076388885</v>
      </c>
      <c r="Q609" s="77" t="s">
        <v>1892</v>
      </c>
      <c r="R609" s="77">
        <v>0</v>
      </c>
      <c r="S609" s="77">
        <v>0</v>
      </c>
      <c r="T609" s="77">
        <v>0</v>
      </c>
      <c r="U609" s="77">
        <v>0</v>
      </c>
      <c r="V609" s="77">
        <v>9</v>
      </c>
      <c r="W609" s="82" t="s">
        <v>5560</v>
      </c>
      <c r="X609" s="80" t="str">
        <f>HYPERLINK("https://www.freeclassificados.com/ads/entretenimento-lazer-e-diversao/")</f>
        <v>https://www.freeclassificados.com/ads/entretenimento-lazer-e-diversao/</v>
      </c>
      <c r="Y609" s="77" t="s">
        <v>7308</v>
      </c>
      <c r="Z609" s="77"/>
      <c r="AA609" s="77"/>
      <c r="AB609" s="77"/>
      <c r="AC609" s="82" t="s">
        <v>10155</v>
      </c>
      <c r="AD609" s="77" t="s">
        <v>10184</v>
      </c>
      <c r="AE609" s="80" t="str">
        <f>HYPERLINK("https://twitter.com/freeclassific/status/1664382097912643585")</f>
        <v>https://twitter.com/freeclassific/status/1664382097912643585</v>
      </c>
      <c r="AF609" s="79">
        <v>45078.891076388885</v>
      </c>
      <c r="AG609" s="85">
        <v>45078</v>
      </c>
      <c r="AH609" s="82" t="s">
        <v>10763</v>
      </c>
      <c r="AI609" s="77" t="b">
        <v>0</v>
      </c>
      <c r="AJ609" s="77"/>
      <c r="AK609" s="77"/>
      <c r="AL609" s="77"/>
      <c r="AM609" s="77"/>
      <c r="AN609" s="77"/>
      <c r="AO609" s="77"/>
      <c r="AP609" s="77"/>
      <c r="AQ609" s="77"/>
      <c r="AR609" s="77"/>
      <c r="AS609" s="77"/>
      <c r="AT609" s="77"/>
      <c r="AU609" s="77"/>
      <c r="AV609" s="80" t="str">
        <f>HYPERLINK("https://pbs.twimg.com/profile_images/1431648743728852993/tLJ7F5Lu_normal.png")</f>
        <v>https://pbs.twimg.com/profile_images/1431648743728852993/tLJ7F5Lu_normal.png</v>
      </c>
      <c r="AW609" s="82" t="s">
        <v>17382</v>
      </c>
      <c r="AX609" s="82" t="s">
        <v>17382</v>
      </c>
      <c r="AY609" s="77"/>
      <c r="AZ609" s="82" t="s">
        <v>20971</v>
      </c>
      <c r="BA609" s="82" t="s">
        <v>20971</v>
      </c>
      <c r="BB609" s="82" t="s">
        <v>20971</v>
      </c>
      <c r="BC609" s="82" t="s">
        <v>17382</v>
      </c>
      <c r="BD609" s="77">
        <v>489723814</v>
      </c>
      <c r="BE609" s="77"/>
      <c r="BF609" s="77"/>
      <c r="BG609" s="77"/>
      <c r="BH609" s="77"/>
      <c r="BI609" s="77"/>
    </row>
    <row r="610" spans="1:61" x14ac:dyDescent="0.25">
      <c r="A610" s="62" t="s">
        <v>418</v>
      </c>
      <c r="B610" s="62" t="s">
        <v>418</v>
      </c>
      <c r="C610" s="63"/>
      <c r="D610" s="64"/>
      <c r="E610" s="65"/>
      <c r="F610" s="66"/>
      <c r="G610" s="63"/>
      <c r="H610" s="67"/>
      <c r="I610" s="68"/>
      <c r="J610" s="68"/>
      <c r="K610" s="32"/>
      <c r="L610" s="75">
        <v>610</v>
      </c>
      <c r="M610" s="75"/>
      <c r="N610" s="70"/>
      <c r="O610" s="77" t="s">
        <v>179</v>
      </c>
      <c r="P610" s="79">
        <v>45078.807500000003</v>
      </c>
      <c r="Q610" s="77" t="s">
        <v>1893</v>
      </c>
      <c r="R610" s="77">
        <v>0</v>
      </c>
      <c r="S610" s="77">
        <v>0</v>
      </c>
      <c r="T610" s="77">
        <v>0</v>
      </c>
      <c r="U610" s="77">
        <v>0</v>
      </c>
      <c r="V610" s="77">
        <v>9</v>
      </c>
      <c r="W610" s="82" t="s">
        <v>5560</v>
      </c>
      <c r="X610" s="80" t="str">
        <f>HYPERLINK("https://www.freeclassificados.com/ads/sacolas-personalizadas-na-rio-embalagens/")</f>
        <v>https://www.freeclassificados.com/ads/sacolas-personalizadas-na-rio-embalagens/</v>
      </c>
      <c r="Y610" s="77" t="s">
        <v>7308</v>
      </c>
      <c r="Z610" s="77"/>
      <c r="AA610" s="77"/>
      <c r="AB610" s="77"/>
      <c r="AC610" s="82" t="s">
        <v>10155</v>
      </c>
      <c r="AD610" s="77" t="s">
        <v>10184</v>
      </c>
      <c r="AE610" s="80" t="str">
        <f>HYPERLINK("https://twitter.com/freeclassific/status/1664351811493593088")</f>
        <v>https://twitter.com/freeclassific/status/1664351811493593088</v>
      </c>
      <c r="AF610" s="79">
        <v>45078.807500000003</v>
      </c>
      <c r="AG610" s="85">
        <v>45078</v>
      </c>
      <c r="AH610" s="82" t="s">
        <v>10764</v>
      </c>
      <c r="AI610" s="77" t="b">
        <v>0</v>
      </c>
      <c r="AJ610" s="77"/>
      <c r="AK610" s="77"/>
      <c r="AL610" s="77"/>
      <c r="AM610" s="77"/>
      <c r="AN610" s="77"/>
      <c r="AO610" s="77"/>
      <c r="AP610" s="77"/>
      <c r="AQ610" s="77"/>
      <c r="AR610" s="77"/>
      <c r="AS610" s="77"/>
      <c r="AT610" s="77"/>
      <c r="AU610" s="77"/>
      <c r="AV610" s="80" t="str">
        <f>HYPERLINK("https://pbs.twimg.com/profile_images/1431648743728852993/tLJ7F5Lu_normal.png")</f>
        <v>https://pbs.twimg.com/profile_images/1431648743728852993/tLJ7F5Lu_normal.png</v>
      </c>
      <c r="AW610" s="82" t="s">
        <v>17383</v>
      </c>
      <c r="AX610" s="82" t="s">
        <v>17383</v>
      </c>
      <c r="AY610" s="77"/>
      <c r="AZ610" s="82" t="s">
        <v>20971</v>
      </c>
      <c r="BA610" s="82" t="s">
        <v>20971</v>
      </c>
      <c r="BB610" s="82" t="s">
        <v>20971</v>
      </c>
      <c r="BC610" s="82" t="s">
        <v>17383</v>
      </c>
      <c r="BD610" s="77">
        <v>489723814</v>
      </c>
      <c r="BE610" s="77"/>
      <c r="BF610" s="77"/>
      <c r="BG610" s="77"/>
      <c r="BH610" s="77"/>
      <c r="BI610" s="77"/>
    </row>
    <row r="611" spans="1:61" x14ac:dyDescent="0.25">
      <c r="A611" s="62" t="s">
        <v>418</v>
      </c>
      <c r="B611" s="62" t="s">
        <v>418</v>
      </c>
      <c r="C611" s="63"/>
      <c r="D611" s="64"/>
      <c r="E611" s="65"/>
      <c r="F611" s="66"/>
      <c r="G611" s="63"/>
      <c r="H611" s="67"/>
      <c r="I611" s="68"/>
      <c r="J611" s="68"/>
      <c r="K611" s="32"/>
      <c r="L611" s="75">
        <v>611</v>
      </c>
      <c r="M611" s="75"/>
      <c r="N611" s="70"/>
      <c r="O611" s="77" t="s">
        <v>179</v>
      </c>
      <c r="P611" s="79">
        <v>45078.79792824074</v>
      </c>
      <c r="Q611" s="77" t="s">
        <v>1894</v>
      </c>
      <c r="R611" s="77">
        <v>0</v>
      </c>
      <c r="S611" s="77">
        <v>0</v>
      </c>
      <c r="T611" s="77">
        <v>0</v>
      </c>
      <c r="U611" s="77">
        <v>0</v>
      </c>
      <c r="V611" s="77">
        <v>15</v>
      </c>
      <c r="W611" s="82" t="s">
        <v>5560</v>
      </c>
      <c r="X611" s="80" t="str">
        <f>HYPERLINK("https://www.freeclassificados.com/ads/princesa-ariel-pequena-sereia-animacao-de-festas-11948594445/")</f>
        <v>https://www.freeclassificados.com/ads/princesa-ariel-pequena-sereia-animacao-de-festas-11948594445/</v>
      </c>
      <c r="Y611" s="77" t="s">
        <v>7308</v>
      </c>
      <c r="Z611" s="77"/>
      <c r="AA611" s="77"/>
      <c r="AB611" s="77"/>
      <c r="AC611" s="82" t="s">
        <v>10155</v>
      </c>
      <c r="AD611" s="77" t="s">
        <v>10184</v>
      </c>
      <c r="AE611" s="80" t="str">
        <f>HYPERLINK("https://twitter.com/freeclassific/status/1664348340354691072")</f>
        <v>https://twitter.com/freeclassific/status/1664348340354691072</v>
      </c>
      <c r="AF611" s="79">
        <v>45078.79792824074</v>
      </c>
      <c r="AG611" s="85">
        <v>45078</v>
      </c>
      <c r="AH611" s="82" t="s">
        <v>10765</v>
      </c>
      <c r="AI611" s="77" t="b">
        <v>0</v>
      </c>
      <c r="AJ611" s="77"/>
      <c r="AK611" s="77"/>
      <c r="AL611" s="77"/>
      <c r="AM611" s="77"/>
      <c r="AN611" s="77"/>
      <c r="AO611" s="77"/>
      <c r="AP611" s="77"/>
      <c r="AQ611" s="77"/>
      <c r="AR611" s="77"/>
      <c r="AS611" s="77"/>
      <c r="AT611" s="77"/>
      <c r="AU611" s="77"/>
      <c r="AV611" s="80" t="str">
        <f>HYPERLINK("https://pbs.twimg.com/profile_images/1431648743728852993/tLJ7F5Lu_normal.png")</f>
        <v>https://pbs.twimg.com/profile_images/1431648743728852993/tLJ7F5Lu_normal.png</v>
      </c>
      <c r="AW611" s="82" t="s">
        <v>17384</v>
      </c>
      <c r="AX611" s="82" t="s">
        <v>17384</v>
      </c>
      <c r="AY611" s="77"/>
      <c r="AZ611" s="82" t="s">
        <v>20971</v>
      </c>
      <c r="BA611" s="82" t="s">
        <v>20971</v>
      </c>
      <c r="BB611" s="82" t="s">
        <v>20971</v>
      </c>
      <c r="BC611" s="82" t="s">
        <v>17384</v>
      </c>
      <c r="BD611" s="77">
        <v>489723814</v>
      </c>
      <c r="BE611" s="77"/>
      <c r="BF611" s="77"/>
      <c r="BG611" s="77"/>
      <c r="BH611" s="77"/>
      <c r="BI611" s="77"/>
    </row>
    <row r="612" spans="1:61" x14ac:dyDescent="0.25">
      <c r="A612" s="62" t="s">
        <v>418</v>
      </c>
      <c r="B612" s="62" t="s">
        <v>418</v>
      </c>
      <c r="C612" s="63"/>
      <c r="D612" s="64"/>
      <c r="E612" s="65"/>
      <c r="F612" s="66"/>
      <c r="G612" s="63"/>
      <c r="H612" s="67"/>
      <c r="I612" s="68"/>
      <c r="J612" s="68"/>
      <c r="K612" s="32"/>
      <c r="L612" s="75">
        <v>612</v>
      </c>
      <c r="M612" s="75"/>
      <c r="N612" s="70"/>
      <c r="O612" s="77" t="s">
        <v>179</v>
      </c>
      <c r="P612" s="79">
        <v>45078.760347222225</v>
      </c>
      <c r="Q612" s="77" t="s">
        <v>1895</v>
      </c>
      <c r="R612" s="77">
        <v>0</v>
      </c>
      <c r="S612" s="77">
        <v>0</v>
      </c>
      <c r="T612" s="77">
        <v>0</v>
      </c>
      <c r="U612" s="77">
        <v>0</v>
      </c>
      <c r="V612" s="77">
        <v>22</v>
      </c>
      <c r="W612" s="82" t="s">
        <v>5560</v>
      </c>
      <c r="X612" s="80" t="str">
        <f>HYPERLINK("https://www.freeclassificados.com/ads/shakira-show-cover-11948594445/")</f>
        <v>https://www.freeclassificados.com/ads/shakira-show-cover-11948594445/</v>
      </c>
      <c r="Y612" s="77" t="s">
        <v>7308</v>
      </c>
      <c r="Z612" s="77"/>
      <c r="AA612" s="77"/>
      <c r="AB612" s="77"/>
      <c r="AC612" s="82" t="s">
        <v>10155</v>
      </c>
      <c r="AD612" s="77" t="s">
        <v>10185</v>
      </c>
      <c r="AE612" s="80" t="str">
        <f>HYPERLINK("https://twitter.com/freeclassific/status/1664334722447863808")</f>
        <v>https://twitter.com/freeclassific/status/1664334722447863808</v>
      </c>
      <c r="AF612" s="79">
        <v>45078.760347222225</v>
      </c>
      <c r="AG612" s="85">
        <v>45078</v>
      </c>
      <c r="AH612" s="82" t="s">
        <v>10766</v>
      </c>
      <c r="AI612" s="77" t="b">
        <v>0</v>
      </c>
      <c r="AJ612" s="77"/>
      <c r="AK612" s="77"/>
      <c r="AL612" s="77"/>
      <c r="AM612" s="77"/>
      <c r="AN612" s="77"/>
      <c r="AO612" s="77"/>
      <c r="AP612" s="77"/>
      <c r="AQ612" s="77"/>
      <c r="AR612" s="77"/>
      <c r="AS612" s="77"/>
      <c r="AT612" s="77"/>
      <c r="AU612" s="77"/>
      <c r="AV612" s="80" t="str">
        <f>HYPERLINK("https://pbs.twimg.com/profile_images/1431648743728852993/tLJ7F5Lu_normal.png")</f>
        <v>https://pbs.twimg.com/profile_images/1431648743728852993/tLJ7F5Lu_normal.png</v>
      </c>
      <c r="AW612" s="82" t="s">
        <v>17385</v>
      </c>
      <c r="AX612" s="82" t="s">
        <v>17385</v>
      </c>
      <c r="AY612" s="77"/>
      <c r="AZ612" s="82" t="s">
        <v>20971</v>
      </c>
      <c r="BA612" s="82" t="s">
        <v>20971</v>
      </c>
      <c r="BB612" s="82" t="s">
        <v>20971</v>
      </c>
      <c r="BC612" s="82" t="s">
        <v>17385</v>
      </c>
      <c r="BD612" s="77">
        <v>489723814</v>
      </c>
      <c r="BE612" s="77"/>
      <c r="BF612" s="77"/>
      <c r="BG612" s="77"/>
      <c r="BH612" s="77"/>
      <c r="BI612" s="77"/>
    </row>
    <row r="613" spans="1:61" x14ac:dyDescent="0.25">
      <c r="A613" s="62" t="s">
        <v>418</v>
      </c>
      <c r="B613" s="62" t="s">
        <v>418</v>
      </c>
      <c r="C613" s="63"/>
      <c r="D613" s="64"/>
      <c r="E613" s="65"/>
      <c r="F613" s="66"/>
      <c r="G613" s="63"/>
      <c r="H613" s="67"/>
      <c r="I613" s="68"/>
      <c r="J613" s="68"/>
      <c r="K613" s="32"/>
      <c r="L613" s="75">
        <v>613</v>
      </c>
      <c r="M613" s="75"/>
      <c r="N613" s="70"/>
      <c r="O613" s="77" t="s">
        <v>179</v>
      </c>
      <c r="P613" s="79">
        <v>45077.957673611112</v>
      </c>
      <c r="Q613" s="77" t="s">
        <v>1896</v>
      </c>
      <c r="R613" s="77">
        <v>0</v>
      </c>
      <c r="S613" s="77">
        <v>0</v>
      </c>
      <c r="T613" s="77">
        <v>0</v>
      </c>
      <c r="U613" s="77">
        <v>0</v>
      </c>
      <c r="V613" s="77">
        <v>15</v>
      </c>
      <c r="W613" s="82" t="s">
        <v>5560</v>
      </c>
      <c r="X613" s="80" t="str">
        <f>HYPERLINK("https://www.freeclassificados.com/ads/show-cover-ariana-grande-11948594445/")</f>
        <v>https://www.freeclassificados.com/ads/show-cover-ariana-grande-11948594445/</v>
      </c>
      <c r="Y613" s="77" t="s">
        <v>7308</v>
      </c>
      <c r="Z613" s="77"/>
      <c r="AA613" s="77"/>
      <c r="AB613" s="77"/>
      <c r="AC613" s="82" t="s">
        <v>10155</v>
      </c>
      <c r="AD613" s="77" t="s">
        <v>10185</v>
      </c>
      <c r="AE613" s="80" t="str">
        <f>HYPERLINK("https://twitter.com/freeclassific/status/1664043842906255361")</f>
        <v>https://twitter.com/freeclassific/status/1664043842906255361</v>
      </c>
      <c r="AF613" s="79">
        <v>45077.957673611112</v>
      </c>
      <c r="AG613" s="85">
        <v>45077</v>
      </c>
      <c r="AH613" s="82" t="s">
        <v>10767</v>
      </c>
      <c r="AI613" s="77" t="b">
        <v>0</v>
      </c>
      <c r="AJ613" s="77"/>
      <c r="AK613" s="77"/>
      <c r="AL613" s="77"/>
      <c r="AM613" s="77"/>
      <c r="AN613" s="77"/>
      <c r="AO613" s="77"/>
      <c r="AP613" s="77"/>
      <c r="AQ613" s="77"/>
      <c r="AR613" s="77"/>
      <c r="AS613" s="77"/>
      <c r="AT613" s="77"/>
      <c r="AU613" s="77"/>
      <c r="AV613" s="80" t="str">
        <f>HYPERLINK("https://pbs.twimg.com/profile_images/1431648743728852993/tLJ7F5Lu_normal.png")</f>
        <v>https://pbs.twimg.com/profile_images/1431648743728852993/tLJ7F5Lu_normal.png</v>
      </c>
      <c r="AW613" s="82" t="s">
        <v>17386</v>
      </c>
      <c r="AX613" s="82" t="s">
        <v>17386</v>
      </c>
      <c r="AY613" s="77"/>
      <c r="AZ613" s="82" t="s">
        <v>20971</v>
      </c>
      <c r="BA613" s="82" t="s">
        <v>20971</v>
      </c>
      <c r="BB613" s="82" t="s">
        <v>20971</v>
      </c>
      <c r="BC613" s="82" t="s">
        <v>17386</v>
      </c>
      <c r="BD613" s="77">
        <v>489723814</v>
      </c>
      <c r="BE613" s="77"/>
      <c r="BF613" s="77"/>
      <c r="BG613" s="77"/>
      <c r="BH613" s="77"/>
      <c r="BI613" s="77"/>
    </row>
    <row r="614" spans="1:61" x14ac:dyDescent="0.25">
      <c r="A614" s="62" t="s">
        <v>418</v>
      </c>
      <c r="B614" s="62" t="s">
        <v>418</v>
      </c>
      <c r="C614" s="63"/>
      <c r="D614" s="64"/>
      <c r="E614" s="65"/>
      <c r="F614" s="66"/>
      <c r="G614" s="63"/>
      <c r="H614" s="67"/>
      <c r="I614" s="68"/>
      <c r="J614" s="68"/>
      <c r="K614" s="32"/>
      <c r="L614" s="75">
        <v>614</v>
      </c>
      <c r="M614" s="75"/>
      <c r="N614" s="70"/>
      <c r="O614" s="77" t="s">
        <v>179</v>
      </c>
      <c r="P614" s="79">
        <v>45077.796111111114</v>
      </c>
      <c r="Q614" s="77" t="s">
        <v>1897</v>
      </c>
      <c r="R614" s="77">
        <v>0</v>
      </c>
      <c r="S614" s="77">
        <v>0</v>
      </c>
      <c r="T614" s="77">
        <v>0</v>
      </c>
      <c r="U614" s="77">
        <v>0</v>
      </c>
      <c r="V614" s="77">
        <v>9</v>
      </c>
      <c r="W614" s="82" t="s">
        <v>5560</v>
      </c>
      <c r="X614" s="80" t="str">
        <f>HYPERLINK("https://www.freeclassificados.com/ads/dinossauro-animacao-de-festas-11948594445/")</f>
        <v>https://www.freeclassificados.com/ads/dinossauro-animacao-de-festas-11948594445/</v>
      </c>
      <c r="Y614" s="77" t="s">
        <v>7308</v>
      </c>
      <c r="Z614" s="77"/>
      <c r="AA614" s="77"/>
      <c r="AB614" s="77"/>
      <c r="AC614" s="82" t="s">
        <v>10155</v>
      </c>
      <c r="AD614" s="77" t="s">
        <v>10184</v>
      </c>
      <c r="AE614" s="80" t="str">
        <f>HYPERLINK("https://twitter.com/freeclassific/status/1663985296940371968")</f>
        <v>https://twitter.com/freeclassific/status/1663985296940371968</v>
      </c>
      <c r="AF614" s="79">
        <v>45077.796111111114</v>
      </c>
      <c r="AG614" s="85">
        <v>45077</v>
      </c>
      <c r="AH614" s="82" t="s">
        <v>10768</v>
      </c>
      <c r="AI614" s="77" t="b">
        <v>0</v>
      </c>
      <c r="AJ614" s="77"/>
      <c r="AK614" s="77"/>
      <c r="AL614" s="77"/>
      <c r="AM614" s="77"/>
      <c r="AN614" s="77"/>
      <c r="AO614" s="77"/>
      <c r="AP614" s="77"/>
      <c r="AQ614" s="77"/>
      <c r="AR614" s="77"/>
      <c r="AS614" s="77"/>
      <c r="AT614" s="77"/>
      <c r="AU614" s="77"/>
      <c r="AV614" s="80" t="str">
        <f>HYPERLINK("https://pbs.twimg.com/profile_images/1431648743728852993/tLJ7F5Lu_normal.png")</f>
        <v>https://pbs.twimg.com/profile_images/1431648743728852993/tLJ7F5Lu_normal.png</v>
      </c>
      <c r="AW614" s="82" t="s">
        <v>17387</v>
      </c>
      <c r="AX614" s="82" t="s">
        <v>17387</v>
      </c>
      <c r="AY614" s="77"/>
      <c r="AZ614" s="82" t="s">
        <v>20971</v>
      </c>
      <c r="BA614" s="82" t="s">
        <v>20971</v>
      </c>
      <c r="BB614" s="82" t="s">
        <v>20971</v>
      </c>
      <c r="BC614" s="82" t="s">
        <v>17387</v>
      </c>
      <c r="BD614" s="77">
        <v>489723814</v>
      </c>
      <c r="BE614" s="77"/>
      <c r="BF614" s="77"/>
      <c r="BG614" s="77"/>
      <c r="BH614" s="77"/>
      <c r="BI614" s="77"/>
    </row>
    <row r="615" spans="1:61" x14ac:dyDescent="0.25">
      <c r="A615" s="62" t="s">
        <v>418</v>
      </c>
      <c r="B615" s="62" t="s">
        <v>418</v>
      </c>
      <c r="C615" s="63"/>
      <c r="D615" s="64"/>
      <c r="E615" s="65"/>
      <c r="F615" s="66"/>
      <c r="G615" s="63"/>
      <c r="H615" s="67"/>
      <c r="I615" s="68"/>
      <c r="J615" s="68"/>
      <c r="K615" s="32"/>
      <c r="L615" s="75">
        <v>615</v>
      </c>
      <c r="M615" s="75"/>
      <c r="N615" s="70"/>
      <c r="O615" s="77" t="s">
        <v>179</v>
      </c>
      <c r="P615" s="79">
        <v>45077.716921296298</v>
      </c>
      <c r="Q615" s="77" t="s">
        <v>1898</v>
      </c>
      <c r="R615" s="77">
        <v>0</v>
      </c>
      <c r="S615" s="77">
        <v>0</v>
      </c>
      <c r="T615" s="77">
        <v>0</v>
      </c>
      <c r="U615" s="77">
        <v>0</v>
      </c>
      <c r="V615" s="77">
        <v>8</v>
      </c>
      <c r="W615" s="82" t="s">
        <v>5560</v>
      </c>
      <c r="X615" s="80" t="str">
        <f>HYPERLINK("https://www.freeclassificados.com/ads/fazendinha-farm-11948594445-animacao-de-festas/")</f>
        <v>https://www.freeclassificados.com/ads/fazendinha-farm-11948594445-animacao-de-festas/</v>
      </c>
      <c r="Y615" s="77" t="s">
        <v>7308</v>
      </c>
      <c r="Z615" s="77"/>
      <c r="AA615" s="77"/>
      <c r="AB615" s="77"/>
      <c r="AC615" s="82" t="s">
        <v>10155</v>
      </c>
      <c r="AD615" s="77" t="s">
        <v>10184</v>
      </c>
      <c r="AE615" s="80" t="str">
        <f>HYPERLINK("https://twitter.com/freeclassific/status/1663956597352316928")</f>
        <v>https://twitter.com/freeclassific/status/1663956597352316928</v>
      </c>
      <c r="AF615" s="79">
        <v>45077.716921296298</v>
      </c>
      <c r="AG615" s="85">
        <v>45077</v>
      </c>
      <c r="AH615" s="82" t="s">
        <v>10769</v>
      </c>
      <c r="AI615" s="77" t="b">
        <v>0</v>
      </c>
      <c r="AJ615" s="77"/>
      <c r="AK615" s="77"/>
      <c r="AL615" s="77"/>
      <c r="AM615" s="77"/>
      <c r="AN615" s="77"/>
      <c r="AO615" s="77"/>
      <c r="AP615" s="77"/>
      <c r="AQ615" s="77"/>
      <c r="AR615" s="77"/>
      <c r="AS615" s="77"/>
      <c r="AT615" s="77"/>
      <c r="AU615" s="77"/>
      <c r="AV615" s="80" t="str">
        <f>HYPERLINK("https://pbs.twimg.com/profile_images/1431648743728852993/tLJ7F5Lu_normal.png")</f>
        <v>https://pbs.twimg.com/profile_images/1431648743728852993/tLJ7F5Lu_normal.png</v>
      </c>
      <c r="AW615" s="82" t="s">
        <v>17388</v>
      </c>
      <c r="AX615" s="82" t="s">
        <v>17388</v>
      </c>
      <c r="AY615" s="77"/>
      <c r="AZ615" s="82" t="s">
        <v>20971</v>
      </c>
      <c r="BA615" s="82" t="s">
        <v>20971</v>
      </c>
      <c r="BB615" s="82" t="s">
        <v>20971</v>
      </c>
      <c r="BC615" s="82" t="s">
        <v>17388</v>
      </c>
      <c r="BD615" s="77">
        <v>489723814</v>
      </c>
      <c r="BE615" s="77"/>
      <c r="BF615" s="77"/>
      <c r="BG615" s="77"/>
      <c r="BH615" s="77"/>
      <c r="BI615" s="77"/>
    </row>
    <row r="616" spans="1:61" x14ac:dyDescent="0.25">
      <c r="A616" s="62" t="s">
        <v>418</v>
      </c>
      <c r="B616" s="62" t="s">
        <v>418</v>
      </c>
      <c r="C616" s="63"/>
      <c r="D616" s="64"/>
      <c r="E616" s="65"/>
      <c r="F616" s="66"/>
      <c r="G616" s="63"/>
      <c r="H616" s="67"/>
      <c r="I616" s="68"/>
      <c r="J616" s="68"/>
      <c r="K616" s="32"/>
      <c r="L616" s="75">
        <v>616</v>
      </c>
      <c r="M616" s="75"/>
      <c r="N616" s="70"/>
      <c r="O616" s="77" t="s">
        <v>179</v>
      </c>
      <c r="P616" s="79">
        <v>45077.655451388891</v>
      </c>
      <c r="Q616" s="77" t="s">
        <v>1899</v>
      </c>
      <c r="R616" s="77">
        <v>0</v>
      </c>
      <c r="S616" s="77">
        <v>0</v>
      </c>
      <c r="T616" s="77">
        <v>0</v>
      </c>
      <c r="U616" s="77">
        <v>0</v>
      </c>
      <c r="V616" s="77">
        <v>6</v>
      </c>
      <c r="W616" s="82" t="s">
        <v>5560</v>
      </c>
      <c r="X616" s="80" t="str">
        <f>HYPERLINK("https://www.freeclassificados.com/ads/junho-de-ofertas-rio-embalagens/")</f>
        <v>https://www.freeclassificados.com/ads/junho-de-ofertas-rio-embalagens/</v>
      </c>
      <c r="Y616" s="77" t="s">
        <v>7308</v>
      </c>
      <c r="Z616" s="77"/>
      <c r="AA616" s="77"/>
      <c r="AB616" s="77"/>
      <c r="AC616" s="82" t="s">
        <v>10155</v>
      </c>
      <c r="AD616" s="77" t="s">
        <v>10184</v>
      </c>
      <c r="AE616" s="80" t="str">
        <f>HYPERLINK("https://twitter.com/freeclassific/status/1663934322905354248")</f>
        <v>https://twitter.com/freeclassific/status/1663934322905354248</v>
      </c>
      <c r="AF616" s="79">
        <v>45077.655451388891</v>
      </c>
      <c r="AG616" s="85">
        <v>45077</v>
      </c>
      <c r="AH616" s="82" t="s">
        <v>10770</v>
      </c>
      <c r="AI616" s="77" t="b">
        <v>0</v>
      </c>
      <c r="AJ616" s="77"/>
      <c r="AK616" s="77"/>
      <c r="AL616" s="77"/>
      <c r="AM616" s="77"/>
      <c r="AN616" s="77"/>
      <c r="AO616" s="77"/>
      <c r="AP616" s="77"/>
      <c r="AQ616" s="77"/>
      <c r="AR616" s="77"/>
      <c r="AS616" s="77"/>
      <c r="AT616" s="77"/>
      <c r="AU616" s="77"/>
      <c r="AV616" s="80" t="str">
        <f>HYPERLINK("https://pbs.twimg.com/profile_images/1431648743728852993/tLJ7F5Lu_normal.png")</f>
        <v>https://pbs.twimg.com/profile_images/1431648743728852993/tLJ7F5Lu_normal.png</v>
      </c>
      <c r="AW616" s="82" t="s">
        <v>17389</v>
      </c>
      <c r="AX616" s="82" t="s">
        <v>17389</v>
      </c>
      <c r="AY616" s="77"/>
      <c r="AZ616" s="82" t="s">
        <v>20971</v>
      </c>
      <c r="BA616" s="82" t="s">
        <v>20971</v>
      </c>
      <c r="BB616" s="82" t="s">
        <v>20971</v>
      </c>
      <c r="BC616" s="82" t="s">
        <v>17389</v>
      </c>
      <c r="BD616" s="77">
        <v>489723814</v>
      </c>
      <c r="BE616" s="77"/>
      <c r="BF616" s="77"/>
      <c r="BG616" s="77"/>
      <c r="BH616" s="77"/>
      <c r="BI616" s="77"/>
    </row>
    <row r="617" spans="1:61" x14ac:dyDescent="0.25">
      <c r="A617" s="62" t="s">
        <v>418</v>
      </c>
      <c r="B617" s="62" t="s">
        <v>418</v>
      </c>
      <c r="C617" s="63"/>
      <c r="D617" s="64"/>
      <c r="E617" s="65"/>
      <c r="F617" s="66"/>
      <c r="G617" s="63"/>
      <c r="H617" s="67"/>
      <c r="I617" s="68"/>
      <c r="J617" s="68"/>
      <c r="K617" s="32"/>
      <c r="L617" s="75">
        <v>617</v>
      </c>
      <c r="M617" s="75"/>
      <c r="N617" s="70"/>
      <c r="O617" s="77" t="s">
        <v>179</v>
      </c>
      <c r="P617" s="79">
        <v>45077.559016203704</v>
      </c>
      <c r="Q617" s="77" t="s">
        <v>1900</v>
      </c>
      <c r="R617" s="77">
        <v>0</v>
      </c>
      <c r="S617" s="77">
        <v>0</v>
      </c>
      <c r="T617" s="77">
        <v>0</v>
      </c>
      <c r="U617" s="77">
        <v>0</v>
      </c>
      <c r="V617" s="77">
        <v>9</v>
      </c>
      <c r="W617" s="82" t="s">
        <v>5560</v>
      </c>
      <c r="X617" s="80" t="str">
        <f>HYPERLINK("https://www.freeclassificados.com/ads/espaco-linda-depilacao-e-quiropraxia-freg-do-o/")</f>
        <v>https://www.freeclassificados.com/ads/espaco-linda-depilacao-e-quiropraxia-freg-do-o/</v>
      </c>
      <c r="Y617" s="77" t="s">
        <v>7308</v>
      </c>
      <c r="Z617" s="77"/>
      <c r="AA617" s="77"/>
      <c r="AB617" s="77"/>
      <c r="AC617" s="82" t="s">
        <v>10155</v>
      </c>
      <c r="AD617" s="77" t="s">
        <v>10184</v>
      </c>
      <c r="AE617" s="80" t="str">
        <f>HYPERLINK("https://twitter.com/freeclassific/status/1663899377243672576")</f>
        <v>https://twitter.com/freeclassific/status/1663899377243672576</v>
      </c>
      <c r="AF617" s="79">
        <v>45077.559016203704</v>
      </c>
      <c r="AG617" s="85">
        <v>45077</v>
      </c>
      <c r="AH617" s="82" t="s">
        <v>10771</v>
      </c>
      <c r="AI617" s="77" t="b">
        <v>0</v>
      </c>
      <c r="AJ617" s="77"/>
      <c r="AK617" s="77"/>
      <c r="AL617" s="77"/>
      <c r="AM617" s="77"/>
      <c r="AN617" s="77"/>
      <c r="AO617" s="77"/>
      <c r="AP617" s="77"/>
      <c r="AQ617" s="77"/>
      <c r="AR617" s="77"/>
      <c r="AS617" s="77"/>
      <c r="AT617" s="77"/>
      <c r="AU617" s="77"/>
      <c r="AV617" s="80" t="str">
        <f>HYPERLINK("https://pbs.twimg.com/profile_images/1431648743728852993/tLJ7F5Lu_normal.png")</f>
        <v>https://pbs.twimg.com/profile_images/1431648743728852993/tLJ7F5Lu_normal.png</v>
      </c>
      <c r="AW617" s="82" t="s">
        <v>17390</v>
      </c>
      <c r="AX617" s="82" t="s">
        <v>17390</v>
      </c>
      <c r="AY617" s="77"/>
      <c r="AZ617" s="82" t="s">
        <v>20971</v>
      </c>
      <c r="BA617" s="82" t="s">
        <v>20971</v>
      </c>
      <c r="BB617" s="82" t="s">
        <v>20971</v>
      </c>
      <c r="BC617" s="82" t="s">
        <v>17390</v>
      </c>
      <c r="BD617" s="77">
        <v>489723814</v>
      </c>
      <c r="BE617" s="77"/>
      <c r="BF617" s="77"/>
      <c r="BG617" s="77"/>
      <c r="BH617" s="77"/>
      <c r="BI617" s="77"/>
    </row>
    <row r="618" spans="1:61" x14ac:dyDescent="0.25">
      <c r="A618" s="62" t="s">
        <v>418</v>
      </c>
      <c r="B618" s="62" t="s">
        <v>418</v>
      </c>
      <c r="C618" s="63"/>
      <c r="D618" s="64"/>
      <c r="E618" s="65"/>
      <c r="F618" s="66"/>
      <c r="G618" s="63"/>
      <c r="H618" s="67"/>
      <c r="I618" s="68"/>
      <c r="J618" s="68"/>
      <c r="K618" s="32"/>
      <c r="L618" s="75">
        <v>618</v>
      </c>
      <c r="M618" s="75"/>
      <c r="N618" s="70"/>
      <c r="O618" s="77" t="s">
        <v>179</v>
      </c>
      <c r="P618" s="79">
        <v>45076.954722222225</v>
      </c>
      <c r="Q618" s="77" t="s">
        <v>1901</v>
      </c>
      <c r="R618" s="77">
        <v>0</v>
      </c>
      <c r="S618" s="77">
        <v>0</v>
      </c>
      <c r="T618" s="77">
        <v>0</v>
      </c>
      <c r="U618" s="77">
        <v>0</v>
      </c>
      <c r="V618" s="77">
        <v>19</v>
      </c>
      <c r="W618" s="82" t="s">
        <v>5560</v>
      </c>
      <c r="X618" s="80" t="str">
        <f>HYPERLINK("https://www.freeclassificados.com/ads/aladdin-e-jasmine-animacao-de-festas-11948594445/")</f>
        <v>https://www.freeclassificados.com/ads/aladdin-e-jasmine-animacao-de-festas-11948594445/</v>
      </c>
      <c r="Y618" s="77" t="s">
        <v>7308</v>
      </c>
      <c r="Z618" s="77"/>
      <c r="AA618" s="77"/>
      <c r="AB618" s="77"/>
      <c r="AC618" s="82" t="s">
        <v>10155</v>
      </c>
      <c r="AD618" s="77" t="s">
        <v>10184</v>
      </c>
      <c r="AE618" s="80" t="str">
        <f>HYPERLINK("https://twitter.com/freeclassific/status/1663680385841270784")</f>
        <v>https://twitter.com/freeclassific/status/1663680385841270784</v>
      </c>
      <c r="AF618" s="79">
        <v>45076.954722222225</v>
      </c>
      <c r="AG618" s="85">
        <v>45076</v>
      </c>
      <c r="AH618" s="82" t="s">
        <v>10772</v>
      </c>
      <c r="AI618" s="77" t="b">
        <v>0</v>
      </c>
      <c r="AJ618" s="77"/>
      <c r="AK618" s="77"/>
      <c r="AL618" s="77"/>
      <c r="AM618" s="77"/>
      <c r="AN618" s="77"/>
      <c r="AO618" s="77"/>
      <c r="AP618" s="77"/>
      <c r="AQ618" s="77"/>
      <c r="AR618" s="77"/>
      <c r="AS618" s="77"/>
      <c r="AT618" s="77"/>
      <c r="AU618" s="77"/>
      <c r="AV618" s="80" t="str">
        <f>HYPERLINK("https://pbs.twimg.com/profile_images/1431648743728852993/tLJ7F5Lu_normal.png")</f>
        <v>https://pbs.twimg.com/profile_images/1431648743728852993/tLJ7F5Lu_normal.png</v>
      </c>
      <c r="AW618" s="82" t="s">
        <v>17391</v>
      </c>
      <c r="AX618" s="82" t="s">
        <v>17391</v>
      </c>
      <c r="AY618" s="77"/>
      <c r="AZ618" s="82" t="s">
        <v>20971</v>
      </c>
      <c r="BA618" s="82" t="s">
        <v>20971</v>
      </c>
      <c r="BB618" s="82" t="s">
        <v>20971</v>
      </c>
      <c r="BC618" s="82" t="s">
        <v>17391</v>
      </c>
      <c r="BD618" s="77">
        <v>489723814</v>
      </c>
      <c r="BE618" s="77"/>
      <c r="BF618" s="77"/>
      <c r="BG618" s="77"/>
      <c r="BH618" s="77"/>
      <c r="BI618" s="77"/>
    </row>
    <row r="619" spans="1:61" x14ac:dyDescent="0.25">
      <c r="A619" s="62" t="s">
        <v>418</v>
      </c>
      <c r="B619" s="62" t="s">
        <v>418</v>
      </c>
      <c r="C619" s="63"/>
      <c r="D619" s="64"/>
      <c r="E619" s="65"/>
      <c r="F619" s="66"/>
      <c r="G619" s="63"/>
      <c r="H619" s="67"/>
      <c r="I619" s="68"/>
      <c r="J619" s="68"/>
      <c r="K619" s="32"/>
      <c r="L619" s="75">
        <v>619</v>
      </c>
      <c r="M619" s="75"/>
      <c r="N619" s="70"/>
      <c r="O619" s="77" t="s">
        <v>179</v>
      </c>
      <c r="P619" s="79">
        <v>45076.812604166669</v>
      </c>
      <c r="Q619" s="77" t="s">
        <v>1902</v>
      </c>
      <c r="R619" s="77">
        <v>0</v>
      </c>
      <c r="S619" s="77">
        <v>0</v>
      </c>
      <c r="T619" s="77">
        <v>0</v>
      </c>
      <c r="U619" s="77">
        <v>0</v>
      </c>
      <c r="V619" s="77">
        <v>13</v>
      </c>
      <c r="W619" s="82" t="s">
        <v>5560</v>
      </c>
      <c r="X619" s="80" t="str">
        <f>HYPERLINK("https://www.freeclassificados.com/ads/now-united-show-cover-11948594445/")</f>
        <v>https://www.freeclassificados.com/ads/now-united-show-cover-11948594445/</v>
      </c>
      <c r="Y619" s="77" t="s">
        <v>7308</v>
      </c>
      <c r="Z619" s="77"/>
      <c r="AA619" s="77"/>
      <c r="AB619" s="77"/>
      <c r="AC619" s="82" t="s">
        <v>10155</v>
      </c>
      <c r="AD619" s="77" t="s">
        <v>10185</v>
      </c>
      <c r="AE619" s="80" t="str">
        <f>HYPERLINK("https://twitter.com/freeclassific/status/1663628886427705344")</f>
        <v>https://twitter.com/freeclassific/status/1663628886427705344</v>
      </c>
      <c r="AF619" s="79">
        <v>45076.812604166669</v>
      </c>
      <c r="AG619" s="85">
        <v>45076</v>
      </c>
      <c r="AH619" s="82" t="s">
        <v>10773</v>
      </c>
      <c r="AI619" s="77" t="b">
        <v>0</v>
      </c>
      <c r="AJ619" s="77"/>
      <c r="AK619" s="77"/>
      <c r="AL619" s="77"/>
      <c r="AM619" s="77"/>
      <c r="AN619" s="77"/>
      <c r="AO619" s="77"/>
      <c r="AP619" s="77"/>
      <c r="AQ619" s="77"/>
      <c r="AR619" s="77"/>
      <c r="AS619" s="77"/>
      <c r="AT619" s="77"/>
      <c r="AU619" s="77"/>
      <c r="AV619" s="80" t="str">
        <f>HYPERLINK("https://pbs.twimg.com/profile_images/1431648743728852993/tLJ7F5Lu_normal.png")</f>
        <v>https://pbs.twimg.com/profile_images/1431648743728852993/tLJ7F5Lu_normal.png</v>
      </c>
      <c r="AW619" s="82" t="s">
        <v>17392</v>
      </c>
      <c r="AX619" s="82" t="s">
        <v>17392</v>
      </c>
      <c r="AY619" s="77"/>
      <c r="AZ619" s="82" t="s">
        <v>20971</v>
      </c>
      <c r="BA619" s="82" t="s">
        <v>20971</v>
      </c>
      <c r="BB619" s="82" t="s">
        <v>20971</v>
      </c>
      <c r="BC619" s="82" t="s">
        <v>17392</v>
      </c>
      <c r="BD619" s="77">
        <v>489723814</v>
      </c>
      <c r="BE619" s="77"/>
      <c r="BF619" s="77"/>
      <c r="BG619" s="77"/>
      <c r="BH619" s="77"/>
      <c r="BI619" s="77"/>
    </row>
    <row r="620" spans="1:61" x14ac:dyDescent="0.25">
      <c r="A620" s="62" t="s">
        <v>418</v>
      </c>
      <c r="B620" s="62" t="s">
        <v>418</v>
      </c>
      <c r="C620" s="63"/>
      <c r="D620" s="64"/>
      <c r="E620" s="65"/>
      <c r="F620" s="66"/>
      <c r="G620" s="63"/>
      <c r="H620" s="67"/>
      <c r="I620" s="68"/>
      <c r="J620" s="68"/>
      <c r="K620" s="32"/>
      <c r="L620" s="75">
        <v>620</v>
      </c>
      <c r="M620" s="75"/>
      <c r="N620" s="70"/>
      <c r="O620" s="77" t="s">
        <v>179</v>
      </c>
      <c r="P620" s="79">
        <v>45076.755856481483</v>
      </c>
      <c r="Q620" s="77" t="s">
        <v>1903</v>
      </c>
      <c r="R620" s="77">
        <v>0</v>
      </c>
      <c r="S620" s="77">
        <v>0</v>
      </c>
      <c r="T620" s="77">
        <v>0</v>
      </c>
      <c r="U620" s="77">
        <v>0</v>
      </c>
      <c r="V620" s="77">
        <v>6</v>
      </c>
      <c r="W620" s="82" t="s">
        <v>5560</v>
      </c>
      <c r="X620" s="80" t="str">
        <f>HYPERLINK("https://www.freeclassificados.com/ads/sacolas-personalizadas-rio-embalagens-rj/")</f>
        <v>https://www.freeclassificados.com/ads/sacolas-personalizadas-rio-embalagens-rj/</v>
      </c>
      <c r="Y620" s="77" t="s">
        <v>7308</v>
      </c>
      <c r="Z620" s="77"/>
      <c r="AA620" s="77"/>
      <c r="AB620" s="77"/>
      <c r="AC620" s="82" t="s">
        <v>10155</v>
      </c>
      <c r="AD620" s="77" t="s">
        <v>10184</v>
      </c>
      <c r="AE620" s="80" t="str">
        <f>HYPERLINK("https://twitter.com/freeclassific/status/1663608319733555200")</f>
        <v>https://twitter.com/freeclassific/status/1663608319733555200</v>
      </c>
      <c r="AF620" s="79">
        <v>45076.755856481483</v>
      </c>
      <c r="AG620" s="85">
        <v>45076</v>
      </c>
      <c r="AH620" s="82" t="s">
        <v>10774</v>
      </c>
      <c r="AI620" s="77" t="b">
        <v>0</v>
      </c>
      <c r="AJ620" s="77"/>
      <c r="AK620" s="77"/>
      <c r="AL620" s="77"/>
      <c r="AM620" s="77"/>
      <c r="AN620" s="77"/>
      <c r="AO620" s="77"/>
      <c r="AP620" s="77"/>
      <c r="AQ620" s="77"/>
      <c r="AR620" s="77"/>
      <c r="AS620" s="77"/>
      <c r="AT620" s="77"/>
      <c r="AU620" s="77"/>
      <c r="AV620" s="80" t="str">
        <f>HYPERLINK("https://pbs.twimg.com/profile_images/1431648743728852993/tLJ7F5Lu_normal.png")</f>
        <v>https://pbs.twimg.com/profile_images/1431648743728852993/tLJ7F5Lu_normal.png</v>
      </c>
      <c r="AW620" s="82" t="s">
        <v>17393</v>
      </c>
      <c r="AX620" s="82" t="s">
        <v>17393</v>
      </c>
      <c r="AY620" s="77"/>
      <c r="AZ620" s="82" t="s">
        <v>20971</v>
      </c>
      <c r="BA620" s="82" t="s">
        <v>20971</v>
      </c>
      <c r="BB620" s="82" t="s">
        <v>20971</v>
      </c>
      <c r="BC620" s="82" t="s">
        <v>17393</v>
      </c>
      <c r="BD620" s="77">
        <v>489723814</v>
      </c>
      <c r="BE620" s="77"/>
      <c r="BF620" s="77"/>
      <c r="BG620" s="77"/>
      <c r="BH620" s="77"/>
      <c r="BI620" s="77"/>
    </row>
    <row r="621" spans="1:61" x14ac:dyDescent="0.25">
      <c r="A621" s="62" t="s">
        <v>418</v>
      </c>
      <c r="B621" s="62" t="s">
        <v>418</v>
      </c>
      <c r="C621" s="63"/>
      <c r="D621" s="64"/>
      <c r="E621" s="65"/>
      <c r="F621" s="66"/>
      <c r="G621" s="63"/>
      <c r="H621" s="67"/>
      <c r="I621" s="68"/>
      <c r="J621" s="68"/>
      <c r="K621" s="32"/>
      <c r="L621" s="75">
        <v>621</v>
      </c>
      <c r="M621" s="75"/>
      <c r="N621" s="70"/>
      <c r="O621" s="77" t="s">
        <v>179</v>
      </c>
      <c r="P621" s="79">
        <v>45076.71603009259</v>
      </c>
      <c r="Q621" s="77" t="s">
        <v>1904</v>
      </c>
      <c r="R621" s="77">
        <v>0</v>
      </c>
      <c r="S621" s="77">
        <v>0</v>
      </c>
      <c r="T621" s="77">
        <v>0</v>
      </c>
      <c r="U621" s="77">
        <v>0</v>
      </c>
      <c r="V621" s="77">
        <v>5</v>
      </c>
      <c r="W621" s="82" t="s">
        <v>5560</v>
      </c>
      <c r="X621" s="80" t="str">
        <f>HYPERLINK("https://www.freeclassificados.com/ads/entre-lacos-show-cover-11948594445/")</f>
        <v>https://www.freeclassificados.com/ads/entre-lacos-show-cover-11948594445/</v>
      </c>
      <c r="Y621" s="77" t="s">
        <v>7308</v>
      </c>
      <c r="Z621" s="77"/>
      <c r="AA621" s="77"/>
      <c r="AB621" s="77"/>
      <c r="AC621" s="82" t="s">
        <v>10155</v>
      </c>
      <c r="AD621" s="77" t="s">
        <v>10188</v>
      </c>
      <c r="AE621" s="80" t="str">
        <f>HYPERLINK("https://twitter.com/freeclassific/status/1663593887506759680")</f>
        <v>https://twitter.com/freeclassific/status/1663593887506759680</v>
      </c>
      <c r="AF621" s="79">
        <v>45076.71603009259</v>
      </c>
      <c r="AG621" s="85">
        <v>45076</v>
      </c>
      <c r="AH621" s="82" t="s">
        <v>10775</v>
      </c>
      <c r="AI621" s="77" t="b">
        <v>0</v>
      </c>
      <c r="AJ621" s="77"/>
      <c r="AK621" s="77"/>
      <c r="AL621" s="77"/>
      <c r="AM621" s="77"/>
      <c r="AN621" s="77"/>
      <c r="AO621" s="77"/>
      <c r="AP621" s="77"/>
      <c r="AQ621" s="77"/>
      <c r="AR621" s="77"/>
      <c r="AS621" s="77"/>
      <c r="AT621" s="77"/>
      <c r="AU621" s="77"/>
      <c r="AV621" s="80" t="str">
        <f>HYPERLINK("https://pbs.twimg.com/profile_images/1431648743728852993/tLJ7F5Lu_normal.png")</f>
        <v>https://pbs.twimg.com/profile_images/1431648743728852993/tLJ7F5Lu_normal.png</v>
      </c>
      <c r="AW621" s="82" t="s">
        <v>17394</v>
      </c>
      <c r="AX621" s="82" t="s">
        <v>17394</v>
      </c>
      <c r="AY621" s="77"/>
      <c r="AZ621" s="82" t="s">
        <v>20971</v>
      </c>
      <c r="BA621" s="82" t="s">
        <v>20971</v>
      </c>
      <c r="BB621" s="82" t="s">
        <v>20971</v>
      </c>
      <c r="BC621" s="82" t="s">
        <v>17394</v>
      </c>
      <c r="BD621" s="77">
        <v>489723814</v>
      </c>
      <c r="BE621" s="77"/>
      <c r="BF621" s="77"/>
      <c r="BG621" s="77"/>
      <c r="BH621" s="77"/>
      <c r="BI621" s="77"/>
    </row>
    <row r="622" spans="1:61" x14ac:dyDescent="0.25">
      <c r="A622" s="62" t="s">
        <v>418</v>
      </c>
      <c r="B622" s="62" t="s">
        <v>418</v>
      </c>
      <c r="C622" s="63"/>
      <c r="D622" s="64"/>
      <c r="E622" s="65"/>
      <c r="F622" s="66"/>
      <c r="G622" s="63"/>
      <c r="H622" s="67"/>
      <c r="I622" s="68"/>
      <c r="J622" s="68"/>
      <c r="K622" s="32"/>
      <c r="L622" s="75">
        <v>622</v>
      </c>
      <c r="M622" s="75"/>
      <c r="N622" s="70"/>
      <c r="O622" s="77" t="s">
        <v>179</v>
      </c>
      <c r="P622" s="79">
        <v>45053.698680555557</v>
      </c>
      <c r="Q622" s="77" t="s">
        <v>1905</v>
      </c>
      <c r="R622" s="77">
        <v>0</v>
      </c>
      <c r="S622" s="77">
        <v>0</v>
      </c>
      <c r="T622" s="77">
        <v>0</v>
      </c>
      <c r="U622" s="77">
        <v>0</v>
      </c>
      <c r="V622" s="77">
        <v>10</v>
      </c>
      <c r="W622" s="82" t="s">
        <v>5560</v>
      </c>
      <c r="X622" s="80" t="str">
        <f>HYPERLINK("https://www.freeclassificados.com/ads/criacao-de-site-profissional-100-gerenciavel/")</f>
        <v>https://www.freeclassificados.com/ads/criacao-de-site-profissional-100-gerenciavel/</v>
      </c>
      <c r="Y622" s="77" t="s">
        <v>7308</v>
      </c>
      <c r="Z622" s="77"/>
      <c r="AA622" s="77"/>
      <c r="AB622" s="77"/>
      <c r="AC622" s="82" t="s">
        <v>10155</v>
      </c>
      <c r="AD622" s="77" t="s">
        <v>10184</v>
      </c>
      <c r="AE622" s="80" t="str">
        <f>HYPERLINK("https://twitter.com/freeclassific/status/1655252678992351234")</f>
        <v>https://twitter.com/freeclassific/status/1655252678992351234</v>
      </c>
      <c r="AF622" s="79">
        <v>45053.698680555557</v>
      </c>
      <c r="AG622" s="85">
        <v>45053</v>
      </c>
      <c r="AH622" s="82" t="s">
        <v>10776</v>
      </c>
      <c r="AI622" s="77" t="b">
        <v>0</v>
      </c>
      <c r="AJ622" s="77"/>
      <c r="AK622" s="77"/>
      <c r="AL622" s="77"/>
      <c r="AM622" s="77"/>
      <c r="AN622" s="77"/>
      <c r="AO622" s="77"/>
      <c r="AP622" s="77"/>
      <c r="AQ622" s="77"/>
      <c r="AR622" s="77"/>
      <c r="AS622" s="77"/>
      <c r="AT622" s="77"/>
      <c r="AU622" s="77"/>
      <c r="AV622" s="80" t="str">
        <f>HYPERLINK("https://pbs.twimg.com/profile_images/1431648743728852993/tLJ7F5Lu_normal.png")</f>
        <v>https://pbs.twimg.com/profile_images/1431648743728852993/tLJ7F5Lu_normal.png</v>
      </c>
      <c r="AW622" s="82" t="s">
        <v>17395</v>
      </c>
      <c r="AX622" s="82" t="s">
        <v>17395</v>
      </c>
      <c r="AY622" s="77"/>
      <c r="AZ622" s="82" t="s">
        <v>20971</v>
      </c>
      <c r="BA622" s="82" t="s">
        <v>20971</v>
      </c>
      <c r="BB622" s="82" t="s">
        <v>20971</v>
      </c>
      <c r="BC622" s="82" t="s">
        <v>17395</v>
      </c>
      <c r="BD622" s="77">
        <v>489723814</v>
      </c>
      <c r="BE622" s="77"/>
      <c r="BF622" s="77"/>
      <c r="BG622" s="77"/>
      <c r="BH622" s="77"/>
      <c r="BI622" s="77"/>
    </row>
    <row r="623" spans="1:61" x14ac:dyDescent="0.25">
      <c r="A623" s="62" t="s">
        <v>418</v>
      </c>
      <c r="B623" s="62" t="s">
        <v>418</v>
      </c>
      <c r="C623" s="63"/>
      <c r="D623" s="64"/>
      <c r="E623" s="65"/>
      <c r="F623" s="66"/>
      <c r="G623" s="63"/>
      <c r="H623" s="67"/>
      <c r="I623" s="68"/>
      <c r="J623" s="68"/>
      <c r="K623" s="32"/>
      <c r="L623" s="75">
        <v>623</v>
      </c>
      <c r="M623" s="75"/>
      <c r="N623" s="70"/>
      <c r="O623" s="77" t="s">
        <v>179</v>
      </c>
      <c r="P623" s="79">
        <v>45053.625578703701</v>
      </c>
      <c r="Q623" s="77" t="s">
        <v>1906</v>
      </c>
      <c r="R623" s="77">
        <v>0</v>
      </c>
      <c r="S623" s="77">
        <v>0</v>
      </c>
      <c r="T623" s="77">
        <v>0</v>
      </c>
      <c r="U623" s="77">
        <v>0</v>
      </c>
      <c r="V623" s="77">
        <v>13</v>
      </c>
      <c r="W623" s="82" t="s">
        <v>5560</v>
      </c>
      <c r="X623" s="80" t="str">
        <f>HYPERLINK("https://www.freeclassificados.com/ads/quanto-eu-ganhei-em-07-dias-na-pix-connection-sera-que-funciona-r1-35000-com-o-celular/")</f>
        <v>https://www.freeclassificados.com/ads/quanto-eu-ganhei-em-07-dias-na-pix-connection-sera-que-funciona-r1-35000-com-o-celular/</v>
      </c>
      <c r="Y623" s="77" t="s">
        <v>7308</v>
      </c>
      <c r="Z623" s="77"/>
      <c r="AA623" s="77"/>
      <c r="AB623" s="77"/>
      <c r="AC623" s="82" t="s">
        <v>10155</v>
      </c>
      <c r="AD623" s="77" t="s">
        <v>10184</v>
      </c>
      <c r="AE623" s="80" t="str">
        <f>HYPERLINK("https://twitter.com/freeclassific/status/1655226188267388933")</f>
        <v>https://twitter.com/freeclassific/status/1655226188267388933</v>
      </c>
      <c r="AF623" s="79">
        <v>45053.625578703701</v>
      </c>
      <c r="AG623" s="85">
        <v>45053</v>
      </c>
      <c r="AH623" s="82" t="s">
        <v>10777</v>
      </c>
      <c r="AI623" s="77" t="b">
        <v>0</v>
      </c>
      <c r="AJ623" s="77"/>
      <c r="AK623" s="77"/>
      <c r="AL623" s="77"/>
      <c r="AM623" s="77"/>
      <c r="AN623" s="77"/>
      <c r="AO623" s="77"/>
      <c r="AP623" s="77"/>
      <c r="AQ623" s="77"/>
      <c r="AR623" s="77"/>
      <c r="AS623" s="77"/>
      <c r="AT623" s="77"/>
      <c r="AU623" s="77"/>
      <c r="AV623" s="80" t="str">
        <f>HYPERLINK("https://pbs.twimg.com/profile_images/1431648743728852993/tLJ7F5Lu_normal.png")</f>
        <v>https://pbs.twimg.com/profile_images/1431648743728852993/tLJ7F5Lu_normal.png</v>
      </c>
      <c r="AW623" s="82" t="s">
        <v>17396</v>
      </c>
      <c r="AX623" s="82" t="s">
        <v>17396</v>
      </c>
      <c r="AY623" s="77"/>
      <c r="AZ623" s="82" t="s">
        <v>20971</v>
      </c>
      <c r="BA623" s="82" t="s">
        <v>20971</v>
      </c>
      <c r="BB623" s="82" t="s">
        <v>20971</v>
      </c>
      <c r="BC623" s="82" t="s">
        <v>17396</v>
      </c>
      <c r="BD623" s="77">
        <v>489723814</v>
      </c>
      <c r="BE623" s="77"/>
      <c r="BF623" s="77"/>
      <c r="BG623" s="77"/>
      <c r="BH623" s="77"/>
      <c r="BI623" s="77"/>
    </row>
    <row r="624" spans="1:61" x14ac:dyDescent="0.25">
      <c r="A624" s="62" t="s">
        <v>418</v>
      </c>
      <c r="B624" s="62" t="s">
        <v>418</v>
      </c>
      <c r="C624" s="63"/>
      <c r="D624" s="64"/>
      <c r="E624" s="65"/>
      <c r="F624" s="66"/>
      <c r="G624" s="63"/>
      <c r="H624" s="67"/>
      <c r="I624" s="68"/>
      <c r="J624" s="68"/>
      <c r="K624" s="32"/>
      <c r="L624" s="75">
        <v>624</v>
      </c>
      <c r="M624" s="75"/>
      <c r="N624" s="70"/>
      <c r="O624" s="77" t="s">
        <v>179</v>
      </c>
      <c r="P624" s="79">
        <v>45053.624120370368</v>
      </c>
      <c r="Q624" s="77" t="s">
        <v>1907</v>
      </c>
      <c r="R624" s="77">
        <v>0</v>
      </c>
      <c r="S624" s="77">
        <v>0</v>
      </c>
      <c r="T624" s="77">
        <v>0</v>
      </c>
      <c r="U624" s="77">
        <v>0</v>
      </c>
      <c r="V624" s="77">
        <v>10</v>
      </c>
      <c r="W624" s="82" t="s">
        <v>5560</v>
      </c>
      <c r="X624" s="80" t="str">
        <f>HYPERLINK("https://www.freeclassificados.com/ads/classificados-gratis-para-afiliados-anuncios-nao-expiram/")</f>
        <v>https://www.freeclassificados.com/ads/classificados-gratis-para-afiliados-anuncios-nao-expiram/</v>
      </c>
      <c r="Y624" s="77" t="s">
        <v>7308</v>
      </c>
      <c r="Z624" s="77"/>
      <c r="AA624" s="77"/>
      <c r="AB624" s="77"/>
      <c r="AC624" s="82" t="s">
        <v>10155</v>
      </c>
      <c r="AD624" s="77" t="s">
        <v>10184</v>
      </c>
      <c r="AE624" s="80" t="str">
        <f>HYPERLINK("https://twitter.com/freeclassific/status/1655225659571195904")</f>
        <v>https://twitter.com/freeclassific/status/1655225659571195904</v>
      </c>
      <c r="AF624" s="79">
        <v>45053.624120370368</v>
      </c>
      <c r="AG624" s="85">
        <v>45053</v>
      </c>
      <c r="AH624" s="82" t="s">
        <v>10778</v>
      </c>
      <c r="AI624" s="77" t="b">
        <v>0</v>
      </c>
      <c r="AJ624" s="77"/>
      <c r="AK624" s="77"/>
      <c r="AL624" s="77"/>
      <c r="AM624" s="77"/>
      <c r="AN624" s="77"/>
      <c r="AO624" s="77"/>
      <c r="AP624" s="77"/>
      <c r="AQ624" s="77"/>
      <c r="AR624" s="77"/>
      <c r="AS624" s="77"/>
      <c r="AT624" s="77"/>
      <c r="AU624" s="77"/>
      <c r="AV624" s="80" t="str">
        <f>HYPERLINK("https://pbs.twimg.com/profile_images/1431648743728852993/tLJ7F5Lu_normal.png")</f>
        <v>https://pbs.twimg.com/profile_images/1431648743728852993/tLJ7F5Lu_normal.png</v>
      </c>
      <c r="AW624" s="82" t="s">
        <v>17397</v>
      </c>
      <c r="AX624" s="82" t="s">
        <v>17397</v>
      </c>
      <c r="AY624" s="77"/>
      <c r="AZ624" s="82" t="s">
        <v>20971</v>
      </c>
      <c r="BA624" s="82" t="s">
        <v>20971</v>
      </c>
      <c r="BB624" s="82" t="s">
        <v>20971</v>
      </c>
      <c r="BC624" s="82" t="s">
        <v>17397</v>
      </c>
      <c r="BD624" s="77">
        <v>489723814</v>
      </c>
      <c r="BE624" s="77"/>
      <c r="BF624" s="77"/>
      <c r="BG624" s="77"/>
      <c r="BH624" s="77"/>
      <c r="BI624" s="77"/>
    </row>
    <row r="625" spans="1:61" x14ac:dyDescent="0.25">
      <c r="A625" s="62" t="s">
        <v>418</v>
      </c>
      <c r="B625" s="62" t="s">
        <v>418</v>
      </c>
      <c r="C625" s="63"/>
      <c r="D625" s="64"/>
      <c r="E625" s="65"/>
      <c r="F625" s="66"/>
      <c r="G625" s="63"/>
      <c r="H625" s="67"/>
      <c r="I625" s="68"/>
      <c r="J625" s="68"/>
      <c r="K625" s="32"/>
      <c r="L625" s="75">
        <v>625</v>
      </c>
      <c r="M625" s="75"/>
      <c r="N625" s="70"/>
      <c r="O625" s="77" t="s">
        <v>179</v>
      </c>
      <c r="P625" s="79">
        <v>45053.62400462963</v>
      </c>
      <c r="Q625" s="77" t="s">
        <v>1908</v>
      </c>
      <c r="R625" s="77">
        <v>0</v>
      </c>
      <c r="S625" s="77">
        <v>0</v>
      </c>
      <c r="T625" s="77">
        <v>0</v>
      </c>
      <c r="U625" s="77">
        <v>0</v>
      </c>
      <c r="V625" s="77">
        <v>10</v>
      </c>
      <c r="W625" s="82" t="s">
        <v>5560</v>
      </c>
      <c r="X625" s="80" t="str">
        <f>HYPERLINK("https://www.freeclassificados.com/ads/classificados-gratis-para-afiliados-anuncios-nao-expiram-2/")</f>
        <v>https://www.freeclassificados.com/ads/classificados-gratis-para-afiliados-anuncios-nao-expiram-2/</v>
      </c>
      <c r="Y625" s="77" t="s">
        <v>7308</v>
      </c>
      <c r="Z625" s="77"/>
      <c r="AA625" s="77"/>
      <c r="AB625" s="77"/>
      <c r="AC625" s="82" t="s">
        <v>10155</v>
      </c>
      <c r="AD625" s="77" t="s">
        <v>10184</v>
      </c>
      <c r="AE625" s="80" t="str">
        <f>HYPERLINK("https://twitter.com/freeclassific/status/1655225616642502657")</f>
        <v>https://twitter.com/freeclassific/status/1655225616642502657</v>
      </c>
      <c r="AF625" s="79">
        <v>45053.62400462963</v>
      </c>
      <c r="AG625" s="85">
        <v>45053</v>
      </c>
      <c r="AH625" s="82" t="s">
        <v>10779</v>
      </c>
      <c r="AI625" s="77" t="b">
        <v>0</v>
      </c>
      <c r="AJ625" s="77"/>
      <c r="AK625" s="77"/>
      <c r="AL625" s="77"/>
      <c r="AM625" s="77"/>
      <c r="AN625" s="77"/>
      <c r="AO625" s="77"/>
      <c r="AP625" s="77"/>
      <c r="AQ625" s="77"/>
      <c r="AR625" s="77"/>
      <c r="AS625" s="77"/>
      <c r="AT625" s="77"/>
      <c r="AU625" s="77"/>
      <c r="AV625" s="80" t="str">
        <f>HYPERLINK("https://pbs.twimg.com/profile_images/1431648743728852993/tLJ7F5Lu_normal.png")</f>
        <v>https://pbs.twimg.com/profile_images/1431648743728852993/tLJ7F5Lu_normal.png</v>
      </c>
      <c r="AW625" s="82" t="s">
        <v>17398</v>
      </c>
      <c r="AX625" s="82" t="s">
        <v>17398</v>
      </c>
      <c r="AY625" s="77"/>
      <c r="AZ625" s="82" t="s">
        <v>20971</v>
      </c>
      <c r="BA625" s="82" t="s">
        <v>20971</v>
      </c>
      <c r="BB625" s="82" t="s">
        <v>20971</v>
      </c>
      <c r="BC625" s="82" t="s">
        <v>17398</v>
      </c>
      <c r="BD625" s="77">
        <v>489723814</v>
      </c>
      <c r="BE625" s="77"/>
      <c r="BF625" s="77"/>
      <c r="BG625" s="77"/>
      <c r="BH625" s="77"/>
      <c r="BI625" s="77"/>
    </row>
    <row r="626" spans="1:61" x14ac:dyDescent="0.25">
      <c r="A626" s="62" t="s">
        <v>418</v>
      </c>
      <c r="B626" s="62" t="s">
        <v>418</v>
      </c>
      <c r="C626" s="63"/>
      <c r="D626" s="64"/>
      <c r="E626" s="65"/>
      <c r="F626" s="66"/>
      <c r="G626" s="63"/>
      <c r="H626" s="67"/>
      <c r="I626" s="68"/>
      <c r="J626" s="68"/>
      <c r="K626" s="32"/>
      <c r="L626" s="75">
        <v>626</v>
      </c>
      <c r="M626" s="75"/>
      <c r="N626" s="70"/>
      <c r="O626" s="77" t="s">
        <v>179</v>
      </c>
      <c r="P626" s="79">
        <v>45053.096018518518</v>
      </c>
      <c r="Q626" s="77" t="s">
        <v>1909</v>
      </c>
      <c r="R626" s="77">
        <v>0</v>
      </c>
      <c r="S626" s="77">
        <v>0</v>
      </c>
      <c r="T626" s="77">
        <v>0</v>
      </c>
      <c r="U626" s="77">
        <v>0</v>
      </c>
      <c r="V626" s="77">
        <v>22</v>
      </c>
      <c r="W626" s="82" t="s">
        <v>5560</v>
      </c>
      <c r="X626" s="80" t="str">
        <f>HYPERLINK("https://www.freeclassificados.com/ads/grande-oportunidade-como-ganhar-dinheiro-em-casa-pela-internet/")</f>
        <v>https://www.freeclassificados.com/ads/grande-oportunidade-como-ganhar-dinheiro-em-casa-pela-internet/</v>
      </c>
      <c r="Y626" s="77" t="s">
        <v>7308</v>
      </c>
      <c r="Z626" s="77"/>
      <c r="AA626" s="77"/>
      <c r="AB626" s="77"/>
      <c r="AC626" s="82" t="s">
        <v>10155</v>
      </c>
      <c r="AD626" s="77" t="s">
        <v>10184</v>
      </c>
      <c r="AE626" s="80" t="str">
        <f>HYPERLINK("https://twitter.com/freeclassific/status/1655034281859903489")</f>
        <v>https://twitter.com/freeclassific/status/1655034281859903489</v>
      </c>
      <c r="AF626" s="79">
        <v>45053.096018518518</v>
      </c>
      <c r="AG626" s="85">
        <v>45053</v>
      </c>
      <c r="AH626" s="82" t="s">
        <v>10780</v>
      </c>
      <c r="AI626" s="77" t="b">
        <v>0</v>
      </c>
      <c r="AJ626" s="77"/>
      <c r="AK626" s="77"/>
      <c r="AL626" s="77"/>
      <c r="AM626" s="77"/>
      <c r="AN626" s="77"/>
      <c r="AO626" s="77"/>
      <c r="AP626" s="77"/>
      <c r="AQ626" s="77"/>
      <c r="AR626" s="77"/>
      <c r="AS626" s="77"/>
      <c r="AT626" s="77"/>
      <c r="AU626" s="77"/>
      <c r="AV626" s="80" t="str">
        <f>HYPERLINK("https://pbs.twimg.com/profile_images/1431648743728852993/tLJ7F5Lu_normal.png")</f>
        <v>https://pbs.twimg.com/profile_images/1431648743728852993/tLJ7F5Lu_normal.png</v>
      </c>
      <c r="AW626" s="82" t="s">
        <v>17399</v>
      </c>
      <c r="AX626" s="82" t="s">
        <v>17399</v>
      </c>
      <c r="AY626" s="77"/>
      <c r="AZ626" s="82" t="s">
        <v>20971</v>
      </c>
      <c r="BA626" s="82" t="s">
        <v>20971</v>
      </c>
      <c r="BB626" s="82" t="s">
        <v>20971</v>
      </c>
      <c r="BC626" s="82" t="s">
        <v>17399</v>
      </c>
      <c r="BD626" s="77">
        <v>489723814</v>
      </c>
      <c r="BE626" s="77"/>
      <c r="BF626" s="77"/>
      <c r="BG626" s="77"/>
      <c r="BH626" s="77"/>
      <c r="BI626" s="77"/>
    </row>
    <row r="627" spans="1:61" x14ac:dyDescent="0.25">
      <c r="A627" s="62" t="s">
        <v>418</v>
      </c>
      <c r="B627" s="62" t="s">
        <v>418</v>
      </c>
      <c r="C627" s="63"/>
      <c r="D627" s="64"/>
      <c r="E627" s="65"/>
      <c r="F627" s="66"/>
      <c r="G627" s="63"/>
      <c r="H627" s="67"/>
      <c r="I627" s="68"/>
      <c r="J627" s="68"/>
      <c r="K627" s="32"/>
      <c r="L627" s="75">
        <v>627</v>
      </c>
      <c r="M627" s="75"/>
      <c r="N627" s="70"/>
      <c r="O627" s="77" t="s">
        <v>179</v>
      </c>
      <c r="P627" s="79">
        <v>45053.041319444441</v>
      </c>
      <c r="Q627" s="77" t="s">
        <v>1910</v>
      </c>
      <c r="R627" s="77">
        <v>0</v>
      </c>
      <c r="S627" s="77">
        <v>0</v>
      </c>
      <c r="T627" s="77">
        <v>0</v>
      </c>
      <c r="U627" s="77">
        <v>0</v>
      </c>
      <c r="V627" s="77">
        <v>9</v>
      </c>
      <c r="W627" s="82" t="s">
        <v>5560</v>
      </c>
      <c r="X627" s="80" t="str">
        <f>HYPERLINK("https://www.freeclassificados.com/ads/como-ganhar-dinheiro-com-o-projeto-6pix-clique-e-assista-o-video-explicativo/")</f>
        <v>https://www.freeclassificados.com/ads/como-ganhar-dinheiro-com-o-projeto-6pix-clique-e-assista-o-video-explicativo/</v>
      </c>
      <c r="Y627" s="77" t="s">
        <v>7308</v>
      </c>
      <c r="Z627" s="77"/>
      <c r="AA627" s="77"/>
      <c r="AB627" s="77"/>
      <c r="AC627" s="82" t="s">
        <v>10155</v>
      </c>
      <c r="AD627" s="77" t="s">
        <v>10184</v>
      </c>
      <c r="AE627" s="80" t="str">
        <f>HYPERLINK("https://twitter.com/freeclassific/status/1655014457477828608")</f>
        <v>https://twitter.com/freeclassific/status/1655014457477828608</v>
      </c>
      <c r="AF627" s="79">
        <v>45053.041319444441</v>
      </c>
      <c r="AG627" s="85">
        <v>45053</v>
      </c>
      <c r="AH627" s="82" t="s">
        <v>10781</v>
      </c>
      <c r="AI627" s="77" t="b">
        <v>0</v>
      </c>
      <c r="AJ627" s="77"/>
      <c r="AK627" s="77"/>
      <c r="AL627" s="77"/>
      <c r="AM627" s="77"/>
      <c r="AN627" s="77"/>
      <c r="AO627" s="77"/>
      <c r="AP627" s="77"/>
      <c r="AQ627" s="77"/>
      <c r="AR627" s="77"/>
      <c r="AS627" s="77"/>
      <c r="AT627" s="77"/>
      <c r="AU627" s="77"/>
      <c r="AV627" s="80" t="str">
        <f>HYPERLINK("https://pbs.twimg.com/profile_images/1431648743728852993/tLJ7F5Lu_normal.png")</f>
        <v>https://pbs.twimg.com/profile_images/1431648743728852993/tLJ7F5Lu_normal.png</v>
      </c>
      <c r="AW627" s="82" t="s">
        <v>17400</v>
      </c>
      <c r="AX627" s="82" t="s">
        <v>17400</v>
      </c>
      <c r="AY627" s="77"/>
      <c r="AZ627" s="82" t="s">
        <v>20971</v>
      </c>
      <c r="BA627" s="82" t="s">
        <v>20971</v>
      </c>
      <c r="BB627" s="82" t="s">
        <v>20971</v>
      </c>
      <c r="BC627" s="82" t="s">
        <v>17400</v>
      </c>
      <c r="BD627" s="77">
        <v>489723814</v>
      </c>
      <c r="BE627" s="77"/>
      <c r="BF627" s="77"/>
      <c r="BG627" s="77"/>
      <c r="BH627" s="77"/>
      <c r="BI627" s="77"/>
    </row>
    <row r="628" spans="1:61" x14ac:dyDescent="0.25">
      <c r="A628" s="62" t="s">
        <v>418</v>
      </c>
      <c r="B628" s="62" t="s">
        <v>418</v>
      </c>
      <c r="C628" s="63"/>
      <c r="D628" s="64"/>
      <c r="E628" s="65"/>
      <c r="F628" s="66"/>
      <c r="G628" s="63"/>
      <c r="H628" s="67"/>
      <c r="I628" s="68"/>
      <c r="J628" s="68"/>
      <c r="K628" s="32"/>
      <c r="L628" s="75">
        <v>628</v>
      </c>
      <c r="M628" s="75"/>
      <c r="N628" s="70"/>
      <c r="O628" s="77" t="s">
        <v>179</v>
      </c>
      <c r="P628" s="79">
        <v>45053.039525462962</v>
      </c>
      <c r="Q628" s="77" t="s">
        <v>1911</v>
      </c>
      <c r="R628" s="77">
        <v>0</v>
      </c>
      <c r="S628" s="77">
        <v>0</v>
      </c>
      <c r="T628" s="77">
        <v>0</v>
      </c>
      <c r="U628" s="77">
        <v>0</v>
      </c>
      <c r="V628" s="77">
        <v>21</v>
      </c>
      <c r="W628" s="82" t="s">
        <v>5560</v>
      </c>
      <c r="X628" s="80" t="str">
        <f>HYPERLINK("https://www.freeclassificados.com/ads/pix-connection-mais-de-9-mil-modelos-canva-com-direito-de-revenda-afiliados/")</f>
        <v>https://www.freeclassificados.com/ads/pix-connection-mais-de-9-mil-modelos-canva-com-direito-de-revenda-afiliados/</v>
      </c>
      <c r="Y628" s="77" t="s">
        <v>7308</v>
      </c>
      <c r="Z628" s="77"/>
      <c r="AA628" s="77"/>
      <c r="AB628" s="77"/>
      <c r="AC628" s="82" t="s">
        <v>10155</v>
      </c>
      <c r="AD628" s="77" t="s">
        <v>10184</v>
      </c>
      <c r="AE628" s="80" t="str">
        <f>HYPERLINK("https://twitter.com/freeclassific/status/1655013809315274753")</f>
        <v>https://twitter.com/freeclassific/status/1655013809315274753</v>
      </c>
      <c r="AF628" s="79">
        <v>45053.039525462962</v>
      </c>
      <c r="AG628" s="85">
        <v>45053</v>
      </c>
      <c r="AH628" s="82" t="s">
        <v>10782</v>
      </c>
      <c r="AI628" s="77" t="b">
        <v>0</v>
      </c>
      <c r="AJ628" s="77"/>
      <c r="AK628" s="77"/>
      <c r="AL628" s="77"/>
      <c r="AM628" s="77"/>
      <c r="AN628" s="77"/>
      <c r="AO628" s="77"/>
      <c r="AP628" s="77"/>
      <c r="AQ628" s="77"/>
      <c r="AR628" s="77"/>
      <c r="AS628" s="77"/>
      <c r="AT628" s="77"/>
      <c r="AU628" s="77"/>
      <c r="AV628" s="80" t="str">
        <f>HYPERLINK("https://pbs.twimg.com/profile_images/1431648743728852993/tLJ7F5Lu_normal.png")</f>
        <v>https://pbs.twimg.com/profile_images/1431648743728852993/tLJ7F5Lu_normal.png</v>
      </c>
      <c r="AW628" s="82" t="s">
        <v>17401</v>
      </c>
      <c r="AX628" s="82" t="s">
        <v>17401</v>
      </c>
      <c r="AY628" s="77"/>
      <c r="AZ628" s="82" t="s">
        <v>20971</v>
      </c>
      <c r="BA628" s="82" t="s">
        <v>20971</v>
      </c>
      <c r="BB628" s="82" t="s">
        <v>20971</v>
      </c>
      <c r="BC628" s="82" t="s">
        <v>17401</v>
      </c>
      <c r="BD628" s="77">
        <v>489723814</v>
      </c>
      <c r="BE628" s="77"/>
      <c r="BF628" s="77"/>
      <c r="BG628" s="77"/>
      <c r="BH628" s="77"/>
      <c r="BI628" s="77"/>
    </row>
    <row r="629" spans="1:61" x14ac:dyDescent="0.25">
      <c r="A629" s="62" t="s">
        <v>418</v>
      </c>
      <c r="B629" s="62" t="s">
        <v>418</v>
      </c>
      <c r="C629" s="63"/>
      <c r="D629" s="64"/>
      <c r="E629" s="65"/>
      <c r="F629" s="66"/>
      <c r="G629" s="63"/>
      <c r="H629" s="67"/>
      <c r="I629" s="68"/>
      <c r="J629" s="68"/>
      <c r="K629" s="32"/>
      <c r="L629" s="75">
        <v>629</v>
      </c>
      <c r="M629" s="75"/>
      <c r="N629" s="70"/>
      <c r="O629" s="77" t="s">
        <v>179</v>
      </c>
      <c r="P629" s="79">
        <v>45053.038530092592</v>
      </c>
      <c r="Q629" s="77" t="s">
        <v>1912</v>
      </c>
      <c r="R629" s="77">
        <v>0</v>
      </c>
      <c r="S629" s="77">
        <v>0</v>
      </c>
      <c r="T629" s="77">
        <v>0</v>
      </c>
      <c r="U629" s="77">
        <v>0</v>
      </c>
      <c r="V629" s="77">
        <v>21</v>
      </c>
      <c r="W629" s="82" t="s">
        <v>5560</v>
      </c>
      <c r="X629" s="80" t="str">
        <f>HYPERLINK("https://www.freeclassificados.com/ads/ganhar-dinheiro-com-o-pix-connection-a-nova-fonte-de-renda-100-de-lucro-afiliados/")</f>
        <v>https://www.freeclassificados.com/ads/ganhar-dinheiro-com-o-pix-connection-a-nova-fonte-de-renda-100-de-lucro-afiliados/</v>
      </c>
      <c r="Y629" s="77" t="s">
        <v>7308</v>
      </c>
      <c r="Z629" s="77"/>
      <c r="AA629" s="77"/>
      <c r="AB629" s="77"/>
      <c r="AC629" s="82" t="s">
        <v>10155</v>
      </c>
      <c r="AD629" s="77" t="s">
        <v>10184</v>
      </c>
      <c r="AE629" s="80" t="str">
        <f>HYPERLINK("https://twitter.com/freeclassific/status/1655013449888595969")</f>
        <v>https://twitter.com/freeclassific/status/1655013449888595969</v>
      </c>
      <c r="AF629" s="79">
        <v>45053.038530092592</v>
      </c>
      <c r="AG629" s="85">
        <v>45053</v>
      </c>
      <c r="AH629" s="82" t="s">
        <v>10783</v>
      </c>
      <c r="AI629" s="77" t="b">
        <v>0</v>
      </c>
      <c r="AJ629" s="77"/>
      <c r="AK629" s="77"/>
      <c r="AL629" s="77"/>
      <c r="AM629" s="77"/>
      <c r="AN629" s="77"/>
      <c r="AO629" s="77"/>
      <c r="AP629" s="77"/>
      <c r="AQ629" s="77"/>
      <c r="AR629" s="77"/>
      <c r="AS629" s="77"/>
      <c r="AT629" s="77"/>
      <c r="AU629" s="77"/>
      <c r="AV629" s="80" t="str">
        <f>HYPERLINK("https://pbs.twimg.com/profile_images/1431648743728852993/tLJ7F5Lu_normal.png")</f>
        <v>https://pbs.twimg.com/profile_images/1431648743728852993/tLJ7F5Lu_normal.png</v>
      </c>
      <c r="AW629" s="82" t="s">
        <v>17402</v>
      </c>
      <c r="AX629" s="82" t="s">
        <v>17402</v>
      </c>
      <c r="AY629" s="77"/>
      <c r="AZ629" s="82" t="s">
        <v>20971</v>
      </c>
      <c r="BA629" s="82" t="s">
        <v>20971</v>
      </c>
      <c r="BB629" s="82" t="s">
        <v>20971</v>
      </c>
      <c r="BC629" s="82" t="s">
        <v>17402</v>
      </c>
      <c r="BD629" s="77">
        <v>489723814</v>
      </c>
      <c r="BE629" s="77"/>
      <c r="BF629" s="77"/>
      <c r="BG629" s="77"/>
      <c r="BH629" s="77"/>
      <c r="BI629" s="77"/>
    </row>
    <row r="630" spans="1:61" x14ac:dyDescent="0.25">
      <c r="A630" s="62" t="s">
        <v>418</v>
      </c>
      <c r="B630" s="62" t="s">
        <v>418</v>
      </c>
      <c r="C630" s="63"/>
      <c r="D630" s="64"/>
      <c r="E630" s="65"/>
      <c r="F630" s="66"/>
      <c r="G630" s="63"/>
      <c r="H630" s="67"/>
      <c r="I630" s="68"/>
      <c r="J630" s="68"/>
      <c r="K630" s="32"/>
      <c r="L630" s="75">
        <v>630</v>
      </c>
      <c r="M630" s="75"/>
      <c r="N630" s="70"/>
      <c r="O630" s="77" t="s">
        <v>179</v>
      </c>
      <c r="P630" s="79">
        <v>45053.03361111111</v>
      </c>
      <c r="Q630" s="77" t="s">
        <v>1913</v>
      </c>
      <c r="R630" s="77">
        <v>0</v>
      </c>
      <c r="S630" s="77">
        <v>0</v>
      </c>
      <c r="T630" s="77">
        <v>0</v>
      </c>
      <c r="U630" s="77">
        <v>0</v>
      </c>
      <c r="V630" s="77">
        <v>12</v>
      </c>
      <c r="W630" s="82" t="s">
        <v>5560</v>
      </c>
      <c r="X630" s="80" t="str">
        <f>HYPERLINK("https://www.freeclassificados.com/ads/salvador-leo-santos-locutor-online-vinhetas-comerciais-gravacao-de-propagandas/")</f>
        <v>https://www.freeclassificados.com/ads/salvador-leo-santos-locutor-online-vinhetas-comerciais-gravacao-de-propagandas/</v>
      </c>
      <c r="Y630" s="77" t="s">
        <v>7308</v>
      </c>
      <c r="Z630" s="77"/>
      <c r="AA630" s="77"/>
      <c r="AB630" s="77"/>
      <c r="AC630" s="82" t="s">
        <v>10155</v>
      </c>
      <c r="AD630" s="77" t="s">
        <v>10184</v>
      </c>
      <c r="AE630" s="80" t="str">
        <f>HYPERLINK("https://twitter.com/freeclassific/status/1655011666575376386")</f>
        <v>https://twitter.com/freeclassific/status/1655011666575376386</v>
      </c>
      <c r="AF630" s="79">
        <v>45053.03361111111</v>
      </c>
      <c r="AG630" s="85">
        <v>45053</v>
      </c>
      <c r="AH630" s="82" t="s">
        <v>10784</v>
      </c>
      <c r="AI630" s="77" t="b">
        <v>0</v>
      </c>
      <c r="AJ630" s="77"/>
      <c r="AK630" s="77"/>
      <c r="AL630" s="77"/>
      <c r="AM630" s="77"/>
      <c r="AN630" s="77"/>
      <c r="AO630" s="77"/>
      <c r="AP630" s="77"/>
      <c r="AQ630" s="77"/>
      <c r="AR630" s="77"/>
      <c r="AS630" s="77"/>
      <c r="AT630" s="77"/>
      <c r="AU630" s="77"/>
      <c r="AV630" s="80" t="str">
        <f>HYPERLINK("https://pbs.twimg.com/profile_images/1431648743728852993/tLJ7F5Lu_normal.png")</f>
        <v>https://pbs.twimg.com/profile_images/1431648743728852993/tLJ7F5Lu_normal.png</v>
      </c>
      <c r="AW630" s="82" t="s">
        <v>17403</v>
      </c>
      <c r="AX630" s="82" t="s">
        <v>17403</v>
      </c>
      <c r="AY630" s="77"/>
      <c r="AZ630" s="82" t="s">
        <v>20971</v>
      </c>
      <c r="BA630" s="82" t="s">
        <v>20971</v>
      </c>
      <c r="BB630" s="82" t="s">
        <v>20971</v>
      </c>
      <c r="BC630" s="82" t="s">
        <v>17403</v>
      </c>
      <c r="BD630" s="77">
        <v>489723814</v>
      </c>
      <c r="BE630" s="77"/>
      <c r="BF630" s="77"/>
      <c r="BG630" s="77"/>
      <c r="BH630" s="77"/>
      <c r="BI630" s="77"/>
    </row>
    <row r="631" spans="1:61" x14ac:dyDescent="0.25">
      <c r="A631" s="62" t="s">
        <v>418</v>
      </c>
      <c r="B631" s="62" t="s">
        <v>418</v>
      </c>
      <c r="C631" s="63"/>
      <c r="D631" s="64"/>
      <c r="E631" s="65"/>
      <c r="F631" s="66"/>
      <c r="G631" s="63"/>
      <c r="H631" s="67"/>
      <c r="I631" s="68"/>
      <c r="J631" s="68"/>
      <c r="K631" s="32"/>
      <c r="L631" s="75">
        <v>631</v>
      </c>
      <c r="M631" s="75"/>
      <c r="N631" s="70"/>
      <c r="O631" s="77" t="s">
        <v>179</v>
      </c>
      <c r="P631" s="79">
        <v>45053.0312962963</v>
      </c>
      <c r="Q631" s="77" t="s">
        <v>1914</v>
      </c>
      <c r="R631" s="77">
        <v>0</v>
      </c>
      <c r="S631" s="77">
        <v>0</v>
      </c>
      <c r="T631" s="77">
        <v>0</v>
      </c>
      <c r="U631" s="77">
        <v>0</v>
      </c>
      <c r="V631" s="77">
        <v>32</v>
      </c>
      <c r="W631" s="82" t="s">
        <v>5560</v>
      </c>
      <c r="X631" s="80" t="str">
        <f>HYPERLINK("https://www.freeclassificados.com/ads/aracaju-gravacao-de-propagandas-vinhetas-spots-comerciais-leo-santos-locutor/")</f>
        <v>https://www.freeclassificados.com/ads/aracaju-gravacao-de-propagandas-vinhetas-spots-comerciais-leo-santos-locutor/</v>
      </c>
      <c r="Y631" s="77" t="s">
        <v>7308</v>
      </c>
      <c r="Z631" s="77"/>
      <c r="AA631" s="77"/>
      <c r="AB631" s="77"/>
      <c r="AC631" s="82" t="s">
        <v>10155</v>
      </c>
      <c r="AD631" s="77" t="s">
        <v>10184</v>
      </c>
      <c r="AE631" s="80" t="str">
        <f>HYPERLINK("https://twitter.com/freeclassific/status/1655010829010624514")</f>
        <v>https://twitter.com/freeclassific/status/1655010829010624514</v>
      </c>
      <c r="AF631" s="79">
        <v>45053.0312962963</v>
      </c>
      <c r="AG631" s="85">
        <v>45053</v>
      </c>
      <c r="AH631" s="82" t="s">
        <v>10785</v>
      </c>
      <c r="AI631" s="77" t="b">
        <v>0</v>
      </c>
      <c r="AJ631" s="77"/>
      <c r="AK631" s="77"/>
      <c r="AL631" s="77"/>
      <c r="AM631" s="77"/>
      <c r="AN631" s="77"/>
      <c r="AO631" s="77"/>
      <c r="AP631" s="77"/>
      <c r="AQ631" s="77"/>
      <c r="AR631" s="77"/>
      <c r="AS631" s="77"/>
      <c r="AT631" s="77"/>
      <c r="AU631" s="77"/>
      <c r="AV631" s="80" t="str">
        <f>HYPERLINK("https://pbs.twimg.com/profile_images/1431648743728852993/tLJ7F5Lu_normal.png")</f>
        <v>https://pbs.twimg.com/profile_images/1431648743728852993/tLJ7F5Lu_normal.png</v>
      </c>
      <c r="AW631" s="82" t="s">
        <v>17404</v>
      </c>
      <c r="AX631" s="82" t="s">
        <v>17404</v>
      </c>
      <c r="AY631" s="77"/>
      <c r="AZ631" s="82" t="s">
        <v>20971</v>
      </c>
      <c r="BA631" s="82" t="s">
        <v>20971</v>
      </c>
      <c r="BB631" s="82" t="s">
        <v>20971</v>
      </c>
      <c r="BC631" s="82" t="s">
        <v>17404</v>
      </c>
      <c r="BD631" s="77">
        <v>489723814</v>
      </c>
      <c r="BE631" s="77"/>
      <c r="BF631" s="77"/>
      <c r="BG631" s="77"/>
      <c r="BH631" s="77"/>
      <c r="BI631" s="77"/>
    </row>
    <row r="632" spans="1:61" x14ac:dyDescent="0.25">
      <c r="A632" s="62" t="s">
        <v>418</v>
      </c>
      <c r="B632" s="62" t="s">
        <v>418</v>
      </c>
      <c r="C632" s="63"/>
      <c r="D632" s="64"/>
      <c r="E632" s="65"/>
      <c r="F632" s="66"/>
      <c r="G632" s="63"/>
      <c r="H632" s="67"/>
      <c r="I632" s="68"/>
      <c r="J632" s="68"/>
      <c r="K632" s="32"/>
      <c r="L632" s="75">
        <v>632</v>
      </c>
      <c r="M632" s="75"/>
      <c r="N632" s="70"/>
      <c r="O632" s="77" t="s">
        <v>179</v>
      </c>
      <c r="P632" s="79">
        <v>45053.029317129629</v>
      </c>
      <c r="Q632" s="77" t="s">
        <v>1915</v>
      </c>
      <c r="R632" s="77">
        <v>0</v>
      </c>
      <c r="S632" s="77">
        <v>0</v>
      </c>
      <c r="T632" s="77">
        <v>0</v>
      </c>
      <c r="U632" s="77">
        <v>0</v>
      </c>
      <c r="V632" s="77">
        <v>18</v>
      </c>
      <c r="W632" s="82" t="s">
        <v>5560</v>
      </c>
      <c r="X632" s="80" t="str">
        <f>HYPERLINK("https://www.freeclassificados.com/ads/maceio-leo-locutor-online-vinhetas-spot-gravacao-de-propagandas/")</f>
        <v>https://www.freeclassificados.com/ads/maceio-leo-locutor-online-vinhetas-spot-gravacao-de-propagandas/</v>
      </c>
      <c r="Y632" s="77" t="s">
        <v>7308</v>
      </c>
      <c r="Z632" s="77"/>
      <c r="AA632" s="77"/>
      <c r="AB632" s="77"/>
      <c r="AC632" s="82" t="s">
        <v>10155</v>
      </c>
      <c r="AD632" s="77" t="s">
        <v>10184</v>
      </c>
      <c r="AE632" s="80" t="str">
        <f>HYPERLINK("https://twitter.com/freeclassific/status/1655010111977562112")</f>
        <v>https://twitter.com/freeclassific/status/1655010111977562112</v>
      </c>
      <c r="AF632" s="79">
        <v>45053.029317129629</v>
      </c>
      <c r="AG632" s="85">
        <v>45053</v>
      </c>
      <c r="AH632" s="82" t="s">
        <v>10786</v>
      </c>
      <c r="AI632" s="77" t="b">
        <v>0</v>
      </c>
      <c r="AJ632" s="77"/>
      <c r="AK632" s="77"/>
      <c r="AL632" s="77"/>
      <c r="AM632" s="77"/>
      <c r="AN632" s="77"/>
      <c r="AO632" s="77"/>
      <c r="AP632" s="77"/>
      <c r="AQ632" s="77"/>
      <c r="AR632" s="77"/>
      <c r="AS632" s="77"/>
      <c r="AT632" s="77"/>
      <c r="AU632" s="77"/>
      <c r="AV632" s="80" t="str">
        <f>HYPERLINK("https://pbs.twimg.com/profile_images/1431648743728852993/tLJ7F5Lu_normal.png")</f>
        <v>https://pbs.twimg.com/profile_images/1431648743728852993/tLJ7F5Lu_normal.png</v>
      </c>
      <c r="AW632" s="82" t="s">
        <v>17405</v>
      </c>
      <c r="AX632" s="82" t="s">
        <v>17405</v>
      </c>
      <c r="AY632" s="77"/>
      <c r="AZ632" s="82" t="s">
        <v>20971</v>
      </c>
      <c r="BA632" s="82" t="s">
        <v>20971</v>
      </c>
      <c r="BB632" s="82" t="s">
        <v>20971</v>
      </c>
      <c r="BC632" s="82" t="s">
        <v>17405</v>
      </c>
      <c r="BD632" s="77">
        <v>489723814</v>
      </c>
      <c r="BE632" s="77"/>
      <c r="BF632" s="77"/>
      <c r="BG632" s="77"/>
      <c r="BH632" s="77"/>
      <c r="BI632" s="77"/>
    </row>
    <row r="633" spans="1:61" x14ac:dyDescent="0.25">
      <c r="A633" s="62" t="s">
        <v>418</v>
      </c>
      <c r="B633" s="62" t="s">
        <v>418</v>
      </c>
      <c r="C633" s="63"/>
      <c r="D633" s="64"/>
      <c r="E633" s="65"/>
      <c r="F633" s="66"/>
      <c r="G633" s="63"/>
      <c r="H633" s="67"/>
      <c r="I633" s="68"/>
      <c r="J633" s="68"/>
      <c r="K633" s="32"/>
      <c r="L633" s="75">
        <v>633</v>
      </c>
      <c r="M633" s="75"/>
      <c r="N633" s="70"/>
      <c r="O633" s="77" t="s">
        <v>179</v>
      </c>
      <c r="P633" s="79">
        <v>45053.027777777781</v>
      </c>
      <c r="Q633" s="77" t="s">
        <v>1916</v>
      </c>
      <c r="R633" s="77">
        <v>0</v>
      </c>
      <c r="S633" s="77">
        <v>0</v>
      </c>
      <c r="T633" s="77">
        <v>0</v>
      </c>
      <c r="U633" s="77">
        <v>0</v>
      </c>
      <c r="V633" s="77">
        <v>15</v>
      </c>
      <c r="W633" s="82" t="s">
        <v>5560</v>
      </c>
      <c r="X633" s="80" t="str">
        <f>HYPERLINK("https://www.freeclassificados.com/ads/recife-leo-santos-locutor-spot-gravacao-de-vinhetas-e-propagandas/")</f>
        <v>https://www.freeclassificados.com/ads/recife-leo-santos-locutor-spot-gravacao-de-vinhetas-e-propagandas/</v>
      </c>
      <c r="Y633" s="77" t="s">
        <v>7308</v>
      </c>
      <c r="Z633" s="77"/>
      <c r="AA633" s="77"/>
      <c r="AB633" s="77"/>
      <c r="AC633" s="82" t="s">
        <v>10155</v>
      </c>
      <c r="AD633" s="77" t="s">
        <v>10184</v>
      </c>
      <c r="AE633" s="80" t="str">
        <f>HYPERLINK("https://twitter.com/freeclassific/status/1655009554042871809")</f>
        <v>https://twitter.com/freeclassific/status/1655009554042871809</v>
      </c>
      <c r="AF633" s="79">
        <v>45053.027777777781</v>
      </c>
      <c r="AG633" s="85">
        <v>45053</v>
      </c>
      <c r="AH633" s="82" t="s">
        <v>10787</v>
      </c>
      <c r="AI633" s="77" t="b">
        <v>0</v>
      </c>
      <c r="AJ633" s="77"/>
      <c r="AK633" s="77"/>
      <c r="AL633" s="77"/>
      <c r="AM633" s="77"/>
      <c r="AN633" s="77"/>
      <c r="AO633" s="77"/>
      <c r="AP633" s="77"/>
      <c r="AQ633" s="77"/>
      <c r="AR633" s="77"/>
      <c r="AS633" s="77"/>
      <c r="AT633" s="77"/>
      <c r="AU633" s="77"/>
      <c r="AV633" s="80" t="str">
        <f>HYPERLINK("https://pbs.twimg.com/profile_images/1431648743728852993/tLJ7F5Lu_normal.png")</f>
        <v>https://pbs.twimg.com/profile_images/1431648743728852993/tLJ7F5Lu_normal.png</v>
      </c>
      <c r="AW633" s="82" t="s">
        <v>17406</v>
      </c>
      <c r="AX633" s="82" t="s">
        <v>17406</v>
      </c>
      <c r="AY633" s="77"/>
      <c r="AZ633" s="82" t="s">
        <v>20971</v>
      </c>
      <c r="BA633" s="82" t="s">
        <v>20971</v>
      </c>
      <c r="BB633" s="82" t="s">
        <v>20971</v>
      </c>
      <c r="BC633" s="82" t="s">
        <v>17406</v>
      </c>
      <c r="BD633" s="77">
        <v>489723814</v>
      </c>
      <c r="BE633" s="77"/>
      <c r="BF633" s="77"/>
      <c r="BG633" s="77"/>
      <c r="BH633" s="77"/>
      <c r="BI633" s="77"/>
    </row>
    <row r="634" spans="1:61" x14ac:dyDescent="0.25">
      <c r="A634" s="62" t="s">
        <v>418</v>
      </c>
      <c r="B634" s="62" t="s">
        <v>418</v>
      </c>
      <c r="C634" s="63"/>
      <c r="D634" s="64"/>
      <c r="E634" s="65"/>
      <c r="F634" s="66"/>
      <c r="G634" s="63"/>
      <c r="H634" s="67"/>
      <c r="I634" s="68"/>
      <c r="J634" s="68"/>
      <c r="K634" s="32"/>
      <c r="L634" s="75">
        <v>634</v>
      </c>
      <c r="M634" s="75"/>
      <c r="N634" s="70"/>
      <c r="O634" s="77" t="s">
        <v>179</v>
      </c>
      <c r="P634" s="79">
        <v>45053.02584490741</v>
      </c>
      <c r="Q634" s="77" t="s">
        <v>1917</v>
      </c>
      <c r="R634" s="77">
        <v>0</v>
      </c>
      <c r="S634" s="77">
        <v>0</v>
      </c>
      <c r="T634" s="77">
        <v>0</v>
      </c>
      <c r="U634" s="77">
        <v>0</v>
      </c>
      <c r="V634" s="77">
        <v>24</v>
      </c>
      <c r="W634" s="82" t="s">
        <v>5560</v>
      </c>
      <c r="X634" s="80" t="str">
        <f>HYPERLINK("https://www.freeclassificados.com/ads/joao-pessoa-leo-locutor-comercial-gravacao-de-propagandas-e-vinhetas/")</f>
        <v>https://www.freeclassificados.com/ads/joao-pessoa-leo-locutor-comercial-gravacao-de-propagandas-e-vinhetas/</v>
      </c>
      <c r="Y634" s="77" t="s">
        <v>7308</v>
      </c>
      <c r="Z634" s="77"/>
      <c r="AA634" s="77"/>
      <c r="AB634" s="77"/>
      <c r="AC634" s="82" t="s">
        <v>10155</v>
      </c>
      <c r="AD634" s="77" t="s">
        <v>10184</v>
      </c>
      <c r="AE634" s="80" t="str">
        <f>HYPERLINK("https://twitter.com/freeclassific/status/1655008850901364736")</f>
        <v>https://twitter.com/freeclassific/status/1655008850901364736</v>
      </c>
      <c r="AF634" s="79">
        <v>45053.02584490741</v>
      </c>
      <c r="AG634" s="85">
        <v>45053</v>
      </c>
      <c r="AH634" s="82" t="s">
        <v>10788</v>
      </c>
      <c r="AI634" s="77" t="b">
        <v>0</v>
      </c>
      <c r="AJ634" s="77"/>
      <c r="AK634" s="77"/>
      <c r="AL634" s="77"/>
      <c r="AM634" s="77"/>
      <c r="AN634" s="77"/>
      <c r="AO634" s="77"/>
      <c r="AP634" s="77"/>
      <c r="AQ634" s="77"/>
      <c r="AR634" s="77"/>
      <c r="AS634" s="77"/>
      <c r="AT634" s="77"/>
      <c r="AU634" s="77"/>
      <c r="AV634" s="80" t="str">
        <f>HYPERLINK("https://pbs.twimg.com/profile_images/1431648743728852993/tLJ7F5Lu_normal.png")</f>
        <v>https://pbs.twimg.com/profile_images/1431648743728852993/tLJ7F5Lu_normal.png</v>
      </c>
      <c r="AW634" s="82" t="s">
        <v>17407</v>
      </c>
      <c r="AX634" s="82" t="s">
        <v>17407</v>
      </c>
      <c r="AY634" s="77"/>
      <c r="AZ634" s="82" t="s">
        <v>20971</v>
      </c>
      <c r="BA634" s="82" t="s">
        <v>20971</v>
      </c>
      <c r="BB634" s="82" t="s">
        <v>20971</v>
      </c>
      <c r="BC634" s="82" t="s">
        <v>17407</v>
      </c>
      <c r="BD634" s="77">
        <v>489723814</v>
      </c>
      <c r="BE634" s="77"/>
      <c r="BF634" s="77"/>
      <c r="BG634" s="77"/>
      <c r="BH634" s="77"/>
      <c r="BI634" s="77"/>
    </row>
    <row r="635" spans="1:61" x14ac:dyDescent="0.25">
      <c r="A635" s="62" t="s">
        <v>418</v>
      </c>
      <c r="B635" s="62" t="s">
        <v>418</v>
      </c>
      <c r="C635" s="63"/>
      <c r="D635" s="64"/>
      <c r="E635" s="65"/>
      <c r="F635" s="66"/>
      <c r="G635" s="63"/>
      <c r="H635" s="67"/>
      <c r="I635" s="68"/>
      <c r="J635" s="68"/>
      <c r="K635" s="32"/>
      <c r="L635" s="75">
        <v>635</v>
      </c>
      <c r="M635" s="75"/>
      <c r="N635" s="70"/>
      <c r="O635" s="77" t="s">
        <v>179</v>
      </c>
      <c r="P635" s="79">
        <v>45053.023379629631</v>
      </c>
      <c r="Q635" s="77" t="s">
        <v>1918</v>
      </c>
      <c r="R635" s="77">
        <v>0</v>
      </c>
      <c r="S635" s="77">
        <v>0</v>
      </c>
      <c r="T635" s="77">
        <v>0</v>
      </c>
      <c r="U635" s="77">
        <v>0</v>
      </c>
      <c r="V635" s="77">
        <v>13</v>
      </c>
      <c r="W635" s="82" t="s">
        <v>5560</v>
      </c>
      <c r="X635" s="80" t="str">
        <f>HYPERLINK("https://www.freeclassificados.com/ads/natal-leo-locutor-comercial-vinhetas-online-gravacao-de-propagandas/")</f>
        <v>https://www.freeclassificados.com/ads/natal-leo-locutor-comercial-vinhetas-online-gravacao-de-propagandas/</v>
      </c>
      <c r="Y635" s="77" t="s">
        <v>7308</v>
      </c>
      <c r="Z635" s="77"/>
      <c r="AA635" s="77"/>
      <c r="AB635" s="77"/>
      <c r="AC635" s="82" t="s">
        <v>10155</v>
      </c>
      <c r="AD635" s="77" t="s">
        <v>10184</v>
      </c>
      <c r="AE635" s="80" t="str">
        <f>HYPERLINK("https://twitter.com/freeclassific/status/1655007959393669121")</f>
        <v>https://twitter.com/freeclassific/status/1655007959393669121</v>
      </c>
      <c r="AF635" s="79">
        <v>45053.023379629631</v>
      </c>
      <c r="AG635" s="85">
        <v>45053</v>
      </c>
      <c r="AH635" s="82" t="s">
        <v>10789</v>
      </c>
      <c r="AI635" s="77" t="b">
        <v>0</v>
      </c>
      <c r="AJ635" s="77"/>
      <c r="AK635" s="77"/>
      <c r="AL635" s="77"/>
      <c r="AM635" s="77"/>
      <c r="AN635" s="77"/>
      <c r="AO635" s="77"/>
      <c r="AP635" s="77"/>
      <c r="AQ635" s="77"/>
      <c r="AR635" s="77"/>
      <c r="AS635" s="77"/>
      <c r="AT635" s="77"/>
      <c r="AU635" s="77"/>
      <c r="AV635" s="80" t="str">
        <f>HYPERLINK("https://pbs.twimg.com/profile_images/1431648743728852993/tLJ7F5Lu_normal.png")</f>
        <v>https://pbs.twimg.com/profile_images/1431648743728852993/tLJ7F5Lu_normal.png</v>
      </c>
      <c r="AW635" s="82" t="s">
        <v>17408</v>
      </c>
      <c r="AX635" s="82" t="s">
        <v>17408</v>
      </c>
      <c r="AY635" s="77"/>
      <c r="AZ635" s="82" t="s">
        <v>20971</v>
      </c>
      <c r="BA635" s="82" t="s">
        <v>20971</v>
      </c>
      <c r="BB635" s="82" t="s">
        <v>20971</v>
      </c>
      <c r="BC635" s="82" t="s">
        <v>17408</v>
      </c>
      <c r="BD635" s="77">
        <v>489723814</v>
      </c>
      <c r="BE635" s="77"/>
      <c r="BF635" s="77"/>
      <c r="BG635" s="77"/>
      <c r="BH635" s="77"/>
      <c r="BI635" s="77"/>
    </row>
    <row r="636" spans="1:61" x14ac:dyDescent="0.25">
      <c r="A636" s="62" t="s">
        <v>418</v>
      </c>
      <c r="B636" s="62" t="s">
        <v>418</v>
      </c>
      <c r="C636" s="63"/>
      <c r="D636" s="64"/>
      <c r="E636" s="65"/>
      <c r="F636" s="66"/>
      <c r="G636" s="63"/>
      <c r="H636" s="67"/>
      <c r="I636" s="68"/>
      <c r="J636" s="68"/>
      <c r="K636" s="32"/>
      <c r="L636" s="75">
        <v>636</v>
      </c>
      <c r="M636" s="75"/>
      <c r="N636" s="70"/>
      <c r="O636" s="77" t="s">
        <v>179</v>
      </c>
      <c r="P636" s="79">
        <v>45053.02002314815</v>
      </c>
      <c r="Q636" s="77" t="s">
        <v>1919</v>
      </c>
      <c r="R636" s="77">
        <v>0</v>
      </c>
      <c r="S636" s="77">
        <v>0</v>
      </c>
      <c r="T636" s="77">
        <v>0</v>
      </c>
      <c r="U636" s="77">
        <v>0</v>
      </c>
      <c r="V636" s="77">
        <v>18</v>
      </c>
      <c r="W636" s="82" t="s">
        <v>5560</v>
      </c>
      <c r="X636" s="80" t="str">
        <f>HYPERLINK("https://www.freeclassificados.com/ads/fortaleza-gravacao-de-vinhetas-e-propagandas-leo-santos-locutor/")</f>
        <v>https://www.freeclassificados.com/ads/fortaleza-gravacao-de-vinhetas-e-propagandas-leo-santos-locutor/</v>
      </c>
      <c r="Y636" s="77" t="s">
        <v>7308</v>
      </c>
      <c r="Z636" s="77"/>
      <c r="AA636" s="77"/>
      <c r="AB636" s="77"/>
      <c r="AC636" s="82" t="s">
        <v>10155</v>
      </c>
      <c r="AD636" s="77" t="s">
        <v>10184</v>
      </c>
      <c r="AE636" s="80" t="str">
        <f>HYPERLINK("https://twitter.com/freeclassific/status/1655006743590494208")</f>
        <v>https://twitter.com/freeclassific/status/1655006743590494208</v>
      </c>
      <c r="AF636" s="79">
        <v>45053.02002314815</v>
      </c>
      <c r="AG636" s="85">
        <v>45053</v>
      </c>
      <c r="AH636" s="82" t="s">
        <v>10790</v>
      </c>
      <c r="AI636" s="77" t="b">
        <v>0</v>
      </c>
      <c r="AJ636" s="77"/>
      <c r="AK636" s="77"/>
      <c r="AL636" s="77"/>
      <c r="AM636" s="77"/>
      <c r="AN636" s="77"/>
      <c r="AO636" s="77"/>
      <c r="AP636" s="77"/>
      <c r="AQ636" s="77"/>
      <c r="AR636" s="77"/>
      <c r="AS636" s="77"/>
      <c r="AT636" s="77"/>
      <c r="AU636" s="77"/>
      <c r="AV636" s="80" t="str">
        <f>HYPERLINK("https://pbs.twimg.com/profile_images/1431648743728852993/tLJ7F5Lu_normal.png")</f>
        <v>https://pbs.twimg.com/profile_images/1431648743728852993/tLJ7F5Lu_normal.png</v>
      </c>
      <c r="AW636" s="82" t="s">
        <v>17409</v>
      </c>
      <c r="AX636" s="82" t="s">
        <v>17409</v>
      </c>
      <c r="AY636" s="77"/>
      <c r="AZ636" s="82" t="s">
        <v>20971</v>
      </c>
      <c r="BA636" s="82" t="s">
        <v>20971</v>
      </c>
      <c r="BB636" s="82" t="s">
        <v>20971</v>
      </c>
      <c r="BC636" s="82" t="s">
        <v>17409</v>
      </c>
      <c r="BD636" s="77">
        <v>489723814</v>
      </c>
      <c r="BE636" s="77"/>
      <c r="BF636" s="77"/>
      <c r="BG636" s="77"/>
      <c r="BH636" s="77"/>
      <c r="BI636" s="77"/>
    </row>
    <row r="637" spans="1:61" x14ac:dyDescent="0.25">
      <c r="A637" s="62" t="s">
        <v>418</v>
      </c>
      <c r="B637" s="62" t="s">
        <v>418</v>
      </c>
      <c r="C637" s="63"/>
      <c r="D637" s="64"/>
      <c r="E637" s="65"/>
      <c r="F637" s="66"/>
      <c r="G637" s="63"/>
      <c r="H637" s="67"/>
      <c r="I637" s="68"/>
      <c r="J637" s="68"/>
      <c r="K637" s="32"/>
      <c r="L637" s="75">
        <v>637</v>
      </c>
      <c r="M637" s="75"/>
      <c r="N637" s="70"/>
      <c r="O637" s="77" t="s">
        <v>179</v>
      </c>
      <c r="P637" s="79">
        <v>45053.017106481479</v>
      </c>
      <c r="Q637" s="77" t="s">
        <v>1920</v>
      </c>
      <c r="R637" s="77">
        <v>0</v>
      </c>
      <c r="S637" s="77">
        <v>0</v>
      </c>
      <c r="T637" s="77">
        <v>0</v>
      </c>
      <c r="U637" s="77">
        <v>0</v>
      </c>
      <c r="V637" s="77">
        <v>34</v>
      </c>
      <c r="W637" s="82" t="s">
        <v>5560</v>
      </c>
      <c r="X637" s="80" t="str">
        <f>HYPERLINK("https://www.freeclassificados.com/ads/teresina-locutor-leo-santos-gravacao-de-propagandas-e-vinhetas/")</f>
        <v>https://www.freeclassificados.com/ads/teresina-locutor-leo-santos-gravacao-de-propagandas-e-vinhetas/</v>
      </c>
      <c r="Y637" s="77" t="s">
        <v>7308</v>
      </c>
      <c r="Z637" s="77"/>
      <c r="AA637" s="77"/>
      <c r="AB637" s="77"/>
      <c r="AC637" s="82" t="s">
        <v>10155</v>
      </c>
      <c r="AD637" s="77" t="s">
        <v>10184</v>
      </c>
      <c r="AE637" s="80" t="str">
        <f>HYPERLINK("https://twitter.com/freeclassific/status/1655005686097498114")</f>
        <v>https://twitter.com/freeclassific/status/1655005686097498114</v>
      </c>
      <c r="AF637" s="79">
        <v>45053.017106481479</v>
      </c>
      <c r="AG637" s="85">
        <v>45053</v>
      </c>
      <c r="AH637" s="82" t="s">
        <v>10791</v>
      </c>
      <c r="AI637" s="77" t="b">
        <v>0</v>
      </c>
      <c r="AJ637" s="77"/>
      <c r="AK637" s="77"/>
      <c r="AL637" s="77"/>
      <c r="AM637" s="77"/>
      <c r="AN637" s="77"/>
      <c r="AO637" s="77"/>
      <c r="AP637" s="77"/>
      <c r="AQ637" s="77"/>
      <c r="AR637" s="77"/>
      <c r="AS637" s="77"/>
      <c r="AT637" s="77"/>
      <c r="AU637" s="77"/>
      <c r="AV637" s="80" t="str">
        <f>HYPERLINK("https://pbs.twimg.com/profile_images/1431648743728852993/tLJ7F5Lu_normal.png")</f>
        <v>https://pbs.twimg.com/profile_images/1431648743728852993/tLJ7F5Lu_normal.png</v>
      </c>
      <c r="AW637" s="82" t="s">
        <v>17410</v>
      </c>
      <c r="AX637" s="82" t="s">
        <v>17410</v>
      </c>
      <c r="AY637" s="77"/>
      <c r="AZ637" s="82" t="s">
        <v>20971</v>
      </c>
      <c r="BA637" s="82" t="s">
        <v>20971</v>
      </c>
      <c r="BB637" s="82" t="s">
        <v>20971</v>
      </c>
      <c r="BC637" s="82" t="s">
        <v>17410</v>
      </c>
      <c r="BD637" s="77">
        <v>489723814</v>
      </c>
      <c r="BE637" s="77"/>
      <c r="BF637" s="77"/>
      <c r="BG637" s="77"/>
      <c r="BH637" s="77"/>
      <c r="BI637" s="77"/>
    </row>
    <row r="638" spans="1:61" x14ac:dyDescent="0.25">
      <c r="A638" s="62" t="s">
        <v>418</v>
      </c>
      <c r="B638" s="62" t="s">
        <v>418</v>
      </c>
      <c r="C638" s="63"/>
      <c r="D638" s="64"/>
      <c r="E638" s="65"/>
      <c r="F638" s="66"/>
      <c r="G638" s="63"/>
      <c r="H638" s="67"/>
      <c r="I638" s="68"/>
      <c r="J638" s="68"/>
      <c r="K638" s="32"/>
      <c r="L638" s="75">
        <v>638</v>
      </c>
      <c r="M638" s="75"/>
      <c r="N638" s="70"/>
      <c r="O638" s="77" t="s">
        <v>179</v>
      </c>
      <c r="P638" s="79">
        <v>45053.014108796298</v>
      </c>
      <c r="Q638" s="77" t="s">
        <v>1921</v>
      </c>
      <c r="R638" s="77">
        <v>0</v>
      </c>
      <c r="S638" s="77">
        <v>0</v>
      </c>
      <c r="T638" s="77">
        <v>0</v>
      </c>
      <c r="U638" s="77">
        <v>0</v>
      </c>
      <c r="V638" s="77">
        <v>31</v>
      </c>
      <c r="W638" s="82" t="s">
        <v>5560</v>
      </c>
      <c r="X638" s="80" t="str">
        <f>HYPERLINK("https://www.freeclassificados.com/ads/sao-luis-leo-santos-locutor-comercial-gravacao-de-propagandas-e-vinhetas/")</f>
        <v>https://www.freeclassificados.com/ads/sao-luis-leo-santos-locutor-comercial-gravacao-de-propagandas-e-vinhetas/</v>
      </c>
      <c r="Y638" s="77" t="s">
        <v>7308</v>
      </c>
      <c r="Z638" s="77"/>
      <c r="AA638" s="77"/>
      <c r="AB638" s="77"/>
      <c r="AC638" s="82" t="s">
        <v>10155</v>
      </c>
      <c r="AD638" s="77" t="s">
        <v>10184</v>
      </c>
      <c r="AE638" s="80" t="str">
        <f>HYPERLINK("https://twitter.com/freeclassific/status/1655004600423030785")</f>
        <v>https://twitter.com/freeclassific/status/1655004600423030785</v>
      </c>
      <c r="AF638" s="79">
        <v>45053.014108796298</v>
      </c>
      <c r="AG638" s="85">
        <v>45053</v>
      </c>
      <c r="AH638" s="82" t="s">
        <v>10792</v>
      </c>
      <c r="AI638" s="77" t="b">
        <v>0</v>
      </c>
      <c r="AJ638" s="77"/>
      <c r="AK638" s="77"/>
      <c r="AL638" s="77"/>
      <c r="AM638" s="77"/>
      <c r="AN638" s="77"/>
      <c r="AO638" s="77"/>
      <c r="AP638" s="77"/>
      <c r="AQ638" s="77"/>
      <c r="AR638" s="77"/>
      <c r="AS638" s="77"/>
      <c r="AT638" s="77"/>
      <c r="AU638" s="77"/>
      <c r="AV638" s="80" t="str">
        <f>HYPERLINK("https://pbs.twimg.com/profile_images/1431648743728852993/tLJ7F5Lu_normal.png")</f>
        <v>https://pbs.twimg.com/profile_images/1431648743728852993/tLJ7F5Lu_normal.png</v>
      </c>
      <c r="AW638" s="82" t="s">
        <v>17411</v>
      </c>
      <c r="AX638" s="82" t="s">
        <v>17411</v>
      </c>
      <c r="AY638" s="77"/>
      <c r="AZ638" s="82" t="s">
        <v>20971</v>
      </c>
      <c r="BA638" s="82" t="s">
        <v>20971</v>
      </c>
      <c r="BB638" s="82" t="s">
        <v>20971</v>
      </c>
      <c r="BC638" s="82" t="s">
        <v>17411</v>
      </c>
      <c r="BD638" s="77">
        <v>489723814</v>
      </c>
      <c r="BE638" s="77"/>
      <c r="BF638" s="77"/>
      <c r="BG638" s="77"/>
      <c r="BH638" s="77"/>
      <c r="BI638" s="77"/>
    </row>
    <row r="639" spans="1:61" x14ac:dyDescent="0.25">
      <c r="A639" s="62" t="s">
        <v>418</v>
      </c>
      <c r="B639" s="62" t="s">
        <v>418</v>
      </c>
      <c r="C639" s="63"/>
      <c r="D639" s="64"/>
      <c r="E639" s="65"/>
      <c r="F639" s="66"/>
      <c r="G639" s="63"/>
      <c r="H639" s="67"/>
      <c r="I639" s="68"/>
      <c r="J639" s="68"/>
      <c r="K639" s="32"/>
      <c r="L639" s="75">
        <v>639</v>
      </c>
      <c r="M639" s="75"/>
      <c r="N639" s="70"/>
      <c r="O639" s="77" t="s">
        <v>179</v>
      </c>
      <c r="P639" s="79">
        <v>45052.877812500003</v>
      </c>
      <c r="Q639" s="77" t="s">
        <v>1922</v>
      </c>
      <c r="R639" s="77">
        <v>0</v>
      </c>
      <c r="S639" s="77">
        <v>0</v>
      </c>
      <c r="T639" s="77">
        <v>0</v>
      </c>
      <c r="U639" s="77">
        <v>0</v>
      </c>
      <c r="V639" s="77">
        <v>16</v>
      </c>
      <c r="W639" s="82" t="s">
        <v>5560</v>
      </c>
      <c r="X639" s="80" t="str">
        <f>HYPERLINK("https://www.freeclassificados.com/ads/mercado-point-compre-ja-sua-maquininha-com-descontos-exclusivos/")</f>
        <v>https://www.freeclassificados.com/ads/mercado-point-compre-ja-sua-maquininha-com-descontos-exclusivos/</v>
      </c>
      <c r="Y639" s="77" t="s">
        <v>7308</v>
      </c>
      <c r="Z639" s="77"/>
      <c r="AA639" s="77"/>
      <c r="AB639" s="77"/>
      <c r="AC639" s="82" t="s">
        <v>10155</v>
      </c>
      <c r="AD639" s="77" t="s">
        <v>10184</v>
      </c>
      <c r="AE639" s="80" t="str">
        <f>HYPERLINK("https://twitter.com/freeclassific/status/1654955207850348544")</f>
        <v>https://twitter.com/freeclassific/status/1654955207850348544</v>
      </c>
      <c r="AF639" s="79">
        <v>45052.877812500003</v>
      </c>
      <c r="AG639" s="85">
        <v>45052</v>
      </c>
      <c r="AH639" s="82" t="s">
        <v>10793</v>
      </c>
      <c r="AI639" s="77" t="b">
        <v>0</v>
      </c>
      <c r="AJ639" s="77"/>
      <c r="AK639" s="77"/>
      <c r="AL639" s="77"/>
      <c r="AM639" s="77"/>
      <c r="AN639" s="77"/>
      <c r="AO639" s="77"/>
      <c r="AP639" s="77"/>
      <c r="AQ639" s="77"/>
      <c r="AR639" s="77"/>
      <c r="AS639" s="77"/>
      <c r="AT639" s="77"/>
      <c r="AU639" s="77"/>
      <c r="AV639" s="80" t="str">
        <f>HYPERLINK("https://pbs.twimg.com/profile_images/1431648743728852993/tLJ7F5Lu_normal.png")</f>
        <v>https://pbs.twimg.com/profile_images/1431648743728852993/tLJ7F5Lu_normal.png</v>
      </c>
      <c r="AW639" s="82" t="s">
        <v>17412</v>
      </c>
      <c r="AX639" s="82" t="s">
        <v>17412</v>
      </c>
      <c r="AY639" s="77"/>
      <c r="AZ639" s="82" t="s">
        <v>20971</v>
      </c>
      <c r="BA639" s="82" t="s">
        <v>20971</v>
      </c>
      <c r="BB639" s="82" t="s">
        <v>20971</v>
      </c>
      <c r="BC639" s="82" t="s">
        <v>17412</v>
      </c>
      <c r="BD639" s="77">
        <v>489723814</v>
      </c>
      <c r="BE639" s="77"/>
      <c r="BF639" s="77"/>
      <c r="BG639" s="77"/>
      <c r="BH639" s="77"/>
      <c r="BI639" s="77"/>
    </row>
    <row r="640" spans="1:61" x14ac:dyDescent="0.25">
      <c r="A640" s="62" t="s">
        <v>418</v>
      </c>
      <c r="B640" s="62" t="s">
        <v>418</v>
      </c>
      <c r="C640" s="63"/>
      <c r="D640" s="64"/>
      <c r="E640" s="65"/>
      <c r="F640" s="66"/>
      <c r="G640" s="63"/>
      <c r="H640" s="67"/>
      <c r="I640" s="68"/>
      <c r="J640" s="68"/>
      <c r="K640" s="32"/>
      <c r="L640" s="75">
        <v>640</v>
      </c>
      <c r="M640" s="75"/>
      <c r="N640" s="70"/>
      <c r="O640" s="77" t="s">
        <v>179</v>
      </c>
      <c r="P640" s="79">
        <v>45052.654189814813</v>
      </c>
      <c r="Q640" s="77" t="s">
        <v>1923</v>
      </c>
      <c r="R640" s="77">
        <v>0</v>
      </c>
      <c r="S640" s="77">
        <v>0</v>
      </c>
      <c r="T640" s="77">
        <v>0</v>
      </c>
      <c r="U640" s="77">
        <v>0</v>
      </c>
      <c r="V640" s="77">
        <v>7</v>
      </c>
      <c r="W640" s="82" t="s">
        <v>5560</v>
      </c>
      <c r="X640" s="80" t="str">
        <f>HYPERLINK("https://www.freeclassificados.com/ads/pix-connection-produtos-servicos-digitais-e-renda-extra-2/")</f>
        <v>https://www.freeclassificados.com/ads/pix-connection-produtos-servicos-digitais-e-renda-extra-2/</v>
      </c>
      <c r="Y640" s="77" t="s">
        <v>7308</v>
      </c>
      <c r="Z640" s="77"/>
      <c r="AA640" s="77"/>
      <c r="AB640" s="77"/>
      <c r="AC640" s="82" t="s">
        <v>10155</v>
      </c>
      <c r="AD640" s="77" t="s">
        <v>10184</v>
      </c>
      <c r="AE640" s="80" t="str">
        <f>HYPERLINK("https://twitter.com/freeclassific/status/1654874170453528577")</f>
        <v>https://twitter.com/freeclassific/status/1654874170453528577</v>
      </c>
      <c r="AF640" s="79">
        <v>45052.654189814813</v>
      </c>
      <c r="AG640" s="85">
        <v>45052</v>
      </c>
      <c r="AH640" s="82" t="s">
        <v>10794</v>
      </c>
      <c r="AI640" s="77" t="b">
        <v>0</v>
      </c>
      <c r="AJ640" s="77"/>
      <c r="AK640" s="77"/>
      <c r="AL640" s="77"/>
      <c r="AM640" s="77"/>
      <c r="AN640" s="77"/>
      <c r="AO640" s="77"/>
      <c r="AP640" s="77"/>
      <c r="AQ640" s="77"/>
      <c r="AR640" s="77"/>
      <c r="AS640" s="77"/>
      <c r="AT640" s="77"/>
      <c r="AU640" s="77"/>
      <c r="AV640" s="80" t="str">
        <f>HYPERLINK("https://pbs.twimg.com/profile_images/1431648743728852993/tLJ7F5Lu_normal.png")</f>
        <v>https://pbs.twimg.com/profile_images/1431648743728852993/tLJ7F5Lu_normal.png</v>
      </c>
      <c r="AW640" s="82" t="s">
        <v>17413</v>
      </c>
      <c r="AX640" s="82" t="s">
        <v>17413</v>
      </c>
      <c r="AY640" s="77"/>
      <c r="AZ640" s="82" t="s">
        <v>20971</v>
      </c>
      <c r="BA640" s="82" t="s">
        <v>20971</v>
      </c>
      <c r="BB640" s="82" t="s">
        <v>20971</v>
      </c>
      <c r="BC640" s="82" t="s">
        <v>17413</v>
      </c>
      <c r="BD640" s="77">
        <v>489723814</v>
      </c>
      <c r="BE640" s="77"/>
      <c r="BF640" s="77"/>
      <c r="BG640" s="77"/>
      <c r="BH640" s="77"/>
      <c r="BI640" s="77"/>
    </row>
    <row r="641" spans="1:61" x14ac:dyDescent="0.25">
      <c r="A641" s="62" t="s">
        <v>418</v>
      </c>
      <c r="B641" s="62" t="s">
        <v>418</v>
      </c>
      <c r="C641" s="63"/>
      <c r="D641" s="64"/>
      <c r="E641" s="65"/>
      <c r="F641" s="66"/>
      <c r="G641" s="63"/>
      <c r="H641" s="67"/>
      <c r="I641" s="68"/>
      <c r="J641" s="68"/>
      <c r="K641" s="32"/>
      <c r="L641" s="75">
        <v>641</v>
      </c>
      <c r="M641" s="75"/>
      <c r="N641" s="70"/>
      <c r="O641" s="77" t="s">
        <v>179</v>
      </c>
      <c r="P641" s="79">
        <v>45052.609386574077</v>
      </c>
      <c r="Q641" s="77" t="s">
        <v>1924</v>
      </c>
      <c r="R641" s="77">
        <v>0</v>
      </c>
      <c r="S641" s="77">
        <v>0</v>
      </c>
      <c r="T641" s="77">
        <v>0</v>
      </c>
      <c r="U641" s="77">
        <v>0</v>
      </c>
      <c r="V641" s="77">
        <v>7</v>
      </c>
      <c r="W641" s="82" t="s">
        <v>5560</v>
      </c>
      <c r="X641" s="80" t="str">
        <f>HYPERLINK("https://www.freeclassificados.com/ads/leo-locutor-comercial-online-agora-gravacao-de-propagandas-vinhetas/")</f>
        <v>https://www.freeclassificados.com/ads/leo-locutor-comercial-online-agora-gravacao-de-propagandas-vinhetas/</v>
      </c>
      <c r="Y641" s="77" t="s">
        <v>7308</v>
      </c>
      <c r="Z641" s="77"/>
      <c r="AA641" s="77"/>
      <c r="AB641" s="77"/>
      <c r="AC641" s="82" t="s">
        <v>10155</v>
      </c>
      <c r="AD641" s="77" t="s">
        <v>10184</v>
      </c>
      <c r="AE641" s="80" t="str">
        <f>HYPERLINK("https://twitter.com/freeclassific/status/1654857931559665664")</f>
        <v>https://twitter.com/freeclassific/status/1654857931559665664</v>
      </c>
      <c r="AF641" s="79">
        <v>45052.609386574077</v>
      </c>
      <c r="AG641" s="85">
        <v>45052</v>
      </c>
      <c r="AH641" s="82" t="s">
        <v>10795</v>
      </c>
      <c r="AI641" s="77" t="b">
        <v>0</v>
      </c>
      <c r="AJ641" s="77"/>
      <c r="AK641" s="77"/>
      <c r="AL641" s="77"/>
      <c r="AM641" s="77"/>
      <c r="AN641" s="77"/>
      <c r="AO641" s="77"/>
      <c r="AP641" s="77"/>
      <c r="AQ641" s="77"/>
      <c r="AR641" s="77"/>
      <c r="AS641" s="77"/>
      <c r="AT641" s="77"/>
      <c r="AU641" s="77"/>
      <c r="AV641" s="80" t="str">
        <f>HYPERLINK("https://pbs.twimg.com/profile_images/1431648743728852993/tLJ7F5Lu_normal.png")</f>
        <v>https://pbs.twimg.com/profile_images/1431648743728852993/tLJ7F5Lu_normal.png</v>
      </c>
      <c r="AW641" s="82" t="s">
        <v>17414</v>
      </c>
      <c r="AX641" s="82" t="s">
        <v>17414</v>
      </c>
      <c r="AY641" s="77"/>
      <c r="AZ641" s="82" t="s">
        <v>20971</v>
      </c>
      <c r="BA641" s="82" t="s">
        <v>20971</v>
      </c>
      <c r="BB641" s="82" t="s">
        <v>20971</v>
      </c>
      <c r="BC641" s="82" t="s">
        <v>17414</v>
      </c>
      <c r="BD641" s="77">
        <v>489723814</v>
      </c>
      <c r="BE641" s="77"/>
      <c r="BF641" s="77"/>
      <c r="BG641" s="77"/>
      <c r="BH641" s="77"/>
      <c r="BI641" s="77"/>
    </row>
    <row r="642" spans="1:61" x14ac:dyDescent="0.25">
      <c r="A642" s="62" t="s">
        <v>418</v>
      </c>
      <c r="B642" s="62" t="s">
        <v>418</v>
      </c>
      <c r="C642" s="63"/>
      <c r="D642" s="64"/>
      <c r="E642" s="65"/>
      <c r="F642" s="66"/>
      <c r="G642" s="63"/>
      <c r="H642" s="67"/>
      <c r="I642" s="68"/>
      <c r="J642" s="68"/>
      <c r="K642" s="32"/>
      <c r="L642" s="75">
        <v>642</v>
      </c>
      <c r="M642" s="75"/>
      <c r="N642" s="70"/>
      <c r="O642" s="77" t="s">
        <v>179</v>
      </c>
      <c r="P642" s="79">
        <v>45052.604027777779</v>
      </c>
      <c r="Q642" s="77" t="s">
        <v>1925</v>
      </c>
      <c r="R642" s="77">
        <v>0</v>
      </c>
      <c r="S642" s="77">
        <v>0</v>
      </c>
      <c r="T642" s="77">
        <v>0</v>
      </c>
      <c r="U642" s="77">
        <v>0</v>
      </c>
      <c r="V642" s="77">
        <v>6</v>
      </c>
      <c r="W642" s="82" t="s">
        <v>5560</v>
      </c>
      <c r="X642" s="80" t="str">
        <f>HYPERLINK("https://www.freeclassificados.com/ads/produtos-personalizados-promocionais/")</f>
        <v>https://www.freeclassificados.com/ads/produtos-personalizados-promocionais/</v>
      </c>
      <c r="Y642" s="77" t="s">
        <v>7308</v>
      </c>
      <c r="Z642" s="77"/>
      <c r="AA642" s="77"/>
      <c r="AB642" s="77"/>
      <c r="AC642" s="82" t="s">
        <v>10155</v>
      </c>
      <c r="AD642" s="77" t="s">
        <v>10184</v>
      </c>
      <c r="AE642" s="80" t="str">
        <f>HYPERLINK("https://twitter.com/freeclassific/status/1654855990645497858")</f>
        <v>https://twitter.com/freeclassific/status/1654855990645497858</v>
      </c>
      <c r="AF642" s="79">
        <v>45052.604027777779</v>
      </c>
      <c r="AG642" s="85">
        <v>45052</v>
      </c>
      <c r="AH642" s="82" t="s">
        <v>10796</v>
      </c>
      <c r="AI642" s="77" t="b">
        <v>0</v>
      </c>
      <c r="AJ642" s="77"/>
      <c r="AK642" s="77"/>
      <c r="AL642" s="77"/>
      <c r="AM642" s="77"/>
      <c r="AN642" s="77"/>
      <c r="AO642" s="77"/>
      <c r="AP642" s="77"/>
      <c r="AQ642" s="77"/>
      <c r="AR642" s="77"/>
      <c r="AS642" s="77"/>
      <c r="AT642" s="77"/>
      <c r="AU642" s="77"/>
      <c r="AV642" s="80" t="str">
        <f>HYPERLINK("https://pbs.twimg.com/profile_images/1431648743728852993/tLJ7F5Lu_normal.png")</f>
        <v>https://pbs.twimg.com/profile_images/1431648743728852993/tLJ7F5Lu_normal.png</v>
      </c>
      <c r="AW642" s="82" t="s">
        <v>17415</v>
      </c>
      <c r="AX642" s="82" t="s">
        <v>17415</v>
      </c>
      <c r="AY642" s="77"/>
      <c r="AZ642" s="82" t="s">
        <v>20971</v>
      </c>
      <c r="BA642" s="82" t="s">
        <v>20971</v>
      </c>
      <c r="BB642" s="82" t="s">
        <v>20971</v>
      </c>
      <c r="BC642" s="82" t="s">
        <v>17415</v>
      </c>
      <c r="BD642" s="77">
        <v>489723814</v>
      </c>
      <c r="BE642" s="77"/>
      <c r="BF642" s="77"/>
      <c r="BG642" s="77"/>
      <c r="BH642" s="77"/>
      <c r="BI642" s="77"/>
    </row>
    <row r="643" spans="1:61" x14ac:dyDescent="0.25">
      <c r="A643" s="62" t="s">
        <v>418</v>
      </c>
      <c r="B643" s="62" t="s">
        <v>418</v>
      </c>
      <c r="C643" s="63"/>
      <c r="D643" s="64"/>
      <c r="E643" s="65"/>
      <c r="F643" s="66"/>
      <c r="G643" s="63"/>
      <c r="H643" s="67"/>
      <c r="I643" s="68"/>
      <c r="J643" s="68"/>
      <c r="K643" s="32"/>
      <c r="L643" s="75">
        <v>643</v>
      </c>
      <c r="M643" s="75"/>
      <c r="N643" s="70"/>
      <c r="O643" s="77" t="s">
        <v>179</v>
      </c>
      <c r="P643" s="79">
        <v>45052.551840277774</v>
      </c>
      <c r="Q643" s="77" t="s">
        <v>1926</v>
      </c>
      <c r="R643" s="77">
        <v>0</v>
      </c>
      <c r="S643" s="77">
        <v>0</v>
      </c>
      <c r="T643" s="77">
        <v>0</v>
      </c>
      <c r="U643" s="77">
        <v>0</v>
      </c>
      <c r="V643" s="77">
        <v>12</v>
      </c>
      <c r="W643" s="82" t="s">
        <v>5560</v>
      </c>
      <c r="X643" s="80" t="str">
        <f>HYPERLINK("https://www.freeclassificados.com/ads/venda-de-produtos-digitais-faca-dinheiro-pela-internet/")</f>
        <v>https://www.freeclassificados.com/ads/venda-de-produtos-digitais-faca-dinheiro-pela-internet/</v>
      </c>
      <c r="Y643" s="77" t="s">
        <v>7308</v>
      </c>
      <c r="Z643" s="77"/>
      <c r="AA643" s="77"/>
      <c r="AB643" s="77"/>
      <c r="AC643" s="82" t="s">
        <v>10155</v>
      </c>
      <c r="AD643" s="77" t="s">
        <v>10184</v>
      </c>
      <c r="AE643" s="80" t="str">
        <f>HYPERLINK("https://twitter.com/freeclassific/status/1654837080097423364")</f>
        <v>https://twitter.com/freeclassific/status/1654837080097423364</v>
      </c>
      <c r="AF643" s="79">
        <v>45052.551840277774</v>
      </c>
      <c r="AG643" s="85">
        <v>45052</v>
      </c>
      <c r="AH643" s="82" t="s">
        <v>10797</v>
      </c>
      <c r="AI643" s="77" t="b">
        <v>0</v>
      </c>
      <c r="AJ643" s="77"/>
      <c r="AK643" s="77"/>
      <c r="AL643" s="77"/>
      <c r="AM643" s="77"/>
      <c r="AN643" s="77"/>
      <c r="AO643" s="77"/>
      <c r="AP643" s="77"/>
      <c r="AQ643" s="77"/>
      <c r="AR643" s="77"/>
      <c r="AS643" s="77"/>
      <c r="AT643" s="77"/>
      <c r="AU643" s="77"/>
      <c r="AV643" s="80" t="str">
        <f>HYPERLINK("https://pbs.twimg.com/profile_images/1431648743728852993/tLJ7F5Lu_normal.png")</f>
        <v>https://pbs.twimg.com/profile_images/1431648743728852993/tLJ7F5Lu_normal.png</v>
      </c>
      <c r="AW643" s="82" t="s">
        <v>17416</v>
      </c>
      <c r="AX643" s="82" t="s">
        <v>17416</v>
      </c>
      <c r="AY643" s="77"/>
      <c r="AZ643" s="82" t="s">
        <v>20971</v>
      </c>
      <c r="BA643" s="82" t="s">
        <v>20971</v>
      </c>
      <c r="BB643" s="82" t="s">
        <v>20971</v>
      </c>
      <c r="BC643" s="82" t="s">
        <v>17416</v>
      </c>
      <c r="BD643" s="77">
        <v>489723814</v>
      </c>
      <c r="BE643" s="77"/>
      <c r="BF643" s="77"/>
      <c r="BG643" s="77"/>
      <c r="BH643" s="77"/>
      <c r="BI643" s="77"/>
    </row>
    <row r="644" spans="1:61" x14ac:dyDescent="0.25">
      <c r="A644" s="62" t="s">
        <v>418</v>
      </c>
      <c r="B644" s="62" t="s">
        <v>418</v>
      </c>
      <c r="C644" s="63"/>
      <c r="D644" s="64"/>
      <c r="E644" s="65"/>
      <c r="F644" s="66"/>
      <c r="G644" s="63"/>
      <c r="H644" s="67"/>
      <c r="I644" s="68"/>
      <c r="J644" s="68"/>
      <c r="K644" s="32"/>
      <c r="L644" s="75">
        <v>644</v>
      </c>
      <c r="M644" s="75"/>
      <c r="N644" s="70"/>
      <c r="O644" s="77" t="s">
        <v>179</v>
      </c>
      <c r="P644" s="79">
        <v>45051.955775462964</v>
      </c>
      <c r="Q644" s="77" t="s">
        <v>1927</v>
      </c>
      <c r="R644" s="77">
        <v>0</v>
      </c>
      <c r="S644" s="77">
        <v>1</v>
      </c>
      <c r="T644" s="77">
        <v>0</v>
      </c>
      <c r="U644" s="77">
        <v>0</v>
      </c>
      <c r="V644" s="77">
        <v>28</v>
      </c>
      <c r="W644" s="82" t="s">
        <v>5560</v>
      </c>
      <c r="X644" s="80" t="str">
        <f>HYPERLINK("https://www.freeclassificados.com/ads/se-nunca-trabalhou-com-pix-connecetion-esta-perdendo-mil-reais-por-dias/")</f>
        <v>https://www.freeclassificados.com/ads/se-nunca-trabalhou-com-pix-connecetion-esta-perdendo-mil-reais-por-dias/</v>
      </c>
      <c r="Y644" s="77" t="s">
        <v>7308</v>
      </c>
      <c r="Z644" s="77"/>
      <c r="AA644" s="77"/>
      <c r="AB644" s="77"/>
      <c r="AC644" s="82" t="s">
        <v>10155</v>
      </c>
      <c r="AD644" s="77" t="s">
        <v>10184</v>
      </c>
      <c r="AE644" s="80" t="str">
        <f>HYPERLINK("https://twitter.com/freeclassific/status/1654621070396395520")</f>
        <v>https://twitter.com/freeclassific/status/1654621070396395520</v>
      </c>
      <c r="AF644" s="79">
        <v>45051.955775462964</v>
      </c>
      <c r="AG644" s="85">
        <v>45051</v>
      </c>
      <c r="AH644" s="82" t="s">
        <v>10798</v>
      </c>
      <c r="AI644" s="77" t="b">
        <v>0</v>
      </c>
      <c r="AJ644" s="77"/>
      <c r="AK644" s="77"/>
      <c r="AL644" s="77"/>
      <c r="AM644" s="77"/>
      <c r="AN644" s="77"/>
      <c r="AO644" s="77"/>
      <c r="AP644" s="77"/>
      <c r="AQ644" s="77"/>
      <c r="AR644" s="77"/>
      <c r="AS644" s="77"/>
      <c r="AT644" s="77"/>
      <c r="AU644" s="77"/>
      <c r="AV644" s="80" t="str">
        <f>HYPERLINK("https://pbs.twimg.com/profile_images/1431648743728852993/tLJ7F5Lu_normal.png")</f>
        <v>https://pbs.twimg.com/profile_images/1431648743728852993/tLJ7F5Lu_normal.png</v>
      </c>
      <c r="AW644" s="82" t="s">
        <v>17417</v>
      </c>
      <c r="AX644" s="82" t="s">
        <v>17417</v>
      </c>
      <c r="AY644" s="77"/>
      <c r="AZ644" s="82" t="s">
        <v>20971</v>
      </c>
      <c r="BA644" s="82" t="s">
        <v>20971</v>
      </c>
      <c r="BB644" s="82" t="s">
        <v>20971</v>
      </c>
      <c r="BC644" s="82" t="s">
        <v>17417</v>
      </c>
      <c r="BD644" s="77">
        <v>489723814</v>
      </c>
      <c r="BE644" s="77"/>
      <c r="BF644" s="77"/>
      <c r="BG644" s="77"/>
      <c r="BH644" s="77"/>
      <c r="BI644" s="77"/>
    </row>
    <row r="645" spans="1:61" x14ac:dyDescent="0.25">
      <c r="A645" s="62" t="s">
        <v>418</v>
      </c>
      <c r="B645" s="62" t="s">
        <v>418</v>
      </c>
      <c r="C645" s="63"/>
      <c r="D645" s="64"/>
      <c r="E645" s="65"/>
      <c r="F645" s="66"/>
      <c r="G645" s="63"/>
      <c r="H645" s="67"/>
      <c r="I645" s="68"/>
      <c r="J645" s="68"/>
      <c r="K645" s="32"/>
      <c r="L645" s="75">
        <v>645</v>
      </c>
      <c r="M645" s="75"/>
      <c r="N645" s="70"/>
      <c r="O645" s="77" t="s">
        <v>179</v>
      </c>
      <c r="P645" s="79">
        <v>45051.798750000002</v>
      </c>
      <c r="Q645" s="77" t="s">
        <v>1928</v>
      </c>
      <c r="R645" s="77">
        <v>0</v>
      </c>
      <c r="S645" s="77">
        <v>0</v>
      </c>
      <c r="T645" s="77">
        <v>0</v>
      </c>
      <c r="U645" s="77">
        <v>0</v>
      </c>
      <c r="V645" s="77">
        <v>10</v>
      </c>
      <c r="W645" s="82" t="s">
        <v>5560</v>
      </c>
      <c r="X645" s="80" t="str">
        <f>HYPERLINK("https://www.freeclassificados.com/ads/assistencia-tecnica-em-equipamentos-mindray-no-brasil/")</f>
        <v>https://www.freeclassificados.com/ads/assistencia-tecnica-em-equipamentos-mindray-no-brasil/</v>
      </c>
      <c r="Y645" s="77" t="s">
        <v>7308</v>
      </c>
      <c r="Z645" s="77"/>
      <c r="AA645" s="77"/>
      <c r="AB645" s="77"/>
      <c r="AC645" s="82" t="s">
        <v>10155</v>
      </c>
      <c r="AD645" s="77" t="s">
        <v>10184</v>
      </c>
      <c r="AE645" s="80" t="str">
        <f>HYPERLINK("https://twitter.com/freeclassific/status/1654564166152364037")</f>
        <v>https://twitter.com/freeclassific/status/1654564166152364037</v>
      </c>
      <c r="AF645" s="79">
        <v>45051.798750000002</v>
      </c>
      <c r="AG645" s="85">
        <v>45051</v>
      </c>
      <c r="AH645" s="82" t="s">
        <v>10799</v>
      </c>
      <c r="AI645" s="77" t="b">
        <v>0</v>
      </c>
      <c r="AJ645" s="77"/>
      <c r="AK645" s="77"/>
      <c r="AL645" s="77"/>
      <c r="AM645" s="77"/>
      <c r="AN645" s="77"/>
      <c r="AO645" s="77"/>
      <c r="AP645" s="77"/>
      <c r="AQ645" s="77"/>
      <c r="AR645" s="77"/>
      <c r="AS645" s="77"/>
      <c r="AT645" s="77"/>
      <c r="AU645" s="77"/>
      <c r="AV645" s="80" t="str">
        <f>HYPERLINK("https://pbs.twimg.com/profile_images/1431648743728852993/tLJ7F5Lu_normal.png")</f>
        <v>https://pbs.twimg.com/profile_images/1431648743728852993/tLJ7F5Lu_normal.png</v>
      </c>
      <c r="AW645" s="82" t="s">
        <v>17418</v>
      </c>
      <c r="AX645" s="82" t="s">
        <v>17418</v>
      </c>
      <c r="AY645" s="77"/>
      <c r="AZ645" s="82" t="s">
        <v>20971</v>
      </c>
      <c r="BA645" s="82" t="s">
        <v>20971</v>
      </c>
      <c r="BB645" s="82" t="s">
        <v>20971</v>
      </c>
      <c r="BC645" s="82" t="s">
        <v>17418</v>
      </c>
      <c r="BD645" s="77">
        <v>489723814</v>
      </c>
      <c r="BE645" s="77"/>
      <c r="BF645" s="77"/>
      <c r="BG645" s="77"/>
      <c r="BH645" s="77"/>
      <c r="BI645" s="77"/>
    </row>
    <row r="646" spans="1:61" x14ac:dyDescent="0.25">
      <c r="A646" s="62" t="s">
        <v>418</v>
      </c>
      <c r="B646" s="62" t="s">
        <v>418</v>
      </c>
      <c r="C646" s="63"/>
      <c r="D646" s="64"/>
      <c r="E646" s="65"/>
      <c r="F646" s="66"/>
      <c r="G646" s="63"/>
      <c r="H646" s="67"/>
      <c r="I646" s="68"/>
      <c r="J646" s="68"/>
      <c r="K646" s="32"/>
      <c r="L646" s="75">
        <v>646</v>
      </c>
      <c r="M646" s="75"/>
      <c r="N646" s="70"/>
      <c r="O646" s="77" t="s">
        <v>179</v>
      </c>
      <c r="P646" s="79">
        <v>45028.724814814814</v>
      </c>
      <c r="Q646" s="77" t="s">
        <v>1929</v>
      </c>
      <c r="R646" s="77">
        <v>0</v>
      </c>
      <c r="S646" s="77">
        <v>0</v>
      </c>
      <c r="T646" s="77">
        <v>0</v>
      </c>
      <c r="U646" s="77">
        <v>0</v>
      </c>
      <c r="V646" s="77">
        <v>23</v>
      </c>
      <c r="W646" s="82" t="s">
        <v>5335</v>
      </c>
      <c r="X646" s="80" t="str">
        <f>HYPERLINK("https://www.freeclassificados.com/ads/oportunidade-de-renda-extra-e-ganhar-dinheiro-online-em-casa/")</f>
        <v>https://www.freeclassificados.com/ads/oportunidade-de-renda-extra-e-ganhar-dinheiro-online-em-casa/</v>
      </c>
      <c r="Y646" s="77" t="s">
        <v>7308</v>
      </c>
      <c r="Z646" s="77"/>
      <c r="AA646" s="77"/>
      <c r="AB646" s="77"/>
      <c r="AC646" s="82" t="s">
        <v>10155</v>
      </c>
      <c r="AD646" s="77" t="s">
        <v>10184</v>
      </c>
      <c r="AE646" s="80" t="str">
        <f>HYPERLINK("https://twitter.com/freeclassific/status/1646202453917073408")</f>
        <v>https://twitter.com/freeclassific/status/1646202453917073408</v>
      </c>
      <c r="AF646" s="79">
        <v>45028.724814814814</v>
      </c>
      <c r="AG646" s="85">
        <v>45028</v>
      </c>
      <c r="AH646" s="82" t="s">
        <v>10800</v>
      </c>
      <c r="AI646" s="77" t="b">
        <v>0</v>
      </c>
      <c r="AJ646" s="77"/>
      <c r="AK646" s="77"/>
      <c r="AL646" s="77"/>
      <c r="AM646" s="77"/>
      <c r="AN646" s="77"/>
      <c r="AO646" s="77"/>
      <c r="AP646" s="77"/>
      <c r="AQ646" s="77"/>
      <c r="AR646" s="77"/>
      <c r="AS646" s="77"/>
      <c r="AT646" s="77"/>
      <c r="AU646" s="77"/>
      <c r="AV646" s="80" t="str">
        <f>HYPERLINK("https://pbs.twimg.com/profile_images/1431648743728852993/tLJ7F5Lu_normal.png")</f>
        <v>https://pbs.twimg.com/profile_images/1431648743728852993/tLJ7F5Lu_normal.png</v>
      </c>
      <c r="AW646" s="82" t="s">
        <v>17419</v>
      </c>
      <c r="AX646" s="82" t="s">
        <v>17419</v>
      </c>
      <c r="AY646" s="77"/>
      <c r="AZ646" s="82" t="s">
        <v>20971</v>
      </c>
      <c r="BA646" s="82" t="s">
        <v>20971</v>
      </c>
      <c r="BB646" s="82" t="s">
        <v>20971</v>
      </c>
      <c r="BC646" s="82" t="s">
        <v>17419</v>
      </c>
      <c r="BD646" s="77">
        <v>489723814</v>
      </c>
      <c r="BE646" s="77"/>
      <c r="BF646" s="77"/>
      <c r="BG646" s="77"/>
      <c r="BH646" s="77"/>
      <c r="BI646" s="77"/>
    </row>
    <row r="647" spans="1:61" x14ac:dyDescent="0.25">
      <c r="A647" s="62" t="s">
        <v>418</v>
      </c>
      <c r="B647" s="62" t="s">
        <v>418</v>
      </c>
      <c r="C647" s="63"/>
      <c r="D647" s="64"/>
      <c r="E647" s="65"/>
      <c r="F647" s="66"/>
      <c r="G647" s="63"/>
      <c r="H647" s="67"/>
      <c r="I647" s="68"/>
      <c r="J647" s="68"/>
      <c r="K647" s="32"/>
      <c r="L647" s="75">
        <v>647</v>
      </c>
      <c r="M647" s="75"/>
      <c r="N647" s="70"/>
      <c r="O647" s="77" t="s">
        <v>179</v>
      </c>
      <c r="P647" s="79">
        <v>45028.572268518517</v>
      </c>
      <c r="Q647" s="77" t="s">
        <v>1930</v>
      </c>
      <c r="R647" s="77">
        <v>0</v>
      </c>
      <c r="S647" s="77">
        <v>0</v>
      </c>
      <c r="T647" s="77">
        <v>0</v>
      </c>
      <c r="U647" s="77">
        <v>0</v>
      </c>
      <c r="V647" s="77">
        <v>14</v>
      </c>
      <c r="W647" s="82" t="s">
        <v>5335</v>
      </c>
      <c r="X647" s="80" t="str">
        <f>HYPERLINK("https://www.freeclassificados.com/ads/apartamento-confortavel-e-bem-localizado-melhor-empreendimento-para-se-investir-em-2023-otimas-condicoes-de-financiamento/")</f>
        <v>https://www.freeclassificados.com/ads/apartamento-confortavel-e-bem-localizado-melhor-empreendimento-para-se-investir-em-2023-otimas-condicoes-de-financiamento/</v>
      </c>
      <c r="Y647" s="77" t="s">
        <v>7308</v>
      </c>
      <c r="Z647" s="77"/>
      <c r="AA647" s="77"/>
      <c r="AB647" s="77"/>
      <c r="AC647" s="82" t="s">
        <v>10155</v>
      </c>
      <c r="AD647" s="77" t="s">
        <v>10184</v>
      </c>
      <c r="AE647" s="80" t="str">
        <f>HYPERLINK("https://twitter.com/freeclassific/status/1646147170427637760")</f>
        <v>https://twitter.com/freeclassific/status/1646147170427637760</v>
      </c>
      <c r="AF647" s="79">
        <v>45028.572268518517</v>
      </c>
      <c r="AG647" s="85">
        <v>45028</v>
      </c>
      <c r="AH647" s="82" t="s">
        <v>10801</v>
      </c>
      <c r="AI647" s="77" t="b">
        <v>0</v>
      </c>
      <c r="AJ647" s="77"/>
      <c r="AK647" s="77"/>
      <c r="AL647" s="77"/>
      <c r="AM647" s="77"/>
      <c r="AN647" s="77"/>
      <c r="AO647" s="77"/>
      <c r="AP647" s="77"/>
      <c r="AQ647" s="77"/>
      <c r="AR647" s="77"/>
      <c r="AS647" s="77"/>
      <c r="AT647" s="77"/>
      <c r="AU647" s="77"/>
      <c r="AV647" s="80" t="str">
        <f>HYPERLINK("https://pbs.twimg.com/profile_images/1431648743728852993/tLJ7F5Lu_normal.png")</f>
        <v>https://pbs.twimg.com/profile_images/1431648743728852993/tLJ7F5Lu_normal.png</v>
      </c>
      <c r="AW647" s="82" t="s">
        <v>17420</v>
      </c>
      <c r="AX647" s="82" t="s">
        <v>17420</v>
      </c>
      <c r="AY647" s="77"/>
      <c r="AZ647" s="82" t="s">
        <v>20971</v>
      </c>
      <c r="BA647" s="82" t="s">
        <v>20971</v>
      </c>
      <c r="BB647" s="82" t="s">
        <v>20971</v>
      </c>
      <c r="BC647" s="82" t="s">
        <v>17420</v>
      </c>
      <c r="BD647" s="77">
        <v>489723814</v>
      </c>
      <c r="BE647" s="77"/>
      <c r="BF647" s="77"/>
      <c r="BG647" s="77"/>
      <c r="BH647" s="77"/>
      <c r="BI647" s="77"/>
    </row>
    <row r="648" spans="1:61" x14ac:dyDescent="0.25">
      <c r="A648" s="62" t="s">
        <v>418</v>
      </c>
      <c r="B648" s="62" t="s">
        <v>418</v>
      </c>
      <c r="C648" s="63"/>
      <c r="D648" s="64"/>
      <c r="E648" s="65"/>
      <c r="F648" s="66"/>
      <c r="G648" s="63"/>
      <c r="H648" s="67"/>
      <c r="I648" s="68"/>
      <c r="J648" s="68"/>
      <c r="K648" s="32"/>
      <c r="L648" s="75">
        <v>648</v>
      </c>
      <c r="M648" s="75"/>
      <c r="N648" s="70"/>
      <c r="O648" s="77" t="s">
        <v>179</v>
      </c>
      <c r="P648" s="79">
        <v>45028.569398148145</v>
      </c>
      <c r="Q648" s="77" t="s">
        <v>1877</v>
      </c>
      <c r="R648" s="77">
        <v>0</v>
      </c>
      <c r="S648" s="77">
        <v>0</v>
      </c>
      <c r="T648" s="77">
        <v>0</v>
      </c>
      <c r="U648" s="77">
        <v>0</v>
      </c>
      <c r="V648" s="77">
        <v>10</v>
      </c>
      <c r="W648" s="82" t="s">
        <v>5335</v>
      </c>
      <c r="X648" s="80" t="str">
        <f>HYPERLINK("https://www.freeclassificados.com/ads/palco-coberta-som-luz-alugo-palco-aluguel-tablado-de-vidro-palco-madeira-9-86-25-98-82/")</f>
        <v>https://www.freeclassificados.com/ads/palco-coberta-som-luz-alugo-palco-aluguel-tablado-de-vidro-palco-madeira-9-86-25-98-82/</v>
      </c>
      <c r="Y648" s="77" t="s">
        <v>7308</v>
      </c>
      <c r="Z648" s="77"/>
      <c r="AA648" s="77"/>
      <c r="AB648" s="77"/>
      <c r="AC648" s="82" t="s">
        <v>10155</v>
      </c>
      <c r="AD648" s="77" t="s">
        <v>10184</v>
      </c>
      <c r="AE648" s="80" t="str">
        <f>HYPERLINK("https://twitter.com/freeclassific/status/1646146131473096707")</f>
        <v>https://twitter.com/freeclassific/status/1646146131473096707</v>
      </c>
      <c r="AF648" s="79">
        <v>45028.569398148145</v>
      </c>
      <c r="AG648" s="85">
        <v>45028</v>
      </c>
      <c r="AH648" s="82" t="s">
        <v>10802</v>
      </c>
      <c r="AI648" s="77" t="b">
        <v>0</v>
      </c>
      <c r="AJ648" s="77"/>
      <c r="AK648" s="77"/>
      <c r="AL648" s="77"/>
      <c r="AM648" s="77"/>
      <c r="AN648" s="77"/>
      <c r="AO648" s="77"/>
      <c r="AP648" s="77"/>
      <c r="AQ648" s="77"/>
      <c r="AR648" s="77"/>
      <c r="AS648" s="77"/>
      <c r="AT648" s="77"/>
      <c r="AU648" s="77"/>
      <c r="AV648" s="80" t="str">
        <f>HYPERLINK("https://pbs.twimg.com/profile_images/1431648743728852993/tLJ7F5Lu_normal.png")</f>
        <v>https://pbs.twimg.com/profile_images/1431648743728852993/tLJ7F5Lu_normal.png</v>
      </c>
      <c r="AW648" s="82" t="s">
        <v>17421</v>
      </c>
      <c r="AX648" s="82" t="s">
        <v>17421</v>
      </c>
      <c r="AY648" s="77"/>
      <c r="AZ648" s="82" t="s">
        <v>20971</v>
      </c>
      <c r="BA648" s="82" t="s">
        <v>20971</v>
      </c>
      <c r="BB648" s="82" t="s">
        <v>20971</v>
      </c>
      <c r="BC648" s="82" t="s">
        <v>17421</v>
      </c>
      <c r="BD648" s="77">
        <v>489723814</v>
      </c>
      <c r="BE648" s="77"/>
      <c r="BF648" s="77"/>
      <c r="BG648" s="77"/>
      <c r="BH648" s="77"/>
      <c r="BI648" s="77"/>
    </row>
    <row r="649" spans="1:61" x14ac:dyDescent="0.25">
      <c r="A649" s="62" t="s">
        <v>418</v>
      </c>
      <c r="B649" s="62" t="s">
        <v>418</v>
      </c>
      <c r="C649" s="63"/>
      <c r="D649" s="64"/>
      <c r="E649" s="65"/>
      <c r="F649" s="66"/>
      <c r="G649" s="63"/>
      <c r="H649" s="67"/>
      <c r="I649" s="68"/>
      <c r="J649" s="68"/>
      <c r="K649" s="32"/>
      <c r="L649" s="75">
        <v>649</v>
      </c>
      <c r="M649" s="75"/>
      <c r="N649" s="70"/>
      <c r="O649" s="77" t="s">
        <v>179</v>
      </c>
      <c r="P649" s="79">
        <v>45028.491111111114</v>
      </c>
      <c r="Q649" s="77" t="s">
        <v>1931</v>
      </c>
      <c r="R649" s="77">
        <v>1</v>
      </c>
      <c r="S649" s="77">
        <v>2</v>
      </c>
      <c r="T649" s="77">
        <v>0</v>
      </c>
      <c r="U649" s="77">
        <v>0</v>
      </c>
      <c r="V649" s="77">
        <v>61</v>
      </c>
      <c r="W649" s="82" t="s">
        <v>5335</v>
      </c>
      <c r="X649" s="80" t="str">
        <f>HYPERLINK("https://www.freeclassificados.com/ads/bye-rash-gel-anti-foliculite/")</f>
        <v>https://www.freeclassificados.com/ads/bye-rash-gel-anti-foliculite/</v>
      </c>
      <c r="Y649" s="77" t="s">
        <v>7308</v>
      </c>
      <c r="Z649" s="77"/>
      <c r="AA649" s="77"/>
      <c r="AB649" s="77"/>
      <c r="AC649" s="82" t="s">
        <v>10155</v>
      </c>
      <c r="AD649" s="77" t="s">
        <v>10191</v>
      </c>
      <c r="AE649" s="80" t="str">
        <f>HYPERLINK("https://twitter.com/freeclassific/status/1646117762610368512")</f>
        <v>https://twitter.com/freeclassific/status/1646117762610368512</v>
      </c>
      <c r="AF649" s="79">
        <v>45028.491111111114</v>
      </c>
      <c r="AG649" s="85">
        <v>45028</v>
      </c>
      <c r="AH649" s="82" t="s">
        <v>10803</v>
      </c>
      <c r="AI649" s="77" t="b">
        <v>0</v>
      </c>
      <c r="AJ649" s="77"/>
      <c r="AK649" s="77"/>
      <c r="AL649" s="77"/>
      <c r="AM649" s="77"/>
      <c r="AN649" s="77"/>
      <c r="AO649" s="77"/>
      <c r="AP649" s="77"/>
      <c r="AQ649" s="77"/>
      <c r="AR649" s="77"/>
      <c r="AS649" s="77"/>
      <c r="AT649" s="77"/>
      <c r="AU649" s="77"/>
      <c r="AV649" s="80" t="str">
        <f>HYPERLINK("https://pbs.twimg.com/profile_images/1431648743728852993/tLJ7F5Lu_normal.png")</f>
        <v>https://pbs.twimg.com/profile_images/1431648743728852993/tLJ7F5Lu_normal.png</v>
      </c>
      <c r="AW649" s="82" t="s">
        <v>17422</v>
      </c>
      <c r="AX649" s="82" t="s">
        <v>17422</v>
      </c>
      <c r="AY649" s="77"/>
      <c r="AZ649" s="82" t="s">
        <v>20971</v>
      </c>
      <c r="BA649" s="82" t="s">
        <v>20971</v>
      </c>
      <c r="BB649" s="82" t="s">
        <v>20971</v>
      </c>
      <c r="BC649" s="82" t="s">
        <v>17422</v>
      </c>
      <c r="BD649" s="77">
        <v>489723814</v>
      </c>
      <c r="BE649" s="77"/>
      <c r="BF649" s="77"/>
      <c r="BG649" s="77"/>
      <c r="BH649" s="77"/>
      <c r="BI649" s="77"/>
    </row>
    <row r="650" spans="1:61" x14ac:dyDescent="0.25">
      <c r="A650" s="62" t="s">
        <v>418</v>
      </c>
      <c r="B650" s="62" t="s">
        <v>418</v>
      </c>
      <c r="C650" s="63"/>
      <c r="D650" s="64"/>
      <c r="E650" s="65"/>
      <c r="F650" s="66"/>
      <c r="G650" s="63"/>
      <c r="H650" s="67"/>
      <c r="I650" s="68"/>
      <c r="J650" s="68"/>
      <c r="K650" s="32"/>
      <c r="L650" s="75">
        <v>650</v>
      </c>
      <c r="M650" s="75"/>
      <c r="N650" s="70"/>
      <c r="O650" s="77" t="s">
        <v>179</v>
      </c>
      <c r="P650" s="79">
        <v>45028.228668981479</v>
      </c>
      <c r="Q650" s="77" t="s">
        <v>1932</v>
      </c>
      <c r="R650" s="77">
        <v>0</v>
      </c>
      <c r="S650" s="77">
        <v>0</v>
      </c>
      <c r="T650" s="77">
        <v>0</v>
      </c>
      <c r="U650" s="77">
        <v>0</v>
      </c>
      <c r="V650" s="77">
        <v>18</v>
      </c>
      <c r="W650" s="82" t="s">
        <v>5335</v>
      </c>
      <c r="X650" s="80" t="str">
        <f>HYPERLINK("https://www.freeclassificados.com/ads/ebook-gratis-como-ter-7-fontes-de-renda-sob-unico-foco-sem-ter-tempo/")</f>
        <v>https://www.freeclassificados.com/ads/ebook-gratis-como-ter-7-fontes-de-renda-sob-unico-foco-sem-ter-tempo/</v>
      </c>
      <c r="Y650" s="77" t="s">
        <v>7308</v>
      </c>
      <c r="Z650" s="77"/>
      <c r="AA650" s="77"/>
      <c r="AB650" s="77"/>
      <c r="AC650" s="82" t="s">
        <v>10155</v>
      </c>
      <c r="AD650" s="77" t="s">
        <v>10184</v>
      </c>
      <c r="AE650" s="80" t="str">
        <f>HYPERLINK("https://twitter.com/freeclassific/status/1646022655953469444")</f>
        <v>https://twitter.com/freeclassific/status/1646022655953469444</v>
      </c>
      <c r="AF650" s="79">
        <v>45028.228668981479</v>
      </c>
      <c r="AG650" s="85">
        <v>45028</v>
      </c>
      <c r="AH650" s="82" t="s">
        <v>10804</v>
      </c>
      <c r="AI650" s="77" t="b">
        <v>0</v>
      </c>
      <c r="AJ650" s="77"/>
      <c r="AK650" s="77"/>
      <c r="AL650" s="77"/>
      <c r="AM650" s="77"/>
      <c r="AN650" s="77"/>
      <c r="AO650" s="77"/>
      <c r="AP650" s="77"/>
      <c r="AQ650" s="77"/>
      <c r="AR650" s="77"/>
      <c r="AS650" s="77"/>
      <c r="AT650" s="77"/>
      <c r="AU650" s="77"/>
      <c r="AV650" s="80" t="str">
        <f>HYPERLINK("https://pbs.twimg.com/profile_images/1431648743728852993/tLJ7F5Lu_normal.png")</f>
        <v>https://pbs.twimg.com/profile_images/1431648743728852993/tLJ7F5Lu_normal.png</v>
      </c>
      <c r="AW650" s="82" t="s">
        <v>17423</v>
      </c>
      <c r="AX650" s="82" t="s">
        <v>17423</v>
      </c>
      <c r="AY650" s="77"/>
      <c r="AZ650" s="82" t="s">
        <v>20971</v>
      </c>
      <c r="BA650" s="82" t="s">
        <v>20971</v>
      </c>
      <c r="BB650" s="82" t="s">
        <v>20971</v>
      </c>
      <c r="BC650" s="82" t="s">
        <v>17423</v>
      </c>
      <c r="BD650" s="77">
        <v>489723814</v>
      </c>
      <c r="BE650" s="77"/>
      <c r="BF650" s="77"/>
      <c r="BG650" s="77"/>
      <c r="BH650" s="77"/>
      <c r="BI650" s="77"/>
    </row>
    <row r="651" spans="1:61" x14ac:dyDescent="0.25">
      <c r="A651" s="62" t="s">
        <v>418</v>
      </c>
      <c r="B651" s="62" t="s">
        <v>418</v>
      </c>
      <c r="C651" s="63"/>
      <c r="D651" s="64"/>
      <c r="E651" s="65"/>
      <c r="F651" s="66"/>
      <c r="G651" s="63"/>
      <c r="H651" s="67"/>
      <c r="I651" s="68"/>
      <c r="J651" s="68"/>
      <c r="K651" s="32"/>
      <c r="L651" s="75">
        <v>651</v>
      </c>
      <c r="M651" s="75"/>
      <c r="N651" s="70"/>
      <c r="O651" s="77" t="s">
        <v>179</v>
      </c>
      <c r="P651" s="79">
        <v>45027.742928240739</v>
      </c>
      <c r="Q651" s="77" t="s">
        <v>1933</v>
      </c>
      <c r="R651" s="77">
        <v>0</v>
      </c>
      <c r="S651" s="77">
        <v>0</v>
      </c>
      <c r="T651" s="77">
        <v>0</v>
      </c>
      <c r="U651" s="77">
        <v>0</v>
      </c>
      <c r="V651" s="77">
        <v>12</v>
      </c>
      <c r="W651" s="82" t="s">
        <v>5335</v>
      </c>
      <c r="X651" s="80" t="str">
        <f>HYPERLINK("https://www.freeclassificados.com/ads/embalagem-para-pastel-com-plastificacao-interna/")</f>
        <v>https://www.freeclassificados.com/ads/embalagem-para-pastel-com-plastificacao-interna/</v>
      </c>
      <c r="Y651" s="77" t="s">
        <v>7308</v>
      </c>
      <c r="Z651" s="77"/>
      <c r="AA651" s="77"/>
      <c r="AB651" s="77"/>
      <c r="AC651" s="82" t="s">
        <v>10155</v>
      </c>
      <c r="AD651" s="77" t="s">
        <v>10184</v>
      </c>
      <c r="AE651" s="80" t="str">
        <f>HYPERLINK("https://twitter.com/freeclassific/status/1645846629055090690")</f>
        <v>https://twitter.com/freeclassific/status/1645846629055090690</v>
      </c>
      <c r="AF651" s="79">
        <v>45027.742928240739</v>
      </c>
      <c r="AG651" s="85">
        <v>45027</v>
      </c>
      <c r="AH651" s="82" t="s">
        <v>10805</v>
      </c>
      <c r="AI651" s="77" t="b">
        <v>0</v>
      </c>
      <c r="AJ651" s="77"/>
      <c r="AK651" s="77"/>
      <c r="AL651" s="77"/>
      <c r="AM651" s="77"/>
      <c r="AN651" s="77"/>
      <c r="AO651" s="77"/>
      <c r="AP651" s="77"/>
      <c r="AQ651" s="77"/>
      <c r="AR651" s="77"/>
      <c r="AS651" s="77"/>
      <c r="AT651" s="77"/>
      <c r="AU651" s="77"/>
      <c r="AV651" s="80" t="str">
        <f>HYPERLINK("https://pbs.twimg.com/profile_images/1431648743728852993/tLJ7F5Lu_normal.png")</f>
        <v>https://pbs.twimg.com/profile_images/1431648743728852993/tLJ7F5Lu_normal.png</v>
      </c>
      <c r="AW651" s="82" t="s">
        <v>17424</v>
      </c>
      <c r="AX651" s="82" t="s">
        <v>17424</v>
      </c>
      <c r="AY651" s="77"/>
      <c r="AZ651" s="82" t="s">
        <v>20971</v>
      </c>
      <c r="BA651" s="82" t="s">
        <v>20971</v>
      </c>
      <c r="BB651" s="82" t="s">
        <v>20971</v>
      </c>
      <c r="BC651" s="82" t="s">
        <v>17424</v>
      </c>
      <c r="BD651" s="77">
        <v>489723814</v>
      </c>
      <c r="BE651" s="77"/>
      <c r="BF651" s="77"/>
      <c r="BG651" s="77"/>
      <c r="BH651" s="77"/>
      <c r="BI651" s="77"/>
    </row>
    <row r="652" spans="1:61" x14ac:dyDescent="0.25">
      <c r="A652" s="62" t="s">
        <v>418</v>
      </c>
      <c r="B652" s="62" t="s">
        <v>418</v>
      </c>
      <c r="C652" s="63"/>
      <c r="D652" s="64"/>
      <c r="E652" s="65"/>
      <c r="F652" s="66"/>
      <c r="G652" s="63"/>
      <c r="H652" s="67"/>
      <c r="I652" s="68"/>
      <c r="J652" s="68"/>
      <c r="K652" s="32"/>
      <c r="L652" s="75">
        <v>652</v>
      </c>
      <c r="M652" s="75"/>
      <c r="N652" s="70"/>
      <c r="O652" s="77" t="s">
        <v>179</v>
      </c>
      <c r="P652" s="79">
        <v>45027.641736111109</v>
      </c>
      <c r="Q652" s="77" t="s">
        <v>1934</v>
      </c>
      <c r="R652" s="77">
        <v>0</v>
      </c>
      <c r="S652" s="77">
        <v>0</v>
      </c>
      <c r="T652" s="77">
        <v>0</v>
      </c>
      <c r="U652" s="77">
        <v>0</v>
      </c>
      <c r="V652" s="77">
        <v>12</v>
      </c>
      <c r="W652" s="82" t="s">
        <v>5335</v>
      </c>
      <c r="X652" s="80" t="str">
        <f>HYPERLINK("https://www.freeclassificados.com/ads/invista-na-sua-marca-sacos-personalizados-para-delivery/")</f>
        <v>https://www.freeclassificados.com/ads/invista-na-sua-marca-sacos-personalizados-para-delivery/</v>
      </c>
      <c r="Y652" s="77" t="s">
        <v>7308</v>
      </c>
      <c r="Z652" s="77"/>
      <c r="AA652" s="77"/>
      <c r="AB652" s="77"/>
      <c r="AC652" s="82" t="s">
        <v>10155</v>
      </c>
      <c r="AD652" s="77" t="s">
        <v>10184</v>
      </c>
      <c r="AE652" s="80" t="str">
        <f>HYPERLINK("https://twitter.com/freeclassific/status/1645809956812394497")</f>
        <v>https://twitter.com/freeclassific/status/1645809956812394497</v>
      </c>
      <c r="AF652" s="79">
        <v>45027.641736111109</v>
      </c>
      <c r="AG652" s="85">
        <v>45027</v>
      </c>
      <c r="AH652" s="82" t="s">
        <v>10806</v>
      </c>
      <c r="AI652" s="77" t="b">
        <v>0</v>
      </c>
      <c r="AJ652" s="77"/>
      <c r="AK652" s="77"/>
      <c r="AL652" s="77"/>
      <c r="AM652" s="77"/>
      <c r="AN652" s="77"/>
      <c r="AO652" s="77"/>
      <c r="AP652" s="77"/>
      <c r="AQ652" s="77"/>
      <c r="AR652" s="77"/>
      <c r="AS652" s="77"/>
      <c r="AT652" s="77"/>
      <c r="AU652" s="77"/>
      <c r="AV652" s="80" t="str">
        <f>HYPERLINK("https://pbs.twimg.com/profile_images/1431648743728852993/tLJ7F5Lu_normal.png")</f>
        <v>https://pbs.twimg.com/profile_images/1431648743728852993/tLJ7F5Lu_normal.png</v>
      </c>
      <c r="AW652" s="82" t="s">
        <v>17425</v>
      </c>
      <c r="AX652" s="82" t="s">
        <v>17425</v>
      </c>
      <c r="AY652" s="77"/>
      <c r="AZ652" s="82" t="s">
        <v>20971</v>
      </c>
      <c r="BA652" s="82" t="s">
        <v>20971</v>
      </c>
      <c r="BB652" s="82" t="s">
        <v>20971</v>
      </c>
      <c r="BC652" s="82" t="s">
        <v>17425</v>
      </c>
      <c r="BD652" s="77">
        <v>489723814</v>
      </c>
      <c r="BE652" s="77"/>
      <c r="BF652" s="77"/>
      <c r="BG652" s="77"/>
      <c r="BH652" s="77"/>
      <c r="BI652" s="77"/>
    </row>
    <row r="653" spans="1:61" x14ac:dyDescent="0.25">
      <c r="A653" s="62" t="s">
        <v>418</v>
      </c>
      <c r="B653" s="62" t="s">
        <v>418</v>
      </c>
      <c r="C653" s="63"/>
      <c r="D653" s="64"/>
      <c r="E653" s="65"/>
      <c r="F653" s="66"/>
      <c r="G653" s="63"/>
      <c r="H653" s="67"/>
      <c r="I653" s="68"/>
      <c r="J653" s="68"/>
      <c r="K653" s="32"/>
      <c r="L653" s="75">
        <v>653</v>
      </c>
      <c r="M653" s="75"/>
      <c r="N653" s="70"/>
      <c r="O653" s="77" t="s">
        <v>179</v>
      </c>
      <c r="P653" s="79">
        <v>45026.817349537036</v>
      </c>
      <c r="Q653" s="77" t="s">
        <v>1935</v>
      </c>
      <c r="R653" s="77">
        <v>0</v>
      </c>
      <c r="S653" s="77">
        <v>0</v>
      </c>
      <c r="T653" s="77">
        <v>0</v>
      </c>
      <c r="U653" s="77">
        <v>0</v>
      </c>
      <c r="V653" s="77">
        <v>17</v>
      </c>
      <c r="W653" s="82" t="s">
        <v>5335</v>
      </c>
      <c r="X653" s="80" t="str">
        <f>HYPERLINK("https://www.freeclassificados.com/ads/100-unidades-de-embalagem-para-pastel-6000/")</f>
        <v>https://www.freeclassificados.com/ads/100-unidades-de-embalagem-para-pastel-6000/</v>
      </c>
      <c r="Y653" s="77" t="s">
        <v>7308</v>
      </c>
      <c r="Z653" s="77"/>
      <c r="AA653" s="77"/>
      <c r="AB653" s="77"/>
      <c r="AC653" s="82" t="s">
        <v>10155</v>
      </c>
      <c r="AD653" s="77" t="s">
        <v>10184</v>
      </c>
      <c r="AE653" s="80" t="str">
        <f>HYPERLINK("https://twitter.com/freeclassific/status/1645511212728455168")</f>
        <v>https://twitter.com/freeclassific/status/1645511212728455168</v>
      </c>
      <c r="AF653" s="79">
        <v>45026.817349537036</v>
      </c>
      <c r="AG653" s="85">
        <v>45026</v>
      </c>
      <c r="AH653" s="82" t="s">
        <v>10807</v>
      </c>
      <c r="AI653" s="77" t="b">
        <v>0</v>
      </c>
      <c r="AJ653" s="77"/>
      <c r="AK653" s="77"/>
      <c r="AL653" s="77"/>
      <c r="AM653" s="77"/>
      <c r="AN653" s="77"/>
      <c r="AO653" s="77"/>
      <c r="AP653" s="77"/>
      <c r="AQ653" s="77"/>
      <c r="AR653" s="77"/>
      <c r="AS653" s="77"/>
      <c r="AT653" s="77"/>
      <c r="AU653" s="77"/>
      <c r="AV653" s="80" t="str">
        <f>HYPERLINK("https://pbs.twimg.com/profile_images/1431648743728852993/tLJ7F5Lu_normal.png")</f>
        <v>https://pbs.twimg.com/profile_images/1431648743728852993/tLJ7F5Lu_normal.png</v>
      </c>
      <c r="AW653" s="82" t="s">
        <v>17426</v>
      </c>
      <c r="AX653" s="82" t="s">
        <v>17426</v>
      </c>
      <c r="AY653" s="77"/>
      <c r="AZ653" s="82" t="s">
        <v>20971</v>
      </c>
      <c r="BA653" s="82" t="s">
        <v>20971</v>
      </c>
      <c r="BB653" s="82" t="s">
        <v>20971</v>
      </c>
      <c r="BC653" s="82" t="s">
        <v>17426</v>
      </c>
      <c r="BD653" s="77">
        <v>489723814</v>
      </c>
      <c r="BE653" s="77"/>
      <c r="BF653" s="77"/>
      <c r="BG653" s="77"/>
      <c r="BH653" s="77"/>
      <c r="BI653" s="77"/>
    </row>
    <row r="654" spans="1:61" x14ac:dyDescent="0.25">
      <c r="A654" s="62" t="s">
        <v>418</v>
      </c>
      <c r="B654" s="62" t="s">
        <v>418</v>
      </c>
      <c r="C654" s="63"/>
      <c r="D654" s="64"/>
      <c r="E654" s="65"/>
      <c r="F654" s="66"/>
      <c r="G654" s="63"/>
      <c r="H654" s="67"/>
      <c r="I654" s="68"/>
      <c r="J654" s="68"/>
      <c r="K654" s="32"/>
      <c r="L654" s="75">
        <v>654</v>
      </c>
      <c r="M654" s="75"/>
      <c r="N654" s="70"/>
      <c r="O654" s="77" t="s">
        <v>179</v>
      </c>
      <c r="P654" s="79">
        <v>45026.787916666668</v>
      </c>
      <c r="Q654" s="77" t="s">
        <v>1936</v>
      </c>
      <c r="R654" s="77">
        <v>0</v>
      </c>
      <c r="S654" s="77">
        <v>0</v>
      </c>
      <c r="T654" s="77">
        <v>0</v>
      </c>
      <c r="U654" s="77">
        <v>0</v>
      </c>
      <c r="V654" s="77">
        <v>14</v>
      </c>
      <c r="W654" s="82" t="s">
        <v>5335</v>
      </c>
      <c r="X654" s="80" t="str">
        <f>HYPERLINK("https://www.freeclassificados.com/ads/embalagem-promocional-para-pastel/")</f>
        <v>https://www.freeclassificados.com/ads/embalagem-promocional-para-pastel/</v>
      </c>
      <c r="Y654" s="77" t="s">
        <v>7308</v>
      </c>
      <c r="Z654" s="77"/>
      <c r="AA654" s="77"/>
      <c r="AB654" s="77"/>
      <c r="AC654" s="82" t="s">
        <v>10155</v>
      </c>
      <c r="AD654" s="77" t="s">
        <v>10184</v>
      </c>
      <c r="AE654" s="80" t="str">
        <f>HYPERLINK("https://twitter.com/freeclassific/status/1645500546093289472")</f>
        <v>https://twitter.com/freeclassific/status/1645500546093289472</v>
      </c>
      <c r="AF654" s="79">
        <v>45026.787916666668</v>
      </c>
      <c r="AG654" s="85">
        <v>45026</v>
      </c>
      <c r="AH654" s="82" t="s">
        <v>10808</v>
      </c>
      <c r="AI654" s="77" t="b">
        <v>0</v>
      </c>
      <c r="AJ654" s="77"/>
      <c r="AK654" s="77"/>
      <c r="AL654" s="77"/>
      <c r="AM654" s="77"/>
      <c r="AN654" s="77"/>
      <c r="AO654" s="77"/>
      <c r="AP654" s="77"/>
      <c r="AQ654" s="77"/>
      <c r="AR654" s="77"/>
      <c r="AS654" s="77"/>
      <c r="AT654" s="77"/>
      <c r="AU654" s="77"/>
      <c r="AV654" s="80" t="str">
        <f>HYPERLINK("https://pbs.twimg.com/profile_images/1431648743728852993/tLJ7F5Lu_normal.png")</f>
        <v>https://pbs.twimg.com/profile_images/1431648743728852993/tLJ7F5Lu_normal.png</v>
      </c>
      <c r="AW654" s="82" t="s">
        <v>17427</v>
      </c>
      <c r="AX654" s="82" t="s">
        <v>17427</v>
      </c>
      <c r="AY654" s="77"/>
      <c r="AZ654" s="82" t="s">
        <v>20971</v>
      </c>
      <c r="BA654" s="82" t="s">
        <v>20971</v>
      </c>
      <c r="BB654" s="82" t="s">
        <v>20971</v>
      </c>
      <c r="BC654" s="82" t="s">
        <v>17427</v>
      </c>
      <c r="BD654" s="77">
        <v>489723814</v>
      </c>
      <c r="BE654" s="77"/>
      <c r="BF654" s="77"/>
      <c r="BG654" s="77"/>
      <c r="BH654" s="77"/>
      <c r="BI654" s="77"/>
    </row>
    <row r="655" spans="1:61" x14ac:dyDescent="0.25">
      <c r="A655" s="62" t="s">
        <v>418</v>
      </c>
      <c r="B655" s="62" t="s">
        <v>418</v>
      </c>
      <c r="C655" s="63"/>
      <c r="D655" s="64"/>
      <c r="E655" s="65"/>
      <c r="F655" s="66"/>
      <c r="G655" s="63"/>
      <c r="H655" s="67"/>
      <c r="I655" s="68"/>
      <c r="J655" s="68"/>
      <c r="K655" s="32"/>
      <c r="L655" s="75">
        <v>655</v>
      </c>
      <c r="M655" s="75"/>
      <c r="N655" s="70"/>
      <c r="O655" s="77" t="s">
        <v>179</v>
      </c>
      <c r="P655" s="79">
        <v>45026.625104166669</v>
      </c>
      <c r="Q655" s="77" t="s">
        <v>1937</v>
      </c>
      <c r="R655" s="77">
        <v>0</v>
      </c>
      <c r="S655" s="77">
        <v>0</v>
      </c>
      <c r="T655" s="77">
        <v>0</v>
      </c>
      <c r="U655" s="77">
        <v>0</v>
      </c>
      <c r="V655" s="77">
        <v>7</v>
      </c>
      <c r="W655" s="82" t="s">
        <v>5335</v>
      </c>
      <c r="X655" s="80" t="str">
        <f>HYPERLINK("https://www.freeclassificados.com/ads/sacos-kraft-personalizados-ideais-para-delivery/")</f>
        <v>https://www.freeclassificados.com/ads/sacos-kraft-personalizados-ideais-para-delivery/</v>
      </c>
      <c r="Y655" s="77" t="s">
        <v>7308</v>
      </c>
      <c r="Z655" s="77"/>
      <c r="AA655" s="77"/>
      <c r="AB655" s="77"/>
      <c r="AC655" s="82" t="s">
        <v>10155</v>
      </c>
      <c r="AD655" s="77" t="s">
        <v>10187</v>
      </c>
      <c r="AE655" s="80" t="str">
        <f>HYPERLINK("https://twitter.com/freeclassific/status/1645441545267712000")</f>
        <v>https://twitter.com/freeclassific/status/1645441545267712000</v>
      </c>
      <c r="AF655" s="79">
        <v>45026.625104166669</v>
      </c>
      <c r="AG655" s="85">
        <v>45026</v>
      </c>
      <c r="AH655" s="82" t="s">
        <v>10809</v>
      </c>
      <c r="AI655" s="77" t="b">
        <v>0</v>
      </c>
      <c r="AJ655" s="77"/>
      <c r="AK655" s="77"/>
      <c r="AL655" s="77"/>
      <c r="AM655" s="77"/>
      <c r="AN655" s="77"/>
      <c r="AO655" s="77"/>
      <c r="AP655" s="77"/>
      <c r="AQ655" s="77"/>
      <c r="AR655" s="77"/>
      <c r="AS655" s="77"/>
      <c r="AT655" s="77"/>
      <c r="AU655" s="77"/>
      <c r="AV655" s="80" t="str">
        <f>HYPERLINK("https://pbs.twimg.com/profile_images/1431648743728852993/tLJ7F5Lu_normal.png")</f>
        <v>https://pbs.twimg.com/profile_images/1431648743728852993/tLJ7F5Lu_normal.png</v>
      </c>
      <c r="AW655" s="82" t="s">
        <v>17428</v>
      </c>
      <c r="AX655" s="82" t="s">
        <v>17428</v>
      </c>
      <c r="AY655" s="77"/>
      <c r="AZ655" s="82" t="s">
        <v>20971</v>
      </c>
      <c r="BA655" s="82" t="s">
        <v>20971</v>
      </c>
      <c r="BB655" s="82" t="s">
        <v>20971</v>
      </c>
      <c r="BC655" s="82" t="s">
        <v>17428</v>
      </c>
      <c r="BD655" s="77">
        <v>489723814</v>
      </c>
      <c r="BE655" s="77"/>
      <c r="BF655" s="77"/>
      <c r="BG655" s="77"/>
      <c r="BH655" s="77"/>
      <c r="BI655" s="77"/>
    </row>
    <row r="656" spans="1:61" x14ac:dyDescent="0.25">
      <c r="A656" s="62" t="s">
        <v>418</v>
      </c>
      <c r="B656" s="62" t="s">
        <v>418</v>
      </c>
      <c r="C656" s="63"/>
      <c r="D656" s="64"/>
      <c r="E656" s="65"/>
      <c r="F656" s="66"/>
      <c r="G656" s="63"/>
      <c r="H656" s="67"/>
      <c r="I656" s="68"/>
      <c r="J656" s="68"/>
      <c r="K656" s="32"/>
      <c r="L656" s="75">
        <v>656</v>
      </c>
      <c r="M656" s="75"/>
      <c r="N656" s="70"/>
      <c r="O656" s="77" t="s">
        <v>179</v>
      </c>
      <c r="P656" s="79">
        <v>45026.624432870369</v>
      </c>
      <c r="Q656" s="77" t="s">
        <v>1938</v>
      </c>
      <c r="R656" s="77">
        <v>0</v>
      </c>
      <c r="S656" s="77">
        <v>0</v>
      </c>
      <c r="T656" s="77">
        <v>0</v>
      </c>
      <c r="U656" s="77">
        <v>0</v>
      </c>
      <c r="V656" s="77">
        <v>10</v>
      </c>
      <c r="W656" s="82" t="s">
        <v>5335</v>
      </c>
      <c r="X656" s="80" t="str">
        <f>HYPERLINK("https://www.freeclassificados.com/ads/palco-coberta-som-luz-alugo-palco-aluguel-tablado-de-vidro-palco-madeira-9-86-25-98-82/")</f>
        <v>https://www.freeclassificados.com/ads/palco-coberta-som-luz-alugo-palco-aluguel-tablado-de-vidro-palco-madeira-9-86-25-98-82/</v>
      </c>
      <c r="Y656" s="77" t="s">
        <v>7308</v>
      </c>
      <c r="Z656" s="77"/>
      <c r="AA656" s="77"/>
      <c r="AB656" s="77"/>
      <c r="AC656" s="82" t="s">
        <v>10155</v>
      </c>
      <c r="AD656" s="77" t="s">
        <v>10184</v>
      </c>
      <c r="AE656" s="80" t="str">
        <f>HYPERLINK("https://twitter.com/freeclassific/status/1645441300056133632")</f>
        <v>https://twitter.com/freeclassific/status/1645441300056133632</v>
      </c>
      <c r="AF656" s="79">
        <v>45026.624432870369</v>
      </c>
      <c r="AG656" s="85">
        <v>45026</v>
      </c>
      <c r="AH656" s="82" t="s">
        <v>10810</v>
      </c>
      <c r="AI656" s="77" t="b">
        <v>0</v>
      </c>
      <c r="AJ656" s="77"/>
      <c r="AK656" s="77"/>
      <c r="AL656" s="77"/>
      <c r="AM656" s="77"/>
      <c r="AN656" s="77"/>
      <c r="AO656" s="77"/>
      <c r="AP656" s="77"/>
      <c r="AQ656" s="77"/>
      <c r="AR656" s="77"/>
      <c r="AS656" s="77"/>
      <c r="AT656" s="77"/>
      <c r="AU656" s="77"/>
      <c r="AV656" s="80" t="str">
        <f>HYPERLINK("https://pbs.twimg.com/profile_images/1431648743728852993/tLJ7F5Lu_normal.png")</f>
        <v>https://pbs.twimg.com/profile_images/1431648743728852993/tLJ7F5Lu_normal.png</v>
      </c>
      <c r="AW656" s="82" t="s">
        <v>17429</v>
      </c>
      <c r="AX656" s="82" t="s">
        <v>17429</v>
      </c>
      <c r="AY656" s="77"/>
      <c r="AZ656" s="82" t="s">
        <v>20971</v>
      </c>
      <c r="BA656" s="82" t="s">
        <v>20971</v>
      </c>
      <c r="BB656" s="82" t="s">
        <v>20971</v>
      </c>
      <c r="BC656" s="82" t="s">
        <v>17429</v>
      </c>
      <c r="BD656" s="77">
        <v>489723814</v>
      </c>
      <c r="BE656" s="77"/>
      <c r="BF656" s="77"/>
      <c r="BG656" s="77"/>
      <c r="BH656" s="77"/>
      <c r="BI656" s="77"/>
    </row>
    <row r="657" spans="1:61" x14ac:dyDescent="0.25">
      <c r="A657" s="62" t="s">
        <v>418</v>
      </c>
      <c r="B657" s="62" t="s">
        <v>418</v>
      </c>
      <c r="C657" s="63"/>
      <c r="D657" s="64"/>
      <c r="E657" s="65"/>
      <c r="F657" s="66"/>
      <c r="G657" s="63"/>
      <c r="H657" s="67"/>
      <c r="I657" s="68"/>
      <c r="J657" s="68"/>
      <c r="K657" s="32"/>
      <c r="L657" s="75">
        <v>657</v>
      </c>
      <c r="M657" s="75"/>
      <c r="N657" s="70"/>
      <c r="O657" s="77" t="s">
        <v>179</v>
      </c>
      <c r="P657" s="79">
        <v>45026.612476851849</v>
      </c>
      <c r="Q657" s="77" t="s">
        <v>1939</v>
      </c>
      <c r="R657" s="77">
        <v>0</v>
      </c>
      <c r="S657" s="77">
        <v>0</v>
      </c>
      <c r="T657" s="77">
        <v>0</v>
      </c>
      <c r="U657" s="77">
        <v>0</v>
      </c>
      <c r="V657" s="77">
        <v>8</v>
      </c>
      <c r="W657" s="82" t="s">
        <v>5335</v>
      </c>
      <c r="X657" s="80" t="str">
        <f>HYPERLINK("https://www.freeclassificados.com/ads/promocao-sacolas-kraft-personalizdas/")</f>
        <v>https://www.freeclassificados.com/ads/promocao-sacolas-kraft-personalizdas/</v>
      </c>
      <c r="Y657" s="77" t="s">
        <v>7308</v>
      </c>
      <c r="Z657" s="77"/>
      <c r="AA657" s="77"/>
      <c r="AB657" s="77"/>
      <c r="AC657" s="82" t="s">
        <v>10155</v>
      </c>
      <c r="AD657" s="77" t="s">
        <v>10184</v>
      </c>
      <c r="AE657" s="80" t="str">
        <f>HYPERLINK("https://twitter.com/freeclassific/status/1645436969248497666")</f>
        <v>https://twitter.com/freeclassific/status/1645436969248497666</v>
      </c>
      <c r="AF657" s="79">
        <v>45026.612476851849</v>
      </c>
      <c r="AG657" s="85">
        <v>45026</v>
      </c>
      <c r="AH657" s="82" t="s">
        <v>10811</v>
      </c>
      <c r="AI657" s="77" t="b">
        <v>0</v>
      </c>
      <c r="AJ657" s="77"/>
      <c r="AK657" s="77"/>
      <c r="AL657" s="77"/>
      <c r="AM657" s="77"/>
      <c r="AN657" s="77"/>
      <c r="AO657" s="77"/>
      <c r="AP657" s="77"/>
      <c r="AQ657" s="77"/>
      <c r="AR657" s="77"/>
      <c r="AS657" s="77"/>
      <c r="AT657" s="77"/>
      <c r="AU657" s="77"/>
      <c r="AV657" s="80" t="str">
        <f>HYPERLINK("https://pbs.twimg.com/profile_images/1431648743728852993/tLJ7F5Lu_normal.png")</f>
        <v>https://pbs.twimg.com/profile_images/1431648743728852993/tLJ7F5Lu_normal.png</v>
      </c>
      <c r="AW657" s="82" t="s">
        <v>17430</v>
      </c>
      <c r="AX657" s="82" t="s">
        <v>17430</v>
      </c>
      <c r="AY657" s="77"/>
      <c r="AZ657" s="82" t="s">
        <v>20971</v>
      </c>
      <c r="BA657" s="82" t="s">
        <v>20971</v>
      </c>
      <c r="BB657" s="82" t="s">
        <v>20971</v>
      </c>
      <c r="BC657" s="82" t="s">
        <v>17430</v>
      </c>
      <c r="BD657" s="77">
        <v>489723814</v>
      </c>
      <c r="BE657" s="77"/>
      <c r="BF657" s="77"/>
      <c r="BG657" s="77"/>
      <c r="BH657" s="77"/>
      <c r="BI657" s="77"/>
    </row>
    <row r="658" spans="1:61" x14ac:dyDescent="0.25">
      <c r="A658" s="62" t="s">
        <v>418</v>
      </c>
      <c r="B658" s="62" t="s">
        <v>418</v>
      </c>
      <c r="C658" s="63"/>
      <c r="D658" s="64"/>
      <c r="E658" s="65"/>
      <c r="F658" s="66"/>
      <c r="G658" s="63"/>
      <c r="H658" s="67"/>
      <c r="I658" s="68"/>
      <c r="J658" s="68"/>
      <c r="K658" s="32"/>
      <c r="L658" s="75">
        <v>658</v>
      </c>
      <c r="M658" s="75"/>
      <c r="N658" s="70"/>
      <c r="O658" s="77" t="s">
        <v>179</v>
      </c>
      <c r="P658" s="79">
        <v>45026.588263888887</v>
      </c>
      <c r="Q658" s="77" t="s">
        <v>1940</v>
      </c>
      <c r="R658" s="77">
        <v>0</v>
      </c>
      <c r="S658" s="77">
        <v>0</v>
      </c>
      <c r="T658" s="77">
        <v>0</v>
      </c>
      <c r="U658" s="77">
        <v>0</v>
      </c>
      <c r="V658" s="77">
        <v>11</v>
      </c>
      <c r="W658" s="82" t="s">
        <v>5335</v>
      </c>
      <c r="X658" s="80" t="str">
        <f>HYPERLINK("https://www.freeclassificados.com/ads/promocao-sacola-plastica-personalizada/")</f>
        <v>https://www.freeclassificados.com/ads/promocao-sacola-plastica-personalizada/</v>
      </c>
      <c r="Y658" s="77" t="s">
        <v>7308</v>
      </c>
      <c r="Z658" s="77"/>
      <c r="AA658" s="77"/>
      <c r="AB658" s="77"/>
      <c r="AC658" s="82" t="s">
        <v>10155</v>
      </c>
      <c r="AD658" s="77" t="s">
        <v>10184</v>
      </c>
      <c r="AE658" s="80" t="str">
        <f>HYPERLINK("https://twitter.com/freeclassific/status/1645428193330089986")</f>
        <v>https://twitter.com/freeclassific/status/1645428193330089986</v>
      </c>
      <c r="AF658" s="79">
        <v>45026.588263888887</v>
      </c>
      <c r="AG658" s="85">
        <v>45026</v>
      </c>
      <c r="AH658" s="82" t="s">
        <v>10397</v>
      </c>
      <c r="AI658" s="77" t="b">
        <v>0</v>
      </c>
      <c r="AJ658" s="77"/>
      <c r="AK658" s="77"/>
      <c r="AL658" s="77"/>
      <c r="AM658" s="77"/>
      <c r="AN658" s="77"/>
      <c r="AO658" s="77"/>
      <c r="AP658" s="77"/>
      <c r="AQ658" s="77"/>
      <c r="AR658" s="77"/>
      <c r="AS658" s="77"/>
      <c r="AT658" s="77"/>
      <c r="AU658" s="77"/>
      <c r="AV658" s="80" t="str">
        <f>HYPERLINK("https://pbs.twimg.com/profile_images/1431648743728852993/tLJ7F5Lu_normal.png")</f>
        <v>https://pbs.twimg.com/profile_images/1431648743728852993/tLJ7F5Lu_normal.png</v>
      </c>
      <c r="AW658" s="82" t="s">
        <v>17431</v>
      </c>
      <c r="AX658" s="82" t="s">
        <v>17431</v>
      </c>
      <c r="AY658" s="77"/>
      <c r="AZ658" s="82" t="s">
        <v>20971</v>
      </c>
      <c r="BA658" s="82" t="s">
        <v>20971</v>
      </c>
      <c r="BB658" s="82" t="s">
        <v>20971</v>
      </c>
      <c r="BC658" s="82" t="s">
        <v>17431</v>
      </c>
      <c r="BD658" s="77">
        <v>489723814</v>
      </c>
      <c r="BE658" s="77"/>
      <c r="BF658" s="77"/>
      <c r="BG658" s="77"/>
      <c r="BH658" s="77"/>
      <c r="BI658" s="77"/>
    </row>
    <row r="659" spans="1:61" x14ac:dyDescent="0.25">
      <c r="A659" s="62" t="s">
        <v>418</v>
      </c>
      <c r="B659" s="62" t="s">
        <v>418</v>
      </c>
      <c r="C659" s="63"/>
      <c r="D659" s="64"/>
      <c r="E659" s="65"/>
      <c r="F659" s="66"/>
      <c r="G659" s="63"/>
      <c r="H659" s="67"/>
      <c r="I659" s="68"/>
      <c r="J659" s="68"/>
      <c r="K659" s="32"/>
      <c r="L659" s="75">
        <v>659</v>
      </c>
      <c r="M659" s="75"/>
      <c r="N659" s="70"/>
      <c r="O659" s="77" t="s">
        <v>179</v>
      </c>
      <c r="P659" s="79">
        <v>45025.89875</v>
      </c>
      <c r="Q659" s="77" t="s">
        <v>1941</v>
      </c>
      <c r="R659" s="77">
        <v>0</v>
      </c>
      <c r="S659" s="77">
        <v>0</v>
      </c>
      <c r="T659" s="77">
        <v>0</v>
      </c>
      <c r="U659" s="77">
        <v>0</v>
      </c>
      <c r="V659" s="77">
        <v>29</v>
      </c>
      <c r="W659" s="82" t="s">
        <v>5335</v>
      </c>
      <c r="X659" s="80" t="str">
        <f>HYPERLINK("https://www.freeclassificados.com/ads/combo-beleza-fantastica-alongamento-de-unhas-e-cilios/")</f>
        <v>https://www.freeclassificados.com/ads/combo-beleza-fantastica-alongamento-de-unhas-e-cilios/</v>
      </c>
      <c r="Y659" s="77" t="s">
        <v>7308</v>
      </c>
      <c r="Z659" s="77"/>
      <c r="AA659" s="77"/>
      <c r="AB659" s="77"/>
      <c r="AC659" s="82" t="s">
        <v>10155</v>
      </c>
      <c r="AD659" s="77" t="s">
        <v>10184</v>
      </c>
      <c r="AE659" s="80" t="str">
        <f>HYPERLINK("https://twitter.com/freeclassific/status/1645178320324284417")</f>
        <v>https://twitter.com/freeclassific/status/1645178320324284417</v>
      </c>
      <c r="AF659" s="79">
        <v>45025.89875</v>
      </c>
      <c r="AG659" s="85">
        <v>45025</v>
      </c>
      <c r="AH659" s="82" t="s">
        <v>10812</v>
      </c>
      <c r="AI659" s="77" t="b">
        <v>0</v>
      </c>
      <c r="AJ659" s="77"/>
      <c r="AK659" s="77"/>
      <c r="AL659" s="77"/>
      <c r="AM659" s="77"/>
      <c r="AN659" s="77"/>
      <c r="AO659" s="77"/>
      <c r="AP659" s="77"/>
      <c r="AQ659" s="77"/>
      <c r="AR659" s="77"/>
      <c r="AS659" s="77"/>
      <c r="AT659" s="77"/>
      <c r="AU659" s="77"/>
      <c r="AV659" s="80" t="str">
        <f>HYPERLINK("https://pbs.twimg.com/profile_images/1431648743728852993/tLJ7F5Lu_normal.png")</f>
        <v>https://pbs.twimg.com/profile_images/1431648743728852993/tLJ7F5Lu_normal.png</v>
      </c>
      <c r="AW659" s="82" t="s">
        <v>17432</v>
      </c>
      <c r="AX659" s="82" t="s">
        <v>17432</v>
      </c>
      <c r="AY659" s="77"/>
      <c r="AZ659" s="82" t="s">
        <v>20971</v>
      </c>
      <c r="BA659" s="82" t="s">
        <v>20971</v>
      </c>
      <c r="BB659" s="82" t="s">
        <v>20971</v>
      </c>
      <c r="BC659" s="82" t="s">
        <v>17432</v>
      </c>
      <c r="BD659" s="77">
        <v>489723814</v>
      </c>
      <c r="BE659" s="77"/>
      <c r="BF659" s="77"/>
      <c r="BG659" s="77"/>
      <c r="BH659" s="77"/>
      <c r="BI659" s="77"/>
    </row>
    <row r="660" spans="1:61" x14ac:dyDescent="0.25">
      <c r="A660" s="62" t="s">
        <v>418</v>
      </c>
      <c r="B660" s="62" t="s">
        <v>418</v>
      </c>
      <c r="C660" s="63"/>
      <c r="D660" s="64"/>
      <c r="E660" s="65"/>
      <c r="F660" s="66"/>
      <c r="G660" s="63"/>
      <c r="H660" s="67"/>
      <c r="I660" s="68"/>
      <c r="J660" s="68"/>
      <c r="K660" s="32"/>
      <c r="L660" s="75">
        <v>660</v>
      </c>
      <c r="M660" s="75"/>
      <c r="N660" s="70"/>
      <c r="O660" s="77" t="s">
        <v>179</v>
      </c>
      <c r="P660" s="79">
        <v>45025.888483796298</v>
      </c>
      <c r="Q660" s="77" t="s">
        <v>1942</v>
      </c>
      <c r="R660" s="77">
        <v>0</v>
      </c>
      <c r="S660" s="77">
        <v>0</v>
      </c>
      <c r="T660" s="77">
        <v>0</v>
      </c>
      <c r="U660" s="77">
        <v>0</v>
      </c>
      <c r="V660" s="77">
        <v>28</v>
      </c>
      <c r="W660" s="82" t="s">
        <v>5335</v>
      </c>
      <c r="X660" s="80" t="str">
        <f>HYPERLINK("https://www.freeclassificados.com/ads/new-detox-emagreca-muito-mais-rapido-sem-dietas-malucas-ou-exercicios-fisicos/")</f>
        <v>https://www.freeclassificados.com/ads/new-detox-emagreca-muito-mais-rapido-sem-dietas-malucas-ou-exercicios-fisicos/</v>
      </c>
      <c r="Y660" s="77" t="s">
        <v>7308</v>
      </c>
      <c r="Z660" s="77"/>
      <c r="AA660" s="77"/>
      <c r="AB660" s="77"/>
      <c r="AC660" s="82" t="s">
        <v>10155</v>
      </c>
      <c r="AD660" s="77" t="s">
        <v>10184</v>
      </c>
      <c r="AE660" s="80" t="str">
        <f>HYPERLINK("https://twitter.com/freeclassific/status/1645174601402707970")</f>
        <v>https://twitter.com/freeclassific/status/1645174601402707970</v>
      </c>
      <c r="AF660" s="79">
        <v>45025.888483796298</v>
      </c>
      <c r="AG660" s="85">
        <v>45025</v>
      </c>
      <c r="AH660" s="82" t="s">
        <v>10813</v>
      </c>
      <c r="AI660" s="77" t="b">
        <v>0</v>
      </c>
      <c r="AJ660" s="77"/>
      <c r="AK660" s="77"/>
      <c r="AL660" s="77"/>
      <c r="AM660" s="77"/>
      <c r="AN660" s="77"/>
      <c r="AO660" s="77"/>
      <c r="AP660" s="77"/>
      <c r="AQ660" s="77"/>
      <c r="AR660" s="77"/>
      <c r="AS660" s="77"/>
      <c r="AT660" s="77"/>
      <c r="AU660" s="77"/>
      <c r="AV660" s="80" t="str">
        <f>HYPERLINK("https://pbs.twimg.com/profile_images/1431648743728852993/tLJ7F5Lu_normal.png")</f>
        <v>https://pbs.twimg.com/profile_images/1431648743728852993/tLJ7F5Lu_normal.png</v>
      </c>
      <c r="AW660" s="82" t="s">
        <v>17433</v>
      </c>
      <c r="AX660" s="82" t="s">
        <v>17433</v>
      </c>
      <c r="AY660" s="77"/>
      <c r="AZ660" s="82" t="s">
        <v>20971</v>
      </c>
      <c r="BA660" s="82" t="s">
        <v>20971</v>
      </c>
      <c r="BB660" s="82" t="s">
        <v>20971</v>
      </c>
      <c r="BC660" s="82" t="s">
        <v>17433</v>
      </c>
      <c r="BD660" s="77">
        <v>489723814</v>
      </c>
      <c r="BE660" s="77"/>
      <c r="BF660" s="77"/>
      <c r="BG660" s="77"/>
      <c r="BH660" s="77"/>
      <c r="BI660" s="77"/>
    </row>
    <row r="661" spans="1:61" x14ac:dyDescent="0.25">
      <c r="A661" s="62" t="s">
        <v>418</v>
      </c>
      <c r="B661" s="62" t="s">
        <v>418</v>
      </c>
      <c r="C661" s="63"/>
      <c r="D661" s="64"/>
      <c r="E661" s="65"/>
      <c r="F661" s="66"/>
      <c r="G661" s="63"/>
      <c r="H661" s="67"/>
      <c r="I661" s="68"/>
      <c r="J661" s="68"/>
      <c r="K661" s="32"/>
      <c r="L661" s="75">
        <v>661</v>
      </c>
      <c r="M661" s="75"/>
      <c r="N661" s="70"/>
      <c r="O661" s="77" t="s">
        <v>179</v>
      </c>
      <c r="P661" s="79">
        <v>45025.461724537039</v>
      </c>
      <c r="Q661" s="77" t="s">
        <v>1943</v>
      </c>
      <c r="R661" s="77">
        <v>0</v>
      </c>
      <c r="S661" s="77">
        <v>0</v>
      </c>
      <c r="T661" s="77">
        <v>0</v>
      </c>
      <c r="U661" s="77">
        <v>0</v>
      </c>
      <c r="V661" s="77">
        <v>56</v>
      </c>
      <c r="W661" s="82" t="s">
        <v>5335</v>
      </c>
      <c r="X661" s="80" t="str">
        <f>HYPERLINK("https://www.freeclassificados.com/ads/iphone-12-pro-maxiphone-13-pro-maxiphone-14-pro-max-para-venda/")</f>
        <v>https://www.freeclassificados.com/ads/iphone-12-pro-maxiphone-13-pro-maxiphone-14-pro-max-para-venda/</v>
      </c>
      <c r="Y661" s="77" t="s">
        <v>7308</v>
      </c>
      <c r="Z661" s="77"/>
      <c r="AA661" s="77"/>
      <c r="AB661" s="77"/>
      <c r="AC661" s="82" t="s">
        <v>10155</v>
      </c>
      <c r="AD661" s="77" t="s">
        <v>10192</v>
      </c>
      <c r="AE661" s="80" t="str">
        <f>HYPERLINK("https://twitter.com/freeclassific/status/1645019947071049729")</f>
        <v>https://twitter.com/freeclassific/status/1645019947071049729</v>
      </c>
      <c r="AF661" s="79">
        <v>45025.461724537039</v>
      </c>
      <c r="AG661" s="85">
        <v>45025</v>
      </c>
      <c r="AH661" s="82" t="s">
        <v>10814</v>
      </c>
      <c r="AI661" s="77" t="b">
        <v>0</v>
      </c>
      <c r="AJ661" s="77"/>
      <c r="AK661" s="77"/>
      <c r="AL661" s="77"/>
      <c r="AM661" s="77"/>
      <c r="AN661" s="77"/>
      <c r="AO661" s="77"/>
      <c r="AP661" s="77"/>
      <c r="AQ661" s="77"/>
      <c r="AR661" s="77"/>
      <c r="AS661" s="77"/>
      <c r="AT661" s="77"/>
      <c r="AU661" s="77"/>
      <c r="AV661" s="80" t="str">
        <f>HYPERLINK("https://pbs.twimg.com/profile_images/1431648743728852993/tLJ7F5Lu_normal.png")</f>
        <v>https://pbs.twimg.com/profile_images/1431648743728852993/tLJ7F5Lu_normal.png</v>
      </c>
      <c r="AW661" s="82" t="s">
        <v>17434</v>
      </c>
      <c r="AX661" s="82" t="s">
        <v>17434</v>
      </c>
      <c r="AY661" s="77"/>
      <c r="AZ661" s="82" t="s">
        <v>20971</v>
      </c>
      <c r="BA661" s="82" t="s">
        <v>20971</v>
      </c>
      <c r="BB661" s="82" t="s">
        <v>20971</v>
      </c>
      <c r="BC661" s="82" t="s">
        <v>17434</v>
      </c>
      <c r="BD661" s="77">
        <v>489723814</v>
      </c>
      <c r="BE661" s="77"/>
      <c r="BF661" s="77"/>
      <c r="BG661" s="77"/>
      <c r="BH661" s="77"/>
      <c r="BI661" s="77"/>
    </row>
    <row r="662" spans="1:61" x14ac:dyDescent="0.25">
      <c r="A662" s="62" t="s">
        <v>418</v>
      </c>
      <c r="B662" s="62" t="s">
        <v>418</v>
      </c>
      <c r="C662" s="63"/>
      <c r="D662" s="64"/>
      <c r="E662" s="65"/>
      <c r="F662" s="66"/>
      <c r="G662" s="63"/>
      <c r="H662" s="67"/>
      <c r="I662" s="68"/>
      <c r="J662" s="68"/>
      <c r="K662" s="32"/>
      <c r="L662" s="75">
        <v>662</v>
      </c>
      <c r="M662" s="75"/>
      <c r="N662" s="70"/>
      <c r="O662" s="77" t="s">
        <v>179</v>
      </c>
      <c r="P662" s="79">
        <v>45025.051886574074</v>
      </c>
      <c r="Q662" s="77" t="s">
        <v>1944</v>
      </c>
      <c r="R662" s="77">
        <v>0</v>
      </c>
      <c r="S662" s="77">
        <v>0</v>
      </c>
      <c r="T662" s="77">
        <v>0</v>
      </c>
      <c r="U662" s="77">
        <v>0</v>
      </c>
      <c r="V662" s="77">
        <v>31</v>
      </c>
      <c r="W662" s="82" t="s">
        <v>5335</v>
      </c>
      <c r="X662" s="77" t="s">
        <v>7189</v>
      </c>
      <c r="Y662" s="77" t="s">
        <v>7309</v>
      </c>
      <c r="Z662" s="77"/>
      <c r="AA662" s="77"/>
      <c r="AB662" s="77"/>
      <c r="AC662" s="82" t="s">
        <v>10155</v>
      </c>
      <c r="AD662" s="77" t="s">
        <v>10184</v>
      </c>
      <c r="AE662" s="80" t="str">
        <f>HYPERLINK("https://twitter.com/freeclassific/status/1644871429547257856")</f>
        <v>https://twitter.com/freeclassific/status/1644871429547257856</v>
      </c>
      <c r="AF662" s="79">
        <v>45025.051886574074</v>
      </c>
      <c r="AG662" s="85">
        <v>45025</v>
      </c>
      <c r="AH662" s="82" t="s">
        <v>10815</v>
      </c>
      <c r="AI662" s="77" t="b">
        <v>0</v>
      </c>
      <c r="AJ662" s="77"/>
      <c r="AK662" s="77"/>
      <c r="AL662" s="77"/>
      <c r="AM662" s="77"/>
      <c r="AN662" s="77"/>
      <c r="AO662" s="77"/>
      <c r="AP662" s="77"/>
      <c r="AQ662" s="77"/>
      <c r="AR662" s="77"/>
      <c r="AS662" s="77"/>
      <c r="AT662" s="77"/>
      <c r="AU662" s="77"/>
      <c r="AV662" s="80" t="str">
        <f>HYPERLINK("https://pbs.twimg.com/profile_images/1431648743728852993/tLJ7F5Lu_normal.png")</f>
        <v>https://pbs.twimg.com/profile_images/1431648743728852993/tLJ7F5Lu_normal.png</v>
      </c>
      <c r="AW662" s="82" t="s">
        <v>17435</v>
      </c>
      <c r="AX662" s="82" t="s">
        <v>17435</v>
      </c>
      <c r="AY662" s="77"/>
      <c r="AZ662" s="82" t="s">
        <v>20971</v>
      </c>
      <c r="BA662" s="82" t="s">
        <v>20971</v>
      </c>
      <c r="BB662" s="82" t="s">
        <v>20971</v>
      </c>
      <c r="BC662" s="82" t="s">
        <v>17435</v>
      </c>
      <c r="BD662" s="77">
        <v>489723814</v>
      </c>
      <c r="BE662" s="77"/>
      <c r="BF662" s="77"/>
      <c r="BG662" s="77"/>
      <c r="BH662" s="77"/>
      <c r="BI662" s="77"/>
    </row>
    <row r="663" spans="1:61" x14ac:dyDescent="0.25">
      <c r="A663" s="62" t="s">
        <v>418</v>
      </c>
      <c r="B663" s="62" t="s">
        <v>418</v>
      </c>
      <c r="C663" s="63"/>
      <c r="D663" s="64"/>
      <c r="E663" s="65"/>
      <c r="F663" s="66"/>
      <c r="G663" s="63"/>
      <c r="H663" s="67"/>
      <c r="I663" s="68"/>
      <c r="J663" s="68"/>
      <c r="K663" s="32"/>
      <c r="L663" s="75">
        <v>663</v>
      </c>
      <c r="M663" s="75"/>
      <c r="N663" s="70"/>
      <c r="O663" s="77" t="s">
        <v>179</v>
      </c>
      <c r="P663" s="79">
        <v>45023.921944444446</v>
      </c>
      <c r="Q663" s="77" t="s">
        <v>1945</v>
      </c>
      <c r="R663" s="77">
        <v>0</v>
      </c>
      <c r="S663" s="77">
        <v>0</v>
      </c>
      <c r="T663" s="77">
        <v>0</v>
      </c>
      <c r="U663" s="77">
        <v>0</v>
      </c>
      <c r="V663" s="77">
        <v>18</v>
      </c>
      <c r="W663" s="82" t="s">
        <v>5335</v>
      </c>
      <c r="X663" s="80" t="str">
        <f>HYPERLINK("https://www.freeclassificados.com/ads/gel-anti-foliculite/")</f>
        <v>https://www.freeclassificados.com/ads/gel-anti-foliculite/</v>
      </c>
      <c r="Y663" s="77" t="s">
        <v>7308</v>
      </c>
      <c r="Z663" s="77"/>
      <c r="AA663" s="77"/>
      <c r="AB663" s="77"/>
      <c r="AC663" s="82" t="s">
        <v>10155</v>
      </c>
      <c r="AD663" s="77" t="s">
        <v>10192</v>
      </c>
      <c r="AE663" s="80" t="str">
        <f>HYPERLINK("https://twitter.com/freeclassific/status/1644461951458889728")</f>
        <v>https://twitter.com/freeclassific/status/1644461951458889728</v>
      </c>
      <c r="AF663" s="79">
        <v>45023.921944444446</v>
      </c>
      <c r="AG663" s="85">
        <v>45023</v>
      </c>
      <c r="AH663" s="82" t="s">
        <v>10816</v>
      </c>
      <c r="AI663" s="77" t="b">
        <v>0</v>
      </c>
      <c r="AJ663" s="77"/>
      <c r="AK663" s="77"/>
      <c r="AL663" s="77"/>
      <c r="AM663" s="77"/>
      <c r="AN663" s="77"/>
      <c r="AO663" s="77"/>
      <c r="AP663" s="77"/>
      <c r="AQ663" s="77"/>
      <c r="AR663" s="77"/>
      <c r="AS663" s="77"/>
      <c r="AT663" s="77"/>
      <c r="AU663" s="77"/>
      <c r="AV663" s="80" t="str">
        <f>HYPERLINK("https://pbs.twimg.com/profile_images/1431648743728852993/tLJ7F5Lu_normal.png")</f>
        <v>https://pbs.twimg.com/profile_images/1431648743728852993/tLJ7F5Lu_normal.png</v>
      </c>
      <c r="AW663" s="82" t="s">
        <v>17436</v>
      </c>
      <c r="AX663" s="82" t="s">
        <v>17436</v>
      </c>
      <c r="AY663" s="77"/>
      <c r="AZ663" s="82" t="s">
        <v>20971</v>
      </c>
      <c r="BA663" s="82" t="s">
        <v>20971</v>
      </c>
      <c r="BB663" s="82" t="s">
        <v>20971</v>
      </c>
      <c r="BC663" s="82" t="s">
        <v>17436</v>
      </c>
      <c r="BD663" s="77">
        <v>489723814</v>
      </c>
      <c r="BE663" s="77"/>
      <c r="BF663" s="77"/>
      <c r="BG663" s="77"/>
      <c r="BH663" s="77"/>
      <c r="BI663" s="77"/>
    </row>
    <row r="664" spans="1:61" x14ac:dyDescent="0.25">
      <c r="A664" s="62" t="s">
        <v>418</v>
      </c>
      <c r="B664" s="62" t="s">
        <v>418</v>
      </c>
      <c r="C664" s="63"/>
      <c r="D664" s="64"/>
      <c r="E664" s="65"/>
      <c r="F664" s="66"/>
      <c r="G664" s="63"/>
      <c r="H664" s="67"/>
      <c r="I664" s="68"/>
      <c r="J664" s="68"/>
      <c r="K664" s="32"/>
      <c r="L664" s="75">
        <v>664</v>
      </c>
      <c r="M664" s="75"/>
      <c r="N664" s="70"/>
      <c r="O664" s="77" t="s">
        <v>179</v>
      </c>
      <c r="P664" s="79">
        <v>45022.838877314818</v>
      </c>
      <c r="Q664" s="77" t="s">
        <v>1946</v>
      </c>
      <c r="R664" s="77">
        <v>0</v>
      </c>
      <c r="S664" s="77">
        <v>0</v>
      </c>
      <c r="T664" s="77">
        <v>0</v>
      </c>
      <c r="U664" s="77">
        <v>0</v>
      </c>
      <c r="V664" s="77">
        <v>10</v>
      </c>
      <c r="W664" s="82" t="s">
        <v>5335</v>
      </c>
      <c r="X664" s="80" t="str">
        <f>HYPERLINK("https://www.freeclassificados.com/ads/agencia-nunes-divulgacao-online-para-empresas/")</f>
        <v>https://www.freeclassificados.com/ads/agencia-nunes-divulgacao-online-para-empresas/</v>
      </c>
      <c r="Y664" s="77" t="s">
        <v>7308</v>
      </c>
      <c r="Z664" s="77"/>
      <c r="AA664" s="77"/>
      <c r="AB664" s="77"/>
      <c r="AC664" s="82" t="s">
        <v>10155</v>
      </c>
      <c r="AD664" s="77" t="s">
        <v>10184</v>
      </c>
      <c r="AE664" s="80" t="str">
        <f>HYPERLINK("https://twitter.com/freeclassific/status/1644069461404819456")</f>
        <v>https://twitter.com/freeclassific/status/1644069461404819456</v>
      </c>
      <c r="AF664" s="79">
        <v>45022.838877314818</v>
      </c>
      <c r="AG664" s="85">
        <v>45022</v>
      </c>
      <c r="AH664" s="82" t="s">
        <v>10817</v>
      </c>
      <c r="AI664" s="77" t="b">
        <v>0</v>
      </c>
      <c r="AJ664" s="77"/>
      <c r="AK664" s="77"/>
      <c r="AL664" s="77"/>
      <c r="AM664" s="77"/>
      <c r="AN664" s="77"/>
      <c r="AO664" s="77"/>
      <c r="AP664" s="77"/>
      <c r="AQ664" s="77"/>
      <c r="AR664" s="77"/>
      <c r="AS664" s="77"/>
      <c r="AT664" s="77"/>
      <c r="AU664" s="77"/>
      <c r="AV664" s="80" t="str">
        <f>HYPERLINK("https://pbs.twimg.com/profile_images/1431648743728852993/tLJ7F5Lu_normal.png")</f>
        <v>https://pbs.twimg.com/profile_images/1431648743728852993/tLJ7F5Lu_normal.png</v>
      </c>
      <c r="AW664" s="82" t="s">
        <v>17437</v>
      </c>
      <c r="AX664" s="82" t="s">
        <v>17437</v>
      </c>
      <c r="AY664" s="77"/>
      <c r="AZ664" s="82" t="s">
        <v>20971</v>
      </c>
      <c r="BA664" s="82" t="s">
        <v>20971</v>
      </c>
      <c r="BB664" s="82" t="s">
        <v>20971</v>
      </c>
      <c r="BC664" s="82" t="s">
        <v>17437</v>
      </c>
      <c r="BD664" s="77">
        <v>489723814</v>
      </c>
      <c r="BE664" s="77"/>
      <c r="BF664" s="77"/>
      <c r="BG664" s="77"/>
      <c r="BH664" s="77"/>
      <c r="BI664" s="77"/>
    </row>
    <row r="665" spans="1:61" x14ac:dyDescent="0.25">
      <c r="A665" s="62" t="s">
        <v>418</v>
      </c>
      <c r="B665" s="62" t="s">
        <v>418</v>
      </c>
      <c r="C665" s="63"/>
      <c r="D665" s="64"/>
      <c r="E665" s="65"/>
      <c r="F665" s="66"/>
      <c r="G665" s="63"/>
      <c r="H665" s="67"/>
      <c r="I665" s="68"/>
      <c r="J665" s="68"/>
      <c r="K665" s="32"/>
      <c r="L665" s="75">
        <v>665</v>
      </c>
      <c r="M665" s="75"/>
      <c r="N665" s="70"/>
      <c r="O665" s="77" t="s">
        <v>179</v>
      </c>
      <c r="P665" s="79">
        <v>45022.678946759261</v>
      </c>
      <c r="Q665" s="77" t="s">
        <v>1947</v>
      </c>
      <c r="R665" s="77">
        <v>0</v>
      </c>
      <c r="S665" s="77">
        <v>0</v>
      </c>
      <c r="T665" s="77">
        <v>0</v>
      </c>
      <c r="U665" s="77">
        <v>0</v>
      </c>
      <c r="V665" s="77">
        <v>12</v>
      </c>
      <c r="W665" s="82" t="s">
        <v>5335</v>
      </c>
      <c r="X665" s="80" t="str">
        <f>HYPERLINK("https://www.freeclassificados.com/ads/secadora-de-roupas-manutencao-de-marcas-nacionais-e-importadas/")</f>
        <v>https://www.freeclassificados.com/ads/secadora-de-roupas-manutencao-de-marcas-nacionais-e-importadas/</v>
      </c>
      <c r="Y665" s="77" t="s">
        <v>7308</v>
      </c>
      <c r="Z665" s="77"/>
      <c r="AA665" s="77"/>
      <c r="AB665" s="77"/>
      <c r="AC665" s="82" t="s">
        <v>10155</v>
      </c>
      <c r="AD665" s="77" t="s">
        <v>10184</v>
      </c>
      <c r="AE665" s="80" t="str">
        <f>HYPERLINK("https://twitter.com/freeclassific/status/1644011504214364161")</f>
        <v>https://twitter.com/freeclassific/status/1644011504214364161</v>
      </c>
      <c r="AF665" s="79">
        <v>45022.678946759261</v>
      </c>
      <c r="AG665" s="85">
        <v>45022</v>
      </c>
      <c r="AH665" s="82" t="s">
        <v>10818</v>
      </c>
      <c r="AI665" s="77" t="b">
        <v>0</v>
      </c>
      <c r="AJ665" s="77"/>
      <c r="AK665" s="77"/>
      <c r="AL665" s="77"/>
      <c r="AM665" s="77"/>
      <c r="AN665" s="77"/>
      <c r="AO665" s="77"/>
      <c r="AP665" s="77"/>
      <c r="AQ665" s="77"/>
      <c r="AR665" s="77"/>
      <c r="AS665" s="77"/>
      <c r="AT665" s="77"/>
      <c r="AU665" s="77"/>
      <c r="AV665" s="80" t="str">
        <f>HYPERLINK("https://pbs.twimg.com/profile_images/1431648743728852993/tLJ7F5Lu_normal.png")</f>
        <v>https://pbs.twimg.com/profile_images/1431648743728852993/tLJ7F5Lu_normal.png</v>
      </c>
      <c r="AW665" s="82" t="s">
        <v>17438</v>
      </c>
      <c r="AX665" s="82" t="s">
        <v>17438</v>
      </c>
      <c r="AY665" s="77"/>
      <c r="AZ665" s="82" t="s">
        <v>20971</v>
      </c>
      <c r="BA665" s="82" t="s">
        <v>20971</v>
      </c>
      <c r="BB665" s="82" t="s">
        <v>20971</v>
      </c>
      <c r="BC665" s="82" t="s">
        <v>17438</v>
      </c>
      <c r="BD665" s="77">
        <v>489723814</v>
      </c>
      <c r="BE665" s="77"/>
      <c r="BF665" s="77"/>
      <c r="BG665" s="77"/>
      <c r="BH665" s="77"/>
      <c r="BI665" s="77"/>
    </row>
    <row r="666" spans="1:61" x14ac:dyDescent="0.25">
      <c r="A666" s="62" t="s">
        <v>418</v>
      </c>
      <c r="B666" s="62" t="s">
        <v>418</v>
      </c>
      <c r="C666" s="63"/>
      <c r="D666" s="64"/>
      <c r="E666" s="65"/>
      <c r="F666" s="66"/>
      <c r="G666" s="63"/>
      <c r="H666" s="67"/>
      <c r="I666" s="68"/>
      <c r="J666" s="68"/>
      <c r="K666" s="32"/>
      <c r="L666" s="75">
        <v>666</v>
      </c>
      <c r="M666" s="75"/>
      <c r="N666" s="70"/>
      <c r="O666" s="77" t="s">
        <v>179</v>
      </c>
      <c r="P666" s="79">
        <v>45022.564456018517</v>
      </c>
      <c r="Q666" s="77" t="s">
        <v>1948</v>
      </c>
      <c r="R666" s="77">
        <v>0</v>
      </c>
      <c r="S666" s="77">
        <v>0</v>
      </c>
      <c r="T666" s="77">
        <v>0</v>
      </c>
      <c r="U666" s="77">
        <v>0</v>
      </c>
      <c r="V666" s="77">
        <v>11</v>
      </c>
      <c r="W666" s="82" t="s">
        <v>5335</v>
      </c>
      <c r="X666" s="80" t="str">
        <f>HYPERLINK("https://www.freeclassificados.com/ads/lavadora-de-roupas-nacionais-e-importada-assistencia-especializada/")</f>
        <v>https://www.freeclassificados.com/ads/lavadora-de-roupas-nacionais-e-importada-assistencia-especializada/</v>
      </c>
      <c r="Y666" s="77" t="s">
        <v>7308</v>
      </c>
      <c r="Z666" s="77"/>
      <c r="AA666" s="77"/>
      <c r="AB666" s="77"/>
      <c r="AC666" s="82" t="s">
        <v>10155</v>
      </c>
      <c r="AD666" s="77" t="s">
        <v>10184</v>
      </c>
      <c r="AE666" s="80" t="str">
        <f>HYPERLINK("https://twitter.com/freeclassific/status/1643970013144178689")</f>
        <v>https://twitter.com/freeclassific/status/1643970013144178689</v>
      </c>
      <c r="AF666" s="79">
        <v>45022.564456018517</v>
      </c>
      <c r="AG666" s="85">
        <v>45022</v>
      </c>
      <c r="AH666" s="82" t="s">
        <v>10819</v>
      </c>
      <c r="AI666" s="77" t="b">
        <v>0</v>
      </c>
      <c r="AJ666" s="77"/>
      <c r="AK666" s="77"/>
      <c r="AL666" s="77"/>
      <c r="AM666" s="77"/>
      <c r="AN666" s="77"/>
      <c r="AO666" s="77"/>
      <c r="AP666" s="77"/>
      <c r="AQ666" s="77"/>
      <c r="AR666" s="77"/>
      <c r="AS666" s="77"/>
      <c r="AT666" s="77"/>
      <c r="AU666" s="77"/>
      <c r="AV666" s="80" t="str">
        <f>HYPERLINK("https://pbs.twimg.com/profile_images/1431648743728852993/tLJ7F5Lu_normal.png")</f>
        <v>https://pbs.twimg.com/profile_images/1431648743728852993/tLJ7F5Lu_normal.png</v>
      </c>
      <c r="AW666" s="82" t="s">
        <v>17439</v>
      </c>
      <c r="AX666" s="82" t="s">
        <v>17439</v>
      </c>
      <c r="AY666" s="77"/>
      <c r="AZ666" s="82" t="s">
        <v>20971</v>
      </c>
      <c r="BA666" s="82" t="s">
        <v>20971</v>
      </c>
      <c r="BB666" s="82" t="s">
        <v>20971</v>
      </c>
      <c r="BC666" s="82" t="s">
        <v>17439</v>
      </c>
      <c r="BD666" s="77">
        <v>489723814</v>
      </c>
      <c r="BE666" s="77"/>
      <c r="BF666" s="77"/>
      <c r="BG666" s="77"/>
      <c r="BH666" s="77"/>
      <c r="BI666" s="77"/>
    </row>
    <row r="667" spans="1:61" x14ac:dyDescent="0.25">
      <c r="A667" s="62" t="s">
        <v>418</v>
      </c>
      <c r="B667" s="62" t="s">
        <v>418</v>
      </c>
      <c r="C667" s="63"/>
      <c r="D667" s="64"/>
      <c r="E667" s="65"/>
      <c r="F667" s="66"/>
      <c r="G667" s="63"/>
      <c r="H667" s="67"/>
      <c r="I667" s="68"/>
      <c r="J667" s="68"/>
      <c r="K667" s="32"/>
      <c r="L667" s="75">
        <v>667</v>
      </c>
      <c r="M667" s="75"/>
      <c r="N667" s="70"/>
      <c r="O667" s="77" t="s">
        <v>179</v>
      </c>
      <c r="P667" s="79">
        <v>45021.969826388886</v>
      </c>
      <c r="Q667" s="77" t="s">
        <v>1949</v>
      </c>
      <c r="R667" s="77">
        <v>0</v>
      </c>
      <c r="S667" s="77">
        <v>0</v>
      </c>
      <c r="T667" s="77">
        <v>0</v>
      </c>
      <c r="U667" s="77">
        <v>0</v>
      </c>
      <c r="V667" s="77">
        <v>16</v>
      </c>
      <c r="W667" s="82" t="s">
        <v>5335</v>
      </c>
      <c r="X667" s="80" t="str">
        <f>HYPERLINK("https://www.freeclassificados.com/ads/trabalhe-com-seu-celular-2/")</f>
        <v>https://www.freeclassificados.com/ads/trabalhe-com-seu-celular-2/</v>
      </c>
      <c r="Y667" s="77" t="s">
        <v>7308</v>
      </c>
      <c r="Z667" s="77"/>
      <c r="AA667" s="77"/>
      <c r="AB667" s="77"/>
      <c r="AC667" s="82" t="s">
        <v>10155</v>
      </c>
      <c r="AD667" s="77" t="s">
        <v>10184</v>
      </c>
      <c r="AE667" s="80" t="str">
        <f>HYPERLINK("https://twitter.com/freeclassific/status/1643754527408144384")</f>
        <v>https://twitter.com/freeclassific/status/1643754527408144384</v>
      </c>
      <c r="AF667" s="79">
        <v>45021.969826388886</v>
      </c>
      <c r="AG667" s="85">
        <v>45021</v>
      </c>
      <c r="AH667" s="82" t="s">
        <v>10820</v>
      </c>
      <c r="AI667" s="77" t="b">
        <v>0</v>
      </c>
      <c r="AJ667" s="77"/>
      <c r="AK667" s="77"/>
      <c r="AL667" s="77"/>
      <c r="AM667" s="77"/>
      <c r="AN667" s="77"/>
      <c r="AO667" s="77"/>
      <c r="AP667" s="77"/>
      <c r="AQ667" s="77"/>
      <c r="AR667" s="77"/>
      <c r="AS667" s="77"/>
      <c r="AT667" s="77"/>
      <c r="AU667" s="77"/>
      <c r="AV667" s="80" t="str">
        <f>HYPERLINK("https://pbs.twimg.com/profile_images/1431648743728852993/tLJ7F5Lu_normal.png")</f>
        <v>https://pbs.twimg.com/profile_images/1431648743728852993/tLJ7F5Lu_normal.png</v>
      </c>
      <c r="AW667" s="82" t="s">
        <v>17440</v>
      </c>
      <c r="AX667" s="82" t="s">
        <v>17440</v>
      </c>
      <c r="AY667" s="77"/>
      <c r="AZ667" s="82" t="s">
        <v>20971</v>
      </c>
      <c r="BA667" s="82" t="s">
        <v>20971</v>
      </c>
      <c r="BB667" s="82" t="s">
        <v>20971</v>
      </c>
      <c r="BC667" s="82" t="s">
        <v>17440</v>
      </c>
      <c r="BD667" s="77">
        <v>489723814</v>
      </c>
      <c r="BE667" s="77"/>
      <c r="BF667" s="77"/>
      <c r="BG667" s="77"/>
      <c r="BH667" s="77"/>
      <c r="BI667" s="77"/>
    </row>
    <row r="668" spans="1:61" x14ac:dyDescent="0.25">
      <c r="A668" s="62" t="s">
        <v>418</v>
      </c>
      <c r="B668" s="62" t="s">
        <v>418</v>
      </c>
      <c r="C668" s="63"/>
      <c r="D668" s="64"/>
      <c r="E668" s="65"/>
      <c r="F668" s="66"/>
      <c r="G668" s="63"/>
      <c r="H668" s="67"/>
      <c r="I668" s="68"/>
      <c r="J668" s="68"/>
      <c r="K668" s="32"/>
      <c r="L668" s="75">
        <v>668</v>
      </c>
      <c r="M668" s="75"/>
      <c r="N668" s="70"/>
      <c r="O668" s="77" t="s">
        <v>179</v>
      </c>
      <c r="P668" s="79">
        <v>45021.735023148147</v>
      </c>
      <c r="Q668" s="77" t="s">
        <v>1950</v>
      </c>
      <c r="R668" s="77">
        <v>0</v>
      </c>
      <c r="S668" s="77">
        <v>0</v>
      </c>
      <c r="T668" s="77">
        <v>0</v>
      </c>
      <c r="U668" s="77">
        <v>0</v>
      </c>
      <c r="V668" s="77">
        <v>12</v>
      </c>
      <c r="W668" s="82" t="s">
        <v>5335</v>
      </c>
      <c r="X668" s="80" t="str">
        <f>HYPERLINK("https://www.freeclassificados.com/ads/refrigeradores-french-door-e-troca-de-filtro-de-agua/")</f>
        <v>https://www.freeclassificados.com/ads/refrigeradores-french-door-e-troca-de-filtro-de-agua/</v>
      </c>
      <c r="Y668" s="77" t="s">
        <v>7308</v>
      </c>
      <c r="Z668" s="77"/>
      <c r="AA668" s="77"/>
      <c r="AB668" s="77"/>
      <c r="AC668" s="82" t="s">
        <v>10155</v>
      </c>
      <c r="AD668" s="77" t="s">
        <v>10184</v>
      </c>
      <c r="AE668" s="80" t="str">
        <f>HYPERLINK("https://twitter.com/freeclassific/status/1643669436908597248")</f>
        <v>https://twitter.com/freeclassific/status/1643669436908597248</v>
      </c>
      <c r="AF668" s="79">
        <v>45021.735023148147</v>
      </c>
      <c r="AG668" s="85">
        <v>45021</v>
      </c>
      <c r="AH668" s="82" t="s">
        <v>10821</v>
      </c>
      <c r="AI668" s="77" t="b">
        <v>0</v>
      </c>
      <c r="AJ668" s="77"/>
      <c r="AK668" s="77"/>
      <c r="AL668" s="77"/>
      <c r="AM668" s="77"/>
      <c r="AN668" s="77"/>
      <c r="AO668" s="77"/>
      <c r="AP668" s="77"/>
      <c r="AQ668" s="77"/>
      <c r="AR668" s="77"/>
      <c r="AS668" s="77"/>
      <c r="AT668" s="77"/>
      <c r="AU668" s="77"/>
      <c r="AV668" s="80" t="str">
        <f>HYPERLINK("https://pbs.twimg.com/profile_images/1431648743728852993/tLJ7F5Lu_normal.png")</f>
        <v>https://pbs.twimg.com/profile_images/1431648743728852993/tLJ7F5Lu_normal.png</v>
      </c>
      <c r="AW668" s="82" t="s">
        <v>17441</v>
      </c>
      <c r="AX668" s="82" t="s">
        <v>17441</v>
      </c>
      <c r="AY668" s="77"/>
      <c r="AZ668" s="82" t="s">
        <v>20971</v>
      </c>
      <c r="BA668" s="82" t="s">
        <v>20971</v>
      </c>
      <c r="BB668" s="82" t="s">
        <v>20971</v>
      </c>
      <c r="BC668" s="82" t="s">
        <v>17441</v>
      </c>
      <c r="BD668" s="77">
        <v>489723814</v>
      </c>
      <c r="BE668" s="77"/>
      <c r="BF668" s="77"/>
      <c r="BG668" s="77"/>
      <c r="BH668" s="77"/>
      <c r="BI668" s="77"/>
    </row>
    <row r="669" spans="1:61" x14ac:dyDescent="0.25">
      <c r="A669" s="62" t="s">
        <v>418</v>
      </c>
      <c r="B669" s="62" t="s">
        <v>418</v>
      </c>
      <c r="C669" s="63"/>
      <c r="D669" s="64"/>
      <c r="E669" s="65"/>
      <c r="F669" s="66"/>
      <c r="G669" s="63"/>
      <c r="H669" s="67"/>
      <c r="I669" s="68"/>
      <c r="J669" s="68"/>
      <c r="K669" s="32"/>
      <c r="L669" s="75">
        <v>669</v>
      </c>
      <c r="M669" s="75"/>
      <c r="N669" s="70"/>
      <c r="O669" s="77" t="s">
        <v>179</v>
      </c>
      <c r="P669" s="79">
        <v>44968.015682870369</v>
      </c>
      <c r="Q669" s="77" t="s">
        <v>1951</v>
      </c>
      <c r="R669" s="77">
        <v>0</v>
      </c>
      <c r="S669" s="77">
        <v>1</v>
      </c>
      <c r="T669" s="77">
        <v>0</v>
      </c>
      <c r="U669" s="77">
        <v>0</v>
      </c>
      <c r="V669" s="77">
        <v>25</v>
      </c>
      <c r="W669" s="82" t="s">
        <v>5335</v>
      </c>
      <c r="X669" s="80" t="str">
        <f>HYPERLINK("https://www.freeclassificados.com/ads/como-fazer-biscoito-e-ganhar-dinheiro-com-as-bolachas-decoradas-com-a-sweet-bite-academy/")</f>
        <v>https://www.freeclassificados.com/ads/como-fazer-biscoito-e-ganhar-dinheiro-com-as-bolachas-decoradas-com-a-sweet-bite-academy/</v>
      </c>
      <c r="Y669" s="77" t="s">
        <v>7308</v>
      </c>
      <c r="Z669" s="77"/>
      <c r="AA669" s="77"/>
      <c r="AB669" s="77"/>
      <c r="AC669" s="82" t="s">
        <v>10155</v>
      </c>
      <c r="AD669" s="77" t="s">
        <v>10184</v>
      </c>
      <c r="AE669" s="80" t="str">
        <f>HYPERLINK("https://twitter.com/freeclassific/status/1624202200170872833")</f>
        <v>https://twitter.com/freeclassific/status/1624202200170872833</v>
      </c>
      <c r="AF669" s="79">
        <v>44968.015682870369</v>
      </c>
      <c r="AG669" s="85">
        <v>44968</v>
      </c>
      <c r="AH669" s="82" t="s">
        <v>10822</v>
      </c>
      <c r="AI669" s="77" t="b">
        <v>0</v>
      </c>
      <c r="AJ669" s="77"/>
      <c r="AK669" s="77"/>
      <c r="AL669" s="77"/>
      <c r="AM669" s="77"/>
      <c r="AN669" s="77"/>
      <c r="AO669" s="77"/>
      <c r="AP669" s="77"/>
      <c r="AQ669" s="77"/>
      <c r="AR669" s="77"/>
      <c r="AS669" s="77"/>
      <c r="AT669" s="77"/>
      <c r="AU669" s="77"/>
      <c r="AV669" s="80" t="str">
        <f>HYPERLINK("https://pbs.twimg.com/profile_images/1431648743728852993/tLJ7F5Lu_normal.png")</f>
        <v>https://pbs.twimg.com/profile_images/1431648743728852993/tLJ7F5Lu_normal.png</v>
      </c>
      <c r="AW669" s="82" t="s">
        <v>17442</v>
      </c>
      <c r="AX669" s="82" t="s">
        <v>17442</v>
      </c>
      <c r="AY669" s="77"/>
      <c r="AZ669" s="82" t="s">
        <v>20971</v>
      </c>
      <c r="BA669" s="82" t="s">
        <v>20971</v>
      </c>
      <c r="BB669" s="82" t="s">
        <v>20971</v>
      </c>
      <c r="BC669" s="82" t="s">
        <v>17442</v>
      </c>
      <c r="BD669" s="77">
        <v>489723814</v>
      </c>
      <c r="BE669" s="77"/>
      <c r="BF669" s="77"/>
      <c r="BG669" s="77"/>
      <c r="BH669" s="77"/>
      <c r="BI669" s="77"/>
    </row>
    <row r="670" spans="1:61" x14ac:dyDescent="0.25">
      <c r="A670" s="62" t="s">
        <v>418</v>
      </c>
      <c r="B670" s="62" t="s">
        <v>418</v>
      </c>
      <c r="C670" s="63"/>
      <c r="D670" s="64"/>
      <c r="E670" s="65"/>
      <c r="F670" s="66"/>
      <c r="G670" s="63"/>
      <c r="H670" s="67"/>
      <c r="I670" s="68"/>
      <c r="J670" s="68"/>
      <c r="K670" s="32"/>
      <c r="L670" s="75">
        <v>670</v>
      </c>
      <c r="M670" s="75"/>
      <c r="N670" s="70"/>
      <c r="O670" s="77" t="s">
        <v>179</v>
      </c>
      <c r="P670" s="79">
        <v>44968.011388888888</v>
      </c>
      <c r="Q670" s="77" t="s">
        <v>1952</v>
      </c>
      <c r="R670" s="77">
        <v>0</v>
      </c>
      <c r="S670" s="77">
        <v>0</v>
      </c>
      <c r="T670" s="77">
        <v>0</v>
      </c>
      <c r="U670" s="77">
        <v>0</v>
      </c>
      <c r="V670" s="77">
        <v>21</v>
      </c>
      <c r="W670" s="82" t="s">
        <v>5335</v>
      </c>
      <c r="X670" s="80" t="str">
        <f>HYPERLINK("https://www.freeclassificados.com/ads/como-ganhar-dinheiro-em-casa-com-o-programa-de-afiliados-da-imagem-folheados-e-gratuito/")</f>
        <v>https://www.freeclassificados.com/ads/como-ganhar-dinheiro-em-casa-com-o-programa-de-afiliados-da-imagem-folheados-e-gratuito/</v>
      </c>
      <c r="Y670" s="77" t="s">
        <v>7308</v>
      </c>
      <c r="Z670" s="77"/>
      <c r="AA670" s="77"/>
      <c r="AB670" s="77"/>
      <c r="AC670" s="82" t="s">
        <v>10155</v>
      </c>
      <c r="AD670" s="77" t="s">
        <v>10184</v>
      </c>
      <c r="AE670" s="80" t="str">
        <f>HYPERLINK("https://twitter.com/freeclassific/status/1624200646504112128")</f>
        <v>https://twitter.com/freeclassific/status/1624200646504112128</v>
      </c>
      <c r="AF670" s="79">
        <v>44968.011388888888</v>
      </c>
      <c r="AG670" s="85">
        <v>44968</v>
      </c>
      <c r="AH670" s="82" t="s">
        <v>10823</v>
      </c>
      <c r="AI670" s="77" t="b">
        <v>0</v>
      </c>
      <c r="AJ670" s="77"/>
      <c r="AK670" s="77"/>
      <c r="AL670" s="77"/>
      <c r="AM670" s="77"/>
      <c r="AN670" s="77"/>
      <c r="AO670" s="77"/>
      <c r="AP670" s="77"/>
      <c r="AQ670" s="77"/>
      <c r="AR670" s="77"/>
      <c r="AS670" s="77"/>
      <c r="AT670" s="77"/>
      <c r="AU670" s="77"/>
      <c r="AV670" s="80" t="str">
        <f>HYPERLINK("https://pbs.twimg.com/profile_images/1431648743728852993/tLJ7F5Lu_normal.png")</f>
        <v>https://pbs.twimg.com/profile_images/1431648743728852993/tLJ7F5Lu_normal.png</v>
      </c>
      <c r="AW670" s="82" t="s">
        <v>17443</v>
      </c>
      <c r="AX670" s="82" t="s">
        <v>17443</v>
      </c>
      <c r="AY670" s="77"/>
      <c r="AZ670" s="82" t="s">
        <v>20971</v>
      </c>
      <c r="BA670" s="82" t="s">
        <v>20971</v>
      </c>
      <c r="BB670" s="82" t="s">
        <v>20971</v>
      </c>
      <c r="BC670" s="82" t="s">
        <v>17443</v>
      </c>
      <c r="BD670" s="77">
        <v>489723814</v>
      </c>
      <c r="BE670" s="77"/>
      <c r="BF670" s="77"/>
      <c r="BG670" s="77"/>
      <c r="BH670" s="77"/>
      <c r="BI670" s="77"/>
    </row>
    <row r="671" spans="1:61" x14ac:dyDescent="0.25">
      <c r="A671" s="62" t="s">
        <v>418</v>
      </c>
      <c r="B671" s="62" t="s">
        <v>418</v>
      </c>
      <c r="C671" s="63"/>
      <c r="D671" s="64"/>
      <c r="E671" s="65"/>
      <c r="F671" s="66"/>
      <c r="G671" s="63"/>
      <c r="H671" s="67"/>
      <c r="I671" s="68"/>
      <c r="J671" s="68"/>
      <c r="K671" s="32"/>
      <c r="L671" s="75">
        <v>671</v>
      </c>
      <c r="M671" s="75"/>
      <c r="N671" s="70"/>
      <c r="O671" s="77" t="s">
        <v>179</v>
      </c>
      <c r="P671" s="79">
        <v>44967.905868055554</v>
      </c>
      <c r="Q671" s="77" t="s">
        <v>1953</v>
      </c>
      <c r="R671" s="77">
        <v>0</v>
      </c>
      <c r="S671" s="77">
        <v>0</v>
      </c>
      <c r="T671" s="77">
        <v>0</v>
      </c>
      <c r="U671" s="77">
        <v>0</v>
      </c>
      <c r="V671" s="77">
        <v>15</v>
      </c>
      <c r="W671" s="82" t="s">
        <v>5335</v>
      </c>
      <c r="X671" s="80" t="str">
        <f>HYPERLINK("https://www.freeclassificados.com/ads/como-comprar-bijuterias-no-atacado-e-direto-da-fabrica-para-revender-no-varejo/")</f>
        <v>https://www.freeclassificados.com/ads/como-comprar-bijuterias-no-atacado-e-direto-da-fabrica-para-revender-no-varejo/</v>
      </c>
      <c r="Y671" s="77" t="s">
        <v>7308</v>
      </c>
      <c r="Z671" s="77"/>
      <c r="AA671" s="77"/>
      <c r="AB671" s="77"/>
      <c r="AC671" s="82" t="s">
        <v>10155</v>
      </c>
      <c r="AD671" s="77" t="s">
        <v>10184</v>
      </c>
      <c r="AE671" s="80" t="str">
        <f>HYPERLINK("https://twitter.com/freeclassific/status/1624162403263840258")</f>
        <v>https://twitter.com/freeclassific/status/1624162403263840258</v>
      </c>
      <c r="AF671" s="79">
        <v>44967.905868055554</v>
      </c>
      <c r="AG671" s="85">
        <v>44967</v>
      </c>
      <c r="AH671" s="82" t="s">
        <v>10824</v>
      </c>
      <c r="AI671" s="77" t="b">
        <v>0</v>
      </c>
      <c r="AJ671" s="77"/>
      <c r="AK671" s="77"/>
      <c r="AL671" s="77"/>
      <c r="AM671" s="77"/>
      <c r="AN671" s="77"/>
      <c r="AO671" s="77"/>
      <c r="AP671" s="77"/>
      <c r="AQ671" s="77"/>
      <c r="AR671" s="77"/>
      <c r="AS671" s="77"/>
      <c r="AT671" s="77"/>
      <c r="AU671" s="77"/>
      <c r="AV671" s="80" t="str">
        <f>HYPERLINK("https://pbs.twimg.com/profile_images/1431648743728852993/tLJ7F5Lu_normal.png")</f>
        <v>https://pbs.twimg.com/profile_images/1431648743728852993/tLJ7F5Lu_normal.png</v>
      </c>
      <c r="AW671" s="82" t="s">
        <v>17444</v>
      </c>
      <c r="AX671" s="82" t="s">
        <v>17444</v>
      </c>
      <c r="AY671" s="77"/>
      <c r="AZ671" s="82" t="s">
        <v>20971</v>
      </c>
      <c r="BA671" s="82" t="s">
        <v>20971</v>
      </c>
      <c r="BB671" s="82" t="s">
        <v>20971</v>
      </c>
      <c r="BC671" s="82" t="s">
        <v>17444</v>
      </c>
      <c r="BD671" s="77">
        <v>489723814</v>
      </c>
      <c r="BE671" s="77"/>
      <c r="BF671" s="77"/>
      <c r="BG671" s="77"/>
      <c r="BH671" s="77"/>
      <c r="BI671" s="77"/>
    </row>
    <row r="672" spans="1:61" x14ac:dyDescent="0.25">
      <c r="A672" s="62" t="s">
        <v>418</v>
      </c>
      <c r="B672" s="62" t="s">
        <v>418</v>
      </c>
      <c r="C672" s="63"/>
      <c r="D672" s="64"/>
      <c r="E672" s="65"/>
      <c r="F672" s="66"/>
      <c r="G672" s="63"/>
      <c r="H672" s="67"/>
      <c r="I672" s="68"/>
      <c r="J672" s="68"/>
      <c r="K672" s="32"/>
      <c r="L672" s="75">
        <v>672</v>
      </c>
      <c r="M672" s="75"/>
      <c r="N672" s="70"/>
      <c r="O672" s="77" t="s">
        <v>179</v>
      </c>
      <c r="P672" s="79">
        <v>44967.660150462965</v>
      </c>
      <c r="Q672" s="77" t="s">
        <v>1954</v>
      </c>
      <c r="R672" s="77">
        <v>0</v>
      </c>
      <c r="S672" s="77">
        <v>0</v>
      </c>
      <c r="T672" s="77">
        <v>0</v>
      </c>
      <c r="U672" s="77">
        <v>0</v>
      </c>
      <c r="V672" s="77">
        <v>13</v>
      </c>
      <c r="W672" s="82" t="s">
        <v>5335</v>
      </c>
      <c r="X672" s="80" t="str">
        <f>HYPERLINK("https://www.freeclassificados.com/ads/porto-clinic-odontologia-consultorio-odontologico-em-cariacica/")</f>
        <v>https://www.freeclassificados.com/ads/porto-clinic-odontologia-consultorio-odontologico-em-cariacica/</v>
      </c>
      <c r="Y672" s="77" t="s">
        <v>7308</v>
      </c>
      <c r="Z672" s="77"/>
      <c r="AA672" s="77"/>
      <c r="AB672" s="77"/>
      <c r="AC672" s="82" t="s">
        <v>10155</v>
      </c>
      <c r="AD672" s="77" t="s">
        <v>10184</v>
      </c>
      <c r="AE672" s="80" t="str">
        <f>HYPERLINK("https://twitter.com/freeclassific/status/1624073360920436737")</f>
        <v>https://twitter.com/freeclassific/status/1624073360920436737</v>
      </c>
      <c r="AF672" s="79">
        <v>44967.660150462965</v>
      </c>
      <c r="AG672" s="85">
        <v>44967</v>
      </c>
      <c r="AH672" s="82" t="s">
        <v>10825</v>
      </c>
      <c r="AI672" s="77" t="b">
        <v>0</v>
      </c>
      <c r="AJ672" s="77"/>
      <c r="AK672" s="77"/>
      <c r="AL672" s="77"/>
      <c r="AM672" s="77"/>
      <c r="AN672" s="77"/>
      <c r="AO672" s="77"/>
      <c r="AP672" s="77"/>
      <c r="AQ672" s="77"/>
      <c r="AR672" s="77"/>
      <c r="AS672" s="77"/>
      <c r="AT672" s="77"/>
      <c r="AU672" s="77"/>
      <c r="AV672" s="80" t="str">
        <f>HYPERLINK("https://pbs.twimg.com/profile_images/1431648743728852993/tLJ7F5Lu_normal.png")</f>
        <v>https://pbs.twimg.com/profile_images/1431648743728852993/tLJ7F5Lu_normal.png</v>
      </c>
      <c r="AW672" s="82" t="s">
        <v>17445</v>
      </c>
      <c r="AX672" s="82" t="s">
        <v>17445</v>
      </c>
      <c r="AY672" s="77"/>
      <c r="AZ672" s="82" t="s">
        <v>20971</v>
      </c>
      <c r="BA672" s="82" t="s">
        <v>20971</v>
      </c>
      <c r="BB672" s="82" t="s">
        <v>20971</v>
      </c>
      <c r="BC672" s="82" t="s">
        <v>17445</v>
      </c>
      <c r="BD672" s="77">
        <v>489723814</v>
      </c>
      <c r="BE672" s="77"/>
      <c r="BF672" s="77"/>
      <c r="BG672" s="77"/>
      <c r="BH672" s="77"/>
      <c r="BI672" s="77"/>
    </row>
    <row r="673" spans="1:61" x14ac:dyDescent="0.25">
      <c r="A673" s="62" t="s">
        <v>418</v>
      </c>
      <c r="B673" s="62" t="s">
        <v>418</v>
      </c>
      <c r="C673" s="63"/>
      <c r="D673" s="64"/>
      <c r="E673" s="65"/>
      <c r="F673" s="66"/>
      <c r="G673" s="63"/>
      <c r="H673" s="67"/>
      <c r="I673" s="68"/>
      <c r="J673" s="68"/>
      <c r="K673" s="32"/>
      <c r="L673" s="75">
        <v>673</v>
      </c>
      <c r="M673" s="75"/>
      <c r="N673" s="70"/>
      <c r="O673" s="77" t="s">
        <v>179</v>
      </c>
      <c r="P673" s="79">
        <v>44967.632592592592</v>
      </c>
      <c r="Q673" s="77" t="s">
        <v>1955</v>
      </c>
      <c r="R673" s="77">
        <v>0</v>
      </c>
      <c r="S673" s="77">
        <v>0</v>
      </c>
      <c r="T673" s="77">
        <v>0</v>
      </c>
      <c r="U673" s="77">
        <v>0</v>
      </c>
      <c r="V673" s="77">
        <v>10</v>
      </c>
      <c r="W673" s="82" t="s">
        <v>5335</v>
      </c>
      <c r="X673" s="80" t="str">
        <f>HYPERLINK("https://www.freeclassificados.com/ads/nao-importa-o-problema-a-marca-ou-modelo-nos-temos-a-solucao-para-sua-manutencao-em-eletrodomesticos/")</f>
        <v>https://www.freeclassificados.com/ads/nao-importa-o-problema-a-marca-ou-modelo-nos-temos-a-solucao-para-sua-manutencao-em-eletrodomesticos/</v>
      </c>
      <c r="Y673" s="77" t="s">
        <v>7308</v>
      </c>
      <c r="Z673" s="77"/>
      <c r="AA673" s="77"/>
      <c r="AB673" s="77"/>
      <c r="AC673" s="82" t="s">
        <v>10155</v>
      </c>
      <c r="AD673" s="77" t="s">
        <v>10184</v>
      </c>
      <c r="AE673" s="80" t="str">
        <f>HYPERLINK("https://twitter.com/freeclassific/status/1624063373796147206")</f>
        <v>https://twitter.com/freeclassific/status/1624063373796147206</v>
      </c>
      <c r="AF673" s="79">
        <v>44967.632592592592</v>
      </c>
      <c r="AG673" s="85">
        <v>44967</v>
      </c>
      <c r="AH673" s="82" t="s">
        <v>10826</v>
      </c>
      <c r="AI673" s="77" t="b">
        <v>0</v>
      </c>
      <c r="AJ673" s="77"/>
      <c r="AK673" s="77"/>
      <c r="AL673" s="77"/>
      <c r="AM673" s="77"/>
      <c r="AN673" s="77"/>
      <c r="AO673" s="77"/>
      <c r="AP673" s="77"/>
      <c r="AQ673" s="77"/>
      <c r="AR673" s="77"/>
      <c r="AS673" s="77"/>
      <c r="AT673" s="77"/>
      <c r="AU673" s="77"/>
      <c r="AV673" s="80" t="str">
        <f>HYPERLINK("https://pbs.twimg.com/profile_images/1431648743728852993/tLJ7F5Lu_normal.png")</f>
        <v>https://pbs.twimg.com/profile_images/1431648743728852993/tLJ7F5Lu_normal.png</v>
      </c>
      <c r="AW673" s="82" t="s">
        <v>17446</v>
      </c>
      <c r="AX673" s="82" t="s">
        <v>17446</v>
      </c>
      <c r="AY673" s="77"/>
      <c r="AZ673" s="82" t="s">
        <v>20971</v>
      </c>
      <c r="BA673" s="82" t="s">
        <v>20971</v>
      </c>
      <c r="BB673" s="82" t="s">
        <v>20971</v>
      </c>
      <c r="BC673" s="82" t="s">
        <v>17446</v>
      </c>
      <c r="BD673" s="77">
        <v>489723814</v>
      </c>
      <c r="BE673" s="77"/>
      <c r="BF673" s="77"/>
      <c r="BG673" s="77"/>
      <c r="BH673" s="77"/>
      <c r="BI673" s="77"/>
    </row>
    <row r="674" spans="1:61" x14ac:dyDescent="0.25">
      <c r="A674" s="62" t="s">
        <v>418</v>
      </c>
      <c r="B674" s="62" t="s">
        <v>418</v>
      </c>
      <c r="C674" s="63"/>
      <c r="D674" s="64"/>
      <c r="E674" s="65"/>
      <c r="F674" s="66"/>
      <c r="G674" s="63"/>
      <c r="H674" s="67"/>
      <c r="I674" s="68"/>
      <c r="J674" s="68"/>
      <c r="K674" s="32"/>
      <c r="L674" s="75">
        <v>674</v>
      </c>
      <c r="M674" s="75"/>
      <c r="N674" s="70"/>
      <c r="O674" s="77" t="s">
        <v>179</v>
      </c>
      <c r="P674" s="79">
        <v>44967.133472222224</v>
      </c>
      <c r="Q674" s="77" t="s">
        <v>1956</v>
      </c>
      <c r="R674" s="77">
        <v>0</v>
      </c>
      <c r="S674" s="77">
        <v>0</v>
      </c>
      <c r="T674" s="77">
        <v>0</v>
      </c>
      <c r="U674" s="77">
        <v>0</v>
      </c>
      <c r="V674" s="77">
        <v>29</v>
      </c>
      <c r="W674" s="82" t="s">
        <v>5335</v>
      </c>
      <c r="X674" s="80" t="str">
        <f>HYPERLINK("https://www.freeclassificados.com/ads/aplicativo-goshare-pagando-muito-ja-no-cadastro/")</f>
        <v>https://www.freeclassificados.com/ads/aplicativo-goshare-pagando-muito-ja-no-cadastro/</v>
      </c>
      <c r="Y674" s="77" t="s">
        <v>7308</v>
      </c>
      <c r="Z674" s="77"/>
      <c r="AA674" s="77"/>
      <c r="AB674" s="77"/>
      <c r="AC674" s="82" t="s">
        <v>10155</v>
      </c>
      <c r="AD674" s="77" t="s">
        <v>10184</v>
      </c>
      <c r="AE674" s="80" t="str">
        <f>HYPERLINK("https://twitter.com/freeclassific/status/1623882496738836481")</f>
        <v>https://twitter.com/freeclassific/status/1623882496738836481</v>
      </c>
      <c r="AF674" s="79">
        <v>44967.133472222224</v>
      </c>
      <c r="AG674" s="85">
        <v>44967</v>
      </c>
      <c r="AH674" s="82" t="s">
        <v>10827</v>
      </c>
      <c r="AI674" s="77" t="b">
        <v>0</v>
      </c>
      <c r="AJ674" s="77"/>
      <c r="AK674" s="77"/>
      <c r="AL674" s="77"/>
      <c r="AM674" s="77"/>
      <c r="AN674" s="77"/>
      <c r="AO674" s="77"/>
      <c r="AP674" s="77"/>
      <c r="AQ674" s="77"/>
      <c r="AR674" s="77"/>
      <c r="AS674" s="77"/>
      <c r="AT674" s="77"/>
      <c r="AU674" s="77"/>
      <c r="AV674" s="80" t="str">
        <f>HYPERLINK("https://pbs.twimg.com/profile_images/1431648743728852993/tLJ7F5Lu_normal.png")</f>
        <v>https://pbs.twimg.com/profile_images/1431648743728852993/tLJ7F5Lu_normal.png</v>
      </c>
      <c r="AW674" s="82" t="s">
        <v>17447</v>
      </c>
      <c r="AX674" s="82" t="s">
        <v>17447</v>
      </c>
      <c r="AY674" s="77"/>
      <c r="AZ674" s="82" t="s">
        <v>20971</v>
      </c>
      <c r="BA674" s="82" t="s">
        <v>20971</v>
      </c>
      <c r="BB674" s="82" t="s">
        <v>20971</v>
      </c>
      <c r="BC674" s="82" t="s">
        <v>17447</v>
      </c>
      <c r="BD674" s="77">
        <v>489723814</v>
      </c>
      <c r="BE674" s="77"/>
      <c r="BF674" s="77"/>
      <c r="BG674" s="77"/>
      <c r="BH674" s="77"/>
      <c r="BI674" s="77"/>
    </row>
    <row r="675" spans="1:61" x14ac:dyDescent="0.25">
      <c r="A675" s="62" t="s">
        <v>418</v>
      </c>
      <c r="B675" s="62" t="s">
        <v>418</v>
      </c>
      <c r="C675" s="63"/>
      <c r="D675" s="64"/>
      <c r="E675" s="65"/>
      <c r="F675" s="66"/>
      <c r="G675" s="63"/>
      <c r="H675" s="67"/>
      <c r="I675" s="68"/>
      <c r="J675" s="68"/>
      <c r="K675" s="32"/>
      <c r="L675" s="75">
        <v>675</v>
      </c>
      <c r="M675" s="75"/>
      <c r="N675" s="70"/>
      <c r="O675" s="77" t="s">
        <v>179</v>
      </c>
      <c r="P675" s="79">
        <v>44967.08289351852</v>
      </c>
      <c r="Q675" s="77" t="s">
        <v>1957</v>
      </c>
      <c r="R675" s="77">
        <v>0</v>
      </c>
      <c r="S675" s="77">
        <v>0</v>
      </c>
      <c r="T675" s="77">
        <v>0</v>
      </c>
      <c r="U675" s="77">
        <v>0</v>
      </c>
      <c r="V675" s="77">
        <v>19</v>
      </c>
      <c r="W675" s="82" t="s">
        <v>5335</v>
      </c>
      <c r="X675" s="80" t="str">
        <f>HYPERLINK("https://www.freeclassificados.com/ads/diplomas-reconhecidos-pelo-mec/")</f>
        <v>https://www.freeclassificados.com/ads/diplomas-reconhecidos-pelo-mec/</v>
      </c>
      <c r="Y675" s="77" t="s">
        <v>7308</v>
      </c>
      <c r="Z675" s="77"/>
      <c r="AA675" s="77"/>
      <c r="AB675" s="77"/>
      <c r="AC675" s="82" t="s">
        <v>10155</v>
      </c>
      <c r="AD675" s="77" t="s">
        <v>10184</v>
      </c>
      <c r="AE675" s="80" t="str">
        <f>HYPERLINK("https://twitter.com/freeclassific/status/1623864170528604160")</f>
        <v>https://twitter.com/freeclassific/status/1623864170528604160</v>
      </c>
      <c r="AF675" s="79">
        <v>44967.08289351852</v>
      </c>
      <c r="AG675" s="85">
        <v>44967</v>
      </c>
      <c r="AH675" s="82" t="s">
        <v>10828</v>
      </c>
      <c r="AI675" s="77" t="b">
        <v>0</v>
      </c>
      <c r="AJ675" s="77"/>
      <c r="AK675" s="77"/>
      <c r="AL675" s="77"/>
      <c r="AM675" s="77"/>
      <c r="AN675" s="77"/>
      <c r="AO675" s="77"/>
      <c r="AP675" s="77"/>
      <c r="AQ675" s="77"/>
      <c r="AR675" s="77"/>
      <c r="AS675" s="77"/>
      <c r="AT675" s="77"/>
      <c r="AU675" s="77"/>
      <c r="AV675" s="80" t="str">
        <f>HYPERLINK("https://pbs.twimg.com/profile_images/1431648743728852993/tLJ7F5Lu_normal.png")</f>
        <v>https://pbs.twimg.com/profile_images/1431648743728852993/tLJ7F5Lu_normal.png</v>
      </c>
      <c r="AW675" s="82" t="s">
        <v>17448</v>
      </c>
      <c r="AX675" s="82" t="s">
        <v>17448</v>
      </c>
      <c r="AY675" s="77"/>
      <c r="AZ675" s="82" t="s">
        <v>20971</v>
      </c>
      <c r="BA675" s="82" t="s">
        <v>20971</v>
      </c>
      <c r="BB675" s="82" t="s">
        <v>20971</v>
      </c>
      <c r="BC675" s="82" t="s">
        <v>17448</v>
      </c>
      <c r="BD675" s="77">
        <v>489723814</v>
      </c>
      <c r="BE675" s="77"/>
      <c r="BF675" s="77"/>
      <c r="BG675" s="77"/>
      <c r="BH675" s="77"/>
      <c r="BI675" s="77"/>
    </row>
    <row r="676" spans="1:61" x14ac:dyDescent="0.25">
      <c r="A676" s="62" t="s">
        <v>418</v>
      </c>
      <c r="B676" s="62" t="s">
        <v>418</v>
      </c>
      <c r="C676" s="63"/>
      <c r="D676" s="64"/>
      <c r="E676" s="65"/>
      <c r="F676" s="66"/>
      <c r="G676" s="63"/>
      <c r="H676" s="67"/>
      <c r="I676" s="68"/>
      <c r="J676" s="68"/>
      <c r="K676" s="32"/>
      <c r="L676" s="75">
        <v>676</v>
      </c>
      <c r="M676" s="75"/>
      <c r="N676" s="70"/>
      <c r="O676" s="77" t="s">
        <v>179</v>
      </c>
      <c r="P676" s="79">
        <v>44967.081863425927</v>
      </c>
      <c r="Q676" s="77" t="s">
        <v>1958</v>
      </c>
      <c r="R676" s="77">
        <v>0</v>
      </c>
      <c r="S676" s="77">
        <v>0</v>
      </c>
      <c r="T676" s="77">
        <v>0</v>
      </c>
      <c r="U676" s="77">
        <v>0</v>
      </c>
      <c r="V676" s="77">
        <v>14</v>
      </c>
      <c r="W676" s="82" t="s">
        <v>5335</v>
      </c>
      <c r="X676" s="80" t="str">
        <f>HYPERLINK("https://www.freeclassificados.com/ads/diplomas-universitarios/")</f>
        <v>https://www.freeclassificados.com/ads/diplomas-universitarios/</v>
      </c>
      <c r="Y676" s="77" t="s">
        <v>7308</v>
      </c>
      <c r="Z676" s="77"/>
      <c r="AA676" s="77"/>
      <c r="AB676" s="77"/>
      <c r="AC676" s="82" t="s">
        <v>10155</v>
      </c>
      <c r="AD676" s="77" t="s">
        <v>10187</v>
      </c>
      <c r="AE676" s="80" t="str">
        <f>HYPERLINK("https://twitter.com/freeclassific/status/1623863796585402371")</f>
        <v>https://twitter.com/freeclassific/status/1623863796585402371</v>
      </c>
      <c r="AF676" s="79">
        <v>44967.081863425927</v>
      </c>
      <c r="AG676" s="85">
        <v>44967</v>
      </c>
      <c r="AH676" s="82" t="s">
        <v>10829</v>
      </c>
      <c r="AI676" s="77" t="b">
        <v>0</v>
      </c>
      <c r="AJ676" s="77"/>
      <c r="AK676" s="77"/>
      <c r="AL676" s="77"/>
      <c r="AM676" s="77"/>
      <c r="AN676" s="77"/>
      <c r="AO676" s="77"/>
      <c r="AP676" s="77"/>
      <c r="AQ676" s="77"/>
      <c r="AR676" s="77"/>
      <c r="AS676" s="77"/>
      <c r="AT676" s="77"/>
      <c r="AU676" s="77"/>
      <c r="AV676" s="80" t="str">
        <f>HYPERLINK("https://pbs.twimg.com/profile_images/1431648743728852993/tLJ7F5Lu_normal.png")</f>
        <v>https://pbs.twimg.com/profile_images/1431648743728852993/tLJ7F5Lu_normal.png</v>
      </c>
      <c r="AW676" s="82" t="s">
        <v>17449</v>
      </c>
      <c r="AX676" s="82" t="s">
        <v>17449</v>
      </c>
      <c r="AY676" s="77"/>
      <c r="AZ676" s="82" t="s">
        <v>20971</v>
      </c>
      <c r="BA676" s="82" t="s">
        <v>20971</v>
      </c>
      <c r="BB676" s="82" t="s">
        <v>20971</v>
      </c>
      <c r="BC676" s="82" t="s">
        <v>17449</v>
      </c>
      <c r="BD676" s="77">
        <v>489723814</v>
      </c>
      <c r="BE676" s="77"/>
      <c r="BF676" s="77"/>
      <c r="BG676" s="77"/>
      <c r="BH676" s="77"/>
      <c r="BI676" s="77"/>
    </row>
    <row r="677" spans="1:61" x14ac:dyDescent="0.25">
      <c r="A677" s="62" t="s">
        <v>418</v>
      </c>
      <c r="B677" s="62" t="s">
        <v>418</v>
      </c>
      <c r="C677" s="63"/>
      <c r="D677" s="64"/>
      <c r="E677" s="65"/>
      <c r="F677" s="66"/>
      <c r="G677" s="63"/>
      <c r="H677" s="67"/>
      <c r="I677" s="68"/>
      <c r="J677" s="68"/>
      <c r="K677" s="32"/>
      <c r="L677" s="75">
        <v>677</v>
      </c>
      <c r="M677" s="75"/>
      <c r="N677" s="70"/>
      <c r="O677" s="77" t="s">
        <v>179</v>
      </c>
      <c r="P677" s="79">
        <v>44967.04011574074</v>
      </c>
      <c r="Q677" s="77" t="s">
        <v>1959</v>
      </c>
      <c r="R677" s="77">
        <v>0</v>
      </c>
      <c r="S677" s="77">
        <v>0</v>
      </c>
      <c r="T677" s="77">
        <v>0</v>
      </c>
      <c r="U677" s="77">
        <v>0</v>
      </c>
      <c r="V677" s="77">
        <v>15</v>
      </c>
      <c r="W677" s="82" t="s">
        <v>5335</v>
      </c>
      <c r="X677" s="80" t="str">
        <f>HYPERLINK("https://www.freeclassificados.com/ads/gota-prime-e-bom-acaba-com-os-sintomas-da-diabetes-funciona-vale-a-pena/")</f>
        <v>https://www.freeclassificados.com/ads/gota-prime-e-bom-acaba-com-os-sintomas-da-diabetes-funciona-vale-a-pena/</v>
      </c>
      <c r="Y677" s="77" t="s">
        <v>7308</v>
      </c>
      <c r="Z677" s="77"/>
      <c r="AA677" s="77"/>
      <c r="AB677" s="77"/>
      <c r="AC677" s="82" t="s">
        <v>10155</v>
      </c>
      <c r="AD677" s="77" t="s">
        <v>10184</v>
      </c>
      <c r="AE677" s="80" t="str">
        <f>HYPERLINK("https://twitter.com/freeclassific/status/1623848667529547778")</f>
        <v>https://twitter.com/freeclassific/status/1623848667529547778</v>
      </c>
      <c r="AF677" s="79">
        <v>44967.04011574074</v>
      </c>
      <c r="AG677" s="85">
        <v>44967</v>
      </c>
      <c r="AH677" s="82" t="s">
        <v>10830</v>
      </c>
      <c r="AI677" s="77" t="b">
        <v>0</v>
      </c>
      <c r="AJ677" s="77"/>
      <c r="AK677" s="77"/>
      <c r="AL677" s="77"/>
      <c r="AM677" s="77"/>
      <c r="AN677" s="77"/>
      <c r="AO677" s="77"/>
      <c r="AP677" s="77"/>
      <c r="AQ677" s="77"/>
      <c r="AR677" s="77"/>
      <c r="AS677" s="77"/>
      <c r="AT677" s="77"/>
      <c r="AU677" s="77"/>
      <c r="AV677" s="80" t="str">
        <f>HYPERLINK("https://pbs.twimg.com/profile_images/1431648743728852993/tLJ7F5Lu_normal.png")</f>
        <v>https://pbs.twimg.com/profile_images/1431648743728852993/tLJ7F5Lu_normal.png</v>
      </c>
      <c r="AW677" s="82" t="s">
        <v>17450</v>
      </c>
      <c r="AX677" s="82" t="s">
        <v>17450</v>
      </c>
      <c r="AY677" s="77"/>
      <c r="AZ677" s="82" t="s">
        <v>20971</v>
      </c>
      <c r="BA677" s="82" t="s">
        <v>20971</v>
      </c>
      <c r="BB677" s="82" t="s">
        <v>20971</v>
      </c>
      <c r="BC677" s="82" t="s">
        <v>17450</v>
      </c>
      <c r="BD677" s="77">
        <v>489723814</v>
      </c>
      <c r="BE677" s="77"/>
      <c r="BF677" s="77"/>
      <c r="BG677" s="77"/>
      <c r="BH677" s="77"/>
      <c r="BI677" s="77"/>
    </row>
    <row r="678" spans="1:61" x14ac:dyDescent="0.25">
      <c r="A678" s="62" t="s">
        <v>418</v>
      </c>
      <c r="B678" s="62" t="s">
        <v>418</v>
      </c>
      <c r="C678" s="63"/>
      <c r="D678" s="64"/>
      <c r="E678" s="65"/>
      <c r="F678" s="66"/>
      <c r="G678" s="63"/>
      <c r="H678" s="67"/>
      <c r="I678" s="68"/>
      <c r="J678" s="68"/>
      <c r="K678" s="32"/>
      <c r="L678" s="75">
        <v>678</v>
      </c>
      <c r="M678" s="75"/>
      <c r="N678" s="70"/>
      <c r="O678" s="77" t="s">
        <v>179</v>
      </c>
      <c r="P678" s="79">
        <v>44966.795277777775</v>
      </c>
      <c r="Q678" s="77" t="s">
        <v>1960</v>
      </c>
      <c r="R678" s="77">
        <v>0</v>
      </c>
      <c r="S678" s="77">
        <v>0</v>
      </c>
      <c r="T678" s="77">
        <v>0</v>
      </c>
      <c r="U678" s="77">
        <v>0</v>
      </c>
      <c r="V678" s="77">
        <v>16</v>
      </c>
      <c r="W678" s="82" t="s">
        <v>5335</v>
      </c>
      <c r="X678" s="80" t="str">
        <f>HYPERLINK("https://www.freeclassificados.com/ads/curso-de-montagem-e-manutencao-de-computadores/")</f>
        <v>https://www.freeclassificados.com/ads/curso-de-montagem-e-manutencao-de-computadores/</v>
      </c>
      <c r="Y678" s="77" t="s">
        <v>7308</v>
      </c>
      <c r="Z678" s="77"/>
      <c r="AA678" s="77"/>
      <c r="AB678" s="77"/>
      <c r="AC678" s="82" t="s">
        <v>10155</v>
      </c>
      <c r="AD678" s="77" t="s">
        <v>10184</v>
      </c>
      <c r="AE678" s="80" t="str">
        <f>HYPERLINK("https://twitter.com/freeclassific/status/1623759940165726209")</f>
        <v>https://twitter.com/freeclassific/status/1623759940165726209</v>
      </c>
      <c r="AF678" s="79">
        <v>44966.795277777775</v>
      </c>
      <c r="AG678" s="85">
        <v>44966</v>
      </c>
      <c r="AH678" s="82" t="s">
        <v>10831</v>
      </c>
      <c r="AI678" s="77" t="b">
        <v>0</v>
      </c>
      <c r="AJ678" s="77"/>
      <c r="AK678" s="77"/>
      <c r="AL678" s="77"/>
      <c r="AM678" s="77"/>
      <c r="AN678" s="77"/>
      <c r="AO678" s="77"/>
      <c r="AP678" s="77"/>
      <c r="AQ678" s="77"/>
      <c r="AR678" s="77"/>
      <c r="AS678" s="77"/>
      <c r="AT678" s="77"/>
      <c r="AU678" s="77"/>
      <c r="AV678" s="80" t="str">
        <f>HYPERLINK("https://pbs.twimg.com/profile_images/1431648743728852993/tLJ7F5Lu_normal.png")</f>
        <v>https://pbs.twimg.com/profile_images/1431648743728852993/tLJ7F5Lu_normal.png</v>
      </c>
      <c r="AW678" s="82" t="s">
        <v>17451</v>
      </c>
      <c r="AX678" s="82" t="s">
        <v>17451</v>
      </c>
      <c r="AY678" s="77"/>
      <c r="AZ678" s="82" t="s">
        <v>20971</v>
      </c>
      <c r="BA678" s="82" t="s">
        <v>20971</v>
      </c>
      <c r="BB678" s="82" t="s">
        <v>20971</v>
      </c>
      <c r="BC678" s="82" t="s">
        <v>17451</v>
      </c>
      <c r="BD678" s="77">
        <v>489723814</v>
      </c>
      <c r="BE678" s="77"/>
      <c r="BF678" s="77"/>
      <c r="BG678" s="77"/>
      <c r="BH678" s="77"/>
      <c r="BI678" s="77"/>
    </row>
    <row r="679" spans="1:61" x14ac:dyDescent="0.25">
      <c r="A679" s="62" t="s">
        <v>418</v>
      </c>
      <c r="B679" s="62" t="s">
        <v>418</v>
      </c>
      <c r="C679" s="63"/>
      <c r="D679" s="64"/>
      <c r="E679" s="65"/>
      <c r="F679" s="66"/>
      <c r="G679" s="63"/>
      <c r="H679" s="67"/>
      <c r="I679" s="68"/>
      <c r="J679" s="68"/>
      <c r="K679" s="32"/>
      <c r="L679" s="75">
        <v>679</v>
      </c>
      <c r="M679" s="75"/>
      <c r="N679" s="70"/>
      <c r="O679" s="77" t="s">
        <v>179</v>
      </c>
      <c r="P679" s="79">
        <v>44966.793495370373</v>
      </c>
      <c r="Q679" s="77" t="s">
        <v>1961</v>
      </c>
      <c r="R679" s="77">
        <v>0</v>
      </c>
      <c r="S679" s="77">
        <v>0</v>
      </c>
      <c r="T679" s="77">
        <v>0</v>
      </c>
      <c r="U679" s="77">
        <v>0</v>
      </c>
      <c r="V679" s="77">
        <v>10</v>
      </c>
      <c r="W679" s="82" t="s">
        <v>5335</v>
      </c>
      <c r="X679" s="80" t="str">
        <f>HYPERLINK("https://www.freeclassificados.com/ads/curso-de-design-de-sobrancelhas/")</f>
        <v>https://www.freeclassificados.com/ads/curso-de-design-de-sobrancelhas/</v>
      </c>
      <c r="Y679" s="77" t="s">
        <v>7308</v>
      </c>
      <c r="Z679" s="77"/>
      <c r="AA679" s="77"/>
      <c r="AB679" s="77"/>
      <c r="AC679" s="82" t="s">
        <v>10155</v>
      </c>
      <c r="AD679" s="77" t="s">
        <v>10184</v>
      </c>
      <c r="AE679" s="80" t="str">
        <f>HYPERLINK("https://twitter.com/freeclassific/status/1623759295559917568")</f>
        <v>https://twitter.com/freeclassific/status/1623759295559917568</v>
      </c>
      <c r="AF679" s="79">
        <v>44966.793495370373</v>
      </c>
      <c r="AG679" s="85">
        <v>44966</v>
      </c>
      <c r="AH679" s="82" t="s">
        <v>10832</v>
      </c>
      <c r="AI679" s="77" t="b">
        <v>0</v>
      </c>
      <c r="AJ679" s="77"/>
      <c r="AK679" s="77"/>
      <c r="AL679" s="77"/>
      <c r="AM679" s="77"/>
      <c r="AN679" s="77"/>
      <c r="AO679" s="77"/>
      <c r="AP679" s="77"/>
      <c r="AQ679" s="77"/>
      <c r="AR679" s="77"/>
      <c r="AS679" s="77"/>
      <c r="AT679" s="77"/>
      <c r="AU679" s="77"/>
      <c r="AV679" s="80" t="str">
        <f>HYPERLINK("https://pbs.twimg.com/profile_images/1431648743728852993/tLJ7F5Lu_normal.png")</f>
        <v>https://pbs.twimg.com/profile_images/1431648743728852993/tLJ7F5Lu_normal.png</v>
      </c>
      <c r="AW679" s="82" t="s">
        <v>17452</v>
      </c>
      <c r="AX679" s="82" t="s">
        <v>17452</v>
      </c>
      <c r="AY679" s="77"/>
      <c r="AZ679" s="82" t="s">
        <v>20971</v>
      </c>
      <c r="BA679" s="82" t="s">
        <v>20971</v>
      </c>
      <c r="BB679" s="82" t="s">
        <v>20971</v>
      </c>
      <c r="BC679" s="82" t="s">
        <v>17452</v>
      </c>
      <c r="BD679" s="77">
        <v>489723814</v>
      </c>
      <c r="BE679" s="77"/>
      <c r="BF679" s="77"/>
      <c r="BG679" s="77"/>
      <c r="BH679" s="77"/>
      <c r="BI679" s="77"/>
    </row>
    <row r="680" spans="1:61" x14ac:dyDescent="0.25">
      <c r="A680" s="62" t="s">
        <v>418</v>
      </c>
      <c r="B680" s="62" t="s">
        <v>418</v>
      </c>
      <c r="C680" s="63"/>
      <c r="D680" s="64"/>
      <c r="E680" s="65"/>
      <c r="F680" s="66"/>
      <c r="G680" s="63"/>
      <c r="H680" s="67"/>
      <c r="I680" s="68"/>
      <c r="J680" s="68"/>
      <c r="K680" s="32"/>
      <c r="L680" s="75">
        <v>680</v>
      </c>
      <c r="M680" s="75"/>
      <c r="N680" s="70"/>
      <c r="O680" s="77" t="s">
        <v>179</v>
      </c>
      <c r="P680" s="79">
        <v>44966.791701388887</v>
      </c>
      <c r="Q680" s="77" t="s">
        <v>1962</v>
      </c>
      <c r="R680" s="77">
        <v>0</v>
      </c>
      <c r="S680" s="77">
        <v>0</v>
      </c>
      <c r="T680" s="77">
        <v>0</v>
      </c>
      <c r="U680" s="77">
        <v>0</v>
      </c>
      <c r="V680" s="77">
        <v>9</v>
      </c>
      <c r="W680" s="82" t="s">
        <v>5335</v>
      </c>
      <c r="X680" s="80" t="str">
        <f>HYPERLINK("https://www.freeclassificados.com/ads/curso-de-libras-para-iniciantes/")</f>
        <v>https://www.freeclassificados.com/ads/curso-de-libras-para-iniciantes/</v>
      </c>
      <c r="Y680" s="77" t="s">
        <v>7308</v>
      </c>
      <c r="Z680" s="77"/>
      <c r="AA680" s="77"/>
      <c r="AB680" s="77"/>
      <c r="AC680" s="82" t="s">
        <v>10155</v>
      </c>
      <c r="AD680" s="77" t="s">
        <v>10187</v>
      </c>
      <c r="AE680" s="80" t="str">
        <f>HYPERLINK("https://twitter.com/freeclassific/status/1623758646646652929")</f>
        <v>https://twitter.com/freeclassific/status/1623758646646652929</v>
      </c>
      <c r="AF680" s="79">
        <v>44966.791701388887</v>
      </c>
      <c r="AG680" s="85">
        <v>44966</v>
      </c>
      <c r="AH680" s="82" t="s">
        <v>10833</v>
      </c>
      <c r="AI680" s="77" t="b">
        <v>0</v>
      </c>
      <c r="AJ680" s="77"/>
      <c r="AK680" s="77"/>
      <c r="AL680" s="77"/>
      <c r="AM680" s="77"/>
      <c r="AN680" s="77"/>
      <c r="AO680" s="77"/>
      <c r="AP680" s="77"/>
      <c r="AQ680" s="77"/>
      <c r="AR680" s="77"/>
      <c r="AS680" s="77"/>
      <c r="AT680" s="77"/>
      <c r="AU680" s="77"/>
      <c r="AV680" s="80" t="str">
        <f>HYPERLINK("https://pbs.twimg.com/profile_images/1431648743728852993/tLJ7F5Lu_normal.png")</f>
        <v>https://pbs.twimg.com/profile_images/1431648743728852993/tLJ7F5Lu_normal.png</v>
      </c>
      <c r="AW680" s="82" t="s">
        <v>17453</v>
      </c>
      <c r="AX680" s="82" t="s">
        <v>17453</v>
      </c>
      <c r="AY680" s="77"/>
      <c r="AZ680" s="82" t="s">
        <v>20971</v>
      </c>
      <c r="BA680" s="82" t="s">
        <v>20971</v>
      </c>
      <c r="BB680" s="82" t="s">
        <v>20971</v>
      </c>
      <c r="BC680" s="82" t="s">
        <v>17453</v>
      </c>
      <c r="BD680" s="77">
        <v>489723814</v>
      </c>
      <c r="BE680" s="77"/>
      <c r="BF680" s="77"/>
      <c r="BG680" s="77"/>
      <c r="BH680" s="77"/>
      <c r="BI680" s="77"/>
    </row>
    <row r="681" spans="1:61" x14ac:dyDescent="0.25">
      <c r="A681" s="62" t="s">
        <v>418</v>
      </c>
      <c r="B681" s="62" t="s">
        <v>418</v>
      </c>
      <c r="C681" s="63"/>
      <c r="D681" s="64"/>
      <c r="E681" s="65"/>
      <c r="F681" s="66"/>
      <c r="G681" s="63"/>
      <c r="H681" s="67"/>
      <c r="I681" s="68"/>
      <c r="J681" s="68"/>
      <c r="K681" s="32"/>
      <c r="L681" s="75">
        <v>681</v>
      </c>
      <c r="M681" s="75"/>
      <c r="N681" s="70"/>
      <c r="O681" s="77" t="s">
        <v>179</v>
      </c>
      <c r="P681" s="79">
        <v>44966.790196759262</v>
      </c>
      <c r="Q681" s="77" t="s">
        <v>1963</v>
      </c>
      <c r="R681" s="77">
        <v>0</v>
      </c>
      <c r="S681" s="77">
        <v>0</v>
      </c>
      <c r="T681" s="77">
        <v>0</v>
      </c>
      <c r="U681" s="77">
        <v>0</v>
      </c>
      <c r="V681" s="77">
        <v>10</v>
      </c>
      <c r="W681" s="82" t="s">
        <v>5335</v>
      </c>
      <c r="X681" s="80" t="str">
        <f>HYPERLINK("https://www.freeclassificados.com/ads/curso-de-espanhol/")</f>
        <v>https://www.freeclassificados.com/ads/curso-de-espanhol/</v>
      </c>
      <c r="Y681" s="77" t="s">
        <v>7308</v>
      </c>
      <c r="Z681" s="77"/>
      <c r="AA681" s="77"/>
      <c r="AB681" s="77"/>
      <c r="AC681" s="82" t="s">
        <v>10155</v>
      </c>
      <c r="AD681" s="77" t="s">
        <v>10187</v>
      </c>
      <c r="AE681" s="80" t="str">
        <f>HYPERLINK("https://twitter.com/freeclassific/status/1623758099533160448")</f>
        <v>https://twitter.com/freeclassific/status/1623758099533160448</v>
      </c>
      <c r="AF681" s="79">
        <v>44966.790196759262</v>
      </c>
      <c r="AG681" s="85">
        <v>44966</v>
      </c>
      <c r="AH681" s="82" t="s">
        <v>10834</v>
      </c>
      <c r="AI681" s="77" t="b">
        <v>0</v>
      </c>
      <c r="AJ681" s="77"/>
      <c r="AK681" s="77"/>
      <c r="AL681" s="77"/>
      <c r="AM681" s="77"/>
      <c r="AN681" s="77"/>
      <c r="AO681" s="77"/>
      <c r="AP681" s="77"/>
      <c r="AQ681" s="77"/>
      <c r="AR681" s="77"/>
      <c r="AS681" s="77"/>
      <c r="AT681" s="77"/>
      <c r="AU681" s="77"/>
      <c r="AV681" s="80" t="str">
        <f>HYPERLINK("https://pbs.twimg.com/profile_images/1431648743728852993/tLJ7F5Lu_normal.png")</f>
        <v>https://pbs.twimg.com/profile_images/1431648743728852993/tLJ7F5Lu_normal.png</v>
      </c>
      <c r="AW681" s="82" t="s">
        <v>17454</v>
      </c>
      <c r="AX681" s="82" t="s">
        <v>17454</v>
      </c>
      <c r="AY681" s="77"/>
      <c r="AZ681" s="82" t="s">
        <v>20971</v>
      </c>
      <c r="BA681" s="82" t="s">
        <v>20971</v>
      </c>
      <c r="BB681" s="82" t="s">
        <v>20971</v>
      </c>
      <c r="BC681" s="82" t="s">
        <v>17454</v>
      </c>
      <c r="BD681" s="77">
        <v>489723814</v>
      </c>
      <c r="BE681" s="77"/>
      <c r="BF681" s="77"/>
      <c r="BG681" s="77"/>
      <c r="BH681" s="77"/>
      <c r="BI681" s="77"/>
    </row>
    <row r="682" spans="1:61" x14ac:dyDescent="0.25">
      <c r="A682" s="62" t="s">
        <v>418</v>
      </c>
      <c r="B682" s="62" t="s">
        <v>418</v>
      </c>
      <c r="C682" s="63"/>
      <c r="D682" s="64"/>
      <c r="E682" s="65"/>
      <c r="F682" s="66"/>
      <c r="G682" s="63"/>
      <c r="H682" s="67"/>
      <c r="I682" s="68"/>
      <c r="J682" s="68"/>
      <c r="K682" s="32"/>
      <c r="L682" s="75">
        <v>682</v>
      </c>
      <c r="M682" s="75"/>
      <c r="N682" s="70"/>
      <c r="O682" s="77" t="s">
        <v>179</v>
      </c>
      <c r="P682" s="79">
        <v>44966.788032407407</v>
      </c>
      <c r="Q682" s="77" t="s">
        <v>1964</v>
      </c>
      <c r="R682" s="77">
        <v>0</v>
      </c>
      <c r="S682" s="77">
        <v>0</v>
      </c>
      <c r="T682" s="77">
        <v>0</v>
      </c>
      <c r="U682" s="77">
        <v>0</v>
      </c>
      <c r="V682" s="77">
        <v>24</v>
      </c>
      <c r="W682" s="82" t="s">
        <v>5335</v>
      </c>
      <c r="X682" s="80" t="str">
        <f>HYPERLINK("https://www.freeclassificados.com/ads/curso-de-operador-de-caixa/")</f>
        <v>https://www.freeclassificados.com/ads/curso-de-operador-de-caixa/</v>
      </c>
      <c r="Y682" s="77" t="s">
        <v>7308</v>
      </c>
      <c r="Z682" s="77"/>
      <c r="AA682" s="77"/>
      <c r="AB682" s="77"/>
      <c r="AC682" s="82" t="s">
        <v>10155</v>
      </c>
      <c r="AD682" s="77" t="s">
        <v>10184</v>
      </c>
      <c r="AE682" s="80" t="str">
        <f>HYPERLINK("https://twitter.com/freeclassific/status/1623757315982630920")</f>
        <v>https://twitter.com/freeclassific/status/1623757315982630920</v>
      </c>
      <c r="AF682" s="79">
        <v>44966.788032407407</v>
      </c>
      <c r="AG682" s="85">
        <v>44966</v>
      </c>
      <c r="AH682" s="82" t="s">
        <v>10835</v>
      </c>
      <c r="AI682" s="77" t="b">
        <v>0</v>
      </c>
      <c r="AJ682" s="77"/>
      <c r="AK682" s="77"/>
      <c r="AL682" s="77"/>
      <c r="AM682" s="77"/>
      <c r="AN682" s="77"/>
      <c r="AO682" s="77"/>
      <c r="AP682" s="77"/>
      <c r="AQ682" s="77"/>
      <c r="AR682" s="77"/>
      <c r="AS682" s="77"/>
      <c r="AT682" s="77"/>
      <c r="AU682" s="77"/>
      <c r="AV682" s="80" t="str">
        <f>HYPERLINK("https://pbs.twimg.com/profile_images/1431648743728852993/tLJ7F5Lu_normal.png")</f>
        <v>https://pbs.twimg.com/profile_images/1431648743728852993/tLJ7F5Lu_normal.png</v>
      </c>
      <c r="AW682" s="82" t="s">
        <v>17455</v>
      </c>
      <c r="AX682" s="82" t="s">
        <v>17455</v>
      </c>
      <c r="AY682" s="77"/>
      <c r="AZ682" s="82" t="s">
        <v>20971</v>
      </c>
      <c r="BA682" s="82" t="s">
        <v>20971</v>
      </c>
      <c r="BB682" s="82" t="s">
        <v>20971</v>
      </c>
      <c r="BC682" s="82" t="s">
        <v>17455</v>
      </c>
      <c r="BD682" s="77">
        <v>489723814</v>
      </c>
      <c r="BE682" s="77"/>
      <c r="BF682" s="77"/>
      <c r="BG682" s="77"/>
      <c r="BH682" s="77"/>
      <c r="BI682" s="77"/>
    </row>
    <row r="683" spans="1:61" x14ac:dyDescent="0.25">
      <c r="A683" s="62" t="s">
        <v>418</v>
      </c>
      <c r="B683" s="62" t="s">
        <v>418</v>
      </c>
      <c r="C683" s="63"/>
      <c r="D683" s="64"/>
      <c r="E683" s="65"/>
      <c r="F683" s="66"/>
      <c r="G683" s="63"/>
      <c r="H683" s="67"/>
      <c r="I683" s="68"/>
      <c r="J683" s="68"/>
      <c r="K683" s="32"/>
      <c r="L683" s="75">
        <v>683</v>
      </c>
      <c r="M683" s="75"/>
      <c r="N683" s="70"/>
      <c r="O683" s="77" t="s">
        <v>179</v>
      </c>
      <c r="P683" s="79">
        <v>44966.786585648151</v>
      </c>
      <c r="Q683" s="77" t="s">
        <v>1965</v>
      </c>
      <c r="R683" s="77">
        <v>0</v>
      </c>
      <c r="S683" s="77">
        <v>0</v>
      </c>
      <c r="T683" s="77">
        <v>0</v>
      </c>
      <c r="U683" s="77">
        <v>0</v>
      </c>
      <c r="V683" s="77">
        <v>26</v>
      </c>
      <c r="W683" s="82" t="s">
        <v>5335</v>
      </c>
      <c r="X683" s="80" t="str">
        <f>HYPERLINK("https://www.freeclassificados.com/ads/curso-auxiliar-administrativo/")</f>
        <v>https://www.freeclassificados.com/ads/curso-auxiliar-administrativo/</v>
      </c>
      <c r="Y683" s="77" t="s">
        <v>7308</v>
      </c>
      <c r="Z683" s="77"/>
      <c r="AA683" s="77"/>
      <c r="AB683" s="77"/>
      <c r="AC683" s="82" t="s">
        <v>10155</v>
      </c>
      <c r="AD683" s="77" t="s">
        <v>10187</v>
      </c>
      <c r="AE683" s="80" t="str">
        <f>HYPERLINK("https://twitter.com/freeclassific/status/1623756791153655810")</f>
        <v>https://twitter.com/freeclassific/status/1623756791153655810</v>
      </c>
      <c r="AF683" s="79">
        <v>44966.786585648151</v>
      </c>
      <c r="AG683" s="85">
        <v>44966</v>
      </c>
      <c r="AH683" s="82" t="s">
        <v>10836</v>
      </c>
      <c r="AI683" s="77" t="b">
        <v>0</v>
      </c>
      <c r="AJ683" s="77"/>
      <c r="AK683" s="77"/>
      <c r="AL683" s="77"/>
      <c r="AM683" s="77"/>
      <c r="AN683" s="77"/>
      <c r="AO683" s="77"/>
      <c r="AP683" s="77"/>
      <c r="AQ683" s="77"/>
      <c r="AR683" s="77"/>
      <c r="AS683" s="77"/>
      <c r="AT683" s="77"/>
      <c r="AU683" s="77"/>
      <c r="AV683" s="80" t="str">
        <f>HYPERLINK("https://pbs.twimg.com/profile_images/1431648743728852993/tLJ7F5Lu_normal.png")</f>
        <v>https://pbs.twimg.com/profile_images/1431648743728852993/tLJ7F5Lu_normal.png</v>
      </c>
      <c r="AW683" s="82" t="s">
        <v>17456</v>
      </c>
      <c r="AX683" s="82" t="s">
        <v>17456</v>
      </c>
      <c r="AY683" s="77"/>
      <c r="AZ683" s="82" t="s">
        <v>20971</v>
      </c>
      <c r="BA683" s="82" t="s">
        <v>20971</v>
      </c>
      <c r="BB683" s="82" t="s">
        <v>20971</v>
      </c>
      <c r="BC683" s="82" t="s">
        <v>17456</v>
      </c>
      <c r="BD683" s="77">
        <v>489723814</v>
      </c>
      <c r="BE683" s="77"/>
      <c r="BF683" s="77"/>
      <c r="BG683" s="77"/>
      <c r="BH683" s="77"/>
      <c r="BI683" s="77"/>
    </row>
    <row r="684" spans="1:61" x14ac:dyDescent="0.25">
      <c r="A684" s="62" t="s">
        <v>418</v>
      </c>
      <c r="B684" s="62" t="s">
        <v>418</v>
      </c>
      <c r="C684" s="63"/>
      <c r="D684" s="64"/>
      <c r="E684" s="65"/>
      <c r="F684" s="66"/>
      <c r="G684" s="63"/>
      <c r="H684" s="67"/>
      <c r="I684" s="68"/>
      <c r="J684" s="68"/>
      <c r="K684" s="32"/>
      <c r="L684" s="75">
        <v>684</v>
      </c>
      <c r="M684" s="75"/>
      <c r="N684" s="70"/>
      <c r="O684" s="77" t="s">
        <v>179</v>
      </c>
      <c r="P684" s="79">
        <v>44966.784629629627</v>
      </c>
      <c r="Q684" s="77" t="s">
        <v>1966</v>
      </c>
      <c r="R684" s="77">
        <v>0</v>
      </c>
      <c r="S684" s="77">
        <v>0</v>
      </c>
      <c r="T684" s="77">
        <v>0</v>
      </c>
      <c r="U684" s="77">
        <v>0</v>
      </c>
      <c r="V684" s="77">
        <v>10</v>
      </c>
      <c r="W684" s="82" t="s">
        <v>5335</v>
      </c>
      <c r="X684" s="80" t="str">
        <f>HYPERLINK("https://www.freeclassificados.com/ads/curso-de-cabeleireiro-profissional/")</f>
        <v>https://www.freeclassificados.com/ads/curso-de-cabeleireiro-profissional/</v>
      </c>
      <c r="Y684" s="77" t="s">
        <v>7308</v>
      </c>
      <c r="Z684" s="77"/>
      <c r="AA684" s="77"/>
      <c r="AB684" s="77"/>
      <c r="AC684" s="82" t="s">
        <v>10155</v>
      </c>
      <c r="AD684" s="77" t="s">
        <v>10184</v>
      </c>
      <c r="AE684" s="80" t="str">
        <f>HYPERLINK("https://twitter.com/freeclassific/status/1623756083293523970")</f>
        <v>https://twitter.com/freeclassific/status/1623756083293523970</v>
      </c>
      <c r="AF684" s="79">
        <v>44966.784629629627</v>
      </c>
      <c r="AG684" s="85">
        <v>44966</v>
      </c>
      <c r="AH684" s="82" t="s">
        <v>10837</v>
      </c>
      <c r="AI684" s="77" t="b">
        <v>0</v>
      </c>
      <c r="AJ684" s="77"/>
      <c r="AK684" s="77"/>
      <c r="AL684" s="77"/>
      <c r="AM684" s="77"/>
      <c r="AN684" s="77"/>
      <c r="AO684" s="77"/>
      <c r="AP684" s="77"/>
      <c r="AQ684" s="77"/>
      <c r="AR684" s="77"/>
      <c r="AS684" s="77"/>
      <c r="AT684" s="77"/>
      <c r="AU684" s="77"/>
      <c r="AV684" s="80" t="str">
        <f>HYPERLINK("https://pbs.twimg.com/profile_images/1431648743728852993/tLJ7F5Lu_normal.png")</f>
        <v>https://pbs.twimg.com/profile_images/1431648743728852993/tLJ7F5Lu_normal.png</v>
      </c>
      <c r="AW684" s="82" t="s">
        <v>17457</v>
      </c>
      <c r="AX684" s="82" t="s">
        <v>17457</v>
      </c>
      <c r="AY684" s="77"/>
      <c r="AZ684" s="82" t="s">
        <v>20971</v>
      </c>
      <c r="BA684" s="82" t="s">
        <v>20971</v>
      </c>
      <c r="BB684" s="82" t="s">
        <v>20971</v>
      </c>
      <c r="BC684" s="82" t="s">
        <v>17457</v>
      </c>
      <c r="BD684" s="77">
        <v>489723814</v>
      </c>
      <c r="BE684" s="77"/>
      <c r="BF684" s="77"/>
      <c r="BG684" s="77"/>
      <c r="BH684" s="77"/>
      <c r="BI684" s="77"/>
    </row>
    <row r="685" spans="1:61" x14ac:dyDescent="0.25">
      <c r="A685" s="62" t="s">
        <v>418</v>
      </c>
      <c r="B685" s="62" t="s">
        <v>418</v>
      </c>
      <c r="C685" s="63"/>
      <c r="D685" s="64"/>
      <c r="E685" s="65"/>
      <c r="F685" s="66"/>
      <c r="G685" s="63"/>
      <c r="H685" s="67"/>
      <c r="I685" s="68"/>
      <c r="J685" s="68"/>
      <c r="K685" s="32"/>
      <c r="L685" s="75">
        <v>685</v>
      </c>
      <c r="M685" s="75"/>
      <c r="N685" s="70"/>
      <c r="O685" s="77" t="s">
        <v>179</v>
      </c>
      <c r="P685" s="79">
        <v>44966.782986111109</v>
      </c>
      <c r="Q685" s="77" t="s">
        <v>1967</v>
      </c>
      <c r="R685" s="77">
        <v>0</v>
      </c>
      <c r="S685" s="77">
        <v>0</v>
      </c>
      <c r="T685" s="77">
        <v>0</v>
      </c>
      <c r="U685" s="77">
        <v>0</v>
      </c>
      <c r="V685" s="77">
        <v>11</v>
      </c>
      <c r="W685" s="82" t="s">
        <v>5335</v>
      </c>
      <c r="X685" s="80" t="str">
        <f>HYPERLINK("https://www.freeclassificados.com/ads/seja-uma-maquiadora-profissional-reconhecida-depois-desse-curso/")</f>
        <v>https://www.freeclassificados.com/ads/seja-uma-maquiadora-profissional-reconhecida-depois-desse-curso/</v>
      </c>
      <c r="Y685" s="77" t="s">
        <v>7308</v>
      </c>
      <c r="Z685" s="77"/>
      <c r="AA685" s="77"/>
      <c r="AB685" s="77"/>
      <c r="AC685" s="82" t="s">
        <v>10155</v>
      </c>
      <c r="AD685" s="77" t="s">
        <v>10184</v>
      </c>
      <c r="AE685" s="80" t="str">
        <f>HYPERLINK("https://twitter.com/freeclassific/status/1623755486523711488")</f>
        <v>https://twitter.com/freeclassific/status/1623755486523711488</v>
      </c>
      <c r="AF685" s="79">
        <v>44966.782986111109</v>
      </c>
      <c r="AG685" s="85">
        <v>44966</v>
      </c>
      <c r="AH685" s="82" t="s">
        <v>10838</v>
      </c>
      <c r="AI685" s="77" t="b">
        <v>0</v>
      </c>
      <c r="AJ685" s="77"/>
      <c r="AK685" s="77"/>
      <c r="AL685" s="77"/>
      <c r="AM685" s="77"/>
      <c r="AN685" s="77"/>
      <c r="AO685" s="77"/>
      <c r="AP685" s="77"/>
      <c r="AQ685" s="77"/>
      <c r="AR685" s="77"/>
      <c r="AS685" s="77"/>
      <c r="AT685" s="77"/>
      <c r="AU685" s="77"/>
      <c r="AV685" s="80" t="str">
        <f>HYPERLINK("https://pbs.twimg.com/profile_images/1431648743728852993/tLJ7F5Lu_normal.png")</f>
        <v>https://pbs.twimg.com/profile_images/1431648743728852993/tLJ7F5Lu_normal.png</v>
      </c>
      <c r="AW685" s="82" t="s">
        <v>17458</v>
      </c>
      <c r="AX685" s="82" t="s">
        <v>17458</v>
      </c>
      <c r="AY685" s="77"/>
      <c r="AZ685" s="82" t="s">
        <v>20971</v>
      </c>
      <c r="BA685" s="82" t="s">
        <v>20971</v>
      </c>
      <c r="BB685" s="82" t="s">
        <v>20971</v>
      </c>
      <c r="BC685" s="82" t="s">
        <v>17458</v>
      </c>
      <c r="BD685" s="77">
        <v>489723814</v>
      </c>
      <c r="BE685" s="77"/>
      <c r="BF685" s="77"/>
      <c r="BG685" s="77"/>
      <c r="BH685" s="77"/>
      <c r="BI685" s="77"/>
    </row>
    <row r="686" spans="1:61" x14ac:dyDescent="0.25">
      <c r="A686" s="62" t="s">
        <v>418</v>
      </c>
      <c r="B686" s="62" t="s">
        <v>418</v>
      </c>
      <c r="C686" s="63"/>
      <c r="D686" s="64"/>
      <c r="E686" s="65"/>
      <c r="F686" s="66"/>
      <c r="G686" s="63"/>
      <c r="H686" s="67"/>
      <c r="I686" s="68"/>
      <c r="J686" s="68"/>
      <c r="K686" s="32"/>
      <c r="L686" s="75">
        <v>686</v>
      </c>
      <c r="M686" s="75"/>
      <c r="N686" s="70"/>
      <c r="O686" s="77" t="s">
        <v>179</v>
      </c>
      <c r="P686" s="79">
        <v>44966.78025462963</v>
      </c>
      <c r="Q686" s="77" t="s">
        <v>1968</v>
      </c>
      <c r="R686" s="77">
        <v>0</v>
      </c>
      <c r="S686" s="77">
        <v>0</v>
      </c>
      <c r="T686" s="77">
        <v>1</v>
      </c>
      <c r="U686" s="77">
        <v>0</v>
      </c>
      <c r="V686" s="77">
        <v>23</v>
      </c>
      <c r="W686" s="82" t="s">
        <v>5335</v>
      </c>
      <c r="X686" s="80" t="str">
        <f>HYPERLINK("https://www.freeclassificados.com/ads/curso-de-unhas-em-gel/")</f>
        <v>https://www.freeclassificados.com/ads/curso-de-unhas-em-gel/</v>
      </c>
      <c r="Y686" s="77" t="s">
        <v>7308</v>
      </c>
      <c r="Z686" s="77"/>
      <c r="AA686" s="77"/>
      <c r="AB686" s="77"/>
      <c r="AC686" s="82" t="s">
        <v>10155</v>
      </c>
      <c r="AD686" s="77" t="s">
        <v>10184</v>
      </c>
      <c r="AE686" s="80" t="str">
        <f>HYPERLINK("https://twitter.com/freeclassific/status/1623754498135957507")</f>
        <v>https://twitter.com/freeclassific/status/1623754498135957507</v>
      </c>
      <c r="AF686" s="79">
        <v>44966.78025462963</v>
      </c>
      <c r="AG686" s="85">
        <v>44966</v>
      </c>
      <c r="AH686" s="82" t="s">
        <v>10839</v>
      </c>
      <c r="AI686" s="77" t="b">
        <v>0</v>
      </c>
      <c r="AJ686" s="77"/>
      <c r="AK686" s="77"/>
      <c r="AL686" s="77"/>
      <c r="AM686" s="77"/>
      <c r="AN686" s="77"/>
      <c r="AO686" s="77"/>
      <c r="AP686" s="77"/>
      <c r="AQ686" s="77"/>
      <c r="AR686" s="77"/>
      <c r="AS686" s="77"/>
      <c r="AT686" s="77"/>
      <c r="AU686" s="77"/>
      <c r="AV686" s="80" t="str">
        <f>HYPERLINK("https://pbs.twimg.com/profile_images/1431648743728852993/tLJ7F5Lu_normal.png")</f>
        <v>https://pbs.twimg.com/profile_images/1431648743728852993/tLJ7F5Lu_normal.png</v>
      </c>
      <c r="AW686" s="82" t="s">
        <v>17459</v>
      </c>
      <c r="AX686" s="82" t="s">
        <v>17459</v>
      </c>
      <c r="AY686" s="77"/>
      <c r="AZ686" s="82" t="s">
        <v>20971</v>
      </c>
      <c r="BA686" s="82" t="s">
        <v>20971</v>
      </c>
      <c r="BB686" s="82" t="s">
        <v>20971</v>
      </c>
      <c r="BC686" s="82" t="s">
        <v>17459</v>
      </c>
      <c r="BD686" s="77">
        <v>489723814</v>
      </c>
      <c r="BE686" s="77"/>
      <c r="BF686" s="77"/>
      <c r="BG686" s="77"/>
      <c r="BH686" s="77"/>
      <c r="BI686" s="77"/>
    </row>
    <row r="687" spans="1:61" x14ac:dyDescent="0.25">
      <c r="A687" s="62" t="s">
        <v>418</v>
      </c>
      <c r="B687" s="62" t="s">
        <v>418</v>
      </c>
      <c r="C687" s="63"/>
      <c r="D687" s="64"/>
      <c r="E687" s="65"/>
      <c r="F687" s="66"/>
      <c r="G687" s="63"/>
      <c r="H687" s="67"/>
      <c r="I687" s="68"/>
      <c r="J687" s="68"/>
      <c r="K687" s="32"/>
      <c r="L687" s="75">
        <v>687</v>
      </c>
      <c r="M687" s="75"/>
      <c r="N687" s="70"/>
      <c r="O687" s="77" t="s">
        <v>179</v>
      </c>
      <c r="P687" s="79">
        <v>44966.777418981481</v>
      </c>
      <c r="Q687" s="77" t="s">
        <v>1969</v>
      </c>
      <c r="R687" s="77">
        <v>0</v>
      </c>
      <c r="S687" s="77">
        <v>0</v>
      </c>
      <c r="T687" s="77">
        <v>0</v>
      </c>
      <c r="U687" s="77">
        <v>0</v>
      </c>
      <c r="V687" s="77">
        <v>13</v>
      </c>
      <c r="W687" s="82" t="s">
        <v>5335</v>
      </c>
      <c r="X687" s="80" t="str">
        <f>HYPERLINK("https://www.freeclassificados.com/ads/curso-de-desenho-a-mao/")</f>
        <v>https://www.freeclassificados.com/ads/curso-de-desenho-a-mao/</v>
      </c>
      <c r="Y687" s="77" t="s">
        <v>7308</v>
      </c>
      <c r="Z687" s="77"/>
      <c r="AA687" s="77"/>
      <c r="AB687" s="77"/>
      <c r="AC687" s="82" t="s">
        <v>10155</v>
      </c>
      <c r="AD687" s="77" t="s">
        <v>10184</v>
      </c>
      <c r="AE687" s="80" t="str">
        <f>HYPERLINK("https://twitter.com/freeclassific/status/1623753469357162502")</f>
        <v>https://twitter.com/freeclassific/status/1623753469357162502</v>
      </c>
      <c r="AF687" s="79">
        <v>44966.777418981481</v>
      </c>
      <c r="AG687" s="85">
        <v>44966</v>
      </c>
      <c r="AH687" s="82" t="s">
        <v>10840</v>
      </c>
      <c r="AI687" s="77" t="b">
        <v>0</v>
      </c>
      <c r="AJ687" s="77"/>
      <c r="AK687" s="77"/>
      <c r="AL687" s="77"/>
      <c r="AM687" s="77"/>
      <c r="AN687" s="77"/>
      <c r="AO687" s="77"/>
      <c r="AP687" s="77"/>
      <c r="AQ687" s="77"/>
      <c r="AR687" s="77"/>
      <c r="AS687" s="77"/>
      <c r="AT687" s="77"/>
      <c r="AU687" s="77"/>
      <c r="AV687" s="80" t="str">
        <f>HYPERLINK("https://pbs.twimg.com/profile_images/1431648743728852993/tLJ7F5Lu_normal.png")</f>
        <v>https://pbs.twimg.com/profile_images/1431648743728852993/tLJ7F5Lu_normal.png</v>
      </c>
      <c r="AW687" s="82" t="s">
        <v>17460</v>
      </c>
      <c r="AX687" s="82" t="s">
        <v>17460</v>
      </c>
      <c r="AY687" s="77"/>
      <c r="AZ687" s="82" t="s">
        <v>20971</v>
      </c>
      <c r="BA687" s="82" t="s">
        <v>20971</v>
      </c>
      <c r="BB687" s="82" t="s">
        <v>20971</v>
      </c>
      <c r="BC687" s="82" t="s">
        <v>17460</v>
      </c>
      <c r="BD687" s="77">
        <v>489723814</v>
      </c>
      <c r="BE687" s="77"/>
      <c r="BF687" s="77"/>
      <c r="BG687" s="77"/>
      <c r="BH687" s="77"/>
      <c r="BI687" s="77"/>
    </row>
    <row r="688" spans="1:61" x14ac:dyDescent="0.25">
      <c r="A688" s="62" t="s">
        <v>418</v>
      </c>
      <c r="B688" s="62" t="s">
        <v>418</v>
      </c>
      <c r="C688" s="63"/>
      <c r="D688" s="64"/>
      <c r="E688" s="65"/>
      <c r="F688" s="66"/>
      <c r="G688" s="63"/>
      <c r="H688" s="67"/>
      <c r="I688" s="68"/>
      <c r="J688" s="68"/>
      <c r="K688" s="32"/>
      <c r="L688" s="75">
        <v>688</v>
      </c>
      <c r="M688" s="75"/>
      <c r="N688" s="70"/>
      <c r="O688" s="77" t="s">
        <v>179</v>
      </c>
      <c r="P688" s="79">
        <v>44966.775219907409</v>
      </c>
      <c r="Q688" s="77" t="s">
        <v>1970</v>
      </c>
      <c r="R688" s="77">
        <v>0</v>
      </c>
      <c r="S688" s="77">
        <v>0</v>
      </c>
      <c r="T688" s="77">
        <v>0</v>
      </c>
      <c r="U688" s="77">
        <v>0</v>
      </c>
      <c r="V688" s="77">
        <v>10</v>
      </c>
      <c r="W688" s="82" t="s">
        <v>5335</v>
      </c>
      <c r="X688" s="80" t="str">
        <f>HYPERLINK("https://www.freeclassificados.com/ads/desenho-arquitetonico-tenha-seu-proprio-negocio/")</f>
        <v>https://www.freeclassificados.com/ads/desenho-arquitetonico-tenha-seu-proprio-negocio/</v>
      </c>
      <c r="Y688" s="77" t="s">
        <v>7308</v>
      </c>
      <c r="Z688" s="77"/>
      <c r="AA688" s="77"/>
      <c r="AB688" s="77"/>
      <c r="AC688" s="82" t="s">
        <v>10155</v>
      </c>
      <c r="AD688" s="77" t="s">
        <v>10184</v>
      </c>
      <c r="AE688" s="80" t="str">
        <f>HYPERLINK("https://twitter.com/freeclassific/status/1623752672774967300")</f>
        <v>https://twitter.com/freeclassific/status/1623752672774967300</v>
      </c>
      <c r="AF688" s="79">
        <v>44966.775219907409</v>
      </c>
      <c r="AG688" s="85">
        <v>44966</v>
      </c>
      <c r="AH688" s="82" t="s">
        <v>10841</v>
      </c>
      <c r="AI688" s="77" t="b">
        <v>0</v>
      </c>
      <c r="AJ688" s="77"/>
      <c r="AK688" s="77"/>
      <c r="AL688" s="77"/>
      <c r="AM688" s="77"/>
      <c r="AN688" s="77"/>
      <c r="AO688" s="77"/>
      <c r="AP688" s="77"/>
      <c r="AQ688" s="77"/>
      <c r="AR688" s="77"/>
      <c r="AS688" s="77"/>
      <c r="AT688" s="77"/>
      <c r="AU688" s="77"/>
      <c r="AV688" s="80" t="str">
        <f>HYPERLINK("https://pbs.twimg.com/profile_images/1431648743728852993/tLJ7F5Lu_normal.png")</f>
        <v>https://pbs.twimg.com/profile_images/1431648743728852993/tLJ7F5Lu_normal.png</v>
      </c>
      <c r="AW688" s="82" t="s">
        <v>17461</v>
      </c>
      <c r="AX688" s="82" t="s">
        <v>17461</v>
      </c>
      <c r="AY688" s="77"/>
      <c r="AZ688" s="82" t="s">
        <v>20971</v>
      </c>
      <c r="BA688" s="82" t="s">
        <v>20971</v>
      </c>
      <c r="BB688" s="82" t="s">
        <v>20971</v>
      </c>
      <c r="BC688" s="82" t="s">
        <v>17461</v>
      </c>
      <c r="BD688" s="77">
        <v>489723814</v>
      </c>
      <c r="BE688" s="77"/>
      <c r="BF688" s="77"/>
      <c r="BG688" s="77"/>
      <c r="BH688" s="77"/>
      <c r="BI688" s="77"/>
    </row>
    <row r="689" spans="1:61" x14ac:dyDescent="0.25">
      <c r="A689" s="62" t="s">
        <v>418</v>
      </c>
      <c r="B689" s="62" t="s">
        <v>418</v>
      </c>
      <c r="C689" s="63"/>
      <c r="D689" s="64"/>
      <c r="E689" s="65"/>
      <c r="F689" s="66"/>
      <c r="G689" s="63"/>
      <c r="H689" s="67"/>
      <c r="I689" s="68"/>
      <c r="J689" s="68"/>
      <c r="K689" s="32"/>
      <c r="L689" s="75">
        <v>689</v>
      </c>
      <c r="M689" s="75"/>
      <c r="N689" s="70"/>
      <c r="O689" s="77" t="s">
        <v>179</v>
      </c>
      <c r="P689" s="79">
        <v>44966.773182870369</v>
      </c>
      <c r="Q689" s="77" t="s">
        <v>1971</v>
      </c>
      <c r="R689" s="77">
        <v>0</v>
      </c>
      <c r="S689" s="77">
        <v>0</v>
      </c>
      <c r="T689" s="77">
        <v>0</v>
      </c>
      <c r="U689" s="77">
        <v>0</v>
      </c>
      <c r="V689" s="77">
        <v>13</v>
      </c>
      <c r="W689" s="82" t="s">
        <v>5335</v>
      </c>
      <c r="X689" s="80" t="str">
        <f>HYPERLINK("https://www.freeclassificados.com/ads/curso-de-auxiliar-de-seguranca-do-trabalho/")</f>
        <v>https://www.freeclassificados.com/ads/curso-de-auxiliar-de-seguranca-do-trabalho/</v>
      </c>
      <c r="Y689" s="77" t="s">
        <v>7308</v>
      </c>
      <c r="Z689" s="77"/>
      <c r="AA689" s="77"/>
      <c r="AB689" s="77"/>
      <c r="AC689" s="82" t="s">
        <v>10155</v>
      </c>
      <c r="AD689" s="77" t="s">
        <v>10184</v>
      </c>
      <c r="AE689" s="80" t="str">
        <f>HYPERLINK("https://twitter.com/freeclassific/status/1623751933927333891")</f>
        <v>https://twitter.com/freeclassific/status/1623751933927333891</v>
      </c>
      <c r="AF689" s="79">
        <v>44966.773182870369</v>
      </c>
      <c r="AG689" s="85">
        <v>44966</v>
      </c>
      <c r="AH689" s="82" t="s">
        <v>10842</v>
      </c>
      <c r="AI689" s="77" t="b">
        <v>0</v>
      </c>
      <c r="AJ689" s="77"/>
      <c r="AK689" s="77"/>
      <c r="AL689" s="77"/>
      <c r="AM689" s="77"/>
      <c r="AN689" s="77"/>
      <c r="AO689" s="77"/>
      <c r="AP689" s="77"/>
      <c r="AQ689" s="77"/>
      <c r="AR689" s="77"/>
      <c r="AS689" s="77"/>
      <c r="AT689" s="77"/>
      <c r="AU689" s="77"/>
      <c r="AV689" s="80" t="str">
        <f>HYPERLINK("https://pbs.twimg.com/profile_images/1431648743728852993/tLJ7F5Lu_normal.png")</f>
        <v>https://pbs.twimg.com/profile_images/1431648743728852993/tLJ7F5Lu_normal.png</v>
      </c>
      <c r="AW689" s="82" t="s">
        <v>17462</v>
      </c>
      <c r="AX689" s="82" t="s">
        <v>17462</v>
      </c>
      <c r="AY689" s="77"/>
      <c r="AZ689" s="82" t="s">
        <v>20971</v>
      </c>
      <c r="BA689" s="82" t="s">
        <v>20971</v>
      </c>
      <c r="BB689" s="82" t="s">
        <v>20971</v>
      </c>
      <c r="BC689" s="82" t="s">
        <v>17462</v>
      </c>
      <c r="BD689" s="77">
        <v>489723814</v>
      </c>
      <c r="BE689" s="77"/>
      <c r="BF689" s="77"/>
      <c r="BG689" s="77"/>
      <c r="BH689" s="77"/>
      <c r="BI689" s="77"/>
    </row>
    <row r="690" spans="1:61" x14ac:dyDescent="0.25">
      <c r="A690" s="62" t="s">
        <v>418</v>
      </c>
      <c r="B690" s="62" t="s">
        <v>418</v>
      </c>
      <c r="C690" s="63"/>
      <c r="D690" s="64"/>
      <c r="E690" s="65"/>
      <c r="F690" s="66"/>
      <c r="G690" s="63"/>
      <c r="H690" s="67"/>
      <c r="I690" s="68"/>
      <c r="J690" s="68"/>
      <c r="K690" s="32"/>
      <c r="L690" s="75">
        <v>690</v>
      </c>
      <c r="M690" s="75"/>
      <c r="N690" s="70"/>
      <c r="O690" s="77" t="s">
        <v>179</v>
      </c>
      <c r="P690" s="79">
        <v>44966.770821759259</v>
      </c>
      <c r="Q690" s="77" t="s">
        <v>1972</v>
      </c>
      <c r="R690" s="77">
        <v>0</v>
      </c>
      <c r="S690" s="77">
        <v>0</v>
      </c>
      <c r="T690" s="77">
        <v>0</v>
      </c>
      <c r="U690" s="77">
        <v>0</v>
      </c>
      <c r="V690" s="77">
        <v>8</v>
      </c>
      <c r="W690" s="82" t="s">
        <v>5335</v>
      </c>
      <c r="X690" s="80" t="str">
        <f>HYPERLINK("https://www.freeclassificados.com/ads/aprenda-edicao-de-videos-do-zero-ao-avancado/")</f>
        <v>https://www.freeclassificados.com/ads/aprenda-edicao-de-videos-do-zero-ao-avancado/</v>
      </c>
      <c r="Y690" s="77" t="s">
        <v>7308</v>
      </c>
      <c r="Z690" s="77"/>
      <c r="AA690" s="77"/>
      <c r="AB690" s="77"/>
      <c r="AC690" s="82" t="s">
        <v>10155</v>
      </c>
      <c r="AD690" s="77" t="s">
        <v>10184</v>
      </c>
      <c r="AE690" s="80" t="str">
        <f>HYPERLINK("https://twitter.com/freeclassific/status/1623751077353910272")</f>
        <v>https://twitter.com/freeclassific/status/1623751077353910272</v>
      </c>
      <c r="AF690" s="79">
        <v>44966.770821759259</v>
      </c>
      <c r="AG690" s="85">
        <v>44966</v>
      </c>
      <c r="AH690" s="82" t="s">
        <v>10843</v>
      </c>
      <c r="AI690" s="77" t="b">
        <v>0</v>
      </c>
      <c r="AJ690" s="77"/>
      <c r="AK690" s="77"/>
      <c r="AL690" s="77"/>
      <c r="AM690" s="77"/>
      <c r="AN690" s="77"/>
      <c r="AO690" s="77"/>
      <c r="AP690" s="77"/>
      <c r="AQ690" s="77"/>
      <c r="AR690" s="77"/>
      <c r="AS690" s="77"/>
      <c r="AT690" s="77"/>
      <c r="AU690" s="77"/>
      <c r="AV690" s="80" t="str">
        <f>HYPERLINK("https://pbs.twimg.com/profile_images/1431648743728852993/tLJ7F5Lu_normal.png")</f>
        <v>https://pbs.twimg.com/profile_images/1431648743728852993/tLJ7F5Lu_normal.png</v>
      </c>
      <c r="AW690" s="82" t="s">
        <v>17463</v>
      </c>
      <c r="AX690" s="82" t="s">
        <v>17463</v>
      </c>
      <c r="AY690" s="77"/>
      <c r="AZ690" s="82" t="s">
        <v>20971</v>
      </c>
      <c r="BA690" s="82" t="s">
        <v>20971</v>
      </c>
      <c r="BB690" s="82" t="s">
        <v>20971</v>
      </c>
      <c r="BC690" s="82" t="s">
        <v>17463</v>
      </c>
      <c r="BD690" s="77">
        <v>489723814</v>
      </c>
      <c r="BE690" s="77"/>
      <c r="BF690" s="77"/>
      <c r="BG690" s="77"/>
      <c r="BH690" s="77"/>
      <c r="BI690" s="77"/>
    </row>
    <row r="691" spans="1:61" x14ac:dyDescent="0.25">
      <c r="A691" s="62" t="s">
        <v>418</v>
      </c>
      <c r="B691" s="62" t="s">
        <v>418</v>
      </c>
      <c r="C691" s="63"/>
      <c r="D691" s="64"/>
      <c r="E691" s="65"/>
      <c r="F691" s="66"/>
      <c r="G691" s="63"/>
      <c r="H691" s="67"/>
      <c r="I691" s="68"/>
      <c r="J691" s="68"/>
      <c r="K691" s="32"/>
      <c r="L691" s="75">
        <v>691</v>
      </c>
      <c r="M691" s="75"/>
      <c r="N691" s="70"/>
      <c r="O691" s="77" t="s">
        <v>179</v>
      </c>
      <c r="P691" s="79">
        <v>44966.768703703703</v>
      </c>
      <c r="Q691" s="77" t="s">
        <v>1973</v>
      </c>
      <c r="R691" s="77">
        <v>0</v>
      </c>
      <c r="S691" s="77">
        <v>0</v>
      </c>
      <c r="T691" s="77">
        <v>0</v>
      </c>
      <c r="U691" s="77">
        <v>0</v>
      </c>
      <c r="V691" s="77">
        <v>13</v>
      </c>
      <c r="W691" s="82" t="s">
        <v>5335</v>
      </c>
      <c r="X691" s="80" t="str">
        <f>HYPERLINK("https://www.freeclassificados.com/ads/curso-de-marketing-digital-e-social-media/")</f>
        <v>https://www.freeclassificados.com/ads/curso-de-marketing-digital-e-social-media/</v>
      </c>
      <c r="Y691" s="77" t="s">
        <v>7308</v>
      </c>
      <c r="Z691" s="77"/>
      <c r="AA691" s="77"/>
      <c r="AB691" s="77"/>
      <c r="AC691" s="82" t="s">
        <v>10155</v>
      </c>
      <c r="AD691" s="77" t="s">
        <v>10184</v>
      </c>
      <c r="AE691" s="80" t="str">
        <f>HYPERLINK("https://twitter.com/freeclassific/status/1623750311927074818")</f>
        <v>https://twitter.com/freeclassific/status/1623750311927074818</v>
      </c>
      <c r="AF691" s="79">
        <v>44966.768703703703</v>
      </c>
      <c r="AG691" s="85">
        <v>44966</v>
      </c>
      <c r="AH691" s="82" t="s">
        <v>10844</v>
      </c>
      <c r="AI691" s="77" t="b">
        <v>0</v>
      </c>
      <c r="AJ691" s="77"/>
      <c r="AK691" s="77"/>
      <c r="AL691" s="77"/>
      <c r="AM691" s="77"/>
      <c r="AN691" s="77"/>
      <c r="AO691" s="77"/>
      <c r="AP691" s="77"/>
      <c r="AQ691" s="77"/>
      <c r="AR691" s="77"/>
      <c r="AS691" s="77"/>
      <c r="AT691" s="77"/>
      <c r="AU691" s="77"/>
      <c r="AV691" s="80" t="str">
        <f>HYPERLINK("https://pbs.twimg.com/profile_images/1431648743728852993/tLJ7F5Lu_normal.png")</f>
        <v>https://pbs.twimg.com/profile_images/1431648743728852993/tLJ7F5Lu_normal.png</v>
      </c>
      <c r="AW691" s="82" t="s">
        <v>17464</v>
      </c>
      <c r="AX691" s="82" t="s">
        <v>17464</v>
      </c>
      <c r="AY691" s="77"/>
      <c r="AZ691" s="82" t="s">
        <v>20971</v>
      </c>
      <c r="BA691" s="82" t="s">
        <v>20971</v>
      </c>
      <c r="BB691" s="82" t="s">
        <v>20971</v>
      </c>
      <c r="BC691" s="82" t="s">
        <v>17464</v>
      </c>
      <c r="BD691" s="77">
        <v>489723814</v>
      </c>
      <c r="BE691" s="77"/>
      <c r="BF691" s="77"/>
      <c r="BG691" s="77"/>
      <c r="BH691" s="77"/>
      <c r="BI691" s="77"/>
    </row>
    <row r="692" spans="1:61" x14ac:dyDescent="0.25">
      <c r="A692" s="62" t="s">
        <v>418</v>
      </c>
      <c r="B692" s="62" t="s">
        <v>418</v>
      </c>
      <c r="C692" s="63"/>
      <c r="D692" s="64"/>
      <c r="E692" s="65"/>
      <c r="F692" s="66"/>
      <c r="G692" s="63"/>
      <c r="H692" s="67"/>
      <c r="I692" s="68"/>
      <c r="J692" s="68"/>
      <c r="K692" s="32"/>
      <c r="L692" s="75">
        <v>692</v>
      </c>
      <c r="M692" s="75"/>
      <c r="N692" s="70"/>
      <c r="O692" s="77" t="s">
        <v>179</v>
      </c>
      <c r="P692" s="79">
        <v>44966.765960648147</v>
      </c>
      <c r="Q692" s="77" t="s">
        <v>1974</v>
      </c>
      <c r="R692" s="77">
        <v>0</v>
      </c>
      <c r="S692" s="77">
        <v>0</v>
      </c>
      <c r="T692" s="77">
        <v>0</v>
      </c>
      <c r="U692" s="77">
        <v>0</v>
      </c>
      <c r="V692" s="77">
        <v>10</v>
      </c>
      <c r="W692" s="82" t="s">
        <v>5335</v>
      </c>
      <c r="X692" s="80" t="str">
        <f>HYPERLINK("https://www.freeclassificados.com/ads/aprenda-design-grafico/")</f>
        <v>https://www.freeclassificados.com/ads/aprenda-design-grafico/</v>
      </c>
      <c r="Y692" s="77" t="s">
        <v>7308</v>
      </c>
      <c r="Z692" s="77"/>
      <c r="AA692" s="77"/>
      <c r="AB692" s="77"/>
      <c r="AC692" s="82" t="s">
        <v>10155</v>
      </c>
      <c r="AD692" s="77" t="s">
        <v>10184</v>
      </c>
      <c r="AE692" s="80" t="str">
        <f>HYPERLINK("https://twitter.com/freeclassific/status/1623749318317408259")</f>
        <v>https://twitter.com/freeclassific/status/1623749318317408259</v>
      </c>
      <c r="AF692" s="79">
        <v>44966.765960648147</v>
      </c>
      <c r="AG692" s="85">
        <v>44966</v>
      </c>
      <c r="AH692" s="82" t="s">
        <v>10845</v>
      </c>
      <c r="AI692" s="77" t="b">
        <v>0</v>
      </c>
      <c r="AJ692" s="77"/>
      <c r="AK692" s="77"/>
      <c r="AL692" s="77"/>
      <c r="AM692" s="77"/>
      <c r="AN692" s="77"/>
      <c r="AO692" s="77"/>
      <c r="AP692" s="77"/>
      <c r="AQ692" s="77"/>
      <c r="AR692" s="77"/>
      <c r="AS692" s="77"/>
      <c r="AT692" s="77"/>
      <c r="AU692" s="77"/>
      <c r="AV692" s="80" t="str">
        <f>HYPERLINK("https://pbs.twimg.com/profile_images/1431648743728852993/tLJ7F5Lu_normal.png")</f>
        <v>https://pbs.twimg.com/profile_images/1431648743728852993/tLJ7F5Lu_normal.png</v>
      </c>
      <c r="AW692" s="82" t="s">
        <v>17465</v>
      </c>
      <c r="AX692" s="82" t="s">
        <v>17465</v>
      </c>
      <c r="AY692" s="77"/>
      <c r="AZ692" s="82" t="s">
        <v>20971</v>
      </c>
      <c r="BA692" s="82" t="s">
        <v>20971</v>
      </c>
      <c r="BB692" s="82" t="s">
        <v>20971</v>
      </c>
      <c r="BC692" s="82" t="s">
        <v>17465</v>
      </c>
      <c r="BD692" s="77">
        <v>489723814</v>
      </c>
      <c r="BE692" s="77"/>
      <c r="BF692" s="77"/>
      <c r="BG692" s="77"/>
      <c r="BH692" s="77"/>
      <c r="BI692" s="77"/>
    </row>
    <row r="693" spans="1:61" x14ac:dyDescent="0.25">
      <c r="A693" s="62" t="s">
        <v>418</v>
      </c>
      <c r="B693" s="62" t="s">
        <v>418</v>
      </c>
      <c r="C693" s="63"/>
      <c r="D693" s="64"/>
      <c r="E693" s="65"/>
      <c r="F693" s="66"/>
      <c r="G693" s="63"/>
      <c r="H693" s="67"/>
      <c r="I693" s="68"/>
      <c r="J693" s="68"/>
      <c r="K693" s="32"/>
      <c r="L693" s="75">
        <v>693</v>
      </c>
      <c r="M693" s="75"/>
      <c r="N693" s="70"/>
      <c r="O693" s="77" t="s">
        <v>179</v>
      </c>
      <c r="P693" s="79">
        <v>45081.818912037037</v>
      </c>
      <c r="Q693" s="77" t="s">
        <v>1975</v>
      </c>
      <c r="R693" s="77">
        <v>0</v>
      </c>
      <c r="S693" s="77">
        <v>0</v>
      </c>
      <c r="T693" s="77">
        <v>0</v>
      </c>
      <c r="U693" s="77">
        <v>0</v>
      </c>
      <c r="V693" s="77">
        <v>27</v>
      </c>
      <c r="W693" s="82" t="s">
        <v>5560</v>
      </c>
      <c r="X693" s="80" t="str">
        <f>HYPERLINK("https://www.freeclassificados.com/ads/justin-bieber-cover-shows-em-eventos-e-festas-11948594445/")</f>
        <v>https://www.freeclassificados.com/ads/justin-bieber-cover-shows-em-eventos-e-festas-11948594445/</v>
      </c>
      <c r="Y693" s="77" t="s">
        <v>7308</v>
      </c>
      <c r="Z693" s="77"/>
      <c r="AA693" s="77"/>
      <c r="AB693" s="77"/>
      <c r="AC693" s="82" t="s">
        <v>10155</v>
      </c>
      <c r="AD693" s="77" t="s">
        <v>10184</v>
      </c>
      <c r="AE693" s="80" t="str">
        <f>HYPERLINK("https://twitter.com/freeclassific/status/1665443109877202944")</f>
        <v>https://twitter.com/freeclassific/status/1665443109877202944</v>
      </c>
      <c r="AF693" s="79">
        <v>45081.818912037037</v>
      </c>
      <c r="AG693" s="85">
        <v>45081</v>
      </c>
      <c r="AH693" s="82" t="s">
        <v>10846</v>
      </c>
      <c r="AI693" s="77" t="b">
        <v>0</v>
      </c>
      <c r="AJ693" s="77"/>
      <c r="AK693" s="77"/>
      <c r="AL693" s="77"/>
      <c r="AM693" s="77"/>
      <c r="AN693" s="77"/>
      <c r="AO693" s="77"/>
      <c r="AP693" s="77"/>
      <c r="AQ693" s="77"/>
      <c r="AR693" s="77"/>
      <c r="AS693" s="77"/>
      <c r="AT693" s="77"/>
      <c r="AU693" s="77"/>
      <c r="AV693" s="80" t="str">
        <f>HYPERLINK("https://pbs.twimg.com/profile_images/1431648743728852993/tLJ7F5Lu_normal.png")</f>
        <v>https://pbs.twimg.com/profile_images/1431648743728852993/tLJ7F5Lu_normal.png</v>
      </c>
      <c r="AW693" s="82" t="s">
        <v>17466</v>
      </c>
      <c r="AX693" s="82" t="s">
        <v>17466</v>
      </c>
      <c r="AY693" s="77"/>
      <c r="AZ693" s="82" t="s">
        <v>20971</v>
      </c>
      <c r="BA693" s="82" t="s">
        <v>20971</v>
      </c>
      <c r="BB693" s="82" t="s">
        <v>20971</v>
      </c>
      <c r="BC693" s="82" t="s">
        <v>17466</v>
      </c>
      <c r="BD693" s="77">
        <v>489723814</v>
      </c>
      <c r="BE693" s="77"/>
      <c r="BF693" s="77"/>
      <c r="BG693" s="77"/>
      <c r="BH693" s="77"/>
      <c r="BI693" s="77"/>
    </row>
    <row r="694" spans="1:61" x14ac:dyDescent="0.25">
      <c r="A694" s="62" t="s">
        <v>418</v>
      </c>
      <c r="B694" s="62" t="s">
        <v>418</v>
      </c>
      <c r="C694" s="63"/>
      <c r="D694" s="64"/>
      <c r="E694" s="65"/>
      <c r="F694" s="66"/>
      <c r="G694" s="63"/>
      <c r="H694" s="67"/>
      <c r="I694" s="68"/>
      <c r="J694" s="68"/>
      <c r="K694" s="32"/>
      <c r="L694" s="75">
        <v>694</v>
      </c>
      <c r="M694" s="75"/>
      <c r="N694" s="70"/>
      <c r="O694" s="77" t="s">
        <v>179</v>
      </c>
      <c r="P694" s="79">
        <v>45081.686238425929</v>
      </c>
      <c r="Q694" s="77" t="s">
        <v>1976</v>
      </c>
      <c r="R694" s="77">
        <v>0</v>
      </c>
      <c r="S694" s="77">
        <v>0</v>
      </c>
      <c r="T694" s="77">
        <v>0</v>
      </c>
      <c r="U694" s="77">
        <v>0</v>
      </c>
      <c r="V694" s="77">
        <v>19</v>
      </c>
      <c r="W694" s="82" t="s">
        <v>5560</v>
      </c>
      <c r="X694" s="80" t="str">
        <f>HYPERLINK("https://www.freeclassificados.com/ads/jovens-titas-show-cover-animacao-de-festas-11948594445/")</f>
        <v>https://www.freeclassificados.com/ads/jovens-titas-show-cover-animacao-de-festas-11948594445/</v>
      </c>
      <c r="Y694" s="77" t="s">
        <v>7308</v>
      </c>
      <c r="Z694" s="77"/>
      <c r="AA694" s="77"/>
      <c r="AB694" s="77"/>
      <c r="AC694" s="82" t="s">
        <v>10155</v>
      </c>
      <c r="AD694" s="77" t="s">
        <v>10184</v>
      </c>
      <c r="AE694" s="80" t="str">
        <f>HYPERLINK("https://twitter.com/freeclassific/status/1665395028905332736")</f>
        <v>https://twitter.com/freeclassific/status/1665395028905332736</v>
      </c>
      <c r="AF694" s="79">
        <v>45081.686238425929</v>
      </c>
      <c r="AG694" s="85">
        <v>45081</v>
      </c>
      <c r="AH694" s="82" t="s">
        <v>10847</v>
      </c>
      <c r="AI694" s="77" t="b">
        <v>0</v>
      </c>
      <c r="AJ694" s="77"/>
      <c r="AK694" s="77"/>
      <c r="AL694" s="77"/>
      <c r="AM694" s="77"/>
      <c r="AN694" s="77"/>
      <c r="AO694" s="77"/>
      <c r="AP694" s="77"/>
      <c r="AQ694" s="77"/>
      <c r="AR694" s="77"/>
      <c r="AS694" s="77"/>
      <c r="AT694" s="77"/>
      <c r="AU694" s="77"/>
      <c r="AV694" s="80" t="str">
        <f>HYPERLINK("https://pbs.twimg.com/profile_images/1431648743728852993/tLJ7F5Lu_normal.png")</f>
        <v>https://pbs.twimg.com/profile_images/1431648743728852993/tLJ7F5Lu_normal.png</v>
      </c>
      <c r="AW694" s="82" t="s">
        <v>17467</v>
      </c>
      <c r="AX694" s="82" t="s">
        <v>17467</v>
      </c>
      <c r="AY694" s="77"/>
      <c r="AZ694" s="82" t="s">
        <v>20971</v>
      </c>
      <c r="BA694" s="82" t="s">
        <v>20971</v>
      </c>
      <c r="BB694" s="82" t="s">
        <v>20971</v>
      </c>
      <c r="BC694" s="82" t="s">
        <v>17467</v>
      </c>
      <c r="BD694" s="77">
        <v>489723814</v>
      </c>
      <c r="BE694" s="77"/>
      <c r="BF694" s="77"/>
      <c r="BG694" s="77"/>
      <c r="BH694" s="77"/>
      <c r="BI694" s="77"/>
    </row>
    <row r="695" spans="1:61" x14ac:dyDescent="0.25">
      <c r="A695" s="62" t="s">
        <v>418</v>
      </c>
      <c r="B695" s="62" t="s">
        <v>418</v>
      </c>
      <c r="C695" s="63"/>
      <c r="D695" s="64"/>
      <c r="E695" s="65"/>
      <c r="F695" s="66"/>
      <c r="G695" s="63"/>
      <c r="H695" s="67"/>
      <c r="I695" s="68"/>
      <c r="J695" s="68"/>
      <c r="K695" s="32"/>
      <c r="L695" s="75">
        <v>695</v>
      </c>
      <c r="M695" s="75"/>
      <c r="N695" s="70"/>
      <c r="O695" s="77" t="s">
        <v>179</v>
      </c>
      <c r="P695" s="79">
        <v>45080.955000000002</v>
      </c>
      <c r="Q695" s="77" t="s">
        <v>1977</v>
      </c>
      <c r="R695" s="77">
        <v>0</v>
      </c>
      <c r="S695" s="77">
        <v>0</v>
      </c>
      <c r="T695" s="77">
        <v>0</v>
      </c>
      <c r="U695" s="77">
        <v>0</v>
      </c>
      <c r="V695" s="77">
        <v>19</v>
      </c>
      <c r="W695" s="82" t="s">
        <v>5560</v>
      </c>
      <c r="X695" s="80" t="str">
        <f>HYPERLINK("https://www.freeclassificados.com/ads/homem-aranha-alice-no-pais-das-maravilhas-princesas-11948594445/")</f>
        <v>https://www.freeclassificados.com/ads/homem-aranha-alice-no-pais-das-maravilhas-princesas-11948594445/</v>
      </c>
      <c r="Y695" s="77" t="s">
        <v>7308</v>
      </c>
      <c r="Z695" s="77"/>
      <c r="AA695" s="77"/>
      <c r="AB695" s="77"/>
      <c r="AC695" s="82" t="s">
        <v>10155</v>
      </c>
      <c r="AD695" s="77" t="s">
        <v>10184</v>
      </c>
      <c r="AE695" s="80" t="str">
        <f>HYPERLINK("https://twitter.com/freeclassific/status/1665130039418167298")</f>
        <v>https://twitter.com/freeclassific/status/1665130039418167298</v>
      </c>
      <c r="AF695" s="79">
        <v>45080.955000000002</v>
      </c>
      <c r="AG695" s="85">
        <v>45080</v>
      </c>
      <c r="AH695" s="82" t="s">
        <v>10848</v>
      </c>
      <c r="AI695" s="77" t="b">
        <v>0</v>
      </c>
      <c r="AJ695" s="77"/>
      <c r="AK695" s="77"/>
      <c r="AL695" s="77"/>
      <c r="AM695" s="77"/>
      <c r="AN695" s="77"/>
      <c r="AO695" s="77"/>
      <c r="AP695" s="77"/>
      <c r="AQ695" s="77"/>
      <c r="AR695" s="77"/>
      <c r="AS695" s="77"/>
      <c r="AT695" s="77"/>
      <c r="AU695" s="77"/>
      <c r="AV695" s="80" t="str">
        <f>HYPERLINK("https://pbs.twimg.com/profile_images/1431648743728852993/tLJ7F5Lu_normal.png")</f>
        <v>https://pbs.twimg.com/profile_images/1431648743728852993/tLJ7F5Lu_normal.png</v>
      </c>
      <c r="AW695" s="82" t="s">
        <v>17468</v>
      </c>
      <c r="AX695" s="82" t="s">
        <v>17468</v>
      </c>
      <c r="AY695" s="77"/>
      <c r="AZ695" s="82" t="s">
        <v>20971</v>
      </c>
      <c r="BA695" s="82" t="s">
        <v>20971</v>
      </c>
      <c r="BB695" s="82" t="s">
        <v>20971</v>
      </c>
      <c r="BC695" s="82" t="s">
        <v>17468</v>
      </c>
      <c r="BD695" s="77">
        <v>489723814</v>
      </c>
      <c r="BE695" s="77"/>
      <c r="BF695" s="77"/>
      <c r="BG695" s="77"/>
      <c r="BH695" s="77"/>
      <c r="BI695" s="77"/>
    </row>
    <row r="696" spans="1:61" x14ac:dyDescent="0.25">
      <c r="A696" s="62" t="s">
        <v>418</v>
      </c>
      <c r="B696" s="62" t="s">
        <v>418</v>
      </c>
      <c r="C696" s="63"/>
      <c r="D696" s="64"/>
      <c r="E696" s="65"/>
      <c r="F696" s="66"/>
      <c r="G696" s="63"/>
      <c r="H696" s="67"/>
      <c r="I696" s="68"/>
      <c r="J696" s="68"/>
      <c r="K696" s="32"/>
      <c r="L696" s="75">
        <v>696</v>
      </c>
      <c r="M696" s="75"/>
      <c r="N696" s="70"/>
      <c r="O696" s="77" t="s">
        <v>179</v>
      </c>
      <c r="P696" s="79">
        <v>45080.84002314815</v>
      </c>
      <c r="Q696" s="77" t="s">
        <v>1978</v>
      </c>
      <c r="R696" s="77">
        <v>0</v>
      </c>
      <c r="S696" s="77">
        <v>0</v>
      </c>
      <c r="T696" s="77">
        <v>0</v>
      </c>
      <c r="U696" s="77">
        <v>0</v>
      </c>
      <c r="V696" s="77">
        <v>11</v>
      </c>
      <c r="W696" s="82" t="s">
        <v>5560</v>
      </c>
      <c r="X696" s="80" t="str">
        <f>HYPERLINK("https://www.freeclassificados.com/ads/homem-aranha-animacao-de-festas-e-eventos-infantil-11948594445/")</f>
        <v>https://www.freeclassificados.com/ads/homem-aranha-animacao-de-festas-e-eventos-infantil-11948594445/</v>
      </c>
      <c r="Y696" s="77" t="s">
        <v>7308</v>
      </c>
      <c r="Z696" s="77"/>
      <c r="AA696" s="77"/>
      <c r="AB696" s="77"/>
      <c r="AC696" s="82" t="s">
        <v>10155</v>
      </c>
      <c r="AD696" s="77" t="s">
        <v>10184</v>
      </c>
      <c r="AE696" s="80" t="str">
        <f>HYPERLINK("https://twitter.com/freeclassific/status/1665088371243491328")</f>
        <v>https://twitter.com/freeclassific/status/1665088371243491328</v>
      </c>
      <c r="AF696" s="79">
        <v>45080.84002314815</v>
      </c>
      <c r="AG696" s="85">
        <v>45080</v>
      </c>
      <c r="AH696" s="82" t="s">
        <v>10849</v>
      </c>
      <c r="AI696" s="77" t="b">
        <v>0</v>
      </c>
      <c r="AJ696" s="77"/>
      <c r="AK696" s="77"/>
      <c r="AL696" s="77"/>
      <c r="AM696" s="77"/>
      <c r="AN696" s="77"/>
      <c r="AO696" s="77"/>
      <c r="AP696" s="77"/>
      <c r="AQ696" s="77"/>
      <c r="AR696" s="77"/>
      <c r="AS696" s="77"/>
      <c r="AT696" s="77"/>
      <c r="AU696" s="77"/>
      <c r="AV696" s="80" t="str">
        <f>HYPERLINK("https://pbs.twimg.com/profile_images/1431648743728852993/tLJ7F5Lu_normal.png")</f>
        <v>https://pbs.twimg.com/profile_images/1431648743728852993/tLJ7F5Lu_normal.png</v>
      </c>
      <c r="AW696" s="82" t="s">
        <v>17469</v>
      </c>
      <c r="AX696" s="82" t="s">
        <v>17469</v>
      </c>
      <c r="AY696" s="77"/>
      <c r="AZ696" s="82" t="s">
        <v>20971</v>
      </c>
      <c r="BA696" s="82" t="s">
        <v>20971</v>
      </c>
      <c r="BB696" s="82" t="s">
        <v>20971</v>
      </c>
      <c r="BC696" s="82" t="s">
        <v>17469</v>
      </c>
      <c r="BD696" s="77">
        <v>489723814</v>
      </c>
      <c r="BE696" s="77"/>
      <c r="BF696" s="77"/>
      <c r="BG696" s="77"/>
      <c r="BH696" s="77"/>
      <c r="BI696" s="77"/>
    </row>
    <row r="697" spans="1:61" x14ac:dyDescent="0.25">
      <c r="A697" s="62" t="s">
        <v>418</v>
      </c>
      <c r="B697" s="62" t="s">
        <v>418</v>
      </c>
      <c r="C697" s="63"/>
      <c r="D697" s="64"/>
      <c r="E697" s="65"/>
      <c r="F697" s="66"/>
      <c r="G697" s="63"/>
      <c r="H697" s="67"/>
      <c r="I697" s="68"/>
      <c r="J697" s="68"/>
      <c r="K697" s="32"/>
      <c r="L697" s="75">
        <v>697</v>
      </c>
      <c r="M697" s="75"/>
      <c r="N697" s="70"/>
      <c r="O697" s="77" t="s">
        <v>179</v>
      </c>
      <c r="P697" s="79">
        <v>45080.606122685182</v>
      </c>
      <c r="Q697" s="77" t="s">
        <v>1979</v>
      </c>
      <c r="R697" s="77">
        <v>0</v>
      </c>
      <c r="S697" s="77">
        <v>0</v>
      </c>
      <c r="T697" s="77">
        <v>0</v>
      </c>
      <c r="U697" s="77">
        <v>0</v>
      </c>
      <c r="V697" s="77">
        <v>10</v>
      </c>
      <c r="W697" s="82" t="s">
        <v>5560</v>
      </c>
      <c r="X697" s="80" t="str">
        <f>HYPERLINK("https://www.freeclassificados.com/ads/personagens-diversos-para-animar-seu-evento-11948594445/")</f>
        <v>https://www.freeclassificados.com/ads/personagens-diversos-para-animar-seu-evento-11948594445/</v>
      </c>
      <c r="Y697" s="77" t="s">
        <v>7308</v>
      </c>
      <c r="Z697" s="77"/>
      <c r="AA697" s="77"/>
      <c r="AB697" s="77"/>
      <c r="AC697" s="82" t="s">
        <v>10155</v>
      </c>
      <c r="AD697" s="77" t="s">
        <v>10184</v>
      </c>
      <c r="AE697" s="80" t="str">
        <f>HYPERLINK("https://twitter.com/freeclassific/status/1665003608080011264")</f>
        <v>https://twitter.com/freeclassific/status/1665003608080011264</v>
      </c>
      <c r="AF697" s="79">
        <v>45080.606122685182</v>
      </c>
      <c r="AG697" s="85">
        <v>45080</v>
      </c>
      <c r="AH697" s="82" t="s">
        <v>10850</v>
      </c>
      <c r="AI697" s="77" t="b">
        <v>0</v>
      </c>
      <c r="AJ697" s="77"/>
      <c r="AK697" s="77"/>
      <c r="AL697" s="77"/>
      <c r="AM697" s="77"/>
      <c r="AN697" s="77"/>
      <c r="AO697" s="77"/>
      <c r="AP697" s="77"/>
      <c r="AQ697" s="77"/>
      <c r="AR697" s="77"/>
      <c r="AS697" s="77"/>
      <c r="AT697" s="77"/>
      <c r="AU697" s="77"/>
      <c r="AV697" s="80" t="str">
        <f>HYPERLINK("https://pbs.twimg.com/profile_images/1431648743728852993/tLJ7F5Lu_normal.png")</f>
        <v>https://pbs.twimg.com/profile_images/1431648743728852993/tLJ7F5Lu_normal.png</v>
      </c>
      <c r="AW697" s="82" t="s">
        <v>17470</v>
      </c>
      <c r="AX697" s="82" t="s">
        <v>17470</v>
      </c>
      <c r="AY697" s="77"/>
      <c r="AZ697" s="82" t="s">
        <v>20971</v>
      </c>
      <c r="BA697" s="82" t="s">
        <v>20971</v>
      </c>
      <c r="BB697" s="82" t="s">
        <v>20971</v>
      </c>
      <c r="BC697" s="82" t="s">
        <v>17470</v>
      </c>
      <c r="BD697" s="77">
        <v>489723814</v>
      </c>
      <c r="BE697" s="77"/>
      <c r="BF697" s="77"/>
      <c r="BG697" s="77"/>
      <c r="BH697" s="77"/>
      <c r="BI697" s="77"/>
    </row>
    <row r="698" spans="1:61" x14ac:dyDescent="0.25">
      <c r="A698" s="62" t="s">
        <v>418</v>
      </c>
      <c r="B698" s="62" t="s">
        <v>418</v>
      </c>
      <c r="C698" s="63"/>
      <c r="D698" s="64"/>
      <c r="E698" s="65"/>
      <c r="F698" s="66"/>
      <c r="G698" s="63"/>
      <c r="H698" s="67"/>
      <c r="I698" s="68"/>
      <c r="J698" s="68"/>
      <c r="K698" s="32"/>
      <c r="L698" s="75">
        <v>698</v>
      </c>
      <c r="M698" s="75"/>
      <c r="N698" s="70"/>
      <c r="O698" s="77" t="s">
        <v>179</v>
      </c>
      <c r="P698" s="79">
        <v>45080.061238425929</v>
      </c>
      <c r="Q698" s="77" t="s">
        <v>1980</v>
      </c>
      <c r="R698" s="77">
        <v>0</v>
      </c>
      <c r="S698" s="77">
        <v>0</v>
      </c>
      <c r="T698" s="77">
        <v>0</v>
      </c>
      <c r="U698" s="77">
        <v>0</v>
      </c>
      <c r="V698" s="77">
        <v>18</v>
      </c>
      <c r="W698" s="82" t="s">
        <v>5560</v>
      </c>
      <c r="X698" s="80" t="str">
        <f>HYPERLINK("https://www.freeclassificados.com/ads/quer-uma-festa-animada-temos-shows-personagens-artistas-dancarinos-bandas/")</f>
        <v>https://www.freeclassificados.com/ads/quer-uma-festa-animada-temos-shows-personagens-artistas-dancarinos-bandas/</v>
      </c>
      <c r="Y698" s="77" t="s">
        <v>7308</v>
      </c>
      <c r="Z698" s="77"/>
      <c r="AA698" s="77"/>
      <c r="AB698" s="77"/>
      <c r="AC698" s="82" t="s">
        <v>10155</v>
      </c>
      <c r="AD698" s="77" t="s">
        <v>10184</v>
      </c>
      <c r="AE698" s="80" t="str">
        <f>HYPERLINK("https://twitter.com/freeclassific/status/1664806150452441089")</f>
        <v>https://twitter.com/freeclassific/status/1664806150452441089</v>
      </c>
      <c r="AF698" s="79">
        <v>45080.061238425929</v>
      </c>
      <c r="AG698" s="85">
        <v>45080</v>
      </c>
      <c r="AH698" s="82" t="s">
        <v>10851</v>
      </c>
      <c r="AI698" s="77" t="b">
        <v>0</v>
      </c>
      <c r="AJ698" s="77"/>
      <c r="AK698" s="77"/>
      <c r="AL698" s="77"/>
      <c r="AM698" s="77"/>
      <c r="AN698" s="77"/>
      <c r="AO698" s="77"/>
      <c r="AP698" s="77"/>
      <c r="AQ698" s="77"/>
      <c r="AR698" s="77"/>
      <c r="AS698" s="77"/>
      <c r="AT698" s="77"/>
      <c r="AU698" s="77"/>
      <c r="AV698" s="80" t="str">
        <f>HYPERLINK("https://pbs.twimg.com/profile_images/1431648743728852993/tLJ7F5Lu_normal.png")</f>
        <v>https://pbs.twimg.com/profile_images/1431648743728852993/tLJ7F5Lu_normal.png</v>
      </c>
      <c r="AW698" s="82" t="s">
        <v>17471</v>
      </c>
      <c r="AX698" s="82" t="s">
        <v>17471</v>
      </c>
      <c r="AY698" s="77"/>
      <c r="AZ698" s="82" t="s">
        <v>20971</v>
      </c>
      <c r="BA698" s="82" t="s">
        <v>20971</v>
      </c>
      <c r="BB698" s="82" t="s">
        <v>20971</v>
      </c>
      <c r="BC698" s="82" t="s">
        <v>17471</v>
      </c>
      <c r="BD698" s="77">
        <v>489723814</v>
      </c>
      <c r="BE698" s="77"/>
      <c r="BF698" s="77"/>
      <c r="BG698" s="77"/>
      <c r="BH698" s="77"/>
      <c r="BI698" s="77"/>
    </row>
    <row r="699" spans="1:61" x14ac:dyDescent="0.25">
      <c r="A699" s="62" t="s">
        <v>418</v>
      </c>
      <c r="B699" s="62" t="s">
        <v>418</v>
      </c>
      <c r="C699" s="63"/>
      <c r="D699" s="64"/>
      <c r="E699" s="65"/>
      <c r="F699" s="66"/>
      <c r="G699" s="63"/>
      <c r="H699" s="67"/>
      <c r="I699" s="68"/>
      <c r="J699" s="68"/>
      <c r="K699" s="32"/>
      <c r="L699" s="75">
        <v>699</v>
      </c>
      <c r="M699" s="75"/>
      <c r="N699" s="70"/>
      <c r="O699" s="77" t="s">
        <v>179</v>
      </c>
      <c r="P699" s="79">
        <v>45079.992164351854</v>
      </c>
      <c r="Q699" s="77" t="s">
        <v>1981</v>
      </c>
      <c r="R699" s="77">
        <v>0</v>
      </c>
      <c r="S699" s="77">
        <v>0</v>
      </c>
      <c r="T699" s="77">
        <v>0</v>
      </c>
      <c r="U699" s="77">
        <v>0</v>
      </c>
      <c r="V699" s="77">
        <v>15</v>
      </c>
      <c r="W699" s="82" t="s">
        <v>5560</v>
      </c>
      <c r="X699" s="80" t="str">
        <f>HYPERLINK("https://www.freeclassificados.com/ads/princesas-da-disney-aladdin-e-jasmine-11948594445/")</f>
        <v>https://www.freeclassificados.com/ads/princesas-da-disney-aladdin-e-jasmine-11948594445/</v>
      </c>
      <c r="Y699" s="77" t="s">
        <v>7308</v>
      </c>
      <c r="Z699" s="77"/>
      <c r="AA699" s="77"/>
      <c r="AB699" s="77"/>
      <c r="AC699" s="82" t="s">
        <v>10155</v>
      </c>
      <c r="AD699" s="77" t="s">
        <v>10185</v>
      </c>
      <c r="AE699" s="80" t="str">
        <f>HYPERLINK("https://twitter.com/freeclassific/status/1664781119928307712")</f>
        <v>https://twitter.com/freeclassific/status/1664781119928307712</v>
      </c>
      <c r="AF699" s="79">
        <v>45079.992164351854</v>
      </c>
      <c r="AG699" s="85">
        <v>45079</v>
      </c>
      <c r="AH699" s="82" t="s">
        <v>10852</v>
      </c>
      <c r="AI699" s="77" t="b">
        <v>0</v>
      </c>
      <c r="AJ699" s="77"/>
      <c r="AK699" s="77"/>
      <c r="AL699" s="77"/>
      <c r="AM699" s="77"/>
      <c r="AN699" s="77"/>
      <c r="AO699" s="77"/>
      <c r="AP699" s="77"/>
      <c r="AQ699" s="77"/>
      <c r="AR699" s="77"/>
      <c r="AS699" s="77"/>
      <c r="AT699" s="77"/>
      <c r="AU699" s="77"/>
      <c r="AV699" s="80" t="str">
        <f>HYPERLINK("https://pbs.twimg.com/profile_images/1431648743728852993/tLJ7F5Lu_normal.png")</f>
        <v>https://pbs.twimg.com/profile_images/1431648743728852993/tLJ7F5Lu_normal.png</v>
      </c>
      <c r="AW699" s="82" t="s">
        <v>17472</v>
      </c>
      <c r="AX699" s="82" t="s">
        <v>17472</v>
      </c>
      <c r="AY699" s="77"/>
      <c r="AZ699" s="82" t="s">
        <v>20971</v>
      </c>
      <c r="BA699" s="82" t="s">
        <v>20971</v>
      </c>
      <c r="BB699" s="82" t="s">
        <v>20971</v>
      </c>
      <c r="BC699" s="82" t="s">
        <v>17472</v>
      </c>
      <c r="BD699" s="77">
        <v>489723814</v>
      </c>
      <c r="BE699" s="77"/>
      <c r="BF699" s="77"/>
      <c r="BG699" s="77"/>
      <c r="BH699" s="77"/>
      <c r="BI699" s="77"/>
    </row>
    <row r="700" spans="1:61" x14ac:dyDescent="0.25">
      <c r="A700" s="62" t="s">
        <v>418</v>
      </c>
      <c r="B700" s="62" t="s">
        <v>418</v>
      </c>
      <c r="C700" s="63"/>
      <c r="D700" s="64"/>
      <c r="E700" s="65"/>
      <c r="F700" s="66"/>
      <c r="G700" s="63"/>
      <c r="H700" s="67"/>
      <c r="I700" s="68"/>
      <c r="J700" s="68"/>
      <c r="K700" s="32"/>
      <c r="L700" s="75">
        <v>700</v>
      </c>
      <c r="M700" s="75"/>
      <c r="N700" s="70"/>
      <c r="O700" s="77" t="s">
        <v>179</v>
      </c>
      <c r="P700" s="79">
        <v>45062.785555555558</v>
      </c>
      <c r="Q700" s="77" t="s">
        <v>1982</v>
      </c>
      <c r="R700" s="77">
        <v>0</v>
      </c>
      <c r="S700" s="77">
        <v>1</v>
      </c>
      <c r="T700" s="77">
        <v>0</v>
      </c>
      <c r="U700" s="77">
        <v>0</v>
      </c>
      <c r="V700" s="77">
        <v>22</v>
      </c>
      <c r="W700" s="82" t="s">
        <v>5560</v>
      </c>
      <c r="X700" s="80" t="str">
        <f>HYPERLINK("https://www.freeclassificados.com/ads/produtos-personalizados-rio-embalagens-rj/")</f>
        <v>https://www.freeclassificados.com/ads/produtos-personalizados-rio-embalagens-rj/</v>
      </c>
      <c r="Y700" s="77" t="s">
        <v>7308</v>
      </c>
      <c r="Z700" s="77"/>
      <c r="AA700" s="77"/>
      <c r="AB700" s="77"/>
      <c r="AC700" s="82" t="s">
        <v>10155</v>
      </c>
      <c r="AD700" s="77" t="s">
        <v>10184</v>
      </c>
      <c r="AE700" s="80" t="str">
        <f>HYPERLINK("https://twitter.com/freeclassific/status/1658545652144676864")</f>
        <v>https://twitter.com/freeclassific/status/1658545652144676864</v>
      </c>
      <c r="AF700" s="79">
        <v>45062.785555555558</v>
      </c>
      <c r="AG700" s="85">
        <v>45062</v>
      </c>
      <c r="AH700" s="82" t="s">
        <v>10853</v>
      </c>
      <c r="AI700" s="77" t="b">
        <v>0</v>
      </c>
      <c r="AJ700" s="77"/>
      <c r="AK700" s="77"/>
      <c r="AL700" s="77"/>
      <c r="AM700" s="77"/>
      <c r="AN700" s="77"/>
      <c r="AO700" s="77"/>
      <c r="AP700" s="77"/>
      <c r="AQ700" s="77"/>
      <c r="AR700" s="77"/>
      <c r="AS700" s="77"/>
      <c r="AT700" s="77"/>
      <c r="AU700" s="77"/>
      <c r="AV700" s="80" t="str">
        <f>HYPERLINK("https://pbs.twimg.com/profile_images/1431648743728852993/tLJ7F5Lu_normal.png")</f>
        <v>https://pbs.twimg.com/profile_images/1431648743728852993/tLJ7F5Lu_normal.png</v>
      </c>
      <c r="AW700" s="82" t="s">
        <v>17473</v>
      </c>
      <c r="AX700" s="82" t="s">
        <v>17473</v>
      </c>
      <c r="AY700" s="77"/>
      <c r="AZ700" s="82" t="s">
        <v>20971</v>
      </c>
      <c r="BA700" s="82" t="s">
        <v>20971</v>
      </c>
      <c r="BB700" s="82" t="s">
        <v>20971</v>
      </c>
      <c r="BC700" s="82" t="s">
        <v>17473</v>
      </c>
      <c r="BD700" s="77">
        <v>489723814</v>
      </c>
      <c r="BE700" s="77"/>
      <c r="BF700" s="77"/>
      <c r="BG700" s="77"/>
      <c r="BH700" s="77"/>
      <c r="BI700" s="77"/>
    </row>
    <row r="701" spans="1:61" x14ac:dyDescent="0.25">
      <c r="A701" s="62" t="s">
        <v>418</v>
      </c>
      <c r="B701" s="62" t="s">
        <v>418</v>
      </c>
      <c r="C701" s="63"/>
      <c r="D701" s="64"/>
      <c r="E701" s="65"/>
      <c r="F701" s="66"/>
      <c r="G701" s="63"/>
      <c r="H701" s="67"/>
      <c r="I701" s="68"/>
      <c r="J701" s="68"/>
      <c r="K701" s="32"/>
      <c r="L701" s="75">
        <v>701</v>
      </c>
      <c r="M701" s="75"/>
      <c r="N701" s="70"/>
      <c r="O701" s="77" t="s">
        <v>179</v>
      </c>
      <c r="P701" s="79">
        <v>45062.546967592592</v>
      </c>
      <c r="Q701" s="77" t="s">
        <v>1983</v>
      </c>
      <c r="R701" s="77">
        <v>0</v>
      </c>
      <c r="S701" s="77">
        <v>0</v>
      </c>
      <c r="T701" s="77">
        <v>0</v>
      </c>
      <c r="U701" s="77">
        <v>0</v>
      </c>
      <c r="V701" s="77">
        <v>19</v>
      </c>
      <c r="W701" s="82" t="s">
        <v>5560</v>
      </c>
      <c r="X701" s="80" t="str">
        <f>HYPERLINK("https://www.freeclassificados.com/ads/%f0%9f%92%a6-manutencao-profissional-para-lavadoras-de-roupas/")</f>
        <v>https://www.freeclassificados.com/ads/%f0%9f%92%a6-manutencao-profissional-para-lavadoras-de-roupas/</v>
      </c>
      <c r="Y701" s="77" t="s">
        <v>7308</v>
      </c>
      <c r="Z701" s="77"/>
      <c r="AA701" s="77"/>
      <c r="AB701" s="77"/>
      <c r="AC701" s="82" t="s">
        <v>10155</v>
      </c>
      <c r="AD701" s="77" t="s">
        <v>10184</v>
      </c>
      <c r="AE701" s="80" t="str">
        <f>HYPERLINK("https://twitter.com/freeclassific/status/1658459189713436672")</f>
        <v>https://twitter.com/freeclassific/status/1658459189713436672</v>
      </c>
      <c r="AF701" s="79">
        <v>45062.546967592592</v>
      </c>
      <c r="AG701" s="85">
        <v>45062</v>
      </c>
      <c r="AH701" s="82" t="s">
        <v>10854</v>
      </c>
      <c r="AI701" s="77" t="b">
        <v>0</v>
      </c>
      <c r="AJ701" s="77"/>
      <c r="AK701" s="77"/>
      <c r="AL701" s="77"/>
      <c r="AM701" s="77"/>
      <c r="AN701" s="77"/>
      <c r="AO701" s="77"/>
      <c r="AP701" s="77"/>
      <c r="AQ701" s="77"/>
      <c r="AR701" s="77"/>
      <c r="AS701" s="77"/>
      <c r="AT701" s="77"/>
      <c r="AU701" s="77"/>
      <c r="AV701" s="80" t="str">
        <f>HYPERLINK("https://pbs.twimg.com/profile_images/1431648743728852993/tLJ7F5Lu_normal.png")</f>
        <v>https://pbs.twimg.com/profile_images/1431648743728852993/tLJ7F5Lu_normal.png</v>
      </c>
      <c r="AW701" s="82" t="s">
        <v>17474</v>
      </c>
      <c r="AX701" s="82" t="s">
        <v>17474</v>
      </c>
      <c r="AY701" s="77"/>
      <c r="AZ701" s="82" t="s">
        <v>20971</v>
      </c>
      <c r="BA701" s="82" t="s">
        <v>20971</v>
      </c>
      <c r="BB701" s="82" t="s">
        <v>20971</v>
      </c>
      <c r="BC701" s="82" t="s">
        <v>17474</v>
      </c>
      <c r="BD701" s="77">
        <v>489723814</v>
      </c>
      <c r="BE701" s="77"/>
      <c r="BF701" s="77"/>
      <c r="BG701" s="77"/>
      <c r="BH701" s="77"/>
      <c r="BI701" s="77"/>
    </row>
    <row r="702" spans="1:61" x14ac:dyDescent="0.25">
      <c r="A702" s="62" t="s">
        <v>418</v>
      </c>
      <c r="B702" s="62" t="s">
        <v>418</v>
      </c>
      <c r="C702" s="63"/>
      <c r="D702" s="64"/>
      <c r="E702" s="65"/>
      <c r="F702" s="66"/>
      <c r="G702" s="63"/>
      <c r="H702" s="67"/>
      <c r="I702" s="68"/>
      <c r="J702" s="68"/>
      <c r="K702" s="32"/>
      <c r="L702" s="75">
        <v>702</v>
      </c>
      <c r="M702" s="75"/>
      <c r="N702" s="70"/>
      <c r="O702" s="77" t="s">
        <v>179</v>
      </c>
      <c r="P702" s="79">
        <v>45062.469907407409</v>
      </c>
      <c r="Q702" s="77" t="s">
        <v>1984</v>
      </c>
      <c r="R702" s="77">
        <v>0</v>
      </c>
      <c r="S702" s="77">
        <v>0</v>
      </c>
      <c r="T702" s="77">
        <v>0</v>
      </c>
      <c r="U702" s="77">
        <v>0</v>
      </c>
      <c r="V702" s="77">
        <v>16</v>
      </c>
      <c r="W702" s="82" t="s">
        <v>5560</v>
      </c>
      <c r="X702" s="80" t="str">
        <f>HYPERLINK("https://www.freeclassificados.com/ads/%f0%9f%94%a7reparos-profissionais-para-secadoras-de-roupas/")</f>
        <v>https://www.freeclassificados.com/ads/%f0%9f%94%a7reparos-profissionais-para-secadoras-de-roupas/</v>
      </c>
      <c r="Y702" s="77" t="s">
        <v>7308</v>
      </c>
      <c r="Z702" s="77"/>
      <c r="AA702" s="77"/>
      <c r="AB702" s="77"/>
      <c r="AC702" s="82" t="s">
        <v>10155</v>
      </c>
      <c r="AD702" s="77" t="s">
        <v>10184</v>
      </c>
      <c r="AE702" s="80" t="str">
        <f>HYPERLINK("https://twitter.com/freeclassific/status/1658431265941655552")</f>
        <v>https://twitter.com/freeclassific/status/1658431265941655552</v>
      </c>
      <c r="AF702" s="79">
        <v>45062.469907407409</v>
      </c>
      <c r="AG702" s="85">
        <v>45062</v>
      </c>
      <c r="AH702" s="82" t="s">
        <v>10855</v>
      </c>
      <c r="AI702" s="77" t="b">
        <v>0</v>
      </c>
      <c r="AJ702" s="77"/>
      <c r="AK702" s="77"/>
      <c r="AL702" s="77"/>
      <c r="AM702" s="77"/>
      <c r="AN702" s="77"/>
      <c r="AO702" s="77"/>
      <c r="AP702" s="77"/>
      <c r="AQ702" s="77"/>
      <c r="AR702" s="77"/>
      <c r="AS702" s="77"/>
      <c r="AT702" s="77"/>
      <c r="AU702" s="77"/>
      <c r="AV702" s="80" t="str">
        <f>HYPERLINK("https://pbs.twimg.com/profile_images/1431648743728852993/tLJ7F5Lu_normal.png")</f>
        <v>https://pbs.twimg.com/profile_images/1431648743728852993/tLJ7F5Lu_normal.png</v>
      </c>
      <c r="AW702" s="82" t="s">
        <v>17475</v>
      </c>
      <c r="AX702" s="82" t="s">
        <v>17475</v>
      </c>
      <c r="AY702" s="77"/>
      <c r="AZ702" s="82" t="s">
        <v>20971</v>
      </c>
      <c r="BA702" s="82" t="s">
        <v>20971</v>
      </c>
      <c r="BB702" s="82" t="s">
        <v>20971</v>
      </c>
      <c r="BC702" s="82" t="s">
        <v>17475</v>
      </c>
      <c r="BD702" s="77">
        <v>489723814</v>
      </c>
      <c r="BE702" s="77"/>
      <c r="BF702" s="77"/>
      <c r="BG702" s="77"/>
      <c r="BH702" s="77"/>
      <c r="BI702" s="77"/>
    </row>
    <row r="703" spans="1:61" x14ac:dyDescent="0.25">
      <c r="A703" s="62" t="s">
        <v>418</v>
      </c>
      <c r="B703" s="62" t="s">
        <v>418</v>
      </c>
      <c r="C703" s="63"/>
      <c r="D703" s="64"/>
      <c r="E703" s="65"/>
      <c r="F703" s="66"/>
      <c r="G703" s="63"/>
      <c r="H703" s="67"/>
      <c r="I703" s="68"/>
      <c r="J703" s="68"/>
      <c r="K703" s="32"/>
      <c r="L703" s="75">
        <v>703</v>
      </c>
      <c r="M703" s="75"/>
      <c r="N703" s="70"/>
      <c r="O703" s="77" t="s">
        <v>179</v>
      </c>
      <c r="P703" s="79">
        <v>45055.668414351851</v>
      </c>
      <c r="Q703" s="77" t="s">
        <v>1985</v>
      </c>
      <c r="R703" s="77">
        <v>0</v>
      </c>
      <c r="S703" s="77">
        <v>0</v>
      </c>
      <c r="T703" s="77">
        <v>0</v>
      </c>
      <c r="U703" s="77">
        <v>0</v>
      </c>
      <c r="V703" s="77">
        <v>17</v>
      </c>
      <c r="W703" s="82" t="s">
        <v>5560</v>
      </c>
      <c r="X703" s="80" t="str">
        <f>HYPERLINK("https://www.freeclassificados.com/ads/seu-fogao-esta-precisando-de-conserto-ou-conversao-de-gas/")</f>
        <v>https://www.freeclassificados.com/ads/seu-fogao-esta-precisando-de-conserto-ou-conversao-de-gas/</v>
      </c>
      <c r="Y703" s="77" t="s">
        <v>7308</v>
      </c>
      <c r="Z703" s="77"/>
      <c r="AA703" s="77"/>
      <c r="AB703" s="77"/>
      <c r="AC703" s="82" t="s">
        <v>10155</v>
      </c>
      <c r="AD703" s="77" t="s">
        <v>10184</v>
      </c>
      <c r="AE703" s="80" t="str">
        <f>HYPERLINK("https://twitter.com/freeclassific/status/1655966488900280320")</f>
        <v>https://twitter.com/freeclassific/status/1655966488900280320</v>
      </c>
      <c r="AF703" s="79">
        <v>45055.668414351851</v>
      </c>
      <c r="AG703" s="85">
        <v>45055</v>
      </c>
      <c r="AH703" s="82" t="s">
        <v>10856</v>
      </c>
      <c r="AI703" s="77" t="b">
        <v>0</v>
      </c>
      <c r="AJ703" s="77"/>
      <c r="AK703" s="77"/>
      <c r="AL703" s="77"/>
      <c r="AM703" s="77"/>
      <c r="AN703" s="77"/>
      <c r="AO703" s="77"/>
      <c r="AP703" s="77"/>
      <c r="AQ703" s="77"/>
      <c r="AR703" s="77"/>
      <c r="AS703" s="77"/>
      <c r="AT703" s="77"/>
      <c r="AU703" s="77"/>
      <c r="AV703" s="80" t="str">
        <f>HYPERLINK("https://pbs.twimg.com/profile_images/1431648743728852993/tLJ7F5Lu_normal.png")</f>
        <v>https://pbs.twimg.com/profile_images/1431648743728852993/tLJ7F5Lu_normal.png</v>
      </c>
      <c r="AW703" s="82" t="s">
        <v>17476</v>
      </c>
      <c r="AX703" s="82" t="s">
        <v>17476</v>
      </c>
      <c r="AY703" s="77"/>
      <c r="AZ703" s="82" t="s">
        <v>20971</v>
      </c>
      <c r="BA703" s="82" t="s">
        <v>20971</v>
      </c>
      <c r="BB703" s="82" t="s">
        <v>20971</v>
      </c>
      <c r="BC703" s="82" t="s">
        <v>17476</v>
      </c>
      <c r="BD703" s="77">
        <v>489723814</v>
      </c>
      <c r="BE703" s="77"/>
      <c r="BF703" s="77"/>
      <c r="BG703" s="77"/>
      <c r="BH703" s="77"/>
      <c r="BI703" s="77"/>
    </row>
    <row r="704" spans="1:61" x14ac:dyDescent="0.25">
      <c r="A704" s="62" t="s">
        <v>418</v>
      </c>
      <c r="B704" s="62" t="s">
        <v>418</v>
      </c>
      <c r="C704" s="63"/>
      <c r="D704" s="64"/>
      <c r="E704" s="65"/>
      <c r="F704" s="66"/>
      <c r="G704" s="63"/>
      <c r="H704" s="67"/>
      <c r="I704" s="68"/>
      <c r="J704" s="68"/>
      <c r="K704" s="32"/>
      <c r="L704" s="75">
        <v>704</v>
      </c>
      <c r="M704" s="75"/>
      <c r="N704" s="70"/>
      <c r="O704" s="77" t="s">
        <v>179</v>
      </c>
      <c r="P704" s="79">
        <v>45055.604930555557</v>
      </c>
      <c r="Q704" s="77" t="s">
        <v>1986</v>
      </c>
      <c r="R704" s="77">
        <v>0</v>
      </c>
      <c r="S704" s="77">
        <v>0</v>
      </c>
      <c r="T704" s="77">
        <v>0</v>
      </c>
      <c r="U704" s="77">
        <v>0</v>
      </c>
      <c r="V704" s="77">
        <v>8</v>
      </c>
      <c r="W704" s="82" t="s">
        <v>5560</v>
      </c>
      <c r="X704" s="80" t="str">
        <f>HYPERLINK("https://www.freeclassificados.com/ads/fiorino-refrigerada/")</f>
        <v>https://www.freeclassificados.com/ads/fiorino-refrigerada/</v>
      </c>
      <c r="Y704" s="77" t="s">
        <v>7308</v>
      </c>
      <c r="Z704" s="77"/>
      <c r="AA704" s="77"/>
      <c r="AB704" s="77"/>
      <c r="AC704" s="82" t="s">
        <v>10155</v>
      </c>
      <c r="AD704" s="77" t="s">
        <v>10184</v>
      </c>
      <c r="AE704" s="80" t="str">
        <f>HYPERLINK("https://twitter.com/freeclassific/status/1655943480961806338")</f>
        <v>https://twitter.com/freeclassific/status/1655943480961806338</v>
      </c>
      <c r="AF704" s="79">
        <v>45055.604930555557</v>
      </c>
      <c r="AG704" s="85">
        <v>45055</v>
      </c>
      <c r="AH704" s="82" t="s">
        <v>10857</v>
      </c>
      <c r="AI704" s="77" t="b">
        <v>0</v>
      </c>
      <c r="AJ704" s="77"/>
      <c r="AK704" s="77"/>
      <c r="AL704" s="77"/>
      <c r="AM704" s="77"/>
      <c r="AN704" s="77"/>
      <c r="AO704" s="77"/>
      <c r="AP704" s="77"/>
      <c r="AQ704" s="77"/>
      <c r="AR704" s="77"/>
      <c r="AS704" s="77"/>
      <c r="AT704" s="77"/>
      <c r="AU704" s="77"/>
      <c r="AV704" s="80" t="str">
        <f>HYPERLINK("https://pbs.twimg.com/profile_images/1431648743728852993/tLJ7F5Lu_normal.png")</f>
        <v>https://pbs.twimg.com/profile_images/1431648743728852993/tLJ7F5Lu_normal.png</v>
      </c>
      <c r="AW704" s="82" t="s">
        <v>17477</v>
      </c>
      <c r="AX704" s="82" t="s">
        <v>17477</v>
      </c>
      <c r="AY704" s="77"/>
      <c r="AZ704" s="82" t="s">
        <v>20971</v>
      </c>
      <c r="BA704" s="82" t="s">
        <v>20971</v>
      </c>
      <c r="BB704" s="82" t="s">
        <v>20971</v>
      </c>
      <c r="BC704" s="82" t="s">
        <v>17477</v>
      </c>
      <c r="BD704" s="77">
        <v>489723814</v>
      </c>
      <c r="BE704" s="77"/>
      <c r="BF704" s="77"/>
      <c r="BG704" s="77"/>
      <c r="BH704" s="77"/>
      <c r="BI704" s="77"/>
    </row>
    <row r="705" spans="1:61" x14ac:dyDescent="0.25">
      <c r="A705" s="62" t="s">
        <v>418</v>
      </c>
      <c r="B705" s="62" t="s">
        <v>418</v>
      </c>
      <c r="C705" s="63"/>
      <c r="D705" s="64"/>
      <c r="E705" s="65"/>
      <c r="F705" s="66"/>
      <c r="G705" s="63"/>
      <c r="H705" s="67"/>
      <c r="I705" s="68"/>
      <c r="J705" s="68"/>
      <c r="K705" s="32"/>
      <c r="L705" s="75">
        <v>705</v>
      </c>
      <c r="M705" s="75"/>
      <c r="N705" s="70"/>
      <c r="O705" s="77" t="s">
        <v>179</v>
      </c>
      <c r="P705" s="79">
        <v>45055.543078703704</v>
      </c>
      <c r="Q705" s="77" t="s">
        <v>1987</v>
      </c>
      <c r="R705" s="77">
        <v>0</v>
      </c>
      <c r="S705" s="77">
        <v>0</v>
      </c>
      <c r="T705" s="77">
        <v>1</v>
      </c>
      <c r="U705" s="77">
        <v>0</v>
      </c>
      <c r="V705" s="77">
        <v>11</v>
      </c>
      <c r="W705" s="82" t="s">
        <v>5560</v>
      </c>
      <c r="X705" s="80" t="str">
        <f>HYPERLINK("https://www.freeclassificados.com/ads/seu-refrigerador-esta-apresentando-problemas/")</f>
        <v>https://www.freeclassificados.com/ads/seu-refrigerador-esta-apresentando-problemas/</v>
      </c>
      <c r="Y705" s="77" t="s">
        <v>7308</v>
      </c>
      <c r="Z705" s="77"/>
      <c r="AA705" s="77"/>
      <c r="AB705" s="77"/>
      <c r="AC705" s="82" t="s">
        <v>10155</v>
      </c>
      <c r="AD705" s="77" t="s">
        <v>10184</v>
      </c>
      <c r="AE705" s="80" t="str">
        <f>HYPERLINK("https://twitter.com/freeclassific/status/1655921065145810946")</f>
        <v>https://twitter.com/freeclassific/status/1655921065145810946</v>
      </c>
      <c r="AF705" s="79">
        <v>45055.543078703704</v>
      </c>
      <c r="AG705" s="85">
        <v>45055</v>
      </c>
      <c r="AH705" s="82" t="s">
        <v>10858</v>
      </c>
      <c r="AI705" s="77" t="b">
        <v>0</v>
      </c>
      <c r="AJ705" s="77"/>
      <c r="AK705" s="77"/>
      <c r="AL705" s="77"/>
      <c r="AM705" s="77"/>
      <c r="AN705" s="77"/>
      <c r="AO705" s="77"/>
      <c r="AP705" s="77"/>
      <c r="AQ705" s="77"/>
      <c r="AR705" s="77"/>
      <c r="AS705" s="77"/>
      <c r="AT705" s="77"/>
      <c r="AU705" s="77"/>
      <c r="AV705" s="80" t="str">
        <f>HYPERLINK("https://pbs.twimg.com/profile_images/1431648743728852993/tLJ7F5Lu_normal.png")</f>
        <v>https://pbs.twimg.com/profile_images/1431648743728852993/tLJ7F5Lu_normal.png</v>
      </c>
      <c r="AW705" s="82" t="s">
        <v>17478</v>
      </c>
      <c r="AX705" s="82" t="s">
        <v>17478</v>
      </c>
      <c r="AY705" s="77"/>
      <c r="AZ705" s="82" t="s">
        <v>20971</v>
      </c>
      <c r="BA705" s="82" t="s">
        <v>20971</v>
      </c>
      <c r="BB705" s="82" t="s">
        <v>20971</v>
      </c>
      <c r="BC705" s="82" t="s">
        <v>17478</v>
      </c>
      <c r="BD705" s="77">
        <v>489723814</v>
      </c>
      <c r="BE705" s="77"/>
      <c r="BF705" s="77"/>
      <c r="BG705" s="77"/>
      <c r="BH705" s="77"/>
      <c r="BI705" s="77"/>
    </row>
    <row r="706" spans="1:61" x14ac:dyDescent="0.25">
      <c r="A706" s="62" t="s">
        <v>418</v>
      </c>
      <c r="B706" s="62" t="s">
        <v>418</v>
      </c>
      <c r="C706" s="63"/>
      <c r="D706" s="64"/>
      <c r="E706" s="65"/>
      <c r="F706" s="66"/>
      <c r="G706" s="63"/>
      <c r="H706" s="67"/>
      <c r="I706" s="68"/>
      <c r="J706" s="68"/>
      <c r="K706" s="32"/>
      <c r="L706" s="75">
        <v>706</v>
      </c>
      <c r="M706" s="75"/>
      <c r="N706" s="70"/>
      <c r="O706" s="77" t="s">
        <v>179</v>
      </c>
      <c r="P706" s="79">
        <v>45055.47550925926</v>
      </c>
      <c r="Q706" s="77" t="s">
        <v>1988</v>
      </c>
      <c r="R706" s="77">
        <v>0</v>
      </c>
      <c r="S706" s="77">
        <v>0</v>
      </c>
      <c r="T706" s="77">
        <v>0</v>
      </c>
      <c r="U706" s="77">
        <v>0</v>
      </c>
      <c r="V706" s="77">
        <v>9</v>
      </c>
      <c r="W706" s="82" t="s">
        <v>5560</v>
      </c>
      <c r="X706" s="80" t="str">
        <f>HYPERLINK("https://www.freeclassificados.com/ads/realizamos-consertos-em-todos-os-modelos-e-marcas-de-refrigeradores/")</f>
        <v>https://www.freeclassificados.com/ads/realizamos-consertos-em-todos-os-modelos-e-marcas-de-refrigeradores/</v>
      </c>
      <c r="Y706" s="77" t="s">
        <v>7308</v>
      </c>
      <c r="Z706" s="77"/>
      <c r="AA706" s="77"/>
      <c r="AB706" s="77"/>
      <c r="AC706" s="82" t="s">
        <v>10155</v>
      </c>
      <c r="AD706" s="77" t="s">
        <v>10184</v>
      </c>
      <c r="AE706" s="80" t="str">
        <f>HYPERLINK("https://twitter.com/freeclassific/status/1655896580535504896")</f>
        <v>https://twitter.com/freeclassific/status/1655896580535504896</v>
      </c>
      <c r="AF706" s="79">
        <v>45055.47550925926</v>
      </c>
      <c r="AG706" s="85">
        <v>45055</v>
      </c>
      <c r="AH706" s="82" t="s">
        <v>10859</v>
      </c>
      <c r="AI706" s="77" t="b">
        <v>0</v>
      </c>
      <c r="AJ706" s="77"/>
      <c r="AK706" s="77"/>
      <c r="AL706" s="77"/>
      <c r="AM706" s="77"/>
      <c r="AN706" s="77"/>
      <c r="AO706" s="77"/>
      <c r="AP706" s="77"/>
      <c r="AQ706" s="77"/>
      <c r="AR706" s="77"/>
      <c r="AS706" s="77"/>
      <c r="AT706" s="77"/>
      <c r="AU706" s="77"/>
      <c r="AV706" s="80" t="str">
        <f>HYPERLINK("https://pbs.twimg.com/profile_images/1431648743728852993/tLJ7F5Lu_normal.png")</f>
        <v>https://pbs.twimg.com/profile_images/1431648743728852993/tLJ7F5Lu_normal.png</v>
      </c>
      <c r="AW706" s="82" t="s">
        <v>17479</v>
      </c>
      <c r="AX706" s="82" t="s">
        <v>17479</v>
      </c>
      <c r="AY706" s="77"/>
      <c r="AZ706" s="82" t="s">
        <v>20971</v>
      </c>
      <c r="BA706" s="82" t="s">
        <v>20971</v>
      </c>
      <c r="BB706" s="82" t="s">
        <v>20971</v>
      </c>
      <c r="BC706" s="82" t="s">
        <v>17479</v>
      </c>
      <c r="BD706" s="77">
        <v>489723814</v>
      </c>
      <c r="BE706" s="77"/>
      <c r="BF706" s="77"/>
      <c r="BG706" s="77"/>
      <c r="BH706" s="77"/>
      <c r="BI706" s="77"/>
    </row>
    <row r="707" spans="1:61" x14ac:dyDescent="0.25">
      <c r="A707" s="62" t="s">
        <v>418</v>
      </c>
      <c r="B707" s="62" t="s">
        <v>418</v>
      </c>
      <c r="C707" s="63"/>
      <c r="D707" s="64"/>
      <c r="E707" s="65"/>
      <c r="F707" s="66"/>
      <c r="G707" s="63"/>
      <c r="H707" s="67"/>
      <c r="I707" s="68"/>
      <c r="J707" s="68"/>
      <c r="K707" s="32"/>
      <c r="L707" s="75">
        <v>707</v>
      </c>
      <c r="M707" s="75"/>
      <c r="N707" s="70"/>
      <c r="O707" s="77" t="s">
        <v>179</v>
      </c>
      <c r="P707" s="79">
        <v>45055.137789351851</v>
      </c>
      <c r="Q707" s="77" t="s">
        <v>1989</v>
      </c>
      <c r="R707" s="77">
        <v>0</v>
      </c>
      <c r="S707" s="77">
        <v>0</v>
      </c>
      <c r="T707" s="77">
        <v>0</v>
      </c>
      <c r="U707" s="77">
        <v>0</v>
      </c>
      <c r="V707" s="77">
        <v>13</v>
      </c>
      <c r="W707" s="82" t="s">
        <v>5560</v>
      </c>
      <c r="X707" s="80" t="str">
        <f>HYPERLINK("https://www.freeclassificados.com/ads/ja-imaginou-ter-o-seu-proprio-negocio-digital-sem-precisar-criar-nada-e-receber-direto-em-sua-conta-todos-os-dias-por-suas-vendas/")</f>
        <v>https://www.freeclassificados.com/ads/ja-imaginou-ter-o-seu-proprio-negocio-digital-sem-precisar-criar-nada-e-receber-direto-em-sua-conta-todos-os-dias-por-suas-vendas/</v>
      </c>
      <c r="Y707" s="77" t="s">
        <v>7308</v>
      </c>
      <c r="Z707" s="77"/>
      <c r="AA707" s="77"/>
      <c r="AB707" s="77"/>
      <c r="AC707" s="82" t="s">
        <v>10155</v>
      </c>
      <c r="AD707" s="77" t="s">
        <v>10184</v>
      </c>
      <c r="AE707" s="80" t="str">
        <f>HYPERLINK("https://twitter.com/freeclassific/status/1655774195782144000")</f>
        <v>https://twitter.com/freeclassific/status/1655774195782144000</v>
      </c>
      <c r="AF707" s="79">
        <v>45055.137789351851</v>
      </c>
      <c r="AG707" s="85">
        <v>45055</v>
      </c>
      <c r="AH707" s="82" t="s">
        <v>10860</v>
      </c>
      <c r="AI707" s="77" t="b">
        <v>0</v>
      </c>
      <c r="AJ707" s="77"/>
      <c r="AK707" s="77"/>
      <c r="AL707" s="77"/>
      <c r="AM707" s="77"/>
      <c r="AN707" s="77"/>
      <c r="AO707" s="77"/>
      <c r="AP707" s="77"/>
      <c r="AQ707" s="77"/>
      <c r="AR707" s="77"/>
      <c r="AS707" s="77"/>
      <c r="AT707" s="77"/>
      <c r="AU707" s="77"/>
      <c r="AV707" s="80" t="str">
        <f>HYPERLINK("https://pbs.twimg.com/profile_images/1431648743728852993/tLJ7F5Lu_normal.png")</f>
        <v>https://pbs.twimg.com/profile_images/1431648743728852993/tLJ7F5Lu_normal.png</v>
      </c>
      <c r="AW707" s="82" t="s">
        <v>17480</v>
      </c>
      <c r="AX707" s="82" t="s">
        <v>17480</v>
      </c>
      <c r="AY707" s="77"/>
      <c r="AZ707" s="82" t="s">
        <v>20971</v>
      </c>
      <c r="BA707" s="82" t="s">
        <v>20971</v>
      </c>
      <c r="BB707" s="82" t="s">
        <v>20971</v>
      </c>
      <c r="BC707" s="82" t="s">
        <v>17480</v>
      </c>
      <c r="BD707" s="77">
        <v>489723814</v>
      </c>
      <c r="BE707" s="77"/>
      <c r="BF707" s="77"/>
      <c r="BG707" s="77"/>
      <c r="BH707" s="77"/>
      <c r="BI707" s="77"/>
    </row>
    <row r="708" spans="1:61" x14ac:dyDescent="0.25">
      <c r="A708" s="62" t="s">
        <v>418</v>
      </c>
      <c r="B708" s="62" t="s">
        <v>418</v>
      </c>
      <c r="C708" s="63"/>
      <c r="D708" s="64"/>
      <c r="E708" s="65"/>
      <c r="F708" s="66"/>
      <c r="G708" s="63"/>
      <c r="H708" s="67"/>
      <c r="I708" s="68"/>
      <c r="J708" s="68"/>
      <c r="K708" s="32"/>
      <c r="L708" s="75">
        <v>708</v>
      </c>
      <c r="M708" s="75"/>
      <c r="N708" s="70"/>
      <c r="O708" s="77" t="s">
        <v>179</v>
      </c>
      <c r="P708" s="79">
        <v>45055.134351851855</v>
      </c>
      <c r="Q708" s="77" t="s">
        <v>1990</v>
      </c>
      <c r="R708" s="77">
        <v>0</v>
      </c>
      <c r="S708" s="77">
        <v>0</v>
      </c>
      <c r="T708" s="77">
        <v>0</v>
      </c>
      <c r="U708" s="77">
        <v>0</v>
      </c>
      <c r="V708" s="77">
        <v>12</v>
      </c>
      <c r="W708" s="82" t="s">
        <v>5560</v>
      </c>
      <c r="X708" s="80" t="str">
        <f>HYPERLINK("https://www.freeclassificados.com/ads/anuncio-apenas-pra-quem-quer-dinheiro-se-nao-quer-ter-uma-vida-livre-de-dividas-nao-clique/")</f>
        <v>https://www.freeclassificados.com/ads/anuncio-apenas-pra-quem-quer-dinheiro-se-nao-quer-ter-uma-vida-livre-de-dividas-nao-clique/</v>
      </c>
      <c r="Y708" s="77" t="s">
        <v>7308</v>
      </c>
      <c r="Z708" s="77"/>
      <c r="AA708" s="77"/>
      <c r="AB708" s="77"/>
      <c r="AC708" s="82" t="s">
        <v>10155</v>
      </c>
      <c r="AD708" s="77" t="s">
        <v>10184</v>
      </c>
      <c r="AE708" s="80" t="str">
        <f>HYPERLINK("https://twitter.com/freeclassific/status/1655772947628584960")</f>
        <v>https://twitter.com/freeclassific/status/1655772947628584960</v>
      </c>
      <c r="AF708" s="79">
        <v>45055.134351851855</v>
      </c>
      <c r="AG708" s="85">
        <v>45055</v>
      </c>
      <c r="AH708" s="82" t="s">
        <v>10861</v>
      </c>
      <c r="AI708" s="77" t="b">
        <v>0</v>
      </c>
      <c r="AJ708" s="77"/>
      <c r="AK708" s="77"/>
      <c r="AL708" s="77"/>
      <c r="AM708" s="77"/>
      <c r="AN708" s="77"/>
      <c r="AO708" s="77"/>
      <c r="AP708" s="77"/>
      <c r="AQ708" s="77"/>
      <c r="AR708" s="77"/>
      <c r="AS708" s="77"/>
      <c r="AT708" s="77"/>
      <c r="AU708" s="77"/>
      <c r="AV708" s="80" t="str">
        <f>HYPERLINK("https://pbs.twimg.com/profile_images/1431648743728852993/tLJ7F5Lu_normal.png")</f>
        <v>https://pbs.twimg.com/profile_images/1431648743728852993/tLJ7F5Lu_normal.png</v>
      </c>
      <c r="AW708" s="82" t="s">
        <v>17481</v>
      </c>
      <c r="AX708" s="82" t="s">
        <v>17481</v>
      </c>
      <c r="AY708" s="77"/>
      <c r="AZ708" s="82" t="s">
        <v>20971</v>
      </c>
      <c r="BA708" s="82" t="s">
        <v>20971</v>
      </c>
      <c r="BB708" s="82" t="s">
        <v>20971</v>
      </c>
      <c r="BC708" s="82" t="s">
        <v>17481</v>
      </c>
      <c r="BD708" s="77">
        <v>489723814</v>
      </c>
      <c r="BE708" s="77"/>
      <c r="BF708" s="77"/>
      <c r="BG708" s="77"/>
      <c r="BH708" s="77"/>
      <c r="BI708" s="77"/>
    </row>
    <row r="709" spans="1:61" x14ac:dyDescent="0.25">
      <c r="A709" s="62" t="s">
        <v>418</v>
      </c>
      <c r="B709" s="62" t="s">
        <v>418</v>
      </c>
      <c r="C709" s="63"/>
      <c r="D709" s="64"/>
      <c r="E709" s="65"/>
      <c r="F709" s="66"/>
      <c r="G709" s="63"/>
      <c r="H709" s="67"/>
      <c r="I709" s="68"/>
      <c r="J709" s="68"/>
      <c r="K709" s="32"/>
      <c r="L709" s="75">
        <v>709</v>
      </c>
      <c r="M709" s="75"/>
      <c r="N709" s="70"/>
      <c r="O709" s="77" t="s">
        <v>179</v>
      </c>
      <c r="P709" s="79">
        <v>45054.95275462963</v>
      </c>
      <c r="Q709" s="77" t="s">
        <v>1991</v>
      </c>
      <c r="R709" s="77">
        <v>0</v>
      </c>
      <c r="S709" s="77">
        <v>0</v>
      </c>
      <c r="T709" s="77">
        <v>0</v>
      </c>
      <c r="U709" s="77">
        <v>0</v>
      </c>
      <c r="V709" s="77">
        <v>17</v>
      </c>
      <c r="W709" s="82" t="s">
        <v>5560</v>
      </c>
      <c r="X709" s="80" t="str">
        <f>HYPERLINK("https://www.freeclassificados.com/ads/palmas-leo-santos-locutor-publicidade-spots-vinhetas-gravacao-de-propagandas/")</f>
        <v>https://www.freeclassificados.com/ads/palmas-leo-santos-locutor-publicidade-spots-vinhetas-gravacao-de-propagandas/</v>
      </c>
      <c r="Y709" s="77" t="s">
        <v>7308</v>
      </c>
      <c r="Z709" s="77"/>
      <c r="AA709" s="77"/>
      <c r="AB709" s="77"/>
      <c r="AC709" s="82" t="s">
        <v>10155</v>
      </c>
      <c r="AD709" s="77" t="s">
        <v>10184</v>
      </c>
      <c r="AE709" s="80" t="str">
        <f>HYPERLINK("https://twitter.com/freeclassific/status/1655707139644743680")</f>
        <v>https://twitter.com/freeclassific/status/1655707139644743680</v>
      </c>
      <c r="AF709" s="79">
        <v>45054.95275462963</v>
      </c>
      <c r="AG709" s="85">
        <v>45054</v>
      </c>
      <c r="AH709" s="82" t="s">
        <v>10862</v>
      </c>
      <c r="AI709" s="77" t="b">
        <v>0</v>
      </c>
      <c r="AJ709" s="77"/>
      <c r="AK709" s="77"/>
      <c r="AL709" s="77"/>
      <c r="AM709" s="77"/>
      <c r="AN709" s="77"/>
      <c r="AO709" s="77"/>
      <c r="AP709" s="77"/>
      <c r="AQ709" s="77"/>
      <c r="AR709" s="77"/>
      <c r="AS709" s="77"/>
      <c r="AT709" s="77"/>
      <c r="AU709" s="77"/>
      <c r="AV709" s="80" t="str">
        <f>HYPERLINK("https://pbs.twimg.com/profile_images/1431648743728852993/tLJ7F5Lu_normal.png")</f>
        <v>https://pbs.twimg.com/profile_images/1431648743728852993/tLJ7F5Lu_normal.png</v>
      </c>
      <c r="AW709" s="82" t="s">
        <v>17482</v>
      </c>
      <c r="AX709" s="82" t="s">
        <v>17482</v>
      </c>
      <c r="AY709" s="77"/>
      <c r="AZ709" s="82" t="s">
        <v>20971</v>
      </c>
      <c r="BA709" s="82" t="s">
        <v>20971</v>
      </c>
      <c r="BB709" s="82" t="s">
        <v>20971</v>
      </c>
      <c r="BC709" s="82" t="s">
        <v>17482</v>
      </c>
      <c r="BD709" s="77">
        <v>489723814</v>
      </c>
      <c r="BE709" s="77"/>
      <c r="BF709" s="77"/>
      <c r="BG709" s="77"/>
      <c r="BH709" s="77"/>
      <c r="BI709" s="77"/>
    </row>
    <row r="710" spans="1:61" x14ac:dyDescent="0.25">
      <c r="A710" s="62" t="s">
        <v>418</v>
      </c>
      <c r="B710" s="62" t="s">
        <v>418</v>
      </c>
      <c r="C710" s="63"/>
      <c r="D710" s="64"/>
      <c r="E710" s="65"/>
      <c r="F710" s="66"/>
      <c r="G710" s="63"/>
      <c r="H710" s="67"/>
      <c r="I710" s="68"/>
      <c r="J710" s="68"/>
      <c r="K710" s="32"/>
      <c r="L710" s="75">
        <v>710</v>
      </c>
      <c r="M710" s="75"/>
      <c r="N710" s="70"/>
      <c r="O710" s="77" t="s">
        <v>179</v>
      </c>
      <c r="P710" s="79">
        <v>45054.950509259259</v>
      </c>
      <c r="Q710" s="77" t="s">
        <v>1992</v>
      </c>
      <c r="R710" s="77">
        <v>0</v>
      </c>
      <c r="S710" s="77">
        <v>0</v>
      </c>
      <c r="T710" s="77">
        <v>0</v>
      </c>
      <c r="U710" s="77">
        <v>0</v>
      </c>
      <c r="V710" s="77">
        <v>34</v>
      </c>
      <c r="W710" s="82" t="s">
        <v>5560</v>
      </c>
      <c r="X710" s="80" t="str">
        <f>HYPERLINK("https://www.freeclassificados.com/ads/macapa-leo-santos-locutor-online-vinhetas-comerciais-gravacao-de-propagandas/")</f>
        <v>https://www.freeclassificados.com/ads/macapa-leo-santos-locutor-online-vinhetas-comerciais-gravacao-de-propagandas/</v>
      </c>
      <c r="Y710" s="77" t="s">
        <v>7308</v>
      </c>
      <c r="Z710" s="77"/>
      <c r="AA710" s="77"/>
      <c r="AB710" s="77"/>
      <c r="AC710" s="82" t="s">
        <v>10155</v>
      </c>
      <c r="AD710" s="77" t="s">
        <v>10184</v>
      </c>
      <c r="AE710" s="80" t="str">
        <f>HYPERLINK("https://twitter.com/freeclassific/status/1655706327354859522")</f>
        <v>https://twitter.com/freeclassific/status/1655706327354859522</v>
      </c>
      <c r="AF710" s="79">
        <v>45054.950509259259</v>
      </c>
      <c r="AG710" s="85">
        <v>45054</v>
      </c>
      <c r="AH710" s="82" t="s">
        <v>10863</v>
      </c>
      <c r="AI710" s="77" t="b">
        <v>0</v>
      </c>
      <c r="AJ710" s="77"/>
      <c r="AK710" s="77"/>
      <c r="AL710" s="77"/>
      <c r="AM710" s="77"/>
      <c r="AN710" s="77"/>
      <c r="AO710" s="77"/>
      <c r="AP710" s="77"/>
      <c r="AQ710" s="77"/>
      <c r="AR710" s="77"/>
      <c r="AS710" s="77"/>
      <c r="AT710" s="77"/>
      <c r="AU710" s="77"/>
      <c r="AV710" s="80" t="str">
        <f>HYPERLINK("https://pbs.twimg.com/profile_images/1431648743728852993/tLJ7F5Lu_normal.png")</f>
        <v>https://pbs.twimg.com/profile_images/1431648743728852993/tLJ7F5Lu_normal.png</v>
      </c>
      <c r="AW710" s="82" t="s">
        <v>17483</v>
      </c>
      <c r="AX710" s="82" t="s">
        <v>17483</v>
      </c>
      <c r="AY710" s="77"/>
      <c r="AZ710" s="82" t="s">
        <v>20971</v>
      </c>
      <c r="BA710" s="82" t="s">
        <v>20971</v>
      </c>
      <c r="BB710" s="82" t="s">
        <v>20971</v>
      </c>
      <c r="BC710" s="82" t="s">
        <v>17483</v>
      </c>
      <c r="BD710" s="77">
        <v>489723814</v>
      </c>
      <c r="BE710" s="77"/>
      <c r="BF710" s="77"/>
      <c r="BG710" s="77"/>
      <c r="BH710" s="77"/>
      <c r="BI710" s="77"/>
    </row>
    <row r="711" spans="1:61" x14ac:dyDescent="0.25">
      <c r="A711" s="62" t="s">
        <v>418</v>
      </c>
      <c r="B711" s="62" t="s">
        <v>418</v>
      </c>
      <c r="C711" s="63"/>
      <c r="D711" s="64"/>
      <c r="E711" s="65"/>
      <c r="F711" s="66"/>
      <c r="G711" s="63"/>
      <c r="H711" s="67"/>
      <c r="I711" s="68"/>
      <c r="J711" s="68"/>
      <c r="K711" s="32"/>
      <c r="L711" s="75">
        <v>711</v>
      </c>
      <c r="M711" s="75"/>
      <c r="N711" s="70"/>
      <c r="O711" s="77" t="s">
        <v>179</v>
      </c>
      <c r="P711" s="79">
        <v>45054.948263888888</v>
      </c>
      <c r="Q711" s="77" t="s">
        <v>1993</v>
      </c>
      <c r="R711" s="77">
        <v>0</v>
      </c>
      <c r="S711" s="77">
        <v>0</v>
      </c>
      <c r="T711" s="77">
        <v>0</v>
      </c>
      <c r="U711" s="77">
        <v>0</v>
      </c>
      <c r="V711" s="77">
        <v>21</v>
      </c>
      <c r="W711" s="82" t="s">
        <v>5560</v>
      </c>
      <c r="X711" s="80" t="str">
        <f>HYPERLINK("https://www.freeclassificados.com/ads/boa-vista-locutor-leo-santos-gravacao-de-vinhetas-propagandas-online/")</f>
        <v>https://www.freeclassificados.com/ads/boa-vista-locutor-leo-santos-gravacao-de-vinhetas-propagandas-online/</v>
      </c>
      <c r="Y711" s="77" t="s">
        <v>7308</v>
      </c>
      <c r="Z711" s="77"/>
      <c r="AA711" s="77"/>
      <c r="AB711" s="77"/>
      <c r="AC711" s="82" t="s">
        <v>10155</v>
      </c>
      <c r="AD711" s="77" t="s">
        <v>10184</v>
      </c>
      <c r="AE711" s="80" t="str">
        <f>HYPERLINK("https://twitter.com/freeclassific/status/1655705511919230976")</f>
        <v>https://twitter.com/freeclassific/status/1655705511919230976</v>
      </c>
      <c r="AF711" s="79">
        <v>45054.948263888888</v>
      </c>
      <c r="AG711" s="85">
        <v>45054</v>
      </c>
      <c r="AH711" s="82" t="s">
        <v>10864</v>
      </c>
      <c r="AI711" s="77" t="b">
        <v>0</v>
      </c>
      <c r="AJ711" s="77"/>
      <c r="AK711" s="77"/>
      <c r="AL711" s="77"/>
      <c r="AM711" s="77"/>
      <c r="AN711" s="77"/>
      <c r="AO711" s="77"/>
      <c r="AP711" s="77"/>
      <c r="AQ711" s="77"/>
      <c r="AR711" s="77"/>
      <c r="AS711" s="77"/>
      <c r="AT711" s="77"/>
      <c r="AU711" s="77"/>
      <c r="AV711" s="80" t="str">
        <f>HYPERLINK("https://pbs.twimg.com/profile_images/1431648743728852993/tLJ7F5Lu_normal.png")</f>
        <v>https://pbs.twimg.com/profile_images/1431648743728852993/tLJ7F5Lu_normal.png</v>
      </c>
      <c r="AW711" s="82" t="s">
        <v>17484</v>
      </c>
      <c r="AX711" s="82" t="s">
        <v>17484</v>
      </c>
      <c r="AY711" s="77"/>
      <c r="AZ711" s="82" t="s">
        <v>20971</v>
      </c>
      <c r="BA711" s="82" t="s">
        <v>20971</v>
      </c>
      <c r="BB711" s="82" t="s">
        <v>20971</v>
      </c>
      <c r="BC711" s="82" t="s">
        <v>17484</v>
      </c>
      <c r="BD711" s="77">
        <v>489723814</v>
      </c>
      <c r="BE711" s="77"/>
      <c r="BF711" s="77"/>
      <c r="BG711" s="77"/>
      <c r="BH711" s="77"/>
      <c r="BI711" s="77"/>
    </row>
    <row r="712" spans="1:61" x14ac:dyDescent="0.25">
      <c r="A712" s="62" t="s">
        <v>418</v>
      </c>
      <c r="B712" s="62" t="s">
        <v>418</v>
      </c>
      <c r="C712" s="63"/>
      <c r="D712" s="64"/>
      <c r="E712" s="65"/>
      <c r="F712" s="66"/>
      <c r="G712" s="63"/>
      <c r="H712" s="67"/>
      <c r="I712" s="68"/>
      <c r="J712" s="68"/>
      <c r="K712" s="32"/>
      <c r="L712" s="75">
        <v>712</v>
      </c>
      <c r="M712" s="75"/>
      <c r="N712" s="70"/>
      <c r="O712" s="77" t="s">
        <v>179</v>
      </c>
      <c r="P712" s="79">
        <v>45054.946099537039</v>
      </c>
      <c r="Q712" s="77" t="s">
        <v>1994</v>
      </c>
      <c r="R712" s="77">
        <v>0</v>
      </c>
      <c r="S712" s="77">
        <v>0</v>
      </c>
      <c r="T712" s="77">
        <v>0</v>
      </c>
      <c r="U712" s="77">
        <v>0</v>
      </c>
      <c r="V712" s="77">
        <v>33</v>
      </c>
      <c r="W712" s="82" t="s">
        <v>5560</v>
      </c>
      <c r="X712" s="80" t="str">
        <f>HYPERLINK("https://www.freeclassificados.com/ads/porto-velho-leo-santos-locutor-comercial-spots-vinhetas-gravacao-de-propagandas/")</f>
        <v>https://www.freeclassificados.com/ads/porto-velho-leo-santos-locutor-comercial-spots-vinhetas-gravacao-de-propagandas/</v>
      </c>
      <c r="Y712" s="77" t="s">
        <v>7308</v>
      </c>
      <c r="Z712" s="77"/>
      <c r="AA712" s="77"/>
      <c r="AB712" s="77"/>
      <c r="AC712" s="82" t="s">
        <v>10155</v>
      </c>
      <c r="AD712" s="77" t="s">
        <v>10184</v>
      </c>
      <c r="AE712" s="80" t="str">
        <f>HYPERLINK("https://twitter.com/freeclassific/status/1655704727416602625")</f>
        <v>https://twitter.com/freeclassific/status/1655704727416602625</v>
      </c>
      <c r="AF712" s="79">
        <v>45054.946099537039</v>
      </c>
      <c r="AG712" s="85">
        <v>45054</v>
      </c>
      <c r="AH712" s="82" t="s">
        <v>10865</v>
      </c>
      <c r="AI712" s="77" t="b">
        <v>0</v>
      </c>
      <c r="AJ712" s="77"/>
      <c r="AK712" s="77"/>
      <c r="AL712" s="77"/>
      <c r="AM712" s="77"/>
      <c r="AN712" s="77"/>
      <c r="AO712" s="77"/>
      <c r="AP712" s="77"/>
      <c r="AQ712" s="77"/>
      <c r="AR712" s="77"/>
      <c r="AS712" s="77"/>
      <c r="AT712" s="77"/>
      <c r="AU712" s="77"/>
      <c r="AV712" s="80" t="str">
        <f>HYPERLINK("https://pbs.twimg.com/profile_images/1431648743728852993/tLJ7F5Lu_normal.png")</f>
        <v>https://pbs.twimg.com/profile_images/1431648743728852993/tLJ7F5Lu_normal.png</v>
      </c>
      <c r="AW712" s="82" t="s">
        <v>17485</v>
      </c>
      <c r="AX712" s="82" t="s">
        <v>17485</v>
      </c>
      <c r="AY712" s="77"/>
      <c r="AZ712" s="82" t="s">
        <v>20971</v>
      </c>
      <c r="BA712" s="82" t="s">
        <v>20971</v>
      </c>
      <c r="BB712" s="82" t="s">
        <v>20971</v>
      </c>
      <c r="BC712" s="82" t="s">
        <v>17485</v>
      </c>
      <c r="BD712" s="77">
        <v>489723814</v>
      </c>
      <c r="BE712" s="77"/>
      <c r="BF712" s="77"/>
      <c r="BG712" s="77"/>
      <c r="BH712" s="77"/>
      <c r="BI712" s="77"/>
    </row>
    <row r="713" spans="1:61" x14ac:dyDescent="0.25">
      <c r="A713" s="62" t="s">
        <v>418</v>
      </c>
      <c r="B713" s="62" t="s">
        <v>418</v>
      </c>
      <c r="C713" s="63"/>
      <c r="D713" s="64"/>
      <c r="E713" s="65"/>
      <c r="F713" s="66"/>
      <c r="G713" s="63"/>
      <c r="H713" s="67"/>
      <c r="I713" s="68"/>
      <c r="J713" s="68"/>
      <c r="K713" s="32"/>
      <c r="L713" s="75">
        <v>713</v>
      </c>
      <c r="M713" s="75"/>
      <c r="N713" s="70"/>
      <c r="O713" s="77" t="s">
        <v>179</v>
      </c>
      <c r="P713" s="79">
        <v>45054.943622685183</v>
      </c>
      <c r="Q713" s="77" t="s">
        <v>1995</v>
      </c>
      <c r="R713" s="77">
        <v>0</v>
      </c>
      <c r="S713" s="77">
        <v>0</v>
      </c>
      <c r="T713" s="77">
        <v>0</v>
      </c>
      <c r="U713" s="77">
        <v>0</v>
      </c>
      <c r="V713" s="77">
        <v>19</v>
      </c>
      <c r="W713" s="82" t="s">
        <v>5560</v>
      </c>
      <c r="X713" s="80" t="str">
        <f>HYPERLINK("https://www.freeclassificados.com/ads/rio-branco-locutor-leo-santos-spots-vinhetas-gravacao-de-propaganda-volante/")</f>
        <v>https://www.freeclassificados.com/ads/rio-branco-locutor-leo-santos-spots-vinhetas-gravacao-de-propaganda-volante/</v>
      </c>
      <c r="Y713" s="77" t="s">
        <v>7308</v>
      </c>
      <c r="Z713" s="77"/>
      <c r="AA713" s="77"/>
      <c r="AB713" s="77"/>
      <c r="AC713" s="82" t="s">
        <v>10155</v>
      </c>
      <c r="AD713" s="77" t="s">
        <v>10184</v>
      </c>
      <c r="AE713" s="80" t="str">
        <f>HYPERLINK("https://twitter.com/freeclassific/status/1655703831274221568")</f>
        <v>https://twitter.com/freeclassific/status/1655703831274221568</v>
      </c>
      <c r="AF713" s="79">
        <v>45054.943622685183</v>
      </c>
      <c r="AG713" s="85">
        <v>45054</v>
      </c>
      <c r="AH713" s="82" t="s">
        <v>10866</v>
      </c>
      <c r="AI713" s="77" t="b">
        <v>0</v>
      </c>
      <c r="AJ713" s="77"/>
      <c r="AK713" s="77"/>
      <c r="AL713" s="77"/>
      <c r="AM713" s="77"/>
      <c r="AN713" s="77"/>
      <c r="AO713" s="77"/>
      <c r="AP713" s="77"/>
      <c r="AQ713" s="77"/>
      <c r="AR713" s="77"/>
      <c r="AS713" s="77"/>
      <c r="AT713" s="77"/>
      <c r="AU713" s="77"/>
      <c r="AV713" s="80" t="str">
        <f>HYPERLINK("https://pbs.twimg.com/profile_images/1431648743728852993/tLJ7F5Lu_normal.png")</f>
        <v>https://pbs.twimg.com/profile_images/1431648743728852993/tLJ7F5Lu_normal.png</v>
      </c>
      <c r="AW713" s="82" t="s">
        <v>17486</v>
      </c>
      <c r="AX713" s="82" t="s">
        <v>17486</v>
      </c>
      <c r="AY713" s="77"/>
      <c r="AZ713" s="82" t="s">
        <v>20971</v>
      </c>
      <c r="BA713" s="82" t="s">
        <v>20971</v>
      </c>
      <c r="BB713" s="82" t="s">
        <v>20971</v>
      </c>
      <c r="BC713" s="82" t="s">
        <v>17486</v>
      </c>
      <c r="BD713" s="77">
        <v>489723814</v>
      </c>
      <c r="BE713" s="77"/>
      <c r="BF713" s="77"/>
      <c r="BG713" s="77"/>
      <c r="BH713" s="77"/>
      <c r="BI713" s="77"/>
    </row>
    <row r="714" spans="1:61" x14ac:dyDescent="0.25">
      <c r="A714" s="62" t="s">
        <v>418</v>
      </c>
      <c r="B714" s="62" t="s">
        <v>418</v>
      </c>
      <c r="C714" s="63"/>
      <c r="D714" s="64"/>
      <c r="E714" s="65"/>
      <c r="F714" s="66"/>
      <c r="G714" s="63"/>
      <c r="H714" s="67"/>
      <c r="I714" s="68"/>
      <c r="J714" s="68"/>
      <c r="K714" s="32"/>
      <c r="L714" s="75">
        <v>714</v>
      </c>
      <c r="M714" s="75"/>
      <c r="N714" s="70"/>
      <c r="O714" s="77" t="s">
        <v>179</v>
      </c>
      <c r="P714" s="79">
        <v>45054.941145833334</v>
      </c>
      <c r="Q714" s="77" t="s">
        <v>1996</v>
      </c>
      <c r="R714" s="77">
        <v>0</v>
      </c>
      <c r="S714" s="77">
        <v>0</v>
      </c>
      <c r="T714" s="77">
        <v>0</v>
      </c>
      <c r="U714" s="77">
        <v>0</v>
      </c>
      <c r="V714" s="77">
        <v>28</v>
      </c>
      <c r="W714" s="82" t="s">
        <v>5560</v>
      </c>
      <c r="X714" s="80" t="str">
        <f>HYPERLINK("https://www.freeclassificados.com/ads/belem-leo-santos-locutor-online-vinhetas-comerciais-gravacao-de-propagandas/")</f>
        <v>https://www.freeclassificados.com/ads/belem-leo-santos-locutor-online-vinhetas-comerciais-gravacao-de-propagandas/</v>
      </c>
      <c r="Y714" s="77" t="s">
        <v>7308</v>
      </c>
      <c r="Z714" s="77"/>
      <c r="AA714" s="77"/>
      <c r="AB714" s="77"/>
      <c r="AC714" s="82" t="s">
        <v>10155</v>
      </c>
      <c r="AD714" s="77" t="s">
        <v>10184</v>
      </c>
      <c r="AE714" s="80" t="str">
        <f>HYPERLINK("https://twitter.com/freeclassific/status/1655702932090945536")</f>
        <v>https://twitter.com/freeclassific/status/1655702932090945536</v>
      </c>
      <c r="AF714" s="79">
        <v>45054.941145833334</v>
      </c>
      <c r="AG714" s="85">
        <v>45054</v>
      </c>
      <c r="AH714" s="82" t="s">
        <v>10867</v>
      </c>
      <c r="AI714" s="77" t="b">
        <v>0</v>
      </c>
      <c r="AJ714" s="77"/>
      <c r="AK714" s="77"/>
      <c r="AL714" s="77"/>
      <c r="AM714" s="77"/>
      <c r="AN714" s="77"/>
      <c r="AO714" s="77"/>
      <c r="AP714" s="77"/>
      <c r="AQ714" s="77"/>
      <c r="AR714" s="77"/>
      <c r="AS714" s="77"/>
      <c r="AT714" s="77"/>
      <c r="AU714" s="77"/>
      <c r="AV714" s="80" t="str">
        <f>HYPERLINK("https://pbs.twimg.com/profile_images/1431648743728852993/tLJ7F5Lu_normal.png")</f>
        <v>https://pbs.twimg.com/profile_images/1431648743728852993/tLJ7F5Lu_normal.png</v>
      </c>
      <c r="AW714" s="82" t="s">
        <v>17487</v>
      </c>
      <c r="AX714" s="82" t="s">
        <v>17487</v>
      </c>
      <c r="AY714" s="77"/>
      <c r="AZ714" s="82" t="s">
        <v>20971</v>
      </c>
      <c r="BA714" s="82" t="s">
        <v>20971</v>
      </c>
      <c r="BB714" s="82" t="s">
        <v>20971</v>
      </c>
      <c r="BC714" s="82" t="s">
        <v>17487</v>
      </c>
      <c r="BD714" s="77">
        <v>489723814</v>
      </c>
      <c r="BE714" s="77"/>
      <c r="BF714" s="77"/>
      <c r="BG714" s="77"/>
      <c r="BH714" s="77"/>
      <c r="BI714" s="77"/>
    </row>
    <row r="715" spans="1:61" x14ac:dyDescent="0.25">
      <c r="A715" s="62" t="s">
        <v>418</v>
      </c>
      <c r="B715" s="62" t="s">
        <v>418</v>
      </c>
      <c r="C715" s="63"/>
      <c r="D715" s="64"/>
      <c r="E715" s="65"/>
      <c r="F715" s="66"/>
      <c r="G715" s="63"/>
      <c r="H715" s="67"/>
      <c r="I715" s="68"/>
      <c r="J715" s="68"/>
      <c r="K715" s="32"/>
      <c r="L715" s="75">
        <v>715</v>
      </c>
      <c r="M715" s="75"/>
      <c r="N715" s="70"/>
      <c r="O715" s="77" t="s">
        <v>179</v>
      </c>
      <c r="P715" s="79">
        <v>45054.936689814815</v>
      </c>
      <c r="Q715" s="77" t="s">
        <v>1997</v>
      </c>
      <c r="R715" s="77">
        <v>0</v>
      </c>
      <c r="S715" s="77">
        <v>0</v>
      </c>
      <c r="T715" s="77">
        <v>0</v>
      </c>
      <c r="U715" s="77">
        <v>0</v>
      </c>
      <c r="V715" s="77">
        <v>17</v>
      </c>
      <c r="W715" s="82" t="s">
        <v>5560</v>
      </c>
      <c r="X715" s="80" t="str">
        <f>HYPERLINK("https://www.freeclassificados.com/ads/manaus-locutor-leo-santos-gravacoes-gravacao-de-propagandas-e-vinhetas/")</f>
        <v>https://www.freeclassificados.com/ads/manaus-locutor-leo-santos-gravacoes-gravacao-de-propagandas-e-vinhetas/</v>
      </c>
      <c r="Y715" s="77" t="s">
        <v>7308</v>
      </c>
      <c r="Z715" s="77"/>
      <c r="AA715" s="77"/>
      <c r="AB715" s="77"/>
      <c r="AC715" s="82" t="s">
        <v>10155</v>
      </c>
      <c r="AD715" s="77" t="s">
        <v>10184</v>
      </c>
      <c r="AE715" s="80" t="str">
        <f>HYPERLINK("https://twitter.com/freeclassific/status/1655701318424756225")</f>
        <v>https://twitter.com/freeclassific/status/1655701318424756225</v>
      </c>
      <c r="AF715" s="79">
        <v>45054.936689814815</v>
      </c>
      <c r="AG715" s="85">
        <v>45054</v>
      </c>
      <c r="AH715" s="82" t="s">
        <v>10868</v>
      </c>
      <c r="AI715" s="77" t="b">
        <v>0</v>
      </c>
      <c r="AJ715" s="77"/>
      <c r="AK715" s="77"/>
      <c r="AL715" s="77"/>
      <c r="AM715" s="77"/>
      <c r="AN715" s="77"/>
      <c r="AO715" s="77"/>
      <c r="AP715" s="77"/>
      <c r="AQ715" s="77"/>
      <c r="AR715" s="77"/>
      <c r="AS715" s="77"/>
      <c r="AT715" s="77"/>
      <c r="AU715" s="77"/>
      <c r="AV715" s="80" t="str">
        <f>HYPERLINK("https://pbs.twimg.com/profile_images/1431648743728852993/tLJ7F5Lu_normal.png")</f>
        <v>https://pbs.twimg.com/profile_images/1431648743728852993/tLJ7F5Lu_normal.png</v>
      </c>
      <c r="AW715" s="82" t="s">
        <v>17488</v>
      </c>
      <c r="AX715" s="82" t="s">
        <v>17488</v>
      </c>
      <c r="AY715" s="77"/>
      <c r="AZ715" s="82" t="s">
        <v>20971</v>
      </c>
      <c r="BA715" s="82" t="s">
        <v>20971</v>
      </c>
      <c r="BB715" s="82" t="s">
        <v>20971</v>
      </c>
      <c r="BC715" s="82" t="s">
        <v>17488</v>
      </c>
      <c r="BD715" s="77">
        <v>489723814</v>
      </c>
      <c r="BE715" s="77"/>
      <c r="BF715" s="77"/>
      <c r="BG715" s="77"/>
      <c r="BH715" s="77"/>
      <c r="BI715" s="77"/>
    </row>
    <row r="716" spans="1:61" x14ac:dyDescent="0.25">
      <c r="A716" s="62" t="s">
        <v>418</v>
      </c>
      <c r="B716" s="62" t="s">
        <v>418</v>
      </c>
      <c r="C716" s="63"/>
      <c r="D716" s="64"/>
      <c r="E716" s="65"/>
      <c r="F716" s="66"/>
      <c r="G716" s="63"/>
      <c r="H716" s="67"/>
      <c r="I716" s="68"/>
      <c r="J716" s="68"/>
      <c r="K716" s="32"/>
      <c r="L716" s="75">
        <v>716</v>
      </c>
      <c r="M716" s="75"/>
      <c r="N716" s="70"/>
      <c r="O716" s="77" t="s">
        <v>179</v>
      </c>
      <c r="P716" s="79">
        <v>45054.755949074075</v>
      </c>
      <c r="Q716" s="77" t="s">
        <v>1998</v>
      </c>
      <c r="R716" s="77">
        <v>0</v>
      </c>
      <c r="S716" s="77">
        <v>0</v>
      </c>
      <c r="T716" s="77">
        <v>0</v>
      </c>
      <c r="U716" s="77">
        <v>0</v>
      </c>
      <c r="V716" s="77">
        <v>25</v>
      </c>
      <c r="W716" s="82" t="s">
        <v>5560</v>
      </c>
      <c r="X716" s="80" t="str">
        <f>HYPERLINK("https://www.freeclassificados.com/ads/buffet-corporativo-coffee-break-e-coquetel-manduco-eventos/")</f>
        <v>https://www.freeclassificados.com/ads/buffet-corporativo-coffee-break-e-coquetel-manduco-eventos/</v>
      </c>
      <c r="Y716" s="77" t="s">
        <v>7308</v>
      </c>
      <c r="Z716" s="77"/>
      <c r="AA716" s="77"/>
      <c r="AB716" s="77"/>
      <c r="AC716" s="82" t="s">
        <v>10155</v>
      </c>
      <c r="AD716" s="77" t="s">
        <v>10187</v>
      </c>
      <c r="AE716" s="80" t="str">
        <f>HYPERLINK("https://twitter.com/freeclassific/status/1655635820110548992")</f>
        <v>https://twitter.com/freeclassific/status/1655635820110548992</v>
      </c>
      <c r="AF716" s="79">
        <v>45054.755949074075</v>
      </c>
      <c r="AG716" s="85">
        <v>45054</v>
      </c>
      <c r="AH716" s="82" t="s">
        <v>10869</v>
      </c>
      <c r="AI716" s="77" t="b">
        <v>0</v>
      </c>
      <c r="AJ716" s="77"/>
      <c r="AK716" s="77"/>
      <c r="AL716" s="77"/>
      <c r="AM716" s="77"/>
      <c r="AN716" s="77"/>
      <c r="AO716" s="77"/>
      <c r="AP716" s="77"/>
      <c r="AQ716" s="77"/>
      <c r="AR716" s="77"/>
      <c r="AS716" s="77"/>
      <c r="AT716" s="77"/>
      <c r="AU716" s="77"/>
      <c r="AV716" s="80" t="str">
        <f>HYPERLINK("https://pbs.twimg.com/profile_images/1431648743728852993/tLJ7F5Lu_normal.png")</f>
        <v>https://pbs.twimg.com/profile_images/1431648743728852993/tLJ7F5Lu_normal.png</v>
      </c>
      <c r="AW716" s="82" t="s">
        <v>17489</v>
      </c>
      <c r="AX716" s="82" t="s">
        <v>17489</v>
      </c>
      <c r="AY716" s="77"/>
      <c r="AZ716" s="82" t="s">
        <v>20971</v>
      </c>
      <c r="BA716" s="82" t="s">
        <v>20971</v>
      </c>
      <c r="BB716" s="82" t="s">
        <v>20971</v>
      </c>
      <c r="BC716" s="82" t="s">
        <v>17489</v>
      </c>
      <c r="BD716" s="77">
        <v>489723814</v>
      </c>
      <c r="BE716" s="77"/>
      <c r="BF716" s="77"/>
      <c r="BG716" s="77"/>
      <c r="BH716" s="77"/>
      <c r="BI716" s="77"/>
    </row>
    <row r="717" spans="1:61" x14ac:dyDescent="0.25">
      <c r="A717" s="62" t="s">
        <v>418</v>
      </c>
      <c r="B717" s="62" t="s">
        <v>418</v>
      </c>
      <c r="C717" s="63"/>
      <c r="D717" s="64"/>
      <c r="E717" s="65"/>
      <c r="F717" s="66"/>
      <c r="G717" s="63"/>
      <c r="H717" s="67"/>
      <c r="I717" s="68"/>
      <c r="J717" s="68"/>
      <c r="K717" s="32"/>
      <c r="L717" s="75">
        <v>717</v>
      </c>
      <c r="M717" s="75"/>
      <c r="N717" s="70"/>
      <c r="O717" s="77" t="s">
        <v>179</v>
      </c>
      <c r="P717" s="79">
        <v>45054.755243055559</v>
      </c>
      <c r="Q717" s="77" t="s">
        <v>1999</v>
      </c>
      <c r="R717" s="77">
        <v>0</v>
      </c>
      <c r="S717" s="77">
        <v>0</v>
      </c>
      <c r="T717" s="77">
        <v>0</v>
      </c>
      <c r="U717" s="77">
        <v>0</v>
      </c>
      <c r="V717" s="77">
        <v>22</v>
      </c>
      <c r="W717" s="82" t="s">
        <v>5560</v>
      </c>
      <c r="X717" s="80" t="str">
        <f>HYPERLINK("https://www.freeclassificados.com/ads/kit-lanche-gourmet-buffet-manduco-eventos/")</f>
        <v>https://www.freeclassificados.com/ads/kit-lanche-gourmet-buffet-manduco-eventos/</v>
      </c>
      <c r="Y717" s="77" t="s">
        <v>7308</v>
      </c>
      <c r="Z717" s="77"/>
      <c r="AA717" s="77"/>
      <c r="AB717" s="77"/>
      <c r="AC717" s="82" t="s">
        <v>10155</v>
      </c>
      <c r="AD717" s="77" t="s">
        <v>10193</v>
      </c>
      <c r="AE717" s="80" t="str">
        <f>HYPERLINK("https://twitter.com/freeclassific/status/1655635566770393088")</f>
        <v>https://twitter.com/freeclassific/status/1655635566770393088</v>
      </c>
      <c r="AF717" s="79">
        <v>45054.755243055559</v>
      </c>
      <c r="AG717" s="85">
        <v>45054</v>
      </c>
      <c r="AH717" s="82" t="s">
        <v>10870</v>
      </c>
      <c r="AI717" s="77" t="b">
        <v>0</v>
      </c>
      <c r="AJ717" s="77"/>
      <c r="AK717" s="77"/>
      <c r="AL717" s="77"/>
      <c r="AM717" s="77"/>
      <c r="AN717" s="77"/>
      <c r="AO717" s="77"/>
      <c r="AP717" s="77"/>
      <c r="AQ717" s="77"/>
      <c r="AR717" s="77"/>
      <c r="AS717" s="77"/>
      <c r="AT717" s="77"/>
      <c r="AU717" s="77"/>
      <c r="AV717" s="80" t="str">
        <f>HYPERLINK("https://pbs.twimg.com/profile_images/1431648743728852993/tLJ7F5Lu_normal.png")</f>
        <v>https://pbs.twimg.com/profile_images/1431648743728852993/tLJ7F5Lu_normal.png</v>
      </c>
      <c r="AW717" s="82" t="s">
        <v>17490</v>
      </c>
      <c r="AX717" s="82" t="s">
        <v>17490</v>
      </c>
      <c r="AY717" s="77"/>
      <c r="AZ717" s="82" t="s">
        <v>20971</v>
      </c>
      <c r="BA717" s="82" t="s">
        <v>20971</v>
      </c>
      <c r="BB717" s="82" t="s">
        <v>20971</v>
      </c>
      <c r="BC717" s="82" t="s">
        <v>17490</v>
      </c>
      <c r="BD717" s="77">
        <v>489723814</v>
      </c>
      <c r="BE717" s="77"/>
      <c r="BF717" s="77"/>
      <c r="BG717" s="77"/>
      <c r="BH717" s="77"/>
      <c r="BI717" s="77"/>
    </row>
    <row r="718" spans="1:61" x14ac:dyDescent="0.25">
      <c r="A718" s="62" t="s">
        <v>418</v>
      </c>
      <c r="B718" s="62" t="s">
        <v>418</v>
      </c>
      <c r="C718" s="63"/>
      <c r="D718" s="64"/>
      <c r="E718" s="65"/>
      <c r="F718" s="66"/>
      <c r="G718" s="63"/>
      <c r="H718" s="67"/>
      <c r="I718" s="68"/>
      <c r="J718" s="68"/>
      <c r="K718" s="32"/>
      <c r="L718" s="75">
        <v>718</v>
      </c>
      <c r="M718" s="75"/>
      <c r="N718" s="70"/>
      <c r="O718" s="77" t="s">
        <v>179</v>
      </c>
      <c r="P718" s="79">
        <v>45054.754432870373</v>
      </c>
      <c r="Q718" s="77" t="s">
        <v>2000</v>
      </c>
      <c r="R718" s="77">
        <v>0</v>
      </c>
      <c r="S718" s="77">
        <v>0</v>
      </c>
      <c r="T718" s="77">
        <v>0</v>
      </c>
      <c r="U718" s="77">
        <v>0</v>
      </c>
      <c r="V718" s="77">
        <v>19</v>
      </c>
      <c r="W718" s="82" t="s">
        <v>5560</v>
      </c>
      <c r="X718" s="80" t="str">
        <f>HYPERLINK("https://www.freeclassificados.com/ads/buffet-manduco-eventos-o-seu-evento-com-qualidade-e-pontualidade/")</f>
        <v>https://www.freeclassificados.com/ads/buffet-manduco-eventos-o-seu-evento-com-qualidade-e-pontualidade/</v>
      </c>
      <c r="Y718" s="77" t="s">
        <v>7308</v>
      </c>
      <c r="Z718" s="77"/>
      <c r="AA718" s="77"/>
      <c r="AB718" s="77"/>
      <c r="AC718" s="82" t="s">
        <v>10155</v>
      </c>
      <c r="AD718" s="77" t="s">
        <v>10184</v>
      </c>
      <c r="AE718" s="80" t="str">
        <f>HYPERLINK("https://twitter.com/freeclassific/status/1655635273114607617")</f>
        <v>https://twitter.com/freeclassific/status/1655635273114607617</v>
      </c>
      <c r="AF718" s="79">
        <v>45054.754432870373</v>
      </c>
      <c r="AG718" s="85">
        <v>45054</v>
      </c>
      <c r="AH718" s="82" t="s">
        <v>10871</v>
      </c>
      <c r="AI718" s="77" t="b">
        <v>0</v>
      </c>
      <c r="AJ718" s="77"/>
      <c r="AK718" s="77"/>
      <c r="AL718" s="77"/>
      <c r="AM718" s="77"/>
      <c r="AN718" s="77"/>
      <c r="AO718" s="77"/>
      <c r="AP718" s="77"/>
      <c r="AQ718" s="77"/>
      <c r="AR718" s="77"/>
      <c r="AS718" s="77"/>
      <c r="AT718" s="77"/>
      <c r="AU718" s="77"/>
      <c r="AV718" s="80" t="str">
        <f>HYPERLINK("https://pbs.twimg.com/profile_images/1431648743728852993/tLJ7F5Lu_normal.png")</f>
        <v>https://pbs.twimg.com/profile_images/1431648743728852993/tLJ7F5Lu_normal.png</v>
      </c>
      <c r="AW718" s="82" t="s">
        <v>17491</v>
      </c>
      <c r="AX718" s="82" t="s">
        <v>17491</v>
      </c>
      <c r="AY718" s="77"/>
      <c r="AZ718" s="82" t="s">
        <v>20971</v>
      </c>
      <c r="BA718" s="82" t="s">
        <v>20971</v>
      </c>
      <c r="BB718" s="82" t="s">
        <v>20971</v>
      </c>
      <c r="BC718" s="82" t="s">
        <v>17491</v>
      </c>
      <c r="BD718" s="77">
        <v>489723814</v>
      </c>
      <c r="BE718" s="77"/>
      <c r="BF718" s="77"/>
      <c r="BG718" s="77"/>
      <c r="BH718" s="77"/>
      <c r="BI718" s="77"/>
    </row>
    <row r="719" spans="1:61" x14ac:dyDescent="0.25">
      <c r="A719" s="62" t="s">
        <v>418</v>
      </c>
      <c r="B719" s="62" t="s">
        <v>418</v>
      </c>
      <c r="C719" s="63"/>
      <c r="D719" s="64"/>
      <c r="E719" s="65"/>
      <c r="F719" s="66"/>
      <c r="G719" s="63"/>
      <c r="H719" s="67"/>
      <c r="I719" s="68"/>
      <c r="J719" s="68"/>
      <c r="K719" s="32"/>
      <c r="L719" s="75">
        <v>719</v>
      </c>
      <c r="M719" s="75"/>
      <c r="N719" s="70"/>
      <c r="O719" s="77" t="s">
        <v>179</v>
      </c>
      <c r="P719" s="79">
        <v>45054.753692129627</v>
      </c>
      <c r="Q719" s="77" t="s">
        <v>2001</v>
      </c>
      <c r="R719" s="77">
        <v>0</v>
      </c>
      <c r="S719" s="77">
        <v>0</v>
      </c>
      <c r="T719" s="77">
        <v>0</v>
      </c>
      <c r="U719" s="77">
        <v>0</v>
      </c>
      <c r="V719" s="77">
        <v>19</v>
      </c>
      <c r="W719" s="82" t="s">
        <v>5560</v>
      </c>
      <c r="X719" s="80" t="str">
        <f>HYPERLINK("https://www.freeclassificados.com/ads/locacao-e-venda-de-arvore-de-natal-em-brasilia-df/")</f>
        <v>https://www.freeclassificados.com/ads/locacao-e-venda-de-arvore-de-natal-em-brasilia-df/</v>
      </c>
      <c r="Y719" s="77" t="s">
        <v>7308</v>
      </c>
      <c r="Z719" s="77"/>
      <c r="AA719" s="77"/>
      <c r="AB719" s="77"/>
      <c r="AC719" s="82" t="s">
        <v>10155</v>
      </c>
      <c r="AD719" s="77" t="s">
        <v>10184</v>
      </c>
      <c r="AE719" s="80" t="str">
        <f>HYPERLINK("https://twitter.com/freeclassific/status/1655635002598756352")</f>
        <v>https://twitter.com/freeclassific/status/1655635002598756352</v>
      </c>
      <c r="AF719" s="79">
        <v>45054.753692129627</v>
      </c>
      <c r="AG719" s="85">
        <v>45054</v>
      </c>
      <c r="AH719" s="82" t="s">
        <v>10872</v>
      </c>
      <c r="AI719" s="77" t="b">
        <v>0</v>
      </c>
      <c r="AJ719" s="77"/>
      <c r="AK719" s="77"/>
      <c r="AL719" s="77"/>
      <c r="AM719" s="77"/>
      <c r="AN719" s="77"/>
      <c r="AO719" s="77"/>
      <c r="AP719" s="77"/>
      <c r="AQ719" s="77"/>
      <c r="AR719" s="77"/>
      <c r="AS719" s="77"/>
      <c r="AT719" s="77"/>
      <c r="AU719" s="77"/>
      <c r="AV719" s="80" t="str">
        <f>HYPERLINK("https://pbs.twimg.com/profile_images/1431648743728852993/tLJ7F5Lu_normal.png")</f>
        <v>https://pbs.twimg.com/profile_images/1431648743728852993/tLJ7F5Lu_normal.png</v>
      </c>
      <c r="AW719" s="82" t="s">
        <v>17492</v>
      </c>
      <c r="AX719" s="82" t="s">
        <v>17492</v>
      </c>
      <c r="AY719" s="77"/>
      <c r="AZ719" s="82" t="s">
        <v>20971</v>
      </c>
      <c r="BA719" s="82" t="s">
        <v>20971</v>
      </c>
      <c r="BB719" s="82" t="s">
        <v>20971</v>
      </c>
      <c r="BC719" s="82" t="s">
        <v>17492</v>
      </c>
      <c r="BD719" s="77">
        <v>489723814</v>
      </c>
      <c r="BE719" s="77"/>
      <c r="BF719" s="77"/>
      <c r="BG719" s="77"/>
      <c r="BH719" s="77"/>
      <c r="BI719" s="77"/>
    </row>
    <row r="720" spans="1:61" x14ac:dyDescent="0.25">
      <c r="A720" s="62" t="s">
        <v>418</v>
      </c>
      <c r="B720" s="62" t="s">
        <v>418</v>
      </c>
      <c r="C720" s="63"/>
      <c r="D720" s="64"/>
      <c r="E720" s="65"/>
      <c r="F720" s="66"/>
      <c r="G720" s="63"/>
      <c r="H720" s="67"/>
      <c r="I720" s="68"/>
      <c r="J720" s="68"/>
      <c r="K720" s="32"/>
      <c r="L720" s="75">
        <v>720</v>
      </c>
      <c r="M720" s="75"/>
      <c r="N720" s="70"/>
      <c r="O720" s="77" t="s">
        <v>179</v>
      </c>
      <c r="P720" s="79">
        <v>45054.650983796295</v>
      </c>
      <c r="Q720" s="77" t="s">
        <v>2002</v>
      </c>
      <c r="R720" s="77">
        <v>0</v>
      </c>
      <c r="S720" s="77">
        <v>0</v>
      </c>
      <c r="T720" s="77">
        <v>0</v>
      </c>
      <c r="U720" s="77">
        <v>0</v>
      </c>
      <c r="V720" s="77">
        <v>19</v>
      </c>
      <c r="W720" s="82" t="s">
        <v>5560</v>
      </c>
      <c r="X720" s="80" t="str">
        <f>HYPERLINK("https://www.freeclassificados.com/ads/tenha-um-site-repleto-de-produtos-digitais-so-vender/")</f>
        <v>https://www.freeclassificados.com/ads/tenha-um-site-repleto-de-produtos-digitais-so-vender/</v>
      </c>
      <c r="Y720" s="77" t="s">
        <v>7308</v>
      </c>
      <c r="Z720" s="77"/>
      <c r="AA720" s="77"/>
      <c r="AB720" s="77"/>
      <c r="AC720" s="82" t="s">
        <v>10155</v>
      </c>
      <c r="AD720" s="77" t="s">
        <v>10184</v>
      </c>
      <c r="AE720" s="80" t="str">
        <f>HYPERLINK("https://twitter.com/freeclassific/status/1655597784207355905")</f>
        <v>https://twitter.com/freeclassific/status/1655597784207355905</v>
      </c>
      <c r="AF720" s="79">
        <v>45054.650983796295</v>
      </c>
      <c r="AG720" s="85">
        <v>45054</v>
      </c>
      <c r="AH720" s="82" t="s">
        <v>10873</v>
      </c>
      <c r="AI720" s="77" t="b">
        <v>0</v>
      </c>
      <c r="AJ720" s="77"/>
      <c r="AK720" s="77"/>
      <c r="AL720" s="77"/>
      <c r="AM720" s="77"/>
      <c r="AN720" s="77"/>
      <c r="AO720" s="77"/>
      <c r="AP720" s="77"/>
      <c r="AQ720" s="77"/>
      <c r="AR720" s="77"/>
      <c r="AS720" s="77"/>
      <c r="AT720" s="77"/>
      <c r="AU720" s="77"/>
      <c r="AV720" s="80" t="str">
        <f>HYPERLINK("https://pbs.twimg.com/profile_images/1431648743728852993/tLJ7F5Lu_normal.png")</f>
        <v>https://pbs.twimg.com/profile_images/1431648743728852993/tLJ7F5Lu_normal.png</v>
      </c>
      <c r="AW720" s="82" t="s">
        <v>17493</v>
      </c>
      <c r="AX720" s="82" t="s">
        <v>17493</v>
      </c>
      <c r="AY720" s="77"/>
      <c r="AZ720" s="82" t="s">
        <v>20971</v>
      </c>
      <c r="BA720" s="82" t="s">
        <v>20971</v>
      </c>
      <c r="BB720" s="82" t="s">
        <v>20971</v>
      </c>
      <c r="BC720" s="82" t="s">
        <v>17493</v>
      </c>
      <c r="BD720" s="77">
        <v>489723814</v>
      </c>
      <c r="BE720" s="77"/>
      <c r="BF720" s="77"/>
      <c r="BG720" s="77"/>
      <c r="BH720" s="77"/>
      <c r="BI720" s="77"/>
    </row>
    <row r="721" spans="1:61" x14ac:dyDescent="0.25">
      <c r="A721" s="62" t="s">
        <v>418</v>
      </c>
      <c r="B721" s="62" t="s">
        <v>418</v>
      </c>
      <c r="C721" s="63"/>
      <c r="D721" s="64"/>
      <c r="E721" s="65"/>
      <c r="F721" s="66"/>
      <c r="G721" s="63"/>
      <c r="H721" s="67"/>
      <c r="I721" s="68"/>
      <c r="J721" s="68"/>
      <c r="K721" s="32"/>
      <c r="L721" s="75">
        <v>721</v>
      </c>
      <c r="M721" s="75"/>
      <c r="N721" s="70"/>
      <c r="O721" s="77" t="s">
        <v>179</v>
      </c>
      <c r="P721" s="79">
        <v>45054.506828703707</v>
      </c>
      <c r="Q721" s="77" t="s">
        <v>2003</v>
      </c>
      <c r="R721" s="77">
        <v>0</v>
      </c>
      <c r="S721" s="77">
        <v>0</v>
      </c>
      <c r="T721" s="77">
        <v>0</v>
      </c>
      <c r="U721" s="77">
        <v>0</v>
      </c>
      <c r="V721" s="77">
        <v>20</v>
      </c>
      <c r="W721" s="82" t="s">
        <v>5560</v>
      </c>
      <c r="X721" s="80" t="str">
        <f>HYPERLINK("https://www.freeclassificados.com/ads/palco-coberta-som-luz-alugo-palco-aluguel-tablado-de-vidro-palco-madeira-9-86-25-98-82/")</f>
        <v>https://www.freeclassificados.com/ads/palco-coberta-som-luz-alugo-palco-aluguel-tablado-de-vidro-palco-madeira-9-86-25-98-82/</v>
      </c>
      <c r="Y721" s="77" t="s">
        <v>7308</v>
      </c>
      <c r="Z721" s="77"/>
      <c r="AA721" s="77"/>
      <c r="AB721" s="77"/>
      <c r="AC721" s="82" t="s">
        <v>10155</v>
      </c>
      <c r="AD721" s="77" t="s">
        <v>10184</v>
      </c>
      <c r="AE721" s="80" t="str">
        <f>HYPERLINK("https://twitter.com/freeclassific/status/1655545542674636800")</f>
        <v>https://twitter.com/freeclassific/status/1655545542674636800</v>
      </c>
      <c r="AF721" s="79">
        <v>45054.506828703707</v>
      </c>
      <c r="AG721" s="85">
        <v>45054</v>
      </c>
      <c r="AH721" s="82" t="s">
        <v>10874</v>
      </c>
      <c r="AI721" s="77" t="b">
        <v>0</v>
      </c>
      <c r="AJ721" s="77"/>
      <c r="AK721" s="77"/>
      <c r="AL721" s="77"/>
      <c r="AM721" s="77"/>
      <c r="AN721" s="77"/>
      <c r="AO721" s="77"/>
      <c r="AP721" s="77"/>
      <c r="AQ721" s="77"/>
      <c r="AR721" s="77"/>
      <c r="AS721" s="77"/>
      <c r="AT721" s="77"/>
      <c r="AU721" s="77"/>
      <c r="AV721" s="80" t="str">
        <f>HYPERLINK("https://pbs.twimg.com/profile_images/1431648743728852993/tLJ7F5Lu_normal.png")</f>
        <v>https://pbs.twimg.com/profile_images/1431648743728852993/tLJ7F5Lu_normal.png</v>
      </c>
      <c r="AW721" s="82" t="s">
        <v>17494</v>
      </c>
      <c r="AX721" s="82" t="s">
        <v>17494</v>
      </c>
      <c r="AY721" s="77"/>
      <c r="AZ721" s="82" t="s">
        <v>20971</v>
      </c>
      <c r="BA721" s="82" t="s">
        <v>20971</v>
      </c>
      <c r="BB721" s="82" t="s">
        <v>20971</v>
      </c>
      <c r="BC721" s="82" t="s">
        <v>17494</v>
      </c>
      <c r="BD721" s="77">
        <v>489723814</v>
      </c>
      <c r="BE721" s="77"/>
      <c r="BF721" s="77"/>
      <c r="BG721" s="77"/>
      <c r="BH721" s="77"/>
      <c r="BI721" s="77"/>
    </row>
    <row r="722" spans="1:61" x14ac:dyDescent="0.25">
      <c r="A722" s="62" t="s">
        <v>418</v>
      </c>
      <c r="B722" s="62" t="s">
        <v>418</v>
      </c>
      <c r="C722" s="63"/>
      <c r="D722" s="64"/>
      <c r="E722" s="65"/>
      <c r="F722" s="66"/>
      <c r="G722" s="63"/>
      <c r="H722" s="67"/>
      <c r="I722" s="68"/>
      <c r="J722" s="68"/>
      <c r="K722" s="32"/>
      <c r="L722" s="75">
        <v>722</v>
      </c>
      <c r="M722" s="75"/>
      <c r="N722" s="70"/>
      <c r="O722" s="77" t="s">
        <v>179</v>
      </c>
      <c r="P722" s="79">
        <v>45054.458958333336</v>
      </c>
      <c r="Q722" s="77" t="s">
        <v>2004</v>
      </c>
      <c r="R722" s="77">
        <v>0</v>
      </c>
      <c r="S722" s="77">
        <v>0</v>
      </c>
      <c r="T722" s="77">
        <v>0</v>
      </c>
      <c r="U722" s="77">
        <v>0</v>
      </c>
      <c r="V722" s="77">
        <v>18</v>
      </c>
      <c r="W722" s="82" t="s">
        <v>5560</v>
      </c>
      <c r="X722" s="80" t="str">
        <f>HYPERLINK("https://www.freeclassificados.com/ads/precisando-de-consertos-para-fogao-ou-cooktop/")</f>
        <v>https://www.freeclassificados.com/ads/precisando-de-consertos-para-fogao-ou-cooktop/</v>
      </c>
      <c r="Y722" s="77" t="s">
        <v>7308</v>
      </c>
      <c r="Z722" s="77"/>
      <c r="AA722" s="77"/>
      <c r="AB722" s="77"/>
      <c r="AC722" s="82" t="s">
        <v>10155</v>
      </c>
      <c r="AD722" s="77" t="s">
        <v>10184</v>
      </c>
      <c r="AE722" s="80" t="str">
        <f>HYPERLINK("https://twitter.com/freeclassific/status/1655528193804349441")</f>
        <v>https://twitter.com/freeclassific/status/1655528193804349441</v>
      </c>
      <c r="AF722" s="79">
        <v>45054.458958333336</v>
      </c>
      <c r="AG722" s="85">
        <v>45054</v>
      </c>
      <c r="AH722" s="82" t="s">
        <v>10875</v>
      </c>
      <c r="AI722" s="77" t="b">
        <v>0</v>
      </c>
      <c r="AJ722" s="77"/>
      <c r="AK722" s="77"/>
      <c r="AL722" s="77"/>
      <c r="AM722" s="77"/>
      <c r="AN722" s="77"/>
      <c r="AO722" s="77"/>
      <c r="AP722" s="77"/>
      <c r="AQ722" s="77"/>
      <c r="AR722" s="77"/>
      <c r="AS722" s="77"/>
      <c r="AT722" s="77"/>
      <c r="AU722" s="77"/>
      <c r="AV722" s="80" t="str">
        <f>HYPERLINK("https://pbs.twimg.com/profile_images/1431648743728852993/tLJ7F5Lu_normal.png")</f>
        <v>https://pbs.twimg.com/profile_images/1431648743728852993/tLJ7F5Lu_normal.png</v>
      </c>
      <c r="AW722" s="82" t="s">
        <v>17495</v>
      </c>
      <c r="AX722" s="82" t="s">
        <v>17495</v>
      </c>
      <c r="AY722" s="77"/>
      <c r="AZ722" s="82" t="s">
        <v>20971</v>
      </c>
      <c r="BA722" s="82" t="s">
        <v>20971</v>
      </c>
      <c r="BB722" s="82" t="s">
        <v>20971</v>
      </c>
      <c r="BC722" s="82" t="s">
        <v>17495</v>
      </c>
      <c r="BD722" s="77">
        <v>489723814</v>
      </c>
      <c r="BE722" s="77"/>
      <c r="BF722" s="77"/>
      <c r="BG722" s="77"/>
      <c r="BH722" s="77"/>
      <c r="BI722" s="77"/>
    </row>
    <row r="723" spans="1:61" x14ac:dyDescent="0.25">
      <c r="A723" s="62" t="s">
        <v>418</v>
      </c>
      <c r="B723" s="62" t="s">
        <v>418</v>
      </c>
      <c r="C723" s="63"/>
      <c r="D723" s="64"/>
      <c r="E723" s="65"/>
      <c r="F723" s="66"/>
      <c r="G723" s="63"/>
      <c r="H723" s="67"/>
      <c r="I723" s="68"/>
      <c r="J723" s="68"/>
      <c r="K723" s="32"/>
      <c r="L723" s="75">
        <v>723</v>
      </c>
      <c r="M723" s="75"/>
      <c r="N723" s="70"/>
      <c r="O723" s="77" t="s">
        <v>179</v>
      </c>
      <c r="P723" s="79">
        <v>45054.370763888888</v>
      </c>
      <c r="Q723" s="77" t="s">
        <v>2005</v>
      </c>
      <c r="R723" s="77">
        <v>0</v>
      </c>
      <c r="S723" s="77">
        <v>0</v>
      </c>
      <c r="T723" s="77">
        <v>0</v>
      </c>
      <c r="U723" s="77">
        <v>0</v>
      </c>
      <c r="V723" s="77">
        <v>30</v>
      </c>
      <c r="W723" s="82" t="s">
        <v>5560</v>
      </c>
      <c r="X723" s="80" t="str">
        <f>HYPERLINK("https://www.freeclassificados.com/ads/jequie-ba-leo-santos-locutor-comercial-vinhetas-online-gravacao-de-propaganda-volante/")</f>
        <v>https://www.freeclassificados.com/ads/jequie-ba-leo-santos-locutor-comercial-vinhetas-online-gravacao-de-propaganda-volante/</v>
      </c>
      <c r="Y723" s="77" t="s">
        <v>7308</v>
      </c>
      <c r="Z723" s="77"/>
      <c r="AA723" s="77"/>
      <c r="AB723" s="77"/>
      <c r="AC723" s="82" t="s">
        <v>10155</v>
      </c>
      <c r="AD723" s="77" t="s">
        <v>10184</v>
      </c>
      <c r="AE723" s="80" t="str">
        <f>HYPERLINK("https://twitter.com/freeclassific/status/1655496232029257728")</f>
        <v>https://twitter.com/freeclassific/status/1655496232029257728</v>
      </c>
      <c r="AF723" s="79">
        <v>45054.370763888888</v>
      </c>
      <c r="AG723" s="85">
        <v>45054</v>
      </c>
      <c r="AH723" s="82" t="s">
        <v>10876</v>
      </c>
      <c r="AI723" s="77" t="b">
        <v>0</v>
      </c>
      <c r="AJ723" s="77"/>
      <c r="AK723" s="77"/>
      <c r="AL723" s="77"/>
      <c r="AM723" s="77"/>
      <c r="AN723" s="77"/>
      <c r="AO723" s="77"/>
      <c r="AP723" s="77"/>
      <c r="AQ723" s="77"/>
      <c r="AR723" s="77"/>
      <c r="AS723" s="77"/>
      <c r="AT723" s="77"/>
      <c r="AU723" s="77"/>
      <c r="AV723" s="80" t="str">
        <f>HYPERLINK("https://pbs.twimg.com/profile_images/1431648743728852993/tLJ7F5Lu_normal.png")</f>
        <v>https://pbs.twimg.com/profile_images/1431648743728852993/tLJ7F5Lu_normal.png</v>
      </c>
      <c r="AW723" s="82" t="s">
        <v>17496</v>
      </c>
      <c r="AX723" s="82" t="s">
        <v>17496</v>
      </c>
      <c r="AY723" s="77"/>
      <c r="AZ723" s="82" t="s">
        <v>20971</v>
      </c>
      <c r="BA723" s="82" t="s">
        <v>20971</v>
      </c>
      <c r="BB723" s="82" t="s">
        <v>20971</v>
      </c>
      <c r="BC723" s="82" t="s">
        <v>17496</v>
      </c>
      <c r="BD723" s="77">
        <v>489723814</v>
      </c>
      <c r="BE723" s="77"/>
      <c r="BF723" s="77"/>
      <c r="BG723" s="77"/>
      <c r="BH723" s="77"/>
      <c r="BI723" s="77"/>
    </row>
    <row r="724" spans="1:61" x14ac:dyDescent="0.25">
      <c r="A724" s="62" t="s">
        <v>418</v>
      </c>
      <c r="B724" s="62" t="s">
        <v>418</v>
      </c>
      <c r="C724" s="63"/>
      <c r="D724" s="64"/>
      <c r="E724" s="65"/>
      <c r="F724" s="66"/>
      <c r="G724" s="63"/>
      <c r="H724" s="67"/>
      <c r="I724" s="68"/>
      <c r="J724" s="68"/>
      <c r="K724" s="32"/>
      <c r="L724" s="75">
        <v>724</v>
      </c>
      <c r="M724" s="75"/>
      <c r="N724" s="70"/>
      <c r="O724" s="77" t="s">
        <v>179</v>
      </c>
      <c r="P724" s="79">
        <v>45054.368217592593</v>
      </c>
      <c r="Q724" s="77" t="s">
        <v>2006</v>
      </c>
      <c r="R724" s="77">
        <v>0</v>
      </c>
      <c r="S724" s="77">
        <v>0</v>
      </c>
      <c r="T724" s="77">
        <v>0</v>
      </c>
      <c r="U724" s="77">
        <v>0</v>
      </c>
      <c r="V724" s="77">
        <v>24</v>
      </c>
      <c r="W724" s="82" t="s">
        <v>5560</v>
      </c>
      <c r="X724" s="80" t="str">
        <f>HYPERLINK("https://www.freeclassificados.com/ads/ilheus-ba-leo-locutor-online-agora-gravacao-de-vinhetas-propagandas/")</f>
        <v>https://www.freeclassificados.com/ads/ilheus-ba-leo-locutor-online-agora-gravacao-de-vinhetas-propagandas/</v>
      </c>
      <c r="Y724" s="77" t="s">
        <v>7308</v>
      </c>
      <c r="Z724" s="77"/>
      <c r="AA724" s="77"/>
      <c r="AB724" s="77"/>
      <c r="AC724" s="82" t="s">
        <v>10155</v>
      </c>
      <c r="AD724" s="77" t="s">
        <v>10184</v>
      </c>
      <c r="AE724" s="80" t="str">
        <f>HYPERLINK("https://twitter.com/freeclassific/status/1655495313325694982")</f>
        <v>https://twitter.com/freeclassific/status/1655495313325694982</v>
      </c>
      <c r="AF724" s="79">
        <v>45054.368217592593</v>
      </c>
      <c r="AG724" s="85">
        <v>45054</v>
      </c>
      <c r="AH724" s="82" t="s">
        <v>10877</v>
      </c>
      <c r="AI724" s="77" t="b">
        <v>0</v>
      </c>
      <c r="AJ724" s="77"/>
      <c r="AK724" s="77"/>
      <c r="AL724" s="77"/>
      <c r="AM724" s="77"/>
      <c r="AN724" s="77"/>
      <c r="AO724" s="77"/>
      <c r="AP724" s="77"/>
      <c r="AQ724" s="77"/>
      <c r="AR724" s="77"/>
      <c r="AS724" s="77"/>
      <c r="AT724" s="77"/>
      <c r="AU724" s="77"/>
      <c r="AV724" s="80" t="str">
        <f>HYPERLINK("https://pbs.twimg.com/profile_images/1431648743728852993/tLJ7F5Lu_normal.png")</f>
        <v>https://pbs.twimg.com/profile_images/1431648743728852993/tLJ7F5Lu_normal.png</v>
      </c>
      <c r="AW724" s="82" t="s">
        <v>17497</v>
      </c>
      <c r="AX724" s="82" t="s">
        <v>17497</v>
      </c>
      <c r="AY724" s="77"/>
      <c r="AZ724" s="82" t="s">
        <v>20971</v>
      </c>
      <c r="BA724" s="82" t="s">
        <v>20971</v>
      </c>
      <c r="BB724" s="82" t="s">
        <v>20971</v>
      </c>
      <c r="BC724" s="82" t="s">
        <v>17497</v>
      </c>
      <c r="BD724" s="77">
        <v>489723814</v>
      </c>
      <c r="BE724" s="77"/>
      <c r="BF724" s="77"/>
      <c r="BG724" s="77"/>
      <c r="BH724" s="77"/>
      <c r="BI724" s="77"/>
    </row>
    <row r="725" spans="1:61" x14ac:dyDescent="0.25">
      <c r="A725" s="62" t="s">
        <v>418</v>
      </c>
      <c r="B725" s="62" t="s">
        <v>418</v>
      </c>
      <c r="C725" s="63"/>
      <c r="D725" s="64"/>
      <c r="E725" s="65"/>
      <c r="F725" s="66"/>
      <c r="G725" s="63"/>
      <c r="H725" s="67"/>
      <c r="I725" s="68"/>
      <c r="J725" s="68"/>
      <c r="K725" s="32"/>
      <c r="L725" s="75">
        <v>725</v>
      </c>
      <c r="M725" s="75"/>
      <c r="N725" s="70"/>
      <c r="O725" s="77" t="s">
        <v>179</v>
      </c>
      <c r="P725" s="79">
        <v>45054.36550925926</v>
      </c>
      <c r="Q725" s="77" t="s">
        <v>2007</v>
      </c>
      <c r="R725" s="77">
        <v>0</v>
      </c>
      <c r="S725" s="77">
        <v>0</v>
      </c>
      <c r="T725" s="77">
        <v>0</v>
      </c>
      <c r="U725" s="77">
        <v>0</v>
      </c>
      <c r="V725" s="77">
        <v>27</v>
      </c>
      <c r="W725" s="82" t="s">
        <v>5560</v>
      </c>
      <c r="X725" s="80" t="str">
        <f>HYPERLINK("https://www.freeclassificados.com/ads/barreiras-ba-locutor-leo-spot-vinhetas-comercial-gravacao-de-propagandas-online/")</f>
        <v>https://www.freeclassificados.com/ads/barreiras-ba-locutor-leo-spot-vinhetas-comercial-gravacao-de-propagandas-online/</v>
      </c>
      <c r="Y725" s="77" t="s">
        <v>7308</v>
      </c>
      <c r="Z725" s="77"/>
      <c r="AA725" s="77"/>
      <c r="AB725" s="77"/>
      <c r="AC725" s="82" t="s">
        <v>10155</v>
      </c>
      <c r="AD725" s="77" t="s">
        <v>10184</v>
      </c>
      <c r="AE725" s="80" t="str">
        <f>HYPERLINK("https://twitter.com/freeclassific/status/1655494327840145409")</f>
        <v>https://twitter.com/freeclassific/status/1655494327840145409</v>
      </c>
      <c r="AF725" s="79">
        <v>45054.36550925926</v>
      </c>
      <c r="AG725" s="85">
        <v>45054</v>
      </c>
      <c r="AH725" s="82" t="s">
        <v>10878</v>
      </c>
      <c r="AI725" s="77" t="b">
        <v>0</v>
      </c>
      <c r="AJ725" s="77"/>
      <c r="AK725" s="77"/>
      <c r="AL725" s="77"/>
      <c r="AM725" s="77"/>
      <c r="AN725" s="77"/>
      <c r="AO725" s="77"/>
      <c r="AP725" s="77"/>
      <c r="AQ725" s="77"/>
      <c r="AR725" s="77"/>
      <c r="AS725" s="77"/>
      <c r="AT725" s="77"/>
      <c r="AU725" s="77"/>
      <c r="AV725" s="80" t="str">
        <f>HYPERLINK("https://pbs.twimg.com/profile_images/1431648743728852993/tLJ7F5Lu_normal.png")</f>
        <v>https://pbs.twimg.com/profile_images/1431648743728852993/tLJ7F5Lu_normal.png</v>
      </c>
      <c r="AW725" s="82" t="s">
        <v>17498</v>
      </c>
      <c r="AX725" s="82" t="s">
        <v>17498</v>
      </c>
      <c r="AY725" s="77"/>
      <c r="AZ725" s="82" t="s">
        <v>20971</v>
      </c>
      <c r="BA725" s="82" t="s">
        <v>20971</v>
      </c>
      <c r="BB725" s="82" t="s">
        <v>20971</v>
      </c>
      <c r="BC725" s="82" t="s">
        <v>17498</v>
      </c>
      <c r="BD725" s="77">
        <v>489723814</v>
      </c>
      <c r="BE725" s="77"/>
      <c r="BF725" s="77"/>
      <c r="BG725" s="77"/>
      <c r="BH725" s="77"/>
      <c r="BI725" s="77"/>
    </row>
    <row r="726" spans="1:61" x14ac:dyDescent="0.25">
      <c r="A726" s="62" t="s">
        <v>418</v>
      </c>
      <c r="B726" s="62" t="s">
        <v>418</v>
      </c>
      <c r="C726" s="63"/>
      <c r="D726" s="64"/>
      <c r="E726" s="65"/>
      <c r="F726" s="66"/>
      <c r="G726" s="63"/>
      <c r="H726" s="67"/>
      <c r="I726" s="68"/>
      <c r="J726" s="68"/>
      <c r="K726" s="32"/>
      <c r="L726" s="75">
        <v>726</v>
      </c>
      <c r="M726" s="75"/>
      <c r="N726" s="70"/>
      <c r="O726" s="77" t="s">
        <v>179</v>
      </c>
      <c r="P726" s="79">
        <v>45054.362766203703</v>
      </c>
      <c r="Q726" s="77" t="s">
        <v>2008</v>
      </c>
      <c r="R726" s="77">
        <v>0</v>
      </c>
      <c r="S726" s="77">
        <v>0</v>
      </c>
      <c r="T726" s="77">
        <v>0</v>
      </c>
      <c r="U726" s="77">
        <v>0</v>
      </c>
      <c r="V726" s="77">
        <v>33</v>
      </c>
      <c r="W726" s="82" t="s">
        <v>5560</v>
      </c>
      <c r="X726" s="80" t="str">
        <f>HYPERLINK("https://www.freeclassificados.com/ads/teixeira-de-freitas-ba-leo-santos-locutor-propagandas-gravacao-de-vinhetas-comerciais/")</f>
        <v>https://www.freeclassificados.com/ads/teixeira-de-freitas-ba-leo-santos-locutor-propagandas-gravacao-de-vinhetas-comerciais/</v>
      </c>
      <c r="Y726" s="77" t="s">
        <v>7308</v>
      </c>
      <c r="Z726" s="77"/>
      <c r="AA726" s="77"/>
      <c r="AB726" s="77"/>
      <c r="AC726" s="82" t="s">
        <v>10155</v>
      </c>
      <c r="AD726" s="77" t="s">
        <v>10184</v>
      </c>
      <c r="AE726" s="80" t="str">
        <f>HYPERLINK("https://twitter.com/freeclassific/status/1655493337585967105")</f>
        <v>https://twitter.com/freeclassific/status/1655493337585967105</v>
      </c>
      <c r="AF726" s="79">
        <v>45054.362766203703</v>
      </c>
      <c r="AG726" s="85">
        <v>45054</v>
      </c>
      <c r="AH726" s="82" t="s">
        <v>10879</v>
      </c>
      <c r="AI726" s="77" t="b">
        <v>0</v>
      </c>
      <c r="AJ726" s="77"/>
      <c r="AK726" s="77"/>
      <c r="AL726" s="77"/>
      <c r="AM726" s="77"/>
      <c r="AN726" s="77"/>
      <c r="AO726" s="77"/>
      <c r="AP726" s="77"/>
      <c r="AQ726" s="77"/>
      <c r="AR726" s="77"/>
      <c r="AS726" s="77"/>
      <c r="AT726" s="77"/>
      <c r="AU726" s="77"/>
      <c r="AV726" s="80" t="str">
        <f>HYPERLINK("https://pbs.twimg.com/profile_images/1431648743728852993/tLJ7F5Lu_normal.png")</f>
        <v>https://pbs.twimg.com/profile_images/1431648743728852993/tLJ7F5Lu_normal.png</v>
      </c>
      <c r="AW726" s="82" t="s">
        <v>17499</v>
      </c>
      <c r="AX726" s="82" t="s">
        <v>17499</v>
      </c>
      <c r="AY726" s="77"/>
      <c r="AZ726" s="82" t="s">
        <v>20971</v>
      </c>
      <c r="BA726" s="82" t="s">
        <v>20971</v>
      </c>
      <c r="BB726" s="82" t="s">
        <v>20971</v>
      </c>
      <c r="BC726" s="82" t="s">
        <v>17499</v>
      </c>
      <c r="BD726" s="77">
        <v>489723814</v>
      </c>
      <c r="BE726" s="77"/>
      <c r="BF726" s="77"/>
      <c r="BG726" s="77"/>
      <c r="BH726" s="77"/>
      <c r="BI726" s="77"/>
    </row>
    <row r="727" spans="1:61" x14ac:dyDescent="0.25">
      <c r="A727" s="62" t="s">
        <v>418</v>
      </c>
      <c r="B727" s="62" t="s">
        <v>418</v>
      </c>
      <c r="C727" s="63"/>
      <c r="D727" s="64"/>
      <c r="E727" s="65"/>
      <c r="F727" s="66"/>
      <c r="G727" s="63"/>
      <c r="H727" s="67"/>
      <c r="I727" s="68"/>
      <c r="J727" s="68"/>
      <c r="K727" s="32"/>
      <c r="L727" s="75">
        <v>727</v>
      </c>
      <c r="M727" s="75"/>
      <c r="N727" s="70"/>
      <c r="O727" s="77" t="s">
        <v>179</v>
      </c>
      <c r="P727" s="79">
        <v>45054.359305555554</v>
      </c>
      <c r="Q727" s="77" t="s">
        <v>2009</v>
      </c>
      <c r="R727" s="77">
        <v>0</v>
      </c>
      <c r="S727" s="77">
        <v>0</v>
      </c>
      <c r="T727" s="77">
        <v>0</v>
      </c>
      <c r="U727" s="77">
        <v>0</v>
      </c>
      <c r="V727" s="77">
        <v>23</v>
      </c>
      <c r="W727" s="82" t="s">
        <v>5560</v>
      </c>
      <c r="X727" s="80" t="str">
        <f>HYPERLINK("https://www.freeclassificados.com/ads/lauro-de-freitas-ba-leo-santos-locutor-online-gravacao-de-vinhetas-propagandas/")</f>
        <v>https://www.freeclassificados.com/ads/lauro-de-freitas-ba-leo-santos-locutor-online-gravacao-de-vinhetas-propagandas/</v>
      </c>
      <c r="Y727" s="77" t="s">
        <v>7308</v>
      </c>
      <c r="Z727" s="77"/>
      <c r="AA727" s="77"/>
      <c r="AB727" s="77"/>
      <c r="AC727" s="82" t="s">
        <v>10155</v>
      </c>
      <c r="AD727" s="77" t="s">
        <v>10184</v>
      </c>
      <c r="AE727" s="80" t="str">
        <f>HYPERLINK("https://twitter.com/freeclassific/status/1655492082637869057")</f>
        <v>https://twitter.com/freeclassific/status/1655492082637869057</v>
      </c>
      <c r="AF727" s="79">
        <v>45054.359305555554</v>
      </c>
      <c r="AG727" s="85">
        <v>45054</v>
      </c>
      <c r="AH727" s="82" t="s">
        <v>10880</v>
      </c>
      <c r="AI727" s="77" t="b">
        <v>0</v>
      </c>
      <c r="AJ727" s="77"/>
      <c r="AK727" s="77"/>
      <c r="AL727" s="77"/>
      <c r="AM727" s="77"/>
      <c r="AN727" s="77"/>
      <c r="AO727" s="77"/>
      <c r="AP727" s="77"/>
      <c r="AQ727" s="77"/>
      <c r="AR727" s="77"/>
      <c r="AS727" s="77"/>
      <c r="AT727" s="77"/>
      <c r="AU727" s="77"/>
      <c r="AV727" s="80" t="str">
        <f>HYPERLINK("https://pbs.twimg.com/profile_images/1431648743728852993/tLJ7F5Lu_normal.png")</f>
        <v>https://pbs.twimg.com/profile_images/1431648743728852993/tLJ7F5Lu_normal.png</v>
      </c>
      <c r="AW727" s="82" t="s">
        <v>17500</v>
      </c>
      <c r="AX727" s="82" t="s">
        <v>17500</v>
      </c>
      <c r="AY727" s="77"/>
      <c r="AZ727" s="82" t="s">
        <v>20971</v>
      </c>
      <c r="BA727" s="82" t="s">
        <v>20971</v>
      </c>
      <c r="BB727" s="82" t="s">
        <v>20971</v>
      </c>
      <c r="BC727" s="82" t="s">
        <v>17500</v>
      </c>
      <c r="BD727" s="77">
        <v>489723814</v>
      </c>
      <c r="BE727" s="77"/>
      <c r="BF727" s="77"/>
      <c r="BG727" s="77"/>
      <c r="BH727" s="77"/>
      <c r="BI727" s="77"/>
    </row>
    <row r="728" spans="1:61" x14ac:dyDescent="0.25">
      <c r="A728" s="62" t="s">
        <v>418</v>
      </c>
      <c r="B728" s="62" t="s">
        <v>418</v>
      </c>
      <c r="C728" s="63"/>
      <c r="D728" s="64"/>
      <c r="E728" s="65"/>
      <c r="F728" s="66"/>
      <c r="G728" s="63"/>
      <c r="H728" s="67"/>
      <c r="I728" s="68"/>
      <c r="J728" s="68"/>
      <c r="K728" s="32"/>
      <c r="L728" s="75">
        <v>728</v>
      </c>
      <c r="M728" s="75"/>
      <c r="N728" s="70"/>
      <c r="O728" s="77" t="s">
        <v>179</v>
      </c>
      <c r="P728" s="79">
        <v>45054.356307870374</v>
      </c>
      <c r="Q728" s="77" t="s">
        <v>2010</v>
      </c>
      <c r="R728" s="77">
        <v>0</v>
      </c>
      <c r="S728" s="77">
        <v>0</v>
      </c>
      <c r="T728" s="77">
        <v>0</v>
      </c>
      <c r="U728" s="77">
        <v>0</v>
      </c>
      <c r="V728" s="77">
        <v>26</v>
      </c>
      <c r="W728" s="82" t="s">
        <v>5560</v>
      </c>
      <c r="X728" s="80" t="str">
        <f>HYPERLINK("https://www.freeclassificados.com/ads/itabuna-ba-leo-locutor-gravando-agora-spots-vinhetas-gravacao-de-propagandas/")</f>
        <v>https://www.freeclassificados.com/ads/itabuna-ba-leo-locutor-gravando-agora-spots-vinhetas-gravacao-de-propagandas/</v>
      </c>
      <c r="Y728" s="77" t="s">
        <v>7308</v>
      </c>
      <c r="Z728" s="77"/>
      <c r="AA728" s="77"/>
      <c r="AB728" s="77"/>
      <c r="AC728" s="82" t="s">
        <v>10155</v>
      </c>
      <c r="AD728" s="77" t="s">
        <v>10184</v>
      </c>
      <c r="AE728" s="80" t="str">
        <f>HYPERLINK("https://twitter.com/freeclassific/status/1655490993540694016")</f>
        <v>https://twitter.com/freeclassific/status/1655490993540694016</v>
      </c>
      <c r="AF728" s="79">
        <v>45054.356307870374</v>
      </c>
      <c r="AG728" s="85">
        <v>45054</v>
      </c>
      <c r="AH728" s="82" t="s">
        <v>10881</v>
      </c>
      <c r="AI728" s="77" t="b">
        <v>0</v>
      </c>
      <c r="AJ728" s="77"/>
      <c r="AK728" s="77"/>
      <c r="AL728" s="77"/>
      <c r="AM728" s="77"/>
      <c r="AN728" s="77"/>
      <c r="AO728" s="77"/>
      <c r="AP728" s="77"/>
      <c r="AQ728" s="77"/>
      <c r="AR728" s="77"/>
      <c r="AS728" s="77"/>
      <c r="AT728" s="77"/>
      <c r="AU728" s="77"/>
      <c r="AV728" s="80" t="str">
        <f>HYPERLINK("https://pbs.twimg.com/profile_images/1431648743728852993/tLJ7F5Lu_normal.png")</f>
        <v>https://pbs.twimg.com/profile_images/1431648743728852993/tLJ7F5Lu_normal.png</v>
      </c>
      <c r="AW728" s="82" t="s">
        <v>17501</v>
      </c>
      <c r="AX728" s="82" t="s">
        <v>17501</v>
      </c>
      <c r="AY728" s="77"/>
      <c r="AZ728" s="82" t="s">
        <v>20971</v>
      </c>
      <c r="BA728" s="82" t="s">
        <v>20971</v>
      </c>
      <c r="BB728" s="82" t="s">
        <v>20971</v>
      </c>
      <c r="BC728" s="82" t="s">
        <v>17501</v>
      </c>
      <c r="BD728" s="77">
        <v>489723814</v>
      </c>
      <c r="BE728" s="77"/>
      <c r="BF728" s="77"/>
      <c r="BG728" s="77"/>
      <c r="BH728" s="77"/>
      <c r="BI728" s="77"/>
    </row>
    <row r="729" spans="1:61" x14ac:dyDescent="0.25">
      <c r="A729" s="62" t="s">
        <v>418</v>
      </c>
      <c r="B729" s="62" t="s">
        <v>418</v>
      </c>
      <c r="C729" s="63"/>
      <c r="D729" s="64"/>
      <c r="E729" s="65"/>
      <c r="F729" s="66"/>
      <c r="G729" s="63"/>
      <c r="H729" s="67"/>
      <c r="I729" s="68"/>
      <c r="J729" s="68"/>
      <c r="K729" s="32"/>
      <c r="L729" s="75">
        <v>729</v>
      </c>
      <c r="M729" s="75"/>
      <c r="N729" s="70"/>
      <c r="O729" s="77" t="s">
        <v>179</v>
      </c>
      <c r="P729" s="79">
        <v>45054.353368055556</v>
      </c>
      <c r="Q729" s="77" t="s">
        <v>2011</v>
      </c>
      <c r="R729" s="77">
        <v>0</v>
      </c>
      <c r="S729" s="77">
        <v>0</v>
      </c>
      <c r="T729" s="77">
        <v>0</v>
      </c>
      <c r="U729" s="77">
        <v>0</v>
      </c>
      <c r="V729" s="77">
        <v>29</v>
      </c>
      <c r="W729" s="82" t="s">
        <v>5560</v>
      </c>
      <c r="X729" s="80" t="str">
        <f>HYPERLINK("https://www.freeclassificados.com/ads/vitoria-da-conquista-ba-locutor-leo-santos-spot-vinheta-gravacao-de-propagandas/")</f>
        <v>https://www.freeclassificados.com/ads/vitoria-da-conquista-ba-locutor-leo-santos-spot-vinheta-gravacao-de-propagandas/</v>
      </c>
      <c r="Y729" s="77" t="s">
        <v>7308</v>
      </c>
      <c r="Z729" s="77"/>
      <c r="AA729" s="77"/>
      <c r="AB729" s="77"/>
      <c r="AC729" s="82" t="s">
        <v>10155</v>
      </c>
      <c r="AD729" s="77" t="s">
        <v>10184</v>
      </c>
      <c r="AE729" s="80" t="str">
        <f>HYPERLINK("https://twitter.com/freeclassific/status/1655489930204782593")</f>
        <v>https://twitter.com/freeclassific/status/1655489930204782593</v>
      </c>
      <c r="AF729" s="79">
        <v>45054.353368055556</v>
      </c>
      <c r="AG729" s="85">
        <v>45054</v>
      </c>
      <c r="AH729" s="82" t="s">
        <v>10882</v>
      </c>
      <c r="AI729" s="77" t="b">
        <v>0</v>
      </c>
      <c r="AJ729" s="77"/>
      <c r="AK729" s="77"/>
      <c r="AL729" s="77"/>
      <c r="AM729" s="77"/>
      <c r="AN729" s="77"/>
      <c r="AO729" s="77"/>
      <c r="AP729" s="77"/>
      <c r="AQ729" s="77"/>
      <c r="AR729" s="77"/>
      <c r="AS729" s="77"/>
      <c r="AT729" s="77"/>
      <c r="AU729" s="77"/>
      <c r="AV729" s="80" t="str">
        <f>HYPERLINK("https://pbs.twimg.com/profile_images/1431648743728852993/tLJ7F5Lu_normal.png")</f>
        <v>https://pbs.twimg.com/profile_images/1431648743728852993/tLJ7F5Lu_normal.png</v>
      </c>
      <c r="AW729" s="82" t="s">
        <v>17502</v>
      </c>
      <c r="AX729" s="82" t="s">
        <v>17502</v>
      </c>
      <c r="AY729" s="77"/>
      <c r="AZ729" s="82" t="s">
        <v>20971</v>
      </c>
      <c r="BA729" s="82" t="s">
        <v>20971</v>
      </c>
      <c r="BB729" s="82" t="s">
        <v>20971</v>
      </c>
      <c r="BC729" s="82" t="s">
        <v>17502</v>
      </c>
      <c r="BD729" s="77">
        <v>489723814</v>
      </c>
      <c r="BE729" s="77"/>
      <c r="BF729" s="77"/>
      <c r="BG729" s="77"/>
      <c r="BH729" s="77"/>
      <c r="BI729" s="77"/>
    </row>
    <row r="730" spans="1:61" x14ac:dyDescent="0.25">
      <c r="A730" s="62" t="s">
        <v>418</v>
      </c>
      <c r="B730" s="62" t="s">
        <v>418</v>
      </c>
      <c r="C730" s="63"/>
      <c r="D730" s="64"/>
      <c r="E730" s="65"/>
      <c r="F730" s="66"/>
      <c r="G730" s="63"/>
      <c r="H730" s="67"/>
      <c r="I730" s="68"/>
      <c r="J730" s="68"/>
      <c r="K730" s="32"/>
      <c r="L730" s="75">
        <v>730</v>
      </c>
      <c r="M730" s="75"/>
      <c r="N730" s="70"/>
      <c r="O730" s="77" t="s">
        <v>179</v>
      </c>
      <c r="P730" s="79">
        <v>45054.352384259262</v>
      </c>
      <c r="Q730" s="77" t="s">
        <v>2012</v>
      </c>
      <c r="R730" s="77">
        <v>0</v>
      </c>
      <c r="S730" s="77">
        <v>0</v>
      </c>
      <c r="T730" s="77">
        <v>0</v>
      </c>
      <c r="U730" s="77">
        <v>0</v>
      </c>
      <c r="V730" s="77">
        <v>25</v>
      </c>
      <c r="W730" s="82" t="s">
        <v>5560</v>
      </c>
      <c r="X730" s="80" t="str">
        <f>HYPERLINK("https://www.freeclassificados.com/ads/vitoria-da-conquista-ba-locutor-leo-santos-spot-vinheta-gravacao-de-propagandas/")</f>
        <v>https://www.freeclassificados.com/ads/vitoria-da-conquista-ba-locutor-leo-santos-spot-vinheta-gravacao-de-propagandas/</v>
      </c>
      <c r="Y730" s="77" t="s">
        <v>7308</v>
      </c>
      <c r="Z730" s="77"/>
      <c r="AA730" s="77"/>
      <c r="AB730" s="77"/>
      <c r="AC730" s="82" t="s">
        <v>10155</v>
      </c>
      <c r="AD730" s="77" t="s">
        <v>10184</v>
      </c>
      <c r="AE730" s="80" t="str">
        <f>HYPERLINK("https://twitter.com/freeclassific/status/1655489574762868737")</f>
        <v>https://twitter.com/freeclassific/status/1655489574762868737</v>
      </c>
      <c r="AF730" s="79">
        <v>45054.352384259262</v>
      </c>
      <c r="AG730" s="85">
        <v>45054</v>
      </c>
      <c r="AH730" s="82" t="s">
        <v>10883</v>
      </c>
      <c r="AI730" s="77" t="b">
        <v>0</v>
      </c>
      <c r="AJ730" s="77"/>
      <c r="AK730" s="77"/>
      <c r="AL730" s="77"/>
      <c r="AM730" s="77"/>
      <c r="AN730" s="77"/>
      <c r="AO730" s="77"/>
      <c r="AP730" s="77"/>
      <c r="AQ730" s="77"/>
      <c r="AR730" s="77"/>
      <c r="AS730" s="77"/>
      <c r="AT730" s="77"/>
      <c r="AU730" s="77"/>
      <c r="AV730" s="80" t="str">
        <f>HYPERLINK("https://pbs.twimg.com/profile_images/1431648743728852993/tLJ7F5Lu_normal.png")</f>
        <v>https://pbs.twimg.com/profile_images/1431648743728852993/tLJ7F5Lu_normal.png</v>
      </c>
      <c r="AW730" s="82" t="s">
        <v>17503</v>
      </c>
      <c r="AX730" s="82" t="s">
        <v>17503</v>
      </c>
      <c r="AY730" s="77"/>
      <c r="AZ730" s="82" t="s">
        <v>20971</v>
      </c>
      <c r="BA730" s="82" t="s">
        <v>20971</v>
      </c>
      <c r="BB730" s="82" t="s">
        <v>20971</v>
      </c>
      <c r="BC730" s="82" t="s">
        <v>17503</v>
      </c>
      <c r="BD730" s="77">
        <v>489723814</v>
      </c>
      <c r="BE730" s="77"/>
      <c r="BF730" s="77"/>
      <c r="BG730" s="77"/>
      <c r="BH730" s="77"/>
      <c r="BI730" s="77"/>
    </row>
    <row r="731" spans="1:61" x14ac:dyDescent="0.25">
      <c r="A731" s="62" t="s">
        <v>418</v>
      </c>
      <c r="B731" s="62" t="s">
        <v>418</v>
      </c>
      <c r="C731" s="63"/>
      <c r="D731" s="64"/>
      <c r="E731" s="65"/>
      <c r="F731" s="66"/>
      <c r="G731" s="63"/>
      <c r="H731" s="67"/>
      <c r="I731" s="68"/>
      <c r="J731" s="68"/>
      <c r="K731" s="32"/>
      <c r="L731" s="75">
        <v>731</v>
      </c>
      <c r="M731" s="75"/>
      <c r="N731" s="70"/>
      <c r="O731" s="77" t="s">
        <v>179</v>
      </c>
      <c r="P731" s="79">
        <v>45054.349212962959</v>
      </c>
      <c r="Q731" s="77" t="s">
        <v>2013</v>
      </c>
      <c r="R731" s="77">
        <v>0</v>
      </c>
      <c r="S731" s="77">
        <v>0</v>
      </c>
      <c r="T731" s="77">
        <v>0</v>
      </c>
      <c r="U731" s="77">
        <v>0</v>
      </c>
      <c r="V731" s="77">
        <v>25</v>
      </c>
      <c r="W731" s="82" t="s">
        <v>5560</v>
      </c>
      <c r="X731" s="80" t="str">
        <f>HYPERLINK("https://www.freeclassificados.com/ads/feira-de-santana-ba-leo-locutor-comercial-gravacao-de-vinhetas-propagandas/")</f>
        <v>https://www.freeclassificados.com/ads/feira-de-santana-ba-leo-locutor-comercial-gravacao-de-vinhetas-propagandas/</v>
      </c>
      <c r="Y731" s="77" t="s">
        <v>7308</v>
      </c>
      <c r="Z731" s="77"/>
      <c r="AA731" s="77"/>
      <c r="AB731" s="77"/>
      <c r="AC731" s="82" t="s">
        <v>10155</v>
      </c>
      <c r="AD731" s="77" t="s">
        <v>10184</v>
      </c>
      <c r="AE731" s="80" t="str">
        <f>HYPERLINK("https://twitter.com/freeclassific/status/1655488425057832960")</f>
        <v>https://twitter.com/freeclassific/status/1655488425057832960</v>
      </c>
      <c r="AF731" s="79">
        <v>45054.349212962959</v>
      </c>
      <c r="AG731" s="85">
        <v>45054</v>
      </c>
      <c r="AH731" s="82" t="s">
        <v>10884</v>
      </c>
      <c r="AI731" s="77" t="b">
        <v>0</v>
      </c>
      <c r="AJ731" s="77"/>
      <c r="AK731" s="77"/>
      <c r="AL731" s="77"/>
      <c r="AM731" s="77"/>
      <c r="AN731" s="77"/>
      <c r="AO731" s="77"/>
      <c r="AP731" s="77"/>
      <c r="AQ731" s="77"/>
      <c r="AR731" s="77"/>
      <c r="AS731" s="77"/>
      <c r="AT731" s="77"/>
      <c r="AU731" s="77"/>
      <c r="AV731" s="80" t="str">
        <f>HYPERLINK("https://pbs.twimg.com/profile_images/1431648743728852993/tLJ7F5Lu_normal.png")</f>
        <v>https://pbs.twimg.com/profile_images/1431648743728852993/tLJ7F5Lu_normal.png</v>
      </c>
      <c r="AW731" s="82" t="s">
        <v>17504</v>
      </c>
      <c r="AX731" s="82" t="s">
        <v>17504</v>
      </c>
      <c r="AY731" s="77"/>
      <c r="AZ731" s="82" t="s">
        <v>20971</v>
      </c>
      <c r="BA731" s="82" t="s">
        <v>20971</v>
      </c>
      <c r="BB731" s="82" t="s">
        <v>20971</v>
      </c>
      <c r="BC731" s="82" t="s">
        <v>17504</v>
      </c>
      <c r="BD731" s="77">
        <v>489723814</v>
      </c>
      <c r="BE731" s="77"/>
      <c r="BF731" s="77"/>
      <c r="BG731" s="77"/>
      <c r="BH731" s="77"/>
      <c r="BI731" s="77"/>
    </row>
    <row r="732" spans="1:61" x14ac:dyDescent="0.25">
      <c r="A732" s="62" t="s">
        <v>418</v>
      </c>
      <c r="B732" s="62" t="s">
        <v>418</v>
      </c>
      <c r="C732" s="63"/>
      <c r="D732" s="64"/>
      <c r="E732" s="65"/>
      <c r="F732" s="66"/>
      <c r="G732" s="63"/>
      <c r="H732" s="67"/>
      <c r="I732" s="68"/>
      <c r="J732" s="68"/>
      <c r="K732" s="32"/>
      <c r="L732" s="75">
        <v>732</v>
      </c>
      <c r="M732" s="75"/>
      <c r="N732" s="70"/>
      <c r="O732" s="77" t="s">
        <v>179</v>
      </c>
      <c r="P732" s="79">
        <v>45053.872604166667</v>
      </c>
      <c r="Q732" s="77" t="s">
        <v>2014</v>
      </c>
      <c r="R732" s="77">
        <v>0</v>
      </c>
      <c r="S732" s="77">
        <v>0</v>
      </c>
      <c r="T732" s="77">
        <v>0</v>
      </c>
      <c r="U732" s="77">
        <v>0</v>
      </c>
      <c r="V732" s="77">
        <v>21</v>
      </c>
      <c r="W732" s="82" t="s">
        <v>5560</v>
      </c>
      <c r="X732" s="80" t="str">
        <f>HYPERLINK("https://www.freeclassificados.com/ads/camacari-ba-leo-locutor-comercial-gravacao-de-vinhetas-e-propagandas/")</f>
        <v>https://www.freeclassificados.com/ads/camacari-ba-leo-locutor-comercial-gravacao-de-vinhetas-e-propagandas/</v>
      </c>
      <c r="Y732" s="77" t="s">
        <v>7308</v>
      </c>
      <c r="Z732" s="77"/>
      <c r="AA732" s="77"/>
      <c r="AB732" s="77"/>
      <c r="AC732" s="82" t="s">
        <v>10155</v>
      </c>
      <c r="AD732" s="77" t="s">
        <v>10184</v>
      </c>
      <c r="AE732" s="80" t="str">
        <f>HYPERLINK("https://twitter.com/freeclassific/status/1655315707519967232")</f>
        <v>https://twitter.com/freeclassific/status/1655315707519967232</v>
      </c>
      <c r="AF732" s="79">
        <v>45053.872604166667</v>
      </c>
      <c r="AG732" s="85">
        <v>45053</v>
      </c>
      <c r="AH732" s="82" t="s">
        <v>10885</v>
      </c>
      <c r="AI732" s="77" t="b">
        <v>0</v>
      </c>
      <c r="AJ732" s="77"/>
      <c r="AK732" s="77"/>
      <c r="AL732" s="77"/>
      <c r="AM732" s="77"/>
      <c r="AN732" s="77"/>
      <c r="AO732" s="77"/>
      <c r="AP732" s="77"/>
      <c r="AQ732" s="77"/>
      <c r="AR732" s="77"/>
      <c r="AS732" s="77"/>
      <c r="AT732" s="77"/>
      <c r="AU732" s="77"/>
      <c r="AV732" s="80" t="str">
        <f>HYPERLINK("https://pbs.twimg.com/profile_images/1431648743728852993/tLJ7F5Lu_normal.png")</f>
        <v>https://pbs.twimg.com/profile_images/1431648743728852993/tLJ7F5Lu_normal.png</v>
      </c>
      <c r="AW732" s="82" t="s">
        <v>17505</v>
      </c>
      <c r="AX732" s="82" t="s">
        <v>17505</v>
      </c>
      <c r="AY732" s="77"/>
      <c r="AZ732" s="82" t="s">
        <v>20971</v>
      </c>
      <c r="BA732" s="82" t="s">
        <v>20971</v>
      </c>
      <c r="BB732" s="82" t="s">
        <v>20971</v>
      </c>
      <c r="BC732" s="82" t="s">
        <v>17505</v>
      </c>
      <c r="BD732" s="77">
        <v>489723814</v>
      </c>
      <c r="BE732" s="77"/>
      <c r="BF732" s="77"/>
      <c r="BG732" s="77"/>
      <c r="BH732" s="77"/>
      <c r="BI732" s="77"/>
    </row>
    <row r="733" spans="1:61" x14ac:dyDescent="0.25">
      <c r="A733" s="62" t="s">
        <v>418</v>
      </c>
      <c r="B733" s="62" t="s">
        <v>418</v>
      </c>
      <c r="C733" s="63"/>
      <c r="D733" s="64"/>
      <c r="E733" s="65"/>
      <c r="F733" s="66"/>
      <c r="G733" s="63"/>
      <c r="H733" s="67"/>
      <c r="I733" s="68"/>
      <c r="J733" s="68"/>
      <c r="K733" s="32"/>
      <c r="L733" s="75">
        <v>733</v>
      </c>
      <c r="M733" s="75"/>
      <c r="N733" s="70"/>
      <c r="O733" s="77" t="s">
        <v>179</v>
      </c>
      <c r="P733" s="79">
        <v>45053.868877314817</v>
      </c>
      <c r="Q733" s="77" t="s">
        <v>2015</v>
      </c>
      <c r="R733" s="77">
        <v>0</v>
      </c>
      <c r="S733" s="77">
        <v>0</v>
      </c>
      <c r="T733" s="77">
        <v>0</v>
      </c>
      <c r="U733" s="77">
        <v>0</v>
      </c>
      <c r="V733" s="77">
        <v>21</v>
      </c>
      <c r="W733" s="82" t="s">
        <v>5560</v>
      </c>
      <c r="X733" s="80" t="str">
        <f>HYPERLINK("https://www.freeclassificados.com/ads/projeto-6pix-chegou-a-sua-vez-de-ganhar-dinheiro-via-pix-todos-os-dias/")</f>
        <v>https://www.freeclassificados.com/ads/projeto-6pix-chegou-a-sua-vez-de-ganhar-dinheiro-via-pix-todos-os-dias/</v>
      </c>
      <c r="Y733" s="77" t="s">
        <v>7308</v>
      </c>
      <c r="Z733" s="77"/>
      <c r="AA733" s="77"/>
      <c r="AB733" s="77"/>
      <c r="AC733" s="82" t="s">
        <v>10155</v>
      </c>
      <c r="AD733" s="77" t="s">
        <v>10184</v>
      </c>
      <c r="AE733" s="80" t="str">
        <f>HYPERLINK("https://twitter.com/freeclassific/status/1655314358459838464")</f>
        <v>https://twitter.com/freeclassific/status/1655314358459838464</v>
      </c>
      <c r="AF733" s="79">
        <v>45053.868877314817</v>
      </c>
      <c r="AG733" s="85">
        <v>45053</v>
      </c>
      <c r="AH733" s="82" t="s">
        <v>10886</v>
      </c>
      <c r="AI733" s="77" t="b">
        <v>0</v>
      </c>
      <c r="AJ733" s="77"/>
      <c r="AK733" s="77"/>
      <c r="AL733" s="77"/>
      <c r="AM733" s="77"/>
      <c r="AN733" s="77"/>
      <c r="AO733" s="77"/>
      <c r="AP733" s="77"/>
      <c r="AQ733" s="77"/>
      <c r="AR733" s="77"/>
      <c r="AS733" s="77"/>
      <c r="AT733" s="77"/>
      <c r="AU733" s="77"/>
      <c r="AV733" s="80" t="str">
        <f>HYPERLINK("https://pbs.twimg.com/profile_images/1431648743728852993/tLJ7F5Lu_normal.png")</f>
        <v>https://pbs.twimg.com/profile_images/1431648743728852993/tLJ7F5Lu_normal.png</v>
      </c>
      <c r="AW733" s="82" t="s">
        <v>17506</v>
      </c>
      <c r="AX733" s="82" t="s">
        <v>17506</v>
      </c>
      <c r="AY733" s="77"/>
      <c r="AZ733" s="82" t="s">
        <v>20971</v>
      </c>
      <c r="BA733" s="82" t="s">
        <v>20971</v>
      </c>
      <c r="BB733" s="82" t="s">
        <v>20971</v>
      </c>
      <c r="BC733" s="82" t="s">
        <v>17506</v>
      </c>
      <c r="BD733" s="77">
        <v>489723814</v>
      </c>
      <c r="BE733" s="77"/>
      <c r="BF733" s="77"/>
      <c r="BG733" s="77"/>
      <c r="BH733" s="77"/>
      <c r="BI733" s="77"/>
    </row>
    <row r="734" spans="1:61" x14ac:dyDescent="0.25">
      <c r="A734" s="62" t="s">
        <v>418</v>
      </c>
      <c r="B734" s="62" t="s">
        <v>418</v>
      </c>
      <c r="C734" s="63"/>
      <c r="D734" s="64"/>
      <c r="E734" s="65"/>
      <c r="F734" s="66"/>
      <c r="G734" s="63"/>
      <c r="H734" s="67"/>
      <c r="I734" s="68"/>
      <c r="J734" s="68"/>
      <c r="K734" s="32"/>
      <c r="L734" s="75">
        <v>734</v>
      </c>
      <c r="M734" s="75"/>
      <c r="N734" s="70"/>
      <c r="O734" s="77" t="s">
        <v>179</v>
      </c>
      <c r="P734" s="79">
        <v>45053.867974537039</v>
      </c>
      <c r="Q734" s="77" t="s">
        <v>2016</v>
      </c>
      <c r="R734" s="77">
        <v>0</v>
      </c>
      <c r="S734" s="77">
        <v>0</v>
      </c>
      <c r="T734" s="77">
        <v>0</v>
      </c>
      <c r="U734" s="77">
        <v>0</v>
      </c>
      <c r="V734" s="77">
        <v>12</v>
      </c>
      <c r="W734" s="82" t="s">
        <v>5560</v>
      </c>
      <c r="X734" s="80" t="str">
        <f>HYPERLINK("https://www.freeclassificados.com/ads/compra-e-venda-coletiva-dinheiro-24-horas-por-dia/")</f>
        <v>https://www.freeclassificados.com/ads/compra-e-venda-coletiva-dinheiro-24-horas-por-dia/</v>
      </c>
      <c r="Y734" s="77" t="s">
        <v>7308</v>
      </c>
      <c r="Z734" s="77"/>
      <c r="AA734" s="77"/>
      <c r="AB734" s="77"/>
      <c r="AC734" s="82" t="s">
        <v>10155</v>
      </c>
      <c r="AD734" s="77" t="s">
        <v>10184</v>
      </c>
      <c r="AE734" s="80" t="str">
        <f>HYPERLINK("https://twitter.com/freeclassific/status/1655314028619792384")</f>
        <v>https://twitter.com/freeclassific/status/1655314028619792384</v>
      </c>
      <c r="AF734" s="79">
        <v>45053.867974537039</v>
      </c>
      <c r="AG734" s="85">
        <v>45053</v>
      </c>
      <c r="AH734" s="82" t="s">
        <v>10887</v>
      </c>
      <c r="AI734" s="77" t="b">
        <v>0</v>
      </c>
      <c r="AJ734" s="77"/>
      <c r="AK734" s="77"/>
      <c r="AL734" s="77"/>
      <c r="AM734" s="77"/>
      <c r="AN734" s="77"/>
      <c r="AO734" s="77"/>
      <c r="AP734" s="77"/>
      <c r="AQ734" s="77"/>
      <c r="AR734" s="77"/>
      <c r="AS734" s="77"/>
      <c r="AT734" s="77"/>
      <c r="AU734" s="77"/>
      <c r="AV734" s="80" t="str">
        <f>HYPERLINK("https://pbs.twimg.com/profile_images/1431648743728852993/tLJ7F5Lu_normal.png")</f>
        <v>https://pbs.twimg.com/profile_images/1431648743728852993/tLJ7F5Lu_normal.png</v>
      </c>
      <c r="AW734" s="82" t="s">
        <v>17507</v>
      </c>
      <c r="AX734" s="82" t="s">
        <v>17507</v>
      </c>
      <c r="AY734" s="77"/>
      <c r="AZ734" s="82" t="s">
        <v>20971</v>
      </c>
      <c r="BA734" s="82" t="s">
        <v>20971</v>
      </c>
      <c r="BB734" s="82" t="s">
        <v>20971</v>
      </c>
      <c r="BC734" s="82" t="s">
        <v>17507</v>
      </c>
      <c r="BD734" s="77">
        <v>489723814</v>
      </c>
      <c r="BE734" s="77"/>
      <c r="BF734" s="77"/>
      <c r="BG734" s="77"/>
      <c r="BH734" s="77"/>
      <c r="BI734" s="77"/>
    </row>
    <row r="735" spans="1:61" x14ac:dyDescent="0.25">
      <c r="A735" s="62" t="s">
        <v>418</v>
      </c>
      <c r="B735" s="62" t="s">
        <v>418</v>
      </c>
      <c r="C735" s="63"/>
      <c r="D735" s="64"/>
      <c r="E735" s="65"/>
      <c r="F735" s="66"/>
      <c r="G735" s="63"/>
      <c r="H735" s="67"/>
      <c r="I735" s="68"/>
      <c r="J735" s="68"/>
      <c r="K735" s="32"/>
      <c r="L735" s="75">
        <v>735</v>
      </c>
      <c r="M735" s="75"/>
      <c r="N735" s="70"/>
      <c r="O735" s="77" t="s">
        <v>179</v>
      </c>
      <c r="P735" s="79">
        <v>45053.867824074077</v>
      </c>
      <c r="Q735" s="77" t="s">
        <v>2017</v>
      </c>
      <c r="R735" s="77">
        <v>0</v>
      </c>
      <c r="S735" s="77">
        <v>0</v>
      </c>
      <c r="T735" s="77">
        <v>0</v>
      </c>
      <c r="U735" s="77">
        <v>0</v>
      </c>
      <c r="V735" s="77">
        <v>11</v>
      </c>
      <c r="W735" s="82" t="s">
        <v>5560</v>
      </c>
      <c r="X735" s="80" t="str">
        <f>HYPERLINK("https://www.freeclassificados.com/ads/6pix-compra-e-venda-coletiva-dinheiro-24-horas-por-dia/")</f>
        <v>https://www.freeclassificados.com/ads/6pix-compra-e-venda-coletiva-dinheiro-24-horas-por-dia/</v>
      </c>
      <c r="Y735" s="77" t="s">
        <v>7308</v>
      </c>
      <c r="Z735" s="77"/>
      <c r="AA735" s="77"/>
      <c r="AB735" s="77"/>
      <c r="AC735" s="82" t="s">
        <v>10155</v>
      </c>
      <c r="AD735" s="77" t="s">
        <v>10184</v>
      </c>
      <c r="AE735" s="80" t="str">
        <f>HYPERLINK("https://twitter.com/freeclassific/status/1655313976618811392")</f>
        <v>https://twitter.com/freeclassific/status/1655313976618811392</v>
      </c>
      <c r="AF735" s="79">
        <v>45053.867824074077</v>
      </c>
      <c r="AG735" s="85">
        <v>45053</v>
      </c>
      <c r="AH735" s="82" t="s">
        <v>10888</v>
      </c>
      <c r="AI735" s="77" t="b">
        <v>0</v>
      </c>
      <c r="AJ735" s="77"/>
      <c r="AK735" s="77"/>
      <c r="AL735" s="77"/>
      <c r="AM735" s="77"/>
      <c r="AN735" s="77"/>
      <c r="AO735" s="77"/>
      <c r="AP735" s="77"/>
      <c r="AQ735" s="77"/>
      <c r="AR735" s="77"/>
      <c r="AS735" s="77"/>
      <c r="AT735" s="77"/>
      <c r="AU735" s="77"/>
      <c r="AV735" s="80" t="str">
        <f>HYPERLINK("https://pbs.twimg.com/profile_images/1431648743728852993/tLJ7F5Lu_normal.png")</f>
        <v>https://pbs.twimg.com/profile_images/1431648743728852993/tLJ7F5Lu_normal.png</v>
      </c>
      <c r="AW735" s="82" t="s">
        <v>17508</v>
      </c>
      <c r="AX735" s="82" t="s">
        <v>17508</v>
      </c>
      <c r="AY735" s="77"/>
      <c r="AZ735" s="82" t="s">
        <v>20971</v>
      </c>
      <c r="BA735" s="82" t="s">
        <v>20971</v>
      </c>
      <c r="BB735" s="82" t="s">
        <v>20971</v>
      </c>
      <c r="BC735" s="82" t="s">
        <v>17508</v>
      </c>
      <c r="BD735" s="77">
        <v>489723814</v>
      </c>
      <c r="BE735" s="77"/>
      <c r="BF735" s="77"/>
      <c r="BG735" s="77"/>
      <c r="BH735" s="77"/>
      <c r="BI735" s="77"/>
    </row>
    <row r="736" spans="1:61" x14ac:dyDescent="0.25">
      <c r="A736" s="62" t="s">
        <v>418</v>
      </c>
      <c r="B736" s="62" t="s">
        <v>418</v>
      </c>
      <c r="C736" s="63"/>
      <c r="D736" s="64"/>
      <c r="E736" s="65"/>
      <c r="F736" s="66"/>
      <c r="G736" s="63"/>
      <c r="H736" s="67"/>
      <c r="I736" s="68"/>
      <c r="J736" s="68"/>
      <c r="K736" s="32"/>
      <c r="L736" s="75">
        <v>736</v>
      </c>
      <c r="M736" s="75"/>
      <c r="N736" s="70"/>
      <c r="O736" s="77" t="s">
        <v>179</v>
      </c>
      <c r="P736" s="79">
        <v>45053.867025462961</v>
      </c>
      <c r="Q736" s="77" t="s">
        <v>2018</v>
      </c>
      <c r="R736" s="77">
        <v>0</v>
      </c>
      <c r="S736" s="77">
        <v>0</v>
      </c>
      <c r="T736" s="77">
        <v>0</v>
      </c>
      <c r="U736" s="77">
        <v>0</v>
      </c>
      <c r="V736" s="77">
        <v>10</v>
      </c>
      <c r="W736" s="82" t="s">
        <v>5560</v>
      </c>
      <c r="X736" s="80" t="str">
        <f>HYPERLINK("https://www.freeclassificados.com/ads/tenha-ja-a-sua-plataforma-de-produtos-digitais-e-geracao-de-renda/")</f>
        <v>https://www.freeclassificados.com/ads/tenha-ja-a-sua-plataforma-de-produtos-digitais-e-geracao-de-renda/</v>
      </c>
      <c r="Y736" s="77" t="s">
        <v>7308</v>
      </c>
      <c r="Z736" s="77"/>
      <c r="AA736" s="77"/>
      <c r="AB736" s="77"/>
      <c r="AC736" s="82" t="s">
        <v>10155</v>
      </c>
      <c r="AD736" s="77" t="s">
        <v>10184</v>
      </c>
      <c r="AE736" s="80" t="str">
        <f>HYPERLINK("https://twitter.com/freeclassific/status/1655313684594573314")</f>
        <v>https://twitter.com/freeclassific/status/1655313684594573314</v>
      </c>
      <c r="AF736" s="79">
        <v>45053.867025462961</v>
      </c>
      <c r="AG736" s="85">
        <v>45053</v>
      </c>
      <c r="AH736" s="82" t="s">
        <v>10889</v>
      </c>
      <c r="AI736" s="77" t="b">
        <v>0</v>
      </c>
      <c r="AJ736" s="77"/>
      <c r="AK736" s="77"/>
      <c r="AL736" s="77"/>
      <c r="AM736" s="77"/>
      <c r="AN736" s="77"/>
      <c r="AO736" s="77"/>
      <c r="AP736" s="77"/>
      <c r="AQ736" s="77"/>
      <c r="AR736" s="77"/>
      <c r="AS736" s="77"/>
      <c r="AT736" s="77"/>
      <c r="AU736" s="77"/>
      <c r="AV736" s="80" t="str">
        <f>HYPERLINK("https://pbs.twimg.com/profile_images/1431648743728852993/tLJ7F5Lu_normal.png")</f>
        <v>https://pbs.twimg.com/profile_images/1431648743728852993/tLJ7F5Lu_normal.png</v>
      </c>
      <c r="AW736" s="82" t="s">
        <v>17509</v>
      </c>
      <c r="AX736" s="82" t="s">
        <v>17509</v>
      </c>
      <c r="AY736" s="77"/>
      <c r="AZ736" s="82" t="s">
        <v>20971</v>
      </c>
      <c r="BA736" s="82" t="s">
        <v>20971</v>
      </c>
      <c r="BB736" s="82" t="s">
        <v>20971</v>
      </c>
      <c r="BC736" s="82" t="s">
        <v>17509</v>
      </c>
      <c r="BD736" s="77">
        <v>489723814</v>
      </c>
      <c r="BE736" s="77"/>
      <c r="BF736" s="77"/>
      <c r="BG736" s="77"/>
      <c r="BH736" s="77"/>
      <c r="BI736" s="77"/>
    </row>
    <row r="737" spans="1:61" x14ac:dyDescent="0.25">
      <c r="A737" s="62" t="s">
        <v>418</v>
      </c>
      <c r="B737" s="62" t="s">
        <v>418</v>
      </c>
      <c r="C737" s="63"/>
      <c r="D737" s="64"/>
      <c r="E737" s="65"/>
      <c r="F737" s="66"/>
      <c r="G737" s="63"/>
      <c r="H737" s="67"/>
      <c r="I737" s="68"/>
      <c r="J737" s="68"/>
      <c r="K737" s="32"/>
      <c r="L737" s="75">
        <v>737</v>
      </c>
      <c r="M737" s="75"/>
      <c r="N737" s="70"/>
      <c r="O737" s="77" t="s">
        <v>179</v>
      </c>
      <c r="P737" s="79">
        <v>45053.865995370368</v>
      </c>
      <c r="Q737" s="77" t="s">
        <v>2019</v>
      </c>
      <c r="R737" s="77">
        <v>0</v>
      </c>
      <c r="S737" s="77">
        <v>0</v>
      </c>
      <c r="T737" s="77">
        <v>0</v>
      </c>
      <c r="U737" s="77">
        <v>0</v>
      </c>
      <c r="V737" s="77">
        <v>15</v>
      </c>
      <c r="W737" s="82" t="s">
        <v>5560</v>
      </c>
      <c r="X737" s="80" t="str">
        <f>HYPERLINK("https://www.freeclassificados.com/ads/ganhe-dinheiro-em-2023-comece-com-r12-faca-seu-cadastro-agora-mesmo/")</f>
        <v>https://www.freeclassificados.com/ads/ganhe-dinheiro-em-2023-comece-com-r12-faca-seu-cadastro-agora-mesmo/</v>
      </c>
      <c r="Y737" s="77" t="s">
        <v>7308</v>
      </c>
      <c r="Z737" s="77"/>
      <c r="AA737" s="77"/>
      <c r="AB737" s="77"/>
      <c r="AC737" s="82" t="s">
        <v>10155</v>
      </c>
      <c r="AD737" s="77" t="s">
        <v>10184</v>
      </c>
      <c r="AE737" s="80" t="str">
        <f>HYPERLINK("https://twitter.com/freeclassific/status/1655313311024713729")</f>
        <v>https://twitter.com/freeclassific/status/1655313311024713729</v>
      </c>
      <c r="AF737" s="79">
        <v>45053.865995370368</v>
      </c>
      <c r="AG737" s="85">
        <v>45053</v>
      </c>
      <c r="AH737" s="82" t="s">
        <v>10890</v>
      </c>
      <c r="AI737" s="77" t="b">
        <v>0</v>
      </c>
      <c r="AJ737" s="77"/>
      <c r="AK737" s="77"/>
      <c r="AL737" s="77"/>
      <c r="AM737" s="77"/>
      <c r="AN737" s="77"/>
      <c r="AO737" s="77"/>
      <c r="AP737" s="77"/>
      <c r="AQ737" s="77"/>
      <c r="AR737" s="77"/>
      <c r="AS737" s="77"/>
      <c r="AT737" s="77"/>
      <c r="AU737" s="77"/>
      <c r="AV737" s="80" t="str">
        <f>HYPERLINK("https://pbs.twimg.com/profile_images/1431648743728852993/tLJ7F5Lu_normal.png")</f>
        <v>https://pbs.twimg.com/profile_images/1431648743728852993/tLJ7F5Lu_normal.png</v>
      </c>
      <c r="AW737" s="82" t="s">
        <v>17510</v>
      </c>
      <c r="AX737" s="82" t="s">
        <v>17510</v>
      </c>
      <c r="AY737" s="77"/>
      <c r="AZ737" s="82" t="s">
        <v>20971</v>
      </c>
      <c r="BA737" s="82" t="s">
        <v>20971</v>
      </c>
      <c r="BB737" s="82" t="s">
        <v>20971</v>
      </c>
      <c r="BC737" s="82" t="s">
        <v>17510</v>
      </c>
      <c r="BD737" s="77">
        <v>489723814</v>
      </c>
      <c r="BE737" s="77"/>
      <c r="BF737" s="77"/>
      <c r="BG737" s="77"/>
      <c r="BH737" s="77"/>
      <c r="BI737" s="77"/>
    </row>
    <row r="738" spans="1:61" x14ac:dyDescent="0.25">
      <c r="A738" s="62" t="s">
        <v>418</v>
      </c>
      <c r="B738" s="62" t="s">
        <v>418</v>
      </c>
      <c r="C738" s="63"/>
      <c r="D738" s="64"/>
      <c r="E738" s="65"/>
      <c r="F738" s="66"/>
      <c r="G738" s="63"/>
      <c r="H738" s="67"/>
      <c r="I738" s="68"/>
      <c r="J738" s="68"/>
      <c r="K738" s="32"/>
      <c r="L738" s="75">
        <v>738</v>
      </c>
      <c r="M738" s="75"/>
      <c r="N738" s="70"/>
      <c r="O738" s="77" t="s">
        <v>179</v>
      </c>
      <c r="P738" s="79">
        <v>45053.865057870367</v>
      </c>
      <c r="Q738" s="77" t="s">
        <v>2020</v>
      </c>
      <c r="R738" s="77">
        <v>0</v>
      </c>
      <c r="S738" s="77">
        <v>0</v>
      </c>
      <c r="T738" s="77">
        <v>0</v>
      </c>
      <c r="U738" s="77">
        <v>0</v>
      </c>
      <c r="V738" s="77">
        <v>47</v>
      </c>
      <c r="W738" s="82" t="s">
        <v>5560</v>
      </c>
      <c r="X738" s="80" t="str">
        <f>HYPERLINK("https://www.freeclassificados.com/ads/pix-connection-como-ganhar-varios-pix-de-r50-reais-agora-100-de-lucro-afiliados/")</f>
        <v>https://www.freeclassificados.com/ads/pix-connection-como-ganhar-varios-pix-de-r50-reais-agora-100-de-lucro-afiliados/</v>
      </c>
      <c r="Y738" s="77" t="s">
        <v>7308</v>
      </c>
      <c r="Z738" s="77"/>
      <c r="AA738" s="77"/>
      <c r="AB738" s="77"/>
      <c r="AC738" s="82" t="s">
        <v>10155</v>
      </c>
      <c r="AD738" s="77" t="s">
        <v>10184</v>
      </c>
      <c r="AE738" s="80" t="str">
        <f>HYPERLINK("https://twitter.com/freeclassific/status/1655312974234673153")</f>
        <v>https://twitter.com/freeclassific/status/1655312974234673153</v>
      </c>
      <c r="AF738" s="79">
        <v>45053.865057870367</v>
      </c>
      <c r="AG738" s="85">
        <v>45053</v>
      </c>
      <c r="AH738" s="82" t="s">
        <v>10891</v>
      </c>
      <c r="AI738" s="77" t="b">
        <v>0</v>
      </c>
      <c r="AJ738" s="77"/>
      <c r="AK738" s="77"/>
      <c r="AL738" s="77"/>
      <c r="AM738" s="77"/>
      <c r="AN738" s="77"/>
      <c r="AO738" s="77"/>
      <c r="AP738" s="77"/>
      <c r="AQ738" s="77"/>
      <c r="AR738" s="77"/>
      <c r="AS738" s="77"/>
      <c r="AT738" s="77"/>
      <c r="AU738" s="77"/>
      <c r="AV738" s="80" t="str">
        <f>HYPERLINK("https://pbs.twimg.com/profile_images/1431648743728852993/tLJ7F5Lu_normal.png")</f>
        <v>https://pbs.twimg.com/profile_images/1431648743728852993/tLJ7F5Lu_normal.png</v>
      </c>
      <c r="AW738" s="82" t="s">
        <v>17511</v>
      </c>
      <c r="AX738" s="82" t="s">
        <v>17511</v>
      </c>
      <c r="AY738" s="77"/>
      <c r="AZ738" s="82" t="s">
        <v>20971</v>
      </c>
      <c r="BA738" s="82" t="s">
        <v>20971</v>
      </c>
      <c r="BB738" s="82" t="s">
        <v>20971</v>
      </c>
      <c r="BC738" s="82" t="s">
        <v>17511</v>
      </c>
      <c r="BD738" s="77">
        <v>489723814</v>
      </c>
      <c r="BE738" s="77"/>
      <c r="BF738" s="77"/>
      <c r="BG738" s="77"/>
      <c r="BH738" s="77"/>
      <c r="BI738" s="77"/>
    </row>
    <row r="739" spans="1:61" x14ac:dyDescent="0.25">
      <c r="A739" s="62" t="s">
        <v>418</v>
      </c>
      <c r="B739" s="62" t="s">
        <v>418</v>
      </c>
      <c r="C739" s="63"/>
      <c r="D739" s="64"/>
      <c r="E739" s="65"/>
      <c r="F739" s="66"/>
      <c r="G739" s="63"/>
      <c r="H739" s="67"/>
      <c r="I739" s="68"/>
      <c r="J739" s="68"/>
      <c r="K739" s="32"/>
      <c r="L739" s="75">
        <v>739</v>
      </c>
      <c r="M739" s="75"/>
      <c r="N739" s="70"/>
      <c r="O739" s="77" t="s">
        <v>179</v>
      </c>
      <c r="P739" s="79">
        <v>45030.807476851849</v>
      </c>
      <c r="Q739" s="77" t="s">
        <v>2021</v>
      </c>
      <c r="R739" s="77">
        <v>0</v>
      </c>
      <c r="S739" s="77">
        <v>1</v>
      </c>
      <c r="T739" s="77">
        <v>0</v>
      </c>
      <c r="U739" s="77">
        <v>0</v>
      </c>
      <c r="V739" s="77">
        <v>13</v>
      </c>
      <c r="W739" s="82" t="s">
        <v>5335</v>
      </c>
      <c r="X739" s="80" t="str">
        <f>HYPERLINK("https://www.freeclassificados.com/ads/kit-com-3-quadros-personalizados-tamanho-a4/")</f>
        <v>https://www.freeclassificados.com/ads/kit-com-3-quadros-personalizados-tamanho-a4/</v>
      </c>
      <c r="Y739" s="77" t="s">
        <v>7308</v>
      </c>
      <c r="Z739" s="77"/>
      <c r="AA739" s="77"/>
      <c r="AB739" s="77"/>
      <c r="AC739" s="82" t="s">
        <v>10155</v>
      </c>
      <c r="AD739" s="77" t="s">
        <v>10184</v>
      </c>
      <c r="AE739" s="80" t="str">
        <f>HYPERLINK("https://twitter.com/freeclassific/status/1646957183555506176")</f>
        <v>https://twitter.com/freeclassific/status/1646957183555506176</v>
      </c>
      <c r="AF739" s="79">
        <v>45030.807476851849</v>
      </c>
      <c r="AG739" s="85">
        <v>45030</v>
      </c>
      <c r="AH739" s="82" t="s">
        <v>10892</v>
      </c>
      <c r="AI739" s="77" t="b">
        <v>0</v>
      </c>
      <c r="AJ739" s="77"/>
      <c r="AK739" s="77"/>
      <c r="AL739" s="77"/>
      <c r="AM739" s="77"/>
      <c r="AN739" s="77"/>
      <c r="AO739" s="77"/>
      <c r="AP739" s="77"/>
      <c r="AQ739" s="77"/>
      <c r="AR739" s="77"/>
      <c r="AS739" s="77"/>
      <c r="AT739" s="77"/>
      <c r="AU739" s="77"/>
      <c r="AV739" s="80" t="str">
        <f>HYPERLINK("https://pbs.twimg.com/profile_images/1431648743728852993/tLJ7F5Lu_normal.png")</f>
        <v>https://pbs.twimg.com/profile_images/1431648743728852993/tLJ7F5Lu_normal.png</v>
      </c>
      <c r="AW739" s="82" t="s">
        <v>17512</v>
      </c>
      <c r="AX739" s="82" t="s">
        <v>17512</v>
      </c>
      <c r="AY739" s="77"/>
      <c r="AZ739" s="82" t="s">
        <v>20971</v>
      </c>
      <c r="BA739" s="82" t="s">
        <v>20971</v>
      </c>
      <c r="BB739" s="82" t="s">
        <v>20971</v>
      </c>
      <c r="BC739" s="82" t="s">
        <v>17512</v>
      </c>
      <c r="BD739" s="77">
        <v>489723814</v>
      </c>
      <c r="BE739" s="77"/>
      <c r="BF739" s="77"/>
      <c r="BG739" s="77"/>
      <c r="BH739" s="77"/>
      <c r="BI739" s="77"/>
    </row>
    <row r="740" spans="1:61" x14ac:dyDescent="0.25">
      <c r="A740" s="62" t="s">
        <v>418</v>
      </c>
      <c r="B740" s="62" t="s">
        <v>418</v>
      </c>
      <c r="C740" s="63"/>
      <c r="D740" s="64"/>
      <c r="E740" s="65"/>
      <c r="F740" s="66"/>
      <c r="G740" s="63"/>
      <c r="H740" s="67"/>
      <c r="I740" s="68"/>
      <c r="J740" s="68"/>
      <c r="K740" s="32"/>
      <c r="L740" s="75">
        <v>740</v>
      </c>
      <c r="M740" s="75"/>
      <c r="N740" s="70"/>
      <c r="O740" s="77" t="s">
        <v>179</v>
      </c>
      <c r="P740" s="79">
        <v>45030.11478009259</v>
      </c>
      <c r="Q740" s="77" t="s">
        <v>2022</v>
      </c>
      <c r="R740" s="77">
        <v>0</v>
      </c>
      <c r="S740" s="77">
        <v>0</v>
      </c>
      <c r="T740" s="77">
        <v>0</v>
      </c>
      <c r="U740" s="77">
        <v>0</v>
      </c>
      <c r="V740" s="77">
        <v>26</v>
      </c>
      <c r="W740" s="82" t="s">
        <v>5335</v>
      </c>
      <c r="X740" s="77" t="s">
        <v>7190</v>
      </c>
      <c r="Y740" s="77" t="s">
        <v>7309</v>
      </c>
      <c r="Z740" s="77"/>
      <c r="AA740" s="77"/>
      <c r="AB740" s="77"/>
      <c r="AC740" s="82" t="s">
        <v>10155</v>
      </c>
      <c r="AD740" s="77" t="s">
        <v>10184</v>
      </c>
      <c r="AE740" s="80" t="str">
        <f>HYPERLINK("https://twitter.com/freeclassific/status/1646706161608167430")</f>
        <v>https://twitter.com/freeclassific/status/1646706161608167430</v>
      </c>
      <c r="AF740" s="79">
        <v>45030.11478009259</v>
      </c>
      <c r="AG740" s="85">
        <v>45030</v>
      </c>
      <c r="AH740" s="82" t="s">
        <v>10893</v>
      </c>
      <c r="AI740" s="77" t="b">
        <v>0</v>
      </c>
      <c r="AJ740" s="77"/>
      <c r="AK740" s="77"/>
      <c r="AL740" s="77"/>
      <c r="AM740" s="77"/>
      <c r="AN740" s="77"/>
      <c r="AO740" s="77"/>
      <c r="AP740" s="77"/>
      <c r="AQ740" s="77"/>
      <c r="AR740" s="77"/>
      <c r="AS740" s="77"/>
      <c r="AT740" s="77"/>
      <c r="AU740" s="77"/>
      <c r="AV740" s="80" t="str">
        <f>HYPERLINK("https://pbs.twimg.com/profile_images/1431648743728852993/tLJ7F5Lu_normal.png")</f>
        <v>https://pbs.twimg.com/profile_images/1431648743728852993/tLJ7F5Lu_normal.png</v>
      </c>
      <c r="AW740" s="82" t="s">
        <v>17513</v>
      </c>
      <c r="AX740" s="82" t="s">
        <v>17513</v>
      </c>
      <c r="AY740" s="77"/>
      <c r="AZ740" s="82" t="s">
        <v>20971</v>
      </c>
      <c r="BA740" s="82" t="s">
        <v>20971</v>
      </c>
      <c r="BB740" s="82" t="s">
        <v>20971</v>
      </c>
      <c r="BC740" s="82" t="s">
        <v>17513</v>
      </c>
      <c r="BD740" s="77">
        <v>489723814</v>
      </c>
      <c r="BE740" s="77"/>
      <c r="BF740" s="77"/>
      <c r="BG740" s="77"/>
      <c r="BH740" s="77"/>
      <c r="BI740" s="77"/>
    </row>
    <row r="741" spans="1:61" x14ac:dyDescent="0.25">
      <c r="A741" s="62" t="s">
        <v>418</v>
      </c>
      <c r="B741" s="62" t="s">
        <v>418</v>
      </c>
      <c r="C741" s="63"/>
      <c r="D741" s="64"/>
      <c r="E741" s="65"/>
      <c r="F741" s="66"/>
      <c r="G741" s="63"/>
      <c r="H741" s="67"/>
      <c r="I741" s="68"/>
      <c r="J741" s="68"/>
      <c r="K741" s="32"/>
      <c r="L741" s="75">
        <v>741</v>
      </c>
      <c r="M741" s="75"/>
      <c r="N741" s="70"/>
      <c r="O741" s="77" t="s">
        <v>179</v>
      </c>
      <c r="P741" s="79">
        <v>45029.732592592591</v>
      </c>
      <c r="Q741" s="77" t="s">
        <v>2023</v>
      </c>
      <c r="R741" s="77">
        <v>0</v>
      </c>
      <c r="S741" s="77">
        <v>0</v>
      </c>
      <c r="T741" s="77">
        <v>0</v>
      </c>
      <c r="U741" s="77">
        <v>0</v>
      </c>
      <c r="V741" s="77">
        <v>10</v>
      </c>
      <c r="W741" s="82" t="s">
        <v>5335</v>
      </c>
      <c r="X741" s="80" t="str">
        <f>HYPERLINK("https://www.freeclassificados.com/ads/acpinturas/")</f>
        <v>https://www.freeclassificados.com/ads/acpinturas/</v>
      </c>
      <c r="Y741" s="77" t="s">
        <v>7308</v>
      </c>
      <c r="Z741" s="77"/>
      <c r="AA741" s="77"/>
      <c r="AB741" s="77"/>
      <c r="AC741" s="82" t="s">
        <v>10155</v>
      </c>
      <c r="AD741" s="77" t="s">
        <v>10184</v>
      </c>
      <c r="AE741" s="80" t="str">
        <f>HYPERLINK("https://twitter.com/freeclassific/status/1646567661625827329")</f>
        <v>https://twitter.com/freeclassific/status/1646567661625827329</v>
      </c>
      <c r="AF741" s="79">
        <v>45029.732592592591</v>
      </c>
      <c r="AG741" s="85">
        <v>45029</v>
      </c>
      <c r="AH741" s="82" t="s">
        <v>10894</v>
      </c>
      <c r="AI741" s="77" t="b">
        <v>0</v>
      </c>
      <c r="AJ741" s="77"/>
      <c r="AK741" s="77"/>
      <c r="AL741" s="77"/>
      <c r="AM741" s="77"/>
      <c r="AN741" s="77"/>
      <c r="AO741" s="77"/>
      <c r="AP741" s="77"/>
      <c r="AQ741" s="77"/>
      <c r="AR741" s="77"/>
      <c r="AS741" s="77"/>
      <c r="AT741" s="77"/>
      <c r="AU741" s="77"/>
      <c r="AV741" s="80" t="str">
        <f>HYPERLINK("https://pbs.twimg.com/profile_images/1431648743728852993/tLJ7F5Lu_normal.png")</f>
        <v>https://pbs.twimg.com/profile_images/1431648743728852993/tLJ7F5Lu_normal.png</v>
      </c>
      <c r="AW741" s="82" t="s">
        <v>17514</v>
      </c>
      <c r="AX741" s="82" t="s">
        <v>17514</v>
      </c>
      <c r="AY741" s="77"/>
      <c r="AZ741" s="82" t="s">
        <v>20971</v>
      </c>
      <c r="BA741" s="82" t="s">
        <v>20971</v>
      </c>
      <c r="BB741" s="82" t="s">
        <v>20971</v>
      </c>
      <c r="BC741" s="82" t="s">
        <v>17514</v>
      </c>
      <c r="BD741" s="77">
        <v>489723814</v>
      </c>
      <c r="BE741" s="77"/>
      <c r="BF741" s="77"/>
      <c r="BG741" s="77"/>
      <c r="BH741" s="77"/>
      <c r="BI741" s="77"/>
    </row>
    <row r="742" spans="1:61" x14ac:dyDescent="0.25">
      <c r="A742" s="62" t="s">
        <v>418</v>
      </c>
      <c r="B742" s="62" t="s">
        <v>418</v>
      </c>
      <c r="C742" s="63"/>
      <c r="D742" s="64"/>
      <c r="E742" s="65"/>
      <c r="F742" s="66"/>
      <c r="G742" s="63"/>
      <c r="H742" s="67"/>
      <c r="I742" s="68"/>
      <c r="J742" s="68"/>
      <c r="K742" s="32"/>
      <c r="L742" s="75">
        <v>742</v>
      </c>
      <c r="M742" s="75"/>
      <c r="N742" s="70"/>
      <c r="O742" s="77" t="s">
        <v>179</v>
      </c>
      <c r="P742" s="79">
        <v>45029.676736111112</v>
      </c>
      <c r="Q742" s="77" t="s">
        <v>2024</v>
      </c>
      <c r="R742" s="77">
        <v>0</v>
      </c>
      <c r="S742" s="77">
        <v>0</v>
      </c>
      <c r="T742" s="77">
        <v>0</v>
      </c>
      <c r="U742" s="77">
        <v>0</v>
      </c>
      <c r="V742" s="77">
        <v>18</v>
      </c>
      <c r="W742" s="82" t="s">
        <v>5335</v>
      </c>
      <c r="X742" s="80" t="str">
        <f>HYPERLINK("https://www.freeclassificados.com/ads/o-seu-negocio-digital-com-produtos-pra-voce-ganhar-dinheiro/")</f>
        <v>https://www.freeclassificados.com/ads/o-seu-negocio-digital-com-produtos-pra-voce-ganhar-dinheiro/</v>
      </c>
      <c r="Y742" s="77" t="s">
        <v>7308</v>
      </c>
      <c r="Z742" s="77"/>
      <c r="AA742" s="77"/>
      <c r="AB742" s="77"/>
      <c r="AC742" s="82" t="s">
        <v>10155</v>
      </c>
      <c r="AD742" s="77" t="s">
        <v>10184</v>
      </c>
      <c r="AE742" s="80" t="str">
        <f>HYPERLINK("https://twitter.com/freeclassific/status/1646547417062592512")</f>
        <v>https://twitter.com/freeclassific/status/1646547417062592512</v>
      </c>
      <c r="AF742" s="79">
        <v>45029.676736111112</v>
      </c>
      <c r="AG742" s="85">
        <v>45029</v>
      </c>
      <c r="AH742" s="82" t="s">
        <v>10895</v>
      </c>
      <c r="AI742" s="77" t="b">
        <v>0</v>
      </c>
      <c r="AJ742" s="77"/>
      <c r="AK742" s="77"/>
      <c r="AL742" s="77"/>
      <c r="AM742" s="77"/>
      <c r="AN742" s="77"/>
      <c r="AO742" s="77"/>
      <c r="AP742" s="77"/>
      <c r="AQ742" s="77"/>
      <c r="AR742" s="77"/>
      <c r="AS742" s="77"/>
      <c r="AT742" s="77"/>
      <c r="AU742" s="77"/>
      <c r="AV742" s="80" t="str">
        <f>HYPERLINK("https://pbs.twimg.com/profile_images/1431648743728852993/tLJ7F5Lu_normal.png")</f>
        <v>https://pbs.twimg.com/profile_images/1431648743728852993/tLJ7F5Lu_normal.png</v>
      </c>
      <c r="AW742" s="82" t="s">
        <v>17515</v>
      </c>
      <c r="AX742" s="82" t="s">
        <v>17515</v>
      </c>
      <c r="AY742" s="77"/>
      <c r="AZ742" s="82" t="s">
        <v>20971</v>
      </c>
      <c r="BA742" s="82" t="s">
        <v>20971</v>
      </c>
      <c r="BB742" s="82" t="s">
        <v>20971</v>
      </c>
      <c r="BC742" s="82" t="s">
        <v>17515</v>
      </c>
      <c r="BD742" s="77">
        <v>489723814</v>
      </c>
      <c r="BE742" s="77"/>
      <c r="BF742" s="77"/>
      <c r="BG742" s="77"/>
      <c r="BH742" s="77"/>
      <c r="BI742" s="77"/>
    </row>
    <row r="743" spans="1:61" x14ac:dyDescent="0.25">
      <c r="A743" s="62" t="s">
        <v>418</v>
      </c>
      <c r="B743" s="62" t="s">
        <v>418</v>
      </c>
      <c r="C743" s="63"/>
      <c r="D743" s="64"/>
      <c r="E743" s="65"/>
      <c r="F743" s="66"/>
      <c r="G743" s="63"/>
      <c r="H743" s="67"/>
      <c r="I743" s="68"/>
      <c r="J743" s="68"/>
      <c r="K743" s="32"/>
      <c r="L743" s="75">
        <v>743</v>
      </c>
      <c r="M743" s="75"/>
      <c r="N743" s="70"/>
      <c r="O743" s="77" t="s">
        <v>179</v>
      </c>
      <c r="P743" s="79">
        <v>45029.623807870368</v>
      </c>
      <c r="Q743" s="77" t="s">
        <v>2025</v>
      </c>
      <c r="R743" s="77">
        <v>0</v>
      </c>
      <c r="S743" s="77">
        <v>0</v>
      </c>
      <c r="T743" s="77">
        <v>0</v>
      </c>
      <c r="U743" s="77">
        <v>0</v>
      </c>
      <c r="V743" s="77">
        <v>11</v>
      </c>
      <c r="W743" s="82" t="s">
        <v>5335</v>
      </c>
      <c r="X743" s="80" t="str">
        <f>HYPERLINK("https://www.freeclassificados.com/ads/caixa-multiuso-para-delivery-com-plastificacao-interna/")</f>
        <v>https://www.freeclassificados.com/ads/caixa-multiuso-para-delivery-com-plastificacao-interna/</v>
      </c>
      <c r="Y743" s="77" t="s">
        <v>7308</v>
      </c>
      <c r="Z743" s="77"/>
      <c r="AA743" s="77"/>
      <c r="AB743" s="77"/>
      <c r="AC743" s="82" t="s">
        <v>10155</v>
      </c>
      <c r="AD743" s="77" t="s">
        <v>10184</v>
      </c>
      <c r="AE743" s="80" t="str">
        <f>HYPERLINK("https://twitter.com/freeclassific/status/1646528237873545221")</f>
        <v>https://twitter.com/freeclassific/status/1646528237873545221</v>
      </c>
      <c r="AF743" s="79">
        <v>45029.623807870368</v>
      </c>
      <c r="AG743" s="85">
        <v>45029</v>
      </c>
      <c r="AH743" s="82" t="s">
        <v>10896</v>
      </c>
      <c r="AI743" s="77" t="b">
        <v>0</v>
      </c>
      <c r="AJ743" s="77"/>
      <c r="AK743" s="77"/>
      <c r="AL743" s="77"/>
      <c r="AM743" s="77"/>
      <c r="AN743" s="77"/>
      <c r="AO743" s="77"/>
      <c r="AP743" s="77"/>
      <c r="AQ743" s="77"/>
      <c r="AR743" s="77"/>
      <c r="AS743" s="77"/>
      <c r="AT743" s="77"/>
      <c r="AU743" s="77"/>
      <c r="AV743" s="80" t="str">
        <f>HYPERLINK("https://pbs.twimg.com/profile_images/1431648743728852993/tLJ7F5Lu_normal.png")</f>
        <v>https://pbs.twimg.com/profile_images/1431648743728852993/tLJ7F5Lu_normal.png</v>
      </c>
      <c r="AW743" s="82" t="s">
        <v>17516</v>
      </c>
      <c r="AX743" s="82" t="s">
        <v>17516</v>
      </c>
      <c r="AY743" s="77"/>
      <c r="AZ743" s="82" t="s">
        <v>20971</v>
      </c>
      <c r="BA743" s="82" t="s">
        <v>20971</v>
      </c>
      <c r="BB743" s="82" t="s">
        <v>20971</v>
      </c>
      <c r="BC743" s="82" t="s">
        <v>17516</v>
      </c>
      <c r="BD743" s="77">
        <v>489723814</v>
      </c>
      <c r="BE743" s="77"/>
      <c r="BF743" s="77"/>
      <c r="BG743" s="77"/>
      <c r="BH743" s="77"/>
      <c r="BI743" s="77"/>
    </row>
    <row r="744" spans="1:61" x14ac:dyDescent="0.25">
      <c r="A744" s="62" t="s">
        <v>418</v>
      </c>
      <c r="B744" s="62" t="s">
        <v>418</v>
      </c>
      <c r="C744" s="63"/>
      <c r="D744" s="64"/>
      <c r="E744" s="65"/>
      <c r="F744" s="66"/>
      <c r="G744" s="63"/>
      <c r="H744" s="67"/>
      <c r="I744" s="68"/>
      <c r="J744" s="68"/>
      <c r="K744" s="32"/>
      <c r="L744" s="75">
        <v>744</v>
      </c>
      <c r="M744" s="75"/>
      <c r="N744" s="70"/>
      <c r="O744" s="77" t="s">
        <v>179</v>
      </c>
      <c r="P744" s="79">
        <v>45029.205868055556</v>
      </c>
      <c r="Q744" s="77" t="s">
        <v>2026</v>
      </c>
      <c r="R744" s="77">
        <v>0</v>
      </c>
      <c r="S744" s="77">
        <v>0</v>
      </c>
      <c r="T744" s="77">
        <v>0</v>
      </c>
      <c r="U744" s="77">
        <v>0</v>
      </c>
      <c r="V744" s="77">
        <v>14</v>
      </c>
      <c r="W744" s="82" t="s">
        <v>5335</v>
      </c>
      <c r="X744" s="80" t="str">
        <f>HYPERLINK("https://www.freeclassificados.com/ads/por-que-voce-deveria-conhecer-a-minha-pagina/")</f>
        <v>https://www.freeclassificados.com/ads/por-que-voce-deveria-conhecer-a-minha-pagina/</v>
      </c>
      <c r="Y744" s="77" t="s">
        <v>7308</v>
      </c>
      <c r="Z744" s="77"/>
      <c r="AA744" s="77"/>
      <c r="AB744" s="77"/>
      <c r="AC744" s="82" t="s">
        <v>10155</v>
      </c>
      <c r="AD744" s="77" t="s">
        <v>10184</v>
      </c>
      <c r="AE744" s="80" t="str">
        <f>HYPERLINK("https://twitter.com/freeclassific/status/1646376781187022848")</f>
        <v>https://twitter.com/freeclassific/status/1646376781187022848</v>
      </c>
      <c r="AF744" s="79">
        <v>45029.205868055556</v>
      </c>
      <c r="AG744" s="85">
        <v>45029</v>
      </c>
      <c r="AH744" s="82" t="s">
        <v>10897</v>
      </c>
      <c r="AI744" s="77" t="b">
        <v>0</v>
      </c>
      <c r="AJ744" s="77"/>
      <c r="AK744" s="77"/>
      <c r="AL744" s="77"/>
      <c r="AM744" s="77"/>
      <c r="AN744" s="77"/>
      <c r="AO744" s="77"/>
      <c r="AP744" s="77"/>
      <c r="AQ744" s="77"/>
      <c r="AR744" s="77"/>
      <c r="AS744" s="77"/>
      <c r="AT744" s="77"/>
      <c r="AU744" s="77"/>
      <c r="AV744" s="80" t="str">
        <f>HYPERLINK("https://pbs.twimg.com/profile_images/1431648743728852993/tLJ7F5Lu_normal.png")</f>
        <v>https://pbs.twimg.com/profile_images/1431648743728852993/tLJ7F5Lu_normal.png</v>
      </c>
      <c r="AW744" s="82" t="s">
        <v>17517</v>
      </c>
      <c r="AX744" s="82" t="s">
        <v>17517</v>
      </c>
      <c r="AY744" s="77"/>
      <c r="AZ744" s="82" t="s">
        <v>20971</v>
      </c>
      <c r="BA744" s="82" t="s">
        <v>20971</v>
      </c>
      <c r="BB744" s="82" t="s">
        <v>20971</v>
      </c>
      <c r="BC744" s="82" t="s">
        <v>17517</v>
      </c>
      <c r="BD744" s="77">
        <v>489723814</v>
      </c>
      <c r="BE744" s="77"/>
      <c r="BF744" s="77"/>
      <c r="BG744" s="77"/>
      <c r="BH744" s="77"/>
      <c r="BI744" s="77"/>
    </row>
    <row r="745" spans="1:61" x14ac:dyDescent="0.25">
      <c r="A745" s="62" t="s">
        <v>418</v>
      </c>
      <c r="B745" s="62" t="s">
        <v>418</v>
      </c>
      <c r="C745" s="63"/>
      <c r="D745" s="64"/>
      <c r="E745" s="65"/>
      <c r="F745" s="66"/>
      <c r="G745" s="63"/>
      <c r="H745" s="67"/>
      <c r="I745" s="68"/>
      <c r="J745" s="68"/>
      <c r="K745" s="32"/>
      <c r="L745" s="75">
        <v>745</v>
      </c>
      <c r="M745" s="75"/>
      <c r="N745" s="70"/>
      <c r="O745" s="77" t="s">
        <v>179</v>
      </c>
      <c r="P745" s="79">
        <v>45004.98238425926</v>
      </c>
      <c r="Q745" s="77" t="s">
        <v>2027</v>
      </c>
      <c r="R745" s="77">
        <v>0</v>
      </c>
      <c r="S745" s="77">
        <v>0</v>
      </c>
      <c r="T745" s="77">
        <v>0</v>
      </c>
      <c r="U745" s="77">
        <v>0</v>
      </c>
      <c r="V745" s="77">
        <v>15</v>
      </c>
      <c r="W745" s="82" t="s">
        <v>5335</v>
      </c>
      <c r="X745" s="80" t="str">
        <f>HYPERLINK("https://www.freeclassificados.com/ads/faca-um-cursos-online-com-direito-a-certificado/")</f>
        <v>https://www.freeclassificados.com/ads/faca-um-cursos-online-com-direito-a-certificado/</v>
      </c>
      <c r="Y745" s="77" t="s">
        <v>7308</v>
      </c>
      <c r="Z745" s="77"/>
      <c r="AA745" s="77"/>
      <c r="AB745" s="77"/>
      <c r="AC745" s="82" t="s">
        <v>10155</v>
      </c>
      <c r="AD745" s="77" t="s">
        <v>10184</v>
      </c>
      <c r="AE745" s="80" t="str">
        <f>HYPERLINK("https://twitter.com/freeclassific/status/1637598484059787266")</f>
        <v>https://twitter.com/freeclassific/status/1637598484059787266</v>
      </c>
      <c r="AF745" s="79">
        <v>45004.98238425926</v>
      </c>
      <c r="AG745" s="85">
        <v>45004</v>
      </c>
      <c r="AH745" s="82" t="s">
        <v>10898</v>
      </c>
      <c r="AI745" s="77" t="b">
        <v>0</v>
      </c>
      <c r="AJ745" s="77"/>
      <c r="AK745" s="77"/>
      <c r="AL745" s="77"/>
      <c r="AM745" s="77"/>
      <c r="AN745" s="77"/>
      <c r="AO745" s="77"/>
      <c r="AP745" s="77"/>
      <c r="AQ745" s="77"/>
      <c r="AR745" s="77"/>
      <c r="AS745" s="77"/>
      <c r="AT745" s="77"/>
      <c r="AU745" s="77"/>
      <c r="AV745" s="80" t="str">
        <f>HYPERLINK("https://pbs.twimg.com/profile_images/1431648743728852993/tLJ7F5Lu_normal.png")</f>
        <v>https://pbs.twimg.com/profile_images/1431648743728852993/tLJ7F5Lu_normal.png</v>
      </c>
      <c r="AW745" s="82" t="s">
        <v>17518</v>
      </c>
      <c r="AX745" s="82" t="s">
        <v>17518</v>
      </c>
      <c r="AY745" s="77"/>
      <c r="AZ745" s="82" t="s">
        <v>20971</v>
      </c>
      <c r="BA745" s="82" t="s">
        <v>20971</v>
      </c>
      <c r="BB745" s="82" t="s">
        <v>20971</v>
      </c>
      <c r="BC745" s="82" t="s">
        <v>17518</v>
      </c>
      <c r="BD745" s="77">
        <v>489723814</v>
      </c>
      <c r="BE745" s="77"/>
      <c r="BF745" s="77"/>
      <c r="BG745" s="77"/>
      <c r="BH745" s="77"/>
      <c r="BI745" s="77"/>
    </row>
    <row r="746" spans="1:61" x14ac:dyDescent="0.25">
      <c r="A746" s="62" t="s">
        <v>418</v>
      </c>
      <c r="B746" s="62" t="s">
        <v>418</v>
      </c>
      <c r="C746" s="63"/>
      <c r="D746" s="64"/>
      <c r="E746" s="65"/>
      <c r="F746" s="66"/>
      <c r="G746" s="63"/>
      <c r="H746" s="67"/>
      <c r="I746" s="68"/>
      <c r="J746" s="68"/>
      <c r="K746" s="32"/>
      <c r="L746" s="75">
        <v>746</v>
      </c>
      <c r="M746" s="75"/>
      <c r="N746" s="70"/>
      <c r="O746" s="77" t="s">
        <v>179</v>
      </c>
      <c r="P746" s="79">
        <v>45004.975115740737</v>
      </c>
      <c r="Q746" s="77" t="s">
        <v>2028</v>
      </c>
      <c r="R746" s="77">
        <v>0</v>
      </c>
      <c r="S746" s="77">
        <v>0</v>
      </c>
      <c r="T746" s="77">
        <v>0</v>
      </c>
      <c r="U746" s="77">
        <v>0</v>
      </c>
      <c r="V746" s="77">
        <v>13</v>
      </c>
      <c r="W746" s="82" t="s">
        <v>5335</v>
      </c>
      <c r="X746" s="80" t="str">
        <f>HYPERLINK("https://www.freeclassificados.com/ads/revenda-folehados-e-bijuetriascompre-seus-folheados-diretamente-do-site-da-imagem-folheados/")</f>
        <v>https://www.freeclassificados.com/ads/revenda-folehados-e-bijuetriascompre-seus-folheados-diretamente-do-site-da-imagem-folheados/</v>
      </c>
      <c r="Y746" s="77" t="s">
        <v>7308</v>
      </c>
      <c r="Z746" s="77"/>
      <c r="AA746" s="77"/>
      <c r="AB746" s="77"/>
      <c r="AC746" s="82" t="s">
        <v>10155</v>
      </c>
      <c r="AD746" s="77" t="s">
        <v>10184</v>
      </c>
      <c r="AE746" s="80" t="str">
        <f>HYPERLINK("https://twitter.com/freeclassific/status/1637595851802677248")</f>
        <v>https://twitter.com/freeclassific/status/1637595851802677248</v>
      </c>
      <c r="AF746" s="79">
        <v>45004.975115740737</v>
      </c>
      <c r="AG746" s="85">
        <v>45004</v>
      </c>
      <c r="AH746" s="82" t="s">
        <v>10899</v>
      </c>
      <c r="AI746" s="77" t="b">
        <v>0</v>
      </c>
      <c r="AJ746" s="77"/>
      <c r="AK746" s="77"/>
      <c r="AL746" s="77"/>
      <c r="AM746" s="77"/>
      <c r="AN746" s="77"/>
      <c r="AO746" s="77"/>
      <c r="AP746" s="77"/>
      <c r="AQ746" s="77"/>
      <c r="AR746" s="77"/>
      <c r="AS746" s="77"/>
      <c r="AT746" s="77"/>
      <c r="AU746" s="77"/>
      <c r="AV746" s="80" t="str">
        <f>HYPERLINK("https://pbs.twimg.com/profile_images/1431648743728852993/tLJ7F5Lu_normal.png")</f>
        <v>https://pbs.twimg.com/profile_images/1431648743728852993/tLJ7F5Lu_normal.png</v>
      </c>
      <c r="AW746" s="82" t="s">
        <v>17519</v>
      </c>
      <c r="AX746" s="82" t="s">
        <v>17519</v>
      </c>
      <c r="AY746" s="77"/>
      <c r="AZ746" s="82" t="s">
        <v>20971</v>
      </c>
      <c r="BA746" s="82" t="s">
        <v>20971</v>
      </c>
      <c r="BB746" s="82" t="s">
        <v>20971</v>
      </c>
      <c r="BC746" s="82" t="s">
        <v>17519</v>
      </c>
      <c r="BD746" s="77">
        <v>489723814</v>
      </c>
      <c r="BE746" s="77"/>
      <c r="BF746" s="77"/>
      <c r="BG746" s="77"/>
      <c r="BH746" s="77"/>
      <c r="BI746" s="77"/>
    </row>
    <row r="747" spans="1:61" x14ac:dyDescent="0.25">
      <c r="A747" s="62" t="s">
        <v>418</v>
      </c>
      <c r="B747" s="62" t="s">
        <v>418</v>
      </c>
      <c r="C747" s="63"/>
      <c r="D747" s="64"/>
      <c r="E747" s="65"/>
      <c r="F747" s="66"/>
      <c r="G747" s="63"/>
      <c r="H747" s="67"/>
      <c r="I747" s="68"/>
      <c r="J747" s="68"/>
      <c r="K747" s="32"/>
      <c r="L747" s="75">
        <v>747</v>
      </c>
      <c r="M747" s="75"/>
      <c r="N747" s="70"/>
      <c r="O747" s="77" t="s">
        <v>179</v>
      </c>
      <c r="P747" s="79">
        <v>45004.969641203701</v>
      </c>
      <c r="Q747" s="77" t="s">
        <v>2029</v>
      </c>
      <c r="R747" s="77">
        <v>0</v>
      </c>
      <c r="S747" s="77">
        <v>0</v>
      </c>
      <c r="T747" s="77">
        <v>0</v>
      </c>
      <c r="U747" s="77">
        <v>0</v>
      </c>
      <c r="V747" s="77">
        <v>14</v>
      </c>
      <c r="W747" s="82" t="s">
        <v>5335</v>
      </c>
      <c r="X747" s="80" t="str">
        <f>HYPERLINK("https://www.freeclassificados.com/ads/trabalhe-com-os-melhores-programa-de-afiliados-e-ganhe-uma-otima-renda-extra-trabalhanod-online/")</f>
        <v>https://www.freeclassificados.com/ads/trabalhe-com-os-melhores-programa-de-afiliados-e-ganhe-uma-otima-renda-extra-trabalhanod-online/</v>
      </c>
      <c r="Y747" s="77" t="s">
        <v>7308</v>
      </c>
      <c r="Z747" s="77"/>
      <c r="AA747" s="77"/>
      <c r="AB747" s="77"/>
      <c r="AC747" s="82" t="s">
        <v>10155</v>
      </c>
      <c r="AD747" s="77" t="s">
        <v>10184</v>
      </c>
      <c r="AE747" s="80" t="str">
        <f>HYPERLINK("https://twitter.com/freeclassific/status/1637593865258688514")</f>
        <v>https://twitter.com/freeclassific/status/1637593865258688514</v>
      </c>
      <c r="AF747" s="79">
        <v>45004.969641203701</v>
      </c>
      <c r="AG747" s="85">
        <v>45004</v>
      </c>
      <c r="AH747" s="82" t="s">
        <v>10900</v>
      </c>
      <c r="AI747" s="77" t="b">
        <v>0</v>
      </c>
      <c r="AJ747" s="77"/>
      <c r="AK747" s="77"/>
      <c r="AL747" s="77"/>
      <c r="AM747" s="77"/>
      <c r="AN747" s="77"/>
      <c r="AO747" s="77"/>
      <c r="AP747" s="77"/>
      <c r="AQ747" s="77"/>
      <c r="AR747" s="77"/>
      <c r="AS747" s="77"/>
      <c r="AT747" s="77"/>
      <c r="AU747" s="77"/>
      <c r="AV747" s="80" t="str">
        <f>HYPERLINK("https://pbs.twimg.com/profile_images/1431648743728852993/tLJ7F5Lu_normal.png")</f>
        <v>https://pbs.twimg.com/profile_images/1431648743728852993/tLJ7F5Lu_normal.png</v>
      </c>
      <c r="AW747" s="82" t="s">
        <v>17520</v>
      </c>
      <c r="AX747" s="82" t="s">
        <v>17520</v>
      </c>
      <c r="AY747" s="77"/>
      <c r="AZ747" s="82" t="s">
        <v>20971</v>
      </c>
      <c r="BA747" s="82" t="s">
        <v>20971</v>
      </c>
      <c r="BB747" s="82" t="s">
        <v>20971</v>
      </c>
      <c r="BC747" s="82" t="s">
        <v>17520</v>
      </c>
      <c r="BD747" s="77">
        <v>489723814</v>
      </c>
      <c r="BE747" s="77"/>
      <c r="BF747" s="77"/>
      <c r="BG747" s="77"/>
      <c r="BH747" s="77"/>
      <c r="BI747" s="77"/>
    </row>
    <row r="748" spans="1:61" x14ac:dyDescent="0.25">
      <c r="A748" s="62" t="s">
        <v>418</v>
      </c>
      <c r="B748" s="62" t="s">
        <v>418</v>
      </c>
      <c r="C748" s="63"/>
      <c r="D748" s="64"/>
      <c r="E748" s="65"/>
      <c r="F748" s="66"/>
      <c r="G748" s="63"/>
      <c r="H748" s="67"/>
      <c r="I748" s="68"/>
      <c r="J748" s="68"/>
      <c r="K748" s="32"/>
      <c r="L748" s="75">
        <v>748</v>
      </c>
      <c r="M748" s="75"/>
      <c r="N748" s="70"/>
      <c r="O748" s="77" t="s">
        <v>179</v>
      </c>
      <c r="P748" s="79">
        <v>45004.705081018517</v>
      </c>
      <c r="Q748" s="77" t="s">
        <v>2030</v>
      </c>
      <c r="R748" s="77">
        <v>0</v>
      </c>
      <c r="S748" s="77">
        <v>0</v>
      </c>
      <c r="T748" s="77">
        <v>0</v>
      </c>
      <c r="U748" s="77">
        <v>0</v>
      </c>
      <c r="V748" s="77">
        <v>13</v>
      </c>
      <c r="W748" s="82" t="s">
        <v>5335</v>
      </c>
      <c r="X748" s="80" t="str">
        <f>HYPERLINK("https://www.freeclassificados.com/ads/faca-sua-loja-virtual-crescer-sua-renda-saiba-como-ter-uma/")</f>
        <v>https://www.freeclassificados.com/ads/faca-sua-loja-virtual-crescer-sua-renda-saiba-como-ter-uma/</v>
      </c>
      <c r="Y748" s="77" t="s">
        <v>7308</v>
      </c>
      <c r="Z748" s="77"/>
      <c r="AA748" s="77"/>
      <c r="AB748" s="77"/>
      <c r="AC748" s="82" t="s">
        <v>10155</v>
      </c>
      <c r="AD748" s="77" t="s">
        <v>10184</v>
      </c>
      <c r="AE748" s="80" t="str">
        <f>HYPERLINK("https://twitter.com/freeclassific/status/1637497991681708034")</f>
        <v>https://twitter.com/freeclassific/status/1637497991681708034</v>
      </c>
      <c r="AF748" s="79">
        <v>45004.705081018517</v>
      </c>
      <c r="AG748" s="85">
        <v>45004</v>
      </c>
      <c r="AH748" s="82" t="s">
        <v>10901</v>
      </c>
      <c r="AI748" s="77" t="b">
        <v>0</v>
      </c>
      <c r="AJ748" s="77"/>
      <c r="AK748" s="77"/>
      <c r="AL748" s="77"/>
      <c r="AM748" s="77"/>
      <c r="AN748" s="77"/>
      <c r="AO748" s="77"/>
      <c r="AP748" s="77"/>
      <c r="AQ748" s="77"/>
      <c r="AR748" s="77"/>
      <c r="AS748" s="77"/>
      <c r="AT748" s="77"/>
      <c r="AU748" s="77"/>
      <c r="AV748" s="80" t="str">
        <f>HYPERLINK("https://pbs.twimg.com/profile_images/1431648743728852993/tLJ7F5Lu_normal.png")</f>
        <v>https://pbs.twimg.com/profile_images/1431648743728852993/tLJ7F5Lu_normal.png</v>
      </c>
      <c r="AW748" s="82" t="s">
        <v>17521</v>
      </c>
      <c r="AX748" s="82" t="s">
        <v>17521</v>
      </c>
      <c r="AY748" s="77"/>
      <c r="AZ748" s="82" t="s">
        <v>20971</v>
      </c>
      <c r="BA748" s="82" t="s">
        <v>20971</v>
      </c>
      <c r="BB748" s="82" t="s">
        <v>20971</v>
      </c>
      <c r="BC748" s="82" t="s">
        <v>17521</v>
      </c>
      <c r="BD748" s="77">
        <v>489723814</v>
      </c>
      <c r="BE748" s="77"/>
      <c r="BF748" s="77"/>
      <c r="BG748" s="77"/>
      <c r="BH748" s="77"/>
      <c r="BI748" s="77"/>
    </row>
    <row r="749" spans="1:61" x14ac:dyDescent="0.25">
      <c r="A749" s="62" t="s">
        <v>418</v>
      </c>
      <c r="B749" s="62" t="s">
        <v>418</v>
      </c>
      <c r="C749" s="63"/>
      <c r="D749" s="64"/>
      <c r="E749" s="65"/>
      <c r="F749" s="66"/>
      <c r="G749" s="63"/>
      <c r="H749" s="67"/>
      <c r="I749" s="68"/>
      <c r="J749" s="68"/>
      <c r="K749" s="32"/>
      <c r="L749" s="75">
        <v>749</v>
      </c>
      <c r="M749" s="75"/>
      <c r="N749" s="70"/>
      <c r="O749" s="77" t="s">
        <v>179</v>
      </c>
      <c r="P749" s="79">
        <v>45003.824699074074</v>
      </c>
      <c r="Q749" s="77" t="s">
        <v>2031</v>
      </c>
      <c r="R749" s="77">
        <v>0</v>
      </c>
      <c r="S749" s="77">
        <v>0</v>
      </c>
      <c r="T749" s="77">
        <v>0</v>
      </c>
      <c r="U749" s="77">
        <v>0</v>
      </c>
      <c r="V749" s="77">
        <v>11</v>
      </c>
      <c r="W749" s="82" t="s">
        <v>5335</v>
      </c>
      <c r="X749" s="80" t="str">
        <f>HYPERLINK("https://www.freeclassificados.com/ads/ganhar-r300-reais-por-dia/")</f>
        <v>https://www.freeclassificados.com/ads/ganhar-r300-reais-por-dia/</v>
      </c>
      <c r="Y749" s="77" t="s">
        <v>7308</v>
      </c>
      <c r="Z749" s="77"/>
      <c r="AA749" s="77"/>
      <c r="AB749" s="77"/>
      <c r="AC749" s="82" t="s">
        <v>10155</v>
      </c>
      <c r="AD749" s="77" t="s">
        <v>10184</v>
      </c>
      <c r="AE749" s="80" t="str">
        <f>HYPERLINK("https://twitter.com/freeclassific/status/1637178954590343168")</f>
        <v>https://twitter.com/freeclassific/status/1637178954590343168</v>
      </c>
      <c r="AF749" s="79">
        <v>45003.824699074074</v>
      </c>
      <c r="AG749" s="85">
        <v>45003</v>
      </c>
      <c r="AH749" s="82" t="s">
        <v>10902</v>
      </c>
      <c r="AI749" s="77" t="b">
        <v>0</v>
      </c>
      <c r="AJ749" s="77"/>
      <c r="AK749" s="77"/>
      <c r="AL749" s="77"/>
      <c r="AM749" s="77"/>
      <c r="AN749" s="77"/>
      <c r="AO749" s="77"/>
      <c r="AP749" s="77"/>
      <c r="AQ749" s="77"/>
      <c r="AR749" s="77"/>
      <c r="AS749" s="77"/>
      <c r="AT749" s="77"/>
      <c r="AU749" s="77"/>
      <c r="AV749" s="80" t="str">
        <f>HYPERLINK("https://pbs.twimg.com/profile_images/1431648743728852993/tLJ7F5Lu_normal.png")</f>
        <v>https://pbs.twimg.com/profile_images/1431648743728852993/tLJ7F5Lu_normal.png</v>
      </c>
      <c r="AW749" s="82" t="s">
        <v>17522</v>
      </c>
      <c r="AX749" s="82" t="s">
        <v>17522</v>
      </c>
      <c r="AY749" s="77"/>
      <c r="AZ749" s="82" t="s">
        <v>20971</v>
      </c>
      <c r="BA749" s="82" t="s">
        <v>20971</v>
      </c>
      <c r="BB749" s="82" t="s">
        <v>20971</v>
      </c>
      <c r="BC749" s="82" t="s">
        <v>17522</v>
      </c>
      <c r="BD749" s="77">
        <v>489723814</v>
      </c>
      <c r="BE749" s="77"/>
      <c r="BF749" s="77"/>
      <c r="BG749" s="77"/>
      <c r="BH749" s="77"/>
      <c r="BI749" s="77"/>
    </row>
    <row r="750" spans="1:61" x14ac:dyDescent="0.25">
      <c r="A750" s="62" t="s">
        <v>418</v>
      </c>
      <c r="B750" s="62" t="s">
        <v>418</v>
      </c>
      <c r="C750" s="63"/>
      <c r="D750" s="64"/>
      <c r="E750" s="65"/>
      <c r="F750" s="66"/>
      <c r="G750" s="63"/>
      <c r="H750" s="67"/>
      <c r="I750" s="68"/>
      <c r="J750" s="68"/>
      <c r="K750" s="32"/>
      <c r="L750" s="75">
        <v>750</v>
      </c>
      <c r="M750" s="75"/>
      <c r="N750" s="70"/>
      <c r="O750" s="77" t="s">
        <v>179</v>
      </c>
      <c r="P750" s="79">
        <v>45003.820439814815</v>
      </c>
      <c r="Q750" s="77" t="s">
        <v>2032</v>
      </c>
      <c r="R750" s="77">
        <v>0</v>
      </c>
      <c r="S750" s="77">
        <v>0</v>
      </c>
      <c r="T750" s="77">
        <v>0</v>
      </c>
      <c r="U750" s="77">
        <v>0</v>
      </c>
      <c r="V750" s="77">
        <v>7</v>
      </c>
      <c r="W750" s="82" t="s">
        <v>5335</v>
      </c>
      <c r="X750" s="80" t="str">
        <f>HYPERLINK("https://www.freeclassificados.com/ads/ganhar-r300-reais-por-dia/")</f>
        <v>https://www.freeclassificados.com/ads/ganhar-r300-reais-por-dia/</v>
      </c>
      <c r="Y750" s="77" t="s">
        <v>7308</v>
      </c>
      <c r="Z750" s="77"/>
      <c r="AA750" s="77"/>
      <c r="AB750" s="77"/>
      <c r="AC750" s="82" t="s">
        <v>10155</v>
      </c>
      <c r="AD750" s="77" t="s">
        <v>10184</v>
      </c>
      <c r="AE750" s="80" t="str">
        <f>HYPERLINK("https://twitter.com/freeclassific/status/1637177408305651712")</f>
        <v>https://twitter.com/freeclassific/status/1637177408305651712</v>
      </c>
      <c r="AF750" s="79">
        <v>45003.820439814815</v>
      </c>
      <c r="AG750" s="85">
        <v>45003</v>
      </c>
      <c r="AH750" s="82" t="s">
        <v>10903</v>
      </c>
      <c r="AI750" s="77" t="b">
        <v>0</v>
      </c>
      <c r="AJ750" s="77"/>
      <c r="AK750" s="77"/>
      <c r="AL750" s="77"/>
      <c r="AM750" s="77"/>
      <c r="AN750" s="77"/>
      <c r="AO750" s="77"/>
      <c r="AP750" s="77"/>
      <c r="AQ750" s="77"/>
      <c r="AR750" s="77"/>
      <c r="AS750" s="77"/>
      <c r="AT750" s="77"/>
      <c r="AU750" s="77"/>
      <c r="AV750" s="80" t="str">
        <f>HYPERLINK("https://pbs.twimg.com/profile_images/1431648743728852993/tLJ7F5Lu_normal.png")</f>
        <v>https://pbs.twimg.com/profile_images/1431648743728852993/tLJ7F5Lu_normal.png</v>
      </c>
      <c r="AW750" s="82" t="s">
        <v>17523</v>
      </c>
      <c r="AX750" s="82" t="s">
        <v>17523</v>
      </c>
      <c r="AY750" s="77"/>
      <c r="AZ750" s="82" t="s">
        <v>20971</v>
      </c>
      <c r="BA750" s="82" t="s">
        <v>20971</v>
      </c>
      <c r="BB750" s="82" t="s">
        <v>20971</v>
      </c>
      <c r="BC750" s="82" t="s">
        <v>17523</v>
      </c>
      <c r="BD750" s="77">
        <v>489723814</v>
      </c>
      <c r="BE750" s="77"/>
      <c r="BF750" s="77"/>
      <c r="BG750" s="77"/>
      <c r="BH750" s="77"/>
      <c r="BI750" s="77"/>
    </row>
    <row r="751" spans="1:61" x14ac:dyDescent="0.25">
      <c r="A751" s="62" t="s">
        <v>418</v>
      </c>
      <c r="B751" s="62" t="s">
        <v>418</v>
      </c>
      <c r="C751" s="63"/>
      <c r="D751" s="64"/>
      <c r="E751" s="65"/>
      <c r="F751" s="66"/>
      <c r="G751" s="63"/>
      <c r="H751" s="67"/>
      <c r="I751" s="68"/>
      <c r="J751" s="68"/>
      <c r="K751" s="32"/>
      <c r="L751" s="75">
        <v>751</v>
      </c>
      <c r="M751" s="75"/>
      <c r="N751" s="70"/>
      <c r="O751" s="77" t="s">
        <v>179</v>
      </c>
      <c r="P751" s="79">
        <v>45002.621770833335</v>
      </c>
      <c r="Q751" s="77" t="s">
        <v>2033</v>
      </c>
      <c r="R751" s="77">
        <v>0</v>
      </c>
      <c r="S751" s="77">
        <v>0</v>
      </c>
      <c r="T751" s="77">
        <v>0</v>
      </c>
      <c r="U751" s="77">
        <v>0</v>
      </c>
      <c r="V751" s="77">
        <v>7</v>
      </c>
      <c r="W751" s="82" t="s">
        <v>5335</v>
      </c>
      <c r="X751" s="80" t="str">
        <f>HYPERLINK("https://www.freeclassificados.com/ads/embalagem-personalizada-delivery/")</f>
        <v>https://www.freeclassificados.com/ads/embalagem-personalizada-delivery/</v>
      </c>
      <c r="Y751" s="77" t="s">
        <v>7308</v>
      </c>
      <c r="Z751" s="77"/>
      <c r="AA751" s="77"/>
      <c r="AB751" s="77"/>
      <c r="AC751" s="82" t="s">
        <v>10155</v>
      </c>
      <c r="AD751" s="77" t="s">
        <v>10184</v>
      </c>
      <c r="AE751" s="80" t="str">
        <f>HYPERLINK("https://twitter.com/freeclassific/status/1636743026587611136")</f>
        <v>https://twitter.com/freeclassific/status/1636743026587611136</v>
      </c>
      <c r="AF751" s="79">
        <v>45002.621770833335</v>
      </c>
      <c r="AG751" s="85">
        <v>45002</v>
      </c>
      <c r="AH751" s="82" t="s">
        <v>10904</v>
      </c>
      <c r="AI751" s="77" t="b">
        <v>0</v>
      </c>
      <c r="AJ751" s="77"/>
      <c r="AK751" s="77"/>
      <c r="AL751" s="77"/>
      <c r="AM751" s="77"/>
      <c r="AN751" s="77"/>
      <c r="AO751" s="77"/>
      <c r="AP751" s="77"/>
      <c r="AQ751" s="77"/>
      <c r="AR751" s="77"/>
      <c r="AS751" s="77"/>
      <c r="AT751" s="77"/>
      <c r="AU751" s="77"/>
      <c r="AV751" s="80" t="str">
        <f>HYPERLINK("https://pbs.twimg.com/profile_images/1431648743728852993/tLJ7F5Lu_normal.png")</f>
        <v>https://pbs.twimg.com/profile_images/1431648743728852993/tLJ7F5Lu_normal.png</v>
      </c>
      <c r="AW751" s="82" t="s">
        <v>17524</v>
      </c>
      <c r="AX751" s="82" t="s">
        <v>17524</v>
      </c>
      <c r="AY751" s="77"/>
      <c r="AZ751" s="82" t="s">
        <v>20971</v>
      </c>
      <c r="BA751" s="82" t="s">
        <v>20971</v>
      </c>
      <c r="BB751" s="82" t="s">
        <v>20971</v>
      </c>
      <c r="BC751" s="82" t="s">
        <v>17524</v>
      </c>
      <c r="BD751" s="77">
        <v>489723814</v>
      </c>
      <c r="BE751" s="77"/>
      <c r="BF751" s="77"/>
      <c r="BG751" s="77"/>
      <c r="BH751" s="77"/>
      <c r="BI751" s="77"/>
    </row>
    <row r="752" spans="1:61" x14ac:dyDescent="0.25">
      <c r="A752" s="62" t="s">
        <v>418</v>
      </c>
      <c r="B752" s="62" t="s">
        <v>418</v>
      </c>
      <c r="C752" s="63"/>
      <c r="D752" s="64"/>
      <c r="E752" s="65"/>
      <c r="F752" s="66"/>
      <c r="G752" s="63"/>
      <c r="H752" s="67"/>
      <c r="I752" s="68"/>
      <c r="J752" s="68"/>
      <c r="K752" s="32"/>
      <c r="L752" s="75">
        <v>752</v>
      </c>
      <c r="M752" s="75"/>
      <c r="N752" s="70"/>
      <c r="O752" s="77" t="s">
        <v>179</v>
      </c>
      <c r="P752" s="79">
        <v>45001.867430555554</v>
      </c>
      <c r="Q752" s="77" t="s">
        <v>2034</v>
      </c>
      <c r="R752" s="77">
        <v>0</v>
      </c>
      <c r="S752" s="77">
        <v>0</v>
      </c>
      <c r="T752" s="77">
        <v>0</v>
      </c>
      <c r="U752" s="77">
        <v>0</v>
      </c>
      <c r="V752" s="77">
        <v>20</v>
      </c>
      <c r="W752" s="82" t="s">
        <v>5335</v>
      </c>
      <c r="X752" s="80" t="str">
        <f>HYPERLINK("https://www.freeclassificados.com/ads/detetive-particular-em-curitiba-pr/")</f>
        <v>https://www.freeclassificados.com/ads/detetive-particular-em-curitiba-pr/</v>
      </c>
      <c r="Y752" s="77" t="s">
        <v>7308</v>
      </c>
      <c r="Z752" s="77"/>
      <c r="AA752" s="77"/>
      <c r="AB752" s="77"/>
      <c r="AC752" s="82" t="s">
        <v>10155</v>
      </c>
      <c r="AD752" s="77" t="s">
        <v>10184</v>
      </c>
      <c r="AE752" s="80" t="str">
        <f>HYPERLINK("https://twitter.com/freeclassific/status/1636469663814254592")</f>
        <v>https://twitter.com/freeclassific/status/1636469663814254592</v>
      </c>
      <c r="AF752" s="79">
        <v>45001.867430555554</v>
      </c>
      <c r="AG752" s="85">
        <v>45001</v>
      </c>
      <c r="AH752" s="82" t="s">
        <v>10905</v>
      </c>
      <c r="AI752" s="77" t="b">
        <v>0</v>
      </c>
      <c r="AJ752" s="77"/>
      <c r="AK752" s="77"/>
      <c r="AL752" s="77"/>
      <c r="AM752" s="77"/>
      <c r="AN752" s="77"/>
      <c r="AO752" s="77"/>
      <c r="AP752" s="77"/>
      <c r="AQ752" s="77"/>
      <c r="AR752" s="77"/>
      <c r="AS752" s="77"/>
      <c r="AT752" s="77"/>
      <c r="AU752" s="77"/>
      <c r="AV752" s="80" t="str">
        <f>HYPERLINK("https://pbs.twimg.com/profile_images/1431648743728852993/tLJ7F5Lu_normal.png")</f>
        <v>https://pbs.twimg.com/profile_images/1431648743728852993/tLJ7F5Lu_normal.png</v>
      </c>
      <c r="AW752" s="82" t="s">
        <v>17525</v>
      </c>
      <c r="AX752" s="82" t="s">
        <v>17525</v>
      </c>
      <c r="AY752" s="77"/>
      <c r="AZ752" s="82" t="s">
        <v>20971</v>
      </c>
      <c r="BA752" s="82" t="s">
        <v>20971</v>
      </c>
      <c r="BB752" s="82" t="s">
        <v>20971</v>
      </c>
      <c r="BC752" s="82" t="s">
        <v>17525</v>
      </c>
      <c r="BD752" s="77">
        <v>489723814</v>
      </c>
      <c r="BE752" s="77"/>
      <c r="BF752" s="77"/>
      <c r="BG752" s="77"/>
      <c r="BH752" s="77"/>
      <c r="BI752" s="77"/>
    </row>
    <row r="753" spans="1:61" x14ac:dyDescent="0.25">
      <c r="A753" s="62" t="s">
        <v>418</v>
      </c>
      <c r="B753" s="62" t="s">
        <v>418</v>
      </c>
      <c r="C753" s="63"/>
      <c r="D753" s="64"/>
      <c r="E753" s="65"/>
      <c r="F753" s="66"/>
      <c r="G753" s="63"/>
      <c r="H753" s="67"/>
      <c r="I753" s="68"/>
      <c r="J753" s="68"/>
      <c r="K753" s="32"/>
      <c r="L753" s="75">
        <v>753</v>
      </c>
      <c r="M753" s="75"/>
      <c r="N753" s="70"/>
      <c r="O753" s="77" t="s">
        <v>179</v>
      </c>
      <c r="P753" s="79">
        <v>44975.156226851854</v>
      </c>
      <c r="Q753" s="77" t="s">
        <v>2035</v>
      </c>
      <c r="R753" s="77">
        <v>0</v>
      </c>
      <c r="S753" s="77">
        <v>0</v>
      </c>
      <c r="T753" s="77">
        <v>0</v>
      </c>
      <c r="U753" s="77">
        <v>0</v>
      </c>
      <c r="V753" s="77">
        <v>7</v>
      </c>
      <c r="W753" s="82" t="s">
        <v>5335</v>
      </c>
      <c r="X753" s="80" t="str">
        <f>HYPERLINK("https://www.freeclassificados.com/ads/negocios-na-velocidade-humana/")</f>
        <v>https://www.freeclassificados.com/ads/negocios-na-velocidade-humana/</v>
      </c>
      <c r="Y753" s="77" t="s">
        <v>7308</v>
      </c>
      <c r="Z753" s="77"/>
      <c r="AA753" s="77"/>
      <c r="AB753" s="77"/>
      <c r="AC753" s="82" t="s">
        <v>10155</v>
      </c>
      <c r="AD753" s="77" t="s">
        <v>10184</v>
      </c>
      <c r="AE753" s="80" t="str">
        <f>HYPERLINK("https://twitter.com/freeclassific/status/1626789845975572480")</f>
        <v>https://twitter.com/freeclassific/status/1626789845975572480</v>
      </c>
      <c r="AF753" s="79">
        <v>44975.156226851854</v>
      </c>
      <c r="AG753" s="85">
        <v>44975</v>
      </c>
      <c r="AH753" s="82" t="s">
        <v>10906</v>
      </c>
      <c r="AI753" s="77" t="b">
        <v>0</v>
      </c>
      <c r="AJ753" s="77"/>
      <c r="AK753" s="77"/>
      <c r="AL753" s="77"/>
      <c r="AM753" s="77"/>
      <c r="AN753" s="77"/>
      <c r="AO753" s="77"/>
      <c r="AP753" s="77"/>
      <c r="AQ753" s="77"/>
      <c r="AR753" s="77"/>
      <c r="AS753" s="77"/>
      <c r="AT753" s="77"/>
      <c r="AU753" s="77"/>
      <c r="AV753" s="80" t="str">
        <f>HYPERLINK("https://pbs.twimg.com/profile_images/1431648743728852993/tLJ7F5Lu_normal.png")</f>
        <v>https://pbs.twimg.com/profile_images/1431648743728852993/tLJ7F5Lu_normal.png</v>
      </c>
      <c r="AW753" s="82" t="s">
        <v>17526</v>
      </c>
      <c r="AX753" s="82" t="s">
        <v>17526</v>
      </c>
      <c r="AY753" s="77"/>
      <c r="AZ753" s="82" t="s">
        <v>20971</v>
      </c>
      <c r="BA753" s="82" t="s">
        <v>20971</v>
      </c>
      <c r="BB753" s="82" t="s">
        <v>20971</v>
      </c>
      <c r="BC753" s="82" t="s">
        <v>17526</v>
      </c>
      <c r="BD753" s="77">
        <v>489723814</v>
      </c>
      <c r="BE753" s="77"/>
      <c r="BF753" s="77"/>
      <c r="BG753" s="77"/>
      <c r="BH753" s="77"/>
      <c r="BI753" s="77"/>
    </row>
    <row r="754" spans="1:61" x14ac:dyDescent="0.25">
      <c r="A754" s="62" t="s">
        <v>418</v>
      </c>
      <c r="B754" s="62" t="s">
        <v>418</v>
      </c>
      <c r="C754" s="63"/>
      <c r="D754" s="64"/>
      <c r="E754" s="65"/>
      <c r="F754" s="66"/>
      <c r="G754" s="63"/>
      <c r="H754" s="67"/>
      <c r="I754" s="68"/>
      <c r="J754" s="68"/>
      <c r="K754" s="32"/>
      <c r="L754" s="75">
        <v>754</v>
      </c>
      <c r="M754" s="75"/>
      <c r="N754" s="70"/>
      <c r="O754" s="77" t="s">
        <v>179</v>
      </c>
      <c r="P754" s="79">
        <v>44975.148900462962</v>
      </c>
      <c r="Q754" s="77" t="s">
        <v>2036</v>
      </c>
      <c r="R754" s="77">
        <v>0</v>
      </c>
      <c r="S754" s="77">
        <v>0</v>
      </c>
      <c r="T754" s="77">
        <v>0</v>
      </c>
      <c r="U754" s="77">
        <v>0</v>
      </c>
      <c r="V754" s="77">
        <v>6</v>
      </c>
      <c r="W754" s="82" t="s">
        <v>5335</v>
      </c>
      <c r="X754" s="80" t="str">
        <f>HYPERLINK("https://www.freeclassificados.com/ads/grupo-de-investimento-em-parcerias-e-emprestimos/")</f>
        <v>https://www.freeclassificados.com/ads/grupo-de-investimento-em-parcerias-e-emprestimos/</v>
      </c>
      <c r="Y754" s="77" t="s">
        <v>7308</v>
      </c>
      <c r="Z754" s="77"/>
      <c r="AA754" s="77"/>
      <c r="AB754" s="77"/>
      <c r="AC754" s="82" t="s">
        <v>10155</v>
      </c>
      <c r="AD754" s="77" t="s">
        <v>10184</v>
      </c>
      <c r="AE754" s="80" t="str">
        <f>HYPERLINK("https://twitter.com/freeclassific/status/1626787191643860992")</f>
        <v>https://twitter.com/freeclassific/status/1626787191643860992</v>
      </c>
      <c r="AF754" s="79">
        <v>44975.148900462962</v>
      </c>
      <c r="AG754" s="85">
        <v>44975</v>
      </c>
      <c r="AH754" s="82" t="s">
        <v>10907</v>
      </c>
      <c r="AI754" s="77" t="b">
        <v>0</v>
      </c>
      <c r="AJ754" s="77"/>
      <c r="AK754" s="77"/>
      <c r="AL754" s="77"/>
      <c r="AM754" s="77"/>
      <c r="AN754" s="77"/>
      <c r="AO754" s="77"/>
      <c r="AP754" s="77"/>
      <c r="AQ754" s="77"/>
      <c r="AR754" s="77"/>
      <c r="AS754" s="77"/>
      <c r="AT754" s="77"/>
      <c r="AU754" s="77"/>
      <c r="AV754" s="80" t="str">
        <f>HYPERLINK("https://pbs.twimg.com/profile_images/1431648743728852993/tLJ7F5Lu_normal.png")</f>
        <v>https://pbs.twimg.com/profile_images/1431648743728852993/tLJ7F5Lu_normal.png</v>
      </c>
      <c r="AW754" s="82" t="s">
        <v>17527</v>
      </c>
      <c r="AX754" s="82" t="s">
        <v>17527</v>
      </c>
      <c r="AY754" s="77"/>
      <c r="AZ754" s="82" t="s">
        <v>20971</v>
      </c>
      <c r="BA754" s="82" t="s">
        <v>20971</v>
      </c>
      <c r="BB754" s="82" t="s">
        <v>20971</v>
      </c>
      <c r="BC754" s="82" t="s">
        <v>17527</v>
      </c>
      <c r="BD754" s="77">
        <v>489723814</v>
      </c>
      <c r="BE754" s="77"/>
      <c r="BF754" s="77"/>
      <c r="BG754" s="77"/>
      <c r="BH754" s="77"/>
      <c r="BI754" s="77"/>
    </row>
    <row r="755" spans="1:61" x14ac:dyDescent="0.25">
      <c r="A755" s="62" t="s">
        <v>418</v>
      </c>
      <c r="B755" s="62" t="s">
        <v>418</v>
      </c>
      <c r="C755" s="63"/>
      <c r="D755" s="64"/>
      <c r="E755" s="65"/>
      <c r="F755" s="66"/>
      <c r="G755" s="63"/>
      <c r="H755" s="67"/>
      <c r="I755" s="68"/>
      <c r="J755" s="68"/>
      <c r="K755" s="32"/>
      <c r="L755" s="75">
        <v>755</v>
      </c>
      <c r="M755" s="75"/>
      <c r="N755" s="70"/>
      <c r="O755" s="77" t="s">
        <v>179</v>
      </c>
      <c r="P755" s="79">
        <v>44974.084444444445</v>
      </c>
      <c r="Q755" s="77" t="s">
        <v>2037</v>
      </c>
      <c r="R755" s="77">
        <v>0</v>
      </c>
      <c r="S755" s="77">
        <v>0</v>
      </c>
      <c r="T755" s="77">
        <v>0</v>
      </c>
      <c r="U755" s="77">
        <v>0</v>
      </c>
      <c r="V755" s="77">
        <v>144</v>
      </c>
      <c r="W755" s="82" t="s">
        <v>5335</v>
      </c>
      <c r="X755" s="80" t="str">
        <f>HYPERLINK("https://www.freeclassificados.com/ads/como-acabar-com-a-alopecia-com-esse-poderoso-aliado-que-e-o-tonico-de-trinoxidiu/")</f>
        <v>https://www.freeclassificados.com/ads/como-acabar-com-a-alopecia-com-esse-poderoso-aliado-que-e-o-tonico-de-trinoxidiu/</v>
      </c>
      <c r="Y755" s="77" t="s">
        <v>7308</v>
      </c>
      <c r="Z755" s="77"/>
      <c r="AA755" s="77"/>
      <c r="AB755" s="77"/>
      <c r="AC755" s="82" t="s">
        <v>10155</v>
      </c>
      <c r="AD755" s="77" t="s">
        <v>10184</v>
      </c>
      <c r="AE755" s="80" t="str">
        <f>HYPERLINK("https://twitter.com/freeclassific/status/1626401444818563073")</f>
        <v>https://twitter.com/freeclassific/status/1626401444818563073</v>
      </c>
      <c r="AF755" s="79">
        <v>44974.084444444445</v>
      </c>
      <c r="AG755" s="85">
        <v>44974</v>
      </c>
      <c r="AH755" s="82" t="s">
        <v>10908</v>
      </c>
      <c r="AI755" s="77" t="b">
        <v>0</v>
      </c>
      <c r="AJ755" s="77"/>
      <c r="AK755" s="77"/>
      <c r="AL755" s="77"/>
      <c r="AM755" s="77"/>
      <c r="AN755" s="77"/>
      <c r="AO755" s="77"/>
      <c r="AP755" s="77"/>
      <c r="AQ755" s="77"/>
      <c r="AR755" s="77"/>
      <c r="AS755" s="77"/>
      <c r="AT755" s="77"/>
      <c r="AU755" s="77"/>
      <c r="AV755" s="80" t="str">
        <f>HYPERLINK("https://pbs.twimg.com/profile_images/1431648743728852993/tLJ7F5Lu_normal.png")</f>
        <v>https://pbs.twimg.com/profile_images/1431648743728852993/tLJ7F5Lu_normal.png</v>
      </c>
      <c r="AW755" s="82" t="s">
        <v>17528</v>
      </c>
      <c r="AX755" s="82" t="s">
        <v>17528</v>
      </c>
      <c r="AY755" s="77"/>
      <c r="AZ755" s="82" t="s">
        <v>20971</v>
      </c>
      <c r="BA755" s="82" t="s">
        <v>20971</v>
      </c>
      <c r="BB755" s="82" t="s">
        <v>20971</v>
      </c>
      <c r="BC755" s="82" t="s">
        <v>17528</v>
      </c>
      <c r="BD755" s="77">
        <v>489723814</v>
      </c>
      <c r="BE755" s="77"/>
      <c r="BF755" s="77"/>
      <c r="BG755" s="77"/>
      <c r="BH755" s="77"/>
      <c r="BI755" s="77"/>
    </row>
    <row r="756" spans="1:61" x14ac:dyDescent="0.25">
      <c r="A756" s="62" t="s">
        <v>418</v>
      </c>
      <c r="B756" s="62" t="s">
        <v>418</v>
      </c>
      <c r="C756" s="63"/>
      <c r="D756" s="64"/>
      <c r="E756" s="65"/>
      <c r="F756" s="66"/>
      <c r="G756" s="63"/>
      <c r="H756" s="67"/>
      <c r="I756" s="68"/>
      <c r="J756" s="68"/>
      <c r="K756" s="32"/>
      <c r="L756" s="75">
        <v>756</v>
      </c>
      <c r="M756" s="75"/>
      <c r="N756" s="70"/>
      <c r="O756" s="77" t="s">
        <v>179</v>
      </c>
      <c r="P756" s="79">
        <v>44974.077361111114</v>
      </c>
      <c r="Q756" s="77" t="s">
        <v>2038</v>
      </c>
      <c r="R756" s="77">
        <v>0</v>
      </c>
      <c r="S756" s="77">
        <v>0</v>
      </c>
      <c r="T756" s="77">
        <v>0</v>
      </c>
      <c r="U756" s="77">
        <v>0</v>
      </c>
      <c r="V756" s="77">
        <v>15</v>
      </c>
      <c r="W756" s="82" t="s">
        <v>5335</v>
      </c>
      <c r="X756" s="80" t="str">
        <f>HYPERLINK("https://www.freeclassificados.com/ads/comece-agora-o-seu-tratamento-e-veja-o-resultado-em-pouco-tempo/")</f>
        <v>https://www.freeclassificados.com/ads/comece-agora-o-seu-tratamento-e-veja-o-resultado-em-pouco-tempo/</v>
      </c>
      <c r="Y756" s="77" t="s">
        <v>7308</v>
      </c>
      <c r="Z756" s="77"/>
      <c r="AA756" s="77"/>
      <c r="AB756" s="77"/>
      <c r="AC756" s="82" t="s">
        <v>10155</v>
      </c>
      <c r="AD756" s="77" t="s">
        <v>10184</v>
      </c>
      <c r="AE756" s="80" t="str">
        <f>HYPERLINK("https://twitter.com/freeclassific/status/1626398877447233539")</f>
        <v>https://twitter.com/freeclassific/status/1626398877447233539</v>
      </c>
      <c r="AF756" s="79">
        <v>44974.077361111114</v>
      </c>
      <c r="AG756" s="85">
        <v>44974</v>
      </c>
      <c r="AH756" s="82" t="s">
        <v>10909</v>
      </c>
      <c r="AI756" s="77" t="b">
        <v>0</v>
      </c>
      <c r="AJ756" s="77"/>
      <c r="AK756" s="77"/>
      <c r="AL756" s="77"/>
      <c r="AM756" s="77"/>
      <c r="AN756" s="77"/>
      <c r="AO756" s="77"/>
      <c r="AP756" s="77"/>
      <c r="AQ756" s="77"/>
      <c r="AR756" s="77"/>
      <c r="AS756" s="77"/>
      <c r="AT756" s="77"/>
      <c r="AU756" s="77"/>
      <c r="AV756" s="80" t="str">
        <f>HYPERLINK("https://pbs.twimg.com/profile_images/1431648743728852993/tLJ7F5Lu_normal.png")</f>
        <v>https://pbs.twimg.com/profile_images/1431648743728852993/tLJ7F5Lu_normal.png</v>
      </c>
      <c r="AW756" s="82" t="s">
        <v>17529</v>
      </c>
      <c r="AX756" s="82" t="s">
        <v>17529</v>
      </c>
      <c r="AY756" s="77"/>
      <c r="AZ756" s="82" t="s">
        <v>20971</v>
      </c>
      <c r="BA756" s="82" t="s">
        <v>20971</v>
      </c>
      <c r="BB756" s="82" t="s">
        <v>20971</v>
      </c>
      <c r="BC756" s="82" t="s">
        <v>17529</v>
      </c>
      <c r="BD756" s="77">
        <v>489723814</v>
      </c>
      <c r="BE756" s="77"/>
      <c r="BF756" s="77"/>
      <c r="BG756" s="77"/>
      <c r="BH756" s="77"/>
      <c r="BI756" s="77"/>
    </row>
    <row r="757" spans="1:61" x14ac:dyDescent="0.25">
      <c r="A757" s="62" t="s">
        <v>418</v>
      </c>
      <c r="B757" s="62" t="s">
        <v>418</v>
      </c>
      <c r="C757" s="63"/>
      <c r="D757" s="64"/>
      <c r="E757" s="65"/>
      <c r="F757" s="66"/>
      <c r="G757" s="63"/>
      <c r="H757" s="67"/>
      <c r="I757" s="68"/>
      <c r="J757" s="68"/>
      <c r="K757" s="32"/>
      <c r="L757" s="75">
        <v>757</v>
      </c>
      <c r="M757" s="75"/>
      <c r="N757" s="70"/>
      <c r="O757" s="77" t="s">
        <v>179</v>
      </c>
      <c r="P757" s="79">
        <v>44973.8981712963</v>
      </c>
      <c r="Q757" s="77" t="s">
        <v>2039</v>
      </c>
      <c r="R757" s="77">
        <v>0</v>
      </c>
      <c r="S757" s="77">
        <v>0</v>
      </c>
      <c r="T757" s="77">
        <v>0</v>
      </c>
      <c r="U757" s="77">
        <v>0</v>
      </c>
      <c r="V757" s="77">
        <v>9</v>
      </c>
      <c r="W757" s="82" t="s">
        <v>5335</v>
      </c>
      <c r="X757" s="80" t="str">
        <f>HYPERLINK("https://www.freeclassificados.com/ads/ganhe-atraves-do-beruby-em-suas-compras-online/")</f>
        <v>https://www.freeclassificados.com/ads/ganhe-atraves-do-beruby-em-suas-compras-online/</v>
      </c>
      <c r="Y757" s="77" t="s">
        <v>7308</v>
      </c>
      <c r="Z757" s="77"/>
      <c r="AA757" s="77"/>
      <c r="AB757" s="77"/>
      <c r="AC757" s="82" t="s">
        <v>10155</v>
      </c>
      <c r="AD757" s="77" t="s">
        <v>10184</v>
      </c>
      <c r="AE757" s="80" t="str">
        <f>HYPERLINK("https://twitter.com/freeclassific/status/1626333943724228608")</f>
        <v>https://twitter.com/freeclassific/status/1626333943724228608</v>
      </c>
      <c r="AF757" s="79">
        <v>44973.8981712963</v>
      </c>
      <c r="AG757" s="85">
        <v>44973</v>
      </c>
      <c r="AH757" s="82" t="s">
        <v>10910</v>
      </c>
      <c r="AI757" s="77" t="b">
        <v>0</v>
      </c>
      <c r="AJ757" s="77"/>
      <c r="AK757" s="77"/>
      <c r="AL757" s="77"/>
      <c r="AM757" s="77"/>
      <c r="AN757" s="77"/>
      <c r="AO757" s="77"/>
      <c r="AP757" s="77"/>
      <c r="AQ757" s="77"/>
      <c r="AR757" s="77"/>
      <c r="AS757" s="77"/>
      <c r="AT757" s="77"/>
      <c r="AU757" s="77"/>
      <c r="AV757" s="80" t="str">
        <f>HYPERLINK("https://pbs.twimg.com/profile_images/1431648743728852993/tLJ7F5Lu_normal.png")</f>
        <v>https://pbs.twimg.com/profile_images/1431648743728852993/tLJ7F5Lu_normal.png</v>
      </c>
      <c r="AW757" s="82" t="s">
        <v>17530</v>
      </c>
      <c r="AX757" s="82" t="s">
        <v>17530</v>
      </c>
      <c r="AY757" s="77"/>
      <c r="AZ757" s="82" t="s">
        <v>20971</v>
      </c>
      <c r="BA757" s="82" t="s">
        <v>20971</v>
      </c>
      <c r="BB757" s="82" t="s">
        <v>20971</v>
      </c>
      <c r="BC757" s="82" t="s">
        <v>17530</v>
      </c>
      <c r="BD757" s="77">
        <v>489723814</v>
      </c>
      <c r="BE757" s="77"/>
      <c r="BF757" s="77"/>
      <c r="BG757" s="77"/>
      <c r="BH757" s="77"/>
      <c r="BI757" s="77"/>
    </row>
    <row r="758" spans="1:61" x14ac:dyDescent="0.25">
      <c r="A758" s="62" t="s">
        <v>418</v>
      </c>
      <c r="B758" s="62" t="s">
        <v>418</v>
      </c>
      <c r="C758" s="63"/>
      <c r="D758" s="64"/>
      <c r="E758" s="65"/>
      <c r="F758" s="66"/>
      <c r="G758" s="63"/>
      <c r="H758" s="67"/>
      <c r="I758" s="68"/>
      <c r="J758" s="68"/>
      <c r="K758" s="32"/>
      <c r="L758" s="75">
        <v>758</v>
      </c>
      <c r="M758" s="75"/>
      <c r="N758" s="70"/>
      <c r="O758" s="77" t="s">
        <v>179</v>
      </c>
      <c r="P758" s="79">
        <v>44973.89503472222</v>
      </c>
      <c r="Q758" s="77" t="s">
        <v>2040</v>
      </c>
      <c r="R758" s="77">
        <v>0</v>
      </c>
      <c r="S758" s="77">
        <v>0</v>
      </c>
      <c r="T758" s="77">
        <v>0</v>
      </c>
      <c r="U758" s="77">
        <v>0</v>
      </c>
      <c r="V758" s="77">
        <v>9</v>
      </c>
      <c r="W758" s="82" t="s">
        <v>5335</v>
      </c>
      <c r="X758" s="80" t="str">
        <f>HYPERLINK("https://www.freeclassificados.com/ads/trabalhe-com-os-melhores-programa-de-afiliados-e-ganhe-uma-otima-renda-extra/")</f>
        <v>https://www.freeclassificados.com/ads/trabalhe-com-os-melhores-programa-de-afiliados-e-ganhe-uma-otima-renda-extra/</v>
      </c>
      <c r="Y758" s="77" t="s">
        <v>7308</v>
      </c>
      <c r="Z758" s="77"/>
      <c r="AA758" s="77"/>
      <c r="AB758" s="77"/>
      <c r="AC758" s="82" t="s">
        <v>10155</v>
      </c>
      <c r="AD758" s="77" t="s">
        <v>10184</v>
      </c>
      <c r="AE758" s="80" t="str">
        <f>HYPERLINK("https://twitter.com/freeclassific/status/1626332805713039360")</f>
        <v>https://twitter.com/freeclassific/status/1626332805713039360</v>
      </c>
      <c r="AF758" s="79">
        <v>44973.89503472222</v>
      </c>
      <c r="AG758" s="85">
        <v>44973</v>
      </c>
      <c r="AH758" s="82" t="s">
        <v>10911</v>
      </c>
      <c r="AI758" s="77" t="b">
        <v>0</v>
      </c>
      <c r="AJ758" s="77"/>
      <c r="AK758" s="77"/>
      <c r="AL758" s="77"/>
      <c r="AM758" s="77"/>
      <c r="AN758" s="77"/>
      <c r="AO758" s="77"/>
      <c r="AP758" s="77"/>
      <c r="AQ758" s="77"/>
      <c r="AR758" s="77"/>
      <c r="AS758" s="77"/>
      <c r="AT758" s="77"/>
      <c r="AU758" s="77"/>
      <c r="AV758" s="80" t="str">
        <f>HYPERLINK("https://pbs.twimg.com/profile_images/1431648743728852993/tLJ7F5Lu_normal.png")</f>
        <v>https://pbs.twimg.com/profile_images/1431648743728852993/tLJ7F5Lu_normal.png</v>
      </c>
      <c r="AW758" s="82" t="s">
        <v>17531</v>
      </c>
      <c r="AX758" s="82" t="s">
        <v>17531</v>
      </c>
      <c r="AY758" s="77"/>
      <c r="AZ758" s="82" t="s">
        <v>20971</v>
      </c>
      <c r="BA758" s="82" t="s">
        <v>20971</v>
      </c>
      <c r="BB758" s="82" t="s">
        <v>20971</v>
      </c>
      <c r="BC758" s="82" t="s">
        <v>17531</v>
      </c>
      <c r="BD758" s="77">
        <v>489723814</v>
      </c>
      <c r="BE758" s="77"/>
      <c r="BF758" s="77"/>
      <c r="BG758" s="77"/>
      <c r="BH758" s="77"/>
      <c r="BI758" s="77"/>
    </row>
    <row r="759" spans="1:61" x14ac:dyDescent="0.25">
      <c r="A759" s="62" t="s">
        <v>418</v>
      </c>
      <c r="B759" s="62" t="s">
        <v>418</v>
      </c>
      <c r="C759" s="63"/>
      <c r="D759" s="64"/>
      <c r="E759" s="65"/>
      <c r="F759" s="66"/>
      <c r="G759" s="63"/>
      <c r="H759" s="67"/>
      <c r="I759" s="68"/>
      <c r="J759" s="68"/>
      <c r="K759" s="32"/>
      <c r="L759" s="75">
        <v>759</v>
      </c>
      <c r="M759" s="75"/>
      <c r="N759" s="70"/>
      <c r="O759" s="77" t="s">
        <v>179</v>
      </c>
      <c r="P759" s="79">
        <v>44973.892372685186</v>
      </c>
      <c r="Q759" s="77" t="s">
        <v>2041</v>
      </c>
      <c r="R759" s="77">
        <v>0</v>
      </c>
      <c r="S759" s="77">
        <v>0</v>
      </c>
      <c r="T759" s="77">
        <v>0</v>
      </c>
      <c r="U759" s="77">
        <v>0</v>
      </c>
      <c r="V759" s="77">
        <v>8</v>
      </c>
      <c r="W759" s="82" t="s">
        <v>5335</v>
      </c>
      <c r="X759" s="80" t="str">
        <f>HYPERLINK("https://www.freeclassificados.com/ads/seja-um-revendedor-da-imagem-folheados/")</f>
        <v>https://www.freeclassificados.com/ads/seja-um-revendedor-da-imagem-folheados/</v>
      </c>
      <c r="Y759" s="77" t="s">
        <v>7308</v>
      </c>
      <c r="Z759" s="77"/>
      <c r="AA759" s="77"/>
      <c r="AB759" s="77"/>
      <c r="AC759" s="82" t="s">
        <v>10155</v>
      </c>
      <c r="AD759" s="77" t="s">
        <v>10184</v>
      </c>
      <c r="AE759" s="80" t="str">
        <f>HYPERLINK("https://twitter.com/freeclassific/status/1626331842373623814")</f>
        <v>https://twitter.com/freeclassific/status/1626331842373623814</v>
      </c>
      <c r="AF759" s="79">
        <v>44973.892372685186</v>
      </c>
      <c r="AG759" s="85">
        <v>44973</v>
      </c>
      <c r="AH759" s="82" t="s">
        <v>10912</v>
      </c>
      <c r="AI759" s="77" t="b">
        <v>0</v>
      </c>
      <c r="AJ759" s="77"/>
      <c r="AK759" s="77"/>
      <c r="AL759" s="77"/>
      <c r="AM759" s="77"/>
      <c r="AN759" s="77"/>
      <c r="AO759" s="77"/>
      <c r="AP759" s="77"/>
      <c r="AQ759" s="77"/>
      <c r="AR759" s="77"/>
      <c r="AS759" s="77"/>
      <c r="AT759" s="77"/>
      <c r="AU759" s="77"/>
      <c r="AV759" s="80" t="str">
        <f>HYPERLINK("https://pbs.twimg.com/profile_images/1431648743728852993/tLJ7F5Lu_normal.png")</f>
        <v>https://pbs.twimg.com/profile_images/1431648743728852993/tLJ7F5Lu_normal.png</v>
      </c>
      <c r="AW759" s="82" t="s">
        <v>17532</v>
      </c>
      <c r="AX759" s="82" t="s">
        <v>17532</v>
      </c>
      <c r="AY759" s="77"/>
      <c r="AZ759" s="82" t="s">
        <v>20971</v>
      </c>
      <c r="BA759" s="82" t="s">
        <v>20971</v>
      </c>
      <c r="BB759" s="82" t="s">
        <v>20971</v>
      </c>
      <c r="BC759" s="82" t="s">
        <v>17532</v>
      </c>
      <c r="BD759" s="77">
        <v>489723814</v>
      </c>
      <c r="BE759" s="77"/>
      <c r="BF759" s="77"/>
      <c r="BG759" s="77"/>
      <c r="BH759" s="77"/>
      <c r="BI759" s="77"/>
    </row>
    <row r="760" spans="1:61" x14ac:dyDescent="0.25">
      <c r="A760" s="62" t="s">
        <v>418</v>
      </c>
      <c r="B760" s="62" t="s">
        <v>418</v>
      </c>
      <c r="C760" s="63"/>
      <c r="D760" s="64"/>
      <c r="E760" s="65"/>
      <c r="F760" s="66"/>
      <c r="G760" s="63"/>
      <c r="H760" s="67"/>
      <c r="I760" s="68"/>
      <c r="J760" s="68"/>
      <c r="K760" s="32"/>
      <c r="L760" s="75">
        <v>760</v>
      </c>
      <c r="M760" s="75"/>
      <c r="N760" s="70"/>
      <c r="O760" s="77" t="s">
        <v>179</v>
      </c>
      <c r="P760" s="79">
        <v>44973.799571759257</v>
      </c>
      <c r="Q760" s="77" t="s">
        <v>2042</v>
      </c>
      <c r="R760" s="77">
        <v>0</v>
      </c>
      <c r="S760" s="77">
        <v>0</v>
      </c>
      <c r="T760" s="77">
        <v>0</v>
      </c>
      <c r="U760" s="77">
        <v>0</v>
      </c>
      <c r="V760" s="77">
        <v>15</v>
      </c>
      <c r="W760" s="82" t="s">
        <v>5335</v>
      </c>
      <c r="X760" s="80" t="str">
        <f>HYPERLINK("https://www.freeclassificados.com/ads/melhor-robo-extrator-de-grupos-de-whatsapp/")</f>
        <v>https://www.freeclassificados.com/ads/melhor-robo-extrator-de-grupos-de-whatsapp/</v>
      </c>
      <c r="Y760" s="77" t="s">
        <v>7308</v>
      </c>
      <c r="Z760" s="77"/>
      <c r="AA760" s="77"/>
      <c r="AB760" s="77"/>
      <c r="AC760" s="82" t="s">
        <v>10155</v>
      </c>
      <c r="AD760" s="77" t="s">
        <v>10184</v>
      </c>
      <c r="AE760" s="80" t="str">
        <f>HYPERLINK("https://twitter.com/freeclassific/status/1626298211114827776")</f>
        <v>https://twitter.com/freeclassific/status/1626298211114827776</v>
      </c>
      <c r="AF760" s="79">
        <v>44973.799571759257</v>
      </c>
      <c r="AG760" s="85">
        <v>44973</v>
      </c>
      <c r="AH760" s="82" t="s">
        <v>10913</v>
      </c>
      <c r="AI760" s="77" t="b">
        <v>0</v>
      </c>
      <c r="AJ760" s="77"/>
      <c r="AK760" s="77"/>
      <c r="AL760" s="77"/>
      <c r="AM760" s="77"/>
      <c r="AN760" s="77"/>
      <c r="AO760" s="77"/>
      <c r="AP760" s="77"/>
      <c r="AQ760" s="77"/>
      <c r="AR760" s="77"/>
      <c r="AS760" s="77"/>
      <c r="AT760" s="77"/>
      <c r="AU760" s="77"/>
      <c r="AV760" s="80" t="str">
        <f>HYPERLINK("https://pbs.twimg.com/profile_images/1431648743728852993/tLJ7F5Lu_normal.png")</f>
        <v>https://pbs.twimg.com/profile_images/1431648743728852993/tLJ7F5Lu_normal.png</v>
      </c>
      <c r="AW760" s="82" t="s">
        <v>17533</v>
      </c>
      <c r="AX760" s="82" t="s">
        <v>17533</v>
      </c>
      <c r="AY760" s="77"/>
      <c r="AZ760" s="82" t="s">
        <v>20971</v>
      </c>
      <c r="BA760" s="82" t="s">
        <v>20971</v>
      </c>
      <c r="BB760" s="82" t="s">
        <v>20971</v>
      </c>
      <c r="BC760" s="82" t="s">
        <v>17533</v>
      </c>
      <c r="BD760" s="77">
        <v>489723814</v>
      </c>
      <c r="BE760" s="77"/>
      <c r="BF760" s="77"/>
      <c r="BG760" s="77"/>
      <c r="BH760" s="77"/>
      <c r="BI760" s="77"/>
    </row>
    <row r="761" spans="1:61" x14ac:dyDescent="0.25">
      <c r="A761" s="62" t="s">
        <v>418</v>
      </c>
      <c r="B761" s="62" t="s">
        <v>418</v>
      </c>
      <c r="C761" s="63"/>
      <c r="D761" s="64"/>
      <c r="E761" s="65"/>
      <c r="F761" s="66"/>
      <c r="G761" s="63"/>
      <c r="H761" s="67"/>
      <c r="I761" s="68"/>
      <c r="J761" s="68"/>
      <c r="K761" s="32"/>
      <c r="L761" s="75">
        <v>761</v>
      </c>
      <c r="M761" s="75"/>
      <c r="N761" s="70"/>
      <c r="O761" s="77" t="s">
        <v>179</v>
      </c>
      <c r="P761" s="79">
        <v>44973.719398148147</v>
      </c>
      <c r="Q761" s="77" t="s">
        <v>2043</v>
      </c>
      <c r="R761" s="77">
        <v>0</v>
      </c>
      <c r="S761" s="77">
        <v>0</v>
      </c>
      <c r="T761" s="77">
        <v>0</v>
      </c>
      <c r="U761" s="77">
        <v>0</v>
      </c>
      <c r="V761" s="77">
        <v>14</v>
      </c>
      <c r="W761" s="82" t="s">
        <v>5335</v>
      </c>
      <c r="X761" s="80" t="str">
        <f>HYPERLINK("https://www.freeclassificados.com/ads/comprar-diplomas-universitarios/")</f>
        <v>https://www.freeclassificados.com/ads/comprar-diplomas-universitarios/</v>
      </c>
      <c r="Y761" s="77" t="s">
        <v>7308</v>
      </c>
      <c r="Z761" s="77"/>
      <c r="AA761" s="77"/>
      <c r="AB761" s="77"/>
      <c r="AC761" s="82" t="s">
        <v>10155</v>
      </c>
      <c r="AD761" s="77" t="s">
        <v>10184</v>
      </c>
      <c r="AE761" s="80" t="str">
        <f>HYPERLINK("https://twitter.com/freeclassific/status/1626269156201963520")</f>
        <v>https://twitter.com/freeclassific/status/1626269156201963520</v>
      </c>
      <c r="AF761" s="79">
        <v>44973.719398148147</v>
      </c>
      <c r="AG761" s="85">
        <v>44973</v>
      </c>
      <c r="AH761" s="82" t="s">
        <v>10914</v>
      </c>
      <c r="AI761" s="77" t="b">
        <v>0</v>
      </c>
      <c r="AJ761" s="77"/>
      <c r="AK761" s="77"/>
      <c r="AL761" s="77"/>
      <c r="AM761" s="77"/>
      <c r="AN761" s="77"/>
      <c r="AO761" s="77"/>
      <c r="AP761" s="77"/>
      <c r="AQ761" s="77"/>
      <c r="AR761" s="77"/>
      <c r="AS761" s="77"/>
      <c r="AT761" s="77"/>
      <c r="AU761" s="77"/>
      <c r="AV761" s="80" t="str">
        <f>HYPERLINK("https://pbs.twimg.com/profile_images/1431648743728852993/tLJ7F5Lu_normal.png")</f>
        <v>https://pbs.twimg.com/profile_images/1431648743728852993/tLJ7F5Lu_normal.png</v>
      </c>
      <c r="AW761" s="82" t="s">
        <v>17534</v>
      </c>
      <c r="AX761" s="82" t="s">
        <v>17534</v>
      </c>
      <c r="AY761" s="77"/>
      <c r="AZ761" s="82" t="s">
        <v>20971</v>
      </c>
      <c r="BA761" s="82" t="s">
        <v>20971</v>
      </c>
      <c r="BB761" s="82" t="s">
        <v>20971</v>
      </c>
      <c r="BC761" s="82" t="s">
        <v>17534</v>
      </c>
      <c r="BD761" s="77">
        <v>489723814</v>
      </c>
      <c r="BE761" s="77"/>
      <c r="BF761" s="77"/>
      <c r="BG761" s="77"/>
      <c r="BH761" s="77"/>
      <c r="BI761" s="77"/>
    </row>
    <row r="762" spans="1:61" x14ac:dyDescent="0.25">
      <c r="A762" s="62" t="s">
        <v>418</v>
      </c>
      <c r="B762" s="62" t="s">
        <v>418</v>
      </c>
      <c r="C762" s="63"/>
      <c r="D762" s="64"/>
      <c r="E762" s="65"/>
      <c r="F762" s="66"/>
      <c r="G762" s="63"/>
      <c r="H762" s="67"/>
      <c r="I762" s="68"/>
      <c r="J762" s="68"/>
      <c r="K762" s="32"/>
      <c r="L762" s="75">
        <v>762</v>
      </c>
      <c r="M762" s="75"/>
      <c r="N762" s="70"/>
      <c r="O762" s="77" t="s">
        <v>179</v>
      </c>
      <c r="P762" s="79">
        <v>44973.61787037037</v>
      </c>
      <c r="Q762" s="77" t="s">
        <v>2044</v>
      </c>
      <c r="R762" s="77">
        <v>0</v>
      </c>
      <c r="S762" s="77">
        <v>0</v>
      </c>
      <c r="T762" s="77">
        <v>0</v>
      </c>
      <c r="U762" s="77">
        <v>0</v>
      </c>
      <c r="V762" s="77">
        <v>6</v>
      </c>
      <c r="W762" s="82" t="s">
        <v>5335</v>
      </c>
      <c r="X762" s="80" t="str">
        <f>HYPERLINK("https://www.freeclassificados.com/ads/ssd-solucao-quimica-automatica-para-limpeza-de-notas/")</f>
        <v>https://www.freeclassificados.com/ads/ssd-solucao-quimica-automatica-para-limpeza-de-notas/</v>
      </c>
      <c r="Y762" s="77" t="s">
        <v>7308</v>
      </c>
      <c r="Z762" s="77"/>
      <c r="AA762" s="77"/>
      <c r="AB762" s="77"/>
      <c r="AC762" s="82" t="s">
        <v>10155</v>
      </c>
      <c r="AD762" s="77" t="s">
        <v>10184</v>
      </c>
      <c r="AE762" s="80" t="str">
        <f>HYPERLINK("https://twitter.com/freeclassific/status/1626232365659078662")</f>
        <v>https://twitter.com/freeclassific/status/1626232365659078662</v>
      </c>
      <c r="AF762" s="79">
        <v>44973.61787037037</v>
      </c>
      <c r="AG762" s="85">
        <v>44973</v>
      </c>
      <c r="AH762" s="82" t="s">
        <v>10915</v>
      </c>
      <c r="AI762" s="77" t="b">
        <v>0</v>
      </c>
      <c r="AJ762" s="77"/>
      <c r="AK762" s="77"/>
      <c r="AL762" s="77"/>
      <c r="AM762" s="77"/>
      <c r="AN762" s="77"/>
      <c r="AO762" s="77"/>
      <c r="AP762" s="77"/>
      <c r="AQ762" s="77"/>
      <c r="AR762" s="77"/>
      <c r="AS762" s="77"/>
      <c r="AT762" s="77"/>
      <c r="AU762" s="77"/>
      <c r="AV762" s="80" t="str">
        <f>HYPERLINK("https://pbs.twimg.com/profile_images/1431648743728852993/tLJ7F5Lu_normal.png")</f>
        <v>https://pbs.twimg.com/profile_images/1431648743728852993/tLJ7F5Lu_normal.png</v>
      </c>
      <c r="AW762" s="82" t="s">
        <v>17535</v>
      </c>
      <c r="AX762" s="82" t="s">
        <v>17535</v>
      </c>
      <c r="AY762" s="77"/>
      <c r="AZ762" s="82" t="s">
        <v>20971</v>
      </c>
      <c r="BA762" s="82" t="s">
        <v>20971</v>
      </c>
      <c r="BB762" s="82" t="s">
        <v>20971</v>
      </c>
      <c r="BC762" s="82" t="s">
        <v>17535</v>
      </c>
      <c r="BD762" s="77">
        <v>489723814</v>
      </c>
      <c r="BE762" s="77"/>
      <c r="BF762" s="77"/>
      <c r="BG762" s="77"/>
      <c r="BH762" s="77"/>
      <c r="BI762" s="77"/>
    </row>
    <row r="763" spans="1:61" x14ac:dyDescent="0.25">
      <c r="A763" s="62" t="s">
        <v>418</v>
      </c>
      <c r="B763" s="62" t="s">
        <v>418</v>
      </c>
      <c r="C763" s="63"/>
      <c r="D763" s="64"/>
      <c r="E763" s="65"/>
      <c r="F763" s="66"/>
      <c r="G763" s="63"/>
      <c r="H763" s="67"/>
      <c r="I763" s="68"/>
      <c r="J763" s="68"/>
      <c r="K763" s="32"/>
      <c r="L763" s="75">
        <v>763</v>
      </c>
      <c r="M763" s="75"/>
      <c r="N763" s="70"/>
      <c r="O763" s="77" t="s">
        <v>179</v>
      </c>
      <c r="P763" s="79">
        <v>44972.706608796296</v>
      </c>
      <c r="Q763" s="77" t="s">
        <v>2045</v>
      </c>
      <c r="R763" s="77">
        <v>0</v>
      </c>
      <c r="S763" s="77">
        <v>0</v>
      </c>
      <c r="T763" s="77">
        <v>0</v>
      </c>
      <c r="U763" s="77">
        <v>0</v>
      </c>
      <c r="V763" s="77">
        <v>6</v>
      </c>
      <c r="W763" s="82" t="s">
        <v>5335</v>
      </c>
      <c r="X763" s="80" t="str">
        <f>HYPERLINK("https://www.freeclassificados.com/ads/manutencao-de-cerca-eletrica-11-98475-2594-instalacao-orcamento-visita-tecnica/")</f>
        <v>https://www.freeclassificados.com/ads/manutencao-de-cerca-eletrica-11-98475-2594-instalacao-orcamento-visita-tecnica/</v>
      </c>
      <c r="Y763" s="77" t="s">
        <v>7308</v>
      </c>
      <c r="Z763" s="77"/>
      <c r="AA763" s="77"/>
      <c r="AB763" s="77"/>
      <c r="AC763" s="82" t="s">
        <v>10155</v>
      </c>
      <c r="AD763" s="77" t="s">
        <v>10184</v>
      </c>
      <c r="AE763" s="80" t="str">
        <f>HYPERLINK("https://twitter.com/freeclassific/status/1625902136910393375")</f>
        <v>https://twitter.com/freeclassific/status/1625902136910393375</v>
      </c>
      <c r="AF763" s="79">
        <v>44972.706608796296</v>
      </c>
      <c r="AG763" s="85">
        <v>44972</v>
      </c>
      <c r="AH763" s="82" t="s">
        <v>10916</v>
      </c>
      <c r="AI763" s="77" t="b">
        <v>0</v>
      </c>
      <c r="AJ763" s="77"/>
      <c r="AK763" s="77"/>
      <c r="AL763" s="77"/>
      <c r="AM763" s="77"/>
      <c r="AN763" s="77"/>
      <c r="AO763" s="77"/>
      <c r="AP763" s="77"/>
      <c r="AQ763" s="77"/>
      <c r="AR763" s="77"/>
      <c r="AS763" s="77"/>
      <c r="AT763" s="77"/>
      <c r="AU763" s="77"/>
      <c r="AV763" s="80" t="str">
        <f>HYPERLINK("https://pbs.twimg.com/profile_images/1431648743728852993/tLJ7F5Lu_normal.png")</f>
        <v>https://pbs.twimg.com/profile_images/1431648743728852993/tLJ7F5Lu_normal.png</v>
      </c>
      <c r="AW763" s="82" t="s">
        <v>17536</v>
      </c>
      <c r="AX763" s="82" t="s">
        <v>17536</v>
      </c>
      <c r="AY763" s="77"/>
      <c r="AZ763" s="82" t="s">
        <v>20971</v>
      </c>
      <c r="BA763" s="82" t="s">
        <v>20971</v>
      </c>
      <c r="BB763" s="82" t="s">
        <v>20971</v>
      </c>
      <c r="BC763" s="82" t="s">
        <v>17536</v>
      </c>
      <c r="BD763" s="77">
        <v>489723814</v>
      </c>
      <c r="BE763" s="77"/>
      <c r="BF763" s="77"/>
      <c r="BG763" s="77"/>
      <c r="BH763" s="77"/>
      <c r="BI763" s="77"/>
    </row>
    <row r="764" spans="1:61" x14ac:dyDescent="0.25">
      <c r="A764" s="62" t="s">
        <v>418</v>
      </c>
      <c r="B764" s="62" t="s">
        <v>418</v>
      </c>
      <c r="C764" s="63"/>
      <c r="D764" s="64"/>
      <c r="E764" s="65"/>
      <c r="F764" s="66"/>
      <c r="G764" s="63"/>
      <c r="H764" s="67"/>
      <c r="I764" s="68"/>
      <c r="J764" s="68"/>
      <c r="K764" s="32"/>
      <c r="L764" s="75">
        <v>764</v>
      </c>
      <c r="M764" s="75"/>
      <c r="N764" s="70"/>
      <c r="O764" s="77" t="s">
        <v>179</v>
      </c>
      <c r="P764" s="79">
        <v>44972.614039351851</v>
      </c>
      <c r="Q764" s="77" t="s">
        <v>2046</v>
      </c>
      <c r="R764" s="77">
        <v>0</v>
      </c>
      <c r="S764" s="77">
        <v>0</v>
      </c>
      <c r="T764" s="77">
        <v>0</v>
      </c>
      <c r="U764" s="77">
        <v>0</v>
      </c>
      <c r="V764" s="77">
        <v>35</v>
      </c>
      <c r="W764" s="82" t="s">
        <v>5335</v>
      </c>
      <c r="X764" s="80" t="str">
        <f>HYPERLINK("https://www.freeclassificados.com/ads/supletivo-acelerado-ead-paga-so-apos-receber-2/")</f>
        <v>https://www.freeclassificados.com/ads/supletivo-acelerado-ead-paga-so-apos-receber-2/</v>
      </c>
      <c r="Y764" s="77" t="s">
        <v>7308</v>
      </c>
      <c r="Z764" s="77"/>
      <c r="AA764" s="77"/>
      <c r="AB764" s="77"/>
      <c r="AC764" s="82" t="s">
        <v>10155</v>
      </c>
      <c r="AD764" s="77" t="s">
        <v>10184</v>
      </c>
      <c r="AE764" s="80" t="str">
        <f>HYPERLINK("https://twitter.com/freeclassific/status/1625868589277360129")</f>
        <v>https://twitter.com/freeclassific/status/1625868589277360129</v>
      </c>
      <c r="AF764" s="79">
        <v>44972.614039351851</v>
      </c>
      <c r="AG764" s="85">
        <v>44972</v>
      </c>
      <c r="AH764" s="82" t="s">
        <v>10917</v>
      </c>
      <c r="AI764" s="77" t="b">
        <v>0</v>
      </c>
      <c r="AJ764" s="77"/>
      <c r="AK764" s="77"/>
      <c r="AL764" s="77"/>
      <c r="AM764" s="77"/>
      <c r="AN764" s="77"/>
      <c r="AO764" s="77"/>
      <c r="AP764" s="77"/>
      <c r="AQ764" s="77"/>
      <c r="AR764" s="77"/>
      <c r="AS764" s="77"/>
      <c r="AT764" s="77"/>
      <c r="AU764" s="77"/>
      <c r="AV764" s="80" t="str">
        <f>HYPERLINK("https://pbs.twimg.com/profile_images/1431648743728852993/tLJ7F5Lu_normal.png")</f>
        <v>https://pbs.twimg.com/profile_images/1431648743728852993/tLJ7F5Lu_normal.png</v>
      </c>
      <c r="AW764" s="82" t="s">
        <v>17537</v>
      </c>
      <c r="AX764" s="82" t="s">
        <v>17537</v>
      </c>
      <c r="AY764" s="77"/>
      <c r="AZ764" s="82" t="s">
        <v>20971</v>
      </c>
      <c r="BA764" s="82" t="s">
        <v>20971</v>
      </c>
      <c r="BB764" s="82" t="s">
        <v>20971</v>
      </c>
      <c r="BC764" s="82" t="s">
        <v>17537</v>
      </c>
      <c r="BD764" s="77">
        <v>489723814</v>
      </c>
      <c r="BE764" s="77"/>
      <c r="BF764" s="77"/>
      <c r="BG764" s="77"/>
      <c r="BH764" s="77"/>
      <c r="BI764" s="77"/>
    </row>
    <row r="765" spans="1:61" x14ac:dyDescent="0.25">
      <c r="A765" s="62" t="s">
        <v>418</v>
      </c>
      <c r="B765" s="62" t="s">
        <v>418</v>
      </c>
      <c r="C765" s="63"/>
      <c r="D765" s="64"/>
      <c r="E765" s="65"/>
      <c r="F765" s="66"/>
      <c r="G765" s="63"/>
      <c r="H765" s="67"/>
      <c r="I765" s="68"/>
      <c r="J765" s="68"/>
      <c r="K765" s="32"/>
      <c r="L765" s="75">
        <v>765</v>
      </c>
      <c r="M765" s="75"/>
      <c r="N765" s="70"/>
      <c r="O765" s="77" t="s">
        <v>179</v>
      </c>
      <c r="P765" s="79">
        <v>44972.611828703702</v>
      </c>
      <c r="Q765" s="77" t="s">
        <v>2047</v>
      </c>
      <c r="R765" s="77">
        <v>0</v>
      </c>
      <c r="S765" s="77">
        <v>0</v>
      </c>
      <c r="T765" s="77">
        <v>0</v>
      </c>
      <c r="U765" s="77">
        <v>0</v>
      </c>
      <c r="V765" s="77">
        <v>5</v>
      </c>
      <c r="W765" s="82" t="s">
        <v>5335</v>
      </c>
      <c r="X765" s="80" t="str">
        <f>HYPERLINK("https://www.freeclassificados.com/ads/curso-superior-ead-e-paga-so-apos-receber-2/")</f>
        <v>https://www.freeclassificados.com/ads/curso-superior-ead-e-paga-so-apos-receber-2/</v>
      </c>
      <c r="Y765" s="77" t="s">
        <v>7308</v>
      </c>
      <c r="Z765" s="77"/>
      <c r="AA765" s="77"/>
      <c r="AB765" s="77"/>
      <c r="AC765" s="82" t="s">
        <v>10155</v>
      </c>
      <c r="AD765" s="77" t="s">
        <v>10184</v>
      </c>
      <c r="AE765" s="80" t="str">
        <f>HYPERLINK("https://twitter.com/freeclassific/status/1625867788311986176")</f>
        <v>https://twitter.com/freeclassific/status/1625867788311986176</v>
      </c>
      <c r="AF765" s="79">
        <v>44972.611828703702</v>
      </c>
      <c r="AG765" s="85">
        <v>44972</v>
      </c>
      <c r="AH765" s="82" t="s">
        <v>10918</v>
      </c>
      <c r="AI765" s="77" t="b">
        <v>0</v>
      </c>
      <c r="AJ765" s="77"/>
      <c r="AK765" s="77"/>
      <c r="AL765" s="77"/>
      <c r="AM765" s="77"/>
      <c r="AN765" s="77"/>
      <c r="AO765" s="77"/>
      <c r="AP765" s="77"/>
      <c r="AQ765" s="77"/>
      <c r="AR765" s="77"/>
      <c r="AS765" s="77"/>
      <c r="AT765" s="77"/>
      <c r="AU765" s="77"/>
      <c r="AV765" s="80" t="str">
        <f>HYPERLINK("https://pbs.twimg.com/profile_images/1431648743728852993/tLJ7F5Lu_normal.png")</f>
        <v>https://pbs.twimg.com/profile_images/1431648743728852993/tLJ7F5Lu_normal.png</v>
      </c>
      <c r="AW765" s="82" t="s">
        <v>17538</v>
      </c>
      <c r="AX765" s="82" t="s">
        <v>17538</v>
      </c>
      <c r="AY765" s="77"/>
      <c r="AZ765" s="82" t="s">
        <v>20971</v>
      </c>
      <c r="BA765" s="82" t="s">
        <v>20971</v>
      </c>
      <c r="BB765" s="82" t="s">
        <v>20971</v>
      </c>
      <c r="BC765" s="82" t="s">
        <v>17538</v>
      </c>
      <c r="BD765" s="77">
        <v>489723814</v>
      </c>
      <c r="BE765" s="77"/>
      <c r="BF765" s="77"/>
      <c r="BG765" s="77"/>
      <c r="BH765" s="77"/>
      <c r="BI765" s="77"/>
    </row>
    <row r="766" spans="1:61" x14ac:dyDescent="0.25">
      <c r="A766" s="62" t="s">
        <v>418</v>
      </c>
      <c r="B766" s="62" t="s">
        <v>418</v>
      </c>
      <c r="C766" s="63"/>
      <c r="D766" s="64"/>
      <c r="E766" s="65"/>
      <c r="F766" s="66"/>
      <c r="G766" s="63"/>
      <c r="H766" s="67"/>
      <c r="I766" s="68"/>
      <c r="J766" s="68"/>
      <c r="K766" s="32"/>
      <c r="L766" s="75">
        <v>766</v>
      </c>
      <c r="M766" s="75"/>
      <c r="N766" s="70"/>
      <c r="O766" s="77" t="s">
        <v>179</v>
      </c>
      <c r="P766" s="79">
        <v>44972.609513888892</v>
      </c>
      <c r="Q766" s="77" t="s">
        <v>2048</v>
      </c>
      <c r="R766" s="77">
        <v>0</v>
      </c>
      <c r="S766" s="77">
        <v>0</v>
      </c>
      <c r="T766" s="77">
        <v>0</v>
      </c>
      <c r="U766" s="77">
        <v>0</v>
      </c>
      <c r="V766" s="77">
        <v>4</v>
      </c>
      <c r="W766" s="82" t="s">
        <v>5335</v>
      </c>
      <c r="X766" s="80" t="str">
        <f>HYPERLINK("https://www.freeclassificados.com/ads/graduacao-online/")</f>
        <v>https://www.freeclassificados.com/ads/graduacao-online/</v>
      </c>
      <c r="Y766" s="77" t="s">
        <v>7308</v>
      </c>
      <c r="Z766" s="77"/>
      <c r="AA766" s="77"/>
      <c r="AB766" s="77"/>
      <c r="AC766" s="82" t="s">
        <v>10155</v>
      </c>
      <c r="AD766" s="77" t="s">
        <v>10184</v>
      </c>
      <c r="AE766" s="80" t="str">
        <f>HYPERLINK("https://twitter.com/freeclassific/status/1625866950860472326")</f>
        <v>https://twitter.com/freeclassific/status/1625866950860472326</v>
      </c>
      <c r="AF766" s="79">
        <v>44972.609513888892</v>
      </c>
      <c r="AG766" s="85">
        <v>44972</v>
      </c>
      <c r="AH766" s="82" t="s">
        <v>10919</v>
      </c>
      <c r="AI766" s="77" t="b">
        <v>0</v>
      </c>
      <c r="AJ766" s="77"/>
      <c r="AK766" s="77"/>
      <c r="AL766" s="77"/>
      <c r="AM766" s="77"/>
      <c r="AN766" s="77"/>
      <c r="AO766" s="77"/>
      <c r="AP766" s="77"/>
      <c r="AQ766" s="77"/>
      <c r="AR766" s="77"/>
      <c r="AS766" s="77"/>
      <c r="AT766" s="77"/>
      <c r="AU766" s="77"/>
      <c r="AV766" s="80" t="str">
        <f>HYPERLINK("https://pbs.twimg.com/profile_images/1431648743728852993/tLJ7F5Lu_normal.png")</f>
        <v>https://pbs.twimg.com/profile_images/1431648743728852993/tLJ7F5Lu_normal.png</v>
      </c>
      <c r="AW766" s="82" t="s">
        <v>17539</v>
      </c>
      <c r="AX766" s="82" t="s">
        <v>17539</v>
      </c>
      <c r="AY766" s="77"/>
      <c r="AZ766" s="82" t="s">
        <v>20971</v>
      </c>
      <c r="BA766" s="82" t="s">
        <v>20971</v>
      </c>
      <c r="BB766" s="82" t="s">
        <v>20971</v>
      </c>
      <c r="BC766" s="82" t="s">
        <v>17539</v>
      </c>
      <c r="BD766" s="77">
        <v>489723814</v>
      </c>
      <c r="BE766" s="77"/>
      <c r="BF766" s="77"/>
      <c r="BG766" s="77"/>
      <c r="BH766" s="77"/>
      <c r="BI766" s="77"/>
    </row>
    <row r="767" spans="1:61" x14ac:dyDescent="0.25">
      <c r="A767" s="62" t="s">
        <v>418</v>
      </c>
      <c r="B767" s="62" t="s">
        <v>418</v>
      </c>
      <c r="C767" s="63"/>
      <c r="D767" s="64"/>
      <c r="E767" s="65"/>
      <c r="F767" s="66"/>
      <c r="G767" s="63"/>
      <c r="H767" s="67"/>
      <c r="I767" s="68"/>
      <c r="J767" s="68"/>
      <c r="K767" s="32"/>
      <c r="L767" s="75">
        <v>767</v>
      </c>
      <c r="M767" s="75"/>
      <c r="N767" s="70"/>
      <c r="O767" s="77" t="s">
        <v>179</v>
      </c>
      <c r="P767" s="79">
        <v>44972.605706018519</v>
      </c>
      <c r="Q767" s="77" t="s">
        <v>2049</v>
      </c>
      <c r="R767" s="77">
        <v>0</v>
      </c>
      <c r="S767" s="77">
        <v>0</v>
      </c>
      <c r="T767" s="77">
        <v>0</v>
      </c>
      <c r="U767" s="77">
        <v>0</v>
      </c>
      <c r="V767" s="77">
        <v>5</v>
      </c>
      <c r="W767" s="82" t="s">
        <v>5335</v>
      </c>
      <c r="X767" s="80" t="str">
        <f>HYPERLINK("https://www.freeclassificados.com/ads/apartamento-para-moradia-ou-investimento-na-zona-sul/")</f>
        <v>https://www.freeclassificados.com/ads/apartamento-para-moradia-ou-investimento-na-zona-sul/</v>
      </c>
      <c r="Y767" s="77" t="s">
        <v>7308</v>
      </c>
      <c r="Z767" s="77"/>
      <c r="AA767" s="77"/>
      <c r="AB767" s="77"/>
      <c r="AC767" s="82" t="s">
        <v>10155</v>
      </c>
      <c r="AD767" s="77" t="s">
        <v>10184</v>
      </c>
      <c r="AE767" s="80" t="str">
        <f>HYPERLINK("https://twitter.com/freeclassific/status/1625865568069775366")</f>
        <v>https://twitter.com/freeclassific/status/1625865568069775366</v>
      </c>
      <c r="AF767" s="79">
        <v>44972.605706018519</v>
      </c>
      <c r="AG767" s="85">
        <v>44972</v>
      </c>
      <c r="AH767" s="82" t="s">
        <v>10920</v>
      </c>
      <c r="AI767" s="77" t="b">
        <v>0</v>
      </c>
      <c r="AJ767" s="77"/>
      <c r="AK767" s="77"/>
      <c r="AL767" s="77"/>
      <c r="AM767" s="77"/>
      <c r="AN767" s="77"/>
      <c r="AO767" s="77"/>
      <c r="AP767" s="77"/>
      <c r="AQ767" s="77"/>
      <c r="AR767" s="77"/>
      <c r="AS767" s="77"/>
      <c r="AT767" s="77"/>
      <c r="AU767" s="77"/>
      <c r="AV767" s="80" t="str">
        <f>HYPERLINK("https://pbs.twimg.com/profile_images/1431648743728852993/tLJ7F5Lu_normal.png")</f>
        <v>https://pbs.twimg.com/profile_images/1431648743728852993/tLJ7F5Lu_normal.png</v>
      </c>
      <c r="AW767" s="82" t="s">
        <v>17540</v>
      </c>
      <c r="AX767" s="82" t="s">
        <v>17540</v>
      </c>
      <c r="AY767" s="77"/>
      <c r="AZ767" s="82" t="s">
        <v>20971</v>
      </c>
      <c r="BA767" s="82" t="s">
        <v>20971</v>
      </c>
      <c r="BB767" s="82" t="s">
        <v>20971</v>
      </c>
      <c r="BC767" s="82" t="s">
        <v>17540</v>
      </c>
      <c r="BD767" s="77">
        <v>489723814</v>
      </c>
      <c r="BE767" s="77"/>
      <c r="BF767" s="77"/>
      <c r="BG767" s="77"/>
      <c r="BH767" s="77"/>
      <c r="BI767" s="77"/>
    </row>
    <row r="768" spans="1:61" x14ac:dyDescent="0.25">
      <c r="A768" s="62" t="s">
        <v>418</v>
      </c>
      <c r="B768" s="62" t="s">
        <v>418</v>
      </c>
      <c r="C768" s="63"/>
      <c r="D768" s="64"/>
      <c r="E768" s="65"/>
      <c r="F768" s="66"/>
      <c r="G768" s="63"/>
      <c r="H768" s="67"/>
      <c r="I768" s="68"/>
      <c r="J768" s="68"/>
      <c r="K768" s="32"/>
      <c r="L768" s="75">
        <v>768</v>
      </c>
      <c r="M768" s="75"/>
      <c r="N768" s="70"/>
      <c r="O768" s="77" t="s">
        <v>179</v>
      </c>
      <c r="P768" s="79">
        <v>44972.603252314817</v>
      </c>
      <c r="Q768" s="77" t="s">
        <v>2050</v>
      </c>
      <c r="R768" s="77">
        <v>0</v>
      </c>
      <c r="S768" s="77">
        <v>0</v>
      </c>
      <c r="T768" s="77">
        <v>0</v>
      </c>
      <c r="U768" s="77">
        <v>0</v>
      </c>
      <c r="V768" s="77">
        <v>4</v>
      </c>
      <c r="W768" s="82" t="s">
        <v>5335</v>
      </c>
      <c r="X768" s="80" t="str">
        <f>HYPERLINK("https://www.freeclassificados.com/ads/adquira-agora-seu-diploma-reconhecido/")</f>
        <v>https://www.freeclassificados.com/ads/adquira-agora-seu-diploma-reconhecido/</v>
      </c>
      <c r="Y768" s="77" t="s">
        <v>7308</v>
      </c>
      <c r="Z768" s="77"/>
      <c r="AA768" s="77"/>
      <c r="AB768" s="77"/>
      <c r="AC768" s="82" t="s">
        <v>10155</v>
      </c>
      <c r="AD768" s="77" t="s">
        <v>10184</v>
      </c>
      <c r="AE768" s="80" t="str">
        <f>HYPERLINK("https://twitter.com/freeclassific/status/1625864681314213888")</f>
        <v>https://twitter.com/freeclassific/status/1625864681314213888</v>
      </c>
      <c r="AF768" s="79">
        <v>44972.603252314817</v>
      </c>
      <c r="AG768" s="85">
        <v>44972</v>
      </c>
      <c r="AH768" s="82" t="s">
        <v>10921</v>
      </c>
      <c r="AI768" s="77" t="b">
        <v>0</v>
      </c>
      <c r="AJ768" s="77"/>
      <c r="AK768" s="77"/>
      <c r="AL768" s="77"/>
      <c r="AM768" s="77"/>
      <c r="AN768" s="77"/>
      <c r="AO768" s="77"/>
      <c r="AP768" s="77"/>
      <c r="AQ768" s="77"/>
      <c r="AR768" s="77"/>
      <c r="AS768" s="77"/>
      <c r="AT768" s="77"/>
      <c r="AU768" s="77"/>
      <c r="AV768" s="80" t="str">
        <f>HYPERLINK("https://pbs.twimg.com/profile_images/1431648743728852993/tLJ7F5Lu_normal.png")</f>
        <v>https://pbs.twimg.com/profile_images/1431648743728852993/tLJ7F5Lu_normal.png</v>
      </c>
      <c r="AW768" s="82" t="s">
        <v>17541</v>
      </c>
      <c r="AX768" s="82" t="s">
        <v>17541</v>
      </c>
      <c r="AY768" s="77"/>
      <c r="AZ768" s="82" t="s">
        <v>20971</v>
      </c>
      <c r="BA768" s="82" t="s">
        <v>20971</v>
      </c>
      <c r="BB768" s="82" t="s">
        <v>20971</v>
      </c>
      <c r="BC768" s="82" t="s">
        <v>17541</v>
      </c>
      <c r="BD768" s="77">
        <v>489723814</v>
      </c>
      <c r="BE768" s="77"/>
      <c r="BF768" s="77"/>
      <c r="BG768" s="77"/>
      <c r="BH768" s="77"/>
      <c r="BI768" s="77"/>
    </row>
    <row r="769" spans="1:61" x14ac:dyDescent="0.25">
      <c r="A769" s="62" t="s">
        <v>418</v>
      </c>
      <c r="B769" s="62" t="s">
        <v>418</v>
      </c>
      <c r="C769" s="63"/>
      <c r="D769" s="64"/>
      <c r="E769" s="65"/>
      <c r="F769" s="66"/>
      <c r="G769" s="63"/>
      <c r="H769" s="67"/>
      <c r="I769" s="68"/>
      <c r="J769" s="68"/>
      <c r="K769" s="32"/>
      <c r="L769" s="75">
        <v>769</v>
      </c>
      <c r="M769" s="75"/>
      <c r="N769" s="70"/>
      <c r="O769" s="77" t="s">
        <v>179</v>
      </c>
      <c r="P769" s="79">
        <v>44972.600208333337</v>
      </c>
      <c r="Q769" s="77" t="s">
        <v>2051</v>
      </c>
      <c r="R769" s="77">
        <v>0</v>
      </c>
      <c r="S769" s="77">
        <v>0</v>
      </c>
      <c r="T769" s="77">
        <v>0</v>
      </c>
      <c r="U769" s="77">
        <v>0</v>
      </c>
      <c r="V769" s="77">
        <v>3</v>
      </c>
      <c r="W769" s="82" t="s">
        <v>5335</v>
      </c>
      <c r="X769" s="80" t="str">
        <f>HYPERLINK("https://www.freeclassificados.com/ads/cursos-universitario-ead-sem-pagar-antecipado-3/")</f>
        <v>https://www.freeclassificados.com/ads/cursos-universitario-ead-sem-pagar-antecipado-3/</v>
      </c>
      <c r="Y769" s="77" t="s">
        <v>7308</v>
      </c>
      <c r="Z769" s="77"/>
      <c r="AA769" s="77"/>
      <c r="AB769" s="77"/>
      <c r="AC769" s="82" t="s">
        <v>10155</v>
      </c>
      <c r="AD769" s="77" t="s">
        <v>10184</v>
      </c>
      <c r="AE769" s="80" t="str">
        <f>HYPERLINK("https://twitter.com/freeclassific/status/1625863578199683072")</f>
        <v>https://twitter.com/freeclassific/status/1625863578199683072</v>
      </c>
      <c r="AF769" s="79">
        <v>44972.600208333337</v>
      </c>
      <c r="AG769" s="85">
        <v>44972</v>
      </c>
      <c r="AH769" s="82" t="s">
        <v>10922</v>
      </c>
      <c r="AI769" s="77" t="b">
        <v>0</v>
      </c>
      <c r="AJ769" s="77"/>
      <c r="AK769" s="77"/>
      <c r="AL769" s="77"/>
      <c r="AM769" s="77"/>
      <c r="AN769" s="77"/>
      <c r="AO769" s="77"/>
      <c r="AP769" s="77"/>
      <c r="AQ769" s="77"/>
      <c r="AR769" s="77"/>
      <c r="AS769" s="77"/>
      <c r="AT769" s="77"/>
      <c r="AU769" s="77"/>
      <c r="AV769" s="80" t="str">
        <f>HYPERLINK("https://pbs.twimg.com/profile_images/1431648743728852993/tLJ7F5Lu_normal.png")</f>
        <v>https://pbs.twimg.com/profile_images/1431648743728852993/tLJ7F5Lu_normal.png</v>
      </c>
      <c r="AW769" s="82" t="s">
        <v>17542</v>
      </c>
      <c r="AX769" s="82" t="s">
        <v>17542</v>
      </c>
      <c r="AY769" s="77"/>
      <c r="AZ769" s="82" t="s">
        <v>20971</v>
      </c>
      <c r="BA769" s="82" t="s">
        <v>20971</v>
      </c>
      <c r="BB769" s="82" t="s">
        <v>20971</v>
      </c>
      <c r="BC769" s="82" t="s">
        <v>17542</v>
      </c>
      <c r="BD769" s="77">
        <v>489723814</v>
      </c>
      <c r="BE769" s="77"/>
      <c r="BF769" s="77"/>
      <c r="BG769" s="77"/>
      <c r="BH769" s="77"/>
      <c r="BI769" s="77"/>
    </row>
    <row r="770" spans="1:61" x14ac:dyDescent="0.25">
      <c r="A770" s="62" t="s">
        <v>418</v>
      </c>
      <c r="B770" s="62" t="s">
        <v>418</v>
      </c>
      <c r="C770" s="63"/>
      <c r="D770" s="64"/>
      <c r="E770" s="65"/>
      <c r="F770" s="66"/>
      <c r="G770" s="63"/>
      <c r="H770" s="67"/>
      <c r="I770" s="68"/>
      <c r="J770" s="68"/>
      <c r="K770" s="32"/>
      <c r="L770" s="75">
        <v>770</v>
      </c>
      <c r="M770" s="75"/>
      <c r="N770" s="70"/>
      <c r="O770" s="77" t="s">
        <v>179</v>
      </c>
      <c r="P770" s="79">
        <v>44972.598229166666</v>
      </c>
      <c r="Q770" s="77" t="s">
        <v>2052</v>
      </c>
      <c r="R770" s="77">
        <v>0</v>
      </c>
      <c r="S770" s="77">
        <v>0</v>
      </c>
      <c r="T770" s="77">
        <v>0</v>
      </c>
      <c r="U770" s="77">
        <v>0</v>
      </c>
      <c r="V770" s="77">
        <v>23</v>
      </c>
      <c r="W770" s="82" t="s">
        <v>5335</v>
      </c>
      <c r="X770" s="80" t="str">
        <f>HYPERLINK("https://www.freeclassificados.com/ads/supletivo-acelerado-ead-paga-so-apos-receber/")</f>
        <v>https://www.freeclassificados.com/ads/supletivo-acelerado-ead-paga-so-apos-receber/</v>
      </c>
      <c r="Y770" s="77" t="s">
        <v>7308</v>
      </c>
      <c r="Z770" s="77"/>
      <c r="AA770" s="77"/>
      <c r="AB770" s="77"/>
      <c r="AC770" s="82" t="s">
        <v>10155</v>
      </c>
      <c r="AD770" s="77" t="s">
        <v>10184</v>
      </c>
      <c r="AE770" s="80" t="str">
        <f>HYPERLINK("https://twitter.com/freeclassific/status/1625862859283480579")</f>
        <v>https://twitter.com/freeclassific/status/1625862859283480579</v>
      </c>
      <c r="AF770" s="79">
        <v>44972.598229166666</v>
      </c>
      <c r="AG770" s="85">
        <v>44972</v>
      </c>
      <c r="AH770" s="82" t="s">
        <v>10923</v>
      </c>
      <c r="AI770" s="77" t="b">
        <v>0</v>
      </c>
      <c r="AJ770" s="77"/>
      <c r="AK770" s="77"/>
      <c r="AL770" s="77"/>
      <c r="AM770" s="77"/>
      <c r="AN770" s="77"/>
      <c r="AO770" s="77"/>
      <c r="AP770" s="77"/>
      <c r="AQ770" s="77"/>
      <c r="AR770" s="77"/>
      <c r="AS770" s="77"/>
      <c r="AT770" s="77"/>
      <c r="AU770" s="77"/>
      <c r="AV770" s="80" t="str">
        <f>HYPERLINK("https://pbs.twimg.com/profile_images/1431648743728852993/tLJ7F5Lu_normal.png")</f>
        <v>https://pbs.twimg.com/profile_images/1431648743728852993/tLJ7F5Lu_normal.png</v>
      </c>
      <c r="AW770" s="82" t="s">
        <v>17543</v>
      </c>
      <c r="AX770" s="82" t="s">
        <v>17543</v>
      </c>
      <c r="AY770" s="77"/>
      <c r="AZ770" s="82" t="s">
        <v>20971</v>
      </c>
      <c r="BA770" s="82" t="s">
        <v>20971</v>
      </c>
      <c r="BB770" s="82" t="s">
        <v>20971</v>
      </c>
      <c r="BC770" s="82" t="s">
        <v>17543</v>
      </c>
      <c r="BD770" s="77">
        <v>489723814</v>
      </c>
      <c r="BE770" s="77"/>
      <c r="BF770" s="77"/>
      <c r="BG770" s="77"/>
      <c r="BH770" s="77"/>
      <c r="BI770" s="77"/>
    </row>
    <row r="771" spans="1:61" x14ac:dyDescent="0.25">
      <c r="A771" s="62" t="s">
        <v>418</v>
      </c>
      <c r="B771" s="62" t="s">
        <v>418</v>
      </c>
      <c r="C771" s="63"/>
      <c r="D771" s="64"/>
      <c r="E771" s="65"/>
      <c r="F771" s="66"/>
      <c r="G771" s="63"/>
      <c r="H771" s="67"/>
      <c r="I771" s="68"/>
      <c r="J771" s="68"/>
      <c r="K771" s="32"/>
      <c r="L771" s="75">
        <v>771</v>
      </c>
      <c r="M771" s="75"/>
      <c r="N771" s="70"/>
      <c r="O771" s="77" t="s">
        <v>179</v>
      </c>
      <c r="P771" s="79">
        <v>44972.149733796294</v>
      </c>
      <c r="Q771" s="77" t="s">
        <v>2053</v>
      </c>
      <c r="R771" s="77">
        <v>0</v>
      </c>
      <c r="S771" s="77">
        <v>0</v>
      </c>
      <c r="T771" s="77">
        <v>0</v>
      </c>
      <c r="U771" s="77">
        <v>0</v>
      </c>
      <c r="V771" s="77">
        <v>9</v>
      </c>
      <c r="W771" s="82" t="s">
        <v>5335</v>
      </c>
      <c r="X771" s="80" t="str">
        <f>HYPERLINK("https://www.freeclassificados.com/ads/urgente-aprovado-pela-anvisa/")</f>
        <v>https://www.freeclassificados.com/ads/urgente-aprovado-pela-anvisa/</v>
      </c>
      <c r="Y771" s="77" t="s">
        <v>7308</v>
      </c>
      <c r="Z771" s="77"/>
      <c r="AA771" s="77"/>
      <c r="AB771" s="77"/>
      <c r="AC771" s="82" t="s">
        <v>10155</v>
      </c>
      <c r="AD771" s="77" t="s">
        <v>10184</v>
      </c>
      <c r="AE771" s="80" t="str">
        <f>HYPERLINK("https://twitter.com/freeclassific/status/1625700332465520642")</f>
        <v>https://twitter.com/freeclassific/status/1625700332465520642</v>
      </c>
      <c r="AF771" s="79">
        <v>44972.149733796294</v>
      </c>
      <c r="AG771" s="85">
        <v>44972</v>
      </c>
      <c r="AH771" s="82" t="s">
        <v>10924</v>
      </c>
      <c r="AI771" s="77" t="b">
        <v>0</v>
      </c>
      <c r="AJ771" s="77"/>
      <c r="AK771" s="77"/>
      <c r="AL771" s="77"/>
      <c r="AM771" s="77"/>
      <c r="AN771" s="77"/>
      <c r="AO771" s="77"/>
      <c r="AP771" s="77"/>
      <c r="AQ771" s="77"/>
      <c r="AR771" s="77"/>
      <c r="AS771" s="77"/>
      <c r="AT771" s="77"/>
      <c r="AU771" s="77"/>
      <c r="AV771" s="80" t="str">
        <f>HYPERLINK("https://pbs.twimg.com/profile_images/1431648743728852993/tLJ7F5Lu_normal.png")</f>
        <v>https://pbs.twimg.com/profile_images/1431648743728852993/tLJ7F5Lu_normal.png</v>
      </c>
      <c r="AW771" s="82" t="s">
        <v>17544</v>
      </c>
      <c r="AX771" s="82" t="s">
        <v>17544</v>
      </c>
      <c r="AY771" s="77"/>
      <c r="AZ771" s="82" t="s">
        <v>20971</v>
      </c>
      <c r="BA771" s="82" t="s">
        <v>20971</v>
      </c>
      <c r="BB771" s="82" t="s">
        <v>20971</v>
      </c>
      <c r="BC771" s="82" t="s">
        <v>17544</v>
      </c>
      <c r="BD771" s="77">
        <v>489723814</v>
      </c>
      <c r="BE771" s="77"/>
      <c r="BF771" s="77"/>
      <c r="BG771" s="77"/>
      <c r="BH771" s="77"/>
      <c r="BI771" s="77"/>
    </row>
    <row r="772" spans="1:61" x14ac:dyDescent="0.25">
      <c r="A772" s="62" t="s">
        <v>418</v>
      </c>
      <c r="B772" s="62" t="s">
        <v>418</v>
      </c>
      <c r="C772" s="63"/>
      <c r="D772" s="64"/>
      <c r="E772" s="65"/>
      <c r="F772" s="66"/>
      <c r="G772" s="63"/>
      <c r="H772" s="67"/>
      <c r="I772" s="68"/>
      <c r="J772" s="68"/>
      <c r="K772" s="32"/>
      <c r="L772" s="75">
        <v>772</v>
      </c>
      <c r="M772" s="75"/>
      <c r="N772" s="70"/>
      <c r="O772" s="77" t="s">
        <v>179</v>
      </c>
      <c r="P772" s="79">
        <v>44971.770358796297</v>
      </c>
      <c r="Q772" s="77" t="s">
        <v>2054</v>
      </c>
      <c r="R772" s="77">
        <v>0</v>
      </c>
      <c r="S772" s="77">
        <v>0</v>
      </c>
      <c r="T772" s="77">
        <v>0</v>
      </c>
      <c r="U772" s="77">
        <v>0</v>
      </c>
      <c r="V772" s="77">
        <v>28</v>
      </c>
      <c r="W772" s="82" t="s">
        <v>5335</v>
      </c>
      <c r="X772" s="80" t="str">
        <f>HYPERLINK("https://www.freeclassificados.com/ads/chinelo-slide-soft-rose-salto-plataforma-injetado-fivela/")</f>
        <v>https://www.freeclassificados.com/ads/chinelo-slide-soft-rose-salto-plataforma-injetado-fivela/</v>
      </c>
      <c r="Y772" s="77" t="s">
        <v>7308</v>
      </c>
      <c r="Z772" s="77"/>
      <c r="AA772" s="77"/>
      <c r="AB772" s="77"/>
      <c r="AC772" s="82" t="s">
        <v>10155</v>
      </c>
      <c r="AD772" s="77" t="s">
        <v>10184</v>
      </c>
      <c r="AE772" s="80" t="str">
        <f>HYPERLINK("https://twitter.com/freeclassific/status/1625562847546642445")</f>
        <v>https://twitter.com/freeclassific/status/1625562847546642445</v>
      </c>
      <c r="AF772" s="79">
        <v>44971.770358796297</v>
      </c>
      <c r="AG772" s="85">
        <v>44971</v>
      </c>
      <c r="AH772" s="82" t="s">
        <v>10925</v>
      </c>
      <c r="AI772" s="77" t="b">
        <v>0</v>
      </c>
      <c r="AJ772" s="77"/>
      <c r="AK772" s="77"/>
      <c r="AL772" s="77"/>
      <c r="AM772" s="77"/>
      <c r="AN772" s="77"/>
      <c r="AO772" s="77"/>
      <c r="AP772" s="77"/>
      <c r="AQ772" s="77"/>
      <c r="AR772" s="77"/>
      <c r="AS772" s="77"/>
      <c r="AT772" s="77"/>
      <c r="AU772" s="77"/>
      <c r="AV772" s="80" t="str">
        <f>HYPERLINK("https://pbs.twimg.com/profile_images/1431648743728852993/tLJ7F5Lu_normal.png")</f>
        <v>https://pbs.twimg.com/profile_images/1431648743728852993/tLJ7F5Lu_normal.png</v>
      </c>
      <c r="AW772" s="82" t="s">
        <v>17545</v>
      </c>
      <c r="AX772" s="82" t="s">
        <v>17545</v>
      </c>
      <c r="AY772" s="77"/>
      <c r="AZ772" s="82" t="s">
        <v>20971</v>
      </c>
      <c r="BA772" s="82" t="s">
        <v>20971</v>
      </c>
      <c r="BB772" s="82" t="s">
        <v>20971</v>
      </c>
      <c r="BC772" s="82" t="s">
        <v>17545</v>
      </c>
      <c r="BD772" s="77">
        <v>489723814</v>
      </c>
      <c r="BE772" s="77"/>
      <c r="BF772" s="77"/>
      <c r="BG772" s="77"/>
      <c r="BH772" s="77"/>
      <c r="BI772" s="77"/>
    </row>
    <row r="773" spans="1:61" x14ac:dyDescent="0.25">
      <c r="A773" s="62" t="s">
        <v>418</v>
      </c>
      <c r="B773" s="62" t="s">
        <v>418</v>
      </c>
      <c r="C773" s="63"/>
      <c r="D773" s="64"/>
      <c r="E773" s="65"/>
      <c r="F773" s="66"/>
      <c r="G773" s="63"/>
      <c r="H773" s="67"/>
      <c r="I773" s="68"/>
      <c r="J773" s="68"/>
      <c r="K773" s="32"/>
      <c r="L773" s="75">
        <v>773</v>
      </c>
      <c r="M773" s="75"/>
      <c r="N773" s="70"/>
      <c r="O773" s="77" t="s">
        <v>179</v>
      </c>
      <c r="P773" s="79">
        <v>44971.148865740739</v>
      </c>
      <c r="Q773" s="77" t="s">
        <v>2055</v>
      </c>
      <c r="R773" s="77">
        <v>0</v>
      </c>
      <c r="S773" s="77">
        <v>0</v>
      </c>
      <c r="T773" s="77">
        <v>0</v>
      </c>
      <c r="U773" s="77">
        <v>0</v>
      </c>
      <c r="V773" s="77">
        <v>9</v>
      </c>
      <c r="W773" s="82" t="s">
        <v>5335</v>
      </c>
      <c r="X773" s="80" t="str">
        <f>HYPERLINK("https://www.freeclassificados.com/ads/curso-pratico-de-espanhol-completo-do-zero-a-fluencia/")</f>
        <v>https://www.freeclassificados.com/ads/curso-pratico-de-espanhol-completo-do-zero-a-fluencia/</v>
      </c>
      <c r="Y773" s="77" t="s">
        <v>7308</v>
      </c>
      <c r="Z773" s="77"/>
      <c r="AA773" s="77"/>
      <c r="AB773" s="77"/>
      <c r="AC773" s="82" t="s">
        <v>10155</v>
      </c>
      <c r="AD773" s="77" t="s">
        <v>10184</v>
      </c>
      <c r="AE773" s="80" t="str">
        <f>HYPERLINK("https://twitter.com/freeclassific/status/1625337628643012611")</f>
        <v>https://twitter.com/freeclassific/status/1625337628643012611</v>
      </c>
      <c r="AF773" s="79">
        <v>44971.148865740739</v>
      </c>
      <c r="AG773" s="85">
        <v>44971</v>
      </c>
      <c r="AH773" s="82" t="s">
        <v>10926</v>
      </c>
      <c r="AI773" s="77" t="b">
        <v>0</v>
      </c>
      <c r="AJ773" s="77"/>
      <c r="AK773" s="77"/>
      <c r="AL773" s="77"/>
      <c r="AM773" s="77"/>
      <c r="AN773" s="77"/>
      <c r="AO773" s="77"/>
      <c r="AP773" s="77"/>
      <c r="AQ773" s="77"/>
      <c r="AR773" s="77"/>
      <c r="AS773" s="77"/>
      <c r="AT773" s="77"/>
      <c r="AU773" s="77"/>
      <c r="AV773" s="80" t="str">
        <f>HYPERLINK("https://pbs.twimg.com/profile_images/1431648743728852993/tLJ7F5Lu_normal.png")</f>
        <v>https://pbs.twimg.com/profile_images/1431648743728852993/tLJ7F5Lu_normal.png</v>
      </c>
      <c r="AW773" s="82" t="s">
        <v>17546</v>
      </c>
      <c r="AX773" s="82" t="s">
        <v>17546</v>
      </c>
      <c r="AY773" s="77"/>
      <c r="AZ773" s="82" t="s">
        <v>20971</v>
      </c>
      <c r="BA773" s="82" t="s">
        <v>20971</v>
      </c>
      <c r="BB773" s="82" t="s">
        <v>20971</v>
      </c>
      <c r="BC773" s="82" t="s">
        <v>17546</v>
      </c>
      <c r="BD773" s="77">
        <v>489723814</v>
      </c>
      <c r="BE773" s="77"/>
      <c r="BF773" s="77"/>
      <c r="BG773" s="77"/>
      <c r="BH773" s="77"/>
      <c r="BI773" s="77"/>
    </row>
    <row r="774" spans="1:61" x14ac:dyDescent="0.25">
      <c r="A774" s="62" t="s">
        <v>418</v>
      </c>
      <c r="B774" s="62" t="s">
        <v>418</v>
      </c>
      <c r="C774" s="63"/>
      <c r="D774" s="64"/>
      <c r="E774" s="65"/>
      <c r="F774" s="66"/>
      <c r="G774" s="63"/>
      <c r="H774" s="67"/>
      <c r="I774" s="68"/>
      <c r="J774" s="68"/>
      <c r="K774" s="32"/>
      <c r="L774" s="75">
        <v>774</v>
      </c>
      <c r="M774" s="75"/>
      <c r="N774" s="70"/>
      <c r="O774" s="77" t="s">
        <v>179</v>
      </c>
      <c r="P774" s="79">
        <v>44971.02621527778</v>
      </c>
      <c r="Q774" s="77" t="s">
        <v>2056</v>
      </c>
      <c r="R774" s="77">
        <v>0</v>
      </c>
      <c r="S774" s="77">
        <v>0</v>
      </c>
      <c r="T774" s="77">
        <v>0</v>
      </c>
      <c r="U774" s="77">
        <v>0</v>
      </c>
      <c r="V774" s="77">
        <v>23</v>
      </c>
      <c r="W774" s="82" t="s">
        <v>5335</v>
      </c>
      <c r="X774" s="80" t="str">
        <f>HYPERLINK("https://www.freeclassificados.com/ads/curso-como-se-tornar-professor-de-xadrez/")</f>
        <v>https://www.freeclassificados.com/ads/curso-como-se-tornar-professor-de-xadrez/</v>
      </c>
      <c r="Y774" s="77" t="s">
        <v>7308</v>
      </c>
      <c r="Z774" s="77"/>
      <c r="AA774" s="77"/>
      <c r="AB774" s="77"/>
      <c r="AC774" s="82" t="s">
        <v>10155</v>
      </c>
      <c r="AD774" s="77" t="s">
        <v>10184</v>
      </c>
      <c r="AE774" s="80" t="str">
        <f>HYPERLINK("https://twitter.com/freeclassific/status/1625293178952728577")</f>
        <v>https://twitter.com/freeclassific/status/1625293178952728577</v>
      </c>
      <c r="AF774" s="79">
        <v>44971.02621527778</v>
      </c>
      <c r="AG774" s="85">
        <v>44971</v>
      </c>
      <c r="AH774" s="82" t="s">
        <v>10927</v>
      </c>
      <c r="AI774" s="77" t="b">
        <v>0</v>
      </c>
      <c r="AJ774" s="77"/>
      <c r="AK774" s="77"/>
      <c r="AL774" s="77"/>
      <c r="AM774" s="77"/>
      <c r="AN774" s="77"/>
      <c r="AO774" s="77"/>
      <c r="AP774" s="77"/>
      <c r="AQ774" s="77"/>
      <c r="AR774" s="77"/>
      <c r="AS774" s="77"/>
      <c r="AT774" s="77"/>
      <c r="AU774" s="77"/>
      <c r="AV774" s="80" t="str">
        <f>HYPERLINK("https://pbs.twimg.com/profile_images/1431648743728852993/tLJ7F5Lu_normal.png")</f>
        <v>https://pbs.twimg.com/profile_images/1431648743728852993/tLJ7F5Lu_normal.png</v>
      </c>
      <c r="AW774" s="82" t="s">
        <v>17547</v>
      </c>
      <c r="AX774" s="82" t="s">
        <v>17547</v>
      </c>
      <c r="AY774" s="77"/>
      <c r="AZ774" s="82" t="s">
        <v>20971</v>
      </c>
      <c r="BA774" s="82" t="s">
        <v>20971</v>
      </c>
      <c r="BB774" s="82" t="s">
        <v>20971</v>
      </c>
      <c r="BC774" s="82" t="s">
        <v>17547</v>
      </c>
      <c r="BD774" s="77">
        <v>489723814</v>
      </c>
      <c r="BE774" s="77"/>
      <c r="BF774" s="77"/>
      <c r="BG774" s="77"/>
      <c r="BH774" s="77"/>
      <c r="BI774" s="77"/>
    </row>
    <row r="775" spans="1:61" x14ac:dyDescent="0.25">
      <c r="A775" s="62" t="s">
        <v>418</v>
      </c>
      <c r="B775" s="62" t="s">
        <v>418</v>
      </c>
      <c r="C775" s="63"/>
      <c r="D775" s="64"/>
      <c r="E775" s="65"/>
      <c r="F775" s="66"/>
      <c r="G775" s="63"/>
      <c r="H775" s="67"/>
      <c r="I775" s="68"/>
      <c r="J775" s="68"/>
      <c r="K775" s="32"/>
      <c r="L775" s="75">
        <v>775</v>
      </c>
      <c r="M775" s="75"/>
      <c r="N775" s="70"/>
      <c r="O775" s="77" t="s">
        <v>179</v>
      </c>
      <c r="P775" s="79">
        <v>44970.854513888888</v>
      </c>
      <c r="Q775" s="77" t="s">
        <v>2057</v>
      </c>
      <c r="R775" s="77">
        <v>0</v>
      </c>
      <c r="S775" s="77">
        <v>0</v>
      </c>
      <c r="T775" s="77">
        <v>0</v>
      </c>
      <c r="U775" s="77">
        <v>0</v>
      </c>
      <c r="V775" s="77">
        <v>15</v>
      </c>
      <c r="W775" s="82" t="s">
        <v>5335</v>
      </c>
      <c r="X775" s="80" t="str">
        <f>HYPERLINK("https://www.freeclassificados.com/ads/desafio-seca-barriga-em-30-dias/")</f>
        <v>https://www.freeclassificados.com/ads/desafio-seca-barriga-em-30-dias/</v>
      </c>
      <c r="Y775" s="77" t="s">
        <v>7308</v>
      </c>
      <c r="Z775" s="77"/>
      <c r="AA775" s="77"/>
      <c r="AB775" s="77"/>
      <c r="AC775" s="82" t="s">
        <v>10155</v>
      </c>
      <c r="AD775" s="77" t="s">
        <v>10184</v>
      </c>
      <c r="AE775" s="80" t="str">
        <f>HYPERLINK("https://twitter.com/freeclassific/status/1625230959946637345")</f>
        <v>https://twitter.com/freeclassific/status/1625230959946637345</v>
      </c>
      <c r="AF775" s="79">
        <v>44970.854513888888</v>
      </c>
      <c r="AG775" s="85">
        <v>44970</v>
      </c>
      <c r="AH775" s="82" t="s">
        <v>10928</v>
      </c>
      <c r="AI775" s="77" t="b">
        <v>0</v>
      </c>
      <c r="AJ775" s="77"/>
      <c r="AK775" s="77"/>
      <c r="AL775" s="77"/>
      <c r="AM775" s="77"/>
      <c r="AN775" s="77"/>
      <c r="AO775" s="77"/>
      <c r="AP775" s="77"/>
      <c r="AQ775" s="77"/>
      <c r="AR775" s="77"/>
      <c r="AS775" s="77"/>
      <c r="AT775" s="77"/>
      <c r="AU775" s="77"/>
      <c r="AV775" s="80" t="str">
        <f>HYPERLINK("https://pbs.twimg.com/profile_images/1431648743728852993/tLJ7F5Lu_normal.png")</f>
        <v>https://pbs.twimg.com/profile_images/1431648743728852993/tLJ7F5Lu_normal.png</v>
      </c>
      <c r="AW775" s="82" t="s">
        <v>17548</v>
      </c>
      <c r="AX775" s="82" t="s">
        <v>17548</v>
      </c>
      <c r="AY775" s="77"/>
      <c r="AZ775" s="82" t="s">
        <v>20971</v>
      </c>
      <c r="BA775" s="82" t="s">
        <v>20971</v>
      </c>
      <c r="BB775" s="82" t="s">
        <v>20971</v>
      </c>
      <c r="BC775" s="82" t="s">
        <v>17548</v>
      </c>
      <c r="BD775" s="77">
        <v>489723814</v>
      </c>
      <c r="BE775" s="77"/>
      <c r="BF775" s="77"/>
      <c r="BG775" s="77"/>
      <c r="BH775" s="77"/>
      <c r="BI775" s="77"/>
    </row>
    <row r="776" spans="1:61" x14ac:dyDescent="0.25">
      <c r="A776" s="62" t="s">
        <v>418</v>
      </c>
      <c r="B776" s="62" t="s">
        <v>418</v>
      </c>
      <c r="C776" s="63"/>
      <c r="D776" s="64"/>
      <c r="E776" s="65"/>
      <c r="F776" s="66"/>
      <c r="G776" s="63"/>
      <c r="H776" s="67"/>
      <c r="I776" s="68"/>
      <c r="J776" s="68"/>
      <c r="K776" s="32"/>
      <c r="L776" s="75">
        <v>776</v>
      </c>
      <c r="M776" s="75"/>
      <c r="N776" s="70"/>
      <c r="O776" s="77" t="s">
        <v>179</v>
      </c>
      <c r="P776" s="79">
        <v>44969.910057870373</v>
      </c>
      <c r="Q776" s="77" t="s">
        <v>2058</v>
      </c>
      <c r="R776" s="77">
        <v>0</v>
      </c>
      <c r="S776" s="77">
        <v>0</v>
      </c>
      <c r="T776" s="77">
        <v>0</v>
      </c>
      <c r="U776" s="77">
        <v>0</v>
      </c>
      <c r="V776" s="77">
        <v>15</v>
      </c>
      <c r="W776" s="82" t="s">
        <v>5335</v>
      </c>
      <c r="X776" s="80" t="str">
        <f>HYPERLINK("https://www.freeclassificados.com/ads/como-trabalhar-em-casa-com-bolos-no-pote-lucrativo-e-sem-faltar-trabalho/")</f>
        <v>https://www.freeclassificados.com/ads/como-trabalhar-em-casa-com-bolos-no-pote-lucrativo-e-sem-faltar-trabalho/</v>
      </c>
      <c r="Y776" s="77" t="s">
        <v>7308</v>
      </c>
      <c r="Z776" s="77"/>
      <c r="AA776" s="77"/>
      <c r="AB776" s="77"/>
      <c r="AC776" s="82" t="s">
        <v>10155</v>
      </c>
      <c r="AD776" s="77" t="s">
        <v>10184</v>
      </c>
      <c r="AE776" s="80" t="str">
        <f>HYPERLINK("https://twitter.com/freeclassific/status/1624888699753201665")</f>
        <v>https://twitter.com/freeclassific/status/1624888699753201665</v>
      </c>
      <c r="AF776" s="79">
        <v>44969.910057870373</v>
      </c>
      <c r="AG776" s="85">
        <v>44969</v>
      </c>
      <c r="AH776" s="82" t="s">
        <v>10929</v>
      </c>
      <c r="AI776" s="77" t="b">
        <v>0</v>
      </c>
      <c r="AJ776" s="77"/>
      <c r="AK776" s="77"/>
      <c r="AL776" s="77"/>
      <c r="AM776" s="77"/>
      <c r="AN776" s="77"/>
      <c r="AO776" s="77"/>
      <c r="AP776" s="77"/>
      <c r="AQ776" s="77"/>
      <c r="AR776" s="77"/>
      <c r="AS776" s="77"/>
      <c r="AT776" s="77"/>
      <c r="AU776" s="77"/>
      <c r="AV776" s="80" t="str">
        <f>HYPERLINK("https://pbs.twimg.com/profile_images/1431648743728852993/tLJ7F5Lu_normal.png")</f>
        <v>https://pbs.twimg.com/profile_images/1431648743728852993/tLJ7F5Lu_normal.png</v>
      </c>
      <c r="AW776" s="82" t="s">
        <v>17549</v>
      </c>
      <c r="AX776" s="82" t="s">
        <v>17549</v>
      </c>
      <c r="AY776" s="77"/>
      <c r="AZ776" s="82" t="s">
        <v>20971</v>
      </c>
      <c r="BA776" s="82" t="s">
        <v>20971</v>
      </c>
      <c r="BB776" s="82" t="s">
        <v>20971</v>
      </c>
      <c r="BC776" s="82" t="s">
        <v>17549</v>
      </c>
      <c r="BD776" s="77">
        <v>489723814</v>
      </c>
      <c r="BE776" s="77"/>
      <c r="BF776" s="77"/>
      <c r="BG776" s="77"/>
      <c r="BH776" s="77"/>
      <c r="BI776" s="77"/>
    </row>
    <row r="777" spans="1:61" x14ac:dyDescent="0.25">
      <c r="A777" s="62" t="s">
        <v>418</v>
      </c>
      <c r="B777" s="62" t="s">
        <v>418</v>
      </c>
      <c r="C777" s="63"/>
      <c r="D777" s="64"/>
      <c r="E777" s="65"/>
      <c r="F777" s="66"/>
      <c r="G777" s="63"/>
      <c r="H777" s="67"/>
      <c r="I777" s="68"/>
      <c r="J777" s="68"/>
      <c r="K777" s="32"/>
      <c r="L777" s="75">
        <v>777</v>
      </c>
      <c r="M777" s="75"/>
      <c r="N777" s="70"/>
      <c r="O777" s="77" t="s">
        <v>179</v>
      </c>
      <c r="P777" s="79">
        <v>44969.784212962964</v>
      </c>
      <c r="Q777" s="77" t="s">
        <v>2059</v>
      </c>
      <c r="R777" s="77">
        <v>0</v>
      </c>
      <c r="S777" s="77">
        <v>0</v>
      </c>
      <c r="T777" s="77">
        <v>0</v>
      </c>
      <c r="U777" s="77">
        <v>0</v>
      </c>
      <c r="V777" s="77">
        <v>16</v>
      </c>
      <c r="W777" s="82" t="s">
        <v>5335</v>
      </c>
      <c r="X777" s="80" t="str">
        <f>HYPERLINK("https://www.freeclassificados.com/ads/como-fazer-a-sua-propria-horta-organica-em-casa-sem-precisar-de-muito-espaco/")</f>
        <v>https://www.freeclassificados.com/ads/como-fazer-a-sua-propria-horta-organica-em-casa-sem-precisar-de-muito-espaco/</v>
      </c>
      <c r="Y777" s="77" t="s">
        <v>7308</v>
      </c>
      <c r="Z777" s="77"/>
      <c r="AA777" s="77"/>
      <c r="AB777" s="77"/>
      <c r="AC777" s="82" t="s">
        <v>10155</v>
      </c>
      <c r="AD777" s="77" t="s">
        <v>10184</v>
      </c>
      <c r="AE777" s="80" t="str">
        <f>HYPERLINK("https://twitter.com/freeclassific/status/1624843093659852803")</f>
        <v>https://twitter.com/freeclassific/status/1624843093659852803</v>
      </c>
      <c r="AF777" s="79">
        <v>44969.784212962964</v>
      </c>
      <c r="AG777" s="85">
        <v>44969</v>
      </c>
      <c r="AH777" s="82" t="s">
        <v>10930</v>
      </c>
      <c r="AI777" s="77" t="b">
        <v>0</v>
      </c>
      <c r="AJ777" s="77"/>
      <c r="AK777" s="77"/>
      <c r="AL777" s="77"/>
      <c r="AM777" s="77"/>
      <c r="AN777" s="77"/>
      <c r="AO777" s="77"/>
      <c r="AP777" s="77"/>
      <c r="AQ777" s="77"/>
      <c r="AR777" s="77"/>
      <c r="AS777" s="77"/>
      <c r="AT777" s="77"/>
      <c r="AU777" s="77"/>
      <c r="AV777" s="80" t="str">
        <f>HYPERLINK("https://pbs.twimg.com/profile_images/1431648743728852993/tLJ7F5Lu_normal.png")</f>
        <v>https://pbs.twimg.com/profile_images/1431648743728852993/tLJ7F5Lu_normal.png</v>
      </c>
      <c r="AW777" s="82" t="s">
        <v>17550</v>
      </c>
      <c r="AX777" s="82" t="s">
        <v>17550</v>
      </c>
      <c r="AY777" s="77"/>
      <c r="AZ777" s="82" t="s">
        <v>20971</v>
      </c>
      <c r="BA777" s="82" t="s">
        <v>20971</v>
      </c>
      <c r="BB777" s="82" t="s">
        <v>20971</v>
      </c>
      <c r="BC777" s="82" t="s">
        <v>17550</v>
      </c>
      <c r="BD777" s="77">
        <v>489723814</v>
      </c>
      <c r="BE777" s="77"/>
      <c r="BF777" s="77"/>
      <c r="BG777" s="77"/>
      <c r="BH777" s="77"/>
      <c r="BI777" s="77"/>
    </row>
    <row r="778" spans="1:61" x14ac:dyDescent="0.25">
      <c r="A778" s="62" t="s">
        <v>418</v>
      </c>
      <c r="B778" s="62" t="s">
        <v>418</v>
      </c>
      <c r="C778" s="63"/>
      <c r="D778" s="64"/>
      <c r="E778" s="65"/>
      <c r="F778" s="66"/>
      <c r="G778" s="63"/>
      <c r="H778" s="67"/>
      <c r="I778" s="68"/>
      <c r="J778" s="68"/>
      <c r="K778" s="32"/>
      <c r="L778" s="75">
        <v>778</v>
      </c>
      <c r="M778" s="75"/>
      <c r="N778" s="70"/>
      <c r="O778" s="77" t="s">
        <v>179</v>
      </c>
      <c r="P778" s="79">
        <v>44969.781030092592</v>
      </c>
      <c r="Q778" s="77" t="s">
        <v>2060</v>
      </c>
      <c r="R778" s="77">
        <v>0</v>
      </c>
      <c r="S778" s="77">
        <v>0</v>
      </c>
      <c r="T778" s="77">
        <v>0</v>
      </c>
      <c r="U778" s="77">
        <v>0</v>
      </c>
      <c r="V778" s="77">
        <v>85</v>
      </c>
      <c r="W778" s="82" t="s">
        <v>5335</v>
      </c>
      <c r="X778" s="80" t="str">
        <f>HYPERLINK("https://www.freeclassificados.com/ads/como-nao-perder-peso-com-o-metodo-de-emagrecimento-gdf-sem-voce-precisar-parar-de-comer/")</f>
        <v>https://www.freeclassificados.com/ads/como-nao-perder-peso-com-o-metodo-de-emagrecimento-gdf-sem-voce-precisar-parar-de-comer/</v>
      </c>
      <c r="Y778" s="77" t="s">
        <v>7308</v>
      </c>
      <c r="Z778" s="77"/>
      <c r="AA778" s="77"/>
      <c r="AB778" s="77"/>
      <c r="AC778" s="82" t="s">
        <v>10155</v>
      </c>
      <c r="AD778" s="77" t="s">
        <v>10184</v>
      </c>
      <c r="AE778" s="80" t="str">
        <f>HYPERLINK("https://twitter.com/freeclassific/status/1624841940360462339")</f>
        <v>https://twitter.com/freeclassific/status/1624841940360462339</v>
      </c>
      <c r="AF778" s="79">
        <v>44969.781030092592</v>
      </c>
      <c r="AG778" s="85">
        <v>44969</v>
      </c>
      <c r="AH778" s="82" t="s">
        <v>10931</v>
      </c>
      <c r="AI778" s="77" t="b">
        <v>0</v>
      </c>
      <c r="AJ778" s="77"/>
      <c r="AK778" s="77"/>
      <c r="AL778" s="77"/>
      <c r="AM778" s="77"/>
      <c r="AN778" s="77"/>
      <c r="AO778" s="77"/>
      <c r="AP778" s="77"/>
      <c r="AQ778" s="77"/>
      <c r="AR778" s="77"/>
      <c r="AS778" s="77"/>
      <c r="AT778" s="77"/>
      <c r="AU778" s="77"/>
      <c r="AV778" s="80" t="str">
        <f>HYPERLINK("https://pbs.twimg.com/profile_images/1431648743728852993/tLJ7F5Lu_normal.png")</f>
        <v>https://pbs.twimg.com/profile_images/1431648743728852993/tLJ7F5Lu_normal.png</v>
      </c>
      <c r="AW778" s="82" t="s">
        <v>17551</v>
      </c>
      <c r="AX778" s="82" t="s">
        <v>17551</v>
      </c>
      <c r="AY778" s="77"/>
      <c r="AZ778" s="82" t="s">
        <v>20971</v>
      </c>
      <c r="BA778" s="82" t="s">
        <v>20971</v>
      </c>
      <c r="BB778" s="82" t="s">
        <v>20971</v>
      </c>
      <c r="BC778" s="82" t="s">
        <v>17551</v>
      </c>
      <c r="BD778" s="77">
        <v>489723814</v>
      </c>
      <c r="BE778" s="77"/>
      <c r="BF778" s="77"/>
      <c r="BG778" s="77"/>
      <c r="BH778" s="77"/>
      <c r="BI778" s="77"/>
    </row>
    <row r="779" spans="1:61" x14ac:dyDescent="0.25">
      <c r="A779" s="62" t="s">
        <v>418</v>
      </c>
      <c r="B779" s="62" t="s">
        <v>418</v>
      </c>
      <c r="C779" s="63"/>
      <c r="D779" s="64"/>
      <c r="E779" s="65"/>
      <c r="F779" s="66"/>
      <c r="G779" s="63"/>
      <c r="H779" s="67"/>
      <c r="I779" s="68"/>
      <c r="J779" s="68"/>
      <c r="K779" s="32"/>
      <c r="L779" s="75">
        <v>779</v>
      </c>
      <c r="M779" s="75"/>
      <c r="N779" s="70"/>
      <c r="O779" s="77" t="s">
        <v>179</v>
      </c>
      <c r="P779" s="79">
        <v>44969.580335648148</v>
      </c>
      <c r="Q779" s="77" t="s">
        <v>2061</v>
      </c>
      <c r="R779" s="77">
        <v>0</v>
      </c>
      <c r="S779" s="77">
        <v>0</v>
      </c>
      <c r="T779" s="77">
        <v>0</v>
      </c>
      <c r="U779" s="77">
        <v>0</v>
      </c>
      <c r="V779" s="77">
        <v>25</v>
      </c>
      <c r="W779" s="82" t="s">
        <v>5335</v>
      </c>
      <c r="X779" s="80" t="str">
        <f>HYPERLINK("https://www.freeclassificados.com/ads/detetive-particular-em-sao-bernardo-do-campo-sp/")</f>
        <v>https://www.freeclassificados.com/ads/detetive-particular-em-sao-bernardo-do-campo-sp/</v>
      </c>
      <c r="Y779" s="77" t="s">
        <v>7308</v>
      </c>
      <c r="Z779" s="77"/>
      <c r="AA779" s="77"/>
      <c r="AB779" s="77"/>
      <c r="AC779" s="82" t="s">
        <v>10155</v>
      </c>
      <c r="AD779" s="77" t="s">
        <v>10184</v>
      </c>
      <c r="AE779" s="80" t="str">
        <f>HYPERLINK("https://twitter.com/freeclassific/status/1624769210189586433")</f>
        <v>https://twitter.com/freeclassific/status/1624769210189586433</v>
      </c>
      <c r="AF779" s="79">
        <v>44969.580335648148</v>
      </c>
      <c r="AG779" s="85">
        <v>44969</v>
      </c>
      <c r="AH779" s="82" t="s">
        <v>10932</v>
      </c>
      <c r="AI779" s="77" t="b">
        <v>0</v>
      </c>
      <c r="AJ779" s="77"/>
      <c r="AK779" s="77"/>
      <c r="AL779" s="77"/>
      <c r="AM779" s="77"/>
      <c r="AN779" s="77"/>
      <c r="AO779" s="77"/>
      <c r="AP779" s="77"/>
      <c r="AQ779" s="77"/>
      <c r="AR779" s="77"/>
      <c r="AS779" s="77"/>
      <c r="AT779" s="77"/>
      <c r="AU779" s="77"/>
      <c r="AV779" s="80" t="str">
        <f>HYPERLINK("https://pbs.twimg.com/profile_images/1431648743728852993/tLJ7F5Lu_normal.png")</f>
        <v>https://pbs.twimg.com/profile_images/1431648743728852993/tLJ7F5Lu_normal.png</v>
      </c>
      <c r="AW779" s="82" t="s">
        <v>17552</v>
      </c>
      <c r="AX779" s="82" t="s">
        <v>17552</v>
      </c>
      <c r="AY779" s="77"/>
      <c r="AZ779" s="82" t="s">
        <v>20971</v>
      </c>
      <c r="BA779" s="82" t="s">
        <v>20971</v>
      </c>
      <c r="BB779" s="82" t="s">
        <v>20971</v>
      </c>
      <c r="BC779" s="82" t="s">
        <v>17552</v>
      </c>
      <c r="BD779" s="77">
        <v>489723814</v>
      </c>
      <c r="BE779" s="77"/>
      <c r="BF779" s="77"/>
      <c r="BG779" s="77"/>
      <c r="BH779" s="77"/>
      <c r="BI779" s="77"/>
    </row>
    <row r="780" spans="1:61" x14ac:dyDescent="0.25">
      <c r="A780" s="62" t="s">
        <v>418</v>
      </c>
      <c r="B780" s="62" t="s">
        <v>418</v>
      </c>
      <c r="C780" s="63"/>
      <c r="D780" s="64"/>
      <c r="E780" s="65"/>
      <c r="F780" s="66"/>
      <c r="G780" s="63"/>
      <c r="H780" s="67"/>
      <c r="I780" s="68"/>
      <c r="J780" s="68"/>
      <c r="K780" s="32"/>
      <c r="L780" s="75">
        <v>780</v>
      </c>
      <c r="M780" s="75"/>
      <c r="N780" s="70"/>
      <c r="O780" s="77" t="s">
        <v>179</v>
      </c>
      <c r="P780" s="79">
        <v>44969.070335648146</v>
      </c>
      <c r="Q780" s="77" t="s">
        <v>2062</v>
      </c>
      <c r="R780" s="77">
        <v>0</v>
      </c>
      <c r="S780" s="77">
        <v>0</v>
      </c>
      <c r="T780" s="77">
        <v>0</v>
      </c>
      <c r="U780" s="77">
        <v>0</v>
      </c>
      <c r="V780" s="77">
        <v>16</v>
      </c>
      <c r="W780" s="82" t="s">
        <v>5335</v>
      </c>
      <c r="X780" s="80" t="str">
        <f>HYPERLINK("https://www.freeclassificados.com/ads/otimize-seu-email-marketing-com-bulksender-2/")</f>
        <v>https://www.freeclassificados.com/ads/otimize-seu-email-marketing-com-bulksender-2/</v>
      </c>
      <c r="Y780" s="77" t="s">
        <v>7308</v>
      </c>
      <c r="Z780" s="77"/>
      <c r="AA780" s="77"/>
      <c r="AB780" s="77"/>
      <c r="AC780" s="82" t="s">
        <v>10155</v>
      </c>
      <c r="AD780" s="77" t="s">
        <v>10184</v>
      </c>
      <c r="AE780" s="80" t="str">
        <f>HYPERLINK("https://twitter.com/freeclassific/status/1624584393384771584")</f>
        <v>https://twitter.com/freeclassific/status/1624584393384771584</v>
      </c>
      <c r="AF780" s="79">
        <v>44969.070335648146</v>
      </c>
      <c r="AG780" s="85">
        <v>44969</v>
      </c>
      <c r="AH780" s="82" t="s">
        <v>10933</v>
      </c>
      <c r="AI780" s="77" t="b">
        <v>0</v>
      </c>
      <c r="AJ780" s="77"/>
      <c r="AK780" s="77"/>
      <c r="AL780" s="77"/>
      <c r="AM780" s="77"/>
      <c r="AN780" s="77"/>
      <c r="AO780" s="77"/>
      <c r="AP780" s="77"/>
      <c r="AQ780" s="77"/>
      <c r="AR780" s="77"/>
      <c r="AS780" s="77"/>
      <c r="AT780" s="77"/>
      <c r="AU780" s="77"/>
      <c r="AV780" s="80" t="str">
        <f>HYPERLINK("https://pbs.twimg.com/profile_images/1431648743728852993/tLJ7F5Lu_normal.png")</f>
        <v>https://pbs.twimg.com/profile_images/1431648743728852993/tLJ7F5Lu_normal.png</v>
      </c>
      <c r="AW780" s="82" t="s">
        <v>17553</v>
      </c>
      <c r="AX780" s="82" t="s">
        <v>17553</v>
      </c>
      <c r="AY780" s="77"/>
      <c r="AZ780" s="82" t="s">
        <v>20971</v>
      </c>
      <c r="BA780" s="82" t="s">
        <v>20971</v>
      </c>
      <c r="BB780" s="82" t="s">
        <v>20971</v>
      </c>
      <c r="BC780" s="82" t="s">
        <v>17553</v>
      </c>
      <c r="BD780" s="77">
        <v>489723814</v>
      </c>
      <c r="BE780" s="77"/>
      <c r="BF780" s="77"/>
      <c r="BG780" s="77"/>
      <c r="BH780" s="77"/>
      <c r="BI780" s="77"/>
    </row>
    <row r="781" spans="1:61" x14ac:dyDescent="0.25">
      <c r="A781" s="62" t="s">
        <v>418</v>
      </c>
      <c r="B781" s="62" t="s">
        <v>418</v>
      </c>
      <c r="C781" s="63"/>
      <c r="D781" s="64"/>
      <c r="E781" s="65"/>
      <c r="F781" s="66"/>
      <c r="G781" s="63"/>
      <c r="H781" s="67"/>
      <c r="I781" s="68"/>
      <c r="J781" s="68"/>
      <c r="K781" s="32"/>
      <c r="L781" s="75">
        <v>781</v>
      </c>
      <c r="M781" s="75"/>
      <c r="N781" s="70"/>
      <c r="O781" s="77" t="s">
        <v>179</v>
      </c>
      <c r="P781" s="79">
        <v>44969.066817129627</v>
      </c>
      <c r="Q781" s="77" t="s">
        <v>2063</v>
      </c>
      <c r="R781" s="77">
        <v>0</v>
      </c>
      <c r="S781" s="77">
        <v>0</v>
      </c>
      <c r="T781" s="77">
        <v>0</v>
      </c>
      <c r="U781" s="77">
        <v>0</v>
      </c>
      <c r="V781" s="77">
        <v>14</v>
      </c>
      <c r="W781" s="82" t="s">
        <v>5335</v>
      </c>
      <c r="X781" s="80" t="str">
        <f>HYPERLINK("https://www.freeclassificados.com/ads/otimize-seu-email-marketing-com-bulksender/")</f>
        <v>https://www.freeclassificados.com/ads/otimize-seu-email-marketing-com-bulksender/</v>
      </c>
      <c r="Y781" s="77" t="s">
        <v>7308</v>
      </c>
      <c r="Z781" s="77"/>
      <c r="AA781" s="77"/>
      <c r="AB781" s="77"/>
      <c r="AC781" s="82" t="s">
        <v>10155</v>
      </c>
      <c r="AD781" s="77" t="s">
        <v>10184</v>
      </c>
      <c r="AE781" s="80" t="str">
        <f>HYPERLINK("https://twitter.com/freeclassific/status/1624583117519351810")</f>
        <v>https://twitter.com/freeclassific/status/1624583117519351810</v>
      </c>
      <c r="AF781" s="79">
        <v>44969.066817129627</v>
      </c>
      <c r="AG781" s="85">
        <v>44969</v>
      </c>
      <c r="AH781" s="82" t="s">
        <v>10934</v>
      </c>
      <c r="AI781" s="77" t="b">
        <v>0</v>
      </c>
      <c r="AJ781" s="77"/>
      <c r="AK781" s="77"/>
      <c r="AL781" s="77"/>
      <c r="AM781" s="77"/>
      <c r="AN781" s="77"/>
      <c r="AO781" s="77"/>
      <c r="AP781" s="77"/>
      <c r="AQ781" s="77"/>
      <c r="AR781" s="77"/>
      <c r="AS781" s="77"/>
      <c r="AT781" s="77"/>
      <c r="AU781" s="77"/>
      <c r="AV781" s="80" t="str">
        <f>HYPERLINK("https://pbs.twimg.com/profile_images/1431648743728852993/tLJ7F5Lu_normal.png")</f>
        <v>https://pbs.twimg.com/profile_images/1431648743728852993/tLJ7F5Lu_normal.png</v>
      </c>
      <c r="AW781" s="82" t="s">
        <v>17554</v>
      </c>
      <c r="AX781" s="82" t="s">
        <v>17554</v>
      </c>
      <c r="AY781" s="77"/>
      <c r="AZ781" s="82" t="s">
        <v>20971</v>
      </c>
      <c r="BA781" s="82" t="s">
        <v>20971</v>
      </c>
      <c r="BB781" s="82" t="s">
        <v>20971</v>
      </c>
      <c r="BC781" s="82" t="s">
        <v>17554</v>
      </c>
      <c r="BD781" s="77">
        <v>489723814</v>
      </c>
      <c r="BE781" s="77"/>
      <c r="BF781" s="77"/>
      <c r="BG781" s="77"/>
      <c r="BH781" s="77"/>
      <c r="BI781" s="77"/>
    </row>
    <row r="782" spans="1:61" x14ac:dyDescent="0.25">
      <c r="A782" s="62" t="s">
        <v>418</v>
      </c>
      <c r="B782" s="62" t="s">
        <v>418</v>
      </c>
      <c r="C782" s="63"/>
      <c r="D782" s="64"/>
      <c r="E782" s="65"/>
      <c r="F782" s="66"/>
      <c r="G782" s="63"/>
      <c r="H782" s="67"/>
      <c r="I782" s="68"/>
      <c r="J782" s="68"/>
      <c r="K782" s="32"/>
      <c r="L782" s="75">
        <v>782</v>
      </c>
      <c r="M782" s="75"/>
      <c r="N782" s="70"/>
      <c r="O782" s="77" t="s">
        <v>179</v>
      </c>
      <c r="P782" s="79">
        <v>44968.837245370371</v>
      </c>
      <c r="Q782" s="77" t="s">
        <v>2064</v>
      </c>
      <c r="R782" s="77">
        <v>0</v>
      </c>
      <c r="S782" s="77">
        <v>0</v>
      </c>
      <c r="T782" s="77">
        <v>0</v>
      </c>
      <c r="U782" s="77">
        <v>0</v>
      </c>
      <c r="V782" s="77">
        <v>10</v>
      </c>
      <c r="W782" s="82" t="s">
        <v>5335</v>
      </c>
      <c r="X782" s="80" t="str">
        <f>HYPERLINK("https://www.freeclassificados.com/ads/curso-moveis-em-fibra-sintetica/")</f>
        <v>https://www.freeclassificados.com/ads/curso-moveis-em-fibra-sintetica/</v>
      </c>
      <c r="Y782" s="77" t="s">
        <v>7308</v>
      </c>
      <c r="Z782" s="77"/>
      <c r="AA782" s="77"/>
      <c r="AB782" s="77"/>
      <c r="AC782" s="82" t="s">
        <v>10155</v>
      </c>
      <c r="AD782" s="77" t="s">
        <v>10184</v>
      </c>
      <c r="AE782" s="80" t="str">
        <f>HYPERLINK("https://twitter.com/freeclassific/status/1624499925496086529")</f>
        <v>https://twitter.com/freeclassific/status/1624499925496086529</v>
      </c>
      <c r="AF782" s="79">
        <v>44968.837245370371</v>
      </c>
      <c r="AG782" s="85">
        <v>44968</v>
      </c>
      <c r="AH782" s="82" t="s">
        <v>10935</v>
      </c>
      <c r="AI782" s="77" t="b">
        <v>0</v>
      </c>
      <c r="AJ782" s="77"/>
      <c r="AK782" s="77"/>
      <c r="AL782" s="77"/>
      <c r="AM782" s="77"/>
      <c r="AN782" s="77"/>
      <c r="AO782" s="77"/>
      <c r="AP782" s="77"/>
      <c r="AQ782" s="77"/>
      <c r="AR782" s="77"/>
      <c r="AS782" s="77"/>
      <c r="AT782" s="77"/>
      <c r="AU782" s="77"/>
      <c r="AV782" s="80" t="str">
        <f>HYPERLINK("https://pbs.twimg.com/profile_images/1431648743728852993/tLJ7F5Lu_normal.png")</f>
        <v>https://pbs.twimg.com/profile_images/1431648743728852993/tLJ7F5Lu_normal.png</v>
      </c>
      <c r="AW782" s="82" t="s">
        <v>17555</v>
      </c>
      <c r="AX782" s="82" t="s">
        <v>17555</v>
      </c>
      <c r="AY782" s="77"/>
      <c r="AZ782" s="82" t="s">
        <v>20971</v>
      </c>
      <c r="BA782" s="82" t="s">
        <v>20971</v>
      </c>
      <c r="BB782" s="82" t="s">
        <v>20971</v>
      </c>
      <c r="BC782" s="82" t="s">
        <v>17555</v>
      </c>
      <c r="BD782" s="77">
        <v>489723814</v>
      </c>
      <c r="BE782" s="77"/>
      <c r="BF782" s="77"/>
      <c r="BG782" s="77"/>
      <c r="BH782" s="77"/>
      <c r="BI782" s="77"/>
    </row>
    <row r="783" spans="1:61" x14ac:dyDescent="0.25">
      <c r="A783" s="62" t="s">
        <v>418</v>
      </c>
      <c r="B783" s="62" t="s">
        <v>418</v>
      </c>
      <c r="C783" s="63"/>
      <c r="D783" s="64"/>
      <c r="E783" s="65"/>
      <c r="F783" s="66"/>
      <c r="G783" s="63"/>
      <c r="H783" s="67"/>
      <c r="I783" s="68"/>
      <c r="J783" s="68"/>
      <c r="K783" s="32"/>
      <c r="L783" s="75">
        <v>783</v>
      </c>
      <c r="M783" s="75"/>
      <c r="N783" s="70"/>
      <c r="O783" s="77" t="s">
        <v>179</v>
      </c>
      <c r="P783" s="79">
        <v>44968.835694444446</v>
      </c>
      <c r="Q783" s="77" t="s">
        <v>2065</v>
      </c>
      <c r="R783" s="77">
        <v>0</v>
      </c>
      <c r="S783" s="77">
        <v>0</v>
      </c>
      <c r="T783" s="77">
        <v>0</v>
      </c>
      <c r="U783" s="77">
        <v>0</v>
      </c>
      <c r="V783" s="77">
        <v>9</v>
      </c>
      <c r="W783" s="82" t="s">
        <v>5335</v>
      </c>
      <c r="X783" s="80" t="str">
        <f>HYPERLINK("https://www.freeclassificados.com/ads/mestre-do-violao/")</f>
        <v>https://www.freeclassificados.com/ads/mestre-do-violao/</v>
      </c>
      <c r="Y783" s="77" t="s">
        <v>7308</v>
      </c>
      <c r="Z783" s="77"/>
      <c r="AA783" s="77"/>
      <c r="AB783" s="77"/>
      <c r="AC783" s="82" t="s">
        <v>10155</v>
      </c>
      <c r="AD783" s="77" t="s">
        <v>10184</v>
      </c>
      <c r="AE783" s="80" t="str">
        <f>HYPERLINK("https://twitter.com/freeclassific/status/1624499363987787779")</f>
        <v>https://twitter.com/freeclassific/status/1624499363987787779</v>
      </c>
      <c r="AF783" s="79">
        <v>44968.835694444446</v>
      </c>
      <c r="AG783" s="85">
        <v>44968</v>
      </c>
      <c r="AH783" s="82" t="s">
        <v>10936</v>
      </c>
      <c r="AI783" s="77" t="b">
        <v>0</v>
      </c>
      <c r="AJ783" s="77"/>
      <c r="AK783" s="77"/>
      <c r="AL783" s="77"/>
      <c r="AM783" s="77"/>
      <c r="AN783" s="77"/>
      <c r="AO783" s="77"/>
      <c r="AP783" s="77"/>
      <c r="AQ783" s="77"/>
      <c r="AR783" s="77"/>
      <c r="AS783" s="77"/>
      <c r="AT783" s="77"/>
      <c r="AU783" s="77"/>
      <c r="AV783" s="80" t="str">
        <f>HYPERLINK("https://pbs.twimg.com/profile_images/1431648743728852993/tLJ7F5Lu_normal.png")</f>
        <v>https://pbs.twimg.com/profile_images/1431648743728852993/tLJ7F5Lu_normal.png</v>
      </c>
      <c r="AW783" s="82" t="s">
        <v>17556</v>
      </c>
      <c r="AX783" s="82" t="s">
        <v>17556</v>
      </c>
      <c r="AY783" s="77"/>
      <c r="AZ783" s="82" t="s">
        <v>20971</v>
      </c>
      <c r="BA783" s="82" t="s">
        <v>20971</v>
      </c>
      <c r="BB783" s="82" t="s">
        <v>20971</v>
      </c>
      <c r="BC783" s="82" t="s">
        <v>17556</v>
      </c>
      <c r="BD783" s="77">
        <v>489723814</v>
      </c>
      <c r="BE783" s="77"/>
      <c r="BF783" s="77"/>
      <c r="BG783" s="77"/>
      <c r="BH783" s="77"/>
      <c r="BI783" s="77"/>
    </row>
    <row r="784" spans="1:61" x14ac:dyDescent="0.25">
      <c r="A784" s="62" t="s">
        <v>418</v>
      </c>
      <c r="B784" s="62" t="s">
        <v>418</v>
      </c>
      <c r="C784" s="63"/>
      <c r="D784" s="64"/>
      <c r="E784" s="65"/>
      <c r="F784" s="66"/>
      <c r="G784" s="63"/>
      <c r="H784" s="67"/>
      <c r="I784" s="68"/>
      <c r="J784" s="68"/>
      <c r="K784" s="32"/>
      <c r="L784" s="75">
        <v>784</v>
      </c>
      <c r="M784" s="75"/>
      <c r="N784" s="70"/>
      <c r="O784" s="77" t="s">
        <v>179</v>
      </c>
      <c r="P784" s="79">
        <v>44968.833541666667</v>
      </c>
      <c r="Q784" s="77" t="s">
        <v>2066</v>
      </c>
      <c r="R784" s="77">
        <v>0</v>
      </c>
      <c r="S784" s="77">
        <v>0</v>
      </c>
      <c r="T784" s="77">
        <v>0</v>
      </c>
      <c r="U784" s="77">
        <v>0</v>
      </c>
      <c r="V784" s="77">
        <v>12</v>
      </c>
      <c r="W784" s="82" t="s">
        <v>5335</v>
      </c>
      <c r="X784" s="80" t="str">
        <f>HYPERLINK("https://www.freeclassificados.com/ads/assistente-de-logistica/")</f>
        <v>https://www.freeclassificados.com/ads/assistente-de-logistica/</v>
      </c>
      <c r="Y784" s="77" t="s">
        <v>7308</v>
      </c>
      <c r="Z784" s="77"/>
      <c r="AA784" s="77"/>
      <c r="AB784" s="77"/>
      <c r="AC784" s="82" t="s">
        <v>10155</v>
      </c>
      <c r="AD784" s="77" t="s">
        <v>10184</v>
      </c>
      <c r="AE784" s="80" t="str">
        <f>HYPERLINK("https://twitter.com/freeclassific/status/1624498581053792256")</f>
        <v>https://twitter.com/freeclassific/status/1624498581053792256</v>
      </c>
      <c r="AF784" s="79">
        <v>44968.833541666667</v>
      </c>
      <c r="AG784" s="85">
        <v>44968</v>
      </c>
      <c r="AH784" s="82" t="s">
        <v>10731</v>
      </c>
      <c r="AI784" s="77" t="b">
        <v>0</v>
      </c>
      <c r="AJ784" s="77"/>
      <c r="AK784" s="77"/>
      <c r="AL784" s="77"/>
      <c r="AM784" s="77"/>
      <c r="AN784" s="77"/>
      <c r="AO784" s="77"/>
      <c r="AP784" s="77"/>
      <c r="AQ784" s="77"/>
      <c r="AR784" s="77"/>
      <c r="AS784" s="77"/>
      <c r="AT784" s="77"/>
      <c r="AU784" s="77"/>
      <c r="AV784" s="80" t="str">
        <f>HYPERLINK("https://pbs.twimg.com/profile_images/1431648743728852993/tLJ7F5Lu_normal.png")</f>
        <v>https://pbs.twimg.com/profile_images/1431648743728852993/tLJ7F5Lu_normal.png</v>
      </c>
      <c r="AW784" s="82" t="s">
        <v>17557</v>
      </c>
      <c r="AX784" s="82" t="s">
        <v>17557</v>
      </c>
      <c r="AY784" s="77"/>
      <c r="AZ784" s="82" t="s">
        <v>20971</v>
      </c>
      <c r="BA784" s="82" t="s">
        <v>20971</v>
      </c>
      <c r="BB784" s="82" t="s">
        <v>20971</v>
      </c>
      <c r="BC784" s="82" t="s">
        <v>17557</v>
      </c>
      <c r="BD784" s="77">
        <v>489723814</v>
      </c>
      <c r="BE784" s="77"/>
      <c r="BF784" s="77"/>
      <c r="BG784" s="77"/>
      <c r="BH784" s="77"/>
      <c r="BI784" s="77"/>
    </row>
    <row r="785" spans="1:61" x14ac:dyDescent="0.25">
      <c r="A785" s="62" t="s">
        <v>418</v>
      </c>
      <c r="B785" s="62" t="s">
        <v>418</v>
      </c>
      <c r="C785" s="63"/>
      <c r="D785" s="64"/>
      <c r="E785" s="65"/>
      <c r="F785" s="66"/>
      <c r="G785" s="63"/>
      <c r="H785" s="67"/>
      <c r="I785" s="68"/>
      <c r="J785" s="68"/>
      <c r="K785" s="32"/>
      <c r="L785" s="75">
        <v>785</v>
      </c>
      <c r="M785" s="75"/>
      <c r="N785" s="70"/>
      <c r="O785" s="77" t="s">
        <v>179</v>
      </c>
      <c r="P785" s="79">
        <v>44968.831979166665</v>
      </c>
      <c r="Q785" s="77" t="s">
        <v>2067</v>
      </c>
      <c r="R785" s="77">
        <v>0</v>
      </c>
      <c r="S785" s="77">
        <v>0</v>
      </c>
      <c r="T785" s="77">
        <v>0</v>
      </c>
      <c r="U785" s="77">
        <v>0</v>
      </c>
      <c r="V785" s="77">
        <v>9</v>
      </c>
      <c r="W785" s="82" t="s">
        <v>5335</v>
      </c>
      <c r="X785" s="80" t="str">
        <f>HYPERLINK("https://www.freeclassificados.com/ads/curso-de-recepcionista/")</f>
        <v>https://www.freeclassificados.com/ads/curso-de-recepcionista/</v>
      </c>
      <c r="Y785" s="77" t="s">
        <v>7308</v>
      </c>
      <c r="Z785" s="77"/>
      <c r="AA785" s="77"/>
      <c r="AB785" s="77"/>
      <c r="AC785" s="82" t="s">
        <v>10155</v>
      </c>
      <c r="AD785" s="77" t="s">
        <v>10187</v>
      </c>
      <c r="AE785" s="80" t="str">
        <f>HYPERLINK("https://twitter.com/freeclassific/status/1624498016773079042")</f>
        <v>https://twitter.com/freeclassific/status/1624498016773079042</v>
      </c>
      <c r="AF785" s="79">
        <v>44968.831979166665</v>
      </c>
      <c r="AG785" s="85">
        <v>44968</v>
      </c>
      <c r="AH785" s="82" t="s">
        <v>10937</v>
      </c>
      <c r="AI785" s="77" t="b">
        <v>0</v>
      </c>
      <c r="AJ785" s="77"/>
      <c r="AK785" s="77"/>
      <c r="AL785" s="77"/>
      <c r="AM785" s="77"/>
      <c r="AN785" s="77"/>
      <c r="AO785" s="77"/>
      <c r="AP785" s="77"/>
      <c r="AQ785" s="77"/>
      <c r="AR785" s="77"/>
      <c r="AS785" s="77"/>
      <c r="AT785" s="77"/>
      <c r="AU785" s="77"/>
      <c r="AV785" s="80" t="str">
        <f>HYPERLINK("https://pbs.twimg.com/profile_images/1431648743728852993/tLJ7F5Lu_normal.png")</f>
        <v>https://pbs.twimg.com/profile_images/1431648743728852993/tLJ7F5Lu_normal.png</v>
      </c>
      <c r="AW785" s="82" t="s">
        <v>17558</v>
      </c>
      <c r="AX785" s="82" t="s">
        <v>17558</v>
      </c>
      <c r="AY785" s="77"/>
      <c r="AZ785" s="82" t="s">
        <v>20971</v>
      </c>
      <c r="BA785" s="82" t="s">
        <v>20971</v>
      </c>
      <c r="BB785" s="82" t="s">
        <v>20971</v>
      </c>
      <c r="BC785" s="82" t="s">
        <v>17558</v>
      </c>
      <c r="BD785" s="77">
        <v>489723814</v>
      </c>
      <c r="BE785" s="77"/>
      <c r="BF785" s="77"/>
      <c r="BG785" s="77"/>
      <c r="BH785" s="77"/>
      <c r="BI785" s="77"/>
    </row>
    <row r="786" spans="1:61" x14ac:dyDescent="0.25">
      <c r="A786" s="62" t="s">
        <v>418</v>
      </c>
      <c r="B786" s="62" t="s">
        <v>418</v>
      </c>
      <c r="C786" s="63"/>
      <c r="D786" s="64"/>
      <c r="E786" s="65"/>
      <c r="F786" s="66"/>
      <c r="G786" s="63"/>
      <c r="H786" s="67"/>
      <c r="I786" s="68"/>
      <c r="J786" s="68"/>
      <c r="K786" s="32"/>
      <c r="L786" s="75">
        <v>786</v>
      </c>
      <c r="M786" s="75"/>
      <c r="N786" s="70"/>
      <c r="O786" s="77" t="s">
        <v>179</v>
      </c>
      <c r="P786" s="79">
        <v>44968.830543981479</v>
      </c>
      <c r="Q786" s="77" t="s">
        <v>2068</v>
      </c>
      <c r="R786" s="77">
        <v>0</v>
      </c>
      <c r="S786" s="77">
        <v>0</v>
      </c>
      <c r="T786" s="77">
        <v>0</v>
      </c>
      <c r="U786" s="77">
        <v>0</v>
      </c>
      <c r="V786" s="77">
        <v>14</v>
      </c>
      <c r="W786" s="82" t="s">
        <v>5335</v>
      </c>
      <c r="X786" s="80" t="str">
        <f>HYPERLINK("https://www.freeclassificados.com/ads/curso-de-auxiliar-de-recursos-humanos/")</f>
        <v>https://www.freeclassificados.com/ads/curso-de-auxiliar-de-recursos-humanos/</v>
      </c>
      <c r="Y786" s="77" t="s">
        <v>7308</v>
      </c>
      <c r="Z786" s="77"/>
      <c r="AA786" s="77"/>
      <c r="AB786" s="77"/>
      <c r="AC786" s="82" t="s">
        <v>10155</v>
      </c>
      <c r="AD786" s="77" t="s">
        <v>10187</v>
      </c>
      <c r="AE786" s="80" t="str">
        <f>HYPERLINK("https://twitter.com/freeclassific/status/1624497498147495938")</f>
        <v>https://twitter.com/freeclassific/status/1624497498147495938</v>
      </c>
      <c r="AF786" s="79">
        <v>44968.830543981479</v>
      </c>
      <c r="AG786" s="85">
        <v>44968</v>
      </c>
      <c r="AH786" s="82" t="s">
        <v>10938</v>
      </c>
      <c r="AI786" s="77" t="b">
        <v>0</v>
      </c>
      <c r="AJ786" s="77"/>
      <c r="AK786" s="77"/>
      <c r="AL786" s="77"/>
      <c r="AM786" s="77"/>
      <c r="AN786" s="77"/>
      <c r="AO786" s="77"/>
      <c r="AP786" s="77"/>
      <c r="AQ786" s="77"/>
      <c r="AR786" s="77"/>
      <c r="AS786" s="77"/>
      <c r="AT786" s="77"/>
      <c r="AU786" s="77"/>
      <c r="AV786" s="80" t="str">
        <f>HYPERLINK("https://pbs.twimg.com/profile_images/1431648743728852993/tLJ7F5Lu_normal.png")</f>
        <v>https://pbs.twimg.com/profile_images/1431648743728852993/tLJ7F5Lu_normal.png</v>
      </c>
      <c r="AW786" s="82" t="s">
        <v>17559</v>
      </c>
      <c r="AX786" s="82" t="s">
        <v>17559</v>
      </c>
      <c r="AY786" s="77"/>
      <c r="AZ786" s="82" t="s">
        <v>20971</v>
      </c>
      <c r="BA786" s="82" t="s">
        <v>20971</v>
      </c>
      <c r="BB786" s="82" t="s">
        <v>20971</v>
      </c>
      <c r="BC786" s="82" t="s">
        <v>17559</v>
      </c>
      <c r="BD786" s="77">
        <v>489723814</v>
      </c>
      <c r="BE786" s="77"/>
      <c r="BF786" s="77"/>
      <c r="BG786" s="77"/>
      <c r="BH786" s="77"/>
      <c r="BI786" s="77"/>
    </row>
    <row r="787" spans="1:61" x14ac:dyDescent="0.25">
      <c r="A787" s="62" t="s">
        <v>418</v>
      </c>
      <c r="B787" s="62" t="s">
        <v>418</v>
      </c>
      <c r="C787" s="63"/>
      <c r="D787" s="64"/>
      <c r="E787" s="65"/>
      <c r="F787" s="66"/>
      <c r="G787" s="63"/>
      <c r="H787" s="67"/>
      <c r="I787" s="68"/>
      <c r="J787" s="68"/>
      <c r="K787" s="32"/>
      <c r="L787" s="75">
        <v>787</v>
      </c>
      <c r="M787" s="75"/>
      <c r="N787" s="70"/>
      <c r="O787" s="77" t="s">
        <v>179</v>
      </c>
      <c r="P787" s="79">
        <v>44968.829085648147</v>
      </c>
      <c r="Q787" s="77" t="s">
        <v>2069</v>
      </c>
      <c r="R787" s="77">
        <v>0</v>
      </c>
      <c r="S787" s="77">
        <v>0</v>
      </c>
      <c r="T787" s="77">
        <v>0</v>
      </c>
      <c r="U787" s="77">
        <v>0</v>
      </c>
      <c r="V787" s="77">
        <v>8</v>
      </c>
      <c r="W787" s="82" t="s">
        <v>5335</v>
      </c>
      <c r="X787" s="80" t="str">
        <f>HYPERLINK("https://www.freeclassificados.com/ads/ingles-profissional/")</f>
        <v>https://www.freeclassificados.com/ads/ingles-profissional/</v>
      </c>
      <c r="Y787" s="77" t="s">
        <v>7308</v>
      </c>
      <c r="Z787" s="77"/>
      <c r="AA787" s="77"/>
      <c r="AB787" s="77"/>
      <c r="AC787" s="82" t="s">
        <v>10155</v>
      </c>
      <c r="AD787" s="77" t="s">
        <v>10184</v>
      </c>
      <c r="AE787" s="80" t="str">
        <f>HYPERLINK("https://twitter.com/freeclassific/status/1624496967106584576")</f>
        <v>https://twitter.com/freeclassific/status/1624496967106584576</v>
      </c>
      <c r="AF787" s="79">
        <v>44968.829085648147</v>
      </c>
      <c r="AG787" s="85">
        <v>44968</v>
      </c>
      <c r="AH787" s="82" t="s">
        <v>10939</v>
      </c>
      <c r="AI787" s="77" t="b">
        <v>0</v>
      </c>
      <c r="AJ787" s="77"/>
      <c r="AK787" s="77"/>
      <c r="AL787" s="77"/>
      <c r="AM787" s="77"/>
      <c r="AN787" s="77"/>
      <c r="AO787" s="77"/>
      <c r="AP787" s="77"/>
      <c r="AQ787" s="77"/>
      <c r="AR787" s="77"/>
      <c r="AS787" s="77"/>
      <c r="AT787" s="77"/>
      <c r="AU787" s="77"/>
      <c r="AV787" s="80" t="str">
        <f>HYPERLINK("https://pbs.twimg.com/profile_images/1431648743728852993/tLJ7F5Lu_normal.png")</f>
        <v>https://pbs.twimg.com/profile_images/1431648743728852993/tLJ7F5Lu_normal.png</v>
      </c>
      <c r="AW787" s="82" t="s">
        <v>17560</v>
      </c>
      <c r="AX787" s="82" t="s">
        <v>17560</v>
      </c>
      <c r="AY787" s="77"/>
      <c r="AZ787" s="82" t="s">
        <v>20971</v>
      </c>
      <c r="BA787" s="82" t="s">
        <v>20971</v>
      </c>
      <c r="BB787" s="82" t="s">
        <v>20971</v>
      </c>
      <c r="BC787" s="82" t="s">
        <v>17560</v>
      </c>
      <c r="BD787" s="77">
        <v>489723814</v>
      </c>
      <c r="BE787" s="77"/>
      <c r="BF787" s="77"/>
      <c r="BG787" s="77"/>
      <c r="BH787" s="77"/>
      <c r="BI787" s="77"/>
    </row>
    <row r="788" spans="1:61" x14ac:dyDescent="0.25">
      <c r="A788" s="62" t="s">
        <v>418</v>
      </c>
      <c r="B788" s="62" t="s">
        <v>418</v>
      </c>
      <c r="C788" s="63"/>
      <c r="D788" s="64"/>
      <c r="E788" s="65"/>
      <c r="F788" s="66"/>
      <c r="G788" s="63"/>
      <c r="H788" s="67"/>
      <c r="I788" s="68"/>
      <c r="J788" s="68"/>
      <c r="K788" s="32"/>
      <c r="L788" s="75">
        <v>788</v>
      </c>
      <c r="M788" s="75"/>
      <c r="N788" s="70"/>
      <c r="O788" s="77" t="s">
        <v>179</v>
      </c>
      <c r="P788" s="79">
        <v>44968.827349537038</v>
      </c>
      <c r="Q788" s="77" t="s">
        <v>2070</v>
      </c>
      <c r="R788" s="77">
        <v>0</v>
      </c>
      <c r="S788" s="77">
        <v>0</v>
      </c>
      <c r="T788" s="77">
        <v>0</v>
      </c>
      <c r="U788" s="77">
        <v>0</v>
      </c>
      <c r="V788" s="77">
        <v>9</v>
      </c>
      <c r="W788" s="82" t="s">
        <v>5335</v>
      </c>
      <c r="X788" s="80" t="str">
        <f>HYPERLINK("https://www.freeclassificados.com/ads/gestao-empresarial/")</f>
        <v>https://www.freeclassificados.com/ads/gestao-empresarial/</v>
      </c>
      <c r="Y788" s="77" t="s">
        <v>7308</v>
      </c>
      <c r="Z788" s="77"/>
      <c r="AA788" s="77"/>
      <c r="AB788" s="77"/>
      <c r="AC788" s="82" t="s">
        <v>10155</v>
      </c>
      <c r="AD788" s="77" t="s">
        <v>10184</v>
      </c>
      <c r="AE788" s="80" t="str">
        <f>HYPERLINK("https://twitter.com/freeclassific/status/1624496338862854147")</f>
        <v>https://twitter.com/freeclassific/status/1624496338862854147</v>
      </c>
      <c r="AF788" s="79">
        <v>44968.827349537038</v>
      </c>
      <c r="AG788" s="85">
        <v>44968</v>
      </c>
      <c r="AH788" s="82" t="s">
        <v>10940</v>
      </c>
      <c r="AI788" s="77" t="b">
        <v>0</v>
      </c>
      <c r="AJ788" s="77"/>
      <c r="AK788" s="77"/>
      <c r="AL788" s="77"/>
      <c r="AM788" s="77"/>
      <c r="AN788" s="77"/>
      <c r="AO788" s="77"/>
      <c r="AP788" s="77"/>
      <c r="AQ788" s="77"/>
      <c r="AR788" s="77"/>
      <c r="AS788" s="77"/>
      <c r="AT788" s="77"/>
      <c r="AU788" s="77"/>
      <c r="AV788" s="80" t="str">
        <f>HYPERLINK("https://pbs.twimg.com/profile_images/1431648743728852993/tLJ7F5Lu_normal.png")</f>
        <v>https://pbs.twimg.com/profile_images/1431648743728852993/tLJ7F5Lu_normal.png</v>
      </c>
      <c r="AW788" s="82" t="s">
        <v>17561</v>
      </c>
      <c r="AX788" s="82" t="s">
        <v>17561</v>
      </c>
      <c r="AY788" s="77"/>
      <c r="AZ788" s="82" t="s">
        <v>20971</v>
      </c>
      <c r="BA788" s="82" t="s">
        <v>20971</v>
      </c>
      <c r="BB788" s="82" t="s">
        <v>20971</v>
      </c>
      <c r="BC788" s="82" t="s">
        <v>17561</v>
      </c>
      <c r="BD788" s="77">
        <v>489723814</v>
      </c>
      <c r="BE788" s="77"/>
      <c r="BF788" s="77"/>
      <c r="BG788" s="77"/>
      <c r="BH788" s="77"/>
      <c r="BI788" s="77"/>
    </row>
    <row r="789" spans="1:61" x14ac:dyDescent="0.25">
      <c r="A789" s="62" t="s">
        <v>418</v>
      </c>
      <c r="B789" s="62" t="s">
        <v>418</v>
      </c>
      <c r="C789" s="63"/>
      <c r="D789" s="64"/>
      <c r="E789" s="65"/>
      <c r="F789" s="66"/>
      <c r="G789" s="63"/>
      <c r="H789" s="67"/>
      <c r="I789" s="68"/>
      <c r="J789" s="68"/>
      <c r="K789" s="32"/>
      <c r="L789" s="75">
        <v>789</v>
      </c>
      <c r="M789" s="75"/>
      <c r="N789" s="70"/>
      <c r="O789" s="77" t="s">
        <v>179</v>
      </c>
      <c r="P789" s="79">
        <v>44968.826122685183</v>
      </c>
      <c r="Q789" s="77" t="s">
        <v>2071</v>
      </c>
      <c r="R789" s="77">
        <v>0</v>
      </c>
      <c r="S789" s="77">
        <v>0</v>
      </c>
      <c r="T789" s="77">
        <v>0</v>
      </c>
      <c r="U789" s="77">
        <v>0</v>
      </c>
      <c r="V789" s="77">
        <v>16</v>
      </c>
      <c r="W789" s="82" t="s">
        <v>5335</v>
      </c>
      <c r="X789" s="80" t="str">
        <f>HYPERLINK("https://www.freeclassificados.com/ads/curso-de-libras-avancado/")</f>
        <v>https://www.freeclassificados.com/ads/curso-de-libras-avancado/</v>
      </c>
      <c r="Y789" s="77" t="s">
        <v>7308</v>
      </c>
      <c r="Z789" s="77"/>
      <c r="AA789" s="77"/>
      <c r="AB789" s="77"/>
      <c r="AC789" s="82" t="s">
        <v>10155</v>
      </c>
      <c r="AD789" s="77" t="s">
        <v>10184</v>
      </c>
      <c r="AE789" s="80" t="str">
        <f>HYPERLINK("https://twitter.com/freeclassific/status/1624495893079633920")</f>
        <v>https://twitter.com/freeclassific/status/1624495893079633920</v>
      </c>
      <c r="AF789" s="79">
        <v>44968.826122685183</v>
      </c>
      <c r="AG789" s="85">
        <v>44968</v>
      </c>
      <c r="AH789" s="82" t="s">
        <v>10941</v>
      </c>
      <c r="AI789" s="77" t="b">
        <v>0</v>
      </c>
      <c r="AJ789" s="77"/>
      <c r="AK789" s="77"/>
      <c r="AL789" s="77"/>
      <c r="AM789" s="77"/>
      <c r="AN789" s="77"/>
      <c r="AO789" s="77"/>
      <c r="AP789" s="77"/>
      <c r="AQ789" s="77"/>
      <c r="AR789" s="77"/>
      <c r="AS789" s="77"/>
      <c r="AT789" s="77"/>
      <c r="AU789" s="77"/>
      <c r="AV789" s="80" t="str">
        <f>HYPERLINK("https://pbs.twimg.com/profile_images/1431648743728852993/tLJ7F5Lu_normal.png")</f>
        <v>https://pbs.twimg.com/profile_images/1431648743728852993/tLJ7F5Lu_normal.png</v>
      </c>
      <c r="AW789" s="82" t="s">
        <v>17562</v>
      </c>
      <c r="AX789" s="82" t="s">
        <v>17562</v>
      </c>
      <c r="AY789" s="77"/>
      <c r="AZ789" s="82" t="s">
        <v>20971</v>
      </c>
      <c r="BA789" s="82" t="s">
        <v>20971</v>
      </c>
      <c r="BB789" s="82" t="s">
        <v>20971</v>
      </c>
      <c r="BC789" s="82" t="s">
        <v>17562</v>
      </c>
      <c r="BD789" s="77">
        <v>489723814</v>
      </c>
      <c r="BE789" s="77"/>
      <c r="BF789" s="77"/>
      <c r="BG789" s="77"/>
      <c r="BH789" s="77"/>
      <c r="BI789" s="77"/>
    </row>
    <row r="790" spans="1:61" x14ac:dyDescent="0.25">
      <c r="A790" s="62" t="s">
        <v>418</v>
      </c>
      <c r="B790" s="62" t="s">
        <v>418</v>
      </c>
      <c r="C790" s="63"/>
      <c r="D790" s="64"/>
      <c r="E790" s="65"/>
      <c r="F790" s="66"/>
      <c r="G790" s="63"/>
      <c r="H790" s="67"/>
      <c r="I790" s="68"/>
      <c r="J790" s="68"/>
      <c r="K790" s="32"/>
      <c r="L790" s="75">
        <v>790</v>
      </c>
      <c r="M790" s="75"/>
      <c r="N790" s="70"/>
      <c r="O790" s="77" t="s">
        <v>179</v>
      </c>
      <c r="P790" s="79">
        <v>44968.824386574073</v>
      </c>
      <c r="Q790" s="77" t="s">
        <v>2072</v>
      </c>
      <c r="R790" s="77">
        <v>0</v>
      </c>
      <c r="S790" s="77">
        <v>0</v>
      </c>
      <c r="T790" s="77">
        <v>0</v>
      </c>
      <c r="U790" s="77">
        <v>0</v>
      </c>
      <c r="V790" s="77">
        <v>9</v>
      </c>
      <c r="W790" s="82" t="s">
        <v>5335</v>
      </c>
      <c r="X790" s="80" t="str">
        <f>HYPERLINK("https://www.freeclassificados.com/ads/porteiro-e-zelador/")</f>
        <v>https://www.freeclassificados.com/ads/porteiro-e-zelador/</v>
      </c>
      <c r="Y790" s="77" t="s">
        <v>7308</v>
      </c>
      <c r="Z790" s="77"/>
      <c r="AA790" s="77"/>
      <c r="AB790" s="77"/>
      <c r="AC790" s="82" t="s">
        <v>10155</v>
      </c>
      <c r="AD790" s="77" t="s">
        <v>10184</v>
      </c>
      <c r="AE790" s="80" t="str">
        <f>HYPERLINK("https://twitter.com/freeclassific/status/1624495264881946625")</f>
        <v>https://twitter.com/freeclassific/status/1624495264881946625</v>
      </c>
      <c r="AF790" s="79">
        <v>44968.824386574073</v>
      </c>
      <c r="AG790" s="85">
        <v>44968</v>
      </c>
      <c r="AH790" s="82" t="s">
        <v>10942</v>
      </c>
      <c r="AI790" s="77" t="b">
        <v>0</v>
      </c>
      <c r="AJ790" s="77"/>
      <c r="AK790" s="77"/>
      <c r="AL790" s="77"/>
      <c r="AM790" s="77"/>
      <c r="AN790" s="77"/>
      <c r="AO790" s="77"/>
      <c r="AP790" s="77"/>
      <c r="AQ790" s="77"/>
      <c r="AR790" s="77"/>
      <c r="AS790" s="77"/>
      <c r="AT790" s="77"/>
      <c r="AU790" s="77"/>
      <c r="AV790" s="80" t="str">
        <f>HYPERLINK("https://pbs.twimg.com/profile_images/1431648743728852993/tLJ7F5Lu_normal.png")</f>
        <v>https://pbs.twimg.com/profile_images/1431648743728852993/tLJ7F5Lu_normal.png</v>
      </c>
      <c r="AW790" s="82" t="s">
        <v>17563</v>
      </c>
      <c r="AX790" s="82" t="s">
        <v>17563</v>
      </c>
      <c r="AY790" s="77"/>
      <c r="AZ790" s="82" t="s">
        <v>20971</v>
      </c>
      <c r="BA790" s="82" t="s">
        <v>20971</v>
      </c>
      <c r="BB790" s="82" t="s">
        <v>20971</v>
      </c>
      <c r="BC790" s="82" t="s">
        <v>17563</v>
      </c>
      <c r="BD790" s="77">
        <v>489723814</v>
      </c>
      <c r="BE790" s="77"/>
      <c r="BF790" s="77"/>
      <c r="BG790" s="77"/>
      <c r="BH790" s="77"/>
      <c r="BI790" s="77"/>
    </row>
    <row r="791" spans="1:61" x14ac:dyDescent="0.25">
      <c r="A791" s="62" t="s">
        <v>418</v>
      </c>
      <c r="B791" s="62" t="s">
        <v>418</v>
      </c>
      <c r="C791" s="63"/>
      <c r="D791" s="64"/>
      <c r="E791" s="65"/>
      <c r="F791" s="66"/>
      <c r="G791" s="63"/>
      <c r="H791" s="67"/>
      <c r="I791" s="68"/>
      <c r="J791" s="68"/>
      <c r="K791" s="32"/>
      <c r="L791" s="75">
        <v>791</v>
      </c>
      <c r="M791" s="75"/>
      <c r="N791" s="70"/>
      <c r="O791" s="77" t="s">
        <v>179</v>
      </c>
      <c r="P791" s="79">
        <v>44968.822314814817</v>
      </c>
      <c r="Q791" s="77" t="s">
        <v>2073</v>
      </c>
      <c r="R791" s="77">
        <v>0</v>
      </c>
      <c r="S791" s="77">
        <v>0</v>
      </c>
      <c r="T791" s="77">
        <v>0</v>
      </c>
      <c r="U791" s="77">
        <v>0</v>
      </c>
      <c r="V791" s="77">
        <v>7</v>
      </c>
      <c r="W791" s="82" t="s">
        <v>5335</v>
      </c>
      <c r="X791" s="80" t="str">
        <f>HYPERLINK("https://www.freeclassificados.com/ads/informatica-empresarial/")</f>
        <v>https://www.freeclassificados.com/ads/informatica-empresarial/</v>
      </c>
      <c r="Y791" s="77" t="s">
        <v>7308</v>
      </c>
      <c r="Z791" s="77"/>
      <c r="AA791" s="77"/>
      <c r="AB791" s="77"/>
      <c r="AC791" s="82" t="s">
        <v>10155</v>
      </c>
      <c r="AD791" s="77" t="s">
        <v>10184</v>
      </c>
      <c r="AE791" s="80" t="str">
        <f>HYPERLINK("https://twitter.com/freeclassific/status/1624494513526808579")</f>
        <v>https://twitter.com/freeclassific/status/1624494513526808579</v>
      </c>
      <c r="AF791" s="79">
        <v>44968.822314814817</v>
      </c>
      <c r="AG791" s="85">
        <v>44968</v>
      </c>
      <c r="AH791" s="82" t="s">
        <v>10943</v>
      </c>
      <c r="AI791" s="77" t="b">
        <v>0</v>
      </c>
      <c r="AJ791" s="77"/>
      <c r="AK791" s="77"/>
      <c r="AL791" s="77"/>
      <c r="AM791" s="77"/>
      <c r="AN791" s="77"/>
      <c r="AO791" s="77"/>
      <c r="AP791" s="77"/>
      <c r="AQ791" s="77"/>
      <c r="AR791" s="77"/>
      <c r="AS791" s="77"/>
      <c r="AT791" s="77"/>
      <c r="AU791" s="77"/>
      <c r="AV791" s="80" t="str">
        <f>HYPERLINK("https://pbs.twimg.com/profile_images/1431648743728852993/tLJ7F5Lu_normal.png")</f>
        <v>https://pbs.twimg.com/profile_images/1431648743728852993/tLJ7F5Lu_normal.png</v>
      </c>
      <c r="AW791" s="82" t="s">
        <v>17564</v>
      </c>
      <c r="AX791" s="82" t="s">
        <v>17564</v>
      </c>
      <c r="AY791" s="77"/>
      <c r="AZ791" s="82" t="s">
        <v>20971</v>
      </c>
      <c r="BA791" s="82" t="s">
        <v>20971</v>
      </c>
      <c r="BB791" s="82" t="s">
        <v>20971</v>
      </c>
      <c r="BC791" s="82" t="s">
        <v>17564</v>
      </c>
      <c r="BD791" s="77">
        <v>489723814</v>
      </c>
      <c r="BE791" s="77"/>
      <c r="BF791" s="77"/>
      <c r="BG791" s="77"/>
      <c r="BH791" s="77"/>
      <c r="BI791" s="77"/>
    </row>
    <row r="792" spans="1:61" x14ac:dyDescent="0.25">
      <c r="A792" s="62" t="s">
        <v>418</v>
      </c>
      <c r="B792" s="62" t="s">
        <v>418</v>
      </c>
      <c r="C792" s="63"/>
      <c r="D792" s="64"/>
      <c r="E792" s="65"/>
      <c r="F792" s="66"/>
      <c r="G792" s="63"/>
      <c r="H792" s="67"/>
      <c r="I792" s="68"/>
      <c r="J792" s="68"/>
      <c r="K792" s="32"/>
      <c r="L792" s="75">
        <v>792</v>
      </c>
      <c r="M792" s="75"/>
      <c r="N792" s="70"/>
      <c r="O792" s="77" t="s">
        <v>179</v>
      </c>
      <c r="P792" s="79">
        <v>44968.820717592593</v>
      </c>
      <c r="Q792" s="77" t="s">
        <v>2074</v>
      </c>
      <c r="R792" s="77">
        <v>0</v>
      </c>
      <c r="S792" s="77">
        <v>0</v>
      </c>
      <c r="T792" s="77">
        <v>0</v>
      </c>
      <c r="U792" s="77">
        <v>0</v>
      </c>
      <c r="V792" s="77">
        <v>6</v>
      </c>
      <c r="W792" s="82" t="s">
        <v>5335</v>
      </c>
      <c r="X792" s="80" t="str">
        <f>HYPERLINK("https://www.freeclassificados.com/ads/cuidador-de-idosos/")</f>
        <v>https://www.freeclassificados.com/ads/cuidador-de-idosos/</v>
      </c>
      <c r="Y792" s="77" t="s">
        <v>7308</v>
      </c>
      <c r="Z792" s="77"/>
      <c r="AA792" s="77"/>
      <c r="AB792" s="77"/>
      <c r="AC792" s="82" t="s">
        <v>10155</v>
      </c>
      <c r="AD792" s="77" t="s">
        <v>10187</v>
      </c>
      <c r="AE792" s="80" t="str">
        <f>HYPERLINK("https://twitter.com/freeclassific/status/1624493936076095488")</f>
        <v>https://twitter.com/freeclassific/status/1624493936076095488</v>
      </c>
      <c r="AF792" s="79">
        <v>44968.820717592593</v>
      </c>
      <c r="AG792" s="85">
        <v>44968</v>
      </c>
      <c r="AH792" s="82" t="s">
        <v>10944</v>
      </c>
      <c r="AI792" s="77" t="b">
        <v>0</v>
      </c>
      <c r="AJ792" s="77"/>
      <c r="AK792" s="77"/>
      <c r="AL792" s="77"/>
      <c r="AM792" s="77"/>
      <c r="AN792" s="77"/>
      <c r="AO792" s="77"/>
      <c r="AP792" s="77"/>
      <c r="AQ792" s="77"/>
      <c r="AR792" s="77"/>
      <c r="AS792" s="77"/>
      <c r="AT792" s="77"/>
      <c r="AU792" s="77"/>
      <c r="AV792" s="80" t="str">
        <f>HYPERLINK("https://pbs.twimg.com/profile_images/1431648743728852993/tLJ7F5Lu_normal.png")</f>
        <v>https://pbs.twimg.com/profile_images/1431648743728852993/tLJ7F5Lu_normal.png</v>
      </c>
      <c r="AW792" s="82" t="s">
        <v>17565</v>
      </c>
      <c r="AX792" s="82" t="s">
        <v>17565</v>
      </c>
      <c r="AY792" s="77"/>
      <c r="AZ792" s="82" t="s">
        <v>20971</v>
      </c>
      <c r="BA792" s="82" t="s">
        <v>20971</v>
      </c>
      <c r="BB792" s="82" t="s">
        <v>20971</v>
      </c>
      <c r="BC792" s="82" t="s">
        <v>17565</v>
      </c>
      <c r="BD792" s="77">
        <v>489723814</v>
      </c>
      <c r="BE792" s="77"/>
      <c r="BF792" s="77"/>
      <c r="BG792" s="77"/>
      <c r="BH792" s="77"/>
      <c r="BI792" s="77"/>
    </row>
    <row r="793" spans="1:61" x14ac:dyDescent="0.25">
      <c r="A793" s="62" t="s">
        <v>418</v>
      </c>
      <c r="B793" s="62" t="s">
        <v>418</v>
      </c>
      <c r="C793" s="63"/>
      <c r="D793" s="64"/>
      <c r="E793" s="65"/>
      <c r="F793" s="66"/>
      <c r="G793" s="63"/>
      <c r="H793" s="67"/>
      <c r="I793" s="68"/>
      <c r="J793" s="68"/>
      <c r="K793" s="32"/>
      <c r="L793" s="75">
        <v>793</v>
      </c>
      <c r="M793" s="75"/>
      <c r="N793" s="70"/>
      <c r="O793" s="77" t="s">
        <v>179</v>
      </c>
      <c r="P793" s="79">
        <v>44968.818761574075</v>
      </c>
      <c r="Q793" s="77" t="s">
        <v>2075</v>
      </c>
      <c r="R793" s="77">
        <v>0</v>
      </c>
      <c r="S793" s="77">
        <v>0</v>
      </c>
      <c r="T793" s="77">
        <v>0</v>
      </c>
      <c r="U793" s="77">
        <v>0</v>
      </c>
      <c r="V793" s="77">
        <v>6</v>
      </c>
      <c r="W793" s="82" t="s">
        <v>5335</v>
      </c>
      <c r="X793" s="80" t="str">
        <f>HYPERLINK("https://www.freeclassificados.com/ads/sabonetes-artesanais/")</f>
        <v>https://www.freeclassificados.com/ads/sabonetes-artesanais/</v>
      </c>
      <c r="Y793" s="77" t="s">
        <v>7308</v>
      </c>
      <c r="Z793" s="77"/>
      <c r="AA793" s="77"/>
      <c r="AB793" s="77"/>
      <c r="AC793" s="82" t="s">
        <v>10155</v>
      </c>
      <c r="AD793" s="77" t="s">
        <v>10187</v>
      </c>
      <c r="AE793" s="80" t="str">
        <f>HYPERLINK("https://twitter.com/freeclassific/status/1624493226534076416")</f>
        <v>https://twitter.com/freeclassific/status/1624493226534076416</v>
      </c>
      <c r="AF793" s="79">
        <v>44968.818761574075</v>
      </c>
      <c r="AG793" s="85">
        <v>44968</v>
      </c>
      <c r="AH793" s="82" t="s">
        <v>10945</v>
      </c>
      <c r="AI793" s="77" t="b">
        <v>0</v>
      </c>
      <c r="AJ793" s="77"/>
      <c r="AK793" s="77"/>
      <c r="AL793" s="77"/>
      <c r="AM793" s="77"/>
      <c r="AN793" s="77"/>
      <c r="AO793" s="77"/>
      <c r="AP793" s="77"/>
      <c r="AQ793" s="77"/>
      <c r="AR793" s="77"/>
      <c r="AS793" s="77"/>
      <c r="AT793" s="77"/>
      <c r="AU793" s="77"/>
      <c r="AV793" s="80" t="str">
        <f>HYPERLINK("https://pbs.twimg.com/profile_images/1431648743728852993/tLJ7F5Lu_normal.png")</f>
        <v>https://pbs.twimg.com/profile_images/1431648743728852993/tLJ7F5Lu_normal.png</v>
      </c>
      <c r="AW793" s="82" t="s">
        <v>17566</v>
      </c>
      <c r="AX793" s="82" t="s">
        <v>17566</v>
      </c>
      <c r="AY793" s="77"/>
      <c r="AZ793" s="82" t="s">
        <v>20971</v>
      </c>
      <c r="BA793" s="82" t="s">
        <v>20971</v>
      </c>
      <c r="BB793" s="82" t="s">
        <v>20971</v>
      </c>
      <c r="BC793" s="82" t="s">
        <v>17566</v>
      </c>
      <c r="BD793" s="77">
        <v>489723814</v>
      </c>
      <c r="BE793" s="77"/>
      <c r="BF793" s="77"/>
      <c r="BG793" s="77"/>
      <c r="BH793" s="77"/>
      <c r="BI793" s="77"/>
    </row>
    <row r="794" spans="1:61" x14ac:dyDescent="0.25">
      <c r="A794" s="62" t="s">
        <v>418</v>
      </c>
      <c r="B794" s="62" t="s">
        <v>418</v>
      </c>
      <c r="C794" s="63"/>
      <c r="D794" s="64"/>
      <c r="E794" s="65"/>
      <c r="F794" s="66"/>
      <c r="G794" s="63"/>
      <c r="H794" s="67"/>
      <c r="I794" s="68"/>
      <c r="J794" s="68"/>
      <c r="K794" s="32"/>
      <c r="L794" s="75">
        <v>794</v>
      </c>
      <c r="M794" s="75"/>
      <c r="N794" s="70"/>
      <c r="O794" s="77" t="s">
        <v>179</v>
      </c>
      <c r="P794" s="79">
        <v>44968.816666666666</v>
      </c>
      <c r="Q794" s="77" t="s">
        <v>2076</v>
      </c>
      <c r="R794" s="77">
        <v>0</v>
      </c>
      <c r="S794" s="77">
        <v>0</v>
      </c>
      <c r="T794" s="77">
        <v>0</v>
      </c>
      <c r="U794" s="77">
        <v>0</v>
      </c>
      <c r="V794" s="77">
        <v>11</v>
      </c>
      <c r="W794" s="82" t="s">
        <v>5335</v>
      </c>
      <c r="X794" s="80" t="str">
        <f>HYPERLINK("https://www.freeclassificados.com/ads/excel-do-basico-ao-profissional/")</f>
        <v>https://www.freeclassificados.com/ads/excel-do-basico-ao-profissional/</v>
      </c>
      <c r="Y794" s="77" t="s">
        <v>7308</v>
      </c>
      <c r="Z794" s="77"/>
      <c r="AA794" s="77"/>
      <c r="AB794" s="77"/>
      <c r="AC794" s="82" t="s">
        <v>10155</v>
      </c>
      <c r="AD794" s="77" t="s">
        <v>10184</v>
      </c>
      <c r="AE794" s="80" t="str">
        <f>HYPERLINK("https://twitter.com/freeclassific/status/1624492468283617282")</f>
        <v>https://twitter.com/freeclassific/status/1624492468283617282</v>
      </c>
      <c r="AF794" s="79">
        <v>44968.816666666666</v>
      </c>
      <c r="AG794" s="85">
        <v>44968</v>
      </c>
      <c r="AH794" s="82" t="s">
        <v>10946</v>
      </c>
      <c r="AI794" s="77" t="b">
        <v>0</v>
      </c>
      <c r="AJ794" s="77"/>
      <c r="AK794" s="77"/>
      <c r="AL794" s="77"/>
      <c r="AM794" s="77"/>
      <c r="AN794" s="77"/>
      <c r="AO794" s="77"/>
      <c r="AP794" s="77"/>
      <c r="AQ794" s="77"/>
      <c r="AR794" s="77"/>
      <c r="AS794" s="77"/>
      <c r="AT794" s="77"/>
      <c r="AU794" s="77"/>
      <c r="AV794" s="80" t="str">
        <f>HYPERLINK("https://pbs.twimg.com/profile_images/1431648743728852993/tLJ7F5Lu_normal.png")</f>
        <v>https://pbs.twimg.com/profile_images/1431648743728852993/tLJ7F5Lu_normal.png</v>
      </c>
      <c r="AW794" s="82" t="s">
        <v>17567</v>
      </c>
      <c r="AX794" s="82" t="s">
        <v>17567</v>
      </c>
      <c r="AY794" s="77"/>
      <c r="AZ794" s="82" t="s">
        <v>20971</v>
      </c>
      <c r="BA794" s="82" t="s">
        <v>20971</v>
      </c>
      <c r="BB794" s="82" t="s">
        <v>20971</v>
      </c>
      <c r="BC794" s="82" t="s">
        <v>17567</v>
      </c>
      <c r="BD794" s="77">
        <v>489723814</v>
      </c>
      <c r="BE794" s="77"/>
      <c r="BF794" s="77"/>
      <c r="BG794" s="77"/>
      <c r="BH794" s="77"/>
      <c r="BI794" s="77"/>
    </row>
    <row r="795" spans="1:61" x14ac:dyDescent="0.25">
      <c r="A795" s="62" t="s">
        <v>418</v>
      </c>
      <c r="B795" s="62" t="s">
        <v>418</v>
      </c>
      <c r="C795" s="63"/>
      <c r="D795" s="64"/>
      <c r="E795" s="65"/>
      <c r="F795" s="66"/>
      <c r="G795" s="63"/>
      <c r="H795" s="67"/>
      <c r="I795" s="68"/>
      <c r="J795" s="68"/>
      <c r="K795" s="32"/>
      <c r="L795" s="75">
        <v>795</v>
      </c>
      <c r="M795" s="75"/>
      <c r="N795" s="70"/>
      <c r="O795" s="77" t="s">
        <v>179</v>
      </c>
      <c r="P795" s="79">
        <v>44968.814456018517</v>
      </c>
      <c r="Q795" s="77" t="s">
        <v>2077</v>
      </c>
      <c r="R795" s="77">
        <v>0</v>
      </c>
      <c r="S795" s="77">
        <v>0</v>
      </c>
      <c r="T795" s="77">
        <v>0</v>
      </c>
      <c r="U795" s="77">
        <v>0</v>
      </c>
      <c r="V795" s="77">
        <v>9</v>
      </c>
      <c r="W795" s="82" t="s">
        <v>5335</v>
      </c>
      <c r="X795" s="80" t="str">
        <f>HYPERLINK("https://www.freeclassificados.com/ads/analista-de-qualidade-do-zero-ao-avancado/")</f>
        <v>https://www.freeclassificados.com/ads/analista-de-qualidade-do-zero-ao-avancado/</v>
      </c>
      <c r="Y795" s="77" t="s">
        <v>7308</v>
      </c>
      <c r="Z795" s="77"/>
      <c r="AA795" s="77"/>
      <c r="AB795" s="77"/>
      <c r="AC795" s="82" t="s">
        <v>10155</v>
      </c>
      <c r="AD795" s="77" t="s">
        <v>10184</v>
      </c>
      <c r="AE795" s="80" t="str">
        <f>HYPERLINK("https://twitter.com/freeclassific/status/1624491665648918528")</f>
        <v>https://twitter.com/freeclassific/status/1624491665648918528</v>
      </c>
      <c r="AF795" s="79">
        <v>44968.814456018517</v>
      </c>
      <c r="AG795" s="85">
        <v>44968</v>
      </c>
      <c r="AH795" s="82" t="s">
        <v>10947</v>
      </c>
      <c r="AI795" s="77" t="b">
        <v>0</v>
      </c>
      <c r="AJ795" s="77"/>
      <c r="AK795" s="77"/>
      <c r="AL795" s="77"/>
      <c r="AM795" s="77"/>
      <c r="AN795" s="77"/>
      <c r="AO795" s="77"/>
      <c r="AP795" s="77"/>
      <c r="AQ795" s="77"/>
      <c r="AR795" s="77"/>
      <c r="AS795" s="77"/>
      <c r="AT795" s="77"/>
      <c r="AU795" s="77"/>
      <c r="AV795" s="80" t="str">
        <f>HYPERLINK("https://pbs.twimg.com/profile_images/1431648743728852993/tLJ7F5Lu_normal.png")</f>
        <v>https://pbs.twimg.com/profile_images/1431648743728852993/tLJ7F5Lu_normal.png</v>
      </c>
      <c r="AW795" s="82" t="s">
        <v>17568</v>
      </c>
      <c r="AX795" s="82" t="s">
        <v>17568</v>
      </c>
      <c r="AY795" s="77"/>
      <c r="AZ795" s="82" t="s">
        <v>20971</v>
      </c>
      <c r="BA795" s="82" t="s">
        <v>20971</v>
      </c>
      <c r="BB795" s="82" t="s">
        <v>20971</v>
      </c>
      <c r="BC795" s="82" t="s">
        <v>17568</v>
      </c>
      <c r="BD795" s="77">
        <v>489723814</v>
      </c>
      <c r="BE795" s="77"/>
      <c r="BF795" s="77"/>
      <c r="BG795" s="77"/>
      <c r="BH795" s="77"/>
      <c r="BI795" s="77"/>
    </row>
    <row r="796" spans="1:61" x14ac:dyDescent="0.25">
      <c r="A796" s="62" t="s">
        <v>418</v>
      </c>
      <c r="B796" s="62" t="s">
        <v>418</v>
      </c>
      <c r="C796" s="63"/>
      <c r="D796" s="64"/>
      <c r="E796" s="65"/>
      <c r="F796" s="66"/>
      <c r="G796" s="63"/>
      <c r="H796" s="67"/>
      <c r="I796" s="68"/>
      <c r="J796" s="68"/>
      <c r="K796" s="32"/>
      <c r="L796" s="75">
        <v>796</v>
      </c>
      <c r="M796" s="75"/>
      <c r="N796" s="70"/>
      <c r="O796" s="77" t="s">
        <v>179</v>
      </c>
      <c r="P796" s="79">
        <v>44968.650682870371</v>
      </c>
      <c r="Q796" s="77" t="s">
        <v>2078</v>
      </c>
      <c r="R796" s="77">
        <v>0</v>
      </c>
      <c r="S796" s="77">
        <v>0</v>
      </c>
      <c r="T796" s="77">
        <v>0</v>
      </c>
      <c r="U796" s="77">
        <v>0</v>
      </c>
      <c r="V796" s="77">
        <v>7</v>
      </c>
      <c r="W796" s="82" t="s">
        <v>5335</v>
      </c>
      <c r="X796" s="80" t="str">
        <f>HYPERLINK("https://www.freeclassificados.com/ads/montagem-e-manutencao-de-ar-condicionado/")</f>
        <v>https://www.freeclassificados.com/ads/montagem-e-manutencao-de-ar-condicionado/</v>
      </c>
      <c r="Y796" s="77" t="s">
        <v>7308</v>
      </c>
      <c r="Z796" s="77"/>
      <c r="AA796" s="77"/>
      <c r="AB796" s="77"/>
      <c r="AC796" s="82" t="s">
        <v>10155</v>
      </c>
      <c r="AD796" s="77" t="s">
        <v>10184</v>
      </c>
      <c r="AE796" s="80" t="str">
        <f>HYPERLINK("https://twitter.com/freeclassific/status/1624432315748212744")</f>
        <v>https://twitter.com/freeclassific/status/1624432315748212744</v>
      </c>
      <c r="AF796" s="79">
        <v>44968.650682870371</v>
      </c>
      <c r="AG796" s="85">
        <v>44968</v>
      </c>
      <c r="AH796" s="82" t="s">
        <v>10948</v>
      </c>
      <c r="AI796" s="77" t="b">
        <v>0</v>
      </c>
      <c r="AJ796" s="77"/>
      <c r="AK796" s="77"/>
      <c r="AL796" s="77"/>
      <c r="AM796" s="77"/>
      <c r="AN796" s="77"/>
      <c r="AO796" s="77"/>
      <c r="AP796" s="77"/>
      <c r="AQ796" s="77"/>
      <c r="AR796" s="77"/>
      <c r="AS796" s="77"/>
      <c r="AT796" s="77"/>
      <c r="AU796" s="77"/>
      <c r="AV796" s="80" t="str">
        <f>HYPERLINK("https://pbs.twimg.com/profile_images/1431648743728852993/tLJ7F5Lu_normal.png")</f>
        <v>https://pbs.twimg.com/profile_images/1431648743728852993/tLJ7F5Lu_normal.png</v>
      </c>
      <c r="AW796" s="82" t="s">
        <v>17569</v>
      </c>
      <c r="AX796" s="82" t="s">
        <v>17569</v>
      </c>
      <c r="AY796" s="77"/>
      <c r="AZ796" s="82" t="s">
        <v>20971</v>
      </c>
      <c r="BA796" s="82" t="s">
        <v>20971</v>
      </c>
      <c r="BB796" s="82" t="s">
        <v>20971</v>
      </c>
      <c r="BC796" s="82" t="s">
        <v>17569</v>
      </c>
      <c r="BD796" s="77">
        <v>489723814</v>
      </c>
      <c r="BE796" s="77"/>
      <c r="BF796" s="77"/>
      <c r="BG796" s="77"/>
      <c r="BH796" s="77"/>
      <c r="BI796" s="77"/>
    </row>
    <row r="797" spans="1:61" x14ac:dyDescent="0.25">
      <c r="A797" s="62" t="s">
        <v>418</v>
      </c>
      <c r="B797" s="62" t="s">
        <v>418</v>
      </c>
      <c r="C797" s="63"/>
      <c r="D797" s="64"/>
      <c r="E797" s="65"/>
      <c r="F797" s="66"/>
      <c r="G797" s="63"/>
      <c r="H797" s="67"/>
      <c r="I797" s="68"/>
      <c r="J797" s="68"/>
      <c r="K797" s="32"/>
      <c r="L797" s="75">
        <v>797</v>
      </c>
      <c r="M797" s="75"/>
      <c r="N797" s="70"/>
      <c r="O797" s="77" t="s">
        <v>179</v>
      </c>
      <c r="P797" s="79">
        <v>44968.647314814814</v>
      </c>
      <c r="Q797" s="77" t="s">
        <v>2079</v>
      </c>
      <c r="R797" s="77">
        <v>0</v>
      </c>
      <c r="S797" s="77">
        <v>0</v>
      </c>
      <c r="T797" s="77">
        <v>0</v>
      </c>
      <c r="U797" s="77">
        <v>0</v>
      </c>
      <c r="V797" s="77">
        <v>11</v>
      </c>
      <c r="W797" s="82" t="s">
        <v>5335</v>
      </c>
      <c r="X797" s="80" t="str">
        <f>HYPERLINK("https://www.freeclassificados.com/ads/curso-manutencao-de-celular/")</f>
        <v>https://www.freeclassificados.com/ads/curso-manutencao-de-celular/</v>
      </c>
      <c r="Y797" s="77" t="s">
        <v>7308</v>
      </c>
      <c r="Z797" s="77"/>
      <c r="AA797" s="77"/>
      <c r="AB797" s="77"/>
      <c r="AC797" s="82" t="s">
        <v>10155</v>
      </c>
      <c r="AD797" s="77" t="s">
        <v>10184</v>
      </c>
      <c r="AE797" s="80" t="str">
        <f>HYPERLINK("https://twitter.com/freeclassific/status/1624431095423897601")</f>
        <v>https://twitter.com/freeclassific/status/1624431095423897601</v>
      </c>
      <c r="AF797" s="79">
        <v>44968.647314814814</v>
      </c>
      <c r="AG797" s="85">
        <v>44968</v>
      </c>
      <c r="AH797" s="82" t="s">
        <v>10949</v>
      </c>
      <c r="AI797" s="77" t="b">
        <v>0</v>
      </c>
      <c r="AJ797" s="77"/>
      <c r="AK797" s="77"/>
      <c r="AL797" s="77"/>
      <c r="AM797" s="77"/>
      <c r="AN797" s="77"/>
      <c r="AO797" s="77"/>
      <c r="AP797" s="77"/>
      <c r="AQ797" s="77"/>
      <c r="AR797" s="77"/>
      <c r="AS797" s="77"/>
      <c r="AT797" s="77"/>
      <c r="AU797" s="77"/>
      <c r="AV797" s="80" t="str">
        <f>HYPERLINK("https://pbs.twimg.com/profile_images/1431648743728852993/tLJ7F5Lu_normal.png")</f>
        <v>https://pbs.twimg.com/profile_images/1431648743728852993/tLJ7F5Lu_normal.png</v>
      </c>
      <c r="AW797" s="82" t="s">
        <v>17570</v>
      </c>
      <c r="AX797" s="82" t="s">
        <v>17570</v>
      </c>
      <c r="AY797" s="77"/>
      <c r="AZ797" s="82" t="s">
        <v>20971</v>
      </c>
      <c r="BA797" s="82" t="s">
        <v>20971</v>
      </c>
      <c r="BB797" s="82" t="s">
        <v>20971</v>
      </c>
      <c r="BC797" s="82" t="s">
        <v>17570</v>
      </c>
      <c r="BD797" s="77">
        <v>489723814</v>
      </c>
      <c r="BE797" s="77"/>
      <c r="BF797" s="77"/>
      <c r="BG797" s="77"/>
      <c r="BH797" s="77"/>
      <c r="BI797" s="77"/>
    </row>
    <row r="798" spans="1:61" x14ac:dyDescent="0.25">
      <c r="A798" s="62" t="s">
        <v>418</v>
      </c>
      <c r="B798" s="62" t="s">
        <v>418</v>
      </c>
      <c r="C798" s="63"/>
      <c r="D798" s="64"/>
      <c r="E798" s="65"/>
      <c r="F798" s="66"/>
      <c r="G798" s="63"/>
      <c r="H798" s="67"/>
      <c r="I798" s="68"/>
      <c r="J798" s="68"/>
      <c r="K798" s="32"/>
      <c r="L798" s="75">
        <v>798</v>
      </c>
      <c r="M798" s="75"/>
      <c r="N798" s="70"/>
      <c r="O798" s="77" t="s">
        <v>179</v>
      </c>
      <c r="P798" s="79">
        <v>45086.955092592594</v>
      </c>
      <c r="Q798" s="77" t="s">
        <v>2080</v>
      </c>
      <c r="R798" s="77">
        <v>0</v>
      </c>
      <c r="S798" s="77">
        <v>0</v>
      </c>
      <c r="T798" s="77">
        <v>0</v>
      </c>
      <c r="U798" s="77">
        <v>0</v>
      </c>
      <c r="V798" s="77">
        <v>14</v>
      </c>
      <c r="W798" s="82" t="s">
        <v>5560</v>
      </c>
      <c r="X798" s="80" t="str">
        <f>HYPERLINK("https://www.freeclassificados.com/ads/fazendinha-raposinha-dinossauro-personagens-para-festas-11948594445/")</f>
        <v>https://www.freeclassificados.com/ads/fazendinha-raposinha-dinossauro-personagens-para-festas-11948594445/</v>
      </c>
      <c r="Y798" s="77" t="s">
        <v>7308</v>
      </c>
      <c r="Z798" s="77"/>
      <c r="AA798" s="77"/>
      <c r="AB798" s="77"/>
      <c r="AC798" s="82" t="s">
        <v>10155</v>
      </c>
      <c r="AD798" s="77" t="s">
        <v>10184</v>
      </c>
      <c r="AE798" s="80" t="str">
        <f>HYPERLINK("https://twitter.com/freeclassific/status/1667304398828216321")</f>
        <v>https://twitter.com/freeclassific/status/1667304398828216321</v>
      </c>
      <c r="AF798" s="79">
        <v>45086.955092592594</v>
      </c>
      <c r="AG798" s="85">
        <v>45086</v>
      </c>
      <c r="AH798" s="82" t="s">
        <v>10950</v>
      </c>
      <c r="AI798" s="77" t="b">
        <v>0</v>
      </c>
      <c r="AJ798" s="77"/>
      <c r="AK798" s="77"/>
      <c r="AL798" s="77"/>
      <c r="AM798" s="77"/>
      <c r="AN798" s="77"/>
      <c r="AO798" s="77"/>
      <c r="AP798" s="77"/>
      <c r="AQ798" s="77"/>
      <c r="AR798" s="77"/>
      <c r="AS798" s="77"/>
      <c r="AT798" s="77"/>
      <c r="AU798" s="77"/>
      <c r="AV798" s="80" t="str">
        <f>HYPERLINK("https://pbs.twimg.com/profile_images/1431648743728852993/tLJ7F5Lu_normal.png")</f>
        <v>https://pbs.twimg.com/profile_images/1431648743728852993/tLJ7F5Lu_normal.png</v>
      </c>
      <c r="AW798" s="82" t="s">
        <v>17571</v>
      </c>
      <c r="AX798" s="82" t="s">
        <v>17571</v>
      </c>
      <c r="AY798" s="77"/>
      <c r="AZ798" s="82" t="s">
        <v>20971</v>
      </c>
      <c r="BA798" s="82" t="s">
        <v>20971</v>
      </c>
      <c r="BB798" s="82" t="s">
        <v>20971</v>
      </c>
      <c r="BC798" s="82" t="s">
        <v>17571</v>
      </c>
      <c r="BD798" s="77">
        <v>489723814</v>
      </c>
      <c r="BE798" s="77"/>
      <c r="BF798" s="77"/>
      <c r="BG798" s="77"/>
      <c r="BH798" s="77"/>
      <c r="BI798" s="77"/>
    </row>
    <row r="799" spans="1:61" x14ac:dyDescent="0.25">
      <c r="A799" s="62" t="s">
        <v>418</v>
      </c>
      <c r="B799" s="62" t="s">
        <v>418</v>
      </c>
      <c r="C799" s="63"/>
      <c r="D799" s="64"/>
      <c r="E799" s="65"/>
      <c r="F799" s="66"/>
      <c r="G799" s="63"/>
      <c r="H799" s="67"/>
      <c r="I799" s="68"/>
      <c r="J799" s="68"/>
      <c r="K799" s="32"/>
      <c r="L799" s="75">
        <v>799</v>
      </c>
      <c r="M799" s="75"/>
      <c r="N799" s="70"/>
      <c r="O799" s="77" t="s">
        <v>179</v>
      </c>
      <c r="P799" s="79">
        <v>45083.785671296297</v>
      </c>
      <c r="Q799" s="77" t="s">
        <v>2081</v>
      </c>
      <c r="R799" s="77">
        <v>0</v>
      </c>
      <c r="S799" s="77">
        <v>0</v>
      </c>
      <c r="T799" s="77">
        <v>0</v>
      </c>
      <c r="U799" s="77">
        <v>0</v>
      </c>
      <c r="V799" s="77">
        <v>14</v>
      </c>
      <c r="W799" s="82" t="s">
        <v>5560</v>
      </c>
      <c r="X799" s="80" t="str">
        <f>HYPERLINK("https://www.freeclassificados.com/ads/quiropraxia-freguesia-do-o-30-anos-de-experiencia/")</f>
        <v>https://www.freeclassificados.com/ads/quiropraxia-freguesia-do-o-30-anos-de-experiencia/</v>
      </c>
      <c r="Y799" s="77" t="s">
        <v>7308</v>
      </c>
      <c r="Z799" s="77"/>
      <c r="AA799" s="77"/>
      <c r="AB799" s="77"/>
      <c r="AC799" s="82" t="s">
        <v>10155</v>
      </c>
      <c r="AD799" s="77" t="s">
        <v>10188</v>
      </c>
      <c r="AE799" s="80" t="str">
        <f>HYPERLINK("https://twitter.com/freeclassific/status/1666155838963331072")</f>
        <v>https://twitter.com/freeclassific/status/1666155838963331072</v>
      </c>
      <c r="AF799" s="79">
        <v>45083.785671296297</v>
      </c>
      <c r="AG799" s="85">
        <v>45083</v>
      </c>
      <c r="AH799" s="82" t="s">
        <v>10951</v>
      </c>
      <c r="AI799" s="77" t="b">
        <v>0</v>
      </c>
      <c r="AJ799" s="77"/>
      <c r="AK799" s="77"/>
      <c r="AL799" s="77"/>
      <c r="AM799" s="77"/>
      <c r="AN799" s="77"/>
      <c r="AO799" s="77"/>
      <c r="AP799" s="77"/>
      <c r="AQ799" s="77"/>
      <c r="AR799" s="77"/>
      <c r="AS799" s="77"/>
      <c r="AT799" s="77"/>
      <c r="AU799" s="77"/>
      <c r="AV799" s="80" t="str">
        <f>HYPERLINK("https://pbs.twimg.com/profile_images/1431648743728852993/tLJ7F5Lu_normal.png")</f>
        <v>https://pbs.twimg.com/profile_images/1431648743728852993/tLJ7F5Lu_normal.png</v>
      </c>
      <c r="AW799" s="82" t="s">
        <v>17572</v>
      </c>
      <c r="AX799" s="82" t="s">
        <v>17572</v>
      </c>
      <c r="AY799" s="77"/>
      <c r="AZ799" s="82" t="s">
        <v>20971</v>
      </c>
      <c r="BA799" s="82" t="s">
        <v>20971</v>
      </c>
      <c r="BB799" s="82" t="s">
        <v>20971</v>
      </c>
      <c r="BC799" s="82" t="s">
        <v>17572</v>
      </c>
      <c r="BD799" s="77">
        <v>489723814</v>
      </c>
      <c r="BE799" s="77"/>
      <c r="BF799" s="77"/>
      <c r="BG799" s="77"/>
      <c r="BH799" s="77"/>
      <c r="BI799" s="77"/>
    </row>
    <row r="800" spans="1:61" x14ac:dyDescent="0.25">
      <c r="A800" s="62" t="s">
        <v>418</v>
      </c>
      <c r="B800" s="62" t="s">
        <v>418</v>
      </c>
      <c r="C800" s="63"/>
      <c r="D800" s="64"/>
      <c r="E800" s="65"/>
      <c r="F800" s="66"/>
      <c r="G800" s="63"/>
      <c r="H800" s="67"/>
      <c r="I800" s="68"/>
      <c r="J800" s="68"/>
      <c r="K800" s="32"/>
      <c r="L800" s="75">
        <v>800</v>
      </c>
      <c r="M800" s="75"/>
      <c r="N800" s="70"/>
      <c r="O800" s="77" t="s">
        <v>179</v>
      </c>
      <c r="P800" s="79">
        <v>45083.7187962963</v>
      </c>
      <c r="Q800" s="77" t="s">
        <v>2082</v>
      </c>
      <c r="R800" s="77">
        <v>0</v>
      </c>
      <c r="S800" s="77">
        <v>0</v>
      </c>
      <c r="T800" s="77">
        <v>0</v>
      </c>
      <c r="U800" s="77">
        <v>0</v>
      </c>
      <c r="V800" s="77">
        <v>10</v>
      </c>
      <c r="W800" s="82" t="s">
        <v>5560</v>
      </c>
      <c r="X800" s="80" t="str">
        <f>HYPERLINK("https://www.freeclassificados.com/ads/sereias-animacao-de-festas-e-eventos-11948594445/")</f>
        <v>https://www.freeclassificados.com/ads/sereias-animacao-de-festas-e-eventos-11948594445/</v>
      </c>
      <c r="Y800" s="77" t="s">
        <v>7308</v>
      </c>
      <c r="Z800" s="77"/>
      <c r="AA800" s="77"/>
      <c r="AB800" s="77"/>
      <c r="AC800" s="82" t="s">
        <v>10155</v>
      </c>
      <c r="AD800" s="77" t="s">
        <v>10184</v>
      </c>
      <c r="AE800" s="80" t="str">
        <f>HYPERLINK("https://twitter.com/freeclassific/status/1666131606942396416")</f>
        <v>https://twitter.com/freeclassific/status/1666131606942396416</v>
      </c>
      <c r="AF800" s="79">
        <v>45083.7187962963</v>
      </c>
      <c r="AG800" s="85">
        <v>45083</v>
      </c>
      <c r="AH800" s="82" t="s">
        <v>10952</v>
      </c>
      <c r="AI800" s="77" t="b">
        <v>0</v>
      </c>
      <c r="AJ800" s="77"/>
      <c r="AK800" s="77"/>
      <c r="AL800" s="77"/>
      <c r="AM800" s="77"/>
      <c r="AN800" s="77"/>
      <c r="AO800" s="77"/>
      <c r="AP800" s="77"/>
      <c r="AQ800" s="77"/>
      <c r="AR800" s="77"/>
      <c r="AS800" s="77"/>
      <c r="AT800" s="77"/>
      <c r="AU800" s="77"/>
      <c r="AV800" s="80" t="str">
        <f>HYPERLINK("https://pbs.twimg.com/profile_images/1431648743728852993/tLJ7F5Lu_normal.png")</f>
        <v>https://pbs.twimg.com/profile_images/1431648743728852993/tLJ7F5Lu_normal.png</v>
      </c>
      <c r="AW800" s="82" t="s">
        <v>17573</v>
      </c>
      <c r="AX800" s="82" t="s">
        <v>17573</v>
      </c>
      <c r="AY800" s="77"/>
      <c r="AZ800" s="82" t="s">
        <v>20971</v>
      </c>
      <c r="BA800" s="82" t="s">
        <v>20971</v>
      </c>
      <c r="BB800" s="82" t="s">
        <v>20971</v>
      </c>
      <c r="BC800" s="82" t="s">
        <v>17573</v>
      </c>
      <c r="BD800" s="77">
        <v>489723814</v>
      </c>
      <c r="BE800" s="77"/>
      <c r="BF800" s="77"/>
      <c r="BG800" s="77"/>
      <c r="BH800" s="77"/>
      <c r="BI800" s="77"/>
    </row>
    <row r="801" spans="1:61" x14ac:dyDescent="0.25">
      <c r="A801" s="62" t="s">
        <v>418</v>
      </c>
      <c r="B801" s="62" t="s">
        <v>418</v>
      </c>
      <c r="C801" s="63"/>
      <c r="D801" s="64"/>
      <c r="E801" s="65"/>
      <c r="F801" s="66"/>
      <c r="G801" s="63"/>
      <c r="H801" s="67"/>
      <c r="I801" s="68"/>
      <c r="J801" s="68"/>
      <c r="K801" s="32"/>
      <c r="L801" s="75">
        <v>801</v>
      </c>
      <c r="M801" s="75"/>
      <c r="N801" s="70"/>
      <c r="O801" s="77" t="s">
        <v>179</v>
      </c>
      <c r="P801" s="79">
        <v>45076.032731481479</v>
      </c>
      <c r="Q801" s="77" t="s">
        <v>2083</v>
      </c>
      <c r="R801" s="77">
        <v>0</v>
      </c>
      <c r="S801" s="77">
        <v>0</v>
      </c>
      <c r="T801" s="77">
        <v>0</v>
      </c>
      <c r="U801" s="77">
        <v>0</v>
      </c>
      <c r="V801" s="77">
        <v>7</v>
      </c>
      <c r="W801" s="82" t="s">
        <v>5560</v>
      </c>
      <c r="X801" s="80" t="str">
        <f>HYPERLINK("https://www.freeclassificados.com/ads/apostas-esportivas-o-novo-crack-digital/")</f>
        <v>https://www.freeclassificados.com/ads/apostas-esportivas-o-novo-crack-digital/</v>
      </c>
      <c r="Y801" s="77" t="s">
        <v>7308</v>
      </c>
      <c r="Z801" s="77"/>
      <c r="AA801" s="77"/>
      <c r="AB801" s="77"/>
      <c r="AC801" s="82" t="s">
        <v>10155</v>
      </c>
      <c r="AD801" s="77" t="s">
        <v>10184</v>
      </c>
      <c r="AE801" s="80" t="str">
        <f>HYPERLINK("https://twitter.com/freeclassific/status/1663346268675112962")</f>
        <v>https://twitter.com/freeclassific/status/1663346268675112962</v>
      </c>
      <c r="AF801" s="79">
        <v>45076.032731481479</v>
      </c>
      <c r="AG801" s="85">
        <v>45076</v>
      </c>
      <c r="AH801" s="82" t="s">
        <v>10953</v>
      </c>
      <c r="AI801" s="77" t="b">
        <v>0</v>
      </c>
      <c r="AJ801" s="77"/>
      <c r="AK801" s="77"/>
      <c r="AL801" s="77"/>
      <c r="AM801" s="77"/>
      <c r="AN801" s="77"/>
      <c r="AO801" s="77"/>
      <c r="AP801" s="77"/>
      <c r="AQ801" s="77"/>
      <c r="AR801" s="77"/>
      <c r="AS801" s="77"/>
      <c r="AT801" s="77"/>
      <c r="AU801" s="77"/>
      <c r="AV801" s="80" t="str">
        <f>HYPERLINK("https://pbs.twimg.com/profile_images/1431648743728852993/tLJ7F5Lu_normal.png")</f>
        <v>https://pbs.twimg.com/profile_images/1431648743728852993/tLJ7F5Lu_normal.png</v>
      </c>
      <c r="AW801" s="82" t="s">
        <v>17574</v>
      </c>
      <c r="AX801" s="82" t="s">
        <v>17574</v>
      </c>
      <c r="AY801" s="77"/>
      <c r="AZ801" s="82" t="s">
        <v>20971</v>
      </c>
      <c r="BA801" s="82" t="s">
        <v>20971</v>
      </c>
      <c r="BB801" s="82" t="s">
        <v>20971</v>
      </c>
      <c r="BC801" s="82" t="s">
        <v>17574</v>
      </c>
      <c r="BD801" s="77">
        <v>489723814</v>
      </c>
      <c r="BE801" s="77"/>
      <c r="BF801" s="77"/>
      <c r="BG801" s="77"/>
      <c r="BH801" s="77"/>
      <c r="BI801" s="77"/>
    </row>
    <row r="802" spans="1:61" x14ac:dyDescent="0.25">
      <c r="A802" s="62" t="s">
        <v>418</v>
      </c>
      <c r="B802" s="62" t="s">
        <v>418</v>
      </c>
      <c r="C802" s="63"/>
      <c r="D802" s="64"/>
      <c r="E802" s="65"/>
      <c r="F802" s="66"/>
      <c r="G802" s="63"/>
      <c r="H802" s="67"/>
      <c r="I802" s="68"/>
      <c r="J802" s="68"/>
      <c r="K802" s="32"/>
      <c r="L802" s="75">
        <v>802</v>
      </c>
      <c r="M802" s="75"/>
      <c r="N802" s="70"/>
      <c r="O802" s="77" t="s">
        <v>179</v>
      </c>
      <c r="P802" s="79">
        <v>45076.024976851855</v>
      </c>
      <c r="Q802" s="77" t="s">
        <v>2084</v>
      </c>
      <c r="R802" s="77">
        <v>0</v>
      </c>
      <c r="S802" s="77">
        <v>0</v>
      </c>
      <c r="T802" s="77">
        <v>0</v>
      </c>
      <c r="U802" s="77">
        <v>0</v>
      </c>
      <c r="V802" s="77">
        <v>8</v>
      </c>
      <c r="W802" s="82" t="s">
        <v>5560</v>
      </c>
      <c r="X802" s="80" t="str">
        <f>HYPERLINK("https://www.freeclassificados.com/ads/quando-o-homem-esta-absolutamente-satisfeito-na-cama/")</f>
        <v>https://www.freeclassificados.com/ads/quando-o-homem-esta-absolutamente-satisfeito-na-cama/</v>
      </c>
      <c r="Y802" s="77" t="s">
        <v>7308</v>
      </c>
      <c r="Z802" s="77"/>
      <c r="AA802" s="77"/>
      <c r="AB802" s="77"/>
      <c r="AC802" s="82" t="s">
        <v>10155</v>
      </c>
      <c r="AD802" s="77" t="s">
        <v>10184</v>
      </c>
      <c r="AE802" s="80" t="str">
        <f>HYPERLINK("https://twitter.com/freeclassific/status/1663343459183517697")</f>
        <v>https://twitter.com/freeclassific/status/1663343459183517697</v>
      </c>
      <c r="AF802" s="79">
        <v>45076.024976851855</v>
      </c>
      <c r="AG802" s="85">
        <v>45076</v>
      </c>
      <c r="AH802" s="82" t="s">
        <v>10954</v>
      </c>
      <c r="AI802" s="77" t="b">
        <v>0</v>
      </c>
      <c r="AJ802" s="77"/>
      <c r="AK802" s="77"/>
      <c r="AL802" s="77"/>
      <c r="AM802" s="77"/>
      <c r="AN802" s="77"/>
      <c r="AO802" s="77"/>
      <c r="AP802" s="77"/>
      <c r="AQ802" s="77"/>
      <c r="AR802" s="77"/>
      <c r="AS802" s="77"/>
      <c r="AT802" s="77"/>
      <c r="AU802" s="77"/>
      <c r="AV802" s="80" t="str">
        <f>HYPERLINK("https://pbs.twimg.com/profile_images/1431648743728852993/tLJ7F5Lu_normal.png")</f>
        <v>https://pbs.twimg.com/profile_images/1431648743728852993/tLJ7F5Lu_normal.png</v>
      </c>
      <c r="AW802" s="82" t="s">
        <v>17575</v>
      </c>
      <c r="AX802" s="82" t="s">
        <v>17575</v>
      </c>
      <c r="AY802" s="77"/>
      <c r="AZ802" s="82" t="s">
        <v>20971</v>
      </c>
      <c r="BA802" s="82" t="s">
        <v>20971</v>
      </c>
      <c r="BB802" s="82" t="s">
        <v>20971</v>
      </c>
      <c r="BC802" s="82" t="s">
        <v>17575</v>
      </c>
      <c r="BD802" s="77">
        <v>489723814</v>
      </c>
      <c r="BE802" s="77"/>
      <c r="BF802" s="77"/>
      <c r="BG802" s="77"/>
      <c r="BH802" s="77"/>
      <c r="BI802" s="77"/>
    </row>
    <row r="803" spans="1:61" x14ac:dyDescent="0.25">
      <c r="A803" s="62" t="s">
        <v>418</v>
      </c>
      <c r="B803" s="62" t="s">
        <v>418</v>
      </c>
      <c r="C803" s="63"/>
      <c r="D803" s="64"/>
      <c r="E803" s="65"/>
      <c r="F803" s="66"/>
      <c r="G803" s="63"/>
      <c r="H803" s="67"/>
      <c r="I803" s="68"/>
      <c r="J803" s="68"/>
      <c r="K803" s="32"/>
      <c r="L803" s="75">
        <v>803</v>
      </c>
      <c r="M803" s="75"/>
      <c r="N803" s="70"/>
      <c r="O803" s="77" t="s">
        <v>179</v>
      </c>
      <c r="P803" s="79">
        <v>45075.956747685188</v>
      </c>
      <c r="Q803" s="77" t="s">
        <v>2085</v>
      </c>
      <c r="R803" s="77">
        <v>0</v>
      </c>
      <c r="S803" s="77">
        <v>0</v>
      </c>
      <c r="T803" s="77">
        <v>0</v>
      </c>
      <c r="U803" s="77">
        <v>0</v>
      </c>
      <c r="V803" s="77">
        <v>9</v>
      </c>
      <c r="W803" s="82" t="s">
        <v>5560</v>
      </c>
      <c r="X803" s="80" t="str">
        <f>HYPERLINK("https://www.freeclassificados.com/ads/cabelo-fashion-colorido-sprays-glitters-penteados/")</f>
        <v>https://www.freeclassificados.com/ads/cabelo-fashion-colorido-sprays-glitters-penteados/</v>
      </c>
      <c r="Y803" s="77" t="s">
        <v>7308</v>
      </c>
      <c r="Z803" s="77"/>
      <c r="AA803" s="77"/>
      <c r="AB803" s="77"/>
      <c r="AC803" s="82" t="s">
        <v>10155</v>
      </c>
      <c r="AD803" s="77" t="s">
        <v>10184</v>
      </c>
      <c r="AE803" s="80" t="str">
        <f>HYPERLINK("https://twitter.com/freeclassific/status/1663318731249037312")</f>
        <v>https://twitter.com/freeclassific/status/1663318731249037312</v>
      </c>
      <c r="AF803" s="79">
        <v>45075.956747685188</v>
      </c>
      <c r="AG803" s="85">
        <v>45075</v>
      </c>
      <c r="AH803" s="82" t="s">
        <v>10955</v>
      </c>
      <c r="AI803" s="77" t="b">
        <v>0</v>
      </c>
      <c r="AJ803" s="77"/>
      <c r="AK803" s="77"/>
      <c r="AL803" s="77"/>
      <c r="AM803" s="77"/>
      <c r="AN803" s="77"/>
      <c r="AO803" s="77"/>
      <c r="AP803" s="77"/>
      <c r="AQ803" s="77"/>
      <c r="AR803" s="77"/>
      <c r="AS803" s="77"/>
      <c r="AT803" s="77"/>
      <c r="AU803" s="77"/>
      <c r="AV803" s="80" t="str">
        <f>HYPERLINK("https://pbs.twimg.com/profile_images/1431648743728852993/tLJ7F5Lu_normal.png")</f>
        <v>https://pbs.twimg.com/profile_images/1431648743728852993/tLJ7F5Lu_normal.png</v>
      </c>
      <c r="AW803" s="82" t="s">
        <v>17576</v>
      </c>
      <c r="AX803" s="82" t="s">
        <v>17576</v>
      </c>
      <c r="AY803" s="77"/>
      <c r="AZ803" s="82" t="s">
        <v>20971</v>
      </c>
      <c r="BA803" s="82" t="s">
        <v>20971</v>
      </c>
      <c r="BB803" s="82" t="s">
        <v>20971</v>
      </c>
      <c r="BC803" s="82" t="s">
        <v>17576</v>
      </c>
      <c r="BD803" s="77">
        <v>489723814</v>
      </c>
      <c r="BE803" s="77"/>
      <c r="BF803" s="77"/>
      <c r="BG803" s="77"/>
      <c r="BH803" s="77"/>
      <c r="BI803" s="77"/>
    </row>
    <row r="804" spans="1:61" x14ac:dyDescent="0.25">
      <c r="A804" s="62" t="s">
        <v>418</v>
      </c>
      <c r="B804" s="62" t="s">
        <v>418</v>
      </c>
      <c r="C804" s="63"/>
      <c r="D804" s="64"/>
      <c r="E804" s="65"/>
      <c r="F804" s="66"/>
      <c r="G804" s="63"/>
      <c r="H804" s="67"/>
      <c r="I804" s="68"/>
      <c r="J804" s="68"/>
      <c r="K804" s="32"/>
      <c r="L804" s="75">
        <v>804</v>
      </c>
      <c r="M804" s="75"/>
      <c r="N804" s="70"/>
      <c r="O804" s="77" t="s">
        <v>179</v>
      </c>
      <c r="P804" s="79">
        <v>45075.89203703704</v>
      </c>
      <c r="Q804" s="77" t="s">
        <v>2086</v>
      </c>
      <c r="R804" s="77">
        <v>0</v>
      </c>
      <c r="S804" s="77">
        <v>0</v>
      </c>
      <c r="T804" s="77">
        <v>0</v>
      </c>
      <c r="U804" s="77">
        <v>0</v>
      </c>
      <c r="V804" s="77">
        <v>9</v>
      </c>
      <c r="W804" s="82" t="s">
        <v>5560</v>
      </c>
      <c r="X804" s="80" t="str">
        <f>HYPERLINK("https://www.freeclassificados.com/ads/pequena-sereia-11948594445-princesa-ariel-animacao-de-festas/")</f>
        <v>https://www.freeclassificados.com/ads/pequena-sereia-11948594445-princesa-ariel-animacao-de-festas/</v>
      </c>
      <c r="Y804" s="77" t="s">
        <v>7308</v>
      </c>
      <c r="Z804" s="77"/>
      <c r="AA804" s="77"/>
      <c r="AB804" s="77"/>
      <c r="AC804" s="82" t="s">
        <v>10155</v>
      </c>
      <c r="AD804" s="77" t="s">
        <v>10184</v>
      </c>
      <c r="AE804" s="80" t="str">
        <f>HYPERLINK("https://twitter.com/freeclassific/status/1663295283332255744")</f>
        <v>https://twitter.com/freeclassific/status/1663295283332255744</v>
      </c>
      <c r="AF804" s="79">
        <v>45075.89203703704</v>
      </c>
      <c r="AG804" s="85">
        <v>45075</v>
      </c>
      <c r="AH804" s="82" t="s">
        <v>10956</v>
      </c>
      <c r="AI804" s="77" t="b">
        <v>0</v>
      </c>
      <c r="AJ804" s="77"/>
      <c r="AK804" s="77"/>
      <c r="AL804" s="77"/>
      <c r="AM804" s="77"/>
      <c r="AN804" s="77"/>
      <c r="AO804" s="77"/>
      <c r="AP804" s="77"/>
      <c r="AQ804" s="77"/>
      <c r="AR804" s="77"/>
      <c r="AS804" s="77"/>
      <c r="AT804" s="77"/>
      <c r="AU804" s="77"/>
      <c r="AV804" s="80" t="str">
        <f>HYPERLINK("https://pbs.twimg.com/profile_images/1431648743728852993/tLJ7F5Lu_normal.png")</f>
        <v>https://pbs.twimg.com/profile_images/1431648743728852993/tLJ7F5Lu_normal.png</v>
      </c>
      <c r="AW804" s="82" t="s">
        <v>17577</v>
      </c>
      <c r="AX804" s="82" t="s">
        <v>17577</v>
      </c>
      <c r="AY804" s="77"/>
      <c r="AZ804" s="82" t="s">
        <v>20971</v>
      </c>
      <c r="BA804" s="82" t="s">
        <v>20971</v>
      </c>
      <c r="BB804" s="82" t="s">
        <v>20971</v>
      </c>
      <c r="BC804" s="82" t="s">
        <v>17577</v>
      </c>
      <c r="BD804" s="77">
        <v>489723814</v>
      </c>
      <c r="BE804" s="77"/>
      <c r="BF804" s="77"/>
      <c r="BG804" s="77"/>
      <c r="BH804" s="77"/>
      <c r="BI804" s="77"/>
    </row>
    <row r="805" spans="1:61" x14ac:dyDescent="0.25">
      <c r="A805" s="62" t="s">
        <v>418</v>
      </c>
      <c r="B805" s="62" t="s">
        <v>418</v>
      </c>
      <c r="C805" s="63"/>
      <c r="D805" s="64"/>
      <c r="E805" s="65"/>
      <c r="F805" s="66"/>
      <c r="G805" s="63"/>
      <c r="H805" s="67"/>
      <c r="I805" s="68"/>
      <c r="J805" s="68"/>
      <c r="K805" s="32"/>
      <c r="L805" s="75">
        <v>805</v>
      </c>
      <c r="M805" s="75"/>
      <c r="N805" s="70"/>
      <c r="O805" s="77" t="s">
        <v>179</v>
      </c>
      <c r="P805" s="79">
        <v>45075.806828703702</v>
      </c>
      <c r="Q805" s="77" t="s">
        <v>2087</v>
      </c>
      <c r="R805" s="77">
        <v>0</v>
      </c>
      <c r="S805" s="77">
        <v>0</v>
      </c>
      <c r="T805" s="77">
        <v>0</v>
      </c>
      <c r="U805" s="77">
        <v>0</v>
      </c>
      <c r="V805" s="77">
        <v>13</v>
      </c>
      <c r="W805" s="82" t="s">
        <v>5560</v>
      </c>
      <c r="X805" s="80" t="str">
        <f>HYPERLINK("https://www.freeclassificados.com/ads/classificados-gratis-para-afiliados-anuncie-gratuitamente-sua-empresa/")</f>
        <v>https://www.freeclassificados.com/ads/classificados-gratis-para-afiliados-anuncie-gratuitamente-sua-empresa/</v>
      </c>
      <c r="Y805" s="77" t="s">
        <v>7308</v>
      </c>
      <c r="Z805" s="77"/>
      <c r="AA805" s="77"/>
      <c r="AB805" s="77"/>
      <c r="AC805" s="82" t="s">
        <v>10155</v>
      </c>
      <c r="AD805" s="77" t="s">
        <v>10184</v>
      </c>
      <c r="AE805" s="80" t="str">
        <f>HYPERLINK("https://twitter.com/freeclassific/status/1663264402831978496")</f>
        <v>https://twitter.com/freeclassific/status/1663264402831978496</v>
      </c>
      <c r="AF805" s="79">
        <v>45075.806828703702</v>
      </c>
      <c r="AG805" s="85">
        <v>45075</v>
      </c>
      <c r="AH805" s="82" t="s">
        <v>10957</v>
      </c>
      <c r="AI805" s="77" t="b">
        <v>0</v>
      </c>
      <c r="AJ805" s="77"/>
      <c r="AK805" s="77"/>
      <c r="AL805" s="77"/>
      <c r="AM805" s="77"/>
      <c r="AN805" s="77"/>
      <c r="AO805" s="77"/>
      <c r="AP805" s="77"/>
      <c r="AQ805" s="77"/>
      <c r="AR805" s="77"/>
      <c r="AS805" s="77"/>
      <c r="AT805" s="77"/>
      <c r="AU805" s="77"/>
      <c r="AV805" s="80" t="str">
        <f>HYPERLINK("https://pbs.twimg.com/profile_images/1431648743728852993/tLJ7F5Lu_normal.png")</f>
        <v>https://pbs.twimg.com/profile_images/1431648743728852993/tLJ7F5Lu_normal.png</v>
      </c>
      <c r="AW805" s="82" t="s">
        <v>17578</v>
      </c>
      <c r="AX805" s="82" t="s">
        <v>17578</v>
      </c>
      <c r="AY805" s="77"/>
      <c r="AZ805" s="82" t="s">
        <v>20971</v>
      </c>
      <c r="BA805" s="82" t="s">
        <v>20971</v>
      </c>
      <c r="BB805" s="82" t="s">
        <v>20971</v>
      </c>
      <c r="BC805" s="82" t="s">
        <v>17578</v>
      </c>
      <c r="BD805" s="77">
        <v>489723814</v>
      </c>
      <c r="BE805" s="77"/>
      <c r="BF805" s="77"/>
      <c r="BG805" s="77"/>
      <c r="BH805" s="77"/>
      <c r="BI805" s="77"/>
    </row>
    <row r="806" spans="1:61" x14ac:dyDescent="0.25">
      <c r="A806" s="62" t="s">
        <v>418</v>
      </c>
      <c r="B806" s="62" t="s">
        <v>418</v>
      </c>
      <c r="C806" s="63"/>
      <c r="D806" s="64"/>
      <c r="E806" s="65"/>
      <c r="F806" s="66"/>
      <c r="G806" s="63"/>
      <c r="H806" s="67"/>
      <c r="I806" s="68"/>
      <c r="J806" s="68"/>
      <c r="K806" s="32"/>
      <c r="L806" s="75">
        <v>806</v>
      </c>
      <c r="M806" s="75"/>
      <c r="N806" s="70"/>
      <c r="O806" s="77" t="s">
        <v>179</v>
      </c>
      <c r="P806" s="79">
        <v>45075.805787037039</v>
      </c>
      <c r="Q806" s="77" t="s">
        <v>2088</v>
      </c>
      <c r="R806" s="77">
        <v>0</v>
      </c>
      <c r="S806" s="77">
        <v>0</v>
      </c>
      <c r="T806" s="77">
        <v>0</v>
      </c>
      <c r="U806" s="77">
        <v>0</v>
      </c>
      <c r="V806" s="77">
        <v>10</v>
      </c>
      <c r="W806" s="82" t="s">
        <v>5560</v>
      </c>
      <c r="X806" s="80" t="str">
        <f>HYPERLINK("https://www.freeclassificados.com/ads/tenha-um-piso-phanda-em-sua-casa/")</f>
        <v>https://www.freeclassificados.com/ads/tenha-um-piso-phanda-em-sua-casa/</v>
      </c>
      <c r="Y806" s="77" t="s">
        <v>7308</v>
      </c>
      <c r="Z806" s="77"/>
      <c r="AA806" s="77"/>
      <c r="AB806" s="77"/>
      <c r="AC806" s="82" t="s">
        <v>10155</v>
      </c>
      <c r="AD806" s="77" t="s">
        <v>10184</v>
      </c>
      <c r="AE806" s="80" t="str">
        <f>HYPERLINK("https://twitter.com/freeclassific/status/1663264025797599237")</f>
        <v>https://twitter.com/freeclassific/status/1663264025797599237</v>
      </c>
      <c r="AF806" s="79">
        <v>45075.805787037039</v>
      </c>
      <c r="AG806" s="85">
        <v>45075</v>
      </c>
      <c r="AH806" s="82" t="s">
        <v>10958</v>
      </c>
      <c r="AI806" s="77" t="b">
        <v>0</v>
      </c>
      <c r="AJ806" s="77"/>
      <c r="AK806" s="77"/>
      <c r="AL806" s="77"/>
      <c r="AM806" s="77"/>
      <c r="AN806" s="77"/>
      <c r="AO806" s="77"/>
      <c r="AP806" s="77"/>
      <c r="AQ806" s="77"/>
      <c r="AR806" s="77"/>
      <c r="AS806" s="77"/>
      <c r="AT806" s="77"/>
      <c r="AU806" s="77"/>
      <c r="AV806" s="80" t="str">
        <f>HYPERLINK("https://pbs.twimg.com/profile_images/1431648743728852993/tLJ7F5Lu_normal.png")</f>
        <v>https://pbs.twimg.com/profile_images/1431648743728852993/tLJ7F5Lu_normal.png</v>
      </c>
      <c r="AW806" s="82" t="s">
        <v>17579</v>
      </c>
      <c r="AX806" s="82" t="s">
        <v>17579</v>
      </c>
      <c r="AY806" s="77"/>
      <c r="AZ806" s="82" t="s">
        <v>20971</v>
      </c>
      <c r="BA806" s="82" t="s">
        <v>20971</v>
      </c>
      <c r="BB806" s="82" t="s">
        <v>20971</v>
      </c>
      <c r="BC806" s="82" t="s">
        <v>17579</v>
      </c>
      <c r="BD806" s="77">
        <v>489723814</v>
      </c>
      <c r="BE806" s="77"/>
      <c r="BF806" s="77"/>
      <c r="BG806" s="77"/>
      <c r="BH806" s="77"/>
      <c r="BI806" s="77"/>
    </row>
    <row r="807" spans="1:61" x14ac:dyDescent="0.25">
      <c r="A807" s="62" t="s">
        <v>418</v>
      </c>
      <c r="B807" s="62" t="s">
        <v>418</v>
      </c>
      <c r="C807" s="63"/>
      <c r="D807" s="64"/>
      <c r="E807" s="65"/>
      <c r="F807" s="66"/>
      <c r="G807" s="63"/>
      <c r="H807" s="67"/>
      <c r="I807" s="68"/>
      <c r="J807" s="68"/>
      <c r="K807" s="32"/>
      <c r="L807" s="75">
        <v>807</v>
      </c>
      <c r="M807" s="75"/>
      <c r="N807" s="70"/>
      <c r="O807" s="77" t="s">
        <v>179</v>
      </c>
      <c r="P807" s="79">
        <v>45075.805034722223</v>
      </c>
      <c r="Q807" s="77" t="s">
        <v>2089</v>
      </c>
      <c r="R807" s="77">
        <v>0</v>
      </c>
      <c r="S807" s="77">
        <v>0</v>
      </c>
      <c r="T807" s="77">
        <v>0</v>
      </c>
      <c r="U807" s="77">
        <v>0</v>
      </c>
      <c r="V807" s="77">
        <v>10</v>
      </c>
      <c r="W807" s="82" t="s">
        <v>5560</v>
      </c>
      <c r="X807" s="80" t="str">
        <f>HYPERLINK("https://www.freeclassificados.com/ads/elas-sao-laqueadas-e-servem-como-objeto-decorativo/")</f>
        <v>https://www.freeclassificados.com/ads/elas-sao-laqueadas-e-servem-como-objeto-decorativo/</v>
      </c>
      <c r="Y807" s="77" t="s">
        <v>7308</v>
      </c>
      <c r="Z807" s="77"/>
      <c r="AA807" s="77"/>
      <c r="AB807" s="77"/>
      <c r="AC807" s="82" t="s">
        <v>10155</v>
      </c>
      <c r="AD807" s="77" t="s">
        <v>10184</v>
      </c>
      <c r="AE807" s="80" t="str">
        <f>HYPERLINK("https://twitter.com/freeclassific/status/1663263752840699906")</f>
        <v>https://twitter.com/freeclassific/status/1663263752840699906</v>
      </c>
      <c r="AF807" s="79">
        <v>45075.805034722223</v>
      </c>
      <c r="AG807" s="85">
        <v>45075</v>
      </c>
      <c r="AH807" s="82" t="s">
        <v>10959</v>
      </c>
      <c r="AI807" s="77" t="b">
        <v>0</v>
      </c>
      <c r="AJ807" s="77"/>
      <c r="AK807" s="77"/>
      <c r="AL807" s="77"/>
      <c r="AM807" s="77"/>
      <c r="AN807" s="77"/>
      <c r="AO807" s="77"/>
      <c r="AP807" s="77"/>
      <c r="AQ807" s="77"/>
      <c r="AR807" s="77"/>
      <c r="AS807" s="77"/>
      <c r="AT807" s="77"/>
      <c r="AU807" s="77"/>
      <c r="AV807" s="80" t="str">
        <f>HYPERLINK("https://pbs.twimg.com/profile_images/1431648743728852993/tLJ7F5Lu_normal.png")</f>
        <v>https://pbs.twimg.com/profile_images/1431648743728852993/tLJ7F5Lu_normal.png</v>
      </c>
      <c r="AW807" s="82" t="s">
        <v>17580</v>
      </c>
      <c r="AX807" s="82" t="s">
        <v>17580</v>
      </c>
      <c r="AY807" s="77"/>
      <c r="AZ807" s="82" t="s">
        <v>20971</v>
      </c>
      <c r="BA807" s="82" t="s">
        <v>20971</v>
      </c>
      <c r="BB807" s="82" t="s">
        <v>20971</v>
      </c>
      <c r="BC807" s="82" t="s">
        <v>17580</v>
      </c>
      <c r="BD807" s="77">
        <v>489723814</v>
      </c>
      <c r="BE807" s="77"/>
      <c r="BF807" s="77"/>
      <c r="BG807" s="77"/>
      <c r="BH807" s="77"/>
      <c r="BI807" s="77"/>
    </row>
    <row r="808" spans="1:61" x14ac:dyDescent="0.25">
      <c r="A808" s="62" t="s">
        <v>418</v>
      </c>
      <c r="B808" s="62" t="s">
        <v>418</v>
      </c>
      <c r="C808" s="63"/>
      <c r="D808" s="64"/>
      <c r="E808" s="65"/>
      <c r="F808" s="66"/>
      <c r="G808" s="63"/>
      <c r="H808" s="67"/>
      <c r="I808" s="68"/>
      <c r="J808" s="68"/>
      <c r="K808" s="32"/>
      <c r="L808" s="75">
        <v>808</v>
      </c>
      <c r="M808" s="75"/>
      <c r="N808" s="70"/>
      <c r="O808" s="77" t="s">
        <v>179</v>
      </c>
      <c r="P808" s="79">
        <v>45065.653587962966</v>
      </c>
      <c r="Q808" s="77" t="s">
        <v>2090</v>
      </c>
      <c r="R808" s="77">
        <v>0</v>
      </c>
      <c r="S808" s="77">
        <v>0</v>
      </c>
      <c r="T808" s="77">
        <v>0</v>
      </c>
      <c r="U808" s="77">
        <v>0</v>
      </c>
      <c r="V808" s="77">
        <v>18</v>
      </c>
      <c r="W808" s="82" t="s">
        <v>5560</v>
      </c>
      <c r="X808" s="80" t="str">
        <f>HYPERLINK("https://www.freeclassificados.com/ads/kit-com-3-quadros-personalizados-tamanho-a4-a3/")</f>
        <v>https://www.freeclassificados.com/ads/kit-com-3-quadros-personalizados-tamanho-a4-a3/</v>
      </c>
      <c r="Y808" s="77" t="s">
        <v>7308</v>
      </c>
      <c r="Z808" s="77"/>
      <c r="AA808" s="77"/>
      <c r="AB808" s="77"/>
      <c r="AC808" s="82" t="s">
        <v>10155</v>
      </c>
      <c r="AD808" s="77" t="s">
        <v>10184</v>
      </c>
      <c r="AE808" s="80" t="str">
        <f>HYPERLINK("https://twitter.com/freeclassific/status/1659584990987059203")</f>
        <v>https://twitter.com/freeclassific/status/1659584990987059203</v>
      </c>
      <c r="AF808" s="79">
        <v>45065.653587962966</v>
      </c>
      <c r="AG808" s="85">
        <v>45065</v>
      </c>
      <c r="AH808" s="82" t="s">
        <v>10960</v>
      </c>
      <c r="AI808" s="77" t="b">
        <v>0</v>
      </c>
      <c r="AJ808" s="77"/>
      <c r="AK808" s="77"/>
      <c r="AL808" s="77"/>
      <c r="AM808" s="77"/>
      <c r="AN808" s="77"/>
      <c r="AO808" s="77"/>
      <c r="AP808" s="77"/>
      <c r="AQ808" s="77"/>
      <c r="AR808" s="77"/>
      <c r="AS808" s="77"/>
      <c r="AT808" s="77"/>
      <c r="AU808" s="77"/>
      <c r="AV808" s="80" t="str">
        <f>HYPERLINK("https://pbs.twimg.com/profile_images/1431648743728852993/tLJ7F5Lu_normal.png")</f>
        <v>https://pbs.twimg.com/profile_images/1431648743728852993/tLJ7F5Lu_normal.png</v>
      </c>
      <c r="AW808" s="82" t="s">
        <v>17581</v>
      </c>
      <c r="AX808" s="82" t="s">
        <v>17581</v>
      </c>
      <c r="AY808" s="77"/>
      <c r="AZ808" s="82" t="s">
        <v>20971</v>
      </c>
      <c r="BA808" s="82" t="s">
        <v>20971</v>
      </c>
      <c r="BB808" s="82" t="s">
        <v>20971</v>
      </c>
      <c r="BC808" s="82" t="s">
        <v>17581</v>
      </c>
      <c r="BD808" s="77">
        <v>489723814</v>
      </c>
      <c r="BE808" s="77"/>
      <c r="BF808" s="77"/>
      <c r="BG808" s="77"/>
      <c r="BH808" s="77"/>
      <c r="BI808" s="77"/>
    </row>
    <row r="809" spans="1:61" x14ac:dyDescent="0.25">
      <c r="A809" s="62" t="s">
        <v>418</v>
      </c>
      <c r="B809" s="62" t="s">
        <v>418</v>
      </c>
      <c r="C809" s="63"/>
      <c r="D809" s="64"/>
      <c r="E809" s="65"/>
      <c r="F809" s="66"/>
      <c r="G809" s="63"/>
      <c r="H809" s="67"/>
      <c r="I809" s="68"/>
      <c r="J809" s="68"/>
      <c r="K809" s="32"/>
      <c r="L809" s="75">
        <v>809</v>
      </c>
      <c r="M809" s="75"/>
      <c r="N809" s="70"/>
      <c r="O809" s="77" t="s">
        <v>179</v>
      </c>
      <c r="P809" s="79">
        <v>45065.598055555558</v>
      </c>
      <c r="Q809" s="77" t="s">
        <v>2003</v>
      </c>
      <c r="R809" s="77">
        <v>0</v>
      </c>
      <c r="S809" s="77">
        <v>0</v>
      </c>
      <c r="T809" s="77">
        <v>0</v>
      </c>
      <c r="U809" s="77">
        <v>0</v>
      </c>
      <c r="V809" s="77">
        <v>21</v>
      </c>
      <c r="W809" s="82" t="s">
        <v>5560</v>
      </c>
      <c r="X809" s="80" t="str">
        <f>HYPERLINK("https://www.freeclassificados.com/ads/palco-coberta-som-luz-alugo-palco-aluguel-tablado-de-vidro-palco-madeira-9-86-25-98-82/")</f>
        <v>https://www.freeclassificados.com/ads/palco-coberta-som-luz-alugo-palco-aluguel-tablado-de-vidro-palco-madeira-9-86-25-98-82/</v>
      </c>
      <c r="Y809" s="77" t="s">
        <v>7308</v>
      </c>
      <c r="Z809" s="77"/>
      <c r="AA809" s="77"/>
      <c r="AB809" s="77"/>
      <c r="AC809" s="82" t="s">
        <v>10155</v>
      </c>
      <c r="AD809" s="77" t="s">
        <v>10184</v>
      </c>
      <c r="AE809" s="80" t="str">
        <f>HYPERLINK("https://twitter.com/freeclassific/status/1659564868297723904")</f>
        <v>https://twitter.com/freeclassific/status/1659564868297723904</v>
      </c>
      <c r="AF809" s="79">
        <v>45065.598055555558</v>
      </c>
      <c r="AG809" s="85">
        <v>45065</v>
      </c>
      <c r="AH809" s="82" t="s">
        <v>10961</v>
      </c>
      <c r="AI809" s="77" t="b">
        <v>0</v>
      </c>
      <c r="AJ809" s="77"/>
      <c r="AK809" s="77"/>
      <c r="AL809" s="77"/>
      <c r="AM809" s="77"/>
      <c r="AN809" s="77"/>
      <c r="AO809" s="77"/>
      <c r="AP809" s="77"/>
      <c r="AQ809" s="77"/>
      <c r="AR809" s="77"/>
      <c r="AS809" s="77"/>
      <c r="AT809" s="77"/>
      <c r="AU809" s="77"/>
      <c r="AV809" s="80" t="str">
        <f>HYPERLINK("https://pbs.twimg.com/profile_images/1431648743728852993/tLJ7F5Lu_normal.png")</f>
        <v>https://pbs.twimg.com/profile_images/1431648743728852993/tLJ7F5Lu_normal.png</v>
      </c>
      <c r="AW809" s="82" t="s">
        <v>17582</v>
      </c>
      <c r="AX809" s="82" t="s">
        <v>17582</v>
      </c>
      <c r="AY809" s="77"/>
      <c r="AZ809" s="82" t="s">
        <v>20971</v>
      </c>
      <c r="BA809" s="82" t="s">
        <v>20971</v>
      </c>
      <c r="BB809" s="82" t="s">
        <v>20971</v>
      </c>
      <c r="BC809" s="82" t="s">
        <v>17582</v>
      </c>
      <c r="BD809" s="77">
        <v>489723814</v>
      </c>
      <c r="BE809" s="77"/>
      <c r="BF809" s="77"/>
      <c r="BG809" s="77"/>
      <c r="BH809" s="77"/>
      <c r="BI809" s="77"/>
    </row>
    <row r="810" spans="1:61" x14ac:dyDescent="0.25">
      <c r="A810" s="62" t="s">
        <v>418</v>
      </c>
      <c r="B810" s="62" t="s">
        <v>418</v>
      </c>
      <c r="C810" s="63"/>
      <c r="D810" s="64"/>
      <c r="E810" s="65"/>
      <c r="F810" s="66"/>
      <c r="G810" s="63"/>
      <c r="H810" s="67"/>
      <c r="I810" s="68"/>
      <c r="J810" s="68"/>
      <c r="K810" s="32"/>
      <c r="L810" s="75">
        <v>810</v>
      </c>
      <c r="M810" s="75"/>
      <c r="N810" s="70"/>
      <c r="O810" s="77" t="s">
        <v>179</v>
      </c>
      <c r="P810" s="79">
        <v>45061.839837962965</v>
      </c>
      <c r="Q810" s="77" t="s">
        <v>2091</v>
      </c>
      <c r="R810" s="77">
        <v>0</v>
      </c>
      <c r="S810" s="77">
        <v>0</v>
      </c>
      <c r="T810" s="77">
        <v>0</v>
      </c>
      <c r="U810" s="77">
        <v>0</v>
      </c>
      <c r="V810" s="77">
        <v>14</v>
      </c>
      <c r="W810" s="82" t="s">
        <v>5560</v>
      </c>
      <c r="X810" s="80" t="str">
        <f>HYPERLINK("https://www.freeclassificados.com/ads/marketing-para-sua-empresa-com-a-rio-embalagens/")</f>
        <v>https://www.freeclassificados.com/ads/marketing-para-sua-empresa-com-a-rio-embalagens/</v>
      </c>
      <c r="Y810" s="77" t="s">
        <v>7308</v>
      </c>
      <c r="Z810" s="77"/>
      <c r="AA810" s="77"/>
      <c r="AB810" s="77"/>
      <c r="AC810" s="82" t="s">
        <v>10155</v>
      </c>
      <c r="AD810" s="77" t="s">
        <v>10184</v>
      </c>
      <c r="AE810" s="80" t="str">
        <f>HYPERLINK("https://twitter.com/freeclassific/status/1658202935174782976")</f>
        <v>https://twitter.com/freeclassific/status/1658202935174782976</v>
      </c>
      <c r="AF810" s="79">
        <v>45061.839837962965</v>
      </c>
      <c r="AG810" s="85">
        <v>45061</v>
      </c>
      <c r="AH810" s="82" t="s">
        <v>10962</v>
      </c>
      <c r="AI810" s="77" t="b">
        <v>0</v>
      </c>
      <c r="AJ810" s="77"/>
      <c r="AK810" s="77"/>
      <c r="AL810" s="77"/>
      <c r="AM810" s="77"/>
      <c r="AN810" s="77"/>
      <c r="AO810" s="77"/>
      <c r="AP810" s="77"/>
      <c r="AQ810" s="77"/>
      <c r="AR810" s="77"/>
      <c r="AS810" s="77"/>
      <c r="AT810" s="77"/>
      <c r="AU810" s="77"/>
      <c r="AV810" s="80" t="str">
        <f>HYPERLINK("https://pbs.twimg.com/profile_images/1431648743728852993/tLJ7F5Lu_normal.png")</f>
        <v>https://pbs.twimg.com/profile_images/1431648743728852993/tLJ7F5Lu_normal.png</v>
      </c>
      <c r="AW810" s="82" t="s">
        <v>17583</v>
      </c>
      <c r="AX810" s="82" t="s">
        <v>17583</v>
      </c>
      <c r="AY810" s="77"/>
      <c r="AZ810" s="82" t="s">
        <v>20971</v>
      </c>
      <c r="BA810" s="82" t="s">
        <v>20971</v>
      </c>
      <c r="BB810" s="82" t="s">
        <v>20971</v>
      </c>
      <c r="BC810" s="82" t="s">
        <v>17583</v>
      </c>
      <c r="BD810" s="77">
        <v>489723814</v>
      </c>
      <c r="BE810" s="77"/>
      <c r="BF810" s="77"/>
      <c r="BG810" s="77"/>
      <c r="BH810" s="77"/>
      <c r="BI810" s="77"/>
    </row>
    <row r="811" spans="1:61" x14ac:dyDescent="0.25">
      <c r="A811" s="62" t="s">
        <v>418</v>
      </c>
      <c r="B811" s="62" t="s">
        <v>418</v>
      </c>
      <c r="C811" s="63"/>
      <c r="D811" s="64"/>
      <c r="E811" s="65"/>
      <c r="F811" s="66"/>
      <c r="G811" s="63"/>
      <c r="H811" s="67"/>
      <c r="I811" s="68"/>
      <c r="J811" s="68"/>
      <c r="K811" s="32"/>
      <c r="L811" s="75">
        <v>811</v>
      </c>
      <c r="M811" s="75"/>
      <c r="N811" s="70"/>
      <c r="O811" s="77" t="s">
        <v>179</v>
      </c>
      <c r="P811" s="79">
        <v>45061.750520833331</v>
      </c>
      <c r="Q811" s="77" t="s">
        <v>2092</v>
      </c>
      <c r="R811" s="77">
        <v>0</v>
      </c>
      <c r="S811" s="77">
        <v>0</v>
      </c>
      <c r="T811" s="77">
        <v>0</v>
      </c>
      <c r="U811" s="77">
        <v>0</v>
      </c>
      <c r="V811" s="77">
        <v>20</v>
      </c>
      <c r="W811" s="82" t="s">
        <v>5560</v>
      </c>
      <c r="X811" s="80" t="str">
        <f>HYPERLINK("https://www.freeclassificados.com/ads/assistencia-tecnica-dell-goiania-goias/")</f>
        <v>https://www.freeclassificados.com/ads/assistencia-tecnica-dell-goiania-goias/</v>
      </c>
      <c r="Y811" s="77" t="s">
        <v>7308</v>
      </c>
      <c r="Z811" s="77"/>
      <c r="AA811" s="77"/>
      <c r="AB811" s="77"/>
      <c r="AC811" s="82" t="s">
        <v>10155</v>
      </c>
      <c r="AD811" s="77" t="s">
        <v>10184</v>
      </c>
      <c r="AE811" s="80" t="str">
        <f>HYPERLINK("https://twitter.com/freeclassific/status/1658170567261032448")</f>
        <v>https://twitter.com/freeclassific/status/1658170567261032448</v>
      </c>
      <c r="AF811" s="79">
        <v>45061.750520833331</v>
      </c>
      <c r="AG811" s="85">
        <v>45061</v>
      </c>
      <c r="AH811" s="82" t="s">
        <v>10963</v>
      </c>
      <c r="AI811" s="77" t="b">
        <v>0</v>
      </c>
      <c r="AJ811" s="77"/>
      <c r="AK811" s="77"/>
      <c r="AL811" s="77"/>
      <c r="AM811" s="77"/>
      <c r="AN811" s="77"/>
      <c r="AO811" s="77"/>
      <c r="AP811" s="77"/>
      <c r="AQ811" s="77"/>
      <c r="AR811" s="77"/>
      <c r="AS811" s="77"/>
      <c r="AT811" s="77"/>
      <c r="AU811" s="77"/>
      <c r="AV811" s="80" t="str">
        <f>HYPERLINK("https://pbs.twimg.com/profile_images/1431648743728852993/tLJ7F5Lu_normal.png")</f>
        <v>https://pbs.twimg.com/profile_images/1431648743728852993/tLJ7F5Lu_normal.png</v>
      </c>
      <c r="AW811" s="82" t="s">
        <v>17584</v>
      </c>
      <c r="AX811" s="82" t="s">
        <v>17584</v>
      </c>
      <c r="AY811" s="77"/>
      <c r="AZ811" s="82" t="s">
        <v>20971</v>
      </c>
      <c r="BA811" s="82" t="s">
        <v>20971</v>
      </c>
      <c r="BB811" s="82" t="s">
        <v>20971</v>
      </c>
      <c r="BC811" s="82" t="s">
        <v>17584</v>
      </c>
      <c r="BD811" s="77">
        <v>489723814</v>
      </c>
      <c r="BE811" s="77"/>
      <c r="BF811" s="77"/>
      <c r="BG811" s="77"/>
      <c r="BH811" s="77"/>
      <c r="BI811" s="77"/>
    </row>
    <row r="812" spans="1:61" x14ac:dyDescent="0.25">
      <c r="A812" s="62" t="s">
        <v>418</v>
      </c>
      <c r="B812" s="62" t="s">
        <v>418</v>
      </c>
      <c r="C812" s="63"/>
      <c r="D812" s="64"/>
      <c r="E812" s="65"/>
      <c r="F812" s="66"/>
      <c r="G812" s="63"/>
      <c r="H812" s="67"/>
      <c r="I812" s="68"/>
      <c r="J812" s="68"/>
      <c r="K812" s="32"/>
      <c r="L812" s="75">
        <v>812</v>
      </c>
      <c r="M812" s="75"/>
      <c r="N812" s="70"/>
      <c r="O812" s="77" t="s">
        <v>179</v>
      </c>
      <c r="P812" s="79">
        <v>45061.625648148147</v>
      </c>
      <c r="Q812" s="77" t="s">
        <v>2093</v>
      </c>
      <c r="R812" s="77">
        <v>0</v>
      </c>
      <c r="S812" s="77">
        <v>0</v>
      </c>
      <c r="T812" s="77">
        <v>0</v>
      </c>
      <c r="U812" s="77">
        <v>0</v>
      </c>
      <c r="V812" s="77">
        <v>16</v>
      </c>
      <c r="W812" s="82" t="s">
        <v>5560</v>
      </c>
      <c r="X812" s="80" t="str">
        <f>HYPERLINK("https://www.freeclassificados.com/ads/embalagens-delivery-rio-embalagens/")</f>
        <v>https://www.freeclassificados.com/ads/embalagens-delivery-rio-embalagens/</v>
      </c>
      <c r="Y812" s="77" t="s">
        <v>7308</v>
      </c>
      <c r="Z812" s="77"/>
      <c r="AA812" s="77"/>
      <c r="AB812" s="77"/>
      <c r="AC812" s="82" t="s">
        <v>10155</v>
      </c>
      <c r="AD812" s="77" t="s">
        <v>10184</v>
      </c>
      <c r="AE812" s="80" t="str">
        <f>HYPERLINK("https://twitter.com/freeclassific/status/1658125314558676992")</f>
        <v>https://twitter.com/freeclassific/status/1658125314558676992</v>
      </c>
      <c r="AF812" s="79">
        <v>45061.625648148147</v>
      </c>
      <c r="AG812" s="85">
        <v>45061</v>
      </c>
      <c r="AH812" s="82" t="s">
        <v>10964</v>
      </c>
      <c r="AI812" s="77" t="b">
        <v>0</v>
      </c>
      <c r="AJ812" s="77"/>
      <c r="AK812" s="77"/>
      <c r="AL812" s="77"/>
      <c r="AM812" s="77"/>
      <c r="AN812" s="77"/>
      <c r="AO812" s="77"/>
      <c r="AP812" s="77"/>
      <c r="AQ812" s="77"/>
      <c r="AR812" s="77"/>
      <c r="AS812" s="77"/>
      <c r="AT812" s="77"/>
      <c r="AU812" s="77"/>
      <c r="AV812" s="80" t="str">
        <f>HYPERLINK("https://pbs.twimg.com/profile_images/1431648743728852993/tLJ7F5Lu_normal.png")</f>
        <v>https://pbs.twimg.com/profile_images/1431648743728852993/tLJ7F5Lu_normal.png</v>
      </c>
      <c r="AW812" s="82" t="s">
        <v>17585</v>
      </c>
      <c r="AX812" s="82" t="s">
        <v>17585</v>
      </c>
      <c r="AY812" s="77"/>
      <c r="AZ812" s="82" t="s">
        <v>20971</v>
      </c>
      <c r="BA812" s="82" t="s">
        <v>20971</v>
      </c>
      <c r="BB812" s="82" t="s">
        <v>20971</v>
      </c>
      <c r="BC812" s="82" t="s">
        <v>17585</v>
      </c>
      <c r="BD812" s="77">
        <v>489723814</v>
      </c>
      <c r="BE812" s="77"/>
      <c r="BF812" s="77"/>
      <c r="BG812" s="77"/>
      <c r="BH812" s="77"/>
      <c r="BI812" s="77"/>
    </row>
    <row r="813" spans="1:61" x14ac:dyDescent="0.25">
      <c r="A813" s="62" t="s">
        <v>418</v>
      </c>
      <c r="B813" s="62" t="s">
        <v>418</v>
      </c>
      <c r="C813" s="63"/>
      <c r="D813" s="64"/>
      <c r="E813" s="65"/>
      <c r="F813" s="66"/>
      <c r="G813" s="63"/>
      <c r="H813" s="67"/>
      <c r="I813" s="68"/>
      <c r="J813" s="68"/>
      <c r="K813" s="32"/>
      <c r="L813" s="75">
        <v>813</v>
      </c>
      <c r="M813" s="75"/>
      <c r="N813" s="70"/>
      <c r="O813" s="77" t="s">
        <v>179</v>
      </c>
      <c r="P813" s="79">
        <v>45059.997037037036</v>
      </c>
      <c r="Q813" s="77" t="s">
        <v>2094</v>
      </c>
      <c r="R813" s="77">
        <v>0</v>
      </c>
      <c r="S813" s="77">
        <v>0</v>
      </c>
      <c r="T813" s="77">
        <v>0</v>
      </c>
      <c r="U813" s="77">
        <v>0</v>
      </c>
      <c r="V813" s="77">
        <v>20</v>
      </c>
      <c r="W813" s="82" t="s">
        <v>5560</v>
      </c>
      <c r="X813" s="77" t="s">
        <v>7191</v>
      </c>
      <c r="Y813" s="77" t="s">
        <v>7310</v>
      </c>
      <c r="Z813" s="77"/>
      <c r="AA813" s="77"/>
      <c r="AB813" s="77"/>
      <c r="AC813" s="82" t="s">
        <v>10155</v>
      </c>
      <c r="AD813" s="77" t="s">
        <v>10184</v>
      </c>
      <c r="AE813" s="80" t="str">
        <f>HYPERLINK("https://twitter.com/freeclassific/status/1657535129068371969")</f>
        <v>https://twitter.com/freeclassific/status/1657535129068371969</v>
      </c>
      <c r="AF813" s="79">
        <v>45059.997037037036</v>
      </c>
      <c r="AG813" s="85">
        <v>45059</v>
      </c>
      <c r="AH813" s="82" t="s">
        <v>10965</v>
      </c>
      <c r="AI813" s="77" t="b">
        <v>0</v>
      </c>
      <c r="AJ813" s="77"/>
      <c r="AK813" s="77"/>
      <c r="AL813" s="77"/>
      <c r="AM813" s="77"/>
      <c r="AN813" s="77"/>
      <c r="AO813" s="77"/>
      <c r="AP813" s="77"/>
      <c r="AQ813" s="77"/>
      <c r="AR813" s="77"/>
      <c r="AS813" s="77"/>
      <c r="AT813" s="77"/>
      <c r="AU813" s="77"/>
      <c r="AV813" s="80" t="str">
        <f>HYPERLINK("https://pbs.twimg.com/profile_images/1431648743728852993/tLJ7F5Lu_normal.png")</f>
        <v>https://pbs.twimg.com/profile_images/1431648743728852993/tLJ7F5Lu_normal.png</v>
      </c>
      <c r="AW813" s="82" t="s">
        <v>17586</v>
      </c>
      <c r="AX813" s="82" t="s">
        <v>17586</v>
      </c>
      <c r="AY813" s="77"/>
      <c r="AZ813" s="82" t="s">
        <v>20971</v>
      </c>
      <c r="BA813" s="82" t="s">
        <v>20971</v>
      </c>
      <c r="BB813" s="82" t="s">
        <v>20971</v>
      </c>
      <c r="BC813" s="82" t="s">
        <v>17586</v>
      </c>
      <c r="BD813" s="77">
        <v>489723814</v>
      </c>
      <c r="BE813" s="77"/>
      <c r="BF813" s="77"/>
      <c r="BG813" s="77"/>
      <c r="BH813" s="77"/>
      <c r="BI813" s="77"/>
    </row>
    <row r="814" spans="1:61" x14ac:dyDescent="0.25">
      <c r="A814" s="62" t="s">
        <v>418</v>
      </c>
      <c r="B814" s="62" t="s">
        <v>418</v>
      </c>
      <c r="C814" s="63"/>
      <c r="D814" s="64"/>
      <c r="E814" s="65"/>
      <c r="F814" s="66"/>
      <c r="G814" s="63"/>
      <c r="H814" s="67"/>
      <c r="I814" s="68"/>
      <c r="J814" s="68"/>
      <c r="K814" s="32"/>
      <c r="L814" s="75">
        <v>814</v>
      </c>
      <c r="M814" s="75"/>
      <c r="N814" s="70"/>
      <c r="O814" s="77" t="s">
        <v>179</v>
      </c>
      <c r="P814" s="79">
        <v>45050.747974537036</v>
      </c>
      <c r="Q814" s="77" t="s">
        <v>2095</v>
      </c>
      <c r="R814" s="77">
        <v>0</v>
      </c>
      <c r="S814" s="77">
        <v>0</v>
      </c>
      <c r="T814" s="77">
        <v>0</v>
      </c>
      <c r="U814" s="77">
        <v>0</v>
      </c>
      <c r="V814" s="77">
        <v>11</v>
      </c>
      <c r="W814" s="82" t="s">
        <v>5560</v>
      </c>
      <c r="X814" s="80" t="str">
        <f>HYPERLINK("https://www.freeclassificados.com/ads/sacolas-kraft-personalizadas-em-promocao/")</f>
        <v>https://www.freeclassificados.com/ads/sacolas-kraft-personalizadas-em-promocao/</v>
      </c>
      <c r="Y814" s="77" t="s">
        <v>7308</v>
      </c>
      <c r="Z814" s="77"/>
      <c r="AA814" s="77"/>
      <c r="AB814" s="77"/>
      <c r="AC814" s="82" t="s">
        <v>10155</v>
      </c>
      <c r="AD814" s="77" t="s">
        <v>10184</v>
      </c>
      <c r="AE814" s="80" t="str">
        <f>HYPERLINK("https://twitter.com/freeclassific/status/1654183377887723521")</f>
        <v>https://twitter.com/freeclassific/status/1654183377887723521</v>
      </c>
      <c r="AF814" s="79">
        <v>45050.747974537036</v>
      </c>
      <c r="AG814" s="85">
        <v>45050</v>
      </c>
      <c r="AH814" s="82" t="s">
        <v>10966</v>
      </c>
      <c r="AI814" s="77" t="b">
        <v>0</v>
      </c>
      <c r="AJ814" s="77"/>
      <c r="AK814" s="77"/>
      <c r="AL814" s="77"/>
      <c r="AM814" s="77"/>
      <c r="AN814" s="77"/>
      <c r="AO814" s="77"/>
      <c r="AP814" s="77"/>
      <c r="AQ814" s="77"/>
      <c r="AR814" s="77"/>
      <c r="AS814" s="77"/>
      <c r="AT814" s="77"/>
      <c r="AU814" s="77"/>
      <c r="AV814" s="80" t="str">
        <f>HYPERLINK("https://pbs.twimg.com/profile_images/1431648743728852993/tLJ7F5Lu_normal.png")</f>
        <v>https://pbs.twimg.com/profile_images/1431648743728852993/tLJ7F5Lu_normal.png</v>
      </c>
      <c r="AW814" s="82" t="s">
        <v>17587</v>
      </c>
      <c r="AX814" s="82" t="s">
        <v>17587</v>
      </c>
      <c r="AY814" s="77"/>
      <c r="AZ814" s="82" t="s">
        <v>20971</v>
      </c>
      <c r="BA814" s="82" t="s">
        <v>20971</v>
      </c>
      <c r="BB814" s="82" t="s">
        <v>20971</v>
      </c>
      <c r="BC814" s="82" t="s">
        <v>17587</v>
      </c>
      <c r="BD814" s="77">
        <v>489723814</v>
      </c>
      <c r="BE814" s="77"/>
      <c r="BF814" s="77"/>
      <c r="BG814" s="77"/>
      <c r="BH814" s="77"/>
      <c r="BI814" s="77"/>
    </row>
    <row r="815" spans="1:61" x14ac:dyDescent="0.25">
      <c r="A815" s="62" t="s">
        <v>418</v>
      </c>
      <c r="B815" s="62" t="s">
        <v>418</v>
      </c>
      <c r="C815" s="63"/>
      <c r="D815" s="64"/>
      <c r="E815" s="65"/>
      <c r="F815" s="66"/>
      <c r="G815" s="63"/>
      <c r="H815" s="67"/>
      <c r="I815" s="68"/>
      <c r="J815" s="68"/>
      <c r="K815" s="32"/>
      <c r="L815" s="75">
        <v>815</v>
      </c>
      <c r="M815" s="75"/>
      <c r="N815" s="70"/>
      <c r="O815" s="77" t="s">
        <v>179</v>
      </c>
      <c r="P815" s="79">
        <v>45050.747037037036</v>
      </c>
      <c r="Q815" s="77" t="s">
        <v>2096</v>
      </c>
      <c r="R815" s="77">
        <v>0</v>
      </c>
      <c r="S815" s="77">
        <v>0</v>
      </c>
      <c r="T815" s="77">
        <v>0</v>
      </c>
      <c r="U815" s="77">
        <v>0</v>
      </c>
      <c r="V815" s="77">
        <v>16</v>
      </c>
      <c r="W815" s="82" t="s">
        <v>5560</v>
      </c>
      <c r="X815" s="80" t="str">
        <f>HYPERLINK("https://www.freeclassificados.com/ads/saco-kraft-personalizado-em-promocao/")</f>
        <v>https://www.freeclassificados.com/ads/saco-kraft-personalizado-em-promocao/</v>
      </c>
      <c r="Y815" s="77" t="s">
        <v>7308</v>
      </c>
      <c r="Z815" s="77"/>
      <c r="AA815" s="77"/>
      <c r="AB815" s="77"/>
      <c r="AC815" s="82" t="s">
        <v>10155</v>
      </c>
      <c r="AD815" s="77" t="s">
        <v>10184</v>
      </c>
      <c r="AE815" s="80" t="str">
        <f>HYPERLINK("https://twitter.com/freeclassific/status/1654183040820875264")</f>
        <v>https://twitter.com/freeclassific/status/1654183040820875264</v>
      </c>
      <c r="AF815" s="79">
        <v>45050.747037037036</v>
      </c>
      <c r="AG815" s="85">
        <v>45050</v>
      </c>
      <c r="AH815" s="82" t="s">
        <v>10967</v>
      </c>
      <c r="AI815" s="77" t="b">
        <v>0</v>
      </c>
      <c r="AJ815" s="77"/>
      <c r="AK815" s="77"/>
      <c r="AL815" s="77"/>
      <c r="AM815" s="77"/>
      <c r="AN815" s="77"/>
      <c r="AO815" s="77"/>
      <c r="AP815" s="77"/>
      <c r="AQ815" s="77"/>
      <c r="AR815" s="77"/>
      <c r="AS815" s="77"/>
      <c r="AT815" s="77"/>
      <c r="AU815" s="77"/>
      <c r="AV815" s="80" t="str">
        <f>HYPERLINK("https://pbs.twimg.com/profile_images/1431648743728852993/tLJ7F5Lu_normal.png")</f>
        <v>https://pbs.twimg.com/profile_images/1431648743728852993/tLJ7F5Lu_normal.png</v>
      </c>
      <c r="AW815" s="82" t="s">
        <v>17588</v>
      </c>
      <c r="AX815" s="82" t="s">
        <v>17588</v>
      </c>
      <c r="AY815" s="77"/>
      <c r="AZ815" s="82" t="s">
        <v>20971</v>
      </c>
      <c r="BA815" s="82" t="s">
        <v>20971</v>
      </c>
      <c r="BB815" s="82" t="s">
        <v>20971</v>
      </c>
      <c r="BC815" s="82" t="s">
        <v>17588</v>
      </c>
      <c r="BD815" s="77">
        <v>489723814</v>
      </c>
      <c r="BE815" s="77"/>
      <c r="BF815" s="77"/>
      <c r="BG815" s="77"/>
      <c r="BH815" s="77"/>
      <c r="BI815" s="77"/>
    </row>
    <row r="816" spans="1:61" x14ac:dyDescent="0.25">
      <c r="A816" s="62" t="s">
        <v>418</v>
      </c>
      <c r="B816" s="62" t="s">
        <v>418</v>
      </c>
      <c r="C816" s="63"/>
      <c r="D816" s="64"/>
      <c r="E816" s="65"/>
      <c r="F816" s="66"/>
      <c r="G816" s="63"/>
      <c r="H816" s="67"/>
      <c r="I816" s="68"/>
      <c r="J816" s="68"/>
      <c r="K816" s="32"/>
      <c r="L816" s="75">
        <v>816</v>
      </c>
      <c r="M816" s="75"/>
      <c r="N816" s="70"/>
      <c r="O816" s="77" t="s">
        <v>179</v>
      </c>
      <c r="P816" s="79">
        <v>45049.851909722223</v>
      </c>
      <c r="Q816" s="77" t="s">
        <v>2097</v>
      </c>
      <c r="R816" s="77">
        <v>0</v>
      </c>
      <c r="S816" s="77">
        <v>0</v>
      </c>
      <c r="T816" s="77">
        <v>0</v>
      </c>
      <c r="U816" s="77">
        <v>0</v>
      </c>
      <c r="V816" s="77">
        <v>7</v>
      </c>
      <c r="W816" s="82" t="s">
        <v>5560</v>
      </c>
      <c r="X816" s="80" t="str">
        <f>HYPERLINK("https://www.freeclassificados.com/ads/prezadoa-amigoa/")</f>
        <v>https://www.freeclassificados.com/ads/prezadoa-amigoa/</v>
      </c>
      <c r="Y816" s="77" t="s">
        <v>7308</v>
      </c>
      <c r="Z816" s="77"/>
      <c r="AA816" s="77"/>
      <c r="AB816" s="77"/>
      <c r="AC816" s="82" t="s">
        <v>10155</v>
      </c>
      <c r="AD816" s="77" t="s">
        <v>10187</v>
      </c>
      <c r="AE816" s="80" t="str">
        <f>HYPERLINK("https://twitter.com/freeclassific/status/1653858657023721472")</f>
        <v>https://twitter.com/freeclassific/status/1653858657023721472</v>
      </c>
      <c r="AF816" s="79">
        <v>45049.851909722223</v>
      </c>
      <c r="AG816" s="85">
        <v>45049</v>
      </c>
      <c r="AH816" s="82" t="s">
        <v>10968</v>
      </c>
      <c r="AI816" s="77" t="b">
        <v>0</v>
      </c>
      <c r="AJ816" s="77"/>
      <c r="AK816" s="77"/>
      <c r="AL816" s="77"/>
      <c r="AM816" s="77"/>
      <c r="AN816" s="77"/>
      <c r="AO816" s="77"/>
      <c r="AP816" s="77"/>
      <c r="AQ816" s="77"/>
      <c r="AR816" s="77"/>
      <c r="AS816" s="77"/>
      <c r="AT816" s="77"/>
      <c r="AU816" s="77"/>
      <c r="AV816" s="80" t="str">
        <f>HYPERLINK("https://pbs.twimg.com/profile_images/1431648743728852993/tLJ7F5Lu_normal.png")</f>
        <v>https://pbs.twimg.com/profile_images/1431648743728852993/tLJ7F5Lu_normal.png</v>
      </c>
      <c r="AW816" s="82" t="s">
        <v>17589</v>
      </c>
      <c r="AX816" s="82" t="s">
        <v>17589</v>
      </c>
      <c r="AY816" s="77"/>
      <c r="AZ816" s="82" t="s">
        <v>20971</v>
      </c>
      <c r="BA816" s="82" t="s">
        <v>20971</v>
      </c>
      <c r="BB816" s="82" t="s">
        <v>20971</v>
      </c>
      <c r="BC816" s="82" t="s">
        <v>17589</v>
      </c>
      <c r="BD816" s="77">
        <v>489723814</v>
      </c>
      <c r="BE816" s="77"/>
      <c r="BF816" s="77"/>
      <c r="BG816" s="77"/>
      <c r="BH816" s="77"/>
      <c r="BI816" s="77"/>
    </row>
    <row r="817" spans="1:61" x14ac:dyDescent="0.25">
      <c r="A817" s="62" t="s">
        <v>418</v>
      </c>
      <c r="B817" s="62" t="s">
        <v>418</v>
      </c>
      <c r="C817" s="63"/>
      <c r="D817" s="64"/>
      <c r="E817" s="65"/>
      <c r="F817" s="66"/>
      <c r="G817" s="63"/>
      <c r="H817" s="67"/>
      <c r="I817" s="68"/>
      <c r="J817" s="68"/>
      <c r="K817" s="32"/>
      <c r="L817" s="75">
        <v>817</v>
      </c>
      <c r="M817" s="75"/>
      <c r="N817" s="70"/>
      <c r="O817" s="77" t="s">
        <v>179</v>
      </c>
      <c r="P817" s="79">
        <v>45034.807881944442</v>
      </c>
      <c r="Q817" s="77" t="s">
        <v>2098</v>
      </c>
      <c r="R817" s="77">
        <v>0</v>
      </c>
      <c r="S817" s="77">
        <v>0</v>
      </c>
      <c r="T817" s="77">
        <v>0</v>
      </c>
      <c r="U817" s="77">
        <v>0</v>
      </c>
      <c r="V817" s="77">
        <v>23</v>
      </c>
      <c r="W817" s="82" t="s">
        <v>5335</v>
      </c>
      <c r="X817" s="80" t="str">
        <f>HYPERLINK("https://www.freeclassificados.com/ads/lote-de-1-168-m2-na-estancia-brasil-em-atibaia/")</f>
        <v>https://www.freeclassificados.com/ads/lote-de-1-168-m2-na-estancia-brasil-em-atibaia/</v>
      </c>
      <c r="Y817" s="77" t="s">
        <v>7308</v>
      </c>
      <c r="Z817" s="77"/>
      <c r="AA817" s="77"/>
      <c r="AB817" s="77"/>
      <c r="AC817" s="82" t="s">
        <v>10155</v>
      </c>
      <c r="AD817" s="77" t="s">
        <v>10184</v>
      </c>
      <c r="AE817" s="80" t="str">
        <f>HYPERLINK("https://twitter.com/freeclassific/status/1648406883831775238")</f>
        <v>https://twitter.com/freeclassific/status/1648406883831775238</v>
      </c>
      <c r="AF817" s="79">
        <v>45034.807881944442</v>
      </c>
      <c r="AG817" s="85">
        <v>45034</v>
      </c>
      <c r="AH817" s="82" t="s">
        <v>10969</v>
      </c>
      <c r="AI817" s="77" t="b">
        <v>0</v>
      </c>
      <c r="AJ817" s="77"/>
      <c r="AK817" s="77"/>
      <c r="AL817" s="77"/>
      <c r="AM817" s="77"/>
      <c r="AN817" s="77"/>
      <c r="AO817" s="77"/>
      <c r="AP817" s="77"/>
      <c r="AQ817" s="77"/>
      <c r="AR817" s="77"/>
      <c r="AS817" s="77"/>
      <c r="AT817" s="77"/>
      <c r="AU817" s="77"/>
      <c r="AV817" s="80" t="str">
        <f>HYPERLINK("https://pbs.twimg.com/profile_images/1431648743728852993/tLJ7F5Lu_normal.png")</f>
        <v>https://pbs.twimg.com/profile_images/1431648743728852993/tLJ7F5Lu_normal.png</v>
      </c>
      <c r="AW817" s="82" t="s">
        <v>17590</v>
      </c>
      <c r="AX817" s="82" t="s">
        <v>17590</v>
      </c>
      <c r="AY817" s="77"/>
      <c r="AZ817" s="82" t="s">
        <v>20971</v>
      </c>
      <c r="BA817" s="82" t="s">
        <v>20971</v>
      </c>
      <c r="BB817" s="82" t="s">
        <v>20971</v>
      </c>
      <c r="BC817" s="82" t="s">
        <v>17590</v>
      </c>
      <c r="BD817" s="77">
        <v>489723814</v>
      </c>
      <c r="BE817" s="77"/>
      <c r="BF817" s="77"/>
      <c r="BG817" s="77"/>
      <c r="BH817" s="77"/>
      <c r="BI817" s="77"/>
    </row>
    <row r="818" spans="1:61" x14ac:dyDescent="0.25">
      <c r="A818" s="62" t="s">
        <v>418</v>
      </c>
      <c r="B818" s="62" t="s">
        <v>418</v>
      </c>
      <c r="C818" s="63"/>
      <c r="D818" s="64"/>
      <c r="E818" s="65"/>
      <c r="F818" s="66"/>
      <c r="G818" s="63"/>
      <c r="H818" s="67"/>
      <c r="I818" s="68"/>
      <c r="J818" s="68"/>
      <c r="K818" s="32"/>
      <c r="L818" s="75">
        <v>818</v>
      </c>
      <c r="M818" s="75"/>
      <c r="N818" s="70"/>
      <c r="O818" s="77" t="s">
        <v>179</v>
      </c>
      <c r="P818" s="79">
        <v>45034.79965277778</v>
      </c>
      <c r="Q818" s="77" t="s">
        <v>2099</v>
      </c>
      <c r="R818" s="77">
        <v>0</v>
      </c>
      <c r="S818" s="77">
        <v>0</v>
      </c>
      <c r="T818" s="77">
        <v>0</v>
      </c>
      <c r="U818" s="77">
        <v>0</v>
      </c>
      <c r="V818" s="77">
        <v>22</v>
      </c>
      <c r="W818" s="82" t="s">
        <v>5335</v>
      </c>
      <c r="X818" s="80" t="str">
        <f>HYPERLINK("https://www.freeclassificados.com/ads/chacara-de-15-000-m2-em-atibaia-terra-preta-palmares/")</f>
        <v>https://www.freeclassificados.com/ads/chacara-de-15-000-m2-em-atibaia-terra-preta-palmares/</v>
      </c>
      <c r="Y818" s="77" t="s">
        <v>7308</v>
      </c>
      <c r="Z818" s="77"/>
      <c r="AA818" s="77"/>
      <c r="AB818" s="77"/>
      <c r="AC818" s="82" t="s">
        <v>10155</v>
      </c>
      <c r="AD818" s="77" t="s">
        <v>10184</v>
      </c>
      <c r="AE818" s="80" t="str">
        <f>HYPERLINK("https://twitter.com/freeclassific/status/1648403902151426054")</f>
        <v>https://twitter.com/freeclassific/status/1648403902151426054</v>
      </c>
      <c r="AF818" s="79">
        <v>45034.79965277778</v>
      </c>
      <c r="AG818" s="85">
        <v>45034</v>
      </c>
      <c r="AH818" s="82" t="s">
        <v>10970</v>
      </c>
      <c r="AI818" s="77" t="b">
        <v>0</v>
      </c>
      <c r="AJ818" s="77"/>
      <c r="AK818" s="77"/>
      <c r="AL818" s="77"/>
      <c r="AM818" s="77"/>
      <c r="AN818" s="77"/>
      <c r="AO818" s="77"/>
      <c r="AP818" s="77"/>
      <c r="AQ818" s="77"/>
      <c r="AR818" s="77"/>
      <c r="AS818" s="77"/>
      <c r="AT818" s="77"/>
      <c r="AU818" s="77"/>
      <c r="AV818" s="80" t="str">
        <f>HYPERLINK("https://pbs.twimg.com/profile_images/1431648743728852993/tLJ7F5Lu_normal.png")</f>
        <v>https://pbs.twimg.com/profile_images/1431648743728852993/tLJ7F5Lu_normal.png</v>
      </c>
      <c r="AW818" s="82" t="s">
        <v>17591</v>
      </c>
      <c r="AX818" s="82" t="s">
        <v>17591</v>
      </c>
      <c r="AY818" s="77"/>
      <c r="AZ818" s="82" t="s">
        <v>20971</v>
      </c>
      <c r="BA818" s="82" t="s">
        <v>20971</v>
      </c>
      <c r="BB818" s="82" t="s">
        <v>20971</v>
      </c>
      <c r="BC818" s="82" t="s">
        <v>17591</v>
      </c>
      <c r="BD818" s="77">
        <v>489723814</v>
      </c>
      <c r="BE818" s="77"/>
      <c r="BF818" s="77"/>
      <c r="BG818" s="77"/>
      <c r="BH818" s="77"/>
      <c r="BI818" s="77"/>
    </row>
    <row r="819" spans="1:61" x14ac:dyDescent="0.25">
      <c r="A819" s="62" t="s">
        <v>418</v>
      </c>
      <c r="B819" s="62" t="s">
        <v>418</v>
      </c>
      <c r="C819" s="63"/>
      <c r="D819" s="64"/>
      <c r="E819" s="65"/>
      <c r="F819" s="66"/>
      <c r="G819" s="63"/>
      <c r="H819" s="67"/>
      <c r="I819" s="68"/>
      <c r="J819" s="68"/>
      <c r="K819" s="32"/>
      <c r="L819" s="75">
        <v>819</v>
      </c>
      <c r="M819" s="75"/>
      <c r="N819" s="70"/>
      <c r="O819" s="77" t="s">
        <v>179</v>
      </c>
      <c r="P819" s="79">
        <v>45034.790567129632</v>
      </c>
      <c r="Q819" s="77" t="s">
        <v>2100</v>
      </c>
      <c r="R819" s="77">
        <v>0</v>
      </c>
      <c r="S819" s="77">
        <v>1</v>
      </c>
      <c r="T819" s="77">
        <v>0</v>
      </c>
      <c r="U819" s="77">
        <v>0</v>
      </c>
      <c r="V819" s="77">
        <v>28</v>
      </c>
      <c r="W819" s="82" t="s">
        <v>5335</v>
      </c>
      <c r="X819" s="80" t="str">
        <f>HYPERLINK("https://www.freeclassificados.com/ads/pequena-casa-em-atibaia-terra-preta-com-70-m2-e-320-m2-de-terreno/")</f>
        <v>https://www.freeclassificados.com/ads/pequena-casa-em-atibaia-terra-preta-com-70-m2-e-320-m2-de-terreno/</v>
      </c>
      <c r="Y819" s="77" t="s">
        <v>7308</v>
      </c>
      <c r="Z819" s="77"/>
      <c r="AA819" s="77"/>
      <c r="AB819" s="77"/>
      <c r="AC819" s="82" t="s">
        <v>10155</v>
      </c>
      <c r="AD819" s="77" t="s">
        <v>10184</v>
      </c>
      <c r="AE819" s="80" t="str">
        <f>HYPERLINK("https://twitter.com/freeclassific/status/1648400607550803968")</f>
        <v>https://twitter.com/freeclassific/status/1648400607550803968</v>
      </c>
      <c r="AF819" s="79">
        <v>45034.790567129632</v>
      </c>
      <c r="AG819" s="85">
        <v>45034</v>
      </c>
      <c r="AH819" s="82" t="s">
        <v>10971</v>
      </c>
      <c r="AI819" s="77" t="b">
        <v>0</v>
      </c>
      <c r="AJ819" s="77"/>
      <c r="AK819" s="77"/>
      <c r="AL819" s="77"/>
      <c r="AM819" s="77"/>
      <c r="AN819" s="77"/>
      <c r="AO819" s="77"/>
      <c r="AP819" s="77"/>
      <c r="AQ819" s="77"/>
      <c r="AR819" s="77"/>
      <c r="AS819" s="77"/>
      <c r="AT819" s="77"/>
      <c r="AU819" s="77"/>
      <c r="AV819" s="80" t="str">
        <f>HYPERLINK("https://pbs.twimg.com/profile_images/1431648743728852993/tLJ7F5Lu_normal.png")</f>
        <v>https://pbs.twimg.com/profile_images/1431648743728852993/tLJ7F5Lu_normal.png</v>
      </c>
      <c r="AW819" s="82" t="s">
        <v>17592</v>
      </c>
      <c r="AX819" s="82" t="s">
        <v>17592</v>
      </c>
      <c r="AY819" s="77"/>
      <c r="AZ819" s="82" t="s">
        <v>20971</v>
      </c>
      <c r="BA819" s="82" t="s">
        <v>20971</v>
      </c>
      <c r="BB819" s="82" t="s">
        <v>20971</v>
      </c>
      <c r="BC819" s="82" t="s">
        <v>17592</v>
      </c>
      <c r="BD819" s="77">
        <v>489723814</v>
      </c>
      <c r="BE819" s="77"/>
      <c r="BF819" s="77"/>
      <c r="BG819" s="77"/>
      <c r="BH819" s="77"/>
      <c r="BI819" s="77"/>
    </row>
    <row r="820" spans="1:61" x14ac:dyDescent="0.25">
      <c r="A820" s="62" t="s">
        <v>418</v>
      </c>
      <c r="B820" s="62" t="s">
        <v>418</v>
      </c>
      <c r="C820" s="63"/>
      <c r="D820" s="64"/>
      <c r="E820" s="65"/>
      <c r="F820" s="66"/>
      <c r="G820" s="63"/>
      <c r="H820" s="67"/>
      <c r="I820" s="68"/>
      <c r="J820" s="68"/>
      <c r="K820" s="32"/>
      <c r="L820" s="75">
        <v>820</v>
      </c>
      <c r="M820" s="75"/>
      <c r="N820" s="70"/>
      <c r="O820" s="77" t="s">
        <v>179</v>
      </c>
      <c r="P820" s="79">
        <v>45034.78460648148</v>
      </c>
      <c r="Q820" s="77" t="s">
        <v>2101</v>
      </c>
      <c r="R820" s="77">
        <v>0</v>
      </c>
      <c r="S820" s="77">
        <v>0</v>
      </c>
      <c r="T820" s="77">
        <v>0</v>
      </c>
      <c r="U820" s="77">
        <v>0</v>
      </c>
      <c r="V820" s="77">
        <v>25</v>
      </c>
      <c r="W820" s="82" t="s">
        <v>5335</v>
      </c>
      <c r="X820" s="80" t="str">
        <f>HYPERLINK("https://www.freeclassificados.com/ads/terreno-de-142-800-m2-em-aracariguama-rod-castelo-branco/")</f>
        <v>https://www.freeclassificados.com/ads/terreno-de-142-800-m2-em-aracariguama-rod-castelo-branco/</v>
      </c>
      <c r="Y820" s="77" t="s">
        <v>7308</v>
      </c>
      <c r="Z820" s="77"/>
      <c r="AA820" s="77"/>
      <c r="AB820" s="77"/>
      <c r="AC820" s="82" t="s">
        <v>10155</v>
      </c>
      <c r="AD820" s="77" t="s">
        <v>10184</v>
      </c>
      <c r="AE820" s="80" t="str">
        <f>HYPERLINK("https://twitter.com/freeclassific/status/1648398448818028544")</f>
        <v>https://twitter.com/freeclassific/status/1648398448818028544</v>
      </c>
      <c r="AF820" s="79">
        <v>45034.78460648148</v>
      </c>
      <c r="AG820" s="85">
        <v>45034</v>
      </c>
      <c r="AH820" s="82" t="s">
        <v>10972</v>
      </c>
      <c r="AI820" s="77" t="b">
        <v>0</v>
      </c>
      <c r="AJ820" s="77"/>
      <c r="AK820" s="77"/>
      <c r="AL820" s="77"/>
      <c r="AM820" s="77"/>
      <c r="AN820" s="77"/>
      <c r="AO820" s="77"/>
      <c r="AP820" s="77"/>
      <c r="AQ820" s="77"/>
      <c r="AR820" s="77"/>
      <c r="AS820" s="77"/>
      <c r="AT820" s="77"/>
      <c r="AU820" s="77"/>
      <c r="AV820" s="80" t="str">
        <f>HYPERLINK("https://pbs.twimg.com/profile_images/1431648743728852993/tLJ7F5Lu_normal.png")</f>
        <v>https://pbs.twimg.com/profile_images/1431648743728852993/tLJ7F5Lu_normal.png</v>
      </c>
      <c r="AW820" s="82" t="s">
        <v>17593</v>
      </c>
      <c r="AX820" s="82" t="s">
        <v>17593</v>
      </c>
      <c r="AY820" s="77"/>
      <c r="AZ820" s="82" t="s">
        <v>20971</v>
      </c>
      <c r="BA820" s="82" t="s">
        <v>20971</v>
      </c>
      <c r="BB820" s="82" t="s">
        <v>20971</v>
      </c>
      <c r="BC820" s="82" t="s">
        <v>17593</v>
      </c>
      <c r="BD820" s="77">
        <v>489723814</v>
      </c>
      <c r="BE820" s="77"/>
      <c r="BF820" s="77"/>
      <c r="BG820" s="77"/>
      <c r="BH820" s="77"/>
      <c r="BI820" s="77"/>
    </row>
    <row r="821" spans="1:61" x14ac:dyDescent="0.25">
      <c r="A821" s="62" t="s">
        <v>418</v>
      </c>
      <c r="B821" s="62" t="s">
        <v>418</v>
      </c>
      <c r="C821" s="63"/>
      <c r="D821" s="64"/>
      <c r="E821" s="65"/>
      <c r="F821" s="66"/>
      <c r="G821" s="63"/>
      <c r="H821" s="67"/>
      <c r="I821" s="68"/>
      <c r="J821" s="68"/>
      <c r="K821" s="32"/>
      <c r="L821" s="75">
        <v>821</v>
      </c>
      <c r="M821" s="75"/>
      <c r="N821" s="70"/>
      <c r="O821" s="77" t="s">
        <v>179</v>
      </c>
      <c r="P821" s="79">
        <v>45034.066307870373</v>
      </c>
      <c r="Q821" s="77" t="s">
        <v>2102</v>
      </c>
      <c r="R821" s="77">
        <v>0</v>
      </c>
      <c r="S821" s="77">
        <v>1</v>
      </c>
      <c r="T821" s="77">
        <v>0</v>
      </c>
      <c r="U821" s="77">
        <v>0</v>
      </c>
      <c r="V821" s="77">
        <v>19</v>
      </c>
      <c r="W821" s="82" t="s">
        <v>5335</v>
      </c>
      <c r="X821" s="80" t="str">
        <f>HYPERLINK("https://www.freeclassificados.com/ads/predio-comercial-de-3-pavimentos-e-4-a-5-vagas-na-mariana-e-metros/")</f>
        <v>https://www.freeclassificados.com/ads/predio-comercial-de-3-pavimentos-e-4-a-5-vagas-na-mariana-e-metros/</v>
      </c>
      <c r="Y821" s="77" t="s">
        <v>7308</v>
      </c>
      <c r="Z821" s="77"/>
      <c r="AA821" s="77"/>
      <c r="AB821" s="77"/>
      <c r="AC821" s="82" t="s">
        <v>10155</v>
      </c>
      <c r="AD821" s="77" t="s">
        <v>10184</v>
      </c>
      <c r="AE821" s="80" t="str">
        <f>HYPERLINK("https://twitter.com/freeclassific/status/1648138144838197249")</f>
        <v>https://twitter.com/freeclassific/status/1648138144838197249</v>
      </c>
      <c r="AF821" s="79">
        <v>45034.066307870373</v>
      </c>
      <c r="AG821" s="85">
        <v>45034</v>
      </c>
      <c r="AH821" s="82" t="s">
        <v>10973</v>
      </c>
      <c r="AI821" s="77" t="b">
        <v>0</v>
      </c>
      <c r="AJ821" s="77"/>
      <c r="AK821" s="77"/>
      <c r="AL821" s="77"/>
      <c r="AM821" s="77"/>
      <c r="AN821" s="77"/>
      <c r="AO821" s="77"/>
      <c r="AP821" s="77"/>
      <c r="AQ821" s="77"/>
      <c r="AR821" s="77"/>
      <c r="AS821" s="77"/>
      <c r="AT821" s="77"/>
      <c r="AU821" s="77"/>
      <c r="AV821" s="80" t="str">
        <f>HYPERLINK("https://pbs.twimg.com/profile_images/1431648743728852993/tLJ7F5Lu_normal.png")</f>
        <v>https://pbs.twimg.com/profile_images/1431648743728852993/tLJ7F5Lu_normal.png</v>
      </c>
      <c r="AW821" s="82" t="s">
        <v>17594</v>
      </c>
      <c r="AX821" s="82" t="s">
        <v>17594</v>
      </c>
      <c r="AY821" s="77"/>
      <c r="AZ821" s="82" t="s">
        <v>20971</v>
      </c>
      <c r="BA821" s="82" t="s">
        <v>20971</v>
      </c>
      <c r="BB821" s="82" t="s">
        <v>20971</v>
      </c>
      <c r="BC821" s="82" t="s">
        <v>17594</v>
      </c>
      <c r="BD821" s="77">
        <v>489723814</v>
      </c>
      <c r="BE821" s="77"/>
      <c r="BF821" s="77"/>
      <c r="BG821" s="77"/>
      <c r="BH821" s="77"/>
      <c r="BI821" s="77"/>
    </row>
    <row r="822" spans="1:61" x14ac:dyDescent="0.25">
      <c r="A822" s="62" t="s">
        <v>418</v>
      </c>
      <c r="B822" s="62" t="s">
        <v>418</v>
      </c>
      <c r="C822" s="63"/>
      <c r="D822" s="64"/>
      <c r="E822" s="65"/>
      <c r="F822" s="66"/>
      <c r="G822" s="63"/>
      <c r="H822" s="67"/>
      <c r="I822" s="68"/>
      <c r="J822" s="68"/>
      <c r="K822" s="32"/>
      <c r="L822" s="75">
        <v>822</v>
      </c>
      <c r="M822" s="75"/>
      <c r="N822" s="70"/>
      <c r="O822" s="77" t="s">
        <v>179</v>
      </c>
      <c r="P822" s="79">
        <v>45034.057210648149</v>
      </c>
      <c r="Q822" s="77" t="s">
        <v>2103</v>
      </c>
      <c r="R822" s="77">
        <v>0</v>
      </c>
      <c r="S822" s="77">
        <v>0</v>
      </c>
      <c r="T822" s="77">
        <v>0</v>
      </c>
      <c r="U822" s="77">
        <v>0</v>
      </c>
      <c r="V822" s="77">
        <v>33</v>
      </c>
      <c r="W822" s="82" t="s">
        <v>5335</v>
      </c>
      <c r="X822" s="80" t="str">
        <f>HYPERLINK("https://www.freeclassificados.com/ads/sala-comercial-no-centro-largo-do-paissandu/")</f>
        <v>https://www.freeclassificados.com/ads/sala-comercial-no-centro-largo-do-paissandu/</v>
      </c>
      <c r="Y822" s="77" t="s">
        <v>7308</v>
      </c>
      <c r="Z822" s="77"/>
      <c r="AA822" s="77"/>
      <c r="AB822" s="77"/>
      <c r="AC822" s="82" t="s">
        <v>10155</v>
      </c>
      <c r="AD822" s="77" t="s">
        <v>10184</v>
      </c>
      <c r="AE822" s="80" t="str">
        <f>HYPERLINK("https://twitter.com/freeclassific/status/1648134850967392258")</f>
        <v>https://twitter.com/freeclassific/status/1648134850967392258</v>
      </c>
      <c r="AF822" s="79">
        <v>45034.057210648149</v>
      </c>
      <c r="AG822" s="85">
        <v>45034</v>
      </c>
      <c r="AH822" s="82" t="s">
        <v>10974</v>
      </c>
      <c r="AI822" s="77" t="b">
        <v>0</v>
      </c>
      <c r="AJ822" s="77"/>
      <c r="AK822" s="77"/>
      <c r="AL822" s="77"/>
      <c r="AM822" s="77"/>
      <c r="AN822" s="77"/>
      <c r="AO822" s="77"/>
      <c r="AP822" s="77"/>
      <c r="AQ822" s="77"/>
      <c r="AR822" s="77"/>
      <c r="AS822" s="77"/>
      <c r="AT822" s="77"/>
      <c r="AU822" s="77"/>
      <c r="AV822" s="80" t="str">
        <f>HYPERLINK("https://pbs.twimg.com/profile_images/1431648743728852993/tLJ7F5Lu_normal.png")</f>
        <v>https://pbs.twimg.com/profile_images/1431648743728852993/tLJ7F5Lu_normal.png</v>
      </c>
      <c r="AW822" s="82" t="s">
        <v>17595</v>
      </c>
      <c r="AX822" s="82" t="s">
        <v>17595</v>
      </c>
      <c r="AY822" s="77"/>
      <c r="AZ822" s="82" t="s">
        <v>20971</v>
      </c>
      <c r="BA822" s="82" t="s">
        <v>20971</v>
      </c>
      <c r="BB822" s="82" t="s">
        <v>20971</v>
      </c>
      <c r="BC822" s="82" t="s">
        <v>17595</v>
      </c>
      <c r="BD822" s="77">
        <v>489723814</v>
      </c>
      <c r="BE822" s="77"/>
      <c r="BF822" s="77"/>
      <c r="BG822" s="77"/>
      <c r="BH822" s="77"/>
      <c r="BI822" s="77"/>
    </row>
    <row r="823" spans="1:61" x14ac:dyDescent="0.25">
      <c r="A823" s="62" t="s">
        <v>418</v>
      </c>
      <c r="B823" s="62" t="s">
        <v>418</v>
      </c>
      <c r="C823" s="63"/>
      <c r="D823" s="64"/>
      <c r="E823" s="65"/>
      <c r="F823" s="66"/>
      <c r="G823" s="63"/>
      <c r="H823" s="67"/>
      <c r="I823" s="68"/>
      <c r="J823" s="68"/>
      <c r="K823" s="32"/>
      <c r="L823" s="75">
        <v>823</v>
      </c>
      <c r="M823" s="75"/>
      <c r="N823" s="70"/>
      <c r="O823" s="77" t="s">
        <v>179</v>
      </c>
      <c r="P823" s="79">
        <v>45034.052418981482</v>
      </c>
      <c r="Q823" s="77" t="s">
        <v>2104</v>
      </c>
      <c r="R823" s="77">
        <v>0</v>
      </c>
      <c r="S823" s="77">
        <v>0</v>
      </c>
      <c r="T823" s="77">
        <v>0</v>
      </c>
      <c r="U823" s="77">
        <v>0</v>
      </c>
      <c r="V823" s="77">
        <v>24</v>
      </c>
      <c r="W823" s="82" t="s">
        <v>5335</v>
      </c>
      <c r="X823" s="80" t="str">
        <f>HYPERLINK("https://www.freeclassificados.com/ads/sobrado-no-alto-de-santana-zn-com-358-m2-juntos-aos-bancos-e-o-pastorinho/")</f>
        <v>https://www.freeclassificados.com/ads/sobrado-no-alto-de-santana-zn-com-358-m2-juntos-aos-bancos-e-o-pastorinho/</v>
      </c>
      <c r="Y823" s="77" t="s">
        <v>7308</v>
      </c>
      <c r="Z823" s="77"/>
      <c r="AA823" s="77"/>
      <c r="AB823" s="77"/>
      <c r="AC823" s="82" t="s">
        <v>10155</v>
      </c>
      <c r="AD823" s="77" t="s">
        <v>10184</v>
      </c>
      <c r="AE823" s="80" t="str">
        <f>HYPERLINK("https://twitter.com/freeclassific/status/1648133112864583680")</f>
        <v>https://twitter.com/freeclassific/status/1648133112864583680</v>
      </c>
      <c r="AF823" s="79">
        <v>45034.052418981482</v>
      </c>
      <c r="AG823" s="85">
        <v>45034</v>
      </c>
      <c r="AH823" s="82" t="s">
        <v>10975</v>
      </c>
      <c r="AI823" s="77" t="b">
        <v>0</v>
      </c>
      <c r="AJ823" s="77"/>
      <c r="AK823" s="77"/>
      <c r="AL823" s="77"/>
      <c r="AM823" s="77"/>
      <c r="AN823" s="77"/>
      <c r="AO823" s="77"/>
      <c r="AP823" s="77"/>
      <c r="AQ823" s="77"/>
      <c r="AR823" s="77"/>
      <c r="AS823" s="77"/>
      <c r="AT823" s="77"/>
      <c r="AU823" s="77"/>
      <c r="AV823" s="80" t="str">
        <f>HYPERLINK("https://pbs.twimg.com/profile_images/1431648743728852993/tLJ7F5Lu_normal.png")</f>
        <v>https://pbs.twimg.com/profile_images/1431648743728852993/tLJ7F5Lu_normal.png</v>
      </c>
      <c r="AW823" s="82" t="s">
        <v>17596</v>
      </c>
      <c r="AX823" s="82" t="s">
        <v>17596</v>
      </c>
      <c r="AY823" s="77"/>
      <c r="AZ823" s="82" t="s">
        <v>20971</v>
      </c>
      <c r="BA823" s="82" t="s">
        <v>20971</v>
      </c>
      <c r="BB823" s="82" t="s">
        <v>20971</v>
      </c>
      <c r="BC823" s="82" t="s">
        <v>17596</v>
      </c>
      <c r="BD823" s="77">
        <v>489723814</v>
      </c>
      <c r="BE823" s="77"/>
      <c r="BF823" s="77"/>
      <c r="BG823" s="77"/>
      <c r="BH823" s="77"/>
      <c r="BI823" s="77"/>
    </row>
    <row r="824" spans="1:61" x14ac:dyDescent="0.25">
      <c r="A824" s="62" t="s">
        <v>418</v>
      </c>
      <c r="B824" s="62" t="s">
        <v>418</v>
      </c>
      <c r="C824" s="63"/>
      <c r="D824" s="64"/>
      <c r="E824" s="65"/>
      <c r="F824" s="66"/>
      <c r="G824" s="63"/>
      <c r="H824" s="67"/>
      <c r="I824" s="68"/>
      <c r="J824" s="68"/>
      <c r="K824" s="32"/>
      <c r="L824" s="75">
        <v>824</v>
      </c>
      <c r="M824" s="75"/>
      <c r="N824" s="70"/>
      <c r="O824" s="77" t="s">
        <v>179</v>
      </c>
      <c r="P824" s="79">
        <v>45034.047581018516</v>
      </c>
      <c r="Q824" s="77" t="s">
        <v>2105</v>
      </c>
      <c r="R824" s="77">
        <v>0</v>
      </c>
      <c r="S824" s="77">
        <v>0</v>
      </c>
      <c r="T824" s="77">
        <v>0</v>
      </c>
      <c r="U824" s="77">
        <v>0</v>
      </c>
      <c r="V824" s="77">
        <v>63</v>
      </c>
      <c r="W824" s="82" t="s">
        <v>5335</v>
      </c>
      <c r="X824" s="80" t="str">
        <f>HYPERLINK("https://www.freeclassificados.com/ads/apartamento-de-3-dormitorios-na-vila-mariana-e-proximos-dos-metros/")</f>
        <v>https://www.freeclassificados.com/ads/apartamento-de-3-dormitorios-na-vila-mariana-e-proximos-dos-metros/</v>
      </c>
      <c r="Y824" s="77" t="s">
        <v>7308</v>
      </c>
      <c r="Z824" s="77"/>
      <c r="AA824" s="77"/>
      <c r="AB824" s="77"/>
      <c r="AC824" s="82" t="s">
        <v>10155</v>
      </c>
      <c r="AD824" s="77" t="s">
        <v>10184</v>
      </c>
      <c r="AE824" s="80" t="str">
        <f>HYPERLINK("https://twitter.com/freeclassific/status/1648131359955894275")</f>
        <v>https://twitter.com/freeclassific/status/1648131359955894275</v>
      </c>
      <c r="AF824" s="79">
        <v>45034.047581018516</v>
      </c>
      <c r="AG824" s="85">
        <v>45034</v>
      </c>
      <c r="AH824" s="82" t="s">
        <v>10976</v>
      </c>
      <c r="AI824" s="77" t="b">
        <v>0</v>
      </c>
      <c r="AJ824" s="77"/>
      <c r="AK824" s="77"/>
      <c r="AL824" s="77"/>
      <c r="AM824" s="77"/>
      <c r="AN824" s="77"/>
      <c r="AO824" s="77"/>
      <c r="AP824" s="77"/>
      <c r="AQ824" s="77"/>
      <c r="AR824" s="77"/>
      <c r="AS824" s="77"/>
      <c r="AT824" s="77"/>
      <c r="AU824" s="77"/>
      <c r="AV824" s="80" t="str">
        <f>HYPERLINK("https://pbs.twimg.com/profile_images/1431648743728852993/tLJ7F5Lu_normal.png")</f>
        <v>https://pbs.twimg.com/profile_images/1431648743728852993/tLJ7F5Lu_normal.png</v>
      </c>
      <c r="AW824" s="82" t="s">
        <v>17597</v>
      </c>
      <c r="AX824" s="82" t="s">
        <v>17597</v>
      </c>
      <c r="AY824" s="77"/>
      <c r="AZ824" s="82" t="s">
        <v>20971</v>
      </c>
      <c r="BA824" s="82" t="s">
        <v>20971</v>
      </c>
      <c r="BB824" s="82" t="s">
        <v>20971</v>
      </c>
      <c r="BC824" s="82" t="s">
        <v>17597</v>
      </c>
      <c r="BD824" s="77">
        <v>489723814</v>
      </c>
      <c r="BE824" s="77"/>
      <c r="BF824" s="77"/>
      <c r="BG824" s="77"/>
      <c r="BH824" s="77"/>
      <c r="BI824" s="77"/>
    </row>
    <row r="825" spans="1:61" x14ac:dyDescent="0.25">
      <c r="A825" s="62" t="s">
        <v>418</v>
      </c>
      <c r="B825" s="62" t="s">
        <v>418</v>
      </c>
      <c r="C825" s="63"/>
      <c r="D825" s="64"/>
      <c r="E825" s="65"/>
      <c r="F825" s="66"/>
      <c r="G825" s="63"/>
      <c r="H825" s="67"/>
      <c r="I825" s="68"/>
      <c r="J825" s="68"/>
      <c r="K825" s="32"/>
      <c r="L825" s="75">
        <v>825</v>
      </c>
      <c r="M825" s="75"/>
      <c r="N825" s="70"/>
      <c r="O825" s="77" t="s">
        <v>179</v>
      </c>
      <c r="P825" s="79">
        <v>45034.031354166669</v>
      </c>
      <c r="Q825" s="77" t="s">
        <v>2106</v>
      </c>
      <c r="R825" s="77">
        <v>0</v>
      </c>
      <c r="S825" s="77">
        <v>0</v>
      </c>
      <c r="T825" s="77">
        <v>0</v>
      </c>
      <c r="U825" s="77">
        <v>0</v>
      </c>
      <c r="V825" s="77">
        <v>13</v>
      </c>
      <c r="W825" s="82" t="s">
        <v>5335</v>
      </c>
      <c r="X825" s="80" t="str">
        <f>HYPERLINK("https://www.freeclassificados.com/ads/construcao-e-reforma-em-geral/")</f>
        <v>https://www.freeclassificados.com/ads/construcao-e-reforma-em-geral/</v>
      </c>
      <c r="Y825" s="77" t="s">
        <v>7308</v>
      </c>
      <c r="Z825" s="77"/>
      <c r="AA825" s="77"/>
      <c r="AB825" s="77"/>
      <c r="AC825" s="82" t="s">
        <v>10155</v>
      </c>
      <c r="AD825" s="77" t="s">
        <v>10184</v>
      </c>
      <c r="AE825" s="80" t="str">
        <f>HYPERLINK("https://twitter.com/freeclassific/status/1648125476811186176")</f>
        <v>https://twitter.com/freeclassific/status/1648125476811186176</v>
      </c>
      <c r="AF825" s="79">
        <v>45034.031354166669</v>
      </c>
      <c r="AG825" s="85">
        <v>45034</v>
      </c>
      <c r="AH825" s="82" t="s">
        <v>10977</v>
      </c>
      <c r="AI825" s="77" t="b">
        <v>0</v>
      </c>
      <c r="AJ825" s="77"/>
      <c r="AK825" s="77"/>
      <c r="AL825" s="77"/>
      <c r="AM825" s="77"/>
      <c r="AN825" s="77"/>
      <c r="AO825" s="77"/>
      <c r="AP825" s="77"/>
      <c r="AQ825" s="77"/>
      <c r="AR825" s="77"/>
      <c r="AS825" s="77"/>
      <c r="AT825" s="77"/>
      <c r="AU825" s="77"/>
      <c r="AV825" s="80" t="str">
        <f>HYPERLINK("https://pbs.twimg.com/profile_images/1431648743728852993/tLJ7F5Lu_normal.png")</f>
        <v>https://pbs.twimg.com/profile_images/1431648743728852993/tLJ7F5Lu_normal.png</v>
      </c>
      <c r="AW825" s="82" t="s">
        <v>17598</v>
      </c>
      <c r="AX825" s="82" t="s">
        <v>17598</v>
      </c>
      <c r="AY825" s="77"/>
      <c r="AZ825" s="82" t="s">
        <v>20971</v>
      </c>
      <c r="BA825" s="82" t="s">
        <v>20971</v>
      </c>
      <c r="BB825" s="82" t="s">
        <v>20971</v>
      </c>
      <c r="BC825" s="82" t="s">
        <v>17598</v>
      </c>
      <c r="BD825" s="77">
        <v>489723814</v>
      </c>
      <c r="BE825" s="77"/>
      <c r="BF825" s="77"/>
      <c r="BG825" s="77"/>
      <c r="BH825" s="77"/>
      <c r="BI825" s="77"/>
    </row>
    <row r="826" spans="1:61" x14ac:dyDescent="0.25">
      <c r="A826" s="62" t="s">
        <v>418</v>
      </c>
      <c r="B826" s="62" t="s">
        <v>418</v>
      </c>
      <c r="C826" s="63"/>
      <c r="D826" s="64"/>
      <c r="E826" s="65"/>
      <c r="F826" s="66"/>
      <c r="G826" s="63"/>
      <c r="H826" s="67"/>
      <c r="I826" s="68"/>
      <c r="J826" s="68"/>
      <c r="K826" s="32"/>
      <c r="L826" s="75">
        <v>826</v>
      </c>
      <c r="M826" s="75"/>
      <c r="N826" s="70"/>
      <c r="O826" s="77" t="s">
        <v>179</v>
      </c>
      <c r="P826" s="79">
        <v>45033.968287037038</v>
      </c>
      <c r="Q826" s="77" t="s">
        <v>2107</v>
      </c>
      <c r="R826" s="77">
        <v>0</v>
      </c>
      <c r="S826" s="77">
        <v>0</v>
      </c>
      <c r="T826" s="77">
        <v>0</v>
      </c>
      <c r="U826" s="77">
        <v>0</v>
      </c>
      <c r="V826" s="77">
        <v>13</v>
      </c>
      <c r="W826" s="82" t="s">
        <v>5335</v>
      </c>
      <c r="X826" s="80" t="str">
        <f>HYPERLINK("https://www.freeclassificados.com/ads/pix-connection-produtos-servicos-digitais-e-renda-extra/")</f>
        <v>https://www.freeclassificados.com/ads/pix-connection-produtos-servicos-digitais-e-renda-extra/</v>
      </c>
      <c r="Y826" s="77" t="s">
        <v>7308</v>
      </c>
      <c r="Z826" s="77"/>
      <c r="AA826" s="77"/>
      <c r="AB826" s="77"/>
      <c r="AC826" s="82" t="s">
        <v>10155</v>
      </c>
      <c r="AD826" s="77" t="s">
        <v>10184</v>
      </c>
      <c r="AE826" s="80" t="str">
        <f>HYPERLINK("https://twitter.com/freeclassific/status/1648102625769029632")</f>
        <v>https://twitter.com/freeclassific/status/1648102625769029632</v>
      </c>
      <c r="AF826" s="79">
        <v>45033.968287037038</v>
      </c>
      <c r="AG826" s="85">
        <v>45033</v>
      </c>
      <c r="AH826" s="82" t="s">
        <v>10978</v>
      </c>
      <c r="AI826" s="77" t="b">
        <v>0</v>
      </c>
      <c r="AJ826" s="77"/>
      <c r="AK826" s="77"/>
      <c r="AL826" s="77"/>
      <c r="AM826" s="77"/>
      <c r="AN826" s="77"/>
      <c r="AO826" s="77"/>
      <c r="AP826" s="77"/>
      <c r="AQ826" s="77"/>
      <c r="AR826" s="77"/>
      <c r="AS826" s="77"/>
      <c r="AT826" s="77"/>
      <c r="AU826" s="77"/>
      <c r="AV826" s="80" t="str">
        <f>HYPERLINK("https://pbs.twimg.com/profile_images/1431648743728852993/tLJ7F5Lu_normal.png")</f>
        <v>https://pbs.twimg.com/profile_images/1431648743728852993/tLJ7F5Lu_normal.png</v>
      </c>
      <c r="AW826" s="82" t="s">
        <v>17599</v>
      </c>
      <c r="AX826" s="82" t="s">
        <v>17599</v>
      </c>
      <c r="AY826" s="77"/>
      <c r="AZ826" s="82" t="s">
        <v>20971</v>
      </c>
      <c r="BA826" s="82" t="s">
        <v>20971</v>
      </c>
      <c r="BB826" s="82" t="s">
        <v>20971</v>
      </c>
      <c r="BC826" s="82" t="s">
        <v>17599</v>
      </c>
      <c r="BD826" s="77">
        <v>489723814</v>
      </c>
      <c r="BE826" s="77"/>
      <c r="BF826" s="77"/>
      <c r="BG826" s="77"/>
      <c r="BH826" s="77"/>
      <c r="BI826" s="77"/>
    </row>
    <row r="827" spans="1:61" x14ac:dyDescent="0.25">
      <c r="A827" s="62" t="s">
        <v>418</v>
      </c>
      <c r="B827" s="62" t="s">
        <v>418</v>
      </c>
      <c r="C827" s="63"/>
      <c r="D827" s="64"/>
      <c r="E827" s="65"/>
      <c r="F827" s="66"/>
      <c r="G827" s="63"/>
      <c r="H827" s="67"/>
      <c r="I827" s="68"/>
      <c r="J827" s="68"/>
      <c r="K827" s="32"/>
      <c r="L827" s="75">
        <v>827</v>
      </c>
      <c r="M827" s="75"/>
      <c r="N827" s="70"/>
      <c r="O827" s="77" t="s">
        <v>179</v>
      </c>
      <c r="P827" s="79">
        <v>45021.565185185187</v>
      </c>
      <c r="Q827" s="77" t="s">
        <v>2108</v>
      </c>
      <c r="R827" s="77">
        <v>0</v>
      </c>
      <c r="S827" s="77">
        <v>0</v>
      </c>
      <c r="T827" s="77">
        <v>0</v>
      </c>
      <c r="U827" s="77">
        <v>0</v>
      </c>
      <c r="V827" s="77">
        <v>6</v>
      </c>
      <c r="W827" s="82" t="s">
        <v>5335</v>
      </c>
      <c r="X827" s="80" t="str">
        <f>HYPERLINK("https://www.freeclassificados.com/ads/sacolas-plasticas-personalizadas-3/")</f>
        <v>https://www.freeclassificados.com/ads/sacolas-plasticas-personalizadas-3/</v>
      </c>
      <c r="Y827" s="77" t="s">
        <v>7308</v>
      </c>
      <c r="Z827" s="77"/>
      <c r="AA827" s="77"/>
      <c r="AB827" s="77"/>
      <c r="AC827" s="82" t="s">
        <v>10155</v>
      </c>
      <c r="AD827" s="77" t="s">
        <v>10187</v>
      </c>
      <c r="AE827" s="80" t="str">
        <f>HYPERLINK("https://twitter.com/freeclassific/status/1643607891361038339")</f>
        <v>https://twitter.com/freeclassific/status/1643607891361038339</v>
      </c>
      <c r="AF827" s="79">
        <v>45021.565185185187</v>
      </c>
      <c r="AG827" s="85">
        <v>45021</v>
      </c>
      <c r="AH827" s="82" t="s">
        <v>10979</v>
      </c>
      <c r="AI827" s="77" t="b">
        <v>0</v>
      </c>
      <c r="AJ827" s="77"/>
      <c r="AK827" s="77"/>
      <c r="AL827" s="77"/>
      <c r="AM827" s="77"/>
      <c r="AN827" s="77"/>
      <c r="AO827" s="77"/>
      <c r="AP827" s="77"/>
      <c r="AQ827" s="77"/>
      <c r="AR827" s="77"/>
      <c r="AS827" s="77"/>
      <c r="AT827" s="77"/>
      <c r="AU827" s="77"/>
      <c r="AV827" s="80" t="str">
        <f>HYPERLINK("https://pbs.twimg.com/profile_images/1431648743728852993/tLJ7F5Lu_normal.png")</f>
        <v>https://pbs.twimg.com/profile_images/1431648743728852993/tLJ7F5Lu_normal.png</v>
      </c>
      <c r="AW827" s="82" t="s">
        <v>17600</v>
      </c>
      <c r="AX827" s="82" t="s">
        <v>17600</v>
      </c>
      <c r="AY827" s="77"/>
      <c r="AZ827" s="82" t="s">
        <v>20971</v>
      </c>
      <c r="BA827" s="82" t="s">
        <v>20971</v>
      </c>
      <c r="BB827" s="82" t="s">
        <v>20971</v>
      </c>
      <c r="BC827" s="82" t="s">
        <v>17600</v>
      </c>
      <c r="BD827" s="77">
        <v>489723814</v>
      </c>
      <c r="BE827" s="77"/>
      <c r="BF827" s="77"/>
      <c r="BG827" s="77"/>
      <c r="BH827" s="77"/>
      <c r="BI827" s="77"/>
    </row>
    <row r="828" spans="1:61" x14ac:dyDescent="0.25">
      <c r="A828" s="62" t="s">
        <v>418</v>
      </c>
      <c r="B828" s="62" t="s">
        <v>418</v>
      </c>
      <c r="C828" s="63"/>
      <c r="D828" s="64"/>
      <c r="E828" s="65"/>
      <c r="F828" s="66"/>
      <c r="G828" s="63"/>
      <c r="H828" s="67"/>
      <c r="I828" s="68"/>
      <c r="J828" s="68"/>
      <c r="K828" s="32"/>
      <c r="L828" s="75">
        <v>828</v>
      </c>
      <c r="M828" s="75"/>
      <c r="N828" s="70"/>
      <c r="O828" s="77" t="s">
        <v>179</v>
      </c>
      <c r="P828" s="79">
        <v>45021.547152777777</v>
      </c>
      <c r="Q828" s="77" t="s">
        <v>1938</v>
      </c>
      <c r="R828" s="77">
        <v>0</v>
      </c>
      <c r="S828" s="77">
        <v>0</v>
      </c>
      <c r="T828" s="77">
        <v>0</v>
      </c>
      <c r="U828" s="77">
        <v>0</v>
      </c>
      <c r="V828" s="77">
        <v>5</v>
      </c>
      <c r="W828" s="82" t="s">
        <v>5335</v>
      </c>
      <c r="X828" s="80" t="str">
        <f>HYPERLINK("https://www.freeclassificados.com/ads/palco-coberta-som-luz-alugo-palco-aluguel-tablado-de-vidro-palco-madeira-9-86-25-98-82/")</f>
        <v>https://www.freeclassificados.com/ads/palco-coberta-som-luz-alugo-palco-aluguel-tablado-de-vidro-palco-madeira-9-86-25-98-82/</v>
      </c>
      <c r="Y828" s="77" t="s">
        <v>7308</v>
      </c>
      <c r="Z828" s="77"/>
      <c r="AA828" s="77"/>
      <c r="AB828" s="77"/>
      <c r="AC828" s="82" t="s">
        <v>10155</v>
      </c>
      <c r="AD828" s="77" t="s">
        <v>10184</v>
      </c>
      <c r="AE828" s="80" t="str">
        <f>HYPERLINK("https://twitter.com/freeclassific/status/1643601354886361091")</f>
        <v>https://twitter.com/freeclassific/status/1643601354886361091</v>
      </c>
      <c r="AF828" s="79">
        <v>45021.547152777777</v>
      </c>
      <c r="AG828" s="85">
        <v>45021</v>
      </c>
      <c r="AH828" s="82" t="s">
        <v>10980</v>
      </c>
      <c r="AI828" s="77" t="b">
        <v>0</v>
      </c>
      <c r="AJ828" s="77"/>
      <c r="AK828" s="77"/>
      <c r="AL828" s="77"/>
      <c r="AM828" s="77"/>
      <c r="AN828" s="77"/>
      <c r="AO828" s="77"/>
      <c r="AP828" s="77"/>
      <c r="AQ828" s="77"/>
      <c r="AR828" s="77"/>
      <c r="AS828" s="77"/>
      <c r="AT828" s="77"/>
      <c r="AU828" s="77"/>
      <c r="AV828" s="80" t="str">
        <f>HYPERLINK("https://pbs.twimg.com/profile_images/1431648743728852993/tLJ7F5Lu_normal.png")</f>
        <v>https://pbs.twimg.com/profile_images/1431648743728852993/tLJ7F5Lu_normal.png</v>
      </c>
      <c r="AW828" s="82" t="s">
        <v>17601</v>
      </c>
      <c r="AX828" s="82" t="s">
        <v>17601</v>
      </c>
      <c r="AY828" s="77"/>
      <c r="AZ828" s="82" t="s">
        <v>20971</v>
      </c>
      <c r="BA828" s="82" t="s">
        <v>20971</v>
      </c>
      <c r="BB828" s="82" t="s">
        <v>20971</v>
      </c>
      <c r="BC828" s="82" t="s">
        <v>17601</v>
      </c>
      <c r="BD828" s="77">
        <v>489723814</v>
      </c>
      <c r="BE828" s="77"/>
      <c r="BF828" s="77"/>
      <c r="BG828" s="77"/>
      <c r="BH828" s="77"/>
      <c r="BI828" s="77"/>
    </row>
    <row r="829" spans="1:61" x14ac:dyDescent="0.25">
      <c r="A829" s="62" t="s">
        <v>418</v>
      </c>
      <c r="B829" s="62" t="s">
        <v>418</v>
      </c>
      <c r="C829" s="63"/>
      <c r="D829" s="64"/>
      <c r="E829" s="65"/>
      <c r="F829" s="66"/>
      <c r="G829" s="63"/>
      <c r="H829" s="67"/>
      <c r="I829" s="68"/>
      <c r="J829" s="68"/>
      <c r="K829" s="32"/>
      <c r="L829" s="75">
        <v>829</v>
      </c>
      <c r="M829" s="75"/>
      <c r="N829" s="70"/>
      <c r="O829" s="77" t="s">
        <v>179</v>
      </c>
      <c r="P829" s="79">
        <v>45020.835127314815</v>
      </c>
      <c r="Q829" s="77" t="s">
        <v>2109</v>
      </c>
      <c r="R829" s="77">
        <v>0</v>
      </c>
      <c r="S829" s="77">
        <v>0</v>
      </c>
      <c r="T829" s="77">
        <v>0</v>
      </c>
      <c r="U829" s="77">
        <v>0</v>
      </c>
      <c r="V829" s="77">
        <v>11</v>
      </c>
      <c r="W829" s="82" t="s">
        <v>5335</v>
      </c>
      <c r="X829" s="80" t="str">
        <f>HYPERLINK("https://www.freeclassificados.com/ads/sacola-plastica-personalizada-rio-embalagens/")</f>
        <v>https://www.freeclassificados.com/ads/sacola-plastica-personalizada-rio-embalagens/</v>
      </c>
      <c r="Y829" s="77" t="s">
        <v>7308</v>
      </c>
      <c r="Z829" s="77"/>
      <c r="AA829" s="77"/>
      <c r="AB829" s="77"/>
      <c r="AC829" s="82" t="s">
        <v>10155</v>
      </c>
      <c r="AD829" s="77" t="s">
        <v>10184</v>
      </c>
      <c r="AE829" s="80" t="str">
        <f>HYPERLINK("https://twitter.com/freeclassific/status/1643343327373434880")</f>
        <v>https://twitter.com/freeclassific/status/1643343327373434880</v>
      </c>
      <c r="AF829" s="79">
        <v>45020.835127314815</v>
      </c>
      <c r="AG829" s="85">
        <v>45020</v>
      </c>
      <c r="AH829" s="82" t="s">
        <v>10981</v>
      </c>
      <c r="AI829" s="77" t="b">
        <v>0</v>
      </c>
      <c r="AJ829" s="77"/>
      <c r="AK829" s="77"/>
      <c r="AL829" s="77"/>
      <c r="AM829" s="77"/>
      <c r="AN829" s="77"/>
      <c r="AO829" s="77"/>
      <c r="AP829" s="77"/>
      <c r="AQ829" s="77"/>
      <c r="AR829" s="77"/>
      <c r="AS829" s="77"/>
      <c r="AT829" s="77"/>
      <c r="AU829" s="77"/>
      <c r="AV829" s="80" t="str">
        <f>HYPERLINK("https://pbs.twimg.com/profile_images/1431648743728852993/tLJ7F5Lu_normal.png")</f>
        <v>https://pbs.twimg.com/profile_images/1431648743728852993/tLJ7F5Lu_normal.png</v>
      </c>
      <c r="AW829" s="82" t="s">
        <v>17602</v>
      </c>
      <c r="AX829" s="82" t="s">
        <v>17602</v>
      </c>
      <c r="AY829" s="77"/>
      <c r="AZ829" s="82" t="s">
        <v>20971</v>
      </c>
      <c r="BA829" s="82" t="s">
        <v>20971</v>
      </c>
      <c r="BB829" s="82" t="s">
        <v>20971</v>
      </c>
      <c r="BC829" s="82" t="s">
        <v>17602</v>
      </c>
      <c r="BD829" s="77">
        <v>489723814</v>
      </c>
      <c r="BE829" s="77"/>
      <c r="BF829" s="77"/>
      <c r="BG829" s="77"/>
      <c r="BH829" s="77"/>
      <c r="BI829" s="77"/>
    </row>
    <row r="830" spans="1:61" x14ac:dyDescent="0.25">
      <c r="A830" s="62" t="s">
        <v>418</v>
      </c>
      <c r="B830" s="62" t="s">
        <v>418</v>
      </c>
      <c r="C830" s="63"/>
      <c r="D830" s="64"/>
      <c r="E830" s="65"/>
      <c r="F830" s="66"/>
      <c r="G830" s="63"/>
      <c r="H830" s="67"/>
      <c r="I830" s="68"/>
      <c r="J830" s="68"/>
      <c r="K830" s="32"/>
      <c r="L830" s="75">
        <v>830</v>
      </c>
      <c r="M830" s="75"/>
      <c r="N830" s="70"/>
      <c r="O830" s="77" t="s">
        <v>179</v>
      </c>
      <c r="P830" s="79">
        <v>45020.673668981479</v>
      </c>
      <c r="Q830" s="77" t="s">
        <v>1938</v>
      </c>
      <c r="R830" s="77">
        <v>0</v>
      </c>
      <c r="S830" s="77">
        <v>0</v>
      </c>
      <c r="T830" s="77">
        <v>0</v>
      </c>
      <c r="U830" s="77">
        <v>0</v>
      </c>
      <c r="V830" s="77">
        <v>8</v>
      </c>
      <c r="W830" s="82" t="s">
        <v>5335</v>
      </c>
      <c r="X830" s="80" t="str">
        <f>HYPERLINK("https://www.freeclassificados.com/ads/palco-coberta-som-luz-alugo-palco-aluguel-tablado-de-vidro-palco-madeira-9-86-25-98-82/")</f>
        <v>https://www.freeclassificados.com/ads/palco-coberta-som-luz-alugo-palco-aluguel-tablado-de-vidro-palco-madeira-9-86-25-98-82/</v>
      </c>
      <c r="Y830" s="77" t="s">
        <v>7308</v>
      </c>
      <c r="Z830" s="77"/>
      <c r="AA830" s="77"/>
      <c r="AB830" s="77"/>
      <c r="AC830" s="82" t="s">
        <v>10155</v>
      </c>
      <c r="AD830" s="77" t="s">
        <v>10184</v>
      </c>
      <c r="AE830" s="80" t="str">
        <f>HYPERLINK("https://twitter.com/freeclassific/status/1643284817205927936")</f>
        <v>https://twitter.com/freeclassific/status/1643284817205927936</v>
      </c>
      <c r="AF830" s="79">
        <v>45020.673668981479</v>
      </c>
      <c r="AG830" s="85">
        <v>45020</v>
      </c>
      <c r="AH830" s="82" t="s">
        <v>10982</v>
      </c>
      <c r="AI830" s="77" t="b">
        <v>0</v>
      </c>
      <c r="AJ830" s="77"/>
      <c r="AK830" s="77"/>
      <c r="AL830" s="77"/>
      <c r="AM830" s="77"/>
      <c r="AN830" s="77"/>
      <c r="AO830" s="77"/>
      <c r="AP830" s="77"/>
      <c r="AQ830" s="77"/>
      <c r="AR830" s="77"/>
      <c r="AS830" s="77"/>
      <c r="AT830" s="77"/>
      <c r="AU830" s="77"/>
      <c r="AV830" s="80" t="str">
        <f>HYPERLINK("https://pbs.twimg.com/profile_images/1431648743728852993/tLJ7F5Lu_normal.png")</f>
        <v>https://pbs.twimg.com/profile_images/1431648743728852993/tLJ7F5Lu_normal.png</v>
      </c>
      <c r="AW830" s="82" t="s">
        <v>17603</v>
      </c>
      <c r="AX830" s="82" t="s">
        <v>17603</v>
      </c>
      <c r="AY830" s="77"/>
      <c r="AZ830" s="82" t="s">
        <v>20971</v>
      </c>
      <c r="BA830" s="82" t="s">
        <v>20971</v>
      </c>
      <c r="BB830" s="82" t="s">
        <v>20971</v>
      </c>
      <c r="BC830" s="82" t="s">
        <v>17603</v>
      </c>
      <c r="BD830" s="77">
        <v>489723814</v>
      </c>
      <c r="BE830" s="77"/>
      <c r="BF830" s="77"/>
      <c r="BG830" s="77"/>
      <c r="BH830" s="77"/>
      <c r="BI830" s="77"/>
    </row>
    <row r="831" spans="1:61" x14ac:dyDescent="0.25">
      <c r="A831" s="62" t="s">
        <v>418</v>
      </c>
      <c r="B831" s="62" t="s">
        <v>418</v>
      </c>
      <c r="C831" s="63"/>
      <c r="D831" s="64"/>
      <c r="E831" s="65"/>
      <c r="F831" s="66"/>
      <c r="G831" s="63"/>
      <c r="H831" s="67"/>
      <c r="I831" s="68"/>
      <c r="J831" s="68"/>
      <c r="K831" s="32"/>
      <c r="L831" s="75">
        <v>831</v>
      </c>
      <c r="M831" s="75"/>
      <c r="N831" s="70"/>
      <c r="O831" s="77" t="s">
        <v>179</v>
      </c>
      <c r="P831" s="79">
        <v>45020.595671296294</v>
      </c>
      <c r="Q831" s="77" t="s">
        <v>2110</v>
      </c>
      <c r="R831" s="77">
        <v>0</v>
      </c>
      <c r="S831" s="77">
        <v>0</v>
      </c>
      <c r="T831" s="77">
        <v>0</v>
      </c>
      <c r="U831" s="77">
        <v>0</v>
      </c>
      <c r="V831" s="77">
        <v>8</v>
      </c>
      <c r="W831" s="82" t="s">
        <v>5335</v>
      </c>
      <c r="X831" s="80" t="str">
        <f>HYPERLINK("https://www.freeclassificados.com/ads/anuncios-na-internet-criacao-de-sites-e-anuncios-no-google-agencia-nunes-divulgacao-online-para-empresas/")</f>
        <v>https://www.freeclassificados.com/ads/anuncios-na-internet-criacao-de-sites-e-anuncios-no-google-agencia-nunes-divulgacao-online-para-empresas/</v>
      </c>
      <c r="Y831" s="77" t="s">
        <v>7308</v>
      </c>
      <c r="Z831" s="77"/>
      <c r="AA831" s="77"/>
      <c r="AB831" s="77"/>
      <c r="AC831" s="82" t="s">
        <v>10155</v>
      </c>
      <c r="AD831" s="77" t="s">
        <v>10184</v>
      </c>
      <c r="AE831" s="80" t="str">
        <f>HYPERLINK("https://twitter.com/freeclassific/status/1643256552282009600")</f>
        <v>https://twitter.com/freeclassific/status/1643256552282009600</v>
      </c>
      <c r="AF831" s="79">
        <v>45020.595671296294</v>
      </c>
      <c r="AG831" s="85">
        <v>45020</v>
      </c>
      <c r="AH831" s="82" t="s">
        <v>10983</v>
      </c>
      <c r="AI831" s="77" t="b">
        <v>0</v>
      </c>
      <c r="AJ831" s="77"/>
      <c r="AK831" s="77"/>
      <c r="AL831" s="77"/>
      <c r="AM831" s="77"/>
      <c r="AN831" s="77"/>
      <c r="AO831" s="77"/>
      <c r="AP831" s="77"/>
      <c r="AQ831" s="77"/>
      <c r="AR831" s="77"/>
      <c r="AS831" s="77"/>
      <c r="AT831" s="77"/>
      <c r="AU831" s="77"/>
      <c r="AV831" s="80" t="str">
        <f>HYPERLINK("https://pbs.twimg.com/profile_images/1431648743728852993/tLJ7F5Lu_normal.png")</f>
        <v>https://pbs.twimg.com/profile_images/1431648743728852993/tLJ7F5Lu_normal.png</v>
      </c>
      <c r="AW831" s="82" t="s">
        <v>17604</v>
      </c>
      <c r="AX831" s="82" t="s">
        <v>17604</v>
      </c>
      <c r="AY831" s="77"/>
      <c r="AZ831" s="82" t="s">
        <v>20971</v>
      </c>
      <c r="BA831" s="82" t="s">
        <v>20971</v>
      </c>
      <c r="BB831" s="82" t="s">
        <v>20971</v>
      </c>
      <c r="BC831" s="82" t="s">
        <v>17604</v>
      </c>
      <c r="BD831" s="77">
        <v>489723814</v>
      </c>
      <c r="BE831" s="77"/>
      <c r="BF831" s="77"/>
      <c r="BG831" s="77"/>
      <c r="BH831" s="77"/>
      <c r="BI831" s="77"/>
    </row>
    <row r="832" spans="1:61" x14ac:dyDescent="0.25">
      <c r="A832" s="62" t="s">
        <v>418</v>
      </c>
      <c r="B832" s="62" t="s">
        <v>418</v>
      </c>
      <c r="C832" s="63"/>
      <c r="D832" s="64"/>
      <c r="E832" s="65"/>
      <c r="F832" s="66"/>
      <c r="G832" s="63"/>
      <c r="H832" s="67"/>
      <c r="I832" s="68"/>
      <c r="J832" s="68"/>
      <c r="K832" s="32"/>
      <c r="L832" s="75">
        <v>832</v>
      </c>
      <c r="M832" s="75"/>
      <c r="N832" s="70"/>
      <c r="O832" s="77" t="s">
        <v>179</v>
      </c>
      <c r="P832" s="79">
        <v>45020.538680555554</v>
      </c>
      <c r="Q832" s="77" t="s">
        <v>2111</v>
      </c>
      <c r="R832" s="77">
        <v>0</v>
      </c>
      <c r="S832" s="77">
        <v>0</v>
      </c>
      <c r="T832" s="77">
        <v>0</v>
      </c>
      <c r="U832" s="77">
        <v>0</v>
      </c>
      <c r="V832" s="77">
        <v>12</v>
      </c>
      <c r="W832" s="82" t="s">
        <v>5335</v>
      </c>
      <c r="X832" s="80" t="str">
        <f>HYPERLINK("https://www.freeclassificados.com/ads/marketing-para-sua-empresa/")</f>
        <v>https://www.freeclassificados.com/ads/marketing-para-sua-empresa/</v>
      </c>
      <c r="Y832" s="77" t="s">
        <v>7308</v>
      </c>
      <c r="Z832" s="77"/>
      <c r="AA832" s="77"/>
      <c r="AB832" s="77"/>
      <c r="AC832" s="82" t="s">
        <v>10155</v>
      </c>
      <c r="AD832" s="77" t="s">
        <v>10184</v>
      </c>
      <c r="AE832" s="80" t="str">
        <f>HYPERLINK("https://twitter.com/freeclassific/status/1643235899076124673")</f>
        <v>https://twitter.com/freeclassific/status/1643235899076124673</v>
      </c>
      <c r="AF832" s="79">
        <v>45020.538680555554</v>
      </c>
      <c r="AG832" s="85">
        <v>45020</v>
      </c>
      <c r="AH832" s="82" t="s">
        <v>10984</v>
      </c>
      <c r="AI832" s="77" t="b">
        <v>0</v>
      </c>
      <c r="AJ832" s="77"/>
      <c r="AK832" s="77"/>
      <c r="AL832" s="77"/>
      <c r="AM832" s="77"/>
      <c r="AN832" s="77"/>
      <c r="AO832" s="77"/>
      <c r="AP832" s="77"/>
      <c r="AQ832" s="77"/>
      <c r="AR832" s="77"/>
      <c r="AS832" s="77"/>
      <c r="AT832" s="77"/>
      <c r="AU832" s="77"/>
      <c r="AV832" s="80" t="str">
        <f>HYPERLINK("https://pbs.twimg.com/profile_images/1431648743728852993/tLJ7F5Lu_normal.png")</f>
        <v>https://pbs.twimg.com/profile_images/1431648743728852993/tLJ7F5Lu_normal.png</v>
      </c>
      <c r="AW832" s="82" t="s">
        <v>17605</v>
      </c>
      <c r="AX832" s="82" t="s">
        <v>17605</v>
      </c>
      <c r="AY832" s="77"/>
      <c r="AZ832" s="82" t="s">
        <v>20971</v>
      </c>
      <c r="BA832" s="82" t="s">
        <v>20971</v>
      </c>
      <c r="BB832" s="82" t="s">
        <v>20971</v>
      </c>
      <c r="BC832" s="82" t="s">
        <v>17605</v>
      </c>
      <c r="BD832" s="77">
        <v>489723814</v>
      </c>
      <c r="BE832" s="77"/>
      <c r="BF832" s="77"/>
      <c r="BG832" s="77"/>
      <c r="BH832" s="77"/>
      <c r="BI832" s="77"/>
    </row>
    <row r="833" spans="1:61" x14ac:dyDescent="0.25">
      <c r="A833" s="62" t="s">
        <v>418</v>
      </c>
      <c r="B833" s="62" t="s">
        <v>418</v>
      </c>
      <c r="C833" s="63"/>
      <c r="D833" s="64"/>
      <c r="E833" s="65"/>
      <c r="F833" s="66"/>
      <c r="G833" s="63"/>
      <c r="H833" s="67"/>
      <c r="I833" s="68"/>
      <c r="J833" s="68"/>
      <c r="K833" s="32"/>
      <c r="L833" s="75">
        <v>833</v>
      </c>
      <c r="M833" s="75"/>
      <c r="N833" s="70"/>
      <c r="O833" s="77" t="s">
        <v>179</v>
      </c>
      <c r="P833" s="79">
        <v>45019.635138888887</v>
      </c>
      <c r="Q833" s="77" t="s">
        <v>2112</v>
      </c>
      <c r="R833" s="77">
        <v>0</v>
      </c>
      <c r="S833" s="77">
        <v>0</v>
      </c>
      <c r="T833" s="77">
        <v>0</v>
      </c>
      <c r="U833" s="77">
        <v>0</v>
      </c>
      <c r="V833" s="77">
        <v>42</v>
      </c>
      <c r="W833" s="82" t="s">
        <v>5335</v>
      </c>
      <c r="X833" s="80" t="str">
        <f>HYPERLINK("https://www.freeclassificados.com/ads/ele-vai-pedir-voce-em-namoro-em-30-dias/")</f>
        <v>https://www.freeclassificados.com/ads/ele-vai-pedir-voce-em-namoro-em-30-dias/</v>
      </c>
      <c r="Y833" s="77" t="s">
        <v>7308</v>
      </c>
      <c r="Z833" s="77"/>
      <c r="AA833" s="77"/>
      <c r="AB833" s="77"/>
      <c r="AC833" s="82" t="s">
        <v>10155</v>
      </c>
      <c r="AD833" s="77" t="s">
        <v>10184</v>
      </c>
      <c r="AE833" s="80" t="str">
        <f>HYPERLINK("https://twitter.com/freeclassific/status/1642908466640736258")</f>
        <v>https://twitter.com/freeclassific/status/1642908466640736258</v>
      </c>
      <c r="AF833" s="79">
        <v>45019.635138888887</v>
      </c>
      <c r="AG833" s="85">
        <v>45019</v>
      </c>
      <c r="AH833" s="82" t="s">
        <v>10985</v>
      </c>
      <c r="AI833" s="77" t="b">
        <v>0</v>
      </c>
      <c r="AJ833" s="77"/>
      <c r="AK833" s="77"/>
      <c r="AL833" s="77"/>
      <c r="AM833" s="77"/>
      <c r="AN833" s="77"/>
      <c r="AO833" s="77"/>
      <c r="AP833" s="77"/>
      <c r="AQ833" s="77"/>
      <c r="AR833" s="77"/>
      <c r="AS833" s="77"/>
      <c r="AT833" s="77"/>
      <c r="AU833" s="77"/>
      <c r="AV833" s="80" t="str">
        <f>HYPERLINK("https://pbs.twimg.com/profile_images/1431648743728852993/tLJ7F5Lu_normal.png")</f>
        <v>https://pbs.twimg.com/profile_images/1431648743728852993/tLJ7F5Lu_normal.png</v>
      </c>
      <c r="AW833" s="82" t="s">
        <v>17606</v>
      </c>
      <c r="AX833" s="82" t="s">
        <v>17606</v>
      </c>
      <c r="AY833" s="77"/>
      <c r="AZ833" s="82" t="s">
        <v>20971</v>
      </c>
      <c r="BA833" s="82" t="s">
        <v>20971</v>
      </c>
      <c r="BB833" s="82" t="s">
        <v>20971</v>
      </c>
      <c r="BC833" s="82" t="s">
        <v>17606</v>
      </c>
      <c r="BD833" s="77">
        <v>489723814</v>
      </c>
      <c r="BE833" s="77"/>
      <c r="BF833" s="77"/>
      <c r="BG833" s="77"/>
      <c r="BH833" s="77"/>
      <c r="BI833" s="77"/>
    </row>
    <row r="834" spans="1:61" x14ac:dyDescent="0.25">
      <c r="A834" s="62" t="s">
        <v>418</v>
      </c>
      <c r="B834" s="62" t="s">
        <v>418</v>
      </c>
      <c r="C834" s="63"/>
      <c r="D834" s="64"/>
      <c r="E834" s="65"/>
      <c r="F834" s="66"/>
      <c r="G834" s="63"/>
      <c r="H834" s="67"/>
      <c r="I834" s="68"/>
      <c r="J834" s="68"/>
      <c r="K834" s="32"/>
      <c r="L834" s="75">
        <v>834</v>
      </c>
      <c r="M834" s="75"/>
      <c r="N834" s="70"/>
      <c r="O834" s="77" t="s">
        <v>179</v>
      </c>
      <c r="P834" s="79">
        <v>45019.632615740738</v>
      </c>
      <c r="Q834" s="77" t="s">
        <v>2113</v>
      </c>
      <c r="R834" s="77">
        <v>0</v>
      </c>
      <c r="S834" s="77">
        <v>0</v>
      </c>
      <c r="T834" s="77">
        <v>0</v>
      </c>
      <c r="U834" s="77">
        <v>0</v>
      </c>
      <c r="V834" s="77">
        <v>16</v>
      </c>
      <c r="W834" s="82" t="s">
        <v>5335</v>
      </c>
      <c r="X834" s="80" t="str">
        <f>HYPERLINK("https://www.freeclassificados.com/ads/desafio-19-dias/")</f>
        <v>https://www.freeclassificados.com/ads/desafio-19-dias/</v>
      </c>
      <c r="Y834" s="77" t="s">
        <v>7308</v>
      </c>
      <c r="Z834" s="77"/>
      <c r="AA834" s="77"/>
      <c r="AB834" s="77"/>
      <c r="AC834" s="82" t="s">
        <v>10155</v>
      </c>
      <c r="AD834" s="77" t="s">
        <v>10184</v>
      </c>
      <c r="AE834" s="80" t="str">
        <f>HYPERLINK("https://twitter.com/freeclassific/status/1642907550575366145")</f>
        <v>https://twitter.com/freeclassific/status/1642907550575366145</v>
      </c>
      <c r="AF834" s="79">
        <v>45019.632615740738</v>
      </c>
      <c r="AG834" s="85">
        <v>45019</v>
      </c>
      <c r="AH834" s="82" t="s">
        <v>10986</v>
      </c>
      <c r="AI834" s="77" t="b">
        <v>0</v>
      </c>
      <c r="AJ834" s="77"/>
      <c r="AK834" s="77"/>
      <c r="AL834" s="77"/>
      <c r="AM834" s="77"/>
      <c r="AN834" s="77"/>
      <c r="AO834" s="77"/>
      <c r="AP834" s="77"/>
      <c r="AQ834" s="77"/>
      <c r="AR834" s="77"/>
      <c r="AS834" s="77"/>
      <c r="AT834" s="77"/>
      <c r="AU834" s="77"/>
      <c r="AV834" s="80" t="str">
        <f>HYPERLINK("https://pbs.twimg.com/profile_images/1431648743728852993/tLJ7F5Lu_normal.png")</f>
        <v>https://pbs.twimg.com/profile_images/1431648743728852993/tLJ7F5Lu_normal.png</v>
      </c>
      <c r="AW834" s="82" t="s">
        <v>17607</v>
      </c>
      <c r="AX834" s="82" t="s">
        <v>17607</v>
      </c>
      <c r="AY834" s="77"/>
      <c r="AZ834" s="82" t="s">
        <v>20971</v>
      </c>
      <c r="BA834" s="82" t="s">
        <v>20971</v>
      </c>
      <c r="BB834" s="82" t="s">
        <v>20971</v>
      </c>
      <c r="BC834" s="82" t="s">
        <v>17607</v>
      </c>
      <c r="BD834" s="77">
        <v>489723814</v>
      </c>
      <c r="BE834" s="77"/>
      <c r="BF834" s="77"/>
      <c r="BG834" s="77"/>
      <c r="BH834" s="77"/>
      <c r="BI834" s="77"/>
    </row>
    <row r="835" spans="1:61" x14ac:dyDescent="0.25">
      <c r="A835" s="62" t="s">
        <v>418</v>
      </c>
      <c r="B835" s="62" t="s">
        <v>418</v>
      </c>
      <c r="C835" s="63"/>
      <c r="D835" s="64"/>
      <c r="E835" s="65"/>
      <c r="F835" s="66"/>
      <c r="G835" s="63"/>
      <c r="H835" s="67"/>
      <c r="I835" s="68"/>
      <c r="J835" s="68"/>
      <c r="K835" s="32"/>
      <c r="L835" s="75">
        <v>835</v>
      </c>
      <c r="M835" s="75"/>
      <c r="N835" s="70"/>
      <c r="O835" s="77" t="s">
        <v>179</v>
      </c>
      <c r="P835" s="79">
        <v>45019.62809027778</v>
      </c>
      <c r="Q835" s="77" t="s">
        <v>2114</v>
      </c>
      <c r="R835" s="77">
        <v>0</v>
      </c>
      <c r="S835" s="77">
        <v>0</v>
      </c>
      <c r="T835" s="77">
        <v>0</v>
      </c>
      <c r="U835" s="77">
        <v>0</v>
      </c>
      <c r="V835" s="77">
        <v>13</v>
      </c>
      <c r="W835" s="82" t="s">
        <v>5335</v>
      </c>
      <c r="X835" s="80" t="str">
        <f>HYPERLINK("https://www.freeclassificados.com/ads/ele-nunca-vai-esquecer/")</f>
        <v>https://www.freeclassificados.com/ads/ele-nunca-vai-esquecer/</v>
      </c>
      <c r="Y835" s="77" t="s">
        <v>7308</v>
      </c>
      <c r="Z835" s="77"/>
      <c r="AA835" s="77"/>
      <c r="AB835" s="77"/>
      <c r="AC835" s="82" t="s">
        <v>10155</v>
      </c>
      <c r="AD835" s="77" t="s">
        <v>10184</v>
      </c>
      <c r="AE835" s="80" t="str">
        <f>HYPERLINK("https://twitter.com/freeclassific/status/1642905912162803714")</f>
        <v>https://twitter.com/freeclassific/status/1642905912162803714</v>
      </c>
      <c r="AF835" s="79">
        <v>45019.62809027778</v>
      </c>
      <c r="AG835" s="85">
        <v>45019</v>
      </c>
      <c r="AH835" s="82" t="s">
        <v>10987</v>
      </c>
      <c r="AI835" s="77" t="b">
        <v>0</v>
      </c>
      <c r="AJ835" s="77"/>
      <c r="AK835" s="77"/>
      <c r="AL835" s="77"/>
      <c r="AM835" s="77"/>
      <c r="AN835" s="77"/>
      <c r="AO835" s="77"/>
      <c r="AP835" s="77"/>
      <c r="AQ835" s="77"/>
      <c r="AR835" s="77"/>
      <c r="AS835" s="77"/>
      <c r="AT835" s="77"/>
      <c r="AU835" s="77"/>
      <c r="AV835" s="80" t="str">
        <f>HYPERLINK("https://pbs.twimg.com/profile_images/1431648743728852993/tLJ7F5Lu_normal.png")</f>
        <v>https://pbs.twimg.com/profile_images/1431648743728852993/tLJ7F5Lu_normal.png</v>
      </c>
      <c r="AW835" s="82" t="s">
        <v>17608</v>
      </c>
      <c r="AX835" s="82" t="s">
        <v>17608</v>
      </c>
      <c r="AY835" s="77"/>
      <c r="AZ835" s="82" t="s">
        <v>20971</v>
      </c>
      <c r="BA835" s="82" t="s">
        <v>20971</v>
      </c>
      <c r="BB835" s="82" t="s">
        <v>20971</v>
      </c>
      <c r="BC835" s="82" t="s">
        <v>17608</v>
      </c>
      <c r="BD835" s="77">
        <v>489723814</v>
      </c>
      <c r="BE835" s="77"/>
      <c r="BF835" s="77"/>
      <c r="BG835" s="77"/>
      <c r="BH835" s="77"/>
      <c r="BI835" s="77"/>
    </row>
    <row r="836" spans="1:61" x14ac:dyDescent="0.25">
      <c r="A836" s="62" t="s">
        <v>418</v>
      </c>
      <c r="B836" s="62" t="s">
        <v>418</v>
      </c>
      <c r="C836" s="63"/>
      <c r="D836" s="64"/>
      <c r="E836" s="65"/>
      <c r="F836" s="66"/>
      <c r="G836" s="63"/>
      <c r="H836" s="67"/>
      <c r="I836" s="68"/>
      <c r="J836" s="68"/>
      <c r="K836" s="32"/>
      <c r="L836" s="75">
        <v>836</v>
      </c>
      <c r="M836" s="75"/>
      <c r="N836" s="70"/>
      <c r="O836" s="77" t="s">
        <v>179</v>
      </c>
      <c r="P836" s="79">
        <v>45019.587372685186</v>
      </c>
      <c r="Q836" s="77" t="s">
        <v>1938</v>
      </c>
      <c r="R836" s="77">
        <v>0</v>
      </c>
      <c r="S836" s="77">
        <v>0</v>
      </c>
      <c r="T836" s="77">
        <v>0</v>
      </c>
      <c r="U836" s="77">
        <v>0</v>
      </c>
      <c r="V836" s="77">
        <v>12</v>
      </c>
      <c r="W836" s="82" t="s">
        <v>5335</v>
      </c>
      <c r="X836" s="80" t="str">
        <f>HYPERLINK("https://www.freeclassificados.com/ads/palco-coberta-som-luz-alugo-palco-aluguel-tablado-de-vidro-palco-madeira-9-86-25-98-82/")</f>
        <v>https://www.freeclassificados.com/ads/palco-coberta-som-luz-alugo-palco-aluguel-tablado-de-vidro-palco-madeira-9-86-25-98-82/</v>
      </c>
      <c r="Y836" s="77" t="s">
        <v>7308</v>
      </c>
      <c r="Z836" s="77"/>
      <c r="AA836" s="77"/>
      <c r="AB836" s="77"/>
      <c r="AC836" s="82" t="s">
        <v>10155</v>
      </c>
      <c r="AD836" s="77" t="s">
        <v>10184</v>
      </c>
      <c r="AE836" s="80" t="str">
        <f>HYPERLINK("https://twitter.com/freeclassific/status/1642891153686274048")</f>
        <v>https://twitter.com/freeclassific/status/1642891153686274048</v>
      </c>
      <c r="AF836" s="79">
        <v>45019.587372685186</v>
      </c>
      <c r="AG836" s="85">
        <v>45019</v>
      </c>
      <c r="AH836" s="82" t="s">
        <v>10988</v>
      </c>
      <c r="AI836" s="77" t="b">
        <v>0</v>
      </c>
      <c r="AJ836" s="77"/>
      <c r="AK836" s="77"/>
      <c r="AL836" s="77"/>
      <c r="AM836" s="77"/>
      <c r="AN836" s="77"/>
      <c r="AO836" s="77"/>
      <c r="AP836" s="77"/>
      <c r="AQ836" s="77"/>
      <c r="AR836" s="77"/>
      <c r="AS836" s="77"/>
      <c r="AT836" s="77"/>
      <c r="AU836" s="77"/>
      <c r="AV836" s="80" t="str">
        <f>HYPERLINK("https://pbs.twimg.com/profile_images/1431648743728852993/tLJ7F5Lu_normal.png")</f>
        <v>https://pbs.twimg.com/profile_images/1431648743728852993/tLJ7F5Lu_normal.png</v>
      </c>
      <c r="AW836" s="82" t="s">
        <v>17609</v>
      </c>
      <c r="AX836" s="82" t="s">
        <v>17609</v>
      </c>
      <c r="AY836" s="77"/>
      <c r="AZ836" s="82" t="s">
        <v>20971</v>
      </c>
      <c r="BA836" s="82" t="s">
        <v>20971</v>
      </c>
      <c r="BB836" s="82" t="s">
        <v>20971</v>
      </c>
      <c r="BC836" s="82" t="s">
        <v>17609</v>
      </c>
      <c r="BD836" s="77">
        <v>489723814</v>
      </c>
      <c r="BE836" s="77"/>
      <c r="BF836" s="77"/>
      <c r="BG836" s="77"/>
      <c r="BH836" s="77"/>
      <c r="BI836" s="77"/>
    </row>
    <row r="837" spans="1:61" x14ac:dyDescent="0.25">
      <c r="A837" s="62" t="s">
        <v>418</v>
      </c>
      <c r="B837" s="62" t="s">
        <v>418</v>
      </c>
      <c r="C837" s="63"/>
      <c r="D837" s="64"/>
      <c r="E837" s="65"/>
      <c r="F837" s="66"/>
      <c r="G837" s="63"/>
      <c r="H837" s="67"/>
      <c r="I837" s="68"/>
      <c r="J837" s="68"/>
      <c r="K837" s="32"/>
      <c r="L837" s="75">
        <v>837</v>
      </c>
      <c r="M837" s="75"/>
      <c r="N837" s="70"/>
      <c r="O837" s="77" t="s">
        <v>179</v>
      </c>
      <c r="P837" s="79">
        <v>45019.573622685188</v>
      </c>
      <c r="Q837" s="77" t="s">
        <v>2115</v>
      </c>
      <c r="R837" s="77">
        <v>0</v>
      </c>
      <c r="S837" s="77">
        <v>0</v>
      </c>
      <c r="T837" s="77">
        <v>0</v>
      </c>
      <c r="U837" s="77">
        <v>0</v>
      </c>
      <c r="V837" s="77">
        <v>16</v>
      </c>
      <c r="W837" s="82" t="s">
        <v>5335</v>
      </c>
      <c r="X837" s="80" t="str">
        <f>HYPERLINK("https://www.freeclassificados.com/ads/designer-digital/")</f>
        <v>https://www.freeclassificados.com/ads/designer-digital/</v>
      </c>
      <c r="Y837" s="77" t="s">
        <v>7308</v>
      </c>
      <c r="Z837" s="77"/>
      <c r="AA837" s="77"/>
      <c r="AB837" s="77"/>
      <c r="AC837" s="82" t="s">
        <v>10155</v>
      </c>
      <c r="AD837" s="77" t="s">
        <v>10188</v>
      </c>
      <c r="AE837" s="80" t="str">
        <f>HYPERLINK("https://twitter.com/freeclassific/status/1642886171033497600")</f>
        <v>https://twitter.com/freeclassific/status/1642886171033497600</v>
      </c>
      <c r="AF837" s="79">
        <v>45019.573622685188</v>
      </c>
      <c r="AG837" s="85">
        <v>45019</v>
      </c>
      <c r="AH837" s="82" t="s">
        <v>10989</v>
      </c>
      <c r="AI837" s="77" t="b">
        <v>0</v>
      </c>
      <c r="AJ837" s="77"/>
      <c r="AK837" s="77"/>
      <c r="AL837" s="77"/>
      <c r="AM837" s="77"/>
      <c r="AN837" s="77"/>
      <c r="AO837" s="77"/>
      <c r="AP837" s="77"/>
      <c r="AQ837" s="77"/>
      <c r="AR837" s="77"/>
      <c r="AS837" s="77"/>
      <c r="AT837" s="77"/>
      <c r="AU837" s="77"/>
      <c r="AV837" s="80" t="str">
        <f>HYPERLINK("https://pbs.twimg.com/profile_images/1431648743728852993/tLJ7F5Lu_normal.png")</f>
        <v>https://pbs.twimg.com/profile_images/1431648743728852993/tLJ7F5Lu_normal.png</v>
      </c>
      <c r="AW837" s="82" t="s">
        <v>17610</v>
      </c>
      <c r="AX837" s="82" t="s">
        <v>17610</v>
      </c>
      <c r="AY837" s="77"/>
      <c r="AZ837" s="82" t="s">
        <v>20971</v>
      </c>
      <c r="BA837" s="82" t="s">
        <v>20971</v>
      </c>
      <c r="BB837" s="82" t="s">
        <v>20971</v>
      </c>
      <c r="BC837" s="82" t="s">
        <v>17610</v>
      </c>
      <c r="BD837" s="77">
        <v>489723814</v>
      </c>
      <c r="BE837" s="77"/>
      <c r="BF837" s="77"/>
      <c r="BG837" s="77"/>
      <c r="BH837" s="77"/>
      <c r="BI837" s="77"/>
    </row>
    <row r="838" spans="1:61" x14ac:dyDescent="0.25">
      <c r="A838" s="62" t="s">
        <v>418</v>
      </c>
      <c r="B838" s="62" t="s">
        <v>418</v>
      </c>
      <c r="C838" s="63"/>
      <c r="D838" s="64"/>
      <c r="E838" s="65"/>
      <c r="F838" s="66"/>
      <c r="G838" s="63"/>
      <c r="H838" s="67"/>
      <c r="I838" s="68"/>
      <c r="J838" s="68"/>
      <c r="K838" s="32"/>
      <c r="L838" s="75">
        <v>838</v>
      </c>
      <c r="M838" s="75"/>
      <c r="N838" s="70"/>
      <c r="O838" s="77" t="s">
        <v>179</v>
      </c>
      <c r="P838" s="79">
        <v>45001.740254629629</v>
      </c>
      <c r="Q838" s="77" t="s">
        <v>2116</v>
      </c>
      <c r="R838" s="77">
        <v>0</v>
      </c>
      <c r="S838" s="77">
        <v>0</v>
      </c>
      <c r="T838" s="77">
        <v>0</v>
      </c>
      <c r="U838" s="77">
        <v>0</v>
      </c>
      <c r="V838" s="77">
        <v>7</v>
      </c>
      <c r="W838" s="82" t="s">
        <v>5335</v>
      </c>
      <c r="X838" s="80" t="str">
        <f>HYPERLINK("https://www.freeclassificados.com/ads/urgente-aprovado-pela-anvisa/")</f>
        <v>https://www.freeclassificados.com/ads/urgente-aprovado-pela-anvisa/</v>
      </c>
      <c r="Y838" s="77" t="s">
        <v>7308</v>
      </c>
      <c r="Z838" s="77"/>
      <c r="AA838" s="77"/>
      <c r="AB838" s="77"/>
      <c r="AC838" s="82" t="s">
        <v>10155</v>
      </c>
      <c r="AD838" s="77" t="s">
        <v>10184</v>
      </c>
      <c r="AE838" s="80" t="str">
        <f>HYPERLINK("https://twitter.com/freeclassific/status/1636423578244751360")</f>
        <v>https://twitter.com/freeclassific/status/1636423578244751360</v>
      </c>
      <c r="AF838" s="79">
        <v>45001.740254629629</v>
      </c>
      <c r="AG838" s="85">
        <v>45001</v>
      </c>
      <c r="AH838" s="82" t="s">
        <v>10990</v>
      </c>
      <c r="AI838" s="77" t="b">
        <v>0</v>
      </c>
      <c r="AJ838" s="77"/>
      <c r="AK838" s="77"/>
      <c r="AL838" s="77"/>
      <c r="AM838" s="77"/>
      <c r="AN838" s="77"/>
      <c r="AO838" s="77"/>
      <c r="AP838" s="77"/>
      <c r="AQ838" s="77"/>
      <c r="AR838" s="77"/>
      <c r="AS838" s="77"/>
      <c r="AT838" s="77"/>
      <c r="AU838" s="77"/>
      <c r="AV838" s="80" t="str">
        <f>HYPERLINK("https://pbs.twimg.com/profile_images/1431648743728852993/tLJ7F5Lu_normal.png")</f>
        <v>https://pbs.twimg.com/profile_images/1431648743728852993/tLJ7F5Lu_normal.png</v>
      </c>
      <c r="AW838" s="82" t="s">
        <v>17611</v>
      </c>
      <c r="AX838" s="82" t="s">
        <v>17611</v>
      </c>
      <c r="AY838" s="77"/>
      <c r="AZ838" s="82" t="s">
        <v>20971</v>
      </c>
      <c r="BA838" s="82" t="s">
        <v>20971</v>
      </c>
      <c r="BB838" s="82" t="s">
        <v>20971</v>
      </c>
      <c r="BC838" s="82" t="s">
        <v>17611</v>
      </c>
      <c r="BD838" s="77">
        <v>489723814</v>
      </c>
      <c r="BE838" s="77"/>
      <c r="BF838" s="77"/>
      <c r="BG838" s="77"/>
      <c r="BH838" s="77"/>
      <c r="BI838" s="77"/>
    </row>
    <row r="839" spans="1:61" x14ac:dyDescent="0.25">
      <c r="A839" s="62" t="s">
        <v>418</v>
      </c>
      <c r="B839" s="62" t="s">
        <v>418</v>
      </c>
      <c r="C839" s="63"/>
      <c r="D839" s="64"/>
      <c r="E839" s="65"/>
      <c r="F839" s="66"/>
      <c r="G839" s="63"/>
      <c r="H839" s="67"/>
      <c r="I839" s="68"/>
      <c r="J839" s="68"/>
      <c r="K839" s="32"/>
      <c r="L839" s="75">
        <v>839</v>
      </c>
      <c r="M839" s="75"/>
      <c r="N839" s="70"/>
      <c r="O839" s="77" t="s">
        <v>179</v>
      </c>
      <c r="P839" s="79">
        <v>45001.71770833333</v>
      </c>
      <c r="Q839" s="77" t="s">
        <v>2117</v>
      </c>
      <c r="R839" s="77">
        <v>0</v>
      </c>
      <c r="S839" s="77">
        <v>0</v>
      </c>
      <c r="T839" s="77">
        <v>0</v>
      </c>
      <c r="U839" s="77">
        <v>0</v>
      </c>
      <c r="V839" s="77">
        <v>12</v>
      </c>
      <c r="W839" s="82" t="s">
        <v>5335</v>
      </c>
      <c r="X839" s="80" t="str">
        <f>HYPERLINK("https://www.freeclassificados.com/ads/comece-agora-o-seu-tratamento-e-veja-o-resultado-em-pouco-tempo/")</f>
        <v>https://www.freeclassificados.com/ads/comece-agora-o-seu-tratamento-e-veja-o-resultado-em-pouco-tempo/</v>
      </c>
      <c r="Y839" s="77" t="s">
        <v>7308</v>
      </c>
      <c r="Z839" s="77"/>
      <c r="AA839" s="77"/>
      <c r="AB839" s="77"/>
      <c r="AC839" s="82" t="s">
        <v>10155</v>
      </c>
      <c r="AD839" s="77" t="s">
        <v>10184</v>
      </c>
      <c r="AE839" s="80" t="str">
        <f>HYPERLINK("https://twitter.com/freeclassific/status/1636415407203713024")</f>
        <v>https://twitter.com/freeclassific/status/1636415407203713024</v>
      </c>
      <c r="AF839" s="79">
        <v>45001.71770833333</v>
      </c>
      <c r="AG839" s="85">
        <v>45001</v>
      </c>
      <c r="AH839" s="82" t="s">
        <v>10991</v>
      </c>
      <c r="AI839" s="77" t="b">
        <v>0</v>
      </c>
      <c r="AJ839" s="77"/>
      <c r="AK839" s="77"/>
      <c r="AL839" s="77"/>
      <c r="AM839" s="77"/>
      <c r="AN839" s="77"/>
      <c r="AO839" s="77"/>
      <c r="AP839" s="77"/>
      <c r="AQ839" s="77"/>
      <c r="AR839" s="77"/>
      <c r="AS839" s="77"/>
      <c r="AT839" s="77"/>
      <c r="AU839" s="77"/>
      <c r="AV839" s="80" t="str">
        <f>HYPERLINK("https://pbs.twimg.com/profile_images/1431648743728852993/tLJ7F5Lu_normal.png")</f>
        <v>https://pbs.twimg.com/profile_images/1431648743728852993/tLJ7F5Lu_normal.png</v>
      </c>
      <c r="AW839" s="82" t="s">
        <v>17612</v>
      </c>
      <c r="AX839" s="82" t="s">
        <v>17612</v>
      </c>
      <c r="AY839" s="77"/>
      <c r="AZ839" s="82" t="s">
        <v>20971</v>
      </c>
      <c r="BA839" s="82" t="s">
        <v>20971</v>
      </c>
      <c r="BB839" s="82" t="s">
        <v>20971</v>
      </c>
      <c r="BC839" s="82" t="s">
        <v>17612</v>
      </c>
      <c r="BD839" s="77">
        <v>489723814</v>
      </c>
      <c r="BE839" s="77"/>
      <c r="BF839" s="77"/>
      <c r="BG839" s="77"/>
      <c r="BH839" s="77"/>
      <c r="BI839" s="77"/>
    </row>
    <row r="840" spans="1:61" x14ac:dyDescent="0.25">
      <c r="A840" s="62" t="s">
        <v>418</v>
      </c>
      <c r="B840" s="62" t="s">
        <v>418</v>
      </c>
      <c r="C840" s="63"/>
      <c r="D840" s="64"/>
      <c r="E840" s="65"/>
      <c r="F840" s="66"/>
      <c r="G840" s="63"/>
      <c r="H840" s="67"/>
      <c r="I840" s="68"/>
      <c r="J840" s="68"/>
      <c r="K840" s="32"/>
      <c r="L840" s="75">
        <v>840</v>
      </c>
      <c r="M840" s="75"/>
      <c r="N840" s="70"/>
      <c r="O840" s="77" t="s">
        <v>179</v>
      </c>
      <c r="P840" s="79">
        <v>45001.650729166664</v>
      </c>
      <c r="Q840" s="77" t="s">
        <v>2118</v>
      </c>
      <c r="R840" s="77">
        <v>0</v>
      </c>
      <c r="S840" s="77">
        <v>0</v>
      </c>
      <c r="T840" s="77">
        <v>0</v>
      </c>
      <c r="U840" s="77">
        <v>0</v>
      </c>
      <c r="V840" s="77">
        <v>13</v>
      </c>
      <c r="W840" s="82" t="s">
        <v>5335</v>
      </c>
      <c r="X840" s="80" t="str">
        <f>HYPERLINK("https://www.freeclassificados.com/ads/the-vale-das-juntas-juntas-de-expansao-vedacao-e-isolacao-termica/")</f>
        <v>https://www.freeclassificados.com/ads/the-vale-das-juntas-juntas-de-expansao-vedacao-e-isolacao-termica/</v>
      </c>
      <c r="Y840" s="77" t="s">
        <v>7308</v>
      </c>
      <c r="Z840" s="77"/>
      <c r="AA840" s="77"/>
      <c r="AB840" s="77"/>
      <c r="AC840" s="82" t="s">
        <v>10155</v>
      </c>
      <c r="AD840" s="77" t="s">
        <v>10184</v>
      </c>
      <c r="AE840" s="80" t="str">
        <f>HYPERLINK("https://twitter.com/freeclassific/status/1636391134569308160")</f>
        <v>https://twitter.com/freeclassific/status/1636391134569308160</v>
      </c>
      <c r="AF840" s="79">
        <v>45001.650729166664</v>
      </c>
      <c r="AG840" s="85">
        <v>45001</v>
      </c>
      <c r="AH840" s="82" t="s">
        <v>10992</v>
      </c>
      <c r="AI840" s="77" t="b">
        <v>0</v>
      </c>
      <c r="AJ840" s="77"/>
      <c r="AK840" s="77"/>
      <c r="AL840" s="77"/>
      <c r="AM840" s="77"/>
      <c r="AN840" s="77"/>
      <c r="AO840" s="77"/>
      <c r="AP840" s="77"/>
      <c r="AQ840" s="77"/>
      <c r="AR840" s="77"/>
      <c r="AS840" s="77"/>
      <c r="AT840" s="77"/>
      <c r="AU840" s="77"/>
      <c r="AV840" s="80" t="str">
        <f>HYPERLINK("https://pbs.twimg.com/profile_images/1431648743728852993/tLJ7F5Lu_normal.png")</f>
        <v>https://pbs.twimg.com/profile_images/1431648743728852993/tLJ7F5Lu_normal.png</v>
      </c>
      <c r="AW840" s="82" t="s">
        <v>17613</v>
      </c>
      <c r="AX840" s="82" t="s">
        <v>17613</v>
      </c>
      <c r="AY840" s="77"/>
      <c r="AZ840" s="82" t="s">
        <v>20971</v>
      </c>
      <c r="BA840" s="82" t="s">
        <v>20971</v>
      </c>
      <c r="BB840" s="82" t="s">
        <v>20971</v>
      </c>
      <c r="BC840" s="82" t="s">
        <v>17613</v>
      </c>
      <c r="BD840" s="77">
        <v>489723814</v>
      </c>
      <c r="BE840" s="77"/>
      <c r="BF840" s="77"/>
      <c r="BG840" s="77"/>
      <c r="BH840" s="77"/>
      <c r="BI840" s="77"/>
    </row>
    <row r="841" spans="1:61" x14ac:dyDescent="0.25">
      <c r="A841" s="62" t="s">
        <v>418</v>
      </c>
      <c r="B841" s="62" t="s">
        <v>418</v>
      </c>
      <c r="C841" s="63"/>
      <c r="D841" s="64"/>
      <c r="E841" s="65"/>
      <c r="F841" s="66"/>
      <c r="G841" s="63"/>
      <c r="H841" s="67"/>
      <c r="I841" s="68"/>
      <c r="J841" s="68"/>
      <c r="K841" s="32"/>
      <c r="L841" s="75">
        <v>841</v>
      </c>
      <c r="M841" s="75"/>
      <c r="N841" s="70"/>
      <c r="O841" s="77" t="s">
        <v>179</v>
      </c>
      <c r="P841" s="79">
        <v>45001.611481481479</v>
      </c>
      <c r="Q841" s="77" t="s">
        <v>2119</v>
      </c>
      <c r="R841" s="77">
        <v>0</v>
      </c>
      <c r="S841" s="77">
        <v>0</v>
      </c>
      <c r="T841" s="77">
        <v>0</v>
      </c>
      <c r="U841" s="77">
        <v>0</v>
      </c>
      <c r="V841" s="77">
        <v>6</v>
      </c>
      <c r="W841" s="82" t="s">
        <v>5335</v>
      </c>
      <c r="X841" s="80" t="str">
        <f>HYPERLINK("https://www.freeclassificados.com/ads/embalagem-personalizada/")</f>
        <v>https://www.freeclassificados.com/ads/embalagem-personalizada/</v>
      </c>
      <c r="Y841" s="77" t="s">
        <v>7308</v>
      </c>
      <c r="Z841" s="77"/>
      <c r="AA841" s="77"/>
      <c r="AB841" s="77"/>
      <c r="AC841" s="82" t="s">
        <v>10155</v>
      </c>
      <c r="AD841" s="77" t="s">
        <v>10184</v>
      </c>
      <c r="AE841" s="80" t="str">
        <f>HYPERLINK("https://twitter.com/freeclassific/status/1636376911986434054")</f>
        <v>https://twitter.com/freeclassific/status/1636376911986434054</v>
      </c>
      <c r="AF841" s="79">
        <v>45001.611481481479</v>
      </c>
      <c r="AG841" s="85">
        <v>45001</v>
      </c>
      <c r="AH841" s="82" t="s">
        <v>10993</v>
      </c>
      <c r="AI841" s="77" t="b">
        <v>0</v>
      </c>
      <c r="AJ841" s="77"/>
      <c r="AK841" s="77"/>
      <c r="AL841" s="77"/>
      <c r="AM841" s="77"/>
      <c r="AN841" s="77"/>
      <c r="AO841" s="77"/>
      <c r="AP841" s="77"/>
      <c r="AQ841" s="77"/>
      <c r="AR841" s="77"/>
      <c r="AS841" s="77"/>
      <c r="AT841" s="77"/>
      <c r="AU841" s="77"/>
      <c r="AV841" s="80" t="str">
        <f>HYPERLINK("https://pbs.twimg.com/profile_images/1431648743728852993/tLJ7F5Lu_normal.png")</f>
        <v>https://pbs.twimg.com/profile_images/1431648743728852993/tLJ7F5Lu_normal.png</v>
      </c>
      <c r="AW841" s="82" t="s">
        <v>17614</v>
      </c>
      <c r="AX841" s="82" t="s">
        <v>17614</v>
      </c>
      <c r="AY841" s="77"/>
      <c r="AZ841" s="82" t="s">
        <v>20971</v>
      </c>
      <c r="BA841" s="82" t="s">
        <v>20971</v>
      </c>
      <c r="BB841" s="82" t="s">
        <v>20971</v>
      </c>
      <c r="BC841" s="82" t="s">
        <v>17614</v>
      </c>
      <c r="BD841" s="77">
        <v>489723814</v>
      </c>
      <c r="BE841" s="77"/>
      <c r="BF841" s="77"/>
      <c r="BG841" s="77"/>
      <c r="BH841" s="77"/>
      <c r="BI841" s="77"/>
    </row>
    <row r="842" spans="1:61" x14ac:dyDescent="0.25">
      <c r="A842" s="62" t="s">
        <v>418</v>
      </c>
      <c r="B842" s="62" t="s">
        <v>418</v>
      </c>
      <c r="C842" s="63"/>
      <c r="D842" s="64"/>
      <c r="E842" s="65"/>
      <c r="F842" s="66"/>
      <c r="G842" s="63"/>
      <c r="H842" s="67"/>
      <c r="I842" s="68"/>
      <c r="J842" s="68"/>
      <c r="K842" s="32"/>
      <c r="L842" s="75">
        <v>842</v>
      </c>
      <c r="M842" s="75"/>
      <c r="N842" s="70"/>
      <c r="O842" s="77" t="s">
        <v>179</v>
      </c>
      <c r="P842" s="79">
        <v>45000.748807870368</v>
      </c>
      <c r="Q842" s="77" t="s">
        <v>2120</v>
      </c>
      <c r="R842" s="77">
        <v>0</v>
      </c>
      <c r="S842" s="77">
        <v>0</v>
      </c>
      <c r="T842" s="77">
        <v>0</v>
      </c>
      <c r="U842" s="77">
        <v>0</v>
      </c>
      <c r="V842" s="77">
        <v>4</v>
      </c>
      <c r="W842" s="82" t="s">
        <v>5335</v>
      </c>
      <c r="X842" s="80" t="str">
        <f>HYPERLINK("https://www.freeclassificados.com/ads/treine-seu-cerebro-para-emagrecer-e-nunca-mais-volte-a-engordar/")</f>
        <v>https://www.freeclassificados.com/ads/treine-seu-cerebro-para-emagrecer-e-nunca-mais-volte-a-engordar/</v>
      </c>
      <c r="Y842" s="77" t="s">
        <v>7308</v>
      </c>
      <c r="Z842" s="77"/>
      <c r="AA842" s="77"/>
      <c r="AB842" s="77"/>
      <c r="AC842" s="82" t="s">
        <v>10155</v>
      </c>
      <c r="AD842" s="77" t="s">
        <v>10184</v>
      </c>
      <c r="AE842" s="80" t="str">
        <f>HYPERLINK("https://twitter.com/freeclassific/status/1636064289592348673")</f>
        <v>https://twitter.com/freeclassific/status/1636064289592348673</v>
      </c>
      <c r="AF842" s="79">
        <v>45000.748807870368</v>
      </c>
      <c r="AG842" s="85">
        <v>45000</v>
      </c>
      <c r="AH842" s="82" t="s">
        <v>10994</v>
      </c>
      <c r="AI842" s="77" t="b">
        <v>0</v>
      </c>
      <c r="AJ842" s="77"/>
      <c r="AK842" s="77"/>
      <c r="AL842" s="77"/>
      <c r="AM842" s="77"/>
      <c r="AN842" s="77"/>
      <c r="AO842" s="77"/>
      <c r="AP842" s="77"/>
      <c r="AQ842" s="77"/>
      <c r="AR842" s="77"/>
      <c r="AS842" s="77"/>
      <c r="AT842" s="77"/>
      <c r="AU842" s="77"/>
      <c r="AV842" s="80" t="str">
        <f>HYPERLINK("https://pbs.twimg.com/profile_images/1431648743728852993/tLJ7F5Lu_normal.png")</f>
        <v>https://pbs.twimg.com/profile_images/1431648743728852993/tLJ7F5Lu_normal.png</v>
      </c>
      <c r="AW842" s="82" t="s">
        <v>17615</v>
      </c>
      <c r="AX842" s="82" t="s">
        <v>17615</v>
      </c>
      <c r="AY842" s="77"/>
      <c r="AZ842" s="82" t="s">
        <v>20971</v>
      </c>
      <c r="BA842" s="82" t="s">
        <v>20971</v>
      </c>
      <c r="BB842" s="82" t="s">
        <v>20971</v>
      </c>
      <c r="BC842" s="82" t="s">
        <v>17615</v>
      </c>
      <c r="BD842" s="77">
        <v>489723814</v>
      </c>
      <c r="BE842" s="77"/>
      <c r="BF842" s="77"/>
      <c r="BG842" s="77"/>
      <c r="BH842" s="77"/>
      <c r="BI842" s="77"/>
    </row>
    <row r="843" spans="1:61" x14ac:dyDescent="0.25">
      <c r="A843" s="62" t="s">
        <v>418</v>
      </c>
      <c r="B843" s="62" t="s">
        <v>418</v>
      </c>
      <c r="C843" s="63"/>
      <c r="D843" s="64"/>
      <c r="E843" s="65"/>
      <c r="F843" s="66"/>
      <c r="G843" s="63"/>
      <c r="H843" s="67"/>
      <c r="I843" s="68"/>
      <c r="J843" s="68"/>
      <c r="K843" s="32"/>
      <c r="L843" s="75">
        <v>843</v>
      </c>
      <c r="M843" s="75"/>
      <c r="N843" s="70"/>
      <c r="O843" s="77" t="s">
        <v>179</v>
      </c>
      <c r="P843" s="79">
        <v>45000.737488425926</v>
      </c>
      <c r="Q843" s="77" t="s">
        <v>2121</v>
      </c>
      <c r="R843" s="77">
        <v>0</v>
      </c>
      <c r="S843" s="77">
        <v>0</v>
      </c>
      <c r="T843" s="77">
        <v>0</v>
      </c>
      <c r="U843" s="77">
        <v>0</v>
      </c>
      <c r="V843" s="77">
        <v>5</v>
      </c>
      <c r="W843" s="82" t="s">
        <v>5335</v>
      </c>
      <c r="X843" s="80" t="str">
        <f>HYPERLINK("https://www.freeclassificados.com/ads/confeitaria-e-sobremesas-metodo-de-preparo-com-25-receitas/")</f>
        <v>https://www.freeclassificados.com/ads/confeitaria-e-sobremesas-metodo-de-preparo-com-25-receitas/</v>
      </c>
      <c r="Y843" s="77" t="s">
        <v>7308</v>
      </c>
      <c r="Z843" s="77"/>
      <c r="AA843" s="77"/>
      <c r="AB843" s="77"/>
      <c r="AC843" s="82" t="s">
        <v>10155</v>
      </c>
      <c r="AD843" s="77" t="s">
        <v>10184</v>
      </c>
      <c r="AE843" s="80" t="str">
        <f>HYPERLINK("https://twitter.com/freeclassific/status/1636060185063206912")</f>
        <v>https://twitter.com/freeclassific/status/1636060185063206912</v>
      </c>
      <c r="AF843" s="79">
        <v>45000.737488425926</v>
      </c>
      <c r="AG843" s="85">
        <v>45000</v>
      </c>
      <c r="AH843" s="82" t="s">
        <v>10995</v>
      </c>
      <c r="AI843" s="77" t="b">
        <v>0</v>
      </c>
      <c r="AJ843" s="77"/>
      <c r="AK843" s="77"/>
      <c r="AL843" s="77"/>
      <c r="AM843" s="77"/>
      <c r="AN843" s="77"/>
      <c r="AO843" s="77"/>
      <c r="AP843" s="77"/>
      <c r="AQ843" s="77"/>
      <c r="AR843" s="77"/>
      <c r="AS843" s="77"/>
      <c r="AT843" s="77"/>
      <c r="AU843" s="77"/>
      <c r="AV843" s="80" t="str">
        <f>HYPERLINK("https://pbs.twimg.com/profile_images/1431648743728852993/tLJ7F5Lu_normal.png")</f>
        <v>https://pbs.twimg.com/profile_images/1431648743728852993/tLJ7F5Lu_normal.png</v>
      </c>
      <c r="AW843" s="82" t="s">
        <v>17616</v>
      </c>
      <c r="AX843" s="82" t="s">
        <v>17616</v>
      </c>
      <c r="AY843" s="77"/>
      <c r="AZ843" s="82" t="s">
        <v>20971</v>
      </c>
      <c r="BA843" s="82" t="s">
        <v>20971</v>
      </c>
      <c r="BB843" s="82" t="s">
        <v>20971</v>
      </c>
      <c r="BC843" s="82" t="s">
        <v>17616</v>
      </c>
      <c r="BD843" s="77">
        <v>489723814</v>
      </c>
      <c r="BE843" s="77"/>
      <c r="BF843" s="77"/>
      <c r="BG843" s="77"/>
      <c r="BH843" s="77"/>
      <c r="BI843" s="77"/>
    </row>
    <row r="844" spans="1:61" x14ac:dyDescent="0.25">
      <c r="A844" s="62" t="s">
        <v>418</v>
      </c>
      <c r="B844" s="62" t="s">
        <v>418</v>
      </c>
      <c r="C844" s="63"/>
      <c r="D844" s="64"/>
      <c r="E844" s="65"/>
      <c r="F844" s="66"/>
      <c r="G844" s="63"/>
      <c r="H844" s="67"/>
      <c r="I844" s="68"/>
      <c r="J844" s="68"/>
      <c r="K844" s="32"/>
      <c r="L844" s="75">
        <v>844</v>
      </c>
      <c r="M844" s="75"/>
      <c r="N844" s="70"/>
      <c r="O844" s="77" t="s">
        <v>179</v>
      </c>
      <c r="P844" s="79">
        <v>45000.723379629628</v>
      </c>
      <c r="Q844" s="77" t="s">
        <v>2122</v>
      </c>
      <c r="R844" s="77">
        <v>0</v>
      </c>
      <c r="S844" s="77">
        <v>0</v>
      </c>
      <c r="T844" s="77">
        <v>0</v>
      </c>
      <c r="U844" s="77">
        <v>0</v>
      </c>
      <c r="V844" s="77">
        <v>5</v>
      </c>
      <c r="W844" s="82" t="s">
        <v>5335</v>
      </c>
      <c r="X844" s="80" t="str">
        <f>HYPERLINK("https://www.freeclassificados.com/ads/por-que-todo-mundo-quer-saber-sobre-como-ter-a-sua-proprio-horta-organica-em-casa/")</f>
        <v>https://www.freeclassificados.com/ads/por-que-todo-mundo-quer-saber-sobre-como-ter-a-sua-proprio-horta-organica-em-casa/</v>
      </c>
      <c r="Y844" s="77" t="s">
        <v>7308</v>
      </c>
      <c r="Z844" s="77"/>
      <c r="AA844" s="77"/>
      <c r="AB844" s="77"/>
      <c r="AC844" s="82" t="s">
        <v>10155</v>
      </c>
      <c r="AD844" s="77" t="s">
        <v>10184</v>
      </c>
      <c r="AE844" s="80" t="str">
        <f>HYPERLINK("https://twitter.com/freeclassific/status/1636055074626756618")</f>
        <v>https://twitter.com/freeclassific/status/1636055074626756618</v>
      </c>
      <c r="AF844" s="79">
        <v>45000.723379629628</v>
      </c>
      <c r="AG844" s="85">
        <v>45000</v>
      </c>
      <c r="AH844" s="82" t="s">
        <v>10996</v>
      </c>
      <c r="AI844" s="77" t="b">
        <v>0</v>
      </c>
      <c r="AJ844" s="77"/>
      <c r="AK844" s="77"/>
      <c r="AL844" s="77"/>
      <c r="AM844" s="77"/>
      <c r="AN844" s="77"/>
      <c r="AO844" s="77"/>
      <c r="AP844" s="77"/>
      <c r="AQ844" s="77"/>
      <c r="AR844" s="77"/>
      <c r="AS844" s="77"/>
      <c r="AT844" s="77"/>
      <c r="AU844" s="77"/>
      <c r="AV844" s="80" t="str">
        <f>HYPERLINK("https://pbs.twimg.com/profile_images/1431648743728852993/tLJ7F5Lu_normal.png")</f>
        <v>https://pbs.twimg.com/profile_images/1431648743728852993/tLJ7F5Lu_normal.png</v>
      </c>
      <c r="AW844" s="82" t="s">
        <v>17617</v>
      </c>
      <c r="AX844" s="82" t="s">
        <v>17617</v>
      </c>
      <c r="AY844" s="77"/>
      <c r="AZ844" s="82" t="s">
        <v>20971</v>
      </c>
      <c r="BA844" s="82" t="s">
        <v>20971</v>
      </c>
      <c r="BB844" s="82" t="s">
        <v>20971</v>
      </c>
      <c r="BC844" s="82" t="s">
        <v>17617</v>
      </c>
      <c r="BD844" s="77">
        <v>489723814</v>
      </c>
      <c r="BE844" s="77"/>
      <c r="BF844" s="77"/>
      <c r="BG844" s="77"/>
      <c r="BH844" s="77"/>
      <c r="BI844" s="77"/>
    </row>
    <row r="845" spans="1:61" x14ac:dyDescent="0.25">
      <c r="A845" s="62" t="s">
        <v>418</v>
      </c>
      <c r="B845" s="62" t="s">
        <v>418</v>
      </c>
      <c r="C845" s="63"/>
      <c r="D845" s="64"/>
      <c r="E845" s="65"/>
      <c r="F845" s="66"/>
      <c r="G845" s="63"/>
      <c r="H845" s="67"/>
      <c r="I845" s="68"/>
      <c r="J845" s="68"/>
      <c r="K845" s="32"/>
      <c r="L845" s="75">
        <v>845</v>
      </c>
      <c r="M845" s="75"/>
      <c r="N845" s="70"/>
      <c r="O845" s="77" t="s">
        <v>179</v>
      </c>
      <c r="P845" s="79">
        <v>45000.721932870372</v>
      </c>
      <c r="Q845" s="77" t="s">
        <v>2123</v>
      </c>
      <c r="R845" s="77">
        <v>0</v>
      </c>
      <c r="S845" s="77">
        <v>0</v>
      </c>
      <c r="T845" s="77">
        <v>0</v>
      </c>
      <c r="U845" s="77">
        <v>0</v>
      </c>
      <c r="V845" s="77">
        <v>5</v>
      </c>
      <c r="W845" s="82" t="s">
        <v>5335</v>
      </c>
      <c r="X845" s="80" t="str">
        <f>HYPERLINK("https://www.freeclassificados.com/ads/por-que-todo-mundo-quer-saber-sobre-como-ter-a-sua-proprio-horta-organica-em-casa/")</f>
        <v>https://www.freeclassificados.com/ads/por-que-todo-mundo-quer-saber-sobre-como-ter-a-sua-proprio-horta-organica-em-casa/</v>
      </c>
      <c r="Y845" s="77" t="s">
        <v>7308</v>
      </c>
      <c r="Z845" s="77"/>
      <c r="AA845" s="77"/>
      <c r="AB845" s="77"/>
      <c r="AC845" s="82" t="s">
        <v>10155</v>
      </c>
      <c r="AD845" s="77" t="s">
        <v>10184</v>
      </c>
      <c r="AE845" s="80" t="str">
        <f>HYPERLINK("https://twitter.com/freeclassific/status/1636054549407617024")</f>
        <v>https://twitter.com/freeclassific/status/1636054549407617024</v>
      </c>
      <c r="AF845" s="79">
        <v>45000.721932870372</v>
      </c>
      <c r="AG845" s="85">
        <v>45000</v>
      </c>
      <c r="AH845" s="82" t="s">
        <v>10997</v>
      </c>
      <c r="AI845" s="77" t="b">
        <v>0</v>
      </c>
      <c r="AJ845" s="77"/>
      <c r="AK845" s="77"/>
      <c r="AL845" s="77"/>
      <c r="AM845" s="77"/>
      <c r="AN845" s="77"/>
      <c r="AO845" s="77"/>
      <c r="AP845" s="77"/>
      <c r="AQ845" s="77"/>
      <c r="AR845" s="77"/>
      <c r="AS845" s="77"/>
      <c r="AT845" s="77"/>
      <c r="AU845" s="77"/>
      <c r="AV845" s="80" t="str">
        <f>HYPERLINK("https://pbs.twimg.com/profile_images/1431648743728852993/tLJ7F5Lu_normal.png")</f>
        <v>https://pbs.twimg.com/profile_images/1431648743728852993/tLJ7F5Lu_normal.png</v>
      </c>
      <c r="AW845" s="82" t="s">
        <v>17618</v>
      </c>
      <c r="AX845" s="82" t="s">
        <v>17618</v>
      </c>
      <c r="AY845" s="77"/>
      <c r="AZ845" s="82" t="s">
        <v>20971</v>
      </c>
      <c r="BA845" s="82" t="s">
        <v>20971</v>
      </c>
      <c r="BB845" s="82" t="s">
        <v>20971</v>
      </c>
      <c r="BC845" s="82" t="s">
        <v>17618</v>
      </c>
      <c r="BD845" s="77">
        <v>489723814</v>
      </c>
      <c r="BE845" s="77"/>
      <c r="BF845" s="77"/>
      <c r="BG845" s="77"/>
      <c r="BH845" s="77"/>
      <c r="BI845" s="77"/>
    </row>
    <row r="846" spans="1:61" x14ac:dyDescent="0.25">
      <c r="A846" s="62" t="s">
        <v>418</v>
      </c>
      <c r="B846" s="62" t="s">
        <v>418</v>
      </c>
      <c r="C846" s="63"/>
      <c r="D846" s="64"/>
      <c r="E846" s="65"/>
      <c r="F846" s="66"/>
      <c r="G846" s="63"/>
      <c r="H846" s="67"/>
      <c r="I846" s="68"/>
      <c r="J846" s="68"/>
      <c r="K846" s="32"/>
      <c r="L846" s="75">
        <v>846</v>
      </c>
      <c r="M846" s="75"/>
      <c r="N846" s="70"/>
      <c r="O846" s="77" t="s">
        <v>179</v>
      </c>
      <c r="P846" s="79">
        <v>45000.619421296295</v>
      </c>
      <c r="Q846" s="77" t="s">
        <v>2124</v>
      </c>
      <c r="R846" s="77">
        <v>0</v>
      </c>
      <c r="S846" s="77">
        <v>0</v>
      </c>
      <c r="T846" s="77">
        <v>1</v>
      </c>
      <c r="U846" s="77">
        <v>0</v>
      </c>
      <c r="V846" s="77">
        <v>10</v>
      </c>
      <c r="W846" s="82" t="s">
        <v>5335</v>
      </c>
      <c r="X846" s="80" t="str">
        <f>HYPERLINK("https://www.freeclassificados.com/ads/embalagens-personalizadas-2/")</f>
        <v>https://www.freeclassificados.com/ads/embalagens-personalizadas-2/</v>
      </c>
      <c r="Y846" s="77" t="s">
        <v>7308</v>
      </c>
      <c r="Z846" s="77"/>
      <c r="AA846" s="77"/>
      <c r="AB846" s="77"/>
      <c r="AC846" s="82" t="s">
        <v>10155</v>
      </c>
      <c r="AD846" s="77" t="s">
        <v>10184</v>
      </c>
      <c r="AE846" s="80" t="str">
        <f>HYPERLINK("https://twitter.com/freeclassific/status/1636017398670315520")</f>
        <v>https://twitter.com/freeclassific/status/1636017398670315520</v>
      </c>
      <c r="AF846" s="79">
        <v>45000.619421296295</v>
      </c>
      <c r="AG846" s="85">
        <v>45000</v>
      </c>
      <c r="AH846" s="82" t="s">
        <v>10998</v>
      </c>
      <c r="AI846" s="77" t="b">
        <v>0</v>
      </c>
      <c r="AJ846" s="77"/>
      <c r="AK846" s="77"/>
      <c r="AL846" s="77"/>
      <c r="AM846" s="77"/>
      <c r="AN846" s="77"/>
      <c r="AO846" s="77"/>
      <c r="AP846" s="77"/>
      <c r="AQ846" s="77"/>
      <c r="AR846" s="77"/>
      <c r="AS846" s="77"/>
      <c r="AT846" s="77"/>
      <c r="AU846" s="77"/>
      <c r="AV846" s="80" t="str">
        <f>HYPERLINK("https://pbs.twimg.com/profile_images/1431648743728852993/tLJ7F5Lu_normal.png")</f>
        <v>https://pbs.twimg.com/profile_images/1431648743728852993/tLJ7F5Lu_normal.png</v>
      </c>
      <c r="AW846" s="82" t="s">
        <v>17619</v>
      </c>
      <c r="AX846" s="82" t="s">
        <v>17619</v>
      </c>
      <c r="AY846" s="77"/>
      <c r="AZ846" s="82" t="s">
        <v>20971</v>
      </c>
      <c r="BA846" s="82" t="s">
        <v>20971</v>
      </c>
      <c r="BB846" s="82" t="s">
        <v>20971</v>
      </c>
      <c r="BC846" s="82" t="s">
        <v>17619</v>
      </c>
      <c r="BD846" s="77">
        <v>489723814</v>
      </c>
      <c r="BE846" s="77"/>
      <c r="BF846" s="77"/>
      <c r="BG846" s="77"/>
      <c r="BH846" s="77"/>
      <c r="BI846" s="77"/>
    </row>
    <row r="847" spans="1:61" x14ac:dyDescent="0.25">
      <c r="A847" s="62" t="s">
        <v>418</v>
      </c>
      <c r="B847" s="62" t="s">
        <v>418</v>
      </c>
      <c r="C847" s="63"/>
      <c r="D847" s="64"/>
      <c r="E847" s="65"/>
      <c r="F847" s="66"/>
      <c r="G847" s="63"/>
      <c r="H847" s="67"/>
      <c r="I847" s="68"/>
      <c r="J847" s="68"/>
      <c r="K847" s="32"/>
      <c r="L847" s="75">
        <v>847</v>
      </c>
      <c r="M847" s="75"/>
      <c r="N847" s="70"/>
      <c r="O847" s="77" t="s">
        <v>179</v>
      </c>
      <c r="P847" s="79">
        <v>45000.556643518517</v>
      </c>
      <c r="Q847" s="77" t="s">
        <v>2125</v>
      </c>
      <c r="R847" s="77">
        <v>0</v>
      </c>
      <c r="S847" s="77">
        <v>0</v>
      </c>
      <c r="T847" s="77">
        <v>0</v>
      </c>
      <c r="U847" s="77">
        <v>0</v>
      </c>
      <c r="V847" s="77">
        <v>9</v>
      </c>
      <c r="W847" s="82" t="s">
        <v>5335</v>
      </c>
      <c r="X847" s="80" t="str">
        <f>HYPERLINK("https://www.freeclassificados.com/ads/anuncios-na-internet-criacao-de-sites/")</f>
        <v>https://www.freeclassificados.com/ads/anuncios-na-internet-criacao-de-sites/</v>
      </c>
      <c r="Y847" s="77" t="s">
        <v>7308</v>
      </c>
      <c r="Z847" s="77"/>
      <c r="AA847" s="77"/>
      <c r="AB847" s="77"/>
      <c r="AC847" s="82" t="s">
        <v>10155</v>
      </c>
      <c r="AD847" s="77" t="s">
        <v>10184</v>
      </c>
      <c r="AE847" s="80" t="str">
        <f>HYPERLINK("https://twitter.com/freeclassific/status/1635994647825911808")</f>
        <v>https://twitter.com/freeclassific/status/1635994647825911808</v>
      </c>
      <c r="AF847" s="79">
        <v>45000.556643518517</v>
      </c>
      <c r="AG847" s="85">
        <v>45000</v>
      </c>
      <c r="AH847" s="82" t="s">
        <v>10999</v>
      </c>
      <c r="AI847" s="77" t="b">
        <v>0</v>
      </c>
      <c r="AJ847" s="77"/>
      <c r="AK847" s="77"/>
      <c r="AL847" s="77"/>
      <c r="AM847" s="77"/>
      <c r="AN847" s="77"/>
      <c r="AO847" s="77"/>
      <c r="AP847" s="77"/>
      <c r="AQ847" s="77"/>
      <c r="AR847" s="77"/>
      <c r="AS847" s="77"/>
      <c r="AT847" s="77"/>
      <c r="AU847" s="77"/>
      <c r="AV847" s="80" t="str">
        <f>HYPERLINK("https://pbs.twimg.com/profile_images/1431648743728852993/tLJ7F5Lu_normal.png")</f>
        <v>https://pbs.twimg.com/profile_images/1431648743728852993/tLJ7F5Lu_normal.png</v>
      </c>
      <c r="AW847" s="82" t="s">
        <v>17620</v>
      </c>
      <c r="AX847" s="82" t="s">
        <v>17620</v>
      </c>
      <c r="AY847" s="77"/>
      <c r="AZ847" s="82" t="s">
        <v>20971</v>
      </c>
      <c r="BA847" s="82" t="s">
        <v>20971</v>
      </c>
      <c r="BB847" s="82" t="s">
        <v>20971</v>
      </c>
      <c r="BC847" s="82" t="s">
        <v>17620</v>
      </c>
      <c r="BD847" s="77">
        <v>489723814</v>
      </c>
      <c r="BE847" s="77"/>
      <c r="BF847" s="77"/>
      <c r="BG847" s="77"/>
      <c r="BH847" s="77"/>
      <c r="BI847" s="77"/>
    </row>
    <row r="848" spans="1:61" x14ac:dyDescent="0.25">
      <c r="A848" s="62" t="s">
        <v>418</v>
      </c>
      <c r="B848" s="62" t="s">
        <v>418</v>
      </c>
      <c r="C848" s="63"/>
      <c r="D848" s="64"/>
      <c r="E848" s="65"/>
      <c r="F848" s="66"/>
      <c r="G848" s="63"/>
      <c r="H848" s="67"/>
      <c r="I848" s="68"/>
      <c r="J848" s="68"/>
      <c r="K848" s="32"/>
      <c r="L848" s="75">
        <v>848</v>
      </c>
      <c r="M848" s="75"/>
      <c r="N848" s="70"/>
      <c r="O848" s="77" t="s">
        <v>179</v>
      </c>
      <c r="P848" s="79">
        <v>44999.947604166664</v>
      </c>
      <c r="Q848" s="77" t="s">
        <v>2126</v>
      </c>
      <c r="R848" s="77">
        <v>0</v>
      </c>
      <c r="S848" s="77">
        <v>0</v>
      </c>
      <c r="T848" s="77">
        <v>0</v>
      </c>
      <c r="U848" s="77">
        <v>0</v>
      </c>
      <c r="V848" s="77">
        <v>28</v>
      </c>
      <c r="W848" s="82" t="s">
        <v>5335</v>
      </c>
      <c r="X848" s="80" t="str">
        <f>HYPERLINK("https://www.freeclassificados.com/ads/pix-connection-e-agora-veja-como-ganhar-na-hora-r50-por-indicacao/")</f>
        <v>https://www.freeclassificados.com/ads/pix-connection-e-agora-veja-como-ganhar-na-hora-r50-por-indicacao/</v>
      </c>
      <c r="Y848" s="77" t="s">
        <v>7308</v>
      </c>
      <c r="Z848" s="77"/>
      <c r="AA848" s="77"/>
      <c r="AB848" s="77"/>
      <c r="AC848" s="82" t="s">
        <v>10155</v>
      </c>
      <c r="AD848" s="77" t="s">
        <v>10184</v>
      </c>
      <c r="AE848" s="80" t="str">
        <f>HYPERLINK("https://twitter.com/freeclassific/status/1635773943478091776")</f>
        <v>https://twitter.com/freeclassific/status/1635773943478091776</v>
      </c>
      <c r="AF848" s="79">
        <v>44999.947604166664</v>
      </c>
      <c r="AG848" s="85">
        <v>44999</v>
      </c>
      <c r="AH848" s="82" t="s">
        <v>11000</v>
      </c>
      <c r="AI848" s="77" t="b">
        <v>0</v>
      </c>
      <c r="AJ848" s="77"/>
      <c r="AK848" s="77"/>
      <c r="AL848" s="77"/>
      <c r="AM848" s="77"/>
      <c r="AN848" s="77"/>
      <c r="AO848" s="77"/>
      <c r="AP848" s="77"/>
      <c r="AQ848" s="77"/>
      <c r="AR848" s="77"/>
      <c r="AS848" s="77"/>
      <c r="AT848" s="77"/>
      <c r="AU848" s="77"/>
      <c r="AV848" s="80" t="str">
        <f>HYPERLINK("https://pbs.twimg.com/profile_images/1431648743728852993/tLJ7F5Lu_normal.png")</f>
        <v>https://pbs.twimg.com/profile_images/1431648743728852993/tLJ7F5Lu_normal.png</v>
      </c>
      <c r="AW848" s="82" t="s">
        <v>17621</v>
      </c>
      <c r="AX848" s="82" t="s">
        <v>17621</v>
      </c>
      <c r="AY848" s="77"/>
      <c r="AZ848" s="82" t="s">
        <v>20971</v>
      </c>
      <c r="BA848" s="82" t="s">
        <v>20971</v>
      </c>
      <c r="BB848" s="82" t="s">
        <v>20971</v>
      </c>
      <c r="BC848" s="82" t="s">
        <v>17621</v>
      </c>
      <c r="BD848" s="77">
        <v>489723814</v>
      </c>
      <c r="BE848" s="77"/>
      <c r="BF848" s="77"/>
      <c r="BG848" s="77"/>
      <c r="BH848" s="77"/>
      <c r="BI848" s="77"/>
    </row>
    <row r="849" spans="1:61" x14ac:dyDescent="0.25">
      <c r="A849" s="62" t="s">
        <v>418</v>
      </c>
      <c r="B849" s="62" t="s">
        <v>418</v>
      </c>
      <c r="C849" s="63"/>
      <c r="D849" s="64"/>
      <c r="E849" s="65"/>
      <c r="F849" s="66"/>
      <c r="G849" s="63"/>
      <c r="H849" s="67"/>
      <c r="I849" s="68"/>
      <c r="J849" s="68"/>
      <c r="K849" s="32"/>
      <c r="L849" s="75">
        <v>849</v>
      </c>
      <c r="M849" s="75"/>
      <c r="N849" s="70"/>
      <c r="O849" s="77" t="s">
        <v>179</v>
      </c>
      <c r="P849" s="79">
        <v>44999.858518518522</v>
      </c>
      <c r="Q849" s="77" t="s">
        <v>2032</v>
      </c>
      <c r="R849" s="77">
        <v>0</v>
      </c>
      <c r="S849" s="77">
        <v>0</v>
      </c>
      <c r="T849" s="77">
        <v>0</v>
      </c>
      <c r="U849" s="77">
        <v>0</v>
      </c>
      <c r="V849" s="77">
        <v>6</v>
      </c>
      <c r="W849" s="82" t="s">
        <v>5335</v>
      </c>
      <c r="X849" s="80" t="str">
        <f>HYPERLINK("https://www.freeclassificados.com/ads/ganhar-r300-reais-por-dia/")</f>
        <v>https://www.freeclassificados.com/ads/ganhar-r300-reais-por-dia/</v>
      </c>
      <c r="Y849" s="77" t="s">
        <v>7308</v>
      </c>
      <c r="Z849" s="77"/>
      <c r="AA849" s="77"/>
      <c r="AB849" s="77"/>
      <c r="AC849" s="82" t="s">
        <v>10155</v>
      </c>
      <c r="AD849" s="77" t="s">
        <v>10184</v>
      </c>
      <c r="AE849" s="80" t="str">
        <f>HYPERLINK("https://twitter.com/freeclassific/status/1635741656552185856")</f>
        <v>https://twitter.com/freeclassific/status/1635741656552185856</v>
      </c>
      <c r="AF849" s="79">
        <v>44999.858518518522</v>
      </c>
      <c r="AG849" s="85">
        <v>44999</v>
      </c>
      <c r="AH849" s="82" t="s">
        <v>11001</v>
      </c>
      <c r="AI849" s="77" t="b">
        <v>0</v>
      </c>
      <c r="AJ849" s="77"/>
      <c r="AK849" s="77"/>
      <c r="AL849" s="77"/>
      <c r="AM849" s="77"/>
      <c r="AN849" s="77"/>
      <c r="AO849" s="77"/>
      <c r="AP849" s="77"/>
      <c r="AQ849" s="77"/>
      <c r="AR849" s="77"/>
      <c r="AS849" s="77"/>
      <c r="AT849" s="77"/>
      <c r="AU849" s="77"/>
      <c r="AV849" s="80" t="str">
        <f>HYPERLINK("https://pbs.twimg.com/profile_images/1431648743728852993/tLJ7F5Lu_normal.png")</f>
        <v>https://pbs.twimg.com/profile_images/1431648743728852993/tLJ7F5Lu_normal.png</v>
      </c>
      <c r="AW849" s="82" t="s">
        <v>17622</v>
      </c>
      <c r="AX849" s="82" t="s">
        <v>17622</v>
      </c>
      <c r="AY849" s="77"/>
      <c r="AZ849" s="82" t="s">
        <v>20971</v>
      </c>
      <c r="BA849" s="82" t="s">
        <v>20971</v>
      </c>
      <c r="BB849" s="82" t="s">
        <v>20971</v>
      </c>
      <c r="BC849" s="82" t="s">
        <v>17622</v>
      </c>
      <c r="BD849" s="77">
        <v>489723814</v>
      </c>
      <c r="BE849" s="77"/>
      <c r="BF849" s="77"/>
      <c r="BG849" s="77"/>
      <c r="BH849" s="77"/>
      <c r="BI849" s="77"/>
    </row>
    <row r="850" spans="1:61" x14ac:dyDescent="0.25">
      <c r="A850" s="62" t="s">
        <v>418</v>
      </c>
      <c r="B850" s="62" t="s">
        <v>418</v>
      </c>
      <c r="C850" s="63"/>
      <c r="D850" s="64"/>
      <c r="E850" s="65"/>
      <c r="F850" s="66"/>
      <c r="G850" s="63"/>
      <c r="H850" s="67"/>
      <c r="I850" s="68"/>
      <c r="J850" s="68"/>
      <c r="K850" s="32"/>
      <c r="L850" s="75">
        <v>850</v>
      </c>
      <c r="M850" s="75"/>
      <c r="N850" s="70"/>
      <c r="O850" s="77" t="s">
        <v>179</v>
      </c>
      <c r="P850" s="79">
        <v>44999.793298611112</v>
      </c>
      <c r="Q850" s="77" t="s">
        <v>2127</v>
      </c>
      <c r="R850" s="77">
        <v>0</v>
      </c>
      <c r="S850" s="77">
        <v>0</v>
      </c>
      <c r="T850" s="77">
        <v>0</v>
      </c>
      <c r="U850" s="77">
        <v>0</v>
      </c>
      <c r="V850" s="77">
        <v>18</v>
      </c>
      <c r="W850" s="82" t="s">
        <v>5335</v>
      </c>
      <c r="X850" s="80" t="str">
        <f>HYPERLINK("https://www.freeclassificados.com/ads/cianeto-de-potassio-para-venda/")</f>
        <v>https://www.freeclassificados.com/ads/cianeto-de-potassio-para-venda/</v>
      </c>
      <c r="Y850" s="77" t="s">
        <v>7308</v>
      </c>
      <c r="Z850" s="77"/>
      <c r="AA850" s="77"/>
      <c r="AB850" s="77"/>
      <c r="AC850" s="82" t="s">
        <v>10155</v>
      </c>
      <c r="AD850" s="77" t="s">
        <v>10184</v>
      </c>
      <c r="AE850" s="80" t="str">
        <f>HYPERLINK("https://twitter.com/freeclassific/status/1635718022777417728")</f>
        <v>https://twitter.com/freeclassific/status/1635718022777417728</v>
      </c>
      <c r="AF850" s="79">
        <v>44999.793298611112</v>
      </c>
      <c r="AG850" s="85">
        <v>44999</v>
      </c>
      <c r="AH850" s="82" t="s">
        <v>11002</v>
      </c>
      <c r="AI850" s="77" t="b">
        <v>0</v>
      </c>
      <c r="AJ850" s="77"/>
      <c r="AK850" s="77"/>
      <c r="AL850" s="77"/>
      <c r="AM850" s="77"/>
      <c r="AN850" s="77"/>
      <c r="AO850" s="77"/>
      <c r="AP850" s="77"/>
      <c r="AQ850" s="77"/>
      <c r="AR850" s="77"/>
      <c r="AS850" s="77"/>
      <c r="AT850" s="77"/>
      <c r="AU850" s="77"/>
      <c r="AV850" s="80" t="str">
        <f>HYPERLINK("https://pbs.twimg.com/profile_images/1431648743728852993/tLJ7F5Lu_normal.png")</f>
        <v>https://pbs.twimg.com/profile_images/1431648743728852993/tLJ7F5Lu_normal.png</v>
      </c>
      <c r="AW850" s="82" t="s">
        <v>17623</v>
      </c>
      <c r="AX850" s="82" t="s">
        <v>17623</v>
      </c>
      <c r="AY850" s="77"/>
      <c r="AZ850" s="82" t="s">
        <v>20971</v>
      </c>
      <c r="BA850" s="82" t="s">
        <v>20971</v>
      </c>
      <c r="BB850" s="82" t="s">
        <v>20971</v>
      </c>
      <c r="BC850" s="82" t="s">
        <v>17623</v>
      </c>
      <c r="BD850" s="77">
        <v>489723814</v>
      </c>
      <c r="BE850" s="77"/>
      <c r="BF850" s="77"/>
      <c r="BG850" s="77"/>
      <c r="BH850" s="77"/>
      <c r="BI850" s="77"/>
    </row>
    <row r="851" spans="1:61" x14ac:dyDescent="0.25">
      <c r="A851" s="62" t="s">
        <v>418</v>
      </c>
      <c r="B851" s="62" t="s">
        <v>418</v>
      </c>
      <c r="C851" s="63"/>
      <c r="D851" s="64"/>
      <c r="E851" s="65"/>
      <c r="F851" s="66"/>
      <c r="G851" s="63"/>
      <c r="H851" s="67"/>
      <c r="I851" s="68"/>
      <c r="J851" s="68"/>
      <c r="K851" s="32"/>
      <c r="L851" s="75">
        <v>851</v>
      </c>
      <c r="M851" s="75"/>
      <c r="N851" s="70"/>
      <c r="O851" s="77" t="s">
        <v>179</v>
      </c>
      <c r="P851" s="79">
        <v>44999.787638888891</v>
      </c>
      <c r="Q851" s="77" t="s">
        <v>2128</v>
      </c>
      <c r="R851" s="77">
        <v>0</v>
      </c>
      <c r="S851" s="77">
        <v>0</v>
      </c>
      <c r="T851" s="77">
        <v>0</v>
      </c>
      <c r="U851" s="77">
        <v>0</v>
      </c>
      <c r="V851" s="77">
        <v>46</v>
      </c>
      <c r="W851" s="82" t="s">
        <v>5335</v>
      </c>
      <c r="X851" s="80" t="str">
        <f>HYPERLINK("https://www.freeclassificados.com/ads/espaco-nitfisio-rpg-pilates-fisioterapia-pelvica-e-acupuntura-no-centro-de-niteroi-rj/")</f>
        <v>https://www.freeclassificados.com/ads/espaco-nitfisio-rpg-pilates-fisioterapia-pelvica-e-acupuntura-no-centro-de-niteroi-rj/</v>
      </c>
      <c r="Y851" s="77" t="s">
        <v>7308</v>
      </c>
      <c r="Z851" s="77"/>
      <c r="AA851" s="77"/>
      <c r="AB851" s="77"/>
      <c r="AC851" s="82" t="s">
        <v>10155</v>
      </c>
      <c r="AD851" s="77" t="s">
        <v>10184</v>
      </c>
      <c r="AE851" s="80" t="str">
        <f>HYPERLINK("https://twitter.com/freeclassific/status/1635715970294755328")</f>
        <v>https://twitter.com/freeclassific/status/1635715970294755328</v>
      </c>
      <c r="AF851" s="79">
        <v>44999.787638888891</v>
      </c>
      <c r="AG851" s="85">
        <v>44999</v>
      </c>
      <c r="AH851" s="82" t="s">
        <v>11003</v>
      </c>
      <c r="AI851" s="77" t="b">
        <v>0</v>
      </c>
      <c r="AJ851" s="77"/>
      <c r="AK851" s="77"/>
      <c r="AL851" s="77"/>
      <c r="AM851" s="77"/>
      <c r="AN851" s="77"/>
      <c r="AO851" s="77"/>
      <c r="AP851" s="77"/>
      <c r="AQ851" s="77"/>
      <c r="AR851" s="77"/>
      <c r="AS851" s="77"/>
      <c r="AT851" s="77"/>
      <c r="AU851" s="77"/>
      <c r="AV851" s="80" t="str">
        <f>HYPERLINK("https://pbs.twimg.com/profile_images/1431648743728852993/tLJ7F5Lu_normal.png")</f>
        <v>https://pbs.twimg.com/profile_images/1431648743728852993/tLJ7F5Lu_normal.png</v>
      </c>
      <c r="AW851" s="82" t="s">
        <v>17624</v>
      </c>
      <c r="AX851" s="82" t="s">
        <v>17624</v>
      </c>
      <c r="AY851" s="77"/>
      <c r="AZ851" s="82" t="s">
        <v>20971</v>
      </c>
      <c r="BA851" s="82" t="s">
        <v>20971</v>
      </c>
      <c r="BB851" s="82" t="s">
        <v>20971</v>
      </c>
      <c r="BC851" s="82" t="s">
        <v>17624</v>
      </c>
      <c r="BD851" s="77">
        <v>489723814</v>
      </c>
      <c r="BE851" s="77"/>
      <c r="BF851" s="77"/>
      <c r="BG851" s="77"/>
      <c r="BH851" s="77"/>
      <c r="BI851" s="77"/>
    </row>
    <row r="852" spans="1:61" x14ac:dyDescent="0.25">
      <c r="A852" s="62" t="s">
        <v>418</v>
      </c>
      <c r="B852" s="62" t="s">
        <v>418</v>
      </c>
      <c r="C852" s="63"/>
      <c r="D852" s="64"/>
      <c r="E852" s="65"/>
      <c r="F852" s="66"/>
      <c r="G852" s="63"/>
      <c r="H852" s="67"/>
      <c r="I852" s="68"/>
      <c r="J852" s="68"/>
      <c r="K852" s="32"/>
      <c r="L852" s="75">
        <v>852</v>
      </c>
      <c r="M852" s="75"/>
      <c r="N852" s="70"/>
      <c r="O852" s="77" t="s">
        <v>179</v>
      </c>
      <c r="P852" s="79">
        <v>44999.761666666665</v>
      </c>
      <c r="Q852" s="77" t="s">
        <v>2129</v>
      </c>
      <c r="R852" s="77">
        <v>0</v>
      </c>
      <c r="S852" s="77">
        <v>0</v>
      </c>
      <c r="T852" s="77">
        <v>1</v>
      </c>
      <c r="U852" s="77">
        <v>0</v>
      </c>
      <c r="V852" s="77">
        <v>20</v>
      </c>
      <c r="W852" s="82" t="s">
        <v>5335</v>
      </c>
      <c r="X852" s="80" t="str">
        <f>HYPERLINK("https://www.freeclassificados.com/ads/aster-psicologia-e-psiquiatria-guarulhos/")</f>
        <v>https://www.freeclassificados.com/ads/aster-psicologia-e-psiquiatria-guarulhos/</v>
      </c>
      <c r="Y852" s="77" t="s">
        <v>7308</v>
      </c>
      <c r="Z852" s="77"/>
      <c r="AA852" s="77"/>
      <c r="AB852" s="77"/>
      <c r="AC852" s="82" t="s">
        <v>10155</v>
      </c>
      <c r="AD852" s="77" t="s">
        <v>10184</v>
      </c>
      <c r="AE852" s="80" t="str">
        <f>HYPERLINK("https://twitter.com/freeclassific/status/1635706559098687490")</f>
        <v>https://twitter.com/freeclassific/status/1635706559098687490</v>
      </c>
      <c r="AF852" s="79">
        <v>44999.761666666665</v>
      </c>
      <c r="AG852" s="85">
        <v>44999</v>
      </c>
      <c r="AH852" s="82" t="s">
        <v>11004</v>
      </c>
      <c r="AI852" s="77" t="b">
        <v>0</v>
      </c>
      <c r="AJ852" s="77"/>
      <c r="AK852" s="77"/>
      <c r="AL852" s="77"/>
      <c r="AM852" s="77"/>
      <c r="AN852" s="77"/>
      <c r="AO852" s="77"/>
      <c r="AP852" s="77"/>
      <c r="AQ852" s="77"/>
      <c r="AR852" s="77"/>
      <c r="AS852" s="77"/>
      <c r="AT852" s="77"/>
      <c r="AU852" s="77"/>
      <c r="AV852" s="80" t="str">
        <f>HYPERLINK("https://pbs.twimg.com/profile_images/1431648743728852993/tLJ7F5Lu_normal.png")</f>
        <v>https://pbs.twimg.com/profile_images/1431648743728852993/tLJ7F5Lu_normal.png</v>
      </c>
      <c r="AW852" s="82" t="s">
        <v>17625</v>
      </c>
      <c r="AX852" s="82" t="s">
        <v>17625</v>
      </c>
      <c r="AY852" s="77"/>
      <c r="AZ852" s="82" t="s">
        <v>20971</v>
      </c>
      <c r="BA852" s="82" t="s">
        <v>20971</v>
      </c>
      <c r="BB852" s="82" t="s">
        <v>20971</v>
      </c>
      <c r="BC852" s="82" t="s">
        <v>17625</v>
      </c>
      <c r="BD852" s="77">
        <v>489723814</v>
      </c>
      <c r="BE852" s="77"/>
      <c r="BF852" s="77"/>
      <c r="BG852" s="77"/>
      <c r="BH852" s="77"/>
      <c r="BI852" s="77"/>
    </row>
    <row r="853" spans="1:61" x14ac:dyDescent="0.25">
      <c r="A853" s="62" t="s">
        <v>418</v>
      </c>
      <c r="B853" s="62" t="s">
        <v>418</v>
      </c>
      <c r="C853" s="63"/>
      <c r="D853" s="64"/>
      <c r="E853" s="65"/>
      <c r="F853" s="66"/>
      <c r="G853" s="63"/>
      <c r="H853" s="67"/>
      <c r="I853" s="68"/>
      <c r="J853" s="68"/>
      <c r="K853" s="32"/>
      <c r="L853" s="75">
        <v>853</v>
      </c>
      <c r="M853" s="75"/>
      <c r="N853" s="70"/>
      <c r="O853" s="77" t="s">
        <v>179</v>
      </c>
      <c r="P853" s="79">
        <v>44999.758449074077</v>
      </c>
      <c r="Q853" s="77" t="s">
        <v>2130</v>
      </c>
      <c r="R853" s="77">
        <v>0</v>
      </c>
      <c r="S853" s="77">
        <v>0</v>
      </c>
      <c r="T853" s="77">
        <v>0</v>
      </c>
      <c r="U853" s="77">
        <v>0</v>
      </c>
      <c r="V853" s="77">
        <v>9</v>
      </c>
      <c r="W853" s="82" t="s">
        <v>5335</v>
      </c>
      <c r="X853" s="80" t="str">
        <f>HYPERLINK("https://www.freeclassificados.com/ads/sacos-plasticos-stand-up-pouch-com-zip-e-embalagens-plasticas/")</f>
        <v>https://www.freeclassificados.com/ads/sacos-plasticos-stand-up-pouch-com-zip-e-embalagens-plasticas/</v>
      </c>
      <c r="Y853" s="77" t="s">
        <v>7308</v>
      </c>
      <c r="Z853" s="77"/>
      <c r="AA853" s="77"/>
      <c r="AB853" s="77"/>
      <c r="AC853" s="82" t="s">
        <v>10155</v>
      </c>
      <c r="AD853" s="77" t="s">
        <v>10184</v>
      </c>
      <c r="AE853" s="80" t="str">
        <f>HYPERLINK("https://twitter.com/freeclassific/status/1635705394625642496")</f>
        <v>https://twitter.com/freeclassific/status/1635705394625642496</v>
      </c>
      <c r="AF853" s="79">
        <v>44999.758449074077</v>
      </c>
      <c r="AG853" s="85">
        <v>44999</v>
      </c>
      <c r="AH853" s="82" t="s">
        <v>11005</v>
      </c>
      <c r="AI853" s="77" t="b">
        <v>0</v>
      </c>
      <c r="AJ853" s="77"/>
      <c r="AK853" s="77"/>
      <c r="AL853" s="77"/>
      <c r="AM853" s="77"/>
      <c r="AN853" s="77"/>
      <c r="AO853" s="77"/>
      <c r="AP853" s="77"/>
      <c r="AQ853" s="77"/>
      <c r="AR853" s="77"/>
      <c r="AS853" s="77"/>
      <c r="AT853" s="77"/>
      <c r="AU853" s="77"/>
      <c r="AV853" s="80" t="str">
        <f>HYPERLINK("https://pbs.twimg.com/profile_images/1431648743728852993/tLJ7F5Lu_normal.png")</f>
        <v>https://pbs.twimg.com/profile_images/1431648743728852993/tLJ7F5Lu_normal.png</v>
      </c>
      <c r="AW853" s="82" t="s">
        <v>17626</v>
      </c>
      <c r="AX853" s="82" t="s">
        <v>17626</v>
      </c>
      <c r="AY853" s="77"/>
      <c r="AZ853" s="82" t="s">
        <v>20971</v>
      </c>
      <c r="BA853" s="82" t="s">
        <v>20971</v>
      </c>
      <c r="BB853" s="82" t="s">
        <v>20971</v>
      </c>
      <c r="BC853" s="82" t="s">
        <v>17626</v>
      </c>
      <c r="BD853" s="77">
        <v>489723814</v>
      </c>
      <c r="BE853" s="77"/>
      <c r="BF853" s="77"/>
      <c r="BG853" s="77"/>
      <c r="BH853" s="77"/>
      <c r="BI853" s="77"/>
    </row>
    <row r="854" spans="1:61" x14ac:dyDescent="0.25">
      <c r="A854" s="62" t="s">
        <v>418</v>
      </c>
      <c r="B854" s="62" t="s">
        <v>418</v>
      </c>
      <c r="C854" s="63"/>
      <c r="D854" s="64"/>
      <c r="E854" s="65"/>
      <c r="F854" s="66"/>
      <c r="G854" s="63"/>
      <c r="H854" s="67"/>
      <c r="I854" s="68"/>
      <c r="J854" s="68"/>
      <c r="K854" s="32"/>
      <c r="L854" s="75">
        <v>854</v>
      </c>
      <c r="M854" s="75"/>
      <c r="N854" s="70"/>
      <c r="O854" s="77" t="s">
        <v>179</v>
      </c>
      <c r="P854" s="79">
        <v>44999.664861111109</v>
      </c>
      <c r="Q854" s="77" t="s">
        <v>2131</v>
      </c>
      <c r="R854" s="77">
        <v>0</v>
      </c>
      <c r="S854" s="77">
        <v>0</v>
      </c>
      <c r="T854" s="77">
        <v>1</v>
      </c>
      <c r="U854" s="77">
        <v>0</v>
      </c>
      <c r="V854" s="77">
        <v>8</v>
      </c>
      <c r="W854" s="82" t="s">
        <v>5335</v>
      </c>
      <c r="X854" s="80" t="str">
        <f>HYPERLINK("https://www.freeclassificados.com/ads/embalagens-personalizadas/")</f>
        <v>https://www.freeclassificados.com/ads/embalagens-personalizadas/</v>
      </c>
      <c r="Y854" s="77" t="s">
        <v>7308</v>
      </c>
      <c r="Z854" s="77"/>
      <c r="AA854" s="77"/>
      <c r="AB854" s="77"/>
      <c r="AC854" s="82" t="s">
        <v>10155</v>
      </c>
      <c r="AD854" s="77" t="s">
        <v>10184</v>
      </c>
      <c r="AE854" s="80" t="str">
        <f>HYPERLINK("https://twitter.com/freeclassific/status/1635671480481742848")</f>
        <v>https://twitter.com/freeclassific/status/1635671480481742848</v>
      </c>
      <c r="AF854" s="79">
        <v>44999.664861111109</v>
      </c>
      <c r="AG854" s="85">
        <v>44999</v>
      </c>
      <c r="AH854" s="82" t="s">
        <v>11006</v>
      </c>
      <c r="AI854" s="77" t="b">
        <v>0</v>
      </c>
      <c r="AJ854" s="77"/>
      <c r="AK854" s="77"/>
      <c r="AL854" s="77"/>
      <c r="AM854" s="77"/>
      <c r="AN854" s="77"/>
      <c r="AO854" s="77"/>
      <c r="AP854" s="77"/>
      <c r="AQ854" s="77"/>
      <c r="AR854" s="77"/>
      <c r="AS854" s="77"/>
      <c r="AT854" s="77"/>
      <c r="AU854" s="77"/>
      <c r="AV854" s="80" t="str">
        <f>HYPERLINK("https://pbs.twimg.com/profile_images/1431648743728852993/tLJ7F5Lu_normal.png")</f>
        <v>https://pbs.twimg.com/profile_images/1431648743728852993/tLJ7F5Lu_normal.png</v>
      </c>
      <c r="AW854" s="82" t="s">
        <v>17627</v>
      </c>
      <c r="AX854" s="82" t="s">
        <v>17627</v>
      </c>
      <c r="AY854" s="77"/>
      <c r="AZ854" s="82" t="s">
        <v>20971</v>
      </c>
      <c r="BA854" s="82" t="s">
        <v>20971</v>
      </c>
      <c r="BB854" s="82" t="s">
        <v>20971</v>
      </c>
      <c r="BC854" s="82" t="s">
        <v>17627</v>
      </c>
      <c r="BD854" s="77">
        <v>489723814</v>
      </c>
      <c r="BE854" s="77"/>
      <c r="BF854" s="77"/>
      <c r="BG854" s="77"/>
      <c r="BH854" s="77"/>
      <c r="BI854" s="77"/>
    </row>
    <row r="855" spans="1:61" x14ac:dyDescent="0.25">
      <c r="A855" s="62" t="s">
        <v>418</v>
      </c>
      <c r="B855" s="62" t="s">
        <v>418</v>
      </c>
      <c r="C855" s="63"/>
      <c r="D855" s="64"/>
      <c r="E855" s="65"/>
      <c r="F855" s="66"/>
      <c r="G855" s="63"/>
      <c r="H855" s="67"/>
      <c r="I855" s="68"/>
      <c r="J855" s="68"/>
      <c r="K855" s="32"/>
      <c r="L855" s="75">
        <v>855</v>
      </c>
      <c r="M855" s="75"/>
      <c r="N855" s="70"/>
      <c r="O855" s="77" t="s">
        <v>179</v>
      </c>
      <c r="P855" s="79">
        <v>44999.589004629626</v>
      </c>
      <c r="Q855" s="77" t="s">
        <v>1880</v>
      </c>
      <c r="R855" s="77">
        <v>0</v>
      </c>
      <c r="S855" s="77">
        <v>0</v>
      </c>
      <c r="T855" s="77">
        <v>0</v>
      </c>
      <c r="U855" s="77">
        <v>0</v>
      </c>
      <c r="V855" s="77">
        <v>7</v>
      </c>
      <c r="W855" s="82" t="s">
        <v>5335</v>
      </c>
      <c r="X855" s="80" t="str">
        <f>HYPERLINK("https://www.freeclassificados.com/ads/varais-de-todos-os-modelos/")</f>
        <v>https://www.freeclassificados.com/ads/varais-de-todos-os-modelos/</v>
      </c>
      <c r="Y855" s="77" t="s">
        <v>7308</v>
      </c>
      <c r="Z855" s="77"/>
      <c r="AA855" s="77"/>
      <c r="AB855" s="77"/>
      <c r="AC855" s="82" t="s">
        <v>10155</v>
      </c>
      <c r="AD855" s="77" t="s">
        <v>10184</v>
      </c>
      <c r="AE855" s="80" t="str">
        <f>HYPERLINK("https://twitter.com/freeclassific/status/1635643988047953920")</f>
        <v>https://twitter.com/freeclassific/status/1635643988047953920</v>
      </c>
      <c r="AF855" s="79">
        <v>44999.589004629626</v>
      </c>
      <c r="AG855" s="85">
        <v>44999</v>
      </c>
      <c r="AH855" s="82" t="s">
        <v>11007</v>
      </c>
      <c r="AI855" s="77" t="b">
        <v>0</v>
      </c>
      <c r="AJ855" s="77"/>
      <c r="AK855" s="77"/>
      <c r="AL855" s="77"/>
      <c r="AM855" s="77"/>
      <c r="AN855" s="77"/>
      <c r="AO855" s="77"/>
      <c r="AP855" s="77"/>
      <c r="AQ855" s="77"/>
      <c r="AR855" s="77"/>
      <c r="AS855" s="77"/>
      <c r="AT855" s="77"/>
      <c r="AU855" s="77"/>
      <c r="AV855" s="80" t="str">
        <f>HYPERLINK("https://pbs.twimg.com/profile_images/1431648743728852993/tLJ7F5Lu_normal.png")</f>
        <v>https://pbs.twimg.com/profile_images/1431648743728852993/tLJ7F5Lu_normal.png</v>
      </c>
      <c r="AW855" s="82" t="s">
        <v>17628</v>
      </c>
      <c r="AX855" s="82" t="s">
        <v>17628</v>
      </c>
      <c r="AY855" s="77"/>
      <c r="AZ855" s="82" t="s">
        <v>20971</v>
      </c>
      <c r="BA855" s="82" t="s">
        <v>20971</v>
      </c>
      <c r="BB855" s="82" t="s">
        <v>20971</v>
      </c>
      <c r="BC855" s="82" t="s">
        <v>17628</v>
      </c>
      <c r="BD855" s="77">
        <v>489723814</v>
      </c>
      <c r="BE855" s="77"/>
      <c r="BF855" s="77"/>
      <c r="BG855" s="77"/>
      <c r="BH855" s="77"/>
      <c r="BI855" s="77"/>
    </row>
    <row r="856" spans="1:61" x14ac:dyDescent="0.25">
      <c r="A856" s="62" t="s">
        <v>418</v>
      </c>
      <c r="B856" s="62" t="s">
        <v>418</v>
      </c>
      <c r="C856" s="63"/>
      <c r="D856" s="64"/>
      <c r="E856" s="65"/>
      <c r="F856" s="66"/>
      <c r="G856" s="63"/>
      <c r="H856" s="67"/>
      <c r="I856" s="68"/>
      <c r="J856" s="68"/>
      <c r="K856" s="32"/>
      <c r="L856" s="75">
        <v>856</v>
      </c>
      <c r="M856" s="75"/>
      <c r="N856" s="70"/>
      <c r="O856" s="77" t="s">
        <v>179</v>
      </c>
      <c r="P856" s="79">
        <v>44999.562430555554</v>
      </c>
      <c r="Q856" s="77" t="s">
        <v>2132</v>
      </c>
      <c r="R856" s="77">
        <v>0</v>
      </c>
      <c r="S856" s="77">
        <v>0</v>
      </c>
      <c r="T856" s="77">
        <v>0</v>
      </c>
      <c r="U856" s="77">
        <v>0</v>
      </c>
      <c r="V856" s="77">
        <v>13</v>
      </c>
      <c r="W856" s="82" t="s">
        <v>5335</v>
      </c>
      <c r="X856" s="80" t="str">
        <f>HYPERLINK("https://www.freeclassificados.com/ads/concreto-bombeado-concreto-usinado-piso-polido/")</f>
        <v>https://www.freeclassificados.com/ads/concreto-bombeado-concreto-usinado-piso-polido/</v>
      </c>
      <c r="Y856" s="77" t="s">
        <v>7308</v>
      </c>
      <c r="Z856" s="77"/>
      <c r="AA856" s="77"/>
      <c r="AB856" s="77"/>
      <c r="AC856" s="82" t="s">
        <v>10155</v>
      </c>
      <c r="AD856" s="77" t="s">
        <v>10184</v>
      </c>
      <c r="AE856" s="80" t="str">
        <f>HYPERLINK("https://twitter.com/freeclassific/status/1635634357917614080")</f>
        <v>https://twitter.com/freeclassific/status/1635634357917614080</v>
      </c>
      <c r="AF856" s="79">
        <v>44999.562430555554</v>
      </c>
      <c r="AG856" s="85">
        <v>44999</v>
      </c>
      <c r="AH856" s="82" t="s">
        <v>11008</v>
      </c>
      <c r="AI856" s="77" t="b">
        <v>0</v>
      </c>
      <c r="AJ856" s="77"/>
      <c r="AK856" s="77"/>
      <c r="AL856" s="77"/>
      <c r="AM856" s="77"/>
      <c r="AN856" s="77"/>
      <c r="AO856" s="77"/>
      <c r="AP856" s="77"/>
      <c r="AQ856" s="77"/>
      <c r="AR856" s="77"/>
      <c r="AS856" s="77"/>
      <c r="AT856" s="77"/>
      <c r="AU856" s="77"/>
      <c r="AV856" s="80" t="str">
        <f>HYPERLINK("https://pbs.twimg.com/profile_images/1431648743728852993/tLJ7F5Lu_normal.png")</f>
        <v>https://pbs.twimg.com/profile_images/1431648743728852993/tLJ7F5Lu_normal.png</v>
      </c>
      <c r="AW856" s="82" t="s">
        <v>17629</v>
      </c>
      <c r="AX856" s="82" t="s">
        <v>17629</v>
      </c>
      <c r="AY856" s="77"/>
      <c r="AZ856" s="82" t="s">
        <v>20971</v>
      </c>
      <c r="BA856" s="82" t="s">
        <v>20971</v>
      </c>
      <c r="BB856" s="82" t="s">
        <v>20971</v>
      </c>
      <c r="BC856" s="82" t="s">
        <v>17629</v>
      </c>
      <c r="BD856" s="77">
        <v>489723814</v>
      </c>
      <c r="BE856" s="77"/>
      <c r="BF856" s="77"/>
      <c r="BG856" s="77"/>
      <c r="BH856" s="77"/>
      <c r="BI856" s="77"/>
    </row>
    <row r="857" spans="1:61" x14ac:dyDescent="0.25">
      <c r="A857" s="62" t="s">
        <v>418</v>
      </c>
      <c r="B857" s="62" t="s">
        <v>418</v>
      </c>
      <c r="C857" s="63"/>
      <c r="D857" s="64"/>
      <c r="E857" s="65"/>
      <c r="F857" s="66"/>
      <c r="G857" s="63"/>
      <c r="H857" s="67"/>
      <c r="I857" s="68"/>
      <c r="J857" s="68"/>
      <c r="K857" s="32"/>
      <c r="L857" s="75">
        <v>857</v>
      </c>
      <c r="M857" s="75"/>
      <c r="N857" s="70"/>
      <c r="O857" s="77" t="s">
        <v>179</v>
      </c>
      <c r="P857" s="79">
        <v>44999.558738425927</v>
      </c>
      <c r="Q857" s="77" t="s">
        <v>2133</v>
      </c>
      <c r="R857" s="77">
        <v>0</v>
      </c>
      <c r="S857" s="77">
        <v>0</v>
      </c>
      <c r="T857" s="77">
        <v>0</v>
      </c>
      <c r="U857" s="77">
        <v>0</v>
      </c>
      <c r="V857" s="77">
        <v>8</v>
      </c>
      <c r="W857" s="82" t="s">
        <v>5335</v>
      </c>
      <c r="X857" s="80" t="str">
        <f>HYPERLINK("https://www.freeclassificados.com/ads/concreto-concreto-bombeado-concreto-usinado-caminhao-betoneira/")</f>
        <v>https://www.freeclassificados.com/ads/concreto-concreto-bombeado-concreto-usinado-caminhao-betoneira/</v>
      </c>
      <c r="Y857" s="77" t="s">
        <v>7308</v>
      </c>
      <c r="Z857" s="77"/>
      <c r="AA857" s="77"/>
      <c r="AB857" s="77"/>
      <c r="AC857" s="82" t="s">
        <v>10155</v>
      </c>
      <c r="AD857" s="77" t="s">
        <v>10184</v>
      </c>
      <c r="AE857" s="80" t="str">
        <f>HYPERLINK("https://twitter.com/freeclassific/status/1635633022568628224")</f>
        <v>https://twitter.com/freeclassific/status/1635633022568628224</v>
      </c>
      <c r="AF857" s="79">
        <v>44999.558738425927</v>
      </c>
      <c r="AG857" s="85">
        <v>44999</v>
      </c>
      <c r="AH857" s="82" t="s">
        <v>11009</v>
      </c>
      <c r="AI857" s="77" t="b">
        <v>0</v>
      </c>
      <c r="AJ857" s="77"/>
      <c r="AK857" s="77"/>
      <c r="AL857" s="77"/>
      <c r="AM857" s="77"/>
      <c r="AN857" s="77"/>
      <c r="AO857" s="77"/>
      <c r="AP857" s="77"/>
      <c r="AQ857" s="77"/>
      <c r="AR857" s="77"/>
      <c r="AS857" s="77"/>
      <c r="AT857" s="77"/>
      <c r="AU857" s="77"/>
      <c r="AV857" s="80" t="str">
        <f>HYPERLINK("https://pbs.twimg.com/profile_images/1431648743728852993/tLJ7F5Lu_normal.png")</f>
        <v>https://pbs.twimg.com/profile_images/1431648743728852993/tLJ7F5Lu_normal.png</v>
      </c>
      <c r="AW857" s="82" t="s">
        <v>17630</v>
      </c>
      <c r="AX857" s="82" t="s">
        <v>17630</v>
      </c>
      <c r="AY857" s="77"/>
      <c r="AZ857" s="82" t="s">
        <v>20971</v>
      </c>
      <c r="BA857" s="82" t="s">
        <v>20971</v>
      </c>
      <c r="BB857" s="82" t="s">
        <v>20971</v>
      </c>
      <c r="BC857" s="82" t="s">
        <v>17630</v>
      </c>
      <c r="BD857" s="77">
        <v>489723814</v>
      </c>
      <c r="BE857" s="77"/>
      <c r="BF857" s="77"/>
      <c r="BG857" s="77"/>
      <c r="BH857" s="77"/>
      <c r="BI857" s="77"/>
    </row>
    <row r="858" spans="1:61" x14ac:dyDescent="0.25">
      <c r="A858" s="62" t="s">
        <v>418</v>
      </c>
      <c r="B858" s="62" t="s">
        <v>418</v>
      </c>
      <c r="C858" s="63"/>
      <c r="D858" s="64"/>
      <c r="E858" s="65"/>
      <c r="F858" s="66"/>
      <c r="G858" s="63"/>
      <c r="H858" s="67"/>
      <c r="I858" s="68"/>
      <c r="J858" s="68"/>
      <c r="K858" s="32"/>
      <c r="L858" s="75">
        <v>858</v>
      </c>
      <c r="M858" s="75"/>
      <c r="N858" s="70"/>
      <c r="O858" s="77" t="s">
        <v>179</v>
      </c>
      <c r="P858" s="79">
        <v>44999.555601851855</v>
      </c>
      <c r="Q858" s="77" t="s">
        <v>2134</v>
      </c>
      <c r="R858" s="77">
        <v>0</v>
      </c>
      <c r="S858" s="77">
        <v>0</v>
      </c>
      <c r="T858" s="77">
        <v>0</v>
      </c>
      <c r="U858" s="77">
        <v>0</v>
      </c>
      <c r="V858" s="77">
        <v>8</v>
      </c>
      <c r="W858" s="82" t="s">
        <v>5335</v>
      </c>
      <c r="X858" s="80" t="str">
        <f>HYPERLINK("https://www.freeclassificados.com/ads/concreto-concreto-bombeado-concreto-usinado/")</f>
        <v>https://www.freeclassificados.com/ads/concreto-concreto-bombeado-concreto-usinado/</v>
      </c>
      <c r="Y858" s="77" t="s">
        <v>7308</v>
      </c>
      <c r="Z858" s="77"/>
      <c r="AA858" s="77"/>
      <c r="AB858" s="77"/>
      <c r="AC858" s="82" t="s">
        <v>10155</v>
      </c>
      <c r="AD858" s="77" t="s">
        <v>10184</v>
      </c>
      <c r="AE858" s="80" t="str">
        <f>HYPERLINK("https://twitter.com/freeclassific/status/1635631882678468610")</f>
        <v>https://twitter.com/freeclassific/status/1635631882678468610</v>
      </c>
      <c r="AF858" s="79">
        <v>44999.555601851855</v>
      </c>
      <c r="AG858" s="85">
        <v>44999</v>
      </c>
      <c r="AH858" s="82" t="s">
        <v>11010</v>
      </c>
      <c r="AI858" s="77" t="b">
        <v>0</v>
      </c>
      <c r="AJ858" s="77"/>
      <c r="AK858" s="77"/>
      <c r="AL858" s="77"/>
      <c r="AM858" s="77"/>
      <c r="AN858" s="77"/>
      <c r="AO858" s="77"/>
      <c r="AP858" s="77"/>
      <c r="AQ858" s="77"/>
      <c r="AR858" s="77"/>
      <c r="AS858" s="77"/>
      <c r="AT858" s="77"/>
      <c r="AU858" s="77"/>
      <c r="AV858" s="80" t="str">
        <f>HYPERLINK("https://pbs.twimg.com/profile_images/1431648743728852993/tLJ7F5Lu_normal.png")</f>
        <v>https://pbs.twimg.com/profile_images/1431648743728852993/tLJ7F5Lu_normal.png</v>
      </c>
      <c r="AW858" s="82" t="s">
        <v>17631</v>
      </c>
      <c r="AX858" s="82" t="s">
        <v>17631</v>
      </c>
      <c r="AY858" s="77"/>
      <c r="AZ858" s="82" t="s">
        <v>20971</v>
      </c>
      <c r="BA858" s="82" t="s">
        <v>20971</v>
      </c>
      <c r="BB858" s="82" t="s">
        <v>20971</v>
      </c>
      <c r="BC858" s="82" t="s">
        <v>17631</v>
      </c>
      <c r="BD858" s="77">
        <v>489723814</v>
      </c>
      <c r="BE858" s="77"/>
      <c r="BF858" s="77"/>
      <c r="BG858" s="77"/>
      <c r="BH858" s="77"/>
      <c r="BI858" s="77"/>
    </row>
    <row r="859" spans="1:61" x14ac:dyDescent="0.25">
      <c r="A859" s="62" t="s">
        <v>418</v>
      </c>
      <c r="B859" s="62" t="s">
        <v>418</v>
      </c>
      <c r="C859" s="63"/>
      <c r="D859" s="64"/>
      <c r="E859" s="65"/>
      <c r="F859" s="66"/>
      <c r="G859" s="63"/>
      <c r="H859" s="67"/>
      <c r="I859" s="68"/>
      <c r="J859" s="68"/>
      <c r="K859" s="32"/>
      <c r="L859" s="75">
        <v>859</v>
      </c>
      <c r="M859" s="75"/>
      <c r="N859" s="70"/>
      <c r="O859" s="77" t="s">
        <v>179</v>
      </c>
      <c r="P859" s="79">
        <v>44963.756296296298</v>
      </c>
      <c r="Q859" s="77" t="s">
        <v>2135</v>
      </c>
      <c r="R859" s="77">
        <v>0</v>
      </c>
      <c r="S859" s="77">
        <v>0</v>
      </c>
      <c r="T859" s="77">
        <v>0</v>
      </c>
      <c r="U859" s="77">
        <v>0</v>
      </c>
      <c r="V859" s="77">
        <v>15</v>
      </c>
      <c r="W859" s="82" t="s">
        <v>5335</v>
      </c>
      <c r="X859" s="80" t="str">
        <f>HYPERLINK("https://www.freeclassificados.com/ads/reparos-tecnicos-eletrodomesticos-whirlpool/")</f>
        <v>https://www.freeclassificados.com/ads/reparos-tecnicos-eletrodomesticos-whirlpool/</v>
      </c>
      <c r="Y859" s="77" t="s">
        <v>7308</v>
      </c>
      <c r="Z859" s="77"/>
      <c r="AA859" s="77"/>
      <c r="AB859" s="77"/>
      <c r="AC859" s="82" t="s">
        <v>10155</v>
      </c>
      <c r="AD859" s="77" t="s">
        <v>10187</v>
      </c>
      <c r="AE859" s="80" t="str">
        <f>HYPERLINK("https://twitter.com/freeclassific/status/1622658649448493057")</f>
        <v>https://twitter.com/freeclassific/status/1622658649448493057</v>
      </c>
      <c r="AF859" s="79">
        <v>44963.756296296298</v>
      </c>
      <c r="AG859" s="85">
        <v>44963</v>
      </c>
      <c r="AH859" s="82" t="s">
        <v>11011</v>
      </c>
      <c r="AI859" s="77" t="b">
        <v>0</v>
      </c>
      <c r="AJ859" s="77"/>
      <c r="AK859" s="77"/>
      <c r="AL859" s="77"/>
      <c r="AM859" s="77"/>
      <c r="AN859" s="77"/>
      <c r="AO859" s="77"/>
      <c r="AP859" s="77"/>
      <c r="AQ859" s="77"/>
      <c r="AR859" s="77"/>
      <c r="AS859" s="77"/>
      <c r="AT859" s="77"/>
      <c r="AU859" s="77"/>
      <c r="AV859" s="80" t="str">
        <f>HYPERLINK("https://pbs.twimg.com/profile_images/1431648743728852993/tLJ7F5Lu_normal.png")</f>
        <v>https://pbs.twimg.com/profile_images/1431648743728852993/tLJ7F5Lu_normal.png</v>
      </c>
      <c r="AW859" s="82" t="s">
        <v>17632</v>
      </c>
      <c r="AX859" s="82" t="s">
        <v>17632</v>
      </c>
      <c r="AY859" s="77"/>
      <c r="AZ859" s="82" t="s">
        <v>20971</v>
      </c>
      <c r="BA859" s="82" t="s">
        <v>20971</v>
      </c>
      <c r="BB859" s="82" t="s">
        <v>20971</v>
      </c>
      <c r="BC859" s="82" t="s">
        <v>17632</v>
      </c>
      <c r="BD859" s="77">
        <v>489723814</v>
      </c>
      <c r="BE859" s="77"/>
      <c r="BF859" s="77"/>
      <c r="BG859" s="77"/>
      <c r="BH859" s="77"/>
      <c r="BI859" s="77"/>
    </row>
    <row r="860" spans="1:61" x14ac:dyDescent="0.25">
      <c r="A860" s="62" t="s">
        <v>418</v>
      </c>
      <c r="B860" s="62" t="s">
        <v>418</v>
      </c>
      <c r="C860" s="63"/>
      <c r="D860" s="64"/>
      <c r="E860" s="65"/>
      <c r="F860" s="66"/>
      <c r="G860" s="63"/>
      <c r="H860" s="67"/>
      <c r="I860" s="68"/>
      <c r="J860" s="68"/>
      <c r="K860" s="32"/>
      <c r="L860" s="75">
        <v>860</v>
      </c>
      <c r="M860" s="75"/>
      <c r="N860" s="70"/>
      <c r="O860" s="77" t="s">
        <v>179</v>
      </c>
      <c r="P860" s="79">
        <v>44963.725393518522</v>
      </c>
      <c r="Q860" s="77" t="s">
        <v>2136</v>
      </c>
      <c r="R860" s="77">
        <v>0</v>
      </c>
      <c r="S860" s="77">
        <v>0</v>
      </c>
      <c r="T860" s="77">
        <v>0</v>
      </c>
      <c r="U860" s="77">
        <v>0</v>
      </c>
      <c r="V860" s="77">
        <v>27</v>
      </c>
      <c r="W860" s="82" t="s">
        <v>5335</v>
      </c>
      <c r="X860" s="80" t="str">
        <f>HYPERLINK("https://www.freeclassificados.com/ads/desentupidora-no-swiss-park-em-campinas-19-992312502-desentupidora-em-campinas/")</f>
        <v>https://www.freeclassificados.com/ads/desentupidora-no-swiss-park-em-campinas-19-992312502-desentupidora-em-campinas/</v>
      </c>
      <c r="Y860" s="77" t="s">
        <v>7308</v>
      </c>
      <c r="Z860" s="77"/>
      <c r="AA860" s="77"/>
      <c r="AB860" s="77"/>
      <c r="AC860" s="82" t="s">
        <v>10155</v>
      </c>
      <c r="AD860" s="77" t="s">
        <v>10184</v>
      </c>
      <c r="AE860" s="80" t="str">
        <f>HYPERLINK("https://twitter.com/freeclassific/status/1622647451546013696")</f>
        <v>https://twitter.com/freeclassific/status/1622647451546013696</v>
      </c>
      <c r="AF860" s="79">
        <v>44963.725393518522</v>
      </c>
      <c r="AG860" s="85">
        <v>44963</v>
      </c>
      <c r="AH860" s="82" t="s">
        <v>11012</v>
      </c>
      <c r="AI860" s="77" t="b">
        <v>0</v>
      </c>
      <c r="AJ860" s="77"/>
      <c r="AK860" s="77"/>
      <c r="AL860" s="77"/>
      <c r="AM860" s="77"/>
      <c r="AN860" s="77"/>
      <c r="AO860" s="77"/>
      <c r="AP860" s="77"/>
      <c r="AQ860" s="77"/>
      <c r="AR860" s="77"/>
      <c r="AS860" s="77"/>
      <c r="AT860" s="77"/>
      <c r="AU860" s="77"/>
      <c r="AV860" s="80" t="str">
        <f>HYPERLINK("https://pbs.twimg.com/profile_images/1431648743728852993/tLJ7F5Lu_normal.png")</f>
        <v>https://pbs.twimg.com/profile_images/1431648743728852993/tLJ7F5Lu_normal.png</v>
      </c>
      <c r="AW860" s="82" t="s">
        <v>17633</v>
      </c>
      <c r="AX860" s="82" t="s">
        <v>17633</v>
      </c>
      <c r="AY860" s="77"/>
      <c r="AZ860" s="82" t="s">
        <v>20971</v>
      </c>
      <c r="BA860" s="82" t="s">
        <v>20971</v>
      </c>
      <c r="BB860" s="82" t="s">
        <v>20971</v>
      </c>
      <c r="BC860" s="82" t="s">
        <v>17633</v>
      </c>
      <c r="BD860" s="77">
        <v>489723814</v>
      </c>
      <c r="BE860" s="77"/>
      <c r="BF860" s="77"/>
      <c r="BG860" s="77"/>
      <c r="BH860" s="77"/>
      <c r="BI860" s="77"/>
    </row>
    <row r="861" spans="1:61" x14ac:dyDescent="0.25">
      <c r="A861" s="62" t="s">
        <v>418</v>
      </c>
      <c r="B861" s="62" t="s">
        <v>418</v>
      </c>
      <c r="C861" s="63"/>
      <c r="D861" s="64"/>
      <c r="E861" s="65"/>
      <c r="F861" s="66"/>
      <c r="G861" s="63"/>
      <c r="H861" s="67"/>
      <c r="I861" s="68"/>
      <c r="J861" s="68"/>
      <c r="K861" s="32"/>
      <c r="L861" s="75">
        <v>861</v>
      </c>
      <c r="M861" s="75"/>
      <c r="N861" s="70"/>
      <c r="O861" s="77" t="s">
        <v>179</v>
      </c>
      <c r="P861" s="79">
        <v>44963.715601851851</v>
      </c>
      <c r="Q861" s="77" t="s">
        <v>2137</v>
      </c>
      <c r="R861" s="77">
        <v>0</v>
      </c>
      <c r="S861" s="77">
        <v>0</v>
      </c>
      <c r="T861" s="77">
        <v>0</v>
      </c>
      <c r="U861" s="77">
        <v>0</v>
      </c>
      <c r="V861" s="77">
        <v>34</v>
      </c>
      <c r="W861" s="82" t="s">
        <v>5335</v>
      </c>
      <c r="X861" s="80" t="str">
        <f>HYPERLINK("https://www.freeclassificados.com/ads/desentupidora-no-vila-itapura-em-campinas-19-992312502-desentupidora-em-campinas/")</f>
        <v>https://www.freeclassificados.com/ads/desentupidora-no-vila-itapura-em-campinas-19-992312502-desentupidora-em-campinas/</v>
      </c>
      <c r="Y861" s="77" t="s">
        <v>7308</v>
      </c>
      <c r="Z861" s="77"/>
      <c r="AA861" s="77"/>
      <c r="AB861" s="77"/>
      <c r="AC861" s="82" t="s">
        <v>10155</v>
      </c>
      <c r="AD861" s="77" t="s">
        <v>10184</v>
      </c>
      <c r="AE861" s="80" t="str">
        <f>HYPERLINK("https://twitter.com/freeclassific/status/1622643902955065345")</f>
        <v>https://twitter.com/freeclassific/status/1622643902955065345</v>
      </c>
      <c r="AF861" s="79">
        <v>44963.715601851851</v>
      </c>
      <c r="AG861" s="85">
        <v>44963</v>
      </c>
      <c r="AH861" s="82" t="s">
        <v>11013</v>
      </c>
      <c r="AI861" s="77" t="b">
        <v>0</v>
      </c>
      <c r="AJ861" s="77"/>
      <c r="AK861" s="77"/>
      <c r="AL861" s="77"/>
      <c r="AM861" s="77"/>
      <c r="AN861" s="77"/>
      <c r="AO861" s="77"/>
      <c r="AP861" s="77"/>
      <c r="AQ861" s="77"/>
      <c r="AR861" s="77"/>
      <c r="AS861" s="77"/>
      <c r="AT861" s="77"/>
      <c r="AU861" s="77"/>
      <c r="AV861" s="80" t="str">
        <f>HYPERLINK("https://pbs.twimg.com/profile_images/1431648743728852993/tLJ7F5Lu_normal.png")</f>
        <v>https://pbs.twimg.com/profile_images/1431648743728852993/tLJ7F5Lu_normal.png</v>
      </c>
      <c r="AW861" s="82" t="s">
        <v>17634</v>
      </c>
      <c r="AX861" s="82" t="s">
        <v>17634</v>
      </c>
      <c r="AY861" s="77"/>
      <c r="AZ861" s="82" t="s">
        <v>20971</v>
      </c>
      <c r="BA861" s="82" t="s">
        <v>20971</v>
      </c>
      <c r="BB861" s="82" t="s">
        <v>20971</v>
      </c>
      <c r="BC861" s="82" t="s">
        <v>17634</v>
      </c>
      <c r="BD861" s="77">
        <v>489723814</v>
      </c>
      <c r="BE861" s="77"/>
      <c r="BF861" s="77"/>
      <c r="BG861" s="77"/>
      <c r="BH861" s="77"/>
      <c r="BI861" s="77"/>
    </row>
    <row r="862" spans="1:61" x14ac:dyDescent="0.25">
      <c r="A862" s="62" t="s">
        <v>418</v>
      </c>
      <c r="B862" s="62" t="s">
        <v>418</v>
      </c>
      <c r="C862" s="63"/>
      <c r="D862" s="64"/>
      <c r="E862" s="65"/>
      <c r="F862" s="66"/>
      <c r="G862" s="63"/>
      <c r="H862" s="67"/>
      <c r="I862" s="68"/>
      <c r="J862" s="68"/>
      <c r="K862" s="32"/>
      <c r="L862" s="75">
        <v>862</v>
      </c>
      <c r="M862" s="75"/>
      <c r="N862" s="70"/>
      <c r="O862" s="77" t="s">
        <v>179</v>
      </c>
      <c r="P862" s="79">
        <v>44963.709537037037</v>
      </c>
      <c r="Q862" s="77" t="s">
        <v>2138</v>
      </c>
      <c r="R862" s="77">
        <v>0</v>
      </c>
      <c r="S862" s="77">
        <v>0</v>
      </c>
      <c r="T862" s="77">
        <v>0</v>
      </c>
      <c r="U862" s="77">
        <v>0</v>
      </c>
      <c r="V862" s="77">
        <v>35</v>
      </c>
      <c r="W862" s="82" t="s">
        <v>5335</v>
      </c>
      <c r="X862" s="80" t="str">
        <f>HYPERLINK("https://www.freeclassificados.com/ads/desentupidora-no-jardim-chapadao-em-campinas-19-992312502-desentupidora-em-campinas/")</f>
        <v>https://www.freeclassificados.com/ads/desentupidora-no-jardim-chapadao-em-campinas-19-992312502-desentupidora-em-campinas/</v>
      </c>
      <c r="Y862" s="77" t="s">
        <v>7308</v>
      </c>
      <c r="Z862" s="77"/>
      <c r="AA862" s="77"/>
      <c r="AB862" s="77"/>
      <c r="AC862" s="82" t="s">
        <v>10155</v>
      </c>
      <c r="AD862" s="77" t="s">
        <v>10184</v>
      </c>
      <c r="AE862" s="80" t="str">
        <f>HYPERLINK("https://twitter.com/freeclassific/status/1622641704980316160")</f>
        <v>https://twitter.com/freeclassific/status/1622641704980316160</v>
      </c>
      <c r="AF862" s="79">
        <v>44963.709537037037</v>
      </c>
      <c r="AG862" s="85">
        <v>44963</v>
      </c>
      <c r="AH862" s="82" t="s">
        <v>11014</v>
      </c>
      <c r="AI862" s="77" t="b">
        <v>0</v>
      </c>
      <c r="AJ862" s="77"/>
      <c r="AK862" s="77"/>
      <c r="AL862" s="77"/>
      <c r="AM862" s="77"/>
      <c r="AN862" s="77"/>
      <c r="AO862" s="77"/>
      <c r="AP862" s="77"/>
      <c r="AQ862" s="77"/>
      <c r="AR862" s="77"/>
      <c r="AS862" s="77"/>
      <c r="AT862" s="77"/>
      <c r="AU862" s="77"/>
      <c r="AV862" s="80" t="str">
        <f>HYPERLINK("https://pbs.twimg.com/profile_images/1431648743728852993/tLJ7F5Lu_normal.png")</f>
        <v>https://pbs.twimg.com/profile_images/1431648743728852993/tLJ7F5Lu_normal.png</v>
      </c>
      <c r="AW862" s="82" t="s">
        <v>17635</v>
      </c>
      <c r="AX862" s="82" t="s">
        <v>17635</v>
      </c>
      <c r="AY862" s="77"/>
      <c r="AZ862" s="82" t="s">
        <v>20971</v>
      </c>
      <c r="BA862" s="82" t="s">
        <v>20971</v>
      </c>
      <c r="BB862" s="82" t="s">
        <v>20971</v>
      </c>
      <c r="BC862" s="82" t="s">
        <v>17635</v>
      </c>
      <c r="BD862" s="77">
        <v>489723814</v>
      </c>
      <c r="BE862" s="77"/>
      <c r="BF862" s="77"/>
      <c r="BG862" s="77"/>
      <c r="BH862" s="77"/>
      <c r="BI862" s="77"/>
    </row>
    <row r="863" spans="1:61" x14ac:dyDescent="0.25">
      <c r="A863" s="62" t="s">
        <v>418</v>
      </c>
      <c r="B863" s="62" t="s">
        <v>418</v>
      </c>
      <c r="C863" s="63"/>
      <c r="D863" s="64"/>
      <c r="E863" s="65"/>
      <c r="F863" s="66"/>
      <c r="G863" s="63"/>
      <c r="H863" s="67"/>
      <c r="I863" s="68"/>
      <c r="J863" s="68"/>
      <c r="K863" s="32"/>
      <c r="L863" s="75">
        <v>863</v>
      </c>
      <c r="M863" s="75"/>
      <c r="N863" s="70"/>
      <c r="O863" s="77" t="s">
        <v>179</v>
      </c>
      <c r="P863" s="79">
        <v>44963.531053240738</v>
      </c>
      <c r="Q863" s="77" t="s">
        <v>1877</v>
      </c>
      <c r="R863" s="77">
        <v>0</v>
      </c>
      <c r="S863" s="77">
        <v>0</v>
      </c>
      <c r="T863" s="77">
        <v>0</v>
      </c>
      <c r="U863" s="77">
        <v>0</v>
      </c>
      <c r="V863" s="77">
        <v>13</v>
      </c>
      <c r="W863" s="82" t="s">
        <v>5335</v>
      </c>
      <c r="X863" s="80" t="str">
        <f>HYPERLINK("https://www.freeclassificados.com/ads/palco-coberta-som-luz-alugo-palco-aluguel-tablado-de-vidro-palco-madeira-9-86-25-98-82/")</f>
        <v>https://www.freeclassificados.com/ads/palco-coberta-som-luz-alugo-palco-aluguel-tablado-de-vidro-palco-madeira-9-86-25-98-82/</v>
      </c>
      <c r="Y863" s="77" t="s">
        <v>7308</v>
      </c>
      <c r="Z863" s="77"/>
      <c r="AA863" s="77"/>
      <c r="AB863" s="77"/>
      <c r="AC863" s="82" t="s">
        <v>10155</v>
      </c>
      <c r="AD863" s="77" t="s">
        <v>10184</v>
      </c>
      <c r="AE863" s="80" t="str">
        <f>HYPERLINK("https://twitter.com/freeclassific/status/1622577026283479040")</f>
        <v>https://twitter.com/freeclassific/status/1622577026283479040</v>
      </c>
      <c r="AF863" s="79">
        <v>44963.531053240738</v>
      </c>
      <c r="AG863" s="85">
        <v>44963</v>
      </c>
      <c r="AH863" s="82" t="s">
        <v>11015</v>
      </c>
      <c r="AI863" s="77" t="b">
        <v>0</v>
      </c>
      <c r="AJ863" s="77"/>
      <c r="AK863" s="77"/>
      <c r="AL863" s="77"/>
      <c r="AM863" s="77"/>
      <c r="AN863" s="77"/>
      <c r="AO863" s="77"/>
      <c r="AP863" s="77"/>
      <c r="AQ863" s="77"/>
      <c r="AR863" s="77"/>
      <c r="AS863" s="77"/>
      <c r="AT863" s="77"/>
      <c r="AU863" s="77"/>
      <c r="AV863" s="80" t="str">
        <f>HYPERLINK("https://pbs.twimg.com/profile_images/1431648743728852993/tLJ7F5Lu_normal.png")</f>
        <v>https://pbs.twimg.com/profile_images/1431648743728852993/tLJ7F5Lu_normal.png</v>
      </c>
      <c r="AW863" s="82" t="s">
        <v>17636</v>
      </c>
      <c r="AX863" s="82" t="s">
        <v>17636</v>
      </c>
      <c r="AY863" s="77"/>
      <c r="AZ863" s="82" t="s">
        <v>20971</v>
      </c>
      <c r="BA863" s="82" t="s">
        <v>20971</v>
      </c>
      <c r="BB863" s="82" t="s">
        <v>20971</v>
      </c>
      <c r="BC863" s="82" t="s">
        <v>17636</v>
      </c>
      <c r="BD863" s="77">
        <v>489723814</v>
      </c>
      <c r="BE863" s="77"/>
      <c r="BF863" s="77"/>
      <c r="BG863" s="77"/>
      <c r="BH863" s="77"/>
      <c r="BI863" s="77"/>
    </row>
    <row r="864" spans="1:61" x14ac:dyDescent="0.25">
      <c r="A864" s="62" t="s">
        <v>418</v>
      </c>
      <c r="B864" s="62" t="s">
        <v>418</v>
      </c>
      <c r="C864" s="63"/>
      <c r="D864" s="64"/>
      <c r="E864" s="65"/>
      <c r="F864" s="66"/>
      <c r="G864" s="63"/>
      <c r="H864" s="67"/>
      <c r="I864" s="68"/>
      <c r="J864" s="68"/>
      <c r="K864" s="32"/>
      <c r="L864" s="75">
        <v>864</v>
      </c>
      <c r="M864" s="75"/>
      <c r="N864" s="70"/>
      <c r="O864" s="77" t="s">
        <v>179</v>
      </c>
      <c r="P864" s="79">
        <v>44963.091666666667</v>
      </c>
      <c r="Q864" s="77" t="s">
        <v>2139</v>
      </c>
      <c r="R864" s="77">
        <v>0</v>
      </c>
      <c r="S864" s="77">
        <v>0</v>
      </c>
      <c r="T864" s="77">
        <v>0</v>
      </c>
      <c r="U864" s="77">
        <v>0</v>
      </c>
      <c r="V864" s="77">
        <v>13</v>
      </c>
      <c r="W864" s="82" t="s">
        <v>5335</v>
      </c>
      <c r="X864" s="80" t="str">
        <f>HYPERLINK("https://www.freeclassificados.com/ads/como-aprender-a-ganhar-dinheiro-com-bolos-no-pote-sem-muito-dinheiro/")</f>
        <v>https://www.freeclassificados.com/ads/como-aprender-a-ganhar-dinheiro-com-bolos-no-pote-sem-muito-dinheiro/</v>
      </c>
      <c r="Y864" s="77" t="s">
        <v>7308</v>
      </c>
      <c r="Z864" s="77"/>
      <c r="AA864" s="77"/>
      <c r="AB864" s="77"/>
      <c r="AC864" s="82" t="s">
        <v>10155</v>
      </c>
      <c r="AD864" s="77" t="s">
        <v>10184</v>
      </c>
      <c r="AE864" s="80" t="str">
        <f>HYPERLINK("https://twitter.com/freeclassific/status/1622417797417472000")</f>
        <v>https://twitter.com/freeclassific/status/1622417797417472000</v>
      </c>
      <c r="AF864" s="79">
        <v>44963.091666666667</v>
      </c>
      <c r="AG864" s="85">
        <v>44963</v>
      </c>
      <c r="AH864" s="82" t="s">
        <v>11016</v>
      </c>
      <c r="AI864" s="77" t="b">
        <v>0</v>
      </c>
      <c r="AJ864" s="77"/>
      <c r="AK864" s="77"/>
      <c r="AL864" s="77"/>
      <c r="AM864" s="77"/>
      <c r="AN864" s="77"/>
      <c r="AO864" s="77"/>
      <c r="AP864" s="77"/>
      <c r="AQ864" s="77"/>
      <c r="AR864" s="77"/>
      <c r="AS864" s="77"/>
      <c r="AT864" s="77"/>
      <c r="AU864" s="77"/>
      <c r="AV864" s="80" t="str">
        <f>HYPERLINK("https://pbs.twimg.com/profile_images/1431648743728852993/tLJ7F5Lu_normal.png")</f>
        <v>https://pbs.twimg.com/profile_images/1431648743728852993/tLJ7F5Lu_normal.png</v>
      </c>
      <c r="AW864" s="82" t="s">
        <v>17637</v>
      </c>
      <c r="AX864" s="82" t="s">
        <v>17637</v>
      </c>
      <c r="AY864" s="77"/>
      <c r="AZ864" s="82" t="s">
        <v>20971</v>
      </c>
      <c r="BA864" s="82" t="s">
        <v>20971</v>
      </c>
      <c r="BB864" s="82" t="s">
        <v>20971</v>
      </c>
      <c r="BC864" s="82" t="s">
        <v>17637</v>
      </c>
      <c r="BD864" s="77">
        <v>489723814</v>
      </c>
      <c r="BE864" s="77"/>
      <c r="BF864" s="77"/>
      <c r="BG864" s="77"/>
      <c r="BH864" s="77"/>
      <c r="BI864" s="77"/>
    </row>
    <row r="865" spans="1:61" x14ac:dyDescent="0.25">
      <c r="A865" s="62" t="s">
        <v>418</v>
      </c>
      <c r="B865" s="62" t="s">
        <v>418</v>
      </c>
      <c r="C865" s="63"/>
      <c r="D865" s="64"/>
      <c r="E865" s="65"/>
      <c r="F865" s="66"/>
      <c r="G865" s="63"/>
      <c r="H865" s="67"/>
      <c r="I865" s="68"/>
      <c r="J865" s="68"/>
      <c r="K865" s="32"/>
      <c r="L865" s="75">
        <v>865</v>
      </c>
      <c r="M865" s="75"/>
      <c r="N865" s="70"/>
      <c r="O865" s="77" t="s">
        <v>179</v>
      </c>
      <c r="P865" s="79">
        <v>44961.385960648149</v>
      </c>
      <c r="Q865" s="77" t="s">
        <v>2140</v>
      </c>
      <c r="R865" s="77">
        <v>0</v>
      </c>
      <c r="S865" s="77">
        <v>0</v>
      </c>
      <c r="T865" s="77">
        <v>0</v>
      </c>
      <c r="U865" s="77">
        <v>0</v>
      </c>
      <c r="V865" s="77">
        <v>7</v>
      </c>
      <c r="W865" s="82" t="s">
        <v>5335</v>
      </c>
      <c r="X865" s="80" t="str">
        <f>HYPERLINK("https://www.freeclassificados.com/ads/fundos-de-investimento-para-os-seus-projetos/")</f>
        <v>https://www.freeclassificados.com/ads/fundos-de-investimento-para-os-seus-projetos/</v>
      </c>
      <c r="Y865" s="77" t="s">
        <v>7308</v>
      </c>
      <c r="Z865" s="77"/>
      <c r="AA865" s="77"/>
      <c r="AB865" s="77"/>
      <c r="AC865" s="82" t="s">
        <v>10155</v>
      </c>
      <c r="AD865" s="77" t="s">
        <v>10184</v>
      </c>
      <c r="AE865" s="80" t="str">
        <f>HYPERLINK("https://twitter.com/freeclassific/status/1621799671571128320")</f>
        <v>https://twitter.com/freeclassific/status/1621799671571128320</v>
      </c>
      <c r="AF865" s="79">
        <v>44961.385960648149</v>
      </c>
      <c r="AG865" s="85">
        <v>44961</v>
      </c>
      <c r="AH865" s="82" t="s">
        <v>11017</v>
      </c>
      <c r="AI865" s="77" t="b">
        <v>0</v>
      </c>
      <c r="AJ865" s="77"/>
      <c r="AK865" s="77"/>
      <c r="AL865" s="77"/>
      <c r="AM865" s="77"/>
      <c r="AN865" s="77"/>
      <c r="AO865" s="77"/>
      <c r="AP865" s="77"/>
      <c r="AQ865" s="77"/>
      <c r="AR865" s="77"/>
      <c r="AS865" s="77"/>
      <c r="AT865" s="77"/>
      <c r="AU865" s="77"/>
      <c r="AV865" s="80" t="str">
        <f>HYPERLINK("https://pbs.twimg.com/profile_images/1431648743728852993/tLJ7F5Lu_normal.png")</f>
        <v>https://pbs.twimg.com/profile_images/1431648743728852993/tLJ7F5Lu_normal.png</v>
      </c>
      <c r="AW865" s="82" t="s">
        <v>17638</v>
      </c>
      <c r="AX865" s="82" t="s">
        <v>17638</v>
      </c>
      <c r="AY865" s="77"/>
      <c r="AZ865" s="82" t="s">
        <v>20971</v>
      </c>
      <c r="BA865" s="82" t="s">
        <v>20971</v>
      </c>
      <c r="BB865" s="82" t="s">
        <v>20971</v>
      </c>
      <c r="BC865" s="82" t="s">
        <v>17638</v>
      </c>
      <c r="BD865" s="77">
        <v>489723814</v>
      </c>
      <c r="BE865" s="77"/>
      <c r="BF865" s="77"/>
      <c r="BG865" s="77"/>
      <c r="BH865" s="77"/>
      <c r="BI865" s="77"/>
    </row>
    <row r="866" spans="1:61" x14ac:dyDescent="0.25">
      <c r="A866" s="62" t="s">
        <v>418</v>
      </c>
      <c r="B866" s="62" t="s">
        <v>418</v>
      </c>
      <c r="C866" s="63"/>
      <c r="D866" s="64"/>
      <c r="E866" s="65"/>
      <c r="F866" s="66"/>
      <c r="G866" s="63"/>
      <c r="H866" s="67"/>
      <c r="I866" s="68"/>
      <c r="J866" s="68"/>
      <c r="K866" s="32"/>
      <c r="L866" s="75">
        <v>866</v>
      </c>
      <c r="M866" s="75"/>
      <c r="N866" s="70"/>
      <c r="O866" s="77" t="s">
        <v>179</v>
      </c>
      <c r="P866" s="79">
        <v>44960.779675925929</v>
      </c>
      <c r="Q866" s="77" t="s">
        <v>2141</v>
      </c>
      <c r="R866" s="77">
        <v>0</v>
      </c>
      <c r="S866" s="77">
        <v>0</v>
      </c>
      <c r="T866" s="77">
        <v>0</v>
      </c>
      <c r="U866" s="77">
        <v>0</v>
      </c>
      <c r="V866" s="77">
        <v>13</v>
      </c>
      <c r="W866" s="82" t="s">
        <v>5335</v>
      </c>
      <c r="X866" s="80" t="str">
        <f>HYPERLINK("https://www.freeclassificados.com/ads/desentupidora-no-parque-jambeiro-em-campinas-19-99231-2502-desentupidora-em-campinas/")</f>
        <v>https://www.freeclassificados.com/ads/desentupidora-no-parque-jambeiro-em-campinas-19-99231-2502-desentupidora-em-campinas/</v>
      </c>
      <c r="Y866" s="77" t="s">
        <v>7308</v>
      </c>
      <c r="Z866" s="77"/>
      <c r="AA866" s="77"/>
      <c r="AB866" s="77"/>
      <c r="AC866" s="82" t="s">
        <v>10155</v>
      </c>
      <c r="AD866" s="77" t="s">
        <v>10184</v>
      </c>
      <c r="AE866" s="80" t="str">
        <f>HYPERLINK("https://twitter.com/freeclassific/status/1621579960627470336")</f>
        <v>https://twitter.com/freeclassific/status/1621579960627470336</v>
      </c>
      <c r="AF866" s="79">
        <v>44960.779675925929</v>
      </c>
      <c r="AG866" s="85">
        <v>44960</v>
      </c>
      <c r="AH866" s="82" t="s">
        <v>11018</v>
      </c>
      <c r="AI866" s="77" t="b">
        <v>0</v>
      </c>
      <c r="AJ866" s="77"/>
      <c r="AK866" s="77"/>
      <c r="AL866" s="77"/>
      <c r="AM866" s="77"/>
      <c r="AN866" s="77"/>
      <c r="AO866" s="77"/>
      <c r="AP866" s="77"/>
      <c r="AQ866" s="77"/>
      <c r="AR866" s="77"/>
      <c r="AS866" s="77"/>
      <c r="AT866" s="77"/>
      <c r="AU866" s="77"/>
      <c r="AV866" s="80" t="str">
        <f>HYPERLINK("https://pbs.twimg.com/profile_images/1431648743728852993/tLJ7F5Lu_normal.png")</f>
        <v>https://pbs.twimg.com/profile_images/1431648743728852993/tLJ7F5Lu_normal.png</v>
      </c>
      <c r="AW866" s="82" t="s">
        <v>17639</v>
      </c>
      <c r="AX866" s="82" t="s">
        <v>17639</v>
      </c>
      <c r="AY866" s="77"/>
      <c r="AZ866" s="82" t="s">
        <v>20971</v>
      </c>
      <c r="BA866" s="82" t="s">
        <v>20971</v>
      </c>
      <c r="BB866" s="82" t="s">
        <v>20971</v>
      </c>
      <c r="BC866" s="82" t="s">
        <v>17639</v>
      </c>
      <c r="BD866" s="77">
        <v>489723814</v>
      </c>
      <c r="BE866" s="77"/>
      <c r="BF866" s="77"/>
      <c r="BG866" s="77"/>
      <c r="BH866" s="77"/>
      <c r="BI866" s="77"/>
    </row>
    <row r="867" spans="1:61" x14ac:dyDescent="0.25">
      <c r="A867" s="62" t="s">
        <v>418</v>
      </c>
      <c r="B867" s="62" t="s">
        <v>418</v>
      </c>
      <c r="C867" s="63"/>
      <c r="D867" s="64"/>
      <c r="E867" s="65"/>
      <c r="F867" s="66"/>
      <c r="G867" s="63"/>
      <c r="H867" s="67"/>
      <c r="I867" s="68"/>
      <c r="J867" s="68"/>
      <c r="K867" s="32"/>
      <c r="L867" s="75">
        <v>867</v>
      </c>
      <c r="M867" s="75"/>
      <c r="N867" s="70"/>
      <c r="O867" s="77" t="s">
        <v>179</v>
      </c>
      <c r="P867" s="79">
        <v>44960.774780092594</v>
      </c>
      <c r="Q867" s="77" t="s">
        <v>2142</v>
      </c>
      <c r="R867" s="77">
        <v>0</v>
      </c>
      <c r="S867" s="77">
        <v>0</v>
      </c>
      <c r="T867" s="77">
        <v>0</v>
      </c>
      <c r="U867" s="77">
        <v>0</v>
      </c>
      <c r="V867" s="77">
        <v>24</v>
      </c>
      <c r="W867" s="82" t="s">
        <v>5335</v>
      </c>
      <c r="X867" s="80" t="str">
        <f>HYPERLINK("https://www.freeclassificados.com/ads/desentupidora-no-vila-itapura-em-campinas-19-99231-2502-desentupidora-em-campinas/")</f>
        <v>https://www.freeclassificados.com/ads/desentupidora-no-vila-itapura-em-campinas-19-99231-2502-desentupidora-em-campinas/</v>
      </c>
      <c r="Y867" s="77" t="s">
        <v>7308</v>
      </c>
      <c r="Z867" s="77"/>
      <c r="AA867" s="77"/>
      <c r="AB867" s="77"/>
      <c r="AC867" s="82" t="s">
        <v>10155</v>
      </c>
      <c r="AD867" s="77" t="s">
        <v>10184</v>
      </c>
      <c r="AE867" s="80" t="str">
        <f>HYPERLINK("https://twitter.com/freeclassific/status/1621578185128255489")</f>
        <v>https://twitter.com/freeclassific/status/1621578185128255489</v>
      </c>
      <c r="AF867" s="79">
        <v>44960.774780092594</v>
      </c>
      <c r="AG867" s="85">
        <v>44960</v>
      </c>
      <c r="AH867" s="82" t="s">
        <v>11019</v>
      </c>
      <c r="AI867" s="77" t="b">
        <v>0</v>
      </c>
      <c r="AJ867" s="77"/>
      <c r="AK867" s="77"/>
      <c r="AL867" s="77"/>
      <c r="AM867" s="77"/>
      <c r="AN867" s="77"/>
      <c r="AO867" s="77"/>
      <c r="AP867" s="77"/>
      <c r="AQ867" s="77"/>
      <c r="AR867" s="77"/>
      <c r="AS867" s="77"/>
      <c r="AT867" s="77"/>
      <c r="AU867" s="77"/>
      <c r="AV867" s="80" t="str">
        <f>HYPERLINK("https://pbs.twimg.com/profile_images/1431648743728852993/tLJ7F5Lu_normal.png")</f>
        <v>https://pbs.twimg.com/profile_images/1431648743728852993/tLJ7F5Lu_normal.png</v>
      </c>
      <c r="AW867" s="82" t="s">
        <v>17640</v>
      </c>
      <c r="AX867" s="82" t="s">
        <v>17640</v>
      </c>
      <c r="AY867" s="77"/>
      <c r="AZ867" s="82" t="s">
        <v>20971</v>
      </c>
      <c r="BA867" s="82" t="s">
        <v>20971</v>
      </c>
      <c r="BB867" s="82" t="s">
        <v>20971</v>
      </c>
      <c r="BC867" s="82" t="s">
        <v>17640</v>
      </c>
      <c r="BD867" s="77">
        <v>489723814</v>
      </c>
      <c r="BE867" s="77"/>
      <c r="BF867" s="77"/>
      <c r="BG867" s="77"/>
      <c r="BH867" s="77"/>
      <c r="BI867" s="77"/>
    </row>
    <row r="868" spans="1:61" x14ac:dyDescent="0.25">
      <c r="A868" s="62" t="s">
        <v>418</v>
      </c>
      <c r="B868" s="62" t="s">
        <v>418</v>
      </c>
      <c r="C868" s="63"/>
      <c r="D868" s="64"/>
      <c r="E868" s="65"/>
      <c r="F868" s="66"/>
      <c r="G868" s="63"/>
      <c r="H868" s="67"/>
      <c r="I868" s="68"/>
      <c r="J868" s="68"/>
      <c r="K868" s="32"/>
      <c r="L868" s="75">
        <v>868</v>
      </c>
      <c r="M868" s="75"/>
      <c r="N868" s="70"/>
      <c r="O868" s="77" t="s">
        <v>179</v>
      </c>
      <c r="P868" s="79">
        <v>44960.769525462965</v>
      </c>
      <c r="Q868" s="77" t="s">
        <v>2143</v>
      </c>
      <c r="R868" s="77">
        <v>0</v>
      </c>
      <c r="S868" s="77">
        <v>0</v>
      </c>
      <c r="T868" s="77">
        <v>0</v>
      </c>
      <c r="U868" s="77">
        <v>0</v>
      </c>
      <c r="V868" s="77">
        <v>22</v>
      </c>
      <c r="W868" s="82" t="s">
        <v>5335</v>
      </c>
      <c r="X868" s="80" t="str">
        <f>HYPERLINK("https://www.freeclassificados.com/ads/desentupidora-no-cambui-em-campinas-19-99231-2502-desentupidora-em-campinas/")</f>
        <v>https://www.freeclassificados.com/ads/desentupidora-no-cambui-em-campinas-19-99231-2502-desentupidora-em-campinas/</v>
      </c>
      <c r="Y868" s="77" t="s">
        <v>7308</v>
      </c>
      <c r="Z868" s="77"/>
      <c r="AA868" s="77"/>
      <c r="AB868" s="77"/>
      <c r="AC868" s="82" t="s">
        <v>10155</v>
      </c>
      <c r="AD868" s="77" t="s">
        <v>10184</v>
      </c>
      <c r="AE868" s="80" t="str">
        <f>HYPERLINK("https://twitter.com/freeclassific/status/1621576281165860865")</f>
        <v>https://twitter.com/freeclassific/status/1621576281165860865</v>
      </c>
      <c r="AF868" s="79">
        <v>44960.769525462965</v>
      </c>
      <c r="AG868" s="85">
        <v>44960</v>
      </c>
      <c r="AH868" s="82" t="s">
        <v>11020</v>
      </c>
      <c r="AI868" s="77" t="b">
        <v>0</v>
      </c>
      <c r="AJ868" s="77"/>
      <c r="AK868" s="77"/>
      <c r="AL868" s="77"/>
      <c r="AM868" s="77"/>
      <c r="AN868" s="77"/>
      <c r="AO868" s="77"/>
      <c r="AP868" s="77"/>
      <c r="AQ868" s="77"/>
      <c r="AR868" s="77"/>
      <c r="AS868" s="77"/>
      <c r="AT868" s="77"/>
      <c r="AU868" s="77"/>
      <c r="AV868" s="80" t="str">
        <f>HYPERLINK("https://pbs.twimg.com/profile_images/1431648743728852993/tLJ7F5Lu_normal.png")</f>
        <v>https://pbs.twimg.com/profile_images/1431648743728852993/tLJ7F5Lu_normal.png</v>
      </c>
      <c r="AW868" s="82" t="s">
        <v>17641</v>
      </c>
      <c r="AX868" s="82" t="s">
        <v>17641</v>
      </c>
      <c r="AY868" s="77"/>
      <c r="AZ868" s="82" t="s">
        <v>20971</v>
      </c>
      <c r="BA868" s="82" t="s">
        <v>20971</v>
      </c>
      <c r="BB868" s="82" t="s">
        <v>20971</v>
      </c>
      <c r="BC868" s="82" t="s">
        <v>17641</v>
      </c>
      <c r="BD868" s="77">
        <v>489723814</v>
      </c>
      <c r="BE868" s="77"/>
      <c r="BF868" s="77"/>
      <c r="BG868" s="77"/>
      <c r="BH868" s="77"/>
      <c r="BI868" s="77"/>
    </row>
    <row r="869" spans="1:61" x14ac:dyDescent="0.25">
      <c r="A869" s="62" t="s">
        <v>418</v>
      </c>
      <c r="B869" s="62" t="s">
        <v>418</v>
      </c>
      <c r="C869" s="63"/>
      <c r="D869" s="64"/>
      <c r="E869" s="65"/>
      <c r="F869" s="66"/>
      <c r="G869" s="63"/>
      <c r="H869" s="67"/>
      <c r="I869" s="68"/>
      <c r="J869" s="68"/>
      <c r="K869" s="32"/>
      <c r="L869" s="75">
        <v>869</v>
      </c>
      <c r="M869" s="75"/>
      <c r="N869" s="70"/>
      <c r="O869" s="77" t="s">
        <v>179</v>
      </c>
      <c r="P869" s="79">
        <v>44960.730868055558</v>
      </c>
      <c r="Q869" s="77" t="s">
        <v>2144</v>
      </c>
      <c r="R869" s="77">
        <v>0</v>
      </c>
      <c r="S869" s="77">
        <v>0</v>
      </c>
      <c r="T869" s="77">
        <v>0</v>
      </c>
      <c r="U869" s="77">
        <v>0</v>
      </c>
      <c r="V869" s="77">
        <v>11</v>
      </c>
      <c r="W869" s="82" t="s">
        <v>5335</v>
      </c>
      <c r="X869" s="80" t="str">
        <f>HYPERLINK("https://www.freeclassificados.com/ads/manutencao-tecnica-em-refrigeradores-electrolux/")</f>
        <v>https://www.freeclassificados.com/ads/manutencao-tecnica-em-refrigeradores-electrolux/</v>
      </c>
      <c r="Y869" s="77" t="s">
        <v>7308</v>
      </c>
      <c r="Z869" s="77"/>
      <c r="AA869" s="77"/>
      <c r="AB869" s="77"/>
      <c r="AC869" s="82" t="s">
        <v>10155</v>
      </c>
      <c r="AD869" s="77" t="s">
        <v>10184</v>
      </c>
      <c r="AE869" s="80" t="str">
        <f>HYPERLINK("https://twitter.com/freeclassific/status/1621562270135320581")</f>
        <v>https://twitter.com/freeclassific/status/1621562270135320581</v>
      </c>
      <c r="AF869" s="79">
        <v>44960.730868055558</v>
      </c>
      <c r="AG869" s="85">
        <v>44960</v>
      </c>
      <c r="AH869" s="82" t="s">
        <v>11021</v>
      </c>
      <c r="AI869" s="77" t="b">
        <v>0</v>
      </c>
      <c r="AJ869" s="77"/>
      <c r="AK869" s="77"/>
      <c r="AL869" s="77"/>
      <c r="AM869" s="77"/>
      <c r="AN869" s="77"/>
      <c r="AO869" s="77"/>
      <c r="AP869" s="77"/>
      <c r="AQ869" s="77"/>
      <c r="AR869" s="77"/>
      <c r="AS869" s="77"/>
      <c r="AT869" s="77"/>
      <c r="AU869" s="77"/>
      <c r="AV869" s="80" t="str">
        <f>HYPERLINK("https://pbs.twimg.com/profile_images/1431648743728852993/tLJ7F5Lu_normal.png")</f>
        <v>https://pbs.twimg.com/profile_images/1431648743728852993/tLJ7F5Lu_normal.png</v>
      </c>
      <c r="AW869" s="82" t="s">
        <v>17642</v>
      </c>
      <c r="AX869" s="82" t="s">
        <v>17642</v>
      </c>
      <c r="AY869" s="77"/>
      <c r="AZ869" s="82" t="s">
        <v>20971</v>
      </c>
      <c r="BA869" s="82" t="s">
        <v>20971</v>
      </c>
      <c r="BB869" s="82" t="s">
        <v>20971</v>
      </c>
      <c r="BC869" s="82" t="s">
        <v>17642</v>
      </c>
      <c r="BD869" s="77">
        <v>489723814</v>
      </c>
      <c r="BE869" s="77"/>
      <c r="BF869" s="77"/>
      <c r="BG869" s="77"/>
      <c r="BH869" s="77"/>
      <c r="BI869" s="77"/>
    </row>
    <row r="870" spans="1:61" x14ac:dyDescent="0.25">
      <c r="A870" s="62" t="s">
        <v>418</v>
      </c>
      <c r="B870" s="62" t="s">
        <v>418</v>
      </c>
      <c r="C870" s="63"/>
      <c r="D870" s="64"/>
      <c r="E870" s="65"/>
      <c r="F870" s="66"/>
      <c r="G870" s="63"/>
      <c r="H870" s="67"/>
      <c r="I870" s="68"/>
      <c r="J870" s="68"/>
      <c r="K870" s="32"/>
      <c r="L870" s="75">
        <v>870</v>
      </c>
      <c r="M870" s="75"/>
      <c r="N870" s="70"/>
      <c r="O870" s="77" t="s">
        <v>179</v>
      </c>
      <c r="P870" s="79">
        <v>44959.883784722224</v>
      </c>
      <c r="Q870" s="77" t="s">
        <v>2145</v>
      </c>
      <c r="R870" s="77">
        <v>0</v>
      </c>
      <c r="S870" s="77">
        <v>0</v>
      </c>
      <c r="T870" s="77">
        <v>0</v>
      </c>
      <c r="U870" s="77">
        <v>0</v>
      </c>
      <c r="V870" s="77">
        <v>19</v>
      </c>
      <c r="W870" s="82" t="s">
        <v>5335</v>
      </c>
      <c r="X870" s="80" t="str">
        <f>HYPERLINK("https://www.freeclassificados.com/ads/peitoral-coleira-pitbull-pastor-alemao-rotwailler-reforcada-couro/")</f>
        <v>https://www.freeclassificados.com/ads/peitoral-coleira-pitbull-pastor-alemao-rotwailler-reforcada-couro/</v>
      </c>
      <c r="Y870" s="77" t="s">
        <v>7308</v>
      </c>
      <c r="Z870" s="77"/>
      <c r="AA870" s="77"/>
      <c r="AB870" s="77"/>
      <c r="AC870" s="82" t="s">
        <v>10155</v>
      </c>
      <c r="AD870" s="77" t="s">
        <v>10184</v>
      </c>
      <c r="AE870" s="80" t="str">
        <f>HYPERLINK("https://twitter.com/freeclassific/status/1621255298265612291")</f>
        <v>https://twitter.com/freeclassific/status/1621255298265612291</v>
      </c>
      <c r="AF870" s="79">
        <v>44959.883784722224</v>
      </c>
      <c r="AG870" s="85">
        <v>44959</v>
      </c>
      <c r="AH870" s="82" t="s">
        <v>11022</v>
      </c>
      <c r="AI870" s="77" t="b">
        <v>0</v>
      </c>
      <c r="AJ870" s="77"/>
      <c r="AK870" s="77"/>
      <c r="AL870" s="77"/>
      <c r="AM870" s="77"/>
      <c r="AN870" s="77"/>
      <c r="AO870" s="77"/>
      <c r="AP870" s="77"/>
      <c r="AQ870" s="77"/>
      <c r="AR870" s="77"/>
      <c r="AS870" s="77"/>
      <c r="AT870" s="77"/>
      <c r="AU870" s="77"/>
      <c r="AV870" s="80" t="str">
        <f>HYPERLINK("https://pbs.twimg.com/profile_images/1431648743728852993/tLJ7F5Lu_normal.png")</f>
        <v>https://pbs.twimg.com/profile_images/1431648743728852993/tLJ7F5Lu_normal.png</v>
      </c>
      <c r="AW870" s="82" t="s">
        <v>17643</v>
      </c>
      <c r="AX870" s="82" t="s">
        <v>17643</v>
      </c>
      <c r="AY870" s="77"/>
      <c r="AZ870" s="82" t="s">
        <v>20971</v>
      </c>
      <c r="BA870" s="82" t="s">
        <v>20971</v>
      </c>
      <c r="BB870" s="82" t="s">
        <v>20971</v>
      </c>
      <c r="BC870" s="82" t="s">
        <v>17643</v>
      </c>
      <c r="BD870" s="77">
        <v>489723814</v>
      </c>
      <c r="BE870" s="77"/>
      <c r="BF870" s="77"/>
      <c r="BG870" s="77"/>
      <c r="BH870" s="77"/>
      <c r="BI870" s="77"/>
    </row>
    <row r="871" spans="1:61" x14ac:dyDescent="0.25">
      <c r="A871" s="62" t="s">
        <v>418</v>
      </c>
      <c r="B871" s="62" t="s">
        <v>418</v>
      </c>
      <c r="C871" s="63"/>
      <c r="D871" s="64"/>
      <c r="E871" s="65"/>
      <c r="F871" s="66"/>
      <c r="G871" s="63"/>
      <c r="H871" s="67"/>
      <c r="I871" s="68"/>
      <c r="J871" s="68"/>
      <c r="K871" s="32"/>
      <c r="L871" s="75">
        <v>871</v>
      </c>
      <c r="M871" s="75"/>
      <c r="N871" s="70"/>
      <c r="O871" s="77" t="s">
        <v>179</v>
      </c>
      <c r="P871" s="79">
        <v>44959.842939814815</v>
      </c>
      <c r="Q871" s="77" t="s">
        <v>2146</v>
      </c>
      <c r="R871" s="77">
        <v>0</v>
      </c>
      <c r="S871" s="77">
        <v>0</v>
      </c>
      <c r="T871" s="77">
        <v>0</v>
      </c>
      <c r="U871" s="77">
        <v>0</v>
      </c>
      <c r="V871" s="77">
        <v>21</v>
      </c>
      <c r="W871" s="82" t="s">
        <v>5335</v>
      </c>
      <c r="X871" s="80" t="str">
        <f>HYPERLINK("https://www.freeclassificados.com/ads/motorola-moto-g9-plus-128gb/")</f>
        <v>https://www.freeclassificados.com/ads/motorola-moto-g9-plus-128gb/</v>
      </c>
      <c r="Y871" s="77" t="s">
        <v>7308</v>
      </c>
      <c r="Z871" s="77"/>
      <c r="AA871" s="77"/>
      <c r="AB871" s="77"/>
      <c r="AC871" s="82" t="s">
        <v>10155</v>
      </c>
      <c r="AD871" s="77" t="s">
        <v>10190</v>
      </c>
      <c r="AE871" s="80" t="str">
        <f>HYPERLINK("https://twitter.com/freeclassific/status/1621240498533896192")</f>
        <v>https://twitter.com/freeclassific/status/1621240498533896192</v>
      </c>
      <c r="AF871" s="79">
        <v>44959.842939814815</v>
      </c>
      <c r="AG871" s="85">
        <v>44959</v>
      </c>
      <c r="AH871" s="82" t="s">
        <v>11023</v>
      </c>
      <c r="AI871" s="77" t="b">
        <v>0</v>
      </c>
      <c r="AJ871" s="77"/>
      <c r="AK871" s="77"/>
      <c r="AL871" s="77"/>
      <c r="AM871" s="77"/>
      <c r="AN871" s="77"/>
      <c r="AO871" s="77"/>
      <c r="AP871" s="77"/>
      <c r="AQ871" s="77"/>
      <c r="AR871" s="77"/>
      <c r="AS871" s="77"/>
      <c r="AT871" s="77"/>
      <c r="AU871" s="77"/>
      <c r="AV871" s="80" t="str">
        <f>HYPERLINK("https://pbs.twimg.com/profile_images/1431648743728852993/tLJ7F5Lu_normal.png")</f>
        <v>https://pbs.twimg.com/profile_images/1431648743728852993/tLJ7F5Lu_normal.png</v>
      </c>
      <c r="AW871" s="82" t="s">
        <v>17644</v>
      </c>
      <c r="AX871" s="82" t="s">
        <v>17644</v>
      </c>
      <c r="AY871" s="77"/>
      <c r="AZ871" s="82" t="s">
        <v>20971</v>
      </c>
      <c r="BA871" s="82" t="s">
        <v>20971</v>
      </c>
      <c r="BB871" s="82" t="s">
        <v>20971</v>
      </c>
      <c r="BC871" s="82" t="s">
        <v>17644</v>
      </c>
      <c r="BD871" s="77">
        <v>489723814</v>
      </c>
      <c r="BE871" s="77"/>
      <c r="BF871" s="77"/>
      <c r="BG871" s="77"/>
      <c r="BH871" s="77"/>
      <c r="BI871" s="77"/>
    </row>
    <row r="872" spans="1:61" x14ac:dyDescent="0.25">
      <c r="A872" s="62" t="s">
        <v>418</v>
      </c>
      <c r="B872" s="62" t="s">
        <v>418</v>
      </c>
      <c r="C872" s="63"/>
      <c r="D872" s="64"/>
      <c r="E872" s="65"/>
      <c r="F872" s="66"/>
      <c r="G872" s="63"/>
      <c r="H872" s="67"/>
      <c r="I872" s="68"/>
      <c r="J872" s="68"/>
      <c r="K872" s="32"/>
      <c r="L872" s="75">
        <v>872</v>
      </c>
      <c r="M872" s="75"/>
      <c r="N872" s="70"/>
      <c r="O872" s="77" t="s">
        <v>179</v>
      </c>
      <c r="P872" s="79">
        <v>44959.744432870371</v>
      </c>
      <c r="Q872" s="77" t="s">
        <v>2147</v>
      </c>
      <c r="R872" s="77">
        <v>0</v>
      </c>
      <c r="S872" s="77">
        <v>0</v>
      </c>
      <c r="T872" s="77">
        <v>0</v>
      </c>
      <c r="U872" s="77">
        <v>0</v>
      </c>
      <c r="V872" s="77">
        <v>14</v>
      </c>
      <c r="W872" s="82" t="s">
        <v>5335</v>
      </c>
      <c r="X872" s="80" t="str">
        <f>HYPERLINK("https://www.freeclassificados.com/ads/desentupidora-no-vila-nova-em-campinas-19-99231-2502-desentupidora-em-campinas/")</f>
        <v>https://www.freeclassificados.com/ads/desentupidora-no-vila-nova-em-campinas-19-99231-2502-desentupidora-em-campinas/</v>
      </c>
      <c r="Y872" s="77" t="s">
        <v>7308</v>
      </c>
      <c r="Z872" s="77"/>
      <c r="AA872" s="77"/>
      <c r="AB872" s="77"/>
      <c r="AC872" s="82" t="s">
        <v>10155</v>
      </c>
      <c r="AD872" s="77" t="s">
        <v>10184</v>
      </c>
      <c r="AE872" s="80" t="str">
        <f>HYPERLINK("https://twitter.com/freeclassific/status/1621204800904757248")</f>
        <v>https://twitter.com/freeclassific/status/1621204800904757248</v>
      </c>
      <c r="AF872" s="79">
        <v>44959.744432870371</v>
      </c>
      <c r="AG872" s="85">
        <v>44959</v>
      </c>
      <c r="AH872" s="82" t="s">
        <v>11024</v>
      </c>
      <c r="AI872" s="77" t="b">
        <v>0</v>
      </c>
      <c r="AJ872" s="77"/>
      <c r="AK872" s="77"/>
      <c r="AL872" s="77"/>
      <c r="AM872" s="77"/>
      <c r="AN872" s="77"/>
      <c r="AO872" s="77"/>
      <c r="AP872" s="77"/>
      <c r="AQ872" s="77"/>
      <c r="AR872" s="77"/>
      <c r="AS872" s="77"/>
      <c r="AT872" s="77"/>
      <c r="AU872" s="77"/>
      <c r="AV872" s="80" t="str">
        <f>HYPERLINK("https://pbs.twimg.com/profile_images/1431648743728852993/tLJ7F5Lu_normal.png")</f>
        <v>https://pbs.twimg.com/profile_images/1431648743728852993/tLJ7F5Lu_normal.png</v>
      </c>
      <c r="AW872" s="82" t="s">
        <v>17645</v>
      </c>
      <c r="AX872" s="82" t="s">
        <v>17645</v>
      </c>
      <c r="AY872" s="77"/>
      <c r="AZ872" s="82" t="s">
        <v>20971</v>
      </c>
      <c r="BA872" s="82" t="s">
        <v>20971</v>
      </c>
      <c r="BB872" s="82" t="s">
        <v>20971</v>
      </c>
      <c r="BC872" s="82" t="s">
        <v>17645</v>
      </c>
      <c r="BD872" s="77">
        <v>489723814</v>
      </c>
      <c r="BE872" s="77"/>
      <c r="BF872" s="77"/>
      <c r="BG872" s="77"/>
      <c r="BH872" s="77"/>
      <c r="BI872" s="77"/>
    </row>
    <row r="873" spans="1:61" x14ac:dyDescent="0.25">
      <c r="A873" s="62" t="s">
        <v>418</v>
      </c>
      <c r="B873" s="62" t="s">
        <v>418</v>
      </c>
      <c r="C873" s="63"/>
      <c r="D873" s="64"/>
      <c r="E873" s="65"/>
      <c r="F873" s="66"/>
      <c r="G873" s="63"/>
      <c r="H873" s="67"/>
      <c r="I873" s="68"/>
      <c r="J873" s="68"/>
      <c r="K873" s="32"/>
      <c r="L873" s="75">
        <v>873</v>
      </c>
      <c r="M873" s="75"/>
      <c r="N873" s="70"/>
      <c r="O873" s="77" t="s">
        <v>179</v>
      </c>
      <c r="P873" s="79">
        <v>44959.741331018522</v>
      </c>
      <c r="Q873" s="77" t="s">
        <v>2148</v>
      </c>
      <c r="R873" s="77">
        <v>0</v>
      </c>
      <c r="S873" s="77">
        <v>0</v>
      </c>
      <c r="T873" s="77">
        <v>0</v>
      </c>
      <c r="U873" s="77">
        <v>0</v>
      </c>
      <c r="V873" s="77">
        <v>17</v>
      </c>
      <c r="W873" s="82" t="s">
        <v>5335</v>
      </c>
      <c r="X873" s="80" t="str">
        <f>HYPERLINK("https://www.freeclassificados.com/ads/desentupidora-no-vila-aurocan-em-campinas-19-99231-2502-desentupidora-em-campinas/")</f>
        <v>https://www.freeclassificados.com/ads/desentupidora-no-vila-aurocan-em-campinas-19-99231-2502-desentupidora-em-campinas/</v>
      </c>
      <c r="Y873" s="77" t="s">
        <v>7308</v>
      </c>
      <c r="Z873" s="77"/>
      <c r="AA873" s="77"/>
      <c r="AB873" s="77"/>
      <c r="AC873" s="82" t="s">
        <v>10155</v>
      </c>
      <c r="AD873" s="77" t="s">
        <v>10184</v>
      </c>
      <c r="AE873" s="80" t="str">
        <f>HYPERLINK("https://twitter.com/freeclassific/status/1621203677879967747")</f>
        <v>https://twitter.com/freeclassific/status/1621203677879967747</v>
      </c>
      <c r="AF873" s="79">
        <v>44959.741331018522</v>
      </c>
      <c r="AG873" s="85">
        <v>44959</v>
      </c>
      <c r="AH873" s="82" t="s">
        <v>11025</v>
      </c>
      <c r="AI873" s="77" t="b">
        <v>0</v>
      </c>
      <c r="AJ873" s="77"/>
      <c r="AK873" s="77"/>
      <c r="AL873" s="77"/>
      <c r="AM873" s="77"/>
      <c r="AN873" s="77"/>
      <c r="AO873" s="77"/>
      <c r="AP873" s="77"/>
      <c r="AQ873" s="77"/>
      <c r="AR873" s="77"/>
      <c r="AS873" s="77"/>
      <c r="AT873" s="77"/>
      <c r="AU873" s="77"/>
      <c r="AV873" s="80" t="str">
        <f>HYPERLINK("https://pbs.twimg.com/profile_images/1431648743728852993/tLJ7F5Lu_normal.png")</f>
        <v>https://pbs.twimg.com/profile_images/1431648743728852993/tLJ7F5Lu_normal.png</v>
      </c>
      <c r="AW873" s="82" t="s">
        <v>17646</v>
      </c>
      <c r="AX873" s="82" t="s">
        <v>17646</v>
      </c>
      <c r="AY873" s="77"/>
      <c r="AZ873" s="82" t="s">
        <v>20971</v>
      </c>
      <c r="BA873" s="82" t="s">
        <v>20971</v>
      </c>
      <c r="BB873" s="82" t="s">
        <v>20971</v>
      </c>
      <c r="BC873" s="82" t="s">
        <v>17646</v>
      </c>
      <c r="BD873" s="77">
        <v>489723814</v>
      </c>
      <c r="BE873" s="77"/>
      <c r="BF873" s="77"/>
      <c r="BG873" s="77"/>
      <c r="BH873" s="77"/>
      <c r="BI873" s="77"/>
    </row>
    <row r="874" spans="1:61" x14ac:dyDescent="0.25">
      <c r="A874" s="62" t="s">
        <v>418</v>
      </c>
      <c r="B874" s="62" t="s">
        <v>418</v>
      </c>
      <c r="C874" s="63"/>
      <c r="D874" s="64"/>
      <c r="E874" s="65"/>
      <c r="F874" s="66"/>
      <c r="G874" s="63"/>
      <c r="H874" s="67"/>
      <c r="I874" s="68"/>
      <c r="J874" s="68"/>
      <c r="K874" s="32"/>
      <c r="L874" s="75">
        <v>874</v>
      </c>
      <c r="M874" s="75"/>
      <c r="N874" s="70"/>
      <c r="O874" s="77" t="s">
        <v>179</v>
      </c>
      <c r="P874" s="79">
        <v>44959.737847222219</v>
      </c>
      <c r="Q874" s="77" t="s">
        <v>2149</v>
      </c>
      <c r="R874" s="77">
        <v>0</v>
      </c>
      <c r="S874" s="77">
        <v>0</v>
      </c>
      <c r="T874" s="77">
        <v>0</v>
      </c>
      <c r="U874" s="77">
        <v>0</v>
      </c>
      <c r="V874" s="77">
        <v>11</v>
      </c>
      <c r="W874" s="82" t="s">
        <v>5335</v>
      </c>
      <c r="X874" s="80" t="str">
        <f>HYPERLINK("https://www.freeclassificados.com/ads/desentupidora-no-vila-proost-de-souza-em-campinas-19-99231-2502-desentupidora-em-campinas/")</f>
        <v>https://www.freeclassificados.com/ads/desentupidora-no-vila-proost-de-souza-em-campinas-19-99231-2502-desentupidora-em-campinas/</v>
      </c>
      <c r="Y874" s="77" t="s">
        <v>7308</v>
      </c>
      <c r="Z874" s="77"/>
      <c r="AA874" s="77"/>
      <c r="AB874" s="77"/>
      <c r="AC874" s="82" t="s">
        <v>10155</v>
      </c>
      <c r="AD874" s="77" t="s">
        <v>10184</v>
      </c>
      <c r="AE874" s="80" t="str">
        <f>HYPERLINK("https://twitter.com/freeclassific/status/1621202411640561664")</f>
        <v>https://twitter.com/freeclassific/status/1621202411640561664</v>
      </c>
      <c r="AF874" s="79">
        <v>44959.737847222219</v>
      </c>
      <c r="AG874" s="85">
        <v>44959</v>
      </c>
      <c r="AH874" s="82" t="s">
        <v>11026</v>
      </c>
      <c r="AI874" s="77" t="b">
        <v>0</v>
      </c>
      <c r="AJ874" s="77"/>
      <c r="AK874" s="77"/>
      <c r="AL874" s="77"/>
      <c r="AM874" s="77"/>
      <c r="AN874" s="77"/>
      <c r="AO874" s="77"/>
      <c r="AP874" s="77"/>
      <c r="AQ874" s="77"/>
      <c r="AR874" s="77"/>
      <c r="AS874" s="77"/>
      <c r="AT874" s="77"/>
      <c r="AU874" s="77"/>
      <c r="AV874" s="80" t="str">
        <f>HYPERLINK("https://pbs.twimg.com/profile_images/1431648743728852993/tLJ7F5Lu_normal.png")</f>
        <v>https://pbs.twimg.com/profile_images/1431648743728852993/tLJ7F5Lu_normal.png</v>
      </c>
      <c r="AW874" s="82" t="s">
        <v>17647</v>
      </c>
      <c r="AX874" s="82" t="s">
        <v>17647</v>
      </c>
      <c r="AY874" s="77"/>
      <c r="AZ874" s="82" t="s">
        <v>20971</v>
      </c>
      <c r="BA874" s="82" t="s">
        <v>20971</v>
      </c>
      <c r="BB874" s="82" t="s">
        <v>20971</v>
      </c>
      <c r="BC874" s="82" t="s">
        <v>17647</v>
      </c>
      <c r="BD874" s="77">
        <v>489723814</v>
      </c>
      <c r="BE874" s="77"/>
      <c r="BF874" s="77"/>
      <c r="BG874" s="77"/>
      <c r="BH874" s="77"/>
      <c r="BI874" s="77"/>
    </row>
    <row r="875" spans="1:61" x14ac:dyDescent="0.25">
      <c r="A875" s="62" t="s">
        <v>418</v>
      </c>
      <c r="B875" s="62" t="s">
        <v>418</v>
      </c>
      <c r="C875" s="63"/>
      <c r="D875" s="64"/>
      <c r="E875" s="65"/>
      <c r="F875" s="66"/>
      <c r="G875" s="63"/>
      <c r="H875" s="67"/>
      <c r="I875" s="68"/>
      <c r="J875" s="68"/>
      <c r="K875" s="32"/>
      <c r="L875" s="75">
        <v>875</v>
      </c>
      <c r="M875" s="75"/>
      <c r="N875" s="70"/>
      <c r="O875" s="77" t="s">
        <v>179</v>
      </c>
      <c r="P875" s="79">
        <v>44959.663912037038</v>
      </c>
      <c r="Q875" s="77" t="s">
        <v>2150</v>
      </c>
      <c r="R875" s="77">
        <v>0</v>
      </c>
      <c r="S875" s="77">
        <v>0</v>
      </c>
      <c r="T875" s="77">
        <v>0</v>
      </c>
      <c r="U875" s="77">
        <v>0</v>
      </c>
      <c r="V875" s="77">
        <v>4</v>
      </c>
      <c r="W875" s="82" t="s">
        <v>5335</v>
      </c>
      <c r="X875" s="80" t="str">
        <f>HYPERLINK("https://www.freeclassificados.com/ads/buffet-manduco-eventos-o-seu-evento-com-qualidade-e-pontualidade/")</f>
        <v>https://www.freeclassificados.com/ads/buffet-manduco-eventos-o-seu-evento-com-qualidade-e-pontualidade/</v>
      </c>
      <c r="Y875" s="77" t="s">
        <v>7308</v>
      </c>
      <c r="Z875" s="77"/>
      <c r="AA875" s="77"/>
      <c r="AB875" s="77"/>
      <c r="AC875" s="82" t="s">
        <v>10155</v>
      </c>
      <c r="AD875" s="77" t="s">
        <v>10184</v>
      </c>
      <c r="AE875" s="80" t="str">
        <f>HYPERLINK("https://twitter.com/freeclassific/status/1621175619307409410")</f>
        <v>https://twitter.com/freeclassific/status/1621175619307409410</v>
      </c>
      <c r="AF875" s="79">
        <v>44959.663912037038</v>
      </c>
      <c r="AG875" s="85">
        <v>44959</v>
      </c>
      <c r="AH875" s="82" t="s">
        <v>11027</v>
      </c>
      <c r="AI875" s="77" t="b">
        <v>0</v>
      </c>
      <c r="AJ875" s="77"/>
      <c r="AK875" s="77"/>
      <c r="AL875" s="77"/>
      <c r="AM875" s="77"/>
      <c r="AN875" s="77"/>
      <c r="AO875" s="77"/>
      <c r="AP875" s="77"/>
      <c r="AQ875" s="77"/>
      <c r="AR875" s="77"/>
      <c r="AS875" s="77"/>
      <c r="AT875" s="77"/>
      <c r="AU875" s="77"/>
      <c r="AV875" s="80" t="str">
        <f>HYPERLINK("https://pbs.twimg.com/profile_images/1431648743728852993/tLJ7F5Lu_normal.png")</f>
        <v>https://pbs.twimg.com/profile_images/1431648743728852993/tLJ7F5Lu_normal.png</v>
      </c>
      <c r="AW875" s="82" t="s">
        <v>17648</v>
      </c>
      <c r="AX875" s="82" t="s">
        <v>17648</v>
      </c>
      <c r="AY875" s="77"/>
      <c r="AZ875" s="82" t="s">
        <v>20971</v>
      </c>
      <c r="BA875" s="82" t="s">
        <v>20971</v>
      </c>
      <c r="BB875" s="82" t="s">
        <v>20971</v>
      </c>
      <c r="BC875" s="82" t="s">
        <v>17648</v>
      </c>
      <c r="BD875" s="77">
        <v>489723814</v>
      </c>
      <c r="BE875" s="77"/>
      <c r="BF875" s="77"/>
      <c r="BG875" s="77"/>
      <c r="BH875" s="77"/>
      <c r="BI875" s="77"/>
    </row>
    <row r="876" spans="1:61" x14ac:dyDescent="0.25">
      <c r="A876" s="62" t="s">
        <v>418</v>
      </c>
      <c r="B876" s="62" t="s">
        <v>418</v>
      </c>
      <c r="C876" s="63"/>
      <c r="D876" s="64"/>
      <c r="E876" s="65"/>
      <c r="F876" s="66"/>
      <c r="G876" s="63"/>
      <c r="H876" s="67"/>
      <c r="I876" s="68"/>
      <c r="J876" s="68"/>
      <c r="K876" s="32"/>
      <c r="L876" s="75">
        <v>876</v>
      </c>
      <c r="M876" s="75"/>
      <c r="N876" s="70"/>
      <c r="O876" s="77" t="s">
        <v>179</v>
      </c>
      <c r="P876" s="79">
        <v>44959.660960648151</v>
      </c>
      <c r="Q876" s="77" t="s">
        <v>2151</v>
      </c>
      <c r="R876" s="77">
        <v>0</v>
      </c>
      <c r="S876" s="77">
        <v>0</v>
      </c>
      <c r="T876" s="77">
        <v>0</v>
      </c>
      <c r="U876" s="77">
        <v>0</v>
      </c>
      <c r="V876" s="77">
        <v>5</v>
      </c>
      <c r="W876" s="82" t="s">
        <v>5335</v>
      </c>
      <c r="X876" s="80" t="str">
        <f>HYPERLINK("https://www.freeclassificados.com/ads/kit-lanche-gourmet-buffet-manduco-eventos/")</f>
        <v>https://www.freeclassificados.com/ads/kit-lanche-gourmet-buffet-manduco-eventos/</v>
      </c>
      <c r="Y876" s="77" t="s">
        <v>7308</v>
      </c>
      <c r="Z876" s="77"/>
      <c r="AA876" s="77"/>
      <c r="AB876" s="77"/>
      <c r="AC876" s="82" t="s">
        <v>10155</v>
      </c>
      <c r="AD876" s="77" t="s">
        <v>10193</v>
      </c>
      <c r="AE876" s="80" t="str">
        <f>HYPERLINK("https://twitter.com/freeclassific/status/1621174551919968259")</f>
        <v>https://twitter.com/freeclassific/status/1621174551919968259</v>
      </c>
      <c r="AF876" s="79">
        <v>44959.660960648151</v>
      </c>
      <c r="AG876" s="85">
        <v>44959</v>
      </c>
      <c r="AH876" s="82" t="s">
        <v>11028</v>
      </c>
      <c r="AI876" s="77" t="b">
        <v>0</v>
      </c>
      <c r="AJ876" s="77"/>
      <c r="AK876" s="77"/>
      <c r="AL876" s="77"/>
      <c r="AM876" s="77"/>
      <c r="AN876" s="77"/>
      <c r="AO876" s="77"/>
      <c r="AP876" s="77"/>
      <c r="AQ876" s="77"/>
      <c r="AR876" s="77"/>
      <c r="AS876" s="77"/>
      <c r="AT876" s="77"/>
      <c r="AU876" s="77"/>
      <c r="AV876" s="80" t="str">
        <f>HYPERLINK("https://pbs.twimg.com/profile_images/1431648743728852993/tLJ7F5Lu_normal.png")</f>
        <v>https://pbs.twimg.com/profile_images/1431648743728852993/tLJ7F5Lu_normal.png</v>
      </c>
      <c r="AW876" s="82" t="s">
        <v>17649</v>
      </c>
      <c r="AX876" s="82" t="s">
        <v>17649</v>
      </c>
      <c r="AY876" s="77"/>
      <c r="AZ876" s="82" t="s">
        <v>20971</v>
      </c>
      <c r="BA876" s="82" t="s">
        <v>20971</v>
      </c>
      <c r="BB876" s="82" t="s">
        <v>20971</v>
      </c>
      <c r="BC876" s="82" t="s">
        <v>17649</v>
      </c>
      <c r="BD876" s="77">
        <v>489723814</v>
      </c>
      <c r="BE876" s="77"/>
      <c r="BF876" s="77"/>
      <c r="BG876" s="77"/>
      <c r="BH876" s="77"/>
      <c r="BI876" s="77"/>
    </row>
    <row r="877" spans="1:61" x14ac:dyDescent="0.25">
      <c r="A877" s="62" t="s">
        <v>418</v>
      </c>
      <c r="B877" s="62" t="s">
        <v>418</v>
      </c>
      <c r="C877" s="63"/>
      <c r="D877" s="64"/>
      <c r="E877" s="65"/>
      <c r="F877" s="66"/>
      <c r="G877" s="63"/>
      <c r="H877" s="67"/>
      <c r="I877" s="68"/>
      <c r="J877" s="68"/>
      <c r="K877" s="32"/>
      <c r="L877" s="75">
        <v>877</v>
      </c>
      <c r="M877" s="75"/>
      <c r="N877" s="70"/>
      <c r="O877" s="77" t="s">
        <v>179</v>
      </c>
      <c r="P877" s="79">
        <v>44959.655370370368</v>
      </c>
      <c r="Q877" s="77" t="s">
        <v>2152</v>
      </c>
      <c r="R877" s="77">
        <v>0</v>
      </c>
      <c r="S877" s="77">
        <v>0</v>
      </c>
      <c r="T877" s="77">
        <v>0</v>
      </c>
      <c r="U877" s="77">
        <v>0</v>
      </c>
      <c r="V877" s="77">
        <v>4</v>
      </c>
      <c r="W877" s="82" t="s">
        <v>5335</v>
      </c>
      <c r="X877" s="80" t="str">
        <f>HYPERLINK("https://www.freeclassificados.com/ads/buffet-corporativo-coffee-break-e-coquetel-manduco-eventos/")</f>
        <v>https://www.freeclassificados.com/ads/buffet-corporativo-coffee-break-e-coquetel-manduco-eventos/</v>
      </c>
      <c r="Y877" s="77" t="s">
        <v>7308</v>
      </c>
      <c r="Z877" s="77"/>
      <c r="AA877" s="77"/>
      <c r="AB877" s="77"/>
      <c r="AC877" s="82" t="s">
        <v>10155</v>
      </c>
      <c r="AD877" s="77" t="s">
        <v>10187</v>
      </c>
      <c r="AE877" s="80" t="str">
        <f>HYPERLINK("https://twitter.com/freeclassific/status/1621172524229738496")</f>
        <v>https://twitter.com/freeclassific/status/1621172524229738496</v>
      </c>
      <c r="AF877" s="79">
        <v>44959.655370370368</v>
      </c>
      <c r="AG877" s="85">
        <v>44959</v>
      </c>
      <c r="AH877" s="82" t="s">
        <v>11029</v>
      </c>
      <c r="AI877" s="77" t="b">
        <v>0</v>
      </c>
      <c r="AJ877" s="77"/>
      <c r="AK877" s="77"/>
      <c r="AL877" s="77"/>
      <c r="AM877" s="77"/>
      <c r="AN877" s="77"/>
      <c r="AO877" s="77"/>
      <c r="AP877" s="77"/>
      <c r="AQ877" s="77"/>
      <c r="AR877" s="77"/>
      <c r="AS877" s="77"/>
      <c r="AT877" s="77"/>
      <c r="AU877" s="77"/>
      <c r="AV877" s="80" t="str">
        <f>HYPERLINK("https://pbs.twimg.com/profile_images/1431648743728852993/tLJ7F5Lu_normal.png")</f>
        <v>https://pbs.twimg.com/profile_images/1431648743728852993/tLJ7F5Lu_normal.png</v>
      </c>
      <c r="AW877" s="82" t="s">
        <v>17650</v>
      </c>
      <c r="AX877" s="82" t="s">
        <v>17650</v>
      </c>
      <c r="AY877" s="77"/>
      <c r="AZ877" s="82" t="s">
        <v>20971</v>
      </c>
      <c r="BA877" s="82" t="s">
        <v>20971</v>
      </c>
      <c r="BB877" s="82" t="s">
        <v>20971</v>
      </c>
      <c r="BC877" s="82" t="s">
        <v>17650</v>
      </c>
      <c r="BD877" s="77">
        <v>489723814</v>
      </c>
      <c r="BE877" s="77"/>
      <c r="BF877" s="77"/>
      <c r="BG877" s="77"/>
      <c r="BH877" s="77"/>
      <c r="BI877" s="77"/>
    </row>
    <row r="878" spans="1:61" x14ac:dyDescent="0.25">
      <c r="A878" s="62" t="s">
        <v>418</v>
      </c>
      <c r="B878" s="62" t="s">
        <v>418</v>
      </c>
      <c r="C878" s="63"/>
      <c r="D878" s="64"/>
      <c r="E878" s="65"/>
      <c r="F878" s="66"/>
      <c r="G878" s="63"/>
      <c r="H878" s="67"/>
      <c r="I878" s="68"/>
      <c r="J878" s="68"/>
      <c r="K878" s="32"/>
      <c r="L878" s="75">
        <v>878</v>
      </c>
      <c r="M878" s="75"/>
      <c r="N878" s="70"/>
      <c r="O878" s="77" t="s">
        <v>179</v>
      </c>
      <c r="P878" s="79">
        <v>45089.721921296295</v>
      </c>
      <c r="Q878" s="77" t="s">
        <v>2153</v>
      </c>
      <c r="R878" s="77">
        <v>0</v>
      </c>
      <c r="S878" s="77">
        <v>0</v>
      </c>
      <c r="T878" s="77">
        <v>0</v>
      </c>
      <c r="U878" s="77">
        <v>0</v>
      </c>
      <c r="V878" s="77">
        <v>14</v>
      </c>
      <c r="W878" s="82" t="s">
        <v>5560</v>
      </c>
      <c r="X878" s="80" t="str">
        <f>HYPERLINK("https://www.freeclassificados.com/ads/homem-aranha-bailarinas-cinderella-turma-da-xuxinha-11948594445/")</f>
        <v>https://www.freeclassificados.com/ads/homem-aranha-bailarinas-cinderella-turma-da-xuxinha-11948594445/</v>
      </c>
      <c r="Y878" s="77" t="s">
        <v>7308</v>
      </c>
      <c r="Z878" s="77"/>
      <c r="AA878" s="77"/>
      <c r="AB878" s="77"/>
      <c r="AC878" s="82" t="s">
        <v>10155</v>
      </c>
      <c r="AD878" s="77" t="s">
        <v>10184</v>
      </c>
      <c r="AE878" s="80" t="str">
        <f>HYPERLINK("https://twitter.com/freeclassific/status/1668307064043753472")</f>
        <v>https://twitter.com/freeclassific/status/1668307064043753472</v>
      </c>
      <c r="AF878" s="79">
        <v>45089.721921296295</v>
      </c>
      <c r="AG878" s="85">
        <v>45089</v>
      </c>
      <c r="AH878" s="82" t="s">
        <v>11030</v>
      </c>
      <c r="AI878" s="77" t="b">
        <v>0</v>
      </c>
      <c r="AJ878" s="77"/>
      <c r="AK878" s="77"/>
      <c r="AL878" s="77"/>
      <c r="AM878" s="77"/>
      <c r="AN878" s="77"/>
      <c r="AO878" s="77"/>
      <c r="AP878" s="77"/>
      <c r="AQ878" s="77"/>
      <c r="AR878" s="77"/>
      <c r="AS878" s="77"/>
      <c r="AT878" s="77"/>
      <c r="AU878" s="77"/>
      <c r="AV878" s="80" t="str">
        <f>HYPERLINK("https://pbs.twimg.com/profile_images/1431648743728852993/tLJ7F5Lu_normal.png")</f>
        <v>https://pbs.twimg.com/profile_images/1431648743728852993/tLJ7F5Lu_normal.png</v>
      </c>
      <c r="AW878" s="82" t="s">
        <v>17651</v>
      </c>
      <c r="AX878" s="82" t="s">
        <v>17651</v>
      </c>
      <c r="AY878" s="77"/>
      <c r="AZ878" s="82" t="s">
        <v>20971</v>
      </c>
      <c r="BA878" s="82" t="s">
        <v>20971</v>
      </c>
      <c r="BB878" s="82" t="s">
        <v>20971</v>
      </c>
      <c r="BC878" s="82" t="s">
        <v>17651</v>
      </c>
      <c r="BD878" s="77">
        <v>489723814</v>
      </c>
      <c r="BE878" s="77"/>
      <c r="BF878" s="77"/>
      <c r="BG878" s="77"/>
      <c r="BH878" s="77"/>
      <c r="BI878" s="77"/>
    </row>
    <row r="879" spans="1:61" x14ac:dyDescent="0.25">
      <c r="A879" s="62" t="s">
        <v>418</v>
      </c>
      <c r="B879" s="62" t="s">
        <v>418</v>
      </c>
      <c r="C879" s="63"/>
      <c r="D879" s="64"/>
      <c r="E879" s="65"/>
      <c r="F879" s="66"/>
      <c r="G879" s="63"/>
      <c r="H879" s="67"/>
      <c r="I879" s="68"/>
      <c r="J879" s="68"/>
      <c r="K879" s="32"/>
      <c r="L879" s="75">
        <v>879</v>
      </c>
      <c r="M879" s="75"/>
      <c r="N879" s="70"/>
      <c r="O879" s="77" t="s">
        <v>179</v>
      </c>
      <c r="P879" s="79">
        <v>45089.53125</v>
      </c>
      <c r="Q879" s="77" t="s">
        <v>2003</v>
      </c>
      <c r="R879" s="77">
        <v>0</v>
      </c>
      <c r="S879" s="77">
        <v>0</v>
      </c>
      <c r="T879" s="77">
        <v>0</v>
      </c>
      <c r="U879" s="77">
        <v>0</v>
      </c>
      <c r="V879" s="77">
        <v>9</v>
      </c>
      <c r="W879" s="82" t="s">
        <v>5560</v>
      </c>
      <c r="X879" s="80" t="str">
        <f>HYPERLINK("https://www.freeclassificados.com/ads/palco-coberta-som-luz-alugo-palco-aluguel-tablado-de-vidro-palco-madeira-9-86-25-98-82/")</f>
        <v>https://www.freeclassificados.com/ads/palco-coberta-som-luz-alugo-palco-aluguel-tablado-de-vidro-palco-madeira-9-86-25-98-82/</v>
      </c>
      <c r="Y879" s="77" t="s">
        <v>7308</v>
      </c>
      <c r="Z879" s="77"/>
      <c r="AA879" s="77"/>
      <c r="AB879" s="77"/>
      <c r="AC879" s="82" t="s">
        <v>10155</v>
      </c>
      <c r="AD879" s="77" t="s">
        <v>10184</v>
      </c>
      <c r="AE879" s="80" t="str">
        <f>HYPERLINK("https://twitter.com/freeclassific/status/1668237968149217283")</f>
        <v>https://twitter.com/freeclassific/status/1668237968149217283</v>
      </c>
      <c r="AF879" s="79">
        <v>45089.53125</v>
      </c>
      <c r="AG879" s="85">
        <v>45089</v>
      </c>
      <c r="AH879" s="82" t="s">
        <v>11031</v>
      </c>
      <c r="AI879" s="77" t="b">
        <v>0</v>
      </c>
      <c r="AJ879" s="77"/>
      <c r="AK879" s="77"/>
      <c r="AL879" s="77"/>
      <c r="AM879" s="77"/>
      <c r="AN879" s="77"/>
      <c r="AO879" s="77"/>
      <c r="AP879" s="77"/>
      <c r="AQ879" s="77"/>
      <c r="AR879" s="77"/>
      <c r="AS879" s="77"/>
      <c r="AT879" s="77"/>
      <c r="AU879" s="77"/>
      <c r="AV879" s="80" t="str">
        <f>HYPERLINK("https://pbs.twimg.com/profile_images/1431648743728852993/tLJ7F5Lu_normal.png")</f>
        <v>https://pbs.twimg.com/profile_images/1431648743728852993/tLJ7F5Lu_normal.png</v>
      </c>
      <c r="AW879" s="82" t="s">
        <v>17652</v>
      </c>
      <c r="AX879" s="82" t="s">
        <v>17652</v>
      </c>
      <c r="AY879" s="77"/>
      <c r="AZ879" s="82" t="s">
        <v>20971</v>
      </c>
      <c r="BA879" s="82" t="s">
        <v>20971</v>
      </c>
      <c r="BB879" s="82" t="s">
        <v>20971</v>
      </c>
      <c r="BC879" s="82" t="s">
        <v>17652</v>
      </c>
      <c r="BD879" s="77">
        <v>489723814</v>
      </c>
      <c r="BE879" s="77"/>
      <c r="BF879" s="77"/>
      <c r="BG879" s="77"/>
      <c r="BH879" s="77"/>
      <c r="BI879" s="77"/>
    </row>
    <row r="880" spans="1:61" x14ac:dyDescent="0.25">
      <c r="A880" s="62" t="s">
        <v>418</v>
      </c>
      <c r="B880" s="62" t="s">
        <v>418</v>
      </c>
      <c r="C880" s="63"/>
      <c r="D880" s="64"/>
      <c r="E880" s="65"/>
      <c r="F880" s="66"/>
      <c r="G880" s="63"/>
      <c r="H880" s="67"/>
      <c r="I880" s="68"/>
      <c r="J880" s="68"/>
      <c r="K880" s="32"/>
      <c r="L880" s="75">
        <v>880</v>
      </c>
      <c r="M880" s="75"/>
      <c r="N880" s="70"/>
      <c r="O880" s="77" t="s">
        <v>179</v>
      </c>
      <c r="P880" s="79">
        <v>45087.842581018522</v>
      </c>
      <c r="Q880" s="77" t="s">
        <v>2154</v>
      </c>
      <c r="R880" s="77">
        <v>0</v>
      </c>
      <c r="S880" s="77">
        <v>0</v>
      </c>
      <c r="T880" s="77">
        <v>0</v>
      </c>
      <c r="U880" s="77">
        <v>0</v>
      </c>
      <c r="V880" s="77">
        <v>16</v>
      </c>
      <c r="W880" s="82" t="s">
        <v>5560</v>
      </c>
      <c r="X880" s="80" t="str">
        <f>HYPERLINK("https://www.freeclassificados.com/ads/miley-cyrus-show-cover-11948594445-festas-e-eventos/")</f>
        <v>https://www.freeclassificados.com/ads/miley-cyrus-show-cover-11948594445-festas-e-eventos/</v>
      </c>
      <c r="Y880" s="77" t="s">
        <v>7308</v>
      </c>
      <c r="Z880" s="77"/>
      <c r="AA880" s="77"/>
      <c r="AB880" s="77"/>
      <c r="AC880" s="82" t="s">
        <v>10155</v>
      </c>
      <c r="AD880" s="77" t="s">
        <v>10184</v>
      </c>
      <c r="AE880" s="80" t="str">
        <f>HYPERLINK("https://twitter.com/freeclassific/status/1667626014497972224")</f>
        <v>https://twitter.com/freeclassific/status/1667626014497972224</v>
      </c>
      <c r="AF880" s="79">
        <v>45087.842581018522</v>
      </c>
      <c r="AG880" s="85">
        <v>45087</v>
      </c>
      <c r="AH880" s="82" t="s">
        <v>11032</v>
      </c>
      <c r="AI880" s="77" t="b">
        <v>0</v>
      </c>
      <c r="AJ880" s="77"/>
      <c r="AK880" s="77"/>
      <c r="AL880" s="77"/>
      <c r="AM880" s="77"/>
      <c r="AN880" s="77"/>
      <c r="AO880" s="77"/>
      <c r="AP880" s="77"/>
      <c r="AQ880" s="77"/>
      <c r="AR880" s="77"/>
      <c r="AS880" s="77"/>
      <c r="AT880" s="77"/>
      <c r="AU880" s="77"/>
      <c r="AV880" s="80" t="str">
        <f>HYPERLINK("https://pbs.twimg.com/profile_images/1431648743728852993/tLJ7F5Lu_normal.png")</f>
        <v>https://pbs.twimg.com/profile_images/1431648743728852993/tLJ7F5Lu_normal.png</v>
      </c>
      <c r="AW880" s="82" t="s">
        <v>17653</v>
      </c>
      <c r="AX880" s="82" t="s">
        <v>17653</v>
      </c>
      <c r="AY880" s="77"/>
      <c r="AZ880" s="82" t="s">
        <v>20971</v>
      </c>
      <c r="BA880" s="82" t="s">
        <v>20971</v>
      </c>
      <c r="BB880" s="82" t="s">
        <v>20971</v>
      </c>
      <c r="BC880" s="82" t="s">
        <v>17653</v>
      </c>
      <c r="BD880" s="77">
        <v>489723814</v>
      </c>
      <c r="BE880" s="77"/>
      <c r="BF880" s="77"/>
      <c r="BG880" s="77"/>
      <c r="BH880" s="77"/>
      <c r="BI880" s="77"/>
    </row>
    <row r="881" spans="1:61" x14ac:dyDescent="0.25">
      <c r="A881" s="62" t="s">
        <v>418</v>
      </c>
      <c r="B881" s="62" t="s">
        <v>418</v>
      </c>
      <c r="C881" s="63"/>
      <c r="D881" s="64"/>
      <c r="E881" s="65"/>
      <c r="F881" s="66"/>
      <c r="G881" s="63"/>
      <c r="H881" s="67"/>
      <c r="I881" s="68"/>
      <c r="J881" s="68"/>
      <c r="K881" s="32"/>
      <c r="L881" s="75">
        <v>881</v>
      </c>
      <c r="M881" s="75"/>
      <c r="N881" s="70"/>
      <c r="O881" s="77" t="s">
        <v>179</v>
      </c>
      <c r="P881" s="79">
        <v>45069.66915509259</v>
      </c>
      <c r="Q881" s="77" t="s">
        <v>2155</v>
      </c>
      <c r="R881" s="77">
        <v>0</v>
      </c>
      <c r="S881" s="77">
        <v>0</v>
      </c>
      <c r="T881" s="77">
        <v>1</v>
      </c>
      <c r="U881" s="77">
        <v>0</v>
      </c>
      <c r="V881" s="77">
        <v>15</v>
      </c>
      <c r="W881" s="82" t="s">
        <v>5560</v>
      </c>
      <c r="X881" s="80" t="str">
        <f>HYPERLINK("https://www.freeclassificados.com/ads/rio-embalagens-rio-embalagens/")</f>
        <v>https://www.freeclassificados.com/ads/rio-embalagens-rio-embalagens/</v>
      </c>
      <c r="Y881" s="77" t="s">
        <v>7308</v>
      </c>
      <c r="Z881" s="77"/>
      <c r="AA881" s="77"/>
      <c r="AB881" s="77"/>
      <c r="AC881" s="82" t="s">
        <v>10155</v>
      </c>
      <c r="AD881" s="77" t="s">
        <v>10184</v>
      </c>
      <c r="AE881" s="80" t="str">
        <f>HYPERLINK("https://twitter.com/freeclassific/status/1661040183784136704")</f>
        <v>https://twitter.com/freeclassific/status/1661040183784136704</v>
      </c>
      <c r="AF881" s="79">
        <v>45069.66915509259</v>
      </c>
      <c r="AG881" s="85">
        <v>45069</v>
      </c>
      <c r="AH881" s="82" t="s">
        <v>11033</v>
      </c>
      <c r="AI881" s="77" t="b">
        <v>0</v>
      </c>
      <c r="AJ881" s="77"/>
      <c r="AK881" s="77"/>
      <c r="AL881" s="77"/>
      <c r="AM881" s="77"/>
      <c r="AN881" s="77"/>
      <c r="AO881" s="77"/>
      <c r="AP881" s="77"/>
      <c r="AQ881" s="77"/>
      <c r="AR881" s="77"/>
      <c r="AS881" s="77"/>
      <c r="AT881" s="77"/>
      <c r="AU881" s="77"/>
      <c r="AV881" s="80" t="str">
        <f>HYPERLINK("https://pbs.twimg.com/profile_images/1431648743728852993/tLJ7F5Lu_normal.png")</f>
        <v>https://pbs.twimg.com/profile_images/1431648743728852993/tLJ7F5Lu_normal.png</v>
      </c>
      <c r="AW881" s="82" t="s">
        <v>17654</v>
      </c>
      <c r="AX881" s="82" t="s">
        <v>17654</v>
      </c>
      <c r="AY881" s="77"/>
      <c r="AZ881" s="82" t="s">
        <v>20971</v>
      </c>
      <c r="BA881" s="82" t="s">
        <v>20971</v>
      </c>
      <c r="BB881" s="82" t="s">
        <v>20971</v>
      </c>
      <c r="BC881" s="82" t="s">
        <v>17654</v>
      </c>
      <c r="BD881" s="77">
        <v>489723814</v>
      </c>
      <c r="BE881" s="77"/>
      <c r="BF881" s="77"/>
      <c r="BG881" s="77"/>
      <c r="BH881" s="77"/>
      <c r="BI881" s="77"/>
    </row>
    <row r="882" spans="1:61" x14ac:dyDescent="0.25">
      <c r="A882" s="62" t="s">
        <v>418</v>
      </c>
      <c r="B882" s="62" t="s">
        <v>418</v>
      </c>
      <c r="C882" s="63"/>
      <c r="D882" s="64"/>
      <c r="E882" s="65"/>
      <c r="F882" s="66"/>
      <c r="G882" s="63"/>
      <c r="H882" s="67"/>
      <c r="I882" s="68"/>
      <c r="J882" s="68"/>
      <c r="K882" s="32"/>
      <c r="L882" s="75">
        <v>882</v>
      </c>
      <c r="M882" s="75"/>
      <c r="N882" s="70"/>
      <c r="O882" s="77" t="s">
        <v>179</v>
      </c>
      <c r="P882" s="79">
        <v>45069.079895833333</v>
      </c>
      <c r="Q882" s="77" t="s">
        <v>2156</v>
      </c>
      <c r="R882" s="77">
        <v>0</v>
      </c>
      <c r="S882" s="77">
        <v>0</v>
      </c>
      <c r="T882" s="77">
        <v>1</v>
      </c>
      <c r="U882" s="77">
        <v>0</v>
      </c>
      <c r="V882" s="77">
        <v>12</v>
      </c>
      <c r="W882" s="82" t="s">
        <v>5560</v>
      </c>
      <c r="X882" s="80" t="str">
        <f>HYPERLINK("https://www.freeclassificados.com/ads/medicina-alternativa-que-eles-nao-querem-que-voce-saiba/")</f>
        <v>https://www.freeclassificados.com/ads/medicina-alternativa-que-eles-nao-querem-que-voce-saiba/</v>
      </c>
      <c r="Y882" s="77" t="s">
        <v>7308</v>
      </c>
      <c r="Z882" s="77"/>
      <c r="AA882" s="77"/>
      <c r="AB882" s="77"/>
      <c r="AC882" s="82" t="s">
        <v>10155</v>
      </c>
      <c r="AD882" s="77" t="s">
        <v>10184</v>
      </c>
      <c r="AE882" s="80" t="str">
        <f>HYPERLINK("https://twitter.com/freeclassific/status/1660826643206897664")</f>
        <v>https://twitter.com/freeclassific/status/1660826643206897664</v>
      </c>
      <c r="AF882" s="79">
        <v>45069.079895833333</v>
      </c>
      <c r="AG882" s="85">
        <v>45069</v>
      </c>
      <c r="AH882" s="82" t="s">
        <v>11034</v>
      </c>
      <c r="AI882" s="77" t="b">
        <v>0</v>
      </c>
      <c r="AJ882" s="77"/>
      <c r="AK882" s="77"/>
      <c r="AL882" s="77"/>
      <c r="AM882" s="77"/>
      <c r="AN882" s="77"/>
      <c r="AO882" s="77"/>
      <c r="AP882" s="77"/>
      <c r="AQ882" s="77"/>
      <c r="AR882" s="77"/>
      <c r="AS882" s="77"/>
      <c r="AT882" s="77"/>
      <c r="AU882" s="77"/>
      <c r="AV882" s="80" t="str">
        <f>HYPERLINK("https://pbs.twimg.com/profile_images/1431648743728852993/tLJ7F5Lu_normal.png")</f>
        <v>https://pbs.twimg.com/profile_images/1431648743728852993/tLJ7F5Lu_normal.png</v>
      </c>
      <c r="AW882" s="82" t="s">
        <v>17655</v>
      </c>
      <c r="AX882" s="82" t="s">
        <v>17655</v>
      </c>
      <c r="AY882" s="77"/>
      <c r="AZ882" s="82" t="s">
        <v>20971</v>
      </c>
      <c r="BA882" s="82" t="s">
        <v>20971</v>
      </c>
      <c r="BB882" s="82" t="s">
        <v>20971</v>
      </c>
      <c r="BC882" s="82" t="s">
        <v>17655</v>
      </c>
      <c r="BD882" s="77">
        <v>489723814</v>
      </c>
      <c r="BE882" s="77"/>
      <c r="BF882" s="77"/>
      <c r="BG882" s="77"/>
      <c r="BH882" s="77"/>
      <c r="BI882" s="77"/>
    </row>
    <row r="883" spans="1:61" x14ac:dyDescent="0.25">
      <c r="A883" s="62" t="s">
        <v>418</v>
      </c>
      <c r="B883" s="62" t="s">
        <v>418</v>
      </c>
      <c r="C883" s="63"/>
      <c r="D883" s="64"/>
      <c r="E883" s="65"/>
      <c r="F883" s="66"/>
      <c r="G883" s="63"/>
      <c r="H883" s="67"/>
      <c r="I883" s="68"/>
      <c r="J883" s="68"/>
      <c r="K883" s="32"/>
      <c r="L883" s="75">
        <v>883</v>
      </c>
      <c r="M883" s="75"/>
      <c r="N883" s="70"/>
      <c r="O883" s="77" t="s">
        <v>179</v>
      </c>
      <c r="P883" s="79">
        <v>45068.627025462964</v>
      </c>
      <c r="Q883" s="77" t="s">
        <v>2157</v>
      </c>
      <c r="R883" s="77">
        <v>0</v>
      </c>
      <c r="S883" s="77">
        <v>0</v>
      </c>
      <c r="T883" s="77">
        <v>1</v>
      </c>
      <c r="U883" s="77">
        <v>0</v>
      </c>
      <c r="V883" s="77">
        <v>20</v>
      </c>
      <c r="W883" s="82" t="s">
        <v>5560</v>
      </c>
      <c r="X883" s="80" t="str">
        <f>HYPERLINK("https://www.freeclassificados.com/ads/sacolas-plasticas-personalizadas-em-promocao/")</f>
        <v>https://www.freeclassificados.com/ads/sacolas-plasticas-personalizadas-em-promocao/</v>
      </c>
      <c r="Y883" s="77" t="s">
        <v>7308</v>
      </c>
      <c r="Z883" s="77"/>
      <c r="AA883" s="77"/>
      <c r="AB883" s="77"/>
      <c r="AC883" s="82" t="s">
        <v>10155</v>
      </c>
      <c r="AD883" s="77" t="s">
        <v>10184</v>
      </c>
      <c r="AE883" s="80" t="str">
        <f>HYPERLINK("https://twitter.com/freeclassific/status/1660662529721507840")</f>
        <v>https://twitter.com/freeclassific/status/1660662529721507840</v>
      </c>
      <c r="AF883" s="79">
        <v>45068.627025462964</v>
      </c>
      <c r="AG883" s="85">
        <v>45068</v>
      </c>
      <c r="AH883" s="82" t="s">
        <v>11035</v>
      </c>
      <c r="AI883" s="77" t="b">
        <v>0</v>
      </c>
      <c r="AJ883" s="77"/>
      <c r="AK883" s="77"/>
      <c r="AL883" s="77"/>
      <c r="AM883" s="77"/>
      <c r="AN883" s="77"/>
      <c r="AO883" s="77"/>
      <c r="AP883" s="77"/>
      <c r="AQ883" s="77"/>
      <c r="AR883" s="77"/>
      <c r="AS883" s="77"/>
      <c r="AT883" s="77"/>
      <c r="AU883" s="77"/>
      <c r="AV883" s="80" t="str">
        <f>HYPERLINK("https://pbs.twimg.com/profile_images/1431648743728852993/tLJ7F5Lu_normal.png")</f>
        <v>https://pbs.twimg.com/profile_images/1431648743728852993/tLJ7F5Lu_normal.png</v>
      </c>
      <c r="AW883" s="82" t="s">
        <v>17656</v>
      </c>
      <c r="AX883" s="82" t="s">
        <v>17656</v>
      </c>
      <c r="AY883" s="77"/>
      <c r="AZ883" s="82" t="s">
        <v>20971</v>
      </c>
      <c r="BA883" s="82" t="s">
        <v>20971</v>
      </c>
      <c r="BB883" s="82" t="s">
        <v>20971</v>
      </c>
      <c r="BC883" s="82" t="s">
        <v>17656</v>
      </c>
      <c r="BD883" s="77">
        <v>489723814</v>
      </c>
      <c r="BE883" s="77"/>
      <c r="BF883" s="77"/>
      <c r="BG883" s="77"/>
      <c r="BH883" s="77"/>
      <c r="BI883" s="77"/>
    </row>
    <row r="884" spans="1:61" x14ac:dyDescent="0.25">
      <c r="A884" s="62" t="s">
        <v>418</v>
      </c>
      <c r="B884" s="62" t="s">
        <v>418</v>
      </c>
      <c r="C884" s="63"/>
      <c r="D884" s="64"/>
      <c r="E884" s="65"/>
      <c r="F884" s="66"/>
      <c r="G884" s="63"/>
      <c r="H884" s="67"/>
      <c r="I884" s="68"/>
      <c r="J884" s="68"/>
      <c r="K884" s="32"/>
      <c r="L884" s="75">
        <v>884</v>
      </c>
      <c r="M884" s="75"/>
      <c r="N884" s="70"/>
      <c r="O884" s="77" t="s">
        <v>179</v>
      </c>
      <c r="P884" s="79">
        <v>45067.901539351849</v>
      </c>
      <c r="Q884" s="77" t="s">
        <v>2158</v>
      </c>
      <c r="R884" s="77">
        <v>0</v>
      </c>
      <c r="S884" s="77">
        <v>0</v>
      </c>
      <c r="T884" s="77">
        <v>0</v>
      </c>
      <c r="U884" s="77">
        <v>0</v>
      </c>
      <c r="V884" s="77">
        <v>23</v>
      </c>
      <c r="W884" s="82" t="s">
        <v>5560</v>
      </c>
      <c r="X884" s="80" t="str">
        <f>HYPERLINK("https://www.freeclassificados.com/ads/financiamento-e-emprestimo-bancaria-garantia-sblc-mt760-monetizacao/")</f>
        <v>https://www.freeclassificados.com/ads/financiamento-e-emprestimo-bancaria-garantia-sblc-mt760-monetizacao/</v>
      </c>
      <c r="Y884" s="77" t="s">
        <v>7308</v>
      </c>
      <c r="Z884" s="77"/>
      <c r="AA884" s="77"/>
      <c r="AB884" s="77"/>
      <c r="AC884" s="82" t="s">
        <v>10155</v>
      </c>
      <c r="AD884" s="77" t="s">
        <v>10184</v>
      </c>
      <c r="AE884" s="80" t="str">
        <f>HYPERLINK("https://twitter.com/freeclassific/status/1660399622014246912")</f>
        <v>https://twitter.com/freeclassific/status/1660399622014246912</v>
      </c>
      <c r="AF884" s="79">
        <v>45067.901539351849</v>
      </c>
      <c r="AG884" s="85">
        <v>45067</v>
      </c>
      <c r="AH884" s="82" t="s">
        <v>11036</v>
      </c>
      <c r="AI884" s="77" t="b">
        <v>0</v>
      </c>
      <c r="AJ884" s="77"/>
      <c r="AK884" s="77"/>
      <c r="AL884" s="77"/>
      <c r="AM884" s="77"/>
      <c r="AN884" s="77"/>
      <c r="AO884" s="77"/>
      <c r="AP884" s="77"/>
      <c r="AQ884" s="77"/>
      <c r="AR884" s="77"/>
      <c r="AS884" s="77"/>
      <c r="AT884" s="77"/>
      <c r="AU884" s="77"/>
      <c r="AV884" s="80" t="str">
        <f>HYPERLINK("https://pbs.twimg.com/profile_images/1431648743728852993/tLJ7F5Lu_normal.png")</f>
        <v>https://pbs.twimg.com/profile_images/1431648743728852993/tLJ7F5Lu_normal.png</v>
      </c>
      <c r="AW884" s="82" t="s">
        <v>17657</v>
      </c>
      <c r="AX884" s="82" t="s">
        <v>17657</v>
      </c>
      <c r="AY884" s="77"/>
      <c r="AZ884" s="82" t="s">
        <v>20971</v>
      </c>
      <c r="BA884" s="82" t="s">
        <v>20971</v>
      </c>
      <c r="BB884" s="82" t="s">
        <v>20971</v>
      </c>
      <c r="BC884" s="82" t="s">
        <v>17657</v>
      </c>
      <c r="BD884" s="77">
        <v>489723814</v>
      </c>
      <c r="BE884" s="77"/>
      <c r="BF884" s="77"/>
      <c r="BG884" s="77"/>
      <c r="BH884" s="77"/>
      <c r="BI884" s="77"/>
    </row>
    <row r="885" spans="1:61" x14ac:dyDescent="0.25">
      <c r="A885" s="62" t="s">
        <v>418</v>
      </c>
      <c r="B885" s="62" t="s">
        <v>418</v>
      </c>
      <c r="C885" s="63"/>
      <c r="D885" s="64"/>
      <c r="E885" s="65"/>
      <c r="F885" s="66"/>
      <c r="G885" s="63"/>
      <c r="H885" s="67"/>
      <c r="I885" s="68"/>
      <c r="J885" s="68"/>
      <c r="K885" s="32"/>
      <c r="L885" s="75">
        <v>885</v>
      </c>
      <c r="M885" s="75"/>
      <c r="N885" s="70"/>
      <c r="O885" s="77" t="s">
        <v>179</v>
      </c>
      <c r="P885" s="79">
        <v>45066.790717592594</v>
      </c>
      <c r="Q885" s="77" t="s">
        <v>2159</v>
      </c>
      <c r="R885" s="77">
        <v>0</v>
      </c>
      <c r="S885" s="77">
        <v>0</v>
      </c>
      <c r="T885" s="77">
        <v>0</v>
      </c>
      <c r="U885" s="77">
        <v>0</v>
      </c>
      <c r="V885" s="77">
        <v>22</v>
      </c>
      <c r="W885" s="82" t="s">
        <v>5560</v>
      </c>
      <c r="X885" s="80" t="str">
        <f>HYPERLINK("https://www.freeclassificados.com/ads/embalagens-personalizadas-sacolas-personalizadas/")</f>
        <v>https://www.freeclassificados.com/ads/embalagens-personalizadas-sacolas-personalizadas/</v>
      </c>
      <c r="Y885" s="77" t="s">
        <v>7308</v>
      </c>
      <c r="Z885" s="77"/>
      <c r="AA885" s="77"/>
      <c r="AB885" s="77"/>
      <c r="AC885" s="82" t="s">
        <v>10155</v>
      </c>
      <c r="AD885" s="77" t="s">
        <v>10184</v>
      </c>
      <c r="AE885" s="80" t="str">
        <f>HYPERLINK("https://twitter.com/freeclassific/status/1659997076066033664")</f>
        <v>https://twitter.com/freeclassific/status/1659997076066033664</v>
      </c>
      <c r="AF885" s="79">
        <v>45066.790717592594</v>
      </c>
      <c r="AG885" s="85">
        <v>45066</v>
      </c>
      <c r="AH885" s="82" t="s">
        <v>11037</v>
      </c>
      <c r="AI885" s="77" t="b">
        <v>0</v>
      </c>
      <c r="AJ885" s="77"/>
      <c r="AK885" s="77"/>
      <c r="AL885" s="77"/>
      <c r="AM885" s="77"/>
      <c r="AN885" s="77"/>
      <c r="AO885" s="77"/>
      <c r="AP885" s="77"/>
      <c r="AQ885" s="77"/>
      <c r="AR885" s="77"/>
      <c r="AS885" s="77"/>
      <c r="AT885" s="77"/>
      <c r="AU885" s="77"/>
      <c r="AV885" s="80" t="str">
        <f>HYPERLINK("https://pbs.twimg.com/profile_images/1431648743728852993/tLJ7F5Lu_normal.png")</f>
        <v>https://pbs.twimg.com/profile_images/1431648743728852993/tLJ7F5Lu_normal.png</v>
      </c>
      <c r="AW885" s="82" t="s">
        <v>17658</v>
      </c>
      <c r="AX885" s="82" t="s">
        <v>17658</v>
      </c>
      <c r="AY885" s="77"/>
      <c r="AZ885" s="82" t="s">
        <v>20971</v>
      </c>
      <c r="BA885" s="82" t="s">
        <v>20971</v>
      </c>
      <c r="BB885" s="82" t="s">
        <v>20971</v>
      </c>
      <c r="BC885" s="82" t="s">
        <v>17658</v>
      </c>
      <c r="BD885" s="77">
        <v>489723814</v>
      </c>
      <c r="BE885" s="77"/>
      <c r="BF885" s="77"/>
      <c r="BG885" s="77"/>
      <c r="BH885" s="77"/>
      <c r="BI885" s="77"/>
    </row>
    <row r="886" spans="1:61" x14ac:dyDescent="0.25">
      <c r="A886" s="62" t="s">
        <v>418</v>
      </c>
      <c r="B886" s="62" t="s">
        <v>418</v>
      </c>
      <c r="C886" s="63"/>
      <c r="D886" s="64"/>
      <c r="E886" s="65"/>
      <c r="F886" s="66"/>
      <c r="G886" s="63"/>
      <c r="H886" s="67"/>
      <c r="I886" s="68"/>
      <c r="J886" s="68"/>
      <c r="K886" s="32"/>
      <c r="L886" s="75">
        <v>886</v>
      </c>
      <c r="M886" s="75"/>
      <c r="N886" s="70"/>
      <c r="O886" s="77" t="s">
        <v>179</v>
      </c>
      <c r="P886" s="79">
        <v>45066.624189814815</v>
      </c>
      <c r="Q886" s="77" t="s">
        <v>2160</v>
      </c>
      <c r="R886" s="77">
        <v>0</v>
      </c>
      <c r="S886" s="77">
        <v>0</v>
      </c>
      <c r="T886" s="77">
        <v>1</v>
      </c>
      <c r="U886" s="77">
        <v>0</v>
      </c>
      <c r="V886" s="77">
        <v>19</v>
      </c>
      <c r="W886" s="82" t="s">
        <v>5560</v>
      </c>
      <c r="X886" s="80" t="str">
        <f>HYPERLINK("https://www.freeclassificados.com/ads/energia-solar/")</f>
        <v>https://www.freeclassificados.com/ads/energia-solar/</v>
      </c>
      <c r="Y886" s="77" t="s">
        <v>7308</v>
      </c>
      <c r="Z886" s="77"/>
      <c r="AA886" s="77"/>
      <c r="AB886" s="77"/>
      <c r="AC886" s="82" t="s">
        <v>10155</v>
      </c>
      <c r="AD886" s="77" t="s">
        <v>10187</v>
      </c>
      <c r="AE886" s="80" t="str">
        <f>HYPERLINK("https://twitter.com/freeclassific/status/1659936728361349120")</f>
        <v>https://twitter.com/freeclassific/status/1659936728361349120</v>
      </c>
      <c r="AF886" s="79">
        <v>45066.624189814815</v>
      </c>
      <c r="AG886" s="85">
        <v>45066</v>
      </c>
      <c r="AH886" s="82" t="s">
        <v>11038</v>
      </c>
      <c r="AI886" s="77" t="b">
        <v>0</v>
      </c>
      <c r="AJ886" s="77"/>
      <c r="AK886" s="77"/>
      <c r="AL886" s="77"/>
      <c r="AM886" s="77"/>
      <c r="AN886" s="77"/>
      <c r="AO886" s="77"/>
      <c r="AP886" s="77"/>
      <c r="AQ886" s="77"/>
      <c r="AR886" s="77"/>
      <c r="AS886" s="77"/>
      <c r="AT886" s="77"/>
      <c r="AU886" s="77"/>
      <c r="AV886" s="80" t="str">
        <f>HYPERLINK("https://pbs.twimg.com/profile_images/1431648743728852993/tLJ7F5Lu_normal.png")</f>
        <v>https://pbs.twimg.com/profile_images/1431648743728852993/tLJ7F5Lu_normal.png</v>
      </c>
      <c r="AW886" s="82" t="s">
        <v>17659</v>
      </c>
      <c r="AX886" s="82" t="s">
        <v>17659</v>
      </c>
      <c r="AY886" s="77"/>
      <c r="AZ886" s="82" t="s">
        <v>20971</v>
      </c>
      <c r="BA886" s="82" t="s">
        <v>20971</v>
      </c>
      <c r="BB886" s="82" t="s">
        <v>20971</v>
      </c>
      <c r="BC886" s="82" t="s">
        <v>17659</v>
      </c>
      <c r="BD886" s="77">
        <v>489723814</v>
      </c>
      <c r="BE886" s="77"/>
      <c r="BF886" s="77"/>
      <c r="BG886" s="77"/>
      <c r="BH886" s="77"/>
      <c r="BI886" s="77"/>
    </row>
    <row r="887" spans="1:61" x14ac:dyDescent="0.25">
      <c r="A887" s="62" t="s">
        <v>418</v>
      </c>
      <c r="B887" s="62" t="s">
        <v>418</v>
      </c>
      <c r="C887" s="63"/>
      <c r="D887" s="64"/>
      <c r="E887" s="65"/>
      <c r="F887" s="66"/>
      <c r="G887" s="63"/>
      <c r="H887" s="67"/>
      <c r="I887" s="68"/>
      <c r="J887" s="68"/>
      <c r="K887" s="32"/>
      <c r="L887" s="75">
        <v>887</v>
      </c>
      <c r="M887" s="75"/>
      <c r="N887" s="70"/>
      <c r="O887" s="77" t="s">
        <v>179</v>
      </c>
      <c r="P887" s="79">
        <v>45066.615972222222</v>
      </c>
      <c r="Q887" s="77" t="s">
        <v>2161</v>
      </c>
      <c r="R887" s="77">
        <v>0</v>
      </c>
      <c r="S887" s="77">
        <v>0</v>
      </c>
      <c r="T887" s="77">
        <v>1</v>
      </c>
      <c r="U887" s="77">
        <v>0</v>
      </c>
      <c r="V887" s="77">
        <v>21</v>
      </c>
      <c r="W887" s="82" t="s">
        <v>5560</v>
      </c>
      <c r="X887" s="80" t="str">
        <f>HYPERLINK("https://www.freeclassificados.com/ads/energia-solar-sistemas-de-geracao-de-energia-solar/")</f>
        <v>https://www.freeclassificados.com/ads/energia-solar-sistemas-de-geracao-de-energia-solar/</v>
      </c>
      <c r="Y887" s="77" t="s">
        <v>7308</v>
      </c>
      <c r="Z887" s="77"/>
      <c r="AA887" s="77"/>
      <c r="AB887" s="77"/>
      <c r="AC887" s="82" t="s">
        <v>10155</v>
      </c>
      <c r="AD887" s="77" t="s">
        <v>10184</v>
      </c>
      <c r="AE887" s="80" t="str">
        <f>HYPERLINK("https://twitter.com/freeclassific/status/1659933747574353920")</f>
        <v>https://twitter.com/freeclassific/status/1659933747574353920</v>
      </c>
      <c r="AF887" s="79">
        <v>45066.615972222222</v>
      </c>
      <c r="AG887" s="85">
        <v>45066</v>
      </c>
      <c r="AH887" s="82" t="s">
        <v>11039</v>
      </c>
      <c r="AI887" s="77" t="b">
        <v>0</v>
      </c>
      <c r="AJ887" s="77"/>
      <c r="AK887" s="77"/>
      <c r="AL887" s="77"/>
      <c r="AM887" s="77"/>
      <c r="AN887" s="77"/>
      <c r="AO887" s="77"/>
      <c r="AP887" s="77"/>
      <c r="AQ887" s="77"/>
      <c r="AR887" s="77"/>
      <c r="AS887" s="77"/>
      <c r="AT887" s="77"/>
      <c r="AU887" s="77"/>
      <c r="AV887" s="80" t="str">
        <f>HYPERLINK("https://pbs.twimg.com/profile_images/1431648743728852993/tLJ7F5Lu_normal.png")</f>
        <v>https://pbs.twimg.com/profile_images/1431648743728852993/tLJ7F5Lu_normal.png</v>
      </c>
      <c r="AW887" s="82" t="s">
        <v>17660</v>
      </c>
      <c r="AX887" s="82" t="s">
        <v>17660</v>
      </c>
      <c r="AY887" s="77"/>
      <c r="AZ887" s="82" t="s">
        <v>20971</v>
      </c>
      <c r="BA887" s="82" t="s">
        <v>20971</v>
      </c>
      <c r="BB887" s="82" t="s">
        <v>20971</v>
      </c>
      <c r="BC887" s="82" t="s">
        <v>17660</v>
      </c>
      <c r="BD887" s="77">
        <v>489723814</v>
      </c>
      <c r="BE887" s="77"/>
      <c r="BF887" s="77"/>
      <c r="BG887" s="77"/>
      <c r="BH887" s="77"/>
      <c r="BI887" s="77"/>
    </row>
    <row r="888" spans="1:61" x14ac:dyDescent="0.25">
      <c r="A888" s="62" t="s">
        <v>418</v>
      </c>
      <c r="B888" s="62" t="s">
        <v>418</v>
      </c>
      <c r="C888" s="63"/>
      <c r="D888" s="64"/>
      <c r="E888" s="65"/>
      <c r="F888" s="66"/>
      <c r="G888" s="63"/>
      <c r="H888" s="67"/>
      <c r="I888" s="68"/>
      <c r="J888" s="68"/>
      <c r="K888" s="32"/>
      <c r="L888" s="75">
        <v>888</v>
      </c>
      <c r="M888" s="75"/>
      <c r="N888" s="70"/>
      <c r="O888" s="77" t="s">
        <v>179</v>
      </c>
      <c r="P888" s="79">
        <v>45066.591134259259</v>
      </c>
      <c r="Q888" s="77" t="s">
        <v>2162</v>
      </c>
      <c r="R888" s="77">
        <v>0</v>
      </c>
      <c r="S888" s="77">
        <v>0</v>
      </c>
      <c r="T888" s="77">
        <v>1</v>
      </c>
      <c r="U888" s="77">
        <v>0</v>
      </c>
      <c r="V888" s="77">
        <v>33</v>
      </c>
      <c r="W888" s="82" t="s">
        <v>5560</v>
      </c>
      <c r="X888" s="80" t="str">
        <f>HYPERLINK("https://www.freeclassificados.com/ads/super-visao-vistorias-automotivas-campo-limpo-vistoria-certicar-cautelar-detran/")</f>
        <v>https://www.freeclassificados.com/ads/super-visao-vistorias-automotivas-campo-limpo-vistoria-certicar-cautelar-detran/</v>
      </c>
      <c r="Y888" s="77" t="s">
        <v>7308</v>
      </c>
      <c r="Z888" s="77"/>
      <c r="AA888" s="77"/>
      <c r="AB888" s="77"/>
      <c r="AC888" s="82" t="s">
        <v>10155</v>
      </c>
      <c r="AD888" s="77" t="s">
        <v>10184</v>
      </c>
      <c r="AE888" s="80" t="str">
        <f>HYPERLINK("https://twitter.com/freeclassific/status/1659924746337931264")</f>
        <v>https://twitter.com/freeclassific/status/1659924746337931264</v>
      </c>
      <c r="AF888" s="79">
        <v>45066.591134259259</v>
      </c>
      <c r="AG888" s="85">
        <v>45066</v>
      </c>
      <c r="AH888" s="82" t="s">
        <v>11040</v>
      </c>
      <c r="AI888" s="77" t="b">
        <v>0</v>
      </c>
      <c r="AJ888" s="77"/>
      <c r="AK888" s="77"/>
      <c r="AL888" s="77"/>
      <c r="AM888" s="77"/>
      <c r="AN888" s="77"/>
      <c r="AO888" s="77"/>
      <c r="AP888" s="77"/>
      <c r="AQ888" s="77"/>
      <c r="AR888" s="77"/>
      <c r="AS888" s="77"/>
      <c r="AT888" s="77"/>
      <c r="AU888" s="77"/>
      <c r="AV888" s="80" t="str">
        <f>HYPERLINK("https://pbs.twimg.com/profile_images/1431648743728852993/tLJ7F5Lu_normal.png")</f>
        <v>https://pbs.twimg.com/profile_images/1431648743728852993/tLJ7F5Lu_normal.png</v>
      </c>
      <c r="AW888" s="82" t="s">
        <v>17661</v>
      </c>
      <c r="AX888" s="82" t="s">
        <v>17661</v>
      </c>
      <c r="AY888" s="77"/>
      <c r="AZ888" s="82" t="s">
        <v>20971</v>
      </c>
      <c r="BA888" s="82" t="s">
        <v>20971</v>
      </c>
      <c r="BB888" s="82" t="s">
        <v>20971</v>
      </c>
      <c r="BC888" s="82" t="s">
        <v>17661</v>
      </c>
      <c r="BD888" s="77">
        <v>489723814</v>
      </c>
      <c r="BE888" s="77"/>
      <c r="BF888" s="77"/>
      <c r="BG888" s="77"/>
      <c r="BH888" s="77"/>
      <c r="BI888" s="77"/>
    </row>
    <row r="889" spans="1:61" x14ac:dyDescent="0.25">
      <c r="A889" s="62" t="s">
        <v>418</v>
      </c>
      <c r="B889" s="62" t="s">
        <v>418</v>
      </c>
      <c r="C889" s="63"/>
      <c r="D889" s="64"/>
      <c r="E889" s="65"/>
      <c r="F889" s="66"/>
      <c r="G889" s="63"/>
      <c r="H889" s="67"/>
      <c r="I889" s="68"/>
      <c r="J889" s="68"/>
      <c r="K889" s="32"/>
      <c r="L889" s="75">
        <v>889</v>
      </c>
      <c r="M889" s="75"/>
      <c r="N889" s="70"/>
      <c r="O889" s="77" t="s">
        <v>179</v>
      </c>
      <c r="P889" s="79">
        <v>45066.578252314815</v>
      </c>
      <c r="Q889" s="77" t="s">
        <v>2163</v>
      </c>
      <c r="R889" s="77">
        <v>0</v>
      </c>
      <c r="S889" s="77">
        <v>0</v>
      </c>
      <c r="T889" s="77">
        <v>1</v>
      </c>
      <c r="U889" s="77">
        <v>0</v>
      </c>
      <c r="V889" s="77">
        <v>18</v>
      </c>
      <c r="W889" s="82" t="s">
        <v>5560</v>
      </c>
      <c r="X889" s="80" t="str">
        <f>HYPERLINK("https://www.freeclassificados.com/ads/energia-solar-sistemas-de-geracao-de-energia-solar-2/")</f>
        <v>https://www.freeclassificados.com/ads/energia-solar-sistemas-de-geracao-de-energia-solar-2/</v>
      </c>
      <c r="Y889" s="77" t="s">
        <v>7308</v>
      </c>
      <c r="Z889" s="77"/>
      <c r="AA889" s="77"/>
      <c r="AB889" s="77"/>
      <c r="AC889" s="82" t="s">
        <v>10155</v>
      </c>
      <c r="AD889" s="77" t="s">
        <v>10184</v>
      </c>
      <c r="AE889" s="80" t="str">
        <f>HYPERLINK("https://twitter.com/freeclassific/status/1659920077947568129")</f>
        <v>https://twitter.com/freeclassific/status/1659920077947568129</v>
      </c>
      <c r="AF889" s="79">
        <v>45066.578252314815</v>
      </c>
      <c r="AG889" s="85">
        <v>45066</v>
      </c>
      <c r="AH889" s="82" t="s">
        <v>11041</v>
      </c>
      <c r="AI889" s="77" t="b">
        <v>0</v>
      </c>
      <c r="AJ889" s="77"/>
      <c r="AK889" s="77"/>
      <c r="AL889" s="77"/>
      <c r="AM889" s="77"/>
      <c r="AN889" s="77"/>
      <c r="AO889" s="77"/>
      <c r="AP889" s="77"/>
      <c r="AQ889" s="77"/>
      <c r="AR889" s="77"/>
      <c r="AS889" s="77"/>
      <c r="AT889" s="77"/>
      <c r="AU889" s="77"/>
      <c r="AV889" s="80" t="str">
        <f>HYPERLINK("https://pbs.twimg.com/profile_images/1431648743728852993/tLJ7F5Lu_normal.png")</f>
        <v>https://pbs.twimg.com/profile_images/1431648743728852993/tLJ7F5Lu_normal.png</v>
      </c>
      <c r="AW889" s="82" t="s">
        <v>17662</v>
      </c>
      <c r="AX889" s="82" t="s">
        <v>17662</v>
      </c>
      <c r="AY889" s="77"/>
      <c r="AZ889" s="82" t="s">
        <v>20971</v>
      </c>
      <c r="BA889" s="82" t="s">
        <v>20971</v>
      </c>
      <c r="BB889" s="82" t="s">
        <v>20971</v>
      </c>
      <c r="BC889" s="82" t="s">
        <v>17662</v>
      </c>
      <c r="BD889" s="77">
        <v>489723814</v>
      </c>
      <c r="BE889" s="77"/>
      <c r="BF889" s="77"/>
      <c r="BG889" s="77"/>
      <c r="BH889" s="77"/>
      <c r="BI889" s="77"/>
    </row>
    <row r="890" spans="1:61" x14ac:dyDescent="0.25">
      <c r="A890" s="62" t="s">
        <v>418</v>
      </c>
      <c r="B890" s="62" t="s">
        <v>418</v>
      </c>
      <c r="C890" s="63"/>
      <c r="D890" s="64"/>
      <c r="E890" s="65"/>
      <c r="F890" s="66"/>
      <c r="G890" s="63"/>
      <c r="H890" s="67"/>
      <c r="I890" s="68"/>
      <c r="J890" s="68"/>
      <c r="K890" s="32"/>
      <c r="L890" s="75">
        <v>890</v>
      </c>
      <c r="M890" s="75"/>
      <c r="N890" s="70"/>
      <c r="O890" s="77" t="s">
        <v>179</v>
      </c>
      <c r="P890" s="79">
        <v>45040.787893518522</v>
      </c>
      <c r="Q890" s="77" t="s">
        <v>2164</v>
      </c>
      <c r="R890" s="77">
        <v>0</v>
      </c>
      <c r="S890" s="77">
        <v>1</v>
      </c>
      <c r="T890" s="77">
        <v>0</v>
      </c>
      <c r="U890" s="77">
        <v>0</v>
      </c>
      <c r="V890" s="77">
        <v>23</v>
      </c>
      <c r="W890" s="82" t="s">
        <v>5335</v>
      </c>
      <c r="X890" s="80" t="str">
        <f>HYPERLINK("https://www.freeclassificados.com/ads/caixa-para-delivery-com-plastificacao-interna/")</f>
        <v>https://www.freeclassificados.com/ads/caixa-para-delivery-com-plastificacao-interna/</v>
      </c>
      <c r="Y890" s="77" t="s">
        <v>7308</v>
      </c>
      <c r="Z890" s="77"/>
      <c r="AA890" s="77"/>
      <c r="AB890" s="77"/>
      <c r="AC890" s="82" t="s">
        <v>10155</v>
      </c>
      <c r="AD890" s="77" t="s">
        <v>10184</v>
      </c>
      <c r="AE890" s="80" t="str">
        <f>HYPERLINK("https://twitter.com/freeclassific/status/1650573965474279424")</f>
        <v>https://twitter.com/freeclassific/status/1650573965474279424</v>
      </c>
      <c r="AF890" s="79">
        <v>45040.787893518522</v>
      </c>
      <c r="AG890" s="85">
        <v>45040</v>
      </c>
      <c r="AH890" s="82" t="s">
        <v>11042</v>
      </c>
      <c r="AI890" s="77" t="b">
        <v>0</v>
      </c>
      <c r="AJ890" s="77"/>
      <c r="AK890" s="77"/>
      <c r="AL890" s="77"/>
      <c r="AM890" s="77"/>
      <c r="AN890" s="77"/>
      <c r="AO890" s="77"/>
      <c r="AP890" s="77"/>
      <c r="AQ890" s="77"/>
      <c r="AR890" s="77"/>
      <c r="AS890" s="77"/>
      <c r="AT890" s="77"/>
      <c r="AU890" s="77"/>
      <c r="AV890" s="80" t="str">
        <f>HYPERLINK("https://pbs.twimg.com/profile_images/1431648743728852993/tLJ7F5Lu_normal.png")</f>
        <v>https://pbs.twimg.com/profile_images/1431648743728852993/tLJ7F5Lu_normal.png</v>
      </c>
      <c r="AW890" s="82" t="s">
        <v>17663</v>
      </c>
      <c r="AX890" s="82" t="s">
        <v>17663</v>
      </c>
      <c r="AY890" s="77"/>
      <c r="AZ890" s="82" t="s">
        <v>20971</v>
      </c>
      <c r="BA890" s="82" t="s">
        <v>20971</v>
      </c>
      <c r="BB890" s="82" t="s">
        <v>20971</v>
      </c>
      <c r="BC890" s="82" t="s">
        <v>17663</v>
      </c>
      <c r="BD890" s="77">
        <v>489723814</v>
      </c>
      <c r="BE890" s="77"/>
      <c r="BF890" s="77"/>
      <c r="BG890" s="77"/>
      <c r="BH890" s="77"/>
      <c r="BI890" s="77"/>
    </row>
    <row r="891" spans="1:61" x14ac:dyDescent="0.25">
      <c r="A891" s="62" t="s">
        <v>418</v>
      </c>
      <c r="B891" s="62" t="s">
        <v>418</v>
      </c>
      <c r="C891" s="63"/>
      <c r="D891" s="64"/>
      <c r="E891" s="65"/>
      <c r="F891" s="66"/>
      <c r="G891" s="63"/>
      <c r="H891" s="67"/>
      <c r="I891" s="68"/>
      <c r="J891" s="68"/>
      <c r="K891" s="32"/>
      <c r="L891" s="75">
        <v>891</v>
      </c>
      <c r="M891" s="75"/>
      <c r="N891" s="70"/>
      <c r="O891" s="77" t="s">
        <v>179</v>
      </c>
      <c r="P891" s="79">
        <v>45040.555046296293</v>
      </c>
      <c r="Q891" s="77" t="s">
        <v>1938</v>
      </c>
      <c r="R891" s="77">
        <v>0</v>
      </c>
      <c r="S891" s="77">
        <v>0</v>
      </c>
      <c r="T891" s="77">
        <v>0</v>
      </c>
      <c r="U891" s="77">
        <v>0</v>
      </c>
      <c r="V891" s="77">
        <v>8</v>
      </c>
      <c r="W891" s="82" t="s">
        <v>5335</v>
      </c>
      <c r="X891" s="80" t="str">
        <f>HYPERLINK("https://www.freeclassificados.com/ads/palco-coberta-som-luz-alugo-palco-aluguel-tablado-de-vidro-palco-madeira-9-86-25-98-82/")</f>
        <v>https://www.freeclassificados.com/ads/palco-coberta-som-luz-alugo-palco-aluguel-tablado-de-vidro-palco-madeira-9-86-25-98-82/</v>
      </c>
      <c r="Y891" s="77" t="s">
        <v>7308</v>
      </c>
      <c r="Z891" s="77"/>
      <c r="AA891" s="77"/>
      <c r="AB891" s="77"/>
      <c r="AC891" s="82" t="s">
        <v>10155</v>
      </c>
      <c r="AD891" s="77" t="s">
        <v>10184</v>
      </c>
      <c r="AE891" s="80" t="str">
        <f>HYPERLINK("https://twitter.com/freeclassific/status/1650489584055361536")</f>
        <v>https://twitter.com/freeclassific/status/1650489584055361536</v>
      </c>
      <c r="AF891" s="79">
        <v>45040.555046296293</v>
      </c>
      <c r="AG891" s="85">
        <v>45040</v>
      </c>
      <c r="AH891" s="82" t="s">
        <v>11043</v>
      </c>
      <c r="AI891" s="77" t="b">
        <v>0</v>
      </c>
      <c r="AJ891" s="77"/>
      <c r="AK891" s="77"/>
      <c r="AL891" s="77"/>
      <c r="AM891" s="77"/>
      <c r="AN891" s="77"/>
      <c r="AO891" s="77"/>
      <c r="AP891" s="77"/>
      <c r="AQ891" s="77"/>
      <c r="AR891" s="77"/>
      <c r="AS891" s="77"/>
      <c r="AT891" s="77"/>
      <c r="AU891" s="77"/>
      <c r="AV891" s="80" t="str">
        <f>HYPERLINK("https://pbs.twimg.com/profile_images/1431648743728852993/tLJ7F5Lu_normal.png")</f>
        <v>https://pbs.twimg.com/profile_images/1431648743728852993/tLJ7F5Lu_normal.png</v>
      </c>
      <c r="AW891" s="82" t="s">
        <v>17664</v>
      </c>
      <c r="AX891" s="82" t="s">
        <v>17664</v>
      </c>
      <c r="AY891" s="77"/>
      <c r="AZ891" s="82" t="s">
        <v>20971</v>
      </c>
      <c r="BA891" s="82" t="s">
        <v>20971</v>
      </c>
      <c r="BB891" s="82" t="s">
        <v>20971</v>
      </c>
      <c r="BC891" s="82" t="s">
        <v>17664</v>
      </c>
      <c r="BD891" s="77">
        <v>489723814</v>
      </c>
      <c r="BE891" s="77"/>
      <c r="BF891" s="77"/>
      <c r="BG891" s="77"/>
      <c r="BH891" s="77"/>
      <c r="BI891" s="77"/>
    </row>
    <row r="892" spans="1:61" x14ac:dyDescent="0.25">
      <c r="A892" s="62" t="s">
        <v>418</v>
      </c>
      <c r="B892" s="62" t="s">
        <v>418</v>
      </c>
      <c r="C892" s="63"/>
      <c r="D892" s="64"/>
      <c r="E892" s="65"/>
      <c r="F892" s="66"/>
      <c r="G892" s="63"/>
      <c r="H892" s="67"/>
      <c r="I892" s="68"/>
      <c r="J892" s="68"/>
      <c r="K892" s="32"/>
      <c r="L892" s="75">
        <v>892</v>
      </c>
      <c r="M892" s="75"/>
      <c r="N892" s="70"/>
      <c r="O892" s="77" t="s">
        <v>179</v>
      </c>
      <c r="P892" s="79">
        <v>45036.8049537037</v>
      </c>
      <c r="Q892" s="77" t="s">
        <v>2165</v>
      </c>
      <c r="R892" s="77">
        <v>0</v>
      </c>
      <c r="S892" s="77">
        <v>0</v>
      </c>
      <c r="T892" s="77">
        <v>0</v>
      </c>
      <c r="U892" s="77">
        <v>0</v>
      </c>
      <c r="V892" s="77">
        <v>14</v>
      </c>
      <c r="W892" s="82" t="s">
        <v>5335</v>
      </c>
      <c r="X892" s="80" t="str">
        <f>HYPERLINK("https://www.freeclassificados.com/ads/manutencao-para-lava-e-seca-de-marcas-nacionais-e-importadas/")</f>
        <v>https://www.freeclassificados.com/ads/manutencao-para-lava-e-seca-de-marcas-nacionais-e-importadas/</v>
      </c>
      <c r="Y892" s="77" t="s">
        <v>7308</v>
      </c>
      <c r="Z892" s="77"/>
      <c r="AA892" s="77"/>
      <c r="AB892" s="77"/>
      <c r="AC892" s="82" t="s">
        <v>10155</v>
      </c>
      <c r="AD892" s="77" t="s">
        <v>10184</v>
      </c>
      <c r="AE892" s="80" t="str">
        <f>HYPERLINK("https://twitter.com/freeclassific/status/1649130599482032129")</f>
        <v>https://twitter.com/freeclassific/status/1649130599482032129</v>
      </c>
      <c r="AF892" s="79">
        <v>45036.8049537037</v>
      </c>
      <c r="AG892" s="85">
        <v>45036</v>
      </c>
      <c r="AH892" s="82" t="s">
        <v>11044</v>
      </c>
      <c r="AI892" s="77" t="b">
        <v>0</v>
      </c>
      <c r="AJ892" s="77"/>
      <c r="AK892" s="77"/>
      <c r="AL892" s="77"/>
      <c r="AM892" s="77"/>
      <c r="AN892" s="77"/>
      <c r="AO892" s="77"/>
      <c r="AP892" s="77"/>
      <c r="AQ892" s="77"/>
      <c r="AR892" s="77"/>
      <c r="AS892" s="77"/>
      <c r="AT892" s="77"/>
      <c r="AU892" s="77"/>
      <c r="AV892" s="80" t="str">
        <f>HYPERLINK("https://pbs.twimg.com/profile_images/1431648743728852993/tLJ7F5Lu_normal.png")</f>
        <v>https://pbs.twimg.com/profile_images/1431648743728852993/tLJ7F5Lu_normal.png</v>
      </c>
      <c r="AW892" s="82" t="s">
        <v>17665</v>
      </c>
      <c r="AX892" s="82" t="s">
        <v>17665</v>
      </c>
      <c r="AY892" s="77"/>
      <c r="AZ892" s="82" t="s">
        <v>20971</v>
      </c>
      <c r="BA892" s="82" t="s">
        <v>20971</v>
      </c>
      <c r="BB892" s="82" t="s">
        <v>20971</v>
      </c>
      <c r="BC892" s="82" t="s">
        <v>17665</v>
      </c>
      <c r="BD892" s="77">
        <v>489723814</v>
      </c>
      <c r="BE892" s="77"/>
      <c r="BF892" s="77"/>
      <c r="BG892" s="77"/>
      <c r="BH892" s="77"/>
      <c r="BI892" s="77"/>
    </row>
    <row r="893" spans="1:61" x14ac:dyDescent="0.25">
      <c r="A893" s="62" t="s">
        <v>418</v>
      </c>
      <c r="B893" s="62" t="s">
        <v>418</v>
      </c>
      <c r="C893" s="63"/>
      <c r="D893" s="64"/>
      <c r="E893" s="65"/>
      <c r="F893" s="66"/>
      <c r="G893" s="63"/>
      <c r="H893" s="67"/>
      <c r="I893" s="68"/>
      <c r="J893" s="68"/>
      <c r="K893" s="32"/>
      <c r="L893" s="75">
        <v>893</v>
      </c>
      <c r="M893" s="75"/>
      <c r="N893" s="70"/>
      <c r="O893" s="77" t="s">
        <v>179</v>
      </c>
      <c r="P893" s="79">
        <v>45036.734074074076</v>
      </c>
      <c r="Q893" s="77" t="s">
        <v>2166</v>
      </c>
      <c r="R893" s="77">
        <v>0</v>
      </c>
      <c r="S893" s="77">
        <v>0</v>
      </c>
      <c r="T893" s="77">
        <v>0</v>
      </c>
      <c r="U893" s="77">
        <v>0</v>
      </c>
      <c r="V893" s="77">
        <v>13</v>
      </c>
      <c r="W893" s="82" t="s">
        <v>5335</v>
      </c>
      <c r="X893" s="80" t="str">
        <f>HYPERLINK("https://www.freeclassificados.com/ads/geladeiras-e-refrigeradores-nacionais-ou-importadas/")</f>
        <v>https://www.freeclassificados.com/ads/geladeiras-e-refrigeradores-nacionais-ou-importadas/</v>
      </c>
      <c r="Y893" s="77" t="s">
        <v>7308</v>
      </c>
      <c r="Z893" s="77"/>
      <c r="AA893" s="77"/>
      <c r="AB893" s="77"/>
      <c r="AC893" s="82" t="s">
        <v>10155</v>
      </c>
      <c r="AD893" s="77" t="s">
        <v>10184</v>
      </c>
      <c r="AE893" s="80" t="str">
        <f>HYPERLINK("https://twitter.com/freeclassific/status/1649104912788377603")</f>
        <v>https://twitter.com/freeclassific/status/1649104912788377603</v>
      </c>
      <c r="AF893" s="79">
        <v>45036.734074074076</v>
      </c>
      <c r="AG893" s="85">
        <v>45036</v>
      </c>
      <c r="AH893" s="82" t="s">
        <v>10254</v>
      </c>
      <c r="AI893" s="77" t="b">
        <v>0</v>
      </c>
      <c r="AJ893" s="77"/>
      <c r="AK893" s="77"/>
      <c r="AL893" s="77"/>
      <c r="AM893" s="77"/>
      <c r="AN893" s="77"/>
      <c r="AO893" s="77"/>
      <c r="AP893" s="77"/>
      <c r="AQ893" s="77"/>
      <c r="AR893" s="77"/>
      <c r="AS893" s="77"/>
      <c r="AT893" s="77"/>
      <c r="AU893" s="77"/>
      <c r="AV893" s="80" t="str">
        <f>HYPERLINK("https://pbs.twimg.com/profile_images/1431648743728852993/tLJ7F5Lu_normal.png")</f>
        <v>https://pbs.twimg.com/profile_images/1431648743728852993/tLJ7F5Lu_normal.png</v>
      </c>
      <c r="AW893" s="82" t="s">
        <v>17666</v>
      </c>
      <c r="AX893" s="82" t="s">
        <v>17666</v>
      </c>
      <c r="AY893" s="77"/>
      <c r="AZ893" s="82" t="s">
        <v>20971</v>
      </c>
      <c r="BA893" s="82" t="s">
        <v>20971</v>
      </c>
      <c r="BB893" s="82" t="s">
        <v>20971</v>
      </c>
      <c r="BC893" s="82" t="s">
        <v>17666</v>
      </c>
      <c r="BD893" s="77">
        <v>489723814</v>
      </c>
      <c r="BE893" s="77"/>
      <c r="BF893" s="77"/>
      <c r="BG893" s="77"/>
      <c r="BH893" s="77"/>
      <c r="BI893" s="77"/>
    </row>
    <row r="894" spans="1:61" x14ac:dyDescent="0.25">
      <c r="A894" s="62" t="s">
        <v>418</v>
      </c>
      <c r="B894" s="62" t="s">
        <v>418</v>
      </c>
      <c r="C894" s="63"/>
      <c r="D894" s="64"/>
      <c r="E894" s="65"/>
      <c r="F894" s="66"/>
      <c r="G894" s="63"/>
      <c r="H894" s="67"/>
      <c r="I894" s="68"/>
      <c r="J894" s="68"/>
      <c r="K894" s="32"/>
      <c r="L894" s="75">
        <v>894</v>
      </c>
      <c r="M894" s="75"/>
      <c r="N894" s="70"/>
      <c r="O894" s="77" t="s">
        <v>179</v>
      </c>
      <c r="P894" s="79">
        <v>45036.688263888886</v>
      </c>
      <c r="Q894" s="77" t="s">
        <v>2167</v>
      </c>
      <c r="R894" s="77">
        <v>0</v>
      </c>
      <c r="S894" s="77">
        <v>0</v>
      </c>
      <c r="T894" s="77">
        <v>0</v>
      </c>
      <c r="U894" s="77">
        <v>0</v>
      </c>
      <c r="V894" s="77">
        <v>19</v>
      </c>
      <c r="W894" s="82" t="s">
        <v>5335</v>
      </c>
      <c r="X894" s="80" t="str">
        <f>HYPERLINK("https://www.freeclassificados.com/ads/impressora-epson-para-sublimacao-e-plotter-com-prensa/")</f>
        <v>https://www.freeclassificados.com/ads/impressora-epson-para-sublimacao-e-plotter-com-prensa/</v>
      </c>
      <c r="Y894" s="77" t="s">
        <v>7308</v>
      </c>
      <c r="Z894" s="77"/>
      <c r="AA894" s="77"/>
      <c r="AB894" s="77"/>
      <c r="AC894" s="82" t="s">
        <v>10155</v>
      </c>
      <c r="AD894" s="77" t="s">
        <v>10184</v>
      </c>
      <c r="AE894" s="80" t="str">
        <f>HYPERLINK("https://twitter.com/freeclassific/status/1649088312681050113")</f>
        <v>https://twitter.com/freeclassific/status/1649088312681050113</v>
      </c>
      <c r="AF894" s="79">
        <v>45036.688263888886</v>
      </c>
      <c r="AG894" s="85">
        <v>45036</v>
      </c>
      <c r="AH894" s="82" t="s">
        <v>11045</v>
      </c>
      <c r="AI894" s="77" t="b">
        <v>0</v>
      </c>
      <c r="AJ894" s="77"/>
      <c r="AK894" s="77"/>
      <c r="AL894" s="77"/>
      <c r="AM894" s="77"/>
      <c r="AN894" s="77"/>
      <c r="AO894" s="77"/>
      <c r="AP894" s="77"/>
      <c r="AQ894" s="77"/>
      <c r="AR894" s="77"/>
      <c r="AS894" s="77"/>
      <c r="AT894" s="77"/>
      <c r="AU894" s="77"/>
      <c r="AV894" s="80" t="str">
        <f>HYPERLINK("https://pbs.twimg.com/profile_images/1431648743728852993/tLJ7F5Lu_normal.png")</f>
        <v>https://pbs.twimg.com/profile_images/1431648743728852993/tLJ7F5Lu_normal.png</v>
      </c>
      <c r="AW894" s="82" t="s">
        <v>17667</v>
      </c>
      <c r="AX894" s="82" t="s">
        <v>17667</v>
      </c>
      <c r="AY894" s="77"/>
      <c r="AZ894" s="82" t="s">
        <v>20971</v>
      </c>
      <c r="BA894" s="82" t="s">
        <v>20971</v>
      </c>
      <c r="BB894" s="82" t="s">
        <v>20971</v>
      </c>
      <c r="BC894" s="82" t="s">
        <v>17667</v>
      </c>
      <c r="BD894" s="77">
        <v>489723814</v>
      </c>
      <c r="BE894" s="77"/>
      <c r="BF894" s="77"/>
      <c r="BG894" s="77"/>
      <c r="BH894" s="77"/>
      <c r="BI894" s="77"/>
    </row>
    <row r="895" spans="1:61" x14ac:dyDescent="0.25">
      <c r="A895" s="62" t="s">
        <v>418</v>
      </c>
      <c r="B895" s="62" t="s">
        <v>418</v>
      </c>
      <c r="C895" s="63"/>
      <c r="D895" s="64"/>
      <c r="E895" s="65"/>
      <c r="F895" s="66"/>
      <c r="G895" s="63"/>
      <c r="H895" s="67"/>
      <c r="I895" s="68"/>
      <c r="J895" s="68"/>
      <c r="K895" s="32"/>
      <c r="L895" s="75">
        <v>895</v>
      </c>
      <c r="M895" s="75"/>
      <c r="N895" s="70"/>
      <c r="O895" s="77" t="s">
        <v>179</v>
      </c>
      <c r="P895" s="79">
        <v>45036.662986111114</v>
      </c>
      <c r="Q895" s="77" t="s">
        <v>2168</v>
      </c>
      <c r="R895" s="77">
        <v>0</v>
      </c>
      <c r="S895" s="77">
        <v>0</v>
      </c>
      <c r="T895" s="77">
        <v>0</v>
      </c>
      <c r="U895" s="77">
        <v>0</v>
      </c>
      <c r="V895" s="77">
        <v>42</v>
      </c>
      <c r="W895" s="82" t="s">
        <v>5335</v>
      </c>
      <c r="X895" s="80" t="str">
        <f>HYPERLINK("https://www.freeclassificados.com/ads/mega-pack-amigurumi-completo-com-10-000-receitas-de-amigurumis/")</f>
        <v>https://www.freeclassificados.com/ads/mega-pack-amigurumi-completo-com-10-000-receitas-de-amigurumis/</v>
      </c>
      <c r="Y895" s="77" t="s">
        <v>7308</v>
      </c>
      <c r="Z895" s="77"/>
      <c r="AA895" s="77"/>
      <c r="AB895" s="77"/>
      <c r="AC895" s="82" t="s">
        <v>10155</v>
      </c>
      <c r="AD895" s="77" t="s">
        <v>10184</v>
      </c>
      <c r="AE895" s="80" t="str">
        <f>HYPERLINK("https://twitter.com/freeclassific/status/1649079152040099841")</f>
        <v>https://twitter.com/freeclassific/status/1649079152040099841</v>
      </c>
      <c r="AF895" s="79">
        <v>45036.662986111114</v>
      </c>
      <c r="AG895" s="85">
        <v>45036</v>
      </c>
      <c r="AH895" s="82" t="s">
        <v>11046</v>
      </c>
      <c r="AI895" s="77" t="b">
        <v>0</v>
      </c>
      <c r="AJ895" s="77"/>
      <c r="AK895" s="77"/>
      <c r="AL895" s="77"/>
      <c r="AM895" s="77"/>
      <c r="AN895" s="77"/>
      <c r="AO895" s="77"/>
      <c r="AP895" s="77"/>
      <c r="AQ895" s="77"/>
      <c r="AR895" s="77"/>
      <c r="AS895" s="77"/>
      <c r="AT895" s="77"/>
      <c r="AU895" s="77"/>
      <c r="AV895" s="80" t="str">
        <f>HYPERLINK("https://pbs.twimg.com/profile_images/1431648743728852993/tLJ7F5Lu_normal.png")</f>
        <v>https://pbs.twimg.com/profile_images/1431648743728852993/tLJ7F5Lu_normal.png</v>
      </c>
      <c r="AW895" s="82" t="s">
        <v>17668</v>
      </c>
      <c r="AX895" s="82" t="s">
        <v>17668</v>
      </c>
      <c r="AY895" s="77"/>
      <c r="AZ895" s="82" t="s">
        <v>20971</v>
      </c>
      <c r="BA895" s="82" t="s">
        <v>20971</v>
      </c>
      <c r="BB895" s="82" t="s">
        <v>20971</v>
      </c>
      <c r="BC895" s="82" t="s">
        <v>17668</v>
      </c>
      <c r="BD895" s="77">
        <v>489723814</v>
      </c>
      <c r="BE895" s="77"/>
      <c r="BF895" s="77"/>
      <c r="BG895" s="77"/>
      <c r="BH895" s="77"/>
      <c r="BI895" s="77"/>
    </row>
    <row r="896" spans="1:61" x14ac:dyDescent="0.25">
      <c r="A896" s="62" t="s">
        <v>418</v>
      </c>
      <c r="B896" s="62" t="s">
        <v>418</v>
      </c>
      <c r="C896" s="63"/>
      <c r="D896" s="64"/>
      <c r="E896" s="65"/>
      <c r="F896" s="66"/>
      <c r="G896" s="63"/>
      <c r="H896" s="67"/>
      <c r="I896" s="68"/>
      <c r="J896" s="68"/>
      <c r="K896" s="32"/>
      <c r="L896" s="75">
        <v>896</v>
      </c>
      <c r="M896" s="75"/>
      <c r="N896" s="70"/>
      <c r="O896" s="77" t="s">
        <v>179</v>
      </c>
      <c r="P896" s="79">
        <v>45036.606921296298</v>
      </c>
      <c r="Q896" s="77" t="s">
        <v>2169</v>
      </c>
      <c r="R896" s="77">
        <v>0</v>
      </c>
      <c r="S896" s="77">
        <v>0</v>
      </c>
      <c r="T896" s="77">
        <v>0</v>
      </c>
      <c r="U896" s="77">
        <v>0</v>
      </c>
      <c r="V896" s="77">
        <v>25</v>
      </c>
      <c r="W896" s="82" t="s">
        <v>5335</v>
      </c>
      <c r="X896" s="80" t="str">
        <f>HYPERLINK("https://www.freeclassificados.com/ads/quiropraxia-e-depilacao-linda-sp/")</f>
        <v>https://www.freeclassificados.com/ads/quiropraxia-e-depilacao-linda-sp/</v>
      </c>
      <c r="Y896" s="77" t="s">
        <v>7308</v>
      </c>
      <c r="Z896" s="77"/>
      <c r="AA896" s="77"/>
      <c r="AB896" s="77"/>
      <c r="AC896" s="82" t="s">
        <v>10155</v>
      </c>
      <c r="AD896" s="77" t="s">
        <v>10184</v>
      </c>
      <c r="AE896" s="80" t="str">
        <f>HYPERLINK("https://twitter.com/freeclassific/status/1649058834898636800")</f>
        <v>https://twitter.com/freeclassific/status/1649058834898636800</v>
      </c>
      <c r="AF896" s="79">
        <v>45036.606921296298</v>
      </c>
      <c r="AG896" s="85">
        <v>45036</v>
      </c>
      <c r="AH896" s="82" t="s">
        <v>11047</v>
      </c>
      <c r="AI896" s="77" t="b">
        <v>0</v>
      </c>
      <c r="AJ896" s="77"/>
      <c r="AK896" s="77"/>
      <c r="AL896" s="77"/>
      <c r="AM896" s="77"/>
      <c r="AN896" s="77"/>
      <c r="AO896" s="77"/>
      <c r="AP896" s="77"/>
      <c r="AQ896" s="77"/>
      <c r="AR896" s="77"/>
      <c r="AS896" s="77"/>
      <c r="AT896" s="77"/>
      <c r="AU896" s="77"/>
      <c r="AV896" s="80" t="str">
        <f>HYPERLINK("https://pbs.twimg.com/profile_images/1431648743728852993/tLJ7F5Lu_normal.png")</f>
        <v>https://pbs.twimg.com/profile_images/1431648743728852993/tLJ7F5Lu_normal.png</v>
      </c>
      <c r="AW896" s="82" t="s">
        <v>17669</v>
      </c>
      <c r="AX896" s="82" t="s">
        <v>17669</v>
      </c>
      <c r="AY896" s="77"/>
      <c r="AZ896" s="82" t="s">
        <v>20971</v>
      </c>
      <c r="BA896" s="82" t="s">
        <v>20971</v>
      </c>
      <c r="BB896" s="82" t="s">
        <v>20971</v>
      </c>
      <c r="BC896" s="82" t="s">
        <v>17669</v>
      </c>
      <c r="BD896" s="77">
        <v>489723814</v>
      </c>
      <c r="BE896" s="77"/>
      <c r="BF896" s="77"/>
      <c r="BG896" s="77"/>
      <c r="BH896" s="77"/>
      <c r="BI896" s="77"/>
    </row>
    <row r="897" spans="1:61" x14ac:dyDescent="0.25">
      <c r="A897" s="62" t="s">
        <v>418</v>
      </c>
      <c r="B897" s="62" t="s">
        <v>418</v>
      </c>
      <c r="C897" s="63"/>
      <c r="D897" s="64"/>
      <c r="E897" s="65"/>
      <c r="F897" s="66"/>
      <c r="G897" s="63"/>
      <c r="H897" s="67"/>
      <c r="I897" s="68"/>
      <c r="J897" s="68"/>
      <c r="K897" s="32"/>
      <c r="L897" s="75">
        <v>897</v>
      </c>
      <c r="M897" s="75"/>
      <c r="N897" s="70"/>
      <c r="O897" s="77" t="s">
        <v>179</v>
      </c>
      <c r="P897" s="79">
        <v>45015.36042824074</v>
      </c>
      <c r="Q897" s="77" t="s">
        <v>2170</v>
      </c>
      <c r="R897" s="77">
        <v>0</v>
      </c>
      <c r="S897" s="77">
        <v>0</v>
      </c>
      <c r="T897" s="77">
        <v>0</v>
      </c>
      <c r="U897" s="77">
        <v>0</v>
      </c>
      <c r="V897" s="77">
        <v>42</v>
      </c>
      <c r="W897" s="82" t="s">
        <v>5335</v>
      </c>
      <c r="X897" s="80" t="str">
        <f>HYPERLINK("https://www.freeclassificados.com/ads/console-sony-playstaytion-5-ps5-versao-em-disco-pacote-fifa23/")</f>
        <v>https://www.freeclassificados.com/ads/console-sony-playstaytion-5-ps5-versao-em-disco-pacote-fifa23/</v>
      </c>
      <c r="Y897" s="77" t="s">
        <v>7308</v>
      </c>
      <c r="Z897" s="77"/>
      <c r="AA897" s="77"/>
      <c r="AB897" s="77"/>
      <c r="AC897" s="82" t="s">
        <v>10155</v>
      </c>
      <c r="AD897" s="77" t="s">
        <v>10184</v>
      </c>
      <c r="AE897" s="80" t="str">
        <f>HYPERLINK("https://twitter.com/freeclassific/status/1641359362487910403")</f>
        <v>https://twitter.com/freeclassific/status/1641359362487910403</v>
      </c>
      <c r="AF897" s="79">
        <v>45015.36042824074</v>
      </c>
      <c r="AG897" s="85">
        <v>45015</v>
      </c>
      <c r="AH897" s="82" t="s">
        <v>11048</v>
      </c>
      <c r="AI897" s="77" t="b">
        <v>0</v>
      </c>
      <c r="AJ897" s="77"/>
      <c r="AK897" s="77"/>
      <c r="AL897" s="77"/>
      <c r="AM897" s="77"/>
      <c r="AN897" s="77"/>
      <c r="AO897" s="77"/>
      <c r="AP897" s="77"/>
      <c r="AQ897" s="77"/>
      <c r="AR897" s="77"/>
      <c r="AS897" s="77"/>
      <c r="AT897" s="77"/>
      <c r="AU897" s="77"/>
      <c r="AV897" s="80" t="str">
        <f>HYPERLINK("https://pbs.twimg.com/profile_images/1431648743728852993/tLJ7F5Lu_normal.png")</f>
        <v>https://pbs.twimg.com/profile_images/1431648743728852993/tLJ7F5Lu_normal.png</v>
      </c>
      <c r="AW897" s="82" t="s">
        <v>17670</v>
      </c>
      <c r="AX897" s="82" t="s">
        <v>17670</v>
      </c>
      <c r="AY897" s="77"/>
      <c r="AZ897" s="82" t="s">
        <v>20971</v>
      </c>
      <c r="BA897" s="82" t="s">
        <v>20971</v>
      </c>
      <c r="BB897" s="82" t="s">
        <v>20971</v>
      </c>
      <c r="BC897" s="82" t="s">
        <v>17670</v>
      </c>
      <c r="BD897" s="77">
        <v>489723814</v>
      </c>
      <c r="BE897" s="77"/>
      <c r="BF897" s="77"/>
      <c r="BG897" s="77"/>
      <c r="BH897" s="77"/>
      <c r="BI897" s="77"/>
    </row>
    <row r="898" spans="1:61" x14ac:dyDescent="0.25">
      <c r="A898" s="62" t="s">
        <v>418</v>
      </c>
      <c r="B898" s="62" t="s">
        <v>418</v>
      </c>
      <c r="C898" s="63"/>
      <c r="D898" s="64"/>
      <c r="E898" s="65"/>
      <c r="F898" s="66"/>
      <c r="G898" s="63"/>
      <c r="H898" s="67"/>
      <c r="I898" s="68"/>
      <c r="J898" s="68"/>
      <c r="K898" s="32"/>
      <c r="L898" s="75">
        <v>898</v>
      </c>
      <c r="M898" s="75"/>
      <c r="N898" s="70"/>
      <c r="O898" s="77" t="s">
        <v>179</v>
      </c>
      <c r="P898" s="79">
        <v>45015.136979166666</v>
      </c>
      <c r="Q898" s="77" t="s">
        <v>2171</v>
      </c>
      <c r="R898" s="77">
        <v>0</v>
      </c>
      <c r="S898" s="77">
        <v>0</v>
      </c>
      <c r="T898" s="77">
        <v>0</v>
      </c>
      <c r="U898" s="77">
        <v>0</v>
      </c>
      <c r="V898" s="77">
        <v>11</v>
      </c>
      <c r="W898" s="82" t="s">
        <v>5335</v>
      </c>
      <c r="X898" s="80" t="str">
        <f>HYPERLINK("https://www.freeclassificados.com/ads/produtos-de-grande-aceitacao-ganhe-r50-reais-por-cada-venda/")</f>
        <v>https://www.freeclassificados.com/ads/produtos-de-grande-aceitacao-ganhe-r50-reais-por-cada-venda/</v>
      </c>
      <c r="Y898" s="77" t="s">
        <v>7308</v>
      </c>
      <c r="Z898" s="77"/>
      <c r="AA898" s="77"/>
      <c r="AB898" s="77"/>
      <c r="AC898" s="82" t="s">
        <v>10155</v>
      </c>
      <c r="AD898" s="77" t="s">
        <v>10184</v>
      </c>
      <c r="AE898" s="80" t="str">
        <f>HYPERLINK("https://twitter.com/freeclassific/status/1641278386927722497")</f>
        <v>https://twitter.com/freeclassific/status/1641278386927722497</v>
      </c>
      <c r="AF898" s="79">
        <v>45015.136979166666</v>
      </c>
      <c r="AG898" s="85">
        <v>45015</v>
      </c>
      <c r="AH898" s="82" t="s">
        <v>11049</v>
      </c>
      <c r="AI898" s="77" t="b">
        <v>0</v>
      </c>
      <c r="AJ898" s="77"/>
      <c r="AK898" s="77"/>
      <c r="AL898" s="77"/>
      <c r="AM898" s="77"/>
      <c r="AN898" s="77"/>
      <c r="AO898" s="77"/>
      <c r="AP898" s="77"/>
      <c r="AQ898" s="77"/>
      <c r="AR898" s="77"/>
      <c r="AS898" s="77"/>
      <c r="AT898" s="77"/>
      <c r="AU898" s="77"/>
      <c r="AV898" s="80" t="str">
        <f>HYPERLINK("https://pbs.twimg.com/profile_images/1431648743728852993/tLJ7F5Lu_normal.png")</f>
        <v>https://pbs.twimg.com/profile_images/1431648743728852993/tLJ7F5Lu_normal.png</v>
      </c>
      <c r="AW898" s="82" t="s">
        <v>17671</v>
      </c>
      <c r="AX898" s="82" t="s">
        <v>17671</v>
      </c>
      <c r="AY898" s="77"/>
      <c r="AZ898" s="82" t="s">
        <v>20971</v>
      </c>
      <c r="BA898" s="82" t="s">
        <v>20971</v>
      </c>
      <c r="BB898" s="82" t="s">
        <v>20971</v>
      </c>
      <c r="BC898" s="82" t="s">
        <v>17671</v>
      </c>
      <c r="BD898" s="77">
        <v>489723814</v>
      </c>
      <c r="BE898" s="77"/>
      <c r="BF898" s="77"/>
      <c r="BG898" s="77"/>
      <c r="BH898" s="77"/>
      <c r="BI898" s="77"/>
    </row>
    <row r="899" spans="1:61" x14ac:dyDescent="0.25">
      <c r="A899" s="62" t="s">
        <v>418</v>
      </c>
      <c r="B899" s="62" t="s">
        <v>418</v>
      </c>
      <c r="C899" s="63"/>
      <c r="D899" s="64"/>
      <c r="E899" s="65"/>
      <c r="F899" s="66"/>
      <c r="G899" s="63"/>
      <c r="H899" s="67"/>
      <c r="I899" s="68"/>
      <c r="J899" s="68"/>
      <c r="K899" s="32"/>
      <c r="L899" s="75">
        <v>899</v>
      </c>
      <c r="M899" s="75"/>
      <c r="N899" s="70"/>
      <c r="O899" s="77" t="s">
        <v>179</v>
      </c>
      <c r="P899" s="79">
        <v>45015.082013888888</v>
      </c>
      <c r="Q899" s="77" t="s">
        <v>2172</v>
      </c>
      <c r="R899" s="77">
        <v>0</v>
      </c>
      <c r="S899" s="77">
        <v>0</v>
      </c>
      <c r="T899" s="77">
        <v>0</v>
      </c>
      <c r="U899" s="77">
        <v>0</v>
      </c>
      <c r="V899" s="77">
        <v>21</v>
      </c>
      <c r="W899" s="82" t="s">
        <v>5335</v>
      </c>
      <c r="X899" s="80" t="str">
        <f>HYPERLINK("https://www.freeclassificados.com/ads/curso-de-cavaquinho-com-dudu-nobre/")</f>
        <v>https://www.freeclassificados.com/ads/curso-de-cavaquinho-com-dudu-nobre/</v>
      </c>
      <c r="Y899" s="77" t="s">
        <v>7308</v>
      </c>
      <c r="Z899" s="77"/>
      <c r="AA899" s="77"/>
      <c r="AB899" s="77"/>
      <c r="AC899" s="82" t="s">
        <v>10155</v>
      </c>
      <c r="AD899" s="77" t="s">
        <v>10184</v>
      </c>
      <c r="AE899" s="80" t="str">
        <f>HYPERLINK("https://twitter.com/freeclassific/status/1641258465896321024")</f>
        <v>https://twitter.com/freeclassific/status/1641258465896321024</v>
      </c>
      <c r="AF899" s="79">
        <v>45015.082013888888</v>
      </c>
      <c r="AG899" s="85">
        <v>45015</v>
      </c>
      <c r="AH899" s="82" t="s">
        <v>11050</v>
      </c>
      <c r="AI899" s="77" t="b">
        <v>0</v>
      </c>
      <c r="AJ899" s="77"/>
      <c r="AK899" s="77"/>
      <c r="AL899" s="77"/>
      <c r="AM899" s="77"/>
      <c r="AN899" s="77"/>
      <c r="AO899" s="77"/>
      <c r="AP899" s="77"/>
      <c r="AQ899" s="77"/>
      <c r="AR899" s="77"/>
      <c r="AS899" s="77"/>
      <c r="AT899" s="77"/>
      <c r="AU899" s="77"/>
      <c r="AV899" s="80" t="str">
        <f>HYPERLINK("https://pbs.twimg.com/profile_images/1431648743728852993/tLJ7F5Lu_normal.png")</f>
        <v>https://pbs.twimg.com/profile_images/1431648743728852993/tLJ7F5Lu_normal.png</v>
      </c>
      <c r="AW899" s="82" t="s">
        <v>17672</v>
      </c>
      <c r="AX899" s="82" t="s">
        <v>17672</v>
      </c>
      <c r="AY899" s="77"/>
      <c r="AZ899" s="82" t="s">
        <v>20971</v>
      </c>
      <c r="BA899" s="82" t="s">
        <v>20971</v>
      </c>
      <c r="BB899" s="82" t="s">
        <v>20971</v>
      </c>
      <c r="BC899" s="82" t="s">
        <v>17672</v>
      </c>
      <c r="BD899" s="77">
        <v>489723814</v>
      </c>
      <c r="BE899" s="77"/>
      <c r="BF899" s="77"/>
      <c r="BG899" s="77"/>
      <c r="BH899" s="77"/>
      <c r="BI899" s="77"/>
    </row>
    <row r="900" spans="1:61" x14ac:dyDescent="0.25">
      <c r="A900" s="62" t="s">
        <v>418</v>
      </c>
      <c r="B900" s="62" t="s">
        <v>418</v>
      </c>
      <c r="C900" s="63"/>
      <c r="D900" s="64"/>
      <c r="E900" s="65"/>
      <c r="F900" s="66"/>
      <c r="G900" s="63"/>
      <c r="H900" s="67"/>
      <c r="I900" s="68"/>
      <c r="J900" s="68"/>
      <c r="K900" s="32"/>
      <c r="L900" s="75">
        <v>900</v>
      </c>
      <c r="M900" s="75"/>
      <c r="N900" s="70"/>
      <c r="O900" s="77" t="s">
        <v>179</v>
      </c>
      <c r="P900" s="79">
        <v>45015.079560185186</v>
      </c>
      <c r="Q900" s="77" t="s">
        <v>2173</v>
      </c>
      <c r="R900" s="77">
        <v>0</v>
      </c>
      <c r="S900" s="77">
        <v>0</v>
      </c>
      <c r="T900" s="77">
        <v>0</v>
      </c>
      <c r="U900" s="77">
        <v>0</v>
      </c>
      <c r="V900" s="77">
        <v>18</v>
      </c>
      <c r="W900" s="82" t="s">
        <v>5335</v>
      </c>
      <c r="X900" s="80" t="str">
        <f>HYPERLINK("https://www.freeclassificados.com/ads/curso-de-criacao-de-codornas-coturnicultura/")</f>
        <v>https://www.freeclassificados.com/ads/curso-de-criacao-de-codornas-coturnicultura/</v>
      </c>
      <c r="Y900" s="77" t="s">
        <v>7308</v>
      </c>
      <c r="Z900" s="77"/>
      <c r="AA900" s="77"/>
      <c r="AB900" s="77"/>
      <c r="AC900" s="82" t="s">
        <v>10155</v>
      </c>
      <c r="AD900" s="77" t="s">
        <v>10184</v>
      </c>
      <c r="AE900" s="80" t="str">
        <f>HYPERLINK("https://twitter.com/freeclassific/status/1641257580742987776")</f>
        <v>https://twitter.com/freeclassific/status/1641257580742987776</v>
      </c>
      <c r="AF900" s="79">
        <v>45015.079560185186</v>
      </c>
      <c r="AG900" s="85">
        <v>45015</v>
      </c>
      <c r="AH900" s="82" t="s">
        <v>11051</v>
      </c>
      <c r="AI900" s="77" t="b">
        <v>0</v>
      </c>
      <c r="AJ900" s="77"/>
      <c r="AK900" s="77"/>
      <c r="AL900" s="77"/>
      <c r="AM900" s="77"/>
      <c r="AN900" s="77"/>
      <c r="AO900" s="77"/>
      <c r="AP900" s="77"/>
      <c r="AQ900" s="77"/>
      <c r="AR900" s="77"/>
      <c r="AS900" s="77"/>
      <c r="AT900" s="77"/>
      <c r="AU900" s="77"/>
      <c r="AV900" s="80" t="str">
        <f>HYPERLINK("https://pbs.twimg.com/profile_images/1431648743728852993/tLJ7F5Lu_normal.png")</f>
        <v>https://pbs.twimg.com/profile_images/1431648743728852993/tLJ7F5Lu_normal.png</v>
      </c>
      <c r="AW900" s="82" t="s">
        <v>17673</v>
      </c>
      <c r="AX900" s="82" t="s">
        <v>17673</v>
      </c>
      <c r="AY900" s="77"/>
      <c r="AZ900" s="82" t="s">
        <v>20971</v>
      </c>
      <c r="BA900" s="82" t="s">
        <v>20971</v>
      </c>
      <c r="BB900" s="82" t="s">
        <v>20971</v>
      </c>
      <c r="BC900" s="82" t="s">
        <v>17673</v>
      </c>
      <c r="BD900" s="77">
        <v>489723814</v>
      </c>
      <c r="BE900" s="77"/>
      <c r="BF900" s="77"/>
      <c r="BG900" s="77"/>
      <c r="BH900" s="77"/>
      <c r="BI900" s="77"/>
    </row>
    <row r="901" spans="1:61" x14ac:dyDescent="0.25">
      <c r="A901" s="62" t="s">
        <v>418</v>
      </c>
      <c r="B901" s="62" t="s">
        <v>418</v>
      </c>
      <c r="C901" s="63"/>
      <c r="D901" s="64"/>
      <c r="E901" s="65"/>
      <c r="F901" s="66"/>
      <c r="G901" s="63"/>
      <c r="H901" s="67"/>
      <c r="I901" s="68"/>
      <c r="J901" s="68"/>
      <c r="K901" s="32"/>
      <c r="L901" s="75">
        <v>901</v>
      </c>
      <c r="M901" s="75"/>
      <c r="N901" s="70"/>
      <c r="O901" s="77" t="s">
        <v>179</v>
      </c>
      <c r="P901" s="79">
        <v>45015.053136574075</v>
      </c>
      <c r="Q901" s="77" t="s">
        <v>2026</v>
      </c>
      <c r="R901" s="77">
        <v>0</v>
      </c>
      <c r="S901" s="77">
        <v>0</v>
      </c>
      <c r="T901" s="77">
        <v>0</v>
      </c>
      <c r="U901" s="77">
        <v>0</v>
      </c>
      <c r="V901" s="77">
        <v>16</v>
      </c>
      <c r="W901" s="82" t="s">
        <v>5335</v>
      </c>
      <c r="X901" s="80" t="str">
        <f>HYPERLINK("https://www.freeclassificados.com/ads/por-que-voce-deveria-conhecer-a-minha-pagina/")</f>
        <v>https://www.freeclassificados.com/ads/por-que-voce-deveria-conhecer-a-minha-pagina/</v>
      </c>
      <c r="Y901" s="77" t="s">
        <v>7308</v>
      </c>
      <c r="Z901" s="77"/>
      <c r="AA901" s="77"/>
      <c r="AB901" s="77"/>
      <c r="AC901" s="82" t="s">
        <v>10155</v>
      </c>
      <c r="AD901" s="77" t="s">
        <v>10184</v>
      </c>
      <c r="AE901" s="80" t="str">
        <f>HYPERLINK("https://twitter.com/freeclassific/status/1641248005105020928")</f>
        <v>https://twitter.com/freeclassific/status/1641248005105020928</v>
      </c>
      <c r="AF901" s="79">
        <v>45015.053136574075</v>
      </c>
      <c r="AG901" s="85">
        <v>45015</v>
      </c>
      <c r="AH901" s="82" t="s">
        <v>11052</v>
      </c>
      <c r="AI901" s="77" t="b">
        <v>0</v>
      </c>
      <c r="AJ901" s="77"/>
      <c r="AK901" s="77"/>
      <c r="AL901" s="77"/>
      <c r="AM901" s="77"/>
      <c r="AN901" s="77"/>
      <c r="AO901" s="77"/>
      <c r="AP901" s="77"/>
      <c r="AQ901" s="77"/>
      <c r="AR901" s="77"/>
      <c r="AS901" s="77"/>
      <c r="AT901" s="77"/>
      <c r="AU901" s="77"/>
      <c r="AV901" s="80" t="str">
        <f>HYPERLINK("https://pbs.twimg.com/profile_images/1431648743728852993/tLJ7F5Lu_normal.png")</f>
        <v>https://pbs.twimg.com/profile_images/1431648743728852993/tLJ7F5Lu_normal.png</v>
      </c>
      <c r="AW901" s="82" t="s">
        <v>17674</v>
      </c>
      <c r="AX901" s="82" t="s">
        <v>17674</v>
      </c>
      <c r="AY901" s="77"/>
      <c r="AZ901" s="82" t="s">
        <v>20971</v>
      </c>
      <c r="BA901" s="82" t="s">
        <v>20971</v>
      </c>
      <c r="BB901" s="82" t="s">
        <v>20971</v>
      </c>
      <c r="BC901" s="82" t="s">
        <v>17674</v>
      </c>
      <c r="BD901" s="77">
        <v>489723814</v>
      </c>
      <c r="BE901" s="77"/>
      <c r="BF901" s="77"/>
      <c r="BG901" s="77"/>
      <c r="BH901" s="77"/>
      <c r="BI901" s="77"/>
    </row>
    <row r="902" spans="1:61" x14ac:dyDescent="0.25">
      <c r="A902" s="62" t="s">
        <v>418</v>
      </c>
      <c r="B902" s="62" t="s">
        <v>418</v>
      </c>
      <c r="C902" s="63"/>
      <c r="D902" s="64"/>
      <c r="E902" s="65"/>
      <c r="F902" s="66"/>
      <c r="G902" s="63"/>
      <c r="H902" s="67"/>
      <c r="I902" s="68"/>
      <c r="J902" s="68"/>
      <c r="K902" s="32"/>
      <c r="L902" s="75">
        <v>902</v>
      </c>
      <c r="M902" s="75"/>
      <c r="N902" s="70"/>
      <c r="O902" s="77" t="s">
        <v>179</v>
      </c>
      <c r="P902" s="79">
        <v>45014.802118055559</v>
      </c>
      <c r="Q902" s="77" t="s">
        <v>2174</v>
      </c>
      <c r="R902" s="77">
        <v>0</v>
      </c>
      <c r="S902" s="77">
        <v>0</v>
      </c>
      <c r="T902" s="77">
        <v>0</v>
      </c>
      <c r="U902" s="77">
        <v>0</v>
      </c>
      <c r="V902" s="77">
        <v>20</v>
      </c>
      <c r="W902" s="82" t="s">
        <v>5335</v>
      </c>
      <c r="X902" s="80" t="str">
        <f>HYPERLINK("https://www.freeclassificados.com/ads/conheca-o-seu-novo-refugio-na-praia-apartamento-de-02-dormitorios-com-vista-deslumbrante/")</f>
        <v>https://www.freeclassificados.com/ads/conheca-o-seu-novo-refugio-na-praia-apartamento-de-02-dormitorios-com-vista-deslumbrante/</v>
      </c>
      <c r="Y902" s="77" t="s">
        <v>7308</v>
      </c>
      <c r="Z902" s="77"/>
      <c r="AA902" s="77"/>
      <c r="AB902" s="77"/>
      <c r="AC902" s="82" t="s">
        <v>10155</v>
      </c>
      <c r="AD902" s="77" t="s">
        <v>10184</v>
      </c>
      <c r="AE902" s="80" t="str">
        <f>HYPERLINK("https://twitter.com/freeclassific/status/1641157036628127744")</f>
        <v>https://twitter.com/freeclassific/status/1641157036628127744</v>
      </c>
      <c r="AF902" s="79">
        <v>45014.802118055559</v>
      </c>
      <c r="AG902" s="85">
        <v>45014</v>
      </c>
      <c r="AH902" s="82" t="s">
        <v>11053</v>
      </c>
      <c r="AI902" s="77" t="b">
        <v>0</v>
      </c>
      <c r="AJ902" s="77"/>
      <c r="AK902" s="77"/>
      <c r="AL902" s="77"/>
      <c r="AM902" s="77"/>
      <c r="AN902" s="77"/>
      <c r="AO902" s="77"/>
      <c r="AP902" s="77"/>
      <c r="AQ902" s="77"/>
      <c r="AR902" s="77"/>
      <c r="AS902" s="77"/>
      <c r="AT902" s="77"/>
      <c r="AU902" s="77"/>
      <c r="AV902" s="80" t="str">
        <f>HYPERLINK("https://pbs.twimg.com/profile_images/1431648743728852993/tLJ7F5Lu_normal.png")</f>
        <v>https://pbs.twimg.com/profile_images/1431648743728852993/tLJ7F5Lu_normal.png</v>
      </c>
      <c r="AW902" s="82" t="s">
        <v>17675</v>
      </c>
      <c r="AX902" s="82" t="s">
        <v>17675</v>
      </c>
      <c r="AY902" s="77"/>
      <c r="AZ902" s="82" t="s">
        <v>20971</v>
      </c>
      <c r="BA902" s="82" t="s">
        <v>20971</v>
      </c>
      <c r="BB902" s="82" t="s">
        <v>20971</v>
      </c>
      <c r="BC902" s="82" t="s">
        <v>17675</v>
      </c>
      <c r="BD902" s="77">
        <v>489723814</v>
      </c>
      <c r="BE902" s="77"/>
      <c r="BF902" s="77"/>
      <c r="BG902" s="77"/>
      <c r="BH902" s="77"/>
      <c r="BI902" s="77"/>
    </row>
    <row r="903" spans="1:61" x14ac:dyDescent="0.25">
      <c r="A903" s="62" t="s">
        <v>418</v>
      </c>
      <c r="B903" s="62" t="s">
        <v>418</v>
      </c>
      <c r="C903" s="63"/>
      <c r="D903" s="64"/>
      <c r="E903" s="65"/>
      <c r="F903" s="66"/>
      <c r="G903" s="63"/>
      <c r="H903" s="67"/>
      <c r="I903" s="68"/>
      <c r="J903" s="68"/>
      <c r="K903" s="32"/>
      <c r="L903" s="75">
        <v>903</v>
      </c>
      <c r="M903" s="75"/>
      <c r="N903" s="70"/>
      <c r="O903" s="77" t="s">
        <v>179</v>
      </c>
      <c r="P903" s="79">
        <v>45014.69771990741</v>
      </c>
      <c r="Q903" s="77" t="s">
        <v>2175</v>
      </c>
      <c r="R903" s="77">
        <v>0</v>
      </c>
      <c r="S903" s="77">
        <v>0</v>
      </c>
      <c r="T903" s="77">
        <v>1</v>
      </c>
      <c r="U903" s="77">
        <v>0</v>
      </c>
      <c r="V903" s="77">
        <v>26</v>
      </c>
      <c r="W903" s="82" t="s">
        <v>5335</v>
      </c>
      <c r="X903" s="80" t="str">
        <f>HYPERLINK("https://www.freeclassificados.com/ads/pagina-lucrativa-geradora-de-renda-extra-na-internet/")</f>
        <v>https://www.freeclassificados.com/ads/pagina-lucrativa-geradora-de-renda-extra-na-internet/</v>
      </c>
      <c r="Y903" s="77" t="s">
        <v>7308</v>
      </c>
      <c r="Z903" s="77"/>
      <c r="AA903" s="77"/>
      <c r="AB903" s="77"/>
      <c r="AC903" s="82" t="s">
        <v>10155</v>
      </c>
      <c r="AD903" s="77" t="s">
        <v>10187</v>
      </c>
      <c r="AE903" s="80" t="str">
        <f>HYPERLINK("https://twitter.com/freeclassific/status/1641119202387038208")</f>
        <v>https://twitter.com/freeclassific/status/1641119202387038208</v>
      </c>
      <c r="AF903" s="79">
        <v>45014.69771990741</v>
      </c>
      <c r="AG903" s="85">
        <v>45014</v>
      </c>
      <c r="AH903" s="82" t="s">
        <v>11054</v>
      </c>
      <c r="AI903" s="77" t="b">
        <v>0</v>
      </c>
      <c r="AJ903" s="77"/>
      <c r="AK903" s="77"/>
      <c r="AL903" s="77"/>
      <c r="AM903" s="77"/>
      <c r="AN903" s="77"/>
      <c r="AO903" s="77"/>
      <c r="AP903" s="77"/>
      <c r="AQ903" s="77"/>
      <c r="AR903" s="77"/>
      <c r="AS903" s="77"/>
      <c r="AT903" s="77"/>
      <c r="AU903" s="77"/>
      <c r="AV903" s="80" t="str">
        <f>HYPERLINK("https://pbs.twimg.com/profile_images/1431648743728852993/tLJ7F5Lu_normal.png")</f>
        <v>https://pbs.twimg.com/profile_images/1431648743728852993/tLJ7F5Lu_normal.png</v>
      </c>
      <c r="AW903" s="82" t="s">
        <v>17676</v>
      </c>
      <c r="AX903" s="82" t="s">
        <v>17676</v>
      </c>
      <c r="AY903" s="77"/>
      <c r="AZ903" s="82" t="s">
        <v>20971</v>
      </c>
      <c r="BA903" s="82" t="s">
        <v>20971</v>
      </c>
      <c r="BB903" s="82" t="s">
        <v>20971</v>
      </c>
      <c r="BC903" s="82" t="s">
        <v>17676</v>
      </c>
      <c r="BD903" s="77">
        <v>489723814</v>
      </c>
      <c r="BE903" s="77"/>
      <c r="BF903" s="77"/>
      <c r="BG903" s="77"/>
      <c r="BH903" s="77"/>
      <c r="BI903" s="77"/>
    </row>
    <row r="904" spans="1:61" x14ac:dyDescent="0.25">
      <c r="A904" s="62" t="s">
        <v>418</v>
      </c>
      <c r="B904" s="62" t="s">
        <v>418</v>
      </c>
      <c r="C904" s="63"/>
      <c r="D904" s="64"/>
      <c r="E904" s="65"/>
      <c r="F904" s="66"/>
      <c r="G904" s="63"/>
      <c r="H904" s="67"/>
      <c r="I904" s="68"/>
      <c r="J904" s="68"/>
      <c r="K904" s="32"/>
      <c r="L904" s="75">
        <v>904</v>
      </c>
      <c r="M904" s="75"/>
      <c r="N904" s="70"/>
      <c r="O904" s="77" t="s">
        <v>179</v>
      </c>
      <c r="P904" s="79">
        <v>45014.481157407405</v>
      </c>
      <c r="Q904" s="77" t="s">
        <v>1938</v>
      </c>
      <c r="R904" s="77">
        <v>0</v>
      </c>
      <c r="S904" s="77">
        <v>0</v>
      </c>
      <c r="T904" s="77">
        <v>0</v>
      </c>
      <c r="U904" s="77">
        <v>0</v>
      </c>
      <c r="V904" s="77">
        <v>9</v>
      </c>
      <c r="W904" s="82" t="s">
        <v>5335</v>
      </c>
      <c r="X904" s="80" t="str">
        <f>HYPERLINK("https://www.freeclassificados.com/ads/palco-coberta-som-luz-alugo-palco-aluguel-tablado-de-vidro-palco-madeira-9-86-25-98-82/")</f>
        <v>https://www.freeclassificados.com/ads/palco-coberta-som-luz-alugo-palco-aluguel-tablado-de-vidro-palco-madeira-9-86-25-98-82/</v>
      </c>
      <c r="Y904" s="77" t="s">
        <v>7308</v>
      </c>
      <c r="Z904" s="77"/>
      <c r="AA904" s="77"/>
      <c r="AB904" s="77"/>
      <c r="AC904" s="82" t="s">
        <v>10155</v>
      </c>
      <c r="AD904" s="77" t="s">
        <v>10184</v>
      </c>
      <c r="AE904" s="80" t="str">
        <f>HYPERLINK("https://twitter.com/freeclassific/status/1641040725478629377")</f>
        <v>https://twitter.com/freeclassific/status/1641040725478629377</v>
      </c>
      <c r="AF904" s="79">
        <v>45014.481157407405</v>
      </c>
      <c r="AG904" s="85">
        <v>45014</v>
      </c>
      <c r="AH904" s="82" t="s">
        <v>11055</v>
      </c>
      <c r="AI904" s="77" t="b">
        <v>0</v>
      </c>
      <c r="AJ904" s="77"/>
      <c r="AK904" s="77"/>
      <c r="AL904" s="77"/>
      <c r="AM904" s="77"/>
      <c r="AN904" s="77"/>
      <c r="AO904" s="77"/>
      <c r="AP904" s="77"/>
      <c r="AQ904" s="77"/>
      <c r="AR904" s="77"/>
      <c r="AS904" s="77"/>
      <c r="AT904" s="77"/>
      <c r="AU904" s="77"/>
      <c r="AV904" s="80" t="str">
        <f>HYPERLINK("https://pbs.twimg.com/profile_images/1431648743728852993/tLJ7F5Lu_normal.png")</f>
        <v>https://pbs.twimg.com/profile_images/1431648743728852993/tLJ7F5Lu_normal.png</v>
      </c>
      <c r="AW904" s="82" t="s">
        <v>17677</v>
      </c>
      <c r="AX904" s="82" t="s">
        <v>17677</v>
      </c>
      <c r="AY904" s="77"/>
      <c r="AZ904" s="82" t="s">
        <v>20971</v>
      </c>
      <c r="BA904" s="82" t="s">
        <v>20971</v>
      </c>
      <c r="BB904" s="82" t="s">
        <v>20971</v>
      </c>
      <c r="BC904" s="82" t="s">
        <v>17677</v>
      </c>
      <c r="BD904" s="77">
        <v>489723814</v>
      </c>
      <c r="BE904" s="77"/>
      <c r="BF904" s="77"/>
      <c r="BG904" s="77"/>
      <c r="BH904" s="77"/>
      <c r="BI904" s="77"/>
    </row>
    <row r="905" spans="1:61" x14ac:dyDescent="0.25">
      <c r="A905" s="62" t="s">
        <v>418</v>
      </c>
      <c r="B905" s="62" t="s">
        <v>418</v>
      </c>
      <c r="C905" s="63"/>
      <c r="D905" s="64"/>
      <c r="E905" s="65"/>
      <c r="F905" s="66"/>
      <c r="G905" s="63"/>
      <c r="H905" s="67"/>
      <c r="I905" s="68"/>
      <c r="J905" s="68"/>
      <c r="K905" s="32"/>
      <c r="L905" s="75">
        <v>905</v>
      </c>
      <c r="M905" s="75"/>
      <c r="N905" s="70"/>
      <c r="O905" s="77" t="s">
        <v>179</v>
      </c>
      <c r="P905" s="79">
        <v>45014.01972222222</v>
      </c>
      <c r="Q905" s="77" t="s">
        <v>2176</v>
      </c>
      <c r="R905" s="77">
        <v>0</v>
      </c>
      <c r="S905" s="77">
        <v>0</v>
      </c>
      <c r="T905" s="77">
        <v>0</v>
      </c>
      <c r="U905" s="77">
        <v>0</v>
      </c>
      <c r="V905" s="77">
        <v>27</v>
      </c>
      <c r="W905" s="82" t="s">
        <v>5335</v>
      </c>
      <c r="X905" s="80" t="str">
        <f>HYPERLINK("https://www.freeclassificados.com/ads/hora-de-faturar/")</f>
        <v>https://www.freeclassificados.com/ads/hora-de-faturar/</v>
      </c>
      <c r="Y905" s="77" t="s">
        <v>7308</v>
      </c>
      <c r="Z905" s="77"/>
      <c r="AA905" s="77"/>
      <c r="AB905" s="77"/>
      <c r="AC905" s="82" t="s">
        <v>10155</v>
      </c>
      <c r="AD905" s="77" t="s">
        <v>10184</v>
      </c>
      <c r="AE905" s="80" t="str">
        <f>HYPERLINK("https://twitter.com/freeclassific/status/1640873504395661312")</f>
        <v>https://twitter.com/freeclassific/status/1640873504395661312</v>
      </c>
      <c r="AF905" s="79">
        <v>45014.01972222222</v>
      </c>
      <c r="AG905" s="85">
        <v>45014</v>
      </c>
      <c r="AH905" s="82" t="s">
        <v>11056</v>
      </c>
      <c r="AI905" s="77" t="b">
        <v>0</v>
      </c>
      <c r="AJ905" s="77"/>
      <c r="AK905" s="77"/>
      <c r="AL905" s="77"/>
      <c r="AM905" s="77"/>
      <c r="AN905" s="77"/>
      <c r="AO905" s="77"/>
      <c r="AP905" s="77"/>
      <c r="AQ905" s="77"/>
      <c r="AR905" s="77"/>
      <c r="AS905" s="77"/>
      <c r="AT905" s="77"/>
      <c r="AU905" s="77"/>
      <c r="AV905" s="80" t="str">
        <f>HYPERLINK("https://pbs.twimg.com/profile_images/1431648743728852993/tLJ7F5Lu_normal.png")</f>
        <v>https://pbs.twimg.com/profile_images/1431648743728852993/tLJ7F5Lu_normal.png</v>
      </c>
      <c r="AW905" s="82" t="s">
        <v>17678</v>
      </c>
      <c r="AX905" s="82" t="s">
        <v>17678</v>
      </c>
      <c r="AY905" s="77"/>
      <c r="AZ905" s="82" t="s">
        <v>20971</v>
      </c>
      <c r="BA905" s="82" t="s">
        <v>20971</v>
      </c>
      <c r="BB905" s="82" t="s">
        <v>20971</v>
      </c>
      <c r="BC905" s="82" t="s">
        <v>17678</v>
      </c>
      <c r="BD905" s="77">
        <v>489723814</v>
      </c>
      <c r="BE905" s="77"/>
      <c r="BF905" s="77"/>
      <c r="BG905" s="77"/>
      <c r="BH905" s="77"/>
      <c r="BI905" s="77"/>
    </row>
    <row r="906" spans="1:61" x14ac:dyDescent="0.25">
      <c r="A906" s="62" t="s">
        <v>418</v>
      </c>
      <c r="B906" s="62" t="s">
        <v>418</v>
      </c>
      <c r="C906" s="63"/>
      <c r="D906" s="64"/>
      <c r="E906" s="65"/>
      <c r="F906" s="66"/>
      <c r="G906" s="63"/>
      <c r="H906" s="67"/>
      <c r="I906" s="68"/>
      <c r="J906" s="68"/>
      <c r="K906" s="32"/>
      <c r="L906" s="75">
        <v>906</v>
      </c>
      <c r="M906" s="75"/>
      <c r="N906" s="70"/>
      <c r="O906" s="77" t="s">
        <v>179</v>
      </c>
      <c r="P906" s="79">
        <v>44993.501701388886</v>
      </c>
      <c r="Q906" s="77" t="s">
        <v>2177</v>
      </c>
      <c r="R906" s="77">
        <v>0</v>
      </c>
      <c r="S906" s="77">
        <v>0</v>
      </c>
      <c r="T906" s="77">
        <v>0</v>
      </c>
      <c r="U906" s="77">
        <v>0</v>
      </c>
      <c r="V906" s="77">
        <v>32</v>
      </c>
      <c r="W906" s="82" t="s">
        <v>5335</v>
      </c>
      <c r="X906" s="80" t="str">
        <f>HYPERLINK("https://www.freeclassificados.com/ads/como-comprar-gabarito-concurso-publico-gabarito-vendashotmail-com/")</f>
        <v>https://www.freeclassificados.com/ads/como-comprar-gabarito-concurso-publico-gabarito-vendashotmail-com/</v>
      </c>
      <c r="Y906" s="77" t="s">
        <v>7308</v>
      </c>
      <c r="Z906" s="77"/>
      <c r="AA906" s="77"/>
      <c r="AB906" s="77"/>
      <c r="AC906" s="82" t="s">
        <v>10155</v>
      </c>
      <c r="AD906" s="77" t="s">
        <v>10184</v>
      </c>
      <c r="AE906" s="80" t="str">
        <f>HYPERLINK("https://twitter.com/freeclassific/status/1633438024767016962")</f>
        <v>https://twitter.com/freeclassific/status/1633438024767016962</v>
      </c>
      <c r="AF906" s="79">
        <v>44993.501701388886</v>
      </c>
      <c r="AG906" s="85">
        <v>44993</v>
      </c>
      <c r="AH906" s="82" t="s">
        <v>11057</v>
      </c>
      <c r="AI906" s="77" t="b">
        <v>0</v>
      </c>
      <c r="AJ906" s="77"/>
      <c r="AK906" s="77"/>
      <c r="AL906" s="77"/>
      <c r="AM906" s="77"/>
      <c r="AN906" s="77"/>
      <c r="AO906" s="77"/>
      <c r="AP906" s="77"/>
      <c r="AQ906" s="77"/>
      <c r="AR906" s="77"/>
      <c r="AS906" s="77"/>
      <c r="AT906" s="77"/>
      <c r="AU906" s="77"/>
      <c r="AV906" s="80" t="str">
        <f>HYPERLINK("https://pbs.twimg.com/profile_images/1431648743728852993/tLJ7F5Lu_normal.png")</f>
        <v>https://pbs.twimg.com/profile_images/1431648743728852993/tLJ7F5Lu_normal.png</v>
      </c>
      <c r="AW906" s="82" t="s">
        <v>17679</v>
      </c>
      <c r="AX906" s="82" t="s">
        <v>17679</v>
      </c>
      <c r="AY906" s="77"/>
      <c r="AZ906" s="82" t="s">
        <v>20971</v>
      </c>
      <c r="BA906" s="82" t="s">
        <v>20971</v>
      </c>
      <c r="BB906" s="82" t="s">
        <v>20971</v>
      </c>
      <c r="BC906" s="82" t="s">
        <v>17679</v>
      </c>
      <c r="BD906" s="77">
        <v>489723814</v>
      </c>
      <c r="BE906" s="77"/>
      <c r="BF906" s="77"/>
      <c r="BG906" s="77"/>
      <c r="BH906" s="77"/>
      <c r="BI906" s="77"/>
    </row>
    <row r="907" spans="1:61" x14ac:dyDescent="0.25">
      <c r="A907" s="62" t="s">
        <v>418</v>
      </c>
      <c r="B907" s="62" t="s">
        <v>418</v>
      </c>
      <c r="C907" s="63"/>
      <c r="D907" s="64"/>
      <c r="E907" s="65"/>
      <c r="F907" s="66"/>
      <c r="G907" s="63"/>
      <c r="H907" s="67"/>
      <c r="I907" s="68"/>
      <c r="J907" s="68"/>
      <c r="K907" s="32"/>
      <c r="L907" s="75">
        <v>907</v>
      </c>
      <c r="M907" s="75"/>
      <c r="N907" s="70"/>
      <c r="O907" s="77" t="s">
        <v>179</v>
      </c>
      <c r="P907" s="79">
        <v>44993.501562500001</v>
      </c>
      <c r="Q907" s="77" t="s">
        <v>2178</v>
      </c>
      <c r="R907" s="77">
        <v>0</v>
      </c>
      <c r="S907" s="77">
        <v>0</v>
      </c>
      <c r="T907" s="77">
        <v>0</v>
      </c>
      <c r="U907" s="77">
        <v>0</v>
      </c>
      <c r="V907" s="77">
        <v>29</v>
      </c>
      <c r="W907" s="82" t="s">
        <v>5335</v>
      </c>
      <c r="X907" s="80" t="str">
        <f>HYPERLINK("https://www.freeclassificados.com/ads/como-comprar-gabarito-concurso-pm-pe-gabarito-vendashotmail-com/")</f>
        <v>https://www.freeclassificados.com/ads/como-comprar-gabarito-concurso-pm-pe-gabarito-vendashotmail-com/</v>
      </c>
      <c r="Y907" s="77" t="s">
        <v>7308</v>
      </c>
      <c r="Z907" s="77"/>
      <c r="AA907" s="77"/>
      <c r="AB907" s="77"/>
      <c r="AC907" s="82" t="s">
        <v>10155</v>
      </c>
      <c r="AD907" s="77" t="s">
        <v>10184</v>
      </c>
      <c r="AE907" s="80" t="str">
        <f>HYPERLINK("https://twitter.com/freeclassific/status/1633437973575520256")</f>
        <v>https://twitter.com/freeclassific/status/1633437973575520256</v>
      </c>
      <c r="AF907" s="79">
        <v>44993.501562500001</v>
      </c>
      <c r="AG907" s="85">
        <v>44993</v>
      </c>
      <c r="AH907" s="82" t="s">
        <v>11058</v>
      </c>
      <c r="AI907" s="77" t="b">
        <v>0</v>
      </c>
      <c r="AJ907" s="77"/>
      <c r="AK907" s="77"/>
      <c r="AL907" s="77"/>
      <c r="AM907" s="77"/>
      <c r="AN907" s="77"/>
      <c r="AO907" s="77"/>
      <c r="AP907" s="77"/>
      <c r="AQ907" s="77"/>
      <c r="AR907" s="77"/>
      <c r="AS907" s="77"/>
      <c r="AT907" s="77"/>
      <c r="AU907" s="77"/>
      <c r="AV907" s="80" t="str">
        <f>HYPERLINK("https://pbs.twimg.com/profile_images/1431648743728852993/tLJ7F5Lu_normal.png")</f>
        <v>https://pbs.twimg.com/profile_images/1431648743728852993/tLJ7F5Lu_normal.png</v>
      </c>
      <c r="AW907" s="82" t="s">
        <v>17680</v>
      </c>
      <c r="AX907" s="82" t="s">
        <v>17680</v>
      </c>
      <c r="AY907" s="77"/>
      <c r="AZ907" s="82" t="s">
        <v>20971</v>
      </c>
      <c r="BA907" s="82" t="s">
        <v>20971</v>
      </c>
      <c r="BB907" s="82" t="s">
        <v>20971</v>
      </c>
      <c r="BC907" s="82" t="s">
        <v>17680</v>
      </c>
      <c r="BD907" s="77">
        <v>489723814</v>
      </c>
      <c r="BE907" s="77"/>
      <c r="BF907" s="77"/>
      <c r="BG907" s="77"/>
      <c r="BH907" s="77"/>
      <c r="BI907" s="77"/>
    </row>
    <row r="908" spans="1:61" x14ac:dyDescent="0.25">
      <c r="A908" s="62" t="s">
        <v>418</v>
      </c>
      <c r="B908" s="62" t="s">
        <v>418</v>
      </c>
      <c r="C908" s="63"/>
      <c r="D908" s="64"/>
      <c r="E908" s="65"/>
      <c r="F908" s="66"/>
      <c r="G908" s="63"/>
      <c r="H908" s="67"/>
      <c r="I908" s="68"/>
      <c r="J908" s="68"/>
      <c r="K908" s="32"/>
      <c r="L908" s="75">
        <v>908</v>
      </c>
      <c r="M908" s="75"/>
      <c r="N908" s="70"/>
      <c r="O908" s="77" t="s">
        <v>179</v>
      </c>
      <c r="P908" s="79">
        <v>44993.498090277775</v>
      </c>
      <c r="Q908" s="77" t="s">
        <v>2179</v>
      </c>
      <c r="R908" s="77">
        <v>0</v>
      </c>
      <c r="S908" s="77">
        <v>0</v>
      </c>
      <c r="T908" s="77">
        <v>0</v>
      </c>
      <c r="U908" s="77">
        <v>0</v>
      </c>
      <c r="V908" s="77">
        <v>9</v>
      </c>
      <c r="W908" s="82" t="s">
        <v>5335</v>
      </c>
      <c r="X908" s="80" t="str">
        <f>HYPERLINK("https://www.freeclassificados.com/ads/agente-de-captacao-autonomo/")</f>
        <v>https://www.freeclassificados.com/ads/agente-de-captacao-autonomo/</v>
      </c>
      <c r="Y908" s="77" t="s">
        <v>7308</v>
      </c>
      <c r="Z908" s="77"/>
      <c r="AA908" s="77"/>
      <c r="AB908" s="77"/>
      <c r="AC908" s="82" t="s">
        <v>10155</v>
      </c>
      <c r="AD908" s="77" t="s">
        <v>10184</v>
      </c>
      <c r="AE908" s="80" t="str">
        <f>HYPERLINK("https://twitter.com/freeclassific/status/1633436717066907649")</f>
        <v>https://twitter.com/freeclassific/status/1633436717066907649</v>
      </c>
      <c r="AF908" s="79">
        <v>44993.498090277775</v>
      </c>
      <c r="AG908" s="85">
        <v>44993</v>
      </c>
      <c r="AH908" s="82" t="s">
        <v>11059</v>
      </c>
      <c r="AI908" s="77" t="b">
        <v>0</v>
      </c>
      <c r="AJ908" s="77"/>
      <c r="AK908" s="77"/>
      <c r="AL908" s="77"/>
      <c r="AM908" s="77"/>
      <c r="AN908" s="77"/>
      <c r="AO908" s="77"/>
      <c r="AP908" s="77"/>
      <c r="AQ908" s="77"/>
      <c r="AR908" s="77"/>
      <c r="AS908" s="77"/>
      <c r="AT908" s="77"/>
      <c r="AU908" s="77"/>
      <c r="AV908" s="80" t="str">
        <f>HYPERLINK("https://pbs.twimg.com/profile_images/1431648743728852993/tLJ7F5Lu_normal.png")</f>
        <v>https://pbs.twimg.com/profile_images/1431648743728852993/tLJ7F5Lu_normal.png</v>
      </c>
      <c r="AW908" s="82" t="s">
        <v>17681</v>
      </c>
      <c r="AX908" s="82" t="s">
        <v>17681</v>
      </c>
      <c r="AY908" s="77"/>
      <c r="AZ908" s="82" t="s">
        <v>20971</v>
      </c>
      <c r="BA908" s="82" t="s">
        <v>20971</v>
      </c>
      <c r="BB908" s="82" t="s">
        <v>20971</v>
      </c>
      <c r="BC908" s="82" t="s">
        <v>17681</v>
      </c>
      <c r="BD908" s="77">
        <v>489723814</v>
      </c>
      <c r="BE908" s="77"/>
      <c r="BF908" s="77"/>
      <c r="BG908" s="77"/>
      <c r="BH908" s="77"/>
      <c r="BI908" s="77"/>
    </row>
    <row r="909" spans="1:61" x14ac:dyDescent="0.25">
      <c r="A909" s="62" t="s">
        <v>418</v>
      </c>
      <c r="B909" s="62" t="s">
        <v>418</v>
      </c>
      <c r="C909" s="63"/>
      <c r="D909" s="64"/>
      <c r="E909" s="65"/>
      <c r="F909" s="66"/>
      <c r="G909" s="63"/>
      <c r="H909" s="67"/>
      <c r="I909" s="68"/>
      <c r="J909" s="68"/>
      <c r="K909" s="32"/>
      <c r="L909" s="75">
        <v>909</v>
      </c>
      <c r="M909" s="75"/>
      <c r="N909" s="70"/>
      <c r="O909" s="77" t="s">
        <v>179</v>
      </c>
      <c r="P909" s="79">
        <v>44993.152453703704</v>
      </c>
      <c r="Q909" s="77" t="s">
        <v>2180</v>
      </c>
      <c r="R909" s="77">
        <v>0</v>
      </c>
      <c r="S909" s="77">
        <v>0</v>
      </c>
      <c r="T909" s="77">
        <v>0</v>
      </c>
      <c r="U909" s="77">
        <v>0</v>
      </c>
      <c r="V909" s="77">
        <v>17</v>
      </c>
      <c r="W909" s="82" t="s">
        <v>5335</v>
      </c>
      <c r="X909" s="80" t="str">
        <f>HYPERLINK("https://www.freeclassificados.com/ads/metodo-para-ganhar-dinheiro-assistindo-video/")</f>
        <v>https://www.freeclassificados.com/ads/metodo-para-ganhar-dinheiro-assistindo-video/</v>
      </c>
      <c r="Y909" s="77" t="s">
        <v>7308</v>
      </c>
      <c r="Z909" s="77"/>
      <c r="AA909" s="77"/>
      <c r="AB909" s="77"/>
      <c r="AC909" s="82" t="s">
        <v>10155</v>
      </c>
      <c r="AD909" s="77" t="s">
        <v>10184</v>
      </c>
      <c r="AE909" s="80" t="str">
        <f>HYPERLINK("https://twitter.com/freeclassific/status/1633311460481994753")</f>
        <v>https://twitter.com/freeclassific/status/1633311460481994753</v>
      </c>
      <c r="AF909" s="79">
        <v>44993.152453703704</v>
      </c>
      <c r="AG909" s="85">
        <v>44993</v>
      </c>
      <c r="AH909" s="82" t="s">
        <v>11060</v>
      </c>
      <c r="AI909" s="77" t="b">
        <v>0</v>
      </c>
      <c r="AJ909" s="77"/>
      <c r="AK909" s="77"/>
      <c r="AL909" s="77"/>
      <c r="AM909" s="77"/>
      <c r="AN909" s="77"/>
      <c r="AO909" s="77"/>
      <c r="AP909" s="77"/>
      <c r="AQ909" s="77"/>
      <c r="AR909" s="77"/>
      <c r="AS909" s="77"/>
      <c r="AT909" s="77"/>
      <c r="AU909" s="77"/>
      <c r="AV909" s="80" t="str">
        <f>HYPERLINK("https://pbs.twimg.com/profile_images/1431648743728852993/tLJ7F5Lu_normal.png")</f>
        <v>https://pbs.twimg.com/profile_images/1431648743728852993/tLJ7F5Lu_normal.png</v>
      </c>
      <c r="AW909" s="82" t="s">
        <v>17682</v>
      </c>
      <c r="AX909" s="82" t="s">
        <v>17682</v>
      </c>
      <c r="AY909" s="77"/>
      <c r="AZ909" s="82" t="s">
        <v>20971</v>
      </c>
      <c r="BA909" s="82" t="s">
        <v>20971</v>
      </c>
      <c r="BB909" s="82" t="s">
        <v>20971</v>
      </c>
      <c r="BC909" s="82" t="s">
        <v>17682</v>
      </c>
      <c r="BD909" s="77">
        <v>489723814</v>
      </c>
      <c r="BE909" s="77"/>
      <c r="BF909" s="77"/>
      <c r="BG909" s="77"/>
      <c r="BH909" s="77"/>
      <c r="BI909" s="77"/>
    </row>
    <row r="910" spans="1:61" x14ac:dyDescent="0.25">
      <c r="A910" s="62" t="s">
        <v>418</v>
      </c>
      <c r="B910" s="62" t="s">
        <v>418</v>
      </c>
      <c r="C910" s="63"/>
      <c r="D910" s="64"/>
      <c r="E910" s="65"/>
      <c r="F910" s="66"/>
      <c r="G910" s="63"/>
      <c r="H910" s="67"/>
      <c r="I910" s="68"/>
      <c r="J910" s="68"/>
      <c r="K910" s="32"/>
      <c r="L910" s="75">
        <v>910</v>
      </c>
      <c r="M910" s="75"/>
      <c r="N910" s="70"/>
      <c r="O910" s="77" t="s">
        <v>179</v>
      </c>
      <c r="P910" s="79">
        <v>44992.913437499999</v>
      </c>
      <c r="Q910" s="77" t="s">
        <v>2181</v>
      </c>
      <c r="R910" s="77">
        <v>0</v>
      </c>
      <c r="S910" s="77">
        <v>0</v>
      </c>
      <c r="T910" s="77">
        <v>0</v>
      </c>
      <c r="U910" s="77">
        <v>0</v>
      </c>
      <c r="V910" s="77">
        <v>16</v>
      </c>
      <c r="W910" s="82" t="s">
        <v>5335</v>
      </c>
      <c r="X910" s="80" t="str">
        <f>HYPERLINK("https://www.freeclassificados.com/ads/impressione-seus-clientes-artes-graficas-editaveis-com-direito-a-revenda/")</f>
        <v>https://www.freeclassificados.com/ads/impressione-seus-clientes-artes-graficas-editaveis-com-direito-a-revenda/</v>
      </c>
      <c r="Y910" s="77" t="s">
        <v>7308</v>
      </c>
      <c r="Z910" s="77"/>
      <c r="AA910" s="77"/>
      <c r="AB910" s="77"/>
      <c r="AC910" s="82" t="s">
        <v>10155</v>
      </c>
      <c r="AD910" s="77" t="s">
        <v>10184</v>
      </c>
      <c r="AE910" s="80" t="str">
        <f>HYPERLINK("https://twitter.com/freeclassific/status/1633224844077854723")</f>
        <v>https://twitter.com/freeclassific/status/1633224844077854723</v>
      </c>
      <c r="AF910" s="79">
        <v>44992.913437499999</v>
      </c>
      <c r="AG910" s="85">
        <v>44992</v>
      </c>
      <c r="AH910" s="82" t="s">
        <v>11061</v>
      </c>
      <c r="AI910" s="77" t="b">
        <v>0</v>
      </c>
      <c r="AJ910" s="77"/>
      <c r="AK910" s="77"/>
      <c r="AL910" s="77"/>
      <c r="AM910" s="77"/>
      <c r="AN910" s="77"/>
      <c r="AO910" s="77"/>
      <c r="AP910" s="77"/>
      <c r="AQ910" s="77"/>
      <c r="AR910" s="77"/>
      <c r="AS910" s="77"/>
      <c r="AT910" s="77"/>
      <c r="AU910" s="77"/>
      <c r="AV910" s="80" t="str">
        <f>HYPERLINK("https://pbs.twimg.com/profile_images/1431648743728852993/tLJ7F5Lu_normal.png")</f>
        <v>https://pbs.twimg.com/profile_images/1431648743728852993/tLJ7F5Lu_normal.png</v>
      </c>
      <c r="AW910" s="82" t="s">
        <v>17683</v>
      </c>
      <c r="AX910" s="82" t="s">
        <v>17683</v>
      </c>
      <c r="AY910" s="77"/>
      <c r="AZ910" s="82" t="s">
        <v>20971</v>
      </c>
      <c r="BA910" s="82" t="s">
        <v>20971</v>
      </c>
      <c r="BB910" s="82" t="s">
        <v>20971</v>
      </c>
      <c r="BC910" s="82" t="s">
        <v>17683</v>
      </c>
      <c r="BD910" s="77">
        <v>489723814</v>
      </c>
      <c r="BE910" s="77"/>
      <c r="BF910" s="77"/>
      <c r="BG910" s="77"/>
      <c r="BH910" s="77"/>
      <c r="BI910" s="77"/>
    </row>
    <row r="911" spans="1:61" x14ac:dyDescent="0.25">
      <c r="A911" s="62" t="s">
        <v>418</v>
      </c>
      <c r="B911" s="62" t="s">
        <v>418</v>
      </c>
      <c r="C911" s="63"/>
      <c r="D911" s="64"/>
      <c r="E911" s="65"/>
      <c r="F911" s="66"/>
      <c r="G911" s="63"/>
      <c r="H911" s="67"/>
      <c r="I911" s="68"/>
      <c r="J911" s="68"/>
      <c r="K911" s="32"/>
      <c r="L911" s="75">
        <v>911</v>
      </c>
      <c r="M911" s="75"/>
      <c r="N911" s="70"/>
      <c r="O911" s="77" t="s">
        <v>179</v>
      </c>
      <c r="P911" s="79">
        <v>44991.946840277778</v>
      </c>
      <c r="Q911" s="77" t="s">
        <v>2182</v>
      </c>
      <c r="R911" s="77">
        <v>0</v>
      </c>
      <c r="S911" s="77">
        <v>0</v>
      </c>
      <c r="T911" s="77">
        <v>0</v>
      </c>
      <c r="U911" s="77">
        <v>0</v>
      </c>
      <c r="V911" s="77">
        <v>16</v>
      </c>
      <c r="W911" s="82" t="s">
        <v>5335</v>
      </c>
      <c r="X911" s="80" t="str">
        <f>HYPERLINK("https://www.freeclassificados.com/ads/imagem-folheados-anel-tipo-chuveirinho-folheado-a-ouro-com-7-pedras-de-zirconia/")</f>
        <v>https://www.freeclassificados.com/ads/imagem-folheados-anel-tipo-chuveirinho-folheado-a-ouro-com-7-pedras-de-zirconia/</v>
      </c>
      <c r="Y911" s="77" t="s">
        <v>7308</v>
      </c>
      <c r="Z911" s="77"/>
      <c r="AA911" s="77"/>
      <c r="AB911" s="77"/>
      <c r="AC911" s="82" t="s">
        <v>10155</v>
      </c>
      <c r="AD911" s="77" t="s">
        <v>10184</v>
      </c>
      <c r="AE911" s="80" t="str">
        <f>HYPERLINK("https://twitter.com/freeclassific/status/1632874563150262273")</f>
        <v>https://twitter.com/freeclassific/status/1632874563150262273</v>
      </c>
      <c r="AF911" s="79">
        <v>44991.946840277778</v>
      </c>
      <c r="AG911" s="85">
        <v>44991</v>
      </c>
      <c r="AH911" s="82" t="s">
        <v>11062</v>
      </c>
      <c r="AI911" s="77" t="b">
        <v>0</v>
      </c>
      <c r="AJ911" s="77"/>
      <c r="AK911" s="77"/>
      <c r="AL911" s="77"/>
      <c r="AM911" s="77"/>
      <c r="AN911" s="77"/>
      <c r="AO911" s="77"/>
      <c r="AP911" s="77"/>
      <c r="AQ911" s="77"/>
      <c r="AR911" s="77"/>
      <c r="AS911" s="77"/>
      <c r="AT911" s="77"/>
      <c r="AU911" s="77"/>
      <c r="AV911" s="80" t="str">
        <f>HYPERLINK("https://pbs.twimg.com/profile_images/1431648743728852993/tLJ7F5Lu_normal.png")</f>
        <v>https://pbs.twimg.com/profile_images/1431648743728852993/tLJ7F5Lu_normal.png</v>
      </c>
      <c r="AW911" s="82" t="s">
        <v>17684</v>
      </c>
      <c r="AX911" s="82" t="s">
        <v>17684</v>
      </c>
      <c r="AY911" s="77"/>
      <c r="AZ911" s="82" t="s">
        <v>20971</v>
      </c>
      <c r="BA911" s="82" t="s">
        <v>20971</v>
      </c>
      <c r="BB911" s="82" t="s">
        <v>20971</v>
      </c>
      <c r="BC911" s="82" t="s">
        <v>17684</v>
      </c>
      <c r="BD911" s="77">
        <v>489723814</v>
      </c>
      <c r="BE911" s="77"/>
      <c r="BF911" s="77"/>
      <c r="BG911" s="77"/>
      <c r="BH911" s="77"/>
      <c r="BI911" s="77"/>
    </row>
    <row r="912" spans="1:61" x14ac:dyDescent="0.25">
      <c r="A912" s="62" t="s">
        <v>418</v>
      </c>
      <c r="B912" s="62" t="s">
        <v>418</v>
      </c>
      <c r="C912" s="63"/>
      <c r="D912" s="64"/>
      <c r="E912" s="65"/>
      <c r="F912" s="66"/>
      <c r="G912" s="63"/>
      <c r="H912" s="67"/>
      <c r="I912" s="68"/>
      <c r="J912" s="68"/>
      <c r="K912" s="32"/>
      <c r="L912" s="75">
        <v>912</v>
      </c>
      <c r="M912" s="75"/>
      <c r="N912" s="70"/>
      <c r="O912" s="77" t="s">
        <v>179</v>
      </c>
      <c r="P912" s="79">
        <v>44991.946550925924</v>
      </c>
      <c r="Q912" s="77" t="s">
        <v>2183</v>
      </c>
      <c r="R912" s="77">
        <v>0</v>
      </c>
      <c r="S912" s="77">
        <v>0</v>
      </c>
      <c r="T912" s="77">
        <v>0</v>
      </c>
      <c r="U912" s="77">
        <v>0</v>
      </c>
      <c r="V912" s="77">
        <v>15</v>
      </c>
      <c r="W912" s="82" t="s">
        <v>5335</v>
      </c>
      <c r="X912" s="80" t="str">
        <f>HYPERLINK("https://www.freeclassificados.com/ads/pulseira-folheada-a-ouro-composta-por-3-fileiras-de-strass-na-cor-cristal-e-extensor-de-comprimento/")</f>
        <v>https://www.freeclassificados.com/ads/pulseira-folheada-a-ouro-composta-por-3-fileiras-de-strass-na-cor-cristal-e-extensor-de-comprimento/</v>
      </c>
      <c r="Y912" s="77" t="s">
        <v>7308</v>
      </c>
      <c r="Z912" s="77"/>
      <c r="AA912" s="77"/>
      <c r="AB912" s="77"/>
      <c r="AC912" s="82" t="s">
        <v>10155</v>
      </c>
      <c r="AD912" s="77" t="s">
        <v>10184</v>
      </c>
      <c r="AE912" s="80" t="str">
        <f>HYPERLINK("https://twitter.com/freeclassific/status/1632874457663512579")</f>
        <v>https://twitter.com/freeclassific/status/1632874457663512579</v>
      </c>
      <c r="AF912" s="79">
        <v>44991.946550925924</v>
      </c>
      <c r="AG912" s="85">
        <v>44991</v>
      </c>
      <c r="AH912" s="82" t="s">
        <v>11063</v>
      </c>
      <c r="AI912" s="77" t="b">
        <v>0</v>
      </c>
      <c r="AJ912" s="77"/>
      <c r="AK912" s="77"/>
      <c r="AL912" s="77"/>
      <c r="AM912" s="77"/>
      <c r="AN912" s="77"/>
      <c r="AO912" s="77"/>
      <c r="AP912" s="77"/>
      <c r="AQ912" s="77"/>
      <c r="AR912" s="77"/>
      <c r="AS912" s="77"/>
      <c r="AT912" s="77"/>
      <c r="AU912" s="77"/>
      <c r="AV912" s="80" t="str">
        <f>HYPERLINK("https://pbs.twimg.com/profile_images/1431648743728852993/tLJ7F5Lu_normal.png")</f>
        <v>https://pbs.twimg.com/profile_images/1431648743728852993/tLJ7F5Lu_normal.png</v>
      </c>
      <c r="AW912" s="82" t="s">
        <v>17685</v>
      </c>
      <c r="AX912" s="82" t="s">
        <v>17685</v>
      </c>
      <c r="AY912" s="77"/>
      <c r="AZ912" s="82" t="s">
        <v>20971</v>
      </c>
      <c r="BA912" s="82" t="s">
        <v>20971</v>
      </c>
      <c r="BB912" s="82" t="s">
        <v>20971</v>
      </c>
      <c r="BC912" s="82" t="s">
        <v>17685</v>
      </c>
      <c r="BD912" s="77">
        <v>489723814</v>
      </c>
      <c r="BE912" s="77"/>
      <c r="BF912" s="77"/>
      <c r="BG912" s="77"/>
      <c r="BH912" s="77"/>
      <c r="BI912" s="77"/>
    </row>
    <row r="913" spans="1:61" x14ac:dyDescent="0.25">
      <c r="A913" s="62" t="s">
        <v>418</v>
      </c>
      <c r="B913" s="62" t="s">
        <v>418</v>
      </c>
      <c r="C913" s="63"/>
      <c r="D913" s="64"/>
      <c r="E913" s="65"/>
      <c r="F913" s="66"/>
      <c r="G913" s="63"/>
      <c r="H913" s="67"/>
      <c r="I913" s="68"/>
      <c r="J913" s="68"/>
      <c r="K913" s="32"/>
      <c r="L913" s="75">
        <v>913</v>
      </c>
      <c r="M913" s="75"/>
      <c r="N913" s="70"/>
      <c r="O913" s="77" t="s">
        <v>179</v>
      </c>
      <c r="P913" s="79">
        <v>44991.945324074077</v>
      </c>
      <c r="Q913" s="77" t="s">
        <v>2184</v>
      </c>
      <c r="R913" s="77">
        <v>0</v>
      </c>
      <c r="S913" s="77">
        <v>0</v>
      </c>
      <c r="T913" s="77">
        <v>0</v>
      </c>
      <c r="U913" s="77">
        <v>0</v>
      </c>
      <c r="V913" s="77">
        <v>15</v>
      </c>
      <c r="W913" s="82" t="s">
        <v>5335</v>
      </c>
      <c r="X913" s="80" t="str">
        <f>HYPERLINK("https://www.freeclassificados.com/ads/pulseira-folheada-a-prata-composta-por-3-fileiras-de-strass-na-cor-cristal-e-extensor-de-comprimento/")</f>
        <v>https://www.freeclassificados.com/ads/pulseira-folheada-a-prata-composta-por-3-fileiras-de-strass-na-cor-cristal-e-extensor-de-comprimento/</v>
      </c>
      <c r="Y913" s="77" t="s">
        <v>7308</v>
      </c>
      <c r="Z913" s="77"/>
      <c r="AA913" s="77"/>
      <c r="AB913" s="77"/>
      <c r="AC913" s="82" t="s">
        <v>10155</v>
      </c>
      <c r="AD913" s="77" t="s">
        <v>10184</v>
      </c>
      <c r="AE913" s="80" t="str">
        <f>HYPERLINK("https://twitter.com/freeclassific/status/1632874011133726720")</f>
        <v>https://twitter.com/freeclassific/status/1632874011133726720</v>
      </c>
      <c r="AF913" s="79">
        <v>44991.945324074077</v>
      </c>
      <c r="AG913" s="85">
        <v>44991</v>
      </c>
      <c r="AH913" s="82" t="s">
        <v>11064</v>
      </c>
      <c r="AI913" s="77" t="b">
        <v>0</v>
      </c>
      <c r="AJ913" s="77"/>
      <c r="AK913" s="77"/>
      <c r="AL913" s="77"/>
      <c r="AM913" s="77"/>
      <c r="AN913" s="77"/>
      <c r="AO913" s="77"/>
      <c r="AP913" s="77"/>
      <c r="AQ913" s="77"/>
      <c r="AR913" s="77"/>
      <c r="AS913" s="77"/>
      <c r="AT913" s="77"/>
      <c r="AU913" s="77"/>
      <c r="AV913" s="80" t="str">
        <f>HYPERLINK("https://pbs.twimg.com/profile_images/1431648743728852993/tLJ7F5Lu_normal.png")</f>
        <v>https://pbs.twimg.com/profile_images/1431648743728852993/tLJ7F5Lu_normal.png</v>
      </c>
      <c r="AW913" s="82" t="s">
        <v>17686</v>
      </c>
      <c r="AX913" s="82" t="s">
        <v>17686</v>
      </c>
      <c r="AY913" s="77"/>
      <c r="AZ913" s="82" t="s">
        <v>20971</v>
      </c>
      <c r="BA913" s="82" t="s">
        <v>20971</v>
      </c>
      <c r="BB913" s="82" t="s">
        <v>20971</v>
      </c>
      <c r="BC913" s="82" t="s">
        <v>17686</v>
      </c>
      <c r="BD913" s="77">
        <v>489723814</v>
      </c>
      <c r="BE913" s="77"/>
      <c r="BF913" s="77"/>
      <c r="BG913" s="77"/>
      <c r="BH913" s="77"/>
      <c r="BI913" s="77"/>
    </row>
    <row r="914" spans="1:61" x14ac:dyDescent="0.25">
      <c r="A914" s="62" t="s">
        <v>418</v>
      </c>
      <c r="B914" s="62" t="s">
        <v>418</v>
      </c>
      <c r="C914" s="63"/>
      <c r="D914" s="64"/>
      <c r="E914" s="65"/>
      <c r="F914" s="66"/>
      <c r="G914" s="63"/>
      <c r="H914" s="67"/>
      <c r="I914" s="68"/>
      <c r="J914" s="68"/>
      <c r="K914" s="32"/>
      <c r="L914" s="75">
        <v>914</v>
      </c>
      <c r="M914" s="75"/>
      <c r="N914" s="70"/>
      <c r="O914" s="77" t="s">
        <v>179</v>
      </c>
      <c r="P914" s="79">
        <v>44991.941574074073</v>
      </c>
      <c r="Q914" s="77" t="s">
        <v>2185</v>
      </c>
      <c r="R914" s="77">
        <v>0</v>
      </c>
      <c r="S914" s="77">
        <v>0</v>
      </c>
      <c r="T914" s="77">
        <v>0</v>
      </c>
      <c r="U914" s="77">
        <v>0</v>
      </c>
      <c r="V914" s="77">
        <v>8</v>
      </c>
      <c r="W914" s="82" t="s">
        <v>5335</v>
      </c>
      <c r="X914" s="80" t="str">
        <f>HYPERLINK("https://www.freeclassificados.com/ads/meia-alianca-folheada-a-prata-com-7-pedras-de-zirconia/")</f>
        <v>https://www.freeclassificados.com/ads/meia-alianca-folheada-a-prata-com-7-pedras-de-zirconia/</v>
      </c>
      <c r="Y914" s="77" t="s">
        <v>7308</v>
      </c>
      <c r="Z914" s="77"/>
      <c r="AA914" s="77"/>
      <c r="AB914" s="77"/>
      <c r="AC914" s="82" t="s">
        <v>10155</v>
      </c>
      <c r="AD914" s="77" t="s">
        <v>10184</v>
      </c>
      <c r="AE914" s="80" t="str">
        <f>HYPERLINK("https://twitter.com/freeclassific/status/1632872652812570624")</f>
        <v>https://twitter.com/freeclassific/status/1632872652812570624</v>
      </c>
      <c r="AF914" s="79">
        <v>44991.941574074073</v>
      </c>
      <c r="AG914" s="85">
        <v>44991</v>
      </c>
      <c r="AH914" s="82" t="s">
        <v>11065</v>
      </c>
      <c r="AI914" s="77" t="b">
        <v>0</v>
      </c>
      <c r="AJ914" s="77"/>
      <c r="AK914" s="77"/>
      <c r="AL914" s="77"/>
      <c r="AM914" s="77"/>
      <c r="AN914" s="77"/>
      <c r="AO914" s="77"/>
      <c r="AP914" s="77"/>
      <c r="AQ914" s="77"/>
      <c r="AR914" s="77"/>
      <c r="AS914" s="77"/>
      <c r="AT914" s="77"/>
      <c r="AU914" s="77"/>
      <c r="AV914" s="80" t="str">
        <f>HYPERLINK("https://pbs.twimg.com/profile_images/1431648743728852993/tLJ7F5Lu_normal.png")</f>
        <v>https://pbs.twimg.com/profile_images/1431648743728852993/tLJ7F5Lu_normal.png</v>
      </c>
      <c r="AW914" s="82" t="s">
        <v>17687</v>
      </c>
      <c r="AX914" s="82" t="s">
        <v>17687</v>
      </c>
      <c r="AY914" s="77"/>
      <c r="AZ914" s="82" t="s">
        <v>20971</v>
      </c>
      <c r="BA914" s="82" t="s">
        <v>20971</v>
      </c>
      <c r="BB914" s="82" t="s">
        <v>20971</v>
      </c>
      <c r="BC914" s="82" t="s">
        <v>17687</v>
      </c>
      <c r="BD914" s="77">
        <v>489723814</v>
      </c>
      <c r="BE914" s="77"/>
      <c r="BF914" s="77"/>
      <c r="BG914" s="77"/>
      <c r="BH914" s="77"/>
      <c r="BI914" s="77"/>
    </row>
    <row r="915" spans="1:61" x14ac:dyDescent="0.25">
      <c r="A915" s="62" t="s">
        <v>418</v>
      </c>
      <c r="B915" s="62" t="s">
        <v>418</v>
      </c>
      <c r="C915" s="63"/>
      <c r="D915" s="64"/>
      <c r="E915" s="65"/>
      <c r="F915" s="66"/>
      <c r="G915" s="63"/>
      <c r="H915" s="67"/>
      <c r="I915" s="68"/>
      <c r="J915" s="68"/>
      <c r="K915" s="32"/>
      <c r="L915" s="75">
        <v>915</v>
      </c>
      <c r="M915" s="75"/>
      <c r="N915" s="70"/>
      <c r="O915" s="77" t="s">
        <v>179</v>
      </c>
      <c r="P915" s="79">
        <v>44991.941006944442</v>
      </c>
      <c r="Q915" s="77" t="s">
        <v>2186</v>
      </c>
      <c r="R915" s="77">
        <v>0</v>
      </c>
      <c r="S915" s="77">
        <v>0</v>
      </c>
      <c r="T915" s="77">
        <v>0</v>
      </c>
      <c r="U915" s="77">
        <v>0</v>
      </c>
      <c r="V915" s="77">
        <v>11</v>
      </c>
      <c r="W915" s="82" t="s">
        <v>5335</v>
      </c>
      <c r="X915" s="80" t="str">
        <f>HYPERLINK("https://www.freeclassificados.com/ads/meia-alianca-folheada-a-ouro-com-7-pedras-de-zirconia-imagem-folheados/")</f>
        <v>https://www.freeclassificados.com/ads/meia-alianca-folheada-a-ouro-com-7-pedras-de-zirconia-imagem-folheados/</v>
      </c>
      <c r="Y915" s="77" t="s">
        <v>7308</v>
      </c>
      <c r="Z915" s="77"/>
      <c r="AA915" s="77"/>
      <c r="AB915" s="77"/>
      <c r="AC915" s="82" t="s">
        <v>10155</v>
      </c>
      <c r="AD915" s="77" t="s">
        <v>10184</v>
      </c>
      <c r="AE915" s="80" t="str">
        <f>HYPERLINK("https://twitter.com/freeclassific/status/1632872447161540610")</f>
        <v>https://twitter.com/freeclassific/status/1632872447161540610</v>
      </c>
      <c r="AF915" s="79">
        <v>44991.941006944442</v>
      </c>
      <c r="AG915" s="85">
        <v>44991</v>
      </c>
      <c r="AH915" s="82" t="s">
        <v>11066</v>
      </c>
      <c r="AI915" s="77" t="b">
        <v>0</v>
      </c>
      <c r="AJ915" s="77"/>
      <c r="AK915" s="77"/>
      <c r="AL915" s="77"/>
      <c r="AM915" s="77"/>
      <c r="AN915" s="77"/>
      <c r="AO915" s="77"/>
      <c r="AP915" s="77"/>
      <c r="AQ915" s="77"/>
      <c r="AR915" s="77"/>
      <c r="AS915" s="77"/>
      <c r="AT915" s="77"/>
      <c r="AU915" s="77"/>
      <c r="AV915" s="80" t="str">
        <f>HYPERLINK("https://pbs.twimg.com/profile_images/1431648743728852993/tLJ7F5Lu_normal.png")</f>
        <v>https://pbs.twimg.com/profile_images/1431648743728852993/tLJ7F5Lu_normal.png</v>
      </c>
      <c r="AW915" s="82" t="s">
        <v>17688</v>
      </c>
      <c r="AX915" s="82" t="s">
        <v>17688</v>
      </c>
      <c r="AY915" s="77"/>
      <c r="AZ915" s="82" t="s">
        <v>20971</v>
      </c>
      <c r="BA915" s="82" t="s">
        <v>20971</v>
      </c>
      <c r="BB915" s="82" t="s">
        <v>20971</v>
      </c>
      <c r="BC915" s="82" t="s">
        <v>17688</v>
      </c>
      <c r="BD915" s="77">
        <v>489723814</v>
      </c>
      <c r="BE915" s="77"/>
      <c r="BF915" s="77"/>
      <c r="BG915" s="77"/>
      <c r="BH915" s="77"/>
      <c r="BI915" s="77"/>
    </row>
    <row r="916" spans="1:61" x14ac:dyDescent="0.25">
      <c r="A916" s="62" t="s">
        <v>418</v>
      </c>
      <c r="B916" s="62" t="s">
        <v>418</v>
      </c>
      <c r="C916" s="63"/>
      <c r="D916" s="64"/>
      <c r="E916" s="65"/>
      <c r="F916" s="66"/>
      <c r="G916" s="63"/>
      <c r="H916" s="67"/>
      <c r="I916" s="68"/>
      <c r="J916" s="68"/>
      <c r="K916" s="32"/>
      <c r="L916" s="75">
        <v>916</v>
      </c>
      <c r="M916" s="75"/>
      <c r="N916" s="70"/>
      <c r="O916" s="77" t="s">
        <v>179</v>
      </c>
      <c r="P916" s="79">
        <v>44991.940636574072</v>
      </c>
      <c r="Q916" s="77" t="s">
        <v>2187</v>
      </c>
      <c r="R916" s="77">
        <v>0</v>
      </c>
      <c r="S916" s="77">
        <v>0</v>
      </c>
      <c r="T916" s="77">
        <v>0</v>
      </c>
      <c r="U916" s="77">
        <v>0</v>
      </c>
      <c r="V916" s="77">
        <v>9</v>
      </c>
      <c r="W916" s="82" t="s">
        <v>5335</v>
      </c>
      <c r="X916" s="80" t="str">
        <f>HYPERLINK("https://www.freeclassificados.com/ads/pulseira-folheada-a-ouro-composta-por-3-fileiras-de-strass-na-cor-cristal-e-extensor-de-comprimento/")</f>
        <v>https://www.freeclassificados.com/ads/pulseira-folheada-a-ouro-composta-por-3-fileiras-de-strass-na-cor-cristal-e-extensor-de-comprimento/</v>
      </c>
      <c r="Y916" s="77" t="s">
        <v>7308</v>
      </c>
      <c r="Z916" s="77"/>
      <c r="AA916" s="77"/>
      <c r="AB916" s="77"/>
      <c r="AC916" s="82" t="s">
        <v>10155</v>
      </c>
      <c r="AD916" s="77" t="s">
        <v>10184</v>
      </c>
      <c r="AE916" s="80" t="str">
        <f>HYPERLINK("https://twitter.com/freeclassific/status/1632872312402763777")</f>
        <v>https://twitter.com/freeclassific/status/1632872312402763777</v>
      </c>
      <c r="AF916" s="79">
        <v>44991.940636574072</v>
      </c>
      <c r="AG916" s="85">
        <v>44991</v>
      </c>
      <c r="AH916" s="82" t="s">
        <v>11067</v>
      </c>
      <c r="AI916" s="77" t="b">
        <v>0</v>
      </c>
      <c r="AJ916" s="77"/>
      <c r="AK916" s="77"/>
      <c r="AL916" s="77"/>
      <c r="AM916" s="77"/>
      <c r="AN916" s="77"/>
      <c r="AO916" s="77"/>
      <c r="AP916" s="77"/>
      <c r="AQ916" s="77"/>
      <c r="AR916" s="77"/>
      <c r="AS916" s="77"/>
      <c r="AT916" s="77"/>
      <c r="AU916" s="77"/>
      <c r="AV916" s="80" t="str">
        <f>HYPERLINK("https://pbs.twimg.com/profile_images/1431648743728852993/tLJ7F5Lu_normal.png")</f>
        <v>https://pbs.twimg.com/profile_images/1431648743728852993/tLJ7F5Lu_normal.png</v>
      </c>
      <c r="AW916" s="82" t="s">
        <v>17689</v>
      </c>
      <c r="AX916" s="82" t="s">
        <v>17689</v>
      </c>
      <c r="AY916" s="77"/>
      <c r="AZ916" s="82" t="s">
        <v>20971</v>
      </c>
      <c r="BA916" s="82" t="s">
        <v>20971</v>
      </c>
      <c r="BB916" s="82" t="s">
        <v>20971</v>
      </c>
      <c r="BC916" s="82" t="s">
        <v>17689</v>
      </c>
      <c r="BD916" s="77">
        <v>489723814</v>
      </c>
      <c r="BE916" s="77"/>
      <c r="BF916" s="77"/>
      <c r="BG916" s="77"/>
      <c r="BH916" s="77"/>
      <c r="BI916" s="77"/>
    </row>
    <row r="917" spans="1:61" x14ac:dyDescent="0.25">
      <c r="A917" s="62" t="s">
        <v>418</v>
      </c>
      <c r="B917" s="62" t="s">
        <v>418</v>
      </c>
      <c r="C917" s="63"/>
      <c r="D917" s="64"/>
      <c r="E917" s="65"/>
      <c r="F917" s="66"/>
      <c r="G917" s="63"/>
      <c r="H917" s="67"/>
      <c r="I917" s="68"/>
      <c r="J917" s="68"/>
      <c r="K917" s="32"/>
      <c r="L917" s="75">
        <v>917</v>
      </c>
      <c r="M917" s="75"/>
      <c r="N917" s="70"/>
      <c r="O917" s="77" t="s">
        <v>179</v>
      </c>
      <c r="P917" s="79">
        <v>44991.930428240739</v>
      </c>
      <c r="Q917" s="77" t="s">
        <v>2188</v>
      </c>
      <c r="R917" s="77">
        <v>0</v>
      </c>
      <c r="S917" s="77">
        <v>0</v>
      </c>
      <c r="T917" s="77">
        <v>0</v>
      </c>
      <c r="U917" s="77">
        <v>0</v>
      </c>
      <c r="V917" s="77">
        <v>13</v>
      </c>
      <c r="W917" s="82" t="s">
        <v>5335</v>
      </c>
      <c r="X917" s="80" t="str">
        <f>HYPERLINK("https://www.freeclassificados.com/ads/joias-anel-tipo-chuveirinho-folheado-a-prata-com-7-pedras-de-zirconia/")</f>
        <v>https://www.freeclassificados.com/ads/joias-anel-tipo-chuveirinho-folheado-a-prata-com-7-pedras-de-zirconia/</v>
      </c>
      <c r="Y917" s="77" t="s">
        <v>7308</v>
      </c>
      <c r="Z917" s="77"/>
      <c r="AA917" s="77"/>
      <c r="AB917" s="77"/>
      <c r="AC917" s="82" t="s">
        <v>10155</v>
      </c>
      <c r="AD917" s="77" t="s">
        <v>10184</v>
      </c>
      <c r="AE917" s="80" t="str">
        <f>HYPERLINK("https://twitter.com/freeclassific/status/1632868614746382336")</f>
        <v>https://twitter.com/freeclassific/status/1632868614746382336</v>
      </c>
      <c r="AF917" s="79">
        <v>44991.930428240739</v>
      </c>
      <c r="AG917" s="85">
        <v>44991</v>
      </c>
      <c r="AH917" s="82" t="s">
        <v>11068</v>
      </c>
      <c r="AI917" s="77" t="b">
        <v>0</v>
      </c>
      <c r="AJ917" s="77"/>
      <c r="AK917" s="77"/>
      <c r="AL917" s="77"/>
      <c r="AM917" s="77"/>
      <c r="AN917" s="77"/>
      <c r="AO917" s="77"/>
      <c r="AP917" s="77"/>
      <c r="AQ917" s="77"/>
      <c r="AR917" s="77"/>
      <c r="AS917" s="77"/>
      <c r="AT917" s="77"/>
      <c r="AU917" s="77"/>
      <c r="AV917" s="80" t="str">
        <f>HYPERLINK("https://pbs.twimg.com/profile_images/1431648743728852993/tLJ7F5Lu_normal.png")</f>
        <v>https://pbs.twimg.com/profile_images/1431648743728852993/tLJ7F5Lu_normal.png</v>
      </c>
      <c r="AW917" s="82" t="s">
        <v>17690</v>
      </c>
      <c r="AX917" s="82" t="s">
        <v>17690</v>
      </c>
      <c r="AY917" s="77"/>
      <c r="AZ917" s="82" t="s">
        <v>20971</v>
      </c>
      <c r="BA917" s="82" t="s">
        <v>20971</v>
      </c>
      <c r="BB917" s="82" t="s">
        <v>20971</v>
      </c>
      <c r="BC917" s="82" t="s">
        <v>17690</v>
      </c>
      <c r="BD917" s="77">
        <v>489723814</v>
      </c>
      <c r="BE917" s="77"/>
      <c r="BF917" s="77"/>
      <c r="BG917" s="77"/>
      <c r="BH917" s="77"/>
      <c r="BI917" s="77"/>
    </row>
    <row r="918" spans="1:61" x14ac:dyDescent="0.25">
      <c r="A918" s="62" t="s">
        <v>418</v>
      </c>
      <c r="B918" s="62" t="s">
        <v>418</v>
      </c>
      <c r="C918" s="63"/>
      <c r="D918" s="64"/>
      <c r="E918" s="65"/>
      <c r="F918" s="66"/>
      <c r="G918" s="63"/>
      <c r="H918" s="67"/>
      <c r="I918" s="68"/>
      <c r="J918" s="68"/>
      <c r="K918" s="32"/>
      <c r="L918" s="75">
        <v>918</v>
      </c>
      <c r="M918" s="75"/>
      <c r="N918" s="70"/>
      <c r="O918" s="77" t="s">
        <v>179</v>
      </c>
      <c r="P918" s="79">
        <v>44991.920937499999</v>
      </c>
      <c r="Q918" s="77" t="s">
        <v>2189</v>
      </c>
      <c r="R918" s="77">
        <v>0</v>
      </c>
      <c r="S918" s="77">
        <v>0</v>
      </c>
      <c r="T918" s="77">
        <v>0</v>
      </c>
      <c r="U918" s="77">
        <v>0</v>
      </c>
      <c r="V918" s="77">
        <v>12</v>
      </c>
      <c r="W918" s="82" t="s">
        <v>5335</v>
      </c>
      <c r="X918" s="80" t="str">
        <f>HYPERLINK("https://www.freeclassificados.com/ads/imagem-folheados-anel-tipo-chuveirinho-folheado-a-ouro-com-7-pedras-de-zirconia/")</f>
        <v>https://www.freeclassificados.com/ads/imagem-folheados-anel-tipo-chuveirinho-folheado-a-ouro-com-7-pedras-de-zirconia/</v>
      </c>
      <c r="Y918" s="77" t="s">
        <v>7308</v>
      </c>
      <c r="Z918" s="77"/>
      <c r="AA918" s="77"/>
      <c r="AB918" s="77"/>
      <c r="AC918" s="82" t="s">
        <v>10155</v>
      </c>
      <c r="AD918" s="77" t="s">
        <v>10184</v>
      </c>
      <c r="AE918" s="80" t="str">
        <f>HYPERLINK("https://twitter.com/freeclassific/status/1632865175031238659")</f>
        <v>https://twitter.com/freeclassific/status/1632865175031238659</v>
      </c>
      <c r="AF918" s="79">
        <v>44991.920937499999</v>
      </c>
      <c r="AG918" s="85">
        <v>44991</v>
      </c>
      <c r="AH918" s="82" t="s">
        <v>11069</v>
      </c>
      <c r="AI918" s="77" t="b">
        <v>0</v>
      </c>
      <c r="AJ918" s="77"/>
      <c r="AK918" s="77"/>
      <c r="AL918" s="77"/>
      <c r="AM918" s="77"/>
      <c r="AN918" s="77"/>
      <c r="AO918" s="77"/>
      <c r="AP918" s="77"/>
      <c r="AQ918" s="77"/>
      <c r="AR918" s="77"/>
      <c r="AS918" s="77"/>
      <c r="AT918" s="77"/>
      <c r="AU918" s="77"/>
      <c r="AV918" s="80" t="str">
        <f>HYPERLINK("https://pbs.twimg.com/profile_images/1431648743728852993/tLJ7F5Lu_normal.png")</f>
        <v>https://pbs.twimg.com/profile_images/1431648743728852993/tLJ7F5Lu_normal.png</v>
      </c>
      <c r="AW918" s="82" t="s">
        <v>17691</v>
      </c>
      <c r="AX918" s="82" t="s">
        <v>17691</v>
      </c>
      <c r="AY918" s="77"/>
      <c r="AZ918" s="82" t="s">
        <v>20971</v>
      </c>
      <c r="BA918" s="82" t="s">
        <v>20971</v>
      </c>
      <c r="BB918" s="82" t="s">
        <v>20971</v>
      </c>
      <c r="BC918" s="82" t="s">
        <v>17691</v>
      </c>
      <c r="BD918" s="77">
        <v>489723814</v>
      </c>
      <c r="BE918" s="77"/>
      <c r="BF918" s="77"/>
      <c r="BG918" s="77"/>
      <c r="BH918" s="77"/>
      <c r="BI918" s="77"/>
    </row>
    <row r="919" spans="1:61" x14ac:dyDescent="0.25">
      <c r="A919" s="62" t="s">
        <v>418</v>
      </c>
      <c r="B919" s="62" t="s">
        <v>418</v>
      </c>
      <c r="C919" s="63"/>
      <c r="D919" s="64"/>
      <c r="E919" s="65"/>
      <c r="F919" s="66"/>
      <c r="G919" s="63"/>
      <c r="H919" s="67"/>
      <c r="I919" s="68"/>
      <c r="J919" s="68"/>
      <c r="K919" s="32"/>
      <c r="L919" s="75">
        <v>919</v>
      </c>
      <c r="M919" s="75"/>
      <c r="N919" s="70"/>
      <c r="O919" s="77" t="s">
        <v>179</v>
      </c>
      <c r="P919" s="79">
        <v>44991.760034722225</v>
      </c>
      <c r="Q919" s="77" t="s">
        <v>2190</v>
      </c>
      <c r="R919" s="77">
        <v>0</v>
      </c>
      <c r="S919" s="77">
        <v>0</v>
      </c>
      <c r="T919" s="77">
        <v>0</v>
      </c>
      <c r="U919" s="77">
        <v>0</v>
      </c>
      <c r="V919" s="77">
        <v>11</v>
      </c>
      <c r="W919" s="82" t="s">
        <v>5335</v>
      </c>
      <c r="X919" s="80" t="str">
        <f>HYPERLINK("https://www.freeclassificados.com/ads/meia-alianca-folheada-a-ouro-com-7-pedras-de-zirconia-imagem-folheados/")</f>
        <v>https://www.freeclassificados.com/ads/meia-alianca-folheada-a-ouro-com-7-pedras-de-zirconia-imagem-folheados/</v>
      </c>
      <c r="Y919" s="77" t="s">
        <v>7308</v>
      </c>
      <c r="Z919" s="77"/>
      <c r="AA919" s="77"/>
      <c r="AB919" s="77"/>
      <c r="AC919" s="82" t="s">
        <v>10155</v>
      </c>
      <c r="AD919" s="77" t="s">
        <v>10184</v>
      </c>
      <c r="AE919" s="80" t="str">
        <f>HYPERLINK("https://twitter.com/freeclassific/status/1632806864772636673")</f>
        <v>https://twitter.com/freeclassific/status/1632806864772636673</v>
      </c>
      <c r="AF919" s="79">
        <v>44991.760034722225</v>
      </c>
      <c r="AG919" s="85">
        <v>44991</v>
      </c>
      <c r="AH919" s="82" t="s">
        <v>11070</v>
      </c>
      <c r="AI919" s="77" t="b">
        <v>0</v>
      </c>
      <c r="AJ919" s="77"/>
      <c r="AK919" s="77"/>
      <c r="AL919" s="77"/>
      <c r="AM919" s="77"/>
      <c r="AN919" s="77"/>
      <c r="AO919" s="77"/>
      <c r="AP919" s="77"/>
      <c r="AQ919" s="77"/>
      <c r="AR919" s="77"/>
      <c r="AS919" s="77"/>
      <c r="AT919" s="77"/>
      <c r="AU919" s="77"/>
      <c r="AV919" s="80" t="str">
        <f>HYPERLINK("https://pbs.twimg.com/profile_images/1431648743728852993/tLJ7F5Lu_normal.png")</f>
        <v>https://pbs.twimg.com/profile_images/1431648743728852993/tLJ7F5Lu_normal.png</v>
      </c>
      <c r="AW919" s="82" t="s">
        <v>17692</v>
      </c>
      <c r="AX919" s="82" t="s">
        <v>17692</v>
      </c>
      <c r="AY919" s="77"/>
      <c r="AZ919" s="82" t="s">
        <v>20971</v>
      </c>
      <c r="BA919" s="82" t="s">
        <v>20971</v>
      </c>
      <c r="BB919" s="82" t="s">
        <v>20971</v>
      </c>
      <c r="BC919" s="82" t="s">
        <v>17692</v>
      </c>
      <c r="BD919" s="77">
        <v>489723814</v>
      </c>
      <c r="BE919" s="77"/>
      <c r="BF919" s="77"/>
      <c r="BG919" s="77"/>
      <c r="BH919" s="77"/>
      <c r="BI919" s="77"/>
    </row>
    <row r="920" spans="1:61" x14ac:dyDescent="0.25">
      <c r="A920" s="62" t="s">
        <v>418</v>
      </c>
      <c r="B920" s="62" t="s">
        <v>418</v>
      </c>
      <c r="C920" s="63"/>
      <c r="D920" s="64"/>
      <c r="E920" s="65"/>
      <c r="F920" s="66"/>
      <c r="G920" s="63"/>
      <c r="H920" s="67"/>
      <c r="I920" s="68"/>
      <c r="J920" s="68"/>
      <c r="K920" s="32"/>
      <c r="L920" s="75">
        <v>920</v>
      </c>
      <c r="M920" s="75"/>
      <c r="N920" s="70"/>
      <c r="O920" s="77" t="s">
        <v>179</v>
      </c>
      <c r="P920" s="79">
        <v>44991.757939814815</v>
      </c>
      <c r="Q920" s="77" t="s">
        <v>2191</v>
      </c>
      <c r="R920" s="77">
        <v>0</v>
      </c>
      <c r="S920" s="77">
        <v>0</v>
      </c>
      <c r="T920" s="77">
        <v>0</v>
      </c>
      <c r="U920" s="77">
        <v>0</v>
      </c>
      <c r="V920" s="77">
        <v>9</v>
      </c>
      <c r="W920" s="82" t="s">
        <v>5335</v>
      </c>
      <c r="X920" s="80" t="str">
        <f>HYPERLINK("https://www.freeclassificados.com/ads/meia-alianca-folheada-a-prata-com-7-pedras-de-zirconia/")</f>
        <v>https://www.freeclassificados.com/ads/meia-alianca-folheada-a-prata-com-7-pedras-de-zirconia/</v>
      </c>
      <c r="Y920" s="77" t="s">
        <v>7308</v>
      </c>
      <c r="Z920" s="77"/>
      <c r="AA920" s="77"/>
      <c r="AB920" s="77"/>
      <c r="AC920" s="82" t="s">
        <v>10155</v>
      </c>
      <c r="AD920" s="77" t="s">
        <v>10184</v>
      </c>
      <c r="AE920" s="80" t="str">
        <f>HYPERLINK("https://twitter.com/freeclassific/status/1632806105033109505")</f>
        <v>https://twitter.com/freeclassific/status/1632806105033109505</v>
      </c>
      <c r="AF920" s="79">
        <v>44991.757939814815</v>
      </c>
      <c r="AG920" s="85">
        <v>44991</v>
      </c>
      <c r="AH920" s="82" t="s">
        <v>11071</v>
      </c>
      <c r="AI920" s="77" t="b">
        <v>0</v>
      </c>
      <c r="AJ920" s="77"/>
      <c r="AK920" s="77"/>
      <c r="AL920" s="77"/>
      <c r="AM920" s="77"/>
      <c r="AN920" s="77"/>
      <c r="AO920" s="77"/>
      <c r="AP920" s="77"/>
      <c r="AQ920" s="77"/>
      <c r="AR920" s="77"/>
      <c r="AS920" s="77"/>
      <c r="AT920" s="77"/>
      <c r="AU920" s="77"/>
      <c r="AV920" s="80" t="str">
        <f>HYPERLINK("https://pbs.twimg.com/profile_images/1431648743728852993/tLJ7F5Lu_normal.png")</f>
        <v>https://pbs.twimg.com/profile_images/1431648743728852993/tLJ7F5Lu_normal.png</v>
      </c>
      <c r="AW920" s="82" t="s">
        <v>17693</v>
      </c>
      <c r="AX920" s="82" t="s">
        <v>17693</v>
      </c>
      <c r="AY920" s="77"/>
      <c r="AZ920" s="82" t="s">
        <v>20971</v>
      </c>
      <c r="BA920" s="82" t="s">
        <v>20971</v>
      </c>
      <c r="BB920" s="82" t="s">
        <v>20971</v>
      </c>
      <c r="BC920" s="82" t="s">
        <v>17693</v>
      </c>
      <c r="BD920" s="77">
        <v>489723814</v>
      </c>
      <c r="BE920" s="77"/>
      <c r="BF920" s="77"/>
      <c r="BG920" s="77"/>
      <c r="BH920" s="77"/>
      <c r="BI920" s="77"/>
    </row>
    <row r="921" spans="1:61" x14ac:dyDescent="0.25">
      <c r="A921" s="62" t="s">
        <v>418</v>
      </c>
      <c r="B921" s="62" t="s">
        <v>418</v>
      </c>
      <c r="C921" s="63"/>
      <c r="D921" s="64"/>
      <c r="E921" s="65"/>
      <c r="F921" s="66"/>
      <c r="G921" s="63"/>
      <c r="H921" s="67"/>
      <c r="I921" s="68"/>
      <c r="J921" s="68"/>
      <c r="K921" s="32"/>
      <c r="L921" s="75">
        <v>921</v>
      </c>
      <c r="M921" s="75"/>
      <c r="N921" s="70"/>
      <c r="O921" s="77" t="s">
        <v>179</v>
      </c>
      <c r="P921" s="79">
        <v>44991.742569444446</v>
      </c>
      <c r="Q921" s="77" t="s">
        <v>2192</v>
      </c>
      <c r="R921" s="77">
        <v>0</v>
      </c>
      <c r="S921" s="77">
        <v>0</v>
      </c>
      <c r="T921" s="77">
        <v>0</v>
      </c>
      <c r="U921" s="77">
        <v>0</v>
      </c>
      <c r="V921" s="77">
        <v>11</v>
      </c>
      <c r="W921" s="82" t="s">
        <v>5335</v>
      </c>
      <c r="X921" s="80" t="str">
        <f>HYPERLINK("https://www.freeclassificados.com/ads/diploma-em-graduacao-e-pos-sem-pagar-antecipado/")</f>
        <v>https://www.freeclassificados.com/ads/diploma-em-graduacao-e-pos-sem-pagar-antecipado/</v>
      </c>
      <c r="Y921" s="77" t="s">
        <v>7308</v>
      </c>
      <c r="Z921" s="77"/>
      <c r="AA921" s="77"/>
      <c r="AB921" s="77"/>
      <c r="AC921" s="82" t="s">
        <v>10155</v>
      </c>
      <c r="AD921" s="77" t="s">
        <v>10184</v>
      </c>
      <c r="AE921" s="80" t="str">
        <f>HYPERLINK("https://twitter.com/freeclassific/status/1632800537073836033")</f>
        <v>https://twitter.com/freeclassific/status/1632800537073836033</v>
      </c>
      <c r="AF921" s="79">
        <v>44991.742569444446</v>
      </c>
      <c r="AG921" s="85">
        <v>44991</v>
      </c>
      <c r="AH921" s="82" t="s">
        <v>11072</v>
      </c>
      <c r="AI921" s="77" t="b">
        <v>0</v>
      </c>
      <c r="AJ921" s="77"/>
      <c r="AK921" s="77"/>
      <c r="AL921" s="77"/>
      <c r="AM921" s="77"/>
      <c r="AN921" s="77"/>
      <c r="AO921" s="77"/>
      <c r="AP921" s="77"/>
      <c r="AQ921" s="77"/>
      <c r="AR921" s="77"/>
      <c r="AS921" s="77"/>
      <c r="AT921" s="77"/>
      <c r="AU921" s="77"/>
      <c r="AV921" s="80" t="str">
        <f>HYPERLINK("https://pbs.twimg.com/profile_images/1431648743728852993/tLJ7F5Lu_normal.png")</f>
        <v>https://pbs.twimg.com/profile_images/1431648743728852993/tLJ7F5Lu_normal.png</v>
      </c>
      <c r="AW921" s="82" t="s">
        <v>17694</v>
      </c>
      <c r="AX921" s="82" t="s">
        <v>17694</v>
      </c>
      <c r="AY921" s="77"/>
      <c r="AZ921" s="82" t="s">
        <v>20971</v>
      </c>
      <c r="BA921" s="82" t="s">
        <v>20971</v>
      </c>
      <c r="BB921" s="82" t="s">
        <v>20971</v>
      </c>
      <c r="BC921" s="82" t="s">
        <v>17694</v>
      </c>
      <c r="BD921" s="77">
        <v>489723814</v>
      </c>
      <c r="BE921" s="77"/>
      <c r="BF921" s="77"/>
      <c r="BG921" s="77"/>
      <c r="BH921" s="77"/>
      <c r="BI921" s="77"/>
    </row>
    <row r="922" spans="1:61" x14ac:dyDescent="0.25">
      <c r="A922" s="62" t="s">
        <v>418</v>
      </c>
      <c r="B922" s="62" t="s">
        <v>418</v>
      </c>
      <c r="C922" s="63"/>
      <c r="D922" s="64"/>
      <c r="E922" s="65"/>
      <c r="F922" s="66"/>
      <c r="G922" s="63"/>
      <c r="H922" s="67"/>
      <c r="I922" s="68"/>
      <c r="J922" s="68"/>
      <c r="K922" s="32"/>
      <c r="L922" s="75">
        <v>922</v>
      </c>
      <c r="M922" s="75"/>
      <c r="N922" s="70"/>
      <c r="O922" s="77" t="s">
        <v>179</v>
      </c>
      <c r="P922" s="79">
        <v>44991.736284722225</v>
      </c>
      <c r="Q922" s="77" t="s">
        <v>2193</v>
      </c>
      <c r="R922" s="77">
        <v>0</v>
      </c>
      <c r="S922" s="77">
        <v>0</v>
      </c>
      <c r="T922" s="77">
        <v>0</v>
      </c>
      <c r="U922" s="77">
        <v>0</v>
      </c>
      <c r="V922" s="77">
        <v>11</v>
      </c>
      <c r="W922" s="82" t="s">
        <v>5335</v>
      </c>
      <c r="X922" s="80" t="str">
        <f>HYPERLINK("https://www.freeclassificados.com/ads/diploma-de-graduacao-e-pos-paga-apos-receber/")</f>
        <v>https://www.freeclassificados.com/ads/diploma-de-graduacao-e-pos-paga-apos-receber/</v>
      </c>
      <c r="Y922" s="77" t="s">
        <v>7308</v>
      </c>
      <c r="Z922" s="77"/>
      <c r="AA922" s="77"/>
      <c r="AB922" s="77"/>
      <c r="AC922" s="82" t="s">
        <v>10155</v>
      </c>
      <c r="AD922" s="77" t="s">
        <v>10184</v>
      </c>
      <c r="AE922" s="80" t="str">
        <f>HYPERLINK("https://twitter.com/freeclassific/status/1632798259642249216")</f>
        <v>https://twitter.com/freeclassific/status/1632798259642249216</v>
      </c>
      <c r="AF922" s="79">
        <v>44991.736284722225</v>
      </c>
      <c r="AG922" s="85">
        <v>44991</v>
      </c>
      <c r="AH922" s="82" t="s">
        <v>11073</v>
      </c>
      <c r="AI922" s="77" t="b">
        <v>0</v>
      </c>
      <c r="AJ922" s="77"/>
      <c r="AK922" s="77"/>
      <c r="AL922" s="77"/>
      <c r="AM922" s="77"/>
      <c r="AN922" s="77"/>
      <c r="AO922" s="77"/>
      <c r="AP922" s="77"/>
      <c r="AQ922" s="77"/>
      <c r="AR922" s="77"/>
      <c r="AS922" s="77"/>
      <c r="AT922" s="77"/>
      <c r="AU922" s="77"/>
      <c r="AV922" s="80" t="str">
        <f>HYPERLINK("https://pbs.twimg.com/profile_images/1431648743728852993/tLJ7F5Lu_normal.png")</f>
        <v>https://pbs.twimg.com/profile_images/1431648743728852993/tLJ7F5Lu_normal.png</v>
      </c>
      <c r="AW922" s="82" t="s">
        <v>17695</v>
      </c>
      <c r="AX922" s="82" t="s">
        <v>17695</v>
      </c>
      <c r="AY922" s="77"/>
      <c r="AZ922" s="82" t="s">
        <v>20971</v>
      </c>
      <c r="BA922" s="82" t="s">
        <v>20971</v>
      </c>
      <c r="BB922" s="82" t="s">
        <v>20971</v>
      </c>
      <c r="BC922" s="82" t="s">
        <v>17695</v>
      </c>
      <c r="BD922" s="77">
        <v>489723814</v>
      </c>
      <c r="BE922" s="77"/>
      <c r="BF922" s="77"/>
      <c r="BG922" s="77"/>
      <c r="BH922" s="77"/>
      <c r="BI922" s="77"/>
    </row>
    <row r="923" spans="1:61" x14ac:dyDescent="0.25">
      <c r="A923" s="62" t="s">
        <v>418</v>
      </c>
      <c r="B923" s="62" t="s">
        <v>418</v>
      </c>
      <c r="C923" s="63"/>
      <c r="D923" s="64"/>
      <c r="E923" s="65"/>
      <c r="F923" s="66"/>
      <c r="G923" s="63"/>
      <c r="H923" s="67"/>
      <c r="I923" s="68"/>
      <c r="J923" s="68"/>
      <c r="K923" s="32"/>
      <c r="L923" s="75">
        <v>923</v>
      </c>
      <c r="M923" s="75"/>
      <c r="N923" s="70"/>
      <c r="O923" s="77" t="s">
        <v>179</v>
      </c>
      <c r="P923" s="79">
        <v>44991.733124999999</v>
      </c>
      <c r="Q923" s="77" t="s">
        <v>2194</v>
      </c>
      <c r="R923" s="77">
        <v>0</v>
      </c>
      <c r="S923" s="77">
        <v>0</v>
      </c>
      <c r="T923" s="77">
        <v>0</v>
      </c>
      <c r="U923" s="77">
        <v>0</v>
      </c>
      <c r="V923" s="77">
        <v>9</v>
      </c>
      <c r="W923" s="82" t="s">
        <v>5335</v>
      </c>
      <c r="X923" s="80" t="str">
        <f>HYPERLINK("https://www.freeclassificados.com/ads/adquira-agora-seu-diploma-reconhecido-paga-apos-receber/")</f>
        <v>https://www.freeclassificados.com/ads/adquira-agora-seu-diploma-reconhecido-paga-apos-receber/</v>
      </c>
      <c r="Y923" s="77" t="s">
        <v>7308</v>
      </c>
      <c r="Z923" s="77"/>
      <c r="AA923" s="77"/>
      <c r="AB923" s="77"/>
      <c r="AC923" s="82" t="s">
        <v>10155</v>
      </c>
      <c r="AD923" s="77" t="s">
        <v>10184</v>
      </c>
      <c r="AE923" s="80" t="str">
        <f>HYPERLINK("https://twitter.com/freeclassific/status/1632797112172724225")</f>
        <v>https://twitter.com/freeclassific/status/1632797112172724225</v>
      </c>
      <c r="AF923" s="79">
        <v>44991.733124999999</v>
      </c>
      <c r="AG923" s="85">
        <v>44991</v>
      </c>
      <c r="AH923" s="82" t="s">
        <v>11074</v>
      </c>
      <c r="AI923" s="77" t="b">
        <v>0</v>
      </c>
      <c r="AJ923" s="77"/>
      <c r="AK923" s="77"/>
      <c r="AL923" s="77"/>
      <c r="AM923" s="77"/>
      <c r="AN923" s="77"/>
      <c r="AO923" s="77"/>
      <c r="AP923" s="77"/>
      <c r="AQ923" s="77"/>
      <c r="AR923" s="77"/>
      <c r="AS923" s="77"/>
      <c r="AT923" s="77"/>
      <c r="AU923" s="77"/>
      <c r="AV923" s="80" t="str">
        <f>HYPERLINK("https://pbs.twimg.com/profile_images/1431648743728852993/tLJ7F5Lu_normal.png")</f>
        <v>https://pbs.twimg.com/profile_images/1431648743728852993/tLJ7F5Lu_normal.png</v>
      </c>
      <c r="AW923" s="82" t="s">
        <v>17696</v>
      </c>
      <c r="AX923" s="82" t="s">
        <v>17696</v>
      </c>
      <c r="AY923" s="77"/>
      <c r="AZ923" s="82" t="s">
        <v>20971</v>
      </c>
      <c r="BA923" s="82" t="s">
        <v>20971</v>
      </c>
      <c r="BB923" s="82" t="s">
        <v>20971</v>
      </c>
      <c r="BC923" s="82" t="s">
        <v>17696</v>
      </c>
      <c r="BD923" s="77">
        <v>489723814</v>
      </c>
      <c r="BE923" s="77"/>
      <c r="BF923" s="77"/>
      <c r="BG923" s="77"/>
      <c r="BH923" s="77"/>
      <c r="BI923" s="77"/>
    </row>
    <row r="924" spans="1:61" x14ac:dyDescent="0.25">
      <c r="A924" s="62" t="s">
        <v>418</v>
      </c>
      <c r="B924" s="62" t="s">
        <v>418</v>
      </c>
      <c r="C924" s="63"/>
      <c r="D924" s="64"/>
      <c r="E924" s="65"/>
      <c r="F924" s="66"/>
      <c r="G924" s="63"/>
      <c r="H924" s="67"/>
      <c r="I924" s="68"/>
      <c r="J924" s="68"/>
      <c r="K924" s="32"/>
      <c r="L924" s="75">
        <v>924</v>
      </c>
      <c r="M924" s="75"/>
      <c r="N924" s="70"/>
      <c r="O924" s="77" t="s">
        <v>179</v>
      </c>
      <c r="P924" s="79">
        <v>44991.593865740739</v>
      </c>
      <c r="Q924" s="77" t="s">
        <v>2195</v>
      </c>
      <c r="R924" s="77">
        <v>0</v>
      </c>
      <c r="S924" s="77">
        <v>0</v>
      </c>
      <c r="T924" s="77">
        <v>0</v>
      </c>
      <c r="U924" s="77">
        <v>0</v>
      </c>
      <c r="V924" s="77">
        <v>10</v>
      </c>
      <c r="W924" s="82" t="s">
        <v>5335</v>
      </c>
      <c r="X924" s="80" t="str">
        <f>HYPERLINK("https://www.freeclassificados.com/ads/compre-produtos-de-aloe-vera-forever-diretamente-do-fabricante/")</f>
        <v>https://www.freeclassificados.com/ads/compre-produtos-de-aloe-vera-forever-diretamente-do-fabricante/</v>
      </c>
      <c r="Y924" s="77" t="s">
        <v>7308</v>
      </c>
      <c r="Z924" s="77"/>
      <c r="AA924" s="77"/>
      <c r="AB924" s="77"/>
      <c r="AC924" s="82" t="s">
        <v>10155</v>
      </c>
      <c r="AD924" s="77" t="s">
        <v>10184</v>
      </c>
      <c r="AE924" s="80" t="str">
        <f>HYPERLINK("https://twitter.com/freeclassific/status/1632746646718271488")</f>
        <v>https://twitter.com/freeclassific/status/1632746646718271488</v>
      </c>
      <c r="AF924" s="79">
        <v>44991.593865740739</v>
      </c>
      <c r="AG924" s="85">
        <v>44991</v>
      </c>
      <c r="AH924" s="82" t="s">
        <v>11075</v>
      </c>
      <c r="AI924" s="77" t="b">
        <v>0</v>
      </c>
      <c r="AJ924" s="77"/>
      <c r="AK924" s="77"/>
      <c r="AL924" s="77"/>
      <c r="AM924" s="77"/>
      <c r="AN924" s="77"/>
      <c r="AO924" s="77"/>
      <c r="AP924" s="77"/>
      <c r="AQ924" s="77"/>
      <c r="AR924" s="77"/>
      <c r="AS924" s="77"/>
      <c r="AT924" s="77"/>
      <c r="AU924" s="77"/>
      <c r="AV924" s="80" t="str">
        <f>HYPERLINK("https://pbs.twimg.com/profile_images/1431648743728852993/tLJ7F5Lu_normal.png")</f>
        <v>https://pbs.twimg.com/profile_images/1431648743728852993/tLJ7F5Lu_normal.png</v>
      </c>
      <c r="AW924" s="82" t="s">
        <v>17697</v>
      </c>
      <c r="AX924" s="82" t="s">
        <v>17697</v>
      </c>
      <c r="AY924" s="77"/>
      <c r="AZ924" s="82" t="s">
        <v>20971</v>
      </c>
      <c r="BA924" s="82" t="s">
        <v>20971</v>
      </c>
      <c r="BB924" s="82" t="s">
        <v>20971</v>
      </c>
      <c r="BC924" s="82" t="s">
        <v>17697</v>
      </c>
      <c r="BD924" s="77">
        <v>489723814</v>
      </c>
      <c r="BE924" s="77"/>
      <c r="BF924" s="77"/>
      <c r="BG924" s="77"/>
      <c r="BH924" s="77"/>
      <c r="BI924" s="77"/>
    </row>
    <row r="925" spans="1:61" x14ac:dyDescent="0.25">
      <c r="A925" s="62" t="s">
        <v>418</v>
      </c>
      <c r="B925" s="62" t="s">
        <v>418</v>
      </c>
      <c r="C925" s="63"/>
      <c r="D925" s="64"/>
      <c r="E925" s="65"/>
      <c r="F925" s="66"/>
      <c r="G925" s="63"/>
      <c r="H925" s="67"/>
      <c r="I925" s="68"/>
      <c r="J925" s="68"/>
      <c r="K925" s="32"/>
      <c r="L925" s="75">
        <v>925</v>
      </c>
      <c r="M925" s="75"/>
      <c r="N925" s="70"/>
      <c r="O925" s="77" t="s">
        <v>179</v>
      </c>
      <c r="P925" s="79">
        <v>44991.593506944446</v>
      </c>
      <c r="Q925" s="77" t="s">
        <v>2196</v>
      </c>
      <c r="R925" s="77">
        <v>0</v>
      </c>
      <c r="S925" s="77">
        <v>0</v>
      </c>
      <c r="T925" s="77">
        <v>0</v>
      </c>
      <c r="U925" s="77">
        <v>0</v>
      </c>
      <c r="V925" s="77">
        <v>8</v>
      </c>
      <c r="W925" s="82" t="s">
        <v>5335</v>
      </c>
      <c r="X925" s="80" t="str">
        <f>HYPERLINK("https://www.freeclassificados.com/ads/trabalhe-em-casa-montando-seu-proprio-negocio-nas-horas-vagas/")</f>
        <v>https://www.freeclassificados.com/ads/trabalhe-em-casa-montando-seu-proprio-negocio-nas-horas-vagas/</v>
      </c>
      <c r="Y925" s="77" t="s">
        <v>7308</v>
      </c>
      <c r="Z925" s="77"/>
      <c r="AA925" s="77"/>
      <c r="AB925" s="77"/>
      <c r="AC925" s="82" t="s">
        <v>10155</v>
      </c>
      <c r="AD925" s="77" t="s">
        <v>10184</v>
      </c>
      <c r="AE925" s="80" t="str">
        <f>HYPERLINK("https://twitter.com/freeclassific/status/1632746517504073730")</f>
        <v>https://twitter.com/freeclassific/status/1632746517504073730</v>
      </c>
      <c r="AF925" s="79">
        <v>44991.593506944446</v>
      </c>
      <c r="AG925" s="85">
        <v>44991</v>
      </c>
      <c r="AH925" s="82" t="s">
        <v>11076</v>
      </c>
      <c r="AI925" s="77" t="b">
        <v>0</v>
      </c>
      <c r="AJ925" s="77"/>
      <c r="AK925" s="77"/>
      <c r="AL925" s="77"/>
      <c r="AM925" s="77"/>
      <c r="AN925" s="77"/>
      <c r="AO925" s="77"/>
      <c r="AP925" s="77"/>
      <c r="AQ925" s="77"/>
      <c r="AR925" s="77"/>
      <c r="AS925" s="77"/>
      <c r="AT925" s="77"/>
      <c r="AU925" s="77"/>
      <c r="AV925" s="80" t="str">
        <f>HYPERLINK("https://pbs.twimg.com/profile_images/1431648743728852993/tLJ7F5Lu_normal.png")</f>
        <v>https://pbs.twimg.com/profile_images/1431648743728852993/tLJ7F5Lu_normal.png</v>
      </c>
      <c r="AW925" s="82" t="s">
        <v>17698</v>
      </c>
      <c r="AX925" s="82" t="s">
        <v>17698</v>
      </c>
      <c r="AY925" s="77"/>
      <c r="AZ925" s="82" t="s">
        <v>20971</v>
      </c>
      <c r="BA925" s="82" t="s">
        <v>20971</v>
      </c>
      <c r="BB925" s="82" t="s">
        <v>20971</v>
      </c>
      <c r="BC925" s="82" t="s">
        <v>17698</v>
      </c>
      <c r="BD925" s="77">
        <v>489723814</v>
      </c>
      <c r="BE925" s="77"/>
      <c r="BF925" s="77"/>
      <c r="BG925" s="77"/>
      <c r="BH925" s="77"/>
      <c r="BI925" s="77"/>
    </row>
    <row r="926" spans="1:61" x14ac:dyDescent="0.25">
      <c r="A926" s="62" t="s">
        <v>418</v>
      </c>
      <c r="B926" s="62" t="s">
        <v>418</v>
      </c>
      <c r="C926" s="63"/>
      <c r="D926" s="64"/>
      <c r="E926" s="65"/>
      <c r="F926" s="66"/>
      <c r="G926" s="63"/>
      <c r="H926" s="67"/>
      <c r="I926" s="68"/>
      <c r="J926" s="68"/>
      <c r="K926" s="32"/>
      <c r="L926" s="75">
        <v>926</v>
      </c>
      <c r="M926" s="75"/>
      <c r="N926" s="70"/>
      <c r="O926" s="77" t="s">
        <v>179</v>
      </c>
      <c r="P926" s="79">
        <v>44991.593414351853</v>
      </c>
      <c r="Q926" s="77" t="s">
        <v>2197</v>
      </c>
      <c r="R926" s="77">
        <v>0</v>
      </c>
      <c r="S926" s="77">
        <v>0</v>
      </c>
      <c r="T926" s="77">
        <v>0</v>
      </c>
      <c r="U926" s="77">
        <v>0</v>
      </c>
      <c r="V926" s="77">
        <v>9</v>
      </c>
      <c r="W926" s="82" t="s">
        <v>5335</v>
      </c>
      <c r="X926" s="80" t="str">
        <f>HYPERLINK("https://www.freeclassificados.com/ads/trabalhe-em-casa-montando-seu-proprio-negocio-nas-horas-vagas/")</f>
        <v>https://www.freeclassificados.com/ads/trabalhe-em-casa-montando-seu-proprio-negocio-nas-horas-vagas/</v>
      </c>
      <c r="Y926" s="77" t="s">
        <v>7308</v>
      </c>
      <c r="Z926" s="77"/>
      <c r="AA926" s="77"/>
      <c r="AB926" s="77"/>
      <c r="AC926" s="82" t="s">
        <v>10155</v>
      </c>
      <c r="AD926" s="77" t="s">
        <v>10184</v>
      </c>
      <c r="AE926" s="80" t="str">
        <f>HYPERLINK("https://twitter.com/freeclassific/status/1632746483798921217")</f>
        <v>https://twitter.com/freeclassific/status/1632746483798921217</v>
      </c>
      <c r="AF926" s="79">
        <v>44991.593414351853</v>
      </c>
      <c r="AG926" s="85">
        <v>44991</v>
      </c>
      <c r="AH926" s="82" t="s">
        <v>11077</v>
      </c>
      <c r="AI926" s="77" t="b">
        <v>0</v>
      </c>
      <c r="AJ926" s="77"/>
      <c r="AK926" s="77"/>
      <c r="AL926" s="77"/>
      <c r="AM926" s="77"/>
      <c r="AN926" s="77"/>
      <c r="AO926" s="77"/>
      <c r="AP926" s="77"/>
      <c r="AQ926" s="77"/>
      <c r="AR926" s="77"/>
      <c r="AS926" s="77"/>
      <c r="AT926" s="77"/>
      <c r="AU926" s="77"/>
      <c r="AV926" s="80" t="str">
        <f>HYPERLINK("https://pbs.twimg.com/profile_images/1431648743728852993/tLJ7F5Lu_normal.png")</f>
        <v>https://pbs.twimg.com/profile_images/1431648743728852993/tLJ7F5Lu_normal.png</v>
      </c>
      <c r="AW926" s="82" t="s">
        <v>17699</v>
      </c>
      <c r="AX926" s="82" t="s">
        <v>17699</v>
      </c>
      <c r="AY926" s="77"/>
      <c r="AZ926" s="82" t="s">
        <v>20971</v>
      </c>
      <c r="BA926" s="82" t="s">
        <v>20971</v>
      </c>
      <c r="BB926" s="82" t="s">
        <v>20971</v>
      </c>
      <c r="BC926" s="82" t="s">
        <v>17699</v>
      </c>
      <c r="BD926" s="77">
        <v>489723814</v>
      </c>
      <c r="BE926" s="77"/>
      <c r="BF926" s="77"/>
      <c r="BG926" s="77"/>
      <c r="BH926" s="77"/>
      <c r="BI926" s="77"/>
    </row>
    <row r="927" spans="1:61" x14ac:dyDescent="0.25">
      <c r="A927" s="62" t="s">
        <v>418</v>
      </c>
      <c r="B927" s="62" t="s">
        <v>418</v>
      </c>
      <c r="C927" s="63"/>
      <c r="D927" s="64"/>
      <c r="E927" s="65"/>
      <c r="F927" s="66"/>
      <c r="G927" s="63"/>
      <c r="H927" s="67"/>
      <c r="I927" s="68"/>
      <c r="J927" s="68"/>
      <c r="K927" s="32"/>
      <c r="L927" s="75">
        <v>927</v>
      </c>
      <c r="M927" s="75"/>
      <c r="N927" s="70"/>
      <c r="O927" s="77" t="s">
        <v>179</v>
      </c>
      <c r="P927" s="79">
        <v>44991.187731481485</v>
      </c>
      <c r="Q927" s="77" t="s">
        <v>2198</v>
      </c>
      <c r="R927" s="77">
        <v>0</v>
      </c>
      <c r="S927" s="77">
        <v>0</v>
      </c>
      <c r="T927" s="77">
        <v>0</v>
      </c>
      <c r="U927" s="77">
        <v>0</v>
      </c>
      <c r="V927" s="77">
        <v>10</v>
      </c>
      <c r="W927" s="82" t="s">
        <v>5335</v>
      </c>
      <c r="X927" s="80" t="str">
        <f>HYPERLINK("https://www.freeclassificados.com/ads/meia-alianca-folheada-a-ouro-com-7-pedras-de-zirconia-imagem-folheados/")</f>
        <v>https://www.freeclassificados.com/ads/meia-alianca-folheada-a-ouro-com-7-pedras-de-zirconia-imagem-folheados/</v>
      </c>
      <c r="Y927" s="77" t="s">
        <v>7308</v>
      </c>
      <c r="Z927" s="77"/>
      <c r="AA927" s="77"/>
      <c r="AB927" s="77"/>
      <c r="AC927" s="82" t="s">
        <v>10155</v>
      </c>
      <c r="AD927" s="77" t="s">
        <v>10184</v>
      </c>
      <c r="AE927" s="80" t="str">
        <f>HYPERLINK("https://twitter.com/freeclassific/status/1632599471363358721")</f>
        <v>https://twitter.com/freeclassific/status/1632599471363358721</v>
      </c>
      <c r="AF927" s="79">
        <v>44991.187731481485</v>
      </c>
      <c r="AG927" s="85">
        <v>44991</v>
      </c>
      <c r="AH927" s="82" t="s">
        <v>11078</v>
      </c>
      <c r="AI927" s="77" t="b">
        <v>0</v>
      </c>
      <c r="AJ927" s="77"/>
      <c r="AK927" s="77"/>
      <c r="AL927" s="77"/>
      <c r="AM927" s="77"/>
      <c r="AN927" s="77"/>
      <c r="AO927" s="77"/>
      <c r="AP927" s="77"/>
      <c r="AQ927" s="77"/>
      <c r="AR927" s="77"/>
      <c r="AS927" s="77"/>
      <c r="AT927" s="77"/>
      <c r="AU927" s="77"/>
      <c r="AV927" s="80" t="str">
        <f>HYPERLINK("https://pbs.twimg.com/profile_images/1431648743728852993/tLJ7F5Lu_normal.png")</f>
        <v>https://pbs.twimg.com/profile_images/1431648743728852993/tLJ7F5Lu_normal.png</v>
      </c>
      <c r="AW927" s="82" t="s">
        <v>17700</v>
      </c>
      <c r="AX927" s="82" t="s">
        <v>17700</v>
      </c>
      <c r="AY927" s="77"/>
      <c r="AZ927" s="82" t="s">
        <v>20971</v>
      </c>
      <c r="BA927" s="82" t="s">
        <v>20971</v>
      </c>
      <c r="BB927" s="82" t="s">
        <v>20971</v>
      </c>
      <c r="BC927" s="82" t="s">
        <v>17700</v>
      </c>
      <c r="BD927" s="77">
        <v>489723814</v>
      </c>
      <c r="BE927" s="77"/>
      <c r="BF927" s="77"/>
      <c r="BG927" s="77"/>
      <c r="BH927" s="77"/>
      <c r="BI927" s="77"/>
    </row>
    <row r="928" spans="1:61" x14ac:dyDescent="0.25">
      <c r="A928" s="62" t="s">
        <v>418</v>
      </c>
      <c r="B928" s="62" t="s">
        <v>418</v>
      </c>
      <c r="C928" s="63"/>
      <c r="D928" s="64"/>
      <c r="E928" s="65"/>
      <c r="F928" s="66"/>
      <c r="G928" s="63"/>
      <c r="H928" s="67"/>
      <c r="I928" s="68"/>
      <c r="J928" s="68"/>
      <c r="K928" s="32"/>
      <c r="L928" s="75">
        <v>928</v>
      </c>
      <c r="M928" s="75"/>
      <c r="N928" s="70"/>
      <c r="O928" s="77" t="s">
        <v>179</v>
      </c>
      <c r="P928" s="79">
        <v>44991.185925925929</v>
      </c>
      <c r="Q928" s="77" t="s">
        <v>2199</v>
      </c>
      <c r="R928" s="77">
        <v>0</v>
      </c>
      <c r="S928" s="77">
        <v>0</v>
      </c>
      <c r="T928" s="77">
        <v>0</v>
      </c>
      <c r="U928" s="77">
        <v>0</v>
      </c>
      <c r="V928" s="77">
        <v>11</v>
      </c>
      <c r="W928" s="82" t="s">
        <v>5335</v>
      </c>
      <c r="X928" s="80" t="str">
        <f>HYPERLINK("https://www.freeclassificados.com/ads/meia-alianca-folheada-a-ouro-com-7-pedras-de-zirconia-imagem-folheados/")</f>
        <v>https://www.freeclassificados.com/ads/meia-alianca-folheada-a-ouro-com-7-pedras-de-zirconia-imagem-folheados/</v>
      </c>
      <c r="Y928" s="77" t="s">
        <v>7308</v>
      </c>
      <c r="Z928" s="77"/>
      <c r="AA928" s="77"/>
      <c r="AB928" s="77"/>
      <c r="AC928" s="82" t="s">
        <v>10155</v>
      </c>
      <c r="AD928" s="77" t="s">
        <v>10184</v>
      </c>
      <c r="AE928" s="80" t="str">
        <f>HYPERLINK("https://twitter.com/freeclassific/status/1632598817475383297")</f>
        <v>https://twitter.com/freeclassific/status/1632598817475383297</v>
      </c>
      <c r="AF928" s="79">
        <v>44991.185925925929</v>
      </c>
      <c r="AG928" s="85">
        <v>44991</v>
      </c>
      <c r="AH928" s="82" t="s">
        <v>11079</v>
      </c>
      <c r="AI928" s="77" t="b">
        <v>0</v>
      </c>
      <c r="AJ928" s="77"/>
      <c r="AK928" s="77"/>
      <c r="AL928" s="77"/>
      <c r="AM928" s="77"/>
      <c r="AN928" s="77"/>
      <c r="AO928" s="77"/>
      <c r="AP928" s="77"/>
      <c r="AQ928" s="77"/>
      <c r="AR928" s="77"/>
      <c r="AS928" s="77"/>
      <c r="AT928" s="77"/>
      <c r="AU928" s="77"/>
      <c r="AV928" s="80" t="str">
        <f>HYPERLINK("https://pbs.twimg.com/profile_images/1431648743728852993/tLJ7F5Lu_normal.png")</f>
        <v>https://pbs.twimg.com/profile_images/1431648743728852993/tLJ7F5Lu_normal.png</v>
      </c>
      <c r="AW928" s="82" t="s">
        <v>17701</v>
      </c>
      <c r="AX928" s="82" t="s">
        <v>17701</v>
      </c>
      <c r="AY928" s="77"/>
      <c r="AZ928" s="82" t="s">
        <v>20971</v>
      </c>
      <c r="BA928" s="82" t="s">
        <v>20971</v>
      </c>
      <c r="BB928" s="82" t="s">
        <v>20971</v>
      </c>
      <c r="BC928" s="82" t="s">
        <v>17701</v>
      </c>
      <c r="BD928" s="77">
        <v>489723814</v>
      </c>
      <c r="BE928" s="77"/>
      <c r="BF928" s="77"/>
      <c r="BG928" s="77"/>
      <c r="BH928" s="77"/>
      <c r="BI928" s="77"/>
    </row>
    <row r="929" spans="1:61" x14ac:dyDescent="0.25">
      <c r="A929" s="62" t="s">
        <v>418</v>
      </c>
      <c r="B929" s="62" t="s">
        <v>418</v>
      </c>
      <c r="C929" s="63"/>
      <c r="D929" s="64"/>
      <c r="E929" s="65"/>
      <c r="F929" s="66"/>
      <c r="G929" s="63"/>
      <c r="H929" s="67"/>
      <c r="I929" s="68"/>
      <c r="J929" s="68"/>
      <c r="K929" s="32"/>
      <c r="L929" s="75">
        <v>929</v>
      </c>
      <c r="M929" s="75"/>
      <c r="N929" s="70"/>
      <c r="O929" s="77" t="s">
        <v>179</v>
      </c>
      <c r="P929" s="79">
        <v>44989.901250000003</v>
      </c>
      <c r="Q929" s="77" t="s">
        <v>2200</v>
      </c>
      <c r="R929" s="77">
        <v>0</v>
      </c>
      <c r="S929" s="77">
        <v>0</v>
      </c>
      <c r="T929" s="77">
        <v>0</v>
      </c>
      <c r="U929" s="77">
        <v>0</v>
      </c>
      <c r="V929" s="77">
        <v>23</v>
      </c>
      <c r="W929" s="82" t="s">
        <v>5335</v>
      </c>
      <c r="X929" s="80" t="str">
        <f>HYPERLINK("https://www.freeclassificados.com/ads/detetive-particular-em-cuiaba-mt/")</f>
        <v>https://www.freeclassificados.com/ads/detetive-particular-em-cuiaba-mt/</v>
      </c>
      <c r="Y929" s="77" t="s">
        <v>7308</v>
      </c>
      <c r="Z929" s="77"/>
      <c r="AA929" s="77"/>
      <c r="AB929" s="77"/>
      <c r="AC929" s="82" t="s">
        <v>10155</v>
      </c>
      <c r="AD929" s="77" t="s">
        <v>10184</v>
      </c>
      <c r="AE929" s="80" t="str">
        <f>HYPERLINK("https://twitter.com/freeclassific/status/1632133263237193729")</f>
        <v>https://twitter.com/freeclassific/status/1632133263237193729</v>
      </c>
      <c r="AF929" s="79">
        <v>44989.901250000003</v>
      </c>
      <c r="AG929" s="85">
        <v>44989</v>
      </c>
      <c r="AH929" s="82" t="s">
        <v>11080</v>
      </c>
      <c r="AI929" s="77" t="b">
        <v>0</v>
      </c>
      <c r="AJ929" s="77"/>
      <c r="AK929" s="77"/>
      <c r="AL929" s="77"/>
      <c r="AM929" s="77"/>
      <c r="AN929" s="77"/>
      <c r="AO929" s="77"/>
      <c r="AP929" s="77"/>
      <c r="AQ929" s="77"/>
      <c r="AR929" s="77"/>
      <c r="AS929" s="77"/>
      <c r="AT929" s="77"/>
      <c r="AU929" s="77"/>
      <c r="AV929" s="80" t="str">
        <f>HYPERLINK("https://pbs.twimg.com/profile_images/1431648743728852993/tLJ7F5Lu_normal.png")</f>
        <v>https://pbs.twimg.com/profile_images/1431648743728852993/tLJ7F5Lu_normal.png</v>
      </c>
      <c r="AW929" s="82" t="s">
        <v>17702</v>
      </c>
      <c r="AX929" s="82" t="s">
        <v>17702</v>
      </c>
      <c r="AY929" s="77"/>
      <c r="AZ929" s="82" t="s">
        <v>20971</v>
      </c>
      <c r="BA929" s="82" t="s">
        <v>20971</v>
      </c>
      <c r="BB929" s="82" t="s">
        <v>20971</v>
      </c>
      <c r="BC929" s="82" t="s">
        <v>17702</v>
      </c>
      <c r="BD929" s="77">
        <v>489723814</v>
      </c>
      <c r="BE929" s="77"/>
      <c r="BF929" s="77"/>
      <c r="BG929" s="77"/>
      <c r="BH929" s="77"/>
      <c r="BI929" s="77"/>
    </row>
    <row r="930" spans="1:61" x14ac:dyDescent="0.25">
      <c r="A930" s="62" t="s">
        <v>418</v>
      </c>
      <c r="B930" s="62" t="s">
        <v>418</v>
      </c>
      <c r="C930" s="63"/>
      <c r="D930" s="64"/>
      <c r="E930" s="65"/>
      <c r="F930" s="66"/>
      <c r="G930" s="63"/>
      <c r="H930" s="67"/>
      <c r="I930" s="68"/>
      <c r="J930" s="68"/>
      <c r="K930" s="32"/>
      <c r="L930" s="75">
        <v>930</v>
      </c>
      <c r="M930" s="75"/>
      <c r="N930" s="70"/>
      <c r="O930" s="77" t="s">
        <v>179</v>
      </c>
      <c r="P930" s="79">
        <v>44987.576296296298</v>
      </c>
      <c r="Q930" s="77" t="s">
        <v>2201</v>
      </c>
      <c r="R930" s="77">
        <v>0</v>
      </c>
      <c r="S930" s="77">
        <v>0</v>
      </c>
      <c r="T930" s="77">
        <v>0</v>
      </c>
      <c r="U930" s="77">
        <v>0</v>
      </c>
      <c r="V930" s="77">
        <v>15</v>
      </c>
      <c r="W930" s="82" t="s">
        <v>5335</v>
      </c>
      <c r="X930" s="80" t="str">
        <f>HYPERLINK("https://www.freeclassificados.com/ads/detetive-particular-em-santo-andre-sp-2/")</f>
        <v>https://www.freeclassificados.com/ads/detetive-particular-em-santo-andre-sp-2/</v>
      </c>
      <c r="Y930" s="77" t="s">
        <v>7308</v>
      </c>
      <c r="Z930" s="77"/>
      <c r="AA930" s="77"/>
      <c r="AB930" s="77"/>
      <c r="AC930" s="82" t="s">
        <v>10155</v>
      </c>
      <c r="AD930" s="77" t="s">
        <v>10184</v>
      </c>
      <c r="AE930" s="80" t="str">
        <f>HYPERLINK("https://twitter.com/freeclassific/status/1631290730197966848")</f>
        <v>https://twitter.com/freeclassific/status/1631290730197966848</v>
      </c>
      <c r="AF930" s="79">
        <v>44987.576296296298</v>
      </c>
      <c r="AG930" s="85">
        <v>44987</v>
      </c>
      <c r="AH930" s="82" t="s">
        <v>11081</v>
      </c>
      <c r="AI930" s="77" t="b">
        <v>0</v>
      </c>
      <c r="AJ930" s="77"/>
      <c r="AK930" s="77"/>
      <c r="AL930" s="77"/>
      <c r="AM930" s="77"/>
      <c r="AN930" s="77"/>
      <c r="AO930" s="77"/>
      <c r="AP930" s="77"/>
      <c r="AQ930" s="77"/>
      <c r="AR930" s="77"/>
      <c r="AS930" s="77"/>
      <c r="AT930" s="77"/>
      <c r="AU930" s="77"/>
      <c r="AV930" s="80" t="str">
        <f>HYPERLINK("https://pbs.twimg.com/profile_images/1431648743728852993/tLJ7F5Lu_normal.png")</f>
        <v>https://pbs.twimg.com/profile_images/1431648743728852993/tLJ7F5Lu_normal.png</v>
      </c>
      <c r="AW930" s="82" t="s">
        <v>17703</v>
      </c>
      <c r="AX930" s="82" t="s">
        <v>17703</v>
      </c>
      <c r="AY930" s="77"/>
      <c r="AZ930" s="82" t="s">
        <v>20971</v>
      </c>
      <c r="BA930" s="82" t="s">
        <v>20971</v>
      </c>
      <c r="BB930" s="82" t="s">
        <v>20971</v>
      </c>
      <c r="BC930" s="82" t="s">
        <v>17703</v>
      </c>
      <c r="BD930" s="77">
        <v>489723814</v>
      </c>
      <c r="BE930" s="77"/>
      <c r="BF930" s="77"/>
      <c r="BG930" s="77"/>
      <c r="BH930" s="77"/>
      <c r="BI930" s="77"/>
    </row>
    <row r="931" spans="1:61" x14ac:dyDescent="0.25">
      <c r="A931" s="62" t="s">
        <v>418</v>
      </c>
      <c r="B931" s="62" t="s">
        <v>418</v>
      </c>
      <c r="C931" s="63"/>
      <c r="D931" s="64"/>
      <c r="E931" s="65"/>
      <c r="F931" s="66"/>
      <c r="G931" s="63"/>
      <c r="H931" s="67"/>
      <c r="I931" s="68"/>
      <c r="J931" s="68"/>
      <c r="K931" s="32"/>
      <c r="L931" s="75">
        <v>931</v>
      </c>
      <c r="M931" s="75"/>
      <c r="N931" s="70"/>
      <c r="O931" s="77" t="s">
        <v>179</v>
      </c>
      <c r="P931" s="79">
        <v>44987.127199074072</v>
      </c>
      <c r="Q931" s="77" t="s">
        <v>2202</v>
      </c>
      <c r="R931" s="77">
        <v>0</v>
      </c>
      <c r="S931" s="77">
        <v>0</v>
      </c>
      <c r="T931" s="77">
        <v>0</v>
      </c>
      <c r="U931" s="77">
        <v>0</v>
      </c>
      <c r="V931" s="77">
        <v>9</v>
      </c>
      <c r="W931" s="82" t="s">
        <v>5335</v>
      </c>
      <c r="X931" s="80" t="str">
        <f>HYPERLINK("https://www.freeclassificados.com/ads/saude-beleza-e-suplemento-sexuais-2/")</f>
        <v>https://www.freeclassificados.com/ads/saude-beleza-e-suplemento-sexuais-2/</v>
      </c>
      <c r="Y931" s="77" t="s">
        <v>7308</v>
      </c>
      <c r="Z931" s="77"/>
      <c r="AA931" s="77"/>
      <c r="AB931" s="77"/>
      <c r="AC931" s="82" t="s">
        <v>10155</v>
      </c>
      <c r="AD931" s="77" t="s">
        <v>10184</v>
      </c>
      <c r="AE931" s="80" t="str">
        <f>HYPERLINK("https://twitter.com/freeclassific/status/1631127981434494976")</f>
        <v>https://twitter.com/freeclassific/status/1631127981434494976</v>
      </c>
      <c r="AF931" s="79">
        <v>44987.127199074072</v>
      </c>
      <c r="AG931" s="85">
        <v>44987</v>
      </c>
      <c r="AH931" s="82" t="s">
        <v>11082</v>
      </c>
      <c r="AI931" s="77" t="b">
        <v>0</v>
      </c>
      <c r="AJ931" s="77"/>
      <c r="AK931" s="77"/>
      <c r="AL931" s="77"/>
      <c r="AM931" s="77"/>
      <c r="AN931" s="77"/>
      <c r="AO931" s="77"/>
      <c r="AP931" s="77"/>
      <c r="AQ931" s="77"/>
      <c r="AR931" s="77"/>
      <c r="AS931" s="77"/>
      <c r="AT931" s="77"/>
      <c r="AU931" s="77"/>
      <c r="AV931" s="80" t="str">
        <f>HYPERLINK("https://pbs.twimg.com/profile_images/1431648743728852993/tLJ7F5Lu_normal.png")</f>
        <v>https://pbs.twimg.com/profile_images/1431648743728852993/tLJ7F5Lu_normal.png</v>
      </c>
      <c r="AW931" s="82" t="s">
        <v>17704</v>
      </c>
      <c r="AX931" s="82" t="s">
        <v>17704</v>
      </c>
      <c r="AY931" s="77"/>
      <c r="AZ931" s="82" t="s">
        <v>20971</v>
      </c>
      <c r="BA931" s="82" t="s">
        <v>20971</v>
      </c>
      <c r="BB931" s="82" t="s">
        <v>20971</v>
      </c>
      <c r="BC931" s="82" t="s">
        <v>17704</v>
      </c>
      <c r="BD931" s="77">
        <v>489723814</v>
      </c>
      <c r="BE931" s="77"/>
      <c r="BF931" s="77"/>
      <c r="BG931" s="77"/>
      <c r="BH931" s="77"/>
      <c r="BI931" s="77"/>
    </row>
    <row r="932" spans="1:61" x14ac:dyDescent="0.25">
      <c r="A932" s="62" t="s">
        <v>418</v>
      </c>
      <c r="B932" s="62" t="s">
        <v>418</v>
      </c>
      <c r="C932" s="63"/>
      <c r="D932" s="64"/>
      <c r="E932" s="65"/>
      <c r="F932" s="66"/>
      <c r="G932" s="63"/>
      <c r="H932" s="67"/>
      <c r="I932" s="68"/>
      <c r="J932" s="68"/>
      <c r="K932" s="32"/>
      <c r="L932" s="75">
        <v>932</v>
      </c>
      <c r="M932" s="75"/>
      <c r="N932" s="70"/>
      <c r="O932" s="77" t="s">
        <v>179</v>
      </c>
      <c r="P932" s="79">
        <v>44987.121724537035</v>
      </c>
      <c r="Q932" s="77" t="s">
        <v>2203</v>
      </c>
      <c r="R932" s="77">
        <v>0</v>
      </c>
      <c r="S932" s="77">
        <v>0</v>
      </c>
      <c r="T932" s="77">
        <v>0</v>
      </c>
      <c r="U932" s="77">
        <v>0</v>
      </c>
      <c r="V932" s="77">
        <v>10</v>
      </c>
      <c r="W932" s="82" t="s">
        <v>5335</v>
      </c>
      <c r="X932" s="80" t="str">
        <f>HYPERLINK("https://www.freeclassificados.com/ads/saude-beleza-e-suplemento-sexuais/")</f>
        <v>https://www.freeclassificados.com/ads/saude-beleza-e-suplemento-sexuais/</v>
      </c>
      <c r="Y932" s="77" t="s">
        <v>7308</v>
      </c>
      <c r="Z932" s="77"/>
      <c r="AA932" s="77"/>
      <c r="AB932" s="77"/>
      <c r="AC932" s="82" t="s">
        <v>10155</v>
      </c>
      <c r="AD932" s="77" t="s">
        <v>10184</v>
      </c>
      <c r="AE932" s="80" t="str">
        <f>HYPERLINK("https://twitter.com/freeclassific/status/1631125998803603457")</f>
        <v>https://twitter.com/freeclassific/status/1631125998803603457</v>
      </c>
      <c r="AF932" s="79">
        <v>44987.121724537035</v>
      </c>
      <c r="AG932" s="85">
        <v>44987</v>
      </c>
      <c r="AH932" s="82" t="s">
        <v>11083</v>
      </c>
      <c r="AI932" s="77" t="b">
        <v>0</v>
      </c>
      <c r="AJ932" s="77"/>
      <c r="AK932" s="77"/>
      <c r="AL932" s="77"/>
      <c r="AM932" s="77"/>
      <c r="AN932" s="77"/>
      <c r="AO932" s="77"/>
      <c r="AP932" s="77"/>
      <c r="AQ932" s="77"/>
      <c r="AR932" s="77"/>
      <c r="AS932" s="77"/>
      <c r="AT932" s="77"/>
      <c r="AU932" s="77"/>
      <c r="AV932" s="80" t="str">
        <f>HYPERLINK("https://pbs.twimg.com/profile_images/1431648743728852993/tLJ7F5Lu_normal.png")</f>
        <v>https://pbs.twimg.com/profile_images/1431648743728852993/tLJ7F5Lu_normal.png</v>
      </c>
      <c r="AW932" s="82" t="s">
        <v>17705</v>
      </c>
      <c r="AX932" s="82" t="s">
        <v>17705</v>
      </c>
      <c r="AY932" s="77"/>
      <c r="AZ932" s="82" t="s">
        <v>20971</v>
      </c>
      <c r="BA932" s="82" t="s">
        <v>20971</v>
      </c>
      <c r="BB932" s="82" t="s">
        <v>20971</v>
      </c>
      <c r="BC932" s="82" t="s">
        <v>17705</v>
      </c>
      <c r="BD932" s="77">
        <v>489723814</v>
      </c>
      <c r="BE932" s="77"/>
      <c r="BF932" s="77"/>
      <c r="BG932" s="77"/>
      <c r="BH932" s="77"/>
      <c r="BI932" s="77"/>
    </row>
    <row r="933" spans="1:61" x14ac:dyDescent="0.25">
      <c r="A933" s="62" t="s">
        <v>418</v>
      </c>
      <c r="B933" s="62" t="s">
        <v>418</v>
      </c>
      <c r="C933" s="63"/>
      <c r="D933" s="64"/>
      <c r="E933" s="65"/>
      <c r="F933" s="66"/>
      <c r="G933" s="63"/>
      <c r="H933" s="67"/>
      <c r="I933" s="68"/>
      <c r="J933" s="68"/>
      <c r="K933" s="32"/>
      <c r="L933" s="75">
        <v>933</v>
      </c>
      <c r="M933" s="75"/>
      <c r="N933" s="70"/>
      <c r="O933" s="77" t="s">
        <v>179</v>
      </c>
      <c r="P933" s="79">
        <v>44987.121412037035</v>
      </c>
      <c r="Q933" s="77" t="s">
        <v>1876</v>
      </c>
      <c r="R933" s="77">
        <v>0</v>
      </c>
      <c r="S933" s="77">
        <v>0</v>
      </c>
      <c r="T933" s="77">
        <v>0</v>
      </c>
      <c r="U933" s="77">
        <v>0</v>
      </c>
      <c r="V933" s="77">
        <v>9</v>
      </c>
      <c r="W933" s="82" t="s">
        <v>5335</v>
      </c>
      <c r="X933" s="80" t="str">
        <f>HYPERLINK("https://www.freeclassificados.com/ads/saude-beleza-e-suplemento-sexuais/")</f>
        <v>https://www.freeclassificados.com/ads/saude-beleza-e-suplemento-sexuais/</v>
      </c>
      <c r="Y933" s="77" t="s">
        <v>7308</v>
      </c>
      <c r="Z933" s="77"/>
      <c r="AA933" s="77"/>
      <c r="AB933" s="77"/>
      <c r="AC933" s="82" t="s">
        <v>10155</v>
      </c>
      <c r="AD933" s="77" t="s">
        <v>10184</v>
      </c>
      <c r="AE933" s="80" t="str">
        <f>HYPERLINK("https://twitter.com/freeclassific/status/1631125883225538562")</f>
        <v>https://twitter.com/freeclassific/status/1631125883225538562</v>
      </c>
      <c r="AF933" s="79">
        <v>44987.121412037035</v>
      </c>
      <c r="AG933" s="85">
        <v>44987</v>
      </c>
      <c r="AH933" s="82" t="s">
        <v>11084</v>
      </c>
      <c r="AI933" s="77" t="b">
        <v>0</v>
      </c>
      <c r="AJ933" s="77"/>
      <c r="AK933" s="77"/>
      <c r="AL933" s="77"/>
      <c r="AM933" s="77"/>
      <c r="AN933" s="77"/>
      <c r="AO933" s="77"/>
      <c r="AP933" s="77"/>
      <c r="AQ933" s="77"/>
      <c r="AR933" s="77"/>
      <c r="AS933" s="77"/>
      <c r="AT933" s="77"/>
      <c r="AU933" s="77"/>
      <c r="AV933" s="80" t="str">
        <f>HYPERLINK("https://pbs.twimg.com/profile_images/1431648743728852993/tLJ7F5Lu_normal.png")</f>
        <v>https://pbs.twimg.com/profile_images/1431648743728852993/tLJ7F5Lu_normal.png</v>
      </c>
      <c r="AW933" s="82" t="s">
        <v>17706</v>
      </c>
      <c r="AX933" s="82" t="s">
        <v>17706</v>
      </c>
      <c r="AY933" s="77"/>
      <c r="AZ933" s="82" t="s">
        <v>20971</v>
      </c>
      <c r="BA933" s="82" t="s">
        <v>20971</v>
      </c>
      <c r="BB933" s="82" t="s">
        <v>20971</v>
      </c>
      <c r="BC933" s="82" t="s">
        <v>17706</v>
      </c>
      <c r="BD933" s="77">
        <v>489723814</v>
      </c>
      <c r="BE933" s="77"/>
      <c r="BF933" s="77"/>
      <c r="BG933" s="77"/>
      <c r="BH933" s="77"/>
      <c r="BI933" s="77"/>
    </row>
    <row r="934" spans="1:61" x14ac:dyDescent="0.25">
      <c r="A934" s="62" t="s">
        <v>418</v>
      </c>
      <c r="B934" s="62" t="s">
        <v>418</v>
      </c>
      <c r="C934" s="63"/>
      <c r="D934" s="64"/>
      <c r="E934" s="65"/>
      <c r="F934" s="66"/>
      <c r="G934" s="63"/>
      <c r="H934" s="67"/>
      <c r="I934" s="68"/>
      <c r="J934" s="68"/>
      <c r="K934" s="32"/>
      <c r="L934" s="75">
        <v>934</v>
      </c>
      <c r="M934" s="75"/>
      <c r="N934" s="70"/>
      <c r="O934" s="77" t="s">
        <v>179</v>
      </c>
      <c r="P934" s="79">
        <v>45090.48027777778</v>
      </c>
      <c r="Q934" s="77" t="s">
        <v>2204</v>
      </c>
      <c r="R934" s="77">
        <v>0</v>
      </c>
      <c r="S934" s="77">
        <v>0</v>
      </c>
      <c r="T934" s="77">
        <v>0</v>
      </c>
      <c r="U934" s="77">
        <v>0</v>
      </c>
      <c r="V934" s="77">
        <v>31</v>
      </c>
      <c r="W934" s="82" t="s">
        <v>5560</v>
      </c>
      <c r="X934" s="80" t="str">
        <f>HYPERLINK("https://www.freeclassificados.com/ads/concreto-bombeado-concreto-piso-polido-rio-de-janeiro/")</f>
        <v>https://www.freeclassificados.com/ads/concreto-bombeado-concreto-piso-polido-rio-de-janeiro/</v>
      </c>
      <c r="Y934" s="77" t="s">
        <v>7308</v>
      </c>
      <c r="Z934" s="77"/>
      <c r="AA934" s="77"/>
      <c r="AB934" s="77"/>
      <c r="AC934" s="82" t="s">
        <v>10155</v>
      </c>
      <c r="AD934" s="77" t="s">
        <v>10184</v>
      </c>
      <c r="AE934" s="80" t="str">
        <f>HYPERLINK("https://twitter.com/freeclassific/status/1668581883536625665")</f>
        <v>https://twitter.com/freeclassific/status/1668581883536625665</v>
      </c>
      <c r="AF934" s="79">
        <v>45090.48027777778</v>
      </c>
      <c r="AG934" s="85">
        <v>45090</v>
      </c>
      <c r="AH934" s="82" t="s">
        <v>11085</v>
      </c>
      <c r="AI934" s="77" t="b">
        <v>0</v>
      </c>
      <c r="AJ934" s="77"/>
      <c r="AK934" s="77"/>
      <c r="AL934" s="77"/>
      <c r="AM934" s="77"/>
      <c r="AN934" s="77"/>
      <c r="AO934" s="77"/>
      <c r="AP934" s="77"/>
      <c r="AQ934" s="77"/>
      <c r="AR934" s="77"/>
      <c r="AS934" s="77"/>
      <c r="AT934" s="77"/>
      <c r="AU934" s="77"/>
      <c r="AV934" s="80" t="str">
        <f>HYPERLINK("https://pbs.twimg.com/profile_images/1431648743728852993/tLJ7F5Lu_normal.png")</f>
        <v>https://pbs.twimg.com/profile_images/1431648743728852993/tLJ7F5Lu_normal.png</v>
      </c>
      <c r="AW934" s="82" t="s">
        <v>17707</v>
      </c>
      <c r="AX934" s="82" t="s">
        <v>17707</v>
      </c>
      <c r="AY934" s="77"/>
      <c r="AZ934" s="82" t="s">
        <v>20971</v>
      </c>
      <c r="BA934" s="82" t="s">
        <v>20971</v>
      </c>
      <c r="BB934" s="82" t="s">
        <v>20971</v>
      </c>
      <c r="BC934" s="82" t="s">
        <v>17707</v>
      </c>
      <c r="BD934" s="77">
        <v>489723814</v>
      </c>
      <c r="BE934" s="77"/>
      <c r="BF934" s="77"/>
      <c r="BG934" s="77"/>
      <c r="BH934" s="77"/>
      <c r="BI934" s="77"/>
    </row>
    <row r="935" spans="1:61" x14ac:dyDescent="0.25">
      <c r="A935" s="62" t="s">
        <v>418</v>
      </c>
      <c r="B935" s="62" t="s">
        <v>418</v>
      </c>
      <c r="C935" s="63"/>
      <c r="D935" s="64"/>
      <c r="E935" s="65"/>
      <c r="F935" s="66"/>
      <c r="G935" s="63"/>
      <c r="H935" s="67"/>
      <c r="I935" s="68"/>
      <c r="J935" s="68"/>
      <c r="K935" s="32"/>
      <c r="L935" s="75">
        <v>935</v>
      </c>
      <c r="M935" s="75"/>
      <c r="N935" s="70"/>
      <c r="O935" s="77" t="s">
        <v>179</v>
      </c>
      <c r="P935" s="79">
        <v>45090.478090277778</v>
      </c>
      <c r="Q935" s="77" t="s">
        <v>2205</v>
      </c>
      <c r="R935" s="77">
        <v>0</v>
      </c>
      <c r="S935" s="77">
        <v>0</v>
      </c>
      <c r="T935" s="77">
        <v>0</v>
      </c>
      <c r="U935" s="77">
        <v>0</v>
      </c>
      <c r="V935" s="77">
        <v>19</v>
      </c>
      <c r="W935" s="82" t="s">
        <v>5560</v>
      </c>
      <c r="X935" s="80" t="str">
        <f>HYPERLINK("https://www.freeclassificados.com/ads/concreto-bombeado-concreto-concreto-usinado/")</f>
        <v>https://www.freeclassificados.com/ads/concreto-bombeado-concreto-concreto-usinado/</v>
      </c>
      <c r="Y935" s="77" t="s">
        <v>7308</v>
      </c>
      <c r="Z935" s="77"/>
      <c r="AA935" s="77"/>
      <c r="AB935" s="77"/>
      <c r="AC935" s="82" t="s">
        <v>10155</v>
      </c>
      <c r="AD935" s="77" t="s">
        <v>10184</v>
      </c>
      <c r="AE935" s="80" t="str">
        <f>HYPERLINK("https://twitter.com/freeclassific/status/1668581089693298688")</f>
        <v>https://twitter.com/freeclassific/status/1668581089693298688</v>
      </c>
      <c r="AF935" s="79">
        <v>45090.478090277778</v>
      </c>
      <c r="AG935" s="85">
        <v>45090</v>
      </c>
      <c r="AH935" s="82" t="s">
        <v>11086</v>
      </c>
      <c r="AI935" s="77" t="b">
        <v>0</v>
      </c>
      <c r="AJ935" s="77"/>
      <c r="AK935" s="77"/>
      <c r="AL935" s="77"/>
      <c r="AM935" s="77"/>
      <c r="AN935" s="77"/>
      <c r="AO935" s="77"/>
      <c r="AP935" s="77"/>
      <c r="AQ935" s="77"/>
      <c r="AR935" s="77"/>
      <c r="AS935" s="77"/>
      <c r="AT935" s="77"/>
      <c r="AU935" s="77"/>
      <c r="AV935" s="80" t="str">
        <f>HYPERLINK("https://pbs.twimg.com/profile_images/1431648743728852993/tLJ7F5Lu_normal.png")</f>
        <v>https://pbs.twimg.com/profile_images/1431648743728852993/tLJ7F5Lu_normal.png</v>
      </c>
      <c r="AW935" s="82" t="s">
        <v>17708</v>
      </c>
      <c r="AX935" s="82" t="s">
        <v>17708</v>
      </c>
      <c r="AY935" s="77"/>
      <c r="AZ935" s="82" t="s">
        <v>20971</v>
      </c>
      <c r="BA935" s="82" t="s">
        <v>20971</v>
      </c>
      <c r="BB935" s="82" t="s">
        <v>20971</v>
      </c>
      <c r="BC935" s="82" t="s">
        <v>17708</v>
      </c>
      <c r="BD935" s="77">
        <v>489723814</v>
      </c>
      <c r="BE935" s="77"/>
      <c r="BF935" s="77"/>
      <c r="BG935" s="77"/>
      <c r="BH935" s="77"/>
      <c r="BI935" s="77"/>
    </row>
    <row r="936" spans="1:61" x14ac:dyDescent="0.25">
      <c r="A936" s="62" t="s">
        <v>418</v>
      </c>
      <c r="B936" s="62" t="s">
        <v>418</v>
      </c>
      <c r="C936" s="63"/>
      <c r="D936" s="64"/>
      <c r="E936" s="65"/>
      <c r="F936" s="66"/>
      <c r="G936" s="63"/>
      <c r="H936" s="67"/>
      <c r="I936" s="68"/>
      <c r="J936" s="68"/>
      <c r="K936" s="32"/>
      <c r="L936" s="75">
        <v>936</v>
      </c>
      <c r="M936" s="75"/>
      <c r="N936" s="70"/>
      <c r="O936" s="77" t="s">
        <v>179</v>
      </c>
      <c r="P936" s="79">
        <v>45090.473182870373</v>
      </c>
      <c r="Q936" s="77" t="s">
        <v>2206</v>
      </c>
      <c r="R936" s="77">
        <v>0</v>
      </c>
      <c r="S936" s="77">
        <v>0</v>
      </c>
      <c r="T936" s="77">
        <v>0</v>
      </c>
      <c r="U936" s="77">
        <v>0</v>
      </c>
      <c r="V936" s="77">
        <v>18</v>
      </c>
      <c r="W936" s="82" t="s">
        <v>5560</v>
      </c>
      <c r="X936" s="80" t="str">
        <f>HYPERLINK("https://www.freeclassificados.com/ads/concreto-bombeado-concreto-rio-de-janeiro/")</f>
        <v>https://www.freeclassificados.com/ads/concreto-bombeado-concreto-rio-de-janeiro/</v>
      </c>
      <c r="Y936" s="77" t="s">
        <v>7308</v>
      </c>
      <c r="Z936" s="77"/>
      <c r="AA936" s="77"/>
      <c r="AB936" s="77"/>
      <c r="AC936" s="82" t="s">
        <v>10155</v>
      </c>
      <c r="AD936" s="77" t="s">
        <v>10184</v>
      </c>
      <c r="AE936" s="80" t="str">
        <f>HYPERLINK("https://twitter.com/freeclassific/status/1668579313409753088")</f>
        <v>https://twitter.com/freeclassific/status/1668579313409753088</v>
      </c>
      <c r="AF936" s="79">
        <v>45090.473182870373</v>
      </c>
      <c r="AG936" s="85">
        <v>45090</v>
      </c>
      <c r="AH936" s="82" t="s">
        <v>11087</v>
      </c>
      <c r="AI936" s="77" t="b">
        <v>0</v>
      </c>
      <c r="AJ936" s="77"/>
      <c r="AK936" s="77"/>
      <c r="AL936" s="77"/>
      <c r="AM936" s="77"/>
      <c r="AN936" s="77"/>
      <c r="AO936" s="77"/>
      <c r="AP936" s="77"/>
      <c r="AQ936" s="77"/>
      <c r="AR936" s="77"/>
      <c r="AS936" s="77"/>
      <c r="AT936" s="77"/>
      <c r="AU936" s="77"/>
      <c r="AV936" s="80" t="str">
        <f>HYPERLINK("https://pbs.twimg.com/profile_images/1431648743728852993/tLJ7F5Lu_normal.png")</f>
        <v>https://pbs.twimg.com/profile_images/1431648743728852993/tLJ7F5Lu_normal.png</v>
      </c>
      <c r="AW936" s="82" t="s">
        <v>17709</v>
      </c>
      <c r="AX936" s="82" t="s">
        <v>17709</v>
      </c>
      <c r="AY936" s="77"/>
      <c r="AZ936" s="82" t="s">
        <v>20971</v>
      </c>
      <c r="BA936" s="82" t="s">
        <v>20971</v>
      </c>
      <c r="BB936" s="82" t="s">
        <v>20971</v>
      </c>
      <c r="BC936" s="82" t="s">
        <v>17709</v>
      </c>
      <c r="BD936" s="77">
        <v>489723814</v>
      </c>
      <c r="BE936" s="77"/>
      <c r="BF936" s="77"/>
      <c r="BG936" s="77"/>
      <c r="BH936" s="77"/>
      <c r="BI936" s="77"/>
    </row>
    <row r="937" spans="1:61" x14ac:dyDescent="0.25">
      <c r="A937" s="62" t="s">
        <v>418</v>
      </c>
      <c r="B937" s="62" t="s">
        <v>418</v>
      </c>
      <c r="C937" s="63"/>
      <c r="D937" s="64"/>
      <c r="E937" s="65"/>
      <c r="F937" s="66"/>
      <c r="G937" s="63"/>
      <c r="H937" s="67"/>
      <c r="I937" s="68"/>
      <c r="J937" s="68"/>
      <c r="K937" s="32"/>
      <c r="L937" s="75">
        <v>937</v>
      </c>
      <c r="M937" s="75"/>
      <c r="N937" s="70"/>
      <c r="O937" s="77" t="s">
        <v>179</v>
      </c>
      <c r="P937" s="79">
        <v>45083.583912037036</v>
      </c>
      <c r="Q937" s="77" t="s">
        <v>2207</v>
      </c>
      <c r="R937" s="77">
        <v>0</v>
      </c>
      <c r="S937" s="77">
        <v>0</v>
      </c>
      <c r="T937" s="77">
        <v>0</v>
      </c>
      <c r="U937" s="77">
        <v>0</v>
      </c>
      <c r="V937" s="77">
        <v>9</v>
      </c>
      <c r="W937" s="82" t="s">
        <v>5560</v>
      </c>
      <c r="X937" s="80" t="str">
        <f>HYPERLINK("https://www.freeclassificados.com/ads/quiropraxia-freguesia-do-o-30-anos-de-experiencia/")</f>
        <v>https://www.freeclassificados.com/ads/quiropraxia-freguesia-do-o-30-anos-de-experiencia/</v>
      </c>
      <c r="Y937" s="77" t="s">
        <v>7308</v>
      </c>
      <c r="Z937" s="77"/>
      <c r="AA937" s="77"/>
      <c r="AB937" s="77"/>
      <c r="AC937" s="82" t="s">
        <v>10155</v>
      </c>
      <c r="AD937" s="77" t="s">
        <v>10184</v>
      </c>
      <c r="AE937" s="80" t="str">
        <f>HYPERLINK("https://twitter.com/freeclassific/status/1666082722962636800")</f>
        <v>https://twitter.com/freeclassific/status/1666082722962636800</v>
      </c>
      <c r="AF937" s="79">
        <v>45083.583912037036</v>
      </c>
      <c r="AG937" s="85">
        <v>45083</v>
      </c>
      <c r="AH937" s="82" t="s">
        <v>11088</v>
      </c>
      <c r="AI937" s="77" t="b">
        <v>0</v>
      </c>
      <c r="AJ937" s="77"/>
      <c r="AK937" s="77"/>
      <c r="AL937" s="77"/>
      <c r="AM937" s="77"/>
      <c r="AN937" s="77"/>
      <c r="AO937" s="77"/>
      <c r="AP937" s="77"/>
      <c r="AQ937" s="77"/>
      <c r="AR937" s="77"/>
      <c r="AS937" s="77"/>
      <c r="AT937" s="77"/>
      <c r="AU937" s="77"/>
      <c r="AV937" s="80" t="str">
        <f>HYPERLINK("https://pbs.twimg.com/profile_images/1431648743728852993/tLJ7F5Lu_normal.png")</f>
        <v>https://pbs.twimg.com/profile_images/1431648743728852993/tLJ7F5Lu_normal.png</v>
      </c>
      <c r="AW937" s="82" t="s">
        <v>17710</v>
      </c>
      <c r="AX937" s="82" t="s">
        <v>17710</v>
      </c>
      <c r="AY937" s="77"/>
      <c r="AZ937" s="82" t="s">
        <v>20971</v>
      </c>
      <c r="BA937" s="82" t="s">
        <v>20971</v>
      </c>
      <c r="BB937" s="82" t="s">
        <v>20971</v>
      </c>
      <c r="BC937" s="82" t="s">
        <v>17710</v>
      </c>
      <c r="BD937" s="77">
        <v>489723814</v>
      </c>
      <c r="BE937" s="77"/>
      <c r="BF937" s="77"/>
      <c r="BG937" s="77"/>
      <c r="BH937" s="77"/>
      <c r="BI937" s="77"/>
    </row>
    <row r="938" spans="1:61" x14ac:dyDescent="0.25">
      <c r="A938" s="62" t="s">
        <v>418</v>
      </c>
      <c r="B938" s="62" t="s">
        <v>418</v>
      </c>
      <c r="C938" s="63"/>
      <c r="D938" s="64"/>
      <c r="E938" s="65"/>
      <c r="F938" s="66"/>
      <c r="G938" s="63"/>
      <c r="H938" s="67"/>
      <c r="I938" s="68"/>
      <c r="J938" s="68"/>
      <c r="K938" s="32"/>
      <c r="L938" s="75">
        <v>938</v>
      </c>
      <c r="M938" s="75"/>
      <c r="N938" s="70"/>
      <c r="O938" s="77" t="s">
        <v>179</v>
      </c>
      <c r="P938" s="79">
        <v>45082.931805555556</v>
      </c>
      <c r="Q938" s="77" t="s">
        <v>2208</v>
      </c>
      <c r="R938" s="77">
        <v>0</v>
      </c>
      <c r="S938" s="77">
        <v>0</v>
      </c>
      <c r="T938" s="77">
        <v>0</v>
      </c>
      <c r="U938" s="77">
        <v>0</v>
      </c>
      <c r="V938" s="77">
        <v>7</v>
      </c>
      <c r="W938" s="82" t="s">
        <v>5560</v>
      </c>
      <c r="X938" s="80" t="str">
        <f>HYPERLINK("https://www.freeclassificados.com/ads/como-enviar-e-mails-para-outros-sites/")</f>
        <v>https://www.freeclassificados.com/ads/como-enviar-e-mails-para-outros-sites/</v>
      </c>
      <c r="Y938" s="77" t="s">
        <v>7308</v>
      </c>
      <c r="Z938" s="77"/>
      <c r="AA938" s="77"/>
      <c r="AB938" s="77"/>
      <c r="AC938" s="82" t="s">
        <v>10155</v>
      </c>
      <c r="AD938" s="77" t="s">
        <v>10184</v>
      </c>
      <c r="AE938" s="80" t="str">
        <f>HYPERLINK("https://twitter.com/freeclassific/status/1665846410716282881")</f>
        <v>https://twitter.com/freeclassific/status/1665846410716282881</v>
      </c>
      <c r="AF938" s="79">
        <v>45082.931805555556</v>
      </c>
      <c r="AG938" s="85">
        <v>45082</v>
      </c>
      <c r="AH938" s="82" t="s">
        <v>11089</v>
      </c>
      <c r="AI938" s="77" t="b">
        <v>0</v>
      </c>
      <c r="AJ938" s="77"/>
      <c r="AK938" s="77"/>
      <c r="AL938" s="77"/>
      <c r="AM938" s="77"/>
      <c r="AN938" s="77"/>
      <c r="AO938" s="77"/>
      <c r="AP938" s="77"/>
      <c r="AQ938" s="77"/>
      <c r="AR938" s="77"/>
      <c r="AS938" s="77"/>
      <c r="AT938" s="77"/>
      <c r="AU938" s="77"/>
      <c r="AV938" s="80" t="str">
        <f>HYPERLINK("https://pbs.twimg.com/profile_images/1431648743728852993/tLJ7F5Lu_normal.png")</f>
        <v>https://pbs.twimg.com/profile_images/1431648743728852993/tLJ7F5Lu_normal.png</v>
      </c>
      <c r="AW938" s="82" t="s">
        <v>17711</v>
      </c>
      <c r="AX938" s="82" t="s">
        <v>17711</v>
      </c>
      <c r="AY938" s="77"/>
      <c r="AZ938" s="82" t="s">
        <v>20971</v>
      </c>
      <c r="BA938" s="82" t="s">
        <v>20971</v>
      </c>
      <c r="BB938" s="82" t="s">
        <v>20971</v>
      </c>
      <c r="BC938" s="82" t="s">
        <v>17711</v>
      </c>
      <c r="BD938" s="77">
        <v>489723814</v>
      </c>
      <c r="BE938" s="77"/>
      <c r="BF938" s="77"/>
      <c r="BG938" s="77"/>
      <c r="BH938" s="77"/>
      <c r="BI938" s="77"/>
    </row>
    <row r="939" spans="1:61" x14ac:dyDescent="0.25">
      <c r="A939" s="62" t="s">
        <v>418</v>
      </c>
      <c r="B939" s="62" t="s">
        <v>418</v>
      </c>
      <c r="C939" s="63"/>
      <c r="D939" s="64"/>
      <c r="E939" s="65"/>
      <c r="F939" s="66"/>
      <c r="G939" s="63"/>
      <c r="H939" s="67"/>
      <c r="I939" s="68"/>
      <c r="J939" s="68"/>
      <c r="K939" s="32"/>
      <c r="L939" s="75">
        <v>939</v>
      </c>
      <c r="M939" s="75"/>
      <c r="N939" s="70"/>
      <c r="O939" s="77" t="s">
        <v>179</v>
      </c>
      <c r="P939" s="79">
        <v>45082.84888888889</v>
      </c>
      <c r="Q939" s="77" t="s">
        <v>1892</v>
      </c>
      <c r="R939" s="77">
        <v>0</v>
      </c>
      <c r="S939" s="77">
        <v>0</v>
      </c>
      <c r="T939" s="77">
        <v>0</v>
      </c>
      <c r="U939" s="77">
        <v>0</v>
      </c>
      <c r="V939" s="77">
        <v>6</v>
      </c>
      <c r="W939" s="82" t="s">
        <v>5560</v>
      </c>
      <c r="X939" s="80" t="str">
        <f>HYPERLINK("https://www.freeclassificados.com/ads/entretenimento-lazer-e-diversao/")</f>
        <v>https://www.freeclassificados.com/ads/entretenimento-lazer-e-diversao/</v>
      </c>
      <c r="Y939" s="77" t="s">
        <v>7308</v>
      </c>
      <c r="Z939" s="77"/>
      <c r="AA939" s="77"/>
      <c r="AB939" s="77"/>
      <c r="AC939" s="82" t="s">
        <v>10155</v>
      </c>
      <c r="AD939" s="77" t="s">
        <v>10184</v>
      </c>
      <c r="AE939" s="80" t="str">
        <f>HYPERLINK("https://twitter.com/freeclassific/status/1665816361984208896")</f>
        <v>https://twitter.com/freeclassific/status/1665816361984208896</v>
      </c>
      <c r="AF939" s="79">
        <v>45082.84888888889</v>
      </c>
      <c r="AG939" s="85">
        <v>45082</v>
      </c>
      <c r="AH939" s="82" t="s">
        <v>11090</v>
      </c>
      <c r="AI939" s="77" t="b">
        <v>0</v>
      </c>
      <c r="AJ939" s="77"/>
      <c r="AK939" s="77"/>
      <c r="AL939" s="77"/>
      <c r="AM939" s="77"/>
      <c r="AN939" s="77"/>
      <c r="AO939" s="77"/>
      <c r="AP939" s="77"/>
      <c r="AQ939" s="77"/>
      <c r="AR939" s="77"/>
      <c r="AS939" s="77"/>
      <c r="AT939" s="77"/>
      <c r="AU939" s="77"/>
      <c r="AV939" s="80" t="str">
        <f>HYPERLINK("https://pbs.twimg.com/profile_images/1431648743728852993/tLJ7F5Lu_normal.png")</f>
        <v>https://pbs.twimg.com/profile_images/1431648743728852993/tLJ7F5Lu_normal.png</v>
      </c>
      <c r="AW939" s="82" t="s">
        <v>17712</v>
      </c>
      <c r="AX939" s="82" t="s">
        <v>17712</v>
      </c>
      <c r="AY939" s="77"/>
      <c r="AZ939" s="82" t="s">
        <v>20971</v>
      </c>
      <c r="BA939" s="82" t="s">
        <v>20971</v>
      </c>
      <c r="BB939" s="82" t="s">
        <v>20971</v>
      </c>
      <c r="BC939" s="82" t="s">
        <v>17712</v>
      </c>
      <c r="BD939" s="77">
        <v>489723814</v>
      </c>
      <c r="BE939" s="77"/>
      <c r="BF939" s="77"/>
      <c r="BG939" s="77"/>
      <c r="BH939" s="77"/>
      <c r="BI939" s="77"/>
    </row>
    <row r="940" spans="1:61" x14ac:dyDescent="0.25">
      <c r="A940" s="62" t="s">
        <v>418</v>
      </c>
      <c r="B940" s="62" t="s">
        <v>418</v>
      </c>
      <c r="C940" s="63"/>
      <c r="D940" s="64"/>
      <c r="E940" s="65"/>
      <c r="F940" s="66"/>
      <c r="G940" s="63"/>
      <c r="H940" s="67"/>
      <c r="I940" s="68"/>
      <c r="J940" s="68"/>
      <c r="K940" s="32"/>
      <c r="L940" s="75">
        <v>940</v>
      </c>
      <c r="M940" s="75"/>
      <c r="N940" s="70"/>
      <c r="O940" s="77" t="s">
        <v>179</v>
      </c>
      <c r="P940" s="79">
        <v>45082.815960648149</v>
      </c>
      <c r="Q940" s="77" t="s">
        <v>2209</v>
      </c>
      <c r="R940" s="77">
        <v>0</v>
      </c>
      <c r="S940" s="77">
        <v>0</v>
      </c>
      <c r="T940" s="77">
        <v>0</v>
      </c>
      <c r="U940" s="77">
        <v>0</v>
      </c>
      <c r="V940" s="77">
        <v>11</v>
      </c>
      <c r="W940" s="82" t="s">
        <v>5560</v>
      </c>
      <c r="X940" s="80" t="str">
        <f>HYPERLINK("https://www.freeclassificados.com/ads/sacolas-de-papel-personalizadas/")</f>
        <v>https://www.freeclassificados.com/ads/sacolas-de-papel-personalizadas/</v>
      </c>
      <c r="Y940" s="77" t="s">
        <v>7308</v>
      </c>
      <c r="Z940" s="77"/>
      <c r="AA940" s="77"/>
      <c r="AB940" s="77"/>
      <c r="AC940" s="82" t="s">
        <v>10155</v>
      </c>
      <c r="AD940" s="77" t="s">
        <v>10187</v>
      </c>
      <c r="AE940" s="80" t="str">
        <f>HYPERLINK("https://twitter.com/freeclassific/status/1665804426400137216")</f>
        <v>https://twitter.com/freeclassific/status/1665804426400137216</v>
      </c>
      <c r="AF940" s="79">
        <v>45082.815960648149</v>
      </c>
      <c r="AG940" s="85">
        <v>45082</v>
      </c>
      <c r="AH940" s="82" t="s">
        <v>11091</v>
      </c>
      <c r="AI940" s="77" t="b">
        <v>0</v>
      </c>
      <c r="AJ940" s="77"/>
      <c r="AK940" s="77"/>
      <c r="AL940" s="77"/>
      <c r="AM940" s="77"/>
      <c r="AN940" s="77"/>
      <c r="AO940" s="77"/>
      <c r="AP940" s="77"/>
      <c r="AQ940" s="77"/>
      <c r="AR940" s="77"/>
      <c r="AS940" s="77"/>
      <c r="AT940" s="77"/>
      <c r="AU940" s="77"/>
      <c r="AV940" s="80" t="str">
        <f>HYPERLINK("https://pbs.twimg.com/profile_images/1431648743728852993/tLJ7F5Lu_normal.png")</f>
        <v>https://pbs.twimg.com/profile_images/1431648743728852993/tLJ7F5Lu_normal.png</v>
      </c>
      <c r="AW940" s="82" t="s">
        <v>17713</v>
      </c>
      <c r="AX940" s="82" t="s">
        <v>17713</v>
      </c>
      <c r="AY940" s="77"/>
      <c r="AZ940" s="82" t="s">
        <v>20971</v>
      </c>
      <c r="BA940" s="82" t="s">
        <v>20971</v>
      </c>
      <c r="BB940" s="82" t="s">
        <v>20971</v>
      </c>
      <c r="BC940" s="82" t="s">
        <v>17713</v>
      </c>
      <c r="BD940" s="77">
        <v>489723814</v>
      </c>
      <c r="BE940" s="77"/>
      <c r="BF940" s="77"/>
      <c r="BG940" s="77"/>
      <c r="BH940" s="77"/>
      <c r="BI940" s="77"/>
    </row>
    <row r="941" spans="1:61" x14ac:dyDescent="0.25">
      <c r="A941" s="62" t="s">
        <v>418</v>
      </c>
      <c r="B941" s="62" t="s">
        <v>418</v>
      </c>
      <c r="C941" s="63"/>
      <c r="D941" s="64"/>
      <c r="E941" s="65"/>
      <c r="F941" s="66"/>
      <c r="G941" s="63"/>
      <c r="H941" s="67"/>
      <c r="I941" s="68"/>
      <c r="J941" s="68"/>
      <c r="K941" s="32"/>
      <c r="L941" s="75">
        <v>941</v>
      </c>
      <c r="M941" s="75"/>
      <c r="N941" s="70"/>
      <c r="O941" s="77" t="s">
        <v>179</v>
      </c>
      <c r="P941" s="79">
        <v>45082.798587962963</v>
      </c>
      <c r="Q941" s="77" t="s">
        <v>2003</v>
      </c>
      <c r="R941" s="77">
        <v>0</v>
      </c>
      <c r="S941" s="77">
        <v>0</v>
      </c>
      <c r="T941" s="77">
        <v>0</v>
      </c>
      <c r="U941" s="77">
        <v>0</v>
      </c>
      <c r="V941" s="77">
        <v>31</v>
      </c>
      <c r="W941" s="82" t="s">
        <v>5560</v>
      </c>
      <c r="X941" s="80" t="str">
        <f>HYPERLINK("https://www.freeclassificados.com/ads/palco-coberta-som-luz-alugo-palco-aluguel-tablado-de-vidro-palco-madeira-9-86-25-98-82/")</f>
        <v>https://www.freeclassificados.com/ads/palco-coberta-som-luz-alugo-palco-aluguel-tablado-de-vidro-palco-madeira-9-86-25-98-82/</v>
      </c>
      <c r="Y941" s="77" t="s">
        <v>7308</v>
      </c>
      <c r="Z941" s="77"/>
      <c r="AA941" s="77"/>
      <c r="AB941" s="77"/>
      <c r="AC941" s="82" t="s">
        <v>10155</v>
      </c>
      <c r="AD941" s="77" t="s">
        <v>10184</v>
      </c>
      <c r="AE941" s="80" t="str">
        <f>HYPERLINK("https://twitter.com/freeclassific/status/1665798132490440704")</f>
        <v>https://twitter.com/freeclassific/status/1665798132490440704</v>
      </c>
      <c r="AF941" s="79">
        <v>45082.798587962963</v>
      </c>
      <c r="AG941" s="85">
        <v>45082</v>
      </c>
      <c r="AH941" s="82" t="s">
        <v>11092</v>
      </c>
      <c r="AI941" s="77" t="b">
        <v>0</v>
      </c>
      <c r="AJ941" s="77"/>
      <c r="AK941" s="77"/>
      <c r="AL941" s="77"/>
      <c r="AM941" s="77"/>
      <c r="AN941" s="77"/>
      <c r="AO941" s="77"/>
      <c r="AP941" s="77"/>
      <c r="AQ941" s="77"/>
      <c r="AR941" s="77"/>
      <c r="AS941" s="77"/>
      <c r="AT941" s="77"/>
      <c r="AU941" s="77"/>
      <c r="AV941" s="80" t="str">
        <f>HYPERLINK("https://pbs.twimg.com/profile_images/1431648743728852993/tLJ7F5Lu_normal.png")</f>
        <v>https://pbs.twimg.com/profile_images/1431648743728852993/tLJ7F5Lu_normal.png</v>
      </c>
      <c r="AW941" s="82" t="s">
        <v>17714</v>
      </c>
      <c r="AX941" s="82" t="s">
        <v>17714</v>
      </c>
      <c r="AY941" s="77"/>
      <c r="AZ941" s="82" t="s">
        <v>20971</v>
      </c>
      <c r="BA941" s="82" t="s">
        <v>20971</v>
      </c>
      <c r="BB941" s="82" t="s">
        <v>20971</v>
      </c>
      <c r="BC941" s="82" t="s">
        <v>17714</v>
      </c>
      <c r="BD941" s="77">
        <v>489723814</v>
      </c>
      <c r="BE941" s="77"/>
      <c r="BF941" s="77"/>
      <c r="BG941" s="77"/>
      <c r="BH941" s="77"/>
      <c r="BI941" s="77"/>
    </row>
    <row r="942" spans="1:61" x14ac:dyDescent="0.25">
      <c r="A942" s="62" t="s">
        <v>418</v>
      </c>
      <c r="B942" s="62" t="s">
        <v>418</v>
      </c>
      <c r="C942" s="63"/>
      <c r="D942" s="64"/>
      <c r="E942" s="65"/>
      <c r="F942" s="66"/>
      <c r="G942" s="63"/>
      <c r="H942" s="67"/>
      <c r="I942" s="68"/>
      <c r="J942" s="68"/>
      <c r="K942" s="32"/>
      <c r="L942" s="75">
        <v>942</v>
      </c>
      <c r="M942" s="75"/>
      <c r="N942" s="70"/>
      <c r="O942" s="77" t="s">
        <v>179</v>
      </c>
      <c r="P942" s="79">
        <v>45082.704953703702</v>
      </c>
      <c r="Q942" s="77" t="s">
        <v>2210</v>
      </c>
      <c r="R942" s="77">
        <v>0</v>
      </c>
      <c r="S942" s="77">
        <v>0</v>
      </c>
      <c r="T942" s="77">
        <v>0</v>
      </c>
      <c r="U942" s="77">
        <v>0</v>
      </c>
      <c r="V942" s="77">
        <v>8</v>
      </c>
      <c r="W942" s="82" t="s">
        <v>5560</v>
      </c>
      <c r="X942" s="80" t="str">
        <f>HYPERLINK("https://www.freeclassificados.com/ads/moana-aurora-pocahontas-mulan-personagens-vivos-e-princesas-11948594445/")</f>
        <v>https://www.freeclassificados.com/ads/moana-aurora-pocahontas-mulan-personagens-vivos-e-princesas-11948594445/</v>
      </c>
      <c r="Y942" s="77" t="s">
        <v>7308</v>
      </c>
      <c r="Z942" s="77"/>
      <c r="AA942" s="77"/>
      <c r="AB942" s="77"/>
      <c r="AC942" s="82" t="s">
        <v>10155</v>
      </c>
      <c r="AD942" s="77" t="s">
        <v>10187</v>
      </c>
      <c r="AE942" s="80" t="str">
        <f>HYPERLINK("https://twitter.com/freeclassific/status/1665764199207964672")</f>
        <v>https://twitter.com/freeclassific/status/1665764199207964672</v>
      </c>
      <c r="AF942" s="79">
        <v>45082.704953703702</v>
      </c>
      <c r="AG942" s="85">
        <v>45082</v>
      </c>
      <c r="AH942" s="82" t="s">
        <v>11093</v>
      </c>
      <c r="AI942" s="77" t="b">
        <v>0</v>
      </c>
      <c r="AJ942" s="77"/>
      <c r="AK942" s="77"/>
      <c r="AL942" s="77"/>
      <c r="AM942" s="77"/>
      <c r="AN942" s="77"/>
      <c r="AO942" s="77"/>
      <c r="AP942" s="77"/>
      <c r="AQ942" s="77"/>
      <c r="AR942" s="77"/>
      <c r="AS942" s="77"/>
      <c r="AT942" s="77"/>
      <c r="AU942" s="77"/>
      <c r="AV942" s="80" t="str">
        <f>HYPERLINK("https://pbs.twimg.com/profile_images/1431648743728852993/tLJ7F5Lu_normal.png")</f>
        <v>https://pbs.twimg.com/profile_images/1431648743728852993/tLJ7F5Lu_normal.png</v>
      </c>
      <c r="AW942" s="82" t="s">
        <v>17715</v>
      </c>
      <c r="AX942" s="82" t="s">
        <v>17715</v>
      </c>
      <c r="AY942" s="77"/>
      <c r="AZ942" s="82" t="s">
        <v>20971</v>
      </c>
      <c r="BA942" s="82" t="s">
        <v>20971</v>
      </c>
      <c r="BB942" s="82" t="s">
        <v>20971</v>
      </c>
      <c r="BC942" s="82" t="s">
        <v>17715</v>
      </c>
      <c r="BD942" s="77">
        <v>489723814</v>
      </c>
      <c r="BE942" s="77"/>
      <c r="BF942" s="77"/>
      <c r="BG942" s="77"/>
      <c r="BH942" s="77"/>
      <c r="BI942" s="77"/>
    </row>
    <row r="943" spans="1:61" x14ac:dyDescent="0.25">
      <c r="A943" s="62" t="s">
        <v>418</v>
      </c>
      <c r="B943" s="62" t="s">
        <v>418</v>
      </c>
      <c r="C943" s="63"/>
      <c r="D943" s="64"/>
      <c r="E943" s="65"/>
      <c r="F943" s="66"/>
      <c r="G943" s="63"/>
      <c r="H943" s="67"/>
      <c r="I943" s="68"/>
      <c r="J943" s="68"/>
      <c r="K943" s="32"/>
      <c r="L943" s="75">
        <v>943</v>
      </c>
      <c r="M943" s="75"/>
      <c r="N943" s="70"/>
      <c r="O943" s="77" t="s">
        <v>179</v>
      </c>
      <c r="P943" s="79">
        <v>45082.192615740743</v>
      </c>
      <c r="Q943" s="77" t="s">
        <v>2211</v>
      </c>
      <c r="R943" s="77">
        <v>0</v>
      </c>
      <c r="S943" s="77">
        <v>0</v>
      </c>
      <c r="T943" s="77">
        <v>0</v>
      </c>
      <c r="U943" s="77">
        <v>0</v>
      </c>
      <c r="V943" s="77">
        <v>17</v>
      </c>
      <c r="W943" s="82" t="s">
        <v>5560</v>
      </c>
      <c r="X943" s="80" t="str">
        <f>HYPERLINK("https://www.freeclassificados.com/ads/justin-bieber-cover-show-super-animado-na-sua-festa-11948594445/")</f>
        <v>https://www.freeclassificados.com/ads/justin-bieber-cover-show-super-animado-na-sua-festa-11948594445/</v>
      </c>
      <c r="Y943" s="77" t="s">
        <v>7308</v>
      </c>
      <c r="Z943" s="77"/>
      <c r="AA943" s="77"/>
      <c r="AB943" s="77"/>
      <c r="AC943" s="82" t="s">
        <v>10155</v>
      </c>
      <c r="AD943" s="77" t="s">
        <v>10184</v>
      </c>
      <c r="AE943" s="80" t="str">
        <f>HYPERLINK("https://twitter.com/freeclassific/status/1665578534008680448")</f>
        <v>https://twitter.com/freeclassific/status/1665578534008680448</v>
      </c>
      <c r="AF943" s="79">
        <v>45082.192615740743</v>
      </c>
      <c r="AG943" s="85">
        <v>45082</v>
      </c>
      <c r="AH943" s="82" t="s">
        <v>11094</v>
      </c>
      <c r="AI943" s="77" t="b">
        <v>0</v>
      </c>
      <c r="AJ943" s="77"/>
      <c r="AK943" s="77"/>
      <c r="AL943" s="77"/>
      <c r="AM943" s="77"/>
      <c r="AN943" s="77"/>
      <c r="AO943" s="77"/>
      <c r="AP943" s="77"/>
      <c r="AQ943" s="77"/>
      <c r="AR943" s="77"/>
      <c r="AS943" s="77"/>
      <c r="AT943" s="77"/>
      <c r="AU943" s="77"/>
      <c r="AV943" s="80" t="str">
        <f>HYPERLINK("https://pbs.twimg.com/profile_images/1431648743728852993/tLJ7F5Lu_normal.png")</f>
        <v>https://pbs.twimg.com/profile_images/1431648743728852993/tLJ7F5Lu_normal.png</v>
      </c>
      <c r="AW943" s="82" t="s">
        <v>17716</v>
      </c>
      <c r="AX943" s="82" t="s">
        <v>17716</v>
      </c>
      <c r="AY943" s="77"/>
      <c r="AZ943" s="82" t="s">
        <v>20971</v>
      </c>
      <c r="BA943" s="82" t="s">
        <v>20971</v>
      </c>
      <c r="BB943" s="82" t="s">
        <v>20971</v>
      </c>
      <c r="BC943" s="82" t="s">
        <v>17716</v>
      </c>
      <c r="BD943" s="77">
        <v>489723814</v>
      </c>
      <c r="BE943" s="77"/>
      <c r="BF943" s="77"/>
      <c r="BG943" s="77"/>
      <c r="BH943" s="77"/>
      <c r="BI943" s="77"/>
    </row>
    <row r="944" spans="1:61" x14ac:dyDescent="0.25">
      <c r="A944" s="62" t="s">
        <v>418</v>
      </c>
      <c r="B944" s="62" t="s">
        <v>418</v>
      </c>
      <c r="C944" s="63"/>
      <c r="D944" s="64"/>
      <c r="E944" s="65"/>
      <c r="F944" s="66"/>
      <c r="G944" s="63"/>
      <c r="H944" s="67"/>
      <c r="I944" s="68"/>
      <c r="J944" s="68"/>
      <c r="K944" s="32"/>
      <c r="L944" s="75">
        <v>944</v>
      </c>
      <c r="M944" s="75"/>
      <c r="N944" s="70"/>
      <c r="O944" s="77" t="s">
        <v>179</v>
      </c>
      <c r="P944" s="79">
        <v>45064.677569444444</v>
      </c>
      <c r="Q944" s="77" t="s">
        <v>2212</v>
      </c>
      <c r="R944" s="77">
        <v>0</v>
      </c>
      <c r="S944" s="77">
        <v>0</v>
      </c>
      <c r="T944" s="77">
        <v>0</v>
      </c>
      <c r="U944" s="77">
        <v>0</v>
      </c>
      <c r="V944" s="77">
        <v>15</v>
      </c>
      <c r="W944" s="82" t="s">
        <v>5560</v>
      </c>
      <c r="X944" s="80" t="str">
        <f>HYPERLINK("https://www.freeclassificados.com/ads/embalagens-personalizadas-3/")</f>
        <v>https://www.freeclassificados.com/ads/embalagens-personalizadas-3/</v>
      </c>
      <c r="Y944" s="77" t="s">
        <v>7308</v>
      </c>
      <c r="Z944" s="77"/>
      <c r="AA944" s="77"/>
      <c r="AB944" s="77"/>
      <c r="AC944" s="82" t="s">
        <v>10155</v>
      </c>
      <c r="AD944" s="77" t="s">
        <v>10184</v>
      </c>
      <c r="AE944" s="80" t="str">
        <f>HYPERLINK("https://twitter.com/freeclassific/status/1659231294432354304")</f>
        <v>https://twitter.com/freeclassific/status/1659231294432354304</v>
      </c>
      <c r="AF944" s="79">
        <v>45064.677569444444</v>
      </c>
      <c r="AG944" s="85">
        <v>45064</v>
      </c>
      <c r="AH944" s="82" t="s">
        <v>11095</v>
      </c>
      <c r="AI944" s="77" t="b">
        <v>0</v>
      </c>
      <c r="AJ944" s="77"/>
      <c r="AK944" s="77"/>
      <c r="AL944" s="77"/>
      <c r="AM944" s="77"/>
      <c r="AN944" s="77"/>
      <c r="AO944" s="77"/>
      <c r="AP944" s="77"/>
      <c r="AQ944" s="77"/>
      <c r="AR944" s="77"/>
      <c r="AS944" s="77"/>
      <c r="AT944" s="77"/>
      <c r="AU944" s="77"/>
      <c r="AV944" s="80" t="str">
        <f>HYPERLINK("https://pbs.twimg.com/profile_images/1431648743728852993/tLJ7F5Lu_normal.png")</f>
        <v>https://pbs.twimg.com/profile_images/1431648743728852993/tLJ7F5Lu_normal.png</v>
      </c>
      <c r="AW944" s="82" t="s">
        <v>17717</v>
      </c>
      <c r="AX944" s="82" t="s">
        <v>17717</v>
      </c>
      <c r="AY944" s="77"/>
      <c r="AZ944" s="82" t="s">
        <v>20971</v>
      </c>
      <c r="BA944" s="82" t="s">
        <v>20971</v>
      </c>
      <c r="BB944" s="82" t="s">
        <v>20971</v>
      </c>
      <c r="BC944" s="82" t="s">
        <v>17717</v>
      </c>
      <c r="BD944" s="77">
        <v>489723814</v>
      </c>
      <c r="BE944" s="77"/>
      <c r="BF944" s="77"/>
      <c r="BG944" s="77"/>
      <c r="BH944" s="77"/>
      <c r="BI944" s="77"/>
    </row>
    <row r="945" spans="1:61" x14ac:dyDescent="0.25">
      <c r="A945" s="62" t="s">
        <v>418</v>
      </c>
      <c r="B945" s="62" t="s">
        <v>418</v>
      </c>
      <c r="C945" s="63"/>
      <c r="D945" s="64"/>
      <c r="E945" s="65"/>
      <c r="F945" s="66"/>
      <c r="G945" s="63"/>
      <c r="H945" s="67"/>
      <c r="I945" s="68"/>
      <c r="J945" s="68"/>
      <c r="K945" s="32"/>
      <c r="L945" s="75">
        <v>945</v>
      </c>
      <c r="M945" s="75"/>
      <c r="N945" s="70"/>
      <c r="O945" s="77" t="s">
        <v>179</v>
      </c>
      <c r="P945" s="79">
        <v>45063.658495370371</v>
      </c>
      <c r="Q945" s="77" t="s">
        <v>2213</v>
      </c>
      <c r="R945" s="77">
        <v>0</v>
      </c>
      <c r="S945" s="77">
        <v>0</v>
      </c>
      <c r="T945" s="77">
        <v>0</v>
      </c>
      <c r="U945" s="77">
        <v>0</v>
      </c>
      <c r="V945" s="77">
        <v>17</v>
      </c>
      <c r="W945" s="82" t="s">
        <v>5560</v>
      </c>
      <c r="X945" s="80" t="str">
        <f>HYPERLINK("https://www.freeclassificados.com/ads/sacos-e-sacolas-kraft-personalizados-2/")</f>
        <v>https://www.freeclassificados.com/ads/sacos-e-sacolas-kraft-personalizados-2/</v>
      </c>
      <c r="Y945" s="77" t="s">
        <v>7308</v>
      </c>
      <c r="Z945" s="77"/>
      <c r="AA945" s="77"/>
      <c r="AB945" s="77"/>
      <c r="AC945" s="82" t="s">
        <v>10155</v>
      </c>
      <c r="AD945" s="77" t="s">
        <v>10187</v>
      </c>
      <c r="AE945" s="80" t="str">
        <f>HYPERLINK("https://twitter.com/freeclassific/status/1658861993468784640")</f>
        <v>https://twitter.com/freeclassific/status/1658861993468784640</v>
      </c>
      <c r="AF945" s="79">
        <v>45063.658495370371</v>
      </c>
      <c r="AG945" s="85">
        <v>45063</v>
      </c>
      <c r="AH945" s="82" t="s">
        <v>11096</v>
      </c>
      <c r="AI945" s="77" t="b">
        <v>0</v>
      </c>
      <c r="AJ945" s="77"/>
      <c r="AK945" s="77"/>
      <c r="AL945" s="77"/>
      <c r="AM945" s="77"/>
      <c r="AN945" s="77"/>
      <c r="AO945" s="77"/>
      <c r="AP945" s="77"/>
      <c r="AQ945" s="77"/>
      <c r="AR945" s="77"/>
      <c r="AS945" s="77"/>
      <c r="AT945" s="77"/>
      <c r="AU945" s="77"/>
      <c r="AV945" s="80" t="str">
        <f>HYPERLINK("https://pbs.twimg.com/profile_images/1431648743728852993/tLJ7F5Lu_normal.png")</f>
        <v>https://pbs.twimg.com/profile_images/1431648743728852993/tLJ7F5Lu_normal.png</v>
      </c>
      <c r="AW945" s="82" t="s">
        <v>17718</v>
      </c>
      <c r="AX945" s="82" t="s">
        <v>17718</v>
      </c>
      <c r="AY945" s="77"/>
      <c r="AZ945" s="82" t="s">
        <v>20971</v>
      </c>
      <c r="BA945" s="82" t="s">
        <v>20971</v>
      </c>
      <c r="BB945" s="82" t="s">
        <v>20971</v>
      </c>
      <c r="BC945" s="82" t="s">
        <v>17718</v>
      </c>
      <c r="BD945" s="77">
        <v>489723814</v>
      </c>
      <c r="BE945" s="77"/>
      <c r="BF945" s="77"/>
      <c r="BG945" s="77"/>
      <c r="BH945" s="77"/>
      <c r="BI945" s="77"/>
    </row>
    <row r="946" spans="1:61" x14ac:dyDescent="0.25">
      <c r="A946" s="62" t="s">
        <v>418</v>
      </c>
      <c r="B946" s="62" t="s">
        <v>418</v>
      </c>
      <c r="C946" s="63"/>
      <c r="D946" s="64"/>
      <c r="E946" s="65"/>
      <c r="F946" s="66"/>
      <c r="G946" s="63"/>
      <c r="H946" s="67"/>
      <c r="I946" s="68"/>
      <c r="J946" s="68"/>
      <c r="K946" s="32"/>
      <c r="L946" s="75">
        <v>946</v>
      </c>
      <c r="M946" s="75"/>
      <c r="N946" s="70"/>
      <c r="O946" s="77" t="s">
        <v>179</v>
      </c>
      <c r="P946" s="79">
        <v>45057.478171296294</v>
      </c>
      <c r="Q946" s="77" t="s">
        <v>2214</v>
      </c>
      <c r="R946" s="77">
        <v>0</v>
      </c>
      <c r="S946" s="77">
        <v>0</v>
      </c>
      <c r="T946" s="77">
        <v>0</v>
      </c>
      <c r="U946" s="77">
        <v>0</v>
      </c>
      <c r="V946" s="77">
        <v>13</v>
      </c>
      <c r="W946" s="82" t="s">
        <v>5560</v>
      </c>
      <c r="X946" s="80" t="str">
        <f>HYPERLINK("https://www.freeclassificados.com/ads/new-yamaha-f300xa-outboard-engine-with-5-five-year-warranty/")</f>
        <v>https://www.freeclassificados.com/ads/new-yamaha-f300xa-outboard-engine-with-5-five-year-warranty/</v>
      </c>
      <c r="Y946" s="77" t="s">
        <v>7308</v>
      </c>
      <c r="Z946" s="77"/>
      <c r="AA946" s="77"/>
      <c r="AB946" s="77"/>
      <c r="AC946" s="82" t="s">
        <v>10155</v>
      </c>
      <c r="AD946" s="77" t="s">
        <v>10185</v>
      </c>
      <c r="AE946" s="80" t="str">
        <f>HYPERLINK("https://twitter.com/freeclassific/status/1656622322072297472")</f>
        <v>https://twitter.com/freeclassific/status/1656622322072297472</v>
      </c>
      <c r="AF946" s="79">
        <v>45057.478171296294</v>
      </c>
      <c r="AG946" s="85">
        <v>45057</v>
      </c>
      <c r="AH946" s="82" t="s">
        <v>11097</v>
      </c>
      <c r="AI946" s="77" t="b">
        <v>0</v>
      </c>
      <c r="AJ946" s="77"/>
      <c r="AK946" s="77"/>
      <c r="AL946" s="77"/>
      <c r="AM946" s="77"/>
      <c r="AN946" s="77"/>
      <c r="AO946" s="77"/>
      <c r="AP946" s="77"/>
      <c r="AQ946" s="77"/>
      <c r="AR946" s="77"/>
      <c r="AS946" s="77"/>
      <c r="AT946" s="77"/>
      <c r="AU946" s="77"/>
      <c r="AV946" s="80" t="str">
        <f>HYPERLINK("https://pbs.twimg.com/profile_images/1431648743728852993/tLJ7F5Lu_normal.png")</f>
        <v>https://pbs.twimg.com/profile_images/1431648743728852993/tLJ7F5Lu_normal.png</v>
      </c>
      <c r="AW946" s="82" t="s">
        <v>17719</v>
      </c>
      <c r="AX946" s="82" t="s">
        <v>17719</v>
      </c>
      <c r="AY946" s="77"/>
      <c r="AZ946" s="82" t="s">
        <v>20971</v>
      </c>
      <c r="BA946" s="82" t="s">
        <v>20971</v>
      </c>
      <c r="BB946" s="82" t="s">
        <v>20971</v>
      </c>
      <c r="BC946" s="82" t="s">
        <v>17719</v>
      </c>
      <c r="BD946" s="77">
        <v>489723814</v>
      </c>
      <c r="BE946" s="77"/>
      <c r="BF946" s="77"/>
      <c r="BG946" s="77"/>
      <c r="BH946" s="77"/>
      <c r="BI946" s="77"/>
    </row>
    <row r="947" spans="1:61" x14ac:dyDescent="0.25">
      <c r="A947" s="62" t="s">
        <v>418</v>
      </c>
      <c r="B947" s="62" t="s">
        <v>418</v>
      </c>
      <c r="C947" s="63"/>
      <c r="D947" s="64"/>
      <c r="E947" s="65"/>
      <c r="F947" s="66"/>
      <c r="G947" s="63"/>
      <c r="H947" s="67"/>
      <c r="I947" s="68"/>
      <c r="J947" s="68"/>
      <c r="K947" s="32"/>
      <c r="L947" s="75">
        <v>947</v>
      </c>
      <c r="M947" s="75"/>
      <c r="N947" s="70"/>
      <c r="O947" s="77" t="s">
        <v>179</v>
      </c>
      <c r="P947" s="79">
        <v>45056.672233796293</v>
      </c>
      <c r="Q947" s="77" t="s">
        <v>2215</v>
      </c>
      <c r="R947" s="77">
        <v>0</v>
      </c>
      <c r="S947" s="77">
        <v>0</v>
      </c>
      <c r="T947" s="77">
        <v>0</v>
      </c>
      <c r="U947" s="77">
        <v>0</v>
      </c>
      <c r="V947" s="77">
        <v>11</v>
      </c>
      <c r="W947" s="82" t="s">
        <v>5560</v>
      </c>
      <c r="X947" s="80" t="str">
        <f>HYPERLINK("https://www.freeclassificados.com/ads/condonal-gestao-de-condominio-ou-empresa-em-es/")</f>
        <v>https://www.freeclassificados.com/ads/condonal-gestao-de-condominio-ou-empresa-em-es/</v>
      </c>
      <c r="Y947" s="77" t="s">
        <v>7308</v>
      </c>
      <c r="Z947" s="77"/>
      <c r="AA947" s="77"/>
      <c r="AB947" s="77"/>
      <c r="AC947" s="82" t="s">
        <v>10155</v>
      </c>
      <c r="AD947" s="77" t="s">
        <v>10184</v>
      </c>
      <c r="AE947" s="80" t="str">
        <f>HYPERLINK("https://twitter.com/freeclassific/status/1656330259791486976")</f>
        <v>https://twitter.com/freeclassific/status/1656330259791486976</v>
      </c>
      <c r="AF947" s="79">
        <v>45056.672233796293</v>
      </c>
      <c r="AG947" s="85">
        <v>45056</v>
      </c>
      <c r="AH947" s="82" t="s">
        <v>11098</v>
      </c>
      <c r="AI947" s="77" t="b">
        <v>0</v>
      </c>
      <c r="AJ947" s="77"/>
      <c r="AK947" s="77"/>
      <c r="AL947" s="77"/>
      <c r="AM947" s="77"/>
      <c r="AN947" s="77"/>
      <c r="AO947" s="77"/>
      <c r="AP947" s="77"/>
      <c r="AQ947" s="77"/>
      <c r="AR947" s="77"/>
      <c r="AS947" s="77"/>
      <c r="AT947" s="77"/>
      <c r="AU947" s="77"/>
      <c r="AV947" s="80" t="str">
        <f>HYPERLINK("https://pbs.twimg.com/profile_images/1431648743728852993/tLJ7F5Lu_normal.png")</f>
        <v>https://pbs.twimg.com/profile_images/1431648743728852993/tLJ7F5Lu_normal.png</v>
      </c>
      <c r="AW947" s="82" t="s">
        <v>17720</v>
      </c>
      <c r="AX947" s="82" t="s">
        <v>17720</v>
      </c>
      <c r="AY947" s="77"/>
      <c r="AZ947" s="82" t="s">
        <v>20971</v>
      </c>
      <c r="BA947" s="82" t="s">
        <v>20971</v>
      </c>
      <c r="BB947" s="82" t="s">
        <v>20971</v>
      </c>
      <c r="BC947" s="82" t="s">
        <v>17720</v>
      </c>
      <c r="BD947" s="77">
        <v>489723814</v>
      </c>
      <c r="BE947" s="77"/>
      <c r="BF947" s="77"/>
      <c r="BG947" s="77"/>
      <c r="BH947" s="77"/>
      <c r="BI947" s="77"/>
    </row>
    <row r="948" spans="1:61" x14ac:dyDescent="0.25">
      <c r="A948" s="62" t="s">
        <v>418</v>
      </c>
      <c r="B948" s="62" t="s">
        <v>418</v>
      </c>
      <c r="C948" s="63"/>
      <c r="D948" s="64"/>
      <c r="E948" s="65"/>
      <c r="F948" s="66"/>
      <c r="G948" s="63"/>
      <c r="H948" s="67"/>
      <c r="I948" s="68"/>
      <c r="J948" s="68"/>
      <c r="K948" s="32"/>
      <c r="L948" s="75">
        <v>948</v>
      </c>
      <c r="M948" s="75"/>
      <c r="N948" s="70"/>
      <c r="O948" s="77" t="s">
        <v>179</v>
      </c>
      <c r="P948" s="79">
        <v>45056.655057870368</v>
      </c>
      <c r="Q948" s="77" t="s">
        <v>2216</v>
      </c>
      <c r="R948" s="77">
        <v>0</v>
      </c>
      <c r="S948" s="77">
        <v>0</v>
      </c>
      <c r="T948" s="77">
        <v>0</v>
      </c>
      <c r="U948" s="77">
        <v>0</v>
      </c>
      <c r="V948" s="77">
        <v>10</v>
      </c>
      <c r="W948" s="82" t="s">
        <v>5560</v>
      </c>
      <c r="X948" s="80" t="str">
        <f>HYPERLINK("https://www.freeclassificados.com/ads/sacolas-plasticas-com-personalizacao/")</f>
        <v>https://www.freeclassificados.com/ads/sacolas-plasticas-com-personalizacao/</v>
      </c>
      <c r="Y948" s="77" t="s">
        <v>7308</v>
      </c>
      <c r="Z948" s="77"/>
      <c r="AA948" s="77"/>
      <c r="AB948" s="77"/>
      <c r="AC948" s="82" t="s">
        <v>10155</v>
      </c>
      <c r="AD948" s="77" t="s">
        <v>10184</v>
      </c>
      <c r="AE948" s="80" t="str">
        <f>HYPERLINK("https://twitter.com/freeclassific/status/1656324034680991745")</f>
        <v>https://twitter.com/freeclassific/status/1656324034680991745</v>
      </c>
      <c r="AF948" s="79">
        <v>45056.655057870368</v>
      </c>
      <c r="AG948" s="85">
        <v>45056</v>
      </c>
      <c r="AH948" s="82" t="s">
        <v>11099</v>
      </c>
      <c r="AI948" s="77" t="b">
        <v>0</v>
      </c>
      <c r="AJ948" s="77"/>
      <c r="AK948" s="77"/>
      <c r="AL948" s="77"/>
      <c r="AM948" s="77"/>
      <c r="AN948" s="77"/>
      <c r="AO948" s="77"/>
      <c r="AP948" s="77"/>
      <c r="AQ948" s="77"/>
      <c r="AR948" s="77"/>
      <c r="AS948" s="77"/>
      <c r="AT948" s="77"/>
      <c r="AU948" s="77"/>
      <c r="AV948" s="80" t="str">
        <f>HYPERLINK("https://pbs.twimg.com/profile_images/1431648743728852993/tLJ7F5Lu_normal.png")</f>
        <v>https://pbs.twimg.com/profile_images/1431648743728852993/tLJ7F5Lu_normal.png</v>
      </c>
      <c r="AW948" s="82" t="s">
        <v>17721</v>
      </c>
      <c r="AX948" s="82" t="s">
        <v>17721</v>
      </c>
      <c r="AY948" s="77"/>
      <c r="AZ948" s="82" t="s">
        <v>20971</v>
      </c>
      <c r="BA948" s="82" t="s">
        <v>20971</v>
      </c>
      <c r="BB948" s="82" t="s">
        <v>20971</v>
      </c>
      <c r="BC948" s="82" t="s">
        <v>17721</v>
      </c>
      <c r="BD948" s="77">
        <v>489723814</v>
      </c>
      <c r="BE948" s="77"/>
      <c r="BF948" s="77"/>
      <c r="BG948" s="77"/>
      <c r="BH948" s="77"/>
      <c r="BI948" s="77"/>
    </row>
    <row r="949" spans="1:61" x14ac:dyDescent="0.25">
      <c r="A949" s="62" t="s">
        <v>418</v>
      </c>
      <c r="B949" s="62" t="s">
        <v>418</v>
      </c>
      <c r="C949" s="63"/>
      <c r="D949" s="64"/>
      <c r="E949" s="65"/>
      <c r="F949" s="66"/>
      <c r="G949" s="63"/>
      <c r="H949" s="67"/>
      <c r="I949" s="68"/>
      <c r="J949" s="68"/>
      <c r="K949" s="32"/>
      <c r="L949" s="75">
        <v>949</v>
      </c>
      <c r="M949" s="75"/>
      <c r="N949" s="70"/>
      <c r="O949" s="77" t="s">
        <v>179</v>
      </c>
      <c r="P949" s="79">
        <v>45056.639490740738</v>
      </c>
      <c r="Q949" s="77" t="s">
        <v>2003</v>
      </c>
      <c r="R949" s="77">
        <v>0</v>
      </c>
      <c r="S949" s="77">
        <v>0</v>
      </c>
      <c r="T949" s="77">
        <v>0</v>
      </c>
      <c r="U949" s="77">
        <v>0</v>
      </c>
      <c r="V949" s="77">
        <v>11</v>
      </c>
      <c r="W949" s="82" t="s">
        <v>5560</v>
      </c>
      <c r="X949" s="80" t="str">
        <f>HYPERLINK("https://www.freeclassificados.com/ads/palco-coberta-som-luz-alugo-palco-aluguel-tablado-de-vidro-palco-madeira-9-86-25-98-82/")</f>
        <v>https://www.freeclassificados.com/ads/palco-coberta-som-luz-alugo-palco-aluguel-tablado-de-vidro-palco-madeira-9-86-25-98-82/</v>
      </c>
      <c r="Y949" s="77" t="s">
        <v>7308</v>
      </c>
      <c r="Z949" s="77"/>
      <c r="AA949" s="77"/>
      <c r="AB949" s="77"/>
      <c r="AC949" s="82" t="s">
        <v>10155</v>
      </c>
      <c r="AD949" s="77" t="s">
        <v>10184</v>
      </c>
      <c r="AE949" s="80" t="str">
        <f>HYPERLINK("https://twitter.com/freeclassific/status/1656318393195323398")</f>
        <v>https://twitter.com/freeclassific/status/1656318393195323398</v>
      </c>
      <c r="AF949" s="79">
        <v>45056.639490740738</v>
      </c>
      <c r="AG949" s="85">
        <v>45056</v>
      </c>
      <c r="AH949" s="82" t="s">
        <v>11100</v>
      </c>
      <c r="AI949" s="77" t="b">
        <v>0</v>
      </c>
      <c r="AJ949" s="77"/>
      <c r="AK949" s="77"/>
      <c r="AL949" s="77"/>
      <c r="AM949" s="77"/>
      <c r="AN949" s="77"/>
      <c r="AO949" s="77"/>
      <c r="AP949" s="77"/>
      <c r="AQ949" s="77"/>
      <c r="AR949" s="77"/>
      <c r="AS949" s="77"/>
      <c r="AT949" s="77"/>
      <c r="AU949" s="77"/>
      <c r="AV949" s="80" t="str">
        <f>HYPERLINK("https://pbs.twimg.com/profile_images/1431648743728852993/tLJ7F5Lu_normal.png")</f>
        <v>https://pbs.twimg.com/profile_images/1431648743728852993/tLJ7F5Lu_normal.png</v>
      </c>
      <c r="AW949" s="82" t="s">
        <v>17722</v>
      </c>
      <c r="AX949" s="82" t="s">
        <v>17722</v>
      </c>
      <c r="AY949" s="77"/>
      <c r="AZ949" s="82" t="s">
        <v>20971</v>
      </c>
      <c r="BA949" s="82" t="s">
        <v>20971</v>
      </c>
      <c r="BB949" s="82" t="s">
        <v>20971</v>
      </c>
      <c r="BC949" s="82" t="s">
        <v>17722</v>
      </c>
      <c r="BD949" s="77">
        <v>489723814</v>
      </c>
      <c r="BE949" s="77"/>
      <c r="BF949" s="77"/>
      <c r="BG949" s="77"/>
      <c r="BH949" s="77"/>
      <c r="BI949" s="77"/>
    </row>
    <row r="950" spans="1:61" x14ac:dyDescent="0.25">
      <c r="A950" s="62" t="s">
        <v>418</v>
      </c>
      <c r="B950" s="62" t="s">
        <v>418</v>
      </c>
      <c r="C950" s="63"/>
      <c r="D950" s="64"/>
      <c r="E950" s="65"/>
      <c r="F950" s="66"/>
      <c r="G950" s="63"/>
      <c r="H950" s="67"/>
      <c r="I950" s="68"/>
      <c r="J950" s="68"/>
      <c r="K950" s="32"/>
      <c r="L950" s="75">
        <v>950</v>
      </c>
      <c r="M950" s="75"/>
      <c r="N950" s="70"/>
      <c r="O950" s="77" t="s">
        <v>179</v>
      </c>
      <c r="P950" s="79">
        <v>45056.556932870371</v>
      </c>
      <c r="Q950" s="77" t="s">
        <v>1986</v>
      </c>
      <c r="R950" s="77">
        <v>0</v>
      </c>
      <c r="S950" s="77">
        <v>0</v>
      </c>
      <c r="T950" s="77">
        <v>0</v>
      </c>
      <c r="U950" s="77">
        <v>0</v>
      </c>
      <c r="V950" s="77">
        <v>9</v>
      </c>
      <c r="W950" s="82" t="s">
        <v>5560</v>
      </c>
      <c r="X950" s="80" t="str">
        <f>HYPERLINK("https://www.freeclassificados.com/ads/fiorino-refrigerada/")</f>
        <v>https://www.freeclassificados.com/ads/fiorino-refrigerada/</v>
      </c>
      <c r="Y950" s="77" t="s">
        <v>7308</v>
      </c>
      <c r="Z950" s="77"/>
      <c r="AA950" s="77"/>
      <c r="AB950" s="77"/>
      <c r="AC950" s="82" t="s">
        <v>10155</v>
      </c>
      <c r="AD950" s="77" t="s">
        <v>10184</v>
      </c>
      <c r="AE950" s="80" t="str">
        <f>HYPERLINK("https://twitter.com/freeclassific/status/1656288476491571200")</f>
        <v>https://twitter.com/freeclassific/status/1656288476491571200</v>
      </c>
      <c r="AF950" s="79">
        <v>45056.556932870371</v>
      </c>
      <c r="AG950" s="85">
        <v>45056</v>
      </c>
      <c r="AH950" s="82" t="s">
        <v>11101</v>
      </c>
      <c r="AI950" s="77" t="b">
        <v>0</v>
      </c>
      <c r="AJ950" s="77"/>
      <c r="AK950" s="77"/>
      <c r="AL950" s="77"/>
      <c r="AM950" s="77"/>
      <c r="AN950" s="77"/>
      <c r="AO950" s="77"/>
      <c r="AP950" s="77"/>
      <c r="AQ950" s="77"/>
      <c r="AR950" s="77"/>
      <c r="AS950" s="77"/>
      <c r="AT950" s="77"/>
      <c r="AU950" s="77"/>
      <c r="AV950" s="80" t="str">
        <f>HYPERLINK("https://pbs.twimg.com/profile_images/1431648743728852993/tLJ7F5Lu_normal.png")</f>
        <v>https://pbs.twimg.com/profile_images/1431648743728852993/tLJ7F5Lu_normal.png</v>
      </c>
      <c r="AW950" s="82" t="s">
        <v>17723</v>
      </c>
      <c r="AX950" s="82" t="s">
        <v>17723</v>
      </c>
      <c r="AY950" s="77"/>
      <c r="AZ950" s="82" t="s">
        <v>20971</v>
      </c>
      <c r="BA950" s="82" t="s">
        <v>20971</v>
      </c>
      <c r="BB950" s="82" t="s">
        <v>20971</v>
      </c>
      <c r="BC950" s="82" t="s">
        <v>17723</v>
      </c>
      <c r="BD950" s="77">
        <v>489723814</v>
      </c>
      <c r="BE950" s="77"/>
      <c r="BF950" s="77"/>
      <c r="BG950" s="77"/>
      <c r="BH950" s="77"/>
      <c r="BI950" s="77"/>
    </row>
    <row r="951" spans="1:61" x14ac:dyDescent="0.25">
      <c r="A951" s="62" t="s">
        <v>418</v>
      </c>
      <c r="B951" s="62" t="s">
        <v>418</v>
      </c>
      <c r="C951" s="63"/>
      <c r="D951" s="64"/>
      <c r="E951" s="65"/>
      <c r="F951" s="66"/>
      <c r="G951" s="63"/>
      <c r="H951" s="67"/>
      <c r="I951" s="68"/>
      <c r="J951" s="68"/>
      <c r="K951" s="32"/>
      <c r="L951" s="75">
        <v>951</v>
      </c>
      <c r="M951" s="75"/>
      <c r="N951" s="70"/>
      <c r="O951" s="77" t="s">
        <v>179</v>
      </c>
      <c r="P951" s="79">
        <v>45056.418229166666</v>
      </c>
      <c r="Q951" s="77" t="s">
        <v>2217</v>
      </c>
      <c r="R951" s="77">
        <v>0</v>
      </c>
      <c r="S951" s="77">
        <v>0</v>
      </c>
      <c r="T951" s="77">
        <v>0</v>
      </c>
      <c r="U951" s="77">
        <v>0</v>
      </c>
      <c r="V951" s="77">
        <v>14</v>
      </c>
      <c r="W951" s="82" t="s">
        <v>5560</v>
      </c>
      <c r="X951" s="80" t="str">
        <f>HYPERLINK("https://www.freeclassificados.com/ads/promocao-gravacao-de-propagandas-pelo-menor-preco-leo-santos-locutor/")</f>
        <v>https://www.freeclassificados.com/ads/promocao-gravacao-de-propagandas-pelo-menor-preco-leo-santos-locutor/</v>
      </c>
      <c r="Y951" s="77" t="s">
        <v>7308</v>
      </c>
      <c r="Z951" s="77"/>
      <c r="AA951" s="77"/>
      <c r="AB951" s="77"/>
      <c r="AC951" s="82" t="s">
        <v>10155</v>
      </c>
      <c r="AD951" s="77" t="s">
        <v>10184</v>
      </c>
      <c r="AE951" s="80" t="str">
        <f>HYPERLINK("https://twitter.com/freeclassific/status/1656238211474264069")</f>
        <v>https://twitter.com/freeclassific/status/1656238211474264069</v>
      </c>
      <c r="AF951" s="79">
        <v>45056.418229166666</v>
      </c>
      <c r="AG951" s="85">
        <v>45056</v>
      </c>
      <c r="AH951" s="82" t="s">
        <v>11102</v>
      </c>
      <c r="AI951" s="77" t="b">
        <v>0</v>
      </c>
      <c r="AJ951" s="77"/>
      <c r="AK951" s="77"/>
      <c r="AL951" s="77"/>
      <c r="AM951" s="77"/>
      <c r="AN951" s="77"/>
      <c r="AO951" s="77"/>
      <c r="AP951" s="77"/>
      <c r="AQ951" s="77"/>
      <c r="AR951" s="77"/>
      <c r="AS951" s="77"/>
      <c r="AT951" s="77"/>
      <c r="AU951" s="77"/>
      <c r="AV951" s="80" t="str">
        <f>HYPERLINK("https://pbs.twimg.com/profile_images/1431648743728852993/tLJ7F5Lu_normal.png")</f>
        <v>https://pbs.twimg.com/profile_images/1431648743728852993/tLJ7F5Lu_normal.png</v>
      </c>
      <c r="AW951" s="82" t="s">
        <v>17724</v>
      </c>
      <c r="AX951" s="82" t="s">
        <v>17724</v>
      </c>
      <c r="AY951" s="77"/>
      <c r="AZ951" s="82" t="s">
        <v>20971</v>
      </c>
      <c r="BA951" s="82" t="s">
        <v>20971</v>
      </c>
      <c r="BB951" s="82" t="s">
        <v>20971</v>
      </c>
      <c r="BC951" s="82" t="s">
        <v>17724</v>
      </c>
      <c r="BD951" s="77">
        <v>489723814</v>
      </c>
      <c r="BE951" s="77"/>
      <c r="BF951" s="77"/>
      <c r="BG951" s="77"/>
      <c r="BH951" s="77"/>
      <c r="BI951" s="77"/>
    </row>
    <row r="952" spans="1:61" x14ac:dyDescent="0.25">
      <c r="A952" s="62" t="s">
        <v>418</v>
      </c>
      <c r="B952" s="62" t="s">
        <v>418</v>
      </c>
      <c r="C952" s="63"/>
      <c r="D952" s="64"/>
      <c r="E952" s="65"/>
      <c r="F952" s="66"/>
      <c r="G952" s="63"/>
      <c r="H952" s="67"/>
      <c r="I952" s="68"/>
      <c r="J952" s="68"/>
      <c r="K952" s="32"/>
      <c r="L952" s="75">
        <v>952</v>
      </c>
      <c r="M952" s="75"/>
      <c r="N952" s="70"/>
      <c r="O952" s="77" t="s">
        <v>179</v>
      </c>
      <c r="P952" s="79">
        <v>45035.939444444448</v>
      </c>
      <c r="Q952" s="77" t="s">
        <v>2218</v>
      </c>
      <c r="R952" s="77">
        <v>0</v>
      </c>
      <c r="S952" s="77">
        <v>0</v>
      </c>
      <c r="T952" s="77">
        <v>0</v>
      </c>
      <c r="U952" s="77">
        <v>0</v>
      </c>
      <c r="V952" s="77">
        <v>12</v>
      </c>
      <c r="W952" s="82" t="s">
        <v>5335</v>
      </c>
      <c r="X952" s="80" t="str">
        <f>HYPERLINK("https://www.freeclassificados.com/ads/lote-de-terreno-em-itai-sp-com-500-m2-na-represa-de-jurumirim/")</f>
        <v>https://www.freeclassificados.com/ads/lote-de-terreno-em-itai-sp-com-500-m2-na-represa-de-jurumirim/</v>
      </c>
      <c r="Y952" s="77" t="s">
        <v>7308</v>
      </c>
      <c r="Z952" s="77"/>
      <c r="AA952" s="77"/>
      <c r="AB952" s="77"/>
      <c r="AC952" s="82" t="s">
        <v>10155</v>
      </c>
      <c r="AD952" s="77" t="s">
        <v>10184</v>
      </c>
      <c r="AE952" s="80" t="str">
        <f>HYPERLINK("https://twitter.com/freeclassific/status/1648816947222708224")</f>
        <v>https://twitter.com/freeclassific/status/1648816947222708224</v>
      </c>
      <c r="AF952" s="79">
        <v>45035.939444444448</v>
      </c>
      <c r="AG952" s="85">
        <v>45035</v>
      </c>
      <c r="AH952" s="82" t="s">
        <v>11103</v>
      </c>
      <c r="AI952" s="77" t="b">
        <v>0</v>
      </c>
      <c r="AJ952" s="77"/>
      <c r="AK952" s="77"/>
      <c r="AL952" s="77"/>
      <c r="AM952" s="77"/>
      <c r="AN952" s="77"/>
      <c r="AO952" s="77"/>
      <c r="AP952" s="77"/>
      <c r="AQ952" s="77"/>
      <c r="AR952" s="77"/>
      <c r="AS952" s="77"/>
      <c r="AT952" s="77"/>
      <c r="AU952" s="77"/>
      <c r="AV952" s="80" t="str">
        <f>HYPERLINK("https://pbs.twimg.com/profile_images/1431648743728852993/tLJ7F5Lu_normal.png")</f>
        <v>https://pbs.twimg.com/profile_images/1431648743728852993/tLJ7F5Lu_normal.png</v>
      </c>
      <c r="AW952" s="82" t="s">
        <v>17725</v>
      </c>
      <c r="AX952" s="82" t="s">
        <v>17725</v>
      </c>
      <c r="AY952" s="77"/>
      <c r="AZ952" s="82" t="s">
        <v>20971</v>
      </c>
      <c r="BA952" s="82" t="s">
        <v>20971</v>
      </c>
      <c r="BB952" s="82" t="s">
        <v>20971</v>
      </c>
      <c r="BC952" s="82" t="s">
        <v>17725</v>
      </c>
      <c r="BD952" s="77">
        <v>489723814</v>
      </c>
      <c r="BE952" s="77"/>
      <c r="BF952" s="77"/>
      <c r="BG952" s="77"/>
      <c r="BH952" s="77"/>
      <c r="BI952" s="77"/>
    </row>
    <row r="953" spans="1:61" x14ac:dyDescent="0.25">
      <c r="A953" s="62" t="s">
        <v>418</v>
      </c>
      <c r="B953" s="62" t="s">
        <v>418</v>
      </c>
      <c r="C953" s="63"/>
      <c r="D953" s="64"/>
      <c r="E953" s="65"/>
      <c r="F953" s="66"/>
      <c r="G953" s="63"/>
      <c r="H953" s="67"/>
      <c r="I953" s="68"/>
      <c r="J953" s="68"/>
      <c r="K953" s="32"/>
      <c r="L953" s="75">
        <v>953</v>
      </c>
      <c r="M953" s="75"/>
      <c r="N953" s="70"/>
      <c r="O953" s="77" t="s">
        <v>179</v>
      </c>
      <c r="P953" s="79">
        <v>45035.934201388889</v>
      </c>
      <c r="Q953" s="77" t="s">
        <v>2219</v>
      </c>
      <c r="R953" s="77">
        <v>0</v>
      </c>
      <c r="S953" s="77">
        <v>0</v>
      </c>
      <c r="T953" s="77">
        <v>0</v>
      </c>
      <c r="U953" s="77">
        <v>0</v>
      </c>
      <c r="V953" s="77">
        <v>11</v>
      </c>
      <c r="W953" s="82" t="s">
        <v>5335</v>
      </c>
      <c r="X953" s="80" t="str">
        <f>HYPERLINK("https://www.freeclassificados.com/ads/casa-de-campo-em-condominio-arandu-sp-na-represa-de-jurumirim/")</f>
        <v>https://www.freeclassificados.com/ads/casa-de-campo-em-condominio-arandu-sp-na-represa-de-jurumirim/</v>
      </c>
      <c r="Y953" s="77" t="s">
        <v>7308</v>
      </c>
      <c r="Z953" s="77"/>
      <c r="AA953" s="77"/>
      <c r="AB953" s="77"/>
      <c r="AC953" s="82" t="s">
        <v>10155</v>
      </c>
      <c r="AD953" s="77" t="s">
        <v>10184</v>
      </c>
      <c r="AE953" s="80" t="str">
        <f>HYPERLINK("https://twitter.com/freeclassific/status/1648815046997479425")</f>
        <v>https://twitter.com/freeclassific/status/1648815046997479425</v>
      </c>
      <c r="AF953" s="79">
        <v>45035.934201388889</v>
      </c>
      <c r="AG953" s="85">
        <v>45035</v>
      </c>
      <c r="AH953" s="82" t="s">
        <v>11104</v>
      </c>
      <c r="AI953" s="77" t="b">
        <v>0</v>
      </c>
      <c r="AJ953" s="77"/>
      <c r="AK953" s="77"/>
      <c r="AL953" s="77"/>
      <c r="AM953" s="77"/>
      <c r="AN953" s="77"/>
      <c r="AO953" s="77"/>
      <c r="AP953" s="77"/>
      <c r="AQ953" s="77"/>
      <c r="AR953" s="77"/>
      <c r="AS953" s="77"/>
      <c r="AT953" s="77"/>
      <c r="AU953" s="77"/>
      <c r="AV953" s="80" t="str">
        <f>HYPERLINK("https://pbs.twimg.com/profile_images/1431648743728852993/tLJ7F5Lu_normal.png")</f>
        <v>https://pbs.twimg.com/profile_images/1431648743728852993/tLJ7F5Lu_normal.png</v>
      </c>
      <c r="AW953" s="82" t="s">
        <v>17726</v>
      </c>
      <c r="AX953" s="82" t="s">
        <v>17726</v>
      </c>
      <c r="AY953" s="77"/>
      <c r="AZ953" s="82" t="s">
        <v>20971</v>
      </c>
      <c r="BA953" s="82" t="s">
        <v>20971</v>
      </c>
      <c r="BB953" s="82" t="s">
        <v>20971</v>
      </c>
      <c r="BC953" s="82" t="s">
        <v>17726</v>
      </c>
      <c r="BD953" s="77">
        <v>489723814</v>
      </c>
      <c r="BE953" s="77"/>
      <c r="BF953" s="77"/>
      <c r="BG953" s="77"/>
      <c r="BH953" s="77"/>
      <c r="BI953" s="77"/>
    </row>
    <row r="954" spans="1:61" x14ac:dyDescent="0.25">
      <c r="A954" s="62" t="s">
        <v>418</v>
      </c>
      <c r="B954" s="62" t="s">
        <v>418</v>
      </c>
      <c r="C954" s="63"/>
      <c r="D954" s="64"/>
      <c r="E954" s="65"/>
      <c r="F954" s="66"/>
      <c r="G954" s="63"/>
      <c r="H954" s="67"/>
      <c r="I954" s="68"/>
      <c r="J954" s="68"/>
      <c r="K954" s="32"/>
      <c r="L954" s="75">
        <v>954</v>
      </c>
      <c r="M954" s="75"/>
      <c r="N954" s="70"/>
      <c r="O954" s="77" t="s">
        <v>179</v>
      </c>
      <c r="P954" s="79">
        <v>45035.927465277775</v>
      </c>
      <c r="Q954" s="77" t="s">
        <v>2220</v>
      </c>
      <c r="R954" s="77">
        <v>0</v>
      </c>
      <c r="S954" s="77">
        <v>0</v>
      </c>
      <c r="T954" s="77">
        <v>0</v>
      </c>
      <c r="U954" s="77">
        <v>0</v>
      </c>
      <c r="V954" s="77">
        <v>50</v>
      </c>
      <c r="W954" s="82" t="s">
        <v>5335</v>
      </c>
      <c r="X954" s="80" t="str">
        <f>HYPERLINK("https://www.freeclassificados.com/ads/sobrado-comercial-ou-residencial-na-vila-mariana-proximo-dos-metros-vila-mariana-santa-cruz-e-klabin/")</f>
        <v>https://www.freeclassificados.com/ads/sobrado-comercial-ou-residencial-na-vila-mariana-proximo-dos-metros-vila-mariana-santa-cruz-e-klabin/</v>
      </c>
      <c r="Y954" s="77" t="s">
        <v>7308</v>
      </c>
      <c r="Z954" s="77"/>
      <c r="AA954" s="77"/>
      <c r="AB954" s="77"/>
      <c r="AC954" s="82" t="s">
        <v>10155</v>
      </c>
      <c r="AD954" s="77" t="s">
        <v>10184</v>
      </c>
      <c r="AE954" s="80" t="str">
        <f>HYPERLINK("https://twitter.com/freeclassific/status/1648812608475234306")</f>
        <v>https://twitter.com/freeclassific/status/1648812608475234306</v>
      </c>
      <c r="AF954" s="79">
        <v>45035.927465277775</v>
      </c>
      <c r="AG954" s="85">
        <v>45035</v>
      </c>
      <c r="AH954" s="82" t="s">
        <v>11105</v>
      </c>
      <c r="AI954" s="77" t="b">
        <v>0</v>
      </c>
      <c r="AJ954" s="77"/>
      <c r="AK954" s="77"/>
      <c r="AL954" s="77"/>
      <c r="AM954" s="77"/>
      <c r="AN954" s="77"/>
      <c r="AO954" s="77"/>
      <c r="AP954" s="77"/>
      <c r="AQ954" s="77"/>
      <c r="AR954" s="77"/>
      <c r="AS954" s="77"/>
      <c r="AT954" s="77"/>
      <c r="AU954" s="77"/>
      <c r="AV954" s="80" t="str">
        <f>HYPERLINK("https://pbs.twimg.com/profile_images/1431648743728852993/tLJ7F5Lu_normal.png")</f>
        <v>https://pbs.twimg.com/profile_images/1431648743728852993/tLJ7F5Lu_normal.png</v>
      </c>
      <c r="AW954" s="82" t="s">
        <v>17727</v>
      </c>
      <c r="AX954" s="82" t="s">
        <v>17727</v>
      </c>
      <c r="AY954" s="77"/>
      <c r="AZ954" s="82" t="s">
        <v>20971</v>
      </c>
      <c r="BA954" s="82" t="s">
        <v>20971</v>
      </c>
      <c r="BB954" s="82" t="s">
        <v>20971</v>
      </c>
      <c r="BC954" s="82" t="s">
        <v>17727</v>
      </c>
      <c r="BD954" s="77">
        <v>489723814</v>
      </c>
      <c r="BE954" s="77"/>
      <c r="BF954" s="77"/>
      <c r="BG954" s="77"/>
      <c r="BH954" s="77"/>
      <c r="BI954" s="77"/>
    </row>
    <row r="955" spans="1:61" x14ac:dyDescent="0.25">
      <c r="A955" s="62" t="s">
        <v>418</v>
      </c>
      <c r="B955" s="62" t="s">
        <v>418</v>
      </c>
      <c r="C955" s="63"/>
      <c r="D955" s="64"/>
      <c r="E955" s="65"/>
      <c r="F955" s="66"/>
      <c r="G955" s="63"/>
      <c r="H955" s="67"/>
      <c r="I955" s="68"/>
      <c r="J955" s="68"/>
      <c r="K955" s="32"/>
      <c r="L955" s="75">
        <v>955</v>
      </c>
      <c r="M955" s="75"/>
      <c r="N955" s="70"/>
      <c r="O955" s="77" t="s">
        <v>179</v>
      </c>
      <c r="P955" s="79">
        <v>45035.911273148151</v>
      </c>
      <c r="Q955" s="77" t="s">
        <v>2221</v>
      </c>
      <c r="R955" s="77">
        <v>0</v>
      </c>
      <c r="S955" s="77">
        <v>0</v>
      </c>
      <c r="T955" s="77">
        <v>0</v>
      </c>
      <c r="U955" s="77">
        <v>0</v>
      </c>
      <c r="V955" s="77">
        <v>64</v>
      </c>
      <c r="W955" s="82" t="s">
        <v>5335</v>
      </c>
      <c r="X955" s="80" t="str">
        <f>HYPERLINK("https://www.freeclassificados.com/ads/terreno-de-1-753-m2-na-vila-mariana-klabin-proximo-do-metro/")</f>
        <v>https://www.freeclassificados.com/ads/terreno-de-1-753-m2-na-vila-mariana-klabin-proximo-do-metro/</v>
      </c>
      <c r="Y955" s="77" t="s">
        <v>7308</v>
      </c>
      <c r="Z955" s="77"/>
      <c r="AA955" s="77"/>
      <c r="AB955" s="77"/>
      <c r="AC955" s="82" t="s">
        <v>10155</v>
      </c>
      <c r="AD955" s="77" t="s">
        <v>10184</v>
      </c>
      <c r="AE955" s="80" t="str">
        <f>HYPERLINK("https://twitter.com/freeclassific/status/1648806738202869761")</f>
        <v>https://twitter.com/freeclassific/status/1648806738202869761</v>
      </c>
      <c r="AF955" s="79">
        <v>45035.911273148151</v>
      </c>
      <c r="AG955" s="85">
        <v>45035</v>
      </c>
      <c r="AH955" s="82" t="s">
        <v>11106</v>
      </c>
      <c r="AI955" s="77" t="b">
        <v>0</v>
      </c>
      <c r="AJ955" s="77"/>
      <c r="AK955" s="77"/>
      <c r="AL955" s="77"/>
      <c r="AM955" s="77"/>
      <c r="AN955" s="77"/>
      <c r="AO955" s="77"/>
      <c r="AP955" s="77"/>
      <c r="AQ955" s="77"/>
      <c r="AR955" s="77"/>
      <c r="AS955" s="77"/>
      <c r="AT955" s="77"/>
      <c r="AU955" s="77"/>
      <c r="AV955" s="80" t="str">
        <f>HYPERLINK("https://pbs.twimg.com/profile_images/1431648743728852993/tLJ7F5Lu_normal.png")</f>
        <v>https://pbs.twimg.com/profile_images/1431648743728852993/tLJ7F5Lu_normal.png</v>
      </c>
      <c r="AW955" s="82" t="s">
        <v>17728</v>
      </c>
      <c r="AX955" s="82" t="s">
        <v>17728</v>
      </c>
      <c r="AY955" s="77"/>
      <c r="AZ955" s="82" t="s">
        <v>20971</v>
      </c>
      <c r="BA955" s="82" t="s">
        <v>20971</v>
      </c>
      <c r="BB955" s="82" t="s">
        <v>20971</v>
      </c>
      <c r="BC955" s="82" t="s">
        <v>17728</v>
      </c>
      <c r="BD955" s="77">
        <v>489723814</v>
      </c>
      <c r="BE955" s="77"/>
      <c r="BF955" s="77"/>
      <c r="BG955" s="77"/>
      <c r="BH955" s="77"/>
      <c r="BI955" s="77"/>
    </row>
    <row r="956" spans="1:61" x14ac:dyDescent="0.25">
      <c r="A956" s="62" t="s">
        <v>418</v>
      </c>
      <c r="B956" s="62" t="s">
        <v>418</v>
      </c>
      <c r="C956" s="63"/>
      <c r="D956" s="64"/>
      <c r="E956" s="65"/>
      <c r="F956" s="66"/>
      <c r="G956" s="63"/>
      <c r="H956" s="67"/>
      <c r="I956" s="68"/>
      <c r="J956" s="68"/>
      <c r="K956" s="32"/>
      <c r="L956" s="75">
        <v>956</v>
      </c>
      <c r="M956" s="75"/>
      <c r="N956" s="70"/>
      <c r="O956" s="77" t="s">
        <v>179</v>
      </c>
      <c r="P956" s="79">
        <v>45035.900509259256</v>
      </c>
      <c r="Q956" s="77" t="s">
        <v>2222</v>
      </c>
      <c r="R956" s="77">
        <v>0</v>
      </c>
      <c r="S956" s="77">
        <v>0</v>
      </c>
      <c r="T956" s="77">
        <v>0</v>
      </c>
      <c r="U956" s="77">
        <v>0</v>
      </c>
      <c r="V956" s="77">
        <v>59</v>
      </c>
      <c r="W956" s="82" t="s">
        <v>5335</v>
      </c>
      <c r="X956" s="80" t="str">
        <f>HYPERLINK("https://www.freeclassificados.com/ads/pequeno-sobrado-comercial-ou-residencial-na-vila-mariana-vila-clementino-proximo-dos-metros/")</f>
        <v>https://www.freeclassificados.com/ads/pequeno-sobrado-comercial-ou-residencial-na-vila-mariana-vila-clementino-proximo-dos-metros/</v>
      </c>
      <c r="Y956" s="77" t="s">
        <v>7308</v>
      </c>
      <c r="Z956" s="77"/>
      <c r="AA956" s="77"/>
      <c r="AB956" s="77"/>
      <c r="AC956" s="82" t="s">
        <v>10155</v>
      </c>
      <c r="AD956" s="77" t="s">
        <v>10184</v>
      </c>
      <c r="AE956" s="80" t="str">
        <f>HYPERLINK("https://twitter.com/freeclassific/status/1648802839320477696")</f>
        <v>https://twitter.com/freeclassific/status/1648802839320477696</v>
      </c>
      <c r="AF956" s="79">
        <v>45035.900509259256</v>
      </c>
      <c r="AG956" s="85">
        <v>45035</v>
      </c>
      <c r="AH956" s="82" t="s">
        <v>11107</v>
      </c>
      <c r="AI956" s="77" t="b">
        <v>0</v>
      </c>
      <c r="AJ956" s="77"/>
      <c r="AK956" s="77"/>
      <c r="AL956" s="77"/>
      <c r="AM956" s="77"/>
      <c r="AN956" s="77"/>
      <c r="AO956" s="77"/>
      <c r="AP956" s="77"/>
      <c r="AQ956" s="77"/>
      <c r="AR956" s="77"/>
      <c r="AS956" s="77"/>
      <c r="AT956" s="77"/>
      <c r="AU956" s="77"/>
      <c r="AV956" s="80" t="str">
        <f>HYPERLINK("https://pbs.twimg.com/profile_images/1431648743728852993/tLJ7F5Lu_normal.png")</f>
        <v>https://pbs.twimg.com/profile_images/1431648743728852993/tLJ7F5Lu_normal.png</v>
      </c>
      <c r="AW956" s="82" t="s">
        <v>17729</v>
      </c>
      <c r="AX956" s="82" t="s">
        <v>17729</v>
      </c>
      <c r="AY956" s="77"/>
      <c r="AZ956" s="82" t="s">
        <v>20971</v>
      </c>
      <c r="BA956" s="82" t="s">
        <v>20971</v>
      </c>
      <c r="BB956" s="82" t="s">
        <v>20971</v>
      </c>
      <c r="BC956" s="82" t="s">
        <v>17729</v>
      </c>
      <c r="BD956" s="77">
        <v>489723814</v>
      </c>
      <c r="BE956" s="77"/>
      <c r="BF956" s="77"/>
      <c r="BG956" s="77"/>
      <c r="BH956" s="77"/>
      <c r="BI956" s="77"/>
    </row>
    <row r="957" spans="1:61" x14ac:dyDescent="0.25">
      <c r="A957" s="62" t="s">
        <v>418</v>
      </c>
      <c r="B957" s="62" t="s">
        <v>418</v>
      </c>
      <c r="C957" s="63"/>
      <c r="D957" s="64"/>
      <c r="E957" s="65"/>
      <c r="F957" s="66"/>
      <c r="G957" s="63"/>
      <c r="H957" s="67"/>
      <c r="I957" s="68"/>
      <c r="J957" s="68"/>
      <c r="K957" s="32"/>
      <c r="L957" s="75">
        <v>957</v>
      </c>
      <c r="M957" s="75"/>
      <c r="N957" s="70"/>
      <c r="O957" s="77" t="s">
        <v>179</v>
      </c>
      <c r="P957" s="79">
        <v>45035.888148148151</v>
      </c>
      <c r="Q957" s="77" t="s">
        <v>2223</v>
      </c>
      <c r="R957" s="77">
        <v>0</v>
      </c>
      <c r="S957" s="77">
        <v>0</v>
      </c>
      <c r="T957" s="77">
        <v>0</v>
      </c>
      <c r="U957" s="77">
        <v>0</v>
      </c>
      <c r="V957" s="77">
        <v>56</v>
      </c>
      <c r="W957" s="82" t="s">
        <v>5335</v>
      </c>
      <c r="X957" s="80" t="str">
        <f>HYPERLINK("https://www.freeclassificados.com/ads/sobrado-comercial-na-vila-mariana-vila-clementino-proximo-dos-metros/")</f>
        <v>https://www.freeclassificados.com/ads/sobrado-comercial-na-vila-mariana-vila-clementino-proximo-dos-metros/</v>
      </c>
      <c r="Y957" s="77" t="s">
        <v>7308</v>
      </c>
      <c r="Z957" s="77"/>
      <c r="AA957" s="77"/>
      <c r="AB957" s="77"/>
      <c r="AC957" s="82" t="s">
        <v>10155</v>
      </c>
      <c r="AD957" s="77" t="s">
        <v>10184</v>
      </c>
      <c r="AE957" s="80" t="str">
        <f>HYPERLINK("https://twitter.com/freeclassific/status/1648798359040434176")</f>
        <v>https://twitter.com/freeclassific/status/1648798359040434176</v>
      </c>
      <c r="AF957" s="79">
        <v>45035.888148148151</v>
      </c>
      <c r="AG957" s="85">
        <v>45035</v>
      </c>
      <c r="AH957" s="82" t="s">
        <v>11108</v>
      </c>
      <c r="AI957" s="77" t="b">
        <v>0</v>
      </c>
      <c r="AJ957" s="77"/>
      <c r="AK957" s="77"/>
      <c r="AL957" s="77"/>
      <c r="AM957" s="77"/>
      <c r="AN957" s="77"/>
      <c r="AO957" s="77"/>
      <c r="AP957" s="77"/>
      <c r="AQ957" s="77"/>
      <c r="AR957" s="77"/>
      <c r="AS957" s="77"/>
      <c r="AT957" s="77"/>
      <c r="AU957" s="77"/>
      <c r="AV957" s="80" t="str">
        <f>HYPERLINK("https://pbs.twimg.com/profile_images/1431648743728852993/tLJ7F5Lu_normal.png")</f>
        <v>https://pbs.twimg.com/profile_images/1431648743728852993/tLJ7F5Lu_normal.png</v>
      </c>
      <c r="AW957" s="82" t="s">
        <v>17730</v>
      </c>
      <c r="AX957" s="82" t="s">
        <v>17730</v>
      </c>
      <c r="AY957" s="77"/>
      <c r="AZ957" s="82" t="s">
        <v>20971</v>
      </c>
      <c r="BA957" s="82" t="s">
        <v>20971</v>
      </c>
      <c r="BB957" s="82" t="s">
        <v>20971</v>
      </c>
      <c r="BC957" s="82" t="s">
        <v>17730</v>
      </c>
      <c r="BD957" s="77">
        <v>489723814</v>
      </c>
      <c r="BE957" s="77"/>
      <c r="BF957" s="77"/>
      <c r="BG957" s="77"/>
      <c r="BH957" s="77"/>
      <c r="BI957" s="77"/>
    </row>
    <row r="958" spans="1:61" x14ac:dyDescent="0.25">
      <c r="A958" s="62" t="s">
        <v>418</v>
      </c>
      <c r="B958" s="62" t="s">
        <v>418</v>
      </c>
      <c r="C958" s="63"/>
      <c r="D958" s="64"/>
      <c r="E958" s="65"/>
      <c r="F958" s="66"/>
      <c r="G958" s="63"/>
      <c r="H958" s="67"/>
      <c r="I958" s="68"/>
      <c r="J958" s="68"/>
      <c r="K958" s="32"/>
      <c r="L958" s="75">
        <v>958</v>
      </c>
      <c r="M958" s="75"/>
      <c r="N958" s="70"/>
      <c r="O958" s="77" t="s">
        <v>179</v>
      </c>
      <c r="P958" s="79">
        <v>45035.879988425928</v>
      </c>
      <c r="Q958" s="77" t="s">
        <v>2224</v>
      </c>
      <c r="R958" s="77">
        <v>0</v>
      </c>
      <c r="S958" s="77">
        <v>0</v>
      </c>
      <c r="T958" s="77">
        <v>0</v>
      </c>
      <c r="U958" s="77">
        <v>0</v>
      </c>
      <c r="V958" s="77">
        <v>21</v>
      </c>
      <c r="W958" s="82" t="s">
        <v>5335</v>
      </c>
      <c r="X958" s="80" t="str">
        <f>HYPERLINK("https://www.freeclassificados.com/ads/galpoes-lojas-e-terrenos-em-varias-regioes-locacao-este-no-jabaquara-ou-metro-sao-judas/")</f>
        <v>https://www.freeclassificados.com/ads/galpoes-lojas-e-terrenos-em-varias-regioes-locacao-este-no-jabaquara-ou-metro-sao-judas/</v>
      </c>
      <c r="Y958" s="77" t="s">
        <v>7308</v>
      </c>
      <c r="Z958" s="77"/>
      <c r="AA958" s="77"/>
      <c r="AB958" s="77"/>
      <c r="AC958" s="82" t="s">
        <v>10155</v>
      </c>
      <c r="AD958" s="77" t="s">
        <v>10184</v>
      </c>
      <c r="AE958" s="80" t="str">
        <f>HYPERLINK("https://twitter.com/freeclassific/status/1648795400458084352")</f>
        <v>https://twitter.com/freeclassific/status/1648795400458084352</v>
      </c>
      <c r="AF958" s="79">
        <v>45035.879988425928</v>
      </c>
      <c r="AG958" s="85">
        <v>45035</v>
      </c>
      <c r="AH958" s="82" t="s">
        <v>11109</v>
      </c>
      <c r="AI958" s="77" t="b">
        <v>0</v>
      </c>
      <c r="AJ958" s="77"/>
      <c r="AK958" s="77"/>
      <c r="AL958" s="77"/>
      <c r="AM958" s="77"/>
      <c r="AN958" s="77"/>
      <c r="AO958" s="77"/>
      <c r="AP958" s="77"/>
      <c r="AQ958" s="77"/>
      <c r="AR958" s="77"/>
      <c r="AS958" s="77"/>
      <c r="AT958" s="77"/>
      <c r="AU958" s="77"/>
      <c r="AV958" s="80" t="str">
        <f>HYPERLINK("https://pbs.twimg.com/profile_images/1431648743728852993/tLJ7F5Lu_normal.png")</f>
        <v>https://pbs.twimg.com/profile_images/1431648743728852993/tLJ7F5Lu_normal.png</v>
      </c>
      <c r="AW958" s="82" t="s">
        <v>17731</v>
      </c>
      <c r="AX958" s="82" t="s">
        <v>17731</v>
      </c>
      <c r="AY958" s="77"/>
      <c r="AZ958" s="82" t="s">
        <v>20971</v>
      </c>
      <c r="BA958" s="82" t="s">
        <v>20971</v>
      </c>
      <c r="BB958" s="82" t="s">
        <v>20971</v>
      </c>
      <c r="BC958" s="82" t="s">
        <v>17731</v>
      </c>
      <c r="BD958" s="77">
        <v>489723814</v>
      </c>
      <c r="BE958" s="77"/>
      <c r="BF958" s="77"/>
      <c r="BG958" s="77"/>
      <c r="BH958" s="77"/>
      <c r="BI958" s="77"/>
    </row>
    <row r="959" spans="1:61" x14ac:dyDescent="0.25">
      <c r="A959" s="62" t="s">
        <v>418</v>
      </c>
      <c r="B959" s="62" t="s">
        <v>418</v>
      </c>
      <c r="C959" s="63"/>
      <c r="D959" s="64"/>
      <c r="E959" s="65"/>
      <c r="F959" s="66"/>
      <c r="G959" s="63"/>
      <c r="H959" s="67"/>
      <c r="I959" s="68"/>
      <c r="J959" s="68"/>
      <c r="K959" s="32"/>
      <c r="L959" s="75">
        <v>959</v>
      </c>
      <c r="M959" s="75"/>
      <c r="N959" s="70"/>
      <c r="O959" s="77" t="s">
        <v>179</v>
      </c>
      <c r="P959" s="79">
        <v>45035.869467592594</v>
      </c>
      <c r="Q959" s="77" t="s">
        <v>2225</v>
      </c>
      <c r="R959" s="77">
        <v>0</v>
      </c>
      <c r="S959" s="77">
        <v>0</v>
      </c>
      <c r="T959" s="77">
        <v>0</v>
      </c>
      <c r="U959" s="77">
        <v>0</v>
      </c>
      <c r="V959" s="77">
        <v>36</v>
      </c>
      <c r="W959" s="82" t="s">
        <v>5335</v>
      </c>
      <c r="X959" s="80" t="str">
        <f>HYPERLINK("https://www.freeclassificados.com/ads/apartamento-de-4-dormitorios-na-vila-clementino-vila-mariana-e-proximos-dos-metros/")</f>
        <v>https://www.freeclassificados.com/ads/apartamento-de-4-dormitorios-na-vila-clementino-vila-mariana-e-proximos-dos-metros/</v>
      </c>
      <c r="Y959" s="77" t="s">
        <v>7308</v>
      </c>
      <c r="Z959" s="77"/>
      <c r="AA959" s="77"/>
      <c r="AB959" s="77"/>
      <c r="AC959" s="82" t="s">
        <v>10155</v>
      </c>
      <c r="AD959" s="77" t="s">
        <v>10184</v>
      </c>
      <c r="AE959" s="80" t="str">
        <f>HYPERLINK("https://twitter.com/freeclassific/status/1648791590020980736")</f>
        <v>https://twitter.com/freeclassific/status/1648791590020980736</v>
      </c>
      <c r="AF959" s="79">
        <v>45035.869467592594</v>
      </c>
      <c r="AG959" s="85">
        <v>45035</v>
      </c>
      <c r="AH959" s="82" t="s">
        <v>11110</v>
      </c>
      <c r="AI959" s="77" t="b">
        <v>0</v>
      </c>
      <c r="AJ959" s="77"/>
      <c r="AK959" s="77"/>
      <c r="AL959" s="77"/>
      <c r="AM959" s="77"/>
      <c r="AN959" s="77"/>
      <c r="AO959" s="77"/>
      <c r="AP959" s="77"/>
      <c r="AQ959" s="77"/>
      <c r="AR959" s="77"/>
      <c r="AS959" s="77"/>
      <c r="AT959" s="77"/>
      <c r="AU959" s="77"/>
      <c r="AV959" s="80" t="str">
        <f>HYPERLINK("https://pbs.twimg.com/profile_images/1431648743728852993/tLJ7F5Lu_normal.png")</f>
        <v>https://pbs.twimg.com/profile_images/1431648743728852993/tLJ7F5Lu_normal.png</v>
      </c>
      <c r="AW959" s="82" t="s">
        <v>17732</v>
      </c>
      <c r="AX959" s="82" t="s">
        <v>17732</v>
      </c>
      <c r="AY959" s="77"/>
      <c r="AZ959" s="82" t="s">
        <v>20971</v>
      </c>
      <c r="BA959" s="82" t="s">
        <v>20971</v>
      </c>
      <c r="BB959" s="82" t="s">
        <v>20971</v>
      </c>
      <c r="BC959" s="82" t="s">
        <v>17732</v>
      </c>
      <c r="BD959" s="77">
        <v>489723814</v>
      </c>
      <c r="BE959" s="77"/>
      <c r="BF959" s="77"/>
      <c r="BG959" s="77"/>
      <c r="BH959" s="77"/>
      <c r="BI959" s="77"/>
    </row>
    <row r="960" spans="1:61" x14ac:dyDescent="0.25">
      <c r="A960" s="62" t="s">
        <v>418</v>
      </c>
      <c r="B960" s="62" t="s">
        <v>418</v>
      </c>
      <c r="C960" s="63"/>
      <c r="D960" s="64"/>
      <c r="E960" s="65"/>
      <c r="F960" s="66"/>
      <c r="G960" s="63"/>
      <c r="H960" s="67"/>
      <c r="I960" s="68"/>
      <c r="J960" s="68"/>
      <c r="K960" s="32"/>
      <c r="L960" s="75">
        <v>960</v>
      </c>
      <c r="M960" s="75"/>
      <c r="N960" s="70"/>
      <c r="O960" s="77" t="s">
        <v>179</v>
      </c>
      <c r="P960" s="79">
        <v>45035.855937499997</v>
      </c>
      <c r="Q960" s="77" t="s">
        <v>2226</v>
      </c>
      <c r="R960" s="77">
        <v>0</v>
      </c>
      <c r="S960" s="77">
        <v>0</v>
      </c>
      <c r="T960" s="77">
        <v>0</v>
      </c>
      <c r="U960" s="77">
        <v>0</v>
      </c>
      <c r="V960" s="77">
        <v>33</v>
      </c>
      <c r="W960" s="82" t="s">
        <v>5335</v>
      </c>
      <c r="X960" s="80" t="str">
        <f>HYPERLINK("https://www.freeclassificados.com/ads/predio-comercial-de-963-m2-com-4-5-pavimentos-na-vila-mariana-clementino-proximo-dos-metros-azul-lilas-e-verde/")</f>
        <v>https://www.freeclassificados.com/ads/predio-comercial-de-963-m2-com-4-5-pavimentos-na-vila-mariana-clementino-proximo-dos-metros-azul-lilas-e-verde/</v>
      </c>
      <c r="Y960" s="77" t="s">
        <v>7308</v>
      </c>
      <c r="Z960" s="77"/>
      <c r="AA960" s="77"/>
      <c r="AB960" s="77"/>
      <c r="AC960" s="82" t="s">
        <v>10155</v>
      </c>
      <c r="AD960" s="77" t="s">
        <v>10184</v>
      </c>
      <c r="AE960" s="80" t="str">
        <f>HYPERLINK("https://twitter.com/freeclassific/status/1648786683868090369")</f>
        <v>https://twitter.com/freeclassific/status/1648786683868090369</v>
      </c>
      <c r="AF960" s="79">
        <v>45035.855937499997</v>
      </c>
      <c r="AG960" s="85">
        <v>45035</v>
      </c>
      <c r="AH960" s="82" t="s">
        <v>11111</v>
      </c>
      <c r="AI960" s="77" t="b">
        <v>0</v>
      </c>
      <c r="AJ960" s="77"/>
      <c r="AK960" s="77"/>
      <c r="AL960" s="77"/>
      <c r="AM960" s="77"/>
      <c r="AN960" s="77"/>
      <c r="AO960" s="77"/>
      <c r="AP960" s="77"/>
      <c r="AQ960" s="77"/>
      <c r="AR960" s="77"/>
      <c r="AS960" s="77"/>
      <c r="AT960" s="77"/>
      <c r="AU960" s="77"/>
      <c r="AV960" s="80" t="str">
        <f>HYPERLINK("https://pbs.twimg.com/profile_images/1431648743728852993/tLJ7F5Lu_normal.png")</f>
        <v>https://pbs.twimg.com/profile_images/1431648743728852993/tLJ7F5Lu_normal.png</v>
      </c>
      <c r="AW960" s="82" t="s">
        <v>17733</v>
      </c>
      <c r="AX960" s="82" t="s">
        <v>17733</v>
      </c>
      <c r="AY960" s="77"/>
      <c r="AZ960" s="82" t="s">
        <v>20971</v>
      </c>
      <c r="BA960" s="82" t="s">
        <v>20971</v>
      </c>
      <c r="BB960" s="82" t="s">
        <v>20971</v>
      </c>
      <c r="BC960" s="82" t="s">
        <v>17733</v>
      </c>
      <c r="BD960" s="77">
        <v>489723814</v>
      </c>
      <c r="BE960" s="77"/>
      <c r="BF960" s="77"/>
      <c r="BG960" s="77"/>
      <c r="BH960" s="77"/>
      <c r="BI960" s="77"/>
    </row>
    <row r="961" spans="1:61" x14ac:dyDescent="0.25">
      <c r="A961" s="62" t="s">
        <v>418</v>
      </c>
      <c r="B961" s="62" t="s">
        <v>418</v>
      </c>
      <c r="C961" s="63"/>
      <c r="D961" s="64"/>
      <c r="E961" s="65"/>
      <c r="F961" s="66"/>
      <c r="G961" s="63"/>
      <c r="H961" s="67"/>
      <c r="I961" s="68"/>
      <c r="J961" s="68"/>
      <c r="K961" s="32"/>
      <c r="L961" s="75">
        <v>961</v>
      </c>
      <c r="M961" s="75"/>
      <c r="N961" s="70"/>
      <c r="O961" s="77" t="s">
        <v>179</v>
      </c>
      <c r="P961" s="79">
        <v>45035.832777777781</v>
      </c>
      <c r="Q961" s="77" t="s">
        <v>2227</v>
      </c>
      <c r="R961" s="77">
        <v>0</v>
      </c>
      <c r="S961" s="77">
        <v>0</v>
      </c>
      <c r="T961" s="77">
        <v>0</v>
      </c>
      <c r="U961" s="77">
        <v>0</v>
      </c>
      <c r="V961" s="77">
        <v>37</v>
      </c>
      <c r="W961" s="82" t="s">
        <v>5335</v>
      </c>
      <c r="X961" s="80" t="str">
        <f>HYPERLINK("https://www.freeclassificados.com/ads/apartamento-de-2-dormitorios-na-vila-clara-vila-prudente-e-proximo-do-metro/")</f>
        <v>https://www.freeclassificados.com/ads/apartamento-de-2-dormitorios-na-vila-clara-vila-prudente-e-proximo-do-metro/</v>
      </c>
      <c r="Y961" s="77" t="s">
        <v>7308</v>
      </c>
      <c r="Z961" s="77"/>
      <c r="AA961" s="77"/>
      <c r="AB961" s="77"/>
      <c r="AC961" s="82" t="s">
        <v>10155</v>
      </c>
      <c r="AD961" s="77" t="s">
        <v>10184</v>
      </c>
      <c r="AE961" s="80" t="str">
        <f>HYPERLINK("https://twitter.com/freeclassific/status/1648778291241943040")</f>
        <v>https://twitter.com/freeclassific/status/1648778291241943040</v>
      </c>
      <c r="AF961" s="79">
        <v>45035.832777777781</v>
      </c>
      <c r="AG961" s="85">
        <v>45035</v>
      </c>
      <c r="AH961" s="82" t="s">
        <v>11112</v>
      </c>
      <c r="AI961" s="77" t="b">
        <v>0</v>
      </c>
      <c r="AJ961" s="77"/>
      <c r="AK961" s="77"/>
      <c r="AL961" s="77"/>
      <c r="AM961" s="77"/>
      <c r="AN961" s="77"/>
      <c r="AO961" s="77"/>
      <c r="AP961" s="77"/>
      <c r="AQ961" s="77"/>
      <c r="AR961" s="77"/>
      <c r="AS961" s="77"/>
      <c r="AT961" s="77"/>
      <c r="AU961" s="77"/>
      <c r="AV961" s="80" t="str">
        <f>HYPERLINK("https://pbs.twimg.com/profile_images/1431648743728852993/tLJ7F5Lu_normal.png")</f>
        <v>https://pbs.twimg.com/profile_images/1431648743728852993/tLJ7F5Lu_normal.png</v>
      </c>
      <c r="AW961" s="82" t="s">
        <v>17734</v>
      </c>
      <c r="AX961" s="82" t="s">
        <v>17734</v>
      </c>
      <c r="AY961" s="77"/>
      <c r="AZ961" s="82" t="s">
        <v>20971</v>
      </c>
      <c r="BA961" s="82" t="s">
        <v>20971</v>
      </c>
      <c r="BB961" s="82" t="s">
        <v>20971</v>
      </c>
      <c r="BC961" s="82" t="s">
        <v>17734</v>
      </c>
      <c r="BD961" s="77">
        <v>489723814</v>
      </c>
      <c r="BE961" s="77"/>
      <c r="BF961" s="77"/>
      <c r="BG961" s="77"/>
      <c r="BH961" s="77"/>
      <c r="BI961" s="77"/>
    </row>
    <row r="962" spans="1:61" x14ac:dyDescent="0.25">
      <c r="A962" s="62" t="s">
        <v>418</v>
      </c>
      <c r="B962" s="62" t="s">
        <v>418</v>
      </c>
      <c r="C962" s="63"/>
      <c r="D962" s="64"/>
      <c r="E962" s="65"/>
      <c r="F962" s="66"/>
      <c r="G962" s="63"/>
      <c r="H962" s="67"/>
      <c r="I962" s="68"/>
      <c r="J962" s="68"/>
      <c r="K962" s="32"/>
      <c r="L962" s="75">
        <v>962</v>
      </c>
      <c r="M962" s="75"/>
      <c r="N962" s="70"/>
      <c r="O962" s="77" t="s">
        <v>179</v>
      </c>
      <c r="P962" s="79">
        <v>45035.828645833331</v>
      </c>
      <c r="Q962" s="77" t="s">
        <v>2228</v>
      </c>
      <c r="R962" s="77">
        <v>0</v>
      </c>
      <c r="S962" s="77">
        <v>0</v>
      </c>
      <c r="T962" s="77">
        <v>0</v>
      </c>
      <c r="U962" s="77">
        <v>0</v>
      </c>
      <c r="V962" s="77">
        <v>33</v>
      </c>
      <c r="W962" s="82" t="s">
        <v>5335</v>
      </c>
      <c r="X962" s="80" t="str">
        <f>HYPERLINK("https://www.freeclassificados.com/ads/galpoes-lojas-e-terrenos-em-varias-regioes-este-em-santo-amaro-e-estacao-conceicao/")</f>
        <v>https://www.freeclassificados.com/ads/galpoes-lojas-e-terrenos-em-varias-regioes-este-em-santo-amaro-e-estacao-conceicao/</v>
      </c>
      <c r="Y962" s="77" t="s">
        <v>7308</v>
      </c>
      <c r="Z962" s="77"/>
      <c r="AA962" s="77"/>
      <c r="AB962" s="77"/>
      <c r="AC962" s="82" t="s">
        <v>10155</v>
      </c>
      <c r="AD962" s="77" t="s">
        <v>10184</v>
      </c>
      <c r="AE962" s="80" t="str">
        <f>HYPERLINK("https://twitter.com/freeclassific/status/1648776794458427395")</f>
        <v>https://twitter.com/freeclassific/status/1648776794458427395</v>
      </c>
      <c r="AF962" s="79">
        <v>45035.828645833331</v>
      </c>
      <c r="AG962" s="85">
        <v>45035</v>
      </c>
      <c r="AH962" s="82" t="s">
        <v>11113</v>
      </c>
      <c r="AI962" s="77" t="b">
        <v>0</v>
      </c>
      <c r="AJ962" s="77"/>
      <c r="AK962" s="77"/>
      <c r="AL962" s="77"/>
      <c r="AM962" s="77"/>
      <c r="AN962" s="77"/>
      <c r="AO962" s="77"/>
      <c r="AP962" s="77"/>
      <c r="AQ962" s="77"/>
      <c r="AR962" s="77"/>
      <c r="AS962" s="77"/>
      <c r="AT962" s="77"/>
      <c r="AU962" s="77"/>
      <c r="AV962" s="80" t="str">
        <f>HYPERLINK("https://pbs.twimg.com/profile_images/1431648743728852993/tLJ7F5Lu_normal.png")</f>
        <v>https://pbs.twimg.com/profile_images/1431648743728852993/tLJ7F5Lu_normal.png</v>
      </c>
      <c r="AW962" s="82" t="s">
        <v>17735</v>
      </c>
      <c r="AX962" s="82" t="s">
        <v>17735</v>
      </c>
      <c r="AY962" s="77"/>
      <c r="AZ962" s="82" t="s">
        <v>20971</v>
      </c>
      <c r="BA962" s="82" t="s">
        <v>20971</v>
      </c>
      <c r="BB962" s="82" t="s">
        <v>20971</v>
      </c>
      <c r="BC962" s="82" t="s">
        <v>17735</v>
      </c>
      <c r="BD962" s="77">
        <v>489723814</v>
      </c>
      <c r="BE962" s="77"/>
      <c r="BF962" s="77"/>
      <c r="BG962" s="77"/>
      <c r="BH962" s="77"/>
      <c r="BI962" s="77"/>
    </row>
    <row r="963" spans="1:61" x14ac:dyDescent="0.25">
      <c r="A963" s="62" t="s">
        <v>418</v>
      </c>
      <c r="B963" s="62" t="s">
        <v>418</v>
      </c>
      <c r="C963" s="63"/>
      <c r="D963" s="64"/>
      <c r="E963" s="65"/>
      <c r="F963" s="66"/>
      <c r="G963" s="63"/>
      <c r="H963" s="67"/>
      <c r="I963" s="68"/>
      <c r="J963" s="68"/>
      <c r="K963" s="32"/>
      <c r="L963" s="75">
        <v>963</v>
      </c>
      <c r="M963" s="75"/>
      <c r="N963" s="70"/>
      <c r="O963" s="77" t="s">
        <v>179</v>
      </c>
      <c r="P963" s="79">
        <v>45035.824756944443</v>
      </c>
      <c r="Q963" s="77" t="s">
        <v>2229</v>
      </c>
      <c r="R963" s="77">
        <v>0</v>
      </c>
      <c r="S963" s="77">
        <v>0</v>
      </c>
      <c r="T963" s="77">
        <v>0</v>
      </c>
      <c r="U963" s="77">
        <v>0</v>
      </c>
      <c r="V963" s="77">
        <v>13</v>
      </c>
      <c r="W963" s="82" t="s">
        <v>5335</v>
      </c>
      <c r="X963" s="80" t="str">
        <f>HYPERLINK("https://www.freeclassificados.com/ads/galpoes-lojas-e-terrenos-em-varias-regioes-este-em-santo-amaro-e-higienopolis/")</f>
        <v>https://www.freeclassificados.com/ads/galpoes-lojas-e-terrenos-em-varias-regioes-este-em-santo-amaro-e-higienopolis/</v>
      </c>
      <c r="Y963" s="77" t="s">
        <v>7308</v>
      </c>
      <c r="Z963" s="77"/>
      <c r="AA963" s="77"/>
      <c r="AB963" s="77"/>
      <c r="AC963" s="82" t="s">
        <v>10155</v>
      </c>
      <c r="AD963" s="77" t="s">
        <v>10184</v>
      </c>
      <c r="AE963" s="80" t="str">
        <f>HYPERLINK("https://twitter.com/freeclassific/status/1648775385688199168")</f>
        <v>https://twitter.com/freeclassific/status/1648775385688199168</v>
      </c>
      <c r="AF963" s="79">
        <v>45035.824756944443</v>
      </c>
      <c r="AG963" s="85">
        <v>45035</v>
      </c>
      <c r="AH963" s="82" t="s">
        <v>11114</v>
      </c>
      <c r="AI963" s="77" t="b">
        <v>0</v>
      </c>
      <c r="AJ963" s="77"/>
      <c r="AK963" s="77"/>
      <c r="AL963" s="77"/>
      <c r="AM963" s="77"/>
      <c r="AN963" s="77"/>
      <c r="AO963" s="77"/>
      <c r="AP963" s="77"/>
      <c r="AQ963" s="77"/>
      <c r="AR963" s="77"/>
      <c r="AS963" s="77"/>
      <c r="AT963" s="77"/>
      <c r="AU963" s="77"/>
      <c r="AV963" s="80" t="str">
        <f>HYPERLINK("https://pbs.twimg.com/profile_images/1431648743728852993/tLJ7F5Lu_normal.png")</f>
        <v>https://pbs.twimg.com/profile_images/1431648743728852993/tLJ7F5Lu_normal.png</v>
      </c>
      <c r="AW963" s="82" t="s">
        <v>17736</v>
      </c>
      <c r="AX963" s="82" t="s">
        <v>17736</v>
      </c>
      <c r="AY963" s="77"/>
      <c r="AZ963" s="82" t="s">
        <v>20971</v>
      </c>
      <c r="BA963" s="82" t="s">
        <v>20971</v>
      </c>
      <c r="BB963" s="82" t="s">
        <v>20971</v>
      </c>
      <c r="BC963" s="82" t="s">
        <v>17736</v>
      </c>
      <c r="BD963" s="77">
        <v>489723814</v>
      </c>
      <c r="BE963" s="77"/>
      <c r="BF963" s="77"/>
      <c r="BG963" s="77"/>
      <c r="BH963" s="77"/>
      <c r="BI963" s="77"/>
    </row>
    <row r="964" spans="1:61" x14ac:dyDescent="0.25">
      <c r="A964" s="62" t="s">
        <v>418</v>
      </c>
      <c r="B964" s="62" t="s">
        <v>418</v>
      </c>
      <c r="C964" s="63"/>
      <c r="D964" s="64"/>
      <c r="E964" s="65"/>
      <c r="F964" s="66"/>
      <c r="G964" s="63"/>
      <c r="H964" s="67"/>
      <c r="I964" s="68"/>
      <c r="J964" s="68"/>
      <c r="K964" s="32"/>
      <c r="L964" s="75">
        <v>964</v>
      </c>
      <c r="M964" s="75"/>
      <c r="N964" s="70"/>
      <c r="O964" s="77" t="s">
        <v>179</v>
      </c>
      <c r="P964" s="79">
        <v>45035.817488425928</v>
      </c>
      <c r="Q964" s="77" t="s">
        <v>2230</v>
      </c>
      <c r="R964" s="77">
        <v>0</v>
      </c>
      <c r="S964" s="77">
        <v>0</v>
      </c>
      <c r="T964" s="77">
        <v>0</v>
      </c>
      <c r="U964" s="77">
        <v>0</v>
      </c>
      <c r="V964" s="77">
        <v>15</v>
      </c>
      <c r="W964" s="82" t="s">
        <v>5335</v>
      </c>
      <c r="X964" s="80" t="str">
        <f>HYPERLINK("https://www.freeclassificados.com/ads/loja-em-pinheiros-para-locacao-e-venda-sob-consulta-na-rua-teodoro-sampaio/")</f>
        <v>https://www.freeclassificados.com/ads/loja-em-pinheiros-para-locacao-e-venda-sob-consulta-na-rua-teodoro-sampaio/</v>
      </c>
      <c r="Y964" s="77" t="s">
        <v>7308</v>
      </c>
      <c r="Z964" s="77"/>
      <c r="AA964" s="77"/>
      <c r="AB964" s="77"/>
      <c r="AC964" s="82" t="s">
        <v>10155</v>
      </c>
      <c r="AD964" s="77" t="s">
        <v>10184</v>
      </c>
      <c r="AE964" s="80" t="str">
        <f>HYPERLINK("https://twitter.com/freeclassific/status/1648772753414295556")</f>
        <v>https://twitter.com/freeclassific/status/1648772753414295556</v>
      </c>
      <c r="AF964" s="79">
        <v>45035.817488425928</v>
      </c>
      <c r="AG964" s="85">
        <v>45035</v>
      </c>
      <c r="AH964" s="82" t="s">
        <v>11115</v>
      </c>
      <c r="AI964" s="77" t="b">
        <v>0</v>
      </c>
      <c r="AJ964" s="77"/>
      <c r="AK964" s="77"/>
      <c r="AL964" s="77"/>
      <c r="AM964" s="77"/>
      <c r="AN964" s="77"/>
      <c r="AO964" s="77"/>
      <c r="AP964" s="77"/>
      <c r="AQ964" s="77"/>
      <c r="AR964" s="77"/>
      <c r="AS964" s="77"/>
      <c r="AT964" s="77"/>
      <c r="AU964" s="77"/>
      <c r="AV964" s="80" t="str">
        <f>HYPERLINK("https://pbs.twimg.com/profile_images/1431648743728852993/tLJ7F5Lu_normal.png")</f>
        <v>https://pbs.twimg.com/profile_images/1431648743728852993/tLJ7F5Lu_normal.png</v>
      </c>
      <c r="AW964" s="82" t="s">
        <v>17737</v>
      </c>
      <c r="AX964" s="82" t="s">
        <v>17737</v>
      </c>
      <c r="AY964" s="77"/>
      <c r="AZ964" s="82" t="s">
        <v>20971</v>
      </c>
      <c r="BA964" s="82" t="s">
        <v>20971</v>
      </c>
      <c r="BB964" s="82" t="s">
        <v>20971</v>
      </c>
      <c r="BC964" s="82" t="s">
        <v>17737</v>
      </c>
      <c r="BD964" s="77">
        <v>489723814</v>
      </c>
      <c r="BE964" s="77"/>
      <c r="BF964" s="77"/>
      <c r="BG964" s="77"/>
      <c r="BH964" s="77"/>
      <c r="BI964" s="77"/>
    </row>
    <row r="965" spans="1:61" x14ac:dyDescent="0.25">
      <c r="A965" s="62" t="s">
        <v>418</v>
      </c>
      <c r="B965" s="62" t="s">
        <v>418</v>
      </c>
      <c r="C965" s="63"/>
      <c r="D965" s="64"/>
      <c r="E965" s="65"/>
      <c r="F965" s="66"/>
      <c r="G965" s="63"/>
      <c r="H965" s="67"/>
      <c r="I965" s="68"/>
      <c r="J965" s="68"/>
      <c r="K965" s="32"/>
      <c r="L965" s="75">
        <v>965</v>
      </c>
      <c r="M965" s="75"/>
      <c r="N965" s="70"/>
      <c r="O965" s="77" t="s">
        <v>179</v>
      </c>
      <c r="P965" s="79">
        <v>45035.810358796298</v>
      </c>
      <c r="Q965" s="77" t="s">
        <v>2231</v>
      </c>
      <c r="R965" s="77">
        <v>0</v>
      </c>
      <c r="S965" s="77">
        <v>0</v>
      </c>
      <c r="T965" s="77">
        <v>0</v>
      </c>
      <c r="U965" s="77">
        <v>0</v>
      </c>
      <c r="V965" s="77">
        <v>15</v>
      </c>
      <c r="W965" s="82" t="s">
        <v>5335</v>
      </c>
      <c r="X965" s="80" t="str">
        <f>HYPERLINK("https://www.freeclassificados.com/ads/galpoes-lojas-e-terrenos-em-varias-regioes-este-em-pinheiros-e-tatuape/")</f>
        <v>https://www.freeclassificados.com/ads/galpoes-lojas-e-terrenos-em-varias-regioes-este-em-pinheiros-e-tatuape/</v>
      </c>
      <c r="Y965" s="77" t="s">
        <v>7308</v>
      </c>
      <c r="Z965" s="77"/>
      <c r="AA965" s="77"/>
      <c r="AB965" s="77"/>
      <c r="AC965" s="82" t="s">
        <v>10155</v>
      </c>
      <c r="AD965" s="77" t="s">
        <v>10184</v>
      </c>
      <c r="AE965" s="80" t="str">
        <f>HYPERLINK("https://twitter.com/freeclassific/status/1648770168141791233")</f>
        <v>https://twitter.com/freeclassific/status/1648770168141791233</v>
      </c>
      <c r="AF965" s="79">
        <v>45035.810358796298</v>
      </c>
      <c r="AG965" s="85">
        <v>45035</v>
      </c>
      <c r="AH965" s="82" t="s">
        <v>11116</v>
      </c>
      <c r="AI965" s="77" t="b">
        <v>0</v>
      </c>
      <c r="AJ965" s="77"/>
      <c r="AK965" s="77"/>
      <c r="AL965" s="77"/>
      <c r="AM965" s="77"/>
      <c r="AN965" s="77"/>
      <c r="AO965" s="77"/>
      <c r="AP965" s="77"/>
      <c r="AQ965" s="77"/>
      <c r="AR965" s="77"/>
      <c r="AS965" s="77"/>
      <c r="AT965" s="77"/>
      <c r="AU965" s="77"/>
      <c r="AV965" s="80" t="str">
        <f>HYPERLINK("https://pbs.twimg.com/profile_images/1431648743728852993/tLJ7F5Lu_normal.png")</f>
        <v>https://pbs.twimg.com/profile_images/1431648743728852993/tLJ7F5Lu_normal.png</v>
      </c>
      <c r="AW965" s="82" t="s">
        <v>17738</v>
      </c>
      <c r="AX965" s="82" t="s">
        <v>17738</v>
      </c>
      <c r="AY965" s="77"/>
      <c r="AZ965" s="82" t="s">
        <v>20971</v>
      </c>
      <c r="BA965" s="82" t="s">
        <v>20971</v>
      </c>
      <c r="BB965" s="82" t="s">
        <v>20971</v>
      </c>
      <c r="BC965" s="82" t="s">
        <v>17738</v>
      </c>
      <c r="BD965" s="77">
        <v>489723814</v>
      </c>
      <c r="BE965" s="77"/>
      <c r="BF965" s="77"/>
      <c r="BG965" s="77"/>
      <c r="BH965" s="77"/>
      <c r="BI965" s="77"/>
    </row>
    <row r="966" spans="1:61" x14ac:dyDescent="0.25">
      <c r="A966" s="62" t="s">
        <v>418</v>
      </c>
      <c r="B966" s="62" t="s">
        <v>418</v>
      </c>
      <c r="C966" s="63"/>
      <c r="D966" s="64"/>
      <c r="E966" s="65"/>
      <c r="F966" s="66"/>
      <c r="G966" s="63"/>
      <c r="H966" s="67"/>
      <c r="I966" s="68"/>
      <c r="J966" s="68"/>
      <c r="K966" s="32"/>
      <c r="L966" s="75">
        <v>966</v>
      </c>
      <c r="M966" s="75"/>
      <c r="N966" s="70"/>
      <c r="O966" s="77" t="s">
        <v>179</v>
      </c>
      <c r="P966" s="79">
        <v>45035.802222222221</v>
      </c>
      <c r="Q966" s="77" t="s">
        <v>2232</v>
      </c>
      <c r="R966" s="77">
        <v>0</v>
      </c>
      <c r="S966" s="77">
        <v>0</v>
      </c>
      <c r="T966" s="77">
        <v>0</v>
      </c>
      <c r="U966" s="77">
        <v>0</v>
      </c>
      <c r="V966" s="77">
        <v>52</v>
      </c>
      <c r="W966" s="82" t="s">
        <v>5335</v>
      </c>
      <c r="X966" s="80" t="str">
        <f>HYPERLINK("https://www.freeclassificados.com/ads/apartamento-de-4-dormitorios-um-por-andar-na-vila-andrade-morumbi-e-proximo-do-metro/")</f>
        <v>https://www.freeclassificados.com/ads/apartamento-de-4-dormitorios-um-por-andar-na-vila-andrade-morumbi-e-proximo-do-metro/</v>
      </c>
      <c r="Y966" s="77" t="s">
        <v>7308</v>
      </c>
      <c r="Z966" s="77"/>
      <c r="AA966" s="77"/>
      <c r="AB966" s="77"/>
      <c r="AC966" s="82" t="s">
        <v>10155</v>
      </c>
      <c r="AD966" s="77" t="s">
        <v>10184</v>
      </c>
      <c r="AE966" s="80" t="str">
        <f>HYPERLINK("https://twitter.com/freeclassific/status/1648767218195509248")</f>
        <v>https://twitter.com/freeclassific/status/1648767218195509248</v>
      </c>
      <c r="AF966" s="79">
        <v>45035.802222222221</v>
      </c>
      <c r="AG966" s="85">
        <v>45035</v>
      </c>
      <c r="AH966" s="82" t="s">
        <v>11117</v>
      </c>
      <c r="AI966" s="77" t="b">
        <v>0</v>
      </c>
      <c r="AJ966" s="77"/>
      <c r="AK966" s="77"/>
      <c r="AL966" s="77"/>
      <c r="AM966" s="77"/>
      <c r="AN966" s="77"/>
      <c r="AO966" s="77"/>
      <c r="AP966" s="77"/>
      <c r="AQ966" s="77"/>
      <c r="AR966" s="77"/>
      <c r="AS966" s="77"/>
      <c r="AT966" s="77"/>
      <c r="AU966" s="77"/>
      <c r="AV966" s="80" t="str">
        <f>HYPERLINK("https://pbs.twimg.com/profile_images/1431648743728852993/tLJ7F5Lu_normal.png")</f>
        <v>https://pbs.twimg.com/profile_images/1431648743728852993/tLJ7F5Lu_normal.png</v>
      </c>
      <c r="AW966" s="82" t="s">
        <v>17739</v>
      </c>
      <c r="AX966" s="82" t="s">
        <v>17739</v>
      </c>
      <c r="AY966" s="77"/>
      <c r="AZ966" s="82" t="s">
        <v>20971</v>
      </c>
      <c r="BA966" s="82" t="s">
        <v>20971</v>
      </c>
      <c r="BB966" s="82" t="s">
        <v>20971</v>
      </c>
      <c r="BC966" s="82" t="s">
        <v>17739</v>
      </c>
      <c r="BD966" s="77">
        <v>489723814</v>
      </c>
      <c r="BE966" s="77"/>
      <c r="BF966" s="77"/>
      <c r="BG966" s="77"/>
      <c r="BH966" s="77"/>
      <c r="BI966" s="77"/>
    </row>
    <row r="967" spans="1:61" x14ac:dyDescent="0.25">
      <c r="A967" s="62" t="s">
        <v>418</v>
      </c>
      <c r="B967" s="62" t="s">
        <v>418</v>
      </c>
      <c r="C967" s="63"/>
      <c r="D967" s="64"/>
      <c r="E967" s="65"/>
      <c r="F967" s="66"/>
      <c r="G967" s="63"/>
      <c r="H967" s="67"/>
      <c r="I967" s="68"/>
      <c r="J967" s="68"/>
      <c r="K967" s="32"/>
      <c r="L967" s="75">
        <v>967</v>
      </c>
      <c r="M967" s="75"/>
      <c r="N967" s="70"/>
      <c r="O967" s="77" t="s">
        <v>179</v>
      </c>
      <c r="P967" s="79">
        <v>45035.796377314815</v>
      </c>
      <c r="Q967" s="77" t="s">
        <v>2233</v>
      </c>
      <c r="R967" s="77">
        <v>0</v>
      </c>
      <c r="S967" s="77">
        <v>0</v>
      </c>
      <c r="T967" s="77">
        <v>0</v>
      </c>
      <c r="U967" s="77">
        <v>0</v>
      </c>
      <c r="V967" s="77">
        <v>16</v>
      </c>
      <c r="W967" s="82" t="s">
        <v>5335</v>
      </c>
      <c r="X967" s="80" t="str">
        <f>HYPERLINK("https://www.freeclassificados.com/ads/terreno-no-morumbi-jardim-ampliacao-com-2-257-m2/")</f>
        <v>https://www.freeclassificados.com/ads/terreno-no-morumbi-jardim-ampliacao-com-2-257-m2/</v>
      </c>
      <c r="Y967" s="77" t="s">
        <v>7308</v>
      </c>
      <c r="Z967" s="77"/>
      <c r="AA967" s="77"/>
      <c r="AB967" s="77"/>
      <c r="AC967" s="82" t="s">
        <v>10155</v>
      </c>
      <c r="AD967" s="77" t="s">
        <v>10184</v>
      </c>
      <c r="AE967" s="80" t="str">
        <f>HYPERLINK("https://twitter.com/freeclassific/status/1648765102471135232")</f>
        <v>https://twitter.com/freeclassific/status/1648765102471135232</v>
      </c>
      <c r="AF967" s="79">
        <v>45035.796377314815</v>
      </c>
      <c r="AG967" s="85">
        <v>45035</v>
      </c>
      <c r="AH967" s="82" t="s">
        <v>11118</v>
      </c>
      <c r="AI967" s="77" t="b">
        <v>0</v>
      </c>
      <c r="AJ967" s="77"/>
      <c r="AK967" s="77"/>
      <c r="AL967" s="77"/>
      <c r="AM967" s="77"/>
      <c r="AN967" s="77"/>
      <c r="AO967" s="77"/>
      <c r="AP967" s="77"/>
      <c r="AQ967" s="77"/>
      <c r="AR967" s="77"/>
      <c r="AS967" s="77"/>
      <c r="AT967" s="77"/>
      <c r="AU967" s="77"/>
      <c r="AV967" s="80" t="str">
        <f>HYPERLINK("https://pbs.twimg.com/profile_images/1431648743728852993/tLJ7F5Lu_normal.png")</f>
        <v>https://pbs.twimg.com/profile_images/1431648743728852993/tLJ7F5Lu_normal.png</v>
      </c>
      <c r="AW967" s="82" t="s">
        <v>17740</v>
      </c>
      <c r="AX967" s="82" t="s">
        <v>17740</v>
      </c>
      <c r="AY967" s="77"/>
      <c r="AZ967" s="82" t="s">
        <v>20971</v>
      </c>
      <c r="BA967" s="82" t="s">
        <v>20971</v>
      </c>
      <c r="BB967" s="82" t="s">
        <v>20971</v>
      </c>
      <c r="BC967" s="82" t="s">
        <v>17740</v>
      </c>
      <c r="BD967" s="77">
        <v>489723814</v>
      </c>
      <c r="BE967" s="77"/>
      <c r="BF967" s="77"/>
      <c r="BG967" s="77"/>
      <c r="BH967" s="77"/>
      <c r="BI967" s="77"/>
    </row>
    <row r="968" spans="1:61" x14ac:dyDescent="0.25">
      <c r="A968" s="62" t="s">
        <v>418</v>
      </c>
      <c r="B968" s="62" t="s">
        <v>418</v>
      </c>
      <c r="C968" s="63"/>
      <c r="D968" s="64"/>
      <c r="E968" s="65"/>
      <c r="F968" s="66"/>
      <c r="G968" s="63"/>
      <c r="H968" s="67"/>
      <c r="I968" s="68"/>
      <c r="J968" s="68"/>
      <c r="K968" s="32"/>
      <c r="L968" s="75">
        <v>968</v>
      </c>
      <c r="M968" s="75"/>
      <c r="N968" s="70"/>
      <c r="O968" s="77" t="s">
        <v>179</v>
      </c>
      <c r="P968" s="79">
        <v>45035.785150462965</v>
      </c>
      <c r="Q968" s="77" t="s">
        <v>2234</v>
      </c>
      <c r="R968" s="77">
        <v>0</v>
      </c>
      <c r="S968" s="77">
        <v>0</v>
      </c>
      <c r="T968" s="77">
        <v>0</v>
      </c>
      <c r="U968" s="77">
        <v>0</v>
      </c>
      <c r="V968" s="77">
        <v>18</v>
      </c>
      <c r="W968" s="82" t="s">
        <v>5335</v>
      </c>
      <c r="X968" s="80" t="str">
        <f>HYPERLINK("https://www.freeclassificados.com/ads/terreno-de-217-000-m2-em-itapecerica-da-serra/")</f>
        <v>https://www.freeclassificados.com/ads/terreno-de-217-000-m2-em-itapecerica-da-serra/</v>
      </c>
      <c r="Y968" s="77" t="s">
        <v>7308</v>
      </c>
      <c r="Z968" s="77"/>
      <c r="AA968" s="77"/>
      <c r="AB968" s="77"/>
      <c r="AC968" s="82" t="s">
        <v>10155</v>
      </c>
      <c r="AD968" s="77" t="s">
        <v>10184</v>
      </c>
      <c r="AE968" s="80" t="str">
        <f>HYPERLINK("https://twitter.com/freeclassific/status/1648761034063360000")</f>
        <v>https://twitter.com/freeclassific/status/1648761034063360000</v>
      </c>
      <c r="AF968" s="79">
        <v>45035.785150462965</v>
      </c>
      <c r="AG968" s="85">
        <v>45035</v>
      </c>
      <c r="AH968" s="82" t="s">
        <v>11119</v>
      </c>
      <c r="AI968" s="77" t="b">
        <v>0</v>
      </c>
      <c r="AJ968" s="77"/>
      <c r="AK968" s="77"/>
      <c r="AL968" s="77"/>
      <c r="AM968" s="77"/>
      <c r="AN968" s="77"/>
      <c r="AO968" s="77"/>
      <c r="AP968" s="77"/>
      <c r="AQ968" s="77"/>
      <c r="AR968" s="77"/>
      <c r="AS968" s="77"/>
      <c r="AT968" s="77"/>
      <c r="AU968" s="77"/>
      <c r="AV968" s="80" t="str">
        <f>HYPERLINK("https://pbs.twimg.com/profile_images/1431648743728852993/tLJ7F5Lu_normal.png")</f>
        <v>https://pbs.twimg.com/profile_images/1431648743728852993/tLJ7F5Lu_normal.png</v>
      </c>
      <c r="AW968" s="82" t="s">
        <v>17741</v>
      </c>
      <c r="AX968" s="82" t="s">
        <v>17741</v>
      </c>
      <c r="AY968" s="77"/>
      <c r="AZ968" s="82" t="s">
        <v>20971</v>
      </c>
      <c r="BA968" s="82" t="s">
        <v>20971</v>
      </c>
      <c r="BB968" s="82" t="s">
        <v>20971</v>
      </c>
      <c r="BC968" s="82" t="s">
        <v>17741</v>
      </c>
      <c r="BD968" s="77">
        <v>489723814</v>
      </c>
      <c r="BE968" s="77"/>
      <c r="BF968" s="77"/>
      <c r="BG968" s="77"/>
      <c r="BH968" s="77"/>
      <c r="BI968" s="77"/>
    </row>
    <row r="969" spans="1:61" x14ac:dyDescent="0.25">
      <c r="A969" s="62" t="s">
        <v>418</v>
      </c>
      <c r="B969" s="62" t="s">
        <v>418</v>
      </c>
      <c r="C969" s="63"/>
      <c r="D969" s="64"/>
      <c r="E969" s="65"/>
      <c r="F969" s="66"/>
      <c r="G969" s="63"/>
      <c r="H969" s="67"/>
      <c r="I969" s="68"/>
      <c r="J969" s="68"/>
      <c r="K969" s="32"/>
      <c r="L969" s="75">
        <v>969</v>
      </c>
      <c r="M969" s="75"/>
      <c r="N969" s="70"/>
      <c r="O969" s="77" t="s">
        <v>179</v>
      </c>
      <c r="P969" s="79">
        <v>45035.781458333331</v>
      </c>
      <c r="Q969" s="77" t="s">
        <v>2235</v>
      </c>
      <c r="R969" s="77">
        <v>0</v>
      </c>
      <c r="S969" s="77">
        <v>0</v>
      </c>
      <c r="T969" s="77">
        <v>0</v>
      </c>
      <c r="U969" s="77">
        <v>0</v>
      </c>
      <c r="V969" s="77">
        <v>11</v>
      </c>
      <c r="W969" s="82" t="s">
        <v>5335</v>
      </c>
      <c r="X969" s="80" t="str">
        <f>HYPERLINK("https://www.freeclassificados.com/ads/terreno-de-1250-m2-no-ipiranga-rua-bom-pastor-junto-ao-museu/")</f>
        <v>https://www.freeclassificados.com/ads/terreno-de-1250-m2-no-ipiranga-rua-bom-pastor-junto-ao-museu/</v>
      </c>
      <c r="Y969" s="77" t="s">
        <v>7308</v>
      </c>
      <c r="Z969" s="77"/>
      <c r="AA969" s="77"/>
      <c r="AB969" s="77"/>
      <c r="AC969" s="82" t="s">
        <v>10155</v>
      </c>
      <c r="AD969" s="77" t="s">
        <v>10184</v>
      </c>
      <c r="AE969" s="80" t="str">
        <f>HYPERLINK("https://twitter.com/freeclassific/status/1648759694977277954")</f>
        <v>https://twitter.com/freeclassific/status/1648759694977277954</v>
      </c>
      <c r="AF969" s="79">
        <v>45035.781458333331</v>
      </c>
      <c r="AG969" s="85">
        <v>45035</v>
      </c>
      <c r="AH969" s="82" t="s">
        <v>11120</v>
      </c>
      <c r="AI969" s="77" t="b">
        <v>0</v>
      </c>
      <c r="AJ969" s="77"/>
      <c r="AK969" s="77"/>
      <c r="AL969" s="77"/>
      <c r="AM969" s="77"/>
      <c r="AN969" s="77"/>
      <c r="AO969" s="77"/>
      <c r="AP969" s="77"/>
      <c r="AQ969" s="77"/>
      <c r="AR969" s="77"/>
      <c r="AS969" s="77"/>
      <c r="AT969" s="77"/>
      <c r="AU969" s="77"/>
      <c r="AV969" s="80" t="str">
        <f>HYPERLINK("https://pbs.twimg.com/profile_images/1431648743728852993/tLJ7F5Lu_normal.png")</f>
        <v>https://pbs.twimg.com/profile_images/1431648743728852993/tLJ7F5Lu_normal.png</v>
      </c>
      <c r="AW969" s="82" t="s">
        <v>17742</v>
      </c>
      <c r="AX969" s="82" t="s">
        <v>17742</v>
      </c>
      <c r="AY969" s="77"/>
      <c r="AZ969" s="82" t="s">
        <v>20971</v>
      </c>
      <c r="BA969" s="82" t="s">
        <v>20971</v>
      </c>
      <c r="BB969" s="82" t="s">
        <v>20971</v>
      </c>
      <c r="BC969" s="82" t="s">
        <v>17742</v>
      </c>
      <c r="BD969" s="77">
        <v>489723814</v>
      </c>
      <c r="BE969" s="77"/>
      <c r="BF969" s="77"/>
      <c r="BG969" s="77"/>
      <c r="BH969" s="77"/>
      <c r="BI969" s="77"/>
    </row>
    <row r="970" spans="1:61" x14ac:dyDescent="0.25">
      <c r="A970" s="62" t="s">
        <v>418</v>
      </c>
      <c r="B970" s="62" t="s">
        <v>418</v>
      </c>
      <c r="C970" s="63"/>
      <c r="D970" s="64"/>
      <c r="E970" s="65"/>
      <c r="F970" s="66"/>
      <c r="G970" s="63"/>
      <c r="H970" s="67"/>
      <c r="I970" s="68"/>
      <c r="J970" s="68"/>
      <c r="K970" s="32"/>
      <c r="L970" s="75">
        <v>970</v>
      </c>
      <c r="M970" s="75"/>
      <c r="N970" s="70"/>
      <c r="O970" s="77" t="s">
        <v>179</v>
      </c>
      <c r="P970" s="79">
        <v>45035.773229166669</v>
      </c>
      <c r="Q970" s="77" t="s">
        <v>2236</v>
      </c>
      <c r="R970" s="77">
        <v>0</v>
      </c>
      <c r="S970" s="77">
        <v>0</v>
      </c>
      <c r="T970" s="77">
        <v>0</v>
      </c>
      <c r="U970" s="77">
        <v>0</v>
      </c>
      <c r="V970" s="77">
        <v>11</v>
      </c>
      <c r="W970" s="82" t="s">
        <v>5335</v>
      </c>
      <c r="X970" s="80" t="str">
        <f>HYPERLINK("https://www.freeclassificados.com/ads/ilhabela-5-08202-m2-frente-para-o-mar-regiao-central-da-cidade/")</f>
        <v>https://www.freeclassificados.com/ads/ilhabela-5-08202-m2-frente-para-o-mar-regiao-central-da-cidade/</v>
      </c>
      <c r="Y970" s="77" t="s">
        <v>7308</v>
      </c>
      <c r="Z970" s="77"/>
      <c r="AA970" s="77"/>
      <c r="AB970" s="77"/>
      <c r="AC970" s="82" t="s">
        <v>10155</v>
      </c>
      <c r="AD970" s="77" t="s">
        <v>10184</v>
      </c>
      <c r="AE970" s="80" t="str">
        <f>HYPERLINK("https://twitter.com/freeclassific/status/1648756714823626752")</f>
        <v>https://twitter.com/freeclassific/status/1648756714823626752</v>
      </c>
      <c r="AF970" s="79">
        <v>45035.773229166669</v>
      </c>
      <c r="AG970" s="85">
        <v>45035</v>
      </c>
      <c r="AH970" s="82" t="s">
        <v>11121</v>
      </c>
      <c r="AI970" s="77" t="b">
        <v>0</v>
      </c>
      <c r="AJ970" s="77"/>
      <c r="AK970" s="77"/>
      <c r="AL970" s="77"/>
      <c r="AM970" s="77"/>
      <c r="AN970" s="77"/>
      <c r="AO970" s="77"/>
      <c r="AP970" s="77"/>
      <c r="AQ970" s="77"/>
      <c r="AR970" s="77"/>
      <c r="AS970" s="77"/>
      <c r="AT970" s="77"/>
      <c r="AU970" s="77"/>
      <c r="AV970" s="80" t="str">
        <f>HYPERLINK("https://pbs.twimg.com/profile_images/1431648743728852993/tLJ7F5Lu_normal.png")</f>
        <v>https://pbs.twimg.com/profile_images/1431648743728852993/tLJ7F5Lu_normal.png</v>
      </c>
      <c r="AW970" s="82" t="s">
        <v>17743</v>
      </c>
      <c r="AX970" s="82" t="s">
        <v>17743</v>
      </c>
      <c r="AY970" s="77"/>
      <c r="AZ970" s="82" t="s">
        <v>20971</v>
      </c>
      <c r="BA970" s="82" t="s">
        <v>20971</v>
      </c>
      <c r="BB970" s="82" t="s">
        <v>20971</v>
      </c>
      <c r="BC970" s="82" t="s">
        <v>17743</v>
      </c>
      <c r="BD970" s="77">
        <v>489723814</v>
      </c>
      <c r="BE970" s="77"/>
      <c r="BF970" s="77"/>
      <c r="BG970" s="77"/>
      <c r="BH970" s="77"/>
      <c r="BI970" s="77"/>
    </row>
    <row r="971" spans="1:61" x14ac:dyDescent="0.25">
      <c r="A971" s="62" t="s">
        <v>418</v>
      </c>
      <c r="B971" s="62" t="s">
        <v>418</v>
      </c>
      <c r="C971" s="63"/>
      <c r="D971" s="64"/>
      <c r="E971" s="65"/>
      <c r="F971" s="66"/>
      <c r="G971" s="63"/>
      <c r="H971" s="67"/>
      <c r="I971" s="68"/>
      <c r="J971" s="68"/>
      <c r="K971" s="32"/>
      <c r="L971" s="75">
        <v>971</v>
      </c>
      <c r="M971" s="75"/>
      <c r="N971" s="70"/>
      <c r="O971" s="77" t="s">
        <v>179</v>
      </c>
      <c r="P971" s="79">
        <v>45035.755555555559</v>
      </c>
      <c r="Q971" s="77" t="s">
        <v>2237</v>
      </c>
      <c r="R971" s="77">
        <v>0</v>
      </c>
      <c r="S971" s="77">
        <v>0</v>
      </c>
      <c r="T971" s="77">
        <v>0</v>
      </c>
      <c r="U971" s="77">
        <v>0</v>
      </c>
      <c r="V971" s="77">
        <v>13</v>
      </c>
      <c r="W971" s="82" t="s">
        <v>5335</v>
      </c>
      <c r="X971" s="80" t="str">
        <f>HYPERLINK("https://www.freeclassificados.com/ads/ilhabela-5-08202-m2-frente-para-o-mar-regiao-central-da-cidade/")</f>
        <v>https://www.freeclassificados.com/ads/ilhabela-5-08202-m2-frente-para-o-mar-regiao-central-da-cidade/</v>
      </c>
      <c r="Y971" s="77" t="s">
        <v>7308</v>
      </c>
      <c r="Z971" s="77"/>
      <c r="AA971" s="77"/>
      <c r="AB971" s="77"/>
      <c r="AC971" s="82" t="s">
        <v>10155</v>
      </c>
      <c r="AD971" s="77" t="s">
        <v>10184</v>
      </c>
      <c r="AE971" s="80" t="str">
        <f>HYPERLINK("https://twitter.com/freeclassific/status/1648750307751649281")</f>
        <v>https://twitter.com/freeclassific/status/1648750307751649281</v>
      </c>
      <c r="AF971" s="79">
        <v>45035.755555555559</v>
      </c>
      <c r="AG971" s="85">
        <v>45035</v>
      </c>
      <c r="AH971" s="82" t="s">
        <v>11122</v>
      </c>
      <c r="AI971" s="77" t="b">
        <v>0</v>
      </c>
      <c r="AJ971" s="77"/>
      <c r="AK971" s="77"/>
      <c r="AL971" s="77"/>
      <c r="AM971" s="77"/>
      <c r="AN971" s="77"/>
      <c r="AO971" s="77"/>
      <c r="AP971" s="77"/>
      <c r="AQ971" s="77"/>
      <c r="AR971" s="77"/>
      <c r="AS971" s="77"/>
      <c r="AT971" s="77"/>
      <c r="AU971" s="77"/>
      <c r="AV971" s="80" t="str">
        <f>HYPERLINK("https://pbs.twimg.com/profile_images/1431648743728852993/tLJ7F5Lu_normal.png")</f>
        <v>https://pbs.twimg.com/profile_images/1431648743728852993/tLJ7F5Lu_normal.png</v>
      </c>
      <c r="AW971" s="82" t="s">
        <v>17744</v>
      </c>
      <c r="AX971" s="82" t="s">
        <v>17744</v>
      </c>
      <c r="AY971" s="77"/>
      <c r="AZ971" s="82" t="s">
        <v>20971</v>
      </c>
      <c r="BA971" s="82" t="s">
        <v>20971</v>
      </c>
      <c r="BB971" s="82" t="s">
        <v>20971</v>
      </c>
      <c r="BC971" s="82" t="s">
        <v>17744</v>
      </c>
      <c r="BD971" s="77">
        <v>489723814</v>
      </c>
      <c r="BE971" s="77"/>
      <c r="BF971" s="77"/>
      <c r="BG971" s="77"/>
      <c r="BH971" s="77"/>
      <c r="BI971" s="77"/>
    </row>
    <row r="972" spans="1:61" x14ac:dyDescent="0.25">
      <c r="A972" s="62" t="s">
        <v>418</v>
      </c>
      <c r="B972" s="62" t="s">
        <v>418</v>
      </c>
      <c r="C972" s="63"/>
      <c r="D972" s="64"/>
      <c r="E972" s="65"/>
      <c r="F972" s="66"/>
      <c r="G972" s="63"/>
      <c r="H972" s="67"/>
      <c r="I972" s="68"/>
      <c r="J972" s="68"/>
      <c r="K972" s="32"/>
      <c r="L972" s="75">
        <v>972</v>
      </c>
      <c r="M972" s="75"/>
      <c r="N972" s="70"/>
      <c r="O972" s="77" t="s">
        <v>179</v>
      </c>
      <c r="P972" s="79">
        <v>45035.7499537037</v>
      </c>
      <c r="Q972" s="77" t="s">
        <v>2238</v>
      </c>
      <c r="R972" s="77">
        <v>0</v>
      </c>
      <c r="S972" s="77">
        <v>0</v>
      </c>
      <c r="T972" s="77">
        <v>0</v>
      </c>
      <c r="U972" s="77">
        <v>0</v>
      </c>
      <c r="V972" s="77">
        <v>21</v>
      </c>
      <c r="W972" s="82" t="s">
        <v>5335</v>
      </c>
      <c r="X972" s="80" t="str">
        <f>HYPERLINK("https://www.freeclassificados.com/ads/lote-de-terreno-de-250-m2-na-ilha-comprida-iguape-em-oferta/")</f>
        <v>https://www.freeclassificados.com/ads/lote-de-terreno-de-250-m2-na-ilha-comprida-iguape-em-oferta/</v>
      </c>
      <c r="Y972" s="77" t="s">
        <v>7308</v>
      </c>
      <c r="Z972" s="77"/>
      <c r="AA972" s="77"/>
      <c r="AB972" s="77"/>
      <c r="AC972" s="82" t="s">
        <v>10155</v>
      </c>
      <c r="AD972" s="77" t="s">
        <v>10184</v>
      </c>
      <c r="AE972" s="80" t="str">
        <f>HYPERLINK("https://twitter.com/freeclassific/status/1648748276764770305")</f>
        <v>https://twitter.com/freeclassific/status/1648748276764770305</v>
      </c>
      <c r="AF972" s="79">
        <v>45035.7499537037</v>
      </c>
      <c r="AG972" s="85">
        <v>45035</v>
      </c>
      <c r="AH972" s="82" t="s">
        <v>11123</v>
      </c>
      <c r="AI972" s="77" t="b">
        <v>0</v>
      </c>
      <c r="AJ972" s="77"/>
      <c r="AK972" s="77"/>
      <c r="AL972" s="77"/>
      <c r="AM972" s="77"/>
      <c r="AN972" s="77"/>
      <c r="AO972" s="77"/>
      <c r="AP972" s="77"/>
      <c r="AQ972" s="77"/>
      <c r="AR972" s="77"/>
      <c r="AS972" s="77"/>
      <c r="AT972" s="77"/>
      <c r="AU972" s="77"/>
      <c r="AV972" s="80" t="str">
        <f>HYPERLINK("https://pbs.twimg.com/profile_images/1431648743728852993/tLJ7F5Lu_normal.png")</f>
        <v>https://pbs.twimg.com/profile_images/1431648743728852993/tLJ7F5Lu_normal.png</v>
      </c>
      <c r="AW972" s="82" t="s">
        <v>17745</v>
      </c>
      <c r="AX972" s="82" t="s">
        <v>17745</v>
      </c>
      <c r="AY972" s="77"/>
      <c r="AZ972" s="82" t="s">
        <v>20971</v>
      </c>
      <c r="BA972" s="82" t="s">
        <v>20971</v>
      </c>
      <c r="BB972" s="82" t="s">
        <v>20971</v>
      </c>
      <c r="BC972" s="82" t="s">
        <v>17745</v>
      </c>
      <c r="BD972" s="77">
        <v>489723814</v>
      </c>
      <c r="BE972" s="77"/>
      <c r="BF972" s="77"/>
      <c r="BG972" s="77"/>
      <c r="BH972" s="77"/>
      <c r="BI972" s="77"/>
    </row>
    <row r="973" spans="1:61" x14ac:dyDescent="0.25">
      <c r="A973" s="62" t="s">
        <v>418</v>
      </c>
      <c r="B973" s="62" t="s">
        <v>418</v>
      </c>
      <c r="C973" s="63"/>
      <c r="D973" s="64"/>
      <c r="E973" s="65"/>
      <c r="F973" s="66"/>
      <c r="G973" s="63"/>
      <c r="H973" s="67"/>
      <c r="I973" s="68"/>
      <c r="J973" s="68"/>
      <c r="K973" s="32"/>
      <c r="L973" s="75">
        <v>973</v>
      </c>
      <c r="M973" s="75"/>
      <c r="N973" s="70"/>
      <c r="O973" s="77" t="s">
        <v>179</v>
      </c>
      <c r="P973" s="79">
        <v>45035.74486111111</v>
      </c>
      <c r="Q973" s="77" t="s">
        <v>2239</v>
      </c>
      <c r="R973" s="77">
        <v>0</v>
      </c>
      <c r="S973" s="77">
        <v>0</v>
      </c>
      <c r="T973" s="77">
        <v>0</v>
      </c>
      <c r="U973" s="77">
        <v>0</v>
      </c>
      <c r="V973" s="77">
        <v>12</v>
      </c>
      <c r="W973" s="82" t="s">
        <v>5335</v>
      </c>
      <c r="X973" s="80" t="str">
        <f>HYPERLINK("https://www.freeclassificados.com/ads/iguape-rerum-novarum-i-3-lotes-0-m2-preco-de-ocasiao-sob-consulta/")</f>
        <v>https://www.freeclassificados.com/ads/iguape-rerum-novarum-i-3-lotes-0-m2-preco-de-ocasiao-sob-consulta/</v>
      </c>
      <c r="Y973" s="77" t="s">
        <v>7308</v>
      </c>
      <c r="Z973" s="77"/>
      <c r="AA973" s="77"/>
      <c r="AB973" s="77"/>
      <c r="AC973" s="82" t="s">
        <v>10155</v>
      </c>
      <c r="AD973" s="77" t="s">
        <v>10184</v>
      </c>
      <c r="AE973" s="80" t="str">
        <f>HYPERLINK("https://twitter.com/freeclassific/status/1648746432852287489")</f>
        <v>https://twitter.com/freeclassific/status/1648746432852287489</v>
      </c>
      <c r="AF973" s="79">
        <v>45035.74486111111</v>
      </c>
      <c r="AG973" s="85">
        <v>45035</v>
      </c>
      <c r="AH973" s="82" t="s">
        <v>11124</v>
      </c>
      <c r="AI973" s="77" t="b">
        <v>0</v>
      </c>
      <c r="AJ973" s="77"/>
      <c r="AK973" s="77"/>
      <c r="AL973" s="77"/>
      <c r="AM973" s="77"/>
      <c r="AN973" s="77"/>
      <c r="AO973" s="77"/>
      <c r="AP973" s="77"/>
      <c r="AQ973" s="77"/>
      <c r="AR973" s="77"/>
      <c r="AS973" s="77"/>
      <c r="AT973" s="77"/>
      <c r="AU973" s="77"/>
      <c r="AV973" s="80" t="str">
        <f>HYPERLINK("https://pbs.twimg.com/profile_images/1431648743728852993/tLJ7F5Lu_normal.png")</f>
        <v>https://pbs.twimg.com/profile_images/1431648743728852993/tLJ7F5Lu_normal.png</v>
      </c>
      <c r="AW973" s="82" t="s">
        <v>17746</v>
      </c>
      <c r="AX973" s="82" t="s">
        <v>17746</v>
      </c>
      <c r="AY973" s="77"/>
      <c r="AZ973" s="82" t="s">
        <v>20971</v>
      </c>
      <c r="BA973" s="82" t="s">
        <v>20971</v>
      </c>
      <c r="BB973" s="82" t="s">
        <v>20971</v>
      </c>
      <c r="BC973" s="82" t="s">
        <v>17746</v>
      </c>
      <c r="BD973" s="77">
        <v>489723814</v>
      </c>
      <c r="BE973" s="77"/>
      <c r="BF973" s="77"/>
      <c r="BG973" s="77"/>
      <c r="BH973" s="77"/>
      <c r="BI973" s="77"/>
    </row>
    <row r="974" spans="1:61" x14ac:dyDescent="0.25">
      <c r="A974" s="62" t="s">
        <v>418</v>
      </c>
      <c r="B974" s="62" t="s">
        <v>418</v>
      </c>
      <c r="C974" s="63"/>
      <c r="D974" s="64"/>
      <c r="E974" s="65"/>
      <c r="F974" s="66"/>
      <c r="G974" s="63"/>
      <c r="H974" s="67"/>
      <c r="I974" s="68"/>
      <c r="J974" s="68"/>
      <c r="K974" s="32"/>
      <c r="L974" s="75">
        <v>974</v>
      </c>
      <c r="M974" s="75"/>
      <c r="N974" s="70"/>
      <c r="O974" s="77" t="s">
        <v>179</v>
      </c>
      <c r="P974" s="79">
        <v>45035.730590277781</v>
      </c>
      <c r="Q974" s="77" t="s">
        <v>2240</v>
      </c>
      <c r="R974" s="77">
        <v>0</v>
      </c>
      <c r="S974" s="77">
        <v>0</v>
      </c>
      <c r="T974" s="77">
        <v>0</v>
      </c>
      <c r="U974" s="77">
        <v>0</v>
      </c>
      <c r="V974" s="77">
        <v>15</v>
      </c>
      <c r="W974" s="82" t="s">
        <v>5335</v>
      </c>
      <c r="X974" s="80" t="str">
        <f>HYPERLINK("https://www.freeclassificados.com/ads/galpoes-lojas-e-terrenos-em-varias-regioes-como-guarulhos-e-2o-barueri/")</f>
        <v>https://www.freeclassificados.com/ads/galpoes-lojas-e-terrenos-em-varias-regioes-como-guarulhos-e-2o-barueri/</v>
      </c>
      <c r="Y974" s="77" t="s">
        <v>7308</v>
      </c>
      <c r="Z974" s="77"/>
      <c r="AA974" s="77"/>
      <c r="AB974" s="77"/>
      <c r="AC974" s="82" t="s">
        <v>10155</v>
      </c>
      <c r="AD974" s="77" t="s">
        <v>10184</v>
      </c>
      <c r="AE974" s="80" t="str">
        <f>HYPERLINK("https://twitter.com/freeclassific/status/1648741263313870848")</f>
        <v>https://twitter.com/freeclassific/status/1648741263313870848</v>
      </c>
      <c r="AF974" s="79">
        <v>45035.730590277781</v>
      </c>
      <c r="AG974" s="85">
        <v>45035</v>
      </c>
      <c r="AH974" s="82" t="s">
        <v>11125</v>
      </c>
      <c r="AI974" s="77" t="b">
        <v>0</v>
      </c>
      <c r="AJ974" s="77"/>
      <c r="AK974" s="77"/>
      <c r="AL974" s="77"/>
      <c r="AM974" s="77"/>
      <c r="AN974" s="77"/>
      <c r="AO974" s="77"/>
      <c r="AP974" s="77"/>
      <c r="AQ974" s="77"/>
      <c r="AR974" s="77"/>
      <c r="AS974" s="77"/>
      <c r="AT974" s="77"/>
      <c r="AU974" s="77"/>
      <c r="AV974" s="80" t="str">
        <f>HYPERLINK("https://pbs.twimg.com/profile_images/1431648743728852993/tLJ7F5Lu_normal.png")</f>
        <v>https://pbs.twimg.com/profile_images/1431648743728852993/tLJ7F5Lu_normal.png</v>
      </c>
      <c r="AW974" s="82" t="s">
        <v>17747</v>
      </c>
      <c r="AX974" s="82" t="s">
        <v>17747</v>
      </c>
      <c r="AY974" s="77"/>
      <c r="AZ974" s="82" t="s">
        <v>20971</v>
      </c>
      <c r="BA974" s="82" t="s">
        <v>20971</v>
      </c>
      <c r="BB974" s="82" t="s">
        <v>20971</v>
      </c>
      <c r="BC974" s="82" t="s">
        <v>17747</v>
      </c>
      <c r="BD974" s="77">
        <v>489723814</v>
      </c>
      <c r="BE974" s="77"/>
      <c r="BF974" s="77"/>
      <c r="BG974" s="77"/>
      <c r="BH974" s="77"/>
      <c r="BI974" s="77"/>
    </row>
    <row r="975" spans="1:61" x14ac:dyDescent="0.25">
      <c r="A975" s="62" t="s">
        <v>418</v>
      </c>
      <c r="B975" s="62" t="s">
        <v>418</v>
      </c>
      <c r="C975" s="63"/>
      <c r="D975" s="64"/>
      <c r="E975" s="65"/>
      <c r="F975" s="66"/>
      <c r="G975" s="63"/>
      <c r="H975" s="67"/>
      <c r="I975" s="68"/>
      <c r="J975" s="68"/>
      <c r="K975" s="32"/>
      <c r="L975" s="75">
        <v>975</v>
      </c>
      <c r="M975" s="75"/>
      <c r="N975" s="70"/>
      <c r="O975" s="77" t="s">
        <v>179</v>
      </c>
      <c r="P975" s="79">
        <v>45035.725057870368</v>
      </c>
      <c r="Q975" s="77" t="s">
        <v>2241</v>
      </c>
      <c r="R975" s="77">
        <v>0</v>
      </c>
      <c r="S975" s="77">
        <v>0</v>
      </c>
      <c r="T975" s="77">
        <v>0</v>
      </c>
      <c r="U975" s="77">
        <v>0</v>
      </c>
      <c r="V975" s="77">
        <v>43</v>
      </c>
      <c r="W975" s="82" t="s">
        <v>5335</v>
      </c>
      <c r="X975" s="80" t="str">
        <f>HYPERLINK("https://www.freeclassificados.com/ads/terreno-de-73-000-m2-em-guarulhos-proximo-da-rodovia-ayrton-senna-e-b-dos-pimentas/")</f>
        <v>https://www.freeclassificados.com/ads/terreno-de-73-000-m2-em-guarulhos-proximo-da-rodovia-ayrton-senna-e-b-dos-pimentas/</v>
      </c>
      <c r="Y975" s="77" t="s">
        <v>7308</v>
      </c>
      <c r="Z975" s="77"/>
      <c r="AA975" s="77"/>
      <c r="AB975" s="77"/>
      <c r="AC975" s="82" t="s">
        <v>10155</v>
      </c>
      <c r="AD975" s="77" t="s">
        <v>10184</v>
      </c>
      <c r="AE975" s="80" t="str">
        <f>HYPERLINK("https://twitter.com/freeclassific/status/1648739258000375808")</f>
        <v>https://twitter.com/freeclassific/status/1648739258000375808</v>
      </c>
      <c r="AF975" s="79">
        <v>45035.725057870368</v>
      </c>
      <c r="AG975" s="85">
        <v>45035</v>
      </c>
      <c r="AH975" s="82" t="s">
        <v>11126</v>
      </c>
      <c r="AI975" s="77" t="b">
        <v>0</v>
      </c>
      <c r="AJ975" s="77"/>
      <c r="AK975" s="77"/>
      <c r="AL975" s="77"/>
      <c r="AM975" s="77"/>
      <c r="AN975" s="77"/>
      <c r="AO975" s="77"/>
      <c r="AP975" s="77"/>
      <c r="AQ975" s="77"/>
      <c r="AR975" s="77"/>
      <c r="AS975" s="77"/>
      <c r="AT975" s="77"/>
      <c r="AU975" s="77"/>
      <c r="AV975" s="80" t="str">
        <f>HYPERLINK("https://pbs.twimg.com/profile_images/1431648743728852993/tLJ7F5Lu_normal.png")</f>
        <v>https://pbs.twimg.com/profile_images/1431648743728852993/tLJ7F5Lu_normal.png</v>
      </c>
      <c r="AW975" s="82" t="s">
        <v>17748</v>
      </c>
      <c r="AX975" s="82" t="s">
        <v>17748</v>
      </c>
      <c r="AY975" s="77"/>
      <c r="AZ975" s="82" t="s">
        <v>20971</v>
      </c>
      <c r="BA975" s="82" t="s">
        <v>20971</v>
      </c>
      <c r="BB975" s="82" t="s">
        <v>20971</v>
      </c>
      <c r="BC975" s="82" t="s">
        <v>17748</v>
      </c>
      <c r="BD975" s="77">
        <v>489723814</v>
      </c>
      <c r="BE975" s="77"/>
      <c r="BF975" s="77"/>
      <c r="BG975" s="77"/>
      <c r="BH975" s="77"/>
      <c r="BI975" s="77"/>
    </row>
    <row r="976" spans="1:61" x14ac:dyDescent="0.25">
      <c r="A976" s="62" t="s">
        <v>418</v>
      </c>
      <c r="B976" s="62" t="s">
        <v>418</v>
      </c>
      <c r="C976" s="63"/>
      <c r="D976" s="64"/>
      <c r="E976" s="65"/>
      <c r="F976" s="66"/>
      <c r="G976" s="63"/>
      <c r="H976" s="67"/>
      <c r="I976" s="68"/>
      <c r="J976" s="68"/>
      <c r="K976" s="32"/>
      <c r="L976" s="75">
        <v>976</v>
      </c>
      <c r="M976" s="75"/>
      <c r="N976" s="70"/>
      <c r="O976" s="77" t="s">
        <v>179</v>
      </c>
      <c r="P976" s="79">
        <v>45035.719525462962</v>
      </c>
      <c r="Q976" s="77" t="s">
        <v>2242</v>
      </c>
      <c r="R976" s="77">
        <v>0</v>
      </c>
      <c r="S976" s="77">
        <v>0</v>
      </c>
      <c r="T976" s="77">
        <v>0</v>
      </c>
      <c r="U976" s="77">
        <v>0</v>
      </c>
      <c r="V976" s="77">
        <v>39</v>
      </c>
      <c r="W976" s="82" t="s">
        <v>5335</v>
      </c>
      <c r="X976" s="80" t="str">
        <f>HYPERLINK("https://www.freeclassificados.com/ads/guarulhos-bairro-dos-pimentas-13-100-m2-ou-fracao-otima-localizacao/")</f>
        <v>https://www.freeclassificados.com/ads/guarulhos-bairro-dos-pimentas-13-100-m2-ou-fracao-otima-localizacao/</v>
      </c>
      <c r="Y976" s="77" t="s">
        <v>7308</v>
      </c>
      <c r="Z976" s="77"/>
      <c r="AA976" s="77"/>
      <c r="AB976" s="77"/>
      <c r="AC976" s="82" t="s">
        <v>10155</v>
      </c>
      <c r="AD976" s="77" t="s">
        <v>10184</v>
      </c>
      <c r="AE976" s="80" t="str">
        <f>HYPERLINK("https://twitter.com/freeclassific/status/1648737252321935360")</f>
        <v>https://twitter.com/freeclassific/status/1648737252321935360</v>
      </c>
      <c r="AF976" s="79">
        <v>45035.719525462962</v>
      </c>
      <c r="AG976" s="85">
        <v>45035</v>
      </c>
      <c r="AH976" s="82" t="s">
        <v>11127</v>
      </c>
      <c r="AI976" s="77" t="b">
        <v>0</v>
      </c>
      <c r="AJ976" s="77"/>
      <c r="AK976" s="77"/>
      <c r="AL976" s="77"/>
      <c r="AM976" s="77"/>
      <c r="AN976" s="77"/>
      <c r="AO976" s="77"/>
      <c r="AP976" s="77"/>
      <c r="AQ976" s="77"/>
      <c r="AR976" s="77"/>
      <c r="AS976" s="77"/>
      <c r="AT976" s="77"/>
      <c r="AU976" s="77"/>
      <c r="AV976" s="80" t="str">
        <f>HYPERLINK("https://pbs.twimg.com/profile_images/1431648743728852993/tLJ7F5Lu_normal.png")</f>
        <v>https://pbs.twimg.com/profile_images/1431648743728852993/tLJ7F5Lu_normal.png</v>
      </c>
      <c r="AW976" s="82" t="s">
        <v>17749</v>
      </c>
      <c r="AX976" s="82" t="s">
        <v>17749</v>
      </c>
      <c r="AY976" s="77"/>
      <c r="AZ976" s="82" t="s">
        <v>20971</v>
      </c>
      <c r="BA976" s="82" t="s">
        <v>20971</v>
      </c>
      <c r="BB976" s="82" t="s">
        <v>20971</v>
      </c>
      <c r="BC976" s="82" t="s">
        <v>17749</v>
      </c>
      <c r="BD976" s="77">
        <v>489723814</v>
      </c>
      <c r="BE976" s="77"/>
      <c r="BF976" s="77"/>
      <c r="BG976" s="77"/>
      <c r="BH976" s="77"/>
      <c r="BI976" s="77"/>
    </row>
    <row r="977" spans="1:61" x14ac:dyDescent="0.25">
      <c r="A977" s="62" t="s">
        <v>418</v>
      </c>
      <c r="B977" s="62" t="s">
        <v>418</v>
      </c>
      <c r="C977" s="63"/>
      <c r="D977" s="64"/>
      <c r="E977" s="65"/>
      <c r="F977" s="66"/>
      <c r="G977" s="63"/>
      <c r="H977" s="67"/>
      <c r="I977" s="68"/>
      <c r="J977" s="68"/>
      <c r="K977" s="32"/>
      <c r="L977" s="75">
        <v>977</v>
      </c>
      <c r="M977" s="75"/>
      <c r="N977" s="70"/>
      <c r="O977" s="77" t="s">
        <v>179</v>
      </c>
      <c r="P977" s="79">
        <v>45035.709502314814</v>
      </c>
      <c r="Q977" s="77" t="s">
        <v>2243</v>
      </c>
      <c r="R977" s="77">
        <v>0</v>
      </c>
      <c r="S977" s="77">
        <v>0</v>
      </c>
      <c r="T977" s="77">
        <v>0</v>
      </c>
      <c r="U977" s="77">
        <v>0</v>
      </c>
      <c r="V977" s="77">
        <v>17</v>
      </c>
      <c r="W977" s="82" t="s">
        <v>5335</v>
      </c>
      <c r="X977" s="80" t="str">
        <f>HYPERLINK("https://www.freeclassificados.com/ads/galpoes-lojas-e-terrenos-em-varias-regioes-como-guarulhos-e-tambore/")</f>
        <v>https://www.freeclassificados.com/ads/galpoes-lojas-e-terrenos-em-varias-regioes-como-guarulhos-e-tambore/</v>
      </c>
      <c r="Y977" s="77" t="s">
        <v>7308</v>
      </c>
      <c r="Z977" s="77"/>
      <c r="AA977" s="77"/>
      <c r="AB977" s="77"/>
      <c r="AC977" s="82" t="s">
        <v>10155</v>
      </c>
      <c r="AD977" s="77" t="s">
        <v>10184</v>
      </c>
      <c r="AE977" s="80" t="str">
        <f>HYPERLINK("https://twitter.com/freeclassific/status/1648733617466793984")</f>
        <v>https://twitter.com/freeclassific/status/1648733617466793984</v>
      </c>
      <c r="AF977" s="79">
        <v>45035.709502314814</v>
      </c>
      <c r="AG977" s="85">
        <v>45035</v>
      </c>
      <c r="AH977" s="82" t="s">
        <v>11128</v>
      </c>
      <c r="AI977" s="77" t="b">
        <v>0</v>
      </c>
      <c r="AJ977" s="77"/>
      <c r="AK977" s="77"/>
      <c r="AL977" s="77"/>
      <c r="AM977" s="77"/>
      <c r="AN977" s="77"/>
      <c r="AO977" s="77"/>
      <c r="AP977" s="77"/>
      <c r="AQ977" s="77"/>
      <c r="AR977" s="77"/>
      <c r="AS977" s="77"/>
      <c r="AT977" s="77"/>
      <c r="AU977" s="77"/>
      <c r="AV977" s="80" t="str">
        <f>HYPERLINK("https://pbs.twimg.com/profile_images/1431648743728852993/tLJ7F5Lu_normal.png")</f>
        <v>https://pbs.twimg.com/profile_images/1431648743728852993/tLJ7F5Lu_normal.png</v>
      </c>
      <c r="AW977" s="82" t="s">
        <v>17750</v>
      </c>
      <c r="AX977" s="82" t="s">
        <v>17750</v>
      </c>
      <c r="AY977" s="77"/>
      <c r="AZ977" s="82" t="s">
        <v>20971</v>
      </c>
      <c r="BA977" s="82" t="s">
        <v>20971</v>
      </c>
      <c r="BB977" s="82" t="s">
        <v>20971</v>
      </c>
      <c r="BC977" s="82" t="s">
        <v>17750</v>
      </c>
      <c r="BD977" s="77">
        <v>489723814</v>
      </c>
      <c r="BE977" s="77"/>
      <c r="BF977" s="77"/>
      <c r="BG977" s="77"/>
      <c r="BH977" s="77"/>
      <c r="BI977" s="77"/>
    </row>
    <row r="978" spans="1:61" x14ac:dyDescent="0.25">
      <c r="A978" s="62" t="s">
        <v>418</v>
      </c>
      <c r="B978" s="62" t="s">
        <v>418</v>
      </c>
      <c r="C978" s="63"/>
      <c r="D978" s="64"/>
      <c r="E978" s="65"/>
      <c r="F978" s="66"/>
      <c r="G978" s="63"/>
      <c r="H978" s="67"/>
      <c r="I978" s="68"/>
      <c r="J978" s="68"/>
      <c r="K978" s="32"/>
      <c r="L978" s="75">
        <v>978</v>
      </c>
      <c r="M978" s="75"/>
      <c r="N978" s="70"/>
      <c r="O978" s="77" t="s">
        <v>179</v>
      </c>
      <c r="P978" s="79">
        <v>45035.64603009259</v>
      </c>
      <c r="Q978" s="77" t="s">
        <v>2244</v>
      </c>
      <c r="R978" s="77">
        <v>0</v>
      </c>
      <c r="S978" s="77">
        <v>0</v>
      </c>
      <c r="T978" s="77">
        <v>0</v>
      </c>
      <c r="U978" s="77">
        <v>0</v>
      </c>
      <c r="V978" s="77">
        <v>17</v>
      </c>
      <c r="W978" s="82" t="s">
        <v>5335</v>
      </c>
      <c r="X978" s="80" t="str">
        <f>HYPERLINK("https://www.freeclassificados.com/ads/galpoes-lojas-e-terrenos-em-varias-regioes-como-guarulhos-e-barueri/")</f>
        <v>https://www.freeclassificados.com/ads/galpoes-lojas-e-terrenos-em-varias-regioes-como-guarulhos-e-barueri/</v>
      </c>
      <c r="Y978" s="77" t="s">
        <v>7308</v>
      </c>
      <c r="Z978" s="77"/>
      <c r="AA978" s="77"/>
      <c r="AB978" s="77"/>
      <c r="AC978" s="82" t="s">
        <v>10155</v>
      </c>
      <c r="AD978" s="77" t="s">
        <v>10184</v>
      </c>
      <c r="AE978" s="80" t="str">
        <f>HYPERLINK("https://twitter.com/freeclassific/status/1648710617120006145")</f>
        <v>https://twitter.com/freeclassific/status/1648710617120006145</v>
      </c>
      <c r="AF978" s="79">
        <v>45035.64603009259</v>
      </c>
      <c r="AG978" s="85">
        <v>45035</v>
      </c>
      <c r="AH978" s="82" t="s">
        <v>11129</v>
      </c>
      <c r="AI978" s="77" t="b">
        <v>0</v>
      </c>
      <c r="AJ978" s="77"/>
      <c r="AK978" s="77"/>
      <c r="AL978" s="77"/>
      <c r="AM978" s="77"/>
      <c r="AN978" s="77"/>
      <c r="AO978" s="77"/>
      <c r="AP978" s="77"/>
      <c r="AQ978" s="77"/>
      <c r="AR978" s="77"/>
      <c r="AS978" s="77"/>
      <c r="AT978" s="77"/>
      <c r="AU978" s="77"/>
      <c r="AV978" s="80" t="str">
        <f>HYPERLINK("https://pbs.twimg.com/profile_images/1431648743728852993/tLJ7F5Lu_normal.png")</f>
        <v>https://pbs.twimg.com/profile_images/1431648743728852993/tLJ7F5Lu_normal.png</v>
      </c>
      <c r="AW978" s="82" t="s">
        <v>17751</v>
      </c>
      <c r="AX978" s="82" t="s">
        <v>17751</v>
      </c>
      <c r="AY978" s="77"/>
      <c r="AZ978" s="82" t="s">
        <v>20971</v>
      </c>
      <c r="BA978" s="82" t="s">
        <v>20971</v>
      </c>
      <c r="BB978" s="82" t="s">
        <v>20971</v>
      </c>
      <c r="BC978" s="82" t="s">
        <v>17751</v>
      </c>
      <c r="BD978" s="77">
        <v>489723814</v>
      </c>
      <c r="BE978" s="77"/>
      <c r="BF978" s="77"/>
      <c r="BG978" s="77"/>
      <c r="BH978" s="77"/>
      <c r="BI978" s="77"/>
    </row>
    <row r="979" spans="1:61" x14ac:dyDescent="0.25">
      <c r="A979" s="62" t="s">
        <v>418</v>
      </c>
      <c r="B979" s="62" t="s">
        <v>418</v>
      </c>
      <c r="C979" s="63"/>
      <c r="D979" s="64"/>
      <c r="E979" s="65"/>
      <c r="F979" s="66"/>
      <c r="G979" s="63"/>
      <c r="H979" s="67"/>
      <c r="I979" s="68"/>
      <c r="J979" s="68"/>
      <c r="K979" s="32"/>
      <c r="L979" s="75">
        <v>979</v>
      </c>
      <c r="M979" s="75"/>
      <c r="N979" s="70"/>
      <c r="O979" s="77" t="s">
        <v>179</v>
      </c>
      <c r="P979" s="79">
        <v>45035.641064814816</v>
      </c>
      <c r="Q979" s="77" t="s">
        <v>2245</v>
      </c>
      <c r="R979" s="77">
        <v>0</v>
      </c>
      <c r="S979" s="77">
        <v>0</v>
      </c>
      <c r="T979" s="77">
        <v>0</v>
      </c>
      <c r="U979" s="77">
        <v>0</v>
      </c>
      <c r="V979" s="77">
        <v>12</v>
      </c>
      <c r="W979" s="82" t="s">
        <v>5335</v>
      </c>
      <c r="X979" s="80" t="str">
        <f>HYPERLINK("https://www.freeclassificados.com/ads/197-000-m2-no-guaruja-a-poucos-kilometros-da-cidade-e-da-praia/")</f>
        <v>https://www.freeclassificados.com/ads/197-000-m2-no-guaruja-a-poucos-kilometros-da-cidade-e-da-praia/</v>
      </c>
      <c r="Y979" s="77" t="s">
        <v>7308</v>
      </c>
      <c r="Z979" s="77"/>
      <c r="AA979" s="77"/>
      <c r="AB979" s="77"/>
      <c r="AC979" s="82" t="s">
        <v>10155</v>
      </c>
      <c r="AD979" s="77" t="s">
        <v>10184</v>
      </c>
      <c r="AE979" s="80" t="str">
        <f>HYPERLINK("https://twitter.com/freeclassific/status/1648708818384355328")</f>
        <v>https://twitter.com/freeclassific/status/1648708818384355328</v>
      </c>
      <c r="AF979" s="79">
        <v>45035.641064814816</v>
      </c>
      <c r="AG979" s="85">
        <v>45035</v>
      </c>
      <c r="AH979" s="82" t="s">
        <v>11130</v>
      </c>
      <c r="AI979" s="77" t="b">
        <v>0</v>
      </c>
      <c r="AJ979" s="77"/>
      <c r="AK979" s="77"/>
      <c r="AL979" s="77"/>
      <c r="AM979" s="77"/>
      <c r="AN979" s="77"/>
      <c r="AO979" s="77"/>
      <c r="AP979" s="77"/>
      <c r="AQ979" s="77"/>
      <c r="AR979" s="77"/>
      <c r="AS979" s="77"/>
      <c r="AT979" s="77"/>
      <c r="AU979" s="77"/>
      <c r="AV979" s="80" t="str">
        <f>HYPERLINK("https://pbs.twimg.com/profile_images/1431648743728852993/tLJ7F5Lu_normal.png")</f>
        <v>https://pbs.twimg.com/profile_images/1431648743728852993/tLJ7F5Lu_normal.png</v>
      </c>
      <c r="AW979" s="82" t="s">
        <v>17752</v>
      </c>
      <c r="AX979" s="82" t="s">
        <v>17752</v>
      </c>
      <c r="AY979" s="77"/>
      <c r="AZ979" s="82" t="s">
        <v>20971</v>
      </c>
      <c r="BA979" s="82" t="s">
        <v>20971</v>
      </c>
      <c r="BB979" s="82" t="s">
        <v>20971</v>
      </c>
      <c r="BC979" s="82" t="s">
        <v>17752</v>
      </c>
      <c r="BD979" s="77">
        <v>489723814</v>
      </c>
      <c r="BE979" s="77"/>
      <c r="BF979" s="77"/>
      <c r="BG979" s="77"/>
      <c r="BH979" s="77"/>
      <c r="BI979" s="77"/>
    </row>
    <row r="980" spans="1:61" x14ac:dyDescent="0.25">
      <c r="A980" s="62" t="s">
        <v>418</v>
      </c>
      <c r="B980" s="62" t="s">
        <v>418</v>
      </c>
      <c r="C980" s="63"/>
      <c r="D980" s="64"/>
      <c r="E980" s="65"/>
      <c r="F980" s="66"/>
      <c r="G980" s="63"/>
      <c r="H980" s="67"/>
      <c r="I980" s="68"/>
      <c r="J980" s="68"/>
      <c r="K980" s="32"/>
      <c r="L980" s="75">
        <v>980</v>
      </c>
      <c r="M980" s="75"/>
      <c r="N980" s="70"/>
      <c r="O980" s="77" t="s">
        <v>179</v>
      </c>
      <c r="P980" s="79">
        <v>45035.622777777775</v>
      </c>
      <c r="Q980" s="77" t="s">
        <v>2246</v>
      </c>
      <c r="R980" s="77">
        <v>0</v>
      </c>
      <c r="S980" s="77">
        <v>0</v>
      </c>
      <c r="T980" s="77">
        <v>0</v>
      </c>
      <c r="U980" s="77">
        <v>0</v>
      </c>
      <c r="V980" s="77">
        <v>20</v>
      </c>
      <c r="W980" s="82" t="s">
        <v>5335</v>
      </c>
      <c r="X980" s="80" t="str">
        <f>HYPERLINK("https://www.freeclassificados.com/ads/galpoes-lojas-e-terrenos-em-varias-regioes-este-em-cotia-e-sacoma/")</f>
        <v>https://www.freeclassificados.com/ads/galpoes-lojas-e-terrenos-em-varias-regioes-este-em-cotia-e-sacoma/</v>
      </c>
      <c r="Y980" s="77" t="s">
        <v>7308</v>
      </c>
      <c r="Z980" s="77"/>
      <c r="AA980" s="77"/>
      <c r="AB980" s="77"/>
      <c r="AC980" s="82" t="s">
        <v>10155</v>
      </c>
      <c r="AD980" s="77" t="s">
        <v>10184</v>
      </c>
      <c r="AE980" s="80" t="str">
        <f>HYPERLINK("https://twitter.com/freeclassific/status/1648702190427734017")</f>
        <v>https://twitter.com/freeclassific/status/1648702190427734017</v>
      </c>
      <c r="AF980" s="79">
        <v>45035.622777777775</v>
      </c>
      <c r="AG980" s="85">
        <v>45035</v>
      </c>
      <c r="AH980" s="82" t="s">
        <v>11131</v>
      </c>
      <c r="AI980" s="77" t="b">
        <v>0</v>
      </c>
      <c r="AJ980" s="77"/>
      <c r="AK980" s="77"/>
      <c r="AL980" s="77"/>
      <c r="AM980" s="77"/>
      <c r="AN980" s="77"/>
      <c r="AO980" s="77"/>
      <c r="AP980" s="77"/>
      <c r="AQ980" s="77"/>
      <c r="AR980" s="77"/>
      <c r="AS980" s="77"/>
      <c r="AT980" s="77"/>
      <c r="AU980" s="77"/>
      <c r="AV980" s="80" t="str">
        <f>HYPERLINK("https://pbs.twimg.com/profile_images/1431648743728852993/tLJ7F5Lu_normal.png")</f>
        <v>https://pbs.twimg.com/profile_images/1431648743728852993/tLJ7F5Lu_normal.png</v>
      </c>
      <c r="AW980" s="82" t="s">
        <v>17753</v>
      </c>
      <c r="AX980" s="82" t="s">
        <v>17753</v>
      </c>
      <c r="AY980" s="77"/>
      <c r="AZ980" s="82" t="s">
        <v>20971</v>
      </c>
      <c r="BA980" s="82" t="s">
        <v>20971</v>
      </c>
      <c r="BB980" s="82" t="s">
        <v>20971</v>
      </c>
      <c r="BC980" s="82" t="s">
        <v>17753</v>
      </c>
      <c r="BD980" s="77">
        <v>489723814</v>
      </c>
      <c r="BE980" s="77"/>
      <c r="BF980" s="77"/>
      <c r="BG980" s="77"/>
      <c r="BH980" s="77"/>
      <c r="BI980" s="77"/>
    </row>
    <row r="981" spans="1:61" x14ac:dyDescent="0.25">
      <c r="A981" s="62" t="s">
        <v>418</v>
      </c>
      <c r="B981" s="62" t="s">
        <v>418</v>
      </c>
      <c r="C981" s="63"/>
      <c r="D981" s="64"/>
      <c r="E981" s="65"/>
      <c r="F981" s="66"/>
      <c r="G981" s="63"/>
      <c r="H981" s="67"/>
      <c r="I981" s="68"/>
      <c r="J981" s="68"/>
      <c r="K981" s="32"/>
      <c r="L981" s="75">
        <v>981</v>
      </c>
      <c r="M981" s="75"/>
      <c r="N981" s="70"/>
      <c r="O981" s="77" t="s">
        <v>179</v>
      </c>
      <c r="P981" s="79">
        <v>45035.617210648146</v>
      </c>
      <c r="Q981" s="77" t="s">
        <v>2247</v>
      </c>
      <c r="R981" s="77">
        <v>0</v>
      </c>
      <c r="S981" s="77">
        <v>0</v>
      </c>
      <c r="T981" s="77">
        <v>0</v>
      </c>
      <c r="U981" s="77">
        <v>0</v>
      </c>
      <c r="V981" s="77">
        <v>24</v>
      </c>
      <c r="W981" s="82" t="s">
        <v>5335</v>
      </c>
      <c r="X981" s="80" t="str">
        <f>HYPERLINK("https://www.freeclassificados.com/ads/terreno-de-17-000-m2-em-cotia-ao-lado-de-osasco-do-rodoanel-e-raposo-tavares/")</f>
        <v>https://www.freeclassificados.com/ads/terreno-de-17-000-m2-em-cotia-ao-lado-de-osasco-do-rodoanel-e-raposo-tavares/</v>
      </c>
      <c r="Y981" s="77" t="s">
        <v>7308</v>
      </c>
      <c r="Z981" s="77"/>
      <c r="AA981" s="77"/>
      <c r="AB981" s="77"/>
      <c r="AC981" s="82" t="s">
        <v>10155</v>
      </c>
      <c r="AD981" s="77" t="s">
        <v>10184</v>
      </c>
      <c r="AE981" s="80" t="str">
        <f>HYPERLINK("https://twitter.com/freeclassific/status/1648700175509229570")</f>
        <v>https://twitter.com/freeclassific/status/1648700175509229570</v>
      </c>
      <c r="AF981" s="79">
        <v>45035.617210648146</v>
      </c>
      <c r="AG981" s="85">
        <v>45035</v>
      </c>
      <c r="AH981" s="82" t="s">
        <v>11132</v>
      </c>
      <c r="AI981" s="77" t="b">
        <v>0</v>
      </c>
      <c r="AJ981" s="77"/>
      <c r="AK981" s="77"/>
      <c r="AL981" s="77"/>
      <c r="AM981" s="77"/>
      <c r="AN981" s="77"/>
      <c r="AO981" s="77"/>
      <c r="AP981" s="77"/>
      <c r="AQ981" s="77"/>
      <c r="AR981" s="77"/>
      <c r="AS981" s="77"/>
      <c r="AT981" s="77"/>
      <c r="AU981" s="77"/>
      <c r="AV981" s="80" t="str">
        <f>HYPERLINK("https://pbs.twimg.com/profile_images/1431648743728852993/tLJ7F5Lu_normal.png")</f>
        <v>https://pbs.twimg.com/profile_images/1431648743728852993/tLJ7F5Lu_normal.png</v>
      </c>
      <c r="AW981" s="82" t="s">
        <v>17754</v>
      </c>
      <c r="AX981" s="82" t="s">
        <v>17754</v>
      </c>
      <c r="AY981" s="77"/>
      <c r="AZ981" s="82" t="s">
        <v>20971</v>
      </c>
      <c r="BA981" s="82" t="s">
        <v>20971</v>
      </c>
      <c r="BB981" s="82" t="s">
        <v>20971</v>
      </c>
      <c r="BC981" s="82" t="s">
        <v>17754</v>
      </c>
      <c r="BD981" s="77">
        <v>489723814</v>
      </c>
      <c r="BE981" s="77"/>
      <c r="BF981" s="77"/>
      <c r="BG981" s="77"/>
      <c r="BH981" s="77"/>
      <c r="BI981" s="77"/>
    </row>
    <row r="982" spans="1:61" x14ac:dyDescent="0.25">
      <c r="A982" s="62" t="s">
        <v>418</v>
      </c>
      <c r="B982" s="62" t="s">
        <v>418</v>
      </c>
      <c r="C982" s="63"/>
      <c r="D982" s="64"/>
      <c r="E982" s="65"/>
      <c r="F982" s="66"/>
      <c r="G982" s="63"/>
      <c r="H982" s="67"/>
      <c r="I982" s="68"/>
      <c r="J982" s="68"/>
      <c r="K982" s="32"/>
      <c r="L982" s="75">
        <v>982</v>
      </c>
      <c r="M982" s="75"/>
      <c r="N982" s="70"/>
      <c r="O982" s="77" t="s">
        <v>179</v>
      </c>
      <c r="P982" s="79">
        <v>45035.611157407409</v>
      </c>
      <c r="Q982" s="77" t="s">
        <v>2248</v>
      </c>
      <c r="R982" s="77">
        <v>0</v>
      </c>
      <c r="S982" s="77">
        <v>0</v>
      </c>
      <c r="T982" s="77">
        <v>0</v>
      </c>
      <c r="U982" s="77">
        <v>0</v>
      </c>
      <c r="V982" s="77">
        <v>7</v>
      </c>
      <c r="W982" s="82" t="s">
        <v>5335</v>
      </c>
      <c r="X982" s="80" t="str">
        <f>HYPERLINK("https://www.freeclassificados.com/ads/20-lotes-de-terrenos-em-comodoro-mt-adquirido-em-leilao-de-bancos/")</f>
        <v>https://www.freeclassificados.com/ads/20-lotes-de-terrenos-em-comodoro-mt-adquirido-em-leilao-de-bancos/</v>
      </c>
      <c r="Y982" s="77" t="s">
        <v>7308</v>
      </c>
      <c r="Z982" s="77"/>
      <c r="AA982" s="77"/>
      <c r="AB982" s="77"/>
      <c r="AC982" s="82" t="s">
        <v>10155</v>
      </c>
      <c r="AD982" s="77" t="s">
        <v>10184</v>
      </c>
      <c r="AE982" s="80" t="str">
        <f>HYPERLINK("https://twitter.com/freeclassific/status/1648697979522670592")</f>
        <v>https://twitter.com/freeclassific/status/1648697979522670592</v>
      </c>
      <c r="AF982" s="79">
        <v>45035.611157407409</v>
      </c>
      <c r="AG982" s="85">
        <v>45035</v>
      </c>
      <c r="AH982" s="82" t="s">
        <v>11133</v>
      </c>
      <c r="AI982" s="77" t="b">
        <v>0</v>
      </c>
      <c r="AJ982" s="77"/>
      <c r="AK982" s="77"/>
      <c r="AL982" s="77"/>
      <c r="AM982" s="77"/>
      <c r="AN982" s="77"/>
      <c r="AO982" s="77"/>
      <c r="AP982" s="77"/>
      <c r="AQ982" s="77"/>
      <c r="AR982" s="77"/>
      <c r="AS982" s="77"/>
      <c r="AT982" s="77"/>
      <c r="AU982" s="77"/>
      <c r="AV982" s="80" t="str">
        <f>HYPERLINK("https://pbs.twimg.com/profile_images/1431648743728852993/tLJ7F5Lu_normal.png")</f>
        <v>https://pbs.twimg.com/profile_images/1431648743728852993/tLJ7F5Lu_normal.png</v>
      </c>
      <c r="AW982" s="82" t="s">
        <v>17755</v>
      </c>
      <c r="AX982" s="82" t="s">
        <v>17755</v>
      </c>
      <c r="AY982" s="77"/>
      <c r="AZ982" s="82" t="s">
        <v>20971</v>
      </c>
      <c r="BA982" s="82" t="s">
        <v>20971</v>
      </c>
      <c r="BB982" s="82" t="s">
        <v>20971</v>
      </c>
      <c r="BC982" s="82" t="s">
        <v>17755</v>
      </c>
      <c r="BD982" s="77">
        <v>489723814</v>
      </c>
      <c r="BE982" s="77"/>
      <c r="BF982" s="77"/>
      <c r="BG982" s="77"/>
      <c r="BH982" s="77"/>
      <c r="BI982" s="77"/>
    </row>
    <row r="983" spans="1:61" x14ac:dyDescent="0.25">
      <c r="A983" s="62" t="s">
        <v>418</v>
      </c>
      <c r="B983" s="62" t="s">
        <v>418</v>
      </c>
      <c r="C983" s="63"/>
      <c r="D983" s="64"/>
      <c r="E983" s="65"/>
      <c r="F983" s="66"/>
      <c r="G983" s="63"/>
      <c r="H983" s="67"/>
      <c r="I983" s="68"/>
      <c r="J983" s="68"/>
      <c r="K983" s="32"/>
      <c r="L983" s="75">
        <v>983</v>
      </c>
      <c r="M983" s="75"/>
      <c r="N983" s="70"/>
      <c r="O983" s="77" t="s">
        <v>179</v>
      </c>
      <c r="P983" s="79">
        <v>45035.604224537034</v>
      </c>
      <c r="Q983" s="77" t="s">
        <v>2249</v>
      </c>
      <c r="R983" s="77">
        <v>0</v>
      </c>
      <c r="S983" s="77">
        <v>0</v>
      </c>
      <c r="T983" s="77">
        <v>0</v>
      </c>
      <c r="U983" s="77">
        <v>0</v>
      </c>
      <c r="V983" s="77">
        <v>14</v>
      </c>
      <c r="W983" s="82" t="s">
        <v>5335</v>
      </c>
      <c r="X983" s="80" t="str">
        <f>HYPERLINK("https://www.freeclassificados.com/ads/galpoes-lojas-e-terrenos-em-varias-regioes-como-cajamar-e-santo-amaro/")</f>
        <v>https://www.freeclassificados.com/ads/galpoes-lojas-e-terrenos-em-varias-regioes-como-cajamar-e-santo-amaro/</v>
      </c>
      <c r="Y983" s="77" t="s">
        <v>7308</v>
      </c>
      <c r="Z983" s="77"/>
      <c r="AA983" s="77"/>
      <c r="AB983" s="77"/>
      <c r="AC983" s="82" t="s">
        <v>10155</v>
      </c>
      <c r="AD983" s="77" t="s">
        <v>10184</v>
      </c>
      <c r="AE983" s="80" t="str">
        <f>HYPERLINK("https://twitter.com/freeclassific/status/1648695469739212800")</f>
        <v>https://twitter.com/freeclassific/status/1648695469739212800</v>
      </c>
      <c r="AF983" s="79">
        <v>45035.604224537034</v>
      </c>
      <c r="AG983" s="85">
        <v>45035</v>
      </c>
      <c r="AH983" s="82" t="s">
        <v>11134</v>
      </c>
      <c r="AI983" s="77" t="b">
        <v>0</v>
      </c>
      <c r="AJ983" s="77"/>
      <c r="AK983" s="77"/>
      <c r="AL983" s="77"/>
      <c r="AM983" s="77"/>
      <c r="AN983" s="77"/>
      <c r="AO983" s="77"/>
      <c r="AP983" s="77"/>
      <c r="AQ983" s="77"/>
      <c r="AR983" s="77"/>
      <c r="AS983" s="77"/>
      <c r="AT983" s="77"/>
      <c r="AU983" s="77"/>
      <c r="AV983" s="80" t="str">
        <f>HYPERLINK("https://pbs.twimg.com/profile_images/1431648743728852993/tLJ7F5Lu_normal.png")</f>
        <v>https://pbs.twimg.com/profile_images/1431648743728852993/tLJ7F5Lu_normal.png</v>
      </c>
      <c r="AW983" s="82" t="s">
        <v>17756</v>
      </c>
      <c r="AX983" s="82" t="s">
        <v>17756</v>
      </c>
      <c r="AY983" s="77"/>
      <c r="AZ983" s="82" t="s">
        <v>20971</v>
      </c>
      <c r="BA983" s="82" t="s">
        <v>20971</v>
      </c>
      <c r="BB983" s="82" t="s">
        <v>20971</v>
      </c>
      <c r="BC983" s="82" t="s">
        <v>17756</v>
      </c>
      <c r="BD983" s="77">
        <v>489723814</v>
      </c>
      <c r="BE983" s="77"/>
      <c r="BF983" s="77"/>
      <c r="BG983" s="77"/>
      <c r="BH983" s="77"/>
      <c r="BI983" s="77"/>
    </row>
    <row r="984" spans="1:61" x14ac:dyDescent="0.25">
      <c r="A984" s="62" t="s">
        <v>418</v>
      </c>
      <c r="B984" s="62" t="s">
        <v>418</v>
      </c>
      <c r="C984" s="63"/>
      <c r="D984" s="64"/>
      <c r="E984" s="65"/>
      <c r="F984" s="66"/>
      <c r="G984" s="63"/>
      <c r="H984" s="67"/>
      <c r="I984" s="68"/>
      <c r="J984" s="68"/>
      <c r="K984" s="32"/>
      <c r="L984" s="75">
        <v>984</v>
      </c>
      <c r="M984" s="75"/>
      <c r="N984" s="70"/>
      <c r="O984" s="77" t="s">
        <v>179</v>
      </c>
      <c r="P984" s="79">
        <v>45035.600034722222</v>
      </c>
      <c r="Q984" s="77" t="s">
        <v>2250</v>
      </c>
      <c r="R984" s="77">
        <v>0</v>
      </c>
      <c r="S984" s="77">
        <v>0</v>
      </c>
      <c r="T984" s="77">
        <v>0</v>
      </c>
      <c r="U984" s="77">
        <v>0</v>
      </c>
      <c r="V984" s="77">
        <v>14</v>
      </c>
      <c r="W984" s="82" t="s">
        <v>5335</v>
      </c>
      <c r="X984" s="80" t="str">
        <f>HYPERLINK("https://www.freeclassificados.com/ads/lojas-e-galpoes-de-diversos-tamanhos-e-regiao-como-barueri-e-santo-amaro/")</f>
        <v>https://www.freeclassificados.com/ads/lojas-e-galpoes-de-diversos-tamanhos-e-regiao-como-barueri-e-santo-amaro/</v>
      </c>
      <c r="Y984" s="77" t="s">
        <v>7308</v>
      </c>
      <c r="Z984" s="77"/>
      <c r="AA984" s="77"/>
      <c r="AB984" s="77"/>
      <c r="AC984" s="82" t="s">
        <v>10155</v>
      </c>
      <c r="AD984" s="77" t="s">
        <v>10184</v>
      </c>
      <c r="AE984" s="80" t="str">
        <f>HYPERLINK("https://twitter.com/freeclassific/status/1648693949299843072")</f>
        <v>https://twitter.com/freeclassific/status/1648693949299843072</v>
      </c>
      <c r="AF984" s="79">
        <v>45035.600034722222</v>
      </c>
      <c r="AG984" s="85">
        <v>45035</v>
      </c>
      <c r="AH984" s="82" t="s">
        <v>11135</v>
      </c>
      <c r="AI984" s="77" t="b">
        <v>0</v>
      </c>
      <c r="AJ984" s="77"/>
      <c r="AK984" s="77"/>
      <c r="AL984" s="77"/>
      <c r="AM984" s="77"/>
      <c r="AN984" s="77"/>
      <c r="AO984" s="77"/>
      <c r="AP984" s="77"/>
      <c r="AQ984" s="77"/>
      <c r="AR984" s="77"/>
      <c r="AS984" s="77"/>
      <c r="AT984" s="77"/>
      <c r="AU984" s="77"/>
      <c r="AV984" s="80" t="str">
        <f>HYPERLINK("https://pbs.twimg.com/profile_images/1431648743728852993/tLJ7F5Lu_normal.png")</f>
        <v>https://pbs.twimg.com/profile_images/1431648743728852993/tLJ7F5Lu_normal.png</v>
      </c>
      <c r="AW984" s="82" t="s">
        <v>17757</v>
      </c>
      <c r="AX984" s="82" t="s">
        <v>17757</v>
      </c>
      <c r="AY984" s="77"/>
      <c r="AZ984" s="82" t="s">
        <v>20971</v>
      </c>
      <c r="BA984" s="82" t="s">
        <v>20971</v>
      </c>
      <c r="BB984" s="82" t="s">
        <v>20971</v>
      </c>
      <c r="BC984" s="82" t="s">
        <v>17757</v>
      </c>
      <c r="BD984" s="77">
        <v>489723814</v>
      </c>
      <c r="BE984" s="77"/>
      <c r="BF984" s="77"/>
      <c r="BG984" s="77"/>
      <c r="BH984" s="77"/>
      <c r="BI984" s="77"/>
    </row>
    <row r="985" spans="1:61" x14ac:dyDescent="0.25">
      <c r="A985" s="62" t="s">
        <v>418</v>
      </c>
      <c r="B985" s="62" t="s">
        <v>418</v>
      </c>
      <c r="C985" s="63"/>
      <c r="D985" s="64"/>
      <c r="E985" s="65"/>
      <c r="F985" s="66"/>
      <c r="G985" s="63"/>
      <c r="H985" s="67"/>
      <c r="I985" s="68"/>
      <c r="J985" s="68"/>
      <c r="K985" s="32"/>
      <c r="L985" s="75">
        <v>985</v>
      </c>
      <c r="M985" s="75"/>
      <c r="N985" s="70"/>
      <c r="O985" s="77" t="s">
        <v>179</v>
      </c>
      <c r="P985" s="79">
        <v>45035.594560185185</v>
      </c>
      <c r="Q985" s="77" t="s">
        <v>2251</v>
      </c>
      <c r="R985" s="77">
        <v>0</v>
      </c>
      <c r="S985" s="77">
        <v>0</v>
      </c>
      <c r="T985" s="77">
        <v>0</v>
      </c>
      <c r="U985" s="77">
        <v>0</v>
      </c>
      <c r="V985" s="77">
        <v>7</v>
      </c>
      <c r="W985" s="82" t="s">
        <v>5335</v>
      </c>
      <c r="X985" s="80" t="str">
        <f>HYPERLINK("https://www.freeclassificados.com/ads/predio-comercial-de-3-pavimentos-e-4-a-5-vagas-na-mariana-e-metros/")</f>
        <v>https://www.freeclassificados.com/ads/predio-comercial-de-3-pavimentos-e-4-a-5-vagas-na-mariana-e-metros/</v>
      </c>
      <c r="Y985" s="77" t="s">
        <v>7308</v>
      </c>
      <c r="Z985" s="77"/>
      <c r="AA985" s="77"/>
      <c r="AB985" s="77"/>
      <c r="AC985" s="82" t="s">
        <v>10155</v>
      </c>
      <c r="AD985" s="77" t="s">
        <v>10184</v>
      </c>
      <c r="AE985" s="80" t="str">
        <f>HYPERLINK("https://twitter.com/freeclassific/status/1648691964316090368")</f>
        <v>https://twitter.com/freeclassific/status/1648691964316090368</v>
      </c>
      <c r="AF985" s="79">
        <v>45035.594560185185</v>
      </c>
      <c r="AG985" s="85">
        <v>45035</v>
      </c>
      <c r="AH985" s="82" t="s">
        <v>11136</v>
      </c>
      <c r="AI985" s="77" t="b">
        <v>0</v>
      </c>
      <c r="AJ985" s="77"/>
      <c r="AK985" s="77"/>
      <c r="AL985" s="77"/>
      <c r="AM985" s="77"/>
      <c r="AN985" s="77"/>
      <c r="AO985" s="77"/>
      <c r="AP985" s="77"/>
      <c r="AQ985" s="77"/>
      <c r="AR985" s="77"/>
      <c r="AS985" s="77"/>
      <c r="AT985" s="77"/>
      <c r="AU985" s="77"/>
      <c r="AV985" s="80" t="str">
        <f>HYPERLINK("https://pbs.twimg.com/profile_images/1431648743728852993/tLJ7F5Lu_normal.png")</f>
        <v>https://pbs.twimg.com/profile_images/1431648743728852993/tLJ7F5Lu_normal.png</v>
      </c>
      <c r="AW985" s="82" t="s">
        <v>17758</v>
      </c>
      <c r="AX985" s="82" t="s">
        <v>17758</v>
      </c>
      <c r="AY985" s="77"/>
      <c r="AZ985" s="82" t="s">
        <v>20971</v>
      </c>
      <c r="BA985" s="82" t="s">
        <v>20971</v>
      </c>
      <c r="BB985" s="82" t="s">
        <v>20971</v>
      </c>
      <c r="BC985" s="82" t="s">
        <v>17758</v>
      </c>
      <c r="BD985" s="77">
        <v>489723814</v>
      </c>
      <c r="BE985" s="77"/>
      <c r="BF985" s="77"/>
      <c r="BG985" s="77"/>
      <c r="BH985" s="77"/>
      <c r="BI985" s="77"/>
    </row>
    <row r="986" spans="1:61" x14ac:dyDescent="0.25">
      <c r="A986" s="62" t="s">
        <v>418</v>
      </c>
      <c r="B986" s="62" t="s">
        <v>418</v>
      </c>
      <c r="C986" s="63"/>
      <c r="D986" s="64"/>
      <c r="E986" s="65"/>
      <c r="F986" s="66"/>
      <c r="G986" s="63"/>
      <c r="H986" s="67"/>
      <c r="I986" s="68"/>
      <c r="J986" s="68"/>
      <c r="K986" s="32"/>
      <c r="L986" s="75">
        <v>986</v>
      </c>
      <c r="M986" s="75"/>
      <c r="N986" s="70"/>
      <c r="O986" s="77" t="s">
        <v>179</v>
      </c>
      <c r="P986" s="79">
        <v>45035.534259259257</v>
      </c>
      <c r="Q986" s="77" t="s">
        <v>2252</v>
      </c>
      <c r="R986" s="77">
        <v>0</v>
      </c>
      <c r="S986" s="77">
        <v>0</v>
      </c>
      <c r="T986" s="77">
        <v>0</v>
      </c>
      <c r="U986" s="77">
        <v>0</v>
      </c>
      <c r="V986" s="77">
        <v>6</v>
      </c>
      <c r="W986" s="82" t="s">
        <v>5335</v>
      </c>
      <c r="X986" s="80" t="str">
        <f>HYPERLINK("https://www.freeclassificados.com/ads/atualizacao-e-insercao-de-dados-de-contatos-para-mala-direta-banco-de-dados-de-clientes-e-planilhas-em-geral/")</f>
        <v>https://www.freeclassificados.com/ads/atualizacao-e-insercao-de-dados-de-contatos-para-mala-direta-banco-de-dados-de-clientes-e-planilhas-em-geral/</v>
      </c>
      <c r="Y986" s="77" t="s">
        <v>7308</v>
      </c>
      <c r="Z986" s="77"/>
      <c r="AA986" s="77"/>
      <c r="AB986" s="77"/>
      <c r="AC986" s="82" t="s">
        <v>10155</v>
      </c>
      <c r="AD986" s="77" t="s">
        <v>10184</v>
      </c>
      <c r="AE986" s="80" t="str">
        <f>HYPERLINK("https://twitter.com/freeclassific/status/1648670112709488643")</f>
        <v>https://twitter.com/freeclassific/status/1648670112709488643</v>
      </c>
      <c r="AF986" s="79">
        <v>45035.534259259257</v>
      </c>
      <c r="AG986" s="85">
        <v>45035</v>
      </c>
      <c r="AH986" s="82" t="s">
        <v>11137</v>
      </c>
      <c r="AI986" s="77" t="b">
        <v>0</v>
      </c>
      <c r="AJ986" s="77"/>
      <c r="AK986" s="77"/>
      <c r="AL986" s="77"/>
      <c r="AM986" s="77"/>
      <c r="AN986" s="77"/>
      <c r="AO986" s="77"/>
      <c r="AP986" s="77"/>
      <c r="AQ986" s="77"/>
      <c r="AR986" s="77"/>
      <c r="AS986" s="77"/>
      <c r="AT986" s="77"/>
      <c r="AU986" s="77"/>
      <c r="AV986" s="80" t="str">
        <f>HYPERLINK("https://pbs.twimg.com/profile_images/1431648743728852993/tLJ7F5Lu_normal.png")</f>
        <v>https://pbs.twimg.com/profile_images/1431648743728852993/tLJ7F5Lu_normal.png</v>
      </c>
      <c r="AW986" s="82" t="s">
        <v>17759</v>
      </c>
      <c r="AX986" s="82" t="s">
        <v>17759</v>
      </c>
      <c r="AY986" s="77"/>
      <c r="AZ986" s="82" t="s">
        <v>20971</v>
      </c>
      <c r="BA986" s="82" t="s">
        <v>20971</v>
      </c>
      <c r="BB986" s="82" t="s">
        <v>20971</v>
      </c>
      <c r="BC986" s="82" t="s">
        <v>17759</v>
      </c>
      <c r="BD986" s="77">
        <v>489723814</v>
      </c>
      <c r="BE986" s="77"/>
      <c r="BF986" s="77"/>
      <c r="BG986" s="77"/>
      <c r="BH986" s="77"/>
      <c r="BI986" s="77"/>
    </row>
    <row r="987" spans="1:61" x14ac:dyDescent="0.25">
      <c r="A987" s="62" t="s">
        <v>418</v>
      </c>
      <c r="B987" s="62" t="s">
        <v>418</v>
      </c>
      <c r="C987" s="63"/>
      <c r="D987" s="64"/>
      <c r="E987" s="65"/>
      <c r="F987" s="66"/>
      <c r="G987" s="63"/>
      <c r="H987" s="67"/>
      <c r="I987" s="68"/>
      <c r="J987" s="68"/>
      <c r="K987" s="32"/>
      <c r="L987" s="75">
        <v>987</v>
      </c>
      <c r="M987" s="75"/>
      <c r="N987" s="70"/>
      <c r="O987" s="77" t="s">
        <v>179</v>
      </c>
      <c r="P987" s="79">
        <v>45035.532175925924</v>
      </c>
      <c r="Q987" s="77" t="s">
        <v>2253</v>
      </c>
      <c r="R987" s="77">
        <v>0</v>
      </c>
      <c r="S987" s="77">
        <v>0</v>
      </c>
      <c r="T987" s="77">
        <v>0</v>
      </c>
      <c r="U987" s="77">
        <v>0</v>
      </c>
      <c r="V987" s="77">
        <v>5</v>
      </c>
      <c r="W987" s="82" t="s">
        <v>5335</v>
      </c>
      <c r="X987" s="80" t="str">
        <f>HYPERLINK("https://www.freeclassificados.com/ads/digitacao-de-receitas-culinarias-livros-e-cadernos-de-receitas/")</f>
        <v>https://www.freeclassificados.com/ads/digitacao-de-receitas-culinarias-livros-e-cadernos-de-receitas/</v>
      </c>
      <c r="Y987" s="77" t="s">
        <v>7308</v>
      </c>
      <c r="Z987" s="77"/>
      <c r="AA987" s="77"/>
      <c r="AB987" s="77"/>
      <c r="AC987" s="82" t="s">
        <v>10155</v>
      </c>
      <c r="AD987" s="77" t="s">
        <v>10184</v>
      </c>
      <c r="AE987" s="80" t="str">
        <f>HYPERLINK("https://twitter.com/freeclassific/status/1648669359471235072")</f>
        <v>https://twitter.com/freeclassific/status/1648669359471235072</v>
      </c>
      <c r="AF987" s="79">
        <v>45035.532175925924</v>
      </c>
      <c r="AG987" s="85">
        <v>45035</v>
      </c>
      <c r="AH987" s="82" t="s">
        <v>11138</v>
      </c>
      <c r="AI987" s="77" t="b">
        <v>0</v>
      </c>
      <c r="AJ987" s="77"/>
      <c r="AK987" s="77"/>
      <c r="AL987" s="77"/>
      <c r="AM987" s="77"/>
      <c r="AN987" s="77"/>
      <c r="AO987" s="77"/>
      <c r="AP987" s="77"/>
      <c r="AQ987" s="77"/>
      <c r="AR987" s="77"/>
      <c r="AS987" s="77"/>
      <c r="AT987" s="77"/>
      <c r="AU987" s="77"/>
      <c r="AV987" s="80" t="str">
        <f>HYPERLINK("https://pbs.twimg.com/profile_images/1431648743728852993/tLJ7F5Lu_normal.png")</f>
        <v>https://pbs.twimg.com/profile_images/1431648743728852993/tLJ7F5Lu_normal.png</v>
      </c>
      <c r="AW987" s="82" t="s">
        <v>17760</v>
      </c>
      <c r="AX987" s="82" t="s">
        <v>17760</v>
      </c>
      <c r="AY987" s="77"/>
      <c r="AZ987" s="82" t="s">
        <v>20971</v>
      </c>
      <c r="BA987" s="82" t="s">
        <v>20971</v>
      </c>
      <c r="BB987" s="82" t="s">
        <v>20971</v>
      </c>
      <c r="BC987" s="82" t="s">
        <v>17760</v>
      </c>
      <c r="BD987" s="77">
        <v>489723814</v>
      </c>
      <c r="BE987" s="77"/>
      <c r="BF987" s="77"/>
      <c r="BG987" s="77"/>
      <c r="BH987" s="77"/>
      <c r="BI987" s="77"/>
    </row>
    <row r="988" spans="1:61" x14ac:dyDescent="0.25">
      <c r="A988" s="62" t="s">
        <v>418</v>
      </c>
      <c r="B988" s="62" t="s">
        <v>418</v>
      </c>
      <c r="C988" s="63"/>
      <c r="D988" s="64"/>
      <c r="E988" s="65"/>
      <c r="F988" s="66"/>
      <c r="G988" s="63"/>
      <c r="H988" s="67"/>
      <c r="I988" s="68"/>
      <c r="J988" s="68"/>
      <c r="K988" s="32"/>
      <c r="L988" s="75">
        <v>988</v>
      </c>
      <c r="M988" s="75"/>
      <c r="N988" s="70"/>
      <c r="O988" s="77" t="s">
        <v>179</v>
      </c>
      <c r="P988" s="79">
        <v>45035.529305555552</v>
      </c>
      <c r="Q988" s="77" t="s">
        <v>2254</v>
      </c>
      <c r="R988" s="77">
        <v>0</v>
      </c>
      <c r="S988" s="77">
        <v>0</v>
      </c>
      <c r="T988" s="77">
        <v>0</v>
      </c>
      <c r="U988" s="77">
        <v>0</v>
      </c>
      <c r="V988" s="77">
        <v>8</v>
      </c>
      <c r="W988" s="82" t="s">
        <v>5335</v>
      </c>
      <c r="X988" s="80" t="str">
        <f>HYPERLINK("https://www.freeclassificados.com/ads/digitacao-de-documentos-em-geral-para-sao-paulo-e-brasil-todo/")</f>
        <v>https://www.freeclassificados.com/ads/digitacao-de-documentos-em-geral-para-sao-paulo-e-brasil-todo/</v>
      </c>
      <c r="Y988" s="77" t="s">
        <v>7308</v>
      </c>
      <c r="Z988" s="77"/>
      <c r="AA988" s="77"/>
      <c r="AB988" s="77"/>
      <c r="AC988" s="82" t="s">
        <v>10155</v>
      </c>
      <c r="AD988" s="77" t="s">
        <v>10184</v>
      </c>
      <c r="AE988" s="80" t="str">
        <f>HYPERLINK("https://twitter.com/freeclassific/status/1648668319187374080")</f>
        <v>https://twitter.com/freeclassific/status/1648668319187374080</v>
      </c>
      <c r="AF988" s="79">
        <v>45035.529305555552</v>
      </c>
      <c r="AG988" s="85">
        <v>45035</v>
      </c>
      <c r="AH988" s="82" t="s">
        <v>11139</v>
      </c>
      <c r="AI988" s="77" t="b">
        <v>0</v>
      </c>
      <c r="AJ988" s="77"/>
      <c r="AK988" s="77"/>
      <c r="AL988" s="77"/>
      <c r="AM988" s="77"/>
      <c r="AN988" s="77"/>
      <c r="AO988" s="77"/>
      <c r="AP988" s="77"/>
      <c r="AQ988" s="77"/>
      <c r="AR988" s="77"/>
      <c r="AS988" s="77"/>
      <c r="AT988" s="77"/>
      <c r="AU988" s="77"/>
      <c r="AV988" s="80" t="str">
        <f>HYPERLINK("https://pbs.twimg.com/profile_images/1431648743728852993/tLJ7F5Lu_normal.png")</f>
        <v>https://pbs.twimg.com/profile_images/1431648743728852993/tLJ7F5Lu_normal.png</v>
      </c>
      <c r="AW988" s="82" t="s">
        <v>17761</v>
      </c>
      <c r="AX988" s="82" t="s">
        <v>17761</v>
      </c>
      <c r="AY988" s="77"/>
      <c r="AZ988" s="82" t="s">
        <v>20971</v>
      </c>
      <c r="BA988" s="82" t="s">
        <v>20971</v>
      </c>
      <c r="BB988" s="82" t="s">
        <v>20971</v>
      </c>
      <c r="BC988" s="82" t="s">
        <v>17761</v>
      </c>
      <c r="BD988" s="77">
        <v>489723814</v>
      </c>
      <c r="BE988" s="77"/>
      <c r="BF988" s="77"/>
      <c r="BG988" s="77"/>
      <c r="BH988" s="77"/>
      <c r="BI988" s="77"/>
    </row>
    <row r="989" spans="1:61" x14ac:dyDescent="0.25">
      <c r="A989" s="62" t="s">
        <v>418</v>
      </c>
      <c r="B989" s="62" t="s">
        <v>418</v>
      </c>
      <c r="C989" s="63"/>
      <c r="D989" s="64"/>
      <c r="E989" s="65"/>
      <c r="F989" s="66"/>
      <c r="G989" s="63"/>
      <c r="H989" s="67"/>
      <c r="I989" s="68"/>
      <c r="J989" s="68"/>
      <c r="K989" s="32"/>
      <c r="L989" s="75">
        <v>989</v>
      </c>
      <c r="M989" s="75"/>
      <c r="N989" s="70"/>
      <c r="O989" s="77" t="s">
        <v>179</v>
      </c>
      <c r="P989" s="79">
        <v>45035.527233796296</v>
      </c>
      <c r="Q989" s="77" t="s">
        <v>2255</v>
      </c>
      <c r="R989" s="77">
        <v>0</v>
      </c>
      <c r="S989" s="77">
        <v>0</v>
      </c>
      <c r="T989" s="77">
        <v>0</v>
      </c>
      <c r="U989" s="77">
        <v>0</v>
      </c>
      <c r="V989" s="77">
        <v>7</v>
      </c>
      <c r="W989" s="82" t="s">
        <v>5335</v>
      </c>
      <c r="X989" s="80" t="str">
        <f>HYPERLINK("https://www.freeclassificados.com/ads/servicos-em-geral-para-escritores-que-desejam-publicar-seus-livros/")</f>
        <v>https://www.freeclassificados.com/ads/servicos-em-geral-para-escritores-que-desejam-publicar-seus-livros/</v>
      </c>
      <c r="Y989" s="77" t="s">
        <v>7308</v>
      </c>
      <c r="Z989" s="77"/>
      <c r="AA989" s="77"/>
      <c r="AB989" s="77"/>
      <c r="AC989" s="82" t="s">
        <v>10155</v>
      </c>
      <c r="AD989" s="77" t="s">
        <v>10184</v>
      </c>
      <c r="AE989" s="80" t="str">
        <f>HYPERLINK("https://twitter.com/freeclassific/status/1648667566955692033")</f>
        <v>https://twitter.com/freeclassific/status/1648667566955692033</v>
      </c>
      <c r="AF989" s="79">
        <v>45035.527233796296</v>
      </c>
      <c r="AG989" s="85">
        <v>45035</v>
      </c>
      <c r="AH989" s="82" t="s">
        <v>11140</v>
      </c>
      <c r="AI989" s="77" t="b">
        <v>0</v>
      </c>
      <c r="AJ989" s="77"/>
      <c r="AK989" s="77"/>
      <c r="AL989" s="77"/>
      <c r="AM989" s="77"/>
      <c r="AN989" s="77"/>
      <c r="AO989" s="77"/>
      <c r="AP989" s="77"/>
      <c r="AQ989" s="77"/>
      <c r="AR989" s="77"/>
      <c r="AS989" s="77"/>
      <c r="AT989" s="77"/>
      <c r="AU989" s="77"/>
      <c r="AV989" s="80" t="str">
        <f>HYPERLINK("https://pbs.twimg.com/profile_images/1431648743728852993/tLJ7F5Lu_normal.png")</f>
        <v>https://pbs.twimg.com/profile_images/1431648743728852993/tLJ7F5Lu_normal.png</v>
      </c>
      <c r="AW989" s="82" t="s">
        <v>17762</v>
      </c>
      <c r="AX989" s="82" t="s">
        <v>17762</v>
      </c>
      <c r="AY989" s="77"/>
      <c r="AZ989" s="82" t="s">
        <v>20971</v>
      </c>
      <c r="BA989" s="82" t="s">
        <v>20971</v>
      </c>
      <c r="BB989" s="82" t="s">
        <v>20971</v>
      </c>
      <c r="BC989" s="82" t="s">
        <v>17762</v>
      </c>
      <c r="BD989" s="77">
        <v>489723814</v>
      </c>
      <c r="BE989" s="77"/>
      <c r="BF989" s="77"/>
      <c r="BG989" s="77"/>
      <c r="BH989" s="77"/>
      <c r="BI989" s="77"/>
    </row>
    <row r="990" spans="1:61" x14ac:dyDescent="0.25">
      <c r="A990" s="62" t="s">
        <v>418</v>
      </c>
      <c r="B990" s="62" t="s">
        <v>418</v>
      </c>
      <c r="C990" s="63"/>
      <c r="D990" s="64"/>
      <c r="E990" s="65"/>
      <c r="F990" s="66"/>
      <c r="G990" s="63"/>
      <c r="H990" s="67"/>
      <c r="I990" s="68"/>
      <c r="J990" s="68"/>
      <c r="K990" s="32"/>
      <c r="L990" s="75">
        <v>990</v>
      </c>
      <c r="M990" s="75"/>
      <c r="N990" s="70"/>
      <c r="O990" s="77" t="s">
        <v>179</v>
      </c>
      <c r="P990" s="79">
        <v>45035.525034722225</v>
      </c>
      <c r="Q990" s="77" t="s">
        <v>2256</v>
      </c>
      <c r="R990" s="77">
        <v>0</v>
      </c>
      <c r="S990" s="77">
        <v>0</v>
      </c>
      <c r="T990" s="77">
        <v>0</v>
      </c>
      <c r="U990" s="77">
        <v>0</v>
      </c>
      <c r="V990" s="77">
        <v>6</v>
      </c>
      <c r="W990" s="82" t="s">
        <v>5335</v>
      </c>
      <c r="X990" s="80" t="str">
        <f>HYPERLINK("https://www.freeclassificados.com/ads/servicos-de-digitacao-em-sao-paulo-e-tambem-para-todo-o-brasil/")</f>
        <v>https://www.freeclassificados.com/ads/servicos-de-digitacao-em-sao-paulo-e-tambem-para-todo-o-brasil/</v>
      </c>
      <c r="Y990" s="77" t="s">
        <v>7308</v>
      </c>
      <c r="Z990" s="77"/>
      <c r="AA990" s="77"/>
      <c r="AB990" s="77"/>
      <c r="AC990" s="82" t="s">
        <v>10155</v>
      </c>
      <c r="AD990" s="77" t="s">
        <v>10184</v>
      </c>
      <c r="AE990" s="80" t="str">
        <f>HYPERLINK("https://twitter.com/freeclassific/status/1648666771543724032")</f>
        <v>https://twitter.com/freeclassific/status/1648666771543724032</v>
      </c>
      <c r="AF990" s="79">
        <v>45035.525034722225</v>
      </c>
      <c r="AG990" s="85">
        <v>45035</v>
      </c>
      <c r="AH990" s="82" t="s">
        <v>11141</v>
      </c>
      <c r="AI990" s="77" t="b">
        <v>0</v>
      </c>
      <c r="AJ990" s="77"/>
      <c r="AK990" s="77"/>
      <c r="AL990" s="77"/>
      <c r="AM990" s="77"/>
      <c r="AN990" s="77"/>
      <c r="AO990" s="77"/>
      <c r="AP990" s="77"/>
      <c r="AQ990" s="77"/>
      <c r="AR990" s="77"/>
      <c r="AS990" s="77"/>
      <c r="AT990" s="77"/>
      <c r="AU990" s="77"/>
      <c r="AV990" s="80" t="str">
        <f>HYPERLINK("https://pbs.twimg.com/profile_images/1431648743728852993/tLJ7F5Lu_normal.png")</f>
        <v>https://pbs.twimg.com/profile_images/1431648743728852993/tLJ7F5Lu_normal.png</v>
      </c>
      <c r="AW990" s="82" t="s">
        <v>17763</v>
      </c>
      <c r="AX990" s="82" t="s">
        <v>17763</v>
      </c>
      <c r="AY990" s="77"/>
      <c r="AZ990" s="82" t="s">
        <v>20971</v>
      </c>
      <c r="BA990" s="82" t="s">
        <v>20971</v>
      </c>
      <c r="BB990" s="82" t="s">
        <v>20971</v>
      </c>
      <c r="BC990" s="82" t="s">
        <v>17763</v>
      </c>
      <c r="BD990" s="77">
        <v>489723814</v>
      </c>
      <c r="BE990" s="77"/>
      <c r="BF990" s="77"/>
      <c r="BG990" s="77"/>
      <c r="BH990" s="77"/>
      <c r="BI990" s="77"/>
    </row>
    <row r="991" spans="1:61" x14ac:dyDescent="0.25">
      <c r="A991" s="62" t="s">
        <v>418</v>
      </c>
      <c r="B991" s="62" t="s">
        <v>418</v>
      </c>
      <c r="C991" s="63"/>
      <c r="D991" s="64"/>
      <c r="E991" s="65"/>
      <c r="F991" s="66"/>
      <c r="G991" s="63"/>
      <c r="H991" s="67"/>
      <c r="I991" s="68"/>
      <c r="J991" s="68"/>
      <c r="K991" s="32"/>
      <c r="L991" s="75">
        <v>991</v>
      </c>
      <c r="M991" s="75"/>
      <c r="N991" s="70"/>
      <c r="O991" s="77" t="s">
        <v>179</v>
      </c>
      <c r="P991" s="79">
        <v>45035.524178240739</v>
      </c>
      <c r="Q991" s="77" t="s">
        <v>2257</v>
      </c>
      <c r="R991" s="77">
        <v>0</v>
      </c>
      <c r="S991" s="77">
        <v>0</v>
      </c>
      <c r="T991" s="77">
        <v>0</v>
      </c>
      <c r="U991" s="77">
        <v>0</v>
      </c>
      <c r="V991" s="77">
        <v>28</v>
      </c>
      <c r="W991" s="82" t="s">
        <v>5335</v>
      </c>
      <c r="X991" s="80" t="str">
        <f>HYPERLINK("https://www.freeclassificados.com/ads/digitacao-de-arquivos-em-pdf-para-varios-formatos-como-word-excel-e-outros/")</f>
        <v>https://www.freeclassificados.com/ads/digitacao-de-arquivos-em-pdf-para-varios-formatos-como-word-excel-e-outros/</v>
      </c>
      <c r="Y991" s="77" t="s">
        <v>7308</v>
      </c>
      <c r="Z991" s="77"/>
      <c r="AA991" s="77"/>
      <c r="AB991" s="77"/>
      <c r="AC991" s="82" t="s">
        <v>10155</v>
      </c>
      <c r="AD991" s="77" t="s">
        <v>10184</v>
      </c>
      <c r="AE991" s="80" t="str">
        <f>HYPERLINK("https://twitter.com/freeclassific/status/1648666458518597632")</f>
        <v>https://twitter.com/freeclassific/status/1648666458518597632</v>
      </c>
      <c r="AF991" s="79">
        <v>45035.524178240739</v>
      </c>
      <c r="AG991" s="85">
        <v>45035</v>
      </c>
      <c r="AH991" s="82" t="s">
        <v>11142</v>
      </c>
      <c r="AI991" s="77" t="b">
        <v>0</v>
      </c>
      <c r="AJ991" s="77"/>
      <c r="AK991" s="77"/>
      <c r="AL991" s="77"/>
      <c r="AM991" s="77"/>
      <c r="AN991" s="77"/>
      <c r="AO991" s="77"/>
      <c r="AP991" s="77"/>
      <c r="AQ991" s="77"/>
      <c r="AR991" s="77"/>
      <c r="AS991" s="77"/>
      <c r="AT991" s="77"/>
      <c r="AU991" s="77"/>
      <c r="AV991" s="80" t="str">
        <f>HYPERLINK("https://pbs.twimg.com/profile_images/1431648743728852993/tLJ7F5Lu_normal.png")</f>
        <v>https://pbs.twimg.com/profile_images/1431648743728852993/tLJ7F5Lu_normal.png</v>
      </c>
      <c r="AW991" s="82" t="s">
        <v>17764</v>
      </c>
      <c r="AX991" s="82" t="s">
        <v>17764</v>
      </c>
      <c r="AY991" s="77"/>
      <c r="AZ991" s="82" t="s">
        <v>20971</v>
      </c>
      <c r="BA991" s="82" t="s">
        <v>20971</v>
      </c>
      <c r="BB991" s="82" t="s">
        <v>20971</v>
      </c>
      <c r="BC991" s="82" t="s">
        <v>17764</v>
      </c>
      <c r="BD991" s="77">
        <v>489723814</v>
      </c>
      <c r="BE991" s="77"/>
      <c r="BF991" s="77"/>
      <c r="BG991" s="77"/>
      <c r="BH991" s="77"/>
      <c r="BI991" s="77"/>
    </row>
    <row r="992" spans="1:61" x14ac:dyDescent="0.25">
      <c r="A992" s="62" t="s">
        <v>418</v>
      </c>
      <c r="B992" s="62" t="s">
        <v>418</v>
      </c>
      <c r="C992" s="63"/>
      <c r="D992" s="64"/>
      <c r="E992" s="65"/>
      <c r="F992" s="66"/>
      <c r="G992" s="63"/>
      <c r="H992" s="67"/>
      <c r="I992" s="68"/>
      <c r="J992" s="68"/>
      <c r="K992" s="32"/>
      <c r="L992" s="75">
        <v>992</v>
      </c>
      <c r="M992" s="75"/>
      <c r="N992" s="70"/>
      <c r="O992" s="77" t="s">
        <v>179</v>
      </c>
      <c r="P992" s="79">
        <v>45035.523657407408</v>
      </c>
      <c r="Q992" s="77" t="s">
        <v>2258</v>
      </c>
      <c r="R992" s="77">
        <v>0</v>
      </c>
      <c r="S992" s="77">
        <v>0</v>
      </c>
      <c r="T992" s="77">
        <v>0</v>
      </c>
      <c r="U992" s="77">
        <v>0</v>
      </c>
      <c r="V992" s="77">
        <v>7</v>
      </c>
      <c r="W992" s="82" t="s">
        <v>5335</v>
      </c>
      <c r="X992" s="80" t="str">
        <f>HYPERLINK("https://www.freeclassificados.com/ads/digitacao-de-cupons-fichas-formularios-em-formato-de-planilha/")</f>
        <v>https://www.freeclassificados.com/ads/digitacao-de-cupons-fichas-formularios-em-formato-de-planilha/</v>
      </c>
      <c r="Y992" s="77" t="s">
        <v>7308</v>
      </c>
      <c r="Z992" s="77"/>
      <c r="AA992" s="77"/>
      <c r="AB992" s="77"/>
      <c r="AC992" s="82" t="s">
        <v>10155</v>
      </c>
      <c r="AD992" s="77" t="s">
        <v>10184</v>
      </c>
      <c r="AE992" s="80" t="str">
        <f>HYPERLINK("https://twitter.com/freeclassific/status/1648666271553302530")</f>
        <v>https://twitter.com/freeclassific/status/1648666271553302530</v>
      </c>
      <c r="AF992" s="79">
        <v>45035.523657407408</v>
      </c>
      <c r="AG992" s="85">
        <v>45035</v>
      </c>
      <c r="AH992" s="82" t="s">
        <v>11143</v>
      </c>
      <c r="AI992" s="77" t="b">
        <v>0</v>
      </c>
      <c r="AJ992" s="77"/>
      <c r="AK992" s="77"/>
      <c r="AL992" s="77"/>
      <c r="AM992" s="77"/>
      <c r="AN992" s="77"/>
      <c r="AO992" s="77"/>
      <c r="AP992" s="77"/>
      <c r="AQ992" s="77"/>
      <c r="AR992" s="77"/>
      <c r="AS992" s="77"/>
      <c r="AT992" s="77"/>
      <c r="AU992" s="77"/>
      <c r="AV992" s="80" t="str">
        <f>HYPERLINK("https://pbs.twimg.com/profile_images/1431648743728852993/tLJ7F5Lu_normal.png")</f>
        <v>https://pbs.twimg.com/profile_images/1431648743728852993/tLJ7F5Lu_normal.png</v>
      </c>
      <c r="AW992" s="82" t="s">
        <v>17765</v>
      </c>
      <c r="AX992" s="82" t="s">
        <v>17765</v>
      </c>
      <c r="AY992" s="77"/>
      <c r="AZ992" s="82" t="s">
        <v>20971</v>
      </c>
      <c r="BA992" s="82" t="s">
        <v>20971</v>
      </c>
      <c r="BB992" s="82" t="s">
        <v>20971</v>
      </c>
      <c r="BC992" s="82" t="s">
        <v>17765</v>
      </c>
      <c r="BD992" s="77">
        <v>489723814</v>
      </c>
      <c r="BE992" s="77"/>
      <c r="BF992" s="77"/>
      <c r="BG992" s="77"/>
      <c r="BH992" s="77"/>
      <c r="BI992" s="77"/>
    </row>
    <row r="993" spans="1:61" x14ac:dyDescent="0.25">
      <c r="A993" s="62" t="s">
        <v>418</v>
      </c>
      <c r="B993" s="62" t="s">
        <v>418</v>
      </c>
      <c r="C993" s="63"/>
      <c r="D993" s="64"/>
      <c r="E993" s="65"/>
      <c r="F993" s="66"/>
      <c r="G993" s="63"/>
      <c r="H993" s="67"/>
      <c r="I993" s="68"/>
      <c r="J993" s="68"/>
      <c r="K993" s="32"/>
      <c r="L993" s="75">
        <v>993</v>
      </c>
      <c r="M993" s="75"/>
      <c r="N993" s="70"/>
      <c r="O993" s="77" t="s">
        <v>179</v>
      </c>
      <c r="P993" s="79">
        <v>45035.523206018515</v>
      </c>
      <c r="Q993" s="77" t="s">
        <v>2259</v>
      </c>
      <c r="R993" s="77">
        <v>0</v>
      </c>
      <c r="S993" s="77">
        <v>0</v>
      </c>
      <c r="T993" s="77">
        <v>0</v>
      </c>
      <c r="U993" s="77">
        <v>0</v>
      </c>
      <c r="V993" s="77">
        <v>22</v>
      </c>
      <c r="W993" s="82" t="s">
        <v>5335</v>
      </c>
      <c r="X993" s="80" t="str">
        <f>HYPERLINK("https://www.freeclassificados.com/ads/digitacao-de-tabelas-em-geral-em-excel-ou-word/")</f>
        <v>https://www.freeclassificados.com/ads/digitacao-de-tabelas-em-geral-em-excel-ou-word/</v>
      </c>
      <c r="Y993" s="77" t="s">
        <v>7308</v>
      </c>
      <c r="Z993" s="77"/>
      <c r="AA993" s="77"/>
      <c r="AB993" s="77"/>
      <c r="AC993" s="82" t="s">
        <v>10155</v>
      </c>
      <c r="AD993" s="77" t="s">
        <v>10184</v>
      </c>
      <c r="AE993" s="80" t="str">
        <f>HYPERLINK("https://twitter.com/freeclassific/status/1648666108487151617")</f>
        <v>https://twitter.com/freeclassific/status/1648666108487151617</v>
      </c>
      <c r="AF993" s="79">
        <v>45035.523206018515</v>
      </c>
      <c r="AG993" s="85">
        <v>45035</v>
      </c>
      <c r="AH993" s="82" t="s">
        <v>11144</v>
      </c>
      <c r="AI993" s="77" t="b">
        <v>0</v>
      </c>
      <c r="AJ993" s="77"/>
      <c r="AK993" s="77"/>
      <c r="AL993" s="77"/>
      <c r="AM993" s="77"/>
      <c r="AN993" s="77"/>
      <c r="AO993" s="77"/>
      <c r="AP993" s="77"/>
      <c r="AQ993" s="77"/>
      <c r="AR993" s="77"/>
      <c r="AS993" s="77"/>
      <c r="AT993" s="77"/>
      <c r="AU993" s="77"/>
      <c r="AV993" s="80" t="str">
        <f>HYPERLINK("https://pbs.twimg.com/profile_images/1431648743728852993/tLJ7F5Lu_normal.png")</f>
        <v>https://pbs.twimg.com/profile_images/1431648743728852993/tLJ7F5Lu_normal.png</v>
      </c>
      <c r="AW993" s="82" t="s">
        <v>17766</v>
      </c>
      <c r="AX993" s="82" t="s">
        <v>17766</v>
      </c>
      <c r="AY993" s="77"/>
      <c r="AZ993" s="82" t="s">
        <v>20971</v>
      </c>
      <c r="BA993" s="82" t="s">
        <v>20971</v>
      </c>
      <c r="BB993" s="82" t="s">
        <v>20971</v>
      </c>
      <c r="BC993" s="82" t="s">
        <v>17766</v>
      </c>
      <c r="BD993" s="77">
        <v>489723814</v>
      </c>
      <c r="BE993" s="77"/>
      <c r="BF993" s="77"/>
      <c r="BG993" s="77"/>
      <c r="BH993" s="77"/>
      <c r="BI993" s="77"/>
    </row>
    <row r="994" spans="1:61" x14ac:dyDescent="0.25">
      <c r="A994" s="62" t="s">
        <v>418</v>
      </c>
      <c r="B994" s="62" t="s">
        <v>418</v>
      </c>
      <c r="C994" s="63"/>
      <c r="D994" s="64"/>
      <c r="E994" s="65"/>
      <c r="F994" s="66"/>
      <c r="G994" s="63"/>
      <c r="H994" s="67"/>
      <c r="I994" s="68"/>
      <c r="J994" s="68"/>
      <c r="K994" s="32"/>
      <c r="L994" s="75">
        <v>994</v>
      </c>
      <c r="M994" s="75"/>
      <c r="N994" s="70"/>
      <c r="O994" s="77" t="s">
        <v>179</v>
      </c>
      <c r="P994" s="79">
        <v>45035.522523148145</v>
      </c>
      <c r="Q994" s="77" t="s">
        <v>2260</v>
      </c>
      <c r="R994" s="77">
        <v>0</v>
      </c>
      <c r="S994" s="77">
        <v>0</v>
      </c>
      <c r="T994" s="77">
        <v>0</v>
      </c>
      <c r="U994" s="77">
        <v>0</v>
      </c>
      <c r="V994" s="77">
        <v>8</v>
      </c>
      <c r="W994" s="82" t="s">
        <v>5335</v>
      </c>
      <c r="X994" s="80" t="str">
        <f>HYPERLINK("https://www.freeclassificados.com/ads/realize-os-servicos-de-digitacao-de-sua-empresa-conosco/")</f>
        <v>https://www.freeclassificados.com/ads/realize-os-servicos-de-digitacao-de-sua-empresa-conosco/</v>
      </c>
      <c r="Y994" s="77" t="s">
        <v>7308</v>
      </c>
      <c r="Z994" s="77"/>
      <c r="AA994" s="77"/>
      <c r="AB994" s="77"/>
      <c r="AC994" s="82" t="s">
        <v>10155</v>
      </c>
      <c r="AD994" s="77" t="s">
        <v>10184</v>
      </c>
      <c r="AE994" s="80" t="str">
        <f>HYPERLINK("https://twitter.com/freeclassific/status/1648665862377971712")</f>
        <v>https://twitter.com/freeclassific/status/1648665862377971712</v>
      </c>
      <c r="AF994" s="79">
        <v>45035.522523148145</v>
      </c>
      <c r="AG994" s="85">
        <v>45035</v>
      </c>
      <c r="AH994" s="82" t="s">
        <v>11145</v>
      </c>
      <c r="AI994" s="77" t="b">
        <v>0</v>
      </c>
      <c r="AJ994" s="77"/>
      <c r="AK994" s="77"/>
      <c r="AL994" s="77"/>
      <c r="AM994" s="77"/>
      <c r="AN994" s="77"/>
      <c r="AO994" s="77"/>
      <c r="AP994" s="77"/>
      <c r="AQ994" s="77"/>
      <c r="AR994" s="77"/>
      <c r="AS994" s="77"/>
      <c r="AT994" s="77"/>
      <c r="AU994" s="77"/>
      <c r="AV994" s="80" t="str">
        <f>HYPERLINK("https://pbs.twimg.com/profile_images/1431648743728852993/tLJ7F5Lu_normal.png")</f>
        <v>https://pbs.twimg.com/profile_images/1431648743728852993/tLJ7F5Lu_normal.png</v>
      </c>
      <c r="AW994" s="82" t="s">
        <v>17767</v>
      </c>
      <c r="AX994" s="82" t="s">
        <v>17767</v>
      </c>
      <c r="AY994" s="77"/>
      <c r="AZ994" s="82" t="s">
        <v>20971</v>
      </c>
      <c r="BA994" s="82" t="s">
        <v>20971</v>
      </c>
      <c r="BB994" s="82" t="s">
        <v>20971</v>
      </c>
      <c r="BC994" s="82" t="s">
        <v>17767</v>
      </c>
      <c r="BD994" s="77">
        <v>489723814</v>
      </c>
      <c r="BE994" s="77"/>
      <c r="BF994" s="77"/>
      <c r="BG994" s="77"/>
      <c r="BH994" s="77"/>
      <c r="BI994" s="77"/>
    </row>
    <row r="995" spans="1:61" x14ac:dyDescent="0.25">
      <c r="A995" s="62" t="s">
        <v>418</v>
      </c>
      <c r="B995" s="62" t="s">
        <v>418</v>
      </c>
      <c r="C995" s="63"/>
      <c r="D995" s="64"/>
      <c r="E995" s="65"/>
      <c r="F995" s="66"/>
      <c r="G995" s="63"/>
      <c r="H995" s="67"/>
      <c r="I995" s="68"/>
      <c r="J995" s="68"/>
      <c r="K995" s="32"/>
      <c r="L995" s="75">
        <v>995</v>
      </c>
      <c r="M995" s="75"/>
      <c r="N995" s="70"/>
      <c r="O995" s="77" t="s">
        <v>179</v>
      </c>
      <c r="P995" s="79">
        <v>45035.522164351853</v>
      </c>
      <c r="Q995" s="77" t="s">
        <v>2261</v>
      </c>
      <c r="R995" s="77">
        <v>0</v>
      </c>
      <c r="S995" s="77">
        <v>0</v>
      </c>
      <c r="T995" s="77">
        <v>0</v>
      </c>
      <c r="U995" s="77">
        <v>0</v>
      </c>
      <c r="V995" s="77">
        <v>14</v>
      </c>
      <c r="W995" s="82" t="s">
        <v>5335</v>
      </c>
      <c r="X995" s="80" t="str">
        <f>HYPERLINK("https://www.freeclassificados.com/ads/digitacao-de-contatos-de-cartoes-de-visitas-em-planilha-excel-ou-para-serem-inseridos-na-agenda-do-android-iphone-ou-pc/")</f>
        <v>https://www.freeclassificados.com/ads/digitacao-de-contatos-de-cartoes-de-visitas-em-planilha-excel-ou-para-serem-inseridos-na-agenda-do-android-iphone-ou-pc/</v>
      </c>
      <c r="Y995" s="77" t="s">
        <v>7308</v>
      </c>
      <c r="Z995" s="77"/>
      <c r="AA995" s="77"/>
      <c r="AB995" s="77"/>
      <c r="AC995" s="82" t="s">
        <v>10155</v>
      </c>
      <c r="AD995" s="77" t="s">
        <v>10184</v>
      </c>
      <c r="AE995" s="80" t="str">
        <f>HYPERLINK("https://twitter.com/freeclassific/status/1648665729976369162")</f>
        <v>https://twitter.com/freeclassific/status/1648665729976369162</v>
      </c>
      <c r="AF995" s="79">
        <v>45035.522164351853</v>
      </c>
      <c r="AG995" s="85">
        <v>45035</v>
      </c>
      <c r="AH995" s="82" t="s">
        <v>11146</v>
      </c>
      <c r="AI995" s="77" t="b">
        <v>0</v>
      </c>
      <c r="AJ995" s="77"/>
      <c r="AK995" s="77"/>
      <c r="AL995" s="77"/>
      <c r="AM995" s="77"/>
      <c r="AN995" s="77"/>
      <c r="AO995" s="77"/>
      <c r="AP995" s="77"/>
      <c r="AQ995" s="77"/>
      <c r="AR995" s="77"/>
      <c r="AS995" s="77"/>
      <c r="AT995" s="77"/>
      <c r="AU995" s="77"/>
      <c r="AV995" s="80" t="str">
        <f>HYPERLINK("https://pbs.twimg.com/profile_images/1431648743728852993/tLJ7F5Lu_normal.png")</f>
        <v>https://pbs.twimg.com/profile_images/1431648743728852993/tLJ7F5Lu_normal.png</v>
      </c>
      <c r="AW995" s="82" t="s">
        <v>17768</v>
      </c>
      <c r="AX995" s="82" t="s">
        <v>17768</v>
      </c>
      <c r="AY995" s="77"/>
      <c r="AZ995" s="82" t="s">
        <v>20971</v>
      </c>
      <c r="BA995" s="82" t="s">
        <v>20971</v>
      </c>
      <c r="BB995" s="82" t="s">
        <v>20971</v>
      </c>
      <c r="BC995" s="82" t="s">
        <v>17768</v>
      </c>
      <c r="BD995" s="77">
        <v>489723814</v>
      </c>
      <c r="BE995" s="77"/>
      <c r="BF995" s="77"/>
      <c r="BG995" s="77"/>
      <c r="BH995" s="77"/>
      <c r="BI995" s="77"/>
    </row>
    <row r="996" spans="1:61" x14ac:dyDescent="0.25">
      <c r="A996" s="62" t="s">
        <v>418</v>
      </c>
      <c r="B996" s="62" t="s">
        <v>418</v>
      </c>
      <c r="C996" s="63"/>
      <c r="D996" s="64"/>
      <c r="E996" s="65"/>
      <c r="F996" s="66"/>
      <c r="G996" s="63"/>
      <c r="H996" s="67"/>
      <c r="I996" s="68"/>
      <c r="J996" s="68"/>
      <c r="K996" s="32"/>
      <c r="L996" s="75">
        <v>996</v>
      </c>
      <c r="M996" s="75"/>
      <c r="N996" s="70"/>
      <c r="O996" s="77" t="s">
        <v>179</v>
      </c>
      <c r="P996" s="79">
        <v>45035.521701388891</v>
      </c>
      <c r="Q996" s="77" t="s">
        <v>2262</v>
      </c>
      <c r="R996" s="77">
        <v>0</v>
      </c>
      <c r="S996" s="77">
        <v>0</v>
      </c>
      <c r="T996" s="77">
        <v>0</v>
      </c>
      <c r="U996" s="77">
        <v>0</v>
      </c>
      <c r="V996" s="77">
        <v>8</v>
      </c>
      <c r="W996" s="82" t="s">
        <v>5335</v>
      </c>
      <c r="X996" s="80" t="str">
        <f>HYPERLINK("https://www.freeclassificados.com/ads/servicos-de-digitacao-em-sao-paulo-e-tambem-para-todo-o-brasil-2/")</f>
        <v>https://www.freeclassificados.com/ads/servicos-de-digitacao-em-sao-paulo-e-tambem-para-todo-o-brasil-2/</v>
      </c>
      <c r="Y996" s="77" t="s">
        <v>7308</v>
      </c>
      <c r="Z996" s="77"/>
      <c r="AA996" s="77"/>
      <c r="AB996" s="77"/>
      <c r="AC996" s="82" t="s">
        <v>10155</v>
      </c>
      <c r="AD996" s="77" t="s">
        <v>10184</v>
      </c>
      <c r="AE996" s="80" t="str">
        <f>HYPERLINK("https://twitter.com/freeclassific/status/1648665560740413440")</f>
        <v>https://twitter.com/freeclassific/status/1648665560740413440</v>
      </c>
      <c r="AF996" s="79">
        <v>45035.521701388891</v>
      </c>
      <c r="AG996" s="85">
        <v>45035</v>
      </c>
      <c r="AH996" s="82" t="s">
        <v>11147</v>
      </c>
      <c r="AI996" s="77" t="b">
        <v>0</v>
      </c>
      <c r="AJ996" s="77"/>
      <c r="AK996" s="77"/>
      <c r="AL996" s="77"/>
      <c r="AM996" s="77"/>
      <c r="AN996" s="77"/>
      <c r="AO996" s="77"/>
      <c r="AP996" s="77"/>
      <c r="AQ996" s="77"/>
      <c r="AR996" s="77"/>
      <c r="AS996" s="77"/>
      <c r="AT996" s="77"/>
      <c r="AU996" s="77"/>
      <c r="AV996" s="80" t="str">
        <f>HYPERLINK("https://pbs.twimg.com/profile_images/1431648743728852993/tLJ7F5Lu_normal.png")</f>
        <v>https://pbs.twimg.com/profile_images/1431648743728852993/tLJ7F5Lu_normal.png</v>
      </c>
      <c r="AW996" s="82" t="s">
        <v>17769</v>
      </c>
      <c r="AX996" s="82" t="s">
        <v>17769</v>
      </c>
      <c r="AY996" s="77"/>
      <c r="AZ996" s="82" t="s">
        <v>20971</v>
      </c>
      <c r="BA996" s="82" t="s">
        <v>20971</v>
      </c>
      <c r="BB996" s="82" t="s">
        <v>20971</v>
      </c>
      <c r="BC996" s="82" t="s">
        <v>17769</v>
      </c>
      <c r="BD996" s="77">
        <v>489723814</v>
      </c>
      <c r="BE996" s="77"/>
      <c r="BF996" s="77"/>
      <c r="BG996" s="77"/>
      <c r="BH996" s="77"/>
      <c r="BI996" s="77"/>
    </row>
    <row r="997" spans="1:61" x14ac:dyDescent="0.25">
      <c r="A997" s="62" t="s">
        <v>418</v>
      </c>
      <c r="B997" s="62" t="s">
        <v>418</v>
      </c>
      <c r="C997" s="63"/>
      <c r="D997" s="64"/>
      <c r="E997" s="65"/>
      <c r="F997" s="66"/>
      <c r="G997" s="63"/>
      <c r="H997" s="67"/>
      <c r="I997" s="68"/>
      <c r="J997" s="68"/>
      <c r="K997" s="32"/>
      <c r="L997" s="75">
        <v>997</v>
      </c>
      <c r="M997" s="75"/>
      <c r="N997" s="70"/>
      <c r="O997" s="77" t="s">
        <v>179</v>
      </c>
      <c r="P997" s="79">
        <v>45035.520821759259</v>
      </c>
      <c r="Q997" s="77" t="s">
        <v>2263</v>
      </c>
      <c r="R997" s="77">
        <v>0</v>
      </c>
      <c r="S997" s="77">
        <v>0</v>
      </c>
      <c r="T997" s="77">
        <v>0</v>
      </c>
      <c r="U997" s="77">
        <v>0</v>
      </c>
      <c r="V997" s="77">
        <v>13</v>
      </c>
      <c r="W997" s="82" t="s">
        <v>5335</v>
      </c>
      <c r="X997" s="80" t="str">
        <f>HYPERLINK("https://www.freeclassificados.com/ads/formatacao-de-monografias-tcc-e-documentos-em-geral-nas-normas-abnt/")</f>
        <v>https://www.freeclassificados.com/ads/formatacao-de-monografias-tcc-e-documentos-em-geral-nas-normas-abnt/</v>
      </c>
      <c r="Y997" s="77" t="s">
        <v>7308</v>
      </c>
      <c r="Z997" s="77"/>
      <c r="AA997" s="77"/>
      <c r="AB997" s="77"/>
      <c r="AC997" s="82" t="s">
        <v>10155</v>
      </c>
      <c r="AD997" s="77" t="s">
        <v>10184</v>
      </c>
      <c r="AE997" s="80" t="str">
        <f>HYPERLINK("https://twitter.com/freeclassific/status/1648665242245947392")</f>
        <v>https://twitter.com/freeclassific/status/1648665242245947392</v>
      </c>
      <c r="AF997" s="79">
        <v>45035.520821759259</v>
      </c>
      <c r="AG997" s="85">
        <v>45035</v>
      </c>
      <c r="AH997" s="82" t="s">
        <v>11148</v>
      </c>
      <c r="AI997" s="77" t="b">
        <v>0</v>
      </c>
      <c r="AJ997" s="77"/>
      <c r="AK997" s="77"/>
      <c r="AL997" s="77"/>
      <c r="AM997" s="77"/>
      <c r="AN997" s="77"/>
      <c r="AO997" s="77"/>
      <c r="AP997" s="77"/>
      <c r="AQ997" s="77"/>
      <c r="AR997" s="77"/>
      <c r="AS997" s="77"/>
      <c r="AT997" s="77"/>
      <c r="AU997" s="77"/>
      <c r="AV997" s="80" t="str">
        <f>HYPERLINK("https://pbs.twimg.com/profile_images/1431648743728852993/tLJ7F5Lu_normal.png")</f>
        <v>https://pbs.twimg.com/profile_images/1431648743728852993/tLJ7F5Lu_normal.png</v>
      </c>
      <c r="AW997" s="82" t="s">
        <v>17770</v>
      </c>
      <c r="AX997" s="82" t="s">
        <v>17770</v>
      </c>
      <c r="AY997" s="77"/>
      <c r="AZ997" s="82" t="s">
        <v>20971</v>
      </c>
      <c r="BA997" s="82" t="s">
        <v>20971</v>
      </c>
      <c r="BB997" s="82" t="s">
        <v>20971</v>
      </c>
      <c r="BC997" s="82" t="s">
        <v>17770</v>
      </c>
      <c r="BD997" s="77">
        <v>489723814</v>
      </c>
      <c r="BE997" s="77"/>
      <c r="BF997" s="77"/>
      <c r="BG997" s="77"/>
      <c r="BH997" s="77"/>
      <c r="BI997" s="77"/>
    </row>
    <row r="998" spans="1:61" x14ac:dyDescent="0.25">
      <c r="A998" s="62" t="s">
        <v>418</v>
      </c>
      <c r="B998" s="62" t="s">
        <v>418</v>
      </c>
      <c r="C998" s="63"/>
      <c r="D998" s="64"/>
      <c r="E998" s="65"/>
      <c r="F998" s="66"/>
      <c r="G998" s="63"/>
      <c r="H998" s="67"/>
      <c r="I998" s="68"/>
      <c r="J998" s="68"/>
      <c r="K998" s="32"/>
      <c r="L998" s="75">
        <v>998</v>
      </c>
      <c r="M998" s="75"/>
      <c r="N998" s="70"/>
      <c r="O998" s="77" t="s">
        <v>179</v>
      </c>
      <c r="P998" s="79">
        <v>45011.99659722222</v>
      </c>
      <c r="Q998" s="77" t="s">
        <v>2264</v>
      </c>
      <c r="R998" s="77">
        <v>0</v>
      </c>
      <c r="S998" s="77">
        <v>0</v>
      </c>
      <c r="T998" s="77">
        <v>0</v>
      </c>
      <c r="U998" s="77">
        <v>0</v>
      </c>
      <c r="V998" s="77">
        <v>10</v>
      </c>
      <c r="W998" s="82" t="s">
        <v>5335</v>
      </c>
      <c r="X998" s="80" t="str">
        <f>HYPERLINK("https://www.freeclassificados.com/ads/voce-esta-matando-seu-gato-e-nao-sabe/")</f>
        <v>https://www.freeclassificados.com/ads/voce-esta-matando-seu-gato-e-nao-sabe/</v>
      </c>
      <c r="Y998" s="77" t="s">
        <v>7308</v>
      </c>
      <c r="Z998" s="77"/>
      <c r="AA998" s="77"/>
      <c r="AB998" s="77"/>
      <c r="AC998" s="82" t="s">
        <v>10155</v>
      </c>
      <c r="AD998" s="77" t="s">
        <v>10184</v>
      </c>
      <c r="AE998" s="80" t="str">
        <f>HYPERLINK("https://twitter.com/freeclassific/status/1640140348256288768")</f>
        <v>https://twitter.com/freeclassific/status/1640140348256288768</v>
      </c>
      <c r="AF998" s="79">
        <v>45011.99659722222</v>
      </c>
      <c r="AG998" s="85">
        <v>45011</v>
      </c>
      <c r="AH998" s="82" t="s">
        <v>11149</v>
      </c>
      <c r="AI998" s="77" t="b">
        <v>0</v>
      </c>
      <c r="AJ998" s="77"/>
      <c r="AK998" s="77"/>
      <c r="AL998" s="77"/>
      <c r="AM998" s="77"/>
      <c r="AN998" s="77"/>
      <c r="AO998" s="77"/>
      <c r="AP998" s="77"/>
      <c r="AQ998" s="77"/>
      <c r="AR998" s="77"/>
      <c r="AS998" s="77"/>
      <c r="AT998" s="77"/>
      <c r="AU998" s="77"/>
      <c r="AV998" s="80" t="str">
        <f>HYPERLINK("https://pbs.twimg.com/profile_images/1431648743728852993/tLJ7F5Lu_normal.png")</f>
        <v>https://pbs.twimg.com/profile_images/1431648743728852993/tLJ7F5Lu_normal.png</v>
      </c>
      <c r="AW998" s="82" t="s">
        <v>17771</v>
      </c>
      <c r="AX998" s="82" t="s">
        <v>17771</v>
      </c>
      <c r="AY998" s="77"/>
      <c r="AZ998" s="82" t="s">
        <v>20971</v>
      </c>
      <c r="BA998" s="82" t="s">
        <v>20971</v>
      </c>
      <c r="BB998" s="82" t="s">
        <v>20971</v>
      </c>
      <c r="BC998" s="82" t="s">
        <v>17771</v>
      </c>
      <c r="BD998" s="77">
        <v>489723814</v>
      </c>
      <c r="BE998" s="77"/>
      <c r="BF998" s="77"/>
      <c r="BG998" s="77"/>
      <c r="BH998" s="77"/>
      <c r="BI998" s="77"/>
    </row>
    <row r="999" spans="1:61" x14ac:dyDescent="0.25">
      <c r="A999" s="62" t="s">
        <v>418</v>
      </c>
      <c r="B999" s="62" t="s">
        <v>418</v>
      </c>
      <c r="C999" s="63"/>
      <c r="D999" s="64"/>
      <c r="E999" s="65"/>
      <c r="F999" s="66"/>
      <c r="G999" s="63"/>
      <c r="H999" s="67"/>
      <c r="I999" s="68"/>
      <c r="J999" s="68"/>
      <c r="K999" s="32"/>
      <c r="L999" s="75">
        <v>999</v>
      </c>
      <c r="M999" s="75"/>
      <c r="N999" s="70"/>
      <c r="O999" s="77" t="s">
        <v>179</v>
      </c>
      <c r="P999" s="79">
        <v>45011.620810185188</v>
      </c>
      <c r="Q999" s="77" t="s">
        <v>2265</v>
      </c>
      <c r="R999" s="77">
        <v>0</v>
      </c>
      <c r="S999" s="77">
        <v>0</v>
      </c>
      <c r="T999" s="77">
        <v>0</v>
      </c>
      <c r="U999" s="77">
        <v>0</v>
      </c>
      <c r="V999" s="77">
        <v>6</v>
      </c>
      <c r="W999" s="82" t="s">
        <v>5335</v>
      </c>
      <c r="X999" s="80" t="str">
        <f>HYPERLINK("https://www.freeclassificados.com/ads/pix-connection-sua-plataforma-de-negocio-online/")</f>
        <v>https://www.freeclassificados.com/ads/pix-connection-sua-plataforma-de-negocio-online/</v>
      </c>
      <c r="Y999" s="77" t="s">
        <v>7308</v>
      </c>
      <c r="Z999" s="77"/>
      <c r="AA999" s="77"/>
      <c r="AB999" s="77"/>
      <c r="AC999" s="82" t="s">
        <v>10155</v>
      </c>
      <c r="AD999" s="77" t="s">
        <v>10184</v>
      </c>
      <c r="AE999" s="80" t="str">
        <f>HYPERLINK("https://twitter.com/freeclassific/status/1640004169552760833")</f>
        <v>https://twitter.com/freeclassific/status/1640004169552760833</v>
      </c>
      <c r="AF999" s="79">
        <v>45011.620810185188</v>
      </c>
      <c r="AG999" s="85">
        <v>45011</v>
      </c>
      <c r="AH999" s="82" t="s">
        <v>11150</v>
      </c>
      <c r="AI999" s="77" t="b">
        <v>0</v>
      </c>
      <c r="AJ999" s="77"/>
      <c r="AK999" s="77"/>
      <c r="AL999" s="77"/>
      <c r="AM999" s="77"/>
      <c r="AN999" s="77"/>
      <c r="AO999" s="77"/>
      <c r="AP999" s="77"/>
      <c r="AQ999" s="77"/>
      <c r="AR999" s="77"/>
      <c r="AS999" s="77"/>
      <c r="AT999" s="77"/>
      <c r="AU999" s="77"/>
      <c r="AV999" s="80" t="str">
        <f>HYPERLINK("https://pbs.twimg.com/profile_images/1431648743728852993/tLJ7F5Lu_normal.png")</f>
        <v>https://pbs.twimg.com/profile_images/1431648743728852993/tLJ7F5Lu_normal.png</v>
      </c>
      <c r="AW999" s="82" t="s">
        <v>17772</v>
      </c>
      <c r="AX999" s="82" t="s">
        <v>17772</v>
      </c>
      <c r="AY999" s="77"/>
      <c r="AZ999" s="82" t="s">
        <v>20971</v>
      </c>
      <c r="BA999" s="82" t="s">
        <v>20971</v>
      </c>
      <c r="BB999" s="82" t="s">
        <v>20971</v>
      </c>
      <c r="BC999" s="82" t="s">
        <v>17772</v>
      </c>
      <c r="BD999" s="77">
        <v>489723814</v>
      </c>
      <c r="BE999" s="77"/>
      <c r="BF999" s="77"/>
      <c r="BG999" s="77"/>
      <c r="BH999" s="77"/>
      <c r="BI999" s="77"/>
    </row>
    <row r="1000" spans="1:61" x14ac:dyDescent="0.25">
      <c r="A1000" s="62" t="s">
        <v>418</v>
      </c>
      <c r="B1000" s="62" t="s">
        <v>418</v>
      </c>
      <c r="C1000" s="63"/>
      <c r="D1000" s="64"/>
      <c r="E1000" s="65"/>
      <c r="F1000" s="66"/>
      <c r="G1000" s="63"/>
      <c r="H1000" s="67"/>
      <c r="I1000" s="68"/>
      <c r="J1000" s="68"/>
      <c r="K1000" s="32"/>
      <c r="L1000" s="75">
        <v>1000</v>
      </c>
      <c r="M1000" s="75"/>
      <c r="N1000" s="70"/>
      <c r="O1000" s="77" t="s">
        <v>179</v>
      </c>
      <c r="P1000" s="79">
        <v>45011.170104166667</v>
      </c>
      <c r="Q1000" s="77" t="s">
        <v>2266</v>
      </c>
      <c r="R1000" s="77">
        <v>0</v>
      </c>
      <c r="S1000" s="77">
        <v>0</v>
      </c>
      <c r="T1000" s="77">
        <v>0</v>
      </c>
      <c r="U1000" s="77">
        <v>0</v>
      </c>
      <c r="V1000" s="77">
        <v>12</v>
      </c>
      <c r="W1000" s="82" t="s">
        <v>5335</v>
      </c>
      <c r="X1000" s="80" t="str">
        <f>HYPERLINK("https://www.freeclassificados.com/ads/suplemento-sexuais-2/")</f>
        <v>https://www.freeclassificados.com/ads/suplemento-sexuais-2/</v>
      </c>
      <c r="Y1000" s="77" t="s">
        <v>7308</v>
      </c>
      <c r="Z1000" s="77"/>
      <c r="AA1000" s="77"/>
      <c r="AB1000" s="77"/>
      <c r="AC1000" s="82" t="s">
        <v>10155</v>
      </c>
      <c r="AD1000" s="77" t="s">
        <v>10184</v>
      </c>
      <c r="AE1000" s="80" t="str">
        <f>HYPERLINK("https://twitter.com/freeclassific/status/1639840840603545602")</f>
        <v>https://twitter.com/freeclassific/status/1639840840603545602</v>
      </c>
      <c r="AF1000" s="79">
        <v>45011.170104166667</v>
      </c>
      <c r="AG1000" s="85">
        <v>45011</v>
      </c>
      <c r="AH1000" s="82" t="s">
        <v>11151</v>
      </c>
      <c r="AI1000" s="77" t="b">
        <v>0</v>
      </c>
      <c r="AJ1000" s="77"/>
      <c r="AK1000" s="77"/>
      <c r="AL1000" s="77"/>
      <c r="AM1000" s="77"/>
      <c r="AN1000" s="77"/>
      <c r="AO1000" s="77"/>
      <c r="AP1000" s="77"/>
      <c r="AQ1000" s="77"/>
      <c r="AR1000" s="77"/>
      <c r="AS1000" s="77"/>
      <c r="AT1000" s="77"/>
      <c r="AU1000" s="77"/>
      <c r="AV1000" s="80" t="str">
        <f>HYPERLINK("https://pbs.twimg.com/profile_images/1431648743728852993/tLJ7F5Lu_normal.png")</f>
        <v>https://pbs.twimg.com/profile_images/1431648743728852993/tLJ7F5Lu_normal.png</v>
      </c>
      <c r="AW1000" s="82" t="s">
        <v>17773</v>
      </c>
      <c r="AX1000" s="82" t="s">
        <v>17773</v>
      </c>
      <c r="AY1000" s="77"/>
      <c r="AZ1000" s="82" t="s">
        <v>20971</v>
      </c>
      <c r="BA1000" s="82" t="s">
        <v>20971</v>
      </c>
      <c r="BB1000" s="82" t="s">
        <v>20971</v>
      </c>
      <c r="BC1000" s="82" t="s">
        <v>17773</v>
      </c>
      <c r="BD1000" s="77">
        <v>489723814</v>
      </c>
      <c r="BE1000" s="77"/>
      <c r="BF1000" s="77"/>
      <c r="BG1000" s="77"/>
      <c r="BH1000" s="77"/>
      <c r="BI1000" s="77"/>
    </row>
    <row r="1001" spans="1:61" x14ac:dyDescent="0.25">
      <c r="A1001" s="62" t="s">
        <v>418</v>
      </c>
      <c r="B1001" s="62" t="s">
        <v>418</v>
      </c>
      <c r="C1001" s="63"/>
      <c r="D1001" s="64"/>
      <c r="E1001" s="65"/>
      <c r="F1001" s="66"/>
      <c r="G1001" s="63"/>
      <c r="H1001" s="67"/>
      <c r="I1001" s="68"/>
      <c r="J1001" s="68"/>
      <c r="K1001" s="32"/>
      <c r="L1001" s="75">
        <v>1001</v>
      </c>
      <c r="M1001" s="75"/>
      <c r="N1001" s="70"/>
      <c r="O1001" s="77" t="s">
        <v>179</v>
      </c>
      <c r="P1001" s="79">
        <v>45011.169039351851</v>
      </c>
      <c r="Q1001" s="77" t="s">
        <v>2267</v>
      </c>
      <c r="R1001" s="77">
        <v>0</v>
      </c>
      <c r="S1001" s="77">
        <v>0</v>
      </c>
      <c r="T1001" s="77">
        <v>0</v>
      </c>
      <c r="U1001" s="77">
        <v>0</v>
      </c>
      <c r="V1001" s="77">
        <v>9</v>
      </c>
      <c r="W1001" s="82" t="s">
        <v>5335</v>
      </c>
      <c r="X1001" s="80" t="str">
        <f>HYPERLINK("https://www.freeclassificados.com/ads/saude-beleza-e-suplemento-sexuais-4/")</f>
        <v>https://www.freeclassificados.com/ads/saude-beleza-e-suplemento-sexuais-4/</v>
      </c>
      <c r="Y1001" s="77" t="s">
        <v>7308</v>
      </c>
      <c r="Z1001" s="77"/>
      <c r="AA1001" s="77"/>
      <c r="AB1001" s="77"/>
      <c r="AC1001" s="82" t="s">
        <v>10155</v>
      </c>
      <c r="AD1001" s="77" t="s">
        <v>10184</v>
      </c>
      <c r="AE1001" s="80" t="str">
        <f>HYPERLINK("https://twitter.com/freeclassific/status/1639840453850968065")</f>
        <v>https://twitter.com/freeclassific/status/1639840453850968065</v>
      </c>
      <c r="AF1001" s="79">
        <v>45011.169039351851</v>
      </c>
      <c r="AG1001" s="85">
        <v>45011</v>
      </c>
      <c r="AH1001" s="82" t="s">
        <v>11152</v>
      </c>
      <c r="AI1001" s="77" t="b">
        <v>0</v>
      </c>
      <c r="AJ1001" s="77"/>
      <c r="AK1001" s="77"/>
      <c r="AL1001" s="77"/>
      <c r="AM1001" s="77"/>
      <c r="AN1001" s="77"/>
      <c r="AO1001" s="77"/>
      <c r="AP1001" s="77"/>
      <c r="AQ1001" s="77"/>
      <c r="AR1001" s="77"/>
      <c r="AS1001" s="77"/>
      <c r="AT1001" s="77"/>
      <c r="AU1001" s="77"/>
      <c r="AV1001" s="80" t="str">
        <f>HYPERLINK("https://pbs.twimg.com/profile_images/1431648743728852993/tLJ7F5Lu_normal.png")</f>
        <v>https://pbs.twimg.com/profile_images/1431648743728852993/tLJ7F5Lu_normal.png</v>
      </c>
      <c r="AW1001" s="82" t="s">
        <v>17774</v>
      </c>
      <c r="AX1001" s="82" t="s">
        <v>17774</v>
      </c>
      <c r="AY1001" s="77"/>
      <c r="AZ1001" s="82" t="s">
        <v>20971</v>
      </c>
      <c r="BA1001" s="82" t="s">
        <v>20971</v>
      </c>
      <c r="BB1001" s="82" t="s">
        <v>20971</v>
      </c>
      <c r="BC1001" s="82" t="s">
        <v>17774</v>
      </c>
      <c r="BD1001" s="77">
        <v>489723814</v>
      </c>
      <c r="BE1001" s="77"/>
      <c r="BF1001" s="77"/>
      <c r="BG1001" s="77"/>
      <c r="BH1001" s="77"/>
      <c r="BI1001" s="77"/>
    </row>
    <row r="1002" spans="1:61" x14ac:dyDescent="0.25">
      <c r="A1002" s="62" t="s">
        <v>418</v>
      </c>
      <c r="B1002" s="62" t="s">
        <v>418</v>
      </c>
      <c r="C1002" s="63"/>
      <c r="D1002" s="64"/>
      <c r="E1002" s="65"/>
      <c r="F1002" s="66"/>
      <c r="G1002" s="63"/>
      <c r="H1002" s="67"/>
      <c r="I1002" s="68"/>
      <c r="J1002" s="68"/>
      <c r="K1002" s="32"/>
      <c r="L1002" s="75">
        <v>1002</v>
      </c>
      <c r="M1002" s="75"/>
      <c r="N1002" s="70"/>
      <c r="O1002" s="77" t="s">
        <v>179</v>
      </c>
      <c r="P1002" s="79">
        <v>45010.821087962962</v>
      </c>
      <c r="Q1002" s="77" t="s">
        <v>2268</v>
      </c>
      <c r="R1002" s="77">
        <v>0</v>
      </c>
      <c r="S1002" s="77">
        <v>1</v>
      </c>
      <c r="T1002" s="77">
        <v>1</v>
      </c>
      <c r="U1002" s="77">
        <v>0</v>
      </c>
      <c r="V1002" s="77">
        <v>9</v>
      </c>
      <c r="W1002" s="82" t="s">
        <v>5335</v>
      </c>
      <c r="X1002" s="80" t="str">
        <f>HYPERLINK("https://www.freeclassificados.com/ads/ajude-vakinha-para-montar-meu-home-estudio/")</f>
        <v>https://www.freeclassificados.com/ads/ajude-vakinha-para-montar-meu-home-estudio/</v>
      </c>
      <c r="Y1002" s="77" t="s">
        <v>7308</v>
      </c>
      <c r="Z1002" s="77"/>
      <c r="AA1002" s="77"/>
      <c r="AB1002" s="77"/>
      <c r="AC1002" s="82" t="s">
        <v>10155</v>
      </c>
      <c r="AD1002" s="77" t="s">
        <v>10184</v>
      </c>
      <c r="AE1002" s="80" t="str">
        <f>HYPERLINK("https://twitter.com/freeclassific/status/1639714361429360640")</f>
        <v>https://twitter.com/freeclassific/status/1639714361429360640</v>
      </c>
      <c r="AF1002" s="79">
        <v>45010.821087962962</v>
      </c>
      <c r="AG1002" s="85">
        <v>45010</v>
      </c>
      <c r="AH1002" s="82" t="s">
        <v>11153</v>
      </c>
      <c r="AI1002" s="77" t="b">
        <v>0</v>
      </c>
      <c r="AJ1002" s="77"/>
      <c r="AK1002" s="77"/>
      <c r="AL1002" s="77"/>
      <c r="AM1002" s="77"/>
      <c r="AN1002" s="77"/>
      <c r="AO1002" s="77"/>
      <c r="AP1002" s="77"/>
      <c r="AQ1002" s="77"/>
      <c r="AR1002" s="77"/>
      <c r="AS1002" s="77"/>
      <c r="AT1002" s="77"/>
      <c r="AU1002" s="77"/>
      <c r="AV1002" s="80" t="str">
        <f>HYPERLINK("https://pbs.twimg.com/profile_images/1431648743728852993/tLJ7F5Lu_normal.png")</f>
        <v>https://pbs.twimg.com/profile_images/1431648743728852993/tLJ7F5Lu_normal.png</v>
      </c>
      <c r="AW1002" s="82" t="s">
        <v>17775</v>
      </c>
      <c r="AX1002" s="82" t="s">
        <v>17775</v>
      </c>
      <c r="AY1002" s="77"/>
      <c r="AZ1002" s="82" t="s">
        <v>20971</v>
      </c>
      <c r="BA1002" s="82" t="s">
        <v>20971</v>
      </c>
      <c r="BB1002" s="82" t="s">
        <v>20971</v>
      </c>
      <c r="BC1002" s="82" t="s">
        <v>17775</v>
      </c>
      <c r="BD1002" s="77">
        <v>489723814</v>
      </c>
      <c r="BE1002" s="77"/>
      <c r="BF1002" s="77"/>
      <c r="BG1002" s="77"/>
      <c r="BH1002" s="77"/>
      <c r="BI1002" s="77"/>
    </row>
    <row r="1003" spans="1:61" x14ac:dyDescent="0.25">
      <c r="A1003" s="62" t="s">
        <v>418</v>
      </c>
      <c r="B1003" s="62" t="s">
        <v>418</v>
      </c>
      <c r="C1003" s="63"/>
      <c r="D1003" s="64"/>
      <c r="E1003" s="65"/>
      <c r="F1003" s="66"/>
      <c r="G1003" s="63"/>
      <c r="H1003" s="67"/>
      <c r="I1003" s="68"/>
      <c r="J1003" s="68"/>
      <c r="K1003" s="32"/>
      <c r="L1003" s="75">
        <v>1003</v>
      </c>
      <c r="M1003" s="75"/>
      <c r="N1003" s="70"/>
      <c r="O1003" s="77" t="s">
        <v>179</v>
      </c>
      <c r="P1003" s="79">
        <v>45009.821064814816</v>
      </c>
      <c r="Q1003" s="77" t="s">
        <v>2269</v>
      </c>
      <c r="R1003" s="77">
        <v>0</v>
      </c>
      <c r="S1003" s="77">
        <v>0</v>
      </c>
      <c r="T1003" s="77">
        <v>0</v>
      </c>
      <c r="U1003" s="77">
        <v>0</v>
      </c>
      <c r="V1003" s="77">
        <v>4</v>
      </c>
      <c r="W1003" s="82" t="s">
        <v>5335</v>
      </c>
      <c r="X1003" s="80" t="str">
        <f>HYPERLINK("https://www.freeclassificados.com/ads/tenha-um-site-repleto-de-produtos-digitais-so-vender/")</f>
        <v>https://www.freeclassificados.com/ads/tenha-um-site-repleto-de-produtos-digitais-so-vender/</v>
      </c>
      <c r="Y1003" s="77" t="s">
        <v>7308</v>
      </c>
      <c r="Z1003" s="77"/>
      <c r="AA1003" s="77"/>
      <c r="AB1003" s="77"/>
      <c r="AC1003" s="82" t="s">
        <v>10155</v>
      </c>
      <c r="AD1003" s="77" t="s">
        <v>10184</v>
      </c>
      <c r="AE1003" s="80" t="str">
        <f>HYPERLINK("https://twitter.com/freeclassific/status/1639351962201391104")</f>
        <v>https://twitter.com/freeclassific/status/1639351962201391104</v>
      </c>
      <c r="AF1003" s="79">
        <v>45009.821064814816</v>
      </c>
      <c r="AG1003" s="85">
        <v>45009</v>
      </c>
      <c r="AH1003" s="82" t="s">
        <v>11154</v>
      </c>
      <c r="AI1003" s="77" t="b">
        <v>0</v>
      </c>
      <c r="AJ1003" s="77"/>
      <c r="AK1003" s="77"/>
      <c r="AL1003" s="77"/>
      <c r="AM1003" s="77"/>
      <c r="AN1003" s="77"/>
      <c r="AO1003" s="77"/>
      <c r="AP1003" s="77"/>
      <c r="AQ1003" s="77"/>
      <c r="AR1003" s="77"/>
      <c r="AS1003" s="77"/>
      <c r="AT1003" s="77"/>
      <c r="AU1003" s="77"/>
      <c r="AV1003" s="80" t="str">
        <f>HYPERLINK("https://pbs.twimg.com/profile_images/1431648743728852993/tLJ7F5Lu_normal.png")</f>
        <v>https://pbs.twimg.com/profile_images/1431648743728852993/tLJ7F5Lu_normal.png</v>
      </c>
      <c r="AW1003" s="82" t="s">
        <v>17776</v>
      </c>
      <c r="AX1003" s="82" t="s">
        <v>17776</v>
      </c>
      <c r="AY1003" s="77"/>
      <c r="AZ1003" s="82" t="s">
        <v>20971</v>
      </c>
      <c r="BA1003" s="82" t="s">
        <v>20971</v>
      </c>
      <c r="BB1003" s="82" t="s">
        <v>20971</v>
      </c>
      <c r="BC1003" s="82" t="s">
        <v>17776</v>
      </c>
      <c r="BD1003" s="77">
        <v>489723814</v>
      </c>
      <c r="BE1003" s="77"/>
      <c r="BF1003" s="77"/>
      <c r="BG1003" s="77"/>
      <c r="BH1003" s="77"/>
      <c r="BI1003" s="77"/>
    </row>
    <row r="1004" spans="1:61" x14ac:dyDescent="0.25">
      <c r="A1004" s="62" t="s">
        <v>418</v>
      </c>
      <c r="B1004" s="62" t="s">
        <v>418</v>
      </c>
      <c r="C1004" s="63"/>
      <c r="D1004" s="64"/>
      <c r="E1004" s="65"/>
      <c r="F1004" s="66"/>
      <c r="G1004" s="63"/>
      <c r="H1004" s="67"/>
      <c r="I1004" s="68"/>
      <c r="J1004" s="68"/>
      <c r="K1004" s="32"/>
      <c r="L1004" s="75">
        <v>1004</v>
      </c>
      <c r="M1004" s="75"/>
      <c r="N1004" s="70"/>
      <c r="O1004" s="77" t="s">
        <v>179</v>
      </c>
      <c r="P1004" s="79">
        <v>44977.537638888891</v>
      </c>
      <c r="Q1004" s="77" t="s">
        <v>2270</v>
      </c>
      <c r="R1004" s="77">
        <v>0</v>
      </c>
      <c r="S1004" s="77">
        <v>0</v>
      </c>
      <c r="T1004" s="77">
        <v>0</v>
      </c>
      <c r="U1004" s="77">
        <v>0</v>
      </c>
      <c r="V1004" s="77">
        <v>27</v>
      </c>
      <c r="W1004" s="82" t="s">
        <v>5335</v>
      </c>
      <c r="X1004" s="80" t="str">
        <f>HYPERLINK("https://www.freeclassificados.com/ads/cursos-universitario-ead-paga-apos-receber/")</f>
        <v>https://www.freeclassificados.com/ads/cursos-universitario-ead-paga-apos-receber/</v>
      </c>
      <c r="Y1004" s="77" t="s">
        <v>7308</v>
      </c>
      <c r="Z1004" s="77"/>
      <c r="AA1004" s="77"/>
      <c r="AB1004" s="77"/>
      <c r="AC1004" s="82" t="s">
        <v>10155</v>
      </c>
      <c r="AD1004" s="77" t="s">
        <v>10184</v>
      </c>
      <c r="AE1004" s="80" t="str">
        <f>HYPERLINK("https://twitter.com/freeclassific/status/1627652841090482179")</f>
        <v>https://twitter.com/freeclassific/status/1627652841090482179</v>
      </c>
      <c r="AF1004" s="79">
        <v>44977.537638888891</v>
      </c>
      <c r="AG1004" s="85">
        <v>44977</v>
      </c>
      <c r="AH1004" s="82" t="s">
        <v>11155</v>
      </c>
      <c r="AI1004" s="77" t="b">
        <v>0</v>
      </c>
      <c r="AJ1004" s="77"/>
      <c r="AK1004" s="77"/>
      <c r="AL1004" s="77"/>
      <c r="AM1004" s="77"/>
      <c r="AN1004" s="77"/>
      <c r="AO1004" s="77"/>
      <c r="AP1004" s="77"/>
      <c r="AQ1004" s="77"/>
      <c r="AR1004" s="77"/>
      <c r="AS1004" s="77"/>
      <c r="AT1004" s="77"/>
      <c r="AU1004" s="77"/>
      <c r="AV1004" s="80" t="str">
        <f>HYPERLINK("https://pbs.twimg.com/profile_images/1431648743728852993/tLJ7F5Lu_normal.png")</f>
        <v>https://pbs.twimg.com/profile_images/1431648743728852993/tLJ7F5Lu_normal.png</v>
      </c>
      <c r="AW1004" s="82" t="s">
        <v>17777</v>
      </c>
      <c r="AX1004" s="82" t="s">
        <v>17777</v>
      </c>
      <c r="AY1004" s="77"/>
      <c r="AZ1004" s="82" t="s">
        <v>20971</v>
      </c>
      <c r="BA1004" s="82" t="s">
        <v>20971</v>
      </c>
      <c r="BB1004" s="82" t="s">
        <v>20971</v>
      </c>
      <c r="BC1004" s="82" t="s">
        <v>17777</v>
      </c>
      <c r="BD1004" s="77">
        <v>489723814</v>
      </c>
      <c r="BE1004" s="77"/>
      <c r="BF1004" s="77"/>
      <c r="BG1004" s="77"/>
      <c r="BH1004" s="77"/>
      <c r="BI1004" s="77"/>
    </row>
    <row r="1005" spans="1:61" x14ac:dyDescent="0.25">
      <c r="A1005" s="62" t="s">
        <v>418</v>
      </c>
      <c r="B1005" s="62" t="s">
        <v>418</v>
      </c>
      <c r="C1005" s="63"/>
      <c r="D1005" s="64"/>
      <c r="E1005" s="65"/>
      <c r="F1005" s="66"/>
      <c r="G1005" s="63"/>
      <c r="H1005" s="67"/>
      <c r="I1005" s="68"/>
      <c r="J1005" s="68"/>
      <c r="K1005" s="32"/>
      <c r="L1005" s="75">
        <v>1005</v>
      </c>
      <c r="M1005" s="75"/>
      <c r="N1005" s="70"/>
      <c r="O1005" s="77" t="s">
        <v>179</v>
      </c>
      <c r="P1005" s="79">
        <v>44977.17696759259</v>
      </c>
      <c r="Q1005" s="77" t="s">
        <v>2271</v>
      </c>
      <c r="R1005" s="77">
        <v>0</v>
      </c>
      <c r="S1005" s="77">
        <v>0</v>
      </c>
      <c r="T1005" s="77">
        <v>0</v>
      </c>
      <c r="U1005" s="77">
        <v>0</v>
      </c>
      <c r="V1005" s="77">
        <v>5</v>
      </c>
      <c r="W1005" s="82" t="s">
        <v>5335</v>
      </c>
      <c r="X1005" s="80" t="str">
        <f>HYPERLINK("https://www.freeclassificados.com/ads/como-comprar-bijuterias-no-atacado-e-direto-da-fabrica-para-revender-no-varejo/")</f>
        <v>https://www.freeclassificados.com/ads/como-comprar-bijuterias-no-atacado-e-direto-da-fabrica-para-revender-no-varejo/</v>
      </c>
      <c r="Y1005" s="77" t="s">
        <v>7308</v>
      </c>
      <c r="Z1005" s="77"/>
      <c r="AA1005" s="77"/>
      <c r="AB1005" s="77"/>
      <c r="AC1005" s="82" t="s">
        <v>10155</v>
      </c>
      <c r="AD1005" s="77" t="s">
        <v>10184</v>
      </c>
      <c r="AE1005" s="80" t="str">
        <f>HYPERLINK("https://twitter.com/freeclassific/status/1627522137941770240")</f>
        <v>https://twitter.com/freeclassific/status/1627522137941770240</v>
      </c>
      <c r="AF1005" s="79">
        <v>44977.17696759259</v>
      </c>
      <c r="AG1005" s="85">
        <v>44977</v>
      </c>
      <c r="AH1005" s="82" t="s">
        <v>11156</v>
      </c>
      <c r="AI1005" s="77" t="b">
        <v>0</v>
      </c>
      <c r="AJ1005" s="77"/>
      <c r="AK1005" s="77"/>
      <c r="AL1005" s="77"/>
      <c r="AM1005" s="77"/>
      <c r="AN1005" s="77"/>
      <c r="AO1005" s="77"/>
      <c r="AP1005" s="77"/>
      <c r="AQ1005" s="77"/>
      <c r="AR1005" s="77"/>
      <c r="AS1005" s="77"/>
      <c r="AT1005" s="77"/>
      <c r="AU1005" s="77"/>
      <c r="AV1005" s="80" t="str">
        <f>HYPERLINK("https://pbs.twimg.com/profile_images/1431648743728852993/tLJ7F5Lu_normal.png")</f>
        <v>https://pbs.twimg.com/profile_images/1431648743728852993/tLJ7F5Lu_normal.png</v>
      </c>
      <c r="AW1005" s="82" t="s">
        <v>17778</v>
      </c>
      <c r="AX1005" s="82" t="s">
        <v>17778</v>
      </c>
      <c r="AY1005" s="77"/>
      <c r="AZ1005" s="82" t="s">
        <v>20971</v>
      </c>
      <c r="BA1005" s="82" t="s">
        <v>20971</v>
      </c>
      <c r="BB1005" s="82" t="s">
        <v>20971</v>
      </c>
      <c r="BC1005" s="82" t="s">
        <v>17778</v>
      </c>
      <c r="BD1005" s="77">
        <v>489723814</v>
      </c>
      <c r="BE1005" s="77"/>
      <c r="BF1005" s="77"/>
      <c r="BG1005" s="77"/>
      <c r="BH1005" s="77"/>
      <c r="BI1005" s="77"/>
    </row>
    <row r="1006" spans="1:61" x14ac:dyDescent="0.25">
      <c r="A1006" s="62" t="s">
        <v>418</v>
      </c>
      <c r="B1006" s="62" t="s">
        <v>418</v>
      </c>
      <c r="C1006" s="63"/>
      <c r="D1006" s="64"/>
      <c r="E1006" s="65"/>
      <c r="F1006" s="66"/>
      <c r="G1006" s="63"/>
      <c r="H1006" s="67"/>
      <c r="I1006" s="68"/>
      <c r="J1006" s="68"/>
      <c r="K1006" s="32"/>
      <c r="L1006" s="75">
        <v>1006</v>
      </c>
      <c r="M1006" s="75"/>
      <c r="N1006" s="70"/>
      <c r="O1006" s="77" t="s">
        <v>179</v>
      </c>
      <c r="P1006" s="79">
        <v>44977.160462962966</v>
      </c>
      <c r="Q1006" s="77" t="s">
        <v>2272</v>
      </c>
      <c r="R1006" s="77">
        <v>0</v>
      </c>
      <c r="S1006" s="77">
        <v>0</v>
      </c>
      <c r="T1006" s="77">
        <v>0</v>
      </c>
      <c r="U1006" s="77">
        <v>0</v>
      </c>
      <c r="V1006" s="77">
        <v>19</v>
      </c>
      <c r="W1006" s="82" t="s">
        <v>5335</v>
      </c>
      <c r="X1006" s="80" t="str">
        <f>HYPERLINK("https://www.freeclassificados.com/ads/como-ganhar-dinheiro-em-casa-com-o-programa-de-afiliados-da-imagem-folheados-e-gratuito/")</f>
        <v>https://www.freeclassificados.com/ads/como-ganhar-dinheiro-em-casa-com-o-programa-de-afiliados-da-imagem-folheados-e-gratuito/</v>
      </c>
      <c r="Y1006" s="77" t="s">
        <v>7308</v>
      </c>
      <c r="Z1006" s="77"/>
      <c r="AA1006" s="77"/>
      <c r="AB1006" s="77"/>
      <c r="AC1006" s="82" t="s">
        <v>10155</v>
      </c>
      <c r="AD1006" s="77" t="s">
        <v>10184</v>
      </c>
      <c r="AE1006" s="80" t="str">
        <f>HYPERLINK("https://twitter.com/freeclassific/status/1627516159720579074")</f>
        <v>https://twitter.com/freeclassific/status/1627516159720579074</v>
      </c>
      <c r="AF1006" s="79">
        <v>44977.160462962966</v>
      </c>
      <c r="AG1006" s="85">
        <v>44977</v>
      </c>
      <c r="AH1006" s="82" t="s">
        <v>11157</v>
      </c>
      <c r="AI1006" s="77" t="b">
        <v>0</v>
      </c>
      <c r="AJ1006" s="77"/>
      <c r="AK1006" s="77"/>
      <c r="AL1006" s="77"/>
      <c r="AM1006" s="77"/>
      <c r="AN1006" s="77"/>
      <c r="AO1006" s="77"/>
      <c r="AP1006" s="77"/>
      <c r="AQ1006" s="77"/>
      <c r="AR1006" s="77"/>
      <c r="AS1006" s="77"/>
      <c r="AT1006" s="77"/>
      <c r="AU1006" s="77"/>
      <c r="AV1006" s="80" t="str">
        <f>HYPERLINK("https://pbs.twimg.com/profile_images/1431648743728852993/tLJ7F5Lu_normal.png")</f>
        <v>https://pbs.twimg.com/profile_images/1431648743728852993/tLJ7F5Lu_normal.png</v>
      </c>
      <c r="AW1006" s="82" t="s">
        <v>17779</v>
      </c>
      <c r="AX1006" s="82" t="s">
        <v>17779</v>
      </c>
      <c r="AY1006" s="77"/>
      <c r="AZ1006" s="82" t="s">
        <v>20971</v>
      </c>
      <c r="BA1006" s="82" t="s">
        <v>20971</v>
      </c>
      <c r="BB1006" s="82" t="s">
        <v>20971</v>
      </c>
      <c r="BC1006" s="82" t="s">
        <v>17779</v>
      </c>
      <c r="BD1006" s="77">
        <v>489723814</v>
      </c>
      <c r="BE1006" s="77"/>
      <c r="BF1006" s="77"/>
      <c r="BG1006" s="77"/>
      <c r="BH1006" s="77"/>
      <c r="BI1006" s="77"/>
    </row>
    <row r="1007" spans="1:61" x14ac:dyDescent="0.25">
      <c r="A1007" s="62" t="s">
        <v>418</v>
      </c>
      <c r="B1007" s="62" t="s">
        <v>418</v>
      </c>
      <c r="C1007" s="63"/>
      <c r="D1007" s="64"/>
      <c r="E1007" s="65"/>
      <c r="F1007" s="66"/>
      <c r="G1007" s="63"/>
      <c r="H1007" s="67"/>
      <c r="I1007" s="68"/>
      <c r="J1007" s="68"/>
      <c r="K1007" s="32"/>
      <c r="L1007" s="75">
        <v>1007</v>
      </c>
      <c r="M1007" s="75"/>
      <c r="N1007" s="70"/>
      <c r="O1007" s="77" t="s">
        <v>179</v>
      </c>
      <c r="P1007" s="79">
        <v>44977.155462962961</v>
      </c>
      <c r="Q1007" s="77" t="s">
        <v>2117</v>
      </c>
      <c r="R1007" s="77">
        <v>0</v>
      </c>
      <c r="S1007" s="77">
        <v>0</v>
      </c>
      <c r="T1007" s="77">
        <v>0</v>
      </c>
      <c r="U1007" s="77">
        <v>0</v>
      </c>
      <c r="V1007" s="77">
        <v>5</v>
      </c>
      <c r="W1007" s="82" t="s">
        <v>5335</v>
      </c>
      <c r="X1007" s="80" t="str">
        <f>HYPERLINK("https://www.freeclassificados.com/ads/comece-agora-o-seu-tratamento-e-veja-o-resultado-em-pouco-tempo/")</f>
        <v>https://www.freeclassificados.com/ads/comece-agora-o-seu-tratamento-e-veja-o-resultado-em-pouco-tempo/</v>
      </c>
      <c r="Y1007" s="77" t="s">
        <v>7308</v>
      </c>
      <c r="Z1007" s="77"/>
      <c r="AA1007" s="77"/>
      <c r="AB1007" s="77"/>
      <c r="AC1007" s="82" t="s">
        <v>10155</v>
      </c>
      <c r="AD1007" s="77" t="s">
        <v>10184</v>
      </c>
      <c r="AE1007" s="80" t="str">
        <f>HYPERLINK("https://twitter.com/freeclassific/status/1627514346153869312")</f>
        <v>https://twitter.com/freeclassific/status/1627514346153869312</v>
      </c>
      <c r="AF1007" s="79">
        <v>44977.155462962961</v>
      </c>
      <c r="AG1007" s="85">
        <v>44977</v>
      </c>
      <c r="AH1007" s="82" t="s">
        <v>11158</v>
      </c>
      <c r="AI1007" s="77" t="b">
        <v>0</v>
      </c>
      <c r="AJ1007" s="77"/>
      <c r="AK1007" s="77"/>
      <c r="AL1007" s="77"/>
      <c r="AM1007" s="77"/>
      <c r="AN1007" s="77"/>
      <c r="AO1007" s="77"/>
      <c r="AP1007" s="77"/>
      <c r="AQ1007" s="77"/>
      <c r="AR1007" s="77"/>
      <c r="AS1007" s="77"/>
      <c r="AT1007" s="77"/>
      <c r="AU1007" s="77"/>
      <c r="AV1007" s="80" t="str">
        <f>HYPERLINK("https://pbs.twimg.com/profile_images/1431648743728852993/tLJ7F5Lu_normal.png")</f>
        <v>https://pbs.twimg.com/profile_images/1431648743728852993/tLJ7F5Lu_normal.png</v>
      </c>
      <c r="AW1007" s="82" t="s">
        <v>17780</v>
      </c>
      <c r="AX1007" s="82" t="s">
        <v>17780</v>
      </c>
      <c r="AY1007" s="77"/>
      <c r="AZ1007" s="82" t="s">
        <v>20971</v>
      </c>
      <c r="BA1007" s="82" t="s">
        <v>20971</v>
      </c>
      <c r="BB1007" s="82" t="s">
        <v>20971</v>
      </c>
      <c r="BC1007" s="82" t="s">
        <v>17780</v>
      </c>
      <c r="BD1007" s="77">
        <v>489723814</v>
      </c>
      <c r="BE1007" s="77"/>
      <c r="BF1007" s="77"/>
      <c r="BG1007" s="77"/>
      <c r="BH1007" s="77"/>
      <c r="BI1007" s="77"/>
    </row>
    <row r="1008" spans="1:61" x14ac:dyDescent="0.25">
      <c r="A1008" s="62" t="s">
        <v>418</v>
      </c>
      <c r="B1008" s="62" t="s">
        <v>418</v>
      </c>
      <c r="C1008" s="63"/>
      <c r="D1008" s="64"/>
      <c r="E1008" s="65"/>
      <c r="F1008" s="66"/>
      <c r="G1008" s="63"/>
      <c r="H1008" s="67"/>
      <c r="I1008" s="68"/>
      <c r="J1008" s="68"/>
      <c r="K1008" s="32"/>
      <c r="L1008" s="75">
        <v>1008</v>
      </c>
      <c r="M1008" s="75"/>
      <c r="N1008" s="70"/>
      <c r="O1008" s="77" t="s">
        <v>179</v>
      </c>
      <c r="P1008" s="79">
        <v>44977.030902777777</v>
      </c>
      <c r="Q1008" s="77" t="s">
        <v>2273</v>
      </c>
      <c r="R1008" s="77">
        <v>0</v>
      </c>
      <c r="S1008" s="77">
        <v>0</v>
      </c>
      <c r="T1008" s="77">
        <v>0</v>
      </c>
      <c r="U1008" s="77">
        <v>0</v>
      </c>
      <c r="V1008" s="77">
        <v>97</v>
      </c>
      <c r="W1008" s="82" t="s">
        <v>5335</v>
      </c>
      <c r="X1008" s="80" t="str">
        <f>HYPERLINK("https://www.freeclassificados.com/ads/como-acabar-com-a-alopecia-com-esse-poderoso-aliado-que-e-o-tonico-de-trinoxidiu/")</f>
        <v>https://www.freeclassificados.com/ads/como-acabar-com-a-alopecia-com-esse-poderoso-aliado-que-e-o-tonico-de-trinoxidiu/</v>
      </c>
      <c r="Y1008" s="77" t="s">
        <v>7308</v>
      </c>
      <c r="Z1008" s="77"/>
      <c r="AA1008" s="77"/>
      <c r="AB1008" s="77"/>
      <c r="AC1008" s="82" t="s">
        <v>10155</v>
      </c>
      <c r="AD1008" s="77" t="s">
        <v>10184</v>
      </c>
      <c r="AE1008" s="80" t="str">
        <f>HYPERLINK("https://twitter.com/freeclassific/status/1627469207154868224")</f>
        <v>https://twitter.com/freeclassific/status/1627469207154868224</v>
      </c>
      <c r="AF1008" s="79">
        <v>44977.030902777777</v>
      </c>
      <c r="AG1008" s="85">
        <v>44977</v>
      </c>
      <c r="AH1008" s="82" t="s">
        <v>11159</v>
      </c>
      <c r="AI1008" s="77" t="b">
        <v>0</v>
      </c>
      <c r="AJ1008" s="77"/>
      <c r="AK1008" s="77"/>
      <c r="AL1008" s="77"/>
      <c r="AM1008" s="77"/>
      <c r="AN1008" s="77"/>
      <c r="AO1008" s="77"/>
      <c r="AP1008" s="77"/>
      <c r="AQ1008" s="77"/>
      <c r="AR1008" s="77"/>
      <c r="AS1008" s="77"/>
      <c r="AT1008" s="77"/>
      <c r="AU1008" s="77"/>
      <c r="AV1008" s="80" t="str">
        <f>HYPERLINK("https://pbs.twimg.com/profile_images/1431648743728852993/tLJ7F5Lu_normal.png")</f>
        <v>https://pbs.twimg.com/profile_images/1431648743728852993/tLJ7F5Lu_normal.png</v>
      </c>
      <c r="AW1008" s="82" t="s">
        <v>17781</v>
      </c>
      <c r="AX1008" s="82" t="s">
        <v>17781</v>
      </c>
      <c r="AY1008" s="77"/>
      <c r="AZ1008" s="82" t="s">
        <v>20971</v>
      </c>
      <c r="BA1008" s="82" t="s">
        <v>20971</v>
      </c>
      <c r="BB1008" s="82" t="s">
        <v>20971</v>
      </c>
      <c r="BC1008" s="82" t="s">
        <v>17781</v>
      </c>
      <c r="BD1008" s="77">
        <v>489723814</v>
      </c>
      <c r="BE1008" s="77"/>
      <c r="BF1008" s="77"/>
      <c r="BG1008" s="77"/>
      <c r="BH1008" s="77"/>
      <c r="BI1008" s="77"/>
    </row>
    <row r="1009" spans="1:61" x14ac:dyDescent="0.25">
      <c r="A1009" s="62" t="s">
        <v>418</v>
      </c>
      <c r="B1009" s="62" t="s">
        <v>418</v>
      </c>
      <c r="C1009" s="63"/>
      <c r="D1009" s="64"/>
      <c r="E1009" s="65"/>
      <c r="F1009" s="66"/>
      <c r="G1009" s="63"/>
      <c r="H1009" s="67"/>
      <c r="I1009" s="68"/>
      <c r="J1009" s="68"/>
      <c r="K1009" s="32"/>
      <c r="L1009" s="75">
        <v>1009</v>
      </c>
      <c r="M1009" s="75"/>
      <c r="N1009" s="70"/>
      <c r="O1009" s="77" t="s">
        <v>179</v>
      </c>
      <c r="P1009" s="79">
        <v>44975.161030092589</v>
      </c>
      <c r="Q1009" s="77" t="s">
        <v>2274</v>
      </c>
      <c r="R1009" s="77">
        <v>0</v>
      </c>
      <c r="S1009" s="77">
        <v>0</v>
      </c>
      <c r="T1009" s="77">
        <v>0</v>
      </c>
      <c r="U1009" s="77">
        <v>0</v>
      </c>
      <c r="V1009" s="77">
        <v>11</v>
      </c>
      <c r="W1009" s="82" t="s">
        <v>5335</v>
      </c>
      <c r="X1009" s="80" t="str">
        <f>HYPERLINK("https://www.freeclassificados.com/ads/bens-de-captacao-de-recursos-excepcionais/")</f>
        <v>https://www.freeclassificados.com/ads/bens-de-captacao-de-recursos-excepcionais/</v>
      </c>
      <c r="Y1009" s="77" t="s">
        <v>7308</v>
      </c>
      <c r="Z1009" s="77"/>
      <c r="AA1009" s="77"/>
      <c r="AB1009" s="77"/>
      <c r="AC1009" s="82" t="s">
        <v>10155</v>
      </c>
      <c r="AD1009" s="77" t="s">
        <v>10184</v>
      </c>
      <c r="AE1009" s="80" t="str">
        <f>HYPERLINK("https://twitter.com/freeclassific/status/1626791587467460609")</f>
        <v>https://twitter.com/freeclassific/status/1626791587467460609</v>
      </c>
      <c r="AF1009" s="79">
        <v>44975.161030092589</v>
      </c>
      <c r="AG1009" s="85">
        <v>44975</v>
      </c>
      <c r="AH1009" s="82" t="s">
        <v>11160</v>
      </c>
      <c r="AI1009" s="77" t="b">
        <v>0</v>
      </c>
      <c r="AJ1009" s="77"/>
      <c r="AK1009" s="77"/>
      <c r="AL1009" s="77"/>
      <c r="AM1009" s="77"/>
      <c r="AN1009" s="77"/>
      <c r="AO1009" s="77"/>
      <c r="AP1009" s="77"/>
      <c r="AQ1009" s="77"/>
      <c r="AR1009" s="77"/>
      <c r="AS1009" s="77"/>
      <c r="AT1009" s="77"/>
      <c r="AU1009" s="77"/>
      <c r="AV1009" s="80" t="str">
        <f>HYPERLINK("https://pbs.twimg.com/profile_images/1431648743728852993/tLJ7F5Lu_normal.png")</f>
        <v>https://pbs.twimg.com/profile_images/1431648743728852993/tLJ7F5Lu_normal.png</v>
      </c>
      <c r="AW1009" s="82" t="s">
        <v>17782</v>
      </c>
      <c r="AX1009" s="82" t="s">
        <v>17782</v>
      </c>
      <c r="AY1009" s="77"/>
      <c r="AZ1009" s="82" t="s">
        <v>20971</v>
      </c>
      <c r="BA1009" s="82" t="s">
        <v>20971</v>
      </c>
      <c r="BB1009" s="82" t="s">
        <v>20971</v>
      </c>
      <c r="BC1009" s="82" t="s">
        <v>17782</v>
      </c>
      <c r="BD1009" s="77">
        <v>489723814</v>
      </c>
      <c r="BE1009" s="77"/>
      <c r="BF1009" s="77"/>
      <c r="BG1009" s="77"/>
      <c r="BH1009" s="77"/>
      <c r="BI1009" s="77"/>
    </row>
    <row r="1010" spans="1:61" x14ac:dyDescent="0.25">
      <c r="A1010" s="62" t="s">
        <v>418</v>
      </c>
      <c r="B1010" s="62" t="s">
        <v>418</v>
      </c>
      <c r="C1010" s="63"/>
      <c r="D1010" s="64"/>
      <c r="E1010" s="65"/>
      <c r="F1010" s="66"/>
      <c r="G1010" s="63"/>
      <c r="H1010" s="67"/>
      <c r="I1010" s="68"/>
      <c r="J1010" s="68"/>
      <c r="K1010" s="32"/>
      <c r="L1010" s="75">
        <v>1010</v>
      </c>
      <c r="M1010" s="75"/>
      <c r="N1010" s="70"/>
      <c r="O1010" s="77" t="s">
        <v>179</v>
      </c>
      <c r="P1010" s="79">
        <v>45086.909363425926</v>
      </c>
      <c r="Q1010" s="77" t="s">
        <v>2003</v>
      </c>
      <c r="R1010" s="77">
        <v>0</v>
      </c>
      <c r="S1010" s="77">
        <v>0</v>
      </c>
      <c r="T1010" s="77">
        <v>0</v>
      </c>
      <c r="U1010" s="77">
        <v>0</v>
      </c>
      <c r="V1010" s="77">
        <v>13</v>
      </c>
      <c r="W1010" s="82" t="s">
        <v>5560</v>
      </c>
      <c r="X1010" s="80" t="str">
        <f>HYPERLINK("https://www.freeclassificados.com/ads/palco-coberta-som-luz-alugo-palco-aluguel-tablado-de-vidro-palco-madeira-9-86-25-98-82/")</f>
        <v>https://www.freeclassificados.com/ads/palco-coberta-som-luz-alugo-palco-aluguel-tablado-de-vidro-palco-madeira-9-86-25-98-82/</v>
      </c>
      <c r="Y1010" s="77" t="s">
        <v>7308</v>
      </c>
      <c r="Z1010" s="77"/>
      <c r="AA1010" s="77"/>
      <c r="AB1010" s="77"/>
      <c r="AC1010" s="82" t="s">
        <v>10155</v>
      </c>
      <c r="AD1010" s="77" t="s">
        <v>10184</v>
      </c>
      <c r="AE1010" s="80" t="str">
        <f>HYPERLINK("https://twitter.com/freeclassific/status/1667287825895784448")</f>
        <v>https://twitter.com/freeclassific/status/1667287825895784448</v>
      </c>
      <c r="AF1010" s="79">
        <v>45086.909363425926</v>
      </c>
      <c r="AG1010" s="85">
        <v>45086</v>
      </c>
      <c r="AH1010" s="82" t="s">
        <v>11161</v>
      </c>
      <c r="AI1010" s="77" t="b">
        <v>0</v>
      </c>
      <c r="AJ1010" s="77"/>
      <c r="AK1010" s="77"/>
      <c r="AL1010" s="77"/>
      <c r="AM1010" s="77"/>
      <c r="AN1010" s="77"/>
      <c r="AO1010" s="77"/>
      <c r="AP1010" s="77"/>
      <c r="AQ1010" s="77"/>
      <c r="AR1010" s="77"/>
      <c r="AS1010" s="77"/>
      <c r="AT1010" s="77"/>
      <c r="AU1010" s="77"/>
      <c r="AV1010" s="80" t="str">
        <f>HYPERLINK("https://pbs.twimg.com/profile_images/1431648743728852993/tLJ7F5Lu_normal.png")</f>
        <v>https://pbs.twimg.com/profile_images/1431648743728852993/tLJ7F5Lu_normal.png</v>
      </c>
      <c r="AW1010" s="82" t="s">
        <v>17783</v>
      </c>
      <c r="AX1010" s="82" t="s">
        <v>17783</v>
      </c>
      <c r="AY1010" s="77"/>
      <c r="AZ1010" s="82" t="s">
        <v>20971</v>
      </c>
      <c r="BA1010" s="82" t="s">
        <v>20971</v>
      </c>
      <c r="BB1010" s="82" t="s">
        <v>20971</v>
      </c>
      <c r="BC1010" s="82" t="s">
        <v>17783</v>
      </c>
      <c r="BD1010" s="77">
        <v>489723814</v>
      </c>
      <c r="BE1010" s="77"/>
      <c r="BF1010" s="77"/>
      <c r="BG1010" s="77"/>
      <c r="BH1010" s="77"/>
      <c r="BI1010" s="77"/>
    </row>
    <row r="1011" spans="1:61" x14ac:dyDescent="0.25">
      <c r="A1011" s="62" t="s">
        <v>418</v>
      </c>
      <c r="B1011" s="62" t="s">
        <v>418</v>
      </c>
      <c r="C1011" s="63"/>
      <c r="D1011" s="64"/>
      <c r="E1011" s="65"/>
      <c r="F1011" s="66"/>
      <c r="G1011" s="63"/>
      <c r="H1011" s="67"/>
      <c r="I1011" s="68"/>
      <c r="J1011" s="68"/>
      <c r="K1011" s="32"/>
      <c r="L1011" s="75">
        <v>1011</v>
      </c>
      <c r="M1011" s="75"/>
      <c r="N1011" s="70"/>
      <c r="O1011" s="77" t="s">
        <v>179</v>
      </c>
      <c r="P1011" s="79">
        <v>45086.717141203706</v>
      </c>
      <c r="Q1011" s="77" t="s">
        <v>2275</v>
      </c>
      <c r="R1011" s="77">
        <v>0</v>
      </c>
      <c r="S1011" s="77">
        <v>0</v>
      </c>
      <c r="T1011" s="77">
        <v>0</v>
      </c>
      <c r="U1011" s="77">
        <v>0</v>
      </c>
      <c r="V1011" s="77">
        <v>6</v>
      </c>
      <c r="W1011" s="82" t="s">
        <v>5560</v>
      </c>
      <c r="X1011" s="80" t="str">
        <f>HYPERLINK("https://www.freeclassificados.com/ads/bailarinas-e-animadores-de-festas-11948594445/")</f>
        <v>https://www.freeclassificados.com/ads/bailarinas-e-animadores-de-festas-11948594445/</v>
      </c>
      <c r="Y1011" s="77" t="s">
        <v>7308</v>
      </c>
      <c r="Z1011" s="77"/>
      <c r="AA1011" s="77"/>
      <c r="AB1011" s="77"/>
      <c r="AC1011" s="82" t="s">
        <v>10155</v>
      </c>
      <c r="AD1011" s="77" t="s">
        <v>10184</v>
      </c>
      <c r="AE1011" s="80" t="str">
        <f>HYPERLINK("https://twitter.com/freeclassific/status/1667218167863844865")</f>
        <v>https://twitter.com/freeclassific/status/1667218167863844865</v>
      </c>
      <c r="AF1011" s="79">
        <v>45086.717141203706</v>
      </c>
      <c r="AG1011" s="85">
        <v>45086</v>
      </c>
      <c r="AH1011" s="82" t="s">
        <v>11162</v>
      </c>
      <c r="AI1011" s="77" t="b">
        <v>0</v>
      </c>
      <c r="AJ1011" s="77"/>
      <c r="AK1011" s="77"/>
      <c r="AL1011" s="77"/>
      <c r="AM1011" s="77"/>
      <c r="AN1011" s="77"/>
      <c r="AO1011" s="77"/>
      <c r="AP1011" s="77"/>
      <c r="AQ1011" s="77"/>
      <c r="AR1011" s="77"/>
      <c r="AS1011" s="77"/>
      <c r="AT1011" s="77"/>
      <c r="AU1011" s="77"/>
      <c r="AV1011" s="80" t="str">
        <f>HYPERLINK("https://pbs.twimg.com/profile_images/1431648743728852993/tLJ7F5Lu_normal.png")</f>
        <v>https://pbs.twimg.com/profile_images/1431648743728852993/tLJ7F5Lu_normal.png</v>
      </c>
      <c r="AW1011" s="82" t="s">
        <v>17784</v>
      </c>
      <c r="AX1011" s="82" t="s">
        <v>17784</v>
      </c>
      <c r="AY1011" s="77"/>
      <c r="AZ1011" s="82" t="s">
        <v>20971</v>
      </c>
      <c r="BA1011" s="82" t="s">
        <v>20971</v>
      </c>
      <c r="BB1011" s="82" t="s">
        <v>20971</v>
      </c>
      <c r="BC1011" s="82" t="s">
        <v>17784</v>
      </c>
      <c r="BD1011" s="77">
        <v>489723814</v>
      </c>
      <c r="BE1011" s="77"/>
      <c r="BF1011" s="77"/>
      <c r="BG1011" s="77"/>
      <c r="BH1011" s="77"/>
      <c r="BI1011" s="77"/>
    </row>
    <row r="1012" spans="1:61" x14ac:dyDescent="0.25">
      <c r="A1012" s="62" t="s">
        <v>418</v>
      </c>
      <c r="B1012" s="62" t="s">
        <v>418</v>
      </c>
      <c r="C1012" s="63"/>
      <c r="D1012" s="64"/>
      <c r="E1012" s="65"/>
      <c r="F1012" s="66"/>
      <c r="G1012" s="63"/>
      <c r="H1012" s="67"/>
      <c r="I1012" s="68"/>
      <c r="J1012" s="68"/>
      <c r="K1012" s="32"/>
      <c r="L1012" s="75">
        <v>1012</v>
      </c>
      <c r="M1012" s="75"/>
      <c r="N1012" s="70"/>
      <c r="O1012" s="77" t="s">
        <v>179</v>
      </c>
      <c r="P1012" s="79">
        <v>45086.503148148149</v>
      </c>
      <c r="Q1012" s="77" t="s">
        <v>2276</v>
      </c>
      <c r="R1012" s="77">
        <v>0</v>
      </c>
      <c r="S1012" s="77">
        <v>0</v>
      </c>
      <c r="T1012" s="77">
        <v>0</v>
      </c>
      <c r="U1012" s="77">
        <v>0</v>
      </c>
      <c r="V1012" s="77">
        <v>9</v>
      </c>
      <c r="W1012" s="82" t="s">
        <v>5560</v>
      </c>
      <c r="X1012" s="80" t="str">
        <f>HYPERLINK("https://www.freeclassificados.com/ads/cantando-com-encanto-show-cover-11948594445/")</f>
        <v>https://www.freeclassificados.com/ads/cantando-com-encanto-show-cover-11948594445/</v>
      </c>
      <c r="Y1012" s="77" t="s">
        <v>7308</v>
      </c>
      <c r="Z1012" s="77"/>
      <c r="AA1012" s="77"/>
      <c r="AB1012" s="77"/>
      <c r="AC1012" s="82" t="s">
        <v>10155</v>
      </c>
      <c r="AD1012" s="77" t="s">
        <v>10184</v>
      </c>
      <c r="AE1012" s="80" t="str">
        <f>HYPERLINK("https://twitter.com/freeclassific/status/1667140619540791297")</f>
        <v>https://twitter.com/freeclassific/status/1667140619540791297</v>
      </c>
      <c r="AF1012" s="79">
        <v>45086.503148148149</v>
      </c>
      <c r="AG1012" s="85">
        <v>45086</v>
      </c>
      <c r="AH1012" s="82" t="s">
        <v>11163</v>
      </c>
      <c r="AI1012" s="77" t="b">
        <v>0</v>
      </c>
      <c r="AJ1012" s="77"/>
      <c r="AK1012" s="77"/>
      <c r="AL1012" s="77"/>
      <c r="AM1012" s="77"/>
      <c r="AN1012" s="77"/>
      <c r="AO1012" s="77"/>
      <c r="AP1012" s="77"/>
      <c r="AQ1012" s="77"/>
      <c r="AR1012" s="77"/>
      <c r="AS1012" s="77"/>
      <c r="AT1012" s="77"/>
      <c r="AU1012" s="77"/>
      <c r="AV1012" s="80" t="str">
        <f>HYPERLINK("https://pbs.twimg.com/profile_images/1431648743728852993/tLJ7F5Lu_normal.png")</f>
        <v>https://pbs.twimg.com/profile_images/1431648743728852993/tLJ7F5Lu_normal.png</v>
      </c>
      <c r="AW1012" s="82" t="s">
        <v>17785</v>
      </c>
      <c r="AX1012" s="82" t="s">
        <v>17785</v>
      </c>
      <c r="AY1012" s="77"/>
      <c r="AZ1012" s="82" t="s">
        <v>20971</v>
      </c>
      <c r="BA1012" s="82" t="s">
        <v>20971</v>
      </c>
      <c r="BB1012" s="82" t="s">
        <v>20971</v>
      </c>
      <c r="BC1012" s="82" t="s">
        <v>17785</v>
      </c>
      <c r="BD1012" s="77">
        <v>489723814</v>
      </c>
      <c r="BE1012" s="77"/>
      <c r="BF1012" s="77"/>
      <c r="BG1012" s="77"/>
      <c r="BH1012" s="77"/>
      <c r="BI1012" s="77"/>
    </row>
    <row r="1013" spans="1:61" x14ac:dyDescent="0.25">
      <c r="A1013" s="62" t="s">
        <v>418</v>
      </c>
      <c r="B1013" s="62" t="s">
        <v>418</v>
      </c>
      <c r="C1013" s="63"/>
      <c r="D1013" s="64"/>
      <c r="E1013" s="65"/>
      <c r="F1013" s="66"/>
      <c r="G1013" s="63"/>
      <c r="H1013" s="67"/>
      <c r="I1013" s="68"/>
      <c r="J1013" s="68"/>
      <c r="K1013" s="32"/>
      <c r="L1013" s="75">
        <v>1013</v>
      </c>
      <c r="M1013" s="75"/>
      <c r="N1013" s="70"/>
      <c r="O1013" s="77" t="s">
        <v>179</v>
      </c>
      <c r="P1013" s="79">
        <v>45085.622314814813</v>
      </c>
      <c r="Q1013" s="77" t="s">
        <v>2277</v>
      </c>
      <c r="R1013" s="77">
        <v>0</v>
      </c>
      <c r="S1013" s="77">
        <v>0</v>
      </c>
      <c r="T1013" s="77">
        <v>0</v>
      </c>
      <c r="U1013" s="77">
        <v>0</v>
      </c>
      <c r="V1013" s="77">
        <v>10</v>
      </c>
      <c r="W1013" s="82" t="s">
        <v>5560</v>
      </c>
      <c r="X1013" s="80" t="str">
        <f>HYPERLINK("https://www.freeclassificados.com/ads/wandinha-animacao-de-festas-e-personagens-11948594445/")</f>
        <v>https://www.freeclassificados.com/ads/wandinha-animacao-de-festas-e-personagens-11948594445/</v>
      </c>
      <c r="Y1013" s="77" t="s">
        <v>7308</v>
      </c>
      <c r="Z1013" s="77"/>
      <c r="AA1013" s="77"/>
      <c r="AB1013" s="77"/>
      <c r="AC1013" s="82" t="s">
        <v>10155</v>
      </c>
      <c r="AD1013" s="77" t="s">
        <v>10184</v>
      </c>
      <c r="AE1013" s="80" t="str">
        <f>HYPERLINK("https://twitter.com/freeclassific/status/1666821418598957061")</f>
        <v>https://twitter.com/freeclassific/status/1666821418598957061</v>
      </c>
      <c r="AF1013" s="79">
        <v>45085.622314814813</v>
      </c>
      <c r="AG1013" s="85">
        <v>45085</v>
      </c>
      <c r="AH1013" s="82" t="s">
        <v>11164</v>
      </c>
      <c r="AI1013" s="77" t="b">
        <v>0</v>
      </c>
      <c r="AJ1013" s="77"/>
      <c r="AK1013" s="77"/>
      <c r="AL1013" s="77"/>
      <c r="AM1013" s="77"/>
      <c r="AN1013" s="77"/>
      <c r="AO1013" s="77"/>
      <c r="AP1013" s="77"/>
      <c r="AQ1013" s="77"/>
      <c r="AR1013" s="77"/>
      <c r="AS1013" s="77"/>
      <c r="AT1013" s="77"/>
      <c r="AU1013" s="77"/>
      <c r="AV1013" s="80" t="str">
        <f>HYPERLINK("https://pbs.twimg.com/profile_images/1431648743728852993/tLJ7F5Lu_normal.png")</f>
        <v>https://pbs.twimg.com/profile_images/1431648743728852993/tLJ7F5Lu_normal.png</v>
      </c>
      <c r="AW1013" s="82" t="s">
        <v>17786</v>
      </c>
      <c r="AX1013" s="82" t="s">
        <v>17786</v>
      </c>
      <c r="AY1013" s="77"/>
      <c r="AZ1013" s="82" t="s">
        <v>20971</v>
      </c>
      <c r="BA1013" s="82" t="s">
        <v>20971</v>
      </c>
      <c r="BB1013" s="82" t="s">
        <v>20971</v>
      </c>
      <c r="BC1013" s="82" t="s">
        <v>17786</v>
      </c>
      <c r="BD1013" s="77">
        <v>489723814</v>
      </c>
      <c r="BE1013" s="77"/>
      <c r="BF1013" s="77"/>
      <c r="BG1013" s="77"/>
      <c r="BH1013" s="77"/>
      <c r="BI1013" s="77"/>
    </row>
    <row r="1014" spans="1:61" x14ac:dyDescent="0.25">
      <c r="A1014" s="62" t="s">
        <v>418</v>
      </c>
      <c r="B1014" s="62" t="s">
        <v>418</v>
      </c>
      <c r="C1014" s="63"/>
      <c r="D1014" s="64"/>
      <c r="E1014" s="65"/>
      <c r="F1014" s="66"/>
      <c r="G1014" s="63"/>
      <c r="H1014" s="67"/>
      <c r="I1014" s="68"/>
      <c r="J1014" s="68"/>
      <c r="K1014" s="32"/>
      <c r="L1014" s="75">
        <v>1014</v>
      </c>
      <c r="M1014" s="75"/>
      <c r="N1014" s="70"/>
      <c r="O1014" s="77" t="s">
        <v>179</v>
      </c>
      <c r="P1014" s="79">
        <v>45085.581585648149</v>
      </c>
      <c r="Q1014" s="77" t="s">
        <v>2278</v>
      </c>
      <c r="R1014" s="77">
        <v>0</v>
      </c>
      <c r="S1014" s="77">
        <v>0</v>
      </c>
      <c r="T1014" s="77">
        <v>0</v>
      </c>
      <c r="U1014" s="77">
        <v>0</v>
      </c>
      <c r="V1014" s="77">
        <v>9</v>
      </c>
      <c r="W1014" s="82" t="s">
        <v>5560</v>
      </c>
      <c r="X1014" s="80" t="str">
        <f>HYPERLINK("https://www.freeclassificados.com/ads/embalagens-para-pastel-rio-embalagens-promocao/")</f>
        <v>https://www.freeclassificados.com/ads/embalagens-para-pastel-rio-embalagens-promocao/</v>
      </c>
      <c r="Y1014" s="77" t="s">
        <v>7308</v>
      </c>
      <c r="Z1014" s="77"/>
      <c r="AA1014" s="77"/>
      <c r="AB1014" s="77"/>
      <c r="AC1014" s="82" t="s">
        <v>10155</v>
      </c>
      <c r="AD1014" s="77" t="s">
        <v>10184</v>
      </c>
      <c r="AE1014" s="80" t="str">
        <f>HYPERLINK("https://twitter.com/freeclassific/status/1666806656980901892")</f>
        <v>https://twitter.com/freeclassific/status/1666806656980901892</v>
      </c>
      <c r="AF1014" s="79">
        <v>45085.581585648149</v>
      </c>
      <c r="AG1014" s="85">
        <v>45085</v>
      </c>
      <c r="AH1014" s="82" t="s">
        <v>11165</v>
      </c>
      <c r="AI1014" s="77" t="b">
        <v>0</v>
      </c>
      <c r="AJ1014" s="77"/>
      <c r="AK1014" s="77"/>
      <c r="AL1014" s="77"/>
      <c r="AM1014" s="77"/>
      <c r="AN1014" s="77"/>
      <c r="AO1014" s="77"/>
      <c r="AP1014" s="77"/>
      <c r="AQ1014" s="77"/>
      <c r="AR1014" s="77"/>
      <c r="AS1014" s="77"/>
      <c r="AT1014" s="77"/>
      <c r="AU1014" s="77"/>
      <c r="AV1014" s="80" t="str">
        <f>HYPERLINK("https://pbs.twimg.com/profile_images/1431648743728852993/tLJ7F5Lu_normal.png")</f>
        <v>https://pbs.twimg.com/profile_images/1431648743728852993/tLJ7F5Lu_normal.png</v>
      </c>
      <c r="AW1014" s="82" t="s">
        <v>17787</v>
      </c>
      <c r="AX1014" s="82" t="s">
        <v>17787</v>
      </c>
      <c r="AY1014" s="77"/>
      <c r="AZ1014" s="82" t="s">
        <v>20971</v>
      </c>
      <c r="BA1014" s="82" t="s">
        <v>20971</v>
      </c>
      <c r="BB1014" s="82" t="s">
        <v>20971</v>
      </c>
      <c r="BC1014" s="82" t="s">
        <v>17787</v>
      </c>
      <c r="BD1014" s="77">
        <v>489723814</v>
      </c>
      <c r="BE1014" s="77"/>
      <c r="BF1014" s="77"/>
      <c r="BG1014" s="77"/>
      <c r="BH1014" s="77"/>
      <c r="BI1014" s="77"/>
    </row>
    <row r="1015" spans="1:61" x14ac:dyDescent="0.25">
      <c r="A1015" s="62" t="s">
        <v>418</v>
      </c>
      <c r="B1015" s="62" t="s">
        <v>418</v>
      </c>
      <c r="C1015" s="63"/>
      <c r="D1015" s="64"/>
      <c r="E1015" s="65"/>
      <c r="F1015" s="66"/>
      <c r="G1015" s="63"/>
      <c r="H1015" s="67"/>
      <c r="I1015" s="68"/>
      <c r="J1015" s="68"/>
      <c r="K1015" s="32"/>
      <c r="L1015" s="75">
        <v>1015</v>
      </c>
      <c r="M1015" s="75"/>
      <c r="N1015" s="70"/>
      <c r="O1015" s="77" t="s">
        <v>179</v>
      </c>
      <c r="P1015" s="79">
        <v>45059.016053240739</v>
      </c>
      <c r="Q1015" s="77" t="s">
        <v>2279</v>
      </c>
      <c r="R1015" s="77">
        <v>0</v>
      </c>
      <c r="S1015" s="77">
        <v>1</v>
      </c>
      <c r="T1015" s="77">
        <v>0</v>
      </c>
      <c r="U1015" s="77">
        <v>0</v>
      </c>
      <c r="V1015" s="77">
        <v>24</v>
      </c>
      <c r="W1015" s="82" t="s">
        <v>5560</v>
      </c>
      <c r="X1015" s="80" t="str">
        <f>HYPERLINK("https://www.freeclassificados.com/ads/higienizacao-e-impermeabilizacao-de-estofados/")</f>
        <v>https://www.freeclassificados.com/ads/higienizacao-e-impermeabilizacao-de-estofados/</v>
      </c>
      <c r="Y1015" s="77" t="s">
        <v>7308</v>
      </c>
      <c r="Z1015" s="77"/>
      <c r="AA1015" s="77"/>
      <c r="AB1015" s="77"/>
      <c r="AC1015" s="82" t="s">
        <v>10155</v>
      </c>
      <c r="AD1015" s="77" t="s">
        <v>10184</v>
      </c>
      <c r="AE1015" s="80" t="str">
        <f>HYPERLINK("https://twitter.com/freeclassific/status/1657179632582676481")</f>
        <v>https://twitter.com/freeclassific/status/1657179632582676481</v>
      </c>
      <c r="AF1015" s="79">
        <v>45059.016053240739</v>
      </c>
      <c r="AG1015" s="85">
        <v>45059</v>
      </c>
      <c r="AH1015" s="82" t="s">
        <v>11166</v>
      </c>
      <c r="AI1015" s="77" t="b">
        <v>0</v>
      </c>
      <c r="AJ1015" s="77"/>
      <c r="AK1015" s="77"/>
      <c r="AL1015" s="77"/>
      <c r="AM1015" s="77"/>
      <c r="AN1015" s="77"/>
      <c r="AO1015" s="77"/>
      <c r="AP1015" s="77"/>
      <c r="AQ1015" s="77"/>
      <c r="AR1015" s="77"/>
      <c r="AS1015" s="77"/>
      <c r="AT1015" s="77"/>
      <c r="AU1015" s="77"/>
      <c r="AV1015" s="80" t="str">
        <f>HYPERLINK("https://pbs.twimg.com/profile_images/1431648743728852993/tLJ7F5Lu_normal.png")</f>
        <v>https://pbs.twimg.com/profile_images/1431648743728852993/tLJ7F5Lu_normal.png</v>
      </c>
      <c r="AW1015" s="82" t="s">
        <v>17788</v>
      </c>
      <c r="AX1015" s="82" t="s">
        <v>17788</v>
      </c>
      <c r="AY1015" s="77"/>
      <c r="AZ1015" s="82" t="s">
        <v>20971</v>
      </c>
      <c r="BA1015" s="82" t="s">
        <v>20971</v>
      </c>
      <c r="BB1015" s="82" t="s">
        <v>20971</v>
      </c>
      <c r="BC1015" s="82" t="s">
        <v>17788</v>
      </c>
      <c r="BD1015" s="77">
        <v>489723814</v>
      </c>
      <c r="BE1015" s="77"/>
      <c r="BF1015" s="77"/>
      <c r="BG1015" s="77"/>
      <c r="BH1015" s="77"/>
      <c r="BI1015" s="77"/>
    </row>
    <row r="1016" spans="1:61" x14ac:dyDescent="0.25">
      <c r="A1016" s="62" t="s">
        <v>418</v>
      </c>
      <c r="B1016" s="62" t="s">
        <v>418</v>
      </c>
      <c r="C1016" s="63"/>
      <c r="D1016" s="64"/>
      <c r="E1016" s="65"/>
      <c r="F1016" s="66"/>
      <c r="G1016" s="63"/>
      <c r="H1016" s="67"/>
      <c r="I1016" s="68"/>
      <c r="J1016" s="68"/>
      <c r="K1016" s="32"/>
      <c r="L1016" s="75">
        <v>1016</v>
      </c>
      <c r="M1016" s="75"/>
      <c r="N1016" s="70"/>
      <c r="O1016" s="77" t="s">
        <v>179</v>
      </c>
      <c r="P1016" s="79">
        <v>45058.969606481478</v>
      </c>
      <c r="Q1016" s="77" t="s">
        <v>2280</v>
      </c>
      <c r="R1016" s="77">
        <v>0</v>
      </c>
      <c r="S1016" s="77">
        <v>0</v>
      </c>
      <c r="T1016" s="77">
        <v>0</v>
      </c>
      <c r="U1016" s="77">
        <v>0</v>
      </c>
      <c r="V1016" s="77">
        <v>16</v>
      </c>
      <c r="W1016" s="82" t="s">
        <v>5560</v>
      </c>
      <c r="X1016" s="80" t="str">
        <f>HYPERLINK("https://www.freeclassificados.com/ads/new-yamaha-f300xa-outboard-engine-with-5-five-year-warranty-2/")</f>
        <v>https://www.freeclassificados.com/ads/new-yamaha-f300xa-outboard-engine-with-5-five-year-warranty-2/</v>
      </c>
      <c r="Y1016" s="77" t="s">
        <v>7308</v>
      </c>
      <c r="Z1016" s="77"/>
      <c r="AA1016" s="77"/>
      <c r="AB1016" s="77"/>
      <c r="AC1016" s="82" t="s">
        <v>10155</v>
      </c>
      <c r="AD1016" s="77" t="s">
        <v>10185</v>
      </c>
      <c r="AE1016" s="80" t="str">
        <f>HYPERLINK("https://twitter.com/freeclassific/status/1657162797128749056")</f>
        <v>https://twitter.com/freeclassific/status/1657162797128749056</v>
      </c>
      <c r="AF1016" s="79">
        <v>45058.969606481478</v>
      </c>
      <c r="AG1016" s="85">
        <v>45058</v>
      </c>
      <c r="AH1016" s="82" t="s">
        <v>11167</v>
      </c>
      <c r="AI1016" s="77" t="b">
        <v>0</v>
      </c>
      <c r="AJ1016" s="77"/>
      <c r="AK1016" s="77"/>
      <c r="AL1016" s="77"/>
      <c r="AM1016" s="77"/>
      <c r="AN1016" s="77"/>
      <c r="AO1016" s="77"/>
      <c r="AP1016" s="77"/>
      <c r="AQ1016" s="77"/>
      <c r="AR1016" s="77"/>
      <c r="AS1016" s="77"/>
      <c r="AT1016" s="77"/>
      <c r="AU1016" s="77"/>
      <c r="AV1016" s="80" t="str">
        <f>HYPERLINK("https://pbs.twimg.com/profile_images/1431648743728852993/tLJ7F5Lu_normal.png")</f>
        <v>https://pbs.twimg.com/profile_images/1431648743728852993/tLJ7F5Lu_normal.png</v>
      </c>
      <c r="AW1016" s="82" t="s">
        <v>17789</v>
      </c>
      <c r="AX1016" s="82" t="s">
        <v>17789</v>
      </c>
      <c r="AY1016" s="77"/>
      <c r="AZ1016" s="82" t="s">
        <v>20971</v>
      </c>
      <c r="BA1016" s="82" t="s">
        <v>20971</v>
      </c>
      <c r="BB1016" s="82" t="s">
        <v>20971</v>
      </c>
      <c r="BC1016" s="82" t="s">
        <v>17789</v>
      </c>
      <c r="BD1016" s="77">
        <v>489723814</v>
      </c>
      <c r="BE1016" s="77"/>
      <c r="BF1016" s="77"/>
      <c r="BG1016" s="77"/>
      <c r="BH1016" s="77"/>
      <c r="BI1016" s="77"/>
    </row>
    <row r="1017" spans="1:61" x14ac:dyDescent="0.25">
      <c r="A1017" s="62" t="s">
        <v>418</v>
      </c>
      <c r="B1017" s="62" t="s">
        <v>418</v>
      </c>
      <c r="C1017" s="63"/>
      <c r="D1017" s="64"/>
      <c r="E1017" s="65"/>
      <c r="F1017" s="66"/>
      <c r="G1017" s="63"/>
      <c r="H1017" s="67"/>
      <c r="I1017" s="68"/>
      <c r="J1017" s="68"/>
      <c r="K1017" s="32"/>
      <c r="L1017" s="75">
        <v>1017</v>
      </c>
      <c r="M1017" s="75"/>
      <c r="N1017" s="70"/>
      <c r="O1017" s="77" t="s">
        <v>179</v>
      </c>
      <c r="P1017" s="79">
        <v>45058.91542824074</v>
      </c>
      <c r="Q1017" s="77" t="s">
        <v>2281</v>
      </c>
      <c r="R1017" s="77">
        <v>0</v>
      </c>
      <c r="S1017" s="77">
        <v>0</v>
      </c>
      <c r="T1017" s="77">
        <v>0</v>
      </c>
      <c r="U1017" s="77">
        <v>0</v>
      </c>
      <c r="V1017" s="77">
        <v>13</v>
      </c>
      <c r="W1017" s="82" t="s">
        <v>5560</v>
      </c>
      <c r="X1017" s="80" t="str">
        <f>HYPERLINK("https://www.freeclassificados.com/ads/ls-classificados-namoro-emprego-negocios-afiliados-e-muito-mais/")</f>
        <v>https://www.freeclassificados.com/ads/ls-classificados-namoro-emprego-negocios-afiliados-e-muito-mais/</v>
      </c>
      <c r="Y1017" s="77" t="s">
        <v>7308</v>
      </c>
      <c r="Z1017" s="77"/>
      <c r="AA1017" s="77"/>
      <c r="AB1017" s="77"/>
      <c r="AC1017" s="82" t="s">
        <v>10155</v>
      </c>
      <c r="AD1017" s="77" t="s">
        <v>10184</v>
      </c>
      <c r="AE1017" s="80" t="str">
        <f>HYPERLINK("https://twitter.com/freeclassific/status/1657143164145389568")</f>
        <v>https://twitter.com/freeclassific/status/1657143164145389568</v>
      </c>
      <c r="AF1017" s="79">
        <v>45058.91542824074</v>
      </c>
      <c r="AG1017" s="85">
        <v>45058</v>
      </c>
      <c r="AH1017" s="82" t="s">
        <v>11168</v>
      </c>
      <c r="AI1017" s="77" t="b">
        <v>0</v>
      </c>
      <c r="AJ1017" s="77"/>
      <c r="AK1017" s="77"/>
      <c r="AL1017" s="77"/>
      <c r="AM1017" s="77"/>
      <c r="AN1017" s="77"/>
      <c r="AO1017" s="77"/>
      <c r="AP1017" s="77"/>
      <c r="AQ1017" s="77"/>
      <c r="AR1017" s="77"/>
      <c r="AS1017" s="77"/>
      <c r="AT1017" s="77"/>
      <c r="AU1017" s="77"/>
      <c r="AV1017" s="80" t="str">
        <f>HYPERLINK("https://pbs.twimg.com/profile_images/1431648743728852993/tLJ7F5Lu_normal.png")</f>
        <v>https://pbs.twimg.com/profile_images/1431648743728852993/tLJ7F5Lu_normal.png</v>
      </c>
      <c r="AW1017" s="82" t="s">
        <v>17790</v>
      </c>
      <c r="AX1017" s="82" t="s">
        <v>17790</v>
      </c>
      <c r="AY1017" s="77"/>
      <c r="AZ1017" s="82" t="s">
        <v>20971</v>
      </c>
      <c r="BA1017" s="82" t="s">
        <v>20971</v>
      </c>
      <c r="BB1017" s="82" t="s">
        <v>20971</v>
      </c>
      <c r="BC1017" s="82" t="s">
        <v>17790</v>
      </c>
      <c r="BD1017" s="77">
        <v>489723814</v>
      </c>
      <c r="BE1017" s="77"/>
      <c r="BF1017" s="77"/>
      <c r="BG1017" s="77"/>
      <c r="BH1017" s="77"/>
      <c r="BI1017" s="77"/>
    </row>
    <row r="1018" spans="1:61" x14ac:dyDescent="0.25">
      <c r="A1018" s="62" t="s">
        <v>418</v>
      </c>
      <c r="B1018" s="62" t="s">
        <v>418</v>
      </c>
      <c r="C1018" s="63"/>
      <c r="D1018" s="64"/>
      <c r="E1018" s="65"/>
      <c r="F1018" s="66"/>
      <c r="G1018" s="63"/>
      <c r="H1018" s="67"/>
      <c r="I1018" s="68"/>
      <c r="J1018" s="68"/>
      <c r="K1018" s="32"/>
      <c r="L1018" s="75">
        <v>1018</v>
      </c>
      <c r="M1018" s="75"/>
      <c r="N1018" s="70"/>
      <c r="O1018" s="77" t="s">
        <v>179</v>
      </c>
      <c r="P1018" s="79">
        <v>45058.575613425928</v>
      </c>
      <c r="Q1018" s="77" t="s">
        <v>2282</v>
      </c>
      <c r="R1018" s="77">
        <v>0</v>
      </c>
      <c r="S1018" s="77">
        <v>0</v>
      </c>
      <c r="T1018" s="77">
        <v>0</v>
      </c>
      <c r="U1018" s="77">
        <v>0</v>
      </c>
      <c r="V1018" s="77">
        <v>24</v>
      </c>
      <c r="W1018" s="82" t="s">
        <v>5560</v>
      </c>
      <c r="X1018" s="80" t="str">
        <f>HYPERLINK("https://www.freeclassificados.com/ads/aliancas-de-ouro-e-anel-de-noivado-em-ouro-na-cellect-joias/")</f>
        <v>https://www.freeclassificados.com/ads/aliancas-de-ouro-e-anel-de-noivado-em-ouro-na-cellect-joias/</v>
      </c>
      <c r="Y1018" s="77" t="s">
        <v>7308</v>
      </c>
      <c r="Z1018" s="77"/>
      <c r="AA1018" s="77"/>
      <c r="AB1018" s="77"/>
      <c r="AC1018" s="82" t="s">
        <v>10155</v>
      </c>
      <c r="AD1018" s="77" t="s">
        <v>10184</v>
      </c>
      <c r="AE1018" s="80" t="str">
        <f>HYPERLINK("https://twitter.com/freeclassific/status/1657020018696093700")</f>
        <v>https://twitter.com/freeclassific/status/1657020018696093700</v>
      </c>
      <c r="AF1018" s="79">
        <v>45058.575613425928</v>
      </c>
      <c r="AG1018" s="85">
        <v>45058</v>
      </c>
      <c r="AH1018" s="82" t="s">
        <v>11169</v>
      </c>
      <c r="AI1018" s="77" t="b">
        <v>0</v>
      </c>
      <c r="AJ1018" s="77"/>
      <c r="AK1018" s="77"/>
      <c r="AL1018" s="77"/>
      <c r="AM1018" s="77"/>
      <c r="AN1018" s="77"/>
      <c r="AO1018" s="77"/>
      <c r="AP1018" s="77"/>
      <c r="AQ1018" s="77"/>
      <c r="AR1018" s="77"/>
      <c r="AS1018" s="77"/>
      <c r="AT1018" s="77"/>
      <c r="AU1018" s="77"/>
      <c r="AV1018" s="80" t="str">
        <f>HYPERLINK("https://pbs.twimg.com/profile_images/1431648743728852993/tLJ7F5Lu_normal.png")</f>
        <v>https://pbs.twimg.com/profile_images/1431648743728852993/tLJ7F5Lu_normal.png</v>
      </c>
      <c r="AW1018" s="82" t="s">
        <v>17791</v>
      </c>
      <c r="AX1018" s="82" t="s">
        <v>17791</v>
      </c>
      <c r="AY1018" s="77"/>
      <c r="AZ1018" s="82" t="s">
        <v>20971</v>
      </c>
      <c r="BA1018" s="82" t="s">
        <v>20971</v>
      </c>
      <c r="BB1018" s="82" t="s">
        <v>20971</v>
      </c>
      <c r="BC1018" s="82" t="s">
        <v>17791</v>
      </c>
      <c r="BD1018" s="77">
        <v>489723814</v>
      </c>
      <c r="BE1018" s="77"/>
      <c r="BF1018" s="77"/>
      <c r="BG1018" s="77"/>
      <c r="BH1018" s="77"/>
      <c r="BI1018" s="77"/>
    </row>
    <row r="1019" spans="1:61" x14ac:dyDescent="0.25">
      <c r="A1019" s="62" t="s">
        <v>418</v>
      </c>
      <c r="B1019" s="62" t="s">
        <v>418</v>
      </c>
      <c r="C1019" s="63"/>
      <c r="D1019" s="64"/>
      <c r="E1019" s="65"/>
      <c r="F1019" s="66"/>
      <c r="G1019" s="63"/>
      <c r="H1019" s="67"/>
      <c r="I1019" s="68"/>
      <c r="J1019" s="68"/>
      <c r="K1019" s="32"/>
      <c r="L1019" s="75">
        <v>1019</v>
      </c>
      <c r="M1019" s="75"/>
      <c r="N1019" s="70"/>
      <c r="O1019" s="77" t="s">
        <v>179</v>
      </c>
      <c r="P1019" s="79">
        <v>45058.539039351854</v>
      </c>
      <c r="Q1019" s="77" t="s">
        <v>2283</v>
      </c>
      <c r="R1019" s="77">
        <v>0</v>
      </c>
      <c r="S1019" s="77">
        <v>0</v>
      </c>
      <c r="T1019" s="77">
        <v>0</v>
      </c>
      <c r="U1019" s="77">
        <v>0</v>
      </c>
      <c r="V1019" s="77">
        <v>14</v>
      </c>
      <c r="W1019" s="82" t="s">
        <v>5560</v>
      </c>
      <c r="X1019" s="80" t="str">
        <f>HYPERLINK("https://www.freeclassificados.com/ads/invista-no-seu-negocio-com-a-rio-emabalagens/")</f>
        <v>https://www.freeclassificados.com/ads/invista-no-seu-negocio-com-a-rio-emabalagens/</v>
      </c>
      <c r="Y1019" s="77" t="s">
        <v>7308</v>
      </c>
      <c r="Z1019" s="77"/>
      <c r="AA1019" s="77"/>
      <c r="AB1019" s="77"/>
      <c r="AC1019" s="82" t="s">
        <v>10155</v>
      </c>
      <c r="AD1019" s="77" t="s">
        <v>10184</v>
      </c>
      <c r="AE1019" s="80" t="str">
        <f>HYPERLINK("https://twitter.com/freeclassific/status/1657006766956355584")</f>
        <v>https://twitter.com/freeclassific/status/1657006766956355584</v>
      </c>
      <c r="AF1019" s="79">
        <v>45058.539039351854</v>
      </c>
      <c r="AG1019" s="85">
        <v>45058</v>
      </c>
      <c r="AH1019" s="82" t="s">
        <v>11170</v>
      </c>
      <c r="AI1019" s="77" t="b">
        <v>0</v>
      </c>
      <c r="AJ1019" s="77"/>
      <c r="AK1019" s="77"/>
      <c r="AL1019" s="77"/>
      <c r="AM1019" s="77"/>
      <c r="AN1019" s="77"/>
      <c r="AO1019" s="77"/>
      <c r="AP1019" s="77"/>
      <c r="AQ1019" s="77"/>
      <c r="AR1019" s="77"/>
      <c r="AS1019" s="77"/>
      <c r="AT1019" s="77"/>
      <c r="AU1019" s="77"/>
      <c r="AV1019" s="80" t="str">
        <f>HYPERLINK("https://pbs.twimg.com/profile_images/1431648743728852993/tLJ7F5Lu_normal.png")</f>
        <v>https://pbs.twimg.com/profile_images/1431648743728852993/tLJ7F5Lu_normal.png</v>
      </c>
      <c r="AW1019" s="82" t="s">
        <v>17792</v>
      </c>
      <c r="AX1019" s="82" t="s">
        <v>17792</v>
      </c>
      <c r="AY1019" s="77"/>
      <c r="AZ1019" s="82" t="s">
        <v>20971</v>
      </c>
      <c r="BA1019" s="82" t="s">
        <v>20971</v>
      </c>
      <c r="BB1019" s="82" t="s">
        <v>20971</v>
      </c>
      <c r="BC1019" s="82" t="s">
        <v>17792</v>
      </c>
      <c r="BD1019" s="77">
        <v>489723814</v>
      </c>
      <c r="BE1019" s="77"/>
      <c r="BF1019" s="77"/>
      <c r="BG1019" s="77"/>
      <c r="BH1019" s="77"/>
      <c r="BI1019" s="77"/>
    </row>
    <row r="1020" spans="1:61" x14ac:dyDescent="0.25">
      <c r="A1020" s="62" t="s">
        <v>418</v>
      </c>
      <c r="B1020" s="62" t="s">
        <v>418</v>
      </c>
      <c r="C1020" s="63"/>
      <c r="D1020" s="64"/>
      <c r="E1020" s="65"/>
      <c r="F1020" s="66"/>
      <c r="G1020" s="63"/>
      <c r="H1020" s="67"/>
      <c r="I1020" s="68"/>
      <c r="J1020" s="68"/>
      <c r="K1020" s="32"/>
      <c r="L1020" s="75">
        <v>1020</v>
      </c>
      <c r="M1020" s="75"/>
      <c r="N1020" s="70"/>
      <c r="O1020" s="77" t="s">
        <v>179</v>
      </c>
      <c r="P1020" s="79">
        <v>45057.998645833337</v>
      </c>
      <c r="Q1020" s="77" t="s">
        <v>2284</v>
      </c>
      <c r="R1020" s="77">
        <v>0</v>
      </c>
      <c r="S1020" s="77">
        <v>0</v>
      </c>
      <c r="T1020" s="77">
        <v>0</v>
      </c>
      <c r="U1020" s="77">
        <v>0</v>
      </c>
      <c r="V1020" s="77">
        <v>76</v>
      </c>
      <c r="W1020" s="82" t="s">
        <v>5560</v>
      </c>
      <c r="X1020" s="80" t="str">
        <f>HYPERLINK("https://www.freeclassificados.com/ads/contagem-leo-santos-locutor-comercial-gravacao-de-vinhetas-propagandas/")</f>
        <v>https://www.freeclassificados.com/ads/contagem-leo-santos-locutor-comercial-gravacao-de-vinhetas-propagandas/</v>
      </c>
      <c r="Y1020" s="77" t="s">
        <v>7308</v>
      </c>
      <c r="Z1020" s="77"/>
      <c r="AA1020" s="77"/>
      <c r="AB1020" s="77"/>
      <c r="AC1020" s="82" t="s">
        <v>10155</v>
      </c>
      <c r="AD1020" s="77" t="s">
        <v>10184</v>
      </c>
      <c r="AE1020" s="80" t="str">
        <f>HYPERLINK("https://twitter.com/freeclassific/status/1656810935913451520")</f>
        <v>https://twitter.com/freeclassific/status/1656810935913451520</v>
      </c>
      <c r="AF1020" s="79">
        <v>45057.998645833337</v>
      </c>
      <c r="AG1020" s="85">
        <v>45057</v>
      </c>
      <c r="AH1020" s="82" t="s">
        <v>11171</v>
      </c>
      <c r="AI1020" s="77" t="b">
        <v>0</v>
      </c>
      <c r="AJ1020" s="77"/>
      <c r="AK1020" s="77"/>
      <c r="AL1020" s="77"/>
      <c r="AM1020" s="77"/>
      <c r="AN1020" s="77"/>
      <c r="AO1020" s="77"/>
      <c r="AP1020" s="77"/>
      <c r="AQ1020" s="77"/>
      <c r="AR1020" s="77"/>
      <c r="AS1020" s="77"/>
      <c r="AT1020" s="77"/>
      <c r="AU1020" s="77"/>
      <c r="AV1020" s="80" t="str">
        <f>HYPERLINK("https://pbs.twimg.com/profile_images/1431648743728852993/tLJ7F5Lu_normal.png")</f>
        <v>https://pbs.twimg.com/profile_images/1431648743728852993/tLJ7F5Lu_normal.png</v>
      </c>
      <c r="AW1020" s="82" t="s">
        <v>17793</v>
      </c>
      <c r="AX1020" s="82" t="s">
        <v>17793</v>
      </c>
      <c r="AY1020" s="77"/>
      <c r="AZ1020" s="82" t="s">
        <v>20971</v>
      </c>
      <c r="BA1020" s="82" t="s">
        <v>20971</v>
      </c>
      <c r="BB1020" s="82" t="s">
        <v>20971</v>
      </c>
      <c r="BC1020" s="82" t="s">
        <v>17793</v>
      </c>
      <c r="BD1020" s="77">
        <v>489723814</v>
      </c>
      <c r="BE1020" s="77"/>
      <c r="BF1020" s="77"/>
      <c r="BG1020" s="77"/>
      <c r="BH1020" s="77"/>
      <c r="BI1020" s="77"/>
    </row>
    <row r="1021" spans="1:61" x14ac:dyDescent="0.25">
      <c r="A1021" s="62" t="s">
        <v>418</v>
      </c>
      <c r="B1021" s="62" t="s">
        <v>418</v>
      </c>
      <c r="C1021" s="63"/>
      <c r="D1021" s="64"/>
      <c r="E1021" s="65"/>
      <c r="F1021" s="66"/>
      <c r="G1021" s="63"/>
      <c r="H1021" s="67"/>
      <c r="I1021" s="68"/>
      <c r="J1021" s="68"/>
      <c r="K1021" s="32"/>
      <c r="L1021" s="75">
        <v>1021</v>
      </c>
      <c r="M1021" s="75"/>
      <c r="N1021" s="70"/>
      <c r="O1021" s="77" t="s">
        <v>179</v>
      </c>
      <c r="P1021" s="79">
        <v>45057.83798611111</v>
      </c>
      <c r="Q1021" s="77" t="s">
        <v>2285</v>
      </c>
      <c r="R1021" s="77">
        <v>0</v>
      </c>
      <c r="S1021" s="77">
        <v>0</v>
      </c>
      <c r="T1021" s="77">
        <v>0</v>
      </c>
      <c r="U1021" s="77">
        <v>0</v>
      </c>
      <c r="V1021" s="77">
        <v>16</v>
      </c>
      <c r="W1021" s="82" t="s">
        <v>5560</v>
      </c>
      <c r="X1021" s="80" t="str">
        <f>HYPERLINK("https://www.freeclassificados.com/ads/redutor-hidraulico-corpas/")</f>
        <v>https://www.freeclassificados.com/ads/redutor-hidraulico-corpas/</v>
      </c>
      <c r="Y1021" s="77" t="s">
        <v>7308</v>
      </c>
      <c r="Z1021" s="77"/>
      <c r="AA1021" s="77"/>
      <c r="AB1021" s="77"/>
      <c r="AC1021" s="82" t="s">
        <v>10155</v>
      </c>
      <c r="AD1021" s="77" t="s">
        <v>10184</v>
      </c>
      <c r="AE1021" s="80" t="str">
        <f>HYPERLINK("https://twitter.com/freeclassific/status/1656752712879599617")</f>
        <v>https://twitter.com/freeclassific/status/1656752712879599617</v>
      </c>
      <c r="AF1021" s="79">
        <v>45057.83798611111</v>
      </c>
      <c r="AG1021" s="85">
        <v>45057</v>
      </c>
      <c r="AH1021" s="82" t="s">
        <v>11172</v>
      </c>
      <c r="AI1021" s="77" t="b">
        <v>0</v>
      </c>
      <c r="AJ1021" s="77"/>
      <c r="AK1021" s="77"/>
      <c r="AL1021" s="77"/>
      <c r="AM1021" s="77"/>
      <c r="AN1021" s="77"/>
      <c r="AO1021" s="77"/>
      <c r="AP1021" s="77"/>
      <c r="AQ1021" s="77"/>
      <c r="AR1021" s="77"/>
      <c r="AS1021" s="77"/>
      <c r="AT1021" s="77"/>
      <c r="AU1021" s="77"/>
      <c r="AV1021" s="80" t="str">
        <f>HYPERLINK("https://pbs.twimg.com/profile_images/1431648743728852993/tLJ7F5Lu_normal.png")</f>
        <v>https://pbs.twimg.com/profile_images/1431648743728852993/tLJ7F5Lu_normal.png</v>
      </c>
      <c r="AW1021" s="82" t="s">
        <v>17794</v>
      </c>
      <c r="AX1021" s="82" t="s">
        <v>17794</v>
      </c>
      <c r="AY1021" s="77"/>
      <c r="AZ1021" s="82" t="s">
        <v>20971</v>
      </c>
      <c r="BA1021" s="82" t="s">
        <v>20971</v>
      </c>
      <c r="BB1021" s="82" t="s">
        <v>20971</v>
      </c>
      <c r="BC1021" s="82" t="s">
        <v>17794</v>
      </c>
      <c r="BD1021" s="77">
        <v>489723814</v>
      </c>
      <c r="BE1021" s="77"/>
      <c r="BF1021" s="77"/>
      <c r="BG1021" s="77"/>
      <c r="BH1021" s="77"/>
      <c r="BI1021" s="77"/>
    </row>
    <row r="1022" spans="1:61" x14ac:dyDescent="0.25">
      <c r="A1022" s="62" t="s">
        <v>418</v>
      </c>
      <c r="B1022" s="62" t="s">
        <v>418</v>
      </c>
      <c r="C1022" s="63"/>
      <c r="D1022" s="64"/>
      <c r="E1022" s="65"/>
      <c r="F1022" s="66"/>
      <c r="G1022" s="63"/>
      <c r="H1022" s="67"/>
      <c r="I1022" s="68"/>
      <c r="J1022" s="68"/>
      <c r="K1022" s="32"/>
      <c r="L1022" s="75">
        <v>1022</v>
      </c>
      <c r="M1022" s="75"/>
      <c r="N1022" s="70"/>
      <c r="O1022" s="77" t="s">
        <v>179</v>
      </c>
      <c r="P1022" s="79">
        <v>45057.83488425926</v>
      </c>
      <c r="Q1022" s="77" t="s">
        <v>2286</v>
      </c>
      <c r="R1022" s="77">
        <v>0</v>
      </c>
      <c r="S1022" s="77">
        <v>0</v>
      </c>
      <c r="T1022" s="77">
        <v>0</v>
      </c>
      <c r="U1022" s="77">
        <v>0</v>
      </c>
      <c r="V1022" s="77">
        <v>16</v>
      </c>
      <c r="W1022" s="82" t="s">
        <v>5560</v>
      </c>
      <c r="X1022" s="80" t="str">
        <f>HYPERLINK("https://www.freeclassificados.com/ads/tomadas-de-forca-2/")</f>
        <v>https://www.freeclassificados.com/ads/tomadas-de-forca-2/</v>
      </c>
      <c r="Y1022" s="77" t="s">
        <v>7308</v>
      </c>
      <c r="Z1022" s="77"/>
      <c r="AA1022" s="77"/>
      <c r="AB1022" s="77"/>
      <c r="AC1022" s="82" t="s">
        <v>10155</v>
      </c>
      <c r="AD1022" s="77" t="s">
        <v>10184</v>
      </c>
      <c r="AE1022" s="80" t="str">
        <f>HYPERLINK("https://twitter.com/freeclassific/status/1656751590106341377")</f>
        <v>https://twitter.com/freeclassific/status/1656751590106341377</v>
      </c>
      <c r="AF1022" s="79">
        <v>45057.83488425926</v>
      </c>
      <c r="AG1022" s="85">
        <v>45057</v>
      </c>
      <c r="AH1022" s="82" t="s">
        <v>11173</v>
      </c>
      <c r="AI1022" s="77" t="b">
        <v>0</v>
      </c>
      <c r="AJ1022" s="77"/>
      <c r="AK1022" s="77"/>
      <c r="AL1022" s="77"/>
      <c r="AM1022" s="77"/>
      <c r="AN1022" s="77"/>
      <c r="AO1022" s="77"/>
      <c r="AP1022" s="77"/>
      <c r="AQ1022" s="77"/>
      <c r="AR1022" s="77"/>
      <c r="AS1022" s="77"/>
      <c r="AT1022" s="77"/>
      <c r="AU1022" s="77"/>
      <c r="AV1022" s="80" t="str">
        <f>HYPERLINK("https://pbs.twimg.com/profile_images/1431648743728852993/tLJ7F5Lu_normal.png")</f>
        <v>https://pbs.twimg.com/profile_images/1431648743728852993/tLJ7F5Lu_normal.png</v>
      </c>
      <c r="AW1022" s="82" t="s">
        <v>17795</v>
      </c>
      <c r="AX1022" s="82" t="s">
        <v>17795</v>
      </c>
      <c r="AY1022" s="77"/>
      <c r="AZ1022" s="82" t="s">
        <v>20971</v>
      </c>
      <c r="BA1022" s="82" t="s">
        <v>20971</v>
      </c>
      <c r="BB1022" s="82" t="s">
        <v>20971</v>
      </c>
      <c r="BC1022" s="82" t="s">
        <v>17795</v>
      </c>
      <c r="BD1022" s="77">
        <v>489723814</v>
      </c>
      <c r="BE1022" s="77"/>
      <c r="BF1022" s="77"/>
      <c r="BG1022" s="77"/>
      <c r="BH1022" s="77"/>
      <c r="BI1022" s="77"/>
    </row>
    <row r="1023" spans="1:61" x14ac:dyDescent="0.25">
      <c r="A1023" s="62" t="s">
        <v>418</v>
      </c>
      <c r="B1023" s="62" t="s">
        <v>418</v>
      </c>
      <c r="C1023" s="63"/>
      <c r="D1023" s="64"/>
      <c r="E1023" s="65"/>
      <c r="F1023" s="66"/>
      <c r="G1023" s="63"/>
      <c r="H1023" s="67"/>
      <c r="I1023" s="68"/>
      <c r="J1023" s="68"/>
      <c r="K1023" s="32"/>
      <c r="L1023" s="75">
        <v>1023</v>
      </c>
      <c r="M1023" s="75"/>
      <c r="N1023" s="70"/>
      <c r="O1023" s="77" t="s">
        <v>179</v>
      </c>
      <c r="P1023" s="79">
        <v>45057.829212962963</v>
      </c>
      <c r="Q1023" s="77" t="s">
        <v>2287</v>
      </c>
      <c r="R1023" s="77">
        <v>0</v>
      </c>
      <c r="S1023" s="77">
        <v>0</v>
      </c>
      <c r="T1023" s="77">
        <v>0</v>
      </c>
      <c r="U1023" s="77">
        <v>0</v>
      </c>
      <c r="V1023" s="77">
        <v>14</v>
      </c>
      <c r="W1023" s="82" t="s">
        <v>5560</v>
      </c>
      <c r="X1023" s="80" t="str">
        <f>HYPERLINK("https://www.freeclassificados.com/ads/eixos-para-tomada-de-forca/")</f>
        <v>https://www.freeclassificados.com/ads/eixos-para-tomada-de-forca/</v>
      </c>
      <c r="Y1023" s="77" t="s">
        <v>7308</v>
      </c>
      <c r="Z1023" s="77"/>
      <c r="AA1023" s="77"/>
      <c r="AB1023" s="77"/>
      <c r="AC1023" s="82" t="s">
        <v>10155</v>
      </c>
      <c r="AD1023" s="77" t="s">
        <v>10184</v>
      </c>
      <c r="AE1023" s="80" t="str">
        <f>HYPERLINK("https://twitter.com/freeclassific/status/1656749535119675392")</f>
        <v>https://twitter.com/freeclassific/status/1656749535119675392</v>
      </c>
      <c r="AF1023" s="79">
        <v>45057.829212962963</v>
      </c>
      <c r="AG1023" s="85">
        <v>45057</v>
      </c>
      <c r="AH1023" s="82" t="s">
        <v>11174</v>
      </c>
      <c r="AI1023" s="77" t="b">
        <v>0</v>
      </c>
      <c r="AJ1023" s="77"/>
      <c r="AK1023" s="77"/>
      <c r="AL1023" s="77"/>
      <c r="AM1023" s="77"/>
      <c r="AN1023" s="77"/>
      <c r="AO1023" s="77"/>
      <c r="AP1023" s="77"/>
      <c r="AQ1023" s="77"/>
      <c r="AR1023" s="77"/>
      <c r="AS1023" s="77"/>
      <c r="AT1023" s="77"/>
      <c r="AU1023" s="77"/>
      <c r="AV1023" s="80" t="str">
        <f>HYPERLINK("https://pbs.twimg.com/profile_images/1431648743728852993/tLJ7F5Lu_normal.png")</f>
        <v>https://pbs.twimg.com/profile_images/1431648743728852993/tLJ7F5Lu_normal.png</v>
      </c>
      <c r="AW1023" s="82" t="s">
        <v>17796</v>
      </c>
      <c r="AX1023" s="82" t="s">
        <v>17796</v>
      </c>
      <c r="AY1023" s="77"/>
      <c r="AZ1023" s="82" t="s">
        <v>20971</v>
      </c>
      <c r="BA1023" s="82" t="s">
        <v>20971</v>
      </c>
      <c r="BB1023" s="82" t="s">
        <v>20971</v>
      </c>
      <c r="BC1023" s="82" t="s">
        <v>17796</v>
      </c>
      <c r="BD1023" s="77">
        <v>489723814</v>
      </c>
      <c r="BE1023" s="77"/>
      <c r="BF1023" s="77"/>
      <c r="BG1023" s="77"/>
      <c r="BH1023" s="77"/>
      <c r="BI1023" s="77"/>
    </row>
    <row r="1024" spans="1:61" x14ac:dyDescent="0.25">
      <c r="A1024" s="62" t="s">
        <v>418</v>
      </c>
      <c r="B1024" s="62" t="s">
        <v>418</v>
      </c>
      <c r="C1024" s="63"/>
      <c r="D1024" s="64"/>
      <c r="E1024" s="65"/>
      <c r="F1024" s="66"/>
      <c r="G1024" s="63"/>
      <c r="H1024" s="67"/>
      <c r="I1024" s="68"/>
      <c r="J1024" s="68"/>
      <c r="K1024" s="32"/>
      <c r="L1024" s="75">
        <v>1024</v>
      </c>
      <c r="M1024" s="75"/>
      <c r="N1024" s="70"/>
      <c r="O1024" s="77" t="s">
        <v>179</v>
      </c>
      <c r="P1024" s="79">
        <v>45057.777824074074</v>
      </c>
      <c r="Q1024" s="77" t="s">
        <v>2288</v>
      </c>
      <c r="R1024" s="77">
        <v>0</v>
      </c>
      <c r="S1024" s="77">
        <v>0</v>
      </c>
      <c r="T1024" s="77">
        <v>0</v>
      </c>
      <c r="U1024" s="77">
        <v>0</v>
      </c>
      <c r="V1024" s="77">
        <v>16</v>
      </c>
      <c r="W1024" s="82" t="s">
        <v>5560</v>
      </c>
      <c r="X1024" s="80" t="str">
        <f>HYPERLINK("https://www.freeclassificados.com/ads/produtos-personalizados-rio-embalagens/")</f>
        <v>https://www.freeclassificados.com/ads/produtos-personalizados-rio-embalagens/</v>
      </c>
      <c r="Y1024" s="77" t="s">
        <v>7308</v>
      </c>
      <c r="Z1024" s="77"/>
      <c r="AA1024" s="77"/>
      <c r="AB1024" s="77"/>
      <c r="AC1024" s="82" t="s">
        <v>10155</v>
      </c>
      <c r="AD1024" s="77" t="s">
        <v>10184</v>
      </c>
      <c r="AE1024" s="80" t="str">
        <f>HYPERLINK("https://twitter.com/freeclassific/status/1656730912107929603")</f>
        <v>https://twitter.com/freeclassific/status/1656730912107929603</v>
      </c>
      <c r="AF1024" s="79">
        <v>45057.777824074074</v>
      </c>
      <c r="AG1024" s="85">
        <v>45057</v>
      </c>
      <c r="AH1024" s="82" t="s">
        <v>11175</v>
      </c>
      <c r="AI1024" s="77" t="b">
        <v>0</v>
      </c>
      <c r="AJ1024" s="77"/>
      <c r="AK1024" s="77"/>
      <c r="AL1024" s="77"/>
      <c r="AM1024" s="77"/>
      <c r="AN1024" s="77"/>
      <c r="AO1024" s="77"/>
      <c r="AP1024" s="77"/>
      <c r="AQ1024" s="77"/>
      <c r="AR1024" s="77"/>
      <c r="AS1024" s="77"/>
      <c r="AT1024" s="77"/>
      <c r="AU1024" s="77"/>
      <c r="AV1024" s="80" t="str">
        <f>HYPERLINK("https://pbs.twimg.com/profile_images/1431648743728852993/tLJ7F5Lu_normal.png")</f>
        <v>https://pbs.twimg.com/profile_images/1431648743728852993/tLJ7F5Lu_normal.png</v>
      </c>
      <c r="AW1024" s="82" t="s">
        <v>17797</v>
      </c>
      <c r="AX1024" s="82" t="s">
        <v>17797</v>
      </c>
      <c r="AY1024" s="77"/>
      <c r="AZ1024" s="82" t="s">
        <v>20971</v>
      </c>
      <c r="BA1024" s="82" t="s">
        <v>20971</v>
      </c>
      <c r="BB1024" s="82" t="s">
        <v>20971</v>
      </c>
      <c r="BC1024" s="82" t="s">
        <v>17797</v>
      </c>
      <c r="BD1024" s="77">
        <v>489723814</v>
      </c>
      <c r="BE1024" s="77"/>
      <c r="BF1024" s="77"/>
      <c r="BG1024" s="77"/>
      <c r="BH1024" s="77"/>
      <c r="BI1024" s="77"/>
    </row>
    <row r="1025" spans="1:61" x14ac:dyDescent="0.25">
      <c r="A1025" s="62" t="s">
        <v>418</v>
      </c>
      <c r="B1025" s="62" t="s">
        <v>418</v>
      </c>
      <c r="C1025" s="63"/>
      <c r="D1025" s="64"/>
      <c r="E1025" s="65"/>
      <c r="F1025" s="66"/>
      <c r="G1025" s="63"/>
      <c r="H1025" s="67"/>
      <c r="I1025" s="68"/>
      <c r="J1025" s="68"/>
      <c r="K1025" s="32"/>
      <c r="L1025" s="75">
        <v>1025</v>
      </c>
      <c r="M1025" s="75"/>
      <c r="N1025" s="70"/>
      <c r="O1025" s="77" t="s">
        <v>179</v>
      </c>
      <c r="P1025" s="79">
        <v>45057.703483796293</v>
      </c>
      <c r="Q1025" s="77" t="s">
        <v>2289</v>
      </c>
      <c r="R1025" s="77">
        <v>0</v>
      </c>
      <c r="S1025" s="77">
        <v>0</v>
      </c>
      <c r="T1025" s="77">
        <v>0</v>
      </c>
      <c r="U1025" s="77">
        <v>0</v>
      </c>
      <c r="V1025" s="77">
        <v>14</v>
      </c>
      <c r="W1025" s="82" t="s">
        <v>5560</v>
      </c>
      <c r="X1025" s="80" t="str">
        <f>HYPERLINK("https://www.freeclassificados.com/ads/detetive-particular-agencia-de-detetives/")</f>
        <v>https://www.freeclassificados.com/ads/detetive-particular-agencia-de-detetives/</v>
      </c>
      <c r="Y1025" s="77" t="s">
        <v>7308</v>
      </c>
      <c r="Z1025" s="77"/>
      <c r="AA1025" s="77"/>
      <c r="AB1025" s="77"/>
      <c r="AC1025" s="82" t="s">
        <v>10155</v>
      </c>
      <c r="AD1025" s="77" t="s">
        <v>10184</v>
      </c>
      <c r="AE1025" s="80" t="str">
        <f>HYPERLINK("https://twitter.com/freeclassific/status/1656703969778081792")</f>
        <v>https://twitter.com/freeclassific/status/1656703969778081792</v>
      </c>
      <c r="AF1025" s="79">
        <v>45057.703483796293</v>
      </c>
      <c r="AG1025" s="85">
        <v>45057</v>
      </c>
      <c r="AH1025" s="82" t="s">
        <v>11176</v>
      </c>
      <c r="AI1025" s="77" t="b">
        <v>0</v>
      </c>
      <c r="AJ1025" s="77"/>
      <c r="AK1025" s="77"/>
      <c r="AL1025" s="77"/>
      <c r="AM1025" s="77"/>
      <c r="AN1025" s="77"/>
      <c r="AO1025" s="77"/>
      <c r="AP1025" s="77"/>
      <c r="AQ1025" s="77"/>
      <c r="AR1025" s="77"/>
      <c r="AS1025" s="77"/>
      <c r="AT1025" s="77"/>
      <c r="AU1025" s="77"/>
      <c r="AV1025" s="80" t="str">
        <f>HYPERLINK("https://pbs.twimg.com/profile_images/1431648743728852993/tLJ7F5Lu_normal.png")</f>
        <v>https://pbs.twimg.com/profile_images/1431648743728852993/tLJ7F5Lu_normal.png</v>
      </c>
      <c r="AW1025" s="82" t="s">
        <v>17798</v>
      </c>
      <c r="AX1025" s="82" t="s">
        <v>17798</v>
      </c>
      <c r="AY1025" s="77"/>
      <c r="AZ1025" s="82" t="s">
        <v>20971</v>
      </c>
      <c r="BA1025" s="82" t="s">
        <v>20971</v>
      </c>
      <c r="BB1025" s="82" t="s">
        <v>20971</v>
      </c>
      <c r="BC1025" s="82" t="s">
        <v>17798</v>
      </c>
      <c r="BD1025" s="77">
        <v>489723814</v>
      </c>
      <c r="BE1025" s="77"/>
      <c r="BF1025" s="77"/>
      <c r="BG1025" s="77"/>
      <c r="BH1025" s="77"/>
      <c r="BI1025" s="77"/>
    </row>
    <row r="1026" spans="1:61" x14ac:dyDescent="0.25">
      <c r="A1026" s="62" t="s">
        <v>418</v>
      </c>
      <c r="B1026" s="62" t="s">
        <v>418</v>
      </c>
      <c r="C1026" s="63"/>
      <c r="D1026" s="64"/>
      <c r="E1026" s="65"/>
      <c r="F1026" s="66"/>
      <c r="G1026" s="63"/>
      <c r="H1026" s="67"/>
      <c r="I1026" s="68"/>
      <c r="J1026" s="68"/>
      <c r="K1026" s="32"/>
      <c r="L1026" s="75">
        <v>1026</v>
      </c>
      <c r="M1026" s="75"/>
      <c r="N1026" s="70"/>
      <c r="O1026" s="77" t="s">
        <v>179</v>
      </c>
      <c r="P1026" s="79">
        <v>45057.679085648146</v>
      </c>
      <c r="Q1026" s="77" t="s">
        <v>2290</v>
      </c>
      <c r="R1026" s="77">
        <v>0</v>
      </c>
      <c r="S1026" s="77">
        <v>0</v>
      </c>
      <c r="T1026" s="77">
        <v>0</v>
      </c>
      <c r="U1026" s="77">
        <v>0</v>
      </c>
      <c r="V1026" s="77">
        <v>23</v>
      </c>
      <c r="W1026" s="82" t="s">
        <v>5560</v>
      </c>
      <c r="X1026" s="80" t="str">
        <f>HYPERLINK("https://www.freeclassificados.com/ads/uberlandia-leo-santos-locutor-comercial-vinhetas-gravacao-de-propagandas/")</f>
        <v>https://www.freeclassificados.com/ads/uberlandia-leo-santos-locutor-comercial-vinhetas-gravacao-de-propagandas/</v>
      </c>
      <c r="Y1026" s="77" t="s">
        <v>7308</v>
      </c>
      <c r="Z1026" s="77"/>
      <c r="AA1026" s="77"/>
      <c r="AB1026" s="77"/>
      <c r="AC1026" s="82" t="s">
        <v>10155</v>
      </c>
      <c r="AD1026" s="77" t="s">
        <v>10184</v>
      </c>
      <c r="AE1026" s="80" t="str">
        <f>HYPERLINK("https://twitter.com/freeclassific/status/1656695127937814528")</f>
        <v>https://twitter.com/freeclassific/status/1656695127937814528</v>
      </c>
      <c r="AF1026" s="79">
        <v>45057.679085648146</v>
      </c>
      <c r="AG1026" s="85">
        <v>45057</v>
      </c>
      <c r="AH1026" s="82" t="s">
        <v>11177</v>
      </c>
      <c r="AI1026" s="77" t="b">
        <v>0</v>
      </c>
      <c r="AJ1026" s="77"/>
      <c r="AK1026" s="77"/>
      <c r="AL1026" s="77"/>
      <c r="AM1026" s="77"/>
      <c r="AN1026" s="77"/>
      <c r="AO1026" s="77"/>
      <c r="AP1026" s="77"/>
      <c r="AQ1026" s="77"/>
      <c r="AR1026" s="77"/>
      <c r="AS1026" s="77"/>
      <c r="AT1026" s="77"/>
      <c r="AU1026" s="77"/>
      <c r="AV1026" s="80" t="str">
        <f>HYPERLINK("https://pbs.twimg.com/profile_images/1431648743728852993/tLJ7F5Lu_normal.png")</f>
        <v>https://pbs.twimg.com/profile_images/1431648743728852993/tLJ7F5Lu_normal.png</v>
      </c>
      <c r="AW1026" s="82" t="s">
        <v>17799</v>
      </c>
      <c r="AX1026" s="82" t="s">
        <v>17799</v>
      </c>
      <c r="AY1026" s="77"/>
      <c r="AZ1026" s="82" t="s">
        <v>20971</v>
      </c>
      <c r="BA1026" s="82" t="s">
        <v>20971</v>
      </c>
      <c r="BB1026" s="82" t="s">
        <v>20971</v>
      </c>
      <c r="BC1026" s="82" t="s">
        <v>17799</v>
      </c>
      <c r="BD1026" s="77">
        <v>489723814</v>
      </c>
      <c r="BE1026" s="77"/>
      <c r="BF1026" s="77"/>
      <c r="BG1026" s="77"/>
      <c r="BH1026" s="77"/>
      <c r="BI1026" s="77"/>
    </row>
    <row r="1027" spans="1:61" x14ac:dyDescent="0.25">
      <c r="A1027" s="62" t="s">
        <v>418</v>
      </c>
      <c r="B1027" s="62" t="s">
        <v>418</v>
      </c>
      <c r="C1027" s="63"/>
      <c r="D1027" s="64"/>
      <c r="E1027" s="65"/>
      <c r="F1027" s="66"/>
      <c r="G1027" s="63"/>
      <c r="H1027" s="67"/>
      <c r="I1027" s="68"/>
      <c r="J1027" s="68"/>
      <c r="K1027" s="32"/>
      <c r="L1027" s="75">
        <v>1027</v>
      </c>
      <c r="M1027" s="75"/>
      <c r="N1027" s="70"/>
      <c r="O1027" s="77" t="s">
        <v>179</v>
      </c>
      <c r="P1027" s="79">
        <v>45033.799363425926</v>
      </c>
      <c r="Q1027" s="77" t="s">
        <v>2291</v>
      </c>
      <c r="R1027" s="77">
        <v>0</v>
      </c>
      <c r="S1027" s="77">
        <v>0</v>
      </c>
      <c r="T1027" s="77">
        <v>0</v>
      </c>
      <c r="U1027" s="77">
        <v>0</v>
      </c>
      <c r="V1027" s="77">
        <v>15</v>
      </c>
      <c r="W1027" s="82" t="s">
        <v>5335</v>
      </c>
      <c r="X1027" s="80" t="str">
        <f>HYPERLINK("https://www.freeclassificados.com/ads/limpeza-da-sua-caixa-dagua-com-qualidade/")</f>
        <v>https://www.freeclassificados.com/ads/limpeza-da-sua-caixa-dagua-com-qualidade/</v>
      </c>
      <c r="Y1027" s="77" t="s">
        <v>7308</v>
      </c>
      <c r="Z1027" s="77"/>
      <c r="AA1027" s="77"/>
      <c r="AB1027" s="77"/>
      <c r="AC1027" s="82" t="s">
        <v>10155</v>
      </c>
      <c r="AD1027" s="77" t="s">
        <v>10184</v>
      </c>
      <c r="AE1027" s="80" t="str">
        <f>HYPERLINK("https://twitter.com/freeclassific/status/1648041406693523456")</f>
        <v>https://twitter.com/freeclassific/status/1648041406693523456</v>
      </c>
      <c r="AF1027" s="79">
        <v>45033.799363425926</v>
      </c>
      <c r="AG1027" s="85">
        <v>45033</v>
      </c>
      <c r="AH1027" s="82" t="s">
        <v>11178</v>
      </c>
      <c r="AI1027" s="77" t="b">
        <v>0</v>
      </c>
      <c r="AJ1027" s="77"/>
      <c r="AK1027" s="77"/>
      <c r="AL1027" s="77"/>
      <c r="AM1027" s="77"/>
      <c r="AN1027" s="77"/>
      <c r="AO1027" s="77"/>
      <c r="AP1027" s="77"/>
      <c r="AQ1027" s="77"/>
      <c r="AR1027" s="77"/>
      <c r="AS1027" s="77"/>
      <c r="AT1027" s="77"/>
      <c r="AU1027" s="77"/>
      <c r="AV1027" s="80" t="str">
        <f>HYPERLINK("https://pbs.twimg.com/profile_images/1431648743728852993/tLJ7F5Lu_normal.png")</f>
        <v>https://pbs.twimg.com/profile_images/1431648743728852993/tLJ7F5Lu_normal.png</v>
      </c>
      <c r="AW1027" s="82" t="s">
        <v>17800</v>
      </c>
      <c r="AX1027" s="82" t="s">
        <v>17800</v>
      </c>
      <c r="AY1027" s="77"/>
      <c r="AZ1027" s="82" t="s">
        <v>20971</v>
      </c>
      <c r="BA1027" s="82" t="s">
        <v>20971</v>
      </c>
      <c r="BB1027" s="82" t="s">
        <v>20971</v>
      </c>
      <c r="BC1027" s="82" t="s">
        <v>17800</v>
      </c>
      <c r="BD1027" s="77">
        <v>489723814</v>
      </c>
      <c r="BE1027" s="77"/>
      <c r="BF1027" s="77"/>
      <c r="BG1027" s="77"/>
      <c r="BH1027" s="77"/>
      <c r="BI1027" s="77"/>
    </row>
    <row r="1028" spans="1:61" x14ac:dyDescent="0.25">
      <c r="A1028" s="62" t="s">
        <v>418</v>
      </c>
      <c r="B1028" s="62" t="s">
        <v>418</v>
      </c>
      <c r="C1028" s="63"/>
      <c r="D1028" s="64"/>
      <c r="E1028" s="65"/>
      <c r="F1028" s="66"/>
      <c r="G1028" s="63"/>
      <c r="H1028" s="67"/>
      <c r="I1028" s="68"/>
      <c r="J1028" s="68"/>
      <c r="K1028" s="32"/>
      <c r="L1028" s="75">
        <v>1028</v>
      </c>
      <c r="M1028" s="75"/>
      <c r="N1028" s="70"/>
      <c r="O1028" s="77" t="s">
        <v>179</v>
      </c>
      <c r="P1028" s="79">
        <v>45033.628263888888</v>
      </c>
      <c r="Q1028" s="77" t="s">
        <v>2292</v>
      </c>
      <c r="R1028" s="77">
        <v>0</v>
      </c>
      <c r="S1028" s="77">
        <v>0</v>
      </c>
      <c r="T1028" s="77">
        <v>0</v>
      </c>
      <c r="U1028" s="77">
        <v>0</v>
      </c>
      <c r="V1028" s="77">
        <v>14</v>
      </c>
      <c r="W1028" s="82" t="s">
        <v>5335</v>
      </c>
      <c r="X1028" s="80" t="str">
        <f>HYPERLINK("https://www.freeclassificados.com/ads/decora-bubble-curso-de-baloes-passo-a-passo-do-basico-ao-avancado/")</f>
        <v>https://www.freeclassificados.com/ads/decora-bubble-curso-de-baloes-passo-a-passo-do-basico-ao-avancado/</v>
      </c>
      <c r="Y1028" s="77" t="s">
        <v>7308</v>
      </c>
      <c r="Z1028" s="77"/>
      <c r="AA1028" s="77"/>
      <c r="AB1028" s="77"/>
      <c r="AC1028" s="82" t="s">
        <v>10155</v>
      </c>
      <c r="AD1028" s="77" t="s">
        <v>10184</v>
      </c>
      <c r="AE1028" s="80" t="str">
        <f>HYPERLINK("https://twitter.com/freeclassific/status/1647979404939890688")</f>
        <v>https://twitter.com/freeclassific/status/1647979404939890688</v>
      </c>
      <c r="AF1028" s="79">
        <v>45033.628263888888</v>
      </c>
      <c r="AG1028" s="85">
        <v>45033</v>
      </c>
      <c r="AH1028" s="82" t="s">
        <v>11179</v>
      </c>
      <c r="AI1028" s="77" t="b">
        <v>0</v>
      </c>
      <c r="AJ1028" s="77"/>
      <c r="AK1028" s="77"/>
      <c r="AL1028" s="77"/>
      <c r="AM1028" s="77"/>
      <c r="AN1028" s="77"/>
      <c r="AO1028" s="77"/>
      <c r="AP1028" s="77"/>
      <c r="AQ1028" s="77"/>
      <c r="AR1028" s="77"/>
      <c r="AS1028" s="77"/>
      <c r="AT1028" s="77"/>
      <c r="AU1028" s="77"/>
      <c r="AV1028" s="80" t="str">
        <f>HYPERLINK("https://pbs.twimg.com/profile_images/1431648743728852993/tLJ7F5Lu_normal.png")</f>
        <v>https://pbs.twimg.com/profile_images/1431648743728852993/tLJ7F5Lu_normal.png</v>
      </c>
      <c r="AW1028" s="82" t="s">
        <v>17801</v>
      </c>
      <c r="AX1028" s="82" t="s">
        <v>17801</v>
      </c>
      <c r="AY1028" s="77"/>
      <c r="AZ1028" s="82" t="s">
        <v>20971</v>
      </c>
      <c r="BA1028" s="82" t="s">
        <v>20971</v>
      </c>
      <c r="BB1028" s="82" t="s">
        <v>20971</v>
      </c>
      <c r="BC1028" s="82" t="s">
        <v>17801</v>
      </c>
      <c r="BD1028" s="77">
        <v>489723814</v>
      </c>
      <c r="BE1028" s="77"/>
      <c r="BF1028" s="77"/>
      <c r="BG1028" s="77"/>
      <c r="BH1028" s="77"/>
      <c r="BI1028" s="77"/>
    </row>
    <row r="1029" spans="1:61" x14ac:dyDescent="0.25">
      <c r="A1029" s="62" t="s">
        <v>418</v>
      </c>
      <c r="B1029" s="62" t="s">
        <v>418</v>
      </c>
      <c r="C1029" s="63"/>
      <c r="D1029" s="64"/>
      <c r="E1029" s="65"/>
      <c r="F1029" s="66"/>
      <c r="G1029" s="63"/>
      <c r="H1029" s="67"/>
      <c r="I1029" s="68"/>
      <c r="J1029" s="68"/>
      <c r="K1029" s="32"/>
      <c r="L1029" s="75">
        <v>1029</v>
      </c>
      <c r="M1029" s="75"/>
      <c r="N1029" s="70"/>
      <c r="O1029" s="77" t="s">
        <v>179</v>
      </c>
      <c r="P1029" s="79">
        <v>45033.520555555559</v>
      </c>
      <c r="Q1029" s="77" t="s">
        <v>1938</v>
      </c>
      <c r="R1029" s="77">
        <v>0</v>
      </c>
      <c r="S1029" s="77">
        <v>0</v>
      </c>
      <c r="T1029" s="77">
        <v>0</v>
      </c>
      <c r="U1029" s="77">
        <v>0</v>
      </c>
      <c r="V1029" s="77">
        <v>7</v>
      </c>
      <c r="W1029" s="82" t="s">
        <v>5335</v>
      </c>
      <c r="X1029" s="80" t="str">
        <f>HYPERLINK("https://www.freeclassificados.com/ads/palco-coberta-som-luz-alugo-palco-aluguel-tablado-de-vidro-palco-madeira-9-86-25-98-82/")</f>
        <v>https://www.freeclassificados.com/ads/palco-coberta-som-luz-alugo-palco-aluguel-tablado-de-vidro-palco-madeira-9-86-25-98-82/</v>
      </c>
      <c r="Y1029" s="77" t="s">
        <v>7308</v>
      </c>
      <c r="Z1029" s="77"/>
      <c r="AA1029" s="77"/>
      <c r="AB1029" s="77"/>
      <c r="AC1029" s="82" t="s">
        <v>10155</v>
      </c>
      <c r="AD1029" s="77" t="s">
        <v>10184</v>
      </c>
      <c r="AE1029" s="80" t="str">
        <f>HYPERLINK("https://twitter.com/freeclassific/status/1647940371736047617")</f>
        <v>https://twitter.com/freeclassific/status/1647940371736047617</v>
      </c>
      <c r="AF1029" s="79">
        <v>45033.520555555559</v>
      </c>
      <c r="AG1029" s="85">
        <v>45033</v>
      </c>
      <c r="AH1029" s="82" t="s">
        <v>11180</v>
      </c>
      <c r="AI1029" s="77" t="b">
        <v>0</v>
      </c>
      <c r="AJ1029" s="77"/>
      <c r="AK1029" s="77"/>
      <c r="AL1029" s="77"/>
      <c r="AM1029" s="77"/>
      <c r="AN1029" s="77"/>
      <c r="AO1029" s="77"/>
      <c r="AP1029" s="77"/>
      <c r="AQ1029" s="77"/>
      <c r="AR1029" s="77"/>
      <c r="AS1029" s="77"/>
      <c r="AT1029" s="77"/>
      <c r="AU1029" s="77"/>
      <c r="AV1029" s="80" t="str">
        <f>HYPERLINK("https://pbs.twimg.com/profile_images/1431648743728852993/tLJ7F5Lu_normal.png")</f>
        <v>https://pbs.twimg.com/profile_images/1431648743728852993/tLJ7F5Lu_normal.png</v>
      </c>
      <c r="AW1029" s="82" t="s">
        <v>17802</v>
      </c>
      <c r="AX1029" s="82" t="s">
        <v>17802</v>
      </c>
      <c r="AY1029" s="77"/>
      <c r="AZ1029" s="82" t="s">
        <v>20971</v>
      </c>
      <c r="BA1029" s="82" t="s">
        <v>20971</v>
      </c>
      <c r="BB1029" s="82" t="s">
        <v>20971</v>
      </c>
      <c r="BC1029" s="82" t="s">
        <v>17802</v>
      </c>
      <c r="BD1029" s="77">
        <v>489723814</v>
      </c>
      <c r="BE1029" s="77"/>
      <c r="BF1029" s="77"/>
      <c r="BG1029" s="77"/>
      <c r="BH1029" s="77"/>
      <c r="BI1029" s="77"/>
    </row>
    <row r="1030" spans="1:61" x14ac:dyDescent="0.25">
      <c r="A1030" s="62" t="s">
        <v>418</v>
      </c>
      <c r="B1030" s="62" t="s">
        <v>418</v>
      </c>
      <c r="C1030" s="63"/>
      <c r="D1030" s="64"/>
      <c r="E1030" s="65"/>
      <c r="F1030" s="66"/>
      <c r="G1030" s="63"/>
      <c r="H1030" s="67"/>
      <c r="I1030" s="68"/>
      <c r="J1030" s="68"/>
      <c r="K1030" s="32"/>
      <c r="L1030" s="75">
        <v>1030</v>
      </c>
      <c r="M1030" s="75"/>
      <c r="N1030" s="70"/>
      <c r="O1030" s="77" t="s">
        <v>179</v>
      </c>
      <c r="P1030" s="79">
        <v>45032.064768518518</v>
      </c>
      <c r="Q1030" s="77" t="s">
        <v>2293</v>
      </c>
      <c r="R1030" s="77">
        <v>0</v>
      </c>
      <c r="S1030" s="77">
        <v>0</v>
      </c>
      <c r="T1030" s="77">
        <v>0</v>
      </c>
      <c r="U1030" s="77">
        <v>0</v>
      </c>
      <c r="V1030" s="77">
        <v>14</v>
      </c>
      <c r="W1030" s="82" t="s">
        <v>5335</v>
      </c>
      <c r="X1030" s="80" t="str">
        <f>HYPERLINK("https://www.freeclassificados.com/ads/aplicativo-de-delivery/")</f>
        <v>https://www.freeclassificados.com/ads/aplicativo-de-delivery/</v>
      </c>
      <c r="Y1030" s="77" t="s">
        <v>7308</v>
      </c>
      <c r="Z1030" s="77"/>
      <c r="AA1030" s="77"/>
      <c r="AB1030" s="77"/>
      <c r="AC1030" s="82" t="s">
        <v>10155</v>
      </c>
      <c r="AD1030" s="77" t="s">
        <v>10187</v>
      </c>
      <c r="AE1030" s="80" t="str">
        <f>HYPERLINK("https://twitter.com/freeclassific/status/1647412811637866497")</f>
        <v>https://twitter.com/freeclassific/status/1647412811637866497</v>
      </c>
      <c r="AF1030" s="79">
        <v>45032.064768518518</v>
      </c>
      <c r="AG1030" s="85">
        <v>45032</v>
      </c>
      <c r="AH1030" s="82" t="s">
        <v>11181</v>
      </c>
      <c r="AI1030" s="77" t="b">
        <v>0</v>
      </c>
      <c r="AJ1030" s="77"/>
      <c r="AK1030" s="77"/>
      <c r="AL1030" s="77"/>
      <c r="AM1030" s="77"/>
      <c r="AN1030" s="77"/>
      <c r="AO1030" s="77"/>
      <c r="AP1030" s="77"/>
      <c r="AQ1030" s="77"/>
      <c r="AR1030" s="77"/>
      <c r="AS1030" s="77"/>
      <c r="AT1030" s="77"/>
      <c r="AU1030" s="77"/>
      <c r="AV1030" s="80" t="str">
        <f>HYPERLINK("https://pbs.twimg.com/profile_images/1431648743728852993/tLJ7F5Lu_normal.png")</f>
        <v>https://pbs.twimg.com/profile_images/1431648743728852993/tLJ7F5Lu_normal.png</v>
      </c>
      <c r="AW1030" s="82" t="s">
        <v>17803</v>
      </c>
      <c r="AX1030" s="82" t="s">
        <v>17803</v>
      </c>
      <c r="AY1030" s="77"/>
      <c r="AZ1030" s="82" t="s">
        <v>20971</v>
      </c>
      <c r="BA1030" s="82" t="s">
        <v>20971</v>
      </c>
      <c r="BB1030" s="82" t="s">
        <v>20971</v>
      </c>
      <c r="BC1030" s="82" t="s">
        <v>17803</v>
      </c>
      <c r="BD1030" s="77">
        <v>489723814</v>
      </c>
      <c r="BE1030" s="77"/>
      <c r="BF1030" s="77"/>
      <c r="BG1030" s="77"/>
      <c r="BH1030" s="77"/>
      <c r="BI1030" s="77"/>
    </row>
    <row r="1031" spans="1:61" x14ac:dyDescent="0.25">
      <c r="A1031" s="62" t="s">
        <v>418</v>
      </c>
      <c r="B1031" s="62" t="s">
        <v>418</v>
      </c>
      <c r="C1031" s="63"/>
      <c r="D1031" s="64"/>
      <c r="E1031" s="65"/>
      <c r="F1031" s="66"/>
      <c r="G1031" s="63"/>
      <c r="H1031" s="67"/>
      <c r="I1031" s="68"/>
      <c r="J1031" s="68"/>
      <c r="K1031" s="32"/>
      <c r="L1031" s="75">
        <v>1031</v>
      </c>
      <c r="M1031" s="75"/>
      <c r="N1031" s="70"/>
      <c r="O1031" s="77" t="s">
        <v>179</v>
      </c>
      <c r="P1031" s="79">
        <v>45009.587326388886</v>
      </c>
      <c r="Q1031" s="77" t="s">
        <v>1877</v>
      </c>
      <c r="R1031" s="77">
        <v>0</v>
      </c>
      <c r="S1031" s="77">
        <v>0</v>
      </c>
      <c r="T1031" s="77">
        <v>0</v>
      </c>
      <c r="U1031" s="77">
        <v>0</v>
      </c>
      <c r="V1031" s="77">
        <v>6</v>
      </c>
      <c r="W1031" s="82" t="s">
        <v>5335</v>
      </c>
      <c r="X1031" s="80" t="str">
        <f>HYPERLINK("https://www.freeclassificados.com/ads/palco-coberta-som-luz-alugo-palco-aluguel-tablado-de-vidro-palco-madeira-9-86-25-98-82/")</f>
        <v>https://www.freeclassificados.com/ads/palco-coberta-som-luz-alugo-palco-aluguel-tablado-de-vidro-palco-madeira-9-86-25-98-82/</v>
      </c>
      <c r="Y1031" s="77" t="s">
        <v>7308</v>
      </c>
      <c r="Z1031" s="77"/>
      <c r="AA1031" s="77"/>
      <c r="AB1031" s="77"/>
      <c r="AC1031" s="82" t="s">
        <v>10155</v>
      </c>
      <c r="AD1031" s="77" t="s">
        <v>10184</v>
      </c>
      <c r="AE1031" s="80" t="str">
        <f>HYPERLINK("https://twitter.com/freeclassific/status/1639267261545365509")</f>
        <v>https://twitter.com/freeclassific/status/1639267261545365509</v>
      </c>
      <c r="AF1031" s="79">
        <v>45009.587326388886</v>
      </c>
      <c r="AG1031" s="85">
        <v>45009</v>
      </c>
      <c r="AH1031" s="82" t="s">
        <v>11182</v>
      </c>
      <c r="AI1031" s="77" t="b">
        <v>0</v>
      </c>
      <c r="AJ1031" s="77"/>
      <c r="AK1031" s="77"/>
      <c r="AL1031" s="77"/>
      <c r="AM1031" s="77"/>
      <c r="AN1031" s="77"/>
      <c r="AO1031" s="77"/>
      <c r="AP1031" s="77"/>
      <c r="AQ1031" s="77"/>
      <c r="AR1031" s="77"/>
      <c r="AS1031" s="77"/>
      <c r="AT1031" s="77"/>
      <c r="AU1031" s="77"/>
      <c r="AV1031" s="80" t="str">
        <f>HYPERLINK("https://pbs.twimg.com/profile_images/1431648743728852993/tLJ7F5Lu_normal.png")</f>
        <v>https://pbs.twimg.com/profile_images/1431648743728852993/tLJ7F5Lu_normal.png</v>
      </c>
      <c r="AW1031" s="82" t="s">
        <v>17804</v>
      </c>
      <c r="AX1031" s="82" t="s">
        <v>17804</v>
      </c>
      <c r="AY1031" s="77"/>
      <c r="AZ1031" s="82" t="s">
        <v>20971</v>
      </c>
      <c r="BA1031" s="82" t="s">
        <v>20971</v>
      </c>
      <c r="BB1031" s="82" t="s">
        <v>20971</v>
      </c>
      <c r="BC1031" s="82" t="s">
        <v>17804</v>
      </c>
      <c r="BD1031" s="77">
        <v>489723814</v>
      </c>
      <c r="BE1031" s="77"/>
      <c r="BF1031" s="77"/>
      <c r="BG1031" s="77"/>
      <c r="BH1031" s="77"/>
      <c r="BI1031" s="77"/>
    </row>
    <row r="1032" spans="1:61" x14ac:dyDescent="0.25">
      <c r="A1032" s="62" t="s">
        <v>418</v>
      </c>
      <c r="B1032" s="62" t="s">
        <v>418</v>
      </c>
      <c r="C1032" s="63"/>
      <c r="D1032" s="64"/>
      <c r="E1032" s="65"/>
      <c r="F1032" s="66"/>
      <c r="G1032" s="63"/>
      <c r="H1032" s="67"/>
      <c r="I1032" s="68"/>
      <c r="J1032" s="68"/>
      <c r="K1032" s="32"/>
      <c r="L1032" s="75">
        <v>1032</v>
      </c>
      <c r="M1032" s="75"/>
      <c r="N1032" s="70"/>
      <c r="O1032" s="77" t="s">
        <v>179</v>
      </c>
      <c r="P1032" s="79">
        <v>45008.007303240738</v>
      </c>
      <c r="Q1032" s="77" t="s">
        <v>2294</v>
      </c>
      <c r="R1032" s="77">
        <v>0</v>
      </c>
      <c r="S1032" s="77">
        <v>0</v>
      </c>
      <c r="T1032" s="77">
        <v>0</v>
      </c>
      <c r="U1032" s="77">
        <v>0</v>
      </c>
      <c r="V1032" s="77">
        <v>14</v>
      </c>
      <c r="W1032" s="82" t="s">
        <v>5335</v>
      </c>
      <c r="X1032" s="80" t="str">
        <f>HYPERLINK("https://www.freeclassificados.com/ads/aprenda-a-tocar-cavaquinho-com-dudu-nobre/")</f>
        <v>https://www.freeclassificados.com/ads/aprenda-a-tocar-cavaquinho-com-dudu-nobre/</v>
      </c>
      <c r="Y1032" s="77" t="s">
        <v>7308</v>
      </c>
      <c r="Z1032" s="77"/>
      <c r="AA1032" s="77"/>
      <c r="AB1032" s="77"/>
      <c r="AC1032" s="82" t="s">
        <v>10155</v>
      </c>
      <c r="AD1032" s="77" t="s">
        <v>10184</v>
      </c>
      <c r="AE1032" s="80" t="str">
        <f>HYPERLINK("https://twitter.com/freeclassific/status/1638694677703712768")</f>
        <v>https://twitter.com/freeclassific/status/1638694677703712768</v>
      </c>
      <c r="AF1032" s="79">
        <v>45008.007303240738</v>
      </c>
      <c r="AG1032" s="85">
        <v>45008</v>
      </c>
      <c r="AH1032" s="82" t="s">
        <v>11183</v>
      </c>
      <c r="AI1032" s="77" t="b">
        <v>0</v>
      </c>
      <c r="AJ1032" s="77"/>
      <c r="AK1032" s="77"/>
      <c r="AL1032" s="77"/>
      <c r="AM1032" s="77"/>
      <c r="AN1032" s="77"/>
      <c r="AO1032" s="77"/>
      <c r="AP1032" s="77"/>
      <c r="AQ1032" s="77"/>
      <c r="AR1032" s="77"/>
      <c r="AS1032" s="77"/>
      <c r="AT1032" s="77"/>
      <c r="AU1032" s="77"/>
      <c r="AV1032" s="80" t="str">
        <f>HYPERLINK("https://pbs.twimg.com/profile_images/1431648743728852993/tLJ7F5Lu_normal.png")</f>
        <v>https://pbs.twimg.com/profile_images/1431648743728852993/tLJ7F5Lu_normal.png</v>
      </c>
      <c r="AW1032" s="82" t="s">
        <v>17805</v>
      </c>
      <c r="AX1032" s="82" t="s">
        <v>17805</v>
      </c>
      <c r="AY1032" s="77"/>
      <c r="AZ1032" s="82" t="s">
        <v>20971</v>
      </c>
      <c r="BA1032" s="82" t="s">
        <v>20971</v>
      </c>
      <c r="BB1032" s="82" t="s">
        <v>20971</v>
      </c>
      <c r="BC1032" s="82" t="s">
        <v>17805</v>
      </c>
      <c r="BD1032" s="77">
        <v>489723814</v>
      </c>
      <c r="BE1032" s="77"/>
      <c r="BF1032" s="77"/>
      <c r="BG1032" s="77"/>
      <c r="BH1032" s="77"/>
      <c r="BI1032" s="77"/>
    </row>
    <row r="1033" spans="1:61" x14ac:dyDescent="0.25">
      <c r="A1033" s="62" t="s">
        <v>418</v>
      </c>
      <c r="B1033" s="62" t="s">
        <v>418</v>
      </c>
      <c r="C1033" s="63"/>
      <c r="D1033" s="64"/>
      <c r="E1033" s="65"/>
      <c r="F1033" s="66"/>
      <c r="G1033" s="63"/>
      <c r="H1033" s="67"/>
      <c r="I1033" s="68"/>
      <c r="J1033" s="68"/>
      <c r="K1033" s="32"/>
      <c r="L1033" s="75">
        <v>1033</v>
      </c>
      <c r="M1033" s="75"/>
      <c r="N1033" s="70"/>
      <c r="O1033" s="77" t="s">
        <v>179</v>
      </c>
      <c r="P1033" s="79">
        <v>45007.991319444445</v>
      </c>
      <c r="Q1033" s="77" t="s">
        <v>2295</v>
      </c>
      <c r="R1033" s="77">
        <v>0</v>
      </c>
      <c r="S1033" s="77">
        <v>0</v>
      </c>
      <c r="T1033" s="77">
        <v>0</v>
      </c>
      <c r="U1033" s="77">
        <v>0</v>
      </c>
      <c r="V1033" s="77">
        <v>11</v>
      </c>
      <c r="W1033" s="82" t="s">
        <v>5335</v>
      </c>
      <c r="X1033" s="80" t="str">
        <f>HYPERLINK("https://www.freeclassificados.com/ads/guia-completo-para-lucrar-com-a-criacao-de-codornas/")</f>
        <v>https://www.freeclassificados.com/ads/guia-completo-para-lucrar-com-a-criacao-de-codornas/</v>
      </c>
      <c r="Y1033" s="77" t="s">
        <v>7308</v>
      </c>
      <c r="Z1033" s="77"/>
      <c r="AA1033" s="77"/>
      <c r="AB1033" s="77"/>
      <c r="AC1033" s="82" t="s">
        <v>10155</v>
      </c>
      <c r="AD1033" s="77" t="s">
        <v>10184</v>
      </c>
      <c r="AE1033" s="80" t="str">
        <f>HYPERLINK("https://twitter.com/freeclassific/status/1638688885852241922")</f>
        <v>https://twitter.com/freeclassific/status/1638688885852241922</v>
      </c>
      <c r="AF1033" s="79">
        <v>45007.991319444445</v>
      </c>
      <c r="AG1033" s="85">
        <v>45007</v>
      </c>
      <c r="AH1033" s="82" t="s">
        <v>11184</v>
      </c>
      <c r="AI1033" s="77" t="b">
        <v>0</v>
      </c>
      <c r="AJ1033" s="77"/>
      <c r="AK1033" s="77"/>
      <c r="AL1033" s="77"/>
      <c r="AM1033" s="77"/>
      <c r="AN1033" s="77"/>
      <c r="AO1033" s="77"/>
      <c r="AP1033" s="77"/>
      <c r="AQ1033" s="77"/>
      <c r="AR1033" s="77"/>
      <c r="AS1033" s="77"/>
      <c r="AT1033" s="77"/>
      <c r="AU1033" s="77"/>
      <c r="AV1033" s="80" t="str">
        <f>HYPERLINK("https://pbs.twimg.com/profile_images/1431648743728852993/tLJ7F5Lu_normal.png")</f>
        <v>https://pbs.twimg.com/profile_images/1431648743728852993/tLJ7F5Lu_normal.png</v>
      </c>
      <c r="AW1033" s="82" t="s">
        <v>17806</v>
      </c>
      <c r="AX1033" s="82" t="s">
        <v>17806</v>
      </c>
      <c r="AY1033" s="77"/>
      <c r="AZ1033" s="82" t="s">
        <v>20971</v>
      </c>
      <c r="BA1033" s="82" t="s">
        <v>20971</v>
      </c>
      <c r="BB1033" s="82" t="s">
        <v>20971</v>
      </c>
      <c r="BC1033" s="82" t="s">
        <v>17806</v>
      </c>
      <c r="BD1033" s="77">
        <v>489723814</v>
      </c>
      <c r="BE1033" s="77"/>
      <c r="BF1033" s="77"/>
      <c r="BG1033" s="77"/>
      <c r="BH1033" s="77"/>
      <c r="BI1033" s="77"/>
    </row>
    <row r="1034" spans="1:61" x14ac:dyDescent="0.25">
      <c r="A1034" s="62" t="s">
        <v>418</v>
      </c>
      <c r="B1034" s="62" t="s">
        <v>418</v>
      </c>
      <c r="C1034" s="63"/>
      <c r="D1034" s="64"/>
      <c r="E1034" s="65"/>
      <c r="F1034" s="66"/>
      <c r="G1034" s="63"/>
      <c r="H1034" s="67"/>
      <c r="I1034" s="68"/>
      <c r="J1034" s="68"/>
      <c r="K1034" s="32"/>
      <c r="L1034" s="75">
        <v>1034</v>
      </c>
      <c r="M1034" s="75"/>
      <c r="N1034" s="70"/>
      <c r="O1034" s="77" t="s">
        <v>179</v>
      </c>
      <c r="P1034" s="79">
        <v>45007.634409722225</v>
      </c>
      <c r="Q1034" s="77" t="s">
        <v>2296</v>
      </c>
      <c r="R1034" s="77">
        <v>0</v>
      </c>
      <c r="S1034" s="77">
        <v>0</v>
      </c>
      <c r="T1034" s="77">
        <v>0</v>
      </c>
      <c r="U1034" s="77">
        <v>0</v>
      </c>
      <c r="V1034" s="77">
        <v>7</v>
      </c>
      <c r="W1034" s="82" t="s">
        <v>5335</v>
      </c>
      <c r="X1034" s="80" t="str">
        <f>HYPERLINK("https://www.freeclassificados.com/ads/tomadas-de-forca/")</f>
        <v>https://www.freeclassificados.com/ads/tomadas-de-forca/</v>
      </c>
      <c r="Y1034" s="77" t="s">
        <v>7308</v>
      </c>
      <c r="Z1034" s="77"/>
      <c r="AA1034" s="77"/>
      <c r="AB1034" s="77"/>
      <c r="AC1034" s="82" t="s">
        <v>10155</v>
      </c>
      <c r="AD1034" s="77" t="s">
        <v>10184</v>
      </c>
      <c r="AE1034" s="80" t="str">
        <f>HYPERLINK("https://twitter.com/freeclassific/status/1638559544765984768")</f>
        <v>https://twitter.com/freeclassific/status/1638559544765984768</v>
      </c>
      <c r="AF1034" s="79">
        <v>45007.634409722225</v>
      </c>
      <c r="AG1034" s="85">
        <v>45007</v>
      </c>
      <c r="AH1034" s="82" t="s">
        <v>11185</v>
      </c>
      <c r="AI1034" s="77" t="b">
        <v>0</v>
      </c>
      <c r="AJ1034" s="77"/>
      <c r="AK1034" s="77"/>
      <c r="AL1034" s="77"/>
      <c r="AM1034" s="77"/>
      <c r="AN1034" s="77"/>
      <c r="AO1034" s="77"/>
      <c r="AP1034" s="77"/>
      <c r="AQ1034" s="77"/>
      <c r="AR1034" s="77"/>
      <c r="AS1034" s="77"/>
      <c r="AT1034" s="77"/>
      <c r="AU1034" s="77"/>
      <c r="AV1034" s="80" t="str">
        <f>HYPERLINK("https://pbs.twimg.com/profile_images/1431648743728852993/tLJ7F5Lu_normal.png")</f>
        <v>https://pbs.twimg.com/profile_images/1431648743728852993/tLJ7F5Lu_normal.png</v>
      </c>
      <c r="AW1034" s="82" t="s">
        <v>17807</v>
      </c>
      <c r="AX1034" s="82" t="s">
        <v>17807</v>
      </c>
      <c r="AY1034" s="77"/>
      <c r="AZ1034" s="82" t="s">
        <v>20971</v>
      </c>
      <c r="BA1034" s="82" t="s">
        <v>20971</v>
      </c>
      <c r="BB1034" s="82" t="s">
        <v>20971</v>
      </c>
      <c r="BC1034" s="82" t="s">
        <v>17807</v>
      </c>
      <c r="BD1034" s="77">
        <v>489723814</v>
      </c>
      <c r="BE1034" s="77"/>
      <c r="BF1034" s="77"/>
      <c r="BG1034" s="77"/>
      <c r="BH1034" s="77"/>
      <c r="BI1034" s="77"/>
    </row>
    <row r="1035" spans="1:61" x14ac:dyDescent="0.25">
      <c r="A1035" s="62" t="s">
        <v>418</v>
      </c>
      <c r="B1035" s="62" t="s">
        <v>418</v>
      </c>
      <c r="C1035" s="63"/>
      <c r="D1035" s="64"/>
      <c r="E1035" s="65"/>
      <c r="F1035" s="66"/>
      <c r="G1035" s="63"/>
      <c r="H1035" s="67"/>
      <c r="I1035" s="68"/>
      <c r="J1035" s="68"/>
      <c r="K1035" s="32"/>
      <c r="L1035" s="75">
        <v>1035</v>
      </c>
      <c r="M1035" s="75"/>
      <c r="N1035" s="70"/>
      <c r="O1035" s="77" t="s">
        <v>179</v>
      </c>
      <c r="P1035" s="79">
        <v>45007.551145833335</v>
      </c>
      <c r="Q1035" s="77" t="s">
        <v>2297</v>
      </c>
      <c r="R1035" s="77">
        <v>0</v>
      </c>
      <c r="S1035" s="77">
        <v>0</v>
      </c>
      <c r="T1035" s="77">
        <v>0</v>
      </c>
      <c r="U1035" s="77">
        <v>0</v>
      </c>
      <c r="V1035" s="77">
        <v>11</v>
      </c>
      <c r="W1035" s="82" t="s">
        <v>5335</v>
      </c>
      <c r="X1035" s="80" t="str">
        <f>HYPERLINK("https://www.freeclassificados.com/ads/diploma-reconhecido/")</f>
        <v>https://www.freeclassificados.com/ads/diploma-reconhecido/</v>
      </c>
      <c r="Y1035" s="77" t="s">
        <v>7308</v>
      </c>
      <c r="Z1035" s="77"/>
      <c r="AA1035" s="77"/>
      <c r="AB1035" s="77"/>
      <c r="AC1035" s="82" t="s">
        <v>10155</v>
      </c>
      <c r="AD1035" s="77" t="s">
        <v>10184</v>
      </c>
      <c r="AE1035" s="80" t="str">
        <f>HYPERLINK("https://twitter.com/freeclassific/status/1638529373539291136")</f>
        <v>https://twitter.com/freeclassific/status/1638529373539291136</v>
      </c>
      <c r="AF1035" s="79">
        <v>45007.551145833335</v>
      </c>
      <c r="AG1035" s="85">
        <v>45007</v>
      </c>
      <c r="AH1035" s="82" t="s">
        <v>11186</v>
      </c>
      <c r="AI1035" s="77" t="b">
        <v>0</v>
      </c>
      <c r="AJ1035" s="77"/>
      <c r="AK1035" s="77"/>
      <c r="AL1035" s="77"/>
      <c r="AM1035" s="77"/>
      <c r="AN1035" s="77"/>
      <c r="AO1035" s="77"/>
      <c r="AP1035" s="77"/>
      <c r="AQ1035" s="77"/>
      <c r="AR1035" s="77"/>
      <c r="AS1035" s="77"/>
      <c r="AT1035" s="77"/>
      <c r="AU1035" s="77"/>
      <c r="AV1035" s="80" t="str">
        <f>HYPERLINK("https://pbs.twimg.com/profile_images/1431648743728852993/tLJ7F5Lu_normal.png")</f>
        <v>https://pbs.twimg.com/profile_images/1431648743728852993/tLJ7F5Lu_normal.png</v>
      </c>
      <c r="AW1035" s="82" t="s">
        <v>17808</v>
      </c>
      <c r="AX1035" s="82" t="s">
        <v>17808</v>
      </c>
      <c r="AY1035" s="77"/>
      <c r="AZ1035" s="82" t="s">
        <v>20971</v>
      </c>
      <c r="BA1035" s="82" t="s">
        <v>20971</v>
      </c>
      <c r="BB1035" s="82" t="s">
        <v>20971</v>
      </c>
      <c r="BC1035" s="82" t="s">
        <v>17808</v>
      </c>
      <c r="BD1035" s="77">
        <v>489723814</v>
      </c>
      <c r="BE1035" s="77"/>
      <c r="BF1035" s="77"/>
      <c r="BG1035" s="77"/>
      <c r="BH1035" s="77"/>
      <c r="BI1035" s="77"/>
    </row>
    <row r="1036" spans="1:61" x14ac:dyDescent="0.25">
      <c r="A1036" s="62" t="s">
        <v>418</v>
      </c>
      <c r="B1036" s="62" t="s">
        <v>418</v>
      </c>
      <c r="C1036" s="63"/>
      <c r="D1036" s="64"/>
      <c r="E1036" s="65"/>
      <c r="F1036" s="66"/>
      <c r="G1036" s="63"/>
      <c r="H1036" s="67"/>
      <c r="I1036" s="68"/>
      <c r="J1036" s="68"/>
      <c r="K1036" s="32"/>
      <c r="L1036" s="75">
        <v>1036</v>
      </c>
      <c r="M1036" s="75"/>
      <c r="N1036" s="70"/>
      <c r="O1036" s="77" t="s">
        <v>179</v>
      </c>
      <c r="P1036" s="79">
        <v>45007.548657407409</v>
      </c>
      <c r="Q1036" s="77" t="s">
        <v>2298</v>
      </c>
      <c r="R1036" s="77">
        <v>0</v>
      </c>
      <c r="S1036" s="77">
        <v>0</v>
      </c>
      <c r="T1036" s="77">
        <v>0</v>
      </c>
      <c r="U1036" s="77">
        <v>0</v>
      </c>
      <c r="V1036" s="77">
        <v>8</v>
      </c>
      <c r="W1036" s="82" t="s">
        <v>5335</v>
      </c>
      <c r="X1036" s="80" t="str">
        <f>HYPERLINK("https://www.freeclassificados.com/ads/cursos-universitario-ead-sem-pagar-antecipado/")</f>
        <v>https://www.freeclassificados.com/ads/cursos-universitario-ead-sem-pagar-antecipado/</v>
      </c>
      <c r="Y1036" s="77" t="s">
        <v>7308</v>
      </c>
      <c r="Z1036" s="77"/>
      <c r="AA1036" s="77"/>
      <c r="AB1036" s="77"/>
      <c r="AC1036" s="82" t="s">
        <v>10155</v>
      </c>
      <c r="AD1036" s="77" t="s">
        <v>10184</v>
      </c>
      <c r="AE1036" s="80" t="str">
        <f>HYPERLINK("https://twitter.com/freeclassific/status/1638528469192830978")</f>
        <v>https://twitter.com/freeclassific/status/1638528469192830978</v>
      </c>
      <c r="AF1036" s="79">
        <v>45007.548657407409</v>
      </c>
      <c r="AG1036" s="85">
        <v>45007</v>
      </c>
      <c r="AH1036" s="82" t="s">
        <v>11187</v>
      </c>
      <c r="AI1036" s="77" t="b">
        <v>0</v>
      </c>
      <c r="AJ1036" s="77"/>
      <c r="AK1036" s="77"/>
      <c r="AL1036" s="77"/>
      <c r="AM1036" s="77"/>
      <c r="AN1036" s="77"/>
      <c r="AO1036" s="77"/>
      <c r="AP1036" s="77"/>
      <c r="AQ1036" s="77"/>
      <c r="AR1036" s="77"/>
      <c r="AS1036" s="77"/>
      <c r="AT1036" s="77"/>
      <c r="AU1036" s="77"/>
      <c r="AV1036" s="80" t="str">
        <f>HYPERLINK("https://pbs.twimg.com/profile_images/1431648743728852993/tLJ7F5Lu_normal.png")</f>
        <v>https://pbs.twimg.com/profile_images/1431648743728852993/tLJ7F5Lu_normal.png</v>
      </c>
      <c r="AW1036" s="82" t="s">
        <v>17809</v>
      </c>
      <c r="AX1036" s="82" t="s">
        <v>17809</v>
      </c>
      <c r="AY1036" s="77"/>
      <c r="AZ1036" s="82" t="s">
        <v>20971</v>
      </c>
      <c r="BA1036" s="82" t="s">
        <v>20971</v>
      </c>
      <c r="BB1036" s="82" t="s">
        <v>20971</v>
      </c>
      <c r="BC1036" s="82" t="s">
        <v>17809</v>
      </c>
      <c r="BD1036" s="77">
        <v>489723814</v>
      </c>
      <c r="BE1036" s="77"/>
      <c r="BF1036" s="77"/>
      <c r="BG1036" s="77"/>
      <c r="BH1036" s="77"/>
      <c r="BI1036" s="77"/>
    </row>
    <row r="1037" spans="1:61" x14ac:dyDescent="0.25">
      <c r="A1037" s="62" t="s">
        <v>418</v>
      </c>
      <c r="B1037" s="62" t="s">
        <v>418</v>
      </c>
      <c r="C1037" s="63"/>
      <c r="D1037" s="64"/>
      <c r="E1037" s="65"/>
      <c r="F1037" s="66"/>
      <c r="G1037" s="63"/>
      <c r="H1037" s="67"/>
      <c r="I1037" s="68"/>
      <c r="J1037" s="68"/>
      <c r="K1037" s="32"/>
      <c r="L1037" s="75">
        <v>1037</v>
      </c>
      <c r="M1037" s="75"/>
      <c r="N1037" s="70"/>
      <c r="O1037" s="77" t="s">
        <v>179</v>
      </c>
      <c r="P1037" s="79">
        <v>45007.521793981483</v>
      </c>
      <c r="Q1037" s="77" t="s">
        <v>2299</v>
      </c>
      <c r="R1037" s="77">
        <v>0</v>
      </c>
      <c r="S1037" s="77">
        <v>0</v>
      </c>
      <c r="T1037" s="77">
        <v>0</v>
      </c>
      <c r="U1037" s="77">
        <v>0</v>
      </c>
      <c r="V1037" s="77">
        <v>11</v>
      </c>
      <c r="W1037" s="82" t="s">
        <v>5335</v>
      </c>
      <c r="X1037" s="80" t="str">
        <f>HYPERLINK("https://www.freeclassificados.com/ads/melannun-age-solucao-para-sua-pele/")</f>
        <v>https://www.freeclassificados.com/ads/melannun-age-solucao-para-sua-pele/</v>
      </c>
      <c r="Y1037" s="77" t="s">
        <v>7308</v>
      </c>
      <c r="Z1037" s="77"/>
      <c r="AA1037" s="77"/>
      <c r="AB1037" s="77"/>
      <c r="AC1037" s="82" t="s">
        <v>10155</v>
      </c>
      <c r="AD1037" s="77" t="s">
        <v>10184</v>
      </c>
      <c r="AE1037" s="80" t="str">
        <f>HYPERLINK("https://twitter.com/freeclassific/status/1638518735136002050")</f>
        <v>https://twitter.com/freeclassific/status/1638518735136002050</v>
      </c>
      <c r="AF1037" s="79">
        <v>45007.521793981483</v>
      </c>
      <c r="AG1037" s="85">
        <v>45007</v>
      </c>
      <c r="AH1037" s="82" t="s">
        <v>11188</v>
      </c>
      <c r="AI1037" s="77" t="b">
        <v>0</v>
      </c>
      <c r="AJ1037" s="77"/>
      <c r="AK1037" s="77"/>
      <c r="AL1037" s="77"/>
      <c r="AM1037" s="77"/>
      <c r="AN1037" s="77"/>
      <c r="AO1037" s="77"/>
      <c r="AP1037" s="77"/>
      <c r="AQ1037" s="77"/>
      <c r="AR1037" s="77"/>
      <c r="AS1037" s="77"/>
      <c r="AT1037" s="77"/>
      <c r="AU1037" s="77"/>
      <c r="AV1037" s="80" t="str">
        <f>HYPERLINK("https://pbs.twimg.com/profile_images/1431648743728852993/tLJ7F5Lu_normal.png")</f>
        <v>https://pbs.twimg.com/profile_images/1431648743728852993/tLJ7F5Lu_normal.png</v>
      </c>
      <c r="AW1037" s="82" t="s">
        <v>17810</v>
      </c>
      <c r="AX1037" s="82" t="s">
        <v>17810</v>
      </c>
      <c r="AY1037" s="77"/>
      <c r="AZ1037" s="82" t="s">
        <v>20971</v>
      </c>
      <c r="BA1037" s="82" t="s">
        <v>20971</v>
      </c>
      <c r="BB1037" s="82" t="s">
        <v>20971</v>
      </c>
      <c r="BC1037" s="82" t="s">
        <v>17810</v>
      </c>
      <c r="BD1037" s="77">
        <v>489723814</v>
      </c>
      <c r="BE1037" s="77"/>
      <c r="BF1037" s="77"/>
      <c r="BG1037" s="77"/>
      <c r="BH1037" s="77"/>
      <c r="BI1037" s="77"/>
    </row>
    <row r="1038" spans="1:61" x14ac:dyDescent="0.25">
      <c r="A1038" s="62" t="s">
        <v>418</v>
      </c>
      <c r="B1038" s="62" t="s">
        <v>418</v>
      </c>
      <c r="C1038" s="63"/>
      <c r="D1038" s="64"/>
      <c r="E1038" s="65"/>
      <c r="F1038" s="66"/>
      <c r="G1038" s="63"/>
      <c r="H1038" s="67"/>
      <c r="I1038" s="68"/>
      <c r="J1038" s="68"/>
      <c r="K1038" s="32"/>
      <c r="L1038" s="75">
        <v>1038</v>
      </c>
      <c r="M1038" s="75"/>
      <c r="N1038" s="70"/>
      <c r="O1038" s="77" t="s">
        <v>179</v>
      </c>
      <c r="P1038" s="79">
        <v>45007.512604166666</v>
      </c>
      <c r="Q1038" s="77" t="s">
        <v>2300</v>
      </c>
      <c r="R1038" s="77">
        <v>0</v>
      </c>
      <c r="S1038" s="77">
        <v>0</v>
      </c>
      <c r="T1038" s="77">
        <v>0</v>
      </c>
      <c r="U1038" s="77">
        <v>0</v>
      </c>
      <c r="V1038" s="77">
        <v>8</v>
      </c>
      <c r="W1038" s="82" t="s">
        <v>5335</v>
      </c>
      <c r="X1038" s="80" t="str">
        <f>HYPERLINK("https://www.freeclassificados.com/ads/pele-incrivel-e-saudavel-todos-os-dias/")</f>
        <v>https://www.freeclassificados.com/ads/pele-incrivel-e-saudavel-todos-os-dias/</v>
      </c>
      <c r="Y1038" s="77" t="s">
        <v>7308</v>
      </c>
      <c r="Z1038" s="77"/>
      <c r="AA1038" s="77"/>
      <c r="AB1038" s="77"/>
      <c r="AC1038" s="82" t="s">
        <v>10155</v>
      </c>
      <c r="AD1038" s="77" t="s">
        <v>10184</v>
      </c>
      <c r="AE1038" s="80" t="str">
        <f>HYPERLINK("https://twitter.com/freeclassific/status/1638515407605870592")</f>
        <v>https://twitter.com/freeclassific/status/1638515407605870592</v>
      </c>
      <c r="AF1038" s="79">
        <v>45007.512604166666</v>
      </c>
      <c r="AG1038" s="85">
        <v>45007</v>
      </c>
      <c r="AH1038" s="82" t="s">
        <v>11189</v>
      </c>
      <c r="AI1038" s="77" t="b">
        <v>0</v>
      </c>
      <c r="AJ1038" s="77"/>
      <c r="AK1038" s="77"/>
      <c r="AL1038" s="77"/>
      <c r="AM1038" s="77"/>
      <c r="AN1038" s="77"/>
      <c r="AO1038" s="77"/>
      <c r="AP1038" s="77"/>
      <c r="AQ1038" s="77"/>
      <c r="AR1038" s="77"/>
      <c r="AS1038" s="77"/>
      <c r="AT1038" s="77"/>
      <c r="AU1038" s="77"/>
      <c r="AV1038" s="80" t="str">
        <f>HYPERLINK("https://pbs.twimg.com/profile_images/1431648743728852993/tLJ7F5Lu_normal.png")</f>
        <v>https://pbs.twimg.com/profile_images/1431648743728852993/tLJ7F5Lu_normal.png</v>
      </c>
      <c r="AW1038" s="82" t="s">
        <v>17811</v>
      </c>
      <c r="AX1038" s="82" t="s">
        <v>17811</v>
      </c>
      <c r="AY1038" s="77"/>
      <c r="AZ1038" s="82" t="s">
        <v>20971</v>
      </c>
      <c r="BA1038" s="82" t="s">
        <v>20971</v>
      </c>
      <c r="BB1038" s="82" t="s">
        <v>20971</v>
      </c>
      <c r="BC1038" s="82" t="s">
        <v>17811</v>
      </c>
      <c r="BD1038" s="77">
        <v>489723814</v>
      </c>
      <c r="BE1038" s="77"/>
      <c r="BF1038" s="77"/>
      <c r="BG1038" s="77"/>
      <c r="BH1038" s="77"/>
      <c r="BI1038" s="77"/>
    </row>
    <row r="1039" spans="1:61" x14ac:dyDescent="0.25">
      <c r="A1039" s="62" t="s">
        <v>418</v>
      </c>
      <c r="B1039" s="62" t="s">
        <v>418</v>
      </c>
      <c r="C1039" s="63"/>
      <c r="D1039" s="64"/>
      <c r="E1039" s="65"/>
      <c r="F1039" s="66"/>
      <c r="G1039" s="63"/>
      <c r="H1039" s="67"/>
      <c r="I1039" s="68"/>
      <c r="J1039" s="68"/>
      <c r="K1039" s="32"/>
      <c r="L1039" s="75">
        <v>1039</v>
      </c>
      <c r="M1039" s="75"/>
      <c r="N1039" s="70"/>
      <c r="O1039" s="77" t="s">
        <v>179</v>
      </c>
      <c r="P1039" s="79">
        <v>45006.779606481483</v>
      </c>
      <c r="Q1039" s="77" t="s">
        <v>2301</v>
      </c>
      <c r="R1039" s="77">
        <v>0</v>
      </c>
      <c r="S1039" s="77">
        <v>0</v>
      </c>
      <c r="T1039" s="77">
        <v>0</v>
      </c>
      <c r="U1039" s="77">
        <v>0</v>
      </c>
      <c r="V1039" s="77">
        <v>11</v>
      </c>
      <c r="W1039" s="82" t="s">
        <v>5335</v>
      </c>
      <c r="X1039" s="80" t="str">
        <f>HYPERLINK("https://www.freeclassificados.com/ads/sacolas-plasticas-personalizadas-2/")</f>
        <v>https://www.freeclassificados.com/ads/sacolas-plasticas-personalizadas-2/</v>
      </c>
      <c r="Y1039" s="77" t="s">
        <v>7308</v>
      </c>
      <c r="Z1039" s="77"/>
      <c r="AA1039" s="77"/>
      <c r="AB1039" s="77"/>
      <c r="AC1039" s="82" t="s">
        <v>10155</v>
      </c>
      <c r="AD1039" s="77" t="s">
        <v>10187</v>
      </c>
      <c r="AE1039" s="80" t="str">
        <f>HYPERLINK("https://twitter.com/freeclassific/status/1638249775891107840")</f>
        <v>https://twitter.com/freeclassific/status/1638249775891107840</v>
      </c>
      <c r="AF1039" s="79">
        <v>45006.779606481483</v>
      </c>
      <c r="AG1039" s="85">
        <v>45006</v>
      </c>
      <c r="AH1039" s="82" t="s">
        <v>11190</v>
      </c>
      <c r="AI1039" s="77" t="b">
        <v>0</v>
      </c>
      <c r="AJ1039" s="77"/>
      <c r="AK1039" s="77"/>
      <c r="AL1039" s="77"/>
      <c r="AM1039" s="77"/>
      <c r="AN1039" s="77"/>
      <c r="AO1039" s="77"/>
      <c r="AP1039" s="77"/>
      <c r="AQ1039" s="77"/>
      <c r="AR1039" s="77"/>
      <c r="AS1039" s="77"/>
      <c r="AT1039" s="77"/>
      <c r="AU1039" s="77"/>
      <c r="AV1039" s="80" t="str">
        <f>HYPERLINK("https://pbs.twimg.com/profile_images/1431648743728852993/tLJ7F5Lu_normal.png")</f>
        <v>https://pbs.twimg.com/profile_images/1431648743728852993/tLJ7F5Lu_normal.png</v>
      </c>
      <c r="AW1039" s="82" t="s">
        <v>17812</v>
      </c>
      <c r="AX1039" s="82" t="s">
        <v>17812</v>
      </c>
      <c r="AY1039" s="77"/>
      <c r="AZ1039" s="82" t="s">
        <v>20971</v>
      </c>
      <c r="BA1039" s="82" t="s">
        <v>20971</v>
      </c>
      <c r="BB1039" s="82" t="s">
        <v>20971</v>
      </c>
      <c r="BC1039" s="82" t="s">
        <v>17812</v>
      </c>
      <c r="BD1039" s="77">
        <v>489723814</v>
      </c>
      <c r="BE1039" s="77"/>
      <c r="BF1039" s="77"/>
      <c r="BG1039" s="77"/>
      <c r="BH1039" s="77"/>
      <c r="BI1039" s="77"/>
    </row>
    <row r="1040" spans="1:61" x14ac:dyDescent="0.25">
      <c r="A1040" s="62" t="s">
        <v>418</v>
      </c>
      <c r="B1040" s="62" t="s">
        <v>418</v>
      </c>
      <c r="C1040" s="63"/>
      <c r="D1040" s="64"/>
      <c r="E1040" s="65"/>
      <c r="F1040" s="66"/>
      <c r="G1040" s="63"/>
      <c r="H1040" s="67"/>
      <c r="I1040" s="68"/>
      <c r="J1040" s="68"/>
      <c r="K1040" s="32"/>
      <c r="L1040" s="75">
        <v>1040</v>
      </c>
      <c r="M1040" s="75"/>
      <c r="N1040" s="70"/>
      <c r="O1040" s="77" t="s">
        <v>179</v>
      </c>
      <c r="P1040" s="79">
        <v>45006.7421412037</v>
      </c>
      <c r="Q1040" s="77" t="s">
        <v>1938</v>
      </c>
      <c r="R1040" s="77">
        <v>0</v>
      </c>
      <c r="S1040" s="77">
        <v>0</v>
      </c>
      <c r="T1040" s="77">
        <v>0</v>
      </c>
      <c r="U1040" s="77">
        <v>0</v>
      </c>
      <c r="V1040" s="77">
        <v>12</v>
      </c>
      <c r="W1040" s="82" t="s">
        <v>5335</v>
      </c>
      <c r="X1040" s="80" t="str">
        <f>HYPERLINK("https://www.freeclassificados.com/ads/palco-coberta-som-luz-alugo-palco-aluguel-tablado-de-vidro-palco-madeira-9-86-25-98-82/")</f>
        <v>https://www.freeclassificados.com/ads/palco-coberta-som-luz-alugo-palco-aluguel-tablado-de-vidro-palco-madeira-9-86-25-98-82/</v>
      </c>
      <c r="Y1040" s="77" t="s">
        <v>7308</v>
      </c>
      <c r="Z1040" s="77"/>
      <c r="AA1040" s="77"/>
      <c r="AB1040" s="77"/>
      <c r="AC1040" s="82" t="s">
        <v>10155</v>
      </c>
      <c r="AD1040" s="77" t="s">
        <v>10184</v>
      </c>
      <c r="AE1040" s="80" t="str">
        <f>HYPERLINK("https://twitter.com/freeclassific/status/1638236197440086017")</f>
        <v>https://twitter.com/freeclassific/status/1638236197440086017</v>
      </c>
      <c r="AF1040" s="79">
        <v>45006.7421412037</v>
      </c>
      <c r="AG1040" s="85">
        <v>45006</v>
      </c>
      <c r="AH1040" s="82" t="s">
        <v>11191</v>
      </c>
      <c r="AI1040" s="77" t="b">
        <v>0</v>
      </c>
      <c r="AJ1040" s="77"/>
      <c r="AK1040" s="77"/>
      <c r="AL1040" s="77"/>
      <c r="AM1040" s="77"/>
      <c r="AN1040" s="77"/>
      <c r="AO1040" s="77"/>
      <c r="AP1040" s="77"/>
      <c r="AQ1040" s="77"/>
      <c r="AR1040" s="77"/>
      <c r="AS1040" s="77"/>
      <c r="AT1040" s="77"/>
      <c r="AU1040" s="77"/>
      <c r="AV1040" s="80" t="str">
        <f>HYPERLINK("https://pbs.twimg.com/profile_images/1431648743728852993/tLJ7F5Lu_normal.png")</f>
        <v>https://pbs.twimg.com/profile_images/1431648743728852993/tLJ7F5Lu_normal.png</v>
      </c>
      <c r="AW1040" s="82" t="s">
        <v>17813</v>
      </c>
      <c r="AX1040" s="82" t="s">
        <v>17813</v>
      </c>
      <c r="AY1040" s="77"/>
      <c r="AZ1040" s="82" t="s">
        <v>20971</v>
      </c>
      <c r="BA1040" s="82" t="s">
        <v>20971</v>
      </c>
      <c r="BB1040" s="82" t="s">
        <v>20971</v>
      </c>
      <c r="BC1040" s="82" t="s">
        <v>17813</v>
      </c>
      <c r="BD1040" s="77">
        <v>489723814</v>
      </c>
      <c r="BE1040" s="77"/>
      <c r="BF1040" s="77"/>
      <c r="BG1040" s="77"/>
      <c r="BH1040" s="77"/>
      <c r="BI1040" s="77"/>
    </row>
    <row r="1041" spans="1:61" x14ac:dyDescent="0.25">
      <c r="A1041" s="62" t="s">
        <v>418</v>
      </c>
      <c r="B1041" s="62" t="s">
        <v>418</v>
      </c>
      <c r="C1041" s="63"/>
      <c r="D1041" s="64"/>
      <c r="E1041" s="65"/>
      <c r="F1041" s="66"/>
      <c r="G1041" s="63"/>
      <c r="H1041" s="67"/>
      <c r="I1041" s="68"/>
      <c r="J1041" s="68"/>
      <c r="K1041" s="32"/>
      <c r="L1041" s="75">
        <v>1041</v>
      </c>
      <c r="M1041" s="75"/>
      <c r="N1041" s="70"/>
      <c r="O1041" s="77" t="s">
        <v>179</v>
      </c>
      <c r="P1041" s="79">
        <v>45006.080057870371</v>
      </c>
      <c r="Q1041" s="77" t="s">
        <v>2302</v>
      </c>
      <c r="R1041" s="77">
        <v>0</v>
      </c>
      <c r="S1041" s="77">
        <v>0</v>
      </c>
      <c r="T1041" s="77">
        <v>0</v>
      </c>
      <c r="U1041" s="77">
        <v>0</v>
      </c>
      <c r="V1041" s="77">
        <v>15</v>
      </c>
      <c r="W1041" s="82" t="s">
        <v>5335</v>
      </c>
      <c r="X1041" s="80" t="str">
        <f>HYPERLINK("https://www.freeclassificados.com/ads/pagina-lucrativa-geradora-de-renda-extra-na-internet/")</f>
        <v>https://www.freeclassificados.com/ads/pagina-lucrativa-geradora-de-renda-extra-na-internet/</v>
      </c>
      <c r="Y1041" s="77" t="s">
        <v>7308</v>
      </c>
      <c r="Z1041" s="77"/>
      <c r="AA1041" s="77"/>
      <c r="AB1041" s="77"/>
      <c r="AC1041" s="82" t="s">
        <v>10155</v>
      </c>
      <c r="AD1041" s="77" t="s">
        <v>10187</v>
      </c>
      <c r="AE1041" s="80" t="str">
        <f>HYPERLINK("https://twitter.com/freeclassific/status/1637996269410095105")</f>
        <v>https://twitter.com/freeclassific/status/1637996269410095105</v>
      </c>
      <c r="AF1041" s="79">
        <v>45006.080057870371</v>
      </c>
      <c r="AG1041" s="85">
        <v>45006</v>
      </c>
      <c r="AH1041" s="82" t="s">
        <v>11192</v>
      </c>
      <c r="AI1041" s="77" t="b">
        <v>0</v>
      </c>
      <c r="AJ1041" s="77"/>
      <c r="AK1041" s="77"/>
      <c r="AL1041" s="77"/>
      <c r="AM1041" s="77"/>
      <c r="AN1041" s="77"/>
      <c r="AO1041" s="77"/>
      <c r="AP1041" s="77"/>
      <c r="AQ1041" s="77"/>
      <c r="AR1041" s="77"/>
      <c r="AS1041" s="77"/>
      <c r="AT1041" s="77"/>
      <c r="AU1041" s="77"/>
      <c r="AV1041" s="80" t="str">
        <f>HYPERLINK("https://pbs.twimg.com/profile_images/1431648743728852993/tLJ7F5Lu_normal.png")</f>
        <v>https://pbs.twimg.com/profile_images/1431648743728852993/tLJ7F5Lu_normal.png</v>
      </c>
      <c r="AW1041" s="82" t="s">
        <v>17814</v>
      </c>
      <c r="AX1041" s="82" t="s">
        <v>17814</v>
      </c>
      <c r="AY1041" s="77"/>
      <c r="AZ1041" s="82" t="s">
        <v>20971</v>
      </c>
      <c r="BA1041" s="82" t="s">
        <v>20971</v>
      </c>
      <c r="BB1041" s="82" t="s">
        <v>20971</v>
      </c>
      <c r="BC1041" s="82" t="s">
        <v>17814</v>
      </c>
      <c r="BD1041" s="77">
        <v>489723814</v>
      </c>
      <c r="BE1041" s="77"/>
      <c r="BF1041" s="77"/>
      <c r="BG1041" s="77"/>
      <c r="BH1041" s="77"/>
      <c r="BI1041" s="77"/>
    </row>
    <row r="1042" spans="1:61" x14ac:dyDescent="0.25">
      <c r="A1042" s="62" t="s">
        <v>418</v>
      </c>
      <c r="B1042" s="62" t="s">
        <v>418</v>
      </c>
      <c r="C1042" s="63"/>
      <c r="D1042" s="64"/>
      <c r="E1042" s="65"/>
      <c r="F1042" s="66"/>
      <c r="G1042" s="63"/>
      <c r="H1042" s="67"/>
      <c r="I1042" s="68"/>
      <c r="J1042" s="68"/>
      <c r="K1042" s="32"/>
      <c r="L1042" s="75">
        <v>1042</v>
      </c>
      <c r="M1042" s="75"/>
      <c r="N1042" s="70"/>
      <c r="O1042" s="77" t="s">
        <v>179</v>
      </c>
      <c r="P1042" s="79">
        <v>45005.947662037041</v>
      </c>
      <c r="Q1042" s="77" t="s">
        <v>2303</v>
      </c>
      <c r="R1042" s="77">
        <v>0</v>
      </c>
      <c r="S1042" s="77">
        <v>0</v>
      </c>
      <c r="T1042" s="77">
        <v>0</v>
      </c>
      <c r="U1042" s="77">
        <v>0</v>
      </c>
      <c r="V1042" s="77">
        <v>15</v>
      </c>
      <c r="W1042" s="82" t="s">
        <v>5335</v>
      </c>
      <c r="X1042" s="80" t="str">
        <f>HYPERLINK("https://www.freeclassificados.com/ads/joias-de-qualidade-direto-da-fabrica-a-precos-acessiveis-folheadas/")</f>
        <v>https://www.freeclassificados.com/ads/joias-de-qualidade-direto-da-fabrica-a-precos-acessiveis-folheadas/</v>
      </c>
      <c r="Y1042" s="77" t="s">
        <v>7308</v>
      </c>
      <c r="Z1042" s="77"/>
      <c r="AA1042" s="77"/>
      <c r="AB1042" s="77"/>
      <c r="AC1042" s="82" t="s">
        <v>10155</v>
      </c>
      <c r="AD1042" s="77" t="s">
        <v>10184</v>
      </c>
      <c r="AE1042" s="80" t="str">
        <f>HYPERLINK("https://twitter.com/freeclassific/status/1637948288375857152")</f>
        <v>https://twitter.com/freeclassific/status/1637948288375857152</v>
      </c>
      <c r="AF1042" s="79">
        <v>45005.947662037041</v>
      </c>
      <c r="AG1042" s="85">
        <v>45005</v>
      </c>
      <c r="AH1042" s="82" t="s">
        <v>11193</v>
      </c>
      <c r="AI1042" s="77" t="b">
        <v>0</v>
      </c>
      <c r="AJ1042" s="77"/>
      <c r="AK1042" s="77"/>
      <c r="AL1042" s="77"/>
      <c r="AM1042" s="77"/>
      <c r="AN1042" s="77"/>
      <c r="AO1042" s="77"/>
      <c r="AP1042" s="77"/>
      <c r="AQ1042" s="77"/>
      <c r="AR1042" s="77"/>
      <c r="AS1042" s="77"/>
      <c r="AT1042" s="77"/>
      <c r="AU1042" s="77"/>
      <c r="AV1042" s="80" t="str">
        <f>HYPERLINK("https://pbs.twimg.com/profile_images/1431648743728852993/tLJ7F5Lu_normal.png")</f>
        <v>https://pbs.twimg.com/profile_images/1431648743728852993/tLJ7F5Lu_normal.png</v>
      </c>
      <c r="AW1042" s="82" t="s">
        <v>17815</v>
      </c>
      <c r="AX1042" s="82" t="s">
        <v>17815</v>
      </c>
      <c r="AY1042" s="77"/>
      <c r="AZ1042" s="82" t="s">
        <v>20971</v>
      </c>
      <c r="BA1042" s="82" t="s">
        <v>20971</v>
      </c>
      <c r="BB1042" s="82" t="s">
        <v>20971</v>
      </c>
      <c r="BC1042" s="82" t="s">
        <v>17815</v>
      </c>
      <c r="BD1042" s="77">
        <v>489723814</v>
      </c>
      <c r="BE1042" s="77"/>
      <c r="BF1042" s="77"/>
      <c r="BG1042" s="77"/>
      <c r="BH1042" s="77"/>
      <c r="BI1042" s="77"/>
    </row>
    <row r="1043" spans="1:61" x14ac:dyDescent="0.25">
      <c r="A1043" s="62" t="s">
        <v>418</v>
      </c>
      <c r="B1043" s="62" t="s">
        <v>418</v>
      </c>
      <c r="C1043" s="63"/>
      <c r="D1043" s="64"/>
      <c r="E1043" s="65"/>
      <c r="F1043" s="66"/>
      <c r="G1043" s="63"/>
      <c r="H1043" s="67"/>
      <c r="I1043" s="68"/>
      <c r="J1043" s="68"/>
      <c r="K1043" s="32"/>
      <c r="L1043" s="75">
        <v>1043</v>
      </c>
      <c r="M1043" s="75"/>
      <c r="N1043" s="70"/>
      <c r="O1043" s="77" t="s">
        <v>179</v>
      </c>
      <c r="P1043" s="79">
        <v>45005.94667824074</v>
      </c>
      <c r="Q1043" s="77" t="s">
        <v>2304</v>
      </c>
      <c r="R1043" s="77">
        <v>0</v>
      </c>
      <c r="S1043" s="77">
        <v>0</v>
      </c>
      <c r="T1043" s="77">
        <v>0</v>
      </c>
      <c r="U1043" s="77">
        <v>0</v>
      </c>
      <c r="V1043" s="77">
        <v>12</v>
      </c>
      <c r="W1043" s="82" t="s">
        <v>5335</v>
      </c>
      <c r="X1043" s="80" t="str">
        <f>HYPERLINK("https://www.freeclassificados.com/ads/joias-de-qualidade-direto-da-fabrica-a-precos-acessiveis-folheadas/")</f>
        <v>https://www.freeclassificados.com/ads/joias-de-qualidade-direto-da-fabrica-a-precos-acessiveis-folheadas/</v>
      </c>
      <c r="Y1043" s="77" t="s">
        <v>7308</v>
      </c>
      <c r="Z1043" s="77"/>
      <c r="AA1043" s="77"/>
      <c r="AB1043" s="77"/>
      <c r="AC1043" s="82" t="s">
        <v>10155</v>
      </c>
      <c r="AD1043" s="77" t="s">
        <v>10184</v>
      </c>
      <c r="AE1043" s="80" t="str">
        <f>HYPERLINK("https://twitter.com/freeclassific/status/1637947933764247552")</f>
        <v>https://twitter.com/freeclassific/status/1637947933764247552</v>
      </c>
      <c r="AF1043" s="79">
        <v>45005.94667824074</v>
      </c>
      <c r="AG1043" s="85">
        <v>45005</v>
      </c>
      <c r="AH1043" s="82" t="s">
        <v>10532</v>
      </c>
      <c r="AI1043" s="77" t="b">
        <v>0</v>
      </c>
      <c r="AJ1043" s="77"/>
      <c r="AK1043" s="77"/>
      <c r="AL1043" s="77"/>
      <c r="AM1043" s="77"/>
      <c r="AN1043" s="77"/>
      <c r="AO1043" s="77"/>
      <c r="AP1043" s="77"/>
      <c r="AQ1043" s="77"/>
      <c r="AR1043" s="77"/>
      <c r="AS1043" s="77"/>
      <c r="AT1043" s="77"/>
      <c r="AU1043" s="77"/>
      <c r="AV1043" s="80" t="str">
        <f>HYPERLINK("https://pbs.twimg.com/profile_images/1431648743728852993/tLJ7F5Lu_normal.png")</f>
        <v>https://pbs.twimg.com/profile_images/1431648743728852993/tLJ7F5Lu_normal.png</v>
      </c>
      <c r="AW1043" s="82" t="s">
        <v>17816</v>
      </c>
      <c r="AX1043" s="82" t="s">
        <v>17816</v>
      </c>
      <c r="AY1043" s="77"/>
      <c r="AZ1043" s="82" t="s">
        <v>20971</v>
      </c>
      <c r="BA1043" s="82" t="s">
        <v>20971</v>
      </c>
      <c r="BB1043" s="82" t="s">
        <v>20971</v>
      </c>
      <c r="BC1043" s="82" t="s">
        <v>17816</v>
      </c>
      <c r="BD1043" s="77">
        <v>489723814</v>
      </c>
      <c r="BE1043" s="77"/>
      <c r="BF1043" s="77"/>
      <c r="BG1043" s="77"/>
      <c r="BH1043" s="77"/>
      <c r="BI1043" s="77"/>
    </row>
    <row r="1044" spans="1:61" x14ac:dyDescent="0.25">
      <c r="A1044" s="62" t="s">
        <v>418</v>
      </c>
      <c r="B1044" s="62" t="s">
        <v>418</v>
      </c>
      <c r="C1044" s="63"/>
      <c r="D1044" s="64"/>
      <c r="E1044" s="65"/>
      <c r="F1044" s="66"/>
      <c r="G1044" s="63"/>
      <c r="H1044" s="67"/>
      <c r="I1044" s="68"/>
      <c r="J1044" s="68"/>
      <c r="K1044" s="32"/>
      <c r="L1044" s="75">
        <v>1044</v>
      </c>
      <c r="M1044" s="75"/>
      <c r="N1044" s="70"/>
      <c r="O1044" s="77" t="s">
        <v>179</v>
      </c>
      <c r="P1044" s="79">
        <v>45005.938472222224</v>
      </c>
      <c r="Q1044" s="77" t="s">
        <v>2305</v>
      </c>
      <c r="R1044" s="77">
        <v>0</v>
      </c>
      <c r="S1044" s="77">
        <v>0</v>
      </c>
      <c r="T1044" s="77">
        <v>0</v>
      </c>
      <c r="U1044" s="77">
        <v>0</v>
      </c>
      <c r="V1044" s="77">
        <v>30</v>
      </c>
      <c r="W1044" s="82" t="s">
        <v>5335</v>
      </c>
      <c r="X1044" s="80" t="str">
        <f>HYPERLINK("https://www.freeclassificados.com/ads/por-que-todo-mundo-quer-saber-sobre-como-fazer-ganhar-dinheiro-na-internet-de-forma-gratuita/")</f>
        <v>https://www.freeclassificados.com/ads/por-que-todo-mundo-quer-saber-sobre-como-fazer-ganhar-dinheiro-na-internet-de-forma-gratuita/</v>
      </c>
      <c r="Y1044" s="77" t="s">
        <v>7308</v>
      </c>
      <c r="Z1044" s="77"/>
      <c r="AA1044" s="77"/>
      <c r="AB1044" s="77"/>
      <c r="AC1044" s="82" t="s">
        <v>10155</v>
      </c>
      <c r="AD1044" s="77" t="s">
        <v>10184</v>
      </c>
      <c r="AE1044" s="80" t="str">
        <f>HYPERLINK("https://twitter.com/freeclassific/status/1637944957855211521")</f>
        <v>https://twitter.com/freeclassific/status/1637944957855211521</v>
      </c>
      <c r="AF1044" s="79">
        <v>45005.938472222224</v>
      </c>
      <c r="AG1044" s="85">
        <v>45005</v>
      </c>
      <c r="AH1044" s="82" t="s">
        <v>11194</v>
      </c>
      <c r="AI1044" s="77" t="b">
        <v>0</v>
      </c>
      <c r="AJ1044" s="77"/>
      <c r="AK1044" s="77"/>
      <c r="AL1044" s="77"/>
      <c r="AM1044" s="77"/>
      <c r="AN1044" s="77"/>
      <c r="AO1044" s="77"/>
      <c r="AP1044" s="77"/>
      <c r="AQ1044" s="77"/>
      <c r="AR1044" s="77"/>
      <c r="AS1044" s="77"/>
      <c r="AT1044" s="77"/>
      <c r="AU1044" s="77"/>
      <c r="AV1044" s="80" t="str">
        <f>HYPERLINK("https://pbs.twimg.com/profile_images/1431648743728852993/tLJ7F5Lu_normal.png")</f>
        <v>https://pbs.twimg.com/profile_images/1431648743728852993/tLJ7F5Lu_normal.png</v>
      </c>
      <c r="AW1044" s="82" t="s">
        <v>17817</v>
      </c>
      <c r="AX1044" s="82" t="s">
        <v>17817</v>
      </c>
      <c r="AY1044" s="77"/>
      <c r="AZ1044" s="82" t="s">
        <v>20971</v>
      </c>
      <c r="BA1044" s="82" t="s">
        <v>20971</v>
      </c>
      <c r="BB1044" s="82" t="s">
        <v>20971</v>
      </c>
      <c r="BC1044" s="82" t="s">
        <v>17817</v>
      </c>
      <c r="BD1044" s="77">
        <v>489723814</v>
      </c>
      <c r="BE1044" s="77"/>
      <c r="BF1044" s="77"/>
      <c r="BG1044" s="77"/>
      <c r="BH1044" s="77"/>
      <c r="BI1044" s="77"/>
    </row>
    <row r="1045" spans="1:61" x14ac:dyDescent="0.25">
      <c r="A1045" s="62" t="s">
        <v>418</v>
      </c>
      <c r="B1045" s="62" t="s">
        <v>418</v>
      </c>
      <c r="C1045" s="63"/>
      <c r="D1045" s="64"/>
      <c r="E1045" s="65"/>
      <c r="F1045" s="66"/>
      <c r="G1045" s="63"/>
      <c r="H1045" s="67"/>
      <c r="I1045" s="68"/>
      <c r="J1045" s="68"/>
      <c r="K1045" s="32"/>
      <c r="L1045" s="75">
        <v>1045</v>
      </c>
      <c r="M1045" s="75"/>
      <c r="N1045" s="70"/>
      <c r="O1045" s="77" t="s">
        <v>179</v>
      </c>
      <c r="P1045" s="79">
        <v>45005.777615740742</v>
      </c>
      <c r="Q1045" s="77" t="s">
        <v>2306</v>
      </c>
      <c r="R1045" s="77">
        <v>0</v>
      </c>
      <c r="S1045" s="77">
        <v>0</v>
      </c>
      <c r="T1045" s="77">
        <v>0</v>
      </c>
      <c r="U1045" s="77">
        <v>0</v>
      </c>
      <c r="V1045" s="77">
        <v>6</v>
      </c>
      <c r="W1045" s="82" t="s">
        <v>5335</v>
      </c>
      <c r="X1045" s="80" t="str">
        <f>HYPERLINK("https://www.freeclassificados.com/ads/suplemento-sexuais/")</f>
        <v>https://www.freeclassificados.com/ads/suplemento-sexuais/</v>
      </c>
      <c r="Y1045" s="77" t="s">
        <v>7308</v>
      </c>
      <c r="Z1045" s="77"/>
      <c r="AA1045" s="77"/>
      <c r="AB1045" s="77"/>
      <c r="AC1045" s="82" t="s">
        <v>10155</v>
      </c>
      <c r="AD1045" s="77" t="s">
        <v>10184</v>
      </c>
      <c r="AE1045" s="80" t="str">
        <f>HYPERLINK("https://twitter.com/freeclassific/status/1637886668140347393")</f>
        <v>https://twitter.com/freeclassific/status/1637886668140347393</v>
      </c>
      <c r="AF1045" s="79">
        <v>45005.777615740742</v>
      </c>
      <c r="AG1045" s="85">
        <v>45005</v>
      </c>
      <c r="AH1045" s="82" t="s">
        <v>11195</v>
      </c>
      <c r="AI1045" s="77" t="b">
        <v>0</v>
      </c>
      <c r="AJ1045" s="77"/>
      <c r="AK1045" s="77"/>
      <c r="AL1045" s="77"/>
      <c r="AM1045" s="77"/>
      <c r="AN1045" s="77"/>
      <c r="AO1045" s="77"/>
      <c r="AP1045" s="77"/>
      <c r="AQ1045" s="77"/>
      <c r="AR1045" s="77"/>
      <c r="AS1045" s="77"/>
      <c r="AT1045" s="77"/>
      <c r="AU1045" s="77"/>
      <c r="AV1045" s="80" t="str">
        <f>HYPERLINK("https://pbs.twimg.com/profile_images/1431648743728852993/tLJ7F5Lu_normal.png")</f>
        <v>https://pbs.twimg.com/profile_images/1431648743728852993/tLJ7F5Lu_normal.png</v>
      </c>
      <c r="AW1045" s="82" t="s">
        <v>17818</v>
      </c>
      <c r="AX1045" s="82" t="s">
        <v>17818</v>
      </c>
      <c r="AY1045" s="77"/>
      <c r="AZ1045" s="82" t="s">
        <v>20971</v>
      </c>
      <c r="BA1045" s="82" t="s">
        <v>20971</v>
      </c>
      <c r="BB1045" s="82" t="s">
        <v>20971</v>
      </c>
      <c r="BC1045" s="82" t="s">
        <v>17818</v>
      </c>
      <c r="BD1045" s="77">
        <v>489723814</v>
      </c>
      <c r="BE1045" s="77"/>
      <c r="BF1045" s="77"/>
      <c r="BG1045" s="77"/>
      <c r="BH1045" s="77"/>
      <c r="BI1045" s="77"/>
    </row>
    <row r="1046" spans="1:61" x14ac:dyDescent="0.25">
      <c r="A1046" s="62" t="s">
        <v>418</v>
      </c>
      <c r="B1046" s="62" t="s">
        <v>418</v>
      </c>
      <c r="C1046" s="63"/>
      <c r="D1046" s="64"/>
      <c r="E1046" s="65"/>
      <c r="F1046" s="66"/>
      <c r="G1046" s="63"/>
      <c r="H1046" s="67"/>
      <c r="I1046" s="68"/>
      <c r="J1046" s="68"/>
      <c r="K1046" s="32"/>
      <c r="L1046" s="75">
        <v>1046</v>
      </c>
      <c r="M1046" s="75"/>
      <c r="N1046" s="70"/>
      <c r="O1046" s="77" t="s">
        <v>179</v>
      </c>
      <c r="P1046" s="79">
        <v>45005.775914351849</v>
      </c>
      <c r="Q1046" s="77" t="s">
        <v>2307</v>
      </c>
      <c r="R1046" s="77">
        <v>0</v>
      </c>
      <c r="S1046" s="77">
        <v>0</v>
      </c>
      <c r="T1046" s="77">
        <v>0</v>
      </c>
      <c r="U1046" s="77">
        <v>0</v>
      </c>
      <c r="V1046" s="77">
        <v>8</v>
      </c>
      <c r="W1046" s="82" t="s">
        <v>5335</v>
      </c>
      <c r="X1046" s="80" t="str">
        <f>HYPERLINK("https://www.freeclassificados.com/ads/saude-beleza-e-suplemento-sexuais-3/")</f>
        <v>https://www.freeclassificados.com/ads/saude-beleza-e-suplemento-sexuais-3/</v>
      </c>
      <c r="Y1046" s="77" t="s">
        <v>7308</v>
      </c>
      <c r="Z1046" s="77"/>
      <c r="AA1046" s="77"/>
      <c r="AB1046" s="77"/>
      <c r="AC1046" s="82" t="s">
        <v>10155</v>
      </c>
      <c r="AD1046" s="77" t="s">
        <v>10184</v>
      </c>
      <c r="AE1046" s="80" t="str">
        <f>HYPERLINK("https://twitter.com/freeclassific/status/1637886048633225216")</f>
        <v>https://twitter.com/freeclassific/status/1637886048633225216</v>
      </c>
      <c r="AF1046" s="79">
        <v>45005.775914351849</v>
      </c>
      <c r="AG1046" s="85">
        <v>45005</v>
      </c>
      <c r="AH1046" s="82" t="s">
        <v>11196</v>
      </c>
      <c r="AI1046" s="77" t="b">
        <v>0</v>
      </c>
      <c r="AJ1046" s="77"/>
      <c r="AK1046" s="77"/>
      <c r="AL1046" s="77"/>
      <c r="AM1046" s="77"/>
      <c r="AN1046" s="77"/>
      <c r="AO1046" s="77"/>
      <c r="AP1046" s="77"/>
      <c r="AQ1046" s="77"/>
      <c r="AR1046" s="77"/>
      <c r="AS1046" s="77"/>
      <c r="AT1046" s="77"/>
      <c r="AU1046" s="77"/>
      <c r="AV1046" s="80" t="str">
        <f>HYPERLINK("https://pbs.twimg.com/profile_images/1431648743728852993/tLJ7F5Lu_normal.png")</f>
        <v>https://pbs.twimg.com/profile_images/1431648743728852993/tLJ7F5Lu_normal.png</v>
      </c>
      <c r="AW1046" s="82" t="s">
        <v>17819</v>
      </c>
      <c r="AX1046" s="82" t="s">
        <v>17819</v>
      </c>
      <c r="AY1046" s="77"/>
      <c r="AZ1046" s="82" t="s">
        <v>20971</v>
      </c>
      <c r="BA1046" s="82" t="s">
        <v>20971</v>
      </c>
      <c r="BB1046" s="82" t="s">
        <v>20971</v>
      </c>
      <c r="BC1046" s="82" t="s">
        <v>17819</v>
      </c>
      <c r="BD1046" s="77">
        <v>489723814</v>
      </c>
      <c r="BE1046" s="77"/>
      <c r="BF1046" s="77"/>
      <c r="BG1046" s="77"/>
      <c r="BH1046" s="77"/>
      <c r="BI1046" s="77"/>
    </row>
    <row r="1047" spans="1:61" x14ac:dyDescent="0.25">
      <c r="A1047" s="62" t="s">
        <v>418</v>
      </c>
      <c r="B1047" s="62" t="s">
        <v>418</v>
      </c>
      <c r="C1047" s="63"/>
      <c r="D1047" s="64"/>
      <c r="E1047" s="65"/>
      <c r="F1047" s="66"/>
      <c r="G1047" s="63"/>
      <c r="H1047" s="67"/>
      <c r="I1047" s="68"/>
      <c r="J1047" s="68"/>
      <c r="K1047" s="32"/>
      <c r="L1047" s="75">
        <v>1047</v>
      </c>
      <c r="M1047" s="75"/>
      <c r="N1047" s="70"/>
      <c r="O1047" s="77" t="s">
        <v>179</v>
      </c>
      <c r="P1047" s="79">
        <v>45005.754386574074</v>
      </c>
      <c r="Q1047" s="77" t="s">
        <v>2308</v>
      </c>
      <c r="R1047" s="77">
        <v>0</v>
      </c>
      <c r="S1047" s="77">
        <v>0</v>
      </c>
      <c r="T1047" s="77">
        <v>0</v>
      </c>
      <c r="U1047" s="77">
        <v>0</v>
      </c>
      <c r="V1047" s="77">
        <v>11</v>
      </c>
      <c r="W1047" s="82" t="s">
        <v>5335</v>
      </c>
      <c r="X1047" s="80" t="str">
        <f>HYPERLINK("https://www.freeclassificados.com/ads/voce-realmente-deseja-ser-uma-empreendedora-no-segmento-de-doces-apenas-fazendo-e-vendendo-bolos-no-potes/")</f>
        <v>https://www.freeclassificados.com/ads/voce-realmente-deseja-ser-uma-empreendedora-no-segmento-de-doces-apenas-fazendo-e-vendendo-bolos-no-potes/</v>
      </c>
      <c r="Y1047" s="77" t="s">
        <v>7308</v>
      </c>
      <c r="Z1047" s="77"/>
      <c r="AA1047" s="77"/>
      <c r="AB1047" s="77"/>
      <c r="AC1047" s="82" t="s">
        <v>10155</v>
      </c>
      <c r="AD1047" s="77" t="s">
        <v>10184</v>
      </c>
      <c r="AE1047" s="80" t="str">
        <f>HYPERLINK("https://twitter.com/freeclassific/status/1637878250100912128")</f>
        <v>https://twitter.com/freeclassific/status/1637878250100912128</v>
      </c>
      <c r="AF1047" s="79">
        <v>45005.754386574074</v>
      </c>
      <c r="AG1047" s="85">
        <v>45005</v>
      </c>
      <c r="AH1047" s="82" t="s">
        <v>11197</v>
      </c>
      <c r="AI1047" s="77" t="b">
        <v>0</v>
      </c>
      <c r="AJ1047" s="77"/>
      <c r="AK1047" s="77"/>
      <c r="AL1047" s="77"/>
      <c r="AM1047" s="77"/>
      <c r="AN1047" s="77"/>
      <c r="AO1047" s="77"/>
      <c r="AP1047" s="77"/>
      <c r="AQ1047" s="77"/>
      <c r="AR1047" s="77"/>
      <c r="AS1047" s="77"/>
      <c r="AT1047" s="77"/>
      <c r="AU1047" s="77"/>
      <c r="AV1047" s="80" t="str">
        <f>HYPERLINK("https://pbs.twimg.com/profile_images/1431648743728852993/tLJ7F5Lu_normal.png")</f>
        <v>https://pbs.twimg.com/profile_images/1431648743728852993/tLJ7F5Lu_normal.png</v>
      </c>
      <c r="AW1047" s="82" t="s">
        <v>17820</v>
      </c>
      <c r="AX1047" s="82" t="s">
        <v>17820</v>
      </c>
      <c r="AY1047" s="77"/>
      <c r="AZ1047" s="82" t="s">
        <v>20971</v>
      </c>
      <c r="BA1047" s="82" t="s">
        <v>20971</v>
      </c>
      <c r="BB1047" s="82" t="s">
        <v>20971</v>
      </c>
      <c r="BC1047" s="82" t="s">
        <v>17820</v>
      </c>
      <c r="BD1047" s="77">
        <v>489723814</v>
      </c>
      <c r="BE1047" s="77"/>
      <c r="BF1047" s="77"/>
      <c r="BG1047" s="77"/>
      <c r="BH1047" s="77"/>
      <c r="BI1047" s="77"/>
    </row>
    <row r="1048" spans="1:61" x14ac:dyDescent="0.25">
      <c r="A1048" s="62" t="s">
        <v>418</v>
      </c>
      <c r="B1048" s="62" t="s">
        <v>418</v>
      </c>
      <c r="C1048" s="63"/>
      <c r="D1048" s="64"/>
      <c r="E1048" s="65"/>
      <c r="F1048" s="66"/>
      <c r="G1048" s="63"/>
      <c r="H1048" s="67"/>
      <c r="I1048" s="68"/>
      <c r="J1048" s="68"/>
      <c r="K1048" s="32"/>
      <c r="L1048" s="75">
        <v>1048</v>
      </c>
      <c r="M1048" s="75"/>
      <c r="N1048" s="70"/>
      <c r="O1048" s="77" t="s">
        <v>179</v>
      </c>
      <c r="P1048" s="79">
        <v>45005.751250000001</v>
      </c>
      <c r="Q1048" s="77" t="s">
        <v>2309</v>
      </c>
      <c r="R1048" s="77">
        <v>0</v>
      </c>
      <c r="S1048" s="77">
        <v>0</v>
      </c>
      <c r="T1048" s="77">
        <v>0</v>
      </c>
      <c r="U1048" s="77">
        <v>0</v>
      </c>
      <c r="V1048" s="77">
        <v>10</v>
      </c>
      <c r="W1048" s="82" t="s">
        <v>5335</v>
      </c>
      <c r="X1048" s="80" t="str">
        <f>HYPERLINK("https://www.freeclassificados.com/ads/100-receitas-de-confeitaria-passo-a-passo/")</f>
        <v>https://www.freeclassificados.com/ads/100-receitas-de-confeitaria-passo-a-passo/</v>
      </c>
      <c r="Y1048" s="77" t="s">
        <v>7308</v>
      </c>
      <c r="Z1048" s="77"/>
      <c r="AA1048" s="77"/>
      <c r="AB1048" s="77"/>
      <c r="AC1048" s="82" t="s">
        <v>10155</v>
      </c>
      <c r="AD1048" s="77" t="s">
        <v>10184</v>
      </c>
      <c r="AE1048" s="80" t="str">
        <f>HYPERLINK("https://twitter.com/freeclassific/status/1637877110776954881")</f>
        <v>https://twitter.com/freeclassific/status/1637877110776954881</v>
      </c>
      <c r="AF1048" s="79">
        <v>45005.751250000001</v>
      </c>
      <c r="AG1048" s="85">
        <v>45005</v>
      </c>
      <c r="AH1048" s="82" t="s">
        <v>11198</v>
      </c>
      <c r="AI1048" s="77" t="b">
        <v>0</v>
      </c>
      <c r="AJ1048" s="77"/>
      <c r="AK1048" s="77"/>
      <c r="AL1048" s="77"/>
      <c r="AM1048" s="77"/>
      <c r="AN1048" s="77"/>
      <c r="AO1048" s="77"/>
      <c r="AP1048" s="77"/>
      <c r="AQ1048" s="77"/>
      <c r="AR1048" s="77"/>
      <c r="AS1048" s="77"/>
      <c r="AT1048" s="77"/>
      <c r="AU1048" s="77"/>
      <c r="AV1048" s="80" t="str">
        <f>HYPERLINK("https://pbs.twimg.com/profile_images/1431648743728852993/tLJ7F5Lu_normal.png")</f>
        <v>https://pbs.twimg.com/profile_images/1431648743728852993/tLJ7F5Lu_normal.png</v>
      </c>
      <c r="AW1048" s="82" t="s">
        <v>17821</v>
      </c>
      <c r="AX1048" s="82" t="s">
        <v>17821</v>
      </c>
      <c r="AY1048" s="77"/>
      <c r="AZ1048" s="82" t="s">
        <v>20971</v>
      </c>
      <c r="BA1048" s="82" t="s">
        <v>20971</v>
      </c>
      <c r="BB1048" s="82" t="s">
        <v>20971</v>
      </c>
      <c r="BC1048" s="82" t="s">
        <v>17821</v>
      </c>
      <c r="BD1048" s="77">
        <v>489723814</v>
      </c>
      <c r="BE1048" s="77"/>
      <c r="BF1048" s="77"/>
      <c r="BG1048" s="77"/>
      <c r="BH1048" s="77"/>
      <c r="BI1048" s="77"/>
    </row>
    <row r="1049" spans="1:61" x14ac:dyDescent="0.25">
      <c r="A1049" s="62" t="s">
        <v>418</v>
      </c>
      <c r="B1049" s="62" t="s">
        <v>418</v>
      </c>
      <c r="C1049" s="63"/>
      <c r="D1049" s="64"/>
      <c r="E1049" s="65"/>
      <c r="F1049" s="66"/>
      <c r="G1049" s="63"/>
      <c r="H1049" s="67"/>
      <c r="I1049" s="68"/>
      <c r="J1049" s="68"/>
      <c r="K1049" s="32"/>
      <c r="L1049" s="75">
        <v>1049</v>
      </c>
      <c r="M1049" s="75"/>
      <c r="N1049" s="70"/>
      <c r="O1049" s="77" t="s">
        <v>179</v>
      </c>
      <c r="P1049" s="79">
        <v>45005.740358796298</v>
      </c>
      <c r="Q1049" s="77" t="s">
        <v>2116</v>
      </c>
      <c r="R1049" s="77">
        <v>0</v>
      </c>
      <c r="S1049" s="77">
        <v>0</v>
      </c>
      <c r="T1049" s="77">
        <v>0</v>
      </c>
      <c r="U1049" s="77">
        <v>0</v>
      </c>
      <c r="V1049" s="77">
        <v>16</v>
      </c>
      <c r="W1049" s="82" t="s">
        <v>5335</v>
      </c>
      <c r="X1049" s="80" t="str">
        <f>HYPERLINK("https://www.freeclassificados.com/ads/urgente-aprovado-pela-anvisa/")</f>
        <v>https://www.freeclassificados.com/ads/urgente-aprovado-pela-anvisa/</v>
      </c>
      <c r="Y1049" s="77" t="s">
        <v>7308</v>
      </c>
      <c r="Z1049" s="77"/>
      <c r="AA1049" s="77"/>
      <c r="AB1049" s="77"/>
      <c r="AC1049" s="82" t="s">
        <v>10155</v>
      </c>
      <c r="AD1049" s="77" t="s">
        <v>10184</v>
      </c>
      <c r="AE1049" s="80" t="str">
        <f>HYPERLINK("https://twitter.com/freeclassific/status/1637873164003971072")</f>
        <v>https://twitter.com/freeclassific/status/1637873164003971072</v>
      </c>
      <c r="AF1049" s="79">
        <v>45005.740358796298</v>
      </c>
      <c r="AG1049" s="85">
        <v>45005</v>
      </c>
      <c r="AH1049" s="82" t="s">
        <v>11199</v>
      </c>
      <c r="AI1049" s="77" t="b">
        <v>0</v>
      </c>
      <c r="AJ1049" s="77"/>
      <c r="AK1049" s="77"/>
      <c r="AL1049" s="77"/>
      <c r="AM1049" s="77"/>
      <c r="AN1049" s="77"/>
      <c r="AO1049" s="77"/>
      <c r="AP1049" s="77"/>
      <c r="AQ1049" s="77"/>
      <c r="AR1049" s="77"/>
      <c r="AS1049" s="77"/>
      <c r="AT1049" s="77"/>
      <c r="AU1049" s="77"/>
      <c r="AV1049" s="80" t="str">
        <f>HYPERLINK("https://pbs.twimg.com/profile_images/1431648743728852993/tLJ7F5Lu_normal.png")</f>
        <v>https://pbs.twimg.com/profile_images/1431648743728852993/tLJ7F5Lu_normal.png</v>
      </c>
      <c r="AW1049" s="82" t="s">
        <v>17822</v>
      </c>
      <c r="AX1049" s="82" t="s">
        <v>17822</v>
      </c>
      <c r="AY1049" s="77"/>
      <c r="AZ1049" s="82" t="s">
        <v>20971</v>
      </c>
      <c r="BA1049" s="82" t="s">
        <v>20971</v>
      </c>
      <c r="BB1049" s="82" t="s">
        <v>20971</v>
      </c>
      <c r="BC1049" s="82" t="s">
        <v>17822</v>
      </c>
      <c r="BD1049" s="77">
        <v>489723814</v>
      </c>
      <c r="BE1049" s="77"/>
      <c r="BF1049" s="77"/>
      <c r="BG1049" s="77"/>
      <c r="BH1049" s="77"/>
      <c r="BI1049" s="77"/>
    </row>
    <row r="1050" spans="1:61" x14ac:dyDescent="0.25">
      <c r="A1050" s="62" t="s">
        <v>418</v>
      </c>
      <c r="B1050" s="62" t="s">
        <v>418</v>
      </c>
      <c r="C1050" s="63"/>
      <c r="D1050" s="64"/>
      <c r="E1050" s="65"/>
      <c r="F1050" s="66"/>
      <c r="G1050" s="63"/>
      <c r="H1050" s="67"/>
      <c r="I1050" s="68"/>
      <c r="J1050" s="68"/>
      <c r="K1050" s="32"/>
      <c r="L1050" s="75">
        <v>1050</v>
      </c>
      <c r="M1050" s="75"/>
      <c r="N1050" s="70"/>
      <c r="O1050" s="77" t="s">
        <v>179</v>
      </c>
      <c r="P1050" s="79">
        <v>45005.729699074072</v>
      </c>
      <c r="Q1050" s="77" t="s">
        <v>2117</v>
      </c>
      <c r="R1050" s="77">
        <v>0</v>
      </c>
      <c r="S1050" s="77">
        <v>0</v>
      </c>
      <c r="T1050" s="77">
        <v>0</v>
      </c>
      <c r="U1050" s="77">
        <v>0</v>
      </c>
      <c r="V1050" s="77">
        <v>10</v>
      </c>
      <c r="W1050" s="82" t="s">
        <v>5335</v>
      </c>
      <c r="X1050" s="80" t="str">
        <f>HYPERLINK("https://www.freeclassificados.com/ads/comece-agora-o-seu-tratamento-e-veja-o-resultado-em-pouco-tempo/")</f>
        <v>https://www.freeclassificados.com/ads/comece-agora-o-seu-tratamento-e-veja-o-resultado-em-pouco-tempo/</v>
      </c>
      <c r="Y1050" s="77" t="s">
        <v>7308</v>
      </c>
      <c r="Z1050" s="77"/>
      <c r="AA1050" s="77"/>
      <c r="AB1050" s="77"/>
      <c r="AC1050" s="82" t="s">
        <v>10155</v>
      </c>
      <c r="AD1050" s="77" t="s">
        <v>10184</v>
      </c>
      <c r="AE1050" s="80" t="str">
        <f>HYPERLINK("https://twitter.com/freeclassific/status/1637869300739624961")</f>
        <v>https://twitter.com/freeclassific/status/1637869300739624961</v>
      </c>
      <c r="AF1050" s="79">
        <v>45005.729699074072</v>
      </c>
      <c r="AG1050" s="85">
        <v>45005</v>
      </c>
      <c r="AH1050" s="82" t="s">
        <v>11200</v>
      </c>
      <c r="AI1050" s="77" t="b">
        <v>0</v>
      </c>
      <c r="AJ1050" s="77"/>
      <c r="AK1050" s="77"/>
      <c r="AL1050" s="77"/>
      <c r="AM1050" s="77"/>
      <c r="AN1050" s="77"/>
      <c r="AO1050" s="77"/>
      <c r="AP1050" s="77"/>
      <c r="AQ1050" s="77"/>
      <c r="AR1050" s="77"/>
      <c r="AS1050" s="77"/>
      <c r="AT1050" s="77"/>
      <c r="AU1050" s="77"/>
      <c r="AV1050" s="80" t="str">
        <f>HYPERLINK("https://pbs.twimg.com/profile_images/1431648743728852993/tLJ7F5Lu_normal.png")</f>
        <v>https://pbs.twimg.com/profile_images/1431648743728852993/tLJ7F5Lu_normal.png</v>
      </c>
      <c r="AW1050" s="82" t="s">
        <v>17823</v>
      </c>
      <c r="AX1050" s="82" t="s">
        <v>17823</v>
      </c>
      <c r="AY1050" s="77"/>
      <c r="AZ1050" s="82" t="s">
        <v>20971</v>
      </c>
      <c r="BA1050" s="82" t="s">
        <v>20971</v>
      </c>
      <c r="BB1050" s="82" t="s">
        <v>20971</v>
      </c>
      <c r="BC1050" s="82" t="s">
        <v>17823</v>
      </c>
      <c r="BD1050" s="77">
        <v>489723814</v>
      </c>
      <c r="BE1050" s="77"/>
      <c r="BF1050" s="77"/>
      <c r="BG1050" s="77"/>
      <c r="BH1050" s="77"/>
      <c r="BI1050" s="77"/>
    </row>
    <row r="1051" spans="1:61" x14ac:dyDescent="0.25">
      <c r="A1051" s="62" t="s">
        <v>418</v>
      </c>
      <c r="B1051" s="62" t="s">
        <v>418</v>
      </c>
      <c r="C1051" s="63"/>
      <c r="D1051" s="64"/>
      <c r="E1051" s="65"/>
      <c r="F1051" s="66"/>
      <c r="G1051" s="63"/>
      <c r="H1051" s="67"/>
      <c r="I1051" s="68"/>
      <c r="J1051" s="68"/>
      <c r="K1051" s="32"/>
      <c r="L1051" s="75">
        <v>1051</v>
      </c>
      <c r="M1051" s="75"/>
      <c r="N1051" s="70"/>
      <c r="O1051" s="77" t="s">
        <v>179</v>
      </c>
      <c r="P1051" s="79">
        <v>45005.606770833336</v>
      </c>
      <c r="Q1051" s="77" t="s">
        <v>2310</v>
      </c>
      <c r="R1051" s="77">
        <v>0</v>
      </c>
      <c r="S1051" s="77">
        <v>0</v>
      </c>
      <c r="T1051" s="77">
        <v>0</v>
      </c>
      <c r="U1051" s="77">
        <v>0</v>
      </c>
      <c r="V1051" s="77">
        <v>7</v>
      </c>
      <c r="W1051" s="82" t="s">
        <v>5335</v>
      </c>
      <c r="X1051" s="80" t="str">
        <f>HYPERLINK("https://www.freeclassificados.com/ads/sacola-plastica-personalizada/")</f>
        <v>https://www.freeclassificados.com/ads/sacola-plastica-personalizada/</v>
      </c>
      <c r="Y1051" s="77" t="s">
        <v>7308</v>
      </c>
      <c r="Z1051" s="77"/>
      <c r="AA1051" s="77"/>
      <c r="AB1051" s="77"/>
      <c r="AC1051" s="82" t="s">
        <v>10155</v>
      </c>
      <c r="AD1051" s="77" t="s">
        <v>10187</v>
      </c>
      <c r="AE1051" s="80" t="str">
        <f>HYPERLINK("https://twitter.com/freeclassific/status/1637824756723646465")</f>
        <v>https://twitter.com/freeclassific/status/1637824756723646465</v>
      </c>
      <c r="AF1051" s="79">
        <v>45005.606770833336</v>
      </c>
      <c r="AG1051" s="85">
        <v>45005</v>
      </c>
      <c r="AH1051" s="82" t="s">
        <v>11201</v>
      </c>
      <c r="AI1051" s="77" t="b">
        <v>0</v>
      </c>
      <c r="AJ1051" s="77"/>
      <c r="AK1051" s="77"/>
      <c r="AL1051" s="77"/>
      <c r="AM1051" s="77"/>
      <c r="AN1051" s="77"/>
      <c r="AO1051" s="77"/>
      <c r="AP1051" s="77"/>
      <c r="AQ1051" s="77"/>
      <c r="AR1051" s="77"/>
      <c r="AS1051" s="77"/>
      <c r="AT1051" s="77"/>
      <c r="AU1051" s="77"/>
      <c r="AV1051" s="80" t="str">
        <f>HYPERLINK("https://pbs.twimg.com/profile_images/1431648743728852993/tLJ7F5Lu_normal.png")</f>
        <v>https://pbs.twimg.com/profile_images/1431648743728852993/tLJ7F5Lu_normal.png</v>
      </c>
      <c r="AW1051" s="82" t="s">
        <v>17824</v>
      </c>
      <c r="AX1051" s="82" t="s">
        <v>17824</v>
      </c>
      <c r="AY1051" s="77"/>
      <c r="AZ1051" s="82" t="s">
        <v>20971</v>
      </c>
      <c r="BA1051" s="82" t="s">
        <v>20971</v>
      </c>
      <c r="BB1051" s="82" t="s">
        <v>20971</v>
      </c>
      <c r="BC1051" s="82" t="s">
        <v>17824</v>
      </c>
      <c r="BD1051" s="77">
        <v>489723814</v>
      </c>
      <c r="BE1051" s="77"/>
      <c r="BF1051" s="77"/>
      <c r="BG1051" s="77"/>
      <c r="BH1051" s="77"/>
      <c r="BI1051" s="77"/>
    </row>
    <row r="1052" spans="1:61" x14ac:dyDescent="0.25">
      <c r="A1052" s="62" t="s">
        <v>418</v>
      </c>
      <c r="B1052" s="62" t="s">
        <v>418</v>
      </c>
      <c r="C1052" s="63"/>
      <c r="D1052" s="64"/>
      <c r="E1052" s="65"/>
      <c r="F1052" s="66"/>
      <c r="G1052" s="63"/>
      <c r="H1052" s="67"/>
      <c r="I1052" s="68"/>
      <c r="J1052" s="68"/>
      <c r="K1052" s="32"/>
      <c r="L1052" s="75">
        <v>1052</v>
      </c>
      <c r="M1052" s="75"/>
      <c r="N1052" s="70"/>
      <c r="O1052" s="77" t="s">
        <v>179</v>
      </c>
      <c r="P1052" s="79">
        <v>45005.158194444448</v>
      </c>
      <c r="Q1052" s="77" t="s">
        <v>2311</v>
      </c>
      <c r="R1052" s="77">
        <v>0</v>
      </c>
      <c r="S1052" s="77">
        <v>0</v>
      </c>
      <c r="T1052" s="77">
        <v>0</v>
      </c>
      <c r="U1052" s="77">
        <v>0</v>
      </c>
      <c r="V1052" s="77">
        <v>12</v>
      </c>
      <c r="W1052" s="82" t="s">
        <v>5335</v>
      </c>
      <c r="X1052" s="80" t="str">
        <f>HYPERLINK("https://www.freeclassificados.com/ads/voce-realmente-deseja-ser-uma-empreendedora-no-segmento-de-doces-apenas-fazendo-e-vendendo-bolos-no-potes/")</f>
        <v>https://www.freeclassificados.com/ads/voce-realmente-deseja-ser-uma-empreendedora-no-segmento-de-doces-apenas-fazendo-e-vendendo-bolos-no-potes/</v>
      </c>
      <c r="Y1052" s="77" t="s">
        <v>7308</v>
      </c>
      <c r="Z1052" s="77"/>
      <c r="AA1052" s="77"/>
      <c r="AB1052" s="77"/>
      <c r="AC1052" s="82" t="s">
        <v>10155</v>
      </c>
      <c r="AD1052" s="77" t="s">
        <v>10184</v>
      </c>
      <c r="AE1052" s="80" t="str">
        <f>HYPERLINK("https://twitter.com/freeclassific/status/1637662195655008256")</f>
        <v>https://twitter.com/freeclassific/status/1637662195655008256</v>
      </c>
      <c r="AF1052" s="79">
        <v>45005.158194444448</v>
      </c>
      <c r="AG1052" s="85">
        <v>45005</v>
      </c>
      <c r="AH1052" s="82" t="s">
        <v>11202</v>
      </c>
      <c r="AI1052" s="77" t="b">
        <v>0</v>
      </c>
      <c r="AJ1052" s="77"/>
      <c r="AK1052" s="77"/>
      <c r="AL1052" s="77"/>
      <c r="AM1052" s="77"/>
      <c r="AN1052" s="77"/>
      <c r="AO1052" s="77"/>
      <c r="AP1052" s="77"/>
      <c r="AQ1052" s="77"/>
      <c r="AR1052" s="77"/>
      <c r="AS1052" s="77"/>
      <c r="AT1052" s="77"/>
      <c r="AU1052" s="77"/>
      <c r="AV1052" s="80" t="str">
        <f>HYPERLINK("https://pbs.twimg.com/profile_images/1431648743728852993/tLJ7F5Lu_normal.png")</f>
        <v>https://pbs.twimg.com/profile_images/1431648743728852993/tLJ7F5Lu_normal.png</v>
      </c>
      <c r="AW1052" s="82" t="s">
        <v>17825</v>
      </c>
      <c r="AX1052" s="82" t="s">
        <v>17825</v>
      </c>
      <c r="AY1052" s="77"/>
      <c r="AZ1052" s="82" t="s">
        <v>20971</v>
      </c>
      <c r="BA1052" s="82" t="s">
        <v>20971</v>
      </c>
      <c r="BB1052" s="82" t="s">
        <v>20971</v>
      </c>
      <c r="BC1052" s="82" t="s">
        <v>17825</v>
      </c>
      <c r="BD1052" s="77">
        <v>489723814</v>
      </c>
      <c r="BE1052" s="77"/>
      <c r="BF1052" s="77"/>
      <c r="BG1052" s="77"/>
      <c r="BH1052" s="77"/>
      <c r="BI1052" s="77"/>
    </row>
    <row r="1053" spans="1:61" x14ac:dyDescent="0.25">
      <c r="A1053" s="62" t="s">
        <v>418</v>
      </c>
      <c r="B1053" s="62" t="s">
        <v>418</v>
      </c>
      <c r="C1053" s="63"/>
      <c r="D1053" s="64"/>
      <c r="E1053" s="65"/>
      <c r="F1053" s="66"/>
      <c r="G1053" s="63"/>
      <c r="H1053" s="67"/>
      <c r="I1053" s="68"/>
      <c r="J1053" s="68"/>
      <c r="K1053" s="32"/>
      <c r="L1053" s="75">
        <v>1053</v>
      </c>
      <c r="M1053" s="75"/>
      <c r="N1053" s="70"/>
      <c r="O1053" s="77" t="s">
        <v>179</v>
      </c>
      <c r="P1053" s="79">
        <v>44959.079710648148</v>
      </c>
      <c r="Q1053" s="77" t="s">
        <v>2312</v>
      </c>
      <c r="R1053" s="77">
        <v>0</v>
      </c>
      <c r="S1053" s="77">
        <v>0</v>
      </c>
      <c r="T1053" s="77">
        <v>0</v>
      </c>
      <c r="U1053" s="77">
        <v>0</v>
      </c>
      <c r="V1053" s="77">
        <v>11</v>
      </c>
      <c r="W1053" s="82" t="s">
        <v>5335</v>
      </c>
      <c r="X1053" s="80" t="str">
        <f>HYPERLINK("https://www.freeclassificados.com/ads/livro-650-receitas-sem-acucar-zero-diabetes/")</f>
        <v>https://www.freeclassificados.com/ads/livro-650-receitas-sem-acucar-zero-diabetes/</v>
      </c>
      <c r="Y1053" s="77" t="s">
        <v>7308</v>
      </c>
      <c r="Z1053" s="77"/>
      <c r="AA1053" s="77"/>
      <c r="AB1053" s="77"/>
      <c r="AC1053" s="82" t="s">
        <v>10155</v>
      </c>
      <c r="AD1053" s="77" t="s">
        <v>10184</v>
      </c>
      <c r="AE1053" s="80" t="str">
        <f>HYPERLINK("https://twitter.com/freeclassific/status/1620963913046102017")</f>
        <v>https://twitter.com/freeclassific/status/1620963913046102017</v>
      </c>
      <c r="AF1053" s="79">
        <v>44959.079710648148</v>
      </c>
      <c r="AG1053" s="85">
        <v>44959</v>
      </c>
      <c r="AH1053" s="82" t="s">
        <v>11203</v>
      </c>
      <c r="AI1053" s="77" t="b">
        <v>0</v>
      </c>
      <c r="AJ1053" s="77"/>
      <c r="AK1053" s="77"/>
      <c r="AL1053" s="77"/>
      <c r="AM1053" s="77"/>
      <c r="AN1053" s="77"/>
      <c r="AO1053" s="77"/>
      <c r="AP1053" s="77"/>
      <c r="AQ1053" s="77"/>
      <c r="AR1053" s="77"/>
      <c r="AS1053" s="77"/>
      <c r="AT1053" s="77"/>
      <c r="AU1053" s="77"/>
      <c r="AV1053" s="80" t="str">
        <f>HYPERLINK("https://pbs.twimg.com/profile_images/1431648743728852993/tLJ7F5Lu_normal.png")</f>
        <v>https://pbs.twimg.com/profile_images/1431648743728852993/tLJ7F5Lu_normal.png</v>
      </c>
      <c r="AW1053" s="82" t="s">
        <v>17826</v>
      </c>
      <c r="AX1053" s="82" t="s">
        <v>17826</v>
      </c>
      <c r="AY1053" s="77"/>
      <c r="AZ1053" s="82" t="s">
        <v>20971</v>
      </c>
      <c r="BA1053" s="82" t="s">
        <v>20971</v>
      </c>
      <c r="BB1053" s="82" t="s">
        <v>20971</v>
      </c>
      <c r="BC1053" s="82" t="s">
        <v>17826</v>
      </c>
      <c r="BD1053" s="77">
        <v>489723814</v>
      </c>
      <c r="BE1053" s="77"/>
      <c r="BF1053" s="77"/>
      <c r="BG1053" s="77"/>
      <c r="BH1053" s="77"/>
      <c r="BI1053" s="77"/>
    </row>
    <row r="1054" spans="1:61" x14ac:dyDescent="0.25">
      <c r="A1054" s="62" t="s">
        <v>418</v>
      </c>
      <c r="B1054" s="62" t="s">
        <v>418</v>
      </c>
      <c r="C1054" s="63"/>
      <c r="D1054" s="64"/>
      <c r="E1054" s="65"/>
      <c r="F1054" s="66"/>
      <c r="G1054" s="63"/>
      <c r="H1054" s="67"/>
      <c r="I1054" s="68"/>
      <c r="J1054" s="68"/>
      <c r="K1054" s="32"/>
      <c r="L1054" s="75">
        <v>1054</v>
      </c>
      <c r="M1054" s="75"/>
      <c r="N1054" s="70"/>
      <c r="O1054" s="77" t="s">
        <v>179</v>
      </c>
      <c r="P1054" s="79">
        <v>44958.929756944446</v>
      </c>
      <c r="Q1054" s="77" t="s">
        <v>2313</v>
      </c>
      <c r="R1054" s="77">
        <v>0</v>
      </c>
      <c r="S1054" s="77">
        <v>0</v>
      </c>
      <c r="T1054" s="77">
        <v>0</v>
      </c>
      <c r="U1054" s="77">
        <v>0</v>
      </c>
      <c r="V1054" s="77">
        <v>11</v>
      </c>
      <c r="W1054" s="82" t="s">
        <v>5335</v>
      </c>
      <c r="X1054" s="80" t="str">
        <f>HYPERLINK("https://www.freeclassificados.com/ads/conheca-os-melhores-cursos-online-de-2023/")</f>
        <v>https://www.freeclassificados.com/ads/conheca-os-melhores-cursos-online-de-2023/</v>
      </c>
      <c r="Y1054" s="77" t="s">
        <v>7308</v>
      </c>
      <c r="Z1054" s="77"/>
      <c r="AA1054" s="77"/>
      <c r="AB1054" s="77"/>
      <c r="AC1054" s="82" t="s">
        <v>10155</v>
      </c>
      <c r="AD1054" s="77" t="s">
        <v>10184</v>
      </c>
      <c r="AE1054" s="80" t="str">
        <f>HYPERLINK("https://twitter.com/freeclassific/status/1620909570934579201")</f>
        <v>https://twitter.com/freeclassific/status/1620909570934579201</v>
      </c>
      <c r="AF1054" s="79">
        <v>44958.929756944446</v>
      </c>
      <c r="AG1054" s="85">
        <v>44958</v>
      </c>
      <c r="AH1054" s="82" t="s">
        <v>11204</v>
      </c>
      <c r="AI1054" s="77" t="b">
        <v>0</v>
      </c>
      <c r="AJ1054" s="77"/>
      <c r="AK1054" s="77"/>
      <c r="AL1054" s="77"/>
      <c r="AM1054" s="77"/>
      <c r="AN1054" s="77"/>
      <c r="AO1054" s="77"/>
      <c r="AP1054" s="77"/>
      <c r="AQ1054" s="77"/>
      <c r="AR1054" s="77"/>
      <c r="AS1054" s="77"/>
      <c r="AT1054" s="77"/>
      <c r="AU1054" s="77"/>
      <c r="AV1054" s="80" t="str">
        <f>HYPERLINK("https://pbs.twimg.com/profile_images/1431648743728852993/tLJ7F5Lu_normal.png")</f>
        <v>https://pbs.twimg.com/profile_images/1431648743728852993/tLJ7F5Lu_normal.png</v>
      </c>
      <c r="AW1054" s="82" t="s">
        <v>17827</v>
      </c>
      <c r="AX1054" s="82" t="s">
        <v>17827</v>
      </c>
      <c r="AY1054" s="77"/>
      <c r="AZ1054" s="82" t="s">
        <v>20971</v>
      </c>
      <c r="BA1054" s="82" t="s">
        <v>20971</v>
      </c>
      <c r="BB1054" s="82" t="s">
        <v>20971</v>
      </c>
      <c r="BC1054" s="82" t="s">
        <v>17827</v>
      </c>
      <c r="BD1054" s="77">
        <v>489723814</v>
      </c>
      <c r="BE1054" s="77"/>
      <c r="BF1054" s="77"/>
      <c r="BG1054" s="77"/>
      <c r="BH1054" s="77"/>
      <c r="BI1054" s="77"/>
    </row>
    <row r="1055" spans="1:61" x14ac:dyDescent="0.25">
      <c r="A1055" s="62" t="s">
        <v>418</v>
      </c>
      <c r="B1055" s="62" t="s">
        <v>418</v>
      </c>
      <c r="C1055" s="63"/>
      <c r="D1055" s="64"/>
      <c r="E1055" s="65"/>
      <c r="F1055" s="66"/>
      <c r="G1055" s="63"/>
      <c r="H1055" s="67"/>
      <c r="I1055" s="68"/>
      <c r="J1055" s="68"/>
      <c r="K1055" s="32"/>
      <c r="L1055" s="75">
        <v>1055</v>
      </c>
      <c r="M1055" s="75"/>
      <c r="N1055" s="70"/>
      <c r="O1055" s="77" t="s">
        <v>179</v>
      </c>
      <c r="P1055" s="79">
        <v>44958.471574074072</v>
      </c>
      <c r="Q1055" s="77" t="s">
        <v>1877</v>
      </c>
      <c r="R1055" s="77">
        <v>0</v>
      </c>
      <c r="S1055" s="77">
        <v>0</v>
      </c>
      <c r="T1055" s="77">
        <v>0</v>
      </c>
      <c r="U1055" s="77">
        <v>0</v>
      </c>
      <c r="V1055" s="77">
        <v>8</v>
      </c>
      <c r="W1055" s="82" t="s">
        <v>5335</v>
      </c>
      <c r="X1055" s="80" t="str">
        <f>HYPERLINK("https://www.freeclassificados.com/ads/palco-coberta-som-luz-alugo-palco-aluguel-tablado-de-vidro-palco-madeira-9-86-25-98-82/")</f>
        <v>https://www.freeclassificados.com/ads/palco-coberta-som-luz-alugo-palco-aluguel-tablado-de-vidro-palco-madeira-9-86-25-98-82/</v>
      </c>
      <c r="Y1055" s="77" t="s">
        <v>7308</v>
      </c>
      <c r="Z1055" s="77"/>
      <c r="AA1055" s="77"/>
      <c r="AB1055" s="77"/>
      <c r="AC1055" s="82" t="s">
        <v>10155</v>
      </c>
      <c r="AD1055" s="77" t="s">
        <v>10184</v>
      </c>
      <c r="AE1055" s="80" t="str">
        <f>HYPERLINK("https://twitter.com/freeclassific/status/1620743532829974528")</f>
        <v>https://twitter.com/freeclassific/status/1620743532829974528</v>
      </c>
      <c r="AF1055" s="79">
        <v>44958.471574074072</v>
      </c>
      <c r="AG1055" s="85">
        <v>44958</v>
      </c>
      <c r="AH1055" s="82" t="s">
        <v>11205</v>
      </c>
      <c r="AI1055" s="77" t="b">
        <v>0</v>
      </c>
      <c r="AJ1055" s="77"/>
      <c r="AK1055" s="77"/>
      <c r="AL1055" s="77"/>
      <c r="AM1055" s="77"/>
      <c r="AN1055" s="77"/>
      <c r="AO1055" s="77"/>
      <c r="AP1055" s="77"/>
      <c r="AQ1055" s="77"/>
      <c r="AR1055" s="77"/>
      <c r="AS1055" s="77"/>
      <c r="AT1055" s="77"/>
      <c r="AU1055" s="77"/>
      <c r="AV1055" s="80" t="str">
        <f>HYPERLINK("https://pbs.twimg.com/profile_images/1431648743728852993/tLJ7F5Lu_normal.png")</f>
        <v>https://pbs.twimg.com/profile_images/1431648743728852993/tLJ7F5Lu_normal.png</v>
      </c>
      <c r="AW1055" s="82" t="s">
        <v>17828</v>
      </c>
      <c r="AX1055" s="82" t="s">
        <v>17828</v>
      </c>
      <c r="AY1055" s="77"/>
      <c r="AZ1055" s="82" t="s">
        <v>20971</v>
      </c>
      <c r="BA1055" s="82" t="s">
        <v>20971</v>
      </c>
      <c r="BB1055" s="82" t="s">
        <v>20971</v>
      </c>
      <c r="BC1055" s="82" t="s">
        <v>17828</v>
      </c>
      <c r="BD1055" s="77">
        <v>489723814</v>
      </c>
      <c r="BE1055" s="77"/>
      <c r="BF1055" s="77"/>
      <c r="BG1055" s="77"/>
      <c r="BH1055" s="77"/>
      <c r="BI1055" s="77"/>
    </row>
    <row r="1056" spans="1:61" x14ac:dyDescent="0.25">
      <c r="A1056" s="62" t="s">
        <v>418</v>
      </c>
      <c r="B1056" s="62" t="s">
        <v>418</v>
      </c>
      <c r="C1056" s="63"/>
      <c r="D1056" s="64"/>
      <c r="E1056" s="65"/>
      <c r="F1056" s="66"/>
      <c r="G1056" s="63"/>
      <c r="H1056" s="67"/>
      <c r="I1056" s="68"/>
      <c r="J1056" s="68"/>
      <c r="K1056" s="32"/>
      <c r="L1056" s="75">
        <v>1056</v>
      </c>
      <c r="M1056" s="75"/>
      <c r="N1056" s="70"/>
      <c r="O1056" s="77" t="s">
        <v>179</v>
      </c>
      <c r="P1056" s="79">
        <v>44957.779930555553</v>
      </c>
      <c r="Q1056" s="77" t="s">
        <v>2314</v>
      </c>
      <c r="R1056" s="77">
        <v>0</v>
      </c>
      <c r="S1056" s="77">
        <v>0</v>
      </c>
      <c r="T1056" s="77">
        <v>0</v>
      </c>
      <c r="U1056" s="77">
        <v>0</v>
      </c>
      <c r="V1056" s="77">
        <v>18</v>
      </c>
      <c r="W1056" s="82" t="s">
        <v>5335</v>
      </c>
      <c r="X1056" s="80" t="str">
        <f>HYPERLINK("https://www.freeclassificados.com/ads/desentupidora-no-jardim-aurelia-em-campinas-19-99231-2502-desentupidora-em-campinas/")</f>
        <v>https://www.freeclassificados.com/ads/desentupidora-no-jardim-aurelia-em-campinas-19-99231-2502-desentupidora-em-campinas/</v>
      </c>
      <c r="Y1056" s="77" t="s">
        <v>7308</v>
      </c>
      <c r="Z1056" s="77"/>
      <c r="AA1056" s="77"/>
      <c r="AB1056" s="77"/>
      <c r="AC1056" s="82" t="s">
        <v>10155</v>
      </c>
      <c r="AD1056" s="77" t="s">
        <v>10184</v>
      </c>
      <c r="AE1056" s="80" t="str">
        <f>HYPERLINK("https://twitter.com/freeclassific/status/1620492889586376716")</f>
        <v>https://twitter.com/freeclassific/status/1620492889586376716</v>
      </c>
      <c r="AF1056" s="79">
        <v>44957.779930555553</v>
      </c>
      <c r="AG1056" s="85">
        <v>44957</v>
      </c>
      <c r="AH1056" s="82" t="s">
        <v>11206</v>
      </c>
      <c r="AI1056" s="77" t="b">
        <v>0</v>
      </c>
      <c r="AJ1056" s="77"/>
      <c r="AK1056" s="77"/>
      <c r="AL1056" s="77"/>
      <c r="AM1056" s="77"/>
      <c r="AN1056" s="77"/>
      <c r="AO1056" s="77"/>
      <c r="AP1056" s="77"/>
      <c r="AQ1056" s="77"/>
      <c r="AR1056" s="77"/>
      <c r="AS1056" s="77"/>
      <c r="AT1056" s="77"/>
      <c r="AU1056" s="77"/>
      <c r="AV1056" s="80" t="str">
        <f>HYPERLINK("https://pbs.twimg.com/profile_images/1431648743728852993/tLJ7F5Lu_normal.png")</f>
        <v>https://pbs.twimg.com/profile_images/1431648743728852993/tLJ7F5Lu_normal.png</v>
      </c>
      <c r="AW1056" s="82" t="s">
        <v>17829</v>
      </c>
      <c r="AX1056" s="82" t="s">
        <v>17829</v>
      </c>
      <c r="AY1056" s="77"/>
      <c r="AZ1056" s="82" t="s">
        <v>20971</v>
      </c>
      <c r="BA1056" s="82" t="s">
        <v>20971</v>
      </c>
      <c r="BB1056" s="82" t="s">
        <v>20971</v>
      </c>
      <c r="BC1056" s="82" t="s">
        <v>17829</v>
      </c>
      <c r="BD1056" s="77">
        <v>489723814</v>
      </c>
      <c r="BE1056" s="77"/>
      <c r="BF1056" s="77"/>
      <c r="BG1056" s="77"/>
      <c r="BH1056" s="77"/>
      <c r="BI1056" s="77"/>
    </row>
    <row r="1057" spans="1:61" x14ac:dyDescent="0.25">
      <c r="A1057" s="62" t="s">
        <v>418</v>
      </c>
      <c r="B1057" s="62" t="s">
        <v>418</v>
      </c>
      <c r="C1057" s="63"/>
      <c r="D1057" s="64"/>
      <c r="E1057" s="65"/>
      <c r="F1057" s="66"/>
      <c r="G1057" s="63"/>
      <c r="H1057" s="67"/>
      <c r="I1057" s="68"/>
      <c r="J1057" s="68"/>
      <c r="K1057" s="32"/>
      <c r="L1057" s="75">
        <v>1057</v>
      </c>
      <c r="M1057" s="75"/>
      <c r="N1057" s="70"/>
      <c r="O1057" s="77" t="s">
        <v>179</v>
      </c>
      <c r="P1057" s="79">
        <v>44957.776921296296</v>
      </c>
      <c r="Q1057" s="77" t="s">
        <v>2315</v>
      </c>
      <c r="R1057" s="77">
        <v>0</v>
      </c>
      <c r="S1057" s="77">
        <v>0</v>
      </c>
      <c r="T1057" s="77">
        <v>0</v>
      </c>
      <c r="U1057" s="77">
        <v>0</v>
      </c>
      <c r="V1057" s="77">
        <v>14</v>
      </c>
      <c r="W1057" s="82" t="s">
        <v>5335</v>
      </c>
      <c r="X1057" s="80" t="str">
        <f>HYPERLINK("https://www.freeclassificados.com/ads/desentupidora-em-campinas-19-99231-2502-desentupidor-em-campinas/")</f>
        <v>https://www.freeclassificados.com/ads/desentupidora-em-campinas-19-99231-2502-desentupidor-em-campinas/</v>
      </c>
      <c r="Y1057" s="77" t="s">
        <v>7308</v>
      </c>
      <c r="Z1057" s="77"/>
      <c r="AA1057" s="77"/>
      <c r="AB1057" s="77"/>
      <c r="AC1057" s="82" t="s">
        <v>10155</v>
      </c>
      <c r="AD1057" s="77" t="s">
        <v>10184</v>
      </c>
      <c r="AE1057" s="80" t="str">
        <f>HYPERLINK("https://twitter.com/freeclassific/status/1620491796655611920")</f>
        <v>https://twitter.com/freeclassific/status/1620491796655611920</v>
      </c>
      <c r="AF1057" s="79">
        <v>44957.776921296296</v>
      </c>
      <c r="AG1057" s="85">
        <v>44957</v>
      </c>
      <c r="AH1057" s="82" t="s">
        <v>11207</v>
      </c>
      <c r="AI1057" s="77" t="b">
        <v>0</v>
      </c>
      <c r="AJ1057" s="77"/>
      <c r="AK1057" s="77"/>
      <c r="AL1057" s="77"/>
      <c r="AM1057" s="77"/>
      <c r="AN1057" s="77"/>
      <c r="AO1057" s="77"/>
      <c r="AP1057" s="77"/>
      <c r="AQ1057" s="77"/>
      <c r="AR1057" s="77"/>
      <c r="AS1057" s="77"/>
      <c r="AT1057" s="77"/>
      <c r="AU1057" s="77"/>
      <c r="AV1057" s="80" t="str">
        <f>HYPERLINK("https://pbs.twimg.com/profile_images/1431648743728852993/tLJ7F5Lu_normal.png")</f>
        <v>https://pbs.twimg.com/profile_images/1431648743728852993/tLJ7F5Lu_normal.png</v>
      </c>
      <c r="AW1057" s="82" t="s">
        <v>17830</v>
      </c>
      <c r="AX1057" s="82" t="s">
        <v>17830</v>
      </c>
      <c r="AY1057" s="77"/>
      <c r="AZ1057" s="82" t="s">
        <v>20971</v>
      </c>
      <c r="BA1057" s="82" t="s">
        <v>20971</v>
      </c>
      <c r="BB1057" s="82" t="s">
        <v>20971</v>
      </c>
      <c r="BC1057" s="82" t="s">
        <v>17830</v>
      </c>
      <c r="BD1057" s="77">
        <v>489723814</v>
      </c>
      <c r="BE1057" s="77"/>
      <c r="BF1057" s="77"/>
      <c r="BG1057" s="77"/>
      <c r="BH1057" s="77"/>
      <c r="BI1057" s="77"/>
    </row>
    <row r="1058" spans="1:61" x14ac:dyDescent="0.25">
      <c r="A1058" s="62" t="s">
        <v>418</v>
      </c>
      <c r="B1058" s="62" t="s">
        <v>418</v>
      </c>
      <c r="C1058" s="63"/>
      <c r="D1058" s="64"/>
      <c r="E1058" s="65"/>
      <c r="F1058" s="66"/>
      <c r="G1058" s="63"/>
      <c r="H1058" s="67"/>
      <c r="I1058" s="68"/>
      <c r="J1058" s="68"/>
      <c r="K1058" s="32"/>
      <c r="L1058" s="75">
        <v>1058</v>
      </c>
      <c r="M1058" s="75"/>
      <c r="N1058" s="70"/>
      <c r="O1058" s="77" t="s">
        <v>179</v>
      </c>
      <c r="P1058" s="79">
        <v>44957.583090277774</v>
      </c>
      <c r="Q1058" s="77" t="s">
        <v>2316</v>
      </c>
      <c r="R1058" s="77">
        <v>0</v>
      </c>
      <c r="S1058" s="77">
        <v>0</v>
      </c>
      <c r="T1058" s="77">
        <v>0</v>
      </c>
      <c r="U1058" s="77">
        <v>0</v>
      </c>
      <c r="V1058" s="77">
        <v>13</v>
      </c>
      <c r="W1058" s="82" t="s">
        <v>5335</v>
      </c>
      <c r="X1058" s="80" t="str">
        <f>HYPERLINK("https://www.freeclassificados.com/ads/concreto-concreto-usinado-caminhao-betoneira-rio-de-janeiro/")</f>
        <v>https://www.freeclassificados.com/ads/concreto-concreto-usinado-caminhao-betoneira-rio-de-janeiro/</v>
      </c>
      <c r="Y1058" s="77" t="s">
        <v>7308</v>
      </c>
      <c r="Z1058" s="77"/>
      <c r="AA1058" s="77"/>
      <c r="AB1058" s="77"/>
      <c r="AC1058" s="82" t="s">
        <v>10155</v>
      </c>
      <c r="AD1058" s="77" t="s">
        <v>10184</v>
      </c>
      <c r="AE1058" s="80" t="str">
        <f>HYPERLINK("https://twitter.com/freeclassific/status/1620421554436993029")</f>
        <v>https://twitter.com/freeclassific/status/1620421554436993029</v>
      </c>
      <c r="AF1058" s="79">
        <v>44957.583090277774</v>
      </c>
      <c r="AG1058" s="85">
        <v>44957</v>
      </c>
      <c r="AH1058" s="82" t="s">
        <v>11208</v>
      </c>
      <c r="AI1058" s="77" t="b">
        <v>0</v>
      </c>
      <c r="AJ1058" s="77"/>
      <c r="AK1058" s="77"/>
      <c r="AL1058" s="77"/>
      <c r="AM1058" s="77"/>
      <c r="AN1058" s="77"/>
      <c r="AO1058" s="77"/>
      <c r="AP1058" s="77"/>
      <c r="AQ1058" s="77"/>
      <c r="AR1058" s="77"/>
      <c r="AS1058" s="77"/>
      <c r="AT1058" s="77"/>
      <c r="AU1058" s="77"/>
      <c r="AV1058" s="80" t="str">
        <f>HYPERLINK("https://pbs.twimg.com/profile_images/1431648743728852993/tLJ7F5Lu_normal.png")</f>
        <v>https://pbs.twimg.com/profile_images/1431648743728852993/tLJ7F5Lu_normal.png</v>
      </c>
      <c r="AW1058" s="82" t="s">
        <v>17831</v>
      </c>
      <c r="AX1058" s="82" t="s">
        <v>17831</v>
      </c>
      <c r="AY1058" s="77"/>
      <c r="AZ1058" s="82" t="s">
        <v>20971</v>
      </c>
      <c r="BA1058" s="82" t="s">
        <v>20971</v>
      </c>
      <c r="BB1058" s="82" t="s">
        <v>20971</v>
      </c>
      <c r="BC1058" s="82" t="s">
        <v>17831</v>
      </c>
      <c r="BD1058" s="77">
        <v>489723814</v>
      </c>
      <c r="BE1058" s="77"/>
      <c r="BF1058" s="77"/>
      <c r="BG1058" s="77"/>
      <c r="BH1058" s="77"/>
      <c r="BI1058" s="77"/>
    </row>
    <row r="1059" spans="1:61" x14ac:dyDescent="0.25">
      <c r="A1059" s="62" t="s">
        <v>418</v>
      </c>
      <c r="B1059" s="62" t="s">
        <v>418</v>
      </c>
      <c r="C1059" s="63"/>
      <c r="D1059" s="64"/>
      <c r="E1059" s="65"/>
      <c r="F1059" s="66"/>
      <c r="G1059" s="63"/>
      <c r="H1059" s="67"/>
      <c r="I1059" s="68"/>
      <c r="J1059" s="68"/>
      <c r="K1059" s="32"/>
      <c r="L1059" s="75">
        <v>1059</v>
      </c>
      <c r="M1059" s="75"/>
      <c r="N1059" s="70"/>
      <c r="O1059" s="77" t="s">
        <v>179</v>
      </c>
      <c r="P1059" s="79">
        <v>44957.581377314818</v>
      </c>
      <c r="Q1059" s="77" t="s">
        <v>2317</v>
      </c>
      <c r="R1059" s="77">
        <v>0</v>
      </c>
      <c r="S1059" s="77">
        <v>0</v>
      </c>
      <c r="T1059" s="77">
        <v>0</v>
      </c>
      <c r="U1059" s="77">
        <v>0</v>
      </c>
      <c r="V1059" s="77">
        <v>9</v>
      </c>
      <c r="W1059" s="82" t="s">
        <v>5335</v>
      </c>
      <c r="X1059" s="80" t="str">
        <f>HYPERLINK("https://www.freeclassificados.com/ads/concreto-concreto-usinado-concreto-bombeado-piso-polido-jpamix-rio/")</f>
        <v>https://www.freeclassificados.com/ads/concreto-concreto-usinado-concreto-bombeado-piso-polido-jpamix-rio/</v>
      </c>
      <c r="Y1059" s="77" t="s">
        <v>7308</v>
      </c>
      <c r="Z1059" s="77"/>
      <c r="AA1059" s="77"/>
      <c r="AB1059" s="77"/>
      <c r="AC1059" s="82" t="s">
        <v>10155</v>
      </c>
      <c r="AD1059" s="77" t="s">
        <v>10184</v>
      </c>
      <c r="AE1059" s="80" t="str">
        <f>HYPERLINK("https://twitter.com/freeclassific/status/1620420936418869249")</f>
        <v>https://twitter.com/freeclassific/status/1620420936418869249</v>
      </c>
      <c r="AF1059" s="79">
        <v>44957.581377314818</v>
      </c>
      <c r="AG1059" s="85">
        <v>44957</v>
      </c>
      <c r="AH1059" s="82" t="s">
        <v>11209</v>
      </c>
      <c r="AI1059" s="77" t="b">
        <v>0</v>
      </c>
      <c r="AJ1059" s="77"/>
      <c r="AK1059" s="77"/>
      <c r="AL1059" s="77"/>
      <c r="AM1059" s="77"/>
      <c r="AN1059" s="77"/>
      <c r="AO1059" s="77"/>
      <c r="AP1059" s="77"/>
      <c r="AQ1059" s="77"/>
      <c r="AR1059" s="77"/>
      <c r="AS1059" s="77"/>
      <c r="AT1059" s="77"/>
      <c r="AU1059" s="77"/>
      <c r="AV1059" s="80" t="str">
        <f>HYPERLINK("https://pbs.twimg.com/profile_images/1431648743728852993/tLJ7F5Lu_normal.png")</f>
        <v>https://pbs.twimg.com/profile_images/1431648743728852993/tLJ7F5Lu_normal.png</v>
      </c>
      <c r="AW1059" s="82" t="s">
        <v>17832</v>
      </c>
      <c r="AX1059" s="82" t="s">
        <v>17832</v>
      </c>
      <c r="AY1059" s="77"/>
      <c r="AZ1059" s="82" t="s">
        <v>20971</v>
      </c>
      <c r="BA1059" s="82" t="s">
        <v>20971</v>
      </c>
      <c r="BB1059" s="82" t="s">
        <v>20971</v>
      </c>
      <c r="BC1059" s="82" t="s">
        <v>17832</v>
      </c>
      <c r="BD1059" s="77">
        <v>489723814</v>
      </c>
      <c r="BE1059" s="77"/>
      <c r="BF1059" s="77"/>
      <c r="BG1059" s="77"/>
      <c r="BH1059" s="77"/>
      <c r="BI1059" s="77"/>
    </row>
    <row r="1060" spans="1:61" x14ac:dyDescent="0.25">
      <c r="A1060" s="62" t="s">
        <v>418</v>
      </c>
      <c r="B1060" s="62" t="s">
        <v>418</v>
      </c>
      <c r="C1060" s="63"/>
      <c r="D1060" s="64"/>
      <c r="E1060" s="65"/>
      <c r="F1060" s="66"/>
      <c r="G1060" s="63"/>
      <c r="H1060" s="67"/>
      <c r="I1060" s="68"/>
      <c r="J1060" s="68"/>
      <c r="K1060" s="32"/>
      <c r="L1060" s="75">
        <v>1060</v>
      </c>
      <c r="M1060" s="75"/>
      <c r="N1060" s="70"/>
      <c r="O1060" s="77" t="s">
        <v>179</v>
      </c>
      <c r="P1060" s="79">
        <v>44957.579733796294</v>
      </c>
      <c r="Q1060" s="77" t="s">
        <v>2318</v>
      </c>
      <c r="R1060" s="77">
        <v>0</v>
      </c>
      <c r="S1060" s="77">
        <v>0</v>
      </c>
      <c r="T1060" s="77">
        <v>0</v>
      </c>
      <c r="U1060" s="77">
        <v>0</v>
      </c>
      <c r="V1060" s="77">
        <v>10</v>
      </c>
      <c r="W1060" s="82" t="s">
        <v>5335</v>
      </c>
      <c r="X1060" s="80" t="str">
        <f>HYPERLINK("https://www.freeclassificados.com/ads/concreto-concreto-bombeado-concreto-usinado-jpamix-rio-de-janeiro/")</f>
        <v>https://www.freeclassificados.com/ads/concreto-concreto-bombeado-concreto-usinado-jpamix-rio-de-janeiro/</v>
      </c>
      <c r="Y1060" s="77" t="s">
        <v>7308</v>
      </c>
      <c r="Z1060" s="77"/>
      <c r="AA1060" s="77"/>
      <c r="AB1060" s="77"/>
      <c r="AC1060" s="82" t="s">
        <v>10155</v>
      </c>
      <c r="AD1060" s="77" t="s">
        <v>10184</v>
      </c>
      <c r="AE1060" s="80" t="str">
        <f>HYPERLINK("https://twitter.com/freeclassific/status/1620420339628118020")</f>
        <v>https://twitter.com/freeclassific/status/1620420339628118020</v>
      </c>
      <c r="AF1060" s="79">
        <v>44957.579733796294</v>
      </c>
      <c r="AG1060" s="85">
        <v>44957</v>
      </c>
      <c r="AH1060" s="82" t="s">
        <v>11210</v>
      </c>
      <c r="AI1060" s="77" t="b">
        <v>0</v>
      </c>
      <c r="AJ1060" s="77"/>
      <c r="AK1060" s="77"/>
      <c r="AL1060" s="77"/>
      <c r="AM1060" s="77"/>
      <c r="AN1060" s="77"/>
      <c r="AO1060" s="77"/>
      <c r="AP1060" s="77"/>
      <c r="AQ1060" s="77"/>
      <c r="AR1060" s="77"/>
      <c r="AS1060" s="77"/>
      <c r="AT1060" s="77"/>
      <c r="AU1060" s="77"/>
      <c r="AV1060" s="80" t="str">
        <f>HYPERLINK("https://pbs.twimg.com/profile_images/1431648743728852993/tLJ7F5Lu_normal.png")</f>
        <v>https://pbs.twimg.com/profile_images/1431648743728852993/tLJ7F5Lu_normal.png</v>
      </c>
      <c r="AW1060" s="82" t="s">
        <v>17833</v>
      </c>
      <c r="AX1060" s="82" t="s">
        <v>17833</v>
      </c>
      <c r="AY1060" s="77"/>
      <c r="AZ1060" s="82" t="s">
        <v>20971</v>
      </c>
      <c r="BA1060" s="82" t="s">
        <v>20971</v>
      </c>
      <c r="BB1060" s="82" t="s">
        <v>20971</v>
      </c>
      <c r="BC1060" s="82" t="s">
        <v>17833</v>
      </c>
      <c r="BD1060" s="77">
        <v>489723814</v>
      </c>
      <c r="BE1060" s="77"/>
      <c r="BF1060" s="77"/>
      <c r="BG1060" s="77"/>
      <c r="BH1060" s="77"/>
      <c r="BI1060" s="77"/>
    </row>
    <row r="1061" spans="1:61" x14ac:dyDescent="0.25">
      <c r="A1061" s="62" t="s">
        <v>418</v>
      </c>
      <c r="B1061" s="62" t="s">
        <v>418</v>
      </c>
      <c r="C1061" s="63"/>
      <c r="D1061" s="64"/>
      <c r="E1061" s="65"/>
      <c r="F1061" s="66"/>
      <c r="G1061" s="63"/>
      <c r="H1061" s="67"/>
      <c r="I1061" s="68"/>
      <c r="J1061" s="68"/>
      <c r="K1061" s="32"/>
      <c r="L1061" s="75">
        <v>1061</v>
      </c>
      <c r="M1061" s="75"/>
      <c r="N1061" s="70"/>
      <c r="O1061" s="77" t="s">
        <v>179</v>
      </c>
      <c r="P1061" s="79">
        <v>44956.952905092592</v>
      </c>
      <c r="Q1061" s="77" t="s">
        <v>2319</v>
      </c>
      <c r="R1061" s="77">
        <v>0</v>
      </c>
      <c r="S1061" s="77">
        <v>0</v>
      </c>
      <c r="T1061" s="77">
        <v>0</v>
      </c>
      <c r="U1061" s="77">
        <v>0</v>
      </c>
      <c r="V1061" s="77">
        <v>21</v>
      </c>
      <c r="W1061" s="82" t="s">
        <v>5335</v>
      </c>
      <c r="X1061" s="80" t="str">
        <f>HYPERLINK("https://www.freeclassificados.com/ads/como-ganhar-dinheiro-em-casa-com-essa-grande-oportunidade-da-imagem-folheados-conheca-o-programa-de-afiliados-e-gratis/")</f>
        <v>https://www.freeclassificados.com/ads/como-ganhar-dinheiro-em-casa-com-essa-grande-oportunidade-da-imagem-folheados-conheca-o-programa-de-afiliados-e-gratis/</v>
      </c>
      <c r="Y1061" s="77" t="s">
        <v>7308</v>
      </c>
      <c r="Z1061" s="77"/>
      <c r="AA1061" s="77"/>
      <c r="AB1061" s="77"/>
      <c r="AC1061" s="82" t="s">
        <v>10155</v>
      </c>
      <c r="AD1061" s="77" t="s">
        <v>10184</v>
      </c>
      <c r="AE1061" s="80" t="str">
        <f>HYPERLINK("https://twitter.com/freeclassific/status/1620193184616796162")</f>
        <v>https://twitter.com/freeclassific/status/1620193184616796162</v>
      </c>
      <c r="AF1061" s="79">
        <v>44956.952905092592</v>
      </c>
      <c r="AG1061" s="85">
        <v>44956</v>
      </c>
      <c r="AH1061" s="82" t="s">
        <v>11211</v>
      </c>
      <c r="AI1061" s="77" t="b">
        <v>0</v>
      </c>
      <c r="AJ1061" s="77"/>
      <c r="AK1061" s="77"/>
      <c r="AL1061" s="77"/>
      <c r="AM1061" s="77"/>
      <c r="AN1061" s="77"/>
      <c r="AO1061" s="77"/>
      <c r="AP1061" s="77"/>
      <c r="AQ1061" s="77"/>
      <c r="AR1061" s="77"/>
      <c r="AS1061" s="77"/>
      <c r="AT1061" s="77"/>
      <c r="AU1061" s="77"/>
      <c r="AV1061" s="80" t="str">
        <f>HYPERLINK("https://pbs.twimg.com/profile_images/1431648743728852993/tLJ7F5Lu_normal.png")</f>
        <v>https://pbs.twimg.com/profile_images/1431648743728852993/tLJ7F5Lu_normal.png</v>
      </c>
      <c r="AW1061" s="82" t="s">
        <v>17834</v>
      </c>
      <c r="AX1061" s="82" t="s">
        <v>17834</v>
      </c>
      <c r="AY1061" s="77"/>
      <c r="AZ1061" s="82" t="s">
        <v>20971</v>
      </c>
      <c r="BA1061" s="82" t="s">
        <v>20971</v>
      </c>
      <c r="BB1061" s="82" t="s">
        <v>20971</v>
      </c>
      <c r="BC1061" s="82" t="s">
        <v>17834</v>
      </c>
      <c r="BD1061" s="77">
        <v>489723814</v>
      </c>
      <c r="BE1061" s="77"/>
      <c r="BF1061" s="77"/>
      <c r="BG1061" s="77"/>
      <c r="BH1061" s="77"/>
      <c r="BI1061" s="77"/>
    </row>
    <row r="1062" spans="1:61" x14ac:dyDescent="0.25">
      <c r="A1062" s="62" t="s">
        <v>418</v>
      </c>
      <c r="B1062" s="62" t="s">
        <v>418</v>
      </c>
      <c r="C1062" s="63"/>
      <c r="D1062" s="64"/>
      <c r="E1062" s="65"/>
      <c r="F1062" s="66"/>
      <c r="G1062" s="63"/>
      <c r="H1062" s="67"/>
      <c r="I1062" s="68"/>
      <c r="J1062" s="68"/>
      <c r="K1062" s="32"/>
      <c r="L1062" s="75">
        <v>1062</v>
      </c>
      <c r="M1062" s="75"/>
      <c r="N1062" s="70"/>
      <c r="O1062" s="77" t="s">
        <v>179</v>
      </c>
      <c r="P1062" s="79">
        <v>44956.93372685185</v>
      </c>
      <c r="Q1062" s="77" t="s">
        <v>2320</v>
      </c>
      <c r="R1062" s="77">
        <v>0</v>
      </c>
      <c r="S1062" s="77">
        <v>0</v>
      </c>
      <c r="T1062" s="77">
        <v>0</v>
      </c>
      <c r="U1062" s="77">
        <v>0</v>
      </c>
      <c r="V1062" s="77">
        <v>7</v>
      </c>
      <c r="W1062" s="82" t="s">
        <v>5335</v>
      </c>
      <c r="X1062" s="80" t="str">
        <f>HYPERLINK("https://www.freeclassificados.com/ads/como-a-joias-da-imagem-folheadas-por-atacado-para-o-seu-negocio/")</f>
        <v>https://www.freeclassificados.com/ads/como-a-joias-da-imagem-folheadas-por-atacado-para-o-seu-negocio/</v>
      </c>
      <c r="Y1062" s="77" t="s">
        <v>7308</v>
      </c>
      <c r="Z1062" s="77"/>
      <c r="AA1062" s="77"/>
      <c r="AB1062" s="77"/>
      <c r="AC1062" s="82" t="s">
        <v>10155</v>
      </c>
      <c r="AD1062" s="77" t="s">
        <v>10184</v>
      </c>
      <c r="AE1062" s="80" t="str">
        <f>HYPERLINK("https://twitter.com/freeclassific/status/1620186232167833601")</f>
        <v>https://twitter.com/freeclassific/status/1620186232167833601</v>
      </c>
      <c r="AF1062" s="79">
        <v>44956.93372685185</v>
      </c>
      <c r="AG1062" s="85">
        <v>44956</v>
      </c>
      <c r="AH1062" s="82" t="s">
        <v>11212</v>
      </c>
      <c r="AI1062" s="77" t="b">
        <v>0</v>
      </c>
      <c r="AJ1062" s="77"/>
      <c r="AK1062" s="77"/>
      <c r="AL1062" s="77"/>
      <c r="AM1062" s="77"/>
      <c r="AN1062" s="77"/>
      <c r="AO1062" s="77"/>
      <c r="AP1062" s="77"/>
      <c r="AQ1062" s="77"/>
      <c r="AR1062" s="77"/>
      <c r="AS1062" s="77"/>
      <c r="AT1062" s="77"/>
      <c r="AU1062" s="77"/>
      <c r="AV1062" s="80" t="str">
        <f>HYPERLINK("https://pbs.twimg.com/profile_images/1431648743728852993/tLJ7F5Lu_normal.png")</f>
        <v>https://pbs.twimg.com/profile_images/1431648743728852993/tLJ7F5Lu_normal.png</v>
      </c>
      <c r="AW1062" s="82" t="s">
        <v>17835</v>
      </c>
      <c r="AX1062" s="82" t="s">
        <v>17835</v>
      </c>
      <c r="AY1062" s="77"/>
      <c r="AZ1062" s="82" t="s">
        <v>20971</v>
      </c>
      <c r="BA1062" s="82" t="s">
        <v>20971</v>
      </c>
      <c r="BB1062" s="82" t="s">
        <v>20971</v>
      </c>
      <c r="BC1062" s="82" t="s">
        <v>17835</v>
      </c>
      <c r="BD1062" s="77">
        <v>489723814</v>
      </c>
      <c r="BE1062" s="77"/>
      <c r="BF1062" s="77"/>
      <c r="BG1062" s="77"/>
      <c r="BH1062" s="77"/>
      <c r="BI1062" s="77"/>
    </row>
    <row r="1063" spans="1:61" x14ac:dyDescent="0.25">
      <c r="A1063" s="62" t="s">
        <v>418</v>
      </c>
      <c r="B1063" s="62" t="s">
        <v>418</v>
      </c>
      <c r="C1063" s="63"/>
      <c r="D1063" s="64"/>
      <c r="E1063" s="65"/>
      <c r="F1063" s="66"/>
      <c r="G1063" s="63"/>
      <c r="H1063" s="67"/>
      <c r="I1063" s="68"/>
      <c r="J1063" s="68"/>
      <c r="K1063" s="32"/>
      <c r="L1063" s="75">
        <v>1063</v>
      </c>
      <c r="M1063" s="75"/>
      <c r="N1063" s="70"/>
      <c r="O1063" s="77" t="s">
        <v>179</v>
      </c>
      <c r="P1063" s="79">
        <v>44956.932372685187</v>
      </c>
      <c r="Q1063" s="77" t="s">
        <v>2321</v>
      </c>
      <c r="R1063" s="77">
        <v>0</v>
      </c>
      <c r="S1063" s="77">
        <v>0</v>
      </c>
      <c r="T1063" s="77">
        <v>0</v>
      </c>
      <c r="U1063" s="77">
        <v>0</v>
      </c>
      <c r="V1063" s="77">
        <v>7</v>
      </c>
      <c r="W1063" s="82" t="s">
        <v>5335</v>
      </c>
      <c r="X1063" s="80" t="str">
        <f>HYPERLINK("https://www.freeclassificados.com/ads/como-a-joias-da-imagem-folheadas-por-atacado-para-o-seu-negocio/")</f>
        <v>https://www.freeclassificados.com/ads/como-a-joias-da-imagem-folheadas-por-atacado-para-o-seu-negocio/</v>
      </c>
      <c r="Y1063" s="77" t="s">
        <v>7308</v>
      </c>
      <c r="Z1063" s="77"/>
      <c r="AA1063" s="77"/>
      <c r="AB1063" s="77"/>
      <c r="AC1063" s="82" t="s">
        <v>10155</v>
      </c>
      <c r="AD1063" s="77" t="s">
        <v>10184</v>
      </c>
      <c r="AE1063" s="80" t="str">
        <f>HYPERLINK("https://twitter.com/freeclassific/status/1620185744835842049")</f>
        <v>https://twitter.com/freeclassific/status/1620185744835842049</v>
      </c>
      <c r="AF1063" s="79">
        <v>44956.932372685187</v>
      </c>
      <c r="AG1063" s="85">
        <v>44956</v>
      </c>
      <c r="AH1063" s="82" t="s">
        <v>11213</v>
      </c>
      <c r="AI1063" s="77" t="b">
        <v>0</v>
      </c>
      <c r="AJ1063" s="77"/>
      <c r="AK1063" s="77"/>
      <c r="AL1063" s="77"/>
      <c r="AM1063" s="77"/>
      <c r="AN1063" s="77"/>
      <c r="AO1063" s="77"/>
      <c r="AP1063" s="77"/>
      <c r="AQ1063" s="77"/>
      <c r="AR1063" s="77"/>
      <c r="AS1063" s="77"/>
      <c r="AT1063" s="77"/>
      <c r="AU1063" s="77"/>
      <c r="AV1063" s="80" t="str">
        <f>HYPERLINK("https://pbs.twimg.com/profile_images/1431648743728852993/tLJ7F5Lu_normal.png")</f>
        <v>https://pbs.twimg.com/profile_images/1431648743728852993/tLJ7F5Lu_normal.png</v>
      </c>
      <c r="AW1063" s="82" t="s">
        <v>17836</v>
      </c>
      <c r="AX1063" s="82" t="s">
        <v>17836</v>
      </c>
      <c r="AY1063" s="77"/>
      <c r="AZ1063" s="82" t="s">
        <v>20971</v>
      </c>
      <c r="BA1063" s="82" t="s">
        <v>20971</v>
      </c>
      <c r="BB1063" s="82" t="s">
        <v>20971</v>
      </c>
      <c r="BC1063" s="82" t="s">
        <v>17836</v>
      </c>
      <c r="BD1063" s="77">
        <v>489723814</v>
      </c>
      <c r="BE1063" s="77"/>
      <c r="BF1063" s="77"/>
      <c r="BG1063" s="77"/>
      <c r="BH1063" s="77"/>
      <c r="BI1063" s="77"/>
    </row>
    <row r="1064" spans="1:61" x14ac:dyDescent="0.25">
      <c r="A1064" s="62" t="s">
        <v>418</v>
      </c>
      <c r="B1064" s="62" t="s">
        <v>418</v>
      </c>
      <c r="C1064" s="63"/>
      <c r="D1064" s="64"/>
      <c r="E1064" s="65"/>
      <c r="F1064" s="66"/>
      <c r="G1064" s="63"/>
      <c r="H1064" s="67"/>
      <c r="I1064" s="68"/>
      <c r="J1064" s="68"/>
      <c r="K1064" s="32"/>
      <c r="L1064" s="75">
        <v>1064</v>
      </c>
      <c r="M1064" s="75"/>
      <c r="N1064" s="70"/>
      <c r="O1064" s="77" t="s">
        <v>179</v>
      </c>
      <c r="P1064" s="79">
        <v>44956.931134259263</v>
      </c>
      <c r="Q1064" s="77" t="s">
        <v>2322</v>
      </c>
      <c r="R1064" s="77">
        <v>0</v>
      </c>
      <c r="S1064" s="77">
        <v>0</v>
      </c>
      <c r="T1064" s="77">
        <v>0</v>
      </c>
      <c r="U1064" s="77">
        <v>0</v>
      </c>
      <c r="V1064" s="77">
        <v>8</v>
      </c>
      <c r="W1064" s="82" t="s">
        <v>5335</v>
      </c>
      <c r="X1064" s="80" t="str">
        <f>HYPERLINK("https://www.freeclassificados.com/ads/como-a-joias-da-imagem-folheadas-por-atacado-para-o-seu-negocio/")</f>
        <v>https://www.freeclassificados.com/ads/como-a-joias-da-imagem-folheadas-por-atacado-para-o-seu-negocio/</v>
      </c>
      <c r="Y1064" s="77" t="s">
        <v>7308</v>
      </c>
      <c r="Z1064" s="77"/>
      <c r="AA1064" s="77"/>
      <c r="AB1064" s="77"/>
      <c r="AC1064" s="82" t="s">
        <v>10155</v>
      </c>
      <c r="AD1064" s="77" t="s">
        <v>10184</v>
      </c>
      <c r="AE1064" s="80" t="str">
        <f>HYPERLINK("https://twitter.com/freeclassific/status/1620185295353159681")</f>
        <v>https://twitter.com/freeclassific/status/1620185295353159681</v>
      </c>
      <c r="AF1064" s="79">
        <v>44956.931134259263</v>
      </c>
      <c r="AG1064" s="85">
        <v>44956</v>
      </c>
      <c r="AH1064" s="82" t="s">
        <v>11214</v>
      </c>
      <c r="AI1064" s="77" t="b">
        <v>0</v>
      </c>
      <c r="AJ1064" s="77"/>
      <c r="AK1064" s="77"/>
      <c r="AL1064" s="77"/>
      <c r="AM1064" s="77"/>
      <c r="AN1064" s="77"/>
      <c r="AO1064" s="77"/>
      <c r="AP1064" s="77"/>
      <c r="AQ1064" s="77"/>
      <c r="AR1064" s="77"/>
      <c r="AS1064" s="77"/>
      <c r="AT1064" s="77"/>
      <c r="AU1064" s="77"/>
      <c r="AV1064" s="80" t="str">
        <f>HYPERLINK("https://pbs.twimg.com/profile_images/1431648743728852993/tLJ7F5Lu_normal.png")</f>
        <v>https://pbs.twimg.com/profile_images/1431648743728852993/tLJ7F5Lu_normal.png</v>
      </c>
      <c r="AW1064" s="82" t="s">
        <v>17837</v>
      </c>
      <c r="AX1064" s="82" t="s">
        <v>17837</v>
      </c>
      <c r="AY1064" s="77"/>
      <c r="AZ1064" s="82" t="s">
        <v>20971</v>
      </c>
      <c r="BA1064" s="82" t="s">
        <v>20971</v>
      </c>
      <c r="BB1064" s="82" t="s">
        <v>20971</v>
      </c>
      <c r="BC1064" s="82" t="s">
        <v>17837</v>
      </c>
      <c r="BD1064" s="77">
        <v>489723814</v>
      </c>
      <c r="BE1064" s="77"/>
      <c r="BF1064" s="77"/>
      <c r="BG1064" s="77"/>
      <c r="BH1064" s="77"/>
      <c r="BI1064" s="77"/>
    </row>
    <row r="1065" spans="1:61" x14ac:dyDescent="0.25">
      <c r="A1065" s="62" t="s">
        <v>418</v>
      </c>
      <c r="B1065" s="62" t="s">
        <v>418</v>
      </c>
      <c r="C1065" s="63"/>
      <c r="D1065" s="64"/>
      <c r="E1065" s="65"/>
      <c r="F1065" s="66"/>
      <c r="G1065" s="63"/>
      <c r="H1065" s="67"/>
      <c r="I1065" s="68"/>
      <c r="J1065" s="68"/>
      <c r="K1065" s="32"/>
      <c r="L1065" s="75">
        <v>1065</v>
      </c>
      <c r="M1065" s="75"/>
      <c r="N1065" s="70"/>
      <c r="O1065" s="77" t="s">
        <v>179</v>
      </c>
      <c r="P1065" s="79">
        <v>44956.916006944448</v>
      </c>
      <c r="Q1065" s="77" t="s">
        <v>2323</v>
      </c>
      <c r="R1065" s="77">
        <v>0</v>
      </c>
      <c r="S1065" s="77">
        <v>0</v>
      </c>
      <c r="T1065" s="77">
        <v>0</v>
      </c>
      <c r="U1065" s="77">
        <v>0</v>
      </c>
      <c r="V1065" s="77">
        <v>11</v>
      </c>
      <c r="W1065" s="82" t="s">
        <v>5335</v>
      </c>
      <c r="X1065" s="80" t="str">
        <f>HYPERLINK("https://www.freeclassificados.com/ads/como-fazer-a-sua-propria-horta-organica-em-casa-sem-precisar-de-muito-espaco-grande-para-plantar/")</f>
        <v>https://www.freeclassificados.com/ads/como-fazer-a-sua-propria-horta-organica-em-casa-sem-precisar-de-muito-espaco-grande-para-plantar/</v>
      </c>
      <c r="Y1065" s="77" t="s">
        <v>7308</v>
      </c>
      <c r="Z1065" s="77"/>
      <c r="AA1065" s="77"/>
      <c r="AB1065" s="77"/>
      <c r="AC1065" s="82" t="s">
        <v>10155</v>
      </c>
      <c r="AD1065" s="77" t="s">
        <v>10184</v>
      </c>
      <c r="AE1065" s="80" t="str">
        <f>HYPERLINK("https://twitter.com/freeclassific/status/1620179812290646016")</f>
        <v>https://twitter.com/freeclassific/status/1620179812290646016</v>
      </c>
      <c r="AF1065" s="79">
        <v>44956.916006944448</v>
      </c>
      <c r="AG1065" s="85">
        <v>44956</v>
      </c>
      <c r="AH1065" s="82" t="s">
        <v>11215</v>
      </c>
      <c r="AI1065" s="77" t="b">
        <v>0</v>
      </c>
      <c r="AJ1065" s="77"/>
      <c r="AK1065" s="77"/>
      <c r="AL1065" s="77"/>
      <c r="AM1065" s="77"/>
      <c r="AN1065" s="77"/>
      <c r="AO1065" s="77"/>
      <c r="AP1065" s="77"/>
      <c r="AQ1065" s="77"/>
      <c r="AR1065" s="77"/>
      <c r="AS1065" s="77"/>
      <c r="AT1065" s="77"/>
      <c r="AU1065" s="77"/>
      <c r="AV1065" s="80" t="str">
        <f>HYPERLINK("https://pbs.twimg.com/profile_images/1431648743728852993/tLJ7F5Lu_normal.png")</f>
        <v>https://pbs.twimg.com/profile_images/1431648743728852993/tLJ7F5Lu_normal.png</v>
      </c>
      <c r="AW1065" s="82" t="s">
        <v>17838</v>
      </c>
      <c r="AX1065" s="82" t="s">
        <v>17838</v>
      </c>
      <c r="AY1065" s="77"/>
      <c r="AZ1065" s="82" t="s">
        <v>20971</v>
      </c>
      <c r="BA1065" s="82" t="s">
        <v>20971</v>
      </c>
      <c r="BB1065" s="82" t="s">
        <v>20971</v>
      </c>
      <c r="BC1065" s="82" t="s">
        <v>17838</v>
      </c>
      <c r="BD1065" s="77">
        <v>489723814</v>
      </c>
      <c r="BE1065" s="77"/>
      <c r="BF1065" s="77"/>
      <c r="BG1065" s="77"/>
      <c r="BH1065" s="77"/>
      <c r="BI1065" s="77"/>
    </row>
    <row r="1066" spans="1:61" x14ac:dyDescent="0.25">
      <c r="A1066" s="62" t="s">
        <v>418</v>
      </c>
      <c r="B1066" s="62" t="s">
        <v>418</v>
      </c>
      <c r="C1066" s="63"/>
      <c r="D1066" s="64"/>
      <c r="E1066" s="65"/>
      <c r="F1066" s="66"/>
      <c r="G1066" s="63"/>
      <c r="H1066" s="67"/>
      <c r="I1066" s="68"/>
      <c r="J1066" s="68"/>
      <c r="K1066" s="32"/>
      <c r="L1066" s="75">
        <v>1066</v>
      </c>
      <c r="M1066" s="75"/>
      <c r="N1066" s="70"/>
      <c r="O1066" s="77" t="s">
        <v>179</v>
      </c>
      <c r="P1066" s="79">
        <v>44956.907372685186</v>
      </c>
      <c r="Q1066" s="77" t="s">
        <v>2324</v>
      </c>
      <c r="R1066" s="77">
        <v>0</v>
      </c>
      <c r="S1066" s="77">
        <v>0</v>
      </c>
      <c r="T1066" s="77">
        <v>0</v>
      </c>
      <c r="U1066" s="77">
        <v>0</v>
      </c>
      <c r="V1066" s="77">
        <v>69</v>
      </c>
      <c r="W1066" s="82" t="s">
        <v>5335</v>
      </c>
      <c r="X1066" s="80" t="str">
        <f>HYPERLINK("https://www.freeclassificados.com/ads/como-emagrecer-com-esse-metodo-de-emagrecimento-gdf-sem-prejudicar-a-sua-saude/")</f>
        <v>https://www.freeclassificados.com/ads/como-emagrecer-com-esse-metodo-de-emagrecimento-gdf-sem-prejudicar-a-sua-saude/</v>
      </c>
      <c r="Y1066" s="77" t="s">
        <v>7308</v>
      </c>
      <c r="Z1066" s="77"/>
      <c r="AA1066" s="77"/>
      <c r="AB1066" s="77"/>
      <c r="AC1066" s="82" t="s">
        <v>10155</v>
      </c>
      <c r="AD1066" s="77" t="s">
        <v>10184</v>
      </c>
      <c r="AE1066" s="80" t="str">
        <f>HYPERLINK("https://twitter.com/freeclassific/status/1620176685545971712")</f>
        <v>https://twitter.com/freeclassific/status/1620176685545971712</v>
      </c>
      <c r="AF1066" s="79">
        <v>44956.907372685186</v>
      </c>
      <c r="AG1066" s="85">
        <v>44956</v>
      </c>
      <c r="AH1066" s="82" t="s">
        <v>11216</v>
      </c>
      <c r="AI1066" s="77" t="b">
        <v>0</v>
      </c>
      <c r="AJ1066" s="77"/>
      <c r="AK1066" s="77"/>
      <c r="AL1066" s="77"/>
      <c r="AM1066" s="77"/>
      <c r="AN1066" s="77"/>
      <c r="AO1066" s="77"/>
      <c r="AP1066" s="77"/>
      <c r="AQ1066" s="77"/>
      <c r="AR1066" s="77"/>
      <c r="AS1066" s="77"/>
      <c r="AT1066" s="77"/>
      <c r="AU1066" s="77"/>
      <c r="AV1066" s="80" t="str">
        <f>HYPERLINK("https://pbs.twimg.com/profile_images/1431648743728852993/tLJ7F5Lu_normal.png")</f>
        <v>https://pbs.twimg.com/profile_images/1431648743728852993/tLJ7F5Lu_normal.png</v>
      </c>
      <c r="AW1066" s="82" t="s">
        <v>17839</v>
      </c>
      <c r="AX1066" s="82" t="s">
        <v>17839</v>
      </c>
      <c r="AY1066" s="77"/>
      <c r="AZ1066" s="82" t="s">
        <v>20971</v>
      </c>
      <c r="BA1066" s="82" t="s">
        <v>20971</v>
      </c>
      <c r="BB1066" s="82" t="s">
        <v>20971</v>
      </c>
      <c r="BC1066" s="82" t="s">
        <v>17839</v>
      </c>
      <c r="BD1066" s="77">
        <v>489723814</v>
      </c>
      <c r="BE1066" s="77"/>
      <c r="BF1066" s="77"/>
      <c r="BG1066" s="77"/>
      <c r="BH1066" s="77"/>
      <c r="BI1066" s="77"/>
    </row>
    <row r="1067" spans="1:61" x14ac:dyDescent="0.25">
      <c r="A1067" s="62" t="s">
        <v>418</v>
      </c>
      <c r="B1067" s="62" t="s">
        <v>418</v>
      </c>
      <c r="C1067" s="63"/>
      <c r="D1067" s="64"/>
      <c r="E1067" s="65"/>
      <c r="F1067" s="66"/>
      <c r="G1067" s="63"/>
      <c r="H1067" s="67"/>
      <c r="I1067" s="68"/>
      <c r="J1067" s="68"/>
      <c r="K1067" s="32"/>
      <c r="L1067" s="75">
        <v>1067</v>
      </c>
      <c r="M1067" s="75"/>
      <c r="N1067" s="70"/>
      <c r="O1067" s="77" t="s">
        <v>179</v>
      </c>
      <c r="P1067" s="79">
        <v>44956.903599537036</v>
      </c>
      <c r="Q1067" s="77" t="s">
        <v>2325</v>
      </c>
      <c r="R1067" s="77">
        <v>0</v>
      </c>
      <c r="S1067" s="77">
        <v>0</v>
      </c>
      <c r="T1067" s="77">
        <v>0</v>
      </c>
      <c r="U1067" s="77">
        <v>0</v>
      </c>
      <c r="V1067" s="77">
        <v>23</v>
      </c>
      <c r="W1067" s="82" t="s">
        <v>5335</v>
      </c>
      <c r="X1067" s="80" t="str">
        <f>HYPERLINK("https://www.freeclassificados.com/ads/como-emagrecer-com-esse-metodo-de-emagrecimento-gdf-sem-prejudicar-a-sua-saude/")</f>
        <v>https://www.freeclassificados.com/ads/como-emagrecer-com-esse-metodo-de-emagrecimento-gdf-sem-prejudicar-a-sua-saude/</v>
      </c>
      <c r="Y1067" s="77" t="s">
        <v>7308</v>
      </c>
      <c r="Z1067" s="77"/>
      <c r="AA1067" s="77"/>
      <c r="AB1067" s="77"/>
      <c r="AC1067" s="82" t="s">
        <v>10155</v>
      </c>
      <c r="AD1067" s="77" t="s">
        <v>10184</v>
      </c>
      <c r="AE1067" s="80" t="str">
        <f>HYPERLINK("https://twitter.com/freeclassific/status/1620175318534471681")</f>
        <v>https://twitter.com/freeclassific/status/1620175318534471681</v>
      </c>
      <c r="AF1067" s="79">
        <v>44956.903599537036</v>
      </c>
      <c r="AG1067" s="85">
        <v>44956</v>
      </c>
      <c r="AH1067" s="82" t="s">
        <v>11217</v>
      </c>
      <c r="AI1067" s="77" t="b">
        <v>0</v>
      </c>
      <c r="AJ1067" s="77"/>
      <c r="AK1067" s="77"/>
      <c r="AL1067" s="77"/>
      <c r="AM1067" s="77"/>
      <c r="AN1067" s="77"/>
      <c r="AO1067" s="77"/>
      <c r="AP1067" s="77"/>
      <c r="AQ1067" s="77"/>
      <c r="AR1067" s="77"/>
      <c r="AS1067" s="77"/>
      <c r="AT1067" s="77"/>
      <c r="AU1067" s="77"/>
      <c r="AV1067" s="80" t="str">
        <f>HYPERLINK("https://pbs.twimg.com/profile_images/1431648743728852993/tLJ7F5Lu_normal.png")</f>
        <v>https://pbs.twimg.com/profile_images/1431648743728852993/tLJ7F5Lu_normal.png</v>
      </c>
      <c r="AW1067" s="82" t="s">
        <v>17840</v>
      </c>
      <c r="AX1067" s="82" t="s">
        <v>17840</v>
      </c>
      <c r="AY1067" s="77"/>
      <c r="AZ1067" s="82" t="s">
        <v>20971</v>
      </c>
      <c r="BA1067" s="82" t="s">
        <v>20971</v>
      </c>
      <c r="BB1067" s="82" t="s">
        <v>20971</v>
      </c>
      <c r="BC1067" s="82" t="s">
        <v>17840</v>
      </c>
      <c r="BD1067" s="77">
        <v>489723814</v>
      </c>
      <c r="BE1067" s="77"/>
      <c r="BF1067" s="77"/>
      <c r="BG1067" s="77"/>
      <c r="BH1067" s="77"/>
      <c r="BI1067" s="77"/>
    </row>
    <row r="1068" spans="1:61" x14ac:dyDescent="0.25">
      <c r="A1068" s="62" t="s">
        <v>418</v>
      </c>
      <c r="B1068" s="62" t="s">
        <v>418</v>
      </c>
      <c r="C1068" s="63"/>
      <c r="D1068" s="64"/>
      <c r="E1068" s="65"/>
      <c r="F1068" s="66"/>
      <c r="G1068" s="63"/>
      <c r="H1068" s="67"/>
      <c r="I1068" s="68"/>
      <c r="J1068" s="68"/>
      <c r="K1068" s="32"/>
      <c r="L1068" s="75">
        <v>1068</v>
      </c>
      <c r="M1068" s="75"/>
      <c r="N1068" s="70"/>
      <c r="O1068" s="77" t="s">
        <v>179</v>
      </c>
      <c r="P1068" s="79">
        <v>44956.635324074072</v>
      </c>
      <c r="Q1068" s="77" t="s">
        <v>2326</v>
      </c>
      <c r="R1068" s="77">
        <v>0</v>
      </c>
      <c r="S1068" s="77">
        <v>0</v>
      </c>
      <c r="T1068" s="77">
        <v>0</v>
      </c>
      <c r="U1068" s="77">
        <v>0</v>
      </c>
      <c r="V1068" s="77">
        <v>8</v>
      </c>
      <c r="W1068" s="82" t="s">
        <v>5335</v>
      </c>
      <c r="X1068" s="80" t="str">
        <f>HYPERLINK("https://www.freeclassificados.com/ads/aprovada/")</f>
        <v>https://www.freeclassificados.com/ads/aprovada/</v>
      </c>
      <c r="Y1068" s="77" t="s">
        <v>7308</v>
      </c>
      <c r="Z1068" s="77"/>
      <c r="AA1068" s="77"/>
      <c r="AB1068" s="77"/>
      <c r="AC1068" s="82" t="s">
        <v>10155</v>
      </c>
      <c r="AD1068" s="77" t="s">
        <v>10184</v>
      </c>
      <c r="AE1068" s="80" t="str">
        <f>HYPERLINK("https://twitter.com/freeclassific/status/1620078096664625153")</f>
        <v>https://twitter.com/freeclassific/status/1620078096664625153</v>
      </c>
      <c r="AF1068" s="79">
        <v>44956.635324074072</v>
      </c>
      <c r="AG1068" s="85">
        <v>44956</v>
      </c>
      <c r="AH1068" s="82" t="s">
        <v>11218</v>
      </c>
      <c r="AI1068" s="77" t="b">
        <v>0</v>
      </c>
      <c r="AJ1068" s="77"/>
      <c r="AK1068" s="77"/>
      <c r="AL1068" s="77"/>
      <c r="AM1068" s="77"/>
      <c r="AN1068" s="77"/>
      <c r="AO1068" s="77"/>
      <c r="AP1068" s="77"/>
      <c r="AQ1068" s="77"/>
      <c r="AR1068" s="77"/>
      <c r="AS1068" s="77"/>
      <c r="AT1068" s="77"/>
      <c r="AU1068" s="77"/>
      <c r="AV1068" s="80" t="str">
        <f>HYPERLINK("https://pbs.twimg.com/profile_images/1431648743728852993/tLJ7F5Lu_normal.png")</f>
        <v>https://pbs.twimg.com/profile_images/1431648743728852993/tLJ7F5Lu_normal.png</v>
      </c>
      <c r="AW1068" s="82" t="s">
        <v>17841</v>
      </c>
      <c r="AX1068" s="82" t="s">
        <v>17841</v>
      </c>
      <c r="AY1068" s="77"/>
      <c r="AZ1068" s="82" t="s">
        <v>20971</v>
      </c>
      <c r="BA1068" s="82" t="s">
        <v>20971</v>
      </c>
      <c r="BB1068" s="82" t="s">
        <v>20971</v>
      </c>
      <c r="BC1068" s="82" t="s">
        <v>17841</v>
      </c>
      <c r="BD1068" s="77">
        <v>489723814</v>
      </c>
      <c r="BE1068" s="77"/>
      <c r="BF1068" s="77"/>
      <c r="BG1068" s="77"/>
      <c r="BH1068" s="77"/>
      <c r="BI1068" s="77"/>
    </row>
    <row r="1069" spans="1:61" x14ac:dyDescent="0.25">
      <c r="A1069" s="62" t="s">
        <v>418</v>
      </c>
      <c r="B1069" s="62" t="s">
        <v>418</v>
      </c>
      <c r="C1069" s="63"/>
      <c r="D1069" s="64"/>
      <c r="E1069" s="65"/>
      <c r="F1069" s="66"/>
      <c r="G1069" s="63"/>
      <c r="H1069" s="67"/>
      <c r="I1069" s="68"/>
      <c r="J1069" s="68"/>
      <c r="K1069" s="32"/>
      <c r="L1069" s="75">
        <v>1069</v>
      </c>
      <c r="M1069" s="75"/>
      <c r="N1069" s="70"/>
      <c r="O1069" s="77" t="s">
        <v>179</v>
      </c>
      <c r="P1069" s="79">
        <v>44956.535393518519</v>
      </c>
      <c r="Q1069" s="77" t="s">
        <v>1877</v>
      </c>
      <c r="R1069" s="77">
        <v>0</v>
      </c>
      <c r="S1069" s="77">
        <v>0</v>
      </c>
      <c r="T1069" s="77">
        <v>0</v>
      </c>
      <c r="U1069" s="77">
        <v>0</v>
      </c>
      <c r="V1069" s="77">
        <v>6</v>
      </c>
      <c r="W1069" s="82" t="s">
        <v>5335</v>
      </c>
      <c r="X1069" s="80" t="str">
        <f>HYPERLINK("https://www.freeclassificados.com/ads/palco-coberta-som-luz-alugo-palco-aluguel-tablado-de-vidro-palco-madeira-9-86-25-98-82/")</f>
        <v>https://www.freeclassificados.com/ads/palco-coberta-som-luz-alugo-palco-aluguel-tablado-de-vidro-palco-madeira-9-86-25-98-82/</v>
      </c>
      <c r="Y1069" s="77" t="s">
        <v>7308</v>
      </c>
      <c r="Z1069" s="77"/>
      <c r="AA1069" s="77"/>
      <c r="AB1069" s="77"/>
      <c r="AC1069" s="82" t="s">
        <v>10155</v>
      </c>
      <c r="AD1069" s="77" t="s">
        <v>10184</v>
      </c>
      <c r="AE1069" s="80" t="str">
        <f>HYPERLINK("https://twitter.com/freeclassific/status/1620041882138021888")</f>
        <v>https://twitter.com/freeclassific/status/1620041882138021888</v>
      </c>
      <c r="AF1069" s="79">
        <v>44956.535393518519</v>
      </c>
      <c r="AG1069" s="85">
        <v>44956</v>
      </c>
      <c r="AH1069" s="82" t="s">
        <v>11219</v>
      </c>
      <c r="AI1069" s="77" t="b">
        <v>0</v>
      </c>
      <c r="AJ1069" s="77"/>
      <c r="AK1069" s="77"/>
      <c r="AL1069" s="77"/>
      <c r="AM1069" s="77"/>
      <c r="AN1069" s="77"/>
      <c r="AO1069" s="77"/>
      <c r="AP1069" s="77"/>
      <c r="AQ1069" s="77"/>
      <c r="AR1069" s="77"/>
      <c r="AS1069" s="77"/>
      <c r="AT1069" s="77"/>
      <c r="AU1069" s="77"/>
      <c r="AV1069" s="80" t="str">
        <f>HYPERLINK("https://pbs.twimg.com/profile_images/1431648743728852993/tLJ7F5Lu_normal.png")</f>
        <v>https://pbs.twimg.com/profile_images/1431648743728852993/tLJ7F5Lu_normal.png</v>
      </c>
      <c r="AW1069" s="82" t="s">
        <v>17842</v>
      </c>
      <c r="AX1069" s="82" t="s">
        <v>17842</v>
      </c>
      <c r="AY1069" s="77"/>
      <c r="AZ1069" s="82" t="s">
        <v>20971</v>
      </c>
      <c r="BA1069" s="82" t="s">
        <v>20971</v>
      </c>
      <c r="BB1069" s="82" t="s">
        <v>20971</v>
      </c>
      <c r="BC1069" s="82" t="s">
        <v>17842</v>
      </c>
      <c r="BD1069" s="77">
        <v>489723814</v>
      </c>
      <c r="BE1069" s="77"/>
      <c r="BF1069" s="77"/>
      <c r="BG1069" s="77"/>
      <c r="BH1069" s="77"/>
      <c r="BI1069" s="77"/>
    </row>
    <row r="1070" spans="1:61" x14ac:dyDescent="0.25">
      <c r="A1070" s="62" t="s">
        <v>418</v>
      </c>
      <c r="B1070" s="62" t="s">
        <v>418</v>
      </c>
      <c r="C1070" s="63"/>
      <c r="D1070" s="64"/>
      <c r="E1070" s="65"/>
      <c r="F1070" s="66"/>
      <c r="G1070" s="63"/>
      <c r="H1070" s="67"/>
      <c r="I1070" s="68"/>
      <c r="J1070" s="68"/>
      <c r="K1070" s="32"/>
      <c r="L1070" s="75">
        <v>1070</v>
      </c>
      <c r="M1070" s="75"/>
      <c r="N1070" s="70"/>
      <c r="O1070" s="77" t="s">
        <v>179</v>
      </c>
      <c r="P1070" s="79">
        <v>45112.722916666666</v>
      </c>
      <c r="Q1070" s="77" t="s">
        <v>2327</v>
      </c>
      <c r="R1070" s="77">
        <v>0</v>
      </c>
      <c r="S1070" s="77">
        <v>0</v>
      </c>
      <c r="T1070" s="77">
        <v>0</v>
      </c>
      <c r="U1070" s="77">
        <v>0</v>
      </c>
      <c r="V1070" s="77">
        <v>14</v>
      </c>
      <c r="W1070" s="82" t="s">
        <v>5236</v>
      </c>
      <c r="X1070" s="80" t="str">
        <f>HYPERLINK("https://buff.ly/3PK3BTo")</f>
        <v>https://buff.ly/3PK3BTo</v>
      </c>
      <c r="Y1070" s="77" t="s">
        <v>7311</v>
      </c>
      <c r="Z1070" s="77"/>
      <c r="AA1070" s="77"/>
      <c r="AB1070" s="77"/>
      <c r="AC1070" s="82" t="s">
        <v>10156</v>
      </c>
      <c r="AD1070" s="77" t="s">
        <v>10184</v>
      </c>
      <c r="AE1070" s="80" t="str">
        <f>HYPERLINK("https://twitter.com/freeclassific/status/1676642345620480022")</f>
        <v>https://twitter.com/freeclassific/status/1676642345620480022</v>
      </c>
      <c r="AF1070" s="79">
        <v>45112.722916666666</v>
      </c>
      <c r="AG1070" s="85">
        <v>45112</v>
      </c>
      <c r="AH1070" s="82" t="s">
        <v>11220</v>
      </c>
      <c r="AI1070" s="77" t="b">
        <v>0</v>
      </c>
      <c r="AJ1070" s="77"/>
      <c r="AK1070" s="77"/>
      <c r="AL1070" s="77"/>
      <c r="AM1070" s="77"/>
      <c r="AN1070" s="77"/>
      <c r="AO1070" s="77"/>
      <c r="AP1070" s="77"/>
      <c r="AQ1070" s="77"/>
      <c r="AR1070" s="77"/>
      <c r="AS1070" s="77"/>
      <c r="AT1070" s="77"/>
      <c r="AU1070" s="77"/>
      <c r="AV1070" s="80" t="str">
        <f>HYPERLINK("https://pbs.twimg.com/profile_images/1431648743728852993/tLJ7F5Lu_normal.png")</f>
        <v>https://pbs.twimg.com/profile_images/1431648743728852993/tLJ7F5Lu_normal.png</v>
      </c>
      <c r="AW1070" s="82" t="s">
        <v>17843</v>
      </c>
      <c r="AX1070" s="82" t="s">
        <v>17843</v>
      </c>
      <c r="AY1070" s="77"/>
      <c r="AZ1070" s="82" t="s">
        <v>20971</v>
      </c>
      <c r="BA1070" s="82" t="s">
        <v>20971</v>
      </c>
      <c r="BB1070" s="82" t="s">
        <v>20971</v>
      </c>
      <c r="BC1070" s="82" t="s">
        <v>17843</v>
      </c>
      <c r="BD1070" s="77">
        <v>489723814</v>
      </c>
      <c r="BE1070" s="77"/>
      <c r="BF1070" s="77"/>
      <c r="BG1070" s="77"/>
      <c r="BH1070" s="77"/>
      <c r="BI1070" s="77"/>
    </row>
    <row r="1071" spans="1:61" x14ac:dyDescent="0.25">
      <c r="A1071" s="62" t="s">
        <v>418</v>
      </c>
      <c r="B1071" s="62" t="s">
        <v>418</v>
      </c>
      <c r="C1071" s="63"/>
      <c r="D1071" s="64"/>
      <c r="E1071" s="65"/>
      <c r="F1071" s="66"/>
      <c r="G1071" s="63"/>
      <c r="H1071" s="67"/>
      <c r="I1071" s="68"/>
      <c r="J1071" s="68"/>
      <c r="K1071" s="32"/>
      <c r="L1071" s="75">
        <v>1071</v>
      </c>
      <c r="M1071" s="75"/>
      <c r="N1071" s="70"/>
      <c r="O1071" s="77" t="s">
        <v>179</v>
      </c>
      <c r="P1071" s="79">
        <v>45090.714606481481</v>
      </c>
      <c r="Q1071" s="77" t="s">
        <v>2328</v>
      </c>
      <c r="R1071" s="77">
        <v>0</v>
      </c>
      <c r="S1071" s="77">
        <v>0</v>
      </c>
      <c r="T1071" s="77">
        <v>0</v>
      </c>
      <c r="U1071" s="77">
        <v>0</v>
      </c>
      <c r="V1071" s="77">
        <v>102</v>
      </c>
      <c r="W1071" s="82" t="s">
        <v>5560</v>
      </c>
      <c r="X1071" s="80" t="str">
        <f>HYPERLINK("https://www.freeclassificados.com/ads/shows-cover-katty-perry-billie-eilish-rihanna-anitta-marina-sena-11948594445/")</f>
        <v>https://www.freeclassificados.com/ads/shows-cover-katty-perry-billie-eilish-rihanna-anitta-marina-sena-11948594445/</v>
      </c>
      <c r="Y1071" s="77" t="s">
        <v>7308</v>
      </c>
      <c r="Z1071" s="77"/>
      <c r="AA1071" s="77"/>
      <c r="AB1071" s="77"/>
      <c r="AC1071" s="82" t="s">
        <v>10155</v>
      </c>
      <c r="AD1071" s="77" t="s">
        <v>10194</v>
      </c>
      <c r="AE1071" s="80" t="str">
        <f>HYPERLINK("https://twitter.com/freeclassific/status/1668666802745008128")</f>
        <v>https://twitter.com/freeclassific/status/1668666802745008128</v>
      </c>
      <c r="AF1071" s="79">
        <v>45090.714606481481</v>
      </c>
      <c r="AG1071" s="85">
        <v>45090</v>
      </c>
      <c r="AH1071" s="82" t="s">
        <v>11221</v>
      </c>
      <c r="AI1071" s="77" t="b">
        <v>0</v>
      </c>
      <c r="AJ1071" s="77"/>
      <c r="AK1071" s="77"/>
      <c r="AL1071" s="77"/>
      <c r="AM1071" s="77"/>
      <c r="AN1071" s="77"/>
      <c r="AO1071" s="77"/>
      <c r="AP1071" s="77"/>
      <c r="AQ1071" s="77"/>
      <c r="AR1071" s="77"/>
      <c r="AS1071" s="77"/>
      <c r="AT1071" s="77"/>
      <c r="AU1071" s="77"/>
      <c r="AV1071" s="80" t="str">
        <f>HYPERLINK("https://pbs.twimg.com/profile_images/1431648743728852993/tLJ7F5Lu_normal.png")</f>
        <v>https://pbs.twimg.com/profile_images/1431648743728852993/tLJ7F5Lu_normal.png</v>
      </c>
      <c r="AW1071" s="82" t="s">
        <v>17844</v>
      </c>
      <c r="AX1071" s="82" t="s">
        <v>17844</v>
      </c>
      <c r="AY1071" s="77"/>
      <c r="AZ1071" s="82" t="s">
        <v>20971</v>
      </c>
      <c r="BA1071" s="82" t="s">
        <v>20971</v>
      </c>
      <c r="BB1071" s="82" t="s">
        <v>20971</v>
      </c>
      <c r="BC1071" s="82" t="s">
        <v>17844</v>
      </c>
      <c r="BD1071" s="77">
        <v>489723814</v>
      </c>
      <c r="BE1071" s="77"/>
      <c r="BF1071" s="77"/>
      <c r="BG1071" s="77"/>
      <c r="BH1071" s="77"/>
      <c r="BI1071" s="77"/>
    </row>
    <row r="1072" spans="1:61" x14ac:dyDescent="0.25">
      <c r="A1072" s="62" t="s">
        <v>418</v>
      </c>
      <c r="B1072" s="62" t="s">
        <v>418</v>
      </c>
      <c r="C1072" s="63"/>
      <c r="D1072" s="64"/>
      <c r="E1072" s="65"/>
      <c r="F1072" s="66"/>
      <c r="G1072" s="63"/>
      <c r="H1072" s="67"/>
      <c r="I1072" s="68"/>
      <c r="J1072" s="68"/>
      <c r="K1072" s="32"/>
      <c r="L1072" s="75">
        <v>1072</v>
      </c>
      <c r="M1072" s="75"/>
      <c r="N1072" s="70"/>
      <c r="O1072" s="77" t="s">
        <v>179</v>
      </c>
      <c r="P1072" s="79">
        <v>45071.991747685184</v>
      </c>
      <c r="Q1072" s="77" t="s">
        <v>2329</v>
      </c>
      <c r="R1072" s="77">
        <v>0</v>
      </c>
      <c r="S1072" s="77">
        <v>0</v>
      </c>
      <c r="T1072" s="77">
        <v>0</v>
      </c>
      <c r="U1072" s="77">
        <v>0</v>
      </c>
      <c r="V1072" s="77">
        <v>18</v>
      </c>
      <c r="W1072" s="82" t="s">
        <v>5560</v>
      </c>
      <c r="X1072" s="80" t="str">
        <f>HYPERLINK("https://www.freeclassificados.com/ads/casa-regiao-dos-lagos-rj-3qtos-piscina-oportunidade/")</f>
        <v>https://www.freeclassificados.com/ads/casa-regiao-dos-lagos-rj-3qtos-piscina-oportunidade/</v>
      </c>
      <c r="Y1072" s="77" t="s">
        <v>7308</v>
      </c>
      <c r="Z1072" s="77"/>
      <c r="AA1072" s="77"/>
      <c r="AB1072" s="77"/>
      <c r="AC1072" s="82" t="s">
        <v>10155</v>
      </c>
      <c r="AD1072" s="77" t="s">
        <v>10184</v>
      </c>
      <c r="AE1072" s="80" t="str">
        <f>HYPERLINK("https://twitter.com/freeclassific/status/1661881865371000833")</f>
        <v>https://twitter.com/freeclassific/status/1661881865371000833</v>
      </c>
      <c r="AF1072" s="79">
        <v>45071.991747685184</v>
      </c>
      <c r="AG1072" s="85">
        <v>45071</v>
      </c>
      <c r="AH1072" s="82" t="s">
        <v>11222</v>
      </c>
      <c r="AI1072" s="77" t="b">
        <v>0</v>
      </c>
      <c r="AJ1072" s="77"/>
      <c r="AK1072" s="77"/>
      <c r="AL1072" s="77"/>
      <c r="AM1072" s="77"/>
      <c r="AN1072" s="77"/>
      <c r="AO1072" s="77"/>
      <c r="AP1072" s="77"/>
      <c r="AQ1072" s="77"/>
      <c r="AR1072" s="77"/>
      <c r="AS1072" s="77"/>
      <c r="AT1072" s="77"/>
      <c r="AU1072" s="77"/>
      <c r="AV1072" s="80" t="str">
        <f>HYPERLINK("https://pbs.twimg.com/profile_images/1431648743728852993/tLJ7F5Lu_normal.png")</f>
        <v>https://pbs.twimg.com/profile_images/1431648743728852993/tLJ7F5Lu_normal.png</v>
      </c>
      <c r="AW1072" s="82" t="s">
        <v>17845</v>
      </c>
      <c r="AX1072" s="82" t="s">
        <v>17845</v>
      </c>
      <c r="AY1072" s="77"/>
      <c r="AZ1072" s="82" t="s">
        <v>20971</v>
      </c>
      <c r="BA1072" s="82" t="s">
        <v>20971</v>
      </c>
      <c r="BB1072" s="82" t="s">
        <v>20971</v>
      </c>
      <c r="BC1072" s="82" t="s">
        <v>17845</v>
      </c>
      <c r="BD1072" s="77">
        <v>489723814</v>
      </c>
      <c r="BE1072" s="77"/>
      <c r="BF1072" s="77"/>
      <c r="BG1072" s="77"/>
      <c r="BH1072" s="77"/>
      <c r="BI1072" s="77"/>
    </row>
    <row r="1073" spans="1:61" x14ac:dyDescent="0.25">
      <c r="A1073" s="62" t="s">
        <v>418</v>
      </c>
      <c r="B1073" s="62" t="s">
        <v>418</v>
      </c>
      <c r="C1073" s="63"/>
      <c r="D1073" s="64"/>
      <c r="E1073" s="65"/>
      <c r="F1073" s="66"/>
      <c r="G1073" s="63"/>
      <c r="H1073" s="67"/>
      <c r="I1073" s="68"/>
      <c r="J1073" s="68"/>
      <c r="K1073" s="32"/>
      <c r="L1073" s="75">
        <v>1073</v>
      </c>
      <c r="M1073" s="75"/>
      <c r="N1073" s="70"/>
      <c r="O1073" s="77" t="s">
        <v>179</v>
      </c>
      <c r="P1073" s="79">
        <v>45071.652673611112</v>
      </c>
      <c r="Q1073" s="77" t="s">
        <v>2330</v>
      </c>
      <c r="R1073" s="77">
        <v>0</v>
      </c>
      <c r="S1073" s="77">
        <v>0</v>
      </c>
      <c r="T1073" s="77">
        <v>0</v>
      </c>
      <c r="U1073" s="77">
        <v>0</v>
      </c>
      <c r="V1073" s="77">
        <v>11</v>
      </c>
      <c r="W1073" s="82" t="s">
        <v>5560</v>
      </c>
      <c r="X1073" s="80" t="str">
        <f>HYPERLINK("https://www.freeclassificados.com/ads/arraia-de-promocoes-rio-embalagens/")</f>
        <v>https://www.freeclassificados.com/ads/arraia-de-promocoes-rio-embalagens/</v>
      </c>
      <c r="Y1073" s="77" t="s">
        <v>7308</v>
      </c>
      <c r="Z1073" s="77"/>
      <c r="AA1073" s="77"/>
      <c r="AB1073" s="77"/>
      <c r="AC1073" s="82" t="s">
        <v>10155</v>
      </c>
      <c r="AD1073" s="77" t="s">
        <v>10184</v>
      </c>
      <c r="AE1073" s="80" t="str">
        <f>HYPERLINK("https://twitter.com/freeclassific/status/1661758989942792192")</f>
        <v>https://twitter.com/freeclassific/status/1661758989942792192</v>
      </c>
      <c r="AF1073" s="79">
        <v>45071.652673611112</v>
      </c>
      <c r="AG1073" s="85">
        <v>45071</v>
      </c>
      <c r="AH1073" s="82" t="s">
        <v>11223</v>
      </c>
      <c r="AI1073" s="77" t="b">
        <v>0</v>
      </c>
      <c r="AJ1073" s="77"/>
      <c r="AK1073" s="77"/>
      <c r="AL1073" s="77"/>
      <c r="AM1073" s="77"/>
      <c r="AN1073" s="77"/>
      <c r="AO1073" s="77"/>
      <c r="AP1073" s="77"/>
      <c r="AQ1073" s="77"/>
      <c r="AR1073" s="77"/>
      <c r="AS1073" s="77"/>
      <c r="AT1073" s="77"/>
      <c r="AU1073" s="77"/>
      <c r="AV1073" s="80" t="str">
        <f>HYPERLINK("https://pbs.twimg.com/profile_images/1431648743728852993/tLJ7F5Lu_normal.png")</f>
        <v>https://pbs.twimg.com/profile_images/1431648743728852993/tLJ7F5Lu_normal.png</v>
      </c>
      <c r="AW1073" s="82" t="s">
        <v>17846</v>
      </c>
      <c r="AX1073" s="82" t="s">
        <v>17846</v>
      </c>
      <c r="AY1073" s="77"/>
      <c r="AZ1073" s="82" t="s">
        <v>20971</v>
      </c>
      <c r="BA1073" s="82" t="s">
        <v>20971</v>
      </c>
      <c r="BB1073" s="82" t="s">
        <v>20971</v>
      </c>
      <c r="BC1073" s="82" t="s">
        <v>17846</v>
      </c>
      <c r="BD1073" s="77">
        <v>489723814</v>
      </c>
      <c r="BE1073" s="77"/>
      <c r="BF1073" s="77"/>
      <c r="BG1073" s="77"/>
      <c r="BH1073" s="77"/>
      <c r="BI1073" s="77"/>
    </row>
    <row r="1074" spans="1:61" x14ac:dyDescent="0.25">
      <c r="A1074" s="62" t="s">
        <v>418</v>
      </c>
      <c r="B1074" s="62" t="s">
        <v>418</v>
      </c>
      <c r="C1074" s="63"/>
      <c r="D1074" s="64"/>
      <c r="E1074" s="65"/>
      <c r="F1074" s="66"/>
      <c r="G1074" s="63"/>
      <c r="H1074" s="67"/>
      <c r="I1074" s="68"/>
      <c r="J1074" s="68"/>
      <c r="K1074" s="32"/>
      <c r="L1074" s="75">
        <v>1074</v>
      </c>
      <c r="M1074" s="75"/>
      <c r="N1074" s="70"/>
      <c r="O1074" s="77" t="s">
        <v>179</v>
      </c>
      <c r="P1074" s="79">
        <v>45071.619722222225</v>
      </c>
      <c r="Q1074" s="77" t="s">
        <v>2331</v>
      </c>
      <c r="R1074" s="77">
        <v>0</v>
      </c>
      <c r="S1074" s="77">
        <v>0</v>
      </c>
      <c r="T1074" s="77">
        <v>0</v>
      </c>
      <c r="U1074" s="77">
        <v>0</v>
      </c>
      <c r="V1074" s="77">
        <v>11</v>
      </c>
      <c r="W1074" s="82" t="s">
        <v>5560</v>
      </c>
      <c r="X1074" s="80" t="str">
        <f>HYPERLINK("https://www.freeclassificados.com/ads/copos-artesanais-de-todas-as-as-marcas-2/")</f>
        <v>https://www.freeclassificados.com/ads/copos-artesanais-de-todas-as-as-marcas-2/</v>
      </c>
      <c r="Y1074" s="77" t="s">
        <v>7308</v>
      </c>
      <c r="Z1074" s="77"/>
      <c r="AA1074" s="77"/>
      <c r="AB1074" s="77"/>
      <c r="AC1074" s="82" t="s">
        <v>10155</v>
      </c>
      <c r="AD1074" s="77" t="s">
        <v>10184</v>
      </c>
      <c r="AE1074" s="80" t="str">
        <f>HYPERLINK("https://twitter.com/freeclassific/status/1661747048667021312")</f>
        <v>https://twitter.com/freeclassific/status/1661747048667021312</v>
      </c>
      <c r="AF1074" s="79">
        <v>45071.619722222225</v>
      </c>
      <c r="AG1074" s="85">
        <v>45071</v>
      </c>
      <c r="AH1074" s="82" t="s">
        <v>11224</v>
      </c>
      <c r="AI1074" s="77" t="b">
        <v>0</v>
      </c>
      <c r="AJ1074" s="77"/>
      <c r="AK1074" s="77"/>
      <c r="AL1074" s="77"/>
      <c r="AM1074" s="77"/>
      <c r="AN1074" s="77"/>
      <c r="AO1074" s="77"/>
      <c r="AP1074" s="77"/>
      <c r="AQ1074" s="77"/>
      <c r="AR1074" s="77"/>
      <c r="AS1074" s="77"/>
      <c r="AT1074" s="77"/>
      <c r="AU1074" s="77"/>
      <c r="AV1074" s="80" t="str">
        <f>HYPERLINK("https://pbs.twimg.com/profile_images/1431648743728852993/tLJ7F5Lu_normal.png")</f>
        <v>https://pbs.twimg.com/profile_images/1431648743728852993/tLJ7F5Lu_normal.png</v>
      </c>
      <c r="AW1074" s="82" t="s">
        <v>17847</v>
      </c>
      <c r="AX1074" s="82" t="s">
        <v>17847</v>
      </c>
      <c r="AY1074" s="77"/>
      <c r="AZ1074" s="82" t="s">
        <v>20971</v>
      </c>
      <c r="BA1074" s="82" t="s">
        <v>20971</v>
      </c>
      <c r="BB1074" s="82" t="s">
        <v>20971</v>
      </c>
      <c r="BC1074" s="82" t="s">
        <v>17847</v>
      </c>
      <c r="BD1074" s="77">
        <v>489723814</v>
      </c>
      <c r="BE1074" s="77"/>
      <c r="BF1074" s="77"/>
      <c r="BG1074" s="77"/>
      <c r="BH1074" s="77"/>
      <c r="BI1074" s="77"/>
    </row>
    <row r="1075" spans="1:61" x14ac:dyDescent="0.25">
      <c r="A1075" s="62" t="s">
        <v>418</v>
      </c>
      <c r="B1075" s="62" t="s">
        <v>418</v>
      </c>
      <c r="C1075" s="63"/>
      <c r="D1075" s="64"/>
      <c r="E1075" s="65"/>
      <c r="F1075" s="66"/>
      <c r="G1075" s="63"/>
      <c r="H1075" s="67"/>
      <c r="I1075" s="68"/>
      <c r="J1075" s="68"/>
      <c r="K1075" s="32"/>
      <c r="L1075" s="75">
        <v>1075</v>
      </c>
      <c r="M1075" s="75"/>
      <c r="N1075" s="70"/>
      <c r="O1075" s="77" t="s">
        <v>179</v>
      </c>
      <c r="P1075" s="79">
        <v>45071.615752314814</v>
      </c>
      <c r="Q1075" s="77" t="s">
        <v>2332</v>
      </c>
      <c r="R1075" s="77">
        <v>0</v>
      </c>
      <c r="S1075" s="77">
        <v>0</v>
      </c>
      <c r="T1075" s="77">
        <v>0</v>
      </c>
      <c r="U1075" s="77">
        <v>0</v>
      </c>
      <c r="V1075" s="77">
        <v>10</v>
      </c>
      <c r="W1075" s="82" t="s">
        <v>5560</v>
      </c>
      <c r="X1075" s="80" t="str">
        <f>HYPERLINK("https://www.freeclassificados.com/ads/o-segredo-tropical-para-emagrecer-com-saude/")</f>
        <v>https://www.freeclassificados.com/ads/o-segredo-tropical-para-emagrecer-com-saude/</v>
      </c>
      <c r="Y1075" s="77" t="s">
        <v>7308</v>
      </c>
      <c r="Z1075" s="77"/>
      <c r="AA1075" s="77"/>
      <c r="AB1075" s="77"/>
      <c r="AC1075" s="82" t="s">
        <v>10155</v>
      </c>
      <c r="AD1075" s="77" t="s">
        <v>10184</v>
      </c>
      <c r="AE1075" s="80" t="str">
        <f>HYPERLINK("https://twitter.com/freeclassific/status/1661745608099778565")</f>
        <v>https://twitter.com/freeclassific/status/1661745608099778565</v>
      </c>
      <c r="AF1075" s="79">
        <v>45071.615752314814</v>
      </c>
      <c r="AG1075" s="85">
        <v>45071</v>
      </c>
      <c r="AH1075" s="82" t="s">
        <v>11225</v>
      </c>
      <c r="AI1075" s="77" t="b">
        <v>0</v>
      </c>
      <c r="AJ1075" s="77"/>
      <c r="AK1075" s="77"/>
      <c r="AL1075" s="77"/>
      <c r="AM1075" s="77"/>
      <c r="AN1075" s="77"/>
      <c r="AO1075" s="77"/>
      <c r="AP1075" s="77"/>
      <c r="AQ1075" s="77"/>
      <c r="AR1075" s="77"/>
      <c r="AS1075" s="77"/>
      <c r="AT1075" s="77"/>
      <c r="AU1075" s="77"/>
      <c r="AV1075" s="80" t="str">
        <f>HYPERLINK("https://pbs.twimg.com/profile_images/1431648743728852993/tLJ7F5Lu_normal.png")</f>
        <v>https://pbs.twimg.com/profile_images/1431648743728852993/tLJ7F5Lu_normal.png</v>
      </c>
      <c r="AW1075" s="82" t="s">
        <v>17848</v>
      </c>
      <c r="AX1075" s="82" t="s">
        <v>17848</v>
      </c>
      <c r="AY1075" s="77"/>
      <c r="AZ1075" s="82" t="s">
        <v>20971</v>
      </c>
      <c r="BA1075" s="82" t="s">
        <v>20971</v>
      </c>
      <c r="BB1075" s="82" t="s">
        <v>20971</v>
      </c>
      <c r="BC1075" s="82" t="s">
        <v>17848</v>
      </c>
      <c r="BD1075" s="77">
        <v>489723814</v>
      </c>
      <c r="BE1075" s="77"/>
      <c r="BF1075" s="77"/>
      <c r="BG1075" s="77"/>
      <c r="BH1075" s="77"/>
      <c r="BI1075" s="77"/>
    </row>
    <row r="1076" spans="1:61" x14ac:dyDescent="0.25">
      <c r="A1076" s="62" t="s">
        <v>418</v>
      </c>
      <c r="B1076" s="62" t="s">
        <v>418</v>
      </c>
      <c r="C1076" s="63"/>
      <c r="D1076" s="64"/>
      <c r="E1076" s="65"/>
      <c r="F1076" s="66"/>
      <c r="G1076" s="63"/>
      <c r="H1076" s="67"/>
      <c r="I1076" s="68"/>
      <c r="J1076" s="68"/>
      <c r="K1076" s="32"/>
      <c r="L1076" s="75">
        <v>1076</v>
      </c>
      <c r="M1076" s="75"/>
      <c r="N1076" s="70"/>
      <c r="O1076" s="77" t="s">
        <v>179</v>
      </c>
      <c r="P1076" s="79">
        <v>45071.477256944447</v>
      </c>
      <c r="Q1076" s="77" t="s">
        <v>2333</v>
      </c>
      <c r="R1076" s="77">
        <v>0</v>
      </c>
      <c r="S1076" s="77">
        <v>0</v>
      </c>
      <c r="T1076" s="77">
        <v>0</v>
      </c>
      <c r="U1076" s="77">
        <v>0</v>
      </c>
      <c r="V1076" s="77">
        <v>14</v>
      </c>
      <c r="W1076" s="82" t="s">
        <v>5560</v>
      </c>
      <c r="X1076" s="80" t="str">
        <f>HYPERLINK("https://www.freeclassificados.com/ads/kits-hidraulico-para-cacamba-basculante/")</f>
        <v>https://www.freeclassificados.com/ads/kits-hidraulico-para-cacamba-basculante/</v>
      </c>
      <c r="Y1076" s="77" t="s">
        <v>7308</v>
      </c>
      <c r="Z1076" s="77"/>
      <c r="AA1076" s="77"/>
      <c r="AB1076" s="77"/>
      <c r="AC1076" s="82" t="s">
        <v>10155</v>
      </c>
      <c r="AD1076" s="77" t="s">
        <v>10184</v>
      </c>
      <c r="AE1076" s="80" t="str">
        <f>HYPERLINK("https://twitter.com/freeclassific/status/1661695418592538624")</f>
        <v>https://twitter.com/freeclassific/status/1661695418592538624</v>
      </c>
      <c r="AF1076" s="79">
        <v>45071.477256944447</v>
      </c>
      <c r="AG1076" s="85">
        <v>45071</v>
      </c>
      <c r="AH1076" s="82" t="s">
        <v>11226</v>
      </c>
      <c r="AI1076" s="77" t="b">
        <v>0</v>
      </c>
      <c r="AJ1076" s="77"/>
      <c r="AK1076" s="77"/>
      <c r="AL1076" s="77"/>
      <c r="AM1076" s="77"/>
      <c r="AN1076" s="77"/>
      <c r="AO1076" s="77"/>
      <c r="AP1076" s="77"/>
      <c r="AQ1076" s="77"/>
      <c r="AR1076" s="77"/>
      <c r="AS1076" s="77"/>
      <c r="AT1076" s="77"/>
      <c r="AU1076" s="77"/>
      <c r="AV1076" s="80" t="str">
        <f>HYPERLINK("https://pbs.twimg.com/profile_images/1431648743728852993/tLJ7F5Lu_normal.png")</f>
        <v>https://pbs.twimg.com/profile_images/1431648743728852993/tLJ7F5Lu_normal.png</v>
      </c>
      <c r="AW1076" s="82" t="s">
        <v>17849</v>
      </c>
      <c r="AX1076" s="82" t="s">
        <v>17849</v>
      </c>
      <c r="AY1076" s="77"/>
      <c r="AZ1076" s="82" t="s">
        <v>20971</v>
      </c>
      <c r="BA1076" s="82" t="s">
        <v>20971</v>
      </c>
      <c r="BB1076" s="82" t="s">
        <v>20971</v>
      </c>
      <c r="BC1076" s="82" t="s">
        <v>17849</v>
      </c>
      <c r="BD1076" s="77">
        <v>489723814</v>
      </c>
      <c r="BE1076" s="77"/>
      <c r="BF1076" s="77"/>
      <c r="BG1076" s="77"/>
      <c r="BH1076" s="77"/>
      <c r="BI1076" s="77"/>
    </row>
    <row r="1077" spans="1:61" x14ac:dyDescent="0.25">
      <c r="A1077" s="62" t="s">
        <v>418</v>
      </c>
      <c r="B1077" s="62" t="s">
        <v>418</v>
      </c>
      <c r="C1077" s="63"/>
      <c r="D1077" s="64"/>
      <c r="E1077" s="65"/>
      <c r="F1077" s="66"/>
      <c r="G1077" s="63"/>
      <c r="H1077" s="67"/>
      <c r="I1077" s="68"/>
      <c r="J1077" s="68"/>
      <c r="K1077" s="32"/>
      <c r="L1077" s="75">
        <v>1077</v>
      </c>
      <c r="M1077" s="75"/>
      <c r="N1077" s="70"/>
      <c r="O1077" s="77" t="s">
        <v>179</v>
      </c>
      <c r="P1077" s="79">
        <v>45071.473935185182</v>
      </c>
      <c r="Q1077" s="77" t="s">
        <v>2334</v>
      </c>
      <c r="R1077" s="77">
        <v>0</v>
      </c>
      <c r="S1077" s="77">
        <v>0</v>
      </c>
      <c r="T1077" s="77">
        <v>0</v>
      </c>
      <c r="U1077" s="77">
        <v>0</v>
      </c>
      <c r="V1077" s="77">
        <v>15</v>
      </c>
      <c r="W1077" s="82" t="s">
        <v>5560</v>
      </c>
      <c r="X1077" s="80" t="str">
        <f>HYPERLINK("https://www.freeclassificados.com/ads/redutor-hidraulico-osta/")</f>
        <v>https://www.freeclassificados.com/ads/redutor-hidraulico-osta/</v>
      </c>
      <c r="Y1077" s="77" t="s">
        <v>7308</v>
      </c>
      <c r="Z1077" s="77"/>
      <c r="AA1077" s="77"/>
      <c r="AB1077" s="77"/>
      <c r="AC1077" s="82" t="s">
        <v>10155</v>
      </c>
      <c r="AD1077" s="77" t="s">
        <v>10184</v>
      </c>
      <c r="AE1077" s="80" t="str">
        <f>HYPERLINK("https://twitter.com/freeclassific/status/1661694215418675200")</f>
        <v>https://twitter.com/freeclassific/status/1661694215418675200</v>
      </c>
      <c r="AF1077" s="79">
        <v>45071.473935185182</v>
      </c>
      <c r="AG1077" s="85">
        <v>45071</v>
      </c>
      <c r="AH1077" s="82" t="s">
        <v>11227</v>
      </c>
      <c r="AI1077" s="77" t="b">
        <v>0</v>
      </c>
      <c r="AJ1077" s="77"/>
      <c r="AK1077" s="77"/>
      <c r="AL1077" s="77"/>
      <c r="AM1077" s="77"/>
      <c r="AN1077" s="77"/>
      <c r="AO1077" s="77"/>
      <c r="AP1077" s="77"/>
      <c r="AQ1077" s="77"/>
      <c r="AR1077" s="77"/>
      <c r="AS1077" s="77"/>
      <c r="AT1077" s="77"/>
      <c r="AU1077" s="77"/>
      <c r="AV1077" s="80" t="str">
        <f>HYPERLINK("https://pbs.twimg.com/profile_images/1431648743728852993/tLJ7F5Lu_normal.png")</f>
        <v>https://pbs.twimg.com/profile_images/1431648743728852993/tLJ7F5Lu_normal.png</v>
      </c>
      <c r="AW1077" s="82" t="s">
        <v>17850</v>
      </c>
      <c r="AX1077" s="82" t="s">
        <v>17850</v>
      </c>
      <c r="AY1077" s="77"/>
      <c r="AZ1077" s="82" t="s">
        <v>20971</v>
      </c>
      <c r="BA1077" s="82" t="s">
        <v>20971</v>
      </c>
      <c r="BB1077" s="82" t="s">
        <v>20971</v>
      </c>
      <c r="BC1077" s="82" t="s">
        <v>17850</v>
      </c>
      <c r="BD1077" s="77">
        <v>489723814</v>
      </c>
      <c r="BE1077" s="77"/>
      <c r="BF1077" s="77"/>
      <c r="BG1077" s="77"/>
      <c r="BH1077" s="77"/>
      <c r="BI1077" s="77"/>
    </row>
    <row r="1078" spans="1:61" x14ac:dyDescent="0.25">
      <c r="A1078" s="62" t="s">
        <v>418</v>
      </c>
      <c r="B1078" s="62" t="s">
        <v>418</v>
      </c>
      <c r="C1078" s="63"/>
      <c r="D1078" s="64"/>
      <c r="E1078" s="65"/>
      <c r="F1078" s="66"/>
      <c r="G1078" s="63"/>
      <c r="H1078" s="67"/>
      <c r="I1078" s="68"/>
      <c r="J1078" s="68"/>
      <c r="K1078" s="32"/>
      <c r="L1078" s="75">
        <v>1078</v>
      </c>
      <c r="M1078" s="75"/>
      <c r="N1078" s="70"/>
      <c r="O1078" s="77" t="s">
        <v>179</v>
      </c>
      <c r="P1078" s="79">
        <v>45070.991493055553</v>
      </c>
      <c r="Q1078" s="77" t="s">
        <v>2335</v>
      </c>
      <c r="R1078" s="77">
        <v>0</v>
      </c>
      <c r="S1078" s="77">
        <v>1</v>
      </c>
      <c r="T1078" s="77">
        <v>0</v>
      </c>
      <c r="U1078" s="77">
        <v>0</v>
      </c>
      <c r="V1078" s="77">
        <v>23</v>
      </c>
      <c r="W1078" s="82" t="s">
        <v>5560</v>
      </c>
      <c r="X1078" s="80" t="str">
        <f>HYPERLINK("https://www.freeclassificados.com/ads/erus-man-transforme-sua-vida-sexual-e-explore-todo-seu-potencial-como-homem/")</f>
        <v>https://www.freeclassificados.com/ads/erus-man-transforme-sua-vida-sexual-e-explore-todo-seu-potencial-como-homem/</v>
      </c>
      <c r="Y1078" s="77" t="s">
        <v>7308</v>
      </c>
      <c r="Z1078" s="77"/>
      <c r="AA1078" s="77"/>
      <c r="AB1078" s="77"/>
      <c r="AC1078" s="82" t="s">
        <v>10155</v>
      </c>
      <c r="AD1078" s="77" t="s">
        <v>10184</v>
      </c>
      <c r="AE1078" s="80" t="str">
        <f>HYPERLINK("https://twitter.com/freeclassific/status/1661519383284576256")</f>
        <v>https://twitter.com/freeclassific/status/1661519383284576256</v>
      </c>
      <c r="AF1078" s="79">
        <v>45070.991493055553</v>
      </c>
      <c r="AG1078" s="85">
        <v>45070</v>
      </c>
      <c r="AH1078" s="82" t="s">
        <v>11228</v>
      </c>
      <c r="AI1078" s="77" t="b">
        <v>0</v>
      </c>
      <c r="AJ1078" s="77"/>
      <c r="AK1078" s="77"/>
      <c r="AL1078" s="77"/>
      <c r="AM1078" s="77"/>
      <c r="AN1078" s="77"/>
      <c r="AO1078" s="77"/>
      <c r="AP1078" s="77"/>
      <c r="AQ1078" s="77"/>
      <c r="AR1078" s="77"/>
      <c r="AS1078" s="77"/>
      <c r="AT1078" s="77"/>
      <c r="AU1078" s="77"/>
      <c r="AV1078" s="80" t="str">
        <f>HYPERLINK("https://pbs.twimg.com/profile_images/1431648743728852993/tLJ7F5Lu_normal.png")</f>
        <v>https://pbs.twimg.com/profile_images/1431648743728852993/tLJ7F5Lu_normal.png</v>
      </c>
      <c r="AW1078" s="82" t="s">
        <v>17851</v>
      </c>
      <c r="AX1078" s="82" t="s">
        <v>17851</v>
      </c>
      <c r="AY1078" s="77"/>
      <c r="AZ1078" s="82" t="s">
        <v>20971</v>
      </c>
      <c r="BA1078" s="82" t="s">
        <v>20971</v>
      </c>
      <c r="BB1078" s="82" t="s">
        <v>20971</v>
      </c>
      <c r="BC1078" s="82" t="s">
        <v>17851</v>
      </c>
      <c r="BD1078" s="77">
        <v>489723814</v>
      </c>
      <c r="BE1078" s="77"/>
      <c r="BF1078" s="77"/>
      <c r="BG1078" s="77"/>
      <c r="BH1078" s="77"/>
      <c r="BI1078" s="77"/>
    </row>
    <row r="1079" spans="1:61" x14ac:dyDescent="0.25">
      <c r="A1079" s="62" t="s">
        <v>418</v>
      </c>
      <c r="B1079" s="62" t="s">
        <v>418</v>
      </c>
      <c r="C1079" s="63"/>
      <c r="D1079" s="64"/>
      <c r="E1079" s="65"/>
      <c r="F1079" s="66"/>
      <c r="G1079" s="63"/>
      <c r="H1079" s="67"/>
      <c r="I1079" s="68"/>
      <c r="J1079" s="68"/>
      <c r="K1079" s="32"/>
      <c r="L1079" s="75">
        <v>1079</v>
      </c>
      <c r="M1079" s="75"/>
      <c r="N1079" s="70"/>
      <c r="O1079" s="77" t="s">
        <v>179</v>
      </c>
      <c r="P1079" s="79">
        <v>45070.962210648147</v>
      </c>
      <c r="Q1079" s="77" t="s">
        <v>2336</v>
      </c>
      <c r="R1079" s="77">
        <v>0</v>
      </c>
      <c r="S1079" s="77">
        <v>0</v>
      </c>
      <c r="T1079" s="77">
        <v>0</v>
      </c>
      <c r="U1079" s="77">
        <v>0</v>
      </c>
      <c r="V1079" s="77">
        <v>20</v>
      </c>
      <c r="W1079" s="82" t="s">
        <v>5560</v>
      </c>
      <c r="X1079" s="80" t="str">
        <f>HYPERLINK("https://www.freeclassificados.com/ads/faca-mais-de-2-000-cursos-no-portal-de-cursos-rapidos-e-so-pague-um/")</f>
        <v>https://www.freeclassificados.com/ads/faca-mais-de-2-000-cursos-no-portal-de-cursos-rapidos-e-so-pague-um/</v>
      </c>
      <c r="Y1079" s="77" t="s">
        <v>7308</v>
      </c>
      <c r="Z1079" s="77"/>
      <c r="AA1079" s="77"/>
      <c r="AB1079" s="77"/>
      <c r="AC1079" s="82" t="s">
        <v>10155</v>
      </c>
      <c r="AD1079" s="77" t="s">
        <v>10184</v>
      </c>
      <c r="AE1079" s="80" t="str">
        <f>HYPERLINK("https://twitter.com/freeclassific/status/1661508771049349121")</f>
        <v>https://twitter.com/freeclassific/status/1661508771049349121</v>
      </c>
      <c r="AF1079" s="79">
        <v>45070.962210648147</v>
      </c>
      <c r="AG1079" s="85">
        <v>45070</v>
      </c>
      <c r="AH1079" s="82" t="s">
        <v>11229</v>
      </c>
      <c r="AI1079" s="77" t="b">
        <v>0</v>
      </c>
      <c r="AJ1079" s="77"/>
      <c r="AK1079" s="77"/>
      <c r="AL1079" s="77"/>
      <c r="AM1079" s="77"/>
      <c r="AN1079" s="77"/>
      <c r="AO1079" s="77"/>
      <c r="AP1079" s="77"/>
      <c r="AQ1079" s="77"/>
      <c r="AR1079" s="77"/>
      <c r="AS1079" s="77"/>
      <c r="AT1079" s="77"/>
      <c r="AU1079" s="77"/>
      <c r="AV1079" s="80" t="str">
        <f>HYPERLINK("https://pbs.twimg.com/profile_images/1431648743728852993/tLJ7F5Lu_normal.png")</f>
        <v>https://pbs.twimg.com/profile_images/1431648743728852993/tLJ7F5Lu_normal.png</v>
      </c>
      <c r="AW1079" s="82" t="s">
        <v>17852</v>
      </c>
      <c r="AX1079" s="82" t="s">
        <v>17852</v>
      </c>
      <c r="AY1079" s="77"/>
      <c r="AZ1079" s="82" t="s">
        <v>20971</v>
      </c>
      <c r="BA1079" s="82" t="s">
        <v>20971</v>
      </c>
      <c r="BB1079" s="82" t="s">
        <v>20971</v>
      </c>
      <c r="BC1079" s="82" t="s">
        <v>17852</v>
      </c>
      <c r="BD1079" s="77">
        <v>489723814</v>
      </c>
      <c r="BE1079" s="77"/>
      <c r="BF1079" s="77"/>
      <c r="BG1079" s="77"/>
      <c r="BH1079" s="77"/>
      <c r="BI1079" s="77"/>
    </row>
    <row r="1080" spans="1:61" x14ac:dyDescent="0.25">
      <c r="A1080" s="62" t="s">
        <v>418</v>
      </c>
      <c r="B1080" s="62" t="s">
        <v>418</v>
      </c>
      <c r="C1080" s="63"/>
      <c r="D1080" s="64"/>
      <c r="E1080" s="65"/>
      <c r="F1080" s="66"/>
      <c r="G1080" s="63"/>
      <c r="H1080" s="67"/>
      <c r="I1080" s="68"/>
      <c r="J1080" s="68"/>
      <c r="K1080" s="32"/>
      <c r="L1080" s="75">
        <v>1080</v>
      </c>
      <c r="M1080" s="75"/>
      <c r="N1080" s="70"/>
      <c r="O1080" s="77" t="s">
        <v>179</v>
      </c>
      <c r="P1080" s="79">
        <v>45070.609479166669</v>
      </c>
      <c r="Q1080" s="77" t="s">
        <v>2337</v>
      </c>
      <c r="R1080" s="77">
        <v>0</v>
      </c>
      <c r="S1080" s="77">
        <v>0</v>
      </c>
      <c r="T1080" s="77">
        <v>0</v>
      </c>
      <c r="U1080" s="77">
        <v>0</v>
      </c>
      <c r="V1080" s="77">
        <v>7</v>
      </c>
      <c r="W1080" s="82" t="s">
        <v>5560</v>
      </c>
      <c r="X1080" s="80" t="str">
        <f>HYPERLINK("https://www.freeclassificados.com/ads/rio-embalagens-facilitamos-sua-forma-de-pagamento/")</f>
        <v>https://www.freeclassificados.com/ads/rio-embalagens-facilitamos-sua-forma-de-pagamento/</v>
      </c>
      <c r="Y1080" s="77" t="s">
        <v>7308</v>
      </c>
      <c r="Z1080" s="77"/>
      <c r="AA1080" s="77"/>
      <c r="AB1080" s="77"/>
      <c r="AC1080" s="82" t="s">
        <v>10155</v>
      </c>
      <c r="AD1080" s="77" t="s">
        <v>10184</v>
      </c>
      <c r="AE1080" s="80" t="str">
        <f>HYPERLINK("https://twitter.com/freeclassific/status/1661380947315490821")</f>
        <v>https://twitter.com/freeclassific/status/1661380947315490821</v>
      </c>
      <c r="AF1080" s="79">
        <v>45070.609479166669</v>
      </c>
      <c r="AG1080" s="85">
        <v>45070</v>
      </c>
      <c r="AH1080" s="82" t="s">
        <v>11230</v>
      </c>
      <c r="AI1080" s="77" t="b">
        <v>0</v>
      </c>
      <c r="AJ1080" s="77"/>
      <c r="AK1080" s="77"/>
      <c r="AL1080" s="77"/>
      <c r="AM1080" s="77"/>
      <c r="AN1080" s="77"/>
      <c r="AO1080" s="77"/>
      <c r="AP1080" s="77"/>
      <c r="AQ1080" s="77"/>
      <c r="AR1080" s="77"/>
      <c r="AS1080" s="77"/>
      <c r="AT1080" s="77"/>
      <c r="AU1080" s="77"/>
      <c r="AV1080" s="80" t="str">
        <f>HYPERLINK("https://pbs.twimg.com/profile_images/1431648743728852993/tLJ7F5Lu_normal.png")</f>
        <v>https://pbs.twimg.com/profile_images/1431648743728852993/tLJ7F5Lu_normal.png</v>
      </c>
      <c r="AW1080" s="82" t="s">
        <v>17853</v>
      </c>
      <c r="AX1080" s="82" t="s">
        <v>17853</v>
      </c>
      <c r="AY1080" s="77"/>
      <c r="AZ1080" s="82" t="s">
        <v>20971</v>
      </c>
      <c r="BA1080" s="82" t="s">
        <v>20971</v>
      </c>
      <c r="BB1080" s="82" t="s">
        <v>20971</v>
      </c>
      <c r="BC1080" s="82" t="s">
        <v>17853</v>
      </c>
      <c r="BD1080" s="77">
        <v>489723814</v>
      </c>
      <c r="BE1080" s="77"/>
      <c r="BF1080" s="77"/>
      <c r="BG1080" s="77"/>
      <c r="BH1080" s="77"/>
      <c r="BI1080" s="77"/>
    </row>
    <row r="1081" spans="1:61" x14ac:dyDescent="0.25">
      <c r="A1081" s="62" t="s">
        <v>418</v>
      </c>
      <c r="B1081" s="62" t="s">
        <v>418</v>
      </c>
      <c r="C1081" s="63"/>
      <c r="D1081" s="64"/>
      <c r="E1081" s="65"/>
      <c r="F1081" s="66"/>
      <c r="G1081" s="63"/>
      <c r="H1081" s="67"/>
      <c r="I1081" s="68"/>
      <c r="J1081" s="68"/>
      <c r="K1081" s="32"/>
      <c r="L1081" s="75">
        <v>1081</v>
      </c>
      <c r="M1081" s="75"/>
      <c r="N1081" s="70"/>
      <c r="O1081" s="77" t="s">
        <v>179</v>
      </c>
      <c r="P1081" s="79">
        <v>45070.587025462963</v>
      </c>
      <c r="Q1081" s="77" t="s">
        <v>2338</v>
      </c>
      <c r="R1081" s="77">
        <v>0</v>
      </c>
      <c r="S1081" s="77">
        <v>0</v>
      </c>
      <c r="T1081" s="77">
        <v>0</v>
      </c>
      <c r="U1081" s="77">
        <v>0</v>
      </c>
      <c r="V1081" s="77">
        <v>5</v>
      </c>
      <c r="W1081" s="82" t="s">
        <v>5560</v>
      </c>
      <c r="X1081" s="80" t="str">
        <f>HYPERLINK("https://www.freeclassificados.com/ads/copos-artesanais-de-todas-as-as-marcas/")</f>
        <v>https://www.freeclassificados.com/ads/copos-artesanais-de-todas-as-as-marcas/</v>
      </c>
      <c r="Y1081" s="77" t="s">
        <v>7308</v>
      </c>
      <c r="Z1081" s="77"/>
      <c r="AA1081" s="77"/>
      <c r="AB1081" s="77"/>
      <c r="AC1081" s="82" t="s">
        <v>10155</v>
      </c>
      <c r="AD1081" s="77" t="s">
        <v>10184</v>
      </c>
      <c r="AE1081" s="80" t="str">
        <f>HYPERLINK("https://twitter.com/freeclassific/status/1661372808478224388")</f>
        <v>https://twitter.com/freeclassific/status/1661372808478224388</v>
      </c>
      <c r="AF1081" s="79">
        <v>45070.587025462963</v>
      </c>
      <c r="AG1081" s="85">
        <v>45070</v>
      </c>
      <c r="AH1081" s="82" t="s">
        <v>11231</v>
      </c>
      <c r="AI1081" s="77" t="b">
        <v>0</v>
      </c>
      <c r="AJ1081" s="77"/>
      <c r="AK1081" s="77"/>
      <c r="AL1081" s="77"/>
      <c r="AM1081" s="77"/>
      <c r="AN1081" s="77"/>
      <c r="AO1081" s="77"/>
      <c r="AP1081" s="77"/>
      <c r="AQ1081" s="77"/>
      <c r="AR1081" s="77"/>
      <c r="AS1081" s="77"/>
      <c r="AT1081" s="77"/>
      <c r="AU1081" s="77"/>
      <c r="AV1081" s="80" t="str">
        <f>HYPERLINK("https://pbs.twimg.com/profile_images/1431648743728852993/tLJ7F5Lu_normal.png")</f>
        <v>https://pbs.twimg.com/profile_images/1431648743728852993/tLJ7F5Lu_normal.png</v>
      </c>
      <c r="AW1081" s="82" t="s">
        <v>17854</v>
      </c>
      <c r="AX1081" s="82" t="s">
        <v>17854</v>
      </c>
      <c r="AY1081" s="77"/>
      <c r="AZ1081" s="82" t="s">
        <v>20971</v>
      </c>
      <c r="BA1081" s="82" t="s">
        <v>20971</v>
      </c>
      <c r="BB1081" s="82" t="s">
        <v>20971</v>
      </c>
      <c r="BC1081" s="82" t="s">
        <v>17854</v>
      </c>
      <c r="BD1081" s="77">
        <v>489723814</v>
      </c>
      <c r="BE1081" s="77"/>
      <c r="BF1081" s="77"/>
      <c r="BG1081" s="77"/>
      <c r="BH1081" s="77"/>
      <c r="BI1081" s="77"/>
    </row>
    <row r="1082" spans="1:61" x14ac:dyDescent="0.25">
      <c r="A1082" s="62" t="s">
        <v>418</v>
      </c>
      <c r="B1082" s="62" t="s">
        <v>418</v>
      </c>
      <c r="C1082" s="63"/>
      <c r="D1082" s="64"/>
      <c r="E1082" s="65"/>
      <c r="F1082" s="66"/>
      <c r="G1082" s="63"/>
      <c r="H1082" s="67"/>
      <c r="I1082" s="68"/>
      <c r="J1082" s="68"/>
      <c r="K1082" s="32"/>
      <c r="L1082" s="75">
        <v>1082</v>
      </c>
      <c r="M1082" s="75"/>
      <c r="N1082" s="70"/>
      <c r="O1082" s="77" t="s">
        <v>179</v>
      </c>
      <c r="P1082" s="79">
        <v>45070.568472222221</v>
      </c>
      <c r="Q1082" s="77" t="s">
        <v>2339</v>
      </c>
      <c r="R1082" s="77">
        <v>0</v>
      </c>
      <c r="S1082" s="77">
        <v>0</v>
      </c>
      <c r="T1082" s="77">
        <v>0</v>
      </c>
      <c r="U1082" s="77">
        <v>0</v>
      </c>
      <c r="V1082" s="77">
        <v>7</v>
      </c>
      <c r="W1082" s="82" t="s">
        <v>5560</v>
      </c>
      <c r="X1082" s="80" t="str">
        <f>HYPERLINK("https://www.freeclassificados.com/ads/kit-com-6-calcinhas-fio-duplocintura-alta/")</f>
        <v>https://www.freeclassificados.com/ads/kit-com-6-calcinhas-fio-duplocintura-alta/</v>
      </c>
      <c r="Y1082" s="77" t="s">
        <v>7308</v>
      </c>
      <c r="Z1082" s="77"/>
      <c r="AA1082" s="77"/>
      <c r="AB1082" s="77"/>
      <c r="AC1082" s="82" t="s">
        <v>10155</v>
      </c>
      <c r="AD1082" s="77" t="s">
        <v>10184</v>
      </c>
      <c r="AE1082" s="80" t="str">
        <f>HYPERLINK("https://twitter.com/freeclassific/status/1661366086405885952")</f>
        <v>https://twitter.com/freeclassific/status/1661366086405885952</v>
      </c>
      <c r="AF1082" s="79">
        <v>45070.568472222221</v>
      </c>
      <c r="AG1082" s="85">
        <v>45070</v>
      </c>
      <c r="AH1082" s="82" t="s">
        <v>11232</v>
      </c>
      <c r="AI1082" s="77" t="b">
        <v>0</v>
      </c>
      <c r="AJ1082" s="77"/>
      <c r="AK1082" s="77"/>
      <c r="AL1082" s="77"/>
      <c r="AM1082" s="77"/>
      <c r="AN1082" s="77"/>
      <c r="AO1082" s="77"/>
      <c r="AP1082" s="77"/>
      <c r="AQ1082" s="77"/>
      <c r="AR1082" s="77"/>
      <c r="AS1082" s="77"/>
      <c r="AT1082" s="77"/>
      <c r="AU1082" s="77"/>
      <c r="AV1082" s="80" t="str">
        <f>HYPERLINK("https://pbs.twimg.com/profile_images/1431648743728852993/tLJ7F5Lu_normal.png")</f>
        <v>https://pbs.twimg.com/profile_images/1431648743728852993/tLJ7F5Lu_normal.png</v>
      </c>
      <c r="AW1082" s="82" t="s">
        <v>17855</v>
      </c>
      <c r="AX1082" s="82" t="s">
        <v>17855</v>
      </c>
      <c r="AY1082" s="77"/>
      <c r="AZ1082" s="82" t="s">
        <v>20971</v>
      </c>
      <c r="BA1082" s="82" t="s">
        <v>20971</v>
      </c>
      <c r="BB1082" s="82" t="s">
        <v>20971</v>
      </c>
      <c r="BC1082" s="82" t="s">
        <v>17855</v>
      </c>
      <c r="BD1082" s="77">
        <v>489723814</v>
      </c>
      <c r="BE1082" s="77"/>
      <c r="BF1082" s="77"/>
      <c r="BG1082" s="77"/>
      <c r="BH1082" s="77"/>
      <c r="BI1082" s="77"/>
    </row>
    <row r="1083" spans="1:61" x14ac:dyDescent="0.25">
      <c r="A1083" s="62" t="s">
        <v>418</v>
      </c>
      <c r="B1083" s="62" t="s">
        <v>418</v>
      </c>
      <c r="C1083" s="63"/>
      <c r="D1083" s="64"/>
      <c r="E1083" s="65"/>
      <c r="F1083" s="66"/>
      <c r="G1083" s="63"/>
      <c r="H1083" s="67"/>
      <c r="I1083" s="68"/>
      <c r="J1083" s="68"/>
      <c r="K1083" s="32"/>
      <c r="L1083" s="75">
        <v>1083</v>
      </c>
      <c r="M1083" s="75"/>
      <c r="N1083" s="70"/>
      <c r="O1083" s="77" t="s">
        <v>179</v>
      </c>
      <c r="P1083" s="79">
        <v>45049.646944444445</v>
      </c>
      <c r="Q1083" s="77" t="s">
        <v>2340</v>
      </c>
      <c r="R1083" s="77">
        <v>0</v>
      </c>
      <c r="S1083" s="77">
        <v>0</v>
      </c>
      <c r="T1083" s="77">
        <v>0</v>
      </c>
      <c r="U1083" s="77">
        <v>0</v>
      </c>
      <c r="V1083" s="77">
        <v>10</v>
      </c>
      <c r="W1083" s="82" t="s">
        <v>5560</v>
      </c>
      <c r="X1083" s="80" t="str">
        <f>HYPERLINK("https://www.freeclassificados.com/ads/sacos-e-sacolas-kraft-personalizados/")</f>
        <v>https://www.freeclassificados.com/ads/sacos-e-sacolas-kraft-personalizados/</v>
      </c>
      <c r="Y1083" s="77" t="s">
        <v>7308</v>
      </c>
      <c r="Z1083" s="77"/>
      <c r="AA1083" s="77"/>
      <c r="AB1083" s="77"/>
      <c r="AC1083" s="82" t="s">
        <v>10155</v>
      </c>
      <c r="AD1083" s="77" t="s">
        <v>10187</v>
      </c>
      <c r="AE1083" s="80" t="str">
        <f>HYPERLINK("https://twitter.com/freeclassific/status/1653784380572315648")</f>
        <v>https://twitter.com/freeclassific/status/1653784380572315648</v>
      </c>
      <c r="AF1083" s="79">
        <v>45049.646944444445</v>
      </c>
      <c r="AG1083" s="85">
        <v>45049</v>
      </c>
      <c r="AH1083" s="82" t="s">
        <v>11233</v>
      </c>
      <c r="AI1083" s="77" t="b">
        <v>0</v>
      </c>
      <c r="AJ1083" s="77"/>
      <c r="AK1083" s="77"/>
      <c r="AL1083" s="77"/>
      <c r="AM1083" s="77"/>
      <c r="AN1083" s="77"/>
      <c r="AO1083" s="77"/>
      <c r="AP1083" s="77"/>
      <c r="AQ1083" s="77"/>
      <c r="AR1083" s="77"/>
      <c r="AS1083" s="77"/>
      <c r="AT1083" s="77"/>
      <c r="AU1083" s="77"/>
      <c r="AV1083" s="80" t="str">
        <f>HYPERLINK("https://pbs.twimg.com/profile_images/1431648743728852993/tLJ7F5Lu_normal.png")</f>
        <v>https://pbs.twimg.com/profile_images/1431648743728852993/tLJ7F5Lu_normal.png</v>
      </c>
      <c r="AW1083" s="82" t="s">
        <v>17856</v>
      </c>
      <c r="AX1083" s="82" t="s">
        <v>17856</v>
      </c>
      <c r="AY1083" s="77"/>
      <c r="AZ1083" s="82" t="s">
        <v>20971</v>
      </c>
      <c r="BA1083" s="82" t="s">
        <v>20971</v>
      </c>
      <c r="BB1083" s="82" t="s">
        <v>20971</v>
      </c>
      <c r="BC1083" s="82" t="s">
        <v>17856</v>
      </c>
      <c r="BD1083" s="77">
        <v>489723814</v>
      </c>
      <c r="BE1083" s="77"/>
      <c r="BF1083" s="77"/>
      <c r="BG1083" s="77"/>
      <c r="BH1083" s="77"/>
      <c r="BI1083" s="77"/>
    </row>
    <row r="1084" spans="1:61" x14ac:dyDescent="0.25">
      <c r="A1084" s="62" t="s">
        <v>418</v>
      </c>
      <c r="B1084" s="62" t="s">
        <v>418</v>
      </c>
      <c r="C1084" s="63"/>
      <c r="D1084" s="64"/>
      <c r="E1084" s="65"/>
      <c r="F1084" s="66"/>
      <c r="G1084" s="63"/>
      <c r="H1084" s="67"/>
      <c r="I1084" s="68"/>
      <c r="J1084" s="68"/>
      <c r="K1084" s="32"/>
      <c r="L1084" s="75">
        <v>1084</v>
      </c>
      <c r="M1084" s="75"/>
      <c r="N1084" s="70"/>
      <c r="O1084" s="77" t="s">
        <v>179</v>
      </c>
      <c r="P1084" s="79">
        <v>45049.579224537039</v>
      </c>
      <c r="Q1084" s="77" t="s">
        <v>2341</v>
      </c>
      <c r="R1084" s="77">
        <v>0</v>
      </c>
      <c r="S1084" s="77">
        <v>0</v>
      </c>
      <c r="T1084" s="77">
        <v>0</v>
      </c>
      <c r="U1084" s="77">
        <v>0</v>
      </c>
      <c r="V1084" s="77">
        <v>12</v>
      </c>
      <c r="W1084" s="82" t="s">
        <v>5560</v>
      </c>
      <c r="X1084" s="80" t="str">
        <f>HYPERLINK("https://www.freeclassificados.com/ads/embalagens-e-sacolas-personalizadas/")</f>
        <v>https://www.freeclassificados.com/ads/embalagens-e-sacolas-personalizadas/</v>
      </c>
      <c r="Y1084" s="77" t="s">
        <v>7308</v>
      </c>
      <c r="Z1084" s="77"/>
      <c r="AA1084" s="77"/>
      <c r="AB1084" s="77"/>
      <c r="AC1084" s="82" t="s">
        <v>10155</v>
      </c>
      <c r="AD1084" s="77" t="s">
        <v>10184</v>
      </c>
      <c r="AE1084" s="80" t="str">
        <f>HYPERLINK("https://twitter.com/freeclassific/status/1653759836469985280")</f>
        <v>https://twitter.com/freeclassific/status/1653759836469985280</v>
      </c>
      <c r="AF1084" s="79">
        <v>45049.579224537039</v>
      </c>
      <c r="AG1084" s="85">
        <v>45049</v>
      </c>
      <c r="AH1084" s="82" t="s">
        <v>11234</v>
      </c>
      <c r="AI1084" s="77" t="b">
        <v>0</v>
      </c>
      <c r="AJ1084" s="77"/>
      <c r="AK1084" s="77"/>
      <c r="AL1084" s="77"/>
      <c r="AM1084" s="77"/>
      <c r="AN1084" s="77"/>
      <c r="AO1084" s="77"/>
      <c r="AP1084" s="77"/>
      <c r="AQ1084" s="77"/>
      <c r="AR1084" s="77"/>
      <c r="AS1084" s="77"/>
      <c r="AT1084" s="77"/>
      <c r="AU1084" s="77"/>
      <c r="AV1084" s="80" t="str">
        <f>HYPERLINK("https://pbs.twimg.com/profile_images/1431648743728852993/tLJ7F5Lu_normal.png")</f>
        <v>https://pbs.twimg.com/profile_images/1431648743728852993/tLJ7F5Lu_normal.png</v>
      </c>
      <c r="AW1084" s="82" t="s">
        <v>17857</v>
      </c>
      <c r="AX1084" s="82" t="s">
        <v>17857</v>
      </c>
      <c r="AY1084" s="77"/>
      <c r="AZ1084" s="82" t="s">
        <v>20971</v>
      </c>
      <c r="BA1084" s="82" t="s">
        <v>20971</v>
      </c>
      <c r="BB1084" s="82" t="s">
        <v>20971</v>
      </c>
      <c r="BC1084" s="82" t="s">
        <v>17857</v>
      </c>
      <c r="BD1084" s="77">
        <v>489723814</v>
      </c>
      <c r="BE1084" s="77"/>
      <c r="BF1084" s="77"/>
      <c r="BG1084" s="77"/>
      <c r="BH1084" s="77"/>
      <c r="BI1084" s="77"/>
    </row>
    <row r="1085" spans="1:61" x14ac:dyDescent="0.25">
      <c r="A1085" s="62" t="s">
        <v>418</v>
      </c>
      <c r="B1085" s="62" t="s">
        <v>418</v>
      </c>
      <c r="C1085" s="63"/>
      <c r="D1085" s="64"/>
      <c r="E1085" s="65"/>
      <c r="F1085" s="66"/>
      <c r="G1085" s="63"/>
      <c r="H1085" s="67"/>
      <c r="I1085" s="68"/>
      <c r="J1085" s="68"/>
      <c r="K1085" s="32"/>
      <c r="L1085" s="75">
        <v>1085</v>
      </c>
      <c r="M1085" s="75"/>
      <c r="N1085" s="70"/>
      <c r="O1085" s="77" t="s">
        <v>179</v>
      </c>
      <c r="P1085" s="79">
        <v>45049.570115740738</v>
      </c>
      <c r="Q1085" s="77" t="s">
        <v>2342</v>
      </c>
      <c r="R1085" s="77">
        <v>0</v>
      </c>
      <c r="S1085" s="77">
        <v>0</v>
      </c>
      <c r="T1085" s="77">
        <v>0</v>
      </c>
      <c r="U1085" s="77">
        <v>0</v>
      </c>
      <c r="V1085" s="77">
        <v>16</v>
      </c>
      <c r="W1085" s="82" t="s">
        <v>5560</v>
      </c>
      <c r="X1085" s="80" t="str">
        <f>HYPERLINK("https://www.freeclassificados.com/ads/fazemos-servicos-de-digitacao-em-geral-formatacoes-e-muitos-outros-para-campinas-e-todo-interior-de-sao-paulo/")</f>
        <v>https://www.freeclassificados.com/ads/fazemos-servicos-de-digitacao-em-geral-formatacoes-e-muitos-outros-para-campinas-e-todo-interior-de-sao-paulo/</v>
      </c>
      <c r="Y1085" s="77" t="s">
        <v>7308</v>
      </c>
      <c r="Z1085" s="77"/>
      <c r="AA1085" s="77"/>
      <c r="AB1085" s="77"/>
      <c r="AC1085" s="82" t="s">
        <v>10155</v>
      </c>
      <c r="AD1085" s="77" t="s">
        <v>10184</v>
      </c>
      <c r="AE1085" s="80" t="str">
        <f>HYPERLINK("https://twitter.com/freeclassific/status/1653756537763135489")</f>
        <v>https://twitter.com/freeclassific/status/1653756537763135489</v>
      </c>
      <c r="AF1085" s="79">
        <v>45049.570115740738</v>
      </c>
      <c r="AG1085" s="85">
        <v>45049</v>
      </c>
      <c r="AH1085" s="82" t="s">
        <v>11235</v>
      </c>
      <c r="AI1085" s="77" t="b">
        <v>0</v>
      </c>
      <c r="AJ1085" s="77"/>
      <c r="AK1085" s="77"/>
      <c r="AL1085" s="77"/>
      <c r="AM1085" s="77"/>
      <c r="AN1085" s="77"/>
      <c r="AO1085" s="77"/>
      <c r="AP1085" s="77"/>
      <c r="AQ1085" s="77"/>
      <c r="AR1085" s="77"/>
      <c r="AS1085" s="77"/>
      <c r="AT1085" s="77"/>
      <c r="AU1085" s="77"/>
      <c r="AV1085" s="80" t="str">
        <f>HYPERLINK("https://pbs.twimg.com/profile_images/1431648743728852993/tLJ7F5Lu_normal.png")</f>
        <v>https://pbs.twimg.com/profile_images/1431648743728852993/tLJ7F5Lu_normal.png</v>
      </c>
      <c r="AW1085" s="82" t="s">
        <v>17858</v>
      </c>
      <c r="AX1085" s="82" t="s">
        <v>17858</v>
      </c>
      <c r="AY1085" s="77"/>
      <c r="AZ1085" s="82" t="s">
        <v>20971</v>
      </c>
      <c r="BA1085" s="82" t="s">
        <v>20971</v>
      </c>
      <c r="BB1085" s="82" t="s">
        <v>20971</v>
      </c>
      <c r="BC1085" s="82" t="s">
        <v>17858</v>
      </c>
      <c r="BD1085" s="77">
        <v>489723814</v>
      </c>
      <c r="BE1085" s="77"/>
      <c r="BF1085" s="77"/>
      <c r="BG1085" s="77"/>
      <c r="BH1085" s="77"/>
      <c r="BI1085" s="77"/>
    </row>
    <row r="1086" spans="1:61" x14ac:dyDescent="0.25">
      <c r="A1086" s="62" t="s">
        <v>418</v>
      </c>
      <c r="B1086" s="62" t="s">
        <v>418</v>
      </c>
      <c r="C1086" s="63"/>
      <c r="D1086" s="64"/>
      <c r="E1086" s="65"/>
      <c r="F1086" s="66"/>
      <c r="G1086" s="63"/>
      <c r="H1086" s="67"/>
      <c r="I1086" s="68"/>
      <c r="J1086" s="68"/>
      <c r="K1086" s="32"/>
      <c r="L1086" s="75">
        <v>1086</v>
      </c>
      <c r="M1086" s="75"/>
      <c r="N1086" s="70"/>
      <c r="O1086" s="77" t="s">
        <v>179</v>
      </c>
      <c r="P1086" s="79">
        <v>45049.456226851849</v>
      </c>
      <c r="Q1086" s="77" t="s">
        <v>2003</v>
      </c>
      <c r="R1086" s="77">
        <v>0</v>
      </c>
      <c r="S1086" s="77">
        <v>0</v>
      </c>
      <c r="T1086" s="77">
        <v>0</v>
      </c>
      <c r="U1086" s="77">
        <v>0</v>
      </c>
      <c r="V1086" s="77">
        <v>13</v>
      </c>
      <c r="W1086" s="82" t="s">
        <v>5560</v>
      </c>
      <c r="X1086" s="80" t="str">
        <f>HYPERLINK("https://www.freeclassificados.com/ads/palco-coberta-som-luz-alugo-palco-aluguel-tablado-de-vidro-palco-madeira-9-86-25-98-82/")</f>
        <v>https://www.freeclassificados.com/ads/palco-coberta-som-luz-alugo-palco-aluguel-tablado-de-vidro-palco-madeira-9-86-25-98-82/</v>
      </c>
      <c r="Y1086" s="77" t="s">
        <v>7308</v>
      </c>
      <c r="Z1086" s="77"/>
      <c r="AA1086" s="77"/>
      <c r="AB1086" s="77"/>
      <c r="AC1086" s="82" t="s">
        <v>10155</v>
      </c>
      <c r="AD1086" s="77" t="s">
        <v>10184</v>
      </c>
      <c r="AE1086" s="80" t="str">
        <f>HYPERLINK("https://twitter.com/freeclassific/status/1653715265711128577")</f>
        <v>https://twitter.com/freeclassific/status/1653715265711128577</v>
      </c>
      <c r="AF1086" s="79">
        <v>45049.456226851849</v>
      </c>
      <c r="AG1086" s="85">
        <v>45049</v>
      </c>
      <c r="AH1086" s="82" t="s">
        <v>11236</v>
      </c>
      <c r="AI1086" s="77" t="b">
        <v>0</v>
      </c>
      <c r="AJ1086" s="77"/>
      <c r="AK1086" s="77"/>
      <c r="AL1086" s="77"/>
      <c r="AM1086" s="77"/>
      <c r="AN1086" s="77"/>
      <c r="AO1086" s="77"/>
      <c r="AP1086" s="77"/>
      <c r="AQ1086" s="77"/>
      <c r="AR1086" s="77"/>
      <c r="AS1086" s="77"/>
      <c r="AT1086" s="77"/>
      <c r="AU1086" s="77"/>
      <c r="AV1086" s="80" t="str">
        <f>HYPERLINK("https://pbs.twimg.com/profile_images/1431648743728852993/tLJ7F5Lu_normal.png")</f>
        <v>https://pbs.twimg.com/profile_images/1431648743728852993/tLJ7F5Lu_normal.png</v>
      </c>
      <c r="AW1086" s="82" t="s">
        <v>17859</v>
      </c>
      <c r="AX1086" s="82" t="s">
        <v>17859</v>
      </c>
      <c r="AY1086" s="77"/>
      <c r="AZ1086" s="82" t="s">
        <v>20971</v>
      </c>
      <c r="BA1086" s="82" t="s">
        <v>20971</v>
      </c>
      <c r="BB1086" s="82" t="s">
        <v>20971</v>
      </c>
      <c r="BC1086" s="82" t="s">
        <v>17859</v>
      </c>
      <c r="BD1086" s="77">
        <v>489723814</v>
      </c>
      <c r="BE1086" s="77"/>
      <c r="BF1086" s="77"/>
      <c r="BG1086" s="77"/>
      <c r="BH1086" s="77"/>
      <c r="BI1086" s="77"/>
    </row>
    <row r="1087" spans="1:61" x14ac:dyDescent="0.25">
      <c r="A1087" s="62" t="s">
        <v>418</v>
      </c>
      <c r="B1087" s="62" t="s">
        <v>418</v>
      </c>
      <c r="C1087" s="63"/>
      <c r="D1087" s="64"/>
      <c r="E1087" s="65"/>
      <c r="F1087" s="66"/>
      <c r="G1087" s="63"/>
      <c r="H1087" s="67"/>
      <c r="I1087" s="68"/>
      <c r="J1087" s="68"/>
      <c r="K1087" s="32"/>
      <c r="L1087" s="75">
        <v>1087</v>
      </c>
      <c r="M1087" s="75"/>
      <c r="N1087" s="70"/>
      <c r="O1087" s="77" t="s">
        <v>179</v>
      </c>
      <c r="P1087" s="79">
        <v>45048.662245370368</v>
      </c>
      <c r="Q1087" s="77" t="s">
        <v>2343</v>
      </c>
      <c r="R1087" s="77">
        <v>0</v>
      </c>
      <c r="S1087" s="77">
        <v>0</v>
      </c>
      <c r="T1087" s="77">
        <v>0</v>
      </c>
      <c r="U1087" s="77">
        <v>0</v>
      </c>
      <c r="V1087" s="77">
        <v>9</v>
      </c>
      <c r="W1087" s="82" t="s">
        <v>5560</v>
      </c>
      <c r="X1087" s="80" t="str">
        <f>HYPERLINK("https://www.freeclassificados.com/ads/sacola-plastica-e-embalagens-personalizadas/")</f>
        <v>https://www.freeclassificados.com/ads/sacola-plastica-e-embalagens-personalizadas/</v>
      </c>
      <c r="Y1087" s="77" t="s">
        <v>7308</v>
      </c>
      <c r="Z1087" s="77"/>
      <c r="AA1087" s="77"/>
      <c r="AB1087" s="77"/>
      <c r="AC1087" s="82" t="s">
        <v>10155</v>
      </c>
      <c r="AD1087" s="77" t="s">
        <v>10184</v>
      </c>
      <c r="AE1087" s="80" t="str">
        <f>HYPERLINK("https://twitter.com/freeclassific/status/1653427536297345024")</f>
        <v>https://twitter.com/freeclassific/status/1653427536297345024</v>
      </c>
      <c r="AF1087" s="79">
        <v>45048.662245370368</v>
      </c>
      <c r="AG1087" s="85">
        <v>45048</v>
      </c>
      <c r="AH1087" s="82" t="s">
        <v>11237</v>
      </c>
      <c r="AI1087" s="77" t="b">
        <v>0</v>
      </c>
      <c r="AJ1087" s="77"/>
      <c r="AK1087" s="77"/>
      <c r="AL1087" s="77"/>
      <c r="AM1087" s="77"/>
      <c r="AN1087" s="77"/>
      <c r="AO1087" s="77"/>
      <c r="AP1087" s="77"/>
      <c r="AQ1087" s="77"/>
      <c r="AR1087" s="77"/>
      <c r="AS1087" s="77"/>
      <c r="AT1087" s="77"/>
      <c r="AU1087" s="77"/>
      <c r="AV1087" s="80" t="str">
        <f>HYPERLINK("https://pbs.twimg.com/profile_images/1431648743728852993/tLJ7F5Lu_normal.png")</f>
        <v>https://pbs.twimg.com/profile_images/1431648743728852993/tLJ7F5Lu_normal.png</v>
      </c>
      <c r="AW1087" s="82" t="s">
        <v>17860</v>
      </c>
      <c r="AX1087" s="82" t="s">
        <v>17860</v>
      </c>
      <c r="AY1087" s="77"/>
      <c r="AZ1087" s="82" t="s">
        <v>20971</v>
      </c>
      <c r="BA1087" s="82" t="s">
        <v>20971</v>
      </c>
      <c r="BB1087" s="82" t="s">
        <v>20971</v>
      </c>
      <c r="BC1087" s="82" t="s">
        <v>17860</v>
      </c>
      <c r="BD1087" s="77">
        <v>489723814</v>
      </c>
      <c r="BE1087" s="77"/>
      <c r="BF1087" s="77"/>
      <c r="BG1087" s="77"/>
      <c r="BH1087" s="77"/>
      <c r="BI1087" s="77"/>
    </row>
    <row r="1088" spans="1:61" x14ac:dyDescent="0.25">
      <c r="A1088" s="62" t="s">
        <v>418</v>
      </c>
      <c r="B1088" s="62" t="s">
        <v>418</v>
      </c>
      <c r="C1088" s="63"/>
      <c r="D1088" s="64"/>
      <c r="E1088" s="65"/>
      <c r="F1088" s="66"/>
      <c r="G1088" s="63"/>
      <c r="H1088" s="67"/>
      <c r="I1088" s="68"/>
      <c r="J1088" s="68"/>
      <c r="K1088" s="32"/>
      <c r="L1088" s="75">
        <v>1088</v>
      </c>
      <c r="M1088" s="75"/>
      <c r="N1088" s="70"/>
      <c r="O1088" s="77" t="s">
        <v>179</v>
      </c>
      <c r="P1088" s="79">
        <v>45048.654143518521</v>
      </c>
      <c r="Q1088" s="77" t="s">
        <v>2344</v>
      </c>
      <c r="R1088" s="77">
        <v>0</v>
      </c>
      <c r="S1088" s="77">
        <v>0</v>
      </c>
      <c r="T1088" s="77">
        <v>0</v>
      </c>
      <c r="U1088" s="77">
        <v>0</v>
      </c>
      <c r="V1088" s="77">
        <v>12</v>
      </c>
      <c r="W1088" s="82" t="s">
        <v>5560</v>
      </c>
      <c r="X1088" s="80" t="str">
        <f>HYPERLINK("https://www.freeclassificados.com/ads/detetives-belo-horizonte-mg/")</f>
        <v>https://www.freeclassificados.com/ads/detetives-belo-horizonte-mg/</v>
      </c>
      <c r="Y1088" s="77" t="s">
        <v>7308</v>
      </c>
      <c r="Z1088" s="77"/>
      <c r="AA1088" s="77"/>
      <c r="AB1088" s="77"/>
      <c r="AC1088" s="82" t="s">
        <v>10155</v>
      </c>
      <c r="AD1088" s="77" t="s">
        <v>10184</v>
      </c>
      <c r="AE1088" s="80" t="str">
        <f>HYPERLINK("https://twitter.com/freeclassific/status/1653424599353397248")</f>
        <v>https://twitter.com/freeclassific/status/1653424599353397248</v>
      </c>
      <c r="AF1088" s="79">
        <v>45048.654143518521</v>
      </c>
      <c r="AG1088" s="85">
        <v>45048</v>
      </c>
      <c r="AH1088" s="82" t="s">
        <v>11238</v>
      </c>
      <c r="AI1088" s="77" t="b">
        <v>0</v>
      </c>
      <c r="AJ1088" s="77"/>
      <c r="AK1088" s="77"/>
      <c r="AL1088" s="77"/>
      <c r="AM1088" s="77"/>
      <c r="AN1088" s="77"/>
      <c r="AO1088" s="77"/>
      <c r="AP1088" s="77"/>
      <c r="AQ1088" s="77"/>
      <c r="AR1088" s="77"/>
      <c r="AS1088" s="77"/>
      <c r="AT1088" s="77"/>
      <c r="AU1088" s="77"/>
      <c r="AV1088" s="80" t="str">
        <f>HYPERLINK("https://pbs.twimg.com/profile_images/1431648743728852993/tLJ7F5Lu_normal.png")</f>
        <v>https://pbs.twimg.com/profile_images/1431648743728852993/tLJ7F5Lu_normal.png</v>
      </c>
      <c r="AW1088" s="82" t="s">
        <v>17861</v>
      </c>
      <c r="AX1088" s="82" t="s">
        <v>17861</v>
      </c>
      <c r="AY1088" s="77"/>
      <c r="AZ1088" s="82" t="s">
        <v>20971</v>
      </c>
      <c r="BA1088" s="82" t="s">
        <v>20971</v>
      </c>
      <c r="BB1088" s="82" t="s">
        <v>20971</v>
      </c>
      <c r="BC1088" s="82" t="s">
        <v>17861</v>
      </c>
      <c r="BD1088" s="77">
        <v>489723814</v>
      </c>
      <c r="BE1088" s="77"/>
      <c r="BF1088" s="77"/>
      <c r="BG1088" s="77"/>
      <c r="BH1088" s="77"/>
      <c r="BI1088" s="77"/>
    </row>
    <row r="1089" spans="1:61" x14ac:dyDescent="0.25">
      <c r="A1089" s="62" t="s">
        <v>418</v>
      </c>
      <c r="B1089" s="62" t="s">
        <v>418</v>
      </c>
      <c r="C1089" s="63"/>
      <c r="D1089" s="64"/>
      <c r="E1089" s="65"/>
      <c r="F1089" s="66"/>
      <c r="G1089" s="63"/>
      <c r="H1089" s="67"/>
      <c r="I1089" s="68"/>
      <c r="J1089" s="68"/>
      <c r="K1089" s="32"/>
      <c r="L1089" s="75">
        <v>1089</v>
      </c>
      <c r="M1089" s="75"/>
      <c r="N1089" s="70"/>
      <c r="O1089" s="77" t="s">
        <v>179</v>
      </c>
      <c r="P1089" s="79">
        <v>45048.647407407407</v>
      </c>
      <c r="Q1089" s="77" t="s">
        <v>2345</v>
      </c>
      <c r="R1089" s="77">
        <v>0</v>
      </c>
      <c r="S1089" s="77">
        <v>0</v>
      </c>
      <c r="T1089" s="77">
        <v>0</v>
      </c>
      <c r="U1089" s="77">
        <v>0</v>
      </c>
      <c r="V1089" s="77">
        <v>8</v>
      </c>
      <c r="W1089" s="82" t="s">
        <v>5560</v>
      </c>
      <c r="X1089" s="80" t="str">
        <f>HYPERLINK("https://www.freeclassificados.com/ads/detetive-porto-alegre-rs/")</f>
        <v>https://www.freeclassificados.com/ads/detetive-porto-alegre-rs/</v>
      </c>
      <c r="Y1089" s="77" t="s">
        <v>7308</v>
      </c>
      <c r="Z1089" s="77"/>
      <c r="AA1089" s="77"/>
      <c r="AB1089" s="77"/>
      <c r="AC1089" s="82" t="s">
        <v>10155</v>
      </c>
      <c r="AD1089" s="77" t="s">
        <v>10184</v>
      </c>
      <c r="AE1089" s="80" t="str">
        <f>HYPERLINK("https://twitter.com/freeclassific/status/1653422157496741888")</f>
        <v>https://twitter.com/freeclassific/status/1653422157496741888</v>
      </c>
      <c r="AF1089" s="79">
        <v>45048.647407407407</v>
      </c>
      <c r="AG1089" s="85">
        <v>45048</v>
      </c>
      <c r="AH1089" s="82" t="s">
        <v>11239</v>
      </c>
      <c r="AI1089" s="77" t="b">
        <v>0</v>
      </c>
      <c r="AJ1089" s="77"/>
      <c r="AK1089" s="77"/>
      <c r="AL1089" s="77"/>
      <c r="AM1089" s="77"/>
      <c r="AN1089" s="77"/>
      <c r="AO1089" s="77"/>
      <c r="AP1089" s="77"/>
      <c r="AQ1089" s="77"/>
      <c r="AR1089" s="77"/>
      <c r="AS1089" s="77"/>
      <c r="AT1089" s="77"/>
      <c r="AU1089" s="77"/>
      <c r="AV1089" s="80" t="str">
        <f>HYPERLINK("https://pbs.twimg.com/profile_images/1431648743728852993/tLJ7F5Lu_normal.png")</f>
        <v>https://pbs.twimg.com/profile_images/1431648743728852993/tLJ7F5Lu_normal.png</v>
      </c>
      <c r="AW1089" s="82" t="s">
        <v>17862</v>
      </c>
      <c r="AX1089" s="82" t="s">
        <v>17862</v>
      </c>
      <c r="AY1089" s="77"/>
      <c r="AZ1089" s="82" t="s">
        <v>20971</v>
      </c>
      <c r="BA1089" s="82" t="s">
        <v>20971</v>
      </c>
      <c r="BB1089" s="82" t="s">
        <v>20971</v>
      </c>
      <c r="BC1089" s="82" t="s">
        <v>17862</v>
      </c>
      <c r="BD1089" s="77">
        <v>489723814</v>
      </c>
      <c r="BE1089" s="77"/>
      <c r="BF1089" s="77"/>
      <c r="BG1089" s="77"/>
      <c r="BH1089" s="77"/>
      <c r="BI1089" s="77"/>
    </row>
    <row r="1090" spans="1:61" x14ac:dyDescent="0.25">
      <c r="A1090" s="62" t="s">
        <v>418</v>
      </c>
      <c r="B1090" s="62" t="s">
        <v>418</v>
      </c>
      <c r="C1090" s="63"/>
      <c r="D1090" s="64"/>
      <c r="E1090" s="65"/>
      <c r="F1090" s="66"/>
      <c r="G1090" s="63"/>
      <c r="H1090" s="67"/>
      <c r="I1090" s="68"/>
      <c r="J1090" s="68"/>
      <c r="K1090" s="32"/>
      <c r="L1090" s="75">
        <v>1090</v>
      </c>
      <c r="M1090" s="75"/>
      <c r="N1090" s="70"/>
      <c r="O1090" s="77" t="s">
        <v>179</v>
      </c>
      <c r="P1090" s="79">
        <v>45048.604328703703</v>
      </c>
      <c r="Q1090" s="77" t="s">
        <v>2346</v>
      </c>
      <c r="R1090" s="77">
        <v>0</v>
      </c>
      <c r="S1090" s="77">
        <v>0</v>
      </c>
      <c r="T1090" s="77">
        <v>0</v>
      </c>
      <c r="U1090" s="77">
        <v>0</v>
      </c>
      <c r="V1090" s="77">
        <v>10</v>
      </c>
      <c r="W1090" s="82" t="s">
        <v>5560</v>
      </c>
      <c r="X1090" s="80" t="str">
        <f>HYPERLINK("https://www.freeclassificados.com/ads/lindos-modelos-de-aliancas-de-casamento-noivado-e-compromisso-na-wd-joias/")</f>
        <v>https://www.freeclassificados.com/ads/lindos-modelos-de-aliancas-de-casamento-noivado-e-compromisso-na-wd-joias/</v>
      </c>
      <c r="Y1090" s="77" t="s">
        <v>7308</v>
      </c>
      <c r="Z1090" s="77"/>
      <c r="AA1090" s="77"/>
      <c r="AB1090" s="77"/>
      <c r="AC1090" s="82" t="s">
        <v>10155</v>
      </c>
      <c r="AD1090" s="77" t="s">
        <v>10184</v>
      </c>
      <c r="AE1090" s="80" t="str">
        <f>HYPERLINK("https://twitter.com/freeclassific/status/1653406547572314112")</f>
        <v>https://twitter.com/freeclassific/status/1653406547572314112</v>
      </c>
      <c r="AF1090" s="79">
        <v>45048.604328703703</v>
      </c>
      <c r="AG1090" s="85">
        <v>45048</v>
      </c>
      <c r="AH1090" s="82" t="s">
        <v>11240</v>
      </c>
      <c r="AI1090" s="77" t="b">
        <v>0</v>
      </c>
      <c r="AJ1090" s="77"/>
      <c r="AK1090" s="77"/>
      <c r="AL1090" s="77"/>
      <c r="AM1090" s="77"/>
      <c r="AN1090" s="77"/>
      <c r="AO1090" s="77"/>
      <c r="AP1090" s="77"/>
      <c r="AQ1090" s="77"/>
      <c r="AR1090" s="77"/>
      <c r="AS1090" s="77"/>
      <c r="AT1090" s="77"/>
      <c r="AU1090" s="77"/>
      <c r="AV1090" s="80" t="str">
        <f>HYPERLINK("https://pbs.twimg.com/profile_images/1431648743728852993/tLJ7F5Lu_normal.png")</f>
        <v>https://pbs.twimg.com/profile_images/1431648743728852993/tLJ7F5Lu_normal.png</v>
      </c>
      <c r="AW1090" s="82" t="s">
        <v>17863</v>
      </c>
      <c r="AX1090" s="82" t="s">
        <v>17863</v>
      </c>
      <c r="AY1090" s="77"/>
      <c r="AZ1090" s="82" t="s">
        <v>20971</v>
      </c>
      <c r="BA1090" s="82" t="s">
        <v>20971</v>
      </c>
      <c r="BB1090" s="82" t="s">
        <v>20971</v>
      </c>
      <c r="BC1090" s="82" t="s">
        <v>17863</v>
      </c>
      <c r="BD1090" s="77">
        <v>489723814</v>
      </c>
      <c r="BE1090" s="77"/>
      <c r="BF1090" s="77"/>
      <c r="BG1090" s="77"/>
      <c r="BH1090" s="77"/>
      <c r="BI1090" s="77"/>
    </row>
    <row r="1091" spans="1:61" x14ac:dyDescent="0.25">
      <c r="A1091" s="62" t="s">
        <v>418</v>
      </c>
      <c r="B1091" s="62" t="s">
        <v>418</v>
      </c>
      <c r="C1091" s="63"/>
      <c r="D1091" s="64"/>
      <c r="E1091" s="65"/>
      <c r="F1091" s="66"/>
      <c r="G1091" s="63"/>
      <c r="H1091" s="67"/>
      <c r="I1091" s="68"/>
      <c r="J1091" s="68"/>
      <c r="K1091" s="32"/>
      <c r="L1091" s="75">
        <v>1091</v>
      </c>
      <c r="M1091" s="75"/>
      <c r="N1091" s="70"/>
      <c r="O1091" s="77" t="s">
        <v>179</v>
      </c>
      <c r="P1091" s="79">
        <v>45048.562939814816</v>
      </c>
      <c r="Q1091" s="77" t="s">
        <v>2347</v>
      </c>
      <c r="R1091" s="77">
        <v>0</v>
      </c>
      <c r="S1091" s="77">
        <v>0</v>
      </c>
      <c r="T1091" s="77">
        <v>0</v>
      </c>
      <c r="U1091" s="77">
        <v>0</v>
      </c>
      <c r="V1091" s="77">
        <v>31</v>
      </c>
      <c r="W1091" s="82" t="s">
        <v>5560</v>
      </c>
      <c r="X1091" s="80" t="str">
        <f>HYPERLINK("https://www.freeclassificados.com/ads/afiliado-shopee-como-ganhar-dinheiro-divulgando/")</f>
        <v>https://www.freeclassificados.com/ads/afiliado-shopee-como-ganhar-dinheiro-divulgando/</v>
      </c>
      <c r="Y1091" s="77" t="s">
        <v>7308</v>
      </c>
      <c r="Z1091" s="77"/>
      <c r="AA1091" s="77"/>
      <c r="AB1091" s="77"/>
      <c r="AC1091" s="82" t="s">
        <v>10155</v>
      </c>
      <c r="AD1091" s="77" t="s">
        <v>10184</v>
      </c>
      <c r="AE1091" s="80" t="str">
        <f>HYPERLINK("https://twitter.com/freeclassific/status/1653391550368600064")</f>
        <v>https://twitter.com/freeclassific/status/1653391550368600064</v>
      </c>
      <c r="AF1091" s="79">
        <v>45048.562939814816</v>
      </c>
      <c r="AG1091" s="85">
        <v>45048</v>
      </c>
      <c r="AH1091" s="82" t="s">
        <v>11241</v>
      </c>
      <c r="AI1091" s="77" t="b">
        <v>0</v>
      </c>
      <c r="AJ1091" s="77"/>
      <c r="AK1091" s="77"/>
      <c r="AL1091" s="77"/>
      <c r="AM1091" s="77"/>
      <c r="AN1091" s="77"/>
      <c r="AO1091" s="77"/>
      <c r="AP1091" s="77"/>
      <c r="AQ1091" s="77"/>
      <c r="AR1091" s="77"/>
      <c r="AS1091" s="77"/>
      <c r="AT1091" s="77"/>
      <c r="AU1091" s="77"/>
      <c r="AV1091" s="80" t="str">
        <f>HYPERLINK("https://pbs.twimg.com/profile_images/1431648743728852993/tLJ7F5Lu_normal.png")</f>
        <v>https://pbs.twimg.com/profile_images/1431648743728852993/tLJ7F5Lu_normal.png</v>
      </c>
      <c r="AW1091" s="82" t="s">
        <v>17864</v>
      </c>
      <c r="AX1091" s="82" t="s">
        <v>17864</v>
      </c>
      <c r="AY1091" s="77"/>
      <c r="AZ1091" s="82" t="s">
        <v>20971</v>
      </c>
      <c r="BA1091" s="82" t="s">
        <v>20971</v>
      </c>
      <c r="BB1091" s="82" t="s">
        <v>20971</v>
      </c>
      <c r="BC1091" s="82" t="s">
        <v>17864</v>
      </c>
      <c r="BD1091" s="77">
        <v>489723814</v>
      </c>
      <c r="BE1091" s="77"/>
      <c r="BF1091" s="77"/>
      <c r="BG1091" s="77"/>
      <c r="BH1091" s="77"/>
      <c r="BI1091" s="77"/>
    </row>
    <row r="1092" spans="1:61" x14ac:dyDescent="0.25">
      <c r="A1092" s="62" t="s">
        <v>418</v>
      </c>
      <c r="B1092" s="62" t="s">
        <v>418</v>
      </c>
      <c r="C1092" s="63"/>
      <c r="D1092" s="64"/>
      <c r="E1092" s="65"/>
      <c r="F1092" s="66"/>
      <c r="G1092" s="63"/>
      <c r="H1092" s="67"/>
      <c r="I1092" s="68"/>
      <c r="J1092" s="68"/>
      <c r="K1092" s="32"/>
      <c r="L1092" s="75">
        <v>1092</v>
      </c>
      <c r="M1092" s="75"/>
      <c r="N1092" s="70"/>
      <c r="O1092" s="77" t="s">
        <v>179</v>
      </c>
      <c r="P1092" s="79">
        <v>45046.988240740742</v>
      </c>
      <c r="Q1092" s="77" t="s">
        <v>2348</v>
      </c>
      <c r="R1092" s="77">
        <v>0</v>
      </c>
      <c r="S1092" s="77">
        <v>0</v>
      </c>
      <c r="T1092" s="77">
        <v>0</v>
      </c>
      <c r="U1092" s="77">
        <v>0</v>
      </c>
      <c r="V1092" s="77">
        <v>13</v>
      </c>
      <c r="W1092" s="82" t="s">
        <v>5560</v>
      </c>
      <c r="X1092" s="80" t="str">
        <f>HYPERLINK("https://www.freeclassificados.com/ads/djsomiluminacao-para-festas-11-9-1480-8788-whatsapp/")</f>
        <v>https://www.freeclassificados.com/ads/djsomiluminacao-para-festas-11-9-1480-8788-whatsapp/</v>
      </c>
      <c r="Y1092" s="77" t="s">
        <v>7308</v>
      </c>
      <c r="Z1092" s="77"/>
      <c r="AA1092" s="77"/>
      <c r="AB1092" s="77"/>
      <c r="AC1092" s="82" t="s">
        <v>10155</v>
      </c>
      <c r="AD1092" s="77" t="s">
        <v>10184</v>
      </c>
      <c r="AE1092" s="80" t="str">
        <f>HYPERLINK("https://twitter.com/freeclassific/status/1652820896636358657")</f>
        <v>https://twitter.com/freeclassific/status/1652820896636358657</v>
      </c>
      <c r="AF1092" s="79">
        <v>45046.988240740742</v>
      </c>
      <c r="AG1092" s="85">
        <v>45046</v>
      </c>
      <c r="AH1092" s="82" t="s">
        <v>11242</v>
      </c>
      <c r="AI1092" s="77" t="b">
        <v>0</v>
      </c>
      <c r="AJ1092" s="77"/>
      <c r="AK1092" s="77"/>
      <c r="AL1092" s="77"/>
      <c r="AM1092" s="77"/>
      <c r="AN1092" s="77"/>
      <c r="AO1092" s="77"/>
      <c r="AP1092" s="77"/>
      <c r="AQ1092" s="77"/>
      <c r="AR1092" s="77"/>
      <c r="AS1092" s="77"/>
      <c r="AT1092" s="77"/>
      <c r="AU1092" s="77"/>
      <c r="AV1092" s="80" t="str">
        <f>HYPERLINK("https://pbs.twimg.com/profile_images/1431648743728852993/tLJ7F5Lu_normal.png")</f>
        <v>https://pbs.twimg.com/profile_images/1431648743728852993/tLJ7F5Lu_normal.png</v>
      </c>
      <c r="AW1092" s="82" t="s">
        <v>17865</v>
      </c>
      <c r="AX1092" s="82" t="s">
        <v>17865</v>
      </c>
      <c r="AY1092" s="77"/>
      <c r="AZ1092" s="82" t="s">
        <v>20971</v>
      </c>
      <c r="BA1092" s="82" t="s">
        <v>20971</v>
      </c>
      <c r="BB1092" s="82" t="s">
        <v>20971</v>
      </c>
      <c r="BC1092" s="82" t="s">
        <v>17865</v>
      </c>
      <c r="BD1092" s="77">
        <v>489723814</v>
      </c>
      <c r="BE1092" s="77"/>
      <c r="BF1092" s="77"/>
      <c r="BG1092" s="77"/>
      <c r="BH1092" s="77"/>
      <c r="BI1092" s="77"/>
    </row>
    <row r="1093" spans="1:61" x14ac:dyDescent="0.25">
      <c r="A1093" s="62" t="s">
        <v>418</v>
      </c>
      <c r="B1093" s="62" t="s">
        <v>418</v>
      </c>
      <c r="C1093" s="63"/>
      <c r="D1093" s="64"/>
      <c r="E1093" s="65"/>
      <c r="F1093" s="66"/>
      <c r="G1093" s="63"/>
      <c r="H1093" s="67"/>
      <c r="I1093" s="68"/>
      <c r="J1093" s="68"/>
      <c r="K1093" s="32"/>
      <c r="L1093" s="75">
        <v>1093</v>
      </c>
      <c r="M1093" s="75"/>
      <c r="N1093" s="70"/>
      <c r="O1093" s="77" t="s">
        <v>179</v>
      </c>
      <c r="P1093" s="79">
        <v>45046.689317129632</v>
      </c>
      <c r="Q1093" s="77" t="s">
        <v>2349</v>
      </c>
      <c r="R1093" s="77">
        <v>0</v>
      </c>
      <c r="S1093" s="77">
        <v>0</v>
      </c>
      <c r="T1093" s="77">
        <v>0</v>
      </c>
      <c r="U1093" s="77">
        <v>0</v>
      </c>
      <c r="V1093" s="77">
        <v>24</v>
      </c>
      <c r="W1093" s="82" t="s">
        <v>5560</v>
      </c>
      <c r="X1093" s="80" t="str">
        <f>HYPERLINK("https://www.freeclassificados.com/ads/cerca-eletrica-jardim-guedala-11-98475-2594-instalacao-e-manutencao/")</f>
        <v>https://www.freeclassificados.com/ads/cerca-eletrica-jardim-guedala-11-98475-2594-instalacao-e-manutencao/</v>
      </c>
      <c r="Y1093" s="77" t="s">
        <v>7308</v>
      </c>
      <c r="Z1093" s="77"/>
      <c r="AA1093" s="77"/>
      <c r="AB1093" s="77"/>
      <c r="AC1093" s="82" t="s">
        <v>10155</v>
      </c>
      <c r="AD1093" s="77" t="s">
        <v>10184</v>
      </c>
      <c r="AE1093" s="80" t="str">
        <f>HYPERLINK("https://twitter.com/freeclassific/status/1652712570611187713")</f>
        <v>https://twitter.com/freeclassific/status/1652712570611187713</v>
      </c>
      <c r="AF1093" s="79">
        <v>45046.689317129632</v>
      </c>
      <c r="AG1093" s="85">
        <v>45046</v>
      </c>
      <c r="AH1093" s="82" t="s">
        <v>11243</v>
      </c>
      <c r="AI1093" s="77" t="b">
        <v>0</v>
      </c>
      <c r="AJ1093" s="77"/>
      <c r="AK1093" s="77"/>
      <c r="AL1093" s="77"/>
      <c r="AM1093" s="77"/>
      <c r="AN1093" s="77"/>
      <c r="AO1093" s="77"/>
      <c r="AP1093" s="77"/>
      <c r="AQ1093" s="77"/>
      <c r="AR1093" s="77"/>
      <c r="AS1093" s="77"/>
      <c r="AT1093" s="77"/>
      <c r="AU1093" s="77"/>
      <c r="AV1093" s="80" t="str">
        <f>HYPERLINK("https://pbs.twimg.com/profile_images/1431648743728852993/tLJ7F5Lu_normal.png")</f>
        <v>https://pbs.twimg.com/profile_images/1431648743728852993/tLJ7F5Lu_normal.png</v>
      </c>
      <c r="AW1093" s="82" t="s">
        <v>17866</v>
      </c>
      <c r="AX1093" s="82" t="s">
        <v>17866</v>
      </c>
      <c r="AY1093" s="77"/>
      <c r="AZ1093" s="82" t="s">
        <v>20971</v>
      </c>
      <c r="BA1093" s="82" t="s">
        <v>20971</v>
      </c>
      <c r="BB1093" s="82" t="s">
        <v>20971</v>
      </c>
      <c r="BC1093" s="82" t="s">
        <v>17866</v>
      </c>
      <c r="BD1093" s="77">
        <v>489723814</v>
      </c>
      <c r="BE1093" s="77"/>
      <c r="BF1093" s="77"/>
      <c r="BG1093" s="77"/>
      <c r="BH1093" s="77"/>
      <c r="BI1093" s="77"/>
    </row>
    <row r="1094" spans="1:61" x14ac:dyDescent="0.25">
      <c r="A1094" s="62" t="s">
        <v>418</v>
      </c>
      <c r="B1094" s="62" t="s">
        <v>418</v>
      </c>
      <c r="C1094" s="63"/>
      <c r="D1094" s="64"/>
      <c r="E1094" s="65"/>
      <c r="F1094" s="66"/>
      <c r="G1094" s="63"/>
      <c r="H1094" s="67"/>
      <c r="I1094" s="68"/>
      <c r="J1094" s="68"/>
      <c r="K1094" s="32"/>
      <c r="L1094" s="75">
        <v>1094</v>
      </c>
      <c r="M1094" s="75"/>
      <c r="N1094" s="70"/>
      <c r="O1094" s="77" t="s">
        <v>179</v>
      </c>
      <c r="P1094" s="79">
        <v>45046.685266203705</v>
      </c>
      <c r="Q1094" s="77" t="s">
        <v>2350</v>
      </c>
      <c r="R1094" s="77">
        <v>0</v>
      </c>
      <c r="S1094" s="77">
        <v>0</v>
      </c>
      <c r="T1094" s="77">
        <v>0</v>
      </c>
      <c r="U1094" s="77">
        <v>0</v>
      </c>
      <c r="V1094" s="77">
        <v>19</v>
      </c>
      <c r="W1094" s="82" t="s">
        <v>5560</v>
      </c>
      <c r="X1094" s="80" t="str">
        <f>HYPERLINK("https://www.freeclassificados.com/ads/manutencao-de-cerca-eletrica-11-98475-2594-instalacao-orcamento-visita-tecnica/")</f>
        <v>https://www.freeclassificados.com/ads/manutencao-de-cerca-eletrica-11-98475-2594-instalacao-orcamento-visita-tecnica/</v>
      </c>
      <c r="Y1094" s="77" t="s">
        <v>7308</v>
      </c>
      <c r="Z1094" s="77"/>
      <c r="AA1094" s="77"/>
      <c r="AB1094" s="77"/>
      <c r="AC1094" s="82" t="s">
        <v>10155</v>
      </c>
      <c r="AD1094" s="77" t="s">
        <v>10184</v>
      </c>
      <c r="AE1094" s="80" t="str">
        <f>HYPERLINK("https://twitter.com/freeclassific/status/1652711101749137409")</f>
        <v>https://twitter.com/freeclassific/status/1652711101749137409</v>
      </c>
      <c r="AF1094" s="79">
        <v>45046.685266203705</v>
      </c>
      <c r="AG1094" s="85">
        <v>45046</v>
      </c>
      <c r="AH1094" s="82" t="s">
        <v>11244</v>
      </c>
      <c r="AI1094" s="77" t="b">
        <v>0</v>
      </c>
      <c r="AJ1094" s="77"/>
      <c r="AK1094" s="77"/>
      <c r="AL1094" s="77"/>
      <c r="AM1094" s="77"/>
      <c r="AN1094" s="77"/>
      <c r="AO1094" s="77"/>
      <c r="AP1094" s="77"/>
      <c r="AQ1094" s="77"/>
      <c r="AR1094" s="77"/>
      <c r="AS1094" s="77"/>
      <c r="AT1094" s="77"/>
      <c r="AU1094" s="77"/>
      <c r="AV1094" s="80" t="str">
        <f>HYPERLINK("https://pbs.twimg.com/profile_images/1431648743728852993/tLJ7F5Lu_normal.png")</f>
        <v>https://pbs.twimg.com/profile_images/1431648743728852993/tLJ7F5Lu_normal.png</v>
      </c>
      <c r="AW1094" s="82" t="s">
        <v>17867</v>
      </c>
      <c r="AX1094" s="82" t="s">
        <v>17867</v>
      </c>
      <c r="AY1094" s="77"/>
      <c r="AZ1094" s="82" t="s">
        <v>20971</v>
      </c>
      <c r="BA1094" s="82" t="s">
        <v>20971</v>
      </c>
      <c r="BB1094" s="82" t="s">
        <v>20971</v>
      </c>
      <c r="BC1094" s="82" t="s">
        <v>17867</v>
      </c>
      <c r="BD1094" s="77">
        <v>489723814</v>
      </c>
      <c r="BE1094" s="77"/>
      <c r="BF1094" s="77"/>
      <c r="BG1094" s="77"/>
      <c r="BH1094" s="77"/>
      <c r="BI1094" s="77"/>
    </row>
    <row r="1095" spans="1:61" x14ac:dyDescent="0.25">
      <c r="A1095" s="62" t="s">
        <v>418</v>
      </c>
      <c r="B1095" s="62" t="s">
        <v>418</v>
      </c>
      <c r="C1095" s="63"/>
      <c r="D1095" s="64"/>
      <c r="E1095" s="65"/>
      <c r="F1095" s="66"/>
      <c r="G1095" s="63"/>
      <c r="H1095" s="67"/>
      <c r="I1095" s="68"/>
      <c r="J1095" s="68"/>
      <c r="K1095" s="32"/>
      <c r="L1095" s="75">
        <v>1095</v>
      </c>
      <c r="M1095" s="75"/>
      <c r="N1095" s="70"/>
      <c r="O1095" s="77" t="s">
        <v>179</v>
      </c>
      <c r="P1095" s="79">
        <v>45044.787812499999</v>
      </c>
      <c r="Q1095" s="77" t="s">
        <v>2351</v>
      </c>
      <c r="R1095" s="77">
        <v>0</v>
      </c>
      <c r="S1095" s="77">
        <v>0</v>
      </c>
      <c r="T1095" s="77">
        <v>0</v>
      </c>
      <c r="U1095" s="77">
        <v>0</v>
      </c>
      <c r="V1095" s="77">
        <v>20</v>
      </c>
      <c r="W1095" s="82" t="s">
        <v>5335</v>
      </c>
      <c r="X1095" s="80" t="str">
        <f>HYPERLINK("https://www.freeclassificados.com/ads/agencia-nunes/")</f>
        <v>https://www.freeclassificados.com/ads/agencia-nunes/</v>
      </c>
      <c r="Y1095" s="77" t="s">
        <v>7308</v>
      </c>
      <c r="Z1095" s="77"/>
      <c r="AA1095" s="77"/>
      <c r="AB1095" s="77"/>
      <c r="AC1095" s="82" t="s">
        <v>10155</v>
      </c>
      <c r="AD1095" s="77" t="s">
        <v>10184</v>
      </c>
      <c r="AE1095" s="80" t="str">
        <f>HYPERLINK("https://twitter.com/freeclassific/status/1652023488398659584")</f>
        <v>https://twitter.com/freeclassific/status/1652023488398659584</v>
      </c>
      <c r="AF1095" s="79">
        <v>45044.787812499999</v>
      </c>
      <c r="AG1095" s="85">
        <v>45044</v>
      </c>
      <c r="AH1095" s="82" t="s">
        <v>11245</v>
      </c>
      <c r="AI1095" s="77" t="b">
        <v>0</v>
      </c>
      <c r="AJ1095" s="77"/>
      <c r="AK1095" s="77"/>
      <c r="AL1095" s="77"/>
      <c r="AM1095" s="77"/>
      <c r="AN1095" s="77"/>
      <c r="AO1095" s="77"/>
      <c r="AP1095" s="77"/>
      <c r="AQ1095" s="77"/>
      <c r="AR1095" s="77"/>
      <c r="AS1095" s="77"/>
      <c r="AT1095" s="77"/>
      <c r="AU1095" s="77"/>
      <c r="AV1095" s="80" t="str">
        <f>HYPERLINK("https://pbs.twimg.com/profile_images/1431648743728852993/tLJ7F5Lu_normal.png")</f>
        <v>https://pbs.twimg.com/profile_images/1431648743728852993/tLJ7F5Lu_normal.png</v>
      </c>
      <c r="AW1095" s="82" t="s">
        <v>17868</v>
      </c>
      <c r="AX1095" s="82" t="s">
        <v>17868</v>
      </c>
      <c r="AY1095" s="77"/>
      <c r="AZ1095" s="82" t="s">
        <v>20971</v>
      </c>
      <c r="BA1095" s="82" t="s">
        <v>20971</v>
      </c>
      <c r="BB1095" s="82" t="s">
        <v>20971</v>
      </c>
      <c r="BC1095" s="82" t="s">
        <v>17868</v>
      </c>
      <c r="BD1095" s="77">
        <v>489723814</v>
      </c>
      <c r="BE1095" s="77"/>
      <c r="BF1095" s="77"/>
      <c r="BG1095" s="77"/>
      <c r="BH1095" s="77"/>
      <c r="BI1095" s="77"/>
    </row>
    <row r="1096" spans="1:61" x14ac:dyDescent="0.25">
      <c r="A1096" s="62" t="s">
        <v>418</v>
      </c>
      <c r="B1096" s="62" t="s">
        <v>418</v>
      </c>
      <c r="C1096" s="63"/>
      <c r="D1096" s="64"/>
      <c r="E1096" s="65"/>
      <c r="F1096" s="66"/>
      <c r="G1096" s="63"/>
      <c r="H1096" s="67"/>
      <c r="I1096" s="68"/>
      <c r="J1096" s="68"/>
      <c r="K1096" s="32"/>
      <c r="L1096" s="75">
        <v>1096</v>
      </c>
      <c r="M1096" s="75"/>
      <c r="N1096" s="70"/>
      <c r="O1096" s="77" t="s">
        <v>179</v>
      </c>
      <c r="P1096" s="79">
        <v>45044.727337962962</v>
      </c>
      <c r="Q1096" s="77" t="s">
        <v>2352</v>
      </c>
      <c r="R1096" s="77">
        <v>0</v>
      </c>
      <c r="S1096" s="77">
        <v>0</v>
      </c>
      <c r="T1096" s="77">
        <v>0</v>
      </c>
      <c r="U1096" s="77">
        <v>0</v>
      </c>
      <c r="V1096" s="77">
        <v>20</v>
      </c>
      <c r="W1096" s="82" t="s">
        <v>5335</v>
      </c>
      <c r="X1096" s="80" t="str">
        <f>HYPERLINK("https://www.freeclassificados.com/ads/detetive-belo-horizonte-mg/")</f>
        <v>https://www.freeclassificados.com/ads/detetive-belo-horizonte-mg/</v>
      </c>
      <c r="Y1096" s="77" t="s">
        <v>7308</v>
      </c>
      <c r="Z1096" s="77"/>
      <c r="AA1096" s="77"/>
      <c r="AB1096" s="77"/>
      <c r="AC1096" s="82" t="s">
        <v>10155</v>
      </c>
      <c r="AD1096" s="77" t="s">
        <v>10184</v>
      </c>
      <c r="AE1096" s="80" t="str">
        <f>HYPERLINK("https://twitter.com/freeclassific/status/1652001571708846080")</f>
        <v>https://twitter.com/freeclassific/status/1652001571708846080</v>
      </c>
      <c r="AF1096" s="79">
        <v>45044.727337962962</v>
      </c>
      <c r="AG1096" s="85">
        <v>45044</v>
      </c>
      <c r="AH1096" s="82" t="s">
        <v>11246</v>
      </c>
      <c r="AI1096" s="77" t="b">
        <v>0</v>
      </c>
      <c r="AJ1096" s="77"/>
      <c r="AK1096" s="77"/>
      <c r="AL1096" s="77"/>
      <c r="AM1096" s="77"/>
      <c r="AN1096" s="77"/>
      <c r="AO1096" s="77"/>
      <c r="AP1096" s="77"/>
      <c r="AQ1096" s="77"/>
      <c r="AR1096" s="77"/>
      <c r="AS1096" s="77"/>
      <c r="AT1096" s="77"/>
      <c r="AU1096" s="77"/>
      <c r="AV1096" s="80" t="str">
        <f>HYPERLINK("https://pbs.twimg.com/profile_images/1431648743728852993/tLJ7F5Lu_normal.png")</f>
        <v>https://pbs.twimg.com/profile_images/1431648743728852993/tLJ7F5Lu_normal.png</v>
      </c>
      <c r="AW1096" s="82" t="s">
        <v>17869</v>
      </c>
      <c r="AX1096" s="82" t="s">
        <v>17869</v>
      </c>
      <c r="AY1096" s="77"/>
      <c r="AZ1096" s="82" t="s">
        <v>20971</v>
      </c>
      <c r="BA1096" s="82" t="s">
        <v>20971</v>
      </c>
      <c r="BB1096" s="82" t="s">
        <v>20971</v>
      </c>
      <c r="BC1096" s="82" t="s">
        <v>17869</v>
      </c>
      <c r="BD1096" s="77">
        <v>489723814</v>
      </c>
      <c r="BE1096" s="77"/>
      <c r="BF1096" s="77"/>
      <c r="BG1096" s="77"/>
      <c r="BH1096" s="77"/>
      <c r="BI1096" s="77"/>
    </row>
    <row r="1097" spans="1:61" x14ac:dyDescent="0.25">
      <c r="A1097" s="62" t="s">
        <v>418</v>
      </c>
      <c r="B1097" s="62" t="s">
        <v>418</v>
      </c>
      <c r="C1097" s="63"/>
      <c r="D1097" s="64"/>
      <c r="E1097" s="65"/>
      <c r="F1097" s="66"/>
      <c r="G1097" s="63"/>
      <c r="H1097" s="67"/>
      <c r="I1097" s="68"/>
      <c r="J1097" s="68"/>
      <c r="K1097" s="32"/>
      <c r="L1097" s="75">
        <v>1097</v>
      </c>
      <c r="M1097" s="75"/>
      <c r="N1097" s="70"/>
      <c r="O1097" s="77" t="s">
        <v>179</v>
      </c>
      <c r="P1097" s="79">
        <v>45044.677476851852</v>
      </c>
      <c r="Q1097" s="77" t="s">
        <v>2353</v>
      </c>
      <c r="R1097" s="77">
        <v>0</v>
      </c>
      <c r="S1097" s="77">
        <v>0</v>
      </c>
      <c r="T1097" s="77">
        <v>0</v>
      </c>
      <c r="U1097" s="77">
        <v>0</v>
      </c>
      <c r="V1097" s="77">
        <v>16</v>
      </c>
      <c r="W1097" s="82" t="s">
        <v>5335</v>
      </c>
      <c r="X1097" s="80" t="str">
        <f>HYPERLINK("https://www.freeclassificados.com/ads/sacolas-personalizadas/")</f>
        <v>https://www.freeclassificados.com/ads/sacolas-personalizadas/</v>
      </c>
      <c r="Y1097" s="77" t="s">
        <v>7308</v>
      </c>
      <c r="Z1097" s="77"/>
      <c r="AA1097" s="77"/>
      <c r="AB1097" s="77"/>
      <c r="AC1097" s="82" t="s">
        <v>10155</v>
      </c>
      <c r="AD1097" s="77" t="s">
        <v>10187</v>
      </c>
      <c r="AE1097" s="80" t="str">
        <f>HYPERLINK("https://twitter.com/freeclassific/status/1651983502798364672")</f>
        <v>https://twitter.com/freeclassific/status/1651983502798364672</v>
      </c>
      <c r="AF1097" s="79">
        <v>45044.677476851852</v>
      </c>
      <c r="AG1097" s="85">
        <v>45044</v>
      </c>
      <c r="AH1097" s="82" t="s">
        <v>11247</v>
      </c>
      <c r="AI1097" s="77" t="b">
        <v>0</v>
      </c>
      <c r="AJ1097" s="77"/>
      <c r="AK1097" s="77"/>
      <c r="AL1097" s="77"/>
      <c r="AM1097" s="77"/>
      <c r="AN1097" s="77"/>
      <c r="AO1097" s="77"/>
      <c r="AP1097" s="77"/>
      <c r="AQ1097" s="77"/>
      <c r="AR1097" s="77"/>
      <c r="AS1097" s="77"/>
      <c r="AT1097" s="77"/>
      <c r="AU1097" s="77"/>
      <c r="AV1097" s="80" t="str">
        <f>HYPERLINK("https://pbs.twimg.com/profile_images/1431648743728852993/tLJ7F5Lu_normal.png")</f>
        <v>https://pbs.twimg.com/profile_images/1431648743728852993/tLJ7F5Lu_normal.png</v>
      </c>
      <c r="AW1097" s="82" t="s">
        <v>17870</v>
      </c>
      <c r="AX1097" s="82" t="s">
        <v>17870</v>
      </c>
      <c r="AY1097" s="77"/>
      <c r="AZ1097" s="82" t="s">
        <v>20971</v>
      </c>
      <c r="BA1097" s="82" t="s">
        <v>20971</v>
      </c>
      <c r="BB1097" s="82" t="s">
        <v>20971</v>
      </c>
      <c r="BC1097" s="82" t="s">
        <v>17870</v>
      </c>
      <c r="BD1097" s="77">
        <v>489723814</v>
      </c>
      <c r="BE1097" s="77"/>
      <c r="BF1097" s="77"/>
      <c r="BG1097" s="77"/>
      <c r="BH1097" s="77"/>
      <c r="BI1097" s="77"/>
    </row>
    <row r="1098" spans="1:61" x14ac:dyDescent="0.25">
      <c r="A1098" s="62" t="s">
        <v>418</v>
      </c>
      <c r="B1098" s="62" t="s">
        <v>418</v>
      </c>
      <c r="C1098" s="63"/>
      <c r="D1098" s="64"/>
      <c r="E1098" s="65"/>
      <c r="F1098" s="66"/>
      <c r="G1098" s="63"/>
      <c r="H1098" s="67"/>
      <c r="I1098" s="68"/>
      <c r="J1098" s="68"/>
      <c r="K1098" s="32"/>
      <c r="L1098" s="75">
        <v>1098</v>
      </c>
      <c r="M1098" s="75"/>
      <c r="N1098" s="70"/>
      <c r="O1098" s="77" t="s">
        <v>179</v>
      </c>
      <c r="P1098" s="79">
        <v>45018.617569444446</v>
      </c>
      <c r="Q1098" s="77" t="s">
        <v>2354</v>
      </c>
      <c r="R1098" s="77">
        <v>0</v>
      </c>
      <c r="S1098" s="77">
        <v>0</v>
      </c>
      <c r="T1098" s="77">
        <v>0</v>
      </c>
      <c r="U1098" s="77">
        <v>0</v>
      </c>
      <c r="V1098" s="77">
        <v>19</v>
      </c>
      <c r="W1098" s="82" t="s">
        <v>5335</v>
      </c>
      <c r="X1098" s="80" t="str">
        <f>HYPERLINK("https://www.freeclassificados.com/ads/receitas-para-bebes-de-6-a-12-meses/")</f>
        <v>https://www.freeclassificados.com/ads/receitas-para-bebes-de-6-a-12-meses/</v>
      </c>
      <c r="Y1098" s="77" t="s">
        <v>7308</v>
      </c>
      <c r="Z1098" s="77"/>
      <c r="AA1098" s="77"/>
      <c r="AB1098" s="77"/>
      <c r="AC1098" s="82" t="s">
        <v>10155</v>
      </c>
      <c r="AD1098" s="77" t="s">
        <v>10184</v>
      </c>
      <c r="AE1098" s="80" t="str">
        <f>HYPERLINK("https://twitter.com/freeclassific/status/1642539710605324291")</f>
        <v>https://twitter.com/freeclassific/status/1642539710605324291</v>
      </c>
      <c r="AF1098" s="79">
        <v>45018.617569444446</v>
      </c>
      <c r="AG1098" s="85">
        <v>45018</v>
      </c>
      <c r="AH1098" s="82" t="s">
        <v>11248</v>
      </c>
      <c r="AI1098" s="77" t="b">
        <v>0</v>
      </c>
      <c r="AJ1098" s="77"/>
      <c r="AK1098" s="77"/>
      <c r="AL1098" s="77"/>
      <c r="AM1098" s="77"/>
      <c r="AN1098" s="77"/>
      <c r="AO1098" s="77"/>
      <c r="AP1098" s="77"/>
      <c r="AQ1098" s="77"/>
      <c r="AR1098" s="77"/>
      <c r="AS1098" s="77"/>
      <c r="AT1098" s="77"/>
      <c r="AU1098" s="77"/>
      <c r="AV1098" s="80" t="str">
        <f>HYPERLINK("https://pbs.twimg.com/profile_images/1431648743728852993/tLJ7F5Lu_normal.png")</f>
        <v>https://pbs.twimg.com/profile_images/1431648743728852993/tLJ7F5Lu_normal.png</v>
      </c>
      <c r="AW1098" s="82" t="s">
        <v>17871</v>
      </c>
      <c r="AX1098" s="82" t="s">
        <v>17871</v>
      </c>
      <c r="AY1098" s="77"/>
      <c r="AZ1098" s="82" t="s">
        <v>20971</v>
      </c>
      <c r="BA1098" s="82" t="s">
        <v>20971</v>
      </c>
      <c r="BB1098" s="82" t="s">
        <v>20971</v>
      </c>
      <c r="BC1098" s="82" t="s">
        <v>17871</v>
      </c>
      <c r="BD1098" s="77">
        <v>489723814</v>
      </c>
      <c r="BE1098" s="77"/>
      <c r="BF1098" s="77"/>
      <c r="BG1098" s="77"/>
      <c r="BH1098" s="77"/>
      <c r="BI1098" s="77"/>
    </row>
    <row r="1099" spans="1:61" x14ac:dyDescent="0.25">
      <c r="A1099" s="62" t="s">
        <v>418</v>
      </c>
      <c r="B1099" s="62" t="s">
        <v>418</v>
      </c>
      <c r="C1099" s="63"/>
      <c r="D1099" s="64"/>
      <c r="E1099" s="65"/>
      <c r="F1099" s="66"/>
      <c r="G1099" s="63"/>
      <c r="H1099" s="67"/>
      <c r="I1099" s="68"/>
      <c r="J1099" s="68"/>
      <c r="K1099" s="32"/>
      <c r="L1099" s="75">
        <v>1099</v>
      </c>
      <c r="M1099" s="75"/>
      <c r="N1099" s="70"/>
      <c r="O1099" s="77" t="s">
        <v>179</v>
      </c>
      <c r="P1099" s="79">
        <v>45018.611747685187</v>
      </c>
      <c r="Q1099" s="77" t="s">
        <v>2355</v>
      </c>
      <c r="R1099" s="77">
        <v>0</v>
      </c>
      <c r="S1099" s="77">
        <v>0</v>
      </c>
      <c r="T1099" s="77">
        <v>0</v>
      </c>
      <c r="U1099" s="77">
        <v>0</v>
      </c>
      <c r="V1099" s="77">
        <v>17</v>
      </c>
      <c r="W1099" s="82" t="s">
        <v>5335</v>
      </c>
      <c r="X1099" s="80" t="str">
        <f>HYPERLINK("https://www.freeclassificados.com/ads/faturando-muito-na-pascoa/")</f>
        <v>https://www.freeclassificados.com/ads/faturando-muito-na-pascoa/</v>
      </c>
      <c r="Y1099" s="77" t="s">
        <v>7308</v>
      </c>
      <c r="Z1099" s="77"/>
      <c r="AA1099" s="77"/>
      <c r="AB1099" s="77"/>
      <c r="AC1099" s="82" t="s">
        <v>10155</v>
      </c>
      <c r="AD1099" s="77" t="s">
        <v>10184</v>
      </c>
      <c r="AE1099" s="80" t="str">
        <f>HYPERLINK("https://twitter.com/freeclassific/status/1642537599456923648")</f>
        <v>https://twitter.com/freeclassific/status/1642537599456923648</v>
      </c>
      <c r="AF1099" s="79">
        <v>45018.611747685187</v>
      </c>
      <c r="AG1099" s="85">
        <v>45018</v>
      </c>
      <c r="AH1099" s="82" t="s">
        <v>11249</v>
      </c>
      <c r="AI1099" s="77" t="b">
        <v>0</v>
      </c>
      <c r="AJ1099" s="77"/>
      <c r="AK1099" s="77"/>
      <c r="AL1099" s="77"/>
      <c r="AM1099" s="77"/>
      <c r="AN1099" s="77"/>
      <c r="AO1099" s="77"/>
      <c r="AP1099" s="77"/>
      <c r="AQ1099" s="77"/>
      <c r="AR1099" s="77"/>
      <c r="AS1099" s="77"/>
      <c r="AT1099" s="77"/>
      <c r="AU1099" s="77"/>
      <c r="AV1099" s="80" t="str">
        <f>HYPERLINK("https://pbs.twimg.com/profile_images/1431648743728852993/tLJ7F5Lu_normal.png")</f>
        <v>https://pbs.twimg.com/profile_images/1431648743728852993/tLJ7F5Lu_normal.png</v>
      </c>
      <c r="AW1099" s="82" t="s">
        <v>17872</v>
      </c>
      <c r="AX1099" s="82" t="s">
        <v>17872</v>
      </c>
      <c r="AY1099" s="77"/>
      <c r="AZ1099" s="82" t="s">
        <v>20971</v>
      </c>
      <c r="BA1099" s="82" t="s">
        <v>20971</v>
      </c>
      <c r="BB1099" s="82" t="s">
        <v>20971</v>
      </c>
      <c r="BC1099" s="82" t="s">
        <v>17872</v>
      </c>
      <c r="BD1099" s="77">
        <v>489723814</v>
      </c>
      <c r="BE1099" s="77"/>
      <c r="BF1099" s="77"/>
      <c r="BG1099" s="77"/>
      <c r="BH1099" s="77"/>
      <c r="BI1099" s="77"/>
    </row>
    <row r="1100" spans="1:61" x14ac:dyDescent="0.25">
      <c r="A1100" s="62" t="s">
        <v>418</v>
      </c>
      <c r="B1100" s="62" t="s">
        <v>418</v>
      </c>
      <c r="C1100" s="63"/>
      <c r="D1100" s="64"/>
      <c r="E1100" s="65"/>
      <c r="F1100" s="66"/>
      <c r="G1100" s="63"/>
      <c r="H1100" s="67"/>
      <c r="I1100" s="68"/>
      <c r="J1100" s="68"/>
      <c r="K1100" s="32"/>
      <c r="L1100" s="75">
        <v>1100</v>
      </c>
      <c r="M1100" s="75"/>
      <c r="N1100" s="70"/>
      <c r="O1100" s="77" t="s">
        <v>179</v>
      </c>
      <c r="P1100" s="79">
        <v>45018.183738425927</v>
      </c>
      <c r="Q1100" s="77" t="s">
        <v>2356</v>
      </c>
      <c r="R1100" s="77">
        <v>0</v>
      </c>
      <c r="S1100" s="77">
        <v>0</v>
      </c>
      <c r="T1100" s="77">
        <v>0</v>
      </c>
      <c r="U1100" s="77">
        <v>0</v>
      </c>
      <c r="V1100" s="77">
        <v>20</v>
      </c>
      <c r="W1100" s="82" t="s">
        <v>5335</v>
      </c>
      <c r="X1100" s="80" t="str">
        <f>HYPERLINK("https://www.freeclassificados.com/ads/curso-basico-de-teologia-curso-medio-de-teologia/")</f>
        <v>https://www.freeclassificados.com/ads/curso-basico-de-teologia-curso-medio-de-teologia/</v>
      </c>
      <c r="Y1100" s="77" t="s">
        <v>7308</v>
      </c>
      <c r="Z1100" s="77"/>
      <c r="AA1100" s="77"/>
      <c r="AB1100" s="77"/>
      <c r="AC1100" s="82" t="s">
        <v>10155</v>
      </c>
      <c r="AD1100" s="77" t="s">
        <v>10184</v>
      </c>
      <c r="AE1100" s="80" t="str">
        <f>HYPERLINK("https://twitter.com/freeclassific/status/1642382493654614017")</f>
        <v>https://twitter.com/freeclassific/status/1642382493654614017</v>
      </c>
      <c r="AF1100" s="79">
        <v>45018.183738425927</v>
      </c>
      <c r="AG1100" s="85">
        <v>45018</v>
      </c>
      <c r="AH1100" s="82" t="s">
        <v>11250</v>
      </c>
      <c r="AI1100" s="77" t="b">
        <v>0</v>
      </c>
      <c r="AJ1100" s="77"/>
      <c r="AK1100" s="77"/>
      <c r="AL1100" s="77"/>
      <c r="AM1100" s="77"/>
      <c r="AN1100" s="77"/>
      <c r="AO1100" s="77"/>
      <c r="AP1100" s="77"/>
      <c r="AQ1100" s="77"/>
      <c r="AR1100" s="77"/>
      <c r="AS1100" s="77"/>
      <c r="AT1100" s="77"/>
      <c r="AU1100" s="77"/>
      <c r="AV1100" s="80" t="str">
        <f>HYPERLINK("https://pbs.twimg.com/profile_images/1431648743728852993/tLJ7F5Lu_normal.png")</f>
        <v>https://pbs.twimg.com/profile_images/1431648743728852993/tLJ7F5Lu_normal.png</v>
      </c>
      <c r="AW1100" s="82" t="s">
        <v>17873</v>
      </c>
      <c r="AX1100" s="82" t="s">
        <v>17873</v>
      </c>
      <c r="AY1100" s="77"/>
      <c r="AZ1100" s="82" t="s">
        <v>20971</v>
      </c>
      <c r="BA1100" s="82" t="s">
        <v>20971</v>
      </c>
      <c r="BB1100" s="82" t="s">
        <v>20971</v>
      </c>
      <c r="BC1100" s="82" t="s">
        <v>17873</v>
      </c>
      <c r="BD1100" s="77">
        <v>489723814</v>
      </c>
      <c r="BE1100" s="77"/>
      <c r="BF1100" s="77"/>
      <c r="BG1100" s="77"/>
      <c r="BH1100" s="77"/>
      <c r="BI1100" s="77"/>
    </row>
    <row r="1101" spans="1:61" x14ac:dyDescent="0.25">
      <c r="A1101" s="62" t="s">
        <v>418</v>
      </c>
      <c r="B1101" s="62" t="s">
        <v>418</v>
      </c>
      <c r="C1101" s="63"/>
      <c r="D1101" s="64"/>
      <c r="E1101" s="65"/>
      <c r="F1101" s="66"/>
      <c r="G1101" s="63"/>
      <c r="H1101" s="67"/>
      <c r="I1101" s="68"/>
      <c r="J1101" s="68"/>
      <c r="K1101" s="32"/>
      <c r="L1101" s="75">
        <v>1101</v>
      </c>
      <c r="M1101" s="75"/>
      <c r="N1101" s="70"/>
      <c r="O1101" s="77" t="s">
        <v>179</v>
      </c>
      <c r="P1101" s="79">
        <v>45017.69972222222</v>
      </c>
      <c r="Q1101" s="77" t="s">
        <v>2357</v>
      </c>
      <c r="R1101" s="77">
        <v>0</v>
      </c>
      <c r="S1101" s="77">
        <v>0</v>
      </c>
      <c r="T1101" s="77">
        <v>0</v>
      </c>
      <c r="U1101" s="77">
        <v>0</v>
      </c>
      <c r="V1101" s="77">
        <v>246</v>
      </c>
      <c r="W1101" s="82" t="s">
        <v>5335</v>
      </c>
      <c r="X1101" s="80" t="str">
        <f>HYPERLINK("https://www.freeclassificados.com/ads/comprar-gabarito-concurso-tjrn-gabarito-vendashotmail-com/")</f>
        <v>https://www.freeclassificados.com/ads/comprar-gabarito-concurso-tjrn-gabarito-vendashotmail-com/</v>
      </c>
      <c r="Y1101" s="77" t="s">
        <v>7308</v>
      </c>
      <c r="Z1101" s="77"/>
      <c r="AA1101" s="77"/>
      <c r="AB1101" s="77"/>
      <c r="AC1101" s="82" t="s">
        <v>10155</v>
      </c>
      <c r="AD1101" s="77" t="s">
        <v>10184</v>
      </c>
      <c r="AE1101" s="80" t="str">
        <f>HYPERLINK("https://twitter.com/freeclassific/status/1642207091573297153")</f>
        <v>https://twitter.com/freeclassific/status/1642207091573297153</v>
      </c>
      <c r="AF1101" s="79">
        <v>45017.69972222222</v>
      </c>
      <c r="AG1101" s="85">
        <v>45017</v>
      </c>
      <c r="AH1101" s="82" t="s">
        <v>11251</v>
      </c>
      <c r="AI1101" s="77" t="b">
        <v>0</v>
      </c>
      <c r="AJ1101" s="77"/>
      <c r="AK1101" s="77"/>
      <c r="AL1101" s="77"/>
      <c r="AM1101" s="77"/>
      <c r="AN1101" s="77"/>
      <c r="AO1101" s="77"/>
      <c r="AP1101" s="77"/>
      <c r="AQ1101" s="77"/>
      <c r="AR1101" s="77"/>
      <c r="AS1101" s="77"/>
      <c r="AT1101" s="77"/>
      <c r="AU1101" s="77"/>
      <c r="AV1101" s="80" t="str">
        <f>HYPERLINK("https://pbs.twimg.com/profile_images/1431648743728852993/tLJ7F5Lu_normal.png")</f>
        <v>https://pbs.twimg.com/profile_images/1431648743728852993/tLJ7F5Lu_normal.png</v>
      </c>
      <c r="AW1101" s="82" t="s">
        <v>17874</v>
      </c>
      <c r="AX1101" s="82" t="s">
        <v>17874</v>
      </c>
      <c r="AY1101" s="77"/>
      <c r="AZ1101" s="82" t="s">
        <v>20971</v>
      </c>
      <c r="BA1101" s="82" t="s">
        <v>20971</v>
      </c>
      <c r="BB1101" s="82" t="s">
        <v>20971</v>
      </c>
      <c r="BC1101" s="82" t="s">
        <v>17874</v>
      </c>
      <c r="BD1101" s="77">
        <v>489723814</v>
      </c>
      <c r="BE1101" s="77"/>
      <c r="BF1101" s="77"/>
      <c r="BG1101" s="77"/>
      <c r="BH1101" s="77"/>
      <c r="BI1101" s="77"/>
    </row>
    <row r="1102" spans="1:61" x14ac:dyDescent="0.25">
      <c r="A1102" s="62" t="s">
        <v>418</v>
      </c>
      <c r="B1102" s="62" t="s">
        <v>418</v>
      </c>
      <c r="C1102" s="63"/>
      <c r="D1102" s="64"/>
      <c r="E1102" s="65"/>
      <c r="F1102" s="66"/>
      <c r="G1102" s="63"/>
      <c r="H1102" s="67"/>
      <c r="I1102" s="68"/>
      <c r="J1102" s="68"/>
      <c r="K1102" s="32"/>
      <c r="L1102" s="75">
        <v>1102</v>
      </c>
      <c r="M1102" s="75"/>
      <c r="N1102" s="70"/>
      <c r="O1102" s="77" t="s">
        <v>179</v>
      </c>
      <c r="P1102" s="79">
        <v>45017.641458333332</v>
      </c>
      <c r="Q1102" s="77" t="s">
        <v>2358</v>
      </c>
      <c r="R1102" s="77">
        <v>0</v>
      </c>
      <c r="S1102" s="77">
        <v>0</v>
      </c>
      <c r="T1102" s="77">
        <v>0</v>
      </c>
      <c r="U1102" s="77">
        <v>0</v>
      </c>
      <c r="V1102" s="77">
        <v>20</v>
      </c>
      <c r="W1102" s="82" t="s">
        <v>5335</v>
      </c>
      <c r="X1102" s="80" t="str">
        <f>HYPERLINK("https://www.freeclassificados.com/ads/sobrancelhas/")</f>
        <v>https://www.freeclassificados.com/ads/sobrancelhas/</v>
      </c>
      <c r="Y1102" s="77" t="s">
        <v>7308</v>
      </c>
      <c r="Z1102" s="77"/>
      <c r="AA1102" s="77"/>
      <c r="AB1102" s="77"/>
      <c r="AC1102" s="82" t="s">
        <v>10155</v>
      </c>
      <c r="AD1102" s="77" t="s">
        <v>10184</v>
      </c>
      <c r="AE1102" s="80" t="str">
        <f>HYPERLINK("https://twitter.com/freeclassific/status/1642185978336129025")</f>
        <v>https://twitter.com/freeclassific/status/1642185978336129025</v>
      </c>
      <c r="AF1102" s="79">
        <v>45017.641458333332</v>
      </c>
      <c r="AG1102" s="85">
        <v>45017</v>
      </c>
      <c r="AH1102" s="82" t="s">
        <v>11252</v>
      </c>
      <c r="AI1102" s="77" t="b">
        <v>0</v>
      </c>
      <c r="AJ1102" s="77"/>
      <c r="AK1102" s="77"/>
      <c r="AL1102" s="77"/>
      <c r="AM1102" s="77"/>
      <c r="AN1102" s="77"/>
      <c r="AO1102" s="77"/>
      <c r="AP1102" s="77"/>
      <c r="AQ1102" s="77"/>
      <c r="AR1102" s="77"/>
      <c r="AS1102" s="77"/>
      <c r="AT1102" s="77"/>
      <c r="AU1102" s="77"/>
      <c r="AV1102" s="80" t="str">
        <f>HYPERLINK("https://pbs.twimg.com/profile_images/1431648743728852993/tLJ7F5Lu_normal.png")</f>
        <v>https://pbs.twimg.com/profile_images/1431648743728852993/tLJ7F5Lu_normal.png</v>
      </c>
      <c r="AW1102" s="82" t="s">
        <v>17875</v>
      </c>
      <c r="AX1102" s="82" t="s">
        <v>17875</v>
      </c>
      <c r="AY1102" s="77"/>
      <c r="AZ1102" s="82" t="s">
        <v>20971</v>
      </c>
      <c r="BA1102" s="82" t="s">
        <v>20971</v>
      </c>
      <c r="BB1102" s="82" t="s">
        <v>20971</v>
      </c>
      <c r="BC1102" s="82" t="s">
        <v>17875</v>
      </c>
      <c r="BD1102" s="77">
        <v>489723814</v>
      </c>
      <c r="BE1102" s="77"/>
      <c r="BF1102" s="77"/>
      <c r="BG1102" s="77"/>
      <c r="BH1102" s="77"/>
      <c r="BI1102" s="77"/>
    </row>
    <row r="1103" spans="1:61" x14ac:dyDescent="0.25">
      <c r="A1103" s="62" t="s">
        <v>418</v>
      </c>
      <c r="B1103" s="62" t="s">
        <v>418</v>
      </c>
      <c r="C1103" s="63"/>
      <c r="D1103" s="64"/>
      <c r="E1103" s="65"/>
      <c r="F1103" s="66"/>
      <c r="G1103" s="63"/>
      <c r="H1103" s="67"/>
      <c r="I1103" s="68"/>
      <c r="J1103" s="68"/>
      <c r="K1103" s="32"/>
      <c r="L1103" s="75">
        <v>1103</v>
      </c>
      <c r="M1103" s="75"/>
      <c r="N1103" s="70"/>
      <c r="O1103" s="77" t="s">
        <v>179</v>
      </c>
      <c r="P1103" s="79">
        <v>45017.61204861111</v>
      </c>
      <c r="Q1103" s="77" t="s">
        <v>2359</v>
      </c>
      <c r="R1103" s="77">
        <v>0</v>
      </c>
      <c r="S1103" s="77">
        <v>0</v>
      </c>
      <c r="T1103" s="77">
        <v>0</v>
      </c>
      <c r="U1103" s="77">
        <v>0</v>
      </c>
      <c r="V1103" s="77">
        <v>19</v>
      </c>
      <c r="W1103" s="82" t="s">
        <v>5335</v>
      </c>
      <c r="X1103" s="80" t="str">
        <f>HYPERLINK("https://www.freeclassificados.com/ads/alfabeizando/")</f>
        <v>https://www.freeclassificados.com/ads/alfabeizando/</v>
      </c>
      <c r="Y1103" s="77" t="s">
        <v>7308</v>
      </c>
      <c r="Z1103" s="77"/>
      <c r="AA1103" s="77"/>
      <c r="AB1103" s="77"/>
      <c r="AC1103" s="82" t="s">
        <v>10155</v>
      </c>
      <c r="AD1103" s="77" t="s">
        <v>10187</v>
      </c>
      <c r="AE1103" s="80" t="str">
        <f>HYPERLINK("https://twitter.com/freeclassific/status/1642175322996236288")</f>
        <v>https://twitter.com/freeclassific/status/1642175322996236288</v>
      </c>
      <c r="AF1103" s="79">
        <v>45017.61204861111</v>
      </c>
      <c r="AG1103" s="85">
        <v>45017</v>
      </c>
      <c r="AH1103" s="82" t="s">
        <v>11253</v>
      </c>
      <c r="AI1103" s="77" t="b">
        <v>0</v>
      </c>
      <c r="AJ1103" s="77"/>
      <c r="AK1103" s="77"/>
      <c r="AL1103" s="77"/>
      <c r="AM1103" s="77"/>
      <c r="AN1103" s="77"/>
      <c r="AO1103" s="77"/>
      <c r="AP1103" s="77"/>
      <c r="AQ1103" s="77"/>
      <c r="AR1103" s="77"/>
      <c r="AS1103" s="77"/>
      <c r="AT1103" s="77"/>
      <c r="AU1103" s="77"/>
      <c r="AV1103" s="80" t="str">
        <f>HYPERLINK("https://pbs.twimg.com/profile_images/1431648743728852993/tLJ7F5Lu_normal.png")</f>
        <v>https://pbs.twimg.com/profile_images/1431648743728852993/tLJ7F5Lu_normal.png</v>
      </c>
      <c r="AW1103" s="82" t="s">
        <v>17876</v>
      </c>
      <c r="AX1103" s="82" t="s">
        <v>17876</v>
      </c>
      <c r="AY1103" s="77"/>
      <c r="AZ1103" s="82" t="s">
        <v>20971</v>
      </c>
      <c r="BA1103" s="82" t="s">
        <v>20971</v>
      </c>
      <c r="BB1103" s="82" t="s">
        <v>20971</v>
      </c>
      <c r="BC1103" s="82" t="s">
        <v>17876</v>
      </c>
      <c r="BD1103" s="77">
        <v>489723814</v>
      </c>
      <c r="BE1103" s="77"/>
      <c r="BF1103" s="77"/>
      <c r="BG1103" s="77"/>
      <c r="BH1103" s="77"/>
      <c r="BI1103" s="77"/>
    </row>
    <row r="1104" spans="1:61" x14ac:dyDescent="0.25">
      <c r="A1104" s="62" t="s">
        <v>418</v>
      </c>
      <c r="B1104" s="62" t="s">
        <v>418</v>
      </c>
      <c r="C1104" s="63"/>
      <c r="D1104" s="64"/>
      <c r="E1104" s="65"/>
      <c r="F1104" s="66"/>
      <c r="G1104" s="63"/>
      <c r="H1104" s="67"/>
      <c r="I1104" s="68"/>
      <c r="J1104" s="68"/>
      <c r="K1104" s="32"/>
      <c r="L1104" s="75">
        <v>1104</v>
      </c>
      <c r="M1104" s="75"/>
      <c r="N1104" s="70"/>
      <c r="O1104" s="77" t="s">
        <v>179</v>
      </c>
      <c r="P1104" s="79">
        <v>45016.941805555558</v>
      </c>
      <c r="Q1104" s="77" t="s">
        <v>2360</v>
      </c>
      <c r="R1104" s="77">
        <v>0</v>
      </c>
      <c r="S1104" s="77">
        <v>0</v>
      </c>
      <c r="T1104" s="77">
        <v>0</v>
      </c>
      <c r="U1104" s="77">
        <v>0</v>
      </c>
      <c r="V1104" s="77">
        <v>38</v>
      </c>
      <c r="W1104" s="82" t="s">
        <v>5335</v>
      </c>
      <c r="X1104" s="80" t="str">
        <f>HYPERLINK("https://www.freeclassificados.com/ads/vendo-gabarito-concurso-ebserh-gabarito-vendashotmail-com/")</f>
        <v>https://www.freeclassificados.com/ads/vendo-gabarito-concurso-ebserh-gabarito-vendashotmail-com/</v>
      </c>
      <c r="Y1104" s="77" t="s">
        <v>7308</v>
      </c>
      <c r="Z1104" s="77"/>
      <c r="AA1104" s="77"/>
      <c r="AB1104" s="77"/>
      <c r="AC1104" s="82" t="s">
        <v>10155</v>
      </c>
      <c r="AD1104" s="77" t="s">
        <v>10184</v>
      </c>
      <c r="AE1104" s="80" t="str">
        <f>HYPERLINK("https://twitter.com/freeclassific/status/1641932434961993730")</f>
        <v>https://twitter.com/freeclassific/status/1641932434961993730</v>
      </c>
      <c r="AF1104" s="79">
        <v>45016.941805555558</v>
      </c>
      <c r="AG1104" s="85">
        <v>45016</v>
      </c>
      <c r="AH1104" s="82" t="s">
        <v>11254</v>
      </c>
      <c r="AI1104" s="77" t="b">
        <v>0</v>
      </c>
      <c r="AJ1104" s="77"/>
      <c r="AK1104" s="77"/>
      <c r="AL1104" s="77"/>
      <c r="AM1104" s="77"/>
      <c r="AN1104" s="77"/>
      <c r="AO1104" s="77"/>
      <c r="AP1104" s="77"/>
      <c r="AQ1104" s="77"/>
      <c r="AR1104" s="77"/>
      <c r="AS1104" s="77"/>
      <c r="AT1104" s="77"/>
      <c r="AU1104" s="77"/>
      <c r="AV1104" s="80" t="str">
        <f>HYPERLINK("https://pbs.twimg.com/profile_images/1431648743728852993/tLJ7F5Lu_normal.png")</f>
        <v>https://pbs.twimg.com/profile_images/1431648743728852993/tLJ7F5Lu_normal.png</v>
      </c>
      <c r="AW1104" s="82" t="s">
        <v>17877</v>
      </c>
      <c r="AX1104" s="82" t="s">
        <v>17877</v>
      </c>
      <c r="AY1104" s="77"/>
      <c r="AZ1104" s="82" t="s">
        <v>20971</v>
      </c>
      <c r="BA1104" s="82" t="s">
        <v>20971</v>
      </c>
      <c r="BB1104" s="82" t="s">
        <v>20971</v>
      </c>
      <c r="BC1104" s="82" t="s">
        <v>17877</v>
      </c>
      <c r="BD1104" s="77">
        <v>489723814</v>
      </c>
      <c r="BE1104" s="77"/>
      <c r="BF1104" s="77"/>
      <c r="BG1104" s="77"/>
      <c r="BH1104" s="77"/>
      <c r="BI1104" s="77"/>
    </row>
    <row r="1105" spans="1:61" x14ac:dyDescent="0.25">
      <c r="A1105" s="62" t="s">
        <v>418</v>
      </c>
      <c r="B1105" s="62" t="s">
        <v>418</v>
      </c>
      <c r="C1105" s="63"/>
      <c r="D1105" s="64"/>
      <c r="E1105" s="65"/>
      <c r="F1105" s="66"/>
      <c r="G1105" s="63"/>
      <c r="H1105" s="67"/>
      <c r="I1105" s="68"/>
      <c r="J1105" s="68"/>
      <c r="K1105" s="32"/>
      <c r="L1105" s="75">
        <v>1105</v>
      </c>
      <c r="M1105" s="75"/>
      <c r="N1105" s="70"/>
      <c r="O1105" s="77" t="s">
        <v>179</v>
      </c>
      <c r="P1105" s="79">
        <v>45016.717870370368</v>
      </c>
      <c r="Q1105" s="77" t="s">
        <v>2361</v>
      </c>
      <c r="R1105" s="77">
        <v>0</v>
      </c>
      <c r="S1105" s="77">
        <v>0</v>
      </c>
      <c r="T1105" s="77">
        <v>0</v>
      </c>
      <c r="U1105" s="77">
        <v>0</v>
      </c>
      <c r="V1105" s="77">
        <v>10</v>
      </c>
      <c r="W1105" s="82" t="s">
        <v>5335</v>
      </c>
      <c r="X1105" s="80" t="str">
        <f>HYPERLINK("https://www.freeclassificados.com/ads/marketing-empresarial/")</f>
        <v>https://www.freeclassificados.com/ads/marketing-empresarial/</v>
      </c>
      <c r="Y1105" s="77" t="s">
        <v>7308</v>
      </c>
      <c r="Z1105" s="77"/>
      <c r="AA1105" s="77"/>
      <c r="AB1105" s="77"/>
      <c r="AC1105" s="82" t="s">
        <v>10155</v>
      </c>
      <c r="AD1105" s="77" t="s">
        <v>10187</v>
      </c>
      <c r="AE1105" s="80" t="str">
        <f>HYPERLINK("https://twitter.com/freeclassific/status/1641851284440633344")</f>
        <v>https://twitter.com/freeclassific/status/1641851284440633344</v>
      </c>
      <c r="AF1105" s="79">
        <v>45016.717870370368</v>
      </c>
      <c r="AG1105" s="85">
        <v>45016</v>
      </c>
      <c r="AH1105" s="82" t="s">
        <v>11255</v>
      </c>
      <c r="AI1105" s="77" t="b">
        <v>0</v>
      </c>
      <c r="AJ1105" s="77"/>
      <c r="AK1105" s="77"/>
      <c r="AL1105" s="77"/>
      <c r="AM1105" s="77"/>
      <c r="AN1105" s="77"/>
      <c r="AO1105" s="77"/>
      <c r="AP1105" s="77"/>
      <c r="AQ1105" s="77"/>
      <c r="AR1105" s="77"/>
      <c r="AS1105" s="77"/>
      <c r="AT1105" s="77"/>
      <c r="AU1105" s="77"/>
      <c r="AV1105" s="80" t="str">
        <f>HYPERLINK("https://pbs.twimg.com/profile_images/1431648743728852993/tLJ7F5Lu_normal.png")</f>
        <v>https://pbs.twimg.com/profile_images/1431648743728852993/tLJ7F5Lu_normal.png</v>
      </c>
      <c r="AW1105" s="82" t="s">
        <v>17878</v>
      </c>
      <c r="AX1105" s="82" t="s">
        <v>17878</v>
      </c>
      <c r="AY1105" s="77"/>
      <c r="AZ1105" s="82" t="s">
        <v>20971</v>
      </c>
      <c r="BA1105" s="82" t="s">
        <v>20971</v>
      </c>
      <c r="BB1105" s="82" t="s">
        <v>20971</v>
      </c>
      <c r="BC1105" s="82" t="s">
        <v>17878</v>
      </c>
      <c r="BD1105" s="77">
        <v>489723814</v>
      </c>
      <c r="BE1105" s="77"/>
      <c r="BF1105" s="77"/>
      <c r="BG1105" s="77"/>
      <c r="BH1105" s="77"/>
      <c r="BI1105" s="77"/>
    </row>
    <row r="1106" spans="1:61" x14ac:dyDescent="0.25">
      <c r="A1106" s="62" t="s">
        <v>418</v>
      </c>
      <c r="B1106" s="62" t="s">
        <v>418</v>
      </c>
      <c r="C1106" s="63"/>
      <c r="D1106" s="64"/>
      <c r="E1106" s="65"/>
      <c r="F1106" s="66"/>
      <c r="G1106" s="63"/>
      <c r="H1106" s="67"/>
      <c r="I1106" s="68"/>
      <c r="J1106" s="68"/>
      <c r="K1106" s="32"/>
      <c r="L1106" s="75">
        <v>1106</v>
      </c>
      <c r="M1106" s="75"/>
      <c r="N1106" s="70"/>
      <c r="O1106" s="77" t="s">
        <v>179</v>
      </c>
      <c r="P1106" s="79">
        <v>45016.569189814814</v>
      </c>
      <c r="Q1106" s="77" t="s">
        <v>1938</v>
      </c>
      <c r="R1106" s="77">
        <v>0</v>
      </c>
      <c r="S1106" s="77">
        <v>0</v>
      </c>
      <c r="T1106" s="77">
        <v>0</v>
      </c>
      <c r="U1106" s="77">
        <v>0</v>
      </c>
      <c r="V1106" s="77">
        <v>11</v>
      </c>
      <c r="W1106" s="82" t="s">
        <v>5335</v>
      </c>
      <c r="X1106" s="80" t="str">
        <f>HYPERLINK("https://www.freeclassificados.com/ads/palco-coberta-som-luz-alugo-palco-aluguel-tablado-de-vidro-palco-madeira-9-86-25-98-82/")</f>
        <v>https://www.freeclassificados.com/ads/palco-coberta-som-luz-alugo-palco-aluguel-tablado-de-vidro-palco-madeira-9-86-25-98-82/</v>
      </c>
      <c r="Y1106" s="77" t="s">
        <v>7308</v>
      </c>
      <c r="Z1106" s="77"/>
      <c r="AA1106" s="77"/>
      <c r="AB1106" s="77"/>
      <c r="AC1106" s="82" t="s">
        <v>10155</v>
      </c>
      <c r="AD1106" s="77" t="s">
        <v>10184</v>
      </c>
      <c r="AE1106" s="80" t="str">
        <f>HYPERLINK("https://twitter.com/freeclassific/status/1641797400628187143")</f>
        <v>https://twitter.com/freeclassific/status/1641797400628187143</v>
      </c>
      <c r="AF1106" s="79">
        <v>45016.569189814814</v>
      </c>
      <c r="AG1106" s="85">
        <v>45016</v>
      </c>
      <c r="AH1106" s="82" t="s">
        <v>11256</v>
      </c>
      <c r="AI1106" s="77" t="b">
        <v>0</v>
      </c>
      <c r="AJ1106" s="77"/>
      <c r="AK1106" s="77"/>
      <c r="AL1106" s="77"/>
      <c r="AM1106" s="77"/>
      <c r="AN1106" s="77"/>
      <c r="AO1106" s="77"/>
      <c r="AP1106" s="77"/>
      <c r="AQ1106" s="77"/>
      <c r="AR1106" s="77"/>
      <c r="AS1106" s="77"/>
      <c r="AT1106" s="77"/>
      <c r="AU1106" s="77"/>
      <c r="AV1106" s="80" t="str">
        <f>HYPERLINK("https://pbs.twimg.com/profile_images/1431648743728852993/tLJ7F5Lu_normal.png")</f>
        <v>https://pbs.twimg.com/profile_images/1431648743728852993/tLJ7F5Lu_normal.png</v>
      </c>
      <c r="AW1106" s="82" t="s">
        <v>17879</v>
      </c>
      <c r="AX1106" s="82" t="s">
        <v>17879</v>
      </c>
      <c r="AY1106" s="77"/>
      <c r="AZ1106" s="82" t="s">
        <v>20971</v>
      </c>
      <c r="BA1106" s="82" t="s">
        <v>20971</v>
      </c>
      <c r="BB1106" s="82" t="s">
        <v>20971</v>
      </c>
      <c r="BC1106" s="82" t="s">
        <v>17879</v>
      </c>
      <c r="BD1106" s="77">
        <v>489723814</v>
      </c>
      <c r="BE1106" s="77"/>
      <c r="BF1106" s="77"/>
      <c r="BG1106" s="77"/>
      <c r="BH1106" s="77"/>
      <c r="BI1106" s="77"/>
    </row>
    <row r="1107" spans="1:61" x14ac:dyDescent="0.25">
      <c r="A1107" s="62" t="s">
        <v>418</v>
      </c>
      <c r="B1107" s="62" t="s">
        <v>418</v>
      </c>
      <c r="C1107" s="63"/>
      <c r="D1107" s="64"/>
      <c r="E1107" s="65"/>
      <c r="F1107" s="66"/>
      <c r="G1107" s="63"/>
      <c r="H1107" s="67"/>
      <c r="I1107" s="68"/>
      <c r="J1107" s="68"/>
      <c r="K1107" s="32"/>
      <c r="L1107" s="75">
        <v>1107</v>
      </c>
      <c r="M1107" s="75"/>
      <c r="N1107" s="70"/>
      <c r="O1107" s="77" t="s">
        <v>179</v>
      </c>
      <c r="P1107" s="79">
        <v>45016.013958333337</v>
      </c>
      <c r="Q1107" s="77" t="s">
        <v>2122</v>
      </c>
      <c r="R1107" s="77">
        <v>0</v>
      </c>
      <c r="S1107" s="77">
        <v>0</v>
      </c>
      <c r="T1107" s="77">
        <v>0</v>
      </c>
      <c r="U1107" s="77">
        <v>0</v>
      </c>
      <c r="V1107" s="77">
        <v>19</v>
      </c>
      <c r="W1107" s="82" t="s">
        <v>5335</v>
      </c>
      <c r="X1107" s="80" t="str">
        <f>HYPERLINK("https://www.freeclassificados.com/ads/por-que-todo-mundo-quer-saber-sobre-como-ter-a-sua-proprio-horta-organica-em-casa/")</f>
        <v>https://www.freeclassificados.com/ads/por-que-todo-mundo-quer-saber-sobre-como-ter-a-sua-proprio-horta-organica-em-casa/</v>
      </c>
      <c r="Y1107" s="77" t="s">
        <v>7308</v>
      </c>
      <c r="Z1107" s="77"/>
      <c r="AA1107" s="77"/>
      <c r="AB1107" s="77"/>
      <c r="AC1107" s="82" t="s">
        <v>10155</v>
      </c>
      <c r="AD1107" s="77" t="s">
        <v>10184</v>
      </c>
      <c r="AE1107" s="80" t="str">
        <f>HYPERLINK("https://twitter.com/freeclassific/status/1641596195285114880")</f>
        <v>https://twitter.com/freeclassific/status/1641596195285114880</v>
      </c>
      <c r="AF1107" s="79">
        <v>45016.013958333337</v>
      </c>
      <c r="AG1107" s="85">
        <v>45016</v>
      </c>
      <c r="AH1107" s="82" t="s">
        <v>11257</v>
      </c>
      <c r="AI1107" s="77" t="b">
        <v>0</v>
      </c>
      <c r="AJ1107" s="77"/>
      <c r="AK1107" s="77"/>
      <c r="AL1107" s="77"/>
      <c r="AM1107" s="77"/>
      <c r="AN1107" s="77"/>
      <c r="AO1107" s="77"/>
      <c r="AP1107" s="77"/>
      <c r="AQ1107" s="77"/>
      <c r="AR1107" s="77"/>
      <c r="AS1107" s="77"/>
      <c r="AT1107" s="77"/>
      <c r="AU1107" s="77"/>
      <c r="AV1107" s="80" t="str">
        <f>HYPERLINK("https://pbs.twimg.com/profile_images/1431648743728852993/tLJ7F5Lu_normal.png")</f>
        <v>https://pbs.twimg.com/profile_images/1431648743728852993/tLJ7F5Lu_normal.png</v>
      </c>
      <c r="AW1107" s="82" t="s">
        <v>17880</v>
      </c>
      <c r="AX1107" s="82" t="s">
        <v>17880</v>
      </c>
      <c r="AY1107" s="77"/>
      <c r="AZ1107" s="82" t="s">
        <v>20971</v>
      </c>
      <c r="BA1107" s="82" t="s">
        <v>20971</v>
      </c>
      <c r="BB1107" s="82" t="s">
        <v>20971</v>
      </c>
      <c r="BC1107" s="82" t="s">
        <v>17880</v>
      </c>
      <c r="BD1107" s="77">
        <v>489723814</v>
      </c>
      <c r="BE1107" s="77"/>
      <c r="BF1107" s="77"/>
      <c r="BG1107" s="77"/>
      <c r="BH1107" s="77"/>
      <c r="BI1107" s="77"/>
    </row>
    <row r="1108" spans="1:61" x14ac:dyDescent="0.25">
      <c r="A1108" s="62" t="s">
        <v>418</v>
      </c>
      <c r="B1108" s="62" t="s">
        <v>418</v>
      </c>
      <c r="C1108" s="63"/>
      <c r="D1108" s="64"/>
      <c r="E1108" s="65"/>
      <c r="F1108" s="66"/>
      <c r="G1108" s="63"/>
      <c r="H1108" s="67"/>
      <c r="I1108" s="68"/>
      <c r="J1108" s="68"/>
      <c r="K1108" s="32"/>
      <c r="L1108" s="75">
        <v>1108</v>
      </c>
      <c r="M1108" s="75"/>
      <c r="N1108" s="70"/>
      <c r="O1108" s="77" t="s">
        <v>179</v>
      </c>
      <c r="P1108" s="79">
        <v>45016.007627314815</v>
      </c>
      <c r="Q1108" s="77" t="s">
        <v>2121</v>
      </c>
      <c r="R1108" s="77">
        <v>0</v>
      </c>
      <c r="S1108" s="77">
        <v>0</v>
      </c>
      <c r="T1108" s="77">
        <v>0</v>
      </c>
      <c r="U1108" s="77">
        <v>0</v>
      </c>
      <c r="V1108" s="77">
        <v>21</v>
      </c>
      <c r="W1108" s="82" t="s">
        <v>5335</v>
      </c>
      <c r="X1108" s="80" t="str">
        <f>HYPERLINK("https://www.freeclassificados.com/ads/confeitaria-e-sobremesas-metodo-de-preparo-com-25-receitas/")</f>
        <v>https://www.freeclassificados.com/ads/confeitaria-e-sobremesas-metodo-de-preparo-com-25-receitas/</v>
      </c>
      <c r="Y1108" s="77" t="s">
        <v>7308</v>
      </c>
      <c r="Z1108" s="77"/>
      <c r="AA1108" s="77"/>
      <c r="AB1108" s="77"/>
      <c r="AC1108" s="82" t="s">
        <v>10155</v>
      </c>
      <c r="AD1108" s="77" t="s">
        <v>10184</v>
      </c>
      <c r="AE1108" s="80" t="str">
        <f>HYPERLINK("https://twitter.com/freeclassific/status/1641593897578270723")</f>
        <v>https://twitter.com/freeclassific/status/1641593897578270723</v>
      </c>
      <c r="AF1108" s="79">
        <v>45016.007627314815</v>
      </c>
      <c r="AG1108" s="85">
        <v>45016</v>
      </c>
      <c r="AH1108" s="82" t="s">
        <v>11258</v>
      </c>
      <c r="AI1108" s="77" t="b">
        <v>0</v>
      </c>
      <c r="AJ1108" s="77"/>
      <c r="AK1108" s="77"/>
      <c r="AL1108" s="77"/>
      <c r="AM1108" s="77"/>
      <c r="AN1108" s="77"/>
      <c r="AO1108" s="77"/>
      <c r="AP1108" s="77"/>
      <c r="AQ1108" s="77"/>
      <c r="AR1108" s="77"/>
      <c r="AS1108" s="77"/>
      <c r="AT1108" s="77"/>
      <c r="AU1108" s="77"/>
      <c r="AV1108" s="80" t="str">
        <f>HYPERLINK("https://pbs.twimg.com/profile_images/1431648743728852993/tLJ7F5Lu_normal.png")</f>
        <v>https://pbs.twimg.com/profile_images/1431648743728852993/tLJ7F5Lu_normal.png</v>
      </c>
      <c r="AW1108" s="82" t="s">
        <v>17881</v>
      </c>
      <c r="AX1108" s="82" t="s">
        <v>17881</v>
      </c>
      <c r="AY1108" s="77"/>
      <c r="AZ1108" s="82" t="s">
        <v>20971</v>
      </c>
      <c r="BA1108" s="82" t="s">
        <v>20971</v>
      </c>
      <c r="BB1108" s="82" t="s">
        <v>20971</v>
      </c>
      <c r="BC1108" s="82" t="s">
        <v>17881</v>
      </c>
      <c r="BD1108" s="77">
        <v>489723814</v>
      </c>
      <c r="BE1108" s="77"/>
      <c r="BF1108" s="77"/>
      <c r="BG1108" s="77"/>
      <c r="BH1108" s="77"/>
      <c r="BI1108" s="77"/>
    </row>
    <row r="1109" spans="1:61" x14ac:dyDescent="0.25">
      <c r="A1109" s="62" t="s">
        <v>418</v>
      </c>
      <c r="B1109" s="62" t="s">
        <v>418</v>
      </c>
      <c r="C1109" s="63"/>
      <c r="D1109" s="64"/>
      <c r="E1109" s="65"/>
      <c r="F1109" s="66"/>
      <c r="G1109" s="63"/>
      <c r="H1109" s="67"/>
      <c r="I1109" s="68"/>
      <c r="J1109" s="68"/>
      <c r="K1109" s="32"/>
      <c r="L1109" s="75">
        <v>1109</v>
      </c>
      <c r="M1109" s="75"/>
      <c r="N1109" s="70"/>
      <c r="O1109" s="77" t="s">
        <v>179</v>
      </c>
      <c r="P1109" s="79">
        <v>45016.001516203702</v>
      </c>
      <c r="Q1109" s="77" t="s">
        <v>2308</v>
      </c>
      <c r="R1109" s="77">
        <v>0</v>
      </c>
      <c r="S1109" s="77">
        <v>0</v>
      </c>
      <c r="T1109" s="77">
        <v>0</v>
      </c>
      <c r="U1109" s="77">
        <v>0</v>
      </c>
      <c r="V1109" s="77">
        <v>19</v>
      </c>
      <c r="W1109" s="82" t="s">
        <v>5335</v>
      </c>
      <c r="X1109" s="80" t="str">
        <f>HYPERLINK("https://www.freeclassificados.com/ads/voce-realmente-deseja-ser-uma-empreendedora-no-segmento-de-doces-apenas-fazendo-e-vendendo-bolos-no-potes/")</f>
        <v>https://www.freeclassificados.com/ads/voce-realmente-deseja-ser-uma-empreendedora-no-segmento-de-doces-apenas-fazendo-e-vendendo-bolos-no-potes/</v>
      </c>
      <c r="Y1109" s="77" t="s">
        <v>7308</v>
      </c>
      <c r="Z1109" s="77"/>
      <c r="AA1109" s="77"/>
      <c r="AB1109" s="77"/>
      <c r="AC1109" s="82" t="s">
        <v>10155</v>
      </c>
      <c r="AD1109" s="77" t="s">
        <v>10184</v>
      </c>
      <c r="AE1109" s="80" t="str">
        <f>HYPERLINK("https://twitter.com/freeclassific/status/1641591684768370688")</f>
        <v>https://twitter.com/freeclassific/status/1641591684768370688</v>
      </c>
      <c r="AF1109" s="79">
        <v>45016.001516203702</v>
      </c>
      <c r="AG1109" s="85">
        <v>45016</v>
      </c>
      <c r="AH1109" s="82" t="s">
        <v>11259</v>
      </c>
      <c r="AI1109" s="77" t="b">
        <v>0</v>
      </c>
      <c r="AJ1109" s="77"/>
      <c r="AK1109" s="77"/>
      <c r="AL1109" s="77"/>
      <c r="AM1109" s="77"/>
      <c r="AN1109" s="77"/>
      <c r="AO1109" s="77"/>
      <c r="AP1109" s="77"/>
      <c r="AQ1109" s="77"/>
      <c r="AR1109" s="77"/>
      <c r="AS1109" s="77"/>
      <c r="AT1109" s="77"/>
      <c r="AU1109" s="77"/>
      <c r="AV1109" s="80" t="str">
        <f>HYPERLINK("https://pbs.twimg.com/profile_images/1431648743728852993/tLJ7F5Lu_normal.png")</f>
        <v>https://pbs.twimg.com/profile_images/1431648743728852993/tLJ7F5Lu_normal.png</v>
      </c>
      <c r="AW1109" s="82" t="s">
        <v>17882</v>
      </c>
      <c r="AX1109" s="82" t="s">
        <v>17882</v>
      </c>
      <c r="AY1109" s="77"/>
      <c r="AZ1109" s="82" t="s">
        <v>20971</v>
      </c>
      <c r="BA1109" s="82" t="s">
        <v>20971</v>
      </c>
      <c r="BB1109" s="82" t="s">
        <v>20971</v>
      </c>
      <c r="BC1109" s="82" t="s">
        <v>17882</v>
      </c>
      <c r="BD1109" s="77">
        <v>489723814</v>
      </c>
      <c r="BE1109" s="77"/>
      <c r="BF1109" s="77"/>
      <c r="BG1109" s="77"/>
      <c r="BH1109" s="77"/>
      <c r="BI1109" s="77"/>
    </row>
    <row r="1110" spans="1:61" x14ac:dyDescent="0.25">
      <c r="A1110" s="62" t="s">
        <v>418</v>
      </c>
      <c r="B1110" s="62" t="s">
        <v>418</v>
      </c>
      <c r="C1110" s="63"/>
      <c r="D1110" s="64"/>
      <c r="E1110" s="65"/>
      <c r="F1110" s="66"/>
      <c r="G1110" s="63"/>
      <c r="H1110" s="67"/>
      <c r="I1110" s="68"/>
      <c r="J1110" s="68"/>
      <c r="K1110" s="32"/>
      <c r="L1110" s="75">
        <v>1110</v>
      </c>
      <c r="M1110" s="75"/>
      <c r="N1110" s="70"/>
      <c r="O1110" s="77" t="s">
        <v>179</v>
      </c>
      <c r="P1110" s="79">
        <v>45015.98914351852</v>
      </c>
      <c r="Q1110" s="77" t="s">
        <v>2117</v>
      </c>
      <c r="R1110" s="77">
        <v>0</v>
      </c>
      <c r="S1110" s="77">
        <v>0</v>
      </c>
      <c r="T1110" s="77">
        <v>0</v>
      </c>
      <c r="U1110" s="77">
        <v>0</v>
      </c>
      <c r="V1110" s="77">
        <v>18</v>
      </c>
      <c r="W1110" s="82" t="s">
        <v>5335</v>
      </c>
      <c r="X1110" s="80" t="str">
        <f>HYPERLINK("https://www.freeclassificados.com/ads/comece-agora-o-seu-tratamento-e-veja-o-resultado-em-pouco-tempo/")</f>
        <v>https://www.freeclassificados.com/ads/comece-agora-o-seu-tratamento-e-veja-o-resultado-em-pouco-tempo/</v>
      </c>
      <c r="Y1110" s="77" t="s">
        <v>7308</v>
      </c>
      <c r="Z1110" s="77"/>
      <c r="AA1110" s="77"/>
      <c r="AB1110" s="77"/>
      <c r="AC1110" s="82" t="s">
        <v>10155</v>
      </c>
      <c r="AD1110" s="77" t="s">
        <v>10184</v>
      </c>
      <c r="AE1110" s="80" t="str">
        <f>HYPERLINK("https://twitter.com/freeclassific/status/1641587202454077440")</f>
        <v>https://twitter.com/freeclassific/status/1641587202454077440</v>
      </c>
      <c r="AF1110" s="79">
        <v>45015.98914351852</v>
      </c>
      <c r="AG1110" s="85">
        <v>45015</v>
      </c>
      <c r="AH1110" s="82" t="s">
        <v>11260</v>
      </c>
      <c r="AI1110" s="77" t="b">
        <v>0</v>
      </c>
      <c r="AJ1110" s="77"/>
      <c r="AK1110" s="77"/>
      <c r="AL1110" s="77"/>
      <c r="AM1110" s="77"/>
      <c r="AN1110" s="77"/>
      <c r="AO1110" s="77"/>
      <c r="AP1110" s="77"/>
      <c r="AQ1110" s="77"/>
      <c r="AR1110" s="77"/>
      <c r="AS1110" s="77"/>
      <c r="AT1110" s="77"/>
      <c r="AU1110" s="77"/>
      <c r="AV1110" s="80" t="str">
        <f>HYPERLINK("https://pbs.twimg.com/profile_images/1431648743728852993/tLJ7F5Lu_normal.png")</f>
        <v>https://pbs.twimg.com/profile_images/1431648743728852993/tLJ7F5Lu_normal.png</v>
      </c>
      <c r="AW1110" s="82" t="s">
        <v>17883</v>
      </c>
      <c r="AX1110" s="82" t="s">
        <v>17883</v>
      </c>
      <c r="AY1110" s="77"/>
      <c r="AZ1110" s="82" t="s">
        <v>20971</v>
      </c>
      <c r="BA1110" s="82" t="s">
        <v>20971</v>
      </c>
      <c r="BB1110" s="82" t="s">
        <v>20971</v>
      </c>
      <c r="BC1110" s="82" t="s">
        <v>17883</v>
      </c>
      <c r="BD1110" s="77">
        <v>489723814</v>
      </c>
      <c r="BE1110" s="77"/>
      <c r="BF1110" s="77"/>
      <c r="BG1110" s="77"/>
      <c r="BH1110" s="77"/>
      <c r="BI1110" s="77"/>
    </row>
    <row r="1111" spans="1:61" x14ac:dyDescent="0.25">
      <c r="A1111" s="62" t="s">
        <v>418</v>
      </c>
      <c r="B1111" s="62" t="s">
        <v>418</v>
      </c>
      <c r="C1111" s="63"/>
      <c r="D1111" s="64"/>
      <c r="E1111" s="65"/>
      <c r="F1111" s="66"/>
      <c r="G1111" s="63"/>
      <c r="H1111" s="67"/>
      <c r="I1111" s="68"/>
      <c r="J1111" s="68"/>
      <c r="K1111" s="32"/>
      <c r="L1111" s="75">
        <v>1111</v>
      </c>
      <c r="M1111" s="75"/>
      <c r="N1111" s="70"/>
      <c r="O1111" s="77" t="s">
        <v>179</v>
      </c>
      <c r="P1111" s="79">
        <v>45015.986342592594</v>
      </c>
      <c r="Q1111" s="77" t="s">
        <v>2116</v>
      </c>
      <c r="R1111" s="77">
        <v>0</v>
      </c>
      <c r="S1111" s="77">
        <v>0</v>
      </c>
      <c r="T1111" s="77">
        <v>0</v>
      </c>
      <c r="U1111" s="77">
        <v>0</v>
      </c>
      <c r="V1111" s="77">
        <v>19</v>
      </c>
      <c r="W1111" s="82" t="s">
        <v>5335</v>
      </c>
      <c r="X1111" s="80" t="str">
        <f>HYPERLINK("https://www.freeclassificados.com/ads/urgente-aprovado-pela-anvisa/")</f>
        <v>https://www.freeclassificados.com/ads/urgente-aprovado-pela-anvisa/</v>
      </c>
      <c r="Y1111" s="77" t="s">
        <v>7308</v>
      </c>
      <c r="Z1111" s="77"/>
      <c r="AA1111" s="77"/>
      <c r="AB1111" s="77"/>
      <c r="AC1111" s="82" t="s">
        <v>10155</v>
      </c>
      <c r="AD1111" s="77" t="s">
        <v>10184</v>
      </c>
      <c r="AE1111" s="80" t="str">
        <f>HYPERLINK("https://twitter.com/freeclassific/status/1641586183594725376")</f>
        <v>https://twitter.com/freeclassific/status/1641586183594725376</v>
      </c>
      <c r="AF1111" s="79">
        <v>45015.986342592594</v>
      </c>
      <c r="AG1111" s="85">
        <v>45015</v>
      </c>
      <c r="AH1111" s="82" t="s">
        <v>11261</v>
      </c>
      <c r="AI1111" s="77" t="b">
        <v>0</v>
      </c>
      <c r="AJ1111" s="77"/>
      <c r="AK1111" s="77"/>
      <c r="AL1111" s="77"/>
      <c r="AM1111" s="77"/>
      <c r="AN1111" s="77"/>
      <c r="AO1111" s="77"/>
      <c r="AP1111" s="77"/>
      <c r="AQ1111" s="77"/>
      <c r="AR1111" s="77"/>
      <c r="AS1111" s="77"/>
      <c r="AT1111" s="77"/>
      <c r="AU1111" s="77"/>
      <c r="AV1111" s="80" t="str">
        <f>HYPERLINK("https://pbs.twimg.com/profile_images/1431648743728852993/tLJ7F5Lu_normal.png")</f>
        <v>https://pbs.twimg.com/profile_images/1431648743728852993/tLJ7F5Lu_normal.png</v>
      </c>
      <c r="AW1111" s="82" t="s">
        <v>17884</v>
      </c>
      <c r="AX1111" s="82" t="s">
        <v>17884</v>
      </c>
      <c r="AY1111" s="77"/>
      <c r="AZ1111" s="82" t="s">
        <v>20971</v>
      </c>
      <c r="BA1111" s="82" t="s">
        <v>20971</v>
      </c>
      <c r="BB1111" s="82" t="s">
        <v>20971</v>
      </c>
      <c r="BC1111" s="82" t="s">
        <v>17884</v>
      </c>
      <c r="BD1111" s="77">
        <v>489723814</v>
      </c>
      <c r="BE1111" s="77"/>
      <c r="BF1111" s="77"/>
      <c r="BG1111" s="77"/>
      <c r="BH1111" s="77"/>
      <c r="BI1111" s="77"/>
    </row>
    <row r="1112" spans="1:61" x14ac:dyDescent="0.25">
      <c r="A1112" s="62" t="s">
        <v>418</v>
      </c>
      <c r="B1112" s="62" t="s">
        <v>418</v>
      </c>
      <c r="C1112" s="63"/>
      <c r="D1112" s="64"/>
      <c r="E1112" s="65"/>
      <c r="F1112" s="66"/>
      <c r="G1112" s="63"/>
      <c r="H1112" s="67"/>
      <c r="I1112" s="68"/>
      <c r="J1112" s="68"/>
      <c r="K1112" s="32"/>
      <c r="L1112" s="75">
        <v>1112</v>
      </c>
      <c r="M1112" s="75"/>
      <c r="N1112" s="70"/>
      <c r="O1112" s="77" t="s">
        <v>179</v>
      </c>
      <c r="P1112" s="79">
        <v>45015.983541666668</v>
      </c>
      <c r="Q1112" s="77" t="s">
        <v>2305</v>
      </c>
      <c r="R1112" s="77">
        <v>0</v>
      </c>
      <c r="S1112" s="77">
        <v>0</v>
      </c>
      <c r="T1112" s="77">
        <v>0</v>
      </c>
      <c r="U1112" s="77">
        <v>0</v>
      </c>
      <c r="V1112" s="77">
        <v>34</v>
      </c>
      <c r="W1112" s="82" t="s">
        <v>5335</v>
      </c>
      <c r="X1112" s="80" t="str">
        <f>HYPERLINK("https://www.freeclassificados.com/ads/por-que-todo-mundo-quer-saber-sobre-como-fazer-ganhar-dinheiro-na-internet-de-forma-gratuita/")</f>
        <v>https://www.freeclassificados.com/ads/por-que-todo-mundo-quer-saber-sobre-como-fazer-ganhar-dinheiro-na-internet-de-forma-gratuita/</v>
      </c>
      <c r="Y1112" s="77" t="s">
        <v>7308</v>
      </c>
      <c r="Z1112" s="77"/>
      <c r="AA1112" s="77"/>
      <c r="AB1112" s="77"/>
      <c r="AC1112" s="82" t="s">
        <v>10155</v>
      </c>
      <c r="AD1112" s="77" t="s">
        <v>10184</v>
      </c>
      <c r="AE1112" s="80" t="str">
        <f>HYPERLINK("https://twitter.com/freeclassific/status/1641585171634991105")</f>
        <v>https://twitter.com/freeclassific/status/1641585171634991105</v>
      </c>
      <c r="AF1112" s="79">
        <v>45015.983541666668</v>
      </c>
      <c r="AG1112" s="85">
        <v>45015</v>
      </c>
      <c r="AH1112" s="82" t="s">
        <v>11262</v>
      </c>
      <c r="AI1112" s="77" t="b">
        <v>0</v>
      </c>
      <c r="AJ1112" s="77"/>
      <c r="AK1112" s="77"/>
      <c r="AL1112" s="77"/>
      <c r="AM1112" s="77"/>
      <c r="AN1112" s="77"/>
      <c r="AO1112" s="77"/>
      <c r="AP1112" s="77"/>
      <c r="AQ1112" s="77"/>
      <c r="AR1112" s="77"/>
      <c r="AS1112" s="77"/>
      <c r="AT1112" s="77"/>
      <c r="AU1112" s="77"/>
      <c r="AV1112" s="80" t="str">
        <f>HYPERLINK("https://pbs.twimg.com/profile_images/1431648743728852993/tLJ7F5Lu_normal.png")</f>
        <v>https://pbs.twimg.com/profile_images/1431648743728852993/tLJ7F5Lu_normal.png</v>
      </c>
      <c r="AW1112" s="82" t="s">
        <v>17885</v>
      </c>
      <c r="AX1112" s="82" t="s">
        <v>17885</v>
      </c>
      <c r="AY1112" s="77"/>
      <c r="AZ1112" s="82" t="s">
        <v>20971</v>
      </c>
      <c r="BA1112" s="82" t="s">
        <v>20971</v>
      </c>
      <c r="BB1112" s="82" t="s">
        <v>20971</v>
      </c>
      <c r="BC1112" s="82" t="s">
        <v>17885</v>
      </c>
      <c r="BD1112" s="77">
        <v>489723814</v>
      </c>
      <c r="BE1112" s="77"/>
      <c r="BF1112" s="77"/>
      <c r="BG1112" s="77"/>
      <c r="BH1112" s="77"/>
      <c r="BI1112" s="77"/>
    </row>
    <row r="1113" spans="1:61" x14ac:dyDescent="0.25">
      <c r="A1113" s="62" t="s">
        <v>418</v>
      </c>
      <c r="B1113" s="62" t="s">
        <v>418</v>
      </c>
      <c r="C1113" s="63"/>
      <c r="D1113" s="64"/>
      <c r="E1113" s="65"/>
      <c r="F1113" s="66"/>
      <c r="G1113" s="63"/>
      <c r="H1113" s="67"/>
      <c r="I1113" s="68"/>
      <c r="J1113" s="68"/>
      <c r="K1113" s="32"/>
      <c r="L1113" s="75">
        <v>1113</v>
      </c>
      <c r="M1113" s="75"/>
      <c r="N1113" s="70"/>
      <c r="O1113" s="77" t="s">
        <v>179</v>
      </c>
      <c r="P1113" s="79">
        <v>45015.981053240743</v>
      </c>
      <c r="Q1113" s="77" t="s">
        <v>2026</v>
      </c>
      <c r="R1113" s="77">
        <v>0</v>
      </c>
      <c r="S1113" s="77">
        <v>0</v>
      </c>
      <c r="T1113" s="77">
        <v>0</v>
      </c>
      <c r="U1113" s="77">
        <v>0</v>
      </c>
      <c r="V1113" s="77">
        <v>16</v>
      </c>
      <c r="W1113" s="82" t="s">
        <v>5335</v>
      </c>
      <c r="X1113" s="80" t="str">
        <f>HYPERLINK("https://www.freeclassificados.com/ads/por-que-voce-deveria-conhecer-a-minha-pagina/")</f>
        <v>https://www.freeclassificados.com/ads/por-que-voce-deveria-conhecer-a-minha-pagina/</v>
      </c>
      <c r="Y1113" s="77" t="s">
        <v>7308</v>
      </c>
      <c r="Z1113" s="77"/>
      <c r="AA1113" s="77"/>
      <c r="AB1113" s="77"/>
      <c r="AC1113" s="82" t="s">
        <v>10155</v>
      </c>
      <c r="AD1113" s="77" t="s">
        <v>10184</v>
      </c>
      <c r="AE1113" s="80" t="str">
        <f>HYPERLINK("https://twitter.com/freeclassific/status/1641584269880627200")</f>
        <v>https://twitter.com/freeclassific/status/1641584269880627200</v>
      </c>
      <c r="AF1113" s="79">
        <v>45015.981053240743</v>
      </c>
      <c r="AG1113" s="85">
        <v>45015</v>
      </c>
      <c r="AH1113" s="82" t="s">
        <v>11263</v>
      </c>
      <c r="AI1113" s="77" t="b">
        <v>0</v>
      </c>
      <c r="AJ1113" s="77"/>
      <c r="AK1113" s="77"/>
      <c r="AL1113" s="77"/>
      <c r="AM1113" s="77"/>
      <c r="AN1113" s="77"/>
      <c r="AO1113" s="77"/>
      <c r="AP1113" s="77"/>
      <c r="AQ1113" s="77"/>
      <c r="AR1113" s="77"/>
      <c r="AS1113" s="77"/>
      <c r="AT1113" s="77"/>
      <c r="AU1113" s="77"/>
      <c r="AV1113" s="80" t="str">
        <f>HYPERLINK("https://pbs.twimg.com/profile_images/1431648743728852993/tLJ7F5Lu_normal.png")</f>
        <v>https://pbs.twimg.com/profile_images/1431648743728852993/tLJ7F5Lu_normal.png</v>
      </c>
      <c r="AW1113" s="82" t="s">
        <v>17886</v>
      </c>
      <c r="AX1113" s="82" t="s">
        <v>17886</v>
      </c>
      <c r="AY1113" s="77"/>
      <c r="AZ1113" s="82" t="s">
        <v>20971</v>
      </c>
      <c r="BA1113" s="82" t="s">
        <v>20971</v>
      </c>
      <c r="BB1113" s="82" t="s">
        <v>20971</v>
      </c>
      <c r="BC1113" s="82" t="s">
        <v>17886</v>
      </c>
      <c r="BD1113" s="77">
        <v>489723814</v>
      </c>
      <c r="BE1113" s="77"/>
      <c r="BF1113" s="77"/>
      <c r="BG1113" s="77"/>
      <c r="BH1113" s="77"/>
      <c r="BI1113" s="77"/>
    </row>
    <row r="1114" spans="1:61" x14ac:dyDescent="0.25">
      <c r="A1114" s="62" t="s">
        <v>418</v>
      </c>
      <c r="B1114" s="62" t="s">
        <v>418</v>
      </c>
      <c r="C1114" s="63"/>
      <c r="D1114" s="64"/>
      <c r="E1114" s="65"/>
      <c r="F1114" s="66"/>
      <c r="G1114" s="63"/>
      <c r="H1114" s="67"/>
      <c r="I1114" s="68"/>
      <c r="J1114" s="68"/>
      <c r="K1114" s="32"/>
      <c r="L1114" s="75">
        <v>1114</v>
      </c>
      <c r="M1114" s="75"/>
      <c r="N1114" s="70"/>
      <c r="O1114" s="77" t="s">
        <v>179</v>
      </c>
      <c r="P1114" s="79">
        <v>45015.946967592594</v>
      </c>
      <c r="Q1114" s="77" t="s">
        <v>2362</v>
      </c>
      <c r="R1114" s="77">
        <v>0</v>
      </c>
      <c r="S1114" s="77">
        <v>0</v>
      </c>
      <c r="T1114" s="77">
        <v>0</v>
      </c>
      <c r="U1114" s="77">
        <v>0</v>
      </c>
      <c r="V1114" s="77">
        <v>15</v>
      </c>
      <c r="W1114" s="82" t="s">
        <v>5335</v>
      </c>
      <c r="X1114" s="80" t="str">
        <f>HYPERLINK("https://www.freeclassificados.com/ads/apartamento-de-2-quartos-proximo-ao-mar-aproveite-a-brisa-do-oceano-em-seu-novo-lar/")</f>
        <v>https://www.freeclassificados.com/ads/apartamento-de-2-quartos-proximo-ao-mar-aproveite-a-brisa-do-oceano-em-seu-novo-lar/</v>
      </c>
      <c r="Y1114" s="77" t="s">
        <v>7308</v>
      </c>
      <c r="Z1114" s="77"/>
      <c r="AA1114" s="77"/>
      <c r="AB1114" s="77"/>
      <c r="AC1114" s="82" t="s">
        <v>10155</v>
      </c>
      <c r="AD1114" s="77" t="s">
        <v>10184</v>
      </c>
      <c r="AE1114" s="80" t="str">
        <f>HYPERLINK("https://twitter.com/freeclassific/status/1641571917441400832")</f>
        <v>https://twitter.com/freeclassific/status/1641571917441400832</v>
      </c>
      <c r="AF1114" s="79">
        <v>45015.946967592594</v>
      </c>
      <c r="AG1114" s="85">
        <v>45015</v>
      </c>
      <c r="AH1114" s="82" t="s">
        <v>11264</v>
      </c>
      <c r="AI1114" s="77" t="b">
        <v>0</v>
      </c>
      <c r="AJ1114" s="77"/>
      <c r="AK1114" s="77"/>
      <c r="AL1114" s="77"/>
      <c r="AM1114" s="77"/>
      <c r="AN1114" s="77"/>
      <c r="AO1114" s="77"/>
      <c r="AP1114" s="77"/>
      <c r="AQ1114" s="77"/>
      <c r="AR1114" s="77"/>
      <c r="AS1114" s="77"/>
      <c r="AT1114" s="77"/>
      <c r="AU1114" s="77"/>
      <c r="AV1114" s="80" t="str">
        <f>HYPERLINK("https://pbs.twimg.com/profile_images/1431648743728852993/tLJ7F5Lu_normal.png")</f>
        <v>https://pbs.twimg.com/profile_images/1431648743728852993/tLJ7F5Lu_normal.png</v>
      </c>
      <c r="AW1114" s="82" t="s">
        <v>17887</v>
      </c>
      <c r="AX1114" s="82" t="s">
        <v>17887</v>
      </c>
      <c r="AY1114" s="77"/>
      <c r="AZ1114" s="82" t="s">
        <v>20971</v>
      </c>
      <c r="BA1114" s="82" t="s">
        <v>20971</v>
      </c>
      <c r="BB1114" s="82" t="s">
        <v>20971</v>
      </c>
      <c r="BC1114" s="82" t="s">
        <v>17887</v>
      </c>
      <c r="BD1114" s="77">
        <v>489723814</v>
      </c>
      <c r="BE1114" s="77"/>
      <c r="BF1114" s="77"/>
      <c r="BG1114" s="77"/>
      <c r="BH1114" s="77"/>
      <c r="BI1114" s="77"/>
    </row>
    <row r="1115" spans="1:61" x14ac:dyDescent="0.25">
      <c r="A1115" s="62" t="s">
        <v>418</v>
      </c>
      <c r="B1115" s="62" t="s">
        <v>418</v>
      </c>
      <c r="C1115" s="63"/>
      <c r="D1115" s="64"/>
      <c r="E1115" s="65"/>
      <c r="F1115" s="66"/>
      <c r="G1115" s="63"/>
      <c r="H1115" s="67"/>
      <c r="I1115" s="68"/>
      <c r="J1115" s="68"/>
      <c r="K1115" s="32"/>
      <c r="L1115" s="75">
        <v>1115</v>
      </c>
      <c r="M1115" s="75"/>
      <c r="N1115" s="70"/>
      <c r="O1115" s="77" t="s">
        <v>179</v>
      </c>
      <c r="P1115" s="79">
        <v>45015.800243055557</v>
      </c>
      <c r="Q1115" s="77" t="s">
        <v>2363</v>
      </c>
      <c r="R1115" s="77">
        <v>0</v>
      </c>
      <c r="S1115" s="77">
        <v>0</v>
      </c>
      <c r="T1115" s="77">
        <v>0</v>
      </c>
      <c r="U1115" s="77">
        <v>0</v>
      </c>
      <c r="V1115" s="77">
        <v>56</v>
      </c>
      <c r="W1115" s="82" t="s">
        <v>5335</v>
      </c>
      <c r="X1115" s="80" t="str">
        <f>HYPERLINK("https://www.freeclassificados.com/ads/tv-box-homologado-tvl-vitalicio-de-verdade/")</f>
        <v>https://www.freeclassificados.com/ads/tv-box-homologado-tvl-vitalicio-de-verdade/</v>
      </c>
      <c r="Y1115" s="77" t="s">
        <v>7308</v>
      </c>
      <c r="Z1115" s="77"/>
      <c r="AA1115" s="77"/>
      <c r="AB1115" s="77"/>
      <c r="AC1115" s="82" t="s">
        <v>10155</v>
      </c>
      <c r="AD1115" s="77" t="s">
        <v>10184</v>
      </c>
      <c r="AE1115" s="80" t="str">
        <f>HYPERLINK("https://twitter.com/freeclassific/status/1641518746975215616")</f>
        <v>https://twitter.com/freeclassific/status/1641518746975215616</v>
      </c>
      <c r="AF1115" s="79">
        <v>45015.800243055557</v>
      </c>
      <c r="AG1115" s="85">
        <v>45015</v>
      </c>
      <c r="AH1115" s="82" t="s">
        <v>11265</v>
      </c>
      <c r="AI1115" s="77" t="b">
        <v>0</v>
      </c>
      <c r="AJ1115" s="77"/>
      <c r="AK1115" s="77"/>
      <c r="AL1115" s="77"/>
      <c r="AM1115" s="77"/>
      <c r="AN1115" s="77"/>
      <c r="AO1115" s="77"/>
      <c r="AP1115" s="77"/>
      <c r="AQ1115" s="77"/>
      <c r="AR1115" s="77"/>
      <c r="AS1115" s="77"/>
      <c r="AT1115" s="77"/>
      <c r="AU1115" s="77"/>
      <c r="AV1115" s="80" t="str">
        <f>HYPERLINK("https://pbs.twimg.com/profile_images/1431648743728852993/tLJ7F5Lu_normal.png")</f>
        <v>https://pbs.twimg.com/profile_images/1431648743728852993/tLJ7F5Lu_normal.png</v>
      </c>
      <c r="AW1115" s="82" t="s">
        <v>17888</v>
      </c>
      <c r="AX1115" s="82" t="s">
        <v>17888</v>
      </c>
      <c r="AY1115" s="77"/>
      <c r="AZ1115" s="82" t="s">
        <v>20971</v>
      </c>
      <c r="BA1115" s="82" t="s">
        <v>20971</v>
      </c>
      <c r="BB1115" s="82" t="s">
        <v>20971</v>
      </c>
      <c r="BC1115" s="82" t="s">
        <v>17888</v>
      </c>
      <c r="BD1115" s="77">
        <v>489723814</v>
      </c>
      <c r="BE1115" s="77"/>
      <c r="BF1115" s="77"/>
      <c r="BG1115" s="77"/>
      <c r="BH1115" s="77"/>
      <c r="BI1115" s="77"/>
    </row>
    <row r="1116" spans="1:61" x14ac:dyDescent="0.25">
      <c r="A1116" s="62" t="s">
        <v>418</v>
      </c>
      <c r="B1116" s="62" t="s">
        <v>418</v>
      </c>
      <c r="C1116" s="63"/>
      <c r="D1116" s="64"/>
      <c r="E1116" s="65"/>
      <c r="F1116" s="66"/>
      <c r="G1116" s="63"/>
      <c r="H1116" s="67"/>
      <c r="I1116" s="68"/>
      <c r="J1116" s="68"/>
      <c r="K1116" s="32"/>
      <c r="L1116" s="75">
        <v>1116</v>
      </c>
      <c r="M1116" s="75"/>
      <c r="N1116" s="70"/>
      <c r="O1116" s="77" t="s">
        <v>179</v>
      </c>
      <c r="P1116" s="79">
        <v>44998.804837962962</v>
      </c>
      <c r="Q1116" s="77" t="s">
        <v>2364</v>
      </c>
      <c r="R1116" s="77">
        <v>0</v>
      </c>
      <c r="S1116" s="77">
        <v>0</v>
      </c>
      <c r="T1116" s="77">
        <v>0</v>
      </c>
      <c r="U1116" s="77">
        <v>0</v>
      </c>
      <c r="V1116" s="77">
        <v>7</v>
      </c>
      <c r="W1116" s="82" t="s">
        <v>5335</v>
      </c>
      <c r="X1116" s="80" t="str">
        <f>HYPERLINK("https://www.freeclassificados.com/ads/sacolas-plasticas-personalizadas/")</f>
        <v>https://www.freeclassificados.com/ads/sacolas-plasticas-personalizadas/</v>
      </c>
      <c r="Y1116" s="77" t="s">
        <v>7308</v>
      </c>
      <c r="Z1116" s="77"/>
      <c r="AA1116" s="77"/>
      <c r="AB1116" s="77"/>
      <c r="AC1116" s="82" t="s">
        <v>10155</v>
      </c>
      <c r="AD1116" s="77" t="s">
        <v>10187</v>
      </c>
      <c r="AE1116" s="80" t="str">
        <f>HYPERLINK("https://twitter.com/freeclassific/status/1635359816666456065")</f>
        <v>https://twitter.com/freeclassific/status/1635359816666456065</v>
      </c>
      <c r="AF1116" s="79">
        <v>44998.804837962962</v>
      </c>
      <c r="AG1116" s="85">
        <v>44998</v>
      </c>
      <c r="AH1116" s="82" t="s">
        <v>11266</v>
      </c>
      <c r="AI1116" s="77" t="b">
        <v>0</v>
      </c>
      <c r="AJ1116" s="77"/>
      <c r="AK1116" s="77"/>
      <c r="AL1116" s="77"/>
      <c r="AM1116" s="77"/>
      <c r="AN1116" s="77"/>
      <c r="AO1116" s="77"/>
      <c r="AP1116" s="77"/>
      <c r="AQ1116" s="77"/>
      <c r="AR1116" s="77"/>
      <c r="AS1116" s="77"/>
      <c r="AT1116" s="77"/>
      <c r="AU1116" s="77"/>
      <c r="AV1116" s="80" t="str">
        <f>HYPERLINK("https://pbs.twimg.com/profile_images/1431648743728852993/tLJ7F5Lu_normal.png")</f>
        <v>https://pbs.twimg.com/profile_images/1431648743728852993/tLJ7F5Lu_normal.png</v>
      </c>
      <c r="AW1116" s="82" t="s">
        <v>17889</v>
      </c>
      <c r="AX1116" s="82" t="s">
        <v>17889</v>
      </c>
      <c r="AY1116" s="77"/>
      <c r="AZ1116" s="82" t="s">
        <v>20971</v>
      </c>
      <c r="BA1116" s="82" t="s">
        <v>20971</v>
      </c>
      <c r="BB1116" s="82" t="s">
        <v>20971</v>
      </c>
      <c r="BC1116" s="82" t="s">
        <v>17889</v>
      </c>
      <c r="BD1116" s="77">
        <v>489723814</v>
      </c>
      <c r="BE1116" s="77"/>
      <c r="BF1116" s="77"/>
      <c r="BG1116" s="77"/>
      <c r="BH1116" s="77"/>
      <c r="BI1116" s="77"/>
    </row>
    <row r="1117" spans="1:61" x14ac:dyDescent="0.25">
      <c r="A1117" s="62" t="s">
        <v>418</v>
      </c>
      <c r="B1117" s="62" t="s">
        <v>418</v>
      </c>
      <c r="C1117" s="63"/>
      <c r="D1117" s="64"/>
      <c r="E1117" s="65"/>
      <c r="F1117" s="66"/>
      <c r="G1117" s="63"/>
      <c r="H1117" s="67"/>
      <c r="I1117" s="68"/>
      <c r="J1117" s="68"/>
      <c r="K1117" s="32"/>
      <c r="L1117" s="75">
        <v>1117</v>
      </c>
      <c r="M1117" s="75"/>
      <c r="N1117" s="70"/>
      <c r="O1117" s="77" t="s">
        <v>179</v>
      </c>
      <c r="P1117" s="79">
        <v>44998.801134259258</v>
      </c>
      <c r="Q1117" s="77" t="s">
        <v>1938</v>
      </c>
      <c r="R1117" s="77">
        <v>0</v>
      </c>
      <c r="S1117" s="77">
        <v>0</v>
      </c>
      <c r="T1117" s="77">
        <v>0</v>
      </c>
      <c r="U1117" s="77">
        <v>0</v>
      </c>
      <c r="V1117" s="77">
        <v>7</v>
      </c>
      <c r="W1117" s="82" t="s">
        <v>5335</v>
      </c>
      <c r="X1117" s="80" t="str">
        <f>HYPERLINK("https://www.freeclassificados.com/ads/palco-coberta-som-luz-alugo-palco-aluguel-tablado-de-vidro-palco-madeira-9-86-25-98-82/")</f>
        <v>https://www.freeclassificados.com/ads/palco-coberta-som-luz-alugo-palco-aluguel-tablado-de-vidro-palco-madeira-9-86-25-98-82/</v>
      </c>
      <c r="Y1117" s="77" t="s">
        <v>7308</v>
      </c>
      <c r="Z1117" s="77"/>
      <c r="AA1117" s="77"/>
      <c r="AB1117" s="77"/>
      <c r="AC1117" s="82" t="s">
        <v>10155</v>
      </c>
      <c r="AD1117" s="77" t="s">
        <v>10184</v>
      </c>
      <c r="AE1117" s="80" t="str">
        <f>HYPERLINK("https://twitter.com/freeclassific/status/1635358475734892544")</f>
        <v>https://twitter.com/freeclassific/status/1635358475734892544</v>
      </c>
      <c r="AF1117" s="79">
        <v>44998.801134259258</v>
      </c>
      <c r="AG1117" s="85">
        <v>44998</v>
      </c>
      <c r="AH1117" s="82" t="s">
        <v>11267</v>
      </c>
      <c r="AI1117" s="77" t="b">
        <v>0</v>
      </c>
      <c r="AJ1117" s="77"/>
      <c r="AK1117" s="77"/>
      <c r="AL1117" s="77"/>
      <c r="AM1117" s="77"/>
      <c r="AN1117" s="77"/>
      <c r="AO1117" s="77"/>
      <c r="AP1117" s="77"/>
      <c r="AQ1117" s="77"/>
      <c r="AR1117" s="77"/>
      <c r="AS1117" s="77"/>
      <c r="AT1117" s="77"/>
      <c r="AU1117" s="77"/>
      <c r="AV1117" s="80" t="str">
        <f>HYPERLINK("https://pbs.twimg.com/profile_images/1431648743728852993/tLJ7F5Lu_normal.png")</f>
        <v>https://pbs.twimg.com/profile_images/1431648743728852993/tLJ7F5Lu_normal.png</v>
      </c>
      <c r="AW1117" s="82" t="s">
        <v>17890</v>
      </c>
      <c r="AX1117" s="82" t="s">
        <v>17890</v>
      </c>
      <c r="AY1117" s="77"/>
      <c r="AZ1117" s="82" t="s">
        <v>20971</v>
      </c>
      <c r="BA1117" s="82" t="s">
        <v>20971</v>
      </c>
      <c r="BB1117" s="82" t="s">
        <v>20971</v>
      </c>
      <c r="BC1117" s="82" t="s">
        <v>17890</v>
      </c>
      <c r="BD1117" s="77">
        <v>489723814</v>
      </c>
      <c r="BE1117" s="77"/>
      <c r="BF1117" s="77"/>
      <c r="BG1117" s="77"/>
      <c r="BH1117" s="77"/>
      <c r="BI1117" s="77"/>
    </row>
    <row r="1118" spans="1:61" x14ac:dyDescent="0.25">
      <c r="A1118" s="62" t="s">
        <v>418</v>
      </c>
      <c r="B1118" s="62" t="s">
        <v>418</v>
      </c>
      <c r="C1118" s="63"/>
      <c r="D1118" s="64"/>
      <c r="E1118" s="65"/>
      <c r="F1118" s="66"/>
      <c r="G1118" s="63"/>
      <c r="H1118" s="67"/>
      <c r="I1118" s="68"/>
      <c r="J1118" s="68"/>
      <c r="K1118" s="32"/>
      <c r="L1118" s="75">
        <v>1118</v>
      </c>
      <c r="M1118" s="75"/>
      <c r="N1118" s="70"/>
      <c r="O1118" s="77" t="s">
        <v>179</v>
      </c>
      <c r="P1118" s="79">
        <v>44996.73746527778</v>
      </c>
      <c r="Q1118" s="77" t="s">
        <v>2365</v>
      </c>
      <c r="R1118" s="77">
        <v>0</v>
      </c>
      <c r="S1118" s="77">
        <v>1</v>
      </c>
      <c r="T1118" s="77">
        <v>1</v>
      </c>
      <c r="U1118" s="77">
        <v>0</v>
      </c>
      <c r="V1118" s="77">
        <v>65</v>
      </c>
      <c r="W1118" s="82" t="s">
        <v>5335</v>
      </c>
      <c r="X1118" s="80" t="str">
        <f>HYPERLINK("https://www.freeclassificados.com/ads/vendo-gabarito-concurso-publico-caixa-economica-gabarito-vendashotmail-com/")</f>
        <v>https://www.freeclassificados.com/ads/vendo-gabarito-concurso-publico-caixa-economica-gabarito-vendashotmail-com/</v>
      </c>
      <c r="Y1118" s="77" t="s">
        <v>7308</v>
      </c>
      <c r="Z1118" s="77"/>
      <c r="AA1118" s="77"/>
      <c r="AB1118" s="77"/>
      <c r="AC1118" s="82" t="s">
        <v>10155</v>
      </c>
      <c r="AD1118" s="77" t="s">
        <v>10184</v>
      </c>
      <c r="AE1118" s="80" t="str">
        <f>HYPERLINK("https://twitter.com/freeclassific/status/1634610627925909504")</f>
        <v>https://twitter.com/freeclassific/status/1634610627925909504</v>
      </c>
      <c r="AF1118" s="79">
        <v>44996.73746527778</v>
      </c>
      <c r="AG1118" s="85">
        <v>44996</v>
      </c>
      <c r="AH1118" s="82" t="s">
        <v>11268</v>
      </c>
      <c r="AI1118" s="77" t="b">
        <v>0</v>
      </c>
      <c r="AJ1118" s="77"/>
      <c r="AK1118" s="77"/>
      <c r="AL1118" s="77"/>
      <c r="AM1118" s="77"/>
      <c r="AN1118" s="77"/>
      <c r="AO1118" s="77"/>
      <c r="AP1118" s="77"/>
      <c r="AQ1118" s="77"/>
      <c r="AR1118" s="77"/>
      <c r="AS1118" s="77"/>
      <c r="AT1118" s="77"/>
      <c r="AU1118" s="77"/>
      <c r="AV1118" s="80" t="str">
        <f>HYPERLINK("https://pbs.twimg.com/profile_images/1431648743728852993/tLJ7F5Lu_normal.png")</f>
        <v>https://pbs.twimg.com/profile_images/1431648743728852993/tLJ7F5Lu_normal.png</v>
      </c>
      <c r="AW1118" s="82" t="s">
        <v>17891</v>
      </c>
      <c r="AX1118" s="82" t="s">
        <v>17891</v>
      </c>
      <c r="AY1118" s="77"/>
      <c r="AZ1118" s="82" t="s">
        <v>20971</v>
      </c>
      <c r="BA1118" s="82" t="s">
        <v>20971</v>
      </c>
      <c r="BB1118" s="82" t="s">
        <v>20971</v>
      </c>
      <c r="BC1118" s="82" t="s">
        <v>17891</v>
      </c>
      <c r="BD1118" s="77">
        <v>489723814</v>
      </c>
      <c r="BE1118" s="77"/>
      <c r="BF1118" s="77"/>
      <c r="BG1118" s="77"/>
      <c r="BH1118" s="77"/>
      <c r="BI1118" s="77"/>
    </row>
    <row r="1119" spans="1:61" x14ac:dyDescent="0.25">
      <c r="A1119" s="62" t="s">
        <v>418</v>
      </c>
      <c r="B1119" s="62" t="s">
        <v>418</v>
      </c>
      <c r="C1119" s="63"/>
      <c r="D1119" s="64"/>
      <c r="E1119" s="65"/>
      <c r="F1119" s="66"/>
      <c r="G1119" s="63"/>
      <c r="H1119" s="67"/>
      <c r="I1119" s="68"/>
      <c r="J1119" s="68"/>
      <c r="K1119" s="32"/>
      <c r="L1119" s="75">
        <v>1119</v>
      </c>
      <c r="M1119" s="75"/>
      <c r="N1119" s="70"/>
      <c r="O1119" s="77" t="s">
        <v>179</v>
      </c>
      <c r="P1119" s="79">
        <v>44996.737303240741</v>
      </c>
      <c r="Q1119" s="77" t="s">
        <v>2366</v>
      </c>
      <c r="R1119" s="77">
        <v>0</v>
      </c>
      <c r="S1119" s="77">
        <v>0</v>
      </c>
      <c r="T1119" s="77">
        <v>0</v>
      </c>
      <c r="U1119" s="77">
        <v>0</v>
      </c>
      <c r="V1119" s="77">
        <v>53</v>
      </c>
      <c r="W1119" s="82" t="s">
        <v>5335</v>
      </c>
      <c r="X1119" s="80" t="str">
        <f>HYPERLINK("https://www.freeclassificados.com/ads/vendo-gabarito-para-concurso-publico-gabarito-vendashotmail-com/")</f>
        <v>https://www.freeclassificados.com/ads/vendo-gabarito-para-concurso-publico-gabarito-vendashotmail-com/</v>
      </c>
      <c r="Y1119" s="77" t="s">
        <v>7308</v>
      </c>
      <c r="Z1119" s="77"/>
      <c r="AA1119" s="77"/>
      <c r="AB1119" s="77"/>
      <c r="AC1119" s="82" t="s">
        <v>10155</v>
      </c>
      <c r="AD1119" s="77" t="s">
        <v>10184</v>
      </c>
      <c r="AE1119" s="80" t="str">
        <f>HYPERLINK("https://twitter.com/freeclassific/status/1634610568039653376")</f>
        <v>https://twitter.com/freeclassific/status/1634610568039653376</v>
      </c>
      <c r="AF1119" s="79">
        <v>44996.737303240741</v>
      </c>
      <c r="AG1119" s="85">
        <v>44996</v>
      </c>
      <c r="AH1119" s="82" t="s">
        <v>11269</v>
      </c>
      <c r="AI1119" s="77" t="b">
        <v>0</v>
      </c>
      <c r="AJ1119" s="77"/>
      <c r="AK1119" s="77"/>
      <c r="AL1119" s="77"/>
      <c r="AM1119" s="77"/>
      <c r="AN1119" s="77"/>
      <c r="AO1119" s="77"/>
      <c r="AP1119" s="77"/>
      <c r="AQ1119" s="77"/>
      <c r="AR1119" s="77"/>
      <c r="AS1119" s="77"/>
      <c r="AT1119" s="77"/>
      <c r="AU1119" s="77"/>
      <c r="AV1119" s="80" t="str">
        <f>HYPERLINK("https://pbs.twimg.com/profile_images/1431648743728852993/tLJ7F5Lu_normal.png")</f>
        <v>https://pbs.twimg.com/profile_images/1431648743728852993/tLJ7F5Lu_normal.png</v>
      </c>
      <c r="AW1119" s="82" t="s">
        <v>17892</v>
      </c>
      <c r="AX1119" s="82" t="s">
        <v>17892</v>
      </c>
      <c r="AY1119" s="77"/>
      <c r="AZ1119" s="82" t="s">
        <v>20971</v>
      </c>
      <c r="BA1119" s="82" t="s">
        <v>20971</v>
      </c>
      <c r="BB1119" s="82" t="s">
        <v>20971</v>
      </c>
      <c r="BC1119" s="82" t="s">
        <v>17892</v>
      </c>
      <c r="BD1119" s="77">
        <v>489723814</v>
      </c>
      <c r="BE1119" s="77"/>
      <c r="BF1119" s="77"/>
      <c r="BG1119" s="77"/>
      <c r="BH1119" s="77"/>
      <c r="BI1119" s="77"/>
    </row>
    <row r="1120" spans="1:61" x14ac:dyDescent="0.25">
      <c r="A1120" s="62" t="s">
        <v>418</v>
      </c>
      <c r="B1120" s="62" t="s">
        <v>418</v>
      </c>
      <c r="C1120" s="63"/>
      <c r="D1120" s="64"/>
      <c r="E1120" s="65"/>
      <c r="F1120" s="66"/>
      <c r="G1120" s="63"/>
      <c r="H1120" s="67"/>
      <c r="I1120" s="68"/>
      <c r="J1120" s="68"/>
      <c r="K1120" s="32"/>
      <c r="L1120" s="75">
        <v>1120</v>
      </c>
      <c r="M1120" s="75"/>
      <c r="N1120" s="70"/>
      <c r="O1120" s="77" t="s">
        <v>179</v>
      </c>
      <c r="P1120" s="79">
        <v>44995.679085648146</v>
      </c>
      <c r="Q1120" s="77" t="s">
        <v>2367</v>
      </c>
      <c r="R1120" s="77">
        <v>0</v>
      </c>
      <c r="S1120" s="77">
        <v>0</v>
      </c>
      <c r="T1120" s="77">
        <v>0</v>
      </c>
      <c r="U1120" s="77">
        <v>0</v>
      </c>
      <c r="V1120" s="77">
        <v>8</v>
      </c>
      <c r="W1120" s="82" t="s">
        <v>5335</v>
      </c>
      <c r="X1120" s="80" t="str">
        <f>HYPERLINK("https://www.freeclassificados.com/ads/comprovado-indicou-vendeu-recebeu-simples-assim/")</f>
        <v>https://www.freeclassificados.com/ads/comprovado-indicou-vendeu-recebeu-simples-assim/</v>
      </c>
      <c r="Y1120" s="77" t="s">
        <v>7308</v>
      </c>
      <c r="Z1120" s="77"/>
      <c r="AA1120" s="77"/>
      <c r="AB1120" s="77"/>
      <c r="AC1120" s="82" t="s">
        <v>10155</v>
      </c>
      <c r="AD1120" s="77" t="s">
        <v>10184</v>
      </c>
      <c r="AE1120" s="80" t="str">
        <f>HYPERLINK("https://twitter.com/freeclassific/status/1634227081000390656")</f>
        <v>https://twitter.com/freeclassific/status/1634227081000390656</v>
      </c>
      <c r="AF1120" s="79">
        <v>44995.679085648146</v>
      </c>
      <c r="AG1120" s="85">
        <v>44995</v>
      </c>
      <c r="AH1120" s="82" t="s">
        <v>11177</v>
      </c>
      <c r="AI1120" s="77" t="b">
        <v>0</v>
      </c>
      <c r="AJ1120" s="77"/>
      <c r="AK1120" s="77"/>
      <c r="AL1120" s="77"/>
      <c r="AM1120" s="77"/>
      <c r="AN1120" s="77"/>
      <c r="AO1120" s="77"/>
      <c r="AP1120" s="77"/>
      <c r="AQ1120" s="77"/>
      <c r="AR1120" s="77"/>
      <c r="AS1120" s="77"/>
      <c r="AT1120" s="77"/>
      <c r="AU1120" s="77"/>
      <c r="AV1120" s="80" t="str">
        <f>HYPERLINK("https://pbs.twimg.com/profile_images/1431648743728852993/tLJ7F5Lu_normal.png")</f>
        <v>https://pbs.twimg.com/profile_images/1431648743728852993/tLJ7F5Lu_normal.png</v>
      </c>
      <c r="AW1120" s="82" t="s">
        <v>17893</v>
      </c>
      <c r="AX1120" s="82" t="s">
        <v>17893</v>
      </c>
      <c r="AY1120" s="77"/>
      <c r="AZ1120" s="82" t="s">
        <v>20971</v>
      </c>
      <c r="BA1120" s="82" t="s">
        <v>20971</v>
      </c>
      <c r="BB1120" s="82" t="s">
        <v>20971</v>
      </c>
      <c r="BC1120" s="82" t="s">
        <v>17893</v>
      </c>
      <c r="BD1120" s="77">
        <v>489723814</v>
      </c>
      <c r="BE1120" s="77"/>
      <c r="BF1120" s="77"/>
      <c r="BG1120" s="77"/>
      <c r="BH1120" s="77"/>
      <c r="BI1120" s="77"/>
    </row>
    <row r="1121" spans="1:61" x14ac:dyDescent="0.25">
      <c r="A1121" s="62" t="s">
        <v>418</v>
      </c>
      <c r="B1121" s="62" t="s">
        <v>418</v>
      </c>
      <c r="C1121" s="63"/>
      <c r="D1121" s="64"/>
      <c r="E1121" s="65"/>
      <c r="F1121" s="66"/>
      <c r="G1121" s="63"/>
      <c r="H1121" s="67"/>
      <c r="I1121" s="68"/>
      <c r="J1121" s="68"/>
      <c r="K1121" s="32"/>
      <c r="L1121" s="75">
        <v>1121</v>
      </c>
      <c r="M1121" s="75"/>
      <c r="N1121" s="70"/>
      <c r="O1121" s="77" t="s">
        <v>179</v>
      </c>
      <c r="P1121" s="79">
        <v>44995.555162037039</v>
      </c>
      <c r="Q1121" s="77" t="s">
        <v>2368</v>
      </c>
      <c r="R1121" s="77">
        <v>0</v>
      </c>
      <c r="S1121" s="77">
        <v>0</v>
      </c>
      <c r="T1121" s="77">
        <v>0</v>
      </c>
      <c r="U1121" s="77">
        <v>0</v>
      </c>
      <c r="V1121" s="77">
        <v>13</v>
      </c>
      <c r="W1121" s="82" t="s">
        <v>5335</v>
      </c>
      <c r="X1121" s="80" t="str">
        <f>HYPERLINK("https://www.freeclassificados.com/ads/kit-com-6-calcinhas-fio-duplocintura-alta/")</f>
        <v>https://www.freeclassificados.com/ads/kit-com-6-calcinhas-fio-duplocintura-alta/</v>
      </c>
      <c r="Y1121" s="77" t="s">
        <v>7308</v>
      </c>
      <c r="Z1121" s="77"/>
      <c r="AA1121" s="77"/>
      <c r="AB1121" s="77"/>
      <c r="AC1121" s="82" t="s">
        <v>10155</v>
      </c>
      <c r="AD1121" s="77" t="s">
        <v>10184</v>
      </c>
      <c r="AE1121" s="80" t="str">
        <f>HYPERLINK("https://twitter.com/freeclassific/status/1634182173854138369")</f>
        <v>https://twitter.com/freeclassific/status/1634182173854138369</v>
      </c>
      <c r="AF1121" s="79">
        <v>44995.555162037039</v>
      </c>
      <c r="AG1121" s="85">
        <v>44995</v>
      </c>
      <c r="AH1121" s="82" t="s">
        <v>11270</v>
      </c>
      <c r="AI1121" s="77" t="b">
        <v>0</v>
      </c>
      <c r="AJ1121" s="77"/>
      <c r="AK1121" s="77"/>
      <c r="AL1121" s="77"/>
      <c r="AM1121" s="77"/>
      <c r="AN1121" s="77"/>
      <c r="AO1121" s="77"/>
      <c r="AP1121" s="77"/>
      <c r="AQ1121" s="77"/>
      <c r="AR1121" s="77"/>
      <c r="AS1121" s="77"/>
      <c r="AT1121" s="77"/>
      <c r="AU1121" s="77"/>
      <c r="AV1121" s="80" t="str">
        <f>HYPERLINK("https://pbs.twimg.com/profile_images/1431648743728852993/tLJ7F5Lu_normal.png")</f>
        <v>https://pbs.twimg.com/profile_images/1431648743728852993/tLJ7F5Lu_normal.png</v>
      </c>
      <c r="AW1121" s="82" t="s">
        <v>17894</v>
      </c>
      <c r="AX1121" s="82" t="s">
        <v>17894</v>
      </c>
      <c r="AY1121" s="77"/>
      <c r="AZ1121" s="82" t="s">
        <v>20971</v>
      </c>
      <c r="BA1121" s="82" t="s">
        <v>20971</v>
      </c>
      <c r="BB1121" s="82" t="s">
        <v>20971</v>
      </c>
      <c r="BC1121" s="82" t="s">
        <v>17894</v>
      </c>
      <c r="BD1121" s="77">
        <v>489723814</v>
      </c>
      <c r="BE1121" s="77"/>
      <c r="BF1121" s="77"/>
      <c r="BG1121" s="77"/>
      <c r="BH1121" s="77"/>
      <c r="BI1121" s="77"/>
    </row>
    <row r="1122" spans="1:61" x14ac:dyDescent="0.25">
      <c r="A1122" s="62" t="s">
        <v>418</v>
      </c>
      <c r="B1122" s="62" t="s">
        <v>418</v>
      </c>
      <c r="C1122" s="63"/>
      <c r="D1122" s="64"/>
      <c r="E1122" s="65"/>
      <c r="F1122" s="66"/>
      <c r="G1122" s="63"/>
      <c r="H1122" s="67"/>
      <c r="I1122" s="68"/>
      <c r="J1122" s="68"/>
      <c r="K1122" s="32"/>
      <c r="L1122" s="75">
        <v>1122</v>
      </c>
      <c r="M1122" s="75"/>
      <c r="N1122" s="70"/>
      <c r="O1122" s="77" t="s">
        <v>179</v>
      </c>
      <c r="P1122" s="79">
        <v>44994.961631944447</v>
      </c>
      <c r="Q1122" s="77" t="s">
        <v>2368</v>
      </c>
      <c r="R1122" s="77">
        <v>0</v>
      </c>
      <c r="S1122" s="77">
        <v>0</v>
      </c>
      <c r="T1122" s="77">
        <v>0</v>
      </c>
      <c r="U1122" s="77">
        <v>0</v>
      </c>
      <c r="V1122" s="77">
        <v>14</v>
      </c>
      <c r="W1122" s="82" t="s">
        <v>5335</v>
      </c>
      <c r="X1122" s="80" t="str">
        <f>HYPERLINK("https://www.freeclassificados.com/ads/kit-com-6-calcinhas-fio-duplocintura-alta/")</f>
        <v>https://www.freeclassificados.com/ads/kit-com-6-calcinhas-fio-duplocintura-alta/</v>
      </c>
      <c r="Y1122" s="77" t="s">
        <v>7308</v>
      </c>
      <c r="Z1122" s="77"/>
      <c r="AA1122" s="77"/>
      <c r="AB1122" s="77"/>
      <c r="AC1122" s="82" t="s">
        <v>10155</v>
      </c>
      <c r="AD1122" s="77" t="s">
        <v>10184</v>
      </c>
      <c r="AE1122" s="80" t="str">
        <f>HYPERLINK("https://twitter.com/freeclassific/status/1633967086786744321")</f>
        <v>https://twitter.com/freeclassific/status/1633967086786744321</v>
      </c>
      <c r="AF1122" s="79">
        <v>44994.961631944447</v>
      </c>
      <c r="AG1122" s="85">
        <v>44994</v>
      </c>
      <c r="AH1122" s="82" t="s">
        <v>11271</v>
      </c>
      <c r="AI1122" s="77" t="b">
        <v>0</v>
      </c>
      <c r="AJ1122" s="77"/>
      <c r="AK1122" s="77"/>
      <c r="AL1122" s="77"/>
      <c r="AM1122" s="77"/>
      <c r="AN1122" s="77"/>
      <c r="AO1122" s="77"/>
      <c r="AP1122" s="77"/>
      <c r="AQ1122" s="77"/>
      <c r="AR1122" s="77"/>
      <c r="AS1122" s="77"/>
      <c r="AT1122" s="77"/>
      <c r="AU1122" s="77"/>
      <c r="AV1122" s="80" t="str">
        <f>HYPERLINK("https://pbs.twimg.com/profile_images/1431648743728852993/tLJ7F5Lu_normal.png")</f>
        <v>https://pbs.twimg.com/profile_images/1431648743728852993/tLJ7F5Lu_normal.png</v>
      </c>
      <c r="AW1122" s="82" t="s">
        <v>17895</v>
      </c>
      <c r="AX1122" s="82" t="s">
        <v>17895</v>
      </c>
      <c r="AY1122" s="77"/>
      <c r="AZ1122" s="82" t="s">
        <v>20971</v>
      </c>
      <c r="BA1122" s="82" t="s">
        <v>20971</v>
      </c>
      <c r="BB1122" s="82" t="s">
        <v>20971</v>
      </c>
      <c r="BC1122" s="82" t="s">
        <v>17895</v>
      </c>
      <c r="BD1122" s="77">
        <v>489723814</v>
      </c>
      <c r="BE1122" s="77"/>
      <c r="BF1122" s="77"/>
      <c r="BG1122" s="77"/>
      <c r="BH1122" s="77"/>
      <c r="BI1122" s="77"/>
    </row>
    <row r="1123" spans="1:61" x14ac:dyDescent="0.25">
      <c r="A1123" s="62" t="s">
        <v>418</v>
      </c>
      <c r="B1123" s="62" t="s">
        <v>418</v>
      </c>
      <c r="C1123" s="63"/>
      <c r="D1123" s="64"/>
      <c r="E1123" s="65"/>
      <c r="F1123" s="66"/>
      <c r="G1123" s="63"/>
      <c r="H1123" s="67"/>
      <c r="I1123" s="68"/>
      <c r="J1123" s="68"/>
      <c r="K1123" s="32"/>
      <c r="L1123" s="75">
        <v>1123</v>
      </c>
      <c r="M1123" s="75"/>
      <c r="N1123" s="70"/>
      <c r="O1123" s="77" t="s">
        <v>179</v>
      </c>
      <c r="P1123" s="79">
        <v>44994.65761574074</v>
      </c>
      <c r="Q1123" s="77" t="s">
        <v>2369</v>
      </c>
      <c r="R1123" s="77">
        <v>0</v>
      </c>
      <c r="S1123" s="77">
        <v>0</v>
      </c>
      <c r="T1123" s="77">
        <v>0</v>
      </c>
      <c r="U1123" s="77">
        <v>0</v>
      </c>
      <c r="V1123" s="77">
        <v>134</v>
      </c>
      <c r="W1123" s="82" t="s">
        <v>5335</v>
      </c>
      <c r="X1123" s="80" t="str">
        <f>HYPERLINK("https://www.freeclassificados.com/ads/comprar-gabarito-concurso-sec-ba-gabarito-vendashotmail-com/")</f>
        <v>https://www.freeclassificados.com/ads/comprar-gabarito-concurso-sec-ba-gabarito-vendashotmail-com/</v>
      </c>
      <c r="Y1123" s="77" t="s">
        <v>7308</v>
      </c>
      <c r="Z1123" s="77"/>
      <c r="AA1123" s="77"/>
      <c r="AB1123" s="77"/>
      <c r="AC1123" s="82" t="s">
        <v>10155</v>
      </c>
      <c r="AD1123" s="77" t="s">
        <v>10184</v>
      </c>
      <c r="AE1123" s="80" t="str">
        <f>HYPERLINK("https://twitter.com/freeclassific/status/1633856914990985216")</f>
        <v>https://twitter.com/freeclassific/status/1633856914990985216</v>
      </c>
      <c r="AF1123" s="79">
        <v>44994.65761574074</v>
      </c>
      <c r="AG1123" s="85">
        <v>44994</v>
      </c>
      <c r="AH1123" s="82" t="s">
        <v>11272</v>
      </c>
      <c r="AI1123" s="77" t="b">
        <v>0</v>
      </c>
      <c r="AJ1123" s="77"/>
      <c r="AK1123" s="77"/>
      <c r="AL1123" s="77"/>
      <c r="AM1123" s="77"/>
      <c r="AN1123" s="77"/>
      <c r="AO1123" s="77"/>
      <c r="AP1123" s="77"/>
      <c r="AQ1123" s="77"/>
      <c r="AR1123" s="77"/>
      <c r="AS1123" s="77"/>
      <c r="AT1123" s="77"/>
      <c r="AU1123" s="77"/>
      <c r="AV1123" s="80" t="str">
        <f>HYPERLINK("https://pbs.twimg.com/profile_images/1431648743728852993/tLJ7F5Lu_normal.png")</f>
        <v>https://pbs.twimg.com/profile_images/1431648743728852993/tLJ7F5Lu_normal.png</v>
      </c>
      <c r="AW1123" s="82" t="s">
        <v>17896</v>
      </c>
      <c r="AX1123" s="82" t="s">
        <v>17896</v>
      </c>
      <c r="AY1123" s="77"/>
      <c r="AZ1123" s="82" t="s">
        <v>20971</v>
      </c>
      <c r="BA1123" s="82" t="s">
        <v>20971</v>
      </c>
      <c r="BB1123" s="82" t="s">
        <v>20971</v>
      </c>
      <c r="BC1123" s="82" t="s">
        <v>17896</v>
      </c>
      <c r="BD1123" s="77">
        <v>489723814</v>
      </c>
      <c r="BE1123" s="77"/>
      <c r="BF1123" s="77"/>
      <c r="BG1123" s="77"/>
      <c r="BH1123" s="77"/>
      <c r="BI1123" s="77"/>
    </row>
    <row r="1124" spans="1:61" x14ac:dyDescent="0.25">
      <c r="A1124" s="62" t="s">
        <v>418</v>
      </c>
      <c r="B1124" s="62" t="s">
        <v>418</v>
      </c>
      <c r="C1124" s="63"/>
      <c r="D1124" s="64"/>
      <c r="E1124" s="65"/>
      <c r="F1124" s="66"/>
      <c r="G1124" s="63"/>
      <c r="H1124" s="67"/>
      <c r="I1124" s="68"/>
      <c r="J1124" s="68"/>
      <c r="K1124" s="32"/>
      <c r="L1124" s="75">
        <v>1124</v>
      </c>
      <c r="M1124" s="75"/>
      <c r="N1124" s="70"/>
      <c r="O1124" s="77" t="s">
        <v>179</v>
      </c>
      <c r="P1124" s="79">
        <v>44994.545752314814</v>
      </c>
      <c r="Q1124" s="77" t="s">
        <v>2370</v>
      </c>
      <c r="R1124" s="77">
        <v>0</v>
      </c>
      <c r="S1124" s="77">
        <v>0</v>
      </c>
      <c r="T1124" s="77">
        <v>0</v>
      </c>
      <c r="U1124" s="77">
        <v>0</v>
      </c>
      <c r="V1124" s="77">
        <v>10</v>
      </c>
      <c r="W1124" s="82" t="s">
        <v>5335</v>
      </c>
      <c r="X1124" s="80" t="str">
        <f>HYPERLINK("https://www.freeclassificados.com/ads/detetive-particular-em-sao-paulo/")</f>
        <v>https://www.freeclassificados.com/ads/detetive-particular-em-sao-paulo/</v>
      </c>
      <c r="Y1124" s="77" t="s">
        <v>7308</v>
      </c>
      <c r="Z1124" s="77"/>
      <c r="AA1124" s="77"/>
      <c r="AB1124" s="77"/>
      <c r="AC1124" s="82" t="s">
        <v>10155</v>
      </c>
      <c r="AD1124" s="77" t="s">
        <v>10184</v>
      </c>
      <c r="AE1124" s="80" t="str">
        <f>HYPERLINK("https://twitter.com/freeclassific/status/1633816377755832320")</f>
        <v>https://twitter.com/freeclassific/status/1633816377755832320</v>
      </c>
      <c r="AF1124" s="79">
        <v>44994.545752314814</v>
      </c>
      <c r="AG1124" s="85">
        <v>44994</v>
      </c>
      <c r="AH1124" s="82" t="s">
        <v>11273</v>
      </c>
      <c r="AI1124" s="77" t="b">
        <v>0</v>
      </c>
      <c r="AJ1124" s="77"/>
      <c r="AK1124" s="77"/>
      <c r="AL1124" s="77"/>
      <c r="AM1124" s="77"/>
      <c r="AN1124" s="77"/>
      <c r="AO1124" s="77"/>
      <c r="AP1124" s="77"/>
      <c r="AQ1124" s="77"/>
      <c r="AR1124" s="77"/>
      <c r="AS1124" s="77"/>
      <c r="AT1124" s="77"/>
      <c r="AU1124" s="77"/>
      <c r="AV1124" s="80" t="str">
        <f>HYPERLINK("https://pbs.twimg.com/profile_images/1431648743728852993/tLJ7F5Lu_normal.png")</f>
        <v>https://pbs.twimg.com/profile_images/1431648743728852993/tLJ7F5Lu_normal.png</v>
      </c>
      <c r="AW1124" s="82" t="s">
        <v>17897</v>
      </c>
      <c r="AX1124" s="82" t="s">
        <v>17897</v>
      </c>
      <c r="AY1124" s="77"/>
      <c r="AZ1124" s="82" t="s">
        <v>20971</v>
      </c>
      <c r="BA1124" s="82" t="s">
        <v>20971</v>
      </c>
      <c r="BB1124" s="82" t="s">
        <v>20971</v>
      </c>
      <c r="BC1124" s="82" t="s">
        <v>17897</v>
      </c>
      <c r="BD1124" s="77">
        <v>489723814</v>
      </c>
      <c r="BE1124" s="77"/>
      <c r="BF1124" s="77"/>
      <c r="BG1124" s="77"/>
      <c r="BH1124" s="77"/>
      <c r="BI1124" s="77"/>
    </row>
    <row r="1125" spans="1:61" x14ac:dyDescent="0.25">
      <c r="A1125" s="62" t="s">
        <v>418</v>
      </c>
      <c r="B1125" s="62" t="s">
        <v>418</v>
      </c>
      <c r="C1125" s="63"/>
      <c r="D1125" s="64"/>
      <c r="E1125" s="65"/>
      <c r="F1125" s="66"/>
      <c r="G1125" s="63"/>
      <c r="H1125" s="67"/>
      <c r="I1125" s="68"/>
      <c r="J1125" s="68"/>
      <c r="K1125" s="32"/>
      <c r="L1125" s="75">
        <v>1125</v>
      </c>
      <c r="M1125" s="75"/>
      <c r="N1125" s="70"/>
      <c r="O1125" s="77" t="s">
        <v>179</v>
      </c>
      <c r="P1125" s="79">
        <v>44966.763402777775</v>
      </c>
      <c r="Q1125" s="77" t="s">
        <v>2371</v>
      </c>
      <c r="R1125" s="77">
        <v>0</v>
      </c>
      <c r="S1125" s="77">
        <v>0</v>
      </c>
      <c r="T1125" s="77">
        <v>0</v>
      </c>
      <c r="U1125" s="77">
        <v>0</v>
      </c>
      <c r="V1125" s="77">
        <v>25</v>
      </c>
      <c r="W1125" s="82" t="s">
        <v>5335</v>
      </c>
      <c r="X1125" s="80" t="str">
        <f>HYPERLINK("https://www.freeclassificados.com/ads/curso-de-corte-de-cabelo-e-barba-masculino/")</f>
        <v>https://www.freeclassificados.com/ads/curso-de-corte-de-cabelo-e-barba-masculino/</v>
      </c>
      <c r="Y1125" s="77" t="s">
        <v>7308</v>
      </c>
      <c r="Z1125" s="77"/>
      <c r="AA1125" s="77"/>
      <c r="AB1125" s="77"/>
      <c r="AC1125" s="82" t="s">
        <v>10155</v>
      </c>
      <c r="AD1125" s="77" t="s">
        <v>10184</v>
      </c>
      <c r="AE1125" s="80" t="str">
        <f>HYPERLINK("https://twitter.com/freeclassific/status/1623748387496419328")</f>
        <v>https://twitter.com/freeclassific/status/1623748387496419328</v>
      </c>
      <c r="AF1125" s="79">
        <v>44966.763402777775</v>
      </c>
      <c r="AG1125" s="85">
        <v>44966</v>
      </c>
      <c r="AH1125" s="82" t="s">
        <v>11274</v>
      </c>
      <c r="AI1125" s="77" t="b">
        <v>0</v>
      </c>
      <c r="AJ1125" s="77"/>
      <c r="AK1125" s="77"/>
      <c r="AL1125" s="77"/>
      <c r="AM1125" s="77"/>
      <c r="AN1125" s="77"/>
      <c r="AO1125" s="77"/>
      <c r="AP1125" s="77"/>
      <c r="AQ1125" s="77"/>
      <c r="AR1125" s="77"/>
      <c r="AS1125" s="77"/>
      <c r="AT1125" s="77"/>
      <c r="AU1125" s="77"/>
      <c r="AV1125" s="80" t="str">
        <f>HYPERLINK("https://pbs.twimg.com/profile_images/1431648743728852993/tLJ7F5Lu_normal.png")</f>
        <v>https://pbs.twimg.com/profile_images/1431648743728852993/tLJ7F5Lu_normal.png</v>
      </c>
      <c r="AW1125" s="82" t="s">
        <v>17898</v>
      </c>
      <c r="AX1125" s="82" t="s">
        <v>17898</v>
      </c>
      <c r="AY1125" s="77"/>
      <c r="AZ1125" s="82" t="s">
        <v>20971</v>
      </c>
      <c r="BA1125" s="82" t="s">
        <v>20971</v>
      </c>
      <c r="BB1125" s="82" t="s">
        <v>20971</v>
      </c>
      <c r="BC1125" s="82" t="s">
        <v>17898</v>
      </c>
      <c r="BD1125" s="77">
        <v>489723814</v>
      </c>
      <c r="BE1125" s="77"/>
      <c r="BF1125" s="77"/>
      <c r="BG1125" s="77"/>
      <c r="BH1125" s="77"/>
      <c r="BI1125" s="77"/>
    </row>
    <row r="1126" spans="1:61" x14ac:dyDescent="0.25">
      <c r="A1126" s="62" t="s">
        <v>418</v>
      </c>
      <c r="B1126" s="62" t="s">
        <v>418</v>
      </c>
      <c r="C1126" s="63"/>
      <c r="D1126" s="64"/>
      <c r="E1126" s="65"/>
      <c r="F1126" s="66"/>
      <c r="G1126" s="63"/>
      <c r="H1126" s="67"/>
      <c r="I1126" s="68"/>
      <c r="J1126" s="68"/>
      <c r="K1126" s="32"/>
      <c r="L1126" s="75">
        <v>1126</v>
      </c>
      <c r="M1126" s="75"/>
      <c r="N1126" s="70"/>
      <c r="O1126" s="77" t="s">
        <v>179</v>
      </c>
      <c r="P1126" s="79">
        <v>44966.761354166665</v>
      </c>
      <c r="Q1126" s="77" t="s">
        <v>2372</v>
      </c>
      <c r="R1126" s="77">
        <v>0</v>
      </c>
      <c r="S1126" s="77">
        <v>0</v>
      </c>
      <c r="T1126" s="77">
        <v>0</v>
      </c>
      <c r="U1126" s="77">
        <v>0</v>
      </c>
      <c r="V1126" s="77">
        <v>9</v>
      </c>
      <c r="W1126" s="82" t="s">
        <v>5335</v>
      </c>
      <c r="X1126" s="80" t="str">
        <f>HYPERLINK("https://www.freeclassificados.com/ads/curso-de-auxiliar-de-contabilidade/")</f>
        <v>https://www.freeclassificados.com/ads/curso-de-auxiliar-de-contabilidade/</v>
      </c>
      <c r="Y1126" s="77" t="s">
        <v>7308</v>
      </c>
      <c r="Z1126" s="77"/>
      <c r="AA1126" s="77"/>
      <c r="AB1126" s="77"/>
      <c r="AC1126" s="82" t="s">
        <v>10155</v>
      </c>
      <c r="AD1126" s="77" t="s">
        <v>10187</v>
      </c>
      <c r="AE1126" s="80" t="str">
        <f>HYPERLINK("https://twitter.com/freeclassific/status/1623747647931666435")</f>
        <v>https://twitter.com/freeclassific/status/1623747647931666435</v>
      </c>
      <c r="AF1126" s="79">
        <v>44966.761354166665</v>
      </c>
      <c r="AG1126" s="85">
        <v>44966</v>
      </c>
      <c r="AH1126" s="82" t="s">
        <v>11275</v>
      </c>
      <c r="AI1126" s="77" t="b">
        <v>0</v>
      </c>
      <c r="AJ1126" s="77"/>
      <c r="AK1126" s="77"/>
      <c r="AL1126" s="77"/>
      <c r="AM1126" s="77"/>
      <c r="AN1126" s="77"/>
      <c r="AO1126" s="77"/>
      <c r="AP1126" s="77"/>
      <c r="AQ1126" s="77"/>
      <c r="AR1126" s="77"/>
      <c r="AS1126" s="77"/>
      <c r="AT1126" s="77"/>
      <c r="AU1126" s="77"/>
      <c r="AV1126" s="80" t="str">
        <f>HYPERLINK("https://pbs.twimg.com/profile_images/1431648743728852993/tLJ7F5Lu_normal.png")</f>
        <v>https://pbs.twimg.com/profile_images/1431648743728852993/tLJ7F5Lu_normal.png</v>
      </c>
      <c r="AW1126" s="82" t="s">
        <v>17899</v>
      </c>
      <c r="AX1126" s="82" t="s">
        <v>17899</v>
      </c>
      <c r="AY1126" s="77"/>
      <c r="AZ1126" s="82" t="s">
        <v>20971</v>
      </c>
      <c r="BA1126" s="82" t="s">
        <v>20971</v>
      </c>
      <c r="BB1126" s="82" t="s">
        <v>20971</v>
      </c>
      <c r="BC1126" s="82" t="s">
        <v>17899</v>
      </c>
      <c r="BD1126" s="77">
        <v>489723814</v>
      </c>
      <c r="BE1126" s="77"/>
      <c r="BF1126" s="77"/>
      <c r="BG1126" s="77"/>
      <c r="BH1126" s="77"/>
      <c r="BI1126" s="77"/>
    </row>
    <row r="1127" spans="1:61" x14ac:dyDescent="0.25">
      <c r="A1127" s="62" t="s">
        <v>418</v>
      </c>
      <c r="B1127" s="62" t="s">
        <v>418</v>
      </c>
      <c r="C1127" s="63"/>
      <c r="D1127" s="64"/>
      <c r="E1127" s="65"/>
      <c r="F1127" s="66"/>
      <c r="G1127" s="63"/>
      <c r="H1127" s="67"/>
      <c r="I1127" s="68"/>
      <c r="J1127" s="68"/>
      <c r="K1127" s="32"/>
      <c r="L1127" s="75">
        <v>1127</v>
      </c>
      <c r="M1127" s="75"/>
      <c r="N1127" s="70"/>
      <c r="O1127" s="77" t="s">
        <v>179</v>
      </c>
      <c r="P1127" s="79">
        <v>44966.759571759256</v>
      </c>
      <c r="Q1127" s="77" t="s">
        <v>2373</v>
      </c>
      <c r="R1127" s="77">
        <v>0</v>
      </c>
      <c r="S1127" s="77">
        <v>0</v>
      </c>
      <c r="T1127" s="77">
        <v>0</v>
      </c>
      <c r="U1127" s="77">
        <v>0</v>
      </c>
      <c r="V1127" s="77">
        <v>28</v>
      </c>
      <c r="W1127" s="82" t="s">
        <v>5335</v>
      </c>
      <c r="X1127" s="80" t="str">
        <f>HYPERLINK("https://www.freeclassificados.com/ads/curso-de-atendente-de-farmacia/")</f>
        <v>https://www.freeclassificados.com/ads/curso-de-atendente-de-farmacia/</v>
      </c>
      <c r="Y1127" s="77" t="s">
        <v>7308</v>
      </c>
      <c r="Z1127" s="77"/>
      <c r="AA1127" s="77"/>
      <c r="AB1127" s="77"/>
      <c r="AC1127" s="82" t="s">
        <v>10155</v>
      </c>
      <c r="AD1127" s="77" t="s">
        <v>10184</v>
      </c>
      <c r="AE1127" s="80" t="str">
        <f>HYPERLINK("https://twitter.com/freeclassific/status/1623747001899708420")</f>
        <v>https://twitter.com/freeclassific/status/1623747001899708420</v>
      </c>
      <c r="AF1127" s="79">
        <v>44966.759571759256</v>
      </c>
      <c r="AG1127" s="85">
        <v>44966</v>
      </c>
      <c r="AH1127" s="82" t="s">
        <v>11276</v>
      </c>
      <c r="AI1127" s="77" t="b">
        <v>0</v>
      </c>
      <c r="AJ1127" s="77"/>
      <c r="AK1127" s="77"/>
      <c r="AL1127" s="77"/>
      <c r="AM1127" s="77"/>
      <c r="AN1127" s="77"/>
      <c r="AO1127" s="77"/>
      <c r="AP1127" s="77"/>
      <c r="AQ1127" s="77"/>
      <c r="AR1127" s="77"/>
      <c r="AS1127" s="77"/>
      <c r="AT1127" s="77"/>
      <c r="AU1127" s="77"/>
      <c r="AV1127" s="80" t="str">
        <f>HYPERLINK("https://pbs.twimg.com/profile_images/1431648743728852993/tLJ7F5Lu_normal.png")</f>
        <v>https://pbs.twimg.com/profile_images/1431648743728852993/tLJ7F5Lu_normal.png</v>
      </c>
      <c r="AW1127" s="82" t="s">
        <v>17900</v>
      </c>
      <c r="AX1127" s="82" t="s">
        <v>17900</v>
      </c>
      <c r="AY1127" s="77"/>
      <c r="AZ1127" s="82" t="s">
        <v>20971</v>
      </c>
      <c r="BA1127" s="82" t="s">
        <v>20971</v>
      </c>
      <c r="BB1127" s="82" t="s">
        <v>20971</v>
      </c>
      <c r="BC1127" s="82" t="s">
        <v>17900</v>
      </c>
      <c r="BD1127" s="77">
        <v>489723814</v>
      </c>
      <c r="BE1127" s="77"/>
      <c r="BF1127" s="77"/>
      <c r="BG1127" s="77"/>
      <c r="BH1127" s="77"/>
      <c r="BI1127" s="77"/>
    </row>
    <row r="1128" spans="1:61" x14ac:dyDescent="0.25">
      <c r="A1128" s="62" t="s">
        <v>418</v>
      </c>
      <c r="B1128" s="62" t="s">
        <v>418</v>
      </c>
      <c r="C1128" s="63"/>
      <c r="D1128" s="64"/>
      <c r="E1128" s="65"/>
      <c r="F1128" s="66"/>
      <c r="G1128" s="63"/>
      <c r="H1128" s="67"/>
      <c r="I1128" s="68"/>
      <c r="J1128" s="68"/>
      <c r="K1128" s="32"/>
      <c r="L1128" s="75">
        <v>1128</v>
      </c>
      <c r="M1128" s="75"/>
      <c r="N1128" s="70"/>
      <c r="O1128" s="77" t="s">
        <v>179</v>
      </c>
      <c r="P1128" s="79">
        <v>44966.756284722222</v>
      </c>
      <c r="Q1128" s="77" t="s">
        <v>2374</v>
      </c>
      <c r="R1128" s="77">
        <v>0</v>
      </c>
      <c r="S1128" s="77">
        <v>0</v>
      </c>
      <c r="T1128" s="77">
        <v>0</v>
      </c>
      <c r="U1128" s="77">
        <v>0</v>
      </c>
      <c r="V1128" s="77">
        <v>39</v>
      </c>
      <c r="W1128" s="82" t="s">
        <v>5335</v>
      </c>
      <c r="X1128" s="80" t="str">
        <f>HYPERLINK("https://www.freeclassificados.com/ads/curso-de-auxiliar-veterinario/")</f>
        <v>https://www.freeclassificados.com/ads/curso-de-auxiliar-veterinario/</v>
      </c>
      <c r="Y1128" s="77" t="s">
        <v>7308</v>
      </c>
      <c r="Z1128" s="77"/>
      <c r="AA1128" s="77"/>
      <c r="AB1128" s="77"/>
      <c r="AC1128" s="82" t="s">
        <v>10155</v>
      </c>
      <c r="AD1128" s="77" t="s">
        <v>10184</v>
      </c>
      <c r="AE1128" s="80" t="str">
        <f>HYPERLINK("https://twitter.com/freeclassific/status/1623745810134364162")</f>
        <v>https://twitter.com/freeclassific/status/1623745810134364162</v>
      </c>
      <c r="AF1128" s="79">
        <v>44966.756284722222</v>
      </c>
      <c r="AG1128" s="85">
        <v>44966</v>
      </c>
      <c r="AH1128" s="82" t="s">
        <v>11277</v>
      </c>
      <c r="AI1128" s="77" t="b">
        <v>0</v>
      </c>
      <c r="AJ1128" s="77"/>
      <c r="AK1128" s="77"/>
      <c r="AL1128" s="77"/>
      <c r="AM1128" s="77"/>
      <c r="AN1128" s="77"/>
      <c r="AO1128" s="77"/>
      <c r="AP1128" s="77"/>
      <c r="AQ1128" s="77"/>
      <c r="AR1128" s="77"/>
      <c r="AS1128" s="77"/>
      <c r="AT1128" s="77"/>
      <c r="AU1128" s="77"/>
      <c r="AV1128" s="80" t="str">
        <f>HYPERLINK("https://pbs.twimg.com/profile_images/1431648743728852993/tLJ7F5Lu_normal.png")</f>
        <v>https://pbs.twimg.com/profile_images/1431648743728852993/tLJ7F5Lu_normal.png</v>
      </c>
      <c r="AW1128" s="82" t="s">
        <v>17901</v>
      </c>
      <c r="AX1128" s="82" t="s">
        <v>17901</v>
      </c>
      <c r="AY1128" s="77"/>
      <c r="AZ1128" s="82" t="s">
        <v>20971</v>
      </c>
      <c r="BA1128" s="82" t="s">
        <v>20971</v>
      </c>
      <c r="BB1128" s="82" t="s">
        <v>20971</v>
      </c>
      <c r="BC1128" s="82" t="s">
        <v>17901</v>
      </c>
      <c r="BD1128" s="77">
        <v>489723814</v>
      </c>
      <c r="BE1128" s="77"/>
      <c r="BF1128" s="77"/>
      <c r="BG1128" s="77"/>
      <c r="BH1128" s="77"/>
      <c r="BI1128" s="77"/>
    </row>
    <row r="1129" spans="1:61" x14ac:dyDescent="0.25">
      <c r="A1129" s="62" t="s">
        <v>418</v>
      </c>
      <c r="B1129" s="62" t="s">
        <v>418</v>
      </c>
      <c r="C1129" s="63"/>
      <c r="D1129" s="64"/>
      <c r="E1129" s="65"/>
      <c r="F1129" s="66"/>
      <c r="G1129" s="63"/>
      <c r="H1129" s="67"/>
      <c r="I1129" s="68"/>
      <c r="J1129" s="68"/>
      <c r="K1129" s="32"/>
      <c r="L1129" s="75">
        <v>1129</v>
      </c>
      <c r="M1129" s="75"/>
      <c r="N1129" s="70"/>
      <c r="O1129" s="77" t="s">
        <v>179</v>
      </c>
      <c r="P1129" s="79">
        <v>44966.75068287037</v>
      </c>
      <c r="Q1129" s="77" t="s">
        <v>2375</v>
      </c>
      <c r="R1129" s="77">
        <v>0</v>
      </c>
      <c r="S1129" s="77">
        <v>0</v>
      </c>
      <c r="T1129" s="77">
        <v>0</v>
      </c>
      <c r="U1129" s="77">
        <v>0</v>
      </c>
      <c r="V1129" s="77">
        <v>25</v>
      </c>
      <c r="W1129" s="82" t="s">
        <v>5335</v>
      </c>
      <c r="X1129" s="80" t="str">
        <f>HYPERLINK("https://www.freeclassificados.com/ads/curso-de-assistente-administrativo-100-online-e-completo/")</f>
        <v>https://www.freeclassificados.com/ads/curso-de-assistente-administrativo-100-online-e-completo/</v>
      </c>
      <c r="Y1129" s="77" t="s">
        <v>7308</v>
      </c>
      <c r="Z1129" s="77"/>
      <c r="AA1129" s="77"/>
      <c r="AB1129" s="77"/>
      <c r="AC1129" s="82" t="s">
        <v>10155</v>
      </c>
      <c r="AD1129" s="77" t="s">
        <v>10184</v>
      </c>
      <c r="AE1129" s="80" t="str">
        <f>HYPERLINK("https://twitter.com/freeclassific/status/1623743777880907777")</f>
        <v>https://twitter.com/freeclassific/status/1623743777880907777</v>
      </c>
      <c r="AF1129" s="79">
        <v>44966.75068287037</v>
      </c>
      <c r="AG1129" s="85">
        <v>44966</v>
      </c>
      <c r="AH1129" s="82" t="s">
        <v>11278</v>
      </c>
      <c r="AI1129" s="77" t="b">
        <v>0</v>
      </c>
      <c r="AJ1129" s="77"/>
      <c r="AK1129" s="77"/>
      <c r="AL1129" s="77"/>
      <c r="AM1129" s="77"/>
      <c r="AN1129" s="77"/>
      <c r="AO1129" s="77"/>
      <c r="AP1129" s="77"/>
      <c r="AQ1129" s="77"/>
      <c r="AR1129" s="77"/>
      <c r="AS1129" s="77"/>
      <c r="AT1129" s="77"/>
      <c r="AU1129" s="77"/>
      <c r="AV1129" s="80" t="str">
        <f>HYPERLINK("https://pbs.twimg.com/profile_images/1431648743728852993/tLJ7F5Lu_normal.png")</f>
        <v>https://pbs.twimg.com/profile_images/1431648743728852993/tLJ7F5Lu_normal.png</v>
      </c>
      <c r="AW1129" s="82" t="s">
        <v>17902</v>
      </c>
      <c r="AX1129" s="82" t="s">
        <v>17902</v>
      </c>
      <c r="AY1129" s="77"/>
      <c r="AZ1129" s="82" t="s">
        <v>20971</v>
      </c>
      <c r="BA1129" s="82" t="s">
        <v>20971</v>
      </c>
      <c r="BB1129" s="82" t="s">
        <v>20971</v>
      </c>
      <c r="BC1129" s="82" t="s">
        <v>17902</v>
      </c>
      <c r="BD1129" s="77">
        <v>489723814</v>
      </c>
      <c r="BE1129" s="77"/>
      <c r="BF1129" s="77"/>
      <c r="BG1129" s="77"/>
      <c r="BH1129" s="77"/>
      <c r="BI1129" s="77"/>
    </row>
    <row r="1130" spans="1:61" x14ac:dyDescent="0.25">
      <c r="A1130" s="62" t="s">
        <v>418</v>
      </c>
      <c r="B1130" s="62" t="s">
        <v>418</v>
      </c>
      <c r="C1130" s="63"/>
      <c r="D1130" s="64"/>
      <c r="E1130" s="65"/>
      <c r="F1130" s="66"/>
      <c r="G1130" s="63"/>
      <c r="H1130" s="67"/>
      <c r="I1130" s="68"/>
      <c r="J1130" s="68"/>
      <c r="K1130" s="32"/>
      <c r="L1130" s="75">
        <v>1130</v>
      </c>
      <c r="M1130" s="75"/>
      <c r="N1130" s="70"/>
      <c r="O1130" s="77" t="s">
        <v>179</v>
      </c>
      <c r="P1130" s="79">
        <v>44966.639467592591</v>
      </c>
      <c r="Q1130" s="77" t="s">
        <v>2376</v>
      </c>
      <c r="R1130" s="77">
        <v>0</v>
      </c>
      <c r="S1130" s="77">
        <v>0</v>
      </c>
      <c r="T1130" s="77">
        <v>0</v>
      </c>
      <c r="U1130" s="77">
        <v>0</v>
      </c>
      <c r="V1130" s="77">
        <v>8</v>
      </c>
      <c r="W1130" s="82" t="s">
        <v>5335</v>
      </c>
      <c r="X1130" s="80" t="str">
        <f>HYPERLINK("https://www.freeclassificados.com/ads/prolongue-a-vida-util-da-sua-secadora-com-nossos-servicos-de-manutencao-profissional/")</f>
        <v>https://www.freeclassificados.com/ads/prolongue-a-vida-util-da-sua-secadora-com-nossos-servicos-de-manutencao-profissional/</v>
      </c>
      <c r="Y1130" s="77" t="s">
        <v>7308</v>
      </c>
      <c r="Z1130" s="77"/>
      <c r="AA1130" s="77"/>
      <c r="AB1130" s="77"/>
      <c r="AC1130" s="82" t="s">
        <v>10155</v>
      </c>
      <c r="AD1130" s="77" t="s">
        <v>10184</v>
      </c>
      <c r="AE1130" s="80" t="str">
        <f>HYPERLINK("https://twitter.com/freeclassific/status/1623703476319490048")</f>
        <v>https://twitter.com/freeclassific/status/1623703476319490048</v>
      </c>
      <c r="AF1130" s="79">
        <v>44966.639467592591</v>
      </c>
      <c r="AG1130" s="85">
        <v>44966</v>
      </c>
      <c r="AH1130" s="82" t="s">
        <v>11279</v>
      </c>
      <c r="AI1130" s="77" t="b">
        <v>0</v>
      </c>
      <c r="AJ1130" s="77"/>
      <c r="AK1130" s="77"/>
      <c r="AL1130" s="77"/>
      <c r="AM1130" s="77"/>
      <c r="AN1130" s="77"/>
      <c r="AO1130" s="77"/>
      <c r="AP1130" s="77"/>
      <c r="AQ1130" s="77"/>
      <c r="AR1130" s="77"/>
      <c r="AS1130" s="77"/>
      <c r="AT1130" s="77"/>
      <c r="AU1130" s="77"/>
      <c r="AV1130" s="80" t="str">
        <f>HYPERLINK("https://pbs.twimg.com/profile_images/1431648743728852993/tLJ7F5Lu_normal.png")</f>
        <v>https://pbs.twimg.com/profile_images/1431648743728852993/tLJ7F5Lu_normal.png</v>
      </c>
      <c r="AW1130" s="82" t="s">
        <v>17903</v>
      </c>
      <c r="AX1130" s="82" t="s">
        <v>17903</v>
      </c>
      <c r="AY1130" s="77"/>
      <c r="AZ1130" s="82" t="s">
        <v>20971</v>
      </c>
      <c r="BA1130" s="82" t="s">
        <v>20971</v>
      </c>
      <c r="BB1130" s="82" t="s">
        <v>20971</v>
      </c>
      <c r="BC1130" s="82" t="s">
        <v>17903</v>
      </c>
      <c r="BD1130" s="77">
        <v>489723814</v>
      </c>
      <c r="BE1130" s="77"/>
      <c r="BF1130" s="77"/>
      <c r="BG1130" s="77"/>
      <c r="BH1130" s="77"/>
      <c r="BI1130" s="77"/>
    </row>
    <row r="1131" spans="1:61" x14ac:dyDescent="0.25">
      <c r="A1131" s="62" t="s">
        <v>418</v>
      </c>
      <c r="B1131" s="62" t="s">
        <v>418</v>
      </c>
      <c r="C1131" s="63"/>
      <c r="D1131" s="64"/>
      <c r="E1131" s="65"/>
      <c r="F1131" s="66"/>
      <c r="G1131" s="63"/>
      <c r="H1131" s="67"/>
      <c r="I1131" s="68"/>
      <c r="J1131" s="68"/>
      <c r="K1131" s="32"/>
      <c r="L1131" s="75">
        <v>1131</v>
      </c>
      <c r="M1131" s="75"/>
      <c r="N1131" s="70"/>
      <c r="O1131" s="77" t="s">
        <v>179</v>
      </c>
      <c r="P1131" s="79">
        <v>44966.580983796295</v>
      </c>
      <c r="Q1131" s="77" t="s">
        <v>2377</v>
      </c>
      <c r="R1131" s="77">
        <v>0</v>
      </c>
      <c r="S1131" s="77">
        <v>0</v>
      </c>
      <c r="T1131" s="77">
        <v>0</v>
      </c>
      <c r="U1131" s="77">
        <v>0</v>
      </c>
      <c r="V1131" s="77">
        <v>13</v>
      </c>
      <c r="W1131" s="82" t="s">
        <v>5335</v>
      </c>
      <c r="X1131" s="80" t="str">
        <f>HYPERLINK("https://www.freeclassificados.com/ads/o-segredo-tropical-para-emagrecer-com-saude/")</f>
        <v>https://www.freeclassificados.com/ads/o-segredo-tropical-para-emagrecer-com-saude/</v>
      </c>
      <c r="Y1131" s="77" t="s">
        <v>7308</v>
      </c>
      <c r="Z1131" s="77"/>
      <c r="AA1131" s="77"/>
      <c r="AB1131" s="77"/>
      <c r="AC1131" s="82" t="s">
        <v>10155</v>
      </c>
      <c r="AD1131" s="77" t="s">
        <v>10184</v>
      </c>
      <c r="AE1131" s="80" t="str">
        <f>HYPERLINK("https://twitter.com/freeclassific/status/1623682282207817729")</f>
        <v>https://twitter.com/freeclassific/status/1623682282207817729</v>
      </c>
      <c r="AF1131" s="79">
        <v>44966.580983796295</v>
      </c>
      <c r="AG1131" s="85">
        <v>44966</v>
      </c>
      <c r="AH1131" s="82" t="s">
        <v>11280</v>
      </c>
      <c r="AI1131" s="77" t="b">
        <v>0</v>
      </c>
      <c r="AJ1131" s="77"/>
      <c r="AK1131" s="77"/>
      <c r="AL1131" s="77"/>
      <c r="AM1131" s="77"/>
      <c r="AN1131" s="77"/>
      <c r="AO1131" s="77"/>
      <c r="AP1131" s="77"/>
      <c r="AQ1131" s="77"/>
      <c r="AR1131" s="77"/>
      <c r="AS1131" s="77"/>
      <c r="AT1131" s="77"/>
      <c r="AU1131" s="77"/>
      <c r="AV1131" s="80" t="str">
        <f>HYPERLINK("https://pbs.twimg.com/profile_images/1431648743728852993/tLJ7F5Lu_normal.png")</f>
        <v>https://pbs.twimg.com/profile_images/1431648743728852993/tLJ7F5Lu_normal.png</v>
      </c>
      <c r="AW1131" s="82" t="s">
        <v>17904</v>
      </c>
      <c r="AX1131" s="82" t="s">
        <v>17904</v>
      </c>
      <c r="AY1131" s="77"/>
      <c r="AZ1131" s="82" t="s">
        <v>20971</v>
      </c>
      <c r="BA1131" s="82" t="s">
        <v>20971</v>
      </c>
      <c r="BB1131" s="82" t="s">
        <v>20971</v>
      </c>
      <c r="BC1131" s="82" t="s">
        <v>17904</v>
      </c>
      <c r="BD1131" s="77">
        <v>489723814</v>
      </c>
      <c r="BE1131" s="77"/>
      <c r="BF1131" s="77"/>
      <c r="BG1131" s="77"/>
      <c r="BH1131" s="77"/>
      <c r="BI1131" s="77"/>
    </row>
    <row r="1132" spans="1:61" x14ac:dyDescent="0.25">
      <c r="A1132" s="62" t="s">
        <v>418</v>
      </c>
      <c r="B1132" s="62" t="s">
        <v>418</v>
      </c>
      <c r="C1132" s="63"/>
      <c r="D1132" s="64"/>
      <c r="E1132" s="65"/>
      <c r="F1132" s="66"/>
      <c r="G1132" s="63"/>
      <c r="H1132" s="67"/>
      <c r="I1132" s="68"/>
      <c r="J1132" s="68"/>
      <c r="K1132" s="32"/>
      <c r="L1132" s="75">
        <v>1132</v>
      </c>
      <c r="M1132" s="75"/>
      <c r="N1132" s="70"/>
      <c r="O1132" s="77" t="s">
        <v>179</v>
      </c>
      <c r="P1132" s="79">
        <v>44966.492152777777</v>
      </c>
      <c r="Q1132" s="77" t="s">
        <v>1877</v>
      </c>
      <c r="R1132" s="77">
        <v>0</v>
      </c>
      <c r="S1132" s="77">
        <v>0</v>
      </c>
      <c r="T1132" s="77">
        <v>0</v>
      </c>
      <c r="U1132" s="77">
        <v>0</v>
      </c>
      <c r="V1132" s="77">
        <v>8</v>
      </c>
      <c r="W1132" s="82" t="s">
        <v>5335</v>
      </c>
      <c r="X1132" s="80" t="str">
        <f>HYPERLINK("https://www.freeclassificados.com/ads/palco-coberta-som-luz-alugo-palco-aluguel-tablado-de-vidro-palco-madeira-9-86-25-98-82/")</f>
        <v>https://www.freeclassificados.com/ads/palco-coberta-som-luz-alugo-palco-aluguel-tablado-de-vidro-palco-madeira-9-86-25-98-82/</v>
      </c>
      <c r="Y1132" s="77" t="s">
        <v>7308</v>
      </c>
      <c r="Z1132" s="77"/>
      <c r="AA1132" s="77"/>
      <c r="AB1132" s="77"/>
      <c r="AC1132" s="82" t="s">
        <v>10155</v>
      </c>
      <c r="AD1132" s="77" t="s">
        <v>10184</v>
      </c>
      <c r="AE1132" s="80" t="str">
        <f>HYPERLINK("https://twitter.com/freeclassific/status/1623650091797041153")</f>
        <v>https://twitter.com/freeclassific/status/1623650091797041153</v>
      </c>
      <c r="AF1132" s="79">
        <v>44966.492152777777</v>
      </c>
      <c r="AG1132" s="85">
        <v>44966</v>
      </c>
      <c r="AH1132" s="82" t="s">
        <v>11281</v>
      </c>
      <c r="AI1132" s="77" t="b">
        <v>0</v>
      </c>
      <c r="AJ1132" s="77"/>
      <c r="AK1132" s="77"/>
      <c r="AL1132" s="77"/>
      <c r="AM1132" s="77"/>
      <c r="AN1132" s="77"/>
      <c r="AO1132" s="77"/>
      <c r="AP1132" s="77"/>
      <c r="AQ1132" s="77"/>
      <c r="AR1132" s="77"/>
      <c r="AS1132" s="77"/>
      <c r="AT1132" s="77"/>
      <c r="AU1132" s="77"/>
      <c r="AV1132" s="80" t="str">
        <f>HYPERLINK("https://pbs.twimg.com/profile_images/1431648743728852993/tLJ7F5Lu_normal.png")</f>
        <v>https://pbs.twimg.com/profile_images/1431648743728852993/tLJ7F5Lu_normal.png</v>
      </c>
      <c r="AW1132" s="82" t="s">
        <v>17905</v>
      </c>
      <c r="AX1132" s="82" t="s">
        <v>17905</v>
      </c>
      <c r="AY1132" s="77"/>
      <c r="AZ1132" s="82" t="s">
        <v>20971</v>
      </c>
      <c r="BA1132" s="82" t="s">
        <v>20971</v>
      </c>
      <c r="BB1132" s="82" t="s">
        <v>20971</v>
      </c>
      <c r="BC1132" s="82" t="s">
        <v>17905</v>
      </c>
      <c r="BD1132" s="77">
        <v>489723814</v>
      </c>
      <c r="BE1132" s="77"/>
      <c r="BF1132" s="77"/>
      <c r="BG1132" s="77"/>
      <c r="BH1132" s="77"/>
      <c r="BI1132" s="77"/>
    </row>
    <row r="1133" spans="1:61" x14ac:dyDescent="0.25">
      <c r="A1133" s="62" t="s">
        <v>418</v>
      </c>
      <c r="B1133" s="62" t="s">
        <v>418</v>
      </c>
      <c r="C1133" s="63"/>
      <c r="D1133" s="64"/>
      <c r="E1133" s="65"/>
      <c r="F1133" s="66"/>
      <c r="G1133" s="63"/>
      <c r="H1133" s="67"/>
      <c r="I1133" s="68"/>
      <c r="J1133" s="68"/>
      <c r="K1133" s="32"/>
      <c r="L1133" s="75">
        <v>1133</v>
      </c>
      <c r="M1133" s="75"/>
      <c r="N1133" s="70"/>
      <c r="O1133" s="77" t="s">
        <v>179</v>
      </c>
      <c r="P1133" s="79">
        <v>44965.652256944442</v>
      </c>
      <c r="Q1133" s="77" t="s">
        <v>2378</v>
      </c>
      <c r="R1133" s="77">
        <v>0</v>
      </c>
      <c r="S1133" s="77">
        <v>0</v>
      </c>
      <c r="T1133" s="77">
        <v>0</v>
      </c>
      <c r="U1133" s="77">
        <v>0</v>
      </c>
      <c r="V1133" s="77">
        <v>8</v>
      </c>
      <c r="W1133" s="82" t="s">
        <v>5335</v>
      </c>
      <c r="X1133" s="80" t="str">
        <f>HYPERLINK("https://www.freeclassificados.com/ads/conserto-rapido-e-eficiente-para-sua-lavadora-deixe-sua-rotina-sem-preocupacoes/")</f>
        <v>https://www.freeclassificados.com/ads/conserto-rapido-e-eficiente-para-sua-lavadora-deixe-sua-rotina-sem-preocupacoes/</v>
      </c>
      <c r="Y1133" s="77" t="s">
        <v>7308</v>
      </c>
      <c r="Z1133" s="77"/>
      <c r="AA1133" s="77"/>
      <c r="AB1133" s="77"/>
      <c r="AC1133" s="82" t="s">
        <v>10155</v>
      </c>
      <c r="AD1133" s="77" t="s">
        <v>10184</v>
      </c>
      <c r="AE1133" s="80" t="str">
        <f>HYPERLINK("https://twitter.com/freeclassific/status/1623345723528863744")</f>
        <v>https://twitter.com/freeclassific/status/1623345723528863744</v>
      </c>
      <c r="AF1133" s="79">
        <v>44965.652256944442</v>
      </c>
      <c r="AG1133" s="85">
        <v>44965</v>
      </c>
      <c r="AH1133" s="82" t="s">
        <v>11282</v>
      </c>
      <c r="AI1133" s="77" t="b">
        <v>0</v>
      </c>
      <c r="AJ1133" s="77"/>
      <c r="AK1133" s="77"/>
      <c r="AL1133" s="77"/>
      <c r="AM1133" s="77"/>
      <c r="AN1133" s="77"/>
      <c r="AO1133" s="77"/>
      <c r="AP1133" s="77"/>
      <c r="AQ1133" s="77"/>
      <c r="AR1133" s="77"/>
      <c r="AS1133" s="77"/>
      <c r="AT1133" s="77"/>
      <c r="AU1133" s="77"/>
      <c r="AV1133" s="80" t="str">
        <f>HYPERLINK("https://pbs.twimg.com/profile_images/1431648743728852993/tLJ7F5Lu_normal.png")</f>
        <v>https://pbs.twimg.com/profile_images/1431648743728852993/tLJ7F5Lu_normal.png</v>
      </c>
      <c r="AW1133" s="82" t="s">
        <v>17906</v>
      </c>
      <c r="AX1133" s="82" t="s">
        <v>17906</v>
      </c>
      <c r="AY1133" s="77"/>
      <c r="AZ1133" s="82" t="s">
        <v>20971</v>
      </c>
      <c r="BA1133" s="82" t="s">
        <v>20971</v>
      </c>
      <c r="BB1133" s="82" t="s">
        <v>20971</v>
      </c>
      <c r="BC1133" s="82" t="s">
        <v>17906</v>
      </c>
      <c r="BD1133" s="77">
        <v>489723814</v>
      </c>
      <c r="BE1133" s="77"/>
      <c r="BF1133" s="77"/>
      <c r="BG1133" s="77"/>
      <c r="BH1133" s="77"/>
      <c r="BI1133" s="77"/>
    </row>
    <row r="1134" spans="1:61" x14ac:dyDescent="0.25">
      <c r="A1134" s="62" t="s">
        <v>418</v>
      </c>
      <c r="B1134" s="62" t="s">
        <v>418</v>
      </c>
      <c r="C1134" s="63"/>
      <c r="D1134" s="64"/>
      <c r="E1134" s="65"/>
      <c r="F1134" s="66"/>
      <c r="G1134" s="63"/>
      <c r="H1134" s="67"/>
      <c r="I1134" s="68"/>
      <c r="J1134" s="68"/>
      <c r="K1134" s="32"/>
      <c r="L1134" s="75">
        <v>1134</v>
      </c>
      <c r="M1134" s="75"/>
      <c r="N1134" s="70"/>
      <c r="O1134" s="77" t="s">
        <v>179</v>
      </c>
      <c r="P1134" s="79">
        <v>44964.744479166664</v>
      </c>
      <c r="Q1134" s="77" t="s">
        <v>2379</v>
      </c>
      <c r="R1134" s="77">
        <v>0</v>
      </c>
      <c r="S1134" s="77">
        <v>0</v>
      </c>
      <c r="T1134" s="77">
        <v>0</v>
      </c>
      <c r="U1134" s="77">
        <v>0</v>
      </c>
      <c r="V1134" s="77">
        <v>12</v>
      </c>
      <c r="W1134" s="82" t="s">
        <v>5335</v>
      </c>
      <c r="X1134" s="80" t="str">
        <f>HYPERLINK("https://www.freeclassificados.com/ads/conserto-para-seu-refrigerador-duplex-solucao-rapida-para-problemas-comuns/")</f>
        <v>https://www.freeclassificados.com/ads/conserto-para-seu-refrigerador-duplex-solucao-rapida-para-problemas-comuns/</v>
      </c>
      <c r="Y1134" s="77" t="s">
        <v>7308</v>
      </c>
      <c r="Z1134" s="77"/>
      <c r="AA1134" s="77"/>
      <c r="AB1134" s="77"/>
      <c r="AC1134" s="82" t="s">
        <v>10155</v>
      </c>
      <c r="AD1134" s="77" t="s">
        <v>10184</v>
      </c>
      <c r="AE1134" s="80" t="str">
        <f>HYPERLINK("https://twitter.com/freeclassific/status/1623016754996776961")</f>
        <v>https://twitter.com/freeclassific/status/1623016754996776961</v>
      </c>
      <c r="AF1134" s="79">
        <v>44964.744479166664</v>
      </c>
      <c r="AG1134" s="85">
        <v>44964</v>
      </c>
      <c r="AH1134" s="82" t="s">
        <v>11283</v>
      </c>
      <c r="AI1134" s="77" t="b">
        <v>0</v>
      </c>
      <c r="AJ1134" s="77"/>
      <c r="AK1134" s="77"/>
      <c r="AL1134" s="77"/>
      <c r="AM1134" s="77"/>
      <c r="AN1134" s="77"/>
      <c r="AO1134" s="77"/>
      <c r="AP1134" s="77"/>
      <c r="AQ1134" s="77"/>
      <c r="AR1134" s="77"/>
      <c r="AS1134" s="77"/>
      <c r="AT1134" s="77"/>
      <c r="AU1134" s="77"/>
      <c r="AV1134" s="80" t="str">
        <f>HYPERLINK("https://pbs.twimg.com/profile_images/1431648743728852993/tLJ7F5Lu_normal.png")</f>
        <v>https://pbs.twimg.com/profile_images/1431648743728852993/tLJ7F5Lu_normal.png</v>
      </c>
      <c r="AW1134" s="82" t="s">
        <v>17907</v>
      </c>
      <c r="AX1134" s="82" t="s">
        <v>17907</v>
      </c>
      <c r="AY1134" s="77"/>
      <c r="AZ1134" s="82" t="s">
        <v>20971</v>
      </c>
      <c r="BA1134" s="82" t="s">
        <v>20971</v>
      </c>
      <c r="BB1134" s="82" t="s">
        <v>20971</v>
      </c>
      <c r="BC1134" s="82" t="s">
        <v>17907</v>
      </c>
      <c r="BD1134" s="77">
        <v>489723814</v>
      </c>
      <c r="BE1134" s="77"/>
      <c r="BF1134" s="77"/>
      <c r="BG1134" s="77"/>
      <c r="BH1134" s="77"/>
      <c r="BI1134" s="77"/>
    </row>
    <row r="1135" spans="1:61" x14ac:dyDescent="0.25">
      <c r="A1135" s="62" t="s">
        <v>418</v>
      </c>
      <c r="B1135" s="62" t="s">
        <v>418</v>
      </c>
      <c r="C1135" s="63"/>
      <c r="D1135" s="64"/>
      <c r="E1135" s="65"/>
      <c r="F1135" s="66"/>
      <c r="G1135" s="63"/>
      <c r="H1135" s="67"/>
      <c r="I1135" s="68"/>
      <c r="J1135" s="68"/>
      <c r="K1135" s="32"/>
      <c r="L1135" s="75">
        <v>1135</v>
      </c>
      <c r="M1135" s="75"/>
      <c r="N1135" s="70"/>
      <c r="O1135" s="77" t="s">
        <v>179</v>
      </c>
      <c r="P1135" s="79">
        <v>44964.632453703707</v>
      </c>
      <c r="Q1135" s="77" t="s">
        <v>1877</v>
      </c>
      <c r="R1135" s="77">
        <v>0</v>
      </c>
      <c r="S1135" s="77">
        <v>0</v>
      </c>
      <c r="T1135" s="77">
        <v>0</v>
      </c>
      <c r="U1135" s="77">
        <v>0</v>
      </c>
      <c r="V1135" s="77">
        <v>22</v>
      </c>
      <c r="W1135" s="82" t="s">
        <v>5335</v>
      </c>
      <c r="X1135" s="80" t="str">
        <f>HYPERLINK("https://www.freeclassificados.com/ads/palco-coberta-som-luz-alugo-palco-aluguel-tablado-de-vidro-palco-madeira-9-86-25-98-82/")</f>
        <v>https://www.freeclassificados.com/ads/palco-coberta-som-luz-alugo-palco-aluguel-tablado-de-vidro-palco-madeira-9-86-25-98-82/</v>
      </c>
      <c r="Y1135" s="77" t="s">
        <v>7308</v>
      </c>
      <c r="Z1135" s="77"/>
      <c r="AA1135" s="77"/>
      <c r="AB1135" s="77"/>
      <c r="AC1135" s="82" t="s">
        <v>10155</v>
      </c>
      <c r="AD1135" s="77" t="s">
        <v>10184</v>
      </c>
      <c r="AE1135" s="80" t="str">
        <f>HYPERLINK("https://twitter.com/freeclassific/status/1622976157497888768")</f>
        <v>https://twitter.com/freeclassific/status/1622976157497888768</v>
      </c>
      <c r="AF1135" s="79">
        <v>44964.632453703707</v>
      </c>
      <c r="AG1135" s="85">
        <v>44964</v>
      </c>
      <c r="AH1135" s="82" t="s">
        <v>11284</v>
      </c>
      <c r="AI1135" s="77" t="b">
        <v>0</v>
      </c>
      <c r="AJ1135" s="77"/>
      <c r="AK1135" s="77"/>
      <c r="AL1135" s="77"/>
      <c r="AM1135" s="77"/>
      <c r="AN1135" s="77"/>
      <c r="AO1135" s="77"/>
      <c r="AP1135" s="77"/>
      <c r="AQ1135" s="77"/>
      <c r="AR1135" s="77"/>
      <c r="AS1135" s="77"/>
      <c r="AT1135" s="77"/>
      <c r="AU1135" s="77"/>
      <c r="AV1135" s="80" t="str">
        <f>HYPERLINK("https://pbs.twimg.com/profile_images/1431648743728852993/tLJ7F5Lu_normal.png")</f>
        <v>https://pbs.twimg.com/profile_images/1431648743728852993/tLJ7F5Lu_normal.png</v>
      </c>
      <c r="AW1135" s="82" t="s">
        <v>17908</v>
      </c>
      <c r="AX1135" s="82" t="s">
        <v>17908</v>
      </c>
      <c r="AY1135" s="77"/>
      <c r="AZ1135" s="82" t="s">
        <v>20971</v>
      </c>
      <c r="BA1135" s="82" t="s">
        <v>20971</v>
      </c>
      <c r="BB1135" s="82" t="s">
        <v>20971</v>
      </c>
      <c r="BC1135" s="82" t="s">
        <v>17908</v>
      </c>
      <c r="BD1135" s="77">
        <v>489723814</v>
      </c>
      <c r="BE1135" s="77"/>
      <c r="BF1135" s="77"/>
      <c r="BG1135" s="77"/>
      <c r="BH1135" s="77"/>
      <c r="BI1135" s="77"/>
    </row>
    <row r="1136" spans="1:61" x14ac:dyDescent="0.25">
      <c r="A1136" s="62" t="s">
        <v>418</v>
      </c>
      <c r="B1136" s="62" t="s">
        <v>418</v>
      </c>
      <c r="C1136" s="63"/>
      <c r="D1136" s="64"/>
      <c r="E1136" s="65"/>
      <c r="F1136" s="66"/>
      <c r="G1136" s="63"/>
      <c r="H1136" s="67"/>
      <c r="I1136" s="68"/>
      <c r="J1136" s="68"/>
      <c r="K1136" s="32"/>
      <c r="L1136" s="75">
        <v>1136</v>
      </c>
      <c r="M1136" s="75"/>
      <c r="N1136" s="70"/>
      <c r="O1136" s="77" t="s">
        <v>179</v>
      </c>
      <c r="P1136" s="79">
        <v>44964.551539351851</v>
      </c>
      <c r="Q1136" s="77" t="s">
        <v>2380</v>
      </c>
      <c r="R1136" s="77">
        <v>0</v>
      </c>
      <c r="S1136" s="77">
        <v>0</v>
      </c>
      <c r="T1136" s="77">
        <v>0</v>
      </c>
      <c r="U1136" s="77">
        <v>0</v>
      </c>
      <c r="V1136" s="77">
        <v>13</v>
      </c>
      <c r="W1136" s="82" t="s">
        <v>5335</v>
      </c>
      <c r="X1136" s="80" t="str">
        <f>HYPERLINK("https://www.freeclassificados.com/ads/inspecao-e-limpeza-de-cisternas-na-barra-da-tijuca/")</f>
        <v>https://www.freeclassificados.com/ads/inspecao-e-limpeza-de-cisternas-na-barra-da-tijuca/</v>
      </c>
      <c r="Y1136" s="77" t="s">
        <v>7308</v>
      </c>
      <c r="Z1136" s="77"/>
      <c r="AA1136" s="77"/>
      <c r="AB1136" s="77"/>
      <c r="AC1136" s="82" t="s">
        <v>10155</v>
      </c>
      <c r="AD1136" s="77" t="s">
        <v>10184</v>
      </c>
      <c r="AE1136" s="80" t="str">
        <f>HYPERLINK("https://twitter.com/freeclassific/status/1622946836691525633")</f>
        <v>https://twitter.com/freeclassific/status/1622946836691525633</v>
      </c>
      <c r="AF1136" s="79">
        <v>44964.551539351851</v>
      </c>
      <c r="AG1136" s="85">
        <v>44964</v>
      </c>
      <c r="AH1136" s="82" t="s">
        <v>11285</v>
      </c>
      <c r="AI1136" s="77" t="b">
        <v>0</v>
      </c>
      <c r="AJ1136" s="77"/>
      <c r="AK1136" s="77"/>
      <c r="AL1136" s="77"/>
      <c r="AM1136" s="77"/>
      <c r="AN1136" s="77"/>
      <c r="AO1136" s="77"/>
      <c r="AP1136" s="77"/>
      <c r="AQ1136" s="77"/>
      <c r="AR1136" s="77"/>
      <c r="AS1136" s="77"/>
      <c r="AT1136" s="77"/>
      <c r="AU1136" s="77"/>
      <c r="AV1136" s="80" t="str">
        <f>HYPERLINK("https://pbs.twimg.com/profile_images/1431648743728852993/tLJ7F5Lu_normal.png")</f>
        <v>https://pbs.twimg.com/profile_images/1431648743728852993/tLJ7F5Lu_normal.png</v>
      </c>
      <c r="AW1136" s="82" t="s">
        <v>17909</v>
      </c>
      <c r="AX1136" s="82" t="s">
        <v>17909</v>
      </c>
      <c r="AY1136" s="77"/>
      <c r="AZ1136" s="82" t="s">
        <v>20971</v>
      </c>
      <c r="BA1136" s="82" t="s">
        <v>20971</v>
      </c>
      <c r="BB1136" s="82" t="s">
        <v>20971</v>
      </c>
      <c r="BC1136" s="82" t="s">
        <v>17909</v>
      </c>
      <c r="BD1136" s="77">
        <v>489723814</v>
      </c>
      <c r="BE1136" s="77"/>
      <c r="BF1136" s="77"/>
      <c r="BG1136" s="77"/>
      <c r="BH1136" s="77"/>
      <c r="BI1136" s="77"/>
    </row>
    <row r="1137" spans="1:61" x14ac:dyDescent="0.25">
      <c r="A1137" s="62" t="s">
        <v>418</v>
      </c>
      <c r="B1137" s="62" t="s">
        <v>418</v>
      </c>
      <c r="C1137" s="63"/>
      <c r="D1137" s="64"/>
      <c r="E1137" s="65"/>
      <c r="F1137" s="66"/>
      <c r="G1137" s="63"/>
      <c r="H1137" s="67"/>
      <c r="I1137" s="68"/>
      <c r="J1137" s="68"/>
      <c r="K1137" s="32"/>
      <c r="L1137" s="75">
        <v>1137</v>
      </c>
      <c r="M1137" s="75"/>
      <c r="N1137" s="70"/>
      <c r="O1137" s="77" t="s">
        <v>179</v>
      </c>
      <c r="P1137" s="79">
        <v>44963.9377662037</v>
      </c>
      <c r="Q1137" s="77" t="s">
        <v>2381</v>
      </c>
      <c r="R1137" s="77">
        <v>0</v>
      </c>
      <c r="S1137" s="77">
        <v>0</v>
      </c>
      <c r="T1137" s="77">
        <v>0</v>
      </c>
      <c r="U1137" s="77">
        <v>0</v>
      </c>
      <c r="V1137" s="77">
        <v>14</v>
      </c>
      <c r="W1137" s="82" t="s">
        <v>5335</v>
      </c>
      <c r="X1137" s="80" t="str">
        <f>HYPERLINK("https://www.freeclassificados.com/ads/como-ganhar-de-r2-50000-a-r5-00000-por-mes-fazendo-e-vendendo-bolos-no-pote-muito-lucrativo/")</f>
        <v>https://www.freeclassificados.com/ads/como-ganhar-de-r2-50000-a-r5-00000-por-mes-fazendo-e-vendendo-bolos-no-pote-muito-lucrativo/</v>
      </c>
      <c r="Y1137" s="77" t="s">
        <v>7308</v>
      </c>
      <c r="Z1137" s="77"/>
      <c r="AA1137" s="77"/>
      <c r="AB1137" s="77"/>
      <c r="AC1137" s="82" t="s">
        <v>10155</v>
      </c>
      <c r="AD1137" s="77" t="s">
        <v>10184</v>
      </c>
      <c r="AE1137" s="80" t="str">
        <f>HYPERLINK("https://twitter.com/freeclassific/status/1622724415174705156")</f>
        <v>https://twitter.com/freeclassific/status/1622724415174705156</v>
      </c>
      <c r="AF1137" s="79">
        <v>44963.9377662037</v>
      </c>
      <c r="AG1137" s="85">
        <v>44963</v>
      </c>
      <c r="AH1137" s="82" t="s">
        <v>11286</v>
      </c>
      <c r="AI1137" s="77" t="b">
        <v>0</v>
      </c>
      <c r="AJ1137" s="77"/>
      <c r="AK1137" s="77"/>
      <c r="AL1137" s="77"/>
      <c r="AM1137" s="77"/>
      <c r="AN1137" s="77"/>
      <c r="AO1137" s="77"/>
      <c r="AP1137" s="77"/>
      <c r="AQ1137" s="77"/>
      <c r="AR1137" s="77"/>
      <c r="AS1137" s="77"/>
      <c r="AT1137" s="77"/>
      <c r="AU1137" s="77"/>
      <c r="AV1137" s="80" t="str">
        <f>HYPERLINK("https://pbs.twimg.com/profile_images/1431648743728852993/tLJ7F5Lu_normal.png")</f>
        <v>https://pbs.twimg.com/profile_images/1431648743728852993/tLJ7F5Lu_normal.png</v>
      </c>
      <c r="AW1137" s="82" t="s">
        <v>17910</v>
      </c>
      <c r="AX1137" s="82" t="s">
        <v>17910</v>
      </c>
      <c r="AY1137" s="77"/>
      <c r="AZ1137" s="82" t="s">
        <v>20971</v>
      </c>
      <c r="BA1137" s="82" t="s">
        <v>20971</v>
      </c>
      <c r="BB1137" s="82" t="s">
        <v>20971</v>
      </c>
      <c r="BC1137" s="82" t="s">
        <v>17910</v>
      </c>
      <c r="BD1137" s="77">
        <v>489723814</v>
      </c>
      <c r="BE1137" s="77"/>
      <c r="BF1137" s="77"/>
      <c r="BG1137" s="77"/>
      <c r="BH1137" s="77"/>
      <c r="BI1137" s="77"/>
    </row>
    <row r="1138" spans="1:61" x14ac:dyDescent="0.25">
      <c r="A1138" s="62" t="s">
        <v>418</v>
      </c>
      <c r="B1138" s="62" t="s">
        <v>418</v>
      </c>
      <c r="C1138" s="63"/>
      <c r="D1138" s="64"/>
      <c r="E1138" s="65"/>
      <c r="F1138" s="66"/>
      <c r="G1138" s="63"/>
      <c r="H1138" s="67"/>
      <c r="I1138" s="68"/>
      <c r="J1138" s="68"/>
      <c r="K1138" s="32"/>
      <c r="L1138" s="75">
        <v>1138</v>
      </c>
      <c r="M1138" s="75"/>
      <c r="N1138" s="70"/>
      <c r="O1138" s="77" t="s">
        <v>179</v>
      </c>
      <c r="P1138" s="79">
        <v>44963.926192129627</v>
      </c>
      <c r="Q1138" s="77" t="s">
        <v>2382</v>
      </c>
      <c r="R1138" s="77">
        <v>0</v>
      </c>
      <c r="S1138" s="77">
        <v>0</v>
      </c>
      <c r="T1138" s="77">
        <v>0</v>
      </c>
      <c r="U1138" s="77">
        <v>0</v>
      </c>
      <c r="V1138" s="77">
        <v>36</v>
      </c>
      <c r="W1138" s="82" t="s">
        <v>5335</v>
      </c>
      <c r="X1138" s="80" t="str">
        <f>HYPERLINK("https://www.freeclassificados.com/ads/super-mangueira-magica-extensivel-2/")</f>
        <v>https://www.freeclassificados.com/ads/super-mangueira-magica-extensivel-2/</v>
      </c>
      <c r="Y1138" s="77" t="s">
        <v>7308</v>
      </c>
      <c r="Z1138" s="77"/>
      <c r="AA1138" s="77"/>
      <c r="AB1138" s="77"/>
      <c r="AC1138" s="82" t="s">
        <v>10155</v>
      </c>
      <c r="AD1138" s="77" t="s">
        <v>10184</v>
      </c>
      <c r="AE1138" s="80" t="str">
        <f>HYPERLINK("https://twitter.com/freeclassific/status/1622720217272000513")</f>
        <v>https://twitter.com/freeclassific/status/1622720217272000513</v>
      </c>
      <c r="AF1138" s="79">
        <v>44963.926192129627</v>
      </c>
      <c r="AG1138" s="85">
        <v>44963</v>
      </c>
      <c r="AH1138" s="82" t="s">
        <v>11287</v>
      </c>
      <c r="AI1138" s="77" t="b">
        <v>0</v>
      </c>
      <c r="AJ1138" s="77"/>
      <c r="AK1138" s="77"/>
      <c r="AL1138" s="77"/>
      <c r="AM1138" s="77"/>
      <c r="AN1138" s="77"/>
      <c r="AO1138" s="77"/>
      <c r="AP1138" s="77"/>
      <c r="AQ1138" s="77"/>
      <c r="AR1138" s="77"/>
      <c r="AS1138" s="77"/>
      <c r="AT1138" s="77"/>
      <c r="AU1138" s="77"/>
      <c r="AV1138" s="80" t="str">
        <f>HYPERLINK("https://pbs.twimg.com/profile_images/1431648743728852993/tLJ7F5Lu_normal.png")</f>
        <v>https://pbs.twimg.com/profile_images/1431648743728852993/tLJ7F5Lu_normal.png</v>
      </c>
      <c r="AW1138" s="82" t="s">
        <v>17911</v>
      </c>
      <c r="AX1138" s="82" t="s">
        <v>17911</v>
      </c>
      <c r="AY1138" s="77"/>
      <c r="AZ1138" s="82" t="s">
        <v>20971</v>
      </c>
      <c r="BA1138" s="82" t="s">
        <v>20971</v>
      </c>
      <c r="BB1138" s="82" t="s">
        <v>20971</v>
      </c>
      <c r="BC1138" s="82" t="s">
        <v>17911</v>
      </c>
      <c r="BD1138" s="77">
        <v>489723814</v>
      </c>
      <c r="BE1138" s="77"/>
      <c r="BF1138" s="77"/>
      <c r="BG1138" s="77"/>
      <c r="BH1138" s="77"/>
      <c r="BI1138" s="77"/>
    </row>
    <row r="1139" spans="1:61" x14ac:dyDescent="0.25">
      <c r="A1139" s="62" t="s">
        <v>418</v>
      </c>
      <c r="B1139" s="62" t="s">
        <v>418</v>
      </c>
      <c r="C1139" s="63"/>
      <c r="D1139" s="64"/>
      <c r="E1139" s="65"/>
      <c r="F1139" s="66"/>
      <c r="G1139" s="63"/>
      <c r="H1139" s="67"/>
      <c r="I1139" s="68"/>
      <c r="J1139" s="68"/>
      <c r="K1139" s="32"/>
      <c r="L1139" s="75">
        <v>1139</v>
      </c>
      <c r="M1139" s="75"/>
      <c r="N1139" s="70"/>
      <c r="O1139" s="77" t="s">
        <v>179</v>
      </c>
      <c r="P1139" s="79">
        <v>44963.845393518517</v>
      </c>
      <c r="Q1139" s="77" t="s">
        <v>2383</v>
      </c>
      <c r="R1139" s="77">
        <v>0</v>
      </c>
      <c r="S1139" s="77">
        <v>0</v>
      </c>
      <c r="T1139" s="77">
        <v>0</v>
      </c>
      <c r="U1139" s="77">
        <v>0</v>
      </c>
      <c r="V1139" s="77">
        <v>28</v>
      </c>
      <c r="W1139" s="82" t="s">
        <v>5335</v>
      </c>
      <c r="X1139" s="80" t="str">
        <f>HYPERLINK("https://www.freeclassificados.com/ads/apple-iphone-14-pro-max-1tb/")</f>
        <v>https://www.freeclassificados.com/ads/apple-iphone-14-pro-max-1tb/</v>
      </c>
      <c r="Y1139" s="77" t="s">
        <v>7308</v>
      </c>
      <c r="Z1139" s="77"/>
      <c r="AA1139" s="77"/>
      <c r="AB1139" s="77"/>
      <c r="AC1139" s="82" t="s">
        <v>10155</v>
      </c>
      <c r="AD1139" s="77" t="s">
        <v>10192</v>
      </c>
      <c r="AE1139" s="80" t="str">
        <f>HYPERLINK("https://twitter.com/freeclassific/status/1622690940015022092")</f>
        <v>https://twitter.com/freeclassific/status/1622690940015022092</v>
      </c>
      <c r="AF1139" s="79">
        <v>44963.845393518517</v>
      </c>
      <c r="AG1139" s="85">
        <v>44963</v>
      </c>
      <c r="AH1139" s="82" t="s">
        <v>11288</v>
      </c>
      <c r="AI1139" s="77" t="b">
        <v>0</v>
      </c>
      <c r="AJ1139" s="77"/>
      <c r="AK1139" s="77"/>
      <c r="AL1139" s="77"/>
      <c r="AM1139" s="77"/>
      <c r="AN1139" s="77"/>
      <c r="AO1139" s="77"/>
      <c r="AP1139" s="77"/>
      <c r="AQ1139" s="77"/>
      <c r="AR1139" s="77"/>
      <c r="AS1139" s="77"/>
      <c r="AT1139" s="77"/>
      <c r="AU1139" s="77"/>
      <c r="AV1139" s="80" t="str">
        <f>HYPERLINK("https://pbs.twimg.com/profile_images/1431648743728852993/tLJ7F5Lu_normal.png")</f>
        <v>https://pbs.twimg.com/profile_images/1431648743728852993/tLJ7F5Lu_normal.png</v>
      </c>
      <c r="AW1139" s="82" t="s">
        <v>17912</v>
      </c>
      <c r="AX1139" s="82" t="s">
        <v>17912</v>
      </c>
      <c r="AY1139" s="77"/>
      <c r="AZ1139" s="82" t="s">
        <v>20971</v>
      </c>
      <c r="BA1139" s="82" t="s">
        <v>20971</v>
      </c>
      <c r="BB1139" s="82" t="s">
        <v>20971</v>
      </c>
      <c r="BC1139" s="82" t="s">
        <v>17912</v>
      </c>
      <c r="BD1139" s="77">
        <v>489723814</v>
      </c>
      <c r="BE1139" s="77"/>
      <c r="BF1139" s="77"/>
      <c r="BG1139" s="77"/>
      <c r="BH1139" s="77"/>
      <c r="BI1139" s="77"/>
    </row>
    <row r="1140" spans="1:61" x14ac:dyDescent="0.25">
      <c r="A1140" s="62" t="s">
        <v>419</v>
      </c>
      <c r="B1140" s="62" t="s">
        <v>419</v>
      </c>
      <c r="C1140" s="63"/>
      <c r="D1140" s="64"/>
      <c r="E1140" s="65"/>
      <c r="F1140" s="66"/>
      <c r="G1140" s="63"/>
      <c r="H1140" s="67"/>
      <c r="I1140" s="68"/>
      <c r="J1140" s="68"/>
      <c r="K1140" s="32"/>
      <c r="L1140" s="75">
        <v>1140</v>
      </c>
      <c r="M1140" s="75"/>
      <c r="N1140" s="70"/>
      <c r="O1140" s="77" t="s">
        <v>179</v>
      </c>
      <c r="P1140" s="79">
        <v>45085.089629629627</v>
      </c>
      <c r="Q1140" s="77" t="s">
        <v>2384</v>
      </c>
      <c r="R1140" s="77">
        <v>0</v>
      </c>
      <c r="S1140" s="77">
        <v>3</v>
      </c>
      <c r="T1140" s="77">
        <v>0</v>
      </c>
      <c r="U1140" s="77">
        <v>1</v>
      </c>
      <c r="V1140" s="77">
        <v>57</v>
      </c>
      <c r="W1140" s="82" t="s">
        <v>5561</v>
      </c>
      <c r="X1140" s="80" t="str">
        <f>HYPERLINK("https://bit.ly/3Oqs8fu")</f>
        <v>https://bit.ly/3Oqs8fu</v>
      </c>
      <c r="Y1140" s="77" t="s">
        <v>7268</v>
      </c>
      <c r="Z1140" s="77"/>
      <c r="AA1140" s="77" t="s">
        <v>7922</v>
      </c>
      <c r="AB1140" s="77" t="s">
        <v>10129</v>
      </c>
      <c r="AC1140" s="82" t="s">
        <v>10144</v>
      </c>
      <c r="AD1140" s="77" t="s">
        <v>10184</v>
      </c>
      <c r="AE1140" s="80" t="str">
        <f>HYPERLINK("https://twitter.com/denis0ncardoso/status/1666628378873458689")</f>
        <v>https://twitter.com/denis0ncardoso/status/1666628378873458689</v>
      </c>
      <c r="AF1140" s="79">
        <v>45085.089629629627</v>
      </c>
      <c r="AG1140" s="85">
        <v>45085</v>
      </c>
      <c r="AH1140" s="82" t="s">
        <v>11289</v>
      </c>
      <c r="AI1140" s="77" t="b">
        <v>0</v>
      </c>
      <c r="AJ1140" s="77"/>
      <c r="AK1140" s="77"/>
      <c r="AL1140" s="77"/>
      <c r="AM1140" s="77"/>
      <c r="AN1140" s="77"/>
      <c r="AO1140" s="77"/>
      <c r="AP1140" s="77"/>
      <c r="AQ1140" s="77" t="s">
        <v>14566</v>
      </c>
      <c r="AR1140" s="77">
        <v>10030</v>
      </c>
      <c r="AS1140" s="77"/>
      <c r="AT1140" s="77"/>
      <c r="AU1140" s="77"/>
      <c r="AV1140" s="80" t="str">
        <f>HYPERLINK("https://pbs.twimg.com/ext_tw_video_thumb/1666628355091845120/pu/img/8QHiSLsF7L7u9g8m.jpg")</f>
        <v>https://pbs.twimg.com/ext_tw_video_thumb/1666628355091845120/pu/img/8QHiSLsF7L7u9g8m.jpg</v>
      </c>
      <c r="AW1140" s="82" t="s">
        <v>17913</v>
      </c>
      <c r="AX1140" s="82" t="s">
        <v>17913</v>
      </c>
      <c r="AY1140" s="77"/>
      <c r="AZ1140" s="82" t="s">
        <v>20971</v>
      </c>
      <c r="BA1140" s="82" t="s">
        <v>20971</v>
      </c>
      <c r="BB1140" s="82" t="s">
        <v>20971</v>
      </c>
      <c r="BC1140" s="82" t="s">
        <v>17913</v>
      </c>
      <c r="BD1140" s="82" t="s">
        <v>21155</v>
      </c>
      <c r="BE1140" s="77"/>
      <c r="BF1140" s="77"/>
      <c r="BG1140" s="77"/>
      <c r="BH1140" s="77"/>
      <c r="BI1140" s="77"/>
    </row>
    <row r="1141" spans="1:61" x14ac:dyDescent="0.25">
      <c r="A1141" s="62" t="s">
        <v>419</v>
      </c>
      <c r="B1141" s="62" t="s">
        <v>419</v>
      </c>
      <c r="C1141" s="63"/>
      <c r="D1141" s="64"/>
      <c r="E1141" s="65"/>
      <c r="F1141" s="66"/>
      <c r="G1141" s="63"/>
      <c r="H1141" s="67"/>
      <c r="I1141" s="68"/>
      <c r="J1141" s="68"/>
      <c r="K1141" s="32"/>
      <c r="L1141" s="75">
        <v>1141</v>
      </c>
      <c r="M1141" s="75"/>
      <c r="N1141" s="70"/>
      <c r="O1141" s="77" t="s">
        <v>179</v>
      </c>
      <c r="P1141" s="79">
        <v>45087.872314814813</v>
      </c>
      <c r="Q1141" s="77" t="s">
        <v>2385</v>
      </c>
      <c r="R1141" s="77">
        <v>1</v>
      </c>
      <c r="S1141" s="77">
        <v>1</v>
      </c>
      <c r="T1141" s="77">
        <v>0</v>
      </c>
      <c r="U1141" s="77">
        <v>0</v>
      </c>
      <c r="V1141" s="77">
        <v>22</v>
      </c>
      <c r="W1141" s="82" t="s">
        <v>5562</v>
      </c>
      <c r="X1141" s="80" t="str">
        <f>HYPERLINK("https://encurtador.com.br/bjJNZ")</f>
        <v>https://encurtador.com.br/bjJNZ</v>
      </c>
      <c r="Y1141" s="77" t="s">
        <v>7252</v>
      </c>
      <c r="Z1141" s="77"/>
      <c r="AA1141" s="77" t="s">
        <v>7923</v>
      </c>
      <c r="AB1141" s="77" t="s">
        <v>10130</v>
      </c>
      <c r="AC1141" s="82" t="s">
        <v>10144</v>
      </c>
      <c r="AD1141" s="77" t="s">
        <v>10184</v>
      </c>
      <c r="AE1141" s="80" t="str">
        <f>HYPERLINK("https://twitter.com/denis0ncardoso/status/1667636788087734272")</f>
        <v>https://twitter.com/denis0ncardoso/status/1667636788087734272</v>
      </c>
      <c r="AF1141" s="79">
        <v>45087.872314814813</v>
      </c>
      <c r="AG1141" s="85">
        <v>45087</v>
      </c>
      <c r="AH1141" s="82" t="s">
        <v>11290</v>
      </c>
      <c r="AI1141" s="77" t="b">
        <v>0</v>
      </c>
      <c r="AJ1141" s="77"/>
      <c r="AK1141" s="77"/>
      <c r="AL1141" s="77"/>
      <c r="AM1141" s="77"/>
      <c r="AN1141" s="77"/>
      <c r="AO1141" s="77"/>
      <c r="AP1141" s="77"/>
      <c r="AQ1141" s="77" t="s">
        <v>14567</v>
      </c>
      <c r="AR1141" s="77"/>
      <c r="AS1141" s="77"/>
      <c r="AT1141" s="77"/>
      <c r="AU1141" s="77"/>
      <c r="AV1141" s="80" t="str">
        <f>HYPERLINK("https://pbs.twimg.com/media/FySi0AKXsAIQuH3.jpg")</f>
        <v>https://pbs.twimg.com/media/FySi0AKXsAIQuH3.jpg</v>
      </c>
      <c r="AW1141" s="82" t="s">
        <v>17914</v>
      </c>
      <c r="AX1141" s="82" t="s">
        <v>17914</v>
      </c>
      <c r="AY1141" s="77"/>
      <c r="AZ1141" s="82" t="s">
        <v>20971</v>
      </c>
      <c r="BA1141" s="82" t="s">
        <v>20971</v>
      </c>
      <c r="BB1141" s="82" t="s">
        <v>20971</v>
      </c>
      <c r="BC1141" s="82" t="s">
        <v>17914</v>
      </c>
      <c r="BD1141" s="82" t="s">
        <v>21155</v>
      </c>
      <c r="BE1141" s="77"/>
      <c r="BF1141" s="77"/>
      <c r="BG1141" s="77"/>
      <c r="BH1141" s="77"/>
      <c r="BI1141" s="77"/>
    </row>
    <row r="1142" spans="1:61" x14ac:dyDescent="0.25">
      <c r="A1142" s="62" t="s">
        <v>420</v>
      </c>
      <c r="B1142" s="62" t="s">
        <v>1241</v>
      </c>
      <c r="C1142" s="63"/>
      <c r="D1142" s="64"/>
      <c r="E1142" s="65"/>
      <c r="F1142" s="66"/>
      <c r="G1142" s="63"/>
      <c r="H1142" s="67"/>
      <c r="I1142" s="68"/>
      <c r="J1142" s="68"/>
      <c r="K1142" s="32"/>
      <c r="L1142" s="75">
        <v>1142</v>
      </c>
      <c r="M1142" s="75"/>
      <c r="N1142" s="70"/>
      <c r="O1142" s="77" t="s">
        <v>1285</v>
      </c>
      <c r="P1142" s="79">
        <v>44992.633831018517</v>
      </c>
      <c r="Q1142" s="77" t="s">
        <v>2386</v>
      </c>
      <c r="R1142" s="77">
        <v>0</v>
      </c>
      <c r="S1142" s="77">
        <v>0</v>
      </c>
      <c r="T1142" s="77">
        <v>0</v>
      </c>
      <c r="U1142" s="77">
        <v>0</v>
      </c>
      <c r="V1142" s="77">
        <v>53</v>
      </c>
      <c r="W1142" s="82" t="s">
        <v>5563</v>
      </c>
      <c r="X1142" s="80" t="str">
        <f>HYPERLINK("https://youtu.be/Itmj2lEJxiM")</f>
        <v>https://youtu.be/Itmj2lEJxiM</v>
      </c>
      <c r="Y1142" s="77" t="s">
        <v>7248</v>
      </c>
      <c r="Z1142" s="77" t="s">
        <v>1241</v>
      </c>
      <c r="AA1142" s="77"/>
      <c r="AB1142" s="77"/>
      <c r="AC1142" s="82" t="s">
        <v>10146</v>
      </c>
      <c r="AD1142" s="77" t="s">
        <v>10184</v>
      </c>
      <c r="AE1142" s="80" t="str">
        <f>HYPERLINK("https://twitter.com/advbuda/status/1633123520514228226")</f>
        <v>https://twitter.com/advbuda/status/1633123520514228226</v>
      </c>
      <c r="AF1142" s="79">
        <v>44992.633831018517</v>
      </c>
      <c r="AG1142" s="85">
        <v>44992</v>
      </c>
      <c r="AH1142" s="82" t="s">
        <v>11291</v>
      </c>
      <c r="AI1142" s="77" t="b">
        <v>0</v>
      </c>
      <c r="AJ1142" s="77"/>
      <c r="AK1142" s="77"/>
      <c r="AL1142" s="77"/>
      <c r="AM1142" s="77"/>
      <c r="AN1142" s="77"/>
      <c r="AO1142" s="77"/>
      <c r="AP1142" s="77"/>
      <c r="AQ1142" s="77"/>
      <c r="AR1142" s="77"/>
      <c r="AS1142" s="77"/>
      <c r="AT1142" s="77"/>
      <c r="AU1142" s="77"/>
      <c r="AV1142" s="80" t="str">
        <f>HYPERLINK("https://pbs.twimg.com/profile_images/1676297162068488212/iJiTcmo1_normal.jpg")</f>
        <v>https://pbs.twimg.com/profile_images/1676297162068488212/iJiTcmo1_normal.jpg</v>
      </c>
      <c r="AW1142" s="82" t="s">
        <v>17915</v>
      </c>
      <c r="AX1142" s="82" t="s">
        <v>17915</v>
      </c>
      <c r="AY1142" s="77"/>
      <c r="AZ1142" s="82" t="s">
        <v>20971</v>
      </c>
      <c r="BA1142" s="82" t="s">
        <v>20971</v>
      </c>
      <c r="BB1142" s="82" t="s">
        <v>20971</v>
      </c>
      <c r="BC1142" s="82" t="s">
        <v>17915</v>
      </c>
      <c r="BD1142" s="77">
        <v>64321869</v>
      </c>
      <c r="BE1142" s="77"/>
      <c r="BF1142" s="77"/>
      <c r="BG1142" s="77"/>
      <c r="BH1142" s="77"/>
      <c r="BI1142" s="77"/>
    </row>
    <row r="1143" spans="1:61" x14ac:dyDescent="0.25">
      <c r="A1143" s="62" t="s">
        <v>421</v>
      </c>
      <c r="B1143" s="62" t="s">
        <v>421</v>
      </c>
      <c r="C1143" s="63"/>
      <c r="D1143" s="64"/>
      <c r="E1143" s="65"/>
      <c r="F1143" s="66"/>
      <c r="G1143" s="63"/>
      <c r="H1143" s="67"/>
      <c r="I1143" s="68"/>
      <c r="J1143" s="68"/>
      <c r="K1143" s="32"/>
      <c r="L1143" s="75">
        <v>1143</v>
      </c>
      <c r="M1143" s="75"/>
      <c r="N1143" s="70"/>
      <c r="O1143" s="77" t="s">
        <v>179</v>
      </c>
      <c r="P1143" s="79">
        <v>44992.101840277777</v>
      </c>
      <c r="Q1143" s="77" t="s">
        <v>2387</v>
      </c>
      <c r="R1143" s="77">
        <v>0</v>
      </c>
      <c r="S1143" s="77">
        <v>0</v>
      </c>
      <c r="T1143" s="77">
        <v>0</v>
      </c>
      <c r="U1143" s="77">
        <v>0</v>
      </c>
      <c r="V1143" s="77">
        <v>51</v>
      </c>
      <c r="W1143" s="82" t="s">
        <v>5564</v>
      </c>
      <c r="X1143" s="77"/>
      <c r="Y1143" s="77"/>
      <c r="Z1143" s="77"/>
      <c r="AA1143" s="77" t="s">
        <v>7924</v>
      </c>
      <c r="AB1143" s="77" t="s">
        <v>10129</v>
      </c>
      <c r="AC1143" s="82" t="s">
        <v>10146</v>
      </c>
      <c r="AD1143" s="77" t="s">
        <v>10184</v>
      </c>
      <c r="AE1143" s="80" t="str">
        <f>HYPERLINK("https://twitter.com/joaoabn/status/1632930730874400768")</f>
        <v>https://twitter.com/joaoabn/status/1632930730874400768</v>
      </c>
      <c r="AF1143" s="79">
        <v>44992.101840277777</v>
      </c>
      <c r="AG1143" s="85">
        <v>44992</v>
      </c>
      <c r="AH1143" s="82" t="s">
        <v>11292</v>
      </c>
      <c r="AI1143" s="77" t="b">
        <v>0</v>
      </c>
      <c r="AJ1143" s="77"/>
      <c r="AK1143" s="77"/>
      <c r="AL1143" s="77"/>
      <c r="AM1143" s="77"/>
      <c r="AN1143" s="77"/>
      <c r="AO1143" s="77"/>
      <c r="AP1143" s="77"/>
      <c r="AQ1143" s="77" t="s">
        <v>14568</v>
      </c>
      <c r="AR1143" s="77">
        <v>30760</v>
      </c>
      <c r="AS1143" s="77"/>
      <c r="AT1143" s="77"/>
      <c r="AU1143" s="77"/>
      <c r="AV1143" s="80" t="str">
        <f>HYPERLINK("https://pbs.twimg.com/ext_tw_video_thumb/1632930380125818881/pu/img/SIHdTqR39EzhDa9t.jpg")</f>
        <v>https://pbs.twimg.com/ext_tw_video_thumb/1632930380125818881/pu/img/SIHdTqR39EzhDa9t.jpg</v>
      </c>
      <c r="AW1143" s="82" t="s">
        <v>17916</v>
      </c>
      <c r="AX1143" s="82" t="s">
        <v>17916</v>
      </c>
      <c r="AY1143" s="77"/>
      <c r="AZ1143" s="82" t="s">
        <v>20971</v>
      </c>
      <c r="BA1143" s="82" t="s">
        <v>20971</v>
      </c>
      <c r="BB1143" s="82" t="s">
        <v>20971</v>
      </c>
      <c r="BC1143" s="82" t="s">
        <v>17916</v>
      </c>
      <c r="BD1143" s="77">
        <v>33388780</v>
      </c>
      <c r="BE1143" s="77"/>
      <c r="BF1143" s="77"/>
      <c r="BG1143" s="77"/>
      <c r="BH1143" s="77"/>
      <c r="BI1143" s="77"/>
    </row>
    <row r="1144" spans="1:61" x14ac:dyDescent="0.25">
      <c r="A1144" s="62" t="s">
        <v>422</v>
      </c>
      <c r="B1144" s="62" t="s">
        <v>422</v>
      </c>
      <c r="C1144" s="63"/>
      <c r="D1144" s="64"/>
      <c r="E1144" s="65"/>
      <c r="F1144" s="66"/>
      <c r="G1144" s="63"/>
      <c r="H1144" s="67"/>
      <c r="I1144" s="68"/>
      <c r="J1144" s="68"/>
      <c r="K1144" s="32"/>
      <c r="L1144" s="75">
        <v>1144</v>
      </c>
      <c r="M1144" s="75"/>
      <c r="N1144" s="70"/>
      <c r="O1144" s="77" t="s">
        <v>179</v>
      </c>
      <c r="P1144" s="79">
        <v>44972.772939814815</v>
      </c>
      <c r="Q1144" s="77" t="s">
        <v>2388</v>
      </c>
      <c r="R1144" s="77">
        <v>0</v>
      </c>
      <c r="S1144" s="77">
        <v>0</v>
      </c>
      <c r="T1144" s="77">
        <v>0</v>
      </c>
      <c r="U1144" s="77">
        <v>0</v>
      </c>
      <c r="V1144" s="77">
        <v>82</v>
      </c>
      <c r="W1144" s="82" t="s">
        <v>5565</v>
      </c>
      <c r="X1144" s="80" t="str">
        <f>HYPERLINK("https://go.hotmart.com/Q79717198F")</f>
        <v>https://go.hotmart.com/Q79717198F</v>
      </c>
      <c r="Y1144" s="77" t="s">
        <v>7251</v>
      </c>
      <c r="Z1144" s="77"/>
      <c r="AA1144" s="77" t="s">
        <v>7925</v>
      </c>
      <c r="AB1144" s="77" t="s">
        <v>10129</v>
      </c>
      <c r="AC1144" s="82" t="s">
        <v>10146</v>
      </c>
      <c r="AD1144" s="77" t="s">
        <v>10184</v>
      </c>
      <c r="AE1144" s="80" t="str">
        <f>HYPERLINK("https://twitter.com/daianybr291/status/1625926171966701599")</f>
        <v>https://twitter.com/daianybr291/status/1625926171966701599</v>
      </c>
      <c r="AF1144" s="79">
        <v>44972.772939814815</v>
      </c>
      <c r="AG1144" s="85">
        <v>44972</v>
      </c>
      <c r="AH1144" s="82" t="s">
        <v>11293</v>
      </c>
      <c r="AI1144" s="77" t="b">
        <v>0</v>
      </c>
      <c r="AJ1144" s="77"/>
      <c r="AK1144" s="77"/>
      <c r="AL1144" s="77"/>
      <c r="AM1144" s="77"/>
      <c r="AN1144" s="77"/>
      <c r="AO1144" s="77"/>
      <c r="AP1144" s="77"/>
      <c r="AQ1144" s="77" t="s">
        <v>14569</v>
      </c>
      <c r="AR1144" s="77">
        <v>8426</v>
      </c>
      <c r="AS1144" s="77"/>
      <c r="AT1144" s="77"/>
      <c r="AU1144" s="77"/>
      <c r="AV1144" s="80" t="str">
        <f>HYPERLINK("https://pbs.twimg.com/ext_tw_video_thumb/1625924875184373780/pu/img/kUQ_fLGrx16LXTZF.jpg")</f>
        <v>https://pbs.twimg.com/ext_tw_video_thumb/1625924875184373780/pu/img/kUQ_fLGrx16LXTZF.jpg</v>
      </c>
      <c r="AW1144" s="82" t="s">
        <v>17917</v>
      </c>
      <c r="AX1144" s="82" t="s">
        <v>17917</v>
      </c>
      <c r="AY1144" s="77"/>
      <c r="AZ1144" s="82" t="s">
        <v>20971</v>
      </c>
      <c r="BA1144" s="82" t="s">
        <v>20971</v>
      </c>
      <c r="BB1144" s="82" t="s">
        <v>20971</v>
      </c>
      <c r="BC1144" s="82" t="s">
        <v>17917</v>
      </c>
      <c r="BD1144" s="82" t="s">
        <v>21156</v>
      </c>
      <c r="BE1144" s="77"/>
      <c r="BF1144" s="77"/>
      <c r="BG1144" s="77"/>
      <c r="BH1144" s="77"/>
      <c r="BI1144" s="77"/>
    </row>
    <row r="1145" spans="1:61" x14ac:dyDescent="0.25">
      <c r="A1145" s="62" t="s">
        <v>423</v>
      </c>
      <c r="B1145" s="62" t="s">
        <v>423</v>
      </c>
      <c r="C1145" s="63"/>
      <c r="D1145" s="64"/>
      <c r="E1145" s="65"/>
      <c r="F1145" s="66"/>
      <c r="G1145" s="63"/>
      <c r="H1145" s="67"/>
      <c r="I1145" s="68"/>
      <c r="J1145" s="68"/>
      <c r="K1145" s="32"/>
      <c r="L1145" s="75">
        <v>1145</v>
      </c>
      <c r="M1145" s="75"/>
      <c r="N1145" s="70"/>
      <c r="O1145" s="77" t="s">
        <v>179</v>
      </c>
      <c r="P1145" s="79">
        <v>45004.801412037035</v>
      </c>
      <c r="Q1145" s="77" t="s">
        <v>2389</v>
      </c>
      <c r="R1145" s="77">
        <v>0</v>
      </c>
      <c r="S1145" s="77">
        <v>1</v>
      </c>
      <c r="T1145" s="77">
        <v>0</v>
      </c>
      <c r="U1145" s="77">
        <v>0</v>
      </c>
      <c r="V1145" s="77">
        <v>68</v>
      </c>
      <c r="W1145" s="82" t="s">
        <v>5236</v>
      </c>
      <c r="X1145" s="77"/>
      <c r="Y1145" s="77"/>
      <c r="Z1145" s="77"/>
      <c r="AA1145" s="77"/>
      <c r="AB1145" s="77"/>
      <c r="AC1145" s="82" t="s">
        <v>10144</v>
      </c>
      <c r="AD1145" s="77" t="s">
        <v>10184</v>
      </c>
      <c r="AE1145" s="80" t="str">
        <f>HYPERLINK("https://twitter.com/tv_regi/status/1637532904409399298")</f>
        <v>https://twitter.com/tv_regi/status/1637532904409399298</v>
      </c>
      <c r="AF1145" s="79">
        <v>45004.801412037035</v>
      </c>
      <c r="AG1145" s="85">
        <v>45004</v>
      </c>
      <c r="AH1145" s="82" t="s">
        <v>11294</v>
      </c>
      <c r="AI1145" s="77"/>
      <c r="AJ1145" s="77"/>
      <c r="AK1145" s="77"/>
      <c r="AL1145" s="77"/>
      <c r="AM1145" s="77"/>
      <c r="AN1145" s="77"/>
      <c r="AO1145" s="77"/>
      <c r="AP1145" s="77"/>
      <c r="AQ1145" s="77"/>
      <c r="AR1145" s="77"/>
      <c r="AS1145" s="77"/>
      <c r="AT1145" s="77"/>
      <c r="AU1145" s="77"/>
      <c r="AV1145" s="80" t="str">
        <f>HYPERLINK("https://pbs.twimg.com/profile_images/1637636827141087236/Ior9l54W_normal.jpg")</f>
        <v>https://pbs.twimg.com/profile_images/1637636827141087236/Ior9l54W_normal.jpg</v>
      </c>
      <c r="AW1145" s="82" t="s">
        <v>17918</v>
      </c>
      <c r="AX1145" s="82" t="s">
        <v>17918</v>
      </c>
      <c r="AY1145" s="77"/>
      <c r="AZ1145" s="82" t="s">
        <v>20971</v>
      </c>
      <c r="BA1145" s="82" t="s">
        <v>20971</v>
      </c>
      <c r="BB1145" s="82" t="s">
        <v>20971</v>
      </c>
      <c r="BC1145" s="82" t="s">
        <v>17918</v>
      </c>
      <c r="BD1145" s="82" t="s">
        <v>21157</v>
      </c>
      <c r="BE1145" s="77"/>
      <c r="BF1145" s="77"/>
      <c r="BG1145" s="77"/>
      <c r="BH1145" s="77"/>
      <c r="BI1145" s="77"/>
    </row>
    <row r="1146" spans="1:61" x14ac:dyDescent="0.25">
      <c r="A1146" s="62" t="s">
        <v>424</v>
      </c>
      <c r="B1146" s="62" t="s">
        <v>1246</v>
      </c>
      <c r="C1146" s="63"/>
      <c r="D1146" s="64"/>
      <c r="E1146" s="65"/>
      <c r="F1146" s="66"/>
      <c r="G1146" s="63"/>
      <c r="H1146" s="67"/>
      <c r="I1146" s="68"/>
      <c r="J1146" s="68"/>
      <c r="K1146" s="32"/>
      <c r="L1146" s="75">
        <v>1146</v>
      </c>
      <c r="M1146" s="75"/>
      <c r="N1146" s="70"/>
      <c r="O1146" s="77" t="s">
        <v>1285</v>
      </c>
      <c r="P1146" s="79">
        <v>45111.736574074072</v>
      </c>
      <c r="Q1146" s="77" t="s">
        <v>2390</v>
      </c>
      <c r="R1146" s="77">
        <v>0</v>
      </c>
      <c r="S1146" s="77">
        <v>0</v>
      </c>
      <c r="T1146" s="77">
        <v>0</v>
      </c>
      <c r="U1146" s="77">
        <v>0</v>
      </c>
      <c r="V1146" s="77">
        <v>108</v>
      </c>
      <c r="W1146" s="82" t="s">
        <v>5566</v>
      </c>
      <c r="X1146" s="77"/>
      <c r="Y1146" s="77"/>
      <c r="Z1146" s="77" t="s">
        <v>1246</v>
      </c>
      <c r="AA1146" s="77" t="s">
        <v>7926</v>
      </c>
      <c r="AB1146" s="77" t="s">
        <v>10130</v>
      </c>
      <c r="AC1146" s="82" t="s">
        <v>10144</v>
      </c>
      <c r="AD1146" s="77" t="s">
        <v>10184</v>
      </c>
      <c r="AE1146" s="80" t="str">
        <f>HYPERLINK("https://twitter.com/lsh144/status/1676284906530283523")</f>
        <v>https://twitter.com/lsh144/status/1676284906530283523</v>
      </c>
      <c r="AF1146" s="79">
        <v>45111.736574074072</v>
      </c>
      <c r="AG1146" s="85">
        <v>45111</v>
      </c>
      <c r="AH1146" s="82" t="s">
        <v>11295</v>
      </c>
      <c r="AI1146" s="77" t="b">
        <v>0</v>
      </c>
      <c r="AJ1146" s="77"/>
      <c r="AK1146" s="77"/>
      <c r="AL1146" s="77"/>
      <c r="AM1146" s="77"/>
      <c r="AN1146" s="77"/>
      <c r="AO1146" s="77"/>
      <c r="AP1146" s="77"/>
      <c r="AQ1146" s="77" t="s">
        <v>14570</v>
      </c>
      <c r="AR1146" s="77"/>
      <c r="AS1146" s="77"/>
      <c r="AT1146" s="77"/>
      <c r="AU1146" s="77"/>
      <c r="AV1146" s="80" t="str">
        <f>HYPERLINK("https://pbs.twimg.com/media/F0NcPRLWAAAVtYw.jpg")</f>
        <v>https://pbs.twimg.com/media/F0NcPRLWAAAVtYw.jpg</v>
      </c>
      <c r="AW1146" s="82" t="s">
        <v>17919</v>
      </c>
      <c r="AX1146" s="82" t="s">
        <v>17919</v>
      </c>
      <c r="AY1146" s="77"/>
      <c r="AZ1146" s="82" t="s">
        <v>20971</v>
      </c>
      <c r="BA1146" s="82" t="s">
        <v>20971</v>
      </c>
      <c r="BB1146" s="82" t="s">
        <v>20971</v>
      </c>
      <c r="BC1146" s="82" t="s">
        <v>17919</v>
      </c>
      <c r="BD1146" s="82" t="s">
        <v>21158</v>
      </c>
      <c r="BE1146" s="77"/>
      <c r="BF1146" s="77"/>
      <c r="BG1146" s="77"/>
      <c r="BH1146" s="77"/>
      <c r="BI1146" s="77"/>
    </row>
    <row r="1147" spans="1:61" x14ac:dyDescent="0.25">
      <c r="A1147" s="62" t="s">
        <v>425</v>
      </c>
      <c r="B1147" s="62" t="s">
        <v>425</v>
      </c>
      <c r="C1147" s="63"/>
      <c r="D1147" s="64"/>
      <c r="E1147" s="65"/>
      <c r="F1147" s="66"/>
      <c r="G1147" s="63"/>
      <c r="H1147" s="67"/>
      <c r="I1147" s="68"/>
      <c r="J1147" s="68"/>
      <c r="K1147" s="32"/>
      <c r="L1147" s="75">
        <v>1147</v>
      </c>
      <c r="M1147" s="75"/>
      <c r="N1147" s="70"/>
      <c r="O1147" s="77" t="s">
        <v>179</v>
      </c>
      <c r="P1147" s="79">
        <v>44981.980520833335</v>
      </c>
      <c r="Q1147" s="77" t="s">
        <v>2391</v>
      </c>
      <c r="R1147" s="77">
        <v>0</v>
      </c>
      <c r="S1147" s="77">
        <v>0</v>
      </c>
      <c r="T1147" s="77">
        <v>0</v>
      </c>
      <c r="U1147" s="77">
        <v>0</v>
      </c>
      <c r="V1147" s="77">
        <v>233</v>
      </c>
      <c r="W1147" s="82" t="s">
        <v>5567</v>
      </c>
      <c r="X1147" s="77"/>
      <c r="Y1147" s="77"/>
      <c r="Z1147" s="77"/>
      <c r="AA1147" s="77" t="s">
        <v>7927</v>
      </c>
      <c r="AB1147" s="77" t="s">
        <v>10130</v>
      </c>
      <c r="AC1147" s="82" t="s">
        <v>10144</v>
      </c>
      <c r="AD1147" s="77" t="s">
        <v>10184</v>
      </c>
      <c r="AE1147" s="80" t="str">
        <f>HYPERLINK("https://twitter.com/greens_bets/status/1629262886504738816")</f>
        <v>https://twitter.com/greens_bets/status/1629262886504738816</v>
      </c>
      <c r="AF1147" s="79">
        <v>44981.980520833335</v>
      </c>
      <c r="AG1147" s="85">
        <v>44981</v>
      </c>
      <c r="AH1147" s="82" t="s">
        <v>11296</v>
      </c>
      <c r="AI1147" s="77" t="b">
        <v>0</v>
      </c>
      <c r="AJ1147" s="77"/>
      <c r="AK1147" s="77"/>
      <c r="AL1147" s="77"/>
      <c r="AM1147" s="77"/>
      <c r="AN1147" s="77"/>
      <c r="AO1147" s="77"/>
      <c r="AP1147" s="77"/>
      <c r="AQ1147" s="77" t="s">
        <v>14571</v>
      </c>
      <c r="AR1147" s="77"/>
      <c r="AS1147" s="77"/>
      <c r="AT1147" s="77"/>
      <c r="AU1147" s="77"/>
      <c r="AV1147" s="80" t="str">
        <f>HYPERLINK("https://pbs.twimg.com/media/FpxN9bXWYAUJZFC.jpg")</f>
        <v>https://pbs.twimg.com/media/FpxN9bXWYAUJZFC.jpg</v>
      </c>
      <c r="AW1147" s="82" t="s">
        <v>17920</v>
      </c>
      <c r="AX1147" s="82" t="s">
        <v>17920</v>
      </c>
      <c r="AY1147" s="77"/>
      <c r="AZ1147" s="82" t="s">
        <v>20971</v>
      </c>
      <c r="BA1147" s="82" t="s">
        <v>20971</v>
      </c>
      <c r="BB1147" s="82" t="s">
        <v>20971</v>
      </c>
      <c r="BC1147" s="82" t="s">
        <v>17920</v>
      </c>
      <c r="BD1147" s="82" t="s">
        <v>21159</v>
      </c>
      <c r="BE1147" s="77"/>
      <c r="BF1147" s="77"/>
      <c r="BG1147" s="77"/>
      <c r="BH1147" s="77"/>
      <c r="BI1147" s="77"/>
    </row>
    <row r="1148" spans="1:61" x14ac:dyDescent="0.25">
      <c r="A1148" s="62" t="s">
        <v>425</v>
      </c>
      <c r="B1148" s="62" t="s">
        <v>425</v>
      </c>
      <c r="C1148" s="63"/>
      <c r="D1148" s="64"/>
      <c r="E1148" s="65"/>
      <c r="F1148" s="66"/>
      <c r="G1148" s="63"/>
      <c r="H1148" s="67"/>
      <c r="I1148" s="68"/>
      <c r="J1148" s="68"/>
      <c r="K1148" s="32"/>
      <c r="L1148" s="75">
        <v>1148</v>
      </c>
      <c r="M1148" s="75"/>
      <c r="N1148" s="70"/>
      <c r="O1148" s="77" t="s">
        <v>179</v>
      </c>
      <c r="P1148" s="79">
        <v>44981.705231481479</v>
      </c>
      <c r="Q1148" s="77" t="s">
        <v>2392</v>
      </c>
      <c r="R1148" s="77">
        <v>0</v>
      </c>
      <c r="S1148" s="77">
        <v>0</v>
      </c>
      <c r="T1148" s="77">
        <v>0</v>
      </c>
      <c r="U1148" s="77">
        <v>0</v>
      </c>
      <c r="V1148" s="77">
        <v>283</v>
      </c>
      <c r="W1148" s="82" t="s">
        <v>5568</v>
      </c>
      <c r="X1148" s="77"/>
      <c r="Y1148" s="77"/>
      <c r="Z1148" s="77"/>
      <c r="AA1148" s="77" t="s">
        <v>7928</v>
      </c>
      <c r="AB1148" s="77" t="s">
        <v>10130</v>
      </c>
      <c r="AC1148" s="82" t="s">
        <v>10144</v>
      </c>
      <c r="AD1148" s="77" t="s">
        <v>10184</v>
      </c>
      <c r="AE1148" s="80" t="str">
        <f>HYPERLINK("https://twitter.com/greens_bets/status/1629163127563485184")</f>
        <v>https://twitter.com/greens_bets/status/1629163127563485184</v>
      </c>
      <c r="AF1148" s="79">
        <v>44981.705231481479</v>
      </c>
      <c r="AG1148" s="85">
        <v>44981</v>
      </c>
      <c r="AH1148" s="82" t="s">
        <v>11297</v>
      </c>
      <c r="AI1148" s="77" t="b">
        <v>0</v>
      </c>
      <c r="AJ1148" s="77"/>
      <c r="AK1148" s="77"/>
      <c r="AL1148" s="77"/>
      <c r="AM1148" s="77"/>
      <c r="AN1148" s="77"/>
      <c r="AO1148" s="77"/>
      <c r="AP1148" s="77"/>
      <c r="AQ1148" s="77" t="s">
        <v>14572</v>
      </c>
      <c r="AR1148" s="77"/>
      <c r="AS1148" s="77"/>
      <c r="AT1148" s="77"/>
      <c r="AU1148" s="77"/>
      <c r="AV1148" s="80" t="str">
        <f>HYPERLINK("https://pbs.twimg.com/media/FpvzOvFWIAETHe1.jpg")</f>
        <v>https://pbs.twimg.com/media/FpvzOvFWIAETHe1.jpg</v>
      </c>
      <c r="AW1148" s="82" t="s">
        <v>17921</v>
      </c>
      <c r="AX1148" s="82" t="s">
        <v>17921</v>
      </c>
      <c r="AY1148" s="77"/>
      <c r="AZ1148" s="82" t="s">
        <v>20971</v>
      </c>
      <c r="BA1148" s="82" t="s">
        <v>20971</v>
      </c>
      <c r="BB1148" s="82" t="s">
        <v>20971</v>
      </c>
      <c r="BC1148" s="82" t="s">
        <v>17921</v>
      </c>
      <c r="BD1148" s="82" t="s">
        <v>21159</v>
      </c>
      <c r="BE1148" s="77"/>
      <c r="BF1148" s="77"/>
      <c r="BG1148" s="77"/>
      <c r="BH1148" s="77"/>
      <c r="BI1148" s="77"/>
    </row>
    <row r="1149" spans="1:61" x14ac:dyDescent="0.25">
      <c r="A1149" s="62" t="s">
        <v>426</v>
      </c>
      <c r="B1149" s="62" t="s">
        <v>426</v>
      </c>
      <c r="C1149" s="63"/>
      <c r="D1149" s="64"/>
      <c r="E1149" s="65"/>
      <c r="F1149" s="66"/>
      <c r="G1149" s="63"/>
      <c r="H1149" s="67"/>
      <c r="I1149" s="68"/>
      <c r="J1149" s="68"/>
      <c r="K1149" s="32"/>
      <c r="L1149" s="75">
        <v>1149</v>
      </c>
      <c r="M1149" s="75"/>
      <c r="N1149" s="70"/>
      <c r="O1149" s="77" t="s">
        <v>179</v>
      </c>
      <c r="P1149" s="79">
        <v>44963.938819444447</v>
      </c>
      <c r="Q1149" s="77" t="s">
        <v>2393</v>
      </c>
      <c r="R1149" s="77">
        <v>0</v>
      </c>
      <c r="S1149" s="77">
        <v>0</v>
      </c>
      <c r="T1149" s="77">
        <v>0</v>
      </c>
      <c r="U1149" s="77">
        <v>0</v>
      </c>
      <c r="V1149" s="77">
        <v>39</v>
      </c>
      <c r="W1149" s="82" t="s">
        <v>5569</v>
      </c>
      <c r="X1149" s="80" t="str">
        <f>HYPERLINK("https://t.me/+JwAHm00U2uFmMTdh")</f>
        <v>https://t.me/+JwAHm00U2uFmMTdh</v>
      </c>
      <c r="Y1149" s="77" t="s">
        <v>7312</v>
      </c>
      <c r="Z1149" s="77"/>
      <c r="AA1149" s="77" t="s">
        <v>7929</v>
      </c>
      <c r="AB1149" s="77" t="s">
        <v>10129</v>
      </c>
      <c r="AC1149" s="82" t="s">
        <v>10144</v>
      </c>
      <c r="AD1149" s="77" t="s">
        <v>10184</v>
      </c>
      <c r="AE1149" s="80" t="str">
        <f>HYPERLINK("https://twitter.com/js_treinamentos/status/1622724793119154182")</f>
        <v>https://twitter.com/js_treinamentos/status/1622724793119154182</v>
      </c>
      <c r="AF1149" s="79">
        <v>44963.938819444447</v>
      </c>
      <c r="AG1149" s="85">
        <v>44963</v>
      </c>
      <c r="AH1149" s="82" t="s">
        <v>11298</v>
      </c>
      <c r="AI1149" s="77" t="b">
        <v>0</v>
      </c>
      <c r="AJ1149" s="77"/>
      <c r="AK1149" s="77"/>
      <c r="AL1149" s="77"/>
      <c r="AM1149" s="77"/>
      <c r="AN1149" s="77"/>
      <c r="AO1149" s="77"/>
      <c r="AP1149" s="77"/>
      <c r="AQ1149" s="77" t="s">
        <v>14573</v>
      </c>
      <c r="AR1149" s="77">
        <v>34733</v>
      </c>
      <c r="AS1149" s="77"/>
      <c r="AT1149" s="77"/>
      <c r="AU1149" s="77"/>
      <c r="AV1149" s="80" t="str">
        <f>HYPERLINK("https://pbs.twimg.com/ext_tw_video_thumb/1622724742900862976/pu/img/T3XWmw9gpjqErqDD.jpg")</f>
        <v>https://pbs.twimg.com/ext_tw_video_thumb/1622724742900862976/pu/img/T3XWmw9gpjqErqDD.jpg</v>
      </c>
      <c r="AW1149" s="82" t="s">
        <v>17922</v>
      </c>
      <c r="AX1149" s="82" t="s">
        <v>17922</v>
      </c>
      <c r="AY1149" s="77"/>
      <c r="AZ1149" s="82" t="s">
        <v>20971</v>
      </c>
      <c r="BA1149" s="82" t="s">
        <v>20971</v>
      </c>
      <c r="BB1149" s="82" t="s">
        <v>20971</v>
      </c>
      <c r="BC1149" s="82" t="s">
        <v>17922</v>
      </c>
      <c r="BD1149" s="82" t="s">
        <v>21160</v>
      </c>
      <c r="BE1149" s="77"/>
      <c r="BF1149" s="77"/>
      <c r="BG1149" s="77"/>
      <c r="BH1149" s="77"/>
      <c r="BI1149" s="77"/>
    </row>
    <row r="1150" spans="1:61" x14ac:dyDescent="0.25">
      <c r="A1150" s="62" t="s">
        <v>427</v>
      </c>
      <c r="B1150" s="62" t="s">
        <v>427</v>
      </c>
      <c r="C1150" s="63"/>
      <c r="D1150" s="64"/>
      <c r="E1150" s="65"/>
      <c r="F1150" s="66"/>
      <c r="G1150" s="63"/>
      <c r="H1150" s="67"/>
      <c r="I1150" s="68"/>
      <c r="J1150" s="68"/>
      <c r="K1150" s="32"/>
      <c r="L1150" s="75">
        <v>1150</v>
      </c>
      <c r="M1150" s="75"/>
      <c r="N1150" s="70"/>
      <c r="O1150" s="77" t="s">
        <v>179</v>
      </c>
      <c r="P1150" s="79">
        <v>44970.586041666669</v>
      </c>
      <c r="Q1150" s="77" t="s">
        <v>2394</v>
      </c>
      <c r="R1150" s="77">
        <v>0</v>
      </c>
      <c r="S1150" s="77">
        <v>0</v>
      </c>
      <c r="T1150" s="77">
        <v>0</v>
      </c>
      <c r="U1150" s="77">
        <v>0</v>
      </c>
      <c r="V1150" s="77">
        <v>40</v>
      </c>
      <c r="W1150" s="82" t="s">
        <v>5570</v>
      </c>
      <c r="X1150" s="80" t="str">
        <f>HYPERLINK("http://www.paraty.tv.br")</f>
        <v>http://www.paraty.tv.br</v>
      </c>
      <c r="Y1150" s="77" t="s">
        <v>7313</v>
      </c>
      <c r="Z1150" s="77"/>
      <c r="AA1150" s="77" t="s">
        <v>7930</v>
      </c>
      <c r="AB1150" s="77" t="s">
        <v>10130</v>
      </c>
      <c r="AC1150" s="82" t="s">
        <v>10144</v>
      </c>
      <c r="AD1150" s="77" t="s">
        <v>10184</v>
      </c>
      <c r="AE1150" s="80" t="str">
        <f>HYPERLINK("https://twitter.com/paratytvbr/status/1625133668594327552")</f>
        <v>https://twitter.com/paratytvbr/status/1625133668594327552</v>
      </c>
      <c r="AF1150" s="79">
        <v>44970.586041666669</v>
      </c>
      <c r="AG1150" s="85">
        <v>44970</v>
      </c>
      <c r="AH1150" s="82" t="s">
        <v>11299</v>
      </c>
      <c r="AI1150" s="77" t="b">
        <v>0</v>
      </c>
      <c r="AJ1150" s="77"/>
      <c r="AK1150" s="77"/>
      <c r="AL1150" s="77"/>
      <c r="AM1150" s="77"/>
      <c r="AN1150" s="77"/>
      <c r="AO1150" s="77"/>
      <c r="AP1150" s="77"/>
      <c r="AQ1150" s="77" t="s">
        <v>14574</v>
      </c>
      <c r="AR1150" s="77"/>
      <c r="AS1150" s="77"/>
      <c r="AT1150" s="77"/>
      <c r="AU1150" s="77"/>
      <c r="AV1150" s="80" t="str">
        <f>HYPERLINK("https://pbs.twimg.com/media/Fo2idZ3WAAEePKf.jpg")</f>
        <v>https://pbs.twimg.com/media/Fo2idZ3WAAEePKf.jpg</v>
      </c>
      <c r="AW1150" s="82" t="s">
        <v>17923</v>
      </c>
      <c r="AX1150" s="82" t="s">
        <v>17923</v>
      </c>
      <c r="AY1150" s="77"/>
      <c r="AZ1150" s="82" t="s">
        <v>20971</v>
      </c>
      <c r="BA1150" s="82" t="s">
        <v>20971</v>
      </c>
      <c r="BB1150" s="82" t="s">
        <v>20971</v>
      </c>
      <c r="BC1150" s="82" t="s">
        <v>17923</v>
      </c>
      <c r="BD1150" s="82" t="s">
        <v>21161</v>
      </c>
      <c r="BE1150" s="77"/>
      <c r="BF1150" s="77"/>
      <c r="BG1150" s="77"/>
      <c r="BH1150" s="77"/>
      <c r="BI1150" s="77"/>
    </row>
    <row r="1151" spans="1:61" x14ac:dyDescent="0.25">
      <c r="A1151" s="62" t="s">
        <v>428</v>
      </c>
      <c r="B1151" s="62" t="s">
        <v>1012</v>
      </c>
      <c r="C1151" s="63"/>
      <c r="D1151" s="64"/>
      <c r="E1151" s="65"/>
      <c r="F1151" s="66"/>
      <c r="G1151" s="63"/>
      <c r="H1151" s="67"/>
      <c r="I1151" s="68"/>
      <c r="J1151" s="68"/>
      <c r="K1151" s="32"/>
      <c r="L1151" s="75">
        <v>1151</v>
      </c>
      <c r="M1151" s="75"/>
      <c r="N1151" s="70"/>
      <c r="O1151" s="77" t="s">
        <v>1286</v>
      </c>
      <c r="P1151" s="79">
        <v>45086.046249999999</v>
      </c>
      <c r="Q1151" s="77" t="s">
        <v>2395</v>
      </c>
      <c r="R1151" s="77">
        <v>0</v>
      </c>
      <c r="S1151" s="77">
        <v>0</v>
      </c>
      <c r="T1151" s="77">
        <v>0</v>
      </c>
      <c r="U1151" s="77">
        <v>0</v>
      </c>
      <c r="V1151" s="77">
        <v>77</v>
      </c>
      <c r="W1151" s="82" t="s">
        <v>5571</v>
      </c>
      <c r="X1151" s="77"/>
      <c r="Y1151" s="77"/>
      <c r="Z1151" s="77"/>
      <c r="AA1151" s="77"/>
      <c r="AB1151" s="77"/>
      <c r="AC1151" s="82" t="s">
        <v>10144</v>
      </c>
      <c r="AD1151" s="77" t="s">
        <v>10184</v>
      </c>
      <c r="AE1151" s="80" t="str">
        <f>HYPERLINK("https://twitter.com/andrecrv7/status/1666975046189842432")</f>
        <v>https://twitter.com/andrecrv7/status/1666975046189842432</v>
      </c>
      <c r="AF1151" s="79">
        <v>45086.046249999999</v>
      </c>
      <c r="AG1151" s="85">
        <v>45086</v>
      </c>
      <c r="AH1151" s="82" t="s">
        <v>11300</v>
      </c>
      <c r="AI1151" s="77"/>
      <c r="AJ1151" s="77"/>
      <c r="AK1151" s="77"/>
      <c r="AL1151" s="77"/>
      <c r="AM1151" s="77"/>
      <c r="AN1151" s="77"/>
      <c r="AO1151" s="77"/>
      <c r="AP1151" s="77"/>
      <c r="AQ1151" s="77"/>
      <c r="AR1151" s="77"/>
      <c r="AS1151" s="77"/>
      <c r="AT1151" s="77"/>
      <c r="AU1151" s="77"/>
      <c r="AV1151" s="80" t="str">
        <f>HYPERLINK("https://pbs.twimg.com/profile_images/1190004176077697024/int15Gbi_normal.jpg")</f>
        <v>https://pbs.twimg.com/profile_images/1190004176077697024/int15Gbi_normal.jpg</v>
      </c>
      <c r="AW1151" s="82" t="s">
        <v>17924</v>
      </c>
      <c r="AX1151" s="82" t="s">
        <v>17924</v>
      </c>
      <c r="AY1151" s="77"/>
      <c r="AZ1151" s="82" t="s">
        <v>20971</v>
      </c>
      <c r="BA1151" s="82" t="s">
        <v>20238</v>
      </c>
      <c r="BB1151" s="82" t="s">
        <v>20971</v>
      </c>
      <c r="BC1151" s="82" t="s">
        <v>20238</v>
      </c>
      <c r="BD1151" s="77">
        <v>118532989</v>
      </c>
      <c r="BE1151" s="77"/>
      <c r="BF1151" s="77"/>
      <c r="BG1151" s="77"/>
      <c r="BH1151" s="77"/>
      <c r="BI1151" s="77"/>
    </row>
    <row r="1152" spans="1:61" x14ac:dyDescent="0.25">
      <c r="A1152" s="62" t="s">
        <v>429</v>
      </c>
      <c r="B1152" s="62" t="s">
        <v>429</v>
      </c>
      <c r="C1152" s="63"/>
      <c r="D1152" s="64"/>
      <c r="E1152" s="65"/>
      <c r="F1152" s="66"/>
      <c r="G1152" s="63"/>
      <c r="H1152" s="67"/>
      <c r="I1152" s="68"/>
      <c r="J1152" s="68"/>
      <c r="K1152" s="32"/>
      <c r="L1152" s="75">
        <v>1152</v>
      </c>
      <c r="M1152" s="75"/>
      <c r="N1152" s="70"/>
      <c r="O1152" s="77" t="s">
        <v>179</v>
      </c>
      <c r="P1152" s="79">
        <v>45007.076608796298</v>
      </c>
      <c r="Q1152" s="77" t="s">
        <v>2396</v>
      </c>
      <c r="R1152" s="77">
        <v>0</v>
      </c>
      <c r="S1152" s="77">
        <v>0</v>
      </c>
      <c r="T1152" s="77">
        <v>0</v>
      </c>
      <c r="U1152" s="77">
        <v>0</v>
      </c>
      <c r="V1152" s="77">
        <v>16</v>
      </c>
      <c r="W1152" s="82" t="s">
        <v>5572</v>
      </c>
      <c r="X1152" s="77"/>
      <c r="Y1152" s="77"/>
      <c r="Z1152" s="77"/>
      <c r="AA1152" s="77"/>
      <c r="AB1152" s="77"/>
      <c r="AC1152" s="82" t="s">
        <v>10145</v>
      </c>
      <c r="AD1152" s="77" t="s">
        <v>10184</v>
      </c>
      <c r="AE1152" s="80" t="str">
        <f>HYPERLINK("https://twitter.com/primeiravenda07/status/1638357407683211266")</f>
        <v>https://twitter.com/primeiravenda07/status/1638357407683211266</v>
      </c>
      <c r="AF1152" s="79">
        <v>45007.076608796298</v>
      </c>
      <c r="AG1152" s="85">
        <v>45007</v>
      </c>
      <c r="AH1152" s="82" t="s">
        <v>11301</v>
      </c>
      <c r="AI1152" s="77" t="b">
        <v>0</v>
      </c>
      <c r="AJ1152" s="77"/>
      <c r="AK1152" s="77"/>
      <c r="AL1152" s="77"/>
      <c r="AM1152" s="77"/>
      <c r="AN1152" s="77"/>
      <c r="AO1152" s="77"/>
      <c r="AP1152" s="77"/>
      <c r="AQ1152" s="77"/>
      <c r="AR1152" s="77"/>
      <c r="AS1152" s="77"/>
      <c r="AT1152" s="77"/>
      <c r="AU1152" s="77"/>
      <c r="AV1152" s="80" t="str">
        <f>HYPERLINK("https://pbs.twimg.com/profile_images/1638356260843147265/y7PVsW_U_normal.jpg")</f>
        <v>https://pbs.twimg.com/profile_images/1638356260843147265/y7PVsW_U_normal.jpg</v>
      </c>
      <c r="AW1152" s="82" t="s">
        <v>17925</v>
      </c>
      <c r="AX1152" s="82" t="s">
        <v>17925</v>
      </c>
      <c r="AY1152" s="77"/>
      <c r="AZ1152" s="82" t="s">
        <v>20971</v>
      </c>
      <c r="BA1152" s="82" t="s">
        <v>20971</v>
      </c>
      <c r="BB1152" s="82" t="s">
        <v>20971</v>
      </c>
      <c r="BC1152" s="82" t="s">
        <v>17925</v>
      </c>
      <c r="BD1152" s="82" t="s">
        <v>21162</v>
      </c>
      <c r="BE1152" s="77" t="s">
        <v>21776</v>
      </c>
      <c r="BF1152" s="77" t="s">
        <v>21777</v>
      </c>
      <c r="BG1152" s="77">
        <v>1440</v>
      </c>
      <c r="BH1152" s="77" t="s">
        <v>21778</v>
      </c>
      <c r="BI1152" s="77" t="s">
        <v>21779</v>
      </c>
    </row>
    <row r="1153" spans="1:61" x14ac:dyDescent="0.25">
      <c r="A1153" s="62" t="s">
        <v>429</v>
      </c>
      <c r="B1153" s="62" t="s">
        <v>429</v>
      </c>
      <c r="C1153" s="63"/>
      <c r="D1153" s="64"/>
      <c r="E1153" s="65"/>
      <c r="F1153" s="66"/>
      <c r="G1153" s="63"/>
      <c r="H1153" s="67"/>
      <c r="I1153" s="68"/>
      <c r="J1153" s="68"/>
      <c r="K1153" s="32"/>
      <c r="L1153" s="75">
        <v>1153</v>
      </c>
      <c r="M1153" s="75"/>
      <c r="N1153" s="70"/>
      <c r="O1153" s="77" t="s">
        <v>179</v>
      </c>
      <c r="P1153" s="79">
        <v>45007.075254629628</v>
      </c>
      <c r="Q1153" s="77" t="s">
        <v>2397</v>
      </c>
      <c r="R1153" s="77">
        <v>0</v>
      </c>
      <c r="S1153" s="77">
        <v>0</v>
      </c>
      <c r="T1153" s="77">
        <v>0</v>
      </c>
      <c r="U1153" s="77">
        <v>0</v>
      </c>
      <c r="V1153" s="77">
        <v>172</v>
      </c>
      <c r="W1153" s="82" t="s">
        <v>5573</v>
      </c>
      <c r="X1153" s="80" t="str">
        <f>HYPERLINK("https://go.hotmart.com/Y80397549A")</f>
        <v>https://go.hotmart.com/Y80397549A</v>
      </c>
      <c r="Y1153" s="77" t="s">
        <v>7251</v>
      </c>
      <c r="Z1153" s="77"/>
      <c r="AA1153" s="77"/>
      <c r="AB1153" s="77"/>
      <c r="AC1153" s="82" t="s">
        <v>10145</v>
      </c>
      <c r="AD1153" s="77" t="s">
        <v>10184</v>
      </c>
      <c r="AE1153" s="80" t="str">
        <f>HYPERLINK("https://twitter.com/primeiravenda07/status/1638356913787215872")</f>
        <v>https://twitter.com/primeiravenda07/status/1638356913787215872</v>
      </c>
      <c r="AF1153" s="79">
        <v>45007.075254629628</v>
      </c>
      <c r="AG1153" s="85">
        <v>45007</v>
      </c>
      <c r="AH1153" s="82" t="s">
        <v>11302</v>
      </c>
      <c r="AI1153" s="77" t="b">
        <v>0</v>
      </c>
      <c r="AJ1153" s="77"/>
      <c r="AK1153" s="77"/>
      <c r="AL1153" s="77"/>
      <c r="AM1153" s="77"/>
      <c r="AN1153" s="77"/>
      <c r="AO1153" s="77"/>
      <c r="AP1153" s="77"/>
      <c r="AQ1153" s="77"/>
      <c r="AR1153" s="77"/>
      <c r="AS1153" s="77"/>
      <c r="AT1153" s="77"/>
      <c r="AU1153" s="77"/>
      <c r="AV1153" s="80" t="str">
        <f>HYPERLINK("https://pbs.twimg.com/profile_images/1638356260843147265/y7PVsW_U_normal.jpg")</f>
        <v>https://pbs.twimg.com/profile_images/1638356260843147265/y7PVsW_U_normal.jpg</v>
      </c>
      <c r="AW1153" s="82" t="s">
        <v>17926</v>
      </c>
      <c r="AX1153" s="82" t="s">
        <v>17926</v>
      </c>
      <c r="AY1153" s="77"/>
      <c r="AZ1153" s="82" t="s">
        <v>20971</v>
      </c>
      <c r="BA1153" s="82" t="s">
        <v>20971</v>
      </c>
      <c r="BB1153" s="82" t="s">
        <v>20971</v>
      </c>
      <c r="BC1153" s="82" t="s">
        <v>17926</v>
      </c>
      <c r="BD1153" s="82" t="s">
        <v>21162</v>
      </c>
      <c r="BE1153" s="77"/>
      <c r="BF1153" s="77"/>
      <c r="BG1153" s="77"/>
      <c r="BH1153" s="77"/>
      <c r="BI1153" s="77"/>
    </row>
    <row r="1154" spans="1:61" x14ac:dyDescent="0.25">
      <c r="A1154" s="62" t="s">
        <v>430</v>
      </c>
      <c r="B1154" s="62" t="s">
        <v>430</v>
      </c>
      <c r="C1154" s="63"/>
      <c r="D1154" s="64"/>
      <c r="E1154" s="65"/>
      <c r="F1154" s="66"/>
      <c r="G1154" s="63"/>
      <c r="H1154" s="67"/>
      <c r="I1154" s="68"/>
      <c r="J1154" s="68"/>
      <c r="K1154" s="32"/>
      <c r="L1154" s="75">
        <v>1154</v>
      </c>
      <c r="M1154" s="75"/>
      <c r="N1154" s="70"/>
      <c r="O1154" s="77" t="s">
        <v>179</v>
      </c>
      <c r="P1154" s="79">
        <v>45065.875277777777</v>
      </c>
      <c r="Q1154" s="77" t="s">
        <v>2398</v>
      </c>
      <c r="R1154" s="77">
        <v>0</v>
      </c>
      <c r="S1154" s="77">
        <v>1</v>
      </c>
      <c r="T1154" s="77">
        <v>0</v>
      </c>
      <c r="U1154" s="77">
        <v>0</v>
      </c>
      <c r="V1154" s="77">
        <v>23</v>
      </c>
      <c r="W1154" s="82" t="s">
        <v>5574</v>
      </c>
      <c r="X1154" s="80" t="str">
        <f>HYPERLINK("https://elosduvale.com.br/")</f>
        <v>https://elosduvale.com.br/</v>
      </c>
      <c r="Y1154" s="77" t="s">
        <v>7252</v>
      </c>
      <c r="Z1154" s="77"/>
      <c r="AA1154" s="77" t="s">
        <v>7931</v>
      </c>
      <c r="AB1154" s="77" t="s">
        <v>10130</v>
      </c>
      <c r="AC1154" s="82" t="s">
        <v>10154</v>
      </c>
      <c r="AD1154" s="77" t="s">
        <v>10184</v>
      </c>
      <c r="AE1154" s="80" t="str">
        <f>HYPERLINK("https://twitter.com/elosduvale/status/1659665329352585217")</f>
        <v>https://twitter.com/elosduvale/status/1659665329352585217</v>
      </c>
      <c r="AF1154" s="79">
        <v>45065.875277777777</v>
      </c>
      <c r="AG1154" s="85">
        <v>45065</v>
      </c>
      <c r="AH1154" s="82" t="s">
        <v>11303</v>
      </c>
      <c r="AI1154" s="77" t="b">
        <v>0</v>
      </c>
      <c r="AJ1154" s="77"/>
      <c r="AK1154" s="77"/>
      <c r="AL1154" s="77"/>
      <c r="AM1154" s="77"/>
      <c r="AN1154" s="77"/>
      <c r="AO1154" s="77"/>
      <c r="AP1154" s="77"/>
      <c r="AQ1154" s="77" t="s">
        <v>14575</v>
      </c>
      <c r="AR1154" s="77"/>
      <c r="AS1154" s="77"/>
      <c r="AT1154" s="77"/>
      <c r="AU1154" s="77"/>
      <c r="AV1154" s="80" t="str">
        <f>HYPERLINK("https://pbs.twimg.com/media/FwhQ0nrXgAIM-nz.jpg")</f>
        <v>https://pbs.twimg.com/media/FwhQ0nrXgAIM-nz.jpg</v>
      </c>
      <c r="AW1154" s="82" t="s">
        <v>17927</v>
      </c>
      <c r="AX1154" s="82" t="s">
        <v>17927</v>
      </c>
      <c r="AY1154" s="77"/>
      <c r="AZ1154" s="82" t="s">
        <v>20971</v>
      </c>
      <c r="BA1154" s="82" t="s">
        <v>20971</v>
      </c>
      <c r="BB1154" s="82" t="s">
        <v>20971</v>
      </c>
      <c r="BC1154" s="82" t="s">
        <v>17927</v>
      </c>
      <c r="BD1154" s="82" t="s">
        <v>21163</v>
      </c>
      <c r="BE1154" s="77"/>
      <c r="BF1154" s="77"/>
      <c r="BG1154" s="77"/>
      <c r="BH1154" s="77"/>
      <c r="BI1154" s="77"/>
    </row>
    <row r="1155" spans="1:61" x14ac:dyDescent="0.25">
      <c r="A1155" s="62" t="s">
        <v>430</v>
      </c>
      <c r="B1155" s="62" t="s">
        <v>430</v>
      </c>
      <c r="C1155" s="63"/>
      <c r="D1155" s="64"/>
      <c r="E1155" s="65"/>
      <c r="F1155" s="66"/>
      <c r="G1155" s="63"/>
      <c r="H1155" s="67"/>
      <c r="I1155" s="68"/>
      <c r="J1155" s="68"/>
      <c r="K1155" s="32"/>
      <c r="L1155" s="75">
        <v>1155</v>
      </c>
      <c r="M1155" s="75"/>
      <c r="N1155" s="70"/>
      <c r="O1155" s="77" t="s">
        <v>179</v>
      </c>
      <c r="P1155" s="79">
        <v>45141.875277777777</v>
      </c>
      <c r="Q1155" s="77" t="s">
        <v>2399</v>
      </c>
      <c r="R1155" s="77">
        <v>0</v>
      </c>
      <c r="S1155" s="77">
        <v>0</v>
      </c>
      <c r="T1155" s="77">
        <v>0</v>
      </c>
      <c r="U1155" s="77">
        <v>0</v>
      </c>
      <c r="V1155" s="77">
        <v>87</v>
      </c>
      <c r="W1155" s="82" t="s">
        <v>5575</v>
      </c>
      <c r="X1155" s="80" t="str">
        <f>HYPERLINK("https://elosduvale.com.br/")</f>
        <v>https://elosduvale.com.br/</v>
      </c>
      <c r="Y1155" s="77" t="s">
        <v>7252</v>
      </c>
      <c r="Z1155" s="77"/>
      <c r="AA1155" s="77" t="s">
        <v>7932</v>
      </c>
      <c r="AB1155" s="77" t="s">
        <v>10130</v>
      </c>
      <c r="AC1155" s="82" t="s">
        <v>10154</v>
      </c>
      <c r="AD1155" s="77" t="s">
        <v>10184</v>
      </c>
      <c r="AE1155" s="80" t="str">
        <f>HYPERLINK("https://twitter.com/elosduvale/status/1687206810053206017")</f>
        <v>https://twitter.com/elosduvale/status/1687206810053206017</v>
      </c>
      <c r="AF1155" s="79">
        <v>45141.875277777777</v>
      </c>
      <c r="AG1155" s="85">
        <v>45141</v>
      </c>
      <c r="AH1155" s="82" t="s">
        <v>11303</v>
      </c>
      <c r="AI1155" s="77" t="b">
        <v>0</v>
      </c>
      <c r="AJ1155" s="77"/>
      <c r="AK1155" s="77"/>
      <c r="AL1155" s="77"/>
      <c r="AM1155" s="77"/>
      <c r="AN1155" s="77"/>
      <c r="AO1155" s="77"/>
      <c r="AP1155" s="77"/>
      <c r="AQ1155" s="77" t="s">
        <v>14576</v>
      </c>
      <c r="AR1155" s="77"/>
      <c r="AS1155" s="77"/>
      <c r="AT1155" s="77"/>
      <c r="AU1155" s="77"/>
      <c r="AV1155" s="80" t="str">
        <f>HYPERLINK("https://pbs.twimg.com/media/F2oppzIWYAEWY6G.jpg")</f>
        <v>https://pbs.twimg.com/media/F2oppzIWYAEWY6G.jpg</v>
      </c>
      <c r="AW1155" s="82" t="s">
        <v>17928</v>
      </c>
      <c r="AX1155" s="82" t="s">
        <v>17928</v>
      </c>
      <c r="AY1155" s="77"/>
      <c r="AZ1155" s="82" t="s">
        <v>20971</v>
      </c>
      <c r="BA1155" s="82" t="s">
        <v>20971</v>
      </c>
      <c r="BB1155" s="82" t="s">
        <v>20971</v>
      </c>
      <c r="BC1155" s="82" t="s">
        <v>17928</v>
      </c>
      <c r="BD1155" s="82" t="s">
        <v>21163</v>
      </c>
      <c r="BE1155" s="77"/>
      <c r="BF1155" s="77"/>
      <c r="BG1155" s="77"/>
      <c r="BH1155" s="77"/>
      <c r="BI1155" s="77"/>
    </row>
    <row r="1156" spans="1:61" x14ac:dyDescent="0.25">
      <c r="A1156" s="62" t="s">
        <v>430</v>
      </c>
      <c r="B1156" s="62" t="s">
        <v>430</v>
      </c>
      <c r="C1156" s="63"/>
      <c r="D1156" s="64"/>
      <c r="E1156" s="65"/>
      <c r="F1156" s="66"/>
      <c r="G1156" s="63"/>
      <c r="H1156" s="67"/>
      <c r="I1156" s="68"/>
      <c r="J1156" s="68"/>
      <c r="K1156" s="32"/>
      <c r="L1156" s="75">
        <v>1156</v>
      </c>
      <c r="M1156" s="75"/>
      <c r="N1156" s="70"/>
      <c r="O1156" s="77" t="s">
        <v>179</v>
      </c>
      <c r="P1156" s="79">
        <v>45152.875289351854</v>
      </c>
      <c r="Q1156" s="77" t="s">
        <v>2400</v>
      </c>
      <c r="R1156" s="77">
        <v>0</v>
      </c>
      <c r="S1156" s="77">
        <v>0</v>
      </c>
      <c r="T1156" s="77">
        <v>0</v>
      </c>
      <c r="U1156" s="77">
        <v>0</v>
      </c>
      <c r="V1156" s="77">
        <v>83</v>
      </c>
      <c r="W1156" s="82" t="s">
        <v>5576</v>
      </c>
      <c r="X1156" s="80" t="str">
        <f>HYPERLINK("https://elosduvale.com.br/")</f>
        <v>https://elosduvale.com.br/</v>
      </c>
      <c r="Y1156" s="77" t="s">
        <v>7252</v>
      </c>
      <c r="Z1156" s="77"/>
      <c r="AA1156" s="77" t="s">
        <v>7933</v>
      </c>
      <c r="AB1156" s="77" t="s">
        <v>10130</v>
      </c>
      <c r="AC1156" s="82" t="s">
        <v>10154</v>
      </c>
      <c r="AD1156" s="77" t="s">
        <v>10184</v>
      </c>
      <c r="AE1156" s="80" t="str">
        <f>HYPERLINK("https://twitter.com/elosduvale/status/1691193076931309568")</f>
        <v>https://twitter.com/elosduvale/status/1691193076931309568</v>
      </c>
      <c r="AF1156" s="79">
        <v>45152.875289351854</v>
      </c>
      <c r="AG1156" s="85">
        <v>45152</v>
      </c>
      <c r="AH1156" s="82" t="s">
        <v>11304</v>
      </c>
      <c r="AI1156" s="77" t="b">
        <v>0</v>
      </c>
      <c r="AJ1156" s="77"/>
      <c r="AK1156" s="77"/>
      <c r="AL1156" s="77"/>
      <c r="AM1156" s="77"/>
      <c r="AN1156" s="77"/>
      <c r="AO1156" s="77"/>
      <c r="AP1156" s="77"/>
      <c r="AQ1156" s="77" t="s">
        <v>14577</v>
      </c>
      <c r="AR1156" s="77"/>
      <c r="AS1156" s="77"/>
      <c r="AT1156" s="77"/>
      <c r="AU1156" s="77"/>
      <c r="AV1156" s="80" t="str">
        <f>HYPERLINK("https://pbs.twimg.com/media/F3hTJCWWgAEYjUX.jpg")</f>
        <v>https://pbs.twimg.com/media/F3hTJCWWgAEYjUX.jpg</v>
      </c>
      <c r="AW1156" s="82" t="s">
        <v>17929</v>
      </c>
      <c r="AX1156" s="82" t="s">
        <v>17929</v>
      </c>
      <c r="AY1156" s="77"/>
      <c r="AZ1156" s="82" t="s">
        <v>20971</v>
      </c>
      <c r="BA1156" s="82" t="s">
        <v>20971</v>
      </c>
      <c r="BB1156" s="82" t="s">
        <v>20971</v>
      </c>
      <c r="BC1156" s="82" t="s">
        <v>17929</v>
      </c>
      <c r="BD1156" s="82" t="s">
        <v>21163</v>
      </c>
      <c r="BE1156" s="77"/>
      <c r="BF1156" s="77"/>
      <c r="BG1156" s="77"/>
      <c r="BH1156" s="77"/>
      <c r="BI1156" s="77"/>
    </row>
    <row r="1157" spans="1:61" x14ac:dyDescent="0.25">
      <c r="A1157" s="62" t="s">
        <v>430</v>
      </c>
      <c r="B1157" s="62" t="s">
        <v>430</v>
      </c>
      <c r="C1157" s="63"/>
      <c r="D1157" s="64"/>
      <c r="E1157" s="65"/>
      <c r="F1157" s="66"/>
      <c r="G1157" s="63"/>
      <c r="H1157" s="67"/>
      <c r="I1157" s="68"/>
      <c r="J1157" s="68"/>
      <c r="K1157" s="32"/>
      <c r="L1157" s="75">
        <v>1157</v>
      </c>
      <c r="M1157" s="75"/>
      <c r="N1157" s="70"/>
      <c r="O1157" s="77" t="s">
        <v>179</v>
      </c>
      <c r="P1157" s="79">
        <v>45013.749513888892</v>
      </c>
      <c r="Q1157" s="77" t="s">
        <v>2401</v>
      </c>
      <c r="R1157" s="77">
        <v>0</v>
      </c>
      <c r="S1157" s="77">
        <v>0</v>
      </c>
      <c r="T1157" s="77">
        <v>0</v>
      </c>
      <c r="U1157" s="77">
        <v>0</v>
      </c>
      <c r="V1157" s="77">
        <v>59</v>
      </c>
      <c r="W1157" s="82" t="s">
        <v>5577</v>
      </c>
      <c r="X1157" s="80" t="str">
        <f>HYPERLINK("https://elosduvale.com.br")</f>
        <v>https://elosduvale.com.br</v>
      </c>
      <c r="Y1157" s="77" t="s">
        <v>7252</v>
      </c>
      <c r="Z1157" s="77"/>
      <c r="AA1157" s="77" t="s">
        <v>7934</v>
      </c>
      <c r="AB1157" s="77" t="s">
        <v>10130</v>
      </c>
      <c r="AC1157" s="82" t="s">
        <v>10154</v>
      </c>
      <c r="AD1157" s="77" t="s">
        <v>10184</v>
      </c>
      <c r="AE1157" s="80" t="str">
        <f>HYPERLINK("https://twitter.com/elosduvale/status/1640775584589422594")</f>
        <v>https://twitter.com/elosduvale/status/1640775584589422594</v>
      </c>
      <c r="AF1157" s="79">
        <v>45013.749513888892</v>
      </c>
      <c r="AG1157" s="85">
        <v>45013</v>
      </c>
      <c r="AH1157" s="82" t="s">
        <v>11305</v>
      </c>
      <c r="AI1157" s="77" t="b">
        <v>0</v>
      </c>
      <c r="AJ1157" s="77"/>
      <c r="AK1157" s="77"/>
      <c r="AL1157" s="77"/>
      <c r="AM1157" s="77"/>
      <c r="AN1157" s="77"/>
      <c r="AO1157" s="77"/>
      <c r="AP1157" s="77"/>
      <c r="AQ1157" s="77" t="s">
        <v>14578</v>
      </c>
      <c r="AR1157" s="77"/>
      <c r="AS1157" s="77"/>
      <c r="AT1157" s="77"/>
      <c r="AU1157" s="77"/>
      <c r="AV1157" s="80" t="str">
        <f>HYPERLINK("https://pbs.twimg.com/media/FsU0stcWcAME5tS.jpg")</f>
        <v>https://pbs.twimg.com/media/FsU0stcWcAME5tS.jpg</v>
      </c>
      <c r="AW1157" s="82" t="s">
        <v>17930</v>
      </c>
      <c r="AX1157" s="82" t="s">
        <v>17930</v>
      </c>
      <c r="AY1157" s="77"/>
      <c r="AZ1157" s="82" t="s">
        <v>20971</v>
      </c>
      <c r="BA1157" s="82" t="s">
        <v>20971</v>
      </c>
      <c r="BB1157" s="82" t="s">
        <v>20971</v>
      </c>
      <c r="BC1157" s="82" t="s">
        <v>17930</v>
      </c>
      <c r="BD1157" s="82" t="s">
        <v>21163</v>
      </c>
      <c r="BE1157" s="77"/>
      <c r="BF1157" s="77"/>
      <c r="BG1157" s="77"/>
      <c r="BH1157" s="77"/>
      <c r="BI1157" s="77"/>
    </row>
    <row r="1158" spans="1:61" x14ac:dyDescent="0.25">
      <c r="A1158" s="62" t="s">
        <v>430</v>
      </c>
      <c r="B1158" s="62" t="s">
        <v>430</v>
      </c>
      <c r="C1158" s="63"/>
      <c r="D1158" s="64"/>
      <c r="E1158" s="65"/>
      <c r="F1158" s="66"/>
      <c r="G1158" s="63"/>
      <c r="H1158" s="67"/>
      <c r="I1158" s="68"/>
      <c r="J1158" s="68"/>
      <c r="K1158" s="32"/>
      <c r="L1158" s="75">
        <v>1158</v>
      </c>
      <c r="M1158" s="75"/>
      <c r="N1158" s="70"/>
      <c r="O1158" s="77" t="s">
        <v>179</v>
      </c>
      <c r="P1158" s="79">
        <v>45176.503784722219</v>
      </c>
      <c r="Q1158" s="77" t="s">
        <v>2402</v>
      </c>
      <c r="R1158" s="77">
        <v>0</v>
      </c>
      <c r="S1158" s="77">
        <v>0</v>
      </c>
      <c r="T1158" s="77">
        <v>0</v>
      </c>
      <c r="U1158" s="77">
        <v>0</v>
      </c>
      <c r="V1158" s="77">
        <v>70</v>
      </c>
      <c r="W1158" s="82" t="s">
        <v>5575</v>
      </c>
      <c r="X1158" s="80" t="str">
        <f>HYPERLINK("https://elosduvale.com.br/")</f>
        <v>https://elosduvale.com.br/</v>
      </c>
      <c r="Y1158" s="77" t="s">
        <v>7252</v>
      </c>
      <c r="Z1158" s="77"/>
      <c r="AA1158" s="77" t="s">
        <v>7935</v>
      </c>
      <c r="AB1158" s="77" t="s">
        <v>10130</v>
      </c>
      <c r="AC1158" s="82" t="s">
        <v>10154</v>
      </c>
      <c r="AD1158" s="77" t="s">
        <v>10184</v>
      </c>
      <c r="AE1158" s="80" t="str">
        <f>HYPERLINK("https://twitter.com/elosduvale/status/1699755758697484548")</f>
        <v>https://twitter.com/elosduvale/status/1699755758697484548</v>
      </c>
      <c r="AF1158" s="79">
        <v>45176.503784722219</v>
      </c>
      <c r="AG1158" s="85">
        <v>45176</v>
      </c>
      <c r="AH1158" s="82" t="s">
        <v>11306</v>
      </c>
      <c r="AI1158" s="77" t="b">
        <v>0</v>
      </c>
      <c r="AJ1158" s="77"/>
      <c r="AK1158" s="77"/>
      <c r="AL1158" s="77"/>
      <c r="AM1158" s="77"/>
      <c r="AN1158" s="77"/>
      <c r="AO1158" s="77"/>
      <c r="AP1158" s="77"/>
      <c r="AQ1158" s="77" t="s">
        <v>14579</v>
      </c>
      <c r="AR1158" s="77"/>
      <c r="AS1158" s="77"/>
      <c r="AT1158" s="77"/>
      <c r="AU1158" s="77"/>
      <c r="AV1158" s="80" t="str">
        <f>HYPERLINK("https://pbs.twimg.com/media/F5a-2s_WAAAgIoq.jpg")</f>
        <v>https://pbs.twimg.com/media/F5a-2s_WAAAgIoq.jpg</v>
      </c>
      <c r="AW1158" s="82" t="s">
        <v>17931</v>
      </c>
      <c r="AX1158" s="82" t="s">
        <v>17931</v>
      </c>
      <c r="AY1158" s="77"/>
      <c r="AZ1158" s="82" t="s">
        <v>20971</v>
      </c>
      <c r="BA1158" s="82" t="s">
        <v>20971</v>
      </c>
      <c r="BB1158" s="82" t="s">
        <v>20971</v>
      </c>
      <c r="BC1158" s="82" t="s">
        <v>17931</v>
      </c>
      <c r="BD1158" s="82" t="s">
        <v>21163</v>
      </c>
      <c r="BE1158" s="77"/>
      <c r="BF1158" s="77"/>
      <c r="BG1158" s="77"/>
      <c r="BH1158" s="77"/>
      <c r="BI1158" s="77"/>
    </row>
    <row r="1159" spans="1:61" x14ac:dyDescent="0.25">
      <c r="A1159" s="62" t="s">
        <v>430</v>
      </c>
      <c r="B1159" s="62" t="s">
        <v>430</v>
      </c>
      <c r="C1159" s="63"/>
      <c r="D1159" s="64"/>
      <c r="E1159" s="65"/>
      <c r="F1159" s="66"/>
      <c r="G1159" s="63"/>
      <c r="H1159" s="67"/>
      <c r="I1159" s="68"/>
      <c r="J1159" s="68"/>
      <c r="K1159" s="32"/>
      <c r="L1159" s="75">
        <v>1159</v>
      </c>
      <c r="M1159" s="75"/>
      <c r="N1159" s="70"/>
      <c r="O1159" s="77" t="s">
        <v>179</v>
      </c>
      <c r="P1159" s="79">
        <v>44998.875347222223</v>
      </c>
      <c r="Q1159" s="77" t="s">
        <v>2403</v>
      </c>
      <c r="R1159" s="77">
        <v>0</v>
      </c>
      <c r="S1159" s="77">
        <v>0</v>
      </c>
      <c r="T1159" s="77">
        <v>0</v>
      </c>
      <c r="U1159" s="77">
        <v>0</v>
      </c>
      <c r="V1159" s="77">
        <v>43</v>
      </c>
      <c r="W1159" s="82" t="s">
        <v>5578</v>
      </c>
      <c r="X1159" s="80" t="str">
        <f>HYPERLINK("https://elosduvale.com.br/")</f>
        <v>https://elosduvale.com.br/</v>
      </c>
      <c r="Y1159" s="77" t="s">
        <v>7252</v>
      </c>
      <c r="Z1159" s="77"/>
      <c r="AA1159" s="77" t="s">
        <v>7936</v>
      </c>
      <c r="AB1159" s="77" t="s">
        <v>10130</v>
      </c>
      <c r="AC1159" s="82" t="s">
        <v>10154</v>
      </c>
      <c r="AD1159" s="77" t="s">
        <v>10184</v>
      </c>
      <c r="AE1159" s="80" t="str">
        <f>HYPERLINK("https://twitter.com/elosduvale/status/1635385370526220289")</f>
        <v>https://twitter.com/elosduvale/status/1635385370526220289</v>
      </c>
      <c r="AF1159" s="79">
        <v>44998.875347222223</v>
      </c>
      <c r="AG1159" s="85">
        <v>44998</v>
      </c>
      <c r="AH1159" s="82" t="s">
        <v>11307</v>
      </c>
      <c r="AI1159" s="77" t="b">
        <v>0</v>
      </c>
      <c r="AJ1159" s="77"/>
      <c r="AK1159" s="77"/>
      <c r="AL1159" s="77"/>
      <c r="AM1159" s="77"/>
      <c r="AN1159" s="77"/>
      <c r="AO1159" s="77"/>
      <c r="AP1159" s="77"/>
      <c r="AQ1159" s="77" t="s">
        <v>14580</v>
      </c>
      <c r="AR1159" s="77"/>
      <c r="AS1159" s="77"/>
      <c r="AT1159" s="77"/>
      <c r="AU1159" s="77"/>
      <c r="AV1159" s="80" t="str">
        <f>HYPERLINK("https://pbs.twimg.com/media/FrIOU8WXgAIYEKw.jpg")</f>
        <v>https://pbs.twimg.com/media/FrIOU8WXgAIYEKw.jpg</v>
      </c>
      <c r="AW1159" s="82" t="s">
        <v>17932</v>
      </c>
      <c r="AX1159" s="82" t="s">
        <v>17932</v>
      </c>
      <c r="AY1159" s="77"/>
      <c r="AZ1159" s="82" t="s">
        <v>20971</v>
      </c>
      <c r="BA1159" s="82" t="s">
        <v>20971</v>
      </c>
      <c r="BB1159" s="82" t="s">
        <v>20971</v>
      </c>
      <c r="BC1159" s="82" t="s">
        <v>17932</v>
      </c>
      <c r="BD1159" s="82" t="s">
        <v>21163</v>
      </c>
      <c r="BE1159" s="77"/>
      <c r="BF1159" s="77"/>
      <c r="BG1159" s="77"/>
      <c r="BH1159" s="77"/>
      <c r="BI1159" s="77"/>
    </row>
    <row r="1160" spans="1:61" x14ac:dyDescent="0.25">
      <c r="A1160" s="62" t="s">
        <v>431</v>
      </c>
      <c r="B1160" s="62" t="s">
        <v>431</v>
      </c>
      <c r="C1160" s="63"/>
      <c r="D1160" s="64"/>
      <c r="E1160" s="65"/>
      <c r="F1160" s="66"/>
      <c r="G1160" s="63"/>
      <c r="H1160" s="67"/>
      <c r="I1160" s="68"/>
      <c r="J1160" s="68"/>
      <c r="K1160" s="32"/>
      <c r="L1160" s="75">
        <v>1160</v>
      </c>
      <c r="M1160" s="75"/>
      <c r="N1160" s="70"/>
      <c r="O1160" s="77" t="s">
        <v>179</v>
      </c>
      <c r="P1160" s="79">
        <v>44958.87740740741</v>
      </c>
      <c r="Q1160" s="77" t="s">
        <v>2404</v>
      </c>
      <c r="R1160" s="77">
        <v>1</v>
      </c>
      <c r="S1160" s="77">
        <v>2</v>
      </c>
      <c r="T1160" s="77">
        <v>2</v>
      </c>
      <c r="U1160" s="77">
        <v>0</v>
      </c>
      <c r="V1160" s="77">
        <v>25</v>
      </c>
      <c r="W1160" s="82" t="s">
        <v>5579</v>
      </c>
      <c r="X1160" s="77"/>
      <c r="Y1160" s="77"/>
      <c r="Z1160" s="77"/>
      <c r="AA1160" s="77"/>
      <c r="AB1160" s="77"/>
      <c r="AC1160" s="82" t="s">
        <v>10146</v>
      </c>
      <c r="AD1160" s="77" t="s">
        <v>10184</v>
      </c>
      <c r="AE1160" s="80" t="str">
        <f>HYPERLINK("https://twitter.com/junior82827720/status/1620890600374673410")</f>
        <v>https://twitter.com/junior82827720/status/1620890600374673410</v>
      </c>
      <c r="AF1160" s="79">
        <v>44958.87740740741</v>
      </c>
      <c r="AG1160" s="85">
        <v>44958</v>
      </c>
      <c r="AH1160" s="82" t="s">
        <v>11308</v>
      </c>
      <c r="AI1160" s="77"/>
      <c r="AJ1160" s="77"/>
      <c r="AK1160" s="77"/>
      <c r="AL1160" s="77"/>
      <c r="AM1160" s="77"/>
      <c r="AN1160" s="77"/>
      <c r="AO1160" s="77"/>
      <c r="AP1160" s="77"/>
      <c r="AQ1160" s="77"/>
      <c r="AR1160" s="77"/>
      <c r="AS1160" s="77"/>
      <c r="AT1160" s="77"/>
      <c r="AU1160" s="77"/>
      <c r="AV1160" s="80" t="str">
        <f>HYPERLINK("https://pbs.twimg.com/profile_images/997221599957868544/97el8HC2_normal.jpg")</f>
        <v>https://pbs.twimg.com/profile_images/997221599957868544/97el8HC2_normal.jpg</v>
      </c>
      <c r="AW1160" s="82" t="s">
        <v>17933</v>
      </c>
      <c r="AX1160" s="82" t="s">
        <v>17933</v>
      </c>
      <c r="AY1160" s="77"/>
      <c r="AZ1160" s="82" t="s">
        <v>20971</v>
      </c>
      <c r="BA1160" s="82" t="s">
        <v>20971</v>
      </c>
      <c r="BB1160" s="82" t="s">
        <v>20971</v>
      </c>
      <c r="BC1160" s="82" t="s">
        <v>17933</v>
      </c>
      <c r="BD1160" s="82" t="s">
        <v>21164</v>
      </c>
      <c r="BE1160" s="77"/>
      <c r="BF1160" s="77"/>
      <c r="BG1160" s="77"/>
      <c r="BH1160" s="77"/>
      <c r="BI1160" s="77"/>
    </row>
    <row r="1161" spans="1:61" x14ac:dyDescent="0.25">
      <c r="A1161" s="62" t="s">
        <v>432</v>
      </c>
      <c r="B1161" s="62" t="s">
        <v>432</v>
      </c>
      <c r="C1161" s="63"/>
      <c r="D1161" s="64"/>
      <c r="E1161" s="65"/>
      <c r="F1161" s="66"/>
      <c r="G1161" s="63"/>
      <c r="H1161" s="67"/>
      <c r="I1161" s="68"/>
      <c r="J1161" s="68"/>
      <c r="K1161" s="32"/>
      <c r="L1161" s="75">
        <v>1161</v>
      </c>
      <c r="M1161" s="75"/>
      <c r="N1161" s="70"/>
      <c r="O1161" s="77" t="s">
        <v>179</v>
      </c>
      <c r="P1161" s="79">
        <v>44999.641886574071</v>
      </c>
      <c r="Q1161" s="77" t="s">
        <v>2405</v>
      </c>
      <c r="R1161" s="77">
        <v>0</v>
      </c>
      <c r="S1161" s="77">
        <v>1</v>
      </c>
      <c r="T1161" s="77">
        <v>1</v>
      </c>
      <c r="U1161" s="77">
        <v>0</v>
      </c>
      <c r="V1161" s="77">
        <v>175</v>
      </c>
      <c r="W1161" s="82" t="s">
        <v>5580</v>
      </c>
      <c r="X1161" s="77"/>
      <c r="Y1161" s="77"/>
      <c r="Z1161" s="77"/>
      <c r="AA1161" s="77" t="s">
        <v>7937</v>
      </c>
      <c r="AB1161" s="77" t="s">
        <v>10129</v>
      </c>
      <c r="AC1161" s="82" t="s">
        <v>10144</v>
      </c>
      <c r="AD1161" s="77" t="s">
        <v>10184</v>
      </c>
      <c r="AE1161" s="80" t="str">
        <f>HYPERLINK("https://twitter.com/willcesarpro/status/1635663151621369857")</f>
        <v>https://twitter.com/willcesarpro/status/1635663151621369857</v>
      </c>
      <c r="AF1161" s="79">
        <v>44999.641886574071</v>
      </c>
      <c r="AG1161" s="85">
        <v>44999</v>
      </c>
      <c r="AH1161" s="82" t="s">
        <v>11309</v>
      </c>
      <c r="AI1161" s="77" t="b">
        <v>0</v>
      </c>
      <c r="AJ1161" s="77"/>
      <c r="AK1161" s="77"/>
      <c r="AL1161" s="77"/>
      <c r="AM1161" s="77"/>
      <c r="AN1161" s="77"/>
      <c r="AO1161" s="77"/>
      <c r="AP1161" s="77"/>
      <c r="AQ1161" s="77" t="s">
        <v>14581</v>
      </c>
      <c r="AR1161" s="77">
        <v>90900</v>
      </c>
      <c r="AS1161" s="77"/>
      <c r="AT1161" s="77"/>
      <c r="AU1161" s="77"/>
      <c r="AV1161" s="80" t="str">
        <f>HYPERLINK("https://pbs.twimg.com/ext_tw_video_thumb/1635663073158615041/pu/img/3M5lhyQ_y0u77ukw.jpg")</f>
        <v>https://pbs.twimg.com/ext_tw_video_thumb/1635663073158615041/pu/img/3M5lhyQ_y0u77ukw.jpg</v>
      </c>
      <c r="AW1161" s="82" t="s">
        <v>17934</v>
      </c>
      <c r="AX1161" s="82" t="s">
        <v>17934</v>
      </c>
      <c r="AY1161" s="77"/>
      <c r="AZ1161" s="82" t="s">
        <v>20971</v>
      </c>
      <c r="BA1161" s="82" t="s">
        <v>20971</v>
      </c>
      <c r="BB1161" s="82" t="s">
        <v>20971</v>
      </c>
      <c r="BC1161" s="82" t="s">
        <v>17934</v>
      </c>
      <c r="BD1161" s="82" t="s">
        <v>21165</v>
      </c>
      <c r="BE1161" s="77"/>
      <c r="BF1161" s="77"/>
      <c r="BG1161" s="77"/>
      <c r="BH1161" s="77"/>
      <c r="BI1161" s="77"/>
    </row>
    <row r="1162" spans="1:61" x14ac:dyDescent="0.25">
      <c r="A1162" s="62" t="s">
        <v>433</v>
      </c>
      <c r="B1162" s="62" t="s">
        <v>433</v>
      </c>
      <c r="C1162" s="63"/>
      <c r="D1162" s="64"/>
      <c r="E1162" s="65"/>
      <c r="F1162" s="66"/>
      <c r="G1162" s="63"/>
      <c r="H1162" s="67"/>
      <c r="I1162" s="68"/>
      <c r="J1162" s="68"/>
      <c r="K1162" s="32"/>
      <c r="L1162" s="75">
        <v>1162</v>
      </c>
      <c r="M1162" s="75"/>
      <c r="N1162" s="70"/>
      <c r="O1162" s="77" t="s">
        <v>179</v>
      </c>
      <c r="P1162" s="79">
        <v>44981.501076388886</v>
      </c>
      <c r="Q1162" s="77" t="s">
        <v>2406</v>
      </c>
      <c r="R1162" s="77">
        <v>0</v>
      </c>
      <c r="S1162" s="77">
        <v>0</v>
      </c>
      <c r="T1162" s="77">
        <v>0</v>
      </c>
      <c r="U1162" s="77">
        <v>0</v>
      </c>
      <c r="V1162" s="77">
        <v>35</v>
      </c>
      <c r="W1162" s="82" t="s">
        <v>5581</v>
      </c>
      <c r="X1162" s="80" t="str">
        <f>HYPERLINK("https://www.ysense.com/?rb=137971323")</f>
        <v>https://www.ysense.com/?rb=137971323</v>
      </c>
      <c r="Y1162" s="77" t="s">
        <v>7290</v>
      </c>
      <c r="Z1162" s="77"/>
      <c r="AA1162" s="77"/>
      <c r="AB1162" s="77"/>
      <c r="AC1162" s="82" t="s">
        <v>10146</v>
      </c>
      <c r="AD1162" s="77" t="s">
        <v>10184</v>
      </c>
      <c r="AE1162" s="80" t="str">
        <f>HYPERLINK("https://twitter.com/jessy_lene/status/1629089143295815683")</f>
        <v>https://twitter.com/jessy_lene/status/1629089143295815683</v>
      </c>
      <c r="AF1162" s="79">
        <v>44981.501076388886</v>
      </c>
      <c r="AG1162" s="85">
        <v>44981</v>
      </c>
      <c r="AH1162" s="82" t="s">
        <v>11310</v>
      </c>
      <c r="AI1162" s="77" t="b">
        <v>0</v>
      </c>
      <c r="AJ1162" s="77"/>
      <c r="AK1162" s="77"/>
      <c r="AL1162" s="77"/>
      <c r="AM1162" s="77"/>
      <c r="AN1162" s="77"/>
      <c r="AO1162" s="77"/>
      <c r="AP1162" s="77"/>
      <c r="AQ1162" s="77"/>
      <c r="AR1162" s="77"/>
      <c r="AS1162" s="77"/>
      <c r="AT1162" s="77"/>
      <c r="AU1162" s="77"/>
      <c r="AV1162" s="80" t="str">
        <f>HYPERLINK("https://pbs.twimg.com/profile_images/1490988427050987521/CE-gL6rL_normal.jpg")</f>
        <v>https://pbs.twimg.com/profile_images/1490988427050987521/CE-gL6rL_normal.jpg</v>
      </c>
      <c r="AW1162" s="82" t="s">
        <v>17935</v>
      </c>
      <c r="AX1162" s="82" t="s">
        <v>17935</v>
      </c>
      <c r="AY1162" s="77"/>
      <c r="AZ1162" s="82" t="s">
        <v>20971</v>
      </c>
      <c r="BA1162" s="82" t="s">
        <v>20971</v>
      </c>
      <c r="BB1162" s="82" t="s">
        <v>20971</v>
      </c>
      <c r="BC1162" s="82" t="s">
        <v>17935</v>
      </c>
      <c r="BD1162" s="77">
        <v>63844419</v>
      </c>
      <c r="BE1162" s="77"/>
      <c r="BF1162" s="77"/>
      <c r="BG1162" s="77"/>
      <c r="BH1162" s="77"/>
      <c r="BI1162" s="77"/>
    </row>
    <row r="1163" spans="1:61" x14ac:dyDescent="0.25">
      <c r="A1163" s="62" t="s">
        <v>434</v>
      </c>
      <c r="B1163" s="62" t="s">
        <v>434</v>
      </c>
      <c r="C1163" s="63"/>
      <c r="D1163" s="64"/>
      <c r="E1163" s="65"/>
      <c r="F1163" s="66"/>
      <c r="G1163" s="63"/>
      <c r="H1163" s="67"/>
      <c r="I1163" s="68"/>
      <c r="J1163" s="68"/>
      <c r="K1163" s="32"/>
      <c r="L1163" s="75">
        <v>1163</v>
      </c>
      <c r="M1163" s="75"/>
      <c r="N1163" s="70"/>
      <c r="O1163" s="77" t="s">
        <v>179</v>
      </c>
      <c r="P1163" s="79">
        <v>45002.543773148151</v>
      </c>
      <c r="Q1163" s="77" t="s">
        <v>2407</v>
      </c>
      <c r="R1163" s="77">
        <v>0</v>
      </c>
      <c r="S1163" s="77">
        <v>0</v>
      </c>
      <c r="T1163" s="77">
        <v>0</v>
      </c>
      <c r="U1163" s="77">
        <v>0</v>
      </c>
      <c r="V1163" s="77">
        <v>4</v>
      </c>
      <c r="W1163" s="82" t="s">
        <v>5582</v>
      </c>
      <c r="X1163" s="77"/>
      <c r="Y1163" s="77"/>
      <c r="Z1163" s="77"/>
      <c r="AA1163" s="77" t="s">
        <v>7938</v>
      </c>
      <c r="AB1163" s="77" t="s">
        <v>10130</v>
      </c>
      <c r="AC1163" s="82" t="s">
        <v>10146</v>
      </c>
      <c r="AD1163" s="77" t="s">
        <v>10184</v>
      </c>
      <c r="AE1163" s="80" t="str">
        <f>HYPERLINK("https://twitter.com/sabrina74445433/status/1636714762196201474")</f>
        <v>https://twitter.com/sabrina74445433/status/1636714762196201474</v>
      </c>
      <c r="AF1163" s="79">
        <v>45002.543773148151</v>
      </c>
      <c r="AG1163" s="85">
        <v>45002</v>
      </c>
      <c r="AH1163" s="82" t="s">
        <v>11311</v>
      </c>
      <c r="AI1163" s="77" t="b">
        <v>0</v>
      </c>
      <c r="AJ1163" s="77"/>
      <c r="AK1163" s="77"/>
      <c r="AL1163" s="77"/>
      <c r="AM1163" s="77"/>
      <c r="AN1163" s="77"/>
      <c r="AO1163" s="77"/>
      <c r="AP1163" s="77"/>
      <c r="AQ1163" s="77" t="s">
        <v>14582</v>
      </c>
      <c r="AR1163" s="77"/>
      <c r="AS1163" s="77"/>
      <c r="AT1163" s="77"/>
      <c r="AU1163" s="77"/>
      <c r="AV1163" s="80" t="str">
        <f>HYPERLINK("https://pbs.twimg.com/media/FrbG9wEWwAErxwl.jpg")</f>
        <v>https://pbs.twimg.com/media/FrbG9wEWwAErxwl.jpg</v>
      </c>
      <c r="AW1163" s="82" t="s">
        <v>17936</v>
      </c>
      <c r="AX1163" s="82" t="s">
        <v>17936</v>
      </c>
      <c r="AY1163" s="77"/>
      <c r="AZ1163" s="82" t="s">
        <v>20971</v>
      </c>
      <c r="BA1163" s="82" t="s">
        <v>20971</v>
      </c>
      <c r="BB1163" s="82" t="s">
        <v>20971</v>
      </c>
      <c r="BC1163" s="82" t="s">
        <v>17936</v>
      </c>
      <c r="BD1163" s="82" t="s">
        <v>21166</v>
      </c>
      <c r="BE1163" s="77"/>
      <c r="BF1163" s="77"/>
      <c r="BG1163" s="77"/>
      <c r="BH1163" s="77"/>
      <c r="BI1163" s="77"/>
    </row>
    <row r="1164" spans="1:61" x14ac:dyDescent="0.25">
      <c r="A1164" s="62" t="s">
        <v>435</v>
      </c>
      <c r="B1164" s="62" t="s">
        <v>435</v>
      </c>
      <c r="C1164" s="63"/>
      <c r="D1164" s="64"/>
      <c r="E1164" s="65"/>
      <c r="F1164" s="66"/>
      <c r="G1164" s="63"/>
      <c r="H1164" s="67"/>
      <c r="I1164" s="68"/>
      <c r="J1164" s="68"/>
      <c r="K1164" s="32"/>
      <c r="L1164" s="75">
        <v>1164</v>
      </c>
      <c r="M1164" s="75"/>
      <c r="N1164" s="70"/>
      <c r="O1164" s="77" t="s">
        <v>179</v>
      </c>
      <c r="P1164" s="79">
        <v>45105.632118055553</v>
      </c>
      <c r="Q1164" s="77" t="s">
        <v>2408</v>
      </c>
      <c r="R1164" s="77">
        <v>0</v>
      </c>
      <c r="S1164" s="77">
        <v>0</v>
      </c>
      <c r="T1164" s="77">
        <v>0</v>
      </c>
      <c r="U1164" s="77">
        <v>0</v>
      </c>
      <c r="V1164" s="77">
        <v>34</v>
      </c>
      <c r="W1164" s="82" t="s">
        <v>5305</v>
      </c>
      <c r="X1164" s="77"/>
      <c r="Y1164" s="77"/>
      <c r="Z1164" s="77"/>
      <c r="AA1164" s="77" t="s">
        <v>7939</v>
      </c>
      <c r="AB1164" s="77" t="s">
        <v>10130</v>
      </c>
      <c r="AC1164" s="82" t="s">
        <v>10144</v>
      </c>
      <c r="AD1164" s="77" t="s">
        <v>10185</v>
      </c>
      <c r="AE1164" s="80" t="str">
        <f>HYPERLINK("https://twitter.com/arielyaari44402/status/1674072727752253441")</f>
        <v>https://twitter.com/arielyaari44402/status/1674072727752253441</v>
      </c>
      <c r="AF1164" s="79">
        <v>45105.632118055553</v>
      </c>
      <c r="AG1164" s="85">
        <v>45105</v>
      </c>
      <c r="AH1164" s="82" t="s">
        <v>11312</v>
      </c>
      <c r="AI1164" s="77" t="b">
        <v>0</v>
      </c>
      <c r="AJ1164" s="77"/>
      <c r="AK1164" s="77"/>
      <c r="AL1164" s="77"/>
      <c r="AM1164" s="77"/>
      <c r="AN1164" s="77"/>
      <c r="AO1164" s="77"/>
      <c r="AP1164" s="77"/>
      <c r="AQ1164" s="77" t="s">
        <v>14583</v>
      </c>
      <c r="AR1164" s="77"/>
      <c r="AS1164" s="77"/>
      <c r="AT1164" s="77"/>
      <c r="AU1164" s="77"/>
      <c r="AV1164" s="80" t="str">
        <f>HYPERLINK("https://pbs.twimg.com/media/FzuAQ-2WYAAoq2G.jpg")</f>
        <v>https://pbs.twimg.com/media/FzuAQ-2WYAAoq2G.jpg</v>
      </c>
      <c r="AW1164" s="82" t="s">
        <v>17937</v>
      </c>
      <c r="AX1164" s="82" t="s">
        <v>17937</v>
      </c>
      <c r="AY1164" s="77"/>
      <c r="AZ1164" s="82" t="s">
        <v>20971</v>
      </c>
      <c r="BA1164" s="82" t="s">
        <v>20971</v>
      </c>
      <c r="BB1164" s="82" t="s">
        <v>20971</v>
      </c>
      <c r="BC1164" s="82" t="s">
        <v>17937</v>
      </c>
      <c r="BD1164" s="82" t="s">
        <v>21167</v>
      </c>
      <c r="BE1164" s="77"/>
      <c r="BF1164" s="77"/>
      <c r="BG1164" s="77"/>
      <c r="BH1164" s="77"/>
      <c r="BI1164" s="77"/>
    </row>
    <row r="1165" spans="1:61" x14ac:dyDescent="0.25">
      <c r="A1165" s="62" t="s">
        <v>436</v>
      </c>
      <c r="B1165" s="62" t="s">
        <v>436</v>
      </c>
      <c r="C1165" s="63"/>
      <c r="D1165" s="64"/>
      <c r="E1165" s="65"/>
      <c r="F1165" s="66"/>
      <c r="G1165" s="63"/>
      <c r="H1165" s="67"/>
      <c r="I1165" s="68"/>
      <c r="J1165" s="68"/>
      <c r="K1165" s="32"/>
      <c r="L1165" s="75">
        <v>1165</v>
      </c>
      <c r="M1165" s="75"/>
      <c r="N1165" s="70"/>
      <c r="O1165" s="77" t="s">
        <v>179</v>
      </c>
      <c r="P1165" s="79">
        <v>45021.583506944444</v>
      </c>
      <c r="Q1165" s="77" t="s">
        <v>2409</v>
      </c>
      <c r="R1165" s="77">
        <v>3</v>
      </c>
      <c r="S1165" s="77">
        <v>4</v>
      </c>
      <c r="T1165" s="77">
        <v>0</v>
      </c>
      <c r="U1165" s="77">
        <v>1</v>
      </c>
      <c r="V1165" s="77">
        <v>972</v>
      </c>
      <c r="W1165" s="82" t="s">
        <v>5583</v>
      </c>
      <c r="X1165" s="77"/>
      <c r="Y1165" s="77"/>
      <c r="Z1165" s="77"/>
      <c r="AA1165" s="77" t="s">
        <v>7940</v>
      </c>
      <c r="AB1165" s="77" t="s">
        <v>10130</v>
      </c>
      <c r="AC1165" s="82" t="s">
        <v>10144</v>
      </c>
      <c r="AD1165" s="77" t="s">
        <v>10184</v>
      </c>
      <c r="AE1165" s="80" t="str">
        <f>HYPERLINK("https://twitter.com/acelsio/status/1643614528616165376")</f>
        <v>https://twitter.com/acelsio/status/1643614528616165376</v>
      </c>
      <c r="AF1165" s="79">
        <v>45021.583506944444</v>
      </c>
      <c r="AG1165" s="85">
        <v>45021</v>
      </c>
      <c r="AH1165" s="82" t="s">
        <v>11313</v>
      </c>
      <c r="AI1165" s="77" t="b">
        <v>0</v>
      </c>
      <c r="AJ1165" s="77"/>
      <c r="AK1165" s="77"/>
      <c r="AL1165" s="77"/>
      <c r="AM1165" s="77"/>
      <c r="AN1165" s="77"/>
      <c r="AO1165" s="77"/>
      <c r="AP1165" s="77"/>
      <c r="AQ1165" s="77" t="s">
        <v>14584</v>
      </c>
      <c r="AR1165" s="77"/>
      <c r="AS1165" s="77"/>
      <c r="AT1165" s="77"/>
      <c r="AU1165" s="77"/>
      <c r="AV1165" s="80" t="str">
        <f>HYPERLINK("https://pbs.twimg.com/media/Fs9KsX2WAAgLR3r.jpg")</f>
        <v>https://pbs.twimg.com/media/Fs9KsX2WAAgLR3r.jpg</v>
      </c>
      <c r="AW1165" s="82" t="s">
        <v>17938</v>
      </c>
      <c r="AX1165" s="82" t="s">
        <v>17938</v>
      </c>
      <c r="AY1165" s="77"/>
      <c r="AZ1165" s="82" t="s">
        <v>20971</v>
      </c>
      <c r="BA1165" s="82" t="s">
        <v>20971</v>
      </c>
      <c r="BB1165" s="82" t="s">
        <v>20971</v>
      </c>
      <c r="BC1165" s="82" t="s">
        <v>17938</v>
      </c>
      <c r="BD1165" s="77">
        <v>1530471756</v>
      </c>
      <c r="BE1165" s="77"/>
      <c r="BF1165" s="77"/>
      <c r="BG1165" s="77"/>
      <c r="BH1165" s="77"/>
      <c r="BI1165" s="77"/>
    </row>
    <row r="1166" spans="1:61" x14ac:dyDescent="0.25">
      <c r="A1166" s="62" t="s">
        <v>437</v>
      </c>
      <c r="B1166" s="62" t="s">
        <v>437</v>
      </c>
      <c r="C1166" s="63"/>
      <c r="D1166" s="64"/>
      <c r="E1166" s="65"/>
      <c r="F1166" s="66"/>
      <c r="G1166" s="63"/>
      <c r="H1166" s="67"/>
      <c r="I1166" s="68"/>
      <c r="J1166" s="68"/>
      <c r="K1166" s="32"/>
      <c r="L1166" s="75">
        <v>1166</v>
      </c>
      <c r="M1166" s="75"/>
      <c r="N1166" s="70"/>
      <c r="O1166" s="77" t="s">
        <v>179</v>
      </c>
      <c r="P1166" s="79">
        <v>44956.76667824074</v>
      </c>
      <c r="Q1166" s="77" t="s">
        <v>2410</v>
      </c>
      <c r="R1166" s="77">
        <v>1</v>
      </c>
      <c r="S1166" s="77">
        <v>1</v>
      </c>
      <c r="T1166" s="77">
        <v>0</v>
      </c>
      <c r="U1166" s="77">
        <v>0</v>
      </c>
      <c r="V1166" s="77">
        <v>52</v>
      </c>
      <c r="W1166" s="82" t="s">
        <v>5584</v>
      </c>
      <c r="X1166" s="80" t="str">
        <f>HYPERLINK("https://www.oincrivel.com.br/como-conseguir-4-mil-horas-de-exibicao-no-youtube/")</f>
        <v>https://www.oincrivel.com.br/como-conseguir-4-mil-horas-de-exibicao-no-youtube/</v>
      </c>
      <c r="Y1166" s="77" t="s">
        <v>7252</v>
      </c>
      <c r="Z1166" s="77"/>
      <c r="AA1166" s="77"/>
      <c r="AB1166" s="77"/>
      <c r="AC1166" s="82" t="s">
        <v>10144</v>
      </c>
      <c r="AD1166" s="77" t="s">
        <v>10184</v>
      </c>
      <c r="AE1166" s="80" t="str">
        <f>HYPERLINK("https://twitter.com/oincrivelsite/status/1620125697279934466")</f>
        <v>https://twitter.com/oincrivelsite/status/1620125697279934466</v>
      </c>
      <c r="AF1166" s="79">
        <v>44956.76667824074</v>
      </c>
      <c r="AG1166" s="85">
        <v>44956</v>
      </c>
      <c r="AH1166" s="82" t="s">
        <v>11314</v>
      </c>
      <c r="AI1166" s="77" t="b">
        <v>0</v>
      </c>
      <c r="AJ1166" s="77"/>
      <c r="AK1166" s="77"/>
      <c r="AL1166" s="77"/>
      <c r="AM1166" s="77"/>
      <c r="AN1166" s="77"/>
      <c r="AO1166" s="77"/>
      <c r="AP1166" s="77"/>
      <c r="AQ1166" s="77"/>
      <c r="AR1166" s="77"/>
      <c r="AS1166" s="77"/>
      <c r="AT1166" s="77"/>
      <c r="AU1166" s="77"/>
      <c r="AV1166" s="80" t="str">
        <f>HYPERLINK("https://pbs.twimg.com/profile_images/1622139945883258881/e6jzDoNz_normal.jpg")</f>
        <v>https://pbs.twimg.com/profile_images/1622139945883258881/e6jzDoNz_normal.jpg</v>
      </c>
      <c r="AW1166" s="82" t="s">
        <v>17939</v>
      </c>
      <c r="AX1166" s="82" t="s">
        <v>17939</v>
      </c>
      <c r="AY1166" s="77"/>
      <c r="AZ1166" s="82" t="s">
        <v>20971</v>
      </c>
      <c r="BA1166" s="82" t="s">
        <v>20971</v>
      </c>
      <c r="BB1166" s="82" t="s">
        <v>20971</v>
      </c>
      <c r="BC1166" s="82" t="s">
        <v>17939</v>
      </c>
      <c r="BD1166" s="82" t="s">
        <v>21168</v>
      </c>
      <c r="BE1166" s="77"/>
      <c r="BF1166" s="77"/>
      <c r="BG1166" s="77"/>
      <c r="BH1166" s="77"/>
      <c r="BI1166" s="77"/>
    </row>
    <row r="1167" spans="1:61" x14ac:dyDescent="0.25">
      <c r="A1167" s="62" t="s">
        <v>437</v>
      </c>
      <c r="B1167" s="62" t="s">
        <v>437</v>
      </c>
      <c r="C1167" s="63"/>
      <c r="D1167" s="64"/>
      <c r="E1167" s="65"/>
      <c r="F1167" s="66"/>
      <c r="G1167" s="63"/>
      <c r="H1167" s="67"/>
      <c r="I1167" s="68"/>
      <c r="J1167" s="68"/>
      <c r="K1167" s="32"/>
      <c r="L1167" s="75">
        <v>1167</v>
      </c>
      <c r="M1167" s="75"/>
      <c r="N1167" s="70"/>
      <c r="O1167" s="77" t="s">
        <v>179</v>
      </c>
      <c r="P1167" s="79">
        <v>44956.765949074077</v>
      </c>
      <c r="Q1167" s="77" t="s">
        <v>2411</v>
      </c>
      <c r="R1167" s="77">
        <v>1</v>
      </c>
      <c r="S1167" s="77">
        <v>1</v>
      </c>
      <c r="T1167" s="77">
        <v>0</v>
      </c>
      <c r="U1167" s="77">
        <v>0</v>
      </c>
      <c r="V1167" s="77">
        <v>50</v>
      </c>
      <c r="W1167" s="82" t="s">
        <v>5585</v>
      </c>
      <c r="X1167" s="80" t="str">
        <f>HYPERLINK("https://www.oincrivel.com.br/15-ideias-de-negocios-para-trabalhar-em-casa/")</f>
        <v>https://www.oincrivel.com.br/15-ideias-de-negocios-para-trabalhar-em-casa/</v>
      </c>
      <c r="Y1167" s="77" t="s">
        <v>7252</v>
      </c>
      <c r="Z1167" s="77"/>
      <c r="AA1167" s="77"/>
      <c r="AB1167" s="77"/>
      <c r="AC1167" s="82" t="s">
        <v>10144</v>
      </c>
      <c r="AD1167" s="77" t="s">
        <v>10184</v>
      </c>
      <c r="AE1167" s="80" t="str">
        <f>HYPERLINK("https://twitter.com/oincrivelsite/status/1620125432497729536")</f>
        <v>https://twitter.com/oincrivelsite/status/1620125432497729536</v>
      </c>
      <c r="AF1167" s="79">
        <v>44956.765949074077</v>
      </c>
      <c r="AG1167" s="85">
        <v>44956</v>
      </c>
      <c r="AH1167" s="82" t="s">
        <v>11315</v>
      </c>
      <c r="AI1167" s="77" t="b">
        <v>0</v>
      </c>
      <c r="AJ1167" s="77"/>
      <c r="AK1167" s="77"/>
      <c r="AL1167" s="77"/>
      <c r="AM1167" s="77"/>
      <c r="AN1167" s="77"/>
      <c r="AO1167" s="77"/>
      <c r="AP1167" s="77"/>
      <c r="AQ1167" s="77"/>
      <c r="AR1167" s="77"/>
      <c r="AS1167" s="77"/>
      <c r="AT1167" s="77"/>
      <c r="AU1167" s="77"/>
      <c r="AV1167" s="80" t="str">
        <f>HYPERLINK("https://pbs.twimg.com/profile_images/1622139945883258881/e6jzDoNz_normal.jpg")</f>
        <v>https://pbs.twimg.com/profile_images/1622139945883258881/e6jzDoNz_normal.jpg</v>
      </c>
      <c r="AW1167" s="82" t="s">
        <v>17940</v>
      </c>
      <c r="AX1167" s="82" t="s">
        <v>17940</v>
      </c>
      <c r="AY1167" s="77"/>
      <c r="AZ1167" s="82" t="s">
        <v>20971</v>
      </c>
      <c r="BA1167" s="82" t="s">
        <v>20971</v>
      </c>
      <c r="BB1167" s="82" t="s">
        <v>20971</v>
      </c>
      <c r="BC1167" s="82" t="s">
        <v>17940</v>
      </c>
      <c r="BD1167" s="82" t="s">
        <v>21168</v>
      </c>
      <c r="BE1167" s="77"/>
      <c r="BF1167" s="77"/>
      <c r="BG1167" s="77"/>
      <c r="BH1167" s="77"/>
      <c r="BI1167" s="77"/>
    </row>
    <row r="1168" spans="1:61" x14ac:dyDescent="0.25">
      <c r="A1168" s="62" t="s">
        <v>437</v>
      </c>
      <c r="B1168" s="62" t="s">
        <v>437</v>
      </c>
      <c r="C1168" s="63"/>
      <c r="D1168" s="64"/>
      <c r="E1168" s="65"/>
      <c r="F1168" s="66"/>
      <c r="G1168" s="63"/>
      <c r="H1168" s="67"/>
      <c r="I1168" s="68"/>
      <c r="J1168" s="68"/>
      <c r="K1168" s="32"/>
      <c r="L1168" s="75">
        <v>1168</v>
      </c>
      <c r="M1168" s="75"/>
      <c r="N1168" s="70"/>
      <c r="O1168" s="77" t="s">
        <v>179</v>
      </c>
      <c r="P1168" s="79">
        <v>44961.110185185185</v>
      </c>
      <c r="Q1168" s="77" t="s">
        <v>2412</v>
      </c>
      <c r="R1168" s="77">
        <v>0</v>
      </c>
      <c r="S1168" s="77">
        <v>1</v>
      </c>
      <c r="T1168" s="77">
        <v>0</v>
      </c>
      <c r="U1168" s="77">
        <v>0</v>
      </c>
      <c r="V1168" s="77">
        <v>72</v>
      </c>
      <c r="W1168" s="82" t="s">
        <v>5335</v>
      </c>
      <c r="X1168" s="80" t="str">
        <f>HYPERLINK("https://www.oincrivel.com.br/10-melhores-bancos-de-imagens-gratuitas-para-seus-projetos-criativos/")</f>
        <v>https://www.oincrivel.com.br/10-melhores-bancos-de-imagens-gratuitas-para-seus-projetos-criativos/</v>
      </c>
      <c r="Y1168" s="77" t="s">
        <v>7252</v>
      </c>
      <c r="Z1168" s="77"/>
      <c r="AA1168" s="77"/>
      <c r="AB1168" s="77"/>
      <c r="AC1168" s="82" t="s">
        <v>10144</v>
      </c>
      <c r="AD1168" s="77" t="s">
        <v>10184</v>
      </c>
      <c r="AE1168" s="80" t="str">
        <f>HYPERLINK("https://twitter.com/oincrivelsite/status/1621699733298323456")</f>
        <v>https://twitter.com/oincrivelsite/status/1621699733298323456</v>
      </c>
      <c r="AF1168" s="79">
        <v>44961.110185185185</v>
      </c>
      <c r="AG1168" s="85">
        <v>44961</v>
      </c>
      <c r="AH1168" s="82" t="s">
        <v>11316</v>
      </c>
      <c r="AI1168" s="77" t="b">
        <v>0</v>
      </c>
      <c r="AJ1168" s="77"/>
      <c r="AK1168" s="77"/>
      <c r="AL1168" s="77"/>
      <c r="AM1168" s="77"/>
      <c r="AN1168" s="77"/>
      <c r="AO1168" s="77"/>
      <c r="AP1168" s="77"/>
      <c r="AQ1168" s="77"/>
      <c r="AR1168" s="77"/>
      <c r="AS1168" s="77"/>
      <c r="AT1168" s="77"/>
      <c r="AU1168" s="77"/>
      <c r="AV1168" s="80" t="str">
        <f>HYPERLINK("https://pbs.twimg.com/profile_images/1622139945883258881/e6jzDoNz_normal.jpg")</f>
        <v>https://pbs.twimg.com/profile_images/1622139945883258881/e6jzDoNz_normal.jpg</v>
      </c>
      <c r="AW1168" s="82" t="s">
        <v>17941</v>
      </c>
      <c r="AX1168" s="82" t="s">
        <v>17941</v>
      </c>
      <c r="AY1168" s="77"/>
      <c r="AZ1168" s="82" t="s">
        <v>20971</v>
      </c>
      <c r="BA1168" s="82" t="s">
        <v>20971</v>
      </c>
      <c r="BB1168" s="82" t="s">
        <v>20971</v>
      </c>
      <c r="BC1168" s="82" t="s">
        <v>17941</v>
      </c>
      <c r="BD1168" s="82" t="s">
        <v>21168</v>
      </c>
      <c r="BE1168" s="77"/>
      <c r="BF1168" s="77"/>
      <c r="BG1168" s="77"/>
      <c r="BH1168" s="77"/>
      <c r="BI1168" s="77"/>
    </row>
    <row r="1169" spans="1:61" x14ac:dyDescent="0.25">
      <c r="A1169" s="62" t="s">
        <v>437</v>
      </c>
      <c r="B1169" s="62" t="s">
        <v>437</v>
      </c>
      <c r="C1169" s="63"/>
      <c r="D1169" s="64"/>
      <c r="E1169" s="65"/>
      <c r="F1169" s="66"/>
      <c r="G1169" s="63"/>
      <c r="H1169" s="67"/>
      <c r="I1169" s="68"/>
      <c r="J1169" s="68"/>
      <c r="K1169" s="32"/>
      <c r="L1169" s="75">
        <v>1169</v>
      </c>
      <c r="M1169" s="75"/>
      <c r="N1169" s="70"/>
      <c r="O1169" s="77" t="s">
        <v>179</v>
      </c>
      <c r="P1169" s="79">
        <v>44960.631597222222</v>
      </c>
      <c r="Q1169" s="77" t="s">
        <v>2413</v>
      </c>
      <c r="R1169" s="77">
        <v>0</v>
      </c>
      <c r="S1169" s="77">
        <v>0</v>
      </c>
      <c r="T1169" s="77">
        <v>0</v>
      </c>
      <c r="U1169" s="77">
        <v>0</v>
      </c>
      <c r="V1169" s="77">
        <v>33</v>
      </c>
      <c r="W1169" s="82" t="s">
        <v>5586</v>
      </c>
      <c r="X1169" s="80" t="str">
        <f>HYPERLINK("https://www.oincrivel.com.br/formula-negocio-online-de-alex-vargas-aprenda-a-criar-seu-proprio-negocio-digital-de-sucesso/")</f>
        <v>https://www.oincrivel.com.br/formula-negocio-online-de-alex-vargas-aprenda-a-criar-seu-proprio-negocio-digital-de-sucesso/</v>
      </c>
      <c r="Y1169" s="77" t="s">
        <v>7252</v>
      </c>
      <c r="Z1169" s="77"/>
      <c r="AA1169" s="77"/>
      <c r="AB1169" s="77"/>
      <c r="AC1169" s="82" t="s">
        <v>10144</v>
      </c>
      <c r="AD1169" s="77" t="s">
        <v>10184</v>
      </c>
      <c r="AE1169" s="80" t="str">
        <f>HYPERLINK("https://twitter.com/oincrivelsite/status/1621526295715921921")</f>
        <v>https://twitter.com/oincrivelsite/status/1621526295715921921</v>
      </c>
      <c r="AF1169" s="79">
        <v>44960.631597222222</v>
      </c>
      <c r="AG1169" s="85">
        <v>44960</v>
      </c>
      <c r="AH1169" s="82" t="s">
        <v>11317</v>
      </c>
      <c r="AI1169" s="77" t="b">
        <v>0</v>
      </c>
      <c r="AJ1169" s="77"/>
      <c r="AK1169" s="77"/>
      <c r="AL1169" s="77"/>
      <c r="AM1169" s="77"/>
      <c r="AN1169" s="77"/>
      <c r="AO1169" s="77"/>
      <c r="AP1169" s="77"/>
      <c r="AQ1169" s="77"/>
      <c r="AR1169" s="77"/>
      <c r="AS1169" s="77"/>
      <c r="AT1169" s="77"/>
      <c r="AU1169" s="77"/>
      <c r="AV1169" s="80" t="str">
        <f>HYPERLINK("https://pbs.twimg.com/profile_images/1622139945883258881/e6jzDoNz_normal.jpg")</f>
        <v>https://pbs.twimg.com/profile_images/1622139945883258881/e6jzDoNz_normal.jpg</v>
      </c>
      <c r="AW1169" s="82" t="s">
        <v>17942</v>
      </c>
      <c r="AX1169" s="82" t="s">
        <v>17942</v>
      </c>
      <c r="AY1169" s="77"/>
      <c r="AZ1169" s="82" t="s">
        <v>20971</v>
      </c>
      <c r="BA1169" s="82" t="s">
        <v>20971</v>
      </c>
      <c r="BB1169" s="82" t="s">
        <v>20971</v>
      </c>
      <c r="BC1169" s="82" t="s">
        <v>17942</v>
      </c>
      <c r="BD1169" s="82" t="s">
        <v>21168</v>
      </c>
      <c r="BE1169" s="77"/>
      <c r="BF1169" s="77"/>
      <c r="BG1169" s="77"/>
      <c r="BH1169" s="77"/>
      <c r="BI1169" s="77"/>
    </row>
    <row r="1170" spans="1:61" x14ac:dyDescent="0.25">
      <c r="A1170" s="62" t="s">
        <v>438</v>
      </c>
      <c r="B1170" s="62" t="s">
        <v>438</v>
      </c>
      <c r="C1170" s="63"/>
      <c r="D1170" s="64"/>
      <c r="E1170" s="65"/>
      <c r="F1170" s="66"/>
      <c r="G1170" s="63"/>
      <c r="H1170" s="67"/>
      <c r="I1170" s="68"/>
      <c r="J1170" s="68"/>
      <c r="K1170" s="32"/>
      <c r="L1170" s="75">
        <v>1170</v>
      </c>
      <c r="M1170" s="75"/>
      <c r="N1170" s="70"/>
      <c r="O1170" s="77" t="s">
        <v>179</v>
      </c>
      <c r="P1170" s="79">
        <v>45034.868761574071</v>
      </c>
      <c r="Q1170" s="77" t="s">
        <v>2414</v>
      </c>
      <c r="R1170" s="77">
        <v>0</v>
      </c>
      <c r="S1170" s="77">
        <v>1</v>
      </c>
      <c r="T1170" s="77">
        <v>0</v>
      </c>
      <c r="U1170" s="77">
        <v>0</v>
      </c>
      <c r="V1170" s="77">
        <v>30</v>
      </c>
      <c r="W1170" s="82" t="s">
        <v>5587</v>
      </c>
      <c r="X1170" s="77"/>
      <c r="Y1170" s="77"/>
      <c r="Z1170" s="77"/>
      <c r="AA1170" s="77" t="s">
        <v>7941</v>
      </c>
      <c r="AB1170" s="77" t="s">
        <v>10129</v>
      </c>
      <c r="AC1170" s="82" t="s">
        <v>10144</v>
      </c>
      <c r="AD1170" s="77" t="s">
        <v>10184</v>
      </c>
      <c r="AE1170" s="80" t="str">
        <f>HYPERLINK("https://twitter.com/pvendasofc47707/status/1648428943136157698")</f>
        <v>https://twitter.com/pvendasofc47707/status/1648428943136157698</v>
      </c>
      <c r="AF1170" s="79">
        <v>45034.868761574071</v>
      </c>
      <c r="AG1170" s="85">
        <v>45034</v>
      </c>
      <c r="AH1170" s="82" t="s">
        <v>11318</v>
      </c>
      <c r="AI1170" s="77" t="b">
        <v>0</v>
      </c>
      <c r="AJ1170" s="77"/>
      <c r="AK1170" s="77"/>
      <c r="AL1170" s="77"/>
      <c r="AM1170" s="77"/>
      <c r="AN1170" s="77"/>
      <c r="AO1170" s="77"/>
      <c r="AP1170" s="77"/>
      <c r="AQ1170" s="77" t="s">
        <v>14585</v>
      </c>
      <c r="AR1170" s="77">
        <v>16810</v>
      </c>
      <c r="AS1170" s="77"/>
      <c r="AT1170" s="77"/>
      <c r="AU1170" s="77"/>
      <c r="AV1170" s="80" t="str">
        <f>HYPERLINK("https://pbs.twimg.com/ext_tw_video_thumb/1648428853889495046/pu/img/Lup3M2YuxSwm1zhF.jpg")</f>
        <v>https://pbs.twimg.com/ext_tw_video_thumb/1648428853889495046/pu/img/Lup3M2YuxSwm1zhF.jpg</v>
      </c>
      <c r="AW1170" s="82" t="s">
        <v>17943</v>
      </c>
      <c r="AX1170" s="82" t="s">
        <v>17943</v>
      </c>
      <c r="AY1170" s="77"/>
      <c r="AZ1170" s="82" t="s">
        <v>20971</v>
      </c>
      <c r="BA1170" s="82" t="s">
        <v>20971</v>
      </c>
      <c r="BB1170" s="82" t="s">
        <v>20971</v>
      </c>
      <c r="BC1170" s="82" t="s">
        <v>17943</v>
      </c>
      <c r="BD1170" s="82" t="s">
        <v>21169</v>
      </c>
      <c r="BE1170" s="77"/>
      <c r="BF1170" s="77"/>
      <c r="BG1170" s="77"/>
      <c r="BH1170" s="77"/>
      <c r="BI1170" s="77"/>
    </row>
    <row r="1171" spans="1:61" x14ac:dyDescent="0.25">
      <c r="A1171" s="62" t="s">
        <v>439</v>
      </c>
      <c r="B1171" s="62" t="s">
        <v>439</v>
      </c>
      <c r="C1171" s="63"/>
      <c r="D1171" s="64"/>
      <c r="E1171" s="65"/>
      <c r="F1171" s="66"/>
      <c r="G1171" s="63"/>
      <c r="H1171" s="67"/>
      <c r="I1171" s="68"/>
      <c r="J1171" s="68"/>
      <c r="K1171" s="32"/>
      <c r="L1171" s="75">
        <v>1171</v>
      </c>
      <c r="M1171" s="75"/>
      <c r="N1171" s="70"/>
      <c r="O1171" s="77" t="s">
        <v>179</v>
      </c>
      <c r="P1171" s="79">
        <v>45177.990497685183</v>
      </c>
      <c r="Q1171" s="77" t="s">
        <v>2415</v>
      </c>
      <c r="R1171" s="77">
        <v>0</v>
      </c>
      <c r="S1171" s="77">
        <v>0</v>
      </c>
      <c r="T1171" s="77">
        <v>0</v>
      </c>
      <c r="U1171" s="77">
        <v>0</v>
      </c>
      <c r="V1171" s="77">
        <v>84</v>
      </c>
      <c r="W1171" s="82" t="s">
        <v>5588</v>
      </c>
      <c r="X1171" s="80" t="str">
        <f>HYPERLINK("https://logo8888.com/?v=65TUYVUZFHK")</f>
        <v>https://logo8888.com/?v=65TUYVUZFHK</v>
      </c>
      <c r="Y1171" s="77" t="s">
        <v>7314</v>
      </c>
      <c r="Z1171" s="77"/>
      <c r="AA1171" s="77" t="s">
        <v>7942</v>
      </c>
      <c r="AB1171" s="77" t="s">
        <v>10128</v>
      </c>
      <c r="AC1171" s="82" t="s">
        <v>10145</v>
      </c>
      <c r="AD1171" s="77" t="s">
        <v>10184</v>
      </c>
      <c r="AE1171" s="80" t="str">
        <f>HYPERLINK("https://twitter.com/gihsleine/status/1700294524356939851")</f>
        <v>https://twitter.com/gihsleine/status/1700294524356939851</v>
      </c>
      <c r="AF1171" s="79">
        <v>45177.990497685183</v>
      </c>
      <c r="AG1171" s="85">
        <v>45177</v>
      </c>
      <c r="AH1171" s="82" t="s">
        <v>11319</v>
      </c>
      <c r="AI1171" s="77" t="b">
        <v>0</v>
      </c>
      <c r="AJ1171" s="77" t="s">
        <v>14010</v>
      </c>
      <c r="AK1171" s="77" t="s">
        <v>14033</v>
      </c>
      <c r="AL1171" s="77" t="s">
        <v>14035</v>
      </c>
      <c r="AM1171" s="77" t="s">
        <v>14052</v>
      </c>
      <c r="AN1171" s="77" t="s">
        <v>14089</v>
      </c>
      <c r="AO1171" s="77" t="s">
        <v>14127</v>
      </c>
      <c r="AP1171" s="77" t="s">
        <v>14149</v>
      </c>
      <c r="AQ1171" s="77" t="s">
        <v>14586</v>
      </c>
      <c r="AR1171" s="77"/>
      <c r="AS1171" s="77"/>
      <c r="AT1171" s="77"/>
      <c r="AU1171" s="77"/>
      <c r="AV1171" s="80" t="str">
        <f>HYPERLINK("https://pbs.twimg.com/media/F5io232WkAAwC3X.jpg")</f>
        <v>https://pbs.twimg.com/media/F5io232WkAAwC3X.jpg</v>
      </c>
      <c r="AW1171" s="82" t="s">
        <v>17944</v>
      </c>
      <c r="AX1171" s="82" t="s">
        <v>17944</v>
      </c>
      <c r="AY1171" s="77"/>
      <c r="AZ1171" s="82" t="s">
        <v>20971</v>
      </c>
      <c r="BA1171" s="82" t="s">
        <v>20971</v>
      </c>
      <c r="BB1171" s="82" t="s">
        <v>20971</v>
      </c>
      <c r="BC1171" s="82" t="s">
        <v>17944</v>
      </c>
      <c r="BD1171" s="77">
        <v>105512289</v>
      </c>
      <c r="BE1171" s="77"/>
      <c r="BF1171" s="77"/>
      <c r="BG1171" s="77"/>
      <c r="BH1171" s="77"/>
      <c r="BI1171" s="77"/>
    </row>
    <row r="1172" spans="1:61" x14ac:dyDescent="0.25">
      <c r="A1172" s="62" t="s">
        <v>440</v>
      </c>
      <c r="B1172" s="62" t="s">
        <v>440</v>
      </c>
      <c r="C1172" s="63"/>
      <c r="D1172" s="64"/>
      <c r="E1172" s="65"/>
      <c r="F1172" s="66"/>
      <c r="G1172" s="63"/>
      <c r="H1172" s="67"/>
      <c r="I1172" s="68"/>
      <c r="J1172" s="68"/>
      <c r="K1172" s="32"/>
      <c r="L1172" s="75">
        <v>1172</v>
      </c>
      <c r="M1172" s="75"/>
      <c r="N1172" s="70"/>
      <c r="O1172" s="77" t="s">
        <v>179</v>
      </c>
      <c r="P1172" s="79">
        <v>45196.896458333336</v>
      </c>
      <c r="Q1172" s="77" t="s">
        <v>2416</v>
      </c>
      <c r="R1172" s="77">
        <v>0</v>
      </c>
      <c r="S1172" s="77">
        <v>0</v>
      </c>
      <c r="T1172" s="77">
        <v>0</v>
      </c>
      <c r="U1172" s="77">
        <v>0</v>
      </c>
      <c r="V1172" s="77">
        <v>10</v>
      </c>
      <c r="W1172" s="82" t="s">
        <v>5589</v>
      </c>
      <c r="X1172" s="80" t="str">
        <f>HYPERLINK("https://tinyurl.com/bdzbwacf")</f>
        <v>https://tinyurl.com/bdzbwacf</v>
      </c>
      <c r="Y1172" s="77" t="s">
        <v>7315</v>
      </c>
      <c r="Z1172" s="77"/>
      <c r="AA1172" s="77" t="s">
        <v>7943</v>
      </c>
      <c r="AB1172" s="77" t="s">
        <v>10130</v>
      </c>
      <c r="AC1172" s="82" t="s">
        <v>10144</v>
      </c>
      <c r="AD1172" s="77" t="s">
        <v>10184</v>
      </c>
      <c r="AE1172" s="80" t="str">
        <f>HYPERLINK("https://twitter.com/ben_dicas/status/1707145814445814119")</f>
        <v>https://twitter.com/ben_dicas/status/1707145814445814119</v>
      </c>
      <c r="AF1172" s="79">
        <v>45196.896458333336</v>
      </c>
      <c r="AG1172" s="85">
        <v>45196</v>
      </c>
      <c r="AH1172" s="82" t="s">
        <v>11320</v>
      </c>
      <c r="AI1172" s="77" t="b">
        <v>0</v>
      </c>
      <c r="AJ1172" s="77"/>
      <c r="AK1172" s="77"/>
      <c r="AL1172" s="77"/>
      <c r="AM1172" s="77"/>
      <c r="AN1172" s="77"/>
      <c r="AO1172" s="77"/>
      <c r="AP1172" s="77"/>
      <c r="AQ1172" s="77" t="s">
        <v>14587</v>
      </c>
      <c r="AR1172" s="77"/>
      <c r="AS1172" s="77"/>
      <c r="AT1172" s="77"/>
      <c r="AU1172" s="77"/>
      <c r="AV1172" s="80" t="str">
        <f>HYPERLINK("https://pbs.twimg.com/media/F7EAD8oWwAEnaoP.jpg")</f>
        <v>https://pbs.twimg.com/media/F7EAD8oWwAEnaoP.jpg</v>
      </c>
      <c r="AW1172" s="82" t="s">
        <v>17945</v>
      </c>
      <c r="AX1172" s="82" t="s">
        <v>17945</v>
      </c>
      <c r="AY1172" s="77"/>
      <c r="AZ1172" s="82" t="s">
        <v>20971</v>
      </c>
      <c r="BA1172" s="82" t="s">
        <v>20971</v>
      </c>
      <c r="BB1172" s="82" t="s">
        <v>20971</v>
      </c>
      <c r="BC1172" s="82" t="s">
        <v>17945</v>
      </c>
      <c r="BD1172" s="82" t="s">
        <v>21170</v>
      </c>
      <c r="BE1172" s="77"/>
      <c r="BF1172" s="77"/>
      <c r="BG1172" s="77"/>
      <c r="BH1172" s="77"/>
      <c r="BI1172" s="77"/>
    </row>
    <row r="1173" spans="1:61" x14ac:dyDescent="0.25">
      <c r="A1173" s="62" t="s">
        <v>441</v>
      </c>
      <c r="B1173" s="62" t="s">
        <v>441</v>
      </c>
      <c r="C1173" s="63"/>
      <c r="D1173" s="64"/>
      <c r="E1173" s="65"/>
      <c r="F1173" s="66"/>
      <c r="G1173" s="63"/>
      <c r="H1173" s="67"/>
      <c r="I1173" s="68"/>
      <c r="J1173" s="68"/>
      <c r="K1173" s="32"/>
      <c r="L1173" s="75">
        <v>1173</v>
      </c>
      <c r="M1173" s="75"/>
      <c r="N1173" s="70"/>
      <c r="O1173" s="77" t="s">
        <v>179</v>
      </c>
      <c r="P1173" s="79">
        <v>45059.764513888891</v>
      </c>
      <c r="Q1173" s="77" t="s">
        <v>2417</v>
      </c>
      <c r="R1173" s="77">
        <v>0</v>
      </c>
      <c r="S1173" s="77">
        <v>0</v>
      </c>
      <c r="T1173" s="77">
        <v>1</v>
      </c>
      <c r="U1173" s="77">
        <v>0</v>
      </c>
      <c r="V1173" s="77">
        <v>7</v>
      </c>
      <c r="W1173" s="82" t="s">
        <v>5590</v>
      </c>
      <c r="X1173" s="77" t="s">
        <v>7192</v>
      </c>
      <c r="Y1173" s="77" t="s">
        <v>7316</v>
      </c>
      <c r="Z1173" s="77"/>
      <c r="AA1173" s="77"/>
      <c r="AB1173" s="77"/>
      <c r="AC1173" s="82" t="s">
        <v>10144</v>
      </c>
      <c r="AD1173" s="77" t="s">
        <v>10184</v>
      </c>
      <c r="AE1173" s="80" t="str">
        <f>HYPERLINK("https://twitter.com/maraduba/status/1657450864217391104")</f>
        <v>https://twitter.com/maraduba/status/1657450864217391104</v>
      </c>
      <c r="AF1173" s="79">
        <v>45059.764513888891</v>
      </c>
      <c r="AG1173" s="85">
        <v>45059</v>
      </c>
      <c r="AH1173" s="82" t="s">
        <v>11321</v>
      </c>
      <c r="AI1173" s="77" t="b">
        <v>0</v>
      </c>
      <c r="AJ1173" s="77"/>
      <c r="AK1173" s="77"/>
      <c r="AL1173" s="77"/>
      <c r="AM1173" s="77"/>
      <c r="AN1173" s="77"/>
      <c r="AO1173" s="77"/>
      <c r="AP1173" s="77"/>
      <c r="AQ1173" s="77"/>
      <c r="AR1173" s="77"/>
      <c r="AS1173" s="77"/>
      <c r="AT1173" s="77"/>
      <c r="AU1173" s="77"/>
      <c r="AV1173" s="80" t="str">
        <f>HYPERLINK("https://pbs.twimg.com/profile_images/1647943224454000640/-aQGLS0T_normal.jpg")</f>
        <v>https://pbs.twimg.com/profile_images/1647943224454000640/-aQGLS0T_normal.jpg</v>
      </c>
      <c r="AW1173" s="82" t="s">
        <v>17946</v>
      </c>
      <c r="AX1173" s="82" t="s">
        <v>17946</v>
      </c>
      <c r="AY1173" s="77"/>
      <c r="AZ1173" s="82" t="s">
        <v>20971</v>
      </c>
      <c r="BA1173" s="82" t="s">
        <v>20971</v>
      </c>
      <c r="BB1173" s="82" t="s">
        <v>20971</v>
      </c>
      <c r="BC1173" s="82" t="s">
        <v>17946</v>
      </c>
      <c r="BD1173" s="77">
        <v>1620587443</v>
      </c>
      <c r="BE1173" s="77"/>
      <c r="BF1173" s="77"/>
      <c r="BG1173" s="77"/>
      <c r="BH1173" s="77"/>
      <c r="BI1173" s="77"/>
    </row>
    <row r="1174" spans="1:61" x14ac:dyDescent="0.25">
      <c r="A1174" s="62" t="s">
        <v>441</v>
      </c>
      <c r="B1174" s="62" t="s">
        <v>441</v>
      </c>
      <c r="C1174" s="63"/>
      <c r="D1174" s="64"/>
      <c r="E1174" s="65"/>
      <c r="F1174" s="66"/>
      <c r="G1174" s="63"/>
      <c r="H1174" s="67"/>
      <c r="I1174" s="68"/>
      <c r="J1174" s="68"/>
      <c r="K1174" s="32"/>
      <c r="L1174" s="75">
        <v>1174</v>
      </c>
      <c r="M1174" s="75"/>
      <c r="N1174" s="70"/>
      <c r="O1174" s="77" t="s">
        <v>179</v>
      </c>
      <c r="P1174" s="79">
        <v>45033.530358796299</v>
      </c>
      <c r="Q1174" s="77" t="s">
        <v>2418</v>
      </c>
      <c r="R1174" s="77">
        <v>0</v>
      </c>
      <c r="S1174" s="77">
        <v>0</v>
      </c>
      <c r="T1174" s="77">
        <v>0</v>
      </c>
      <c r="U1174" s="77">
        <v>0</v>
      </c>
      <c r="V1174" s="77">
        <v>12</v>
      </c>
      <c r="W1174" s="82" t="s">
        <v>5397</v>
      </c>
      <c r="X1174" s="80" t="str">
        <f>HYPERLINK("https://edzz.la/MVI9T?a=83007524")</f>
        <v>https://edzz.la/MVI9T?a=83007524</v>
      </c>
      <c r="Y1174" s="77" t="s">
        <v>7271</v>
      </c>
      <c r="Z1174" s="77"/>
      <c r="AA1174" s="77" t="s">
        <v>7944</v>
      </c>
      <c r="AB1174" s="77" t="s">
        <v>10130</v>
      </c>
      <c r="AC1174" s="82" t="s">
        <v>10144</v>
      </c>
      <c r="AD1174" s="77" t="s">
        <v>10183</v>
      </c>
      <c r="AE1174" s="80" t="str">
        <f>HYPERLINK("https://twitter.com/maraduba/status/1647943922449014784")</f>
        <v>https://twitter.com/maraduba/status/1647943922449014784</v>
      </c>
      <c r="AF1174" s="79">
        <v>45033.530358796299</v>
      </c>
      <c r="AG1174" s="85">
        <v>45033</v>
      </c>
      <c r="AH1174" s="82" t="s">
        <v>11322</v>
      </c>
      <c r="AI1174" s="77" t="b">
        <v>0</v>
      </c>
      <c r="AJ1174" s="77"/>
      <c r="AK1174" s="77"/>
      <c r="AL1174" s="77"/>
      <c r="AM1174" s="77"/>
      <c r="AN1174" s="77"/>
      <c r="AO1174" s="77"/>
      <c r="AP1174" s="77"/>
      <c r="AQ1174" s="77" t="s">
        <v>14588</v>
      </c>
      <c r="AR1174" s="77"/>
      <c r="AS1174" s="77"/>
      <c r="AT1174" s="77"/>
      <c r="AU1174" s="77"/>
      <c r="AV1174" s="80" t="str">
        <f>HYPERLINK("https://pbs.twimg.com/media/Ft6sQ5tWcAAOfQN.jpg")</f>
        <v>https://pbs.twimg.com/media/Ft6sQ5tWcAAOfQN.jpg</v>
      </c>
      <c r="AW1174" s="82" t="s">
        <v>17947</v>
      </c>
      <c r="AX1174" s="82" t="s">
        <v>17947</v>
      </c>
      <c r="AY1174" s="77"/>
      <c r="AZ1174" s="82" t="s">
        <v>20971</v>
      </c>
      <c r="BA1174" s="82" t="s">
        <v>20971</v>
      </c>
      <c r="BB1174" s="82" t="s">
        <v>20971</v>
      </c>
      <c r="BC1174" s="82" t="s">
        <v>17947</v>
      </c>
      <c r="BD1174" s="77">
        <v>1620587443</v>
      </c>
      <c r="BE1174" s="77"/>
      <c r="BF1174" s="77"/>
      <c r="BG1174" s="77"/>
      <c r="BH1174" s="77"/>
      <c r="BI1174" s="77"/>
    </row>
    <row r="1175" spans="1:61" x14ac:dyDescent="0.25">
      <c r="A1175" s="62" t="s">
        <v>442</v>
      </c>
      <c r="B1175" s="62" t="s">
        <v>442</v>
      </c>
      <c r="C1175" s="63"/>
      <c r="D1175" s="64"/>
      <c r="E1175" s="65"/>
      <c r="F1175" s="66"/>
      <c r="G1175" s="63"/>
      <c r="H1175" s="67"/>
      <c r="I1175" s="68"/>
      <c r="J1175" s="68"/>
      <c r="K1175" s="32"/>
      <c r="L1175" s="75">
        <v>1175</v>
      </c>
      <c r="M1175" s="75"/>
      <c r="N1175" s="70"/>
      <c r="O1175" s="77" t="s">
        <v>179</v>
      </c>
      <c r="P1175" s="79">
        <v>45073.860150462962</v>
      </c>
      <c r="Q1175" s="77" t="s">
        <v>2419</v>
      </c>
      <c r="R1175" s="77">
        <v>0</v>
      </c>
      <c r="S1175" s="77">
        <v>0</v>
      </c>
      <c r="T1175" s="77">
        <v>0</v>
      </c>
      <c r="U1175" s="77">
        <v>0</v>
      </c>
      <c r="V1175" s="77">
        <v>85</v>
      </c>
      <c r="W1175" s="82" t="s">
        <v>5591</v>
      </c>
      <c r="X1175" s="77"/>
      <c r="Y1175" s="77"/>
      <c r="Z1175" s="77"/>
      <c r="AA1175" s="77" t="s">
        <v>7945</v>
      </c>
      <c r="AB1175" s="77" t="s">
        <v>10129</v>
      </c>
      <c r="AC1175" s="82" t="s">
        <v>10144</v>
      </c>
      <c r="AD1175" s="77" t="s">
        <v>10184</v>
      </c>
      <c r="AE1175" s="80" t="str">
        <f>HYPERLINK("https://twitter.com/mariste2412891/status/1662558951366619137")</f>
        <v>https://twitter.com/mariste2412891/status/1662558951366619137</v>
      </c>
      <c r="AF1175" s="79">
        <v>45073.860150462962</v>
      </c>
      <c r="AG1175" s="85">
        <v>45073</v>
      </c>
      <c r="AH1175" s="82" t="s">
        <v>11323</v>
      </c>
      <c r="AI1175" s="77" t="b">
        <v>0</v>
      </c>
      <c r="AJ1175" s="77"/>
      <c r="AK1175" s="77"/>
      <c r="AL1175" s="77"/>
      <c r="AM1175" s="77"/>
      <c r="AN1175" s="77"/>
      <c r="AO1175" s="77"/>
      <c r="AP1175" s="77"/>
      <c r="AQ1175" s="77" t="s">
        <v>14589</v>
      </c>
      <c r="AR1175" s="77">
        <v>4597</v>
      </c>
      <c r="AS1175" s="77"/>
      <c r="AT1175" s="77"/>
      <c r="AU1175" s="77"/>
      <c r="AV1175" s="80" t="str">
        <f>HYPERLINK("https://pbs.twimg.com/ext_tw_video_thumb/1662558911759634444/pu/img/bYSK6pAcXQuUbfee.jpg")</f>
        <v>https://pbs.twimg.com/ext_tw_video_thumb/1662558911759634444/pu/img/bYSK6pAcXQuUbfee.jpg</v>
      </c>
      <c r="AW1175" s="82" t="s">
        <v>17948</v>
      </c>
      <c r="AX1175" s="82" t="s">
        <v>17948</v>
      </c>
      <c r="AY1175" s="77"/>
      <c r="AZ1175" s="82" t="s">
        <v>20971</v>
      </c>
      <c r="BA1175" s="82" t="s">
        <v>20971</v>
      </c>
      <c r="BB1175" s="82" t="s">
        <v>20971</v>
      </c>
      <c r="BC1175" s="82" t="s">
        <v>17948</v>
      </c>
      <c r="BD1175" s="82" t="s">
        <v>21171</v>
      </c>
      <c r="BE1175" s="77"/>
      <c r="BF1175" s="77"/>
      <c r="BG1175" s="77"/>
      <c r="BH1175" s="77"/>
      <c r="BI1175" s="77"/>
    </row>
    <row r="1176" spans="1:61" x14ac:dyDescent="0.25">
      <c r="A1176" s="62" t="s">
        <v>442</v>
      </c>
      <c r="B1176" s="62" t="s">
        <v>442</v>
      </c>
      <c r="C1176" s="63"/>
      <c r="D1176" s="64"/>
      <c r="E1176" s="65"/>
      <c r="F1176" s="66"/>
      <c r="G1176" s="63"/>
      <c r="H1176" s="67"/>
      <c r="I1176" s="68"/>
      <c r="J1176" s="68"/>
      <c r="K1176" s="32"/>
      <c r="L1176" s="75">
        <v>1176</v>
      </c>
      <c r="M1176" s="75"/>
      <c r="N1176" s="70"/>
      <c r="O1176" s="77" t="s">
        <v>179</v>
      </c>
      <c r="P1176" s="79">
        <v>45072.871666666666</v>
      </c>
      <c r="Q1176" s="77" t="s">
        <v>2420</v>
      </c>
      <c r="R1176" s="77">
        <v>0</v>
      </c>
      <c r="S1176" s="77">
        <v>0</v>
      </c>
      <c r="T1176" s="77">
        <v>0</v>
      </c>
      <c r="U1176" s="77">
        <v>0</v>
      </c>
      <c r="V1176" s="77">
        <v>66</v>
      </c>
      <c r="W1176" s="82" t="s">
        <v>5591</v>
      </c>
      <c r="X1176" s="77"/>
      <c r="Y1176" s="77"/>
      <c r="Z1176" s="77"/>
      <c r="AA1176" s="77" t="s">
        <v>7946</v>
      </c>
      <c r="AB1176" s="77" t="s">
        <v>10129</v>
      </c>
      <c r="AC1176" s="82" t="s">
        <v>10144</v>
      </c>
      <c r="AD1176" s="77" t="s">
        <v>10184</v>
      </c>
      <c r="AE1176" s="80" t="str">
        <f>HYPERLINK("https://twitter.com/mariste2412891/status/1662200736569077760")</f>
        <v>https://twitter.com/mariste2412891/status/1662200736569077760</v>
      </c>
      <c r="AF1176" s="79">
        <v>45072.871666666666</v>
      </c>
      <c r="AG1176" s="85">
        <v>45072</v>
      </c>
      <c r="AH1176" s="82" t="s">
        <v>11324</v>
      </c>
      <c r="AI1176" s="77" t="b">
        <v>0</v>
      </c>
      <c r="AJ1176" s="77"/>
      <c r="AK1176" s="77"/>
      <c r="AL1176" s="77"/>
      <c r="AM1176" s="77"/>
      <c r="AN1176" s="77"/>
      <c r="AO1176" s="77"/>
      <c r="AP1176" s="77"/>
      <c r="AQ1176" s="77" t="s">
        <v>14590</v>
      </c>
      <c r="AR1176" s="77">
        <v>29900</v>
      </c>
      <c r="AS1176" s="77"/>
      <c r="AT1176" s="77"/>
      <c r="AU1176" s="77"/>
      <c r="AV1176" s="80" t="str">
        <f>HYPERLINK("https://pbs.twimg.com/ext_tw_video_thumb/1662200696429592576/pu/img/1KgHMNHtTfxmVzeO.jpg")</f>
        <v>https://pbs.twimg.com/ext_tw_video_thumb/1662200696429592576/pu/img/1KgHMNHtTfxmVzeO.jpg</v>
      </c>
      <c r="AW1176" s="82" t="s">
        <v>17949</v>
      </c>
      <c r="AX1176" s="82" t="s">
        <v>17949</v>
      </c>
      <c r="AY1176" s="77"/>
      <c r="AZ1176" s="82" t="s">
        <v>20971</v>
      </c>
      <c r="BA1176" s="82" t="s">
        <v>20971</v>
      </c>
      <c r="BB1176" s="82" t="s">
        <v>20971</v>
      </c>
      <c r="BC1176" s="82" t="s">
        <v>17949</v>
      </c>
      <c r="BD1176" s="82" t="s">
        <v>21171</v>
      </c>
      <c r="BE1176" s="77"/>
      <c r="BF1176" s="77"/>
      <c r="BG1176" s="77"/>
      <c r="BH1176" s="77"/>
      <c r="BI1176" s="77"/>
    </row>
    <row r="1177" spans="1:61" x14ac:dyDescent="0.25">
      <c r="A1177" s="62" t="s">
        <v>443</v>
      </c>
      <c r="B1177" s="62" t="s">
        <v>443</v>
      </c>
      <c r="C1177" s="63"/>
      <c r="D1177" s="64"/>
      <c r="E1177" s="65"/>
      <c r="F1177" s="66"/>
      <c r="G1177" s="63"/>
      <c r="H1177" s="67"/>
      <c r="I1177" s="68"/>
      <c r="J1177" s="68"/>
      <c r="K1177" s="32"/>
      <c r="L1177" s="75">
        <v>1177</v>
      </c>
      <c r="M1177" s="75"/>
      <c r="N1177" s="70"/>
      <c r="O1177" s="77" t="s">
        <v>179</v>
      </c>
      <c r="P1177" s="79">
        <v>44958.979166666664</v>
      </c>
      <c r="Q1177" s="77" t="s">
        <v>2421</v>
      </c>
      <c r="R1177" s="77">
        <v>0</v>
      </c>
      <c r="S1177" s="77">
        <v>0</v>
      </c>
      <c r="T1177" s="77">
        <v>0</v>
      </c>
      <c r="U1177" s="77">
        <v>0</v>
      </c>
      <c r="V1177" s="77">
        <v>1466</v>
      </c>
      <c r="W1177" s="82" t="s">
        <v>5592</v>
      </c>
      <c r="X1177" s="80" t="str">
        <f>HYPERLINK("https://www.r7.com/KeSF")</f>
        <v>https://www.r7.com/KeSF</v>
      </c>
      <c r="Y1177" s="77" t="s">
        <v>7317</v>
      </c>
      <c r="Z1177" s="77"/>
      <c r="AA1177" s="77" t="s">
        <v>7947</v>
      </c>
      <c r="AB1177" s="77" t="s">
        <v>10130</v>
      </c>
      <c r="AC1177" s="82" t="s">
        <v>10146</v>
      </c>
      <c r="AD1177" s="77" t="s">
        <v>10184</v>
      </c>
      <c r="AE1177" s="80" t="str">
        <f>HYPERLINK("https://twitter.com/portalr7/status/1620927476166696960")</f>
        <v>https://twitter.com/portalr7/status/1620927476166696960</v>
      </c>
      <c r="AF1177" s="79">
        <v>44958.979166666664</v>
      </c>
      <c r="AG1177" s="85">
        <v>44958</v>
      </c>
      <c r="AH1177" s="82" t="s">
        <v>11325</v>
      </c>
      <c r="AI1177" s="77" t="b">
        <v>0</v>
      </c>
      <c r="AJ1177" s="77"/>
      <c r="AK1177" s="77"/>
      <c r="AL1177" s="77"/>
      <c r="AM1177" s="77"/>
      <c r="AN1177" s="77"/>
      <c r="AO1177" s="77"/>
      <c r="AP1177" s="77"/>
      <c r="AQ1177" s="77" t="s">
        <v>14591</v>
      </c>
      <c r="AR1177" s="77"/>
      <c r="AS1177" s="77"/>
      <c r="AT1177" s="77"/>
      <c r="AU1177" s="77"/>
      <c r="AV1177" s="80" t="str">
        <f>HYPERLINK("https://pbs.twimg.com/media/Fn6pEueXkAYj2uq.jpg")</f>
        <v>https://pbs.twimg.com/media/Fn6pEueXkAYj2uq.jpg</v>
      </c>
      <c r="AW1177" s="82" t="s">
        <v>17950</v>
      </c>
      <c r="AX1177" s="82" t="s">
        <v>17950</v>
      </c>
      <c r="AY1177" s="77"/>
      <c r="AZ1177" s="82" t="s">
        <v>20971</v>
      </c>
      <c r="BA1177" s="82" t="s">
        <v>20971</v>
      </c>
      <c r="BB1177" s="82" t="s">
        <v>20971</v>
      </c>
      <c r="BC1177" s="82" t="s">
        <v>17950</v>
      </c>
      <c r="BD1177" s="77">
        <v>65473559</v>
      </c>
      <c r="BE1177" s="77"/>
      <c r="BF1177" s="77"/>
      <c r="BG1177" s="77"/>
      <c r="BH1177" s="77"/>
      <c r="BI1177" s="77"/>
    </row>
    <row r="1178" spans="1:61" x14ac:dyDescent="0.25">
      <c r="A1178" s="62" t="s">
        <v>444</v>
      </c>
      <c r="B1178" s="62" t="s">
        <v>444</v>
      </c>
      <c r="C1178" s="63"/>
      <c r="D1178" s="64"/>
      <c r="E1178" s="65"/>
      <c r="F1178" s="66"/>
      <c r="G1178" s="63"/>
      <c r="H1178" s="67"/>
      <c r="I1178" s="68"/>
      <c r="J1178" s="68"/>
      <c r="K1178" s="32"/>
      <c r="L1178" s="75">
        <v>1178</v>
      </c>
      <c r="M1178" s="75"/>
      <c r="N1178" s="70"/>
      <c r="O1178" s="77" t="s">
        <v>179</v>
      </c>
      <c r="P1178" s="79">
        <v>44968.836585648147</v>
      </c>
      <c r="Q1178" s="77" t="s">
        <v>2422</v>
      </c>
      <c r="R1178" s="77">
        <v>0</v>
      </c>
      <c r="S1178" s="77">
        <v>1</v>
      </c>
      <c r="T1178" s="77">
        <v>0</v>
      </c>
      <c r="U1178" s="77">
        <v>0</v>
      </c>
      <c r="V1178" s="77">
        <v>158</v>
      </c>
      <c r="W1178" s="82" t="s">
        <v>5593</v>
      </c>
      <c r="X1178" s="77"/>
      <c r="Y1178" s="77"/>
      <c r="Z1178" s="77"/>
      <c r="AA1178" s="77"/>
      <c r="AB1178" s="77"/>
      <c r="AC1178" s="82" t="s">
        <v>10144</v>
      </c>
      <c r="AD1178" s="77" t="s">
        <v>10184</v>
      </c>
      <c r="AE1178" s="80" t="str">
        <f>HYPERLINK("https://twitter.com/afiliadomax/status/1624499686575951872")</f>
        <v>https://twitter.com/afiliadomax/status/1624499686575951872</v>
      </c>
      <c r="AF1178" s="79">
        <v>44968.836585648147</v>
      </c>
      <c r="AG1178" s="85">
        <v>44968</v>
      </c>
      <c r="AH1178" s="82" t="s">
        <v>11326</v>
      </c>
      <c r="AI1178" s="77"/>
      <c r="AJ1178" s="77"/>
      <c r="AK1178" s="77"/>
      <c r="AL1178" s="77"/>
      <c r="AM1178" s="77"/>
      <c r="AN1178" s="77"/>
      <c r="AO1178" s="77"/>
      <c r="AP1178" s="77"/>
      <c r="AQ1178" s="77"/>
      <c r="AR1178" s="77"/>
      <c r="AS1178" s="77"/>
      <c r="AT1178" s="77"/>
      <c r="AU1178" s="77"/>
      <c r="AV1178" s="80" t="str">
        <f>HYPERLINK("https://pbs.twimg.com/profile_images/1622734419902492676/ipxOHAd9_normal.jpg")</f>
        <v>https://pbs.twimg.com/profile_images/1622734419902492676/ipxOHAd9_normal.jpg</v>
      </c>
      <c r="AW1178" s="82" t="s">
        <v>17951</v>
      </c>
      <c r="AX1178" s="82" t="s">
        <v>17951</v>
      </c>
      <c r="AY1178" s="77"/>
      <c r="AZ1178" s="82" t="s">
        <v>20971</v>
      </c>
      <c r="BA1178" s="82" t="s">
        <v>20971</v>
      </c>
      <c r="BB1178" s="82" t="s">
        <v>20971</v>
      </c>
      <c r="BC1178" s="82" t="s">
        <v>17951</v>
      </c>
      <c r="BD1178" s="82" t="s">
        <v>21172</v>
      </c>
      <c r="BE1178" s="77"/>
      <c r="BF1178" s="77"/>
      <c r="BG1178" s="77"/>
      <c r="BH1178" s="77"/>
      <c r="BI1178" s="77"/>
    </row>
    <row r="1179" spans="1:61" x14ac:dyDescent="0.25">
      <c r="A1179" s="62" t="s">
        <v>445</v>
      </c>
      <c r="B1179" s="62" t="s">
        <v>445</v>
      </c>
      <c r="C1179" s="63"/>
      <c r="D1179" s="64"/>
      <c r="E1179" s="65"/>
      <c r="F1179" s="66"/>
      <c r="G1179" s="63"/>
      <c r="H1179" s="67"/>
      <c r="I1179" s="68"/>
      <c r="J1179" s="68"/>
      <c r="K1179" s="32"/>
      <c r="L1179" s="75">
        <v>1179</v>
      </c>
      <c r="M1179" s="75"/>
      <c r="N1179" s="70"/>
      <c r="O1179" s="77" t="s">
        <v>179</v>
      </c>
      <c r="P1179" s="79">
        <v>45048.679212962961</v>
      </c>
      <c r="Q1179" s="77" t="s">
        <v>2423</v>
      </c>
      <c r="R1179" s="77">
        <v>0</v>
      </c>
      <c r="S1179" s="77">
        <v>0</v>
      </c>
      <c r="T1179" s="77">
        <v>0</v>
      </c>
      <c r="U1179" s="77">
        <v>0</v>
      </c>
      <c r="V1179" s="77">
        <v>32</v>
      </c>
      <c r="W1179" s="82" t="s">
        <v>5594</v>
      </c>
      <c r="X1179" s="80" t="str">
        <f>HYPERLINK("https://p.eduzz.com/963053?a=269552421")</f>
        <v>https://p.eduzz.com/963053?a=269552421</v>
      </c>
      <c r="Y1179" s="77" t="s">
        <v>7245</v>
      </c>
      <c r="Z1179" s="77"/>
      <c r="AA1179" s="77"/>
      <c r="AB1179" s="77"/>
      <c r="AC1179" s="82" t="s">
        <v>10145</v>
      </c>
      <c r="AD1179" s="77" t="s">
        <v>10184</v>
      </c>
      <c r="AE1179" s="80" t="str">
        <f>HYPERLINK("https://twitter.com/vivi75ofertas/status/1653433684635033601")</f>
        <v>https://twitter.com/vivi75ofertas/status/1653433684635033601</v>
      </c>
      <c r="AF1179" s="79">
        <v>45048.679212962961</v>
      </c>
      <c r="AG1179" s="85">
        <v>45048</v>
      </c>
      <c r="AH1179" s="82" t="s">
        <v>11327</v>
      </c>
      <c r="AI1179" s="77" t="b">
        <v>0</v>
      </c>
      <c r="AJ1179" s="77" t="s">
        <v>14001</v>
      </c>
      <c r="AK1179" s="77" t="s">
        <v>14033</v>
      </c>
      <c r="AL1179" s="77" t="s">
        <v>14035</v>
      </c>
      <c r="AM1179" s="77" t="s">
        <v>14043</v>
      </c>
      <c r="AN1179" s="77" t="s">
        <v>14080</v>
      </c>
      <c r="AO1179" s="77" t="s">
        <v>14118</v>
      </c>
      <c r="AP1179" s="77" t="s">
        <v>14149</v>
      </c>
      <c r="AQ1179" s="77"/>
      <c r="AR1179" s="77"/>
      <c r="AS1179" s="77"/>
      <c r="AT1179" s="77"/>
      <c r="AU1179" s="77"/>
      <c r="AV1179" s="80" t="str">
        <f>HYPERLINK("https://pbs.twimg.com/profile_images/1703858729890824192/q_z_ImNY_normal.jpg")</f>
        <v>https://pbs.twimg.com/profile_images/1703858729890824192/q_z_ImNY_normal.jpg</v>
      </c>
      <c r="AW1179" s="82" t="s">
        <v>17952</v>
      </c>
      <c r="AX1179" s="82" t="s">
        <v>17952</v>
      </c>
      <c r="AY1179" s="77"/>
      <c r="AZ1179" s="82" t="s">
        <v>20971</v>
      </c>
      <c r="BA1179" s="82" t="s">
        <v>20971</v>
      </c>
      <c r="BB1179" s="82" t="s">
        <v>20971</v>
      </c>
      <c r="BC1179" s="82" t="s">
        <v>17952</v>
      </c>
      <c r="BD1179" s="82" t="s">
        <v>21173</v>
      </c>
      <c r="BE1179" s="77"/>
      <c r="BF1179" s="77"/>
      <c r="BG1179" s="77"/>
      <c r="BH1179" s="77"/>
      <c r="BI1179" s="77"/>
    </row>
    <row r="1180" spans="1:61" x14ac:dyDescent="0.25">
      <c r="A1180" s="62" t="s">
        <v>446</v>
      </c>
      <c r="B1180" s="62" t="s">
        <v>446</v>
      </c>
      <c r="C1180" s="63"/>
      <c r="D1180" s="64"/>
      <c r="E1180" s="65"/>
      <c r="F1180" s="66"/>
      <c r="G1180" s="63"/>
      <c r="H1180" s="67"/>
      <c r="I1180" s="68"/>
      <c r="J1180" s="68"/>
      <c r="K1180" s="32"/>
      <c r="L1180" s="75">
        <v>1180</v>
      </c>
      <c r="M1180" s="75"/>
      <c r="N1180" s="70"/>
      <c r="O1180" s="77" t="s">
        <v>179</v>
      </c>
      <c r="P1180" s="79">
        <v>45107.809386574074</v>
      </c>
      <c r="Q1180" s="77" t="s">
        <v>2424</v>
      </c>
      <c r="R1180" s="77">
        <v>0</v>
      </c>
      <c r="S1180" s="77">
        <v>0</v>
      </c>
      <c r="T1180" s="77">
        <v>0</v>
      </c>
      <c r="U1180" s="77">
        <v>0</v>
      </c>
      <c r="V1180" s="77">
        <v>74</v>
      </c>
      <c r="W1180" s="82" t="s">
        <v>5595</v>
      </c>
      <c r="X1180" s="80" t="str">
        <f>HYPERLINK("https://www.meseems.com.br/Campaign/InvitedRules?link=https://meseems.page.link/kABizC9kcN2rgt499")</f>
        <v>https://www.meseems.com.br/Campaign/InvitedRules?link=https://meseems.page.link/kABizC9kcN2rgt499</v>
      </c>
      <c r="Y1180" s="77" t="s">
        <v>7252</v>
      </c>
      <c r="Z1180" s="77"/>
      <c r="AA1180" s="77"/>
      <c r="AB1180" s="77"/>
      <c r="AC1180" s="82" t="s">
        <v>10144</v>
      </c>
      <c r="AD1180" s="77" t="s">
        <v>10184</v>
      </c>
      <c r="AE1180" s="80" t="str">
        <f>HYPERLINK("https://twitter.com/bialover1d/status/1674861742768152603")</f>
        <v>https://twitter.com/bialover1d/status/1674861742768152603</v>
      </c>
      <c r="AF1180" s="79">
        <v>45107.809386574074</v>
      </c>
      <c r="AG1180" s="85">
        <v>45107</v>
      </c>
      <c r="AH1180" s="82" t="s">
        <v>11328</v>
      </c>
      <c r="AI1180" s="77" t="b">
        <v>0</v>
      </c>
      <c r="AJ1180" s="77"/>
      <c r="AK1180" s="77"/>
      <c r="AL1180" s="77"/>
      <c r="AM1180" s="77"/>
      <c r="AN1180" s="77"/>
      <c r="AO1180" s="77"/>
      <c r="AP1180" s="77"/>
      <c r="AQ1180" s="77"/>
      <c r="AR1180" s="77"/>
      <c r="AS1180" s="77"/>
      <c r="AT1180" s="77"/>
      <c r="AU1180" s="77"/>
      <c r="AV1180" s="80" t="str">
        <f>HYPERLINK("https://pbs.twimg.com/profile_images/1598709979325898754/MZrXIMMx_normal.jpg")</f>
        <v>https://pbs.twimg.com/profile_images/1598709979325898754/MZrXIMMx_normal.jpg</v>
      </c>
      <c r="AW1180" s="82" t="s">
        <v>17953</v>
      </c>
      <c r="AX1180" s="82" t="s">
        <v>17953</v>
      </c>
      <c r="AY1180" s="77"/>
      <c r="AZ1180" s="82" t="s">
        <v>20971</v>
      </c>
      <c r="BA1180" s="82" t="s">
        <v>20971</v>
      </c>
      <c r="BB1180" s="82" t="s">
        <v>20971</v>
      </c>
      <c r="BC1180" s="82" t="s">
        <v>17953</v>
      </c>
      <c r="BD1180" s="82" t="s">
        <v>21174</v>
      </c>
      <c r="BE1180" s="77"/>
      <c r="BF1180" s="77"/>
      <c r="BG1180" s="77"/>
      <c r="BH1180" s="77"/>
      <c r="BI1180" s="77"/>
    </row>
    <row r="1181" spans="1:61" x14ac:dyDescent="0.25">
      <c r="A1181" s="62" t="s">
        <v>447</v>
      </c>
      <c r="B1181" s="62" t="s">
        <v>447</v>
      </c>
      <c r="C1181" s="63"/>
      <c r="D1181" s="64"/>
      <c r="E1181" s="65"/>
      <c r="F1181" s="66"/>
      <c r="G1181" s="63"/>
      <c r="H1181" s="67"/>
      <c r="I1181" s="68"/>
      <c r="J1181" s="68"/>
      <c r="K1181" s="32"/>
      <c r="L1181" s="75">
        <v>1181</v>
      </c>
      <c r="M1181" s="75"/>
      <c r="N1181" s="70"/>
      <c r="O1181" s="77" t="s">
        <v>1284</v>
      </c>
      <c r="P1181" s="79">
        <v>45119.821666666663</v>
      </c>
      <c r="Q1181" s="77" t="s">
        <v>2425</v>
      </c>
      <c r="R1181" s="77">
        <v>0</v>
      </c>
      <c r="S1181" s="77">
        <v>0</v>
      </c>
      <c r="T1181" s="77">
        <v>0</v>
      </c>
      <c r="U1181" s="77">
        <v>0</v>
      </c>
      <c r="V1181" s="77">
        <v>14</v>
      </c>
      <c r="W1181" s="82" t="s">
        <v>5596</v>
      </c>
      <c r="X1181" s="77"/>
      <c r="Y1181" s="77"/>
      <c r="Z1181" s="77"/>
      <c r="AA1181" s="77"/>
      <c r="AB1181" s="77"/>
      <c r="AC1181" s="82" t="s">
        <v>10145</v>
      </c>
      <c r="AD1181" s="77" t="s">
        <v>10184</v>
      </c>
      <c r="AE1181" s="80" t="str">
        <f>HYPERLINK("https://twitter.com/betexpooficial/status/1679214846779224065")</f>
        <v>https://twitter.com/betexpooficial/status/1679214846779224065</v>
      </c>
      <c r="AF1181" s="79">
        <v>45119.821666666663</v>
      </c>
      <c r="AG1181" s="85">
        <v>45119</v>
      </c>
      <c r="AH1181" s="82" t="s">
        <v>11329</v>
      </c>
      <c r="AI1181" s="77"/>
      <c r="AJ1181" s="77"/>
      <c r="AK1181" s="77"/>
      <c r="AL1181" s="77"/>
      <c r="AM1181" s="77"/>
      <c r="AN1181" s="77"/>
      <c r="AO1181" s="77"/>
      <c r="AP1181" s="77"/>
      <c r="AQ1181" s="77"/>
      <c r="AR1181" s="77"/>
      <c r="AS1181" s="77"/>
      <c r="AT1181" s="77"/>
      <c r="AU1181" s="77"/>
      <c r="AV1181" s="80" t="str">
        <f>HYPERLINK("https://pbs.twimg.com/profile_images/1600173945994575872/hQiJb8Da_normal.jpg")</f>
        <v>https://pbs.twimg.com/profile_images/1600173945994575872/hQiJb8Da_normal.jpg</v>
      </c>
      <c r="AW1181" s="82" t="s">
        <v>17954</v>
      </c>
      <c r="AX1181" s="82" t="s">
        <v>20804</v>
      </c>
      <c r="AY1181" s="82" t="s">
        <v>20913</v>
      </c>
      <c r="AZ1181" s="82" t="s">
        <v>20974</v>
      </c>
      <c r="BA1181" s="82" t="s">
        <v>20971</v>
      </c>
      <c r="BB1181" s="82" t="s">
        <v>20971</v>
      </c>
      <c r="BC1181" s="82" t="s">
        <v>20974</v>
      </c>
      <c r="BD1181" s="82" t="s">
        <v>20913</v>
      </c>
      <c r="BE1181" s="77"/>
      <c r="BF1181" s="77"/>
      <c r="BG1181" s="77"/>
      <c r="BH1181" s="77"/>
      <c r="BI1181" s="77"/>
    </row>
    <row r="1182" spans="1:61" x14ac:dyDescent="0.25">
      <c r="A1182" s="62" t="s">
        <v>448</v>
      </c>
      <c r="B1182" s="62" t="s">
        <v>448</v>
      </c>
      <c r="C1182" s="63"/>
      <c r="D1182" s="64"/>
      <c r="E1182" s="65"/>
      <c r="F1182" s="66"/>
      <c r="G1182" s="63"/>
      <c r="H1182" s="67"/>
      <c r="I1182" s="68"/>
      <c r="J1182" s="68"/>
      <c r="K1182" s="32"/>
      <c r="L1182" s="75">
        <v>1182</v>
      </c>
      <c r="M1182" s="75"/>
      <c r="N1182" s="70"/>
      <c r="O1182" s="77" t="s">
        <v>179</v>
      </c>
      <c r="P1182" s="79">
        <v>44960.410868055558</v>
      </c>
      <c r="Q1182" s="77" t="s">
        <v>2426</v>
      </c>
      <c r="R1182" s="77">
        <v>0</v>
      </c>
      <c r="S1182" s="77">
        <v>2</v>
      </c>
      <c r="T1182" s="77">
        <v>0</v>
      </c>
      <c r="U1182" s="77">
        <v>0</v>
      </c>
      <c r="V1182" s="77">
        <v>384</v>
      </c>
      <c r="W1182" s="82" t="s">
        <v>5597</v>
      </c>
      <c r="X1182" s="77"/>
      <c r="Y1182" s="77"/>
      <c r="Z1182" s="77"/>
      <c r="AA1182" s="77" t="s">
        <v>7948</v>
      </c>
      <c r="AB1182" s="77" t="s">
        <v>10130</v>
      </c>
      <c r="AC1182" s="82" t="s">
        <v>10144</v>
      </c>
      <c r="AD1182" s="77" t="s">
        <v>10184</v>
      </c>
      <c r="AE1182" s="80" t="str">
        <f>HYPERLINK("https://twitter.com/vivianne2121/status/1621446306223849475")</f>
        <v>https://twitter.com/vivianne2121/status/1621446306223849475</v>
      </c>
      <c r="AF1182" s="79">
        <v>44960.410868055558</v>
      </c>
      <c r="AG1182" s="85">
        <v>44960</v>
      </c>
      <c r="AH1182" s="82" t="s">
        <v>11330</v>
      </c>
      <c r="AI1182" s="77" t="b">
        <v>0</v>
      </c>
      <c r="AJ1182" s="77"/>
      <c r="AK1182" s="77"/>
      <c r="AL1182" s="77"/>
      <c r="AM1182" s="77"/>
      <c r="AN1182" s="77"/>
      <c r="AO1182" s="77"/>
      <c r="AP1182" s="77"/>
      <c r="AQ1182" s="77" t="s">
        <v>14592</v>
      </c>
      <c r="AR1182" s="77"/>
      <c r="AS1182" s="77"/>
      <c r="AT1182" s="77"/>
      <c r="AU1182" s="77"/>
      <c r="AV1182" s="80" t="str">
        <f>HYPERLINK("https://pbs.twimg.com/media/FoCI0mgXwAACmQn.jpg")</f>
        <v>https://pbs.twimg.com/media/FoCI0mgXwAACmQn.jpg</v>
      </c>
      <c r="AW1182" s="82" t="s">
        <v>17955</v>
      </c>
      <c r="AX1182" s="82" t="s">
        <v>17955</v>
      </c>
      <c r="AY1182" s="77"/>
      <c r="AZ1182" s="82" t="s">
        <v>20971</v>
      </c>
      <c r="BA1182" s="82" t="s">
        <v>20971</v>
      </c>
      <c r="BB1182" s="82" t="s">
        <v>20971</v>
      </c>
      <c r="BC1182" s="82" t="s">
        <v>17955</v>
      </c>
      <c r="BD1182" s="82" t="s">
        <v>21175</v>
      </c>
      <c r="BE1182" s="77"/>
      <c r="BF1182" s="77"/>
      <c r="BG1182" s="77"/>
      <c r="BH1182" s="77"/>
      <c r="BI1182" s="77"/>
    </row>
    <row r="1183" spans="1:61" x14ac:dyDescent="0.25">
      <c r="A1183" s="62" t="s">
        <v>449</v>
      </c>
      <c r="B1183" s="62" t="s">
        <v>1240</v>
      </c>
      <c r="C1183" s="63"/>
      <c r="D1183" s="64"/>
      <c r="E1183" s="65"/>
      <c r="F1183" s="66"/>
      <c r="G1183" s="63"/>
      <c r="H1183" s="67"/>
      <c r="I1183" s="68"/>
      <c r="J1183" s="68"/>
      <c r="K1183" s="32"/>
      <c r="L1183" s="75">
        <v>1183</v>
      </c>
      <c r="M1183" s="75"/>
      <c r="N1183" s="70"/>
      <c r="O1183" s="77" t="s">
        <v>1284</v>
      </c>
      <c r="P1183" s="79">
        <v>45086.776736111111</v>
      </c>
      <c r="Q1183" s="77" t="s">
        <v>2427</v>
      </c>
      <c r="R1183" s="77">
        <v>0</v>
      </c>
      <c r="S1183" s="77">
        <v>1</v>
      </c>
      <c r="T1183" s="77">
        <v>0</v>
      </c>
      <c r="U1183" s="77">
        <v>0</v>
      </c>
      <c r="V1183" s="77">
        <v>7</v>
      </c>
      <c r="W1183" s="82" t="s">
        <v>5236</v>
      </c>
      <c r="X1183" s="77"/>
      <c r="Y1183" s="77"/>
      <c r="Z1183" s="77" t="s">
        <v>1240</v>
      </c>
      <c r="AA1183" s="77" t="s">
        <v>7949</v>
      </c>
      <c r="AB1183" s="77" t="s">
        <v>10130</v>
      </c>
      <c r="AC1183" s="82" t="s">
        <v>10144</v>
      </c>
      <c r="AD1183" s="77" t="s">
        <v>10183</v>
      </c>
      <c r="AE1183" s="80" t="str">
        <f>HYPERLINK("https://twitter.com/guilher12740356/status/1667239763496017962")</f>
        <v>https://twitter.com/guilher12740356/status/1667239763496017962</v>
      </c>
      <c r="AF1183" s="79">
        <v>45086.776736111111</v>
      </c>
      <c r="AG1183" s="85">
        <v>45086</v>
      </c>
      <c r="AH1183" s="82" t="s">
        <v>11331</v>
      </c>
      <c r="AI1183" s="77" t="b">
        <v>0</v>
      </c>
      <c r="AJ1183" s="77"/>
      <c r="AK1183" s="77"/>
      <c r="AL1183" s="77"/>
      <c r="AM1183" s="77"/>
      <c r="AN1183" s="77"/>
      <c r="AO1183" s="77"/>
      <c r="AP1183" s="77"/>
      <c r="AQ1183" s="77" t="s">
        <v>14593</v>
      </c>
      <c r="AR1183" s="77"/>
      <c r="AS1183" s="77"/>
      <c r="AT1183" s="77"/>
      <c r="AU1183" s="77"/>
      <c r="AV1183" s="80" t="str">
        <f>HYPERLINK("https://pbs.twimg.com/media/FyM5ujzXwAAyU5R.jpg")</f>
        <v>https://pbs.twimg.com/media/FyM5ujzXwAAyU5R.jpg</v>
      </c>
      <c r="AW1183" s="82" t="s">
        <v>17956</v>
      </c>
      <c r="AX1183" s="82" t="s">
        <v>20805</v>
      </c>
      <c r="AY1183" s="82" t="s">
        <v>20899</v>
      </c>
      <c r="AZ1183" s="82" t="s">
        <v>20805</v>
      </c>
      <c r="BA1183" s="82" t="s">
        <v>20971</v>
      </c>
      <c r="BB1183" s="82" t="s">
        <v>20971</v>
      </c>
      <c r="BC1183" s="82" t="s">
        <v>20805</v>
      </c>
      <c r="BD1183" s="82" t="s">
        <v>21176</v>
      </c>
      <c r="BE1183" s="77"/>
      <c r="BF1183" s="77"/>
      <c r="BG1183" s="77"/>
      <c r="BH1183" s="77"/>
      <c r="BI1183" s="77"/>
    </row>
    <row r="1184" spans="1:61" x14ac:dyDescent="0.25">
      <c r="A1184" s="62" t="s">
        <v>450</v>
      </c>
      <c r="B1184" s="62" t="s">
        <v>450</v>
      </c>
      <c r="C1184" s="63"/>
      <c r="D1184" s="64"/>
      <c r="E1184" s="65"/>
      <c r="F1184" s="66"/>
      <c r="G1184" s="63"/>
      <c r="H1184" s="67"/>
      <c r="I1184" s="68"/>
      <c r="J1184" s="68"/>
      <c r="K1184" s="32"/>
      <c r="L1184" s="75">
        <v>1184</v>
      </c>
      <c r="M1184" s="75"/>
      <c r="N1184" s="70"/>
      <c r="O1184" s="77" t="s">
        <v>179</v>
      </c>
      <c r="P1184" s="79">
        <v>45112.999432870369</v>
      </c>
      <c r="Q1184" s="77" t="s">
        <v>2428</v>
      </c>
      <c r="R1184" s="77">
        <v>0</v>
      </c>
      <c r="S1184" s="77">
        <v>1</v>
      </c>
      <c r="T1184" s="77">
        <v>0</v>
      </c>
      <c r="U1184" s="77">
        <v>0</v>
      </c>
      <c r="V1184" s="77">
        <v>65</v>
      </c>
      <c r="W1184" s="82" t="s">
        <v>5598</v>
      </c>
      <c r="X1184" s="77" t="s">
        <v>7193</v>
      </c>
      <c r="Y1184" s="77" t="s">
        <v>7318</v>
      </c>
      <c r="Z1184" s="77"/>
      <c r="AA1184" s="77"/>
      <c r="AB1184" s="77"/>
      <c r="AC1184" s="82" t="s">
        <v>10146</v>
      </c>
      <c r="AD1184" s="77" t="s">
        <v>10184</v>
      </c>
      <c r="AE1184" s="80" t="str">
        <f>HYPERLINK("https://twitter.com/1emperorhero/status/1676742553717047304")</f>
        <v>https://twitter.com/1emperorhero/status/1676742553717047304</v>
      </c>
      <c r="AF1184" s="79">
        <v>45112.999432870369</v>
      </c>
      <c r="AG1184" s="85">
        <v>45112</v>
      </c>
      <c r="AH1184" s="82" t="s">
        <v>11332</v>
      </c>
      <c r="AI1184" s="77" t="b">
        <v>0</v>
      </c>
      <c r="AJ1184" s="77"/>
      <c r="AK1184" s="77"/>
      <c r="AL1184" s="77"/>
      <c r="AM1184" s="77"/>
      <c r="AN1184" s="77"/>
      <c r="AO1184" s="77"/>
      <c r="AP1184" s="77"/>
      <c r="AQ1184" s="77"/>
      <c r="AR1184" s="77"/>
      <c r="AS1184" s="77"/>
      <c r="AT1184" s="77"/>
      <c r="AU1184" s="77"/>
      <c r="AV1184" s="80" t="str">
        <f>HYPERLINK("https://pbs.twimg.com/profile_images/1599595163222941696/l8M2YcMA_normal.jpg")</f>
        <v>https://pbs.twimg.com/profile_images/1599595163222941696/l8M2YcMA_normal.jpg</v>
      </c>
      <c r="AW1184" s="82" t="s">
        <v>17957</v>
      </c>
      <c r="AX1184" s="82" t="s">
        <v>17957</v>
      </c>
      <c r="AY1184" s="77"/>
      <c r="AZ1184" s="82" t="s">
        <v>20971</v>
      </c>
      <c r="BA1184" s="82" t="s">
        <v>20971</v>
      </c>
      <c r="BB1184" s="82" t="s">
        <v>20971</v>
      </c>
      <c r="BC1184" s="82" t="s">
        <v>17957</v>
      </c>
      <c r="BD1184" s="77">
        <v>159586311</v>
      </c>
      <c r="BE1184" s="77"/>
      <c r="BF1184" s="77"/>
      <c r="BG1184" s="77"/>
      <c r="BH1184" s="77"/>
      <c r="BI1184" s="77"/>
    </row>
    <row r="1185" spans="1:61" x14ac:dyDescent="0.25">
      <c r="A1185" s="62" t="s">
        <v>450</v>
      </c>
      <c r="B1185" s="62" t="s">
        <v>450</v>
      </c>
      <c r="C1185" s="63"/>
      <c r="D1185" s="64"/>
      <c r="E1185" s="65"/>
      <c r="F1185" s="66"/>
      <c r="G1185" s="63"/>
      <c r="H1185" s="67"/>
      <c r="I1185" s="68"/>
      <c r="J1185" s="68"/>
      <c r="K1185" s="32"/>
      <c r="L1185" s="75">
        <v>1185</v>
      </c>
      <c r="M1185" s="75"/>
      <c r="N1185" s="70"/>
      <c r="O1185" s="77" t="s">
        <v>179</v>
      </c>
      <c r="P1185" s="79">
        <v>45048.790775462963</v>
      </c>
      <c r="Q1185" s="77" t="s">
        <v>2429</v>
      </c>
      <c r="R1185" s="77">
        <v>0</v>
      </c>
      <c r="S1185" s="77">
        <v>1</v>
      </c>
      <c r="T1185" s="77">
        <v>0</v>
      </c>
      <c r="U1185" s="77">
        <v>0</v>
      </c>
      <c r="V1185" s="77">
        <v>31</v>
      </c>
      <c r="W1185" s="82" t="s">
        <v>5599</v>
      </c>
      <c r="X1185" s="80" t="str">
        <f>HYPERLINK("https://sun.eduzz.com/1841235?a=40250731")</f>
        <v>https://sun.eduzz.com/1841235?a=40250731</v>
      </c>
      <c r="Y1185" s="77" t="s">
        <v>7245</v>
      </c>
      <c r="Z1185" s="77"/>
      <c r="AA1185" s="77"/>
      <c r="AB1185" s="77"/>
      <c r="AC1185" s="82" t="s">
        <v>10146</v>
      </c>
      <c r="AD1185" s="77" t="s">
        <v>10184</v>
      </c>
      <c r="AE1185" s="80" t="str">
        <f>HYPERLINK("https://twitter.com/1emperorhero/status/1653474114336616448")</f>
        <v>https://twitter.com/1emperorhero/status/1653474114336616448</v>
      </c>
      <c r="AF1185" s="79">
        <v>45048.790775462963</v>
      </c>
      <c r="AG1185" s="85">
        <v>45048</v>
      </c>
      <c r="AH1185" s="82" t="s">
        <v>11333</v>
      </c>
      <c r="AI1185" s="77" t="b">
        <v>0</v>
      </c>
      <c r="AJ1185" s="77"/>
      <c r="AK1185" s="77"/>
      <c r="AL1185" s="77"/>
      <c r="AM1185" s="77"/>
      <c r="AN1185" s="77"/>
      <c r="AO1185" s="77"/>
      <c r="AP1185" s="77"/>
      <c r="AQ1185" s="77"/>
      <c r="AR1185" s="77"/>
      <c r="AS1185" s="77"/>
      <c r="AT1185" s="77"/>
      <c r="AU1185" s="77"/>
      <c r="AV1185" s="80" t="str">
        <f>HYPERLINK("https://pbs.twimg.com/profile_images/1599595163222941696/l8M2YcMA_normal.jpg")</f>
        <v>https://pbs.twimg.com/profile_images/1599595163222941696/l8M2YcMA_normal.jpg</v>
      </c>
      <c r="AW1185" s="82" t="s">
        <v>17958</v>
      </c>
      <c r="AX1185" s="82" t="s">
        <v>17958</v>
      </c>
      <c r="AY1185" s="77"/>
      <c r="AZ1185" s="82" t="s">
        <v>20971</v>
      </c>
      <c r="BA1185" s="82" t="s">
        <v>20971</v>
      </c>
      <c r="BB1185" s="82" t="s">
        <v>20971</v>
      </c>
      <c r="BC1185" s="82" t="s">
        <v>17958</v>
      </c>
      <c r="BD1185" s="77">
        <v>159586311</v>
      </c>
      <c r="BE1185" s="77"/>
      <c r="BF1185" s="77"/>
      <c r="BG1185" s="77"/>
      <c r="BH1185" s="77"/>
      <c r="BI1185" s="77"/>
    </row>
    <row r="1186" spans="1:61" x14ac:dyDescent="0.25">
      <c r="A1186" s="62" t="s">
        <v>451</v>
      </c>
      <c r="B1186" s="62" t="s">
        <v>451</v>
      </c>
      <c r="C1186" s="63"/>
      <c r="D1186" s="64"/>
      <c r="E1186" s="65"/>
      <c r="F1186" s="66"/>
      <c r="G1186" s="63"/>
      <c r="H1186" s="67"/>
      <c r="I1186" s="68"/>
      <c r="J1186" s="68"/>
      <c r="K1186" s="32"/>
      <c r="L1186" s="75">
        <v>1186</v>
      </c>
      <c r="M1186" s="75"/>
      <c r="N1186" s="70"/>
      <c r="O1186" s="77" t="s">
        <v>179</v>
      </c>
      <c r="P1186" s="79">
        <v>45129.978530092594</v>
      </c>
      <c r="Q1186" s="77" t="s">
        <v>2430</v>
      </c>
      <c r="R1186" s="77">
        <v>0</v>
      </c>
      <c r="S1186" s="77">
        <v>5</v>
      </c>
      <c r="T1186" s="77">
        <v>1</v>
      </c>
      <c r="U1186" s="77">
        <v>0</v>
      </c>
      <c r="V1186" s="77">
        <v>217</v>
      </c>
      <c r="W1186" s="82" t="s">
        <v>5600</v>
      </c>
      <c r="X1186" s="77"/>
      <c r="Y1186" s="77"/>
      <c r="Z1186" s="77"/>
      <c r="AA1186" s="77" t="s">
        <v>7950</v>
      </c>
      <c r="AB1186" s="77" t="s">
        <v>10129</v>
      </c>
      <c r="AC1186" s="82" t="s">
        <v>10145</v>
      </c>
      <c r="AD1186" s="77" t="s">
        <v>10184</v>
      </c>
      <c r="AE1186" s="80" t="str">
        <f>HYPERLINK("https://twitter.com/descentralizapt/status/1682895572112375809")</f>
        <v>https://twitter.com/descentralizapt/status/1682895572112375809</v>
      </c>
      <c r="AF1186" s="79">
        <v>45129.978530092594</v>
      </c>
      <c r="AG1186" s="85">
        <v>45129</v>
      </c>
      <c r="AH1186" s="82" t="s">
        <v>11334</v>
      </c>
      <c r="AI1186" s="77" t="b">
        <v>0</v>
      </c>
      <c r="AJ1186" s="77"/>
      <c r="AK1186" s="77"/>
      <c r="AL1186" s="77"/>
      <c r="AM1186" s="77"/>
      <c r="AN1186" s="77"/>
      <c r="AO1186" s="77"/>
      <c r="AP1186" s="77"/>
      <c r="AQ1186" s="77" t="s">
        <v>14594</v>
      </c>
      <c r="AR1186" s="77">
        <v>28166</v>
      </c>
      <c r="AS1186" s="77"/>
      <c r="AT1186" s="77"/>
      <c r="AU1186" s="77"/>
      <c r="AV1186" s="80" t="str">
        <f>HYPERLINK("https://pbs.twimg.com/ext_tw_video_thumb/1682895496178704385/pu/img/tmD3GM0GEXuaNhhg.jpg")</f>
        <v>https://pbs.twimg.com/ext_tw_video_thumb/1682895496178704385/pu/img/tmD3GM0GEXuaNhhg.jpg</v>
      </c>
      <c r="AW1186" s="82" t="s">
        <v>17959</v>
      </c>
      <c r="AX1186" s="82" t="s">
        <v>17959</v>
      </c>
      <c r="AY1186" s="77"/>
      <c r="AZ1186" s="82" t="s">
        <v>20971</v>
      </c>
      <c r="BA1186" s="82" t="s">
        <v>20971</v>
      </c>
      <c r="BB1186" s="82" t="s">
        <v>20971</v>
      </c>
      <c r="BC1186" s="82" t="s">
        <v>17959</v>
      </c>
      <c r="BD1186" s="82" t="s">
        <v>21177</v>
      </c>
      <c r="BE1186" s="77"/>
      <c r="BF1186" s="77"/>
      <c r="BG1186" s="77"/>
      <c r="BH1186" s="77"/>
      <c r="BI1186" s="77"/>
    </row>
    <row r="1187" spans="1:61" x14ac:dyDescent="0.25">
      <c r="A1187" s="62" t="s">
        <v>452</v>
      </c>
      <c r="B1187" s="62" t="s">
        <v>1217</v>
      </c>
      <c r="C1187" s="63"/>
      <c r="D1187" s="64"/>
      <c r="E1187" s="65"/>
      <c r="F1187" s="66"/>
      <c r="G1187" s="63"/>
      <c r="H1187" s="67"/>
      <c r="I1187" s="68"/>
      <c r="J1187" s="68"/>
      <c r="K1187" s="32"/>
      <c r="L1187" s="75">
        <v>1187</v>
      </c>
      <c r="M1187" s="75"/>
      <c r="N1187" s="70"/>
      <c r="O1187" s="77" t="s">
        <v>1287</v>
      </c>
      <c r="P1187" s="79">
        <v>45188.714247685188</v>
      </c>
      <c r="Q1187" s="77" t="s">
        <v>2431</v>
      </c>
      <c r="R1187" s="77">
        <v>3</v>
      </c>
      <c r="S1187" s="77">
        <v>0</v>
      </c>
      <c r="T1187" s="77">
        <v>0</v>
      </c>
      <c r="U1187" s="77">
        <v>0</v>
      </c>
      <c r="V1187" s="77"/>
      <c r="W1187" s="82" t="s">
        <v>5601</v>
      </c>
      <c r="X1187" s="77"/>
      <c r="Y1187" s="77"/>
      <c r="Z1187" s="77" t="s">
        <v>1217</v>
      </c>
      <c r="AA1187" s="77"/>
      <c r="AB1187" s="77"/>
      <c r="AC1187" s="82" t="s">
        <v>10145</v>
      </c>
      <c r="AD1187" s="77" t="s">
        <v>10184</v>
      </c>
      <c r="AE1187" s="80" t="str">
        <f>HYPERLINK("https://twitter.com/lourivalmagalh6/status/1704180682283474967")</f>
        <v>https://twitter.com/lourivalmagalh6/status/1704180682283474967</v>
      </c>
      <c r="AF1187" s="79">
        <v>45188.714247685188</v>
      </c>
      <c r="AG1187" s="85">
        <v>45188</v>
      </c>
      <c r="AH1187" s="82" t="s">
        <v>11335</v>
      </c>
      <c r="AI1187" s="77"/>
      <c r="AJ1187" s="77"/>
      <c r="AK1187" s="77"/>
      <c r="AL1187" s="77"/>
      <c r="AM1187" s="77"/>
      <c r="AN1187" s="77"/>
      <c r="AO1187" s="77"/>
      <c r="AP1187" s="77"/>
      <c r="AQ1187" s="77"/>
      <c r="AR1187" s="77"/>
      <c r="AS1187" s="77"/>
      <c r="AT1187" s="77"/>
      <c r="AU1187" s="77"/>
      <c r="AV1187" s="80" t="str">
        <f>HYPERLINK("https://pbs.twimg.com/profile_images/1588181933523091457/CCUJGWjY_normal.jpg")</f>
        <v>https://pbs.twimg.com/profile_images/1588181933523091457/CCUJGWjY_normal.jpg</v>
      </c>
      <c r="AW1187" s="82" t="s">
        <v>17960</v>
      </c>
      <c r="AX1187" s="82" t="s">
        <v>17960</v>
      </c>
      <c r="AY1187" s="77"/>
      <c r="AZ1187" s="82" t="s">
        <v>20971</v>
      </c>
      <c r="BA1187" s="82" t="s">
        <v>20971</v>
      </c>
      <c r="BB1187" s="82" t="s">
        <v>20736</v>
      </c>
      <c r="BC1187" s="82" t="s">
        <v>20736</v>
      </c>
      <c r="BD1187" s="82" t="s">
        <v>21178</v>
      </c>
      <c r="BE1187" s="77"/>
      <c r="BF1187" s="77"/>
      <c r="BG1187" s="77"/>
      <c r="BH1187" s="77"/>
      <c r="BI1187" s="77"/>
    </row>
    <row r="1188" spans="1:61" x14ac:dyDescent="0.25">
      <c r="A1188" s="62" t="s">
        <v>453</v>
      </c>
      <c r="B1188" s="62" t="s">
        <v>453</v>
      </c>
      <c r="C1188" s="63"/>
      <c r="D1188" s="64"/>
      <c r="E1188" s="65"/>
      <c r="F1188" s="66"/>
      <c r="G1188" s="63"/>
      <c r="H1188" s="67"/>
      <c r="I1188" s="68"/>
      <c r="J1188" s="68"/>
      <c r="K1188" s="32"/>
      <c r="L1188" s="75">
        <v>1188</v>
      </c>
      <c r="M1188" s="75"/>
      <c r="N1188" s="70"/>
      <c r="O1188" s="77" t="s">
        <v>179</v>
      </c>
      <c r="P1188" s="79">
        <v>45178.608425925922</v>
      </c>
      <c r="Q1188" s="77" t="s">
        <v>2432</v>
      </c>
      <c r="R1188" s="77">
        <v>0</v>
      </c>
      <c r="S1188" s="77">
        <v>0</v>
      </c>
      <c r="T1188" s="77">
        <v>0</v>
      </c>
      <c r="U1188" s="77">
        <v>0</v>
      </c>
      <c r="V1188" s="77">
        <v>12</v>
      </c>
      <c r="W1188" s="82" t="s">
        <v>5602</v>
      </c>
      <c r="X1188" s="80" t="str">
        <f>HYPERLINK("http://www.loja.alyra.com.br/biolinks-encurtador-de-url-gerador-de-codigos-qr-saas-versao-38-2023")</f>
        <v>http://www.loja.alyra.com.br/biolinks-encurtador-de-url-gerador-de-codigos-qr-saas-versao-38-2023</v>
      </c>
      <c r="Y1188" s="77" t="s">
        <v>7252</v>
      </c>
      <c r="Z1188" s="77"/>
      <c r="AA1188" s="77" t="s">
        <v>7951</v>
      </c>
      <c r="AB1188" s="77" t="s">
        <v>10130</v>
      </c>
      <c r="AC1188" s="82" t="s">
        <v>10146</v>
      </c>
      <c r="AD1188" s="77" t="s">
        <v>10184</v>
      </c>
      <c r="AE1188" s="80" t="str">
        <f>HYPERLINK("https://twitter.com/comunidadealyra/status/1700518453675802747")</f>
        <v>https://twitter.com/comunidadealyra/status/1700518453675802747</v>
      </c>
      <c r="AF1188" s="79">
        <v>45178.608425925922</v>
      </c>
      <c r="AG1188" s="85">
        <v>45178</v>
      </c>
      <c r="AH1188" s="82" t="s">
        <v>11336</v>
      </c>
      <c r="AI1188" s="77" t="b">
        <v>0</v>
      </c>
      <c r="AJ1188" s="77"/>
      <c r="AK1188" s="77"/>
      <c r="AL1188" s="77"/>
      <c r="AM1188" s="77"/>
      <c r="AN1188" s="77"/>
      <c r="AO1188" s="77"/>
      <c r="AP1188" s="77"/>
      <c r="AQ1188" s="77" t="s">
        <v>14595</v>
      </c>
      <c r="AR1188" s="77"/>
      <c r="AS1188" s="77"/>
      <c r="AT1188" s="77"/>
      <c r="AU1188" s="77"/>
      <c r="AV1188" s="80" t="str">
        <f>HYPERLINK("https://pbs.twimg.com/media/F5l0gCMWMAA31E5.png")</f>
        <v>https://pbs.twimg.com/media/F5l0gCMWMAA31E5.png</v>
      </c>
      <c r="AW1188" s="82" t="s">
        <v>17961</v>
      </c>
      <c r="AX1188" s="82" t="s">
        <v>17961</v>
      </c>
      <c r="AY1188" s="77"/>
      <c r="AZ1188" s="82" t="s">
        <v>20971</v>
      </c>
      <c r="BA1188" s="82" t="s">
        <v>20971</v>
      </c>
      <c r="BB1188" s="82" t="s">
        <v>20971</v>
      </c>
      <c r="BC1188" s="82" t="s">
        <v>17961</v>
      </c>
      <c r="BD1188" s="82" t="s">
        <v>21179</v>
      </c>
      <c r="BE1188" s="77"/>
      <c r="BF1188" s="77"/>
      <c r="BG1188" s="77"/>
      <c r="BH1188" s="77"/>
      <c r="BI1188" s="77"/>
    </row>
    <row r="1189" spans="1:61" x14ac:dyDescent="0.25">
      <c r="A1189" s="62" t="s">
        <v>453</v>
      </c>
      <c r="B1189" s="62" t="s">
        <v>453</v>
      </c>
      <c r="C1189" s="63"/>
      <c r="D1189" s="64"/>
      <c r="E1189" s="65"/>
      <c r="F1189" s="66"/>
      <c r="G1189" s="63"/>
      <c r="H1189" s="67"/>
      <c r="I1189" s="68"/>
      <c r="J1189" s="68"/>
      <c r="K1189" s="32"/>
      <c r="L1189" s="75">
        <v>1189</v>
      </c>
      <c r="M1189" s="75"/>
      <c r="N1189" s="70"/>
      <c r="O1189" s="77" t="s">
        <v>179</v>
      </c>
      <c r="P1189" s="79">
        <v>45178.576666666668</v>
      </c>
      <c r="Q1189" s="77" t="s">
        <v>2433</v>
      </c>
      <c r="R1189" s="77">
        <v>0</v>
      </c>
      <c r="S1189" s="77">
        <v>0</v>
      </c>
      <c r="T1189" s="77">
        <v>0</v>
      </c>
      <c r="U1189" s="77">
        <v>0</v>
      </c>
      <c r="V1189" s="77">
        <v>18</v>
      </c>
      <c r="W1189" s="82" t="s">
        <v>5603</v>
      </c>
      <c r="X1189" s="80" t="str">
        <f>HYPERLINK("http://www.loja.alyra.com.br/pretty-links-pro-35-para-wordpress-atualizado-2023")</f>
        <v>http://www.loja.alyra.com.br/pretty-links-pro-35-para-wordpress-atualizado-2023</v>
      </c>
      <c r="Y1189" s="77" t="s">
        <v>7252</v>
      </c>
      <c r="Z1189" s="77"/>
      <c r="AA1189" s="77" t="s">
        <v>7952</v>
      </c>
      <c r="AB1189" s="77" t="s">
        <v>10130</v>
      </c>
      <c r="AC1189" s="82" t="s">
        <v>10146</v>
      </c>
      <c r="AD1189" s="77" t="s">
        <v>10185</v>
      </c>
      <c r="AE1189" s="80" t="str">
        <f>HYPERLINK("https://twitter.com/comunidadealyra/status/1700506947751968849")</f>
        <v>https://twitter.com/comunidadealyra/status/1700506947751968849</v>
      </c>
      <c r="AF1189" s="79">
        <v>45178.576666666668</v>
      </c>
      <c r="AG1189" s="85">
        <v>45178</v>
      </c>
      <c r="AH1189" s="82" t="s">
        <v>11337</v>
      </c>
      <c r="AI1189" s="77" t="b">
        <v>0</v>
      </c>
      <c r="AJ1189" s="77"/>
      <c r="AK1189" s="77"/>
      <c r="AL1189" s="77"/>
      <c r="AM1189" s="77"/>
      <c r="AN1189" s="77"/>
      <c r="AO1189" s="77"/>
      <c r="AP1189" s="77"/>
      <c r="AQ1189" s="77" t="s">
        <v>14596</v>
      </c>
      <c r="AR1189" s="77"/>
      <c r="AS1189" s="77"/>
      <c r="AT1189" s="77"/>
      <c r="AU1189" s="77"/>
      <c r="AV1189" s="80" t="str">
        <f>HYPERLINK("https://pbs.twimg.com/media/F5lqCQfXkAASi1b.jpg")</f>
        <v>https://pbs.twimg.com/media/F5lqCQfXkAASi1b.jpg</v>
      </c>
      <c r="AW1189" s="82" t="s">
        <v>17962</v>
      </c>
      <c r="AX1189" s="82" t="s">
        <v>17962</v>
      </c>
      <c r="AY1189" s="77"/>
      <c r="AZ1189" s="82" t="s">
        <v>20971</v>
      </c>
      <c r="BA1189" s="82" t="s">
        <v>20971</v>
      </c>
      <c r="BB1189" s="82" t="s">
        <v>20971</v>
      </c>
      <c r="BC1189" s="82" t="s">
        <v>17962</v>
      </c>
      <c r="BD1189" s="82" t="s">
        <v>21179</v>
      </c>
      <c r="BE1189" s="77"/>
      <c r="BF1189" s="77"/>
      <c r="BG1189" s="77"/>
      <c r="BH1189" s="77"/>
      <c r="BI1189" s="77"/>
    </row>
    <row r="1190" spans="1:61" x14ac:dyDescent="0.25">
      <c r="A1190" s="62" t="s">
        <v>453</v>
      </c>
      <c r="B1190" s="62" t="s">
        <v>453</v>
      </c>
      <c r="C1190" s="63"/>
      <c r="D1190" s="64"/>
      <c r="E1190" s="65"/>
      <c r="F1190" s="66"/>
      <c r="G1190" s="63"/>
      <c r="H1190" s="67"/>
      <c r="I1190" s="68"/>
      <c r="J1190" s="68"/>
      <c r="K1190" s="32"/>
      <c r="L1190" s="75">
        <v>1190</v>
      </c>
      <c r="M1190" s="75"/>
      <c r="N1190" s="70"/>
      <c r="O1190" s="77" t="s">
        <v>179</v>
      </c>
      <c r="P1190" s="79">
        <v>45027.746574074074</v>
      </c>
      <c r="Q1190" s="77" t="s">
        <v>2434</v>
      </c>
      <c r="R1190" s="77">
        <v>0</v>
      </c>
      <c r="S1190" s="77">
        <v>0</v>
      </c>
      <c r="T1190" s="77">
        <v>0</v>
      </c>
      <c r="U1190" s="77">
        <v>0</v>
      </c>
      <c r="V1190" s="77">
        <v>9</v>
      </c>
      <c r="W1190" s="82" t="s">
        <v>5604</v>
      </c>
      <c r="X1190" s="80" t="str">
        <f>HYPERLINK("https://somee.social/posts/715988")</f>
        <v>https://somee.social/posts/715988</v>
      </c>
      <c r="Y1190" s="77" t="s">
        <v>7319</v>
      </c>
      <c r="Z1190" s="77"/>
      <c r="AA1190" s="77"/>
      <c r="AB1190" s="77"/>
      <c r="AC1190" s="82" t="s">
        <v>10146</v>
      </c>
      <c r="AD1190" s="77" t="s">
        <v>10184</v>
      </c>
      <c r="AE1190" s="80" t="str">
        <f>HYPERLINK("https://twitter.com/comunidadealyra/status/1645847950868852737")</f>
        <v>https://twitter.com/comunidadealyra/status/1645847950868852737</v>
      </c>
      <c r="AF1190" s="79">
        <v>45027.746574074074</v>
      </c>
      <c r="AG1190" s="85">
        <v>45027</v>
      </c>
      <c r="AH1190" s="82" t="s">
        <v>11338</v>
      </c>
      <c r="AI1190" s="77" t="b">
        <v>0</v>
      </c>
      <c r="AJ1190" s="77"/>
      <c r="AK1190" s="77"/>
      <c r="AL1190" s="77"/>
      <c r="AM1190" s="77"/>
      <c r="AN1190" s="77"/>
      <c r="AO1190" s="77"/>
      <c r="AP1190" s="77"/>
      <c r="AQ1190" s="77"/>
      <c r="AR1190" s="77"/>
      <c r="AS1190" s="77"/>
      <c r="AT1190" s="77"/>
      <c r="AU1190" s="77"/>
      <c r="AV1190" s="80" t="str">
        <f>HYPERLINK("https://pbs.twimg.com/profile_images/1625589587148955660/nCBdjGLr_normal.jpg")</f>
        <v>https://pbs.twimg.com/profile_images/1625589587148955660/nCBdjGLr_normal.jpg</v>
      </c>
      <c r="AW1190" s="82" t="s">
        <v>17963</v>
      </c>
      <c r="AX1190" s="82" t="s">
        <v>17963</v>
      </c>
      <c r="AY1190" s="77"/>
      <c r="AZ1190" s="82" t="s">
        <v>20971</v>
      </c>
      <c r="BA1190" s="82" t="s">
        <v>20971</v>
      </c>
      <c r="BB1190" s="82" t="s">
        <v>20971</v>
      </c>
      <c r="BC1190" s="82" t="s">
        <v>17963</v>
      </c>
      <c r="BD1190" s="82" t="s">
        <v>21179</v>
      </c>
      <c r="BE1190" s="77"/>
      <c r="BF1190" s="77"/>
      <c r="BG1190" s="77"/>
      <c r="BH1190" s="77"/>
      <c r="BI1190" s="77"/>
    </row>
    <row r="1191" spans="1:61" x14ac:dyDescent="0.25">
      <c r="A1191" s="62" t="s">
        <v>453</v>
      </c>
      <c r="B1191" s="62" t="s">
        <v>453</v>
      </c>
      <c r="C1191" s="63"/>
      <c r="D1191" s="64"/>
      <c r="E1191" s="65"/>
      <c r="F1191" s="66"/>
      <c r="G1191" s="63"/>
      <c r="H1191" s="67"/>
      <c r="I1191" s="68"/>
      <c r="J1191" s="68"/>
      <c r="K1191" s="32"/>
      <c r="L1191" s="75">
        <v>1191</v>
      </c>
      <c r="M1191" s="75"/>
      <c r="N1191" s="70"/>
      <c r="O1191" s="77" t="s">
        <v>179</v>
      </c>
      <c r="P1191" s="79">
        <v>45027.729641203703</v>
      </c>
      <c r="Q1191" s="77" t="s">
        <v>2435</v>
      </c>
      <c r="R1191" s="77">
        <v>0</v>
      </c>
      <c r="S1191" s="77">
        <v>0</v>
      </c>
      <c r="T1191" s="77">
        <v>0</v>
      </c>
      <c r="U1191" s="77">
        <v>0</v>
      </c>
      <c r="V1191" s="77">
        <v>6</v>
      </c>
      <c r="W1191" s="82" t="s">
        <v>5605</v>
      </c>
      <c r="X1191" s="80" t="str">
        <f>HYPERLINK("https://somee.social/posts/715978")</f>
        <v>https://somee.social/posts/715978</v>
      </c>
      <c r="Y1191" s="77" t="s">
        <v>7319</v>
      </c>
      <c r="Z1191" s="77"/>
      <c r="AA1191" s="77"/>
      <c r="AB1191" s="77"/>
      <c r="AC1191" s="82" t="s">
        <v>10146</v>
      </c>
      <c r="AD1191" s="77" t="s">
        <v>10184</v>
      </c>
      <c r="AE1191" s="80" t="str">
        <f>HYPERLINK("https://twitter.com/comunidadealyra/status/1645841812911685660")</f>
        <v>https://twitter.com/comunidadealyra/status/1645841812911685660</v>
      </c>
      <c r="AF1191" s="79">
        <v>45027.729641203703</v>
      </c>
      <c r="AG1191" s="85">
        <v>45027</v>
      </c>
      <c r="AH1191" s="82" t="s">
        <v>11339</v>
      </c>
      <c r="AI1191" s="77" t="b">
        <v>0</v>
      </c>
      <c r="AJ1191" s="77"/>
      <c r="AK1191" s="77"/>
      <c r="AL1191" s="77"/>
      <c r="AM1191" s="77"/>
      <c r="AN1191" s="77"/>
      <c r="AO1191" s="77"/>
      <c r="AP1191" s="77"/>
      <c r="AQ1191" s="77"/>
      <c r="AR1191" s="77"/>
      <c r="AS1191" s="77"/>
      <c r="AT1191" s="77"/>
      <c r="AU1191" s="77"/>
      <c r="AV1191" s="80" t="str">
        <f>HYPERLINK("https://pbs.twimg.com/profile_images/1625589587148955660/nCBdjGLr_normal.jpg")</f>
        <v>https://pbs.twimg.com/profile_images/1625589587148955660/nCBdjGLr_normal.jpg</v>
      </c>
      <c r="AW1191" s="82" t="s">
        <v>17964</v>
      </c>
      <c r="AX1191" s="82" t="s">
        <v>17964</v>
      </c>
      <c r="AY1191" s="77"/>
      <c r="AZ1191" s="82" t="s">
        <v>20971</v>
      </c>
      <c r="BA1191" s="82" t="s">
        <v>20971</v>
      </c>
      <c r="BB1191" s="82" t="s">
        <v>20971</v>
      </c>
      <c r="BC1191" s="82" t="s">
        <v>17964</v>
      </c>
      <c r="BD1191" s="82" t="s">
        <v>21179</v>
      </c>
      <c r="BE1191" s="77"/>
      <c r="BF1191" s="77"/>
      <c r="BG1191" s="77"/>
      <c r="BH1191" s="77"/>
      <c r="BI1191" s="77"/>
    </row>
    <row r="1192" spans="1:61" x14ac:dyDescent="0.25">
      <c r="A1192" s="62" t="s">
        <v>453</v>
      </c>
      <c r="B1192" s="62" t="s">
        <v>453</v>
      </c>
      <c r="C1192" s="63"/>
      <c r="D1192" s="64"/>
      <c r="E1192" s="65"/>
      <c r="F1192" s="66"/>
      <c r="G1192" s="63"/>
      <c r="H1192" s="67"/>
      <c r="I1192" s="68"/>
      <c r="J1192" s="68"/>
      <c r="K1192" s="32"/>
      <c r="L1192" s="75">
        <v>1192</v>
      </c>
      <c r="M1192" s="75"/>
      <c r="N1192" s="70"/>
      <c r="O1192" s="77" t="s">
        <v>179</v>
      </c>
      <c r="P1192" s="79">
        <v>45173.814305555556</v>
      </c>
      <c r="Q1192" s="77" t="s">
        <v>2436</v>
      </c>
      <c r="R1192" s="77">
        <v>0</v>
      </c>
      <c r="S1192" s="77">
        <v>1</v>
      </c>
      <c r="T1192" s="77">
        <v>0</v>
      </c>
      <c r="U1192" s="77">
        <v>0</v>
      </c>
      <c r="V1192" s="77">
        <v>47</v>
      </c>
      <c r="W1192" s="82" t="s">
        <v>5606</v>
      </c>
      <c r="X1192" s="80" t="str">
        <f>HYPERLINK("https://www.facebook.com/groups/909663977169155/posts/912652983536921/")</f>
        <v>https://www.facebook.com/groups/909663977169155/posts/912652983536921/</v>
      </c>
      <c r="Y1192" s="77" t="s">
        <v>7287</v>
      </c>
      <c r="Z1192" s="77"/>
      <c r="AA1192" s="77" t="s">
        <v>7953</v>
      </c>
      <c r="AB1192" s="77" t="s">
        <v>10130</v>
      </c>
      <c r="AC1192" s="82" t="s">
        <v>10146</v>
      </c>
      <c r="AD1192" s="77" t="s">
        <v>10184</v>
      </c>
      <c r="AE1192" s="80" t="str">
        <f>HYPERLINK("https://twitter.com/comunidadealyra/status/1698781125609451819")</f>
        <v>https://twitter.com/comunidadealyra/status/1698781125609451819</v>
      </c>
      <c r="AF1192" s="79">
        <v>45173.814305555556</v>
      </c>
      <c r="AG1192" s="85">
        <v>45173</v>
      </c>
      <c r="AH1192" s="82" t="s">
        <v>11340</v>
      </c>
      <c r="AI1192" s="77" t="b">
        <v>0</v>
      </c>
      <c r="AJ1192" s="77"/>
      <c r="AK1192" s="77"/>
      <c r="AL1192" s="77"/>
      <c r="AM1192" s="77"/>
      <c r="AN1192" s="77"/>
      <c r="AO1192" s="77"/>
      <c r="AP1192" s="77"/>
      <c r="AQ1192" s="77" t="s">
        <v>14597</v>
      </c>
      <c r="AR1192" s="77"/>
      <c r="AS1192" s="77"/>
      <c r="AT1192" s="77"/>
      <c r="AU1192" s="77"/>
      <c r="AV1192" s="80" t="str">
        <f>HYPERLINK("https://pbs.twimg.com/media/F5NIXFqW0AE3f4_.jpg")</f>
        <v>https://pbs.twimg.com/media/F5NIXFqW0AE3f4_.jpg</v>
      </c>
      <c r="AW1192" s="82" t="s">
        <v>17965</v>
      </c>
      <c r="AX1192" s="82" t="s">
        <v>17965</v>
      </c>
      <c r="AY1192" s="77"/>
      <c r="AZ1192" s="82" t="s">
        <v>20971</v>
      </c>
      <c r="BA1192" s="82" t="s">
        <v>20971</v>
      </c>
      <c r="BB1192" s="82" t="s">
        <v>20971</v>
      </c>
      <c r="BC1192" s="82" t="s">
        <v>17965</v>
      </c>
      <c r="BD1192" s="82" t="s">
        <v>21179</v>
      </c>
      <c r="BE1192" s="77"/>
      <c r="BF1192" s="77"/>
      <c r="BG1192" s="77"/>
      <c r="BH1192" s="77"/>
      <c r="BI1192" s="77"/>
    </row>
    <row r="1193" spans="1:61" x14ac:dyDescent="0.25">
      <c r="A1193" s="62" t="s">
        <v>453</v>
      </c>
      <c r="B1193" s="62" t="s">
        <v>453</v>
      </c>
      <c r="C1193" s="63"/>
      <c r="D1193" s="64"/>
      <c r="E1193" s="65"/>
      <c r="F1193" s="66"/>
      <c r="G1193" s="63"/>
      <c r="H1193" s="67"/>
      <c r="I1193" s="68"/>
      <c r="J1193" s="68"/>
      <c r="K1193" s="32"/>
      <c r="L1193" s="75">
        <v>1193</v>
      </c>
      <c r="M1193" s="75"/>
      <c r="N1193" s="70"/>
      <c r="O1193" s="77" t="s">
        <v>179</v>
      </c>
      <c r="P1193" s="79">
        <v>45161.136886574073</v>
      </c>
      <c r="Q1193" s="77" t="s">
        <v>2437</v>
      </c>
      <c r="R1193" s="77">
        <v>0</v>
      </c>
      <c r="S1193" s="77">
        <v>0</v>
      </c>
      <c r="T1193" s="77">
        <v>0</v>
      </c>
      <c r="U1193" s="77">
        <v>0</v>
      </c>
      <c r="V1193" s="77">
        <v>54</v>
      </c>
      <c r="W1193" s="82" t="s">
        <v>5607</v>
      </c>
      <c r="X1193" s="80" t="str">
        <f>HYPERLINK("https://payhip.com/ultrashop")</f>
        <v>https://payhip.com/ultrashop</v>
      </c>
      <c r="Y1193" s="77" t="s">
        <v>7320</v>
      </c>
      <c r="Z1193" s="77"/>
      <c r="AA1193" s="77" t="s">
        <v>7954</v>
      </c>
      <c r="AB1193" s="77" t="s">
        <v>10130</v>
      </c>
      <c r="AC1193" s="82" t="s">
        <v>10146</v>
      </c>
      <c r="AD1193" s="77" t="s">
        <v>10184</v>
      </c>
      <c r="AE1193" s="80" t="str">
        <f>HYPERLINK("https://twitter.com/comunidadealyra/status/1694186981939376623")</f>
        <v>https://twitter.com/comunidadealyra/status/1694186981939376623</v>
      </c>
      <c r="AF1193" s="79">
        <v>45161.136886574073</v>
      </c>
      <c r="AG1193" s="85">
        <v>45161</v>
      </c>
      <c r="AH1193" s="82" t="s">
        <v>11341</v>
      </c>
      <c r="AI1193" s="77" t="b">
        <v>0</v>
      </c>
      <c r="AJ1193" s="77"/>
      <c r="AK1193" s="77"/>
      <c r="AL1193" s="77"/>
      <c r="AM1193" s="77"/>
      <c r="AN1193" s="77"/>
      <c r="AO1193" s="77"/>
      <c r="AP1193" s="77"/>
      <c r="AQ1193" s="77" t="s">
        <v>14598</v>
      </c>
      <c r="AR1193" s="77"/>
      <c r="AS1193" s="77"/>
      <c r="AT1193" s="77"/>
      <c r="AU1193" s="77"/>
      <c r="AV1193" s="80" t="str">
        <f>HYPERLINK("https://pbs.twimg.com/media/F4L1gK5WcAAIsvg.jpg")</f>
        <v>https://pbs.twimg.com/media/F4L1gK5WcAAIsvg.jpg</v>
      </c>
      <c r="AW1193" s="82" t="s">
        <v>17966</v>
      </c>
      <c r="AX1193" s="82" t="s">
        <v>17966</v>
      </c>
      <c r="AY1193" s="77"/>
      <c r="AZ1193" s="82" t="s">
        <v>20971</v>
      </c>
      <c r="BA1193" s="82" t="s">
        <v>20971</v>
      </c>
      <c r="BB1193" s="82" t="s">
        <v>20971</v>
      </c>
      <c r="BC1193" s="82" t="s">
        <v>17966</v>
      </c>
      <c r="BD1193" s="82" t="s">
        <v>21179</v>
      </c>
      <c r="BE1193" s="77"/>
      <c r="BF1193" s="77"/>
      <c r="BG1193" s="77"/>
      <c r="BH1193" s="77"/>
      <c r="BI1193" s="77"/>
    </row>
    <row r="1194" spans="1:61" x14ac:dyDescent="0.25">
      <c r="A1194" s="62" t="s">
        <v>453</v>
      </c>
      <c r="B1194" s="62" t="s">
        <v>453</v>
      </c>
      <c r="C1194" s="63"/>
      <c r="D1194" s="64"/>
      <c r="E1194" s="65"/>
      <c r="F1194" s="66"/>
      <c r="G1194" s="63"/>
      <c r="H1194" s="67"/>
      <c r="I1194" s="68"/>
      <c r="J1194" s="68"/>
      <c r="K1194" s="32"/>
      <c r="L1194" s="75">
        <v>1194</v>
      </c>
      <c r="M1194" s="75"/>
      <c r="N1194" s="70"/>
      <c r="O1194" s="77" t="s">
        <v>179</v>
      </c>
      <c r="P1194" s="79">
        <v>45067.40896990741</v>
      </c>
      <c r="Q1194" s="77" t="s">
        <v>2438</v>
      </c>
      <c r="R1194" s="77">
        <v>0</v>
      </c>
      <c r="S1194" s="77">
        <v>0</v>
      </c>
      <c r="T1194" s="77">
        <v>0</v>
      </c>
      <c r="U1194" s="77">
        <v>0</v>
      </c>
      <c r="V1194" s="77">
        <v>51</v>
      </c>
      <c r="W1194" s="82" t="s">
        <v>5608</v>
      </c>
      <c r="X1194" s="80" t="str">
        <f>HYPERLINK("https://link.medium.com/X66CraeJYzb")</f>
        <v>https://link.medium.com/X66CraeJYzb</v>
      </c>
      <c r="Y1194" s="77" t="s">
        <v>7257</v>
      </c>
      <c r="Z1194" s="77"/>
      <c r="AA1194" s="77"/>
      <c r="AB1194" s="77"/>
      <c r="AC1194" s="82" t="s">
        <v>10146</v>
      </c>
      <c r="AD1194" s="77" t="s">
        <v>10188</v>
      </c>
      <c r="AE1194" s="80" t="str">
        <f>HYPERLINK("https://twitter.com/comunidadealyra/status/1660221122741190656")</f>
        <v>https://twitter.com/comunidadealyra/status/1660221122741190656</v>
      </c>
      <c r="AF1194" s="79">
        <v>45067.40896990741</v>
      </c>
      <c r="AG1194" s="85">
        <v>45067</v>
      </c>
      <c r="AH1194" s="82" t="s">
        <v>11342</v>
      </c>
      <c r="AI1194" s="77" t="b">
        <v>0</v>
      </c>
      <c r="AJ1194" s="77"/>
      <c r="AK1194" s="77"/>
      <c r="AL1194" s="77"/>
      <c r="AM1194" s="77"/>
      <c r="AN1194" s="77"/>
      <c r="AO1194" s="77"/>
      <c r="AP1194" s="77"/>
      <c r="AQ1194" s="77"/>
      <c r="AR1194" s="77"/>
      <c r="AS1194" s="77"/>
      <c r="AT1194" s="77"/>
      <c r="AU1194" s="77"/>
      <c r="AV1194" s="80" t="str">
        <f>HYPERLINK("https://pbs.twimg.com/profile_images/1625589587148955660/nCBdjGLr_normal.jpg")</f>
        <v>https://pbs.twimg.com/profile_images/1625589587148955660/nCBdjGLr_normal.jpg</v>
      </c>
      <c r="AW1194" s="82" t="s">
        <v>17967</v>
      </c>
      <c r="AX1194" s="82" t="s">
        <v>17967</v>
      </c>
      <c r="AY1194" s="77"/>
      <c r="AZ1194" s="82" t="s">
        <v>20971</v>
      </c>
      <c r="BA1194" s="82" t="s">
        <v>20971</v>
      </c>
      <c r="BB1194" s="82" t="s">
        <v>20971</v>
      </c>
      <c r="BC1194" s="82" t="s">
        <v>17967</v>
      </c>
      <c r="BD1194" s="82" t="s">
        <v>21179</v>
      </c>
      <c r="BE1194" s="77"/>
      <c r="BF1194" s="77"/>
      <c r="BG1194" s="77"/>
      <c r="BH1194" s="77"/>
      <c r="BI1194" s="77"/>
    </row>
    <row r="1195" spans="1:61" x14ac:dyDescent="0.25">
      <c r="A1195" s="62" t="s">
        <v>454</v>
      </c>
      <c r="B1195" s="62" t="s">
        <v>454</v>
      </c>
      <c r="C1195" s="63"/>
      <c r="D1195" s="64"/>
      <c r="E1195" s="65"/>
      <c r="F1195" s="66"/>
      <c r="G1195" s="63"/>
      <c r="H1195" s="67"/>
      <c r="I1195" s="68"/>
      <c r="J1195" s="68"/>
      <c r="K1195" s="32"/>
      <c r="L1195" s="75">
        <v>1195</v>
      </c>
      <c r="M1195" s="75"/>
      <c r="N1195" s="70"/>
      <c r="O1195" s="77" t="s">
        <v>179</v>
      </c>
      <c r="P1195" s="79">
        <v>45043.055925925924</v>
      </c>
      <c r="Q1195" s="77" t="s">
        <v>2439</v>
      </c>
      <c r="R1195" s="77">
        <v>0</v>
      </c>
      <c r="S1195" s="77">
        <v>0</v>
      </c>
      <c r="T1195" s="77">
        <v>1</v>
      </c>
      <c r="U1195" s="77">
        <v>0</v>
      </c>
      <c r="V1195" s="77">
        <v>45</v>
      </c>
      <c r="W1195" s="82" t="s">
        <v>5429</v>
      </c>
      <c r="X1195" s="80" t="str">
        <f>HYPERLINK("https://kwai-video.com/w/hpWkU1jh")</f>
        <v>https://kwai-video.com/w/hpWkU1jh</v>
      </c>
      <c r="Y1195" s="77" t="s">
        <v>7299</v>
      </c>
      <c r="Z1195" s="77"/>
      <c r="AA1195" s="77"/>
      <c r="AB1195" s="77"/>
      <c r="AC1195" s="82" t="s">
        <v>10144</v>
      </c>
      <c r="AD1195" s="77" t="s">
        <v>10184</v>
      </c>
      <c r="AE1195" s="80" t="str">
        <f>HYPERLINK("https://twitter.com/ronaldo191920/status/1651395875493806080")</f>
        <v>https://twitter.com/ronaldo191920/status/1651395875493806080</v>
      </c>
      <c r="AF1195" s="79">
        <v>45043.055925925924</v>
      </c>
      <c r="AG1195" s="85">
        <v>45043</v>
      </c>
      <c r="AH1195" s="82" t="s">
        <v>11343</v>
      </c>
      <c r="AI1195" s="77" t="b">
        <v>0</v>
      </c>
      <c r="AJ1195" s="77"/>
      <c r="AK1195" s="77"/>
      <c r="AL1195" s="77"/>
      <c r="AM1195" s="77"/>
      <c r="AN1195" s="77"/>
      <c r="AO1195" s="77"/>
      <c r="AP1195" s="77"/>
      <c r="AQ1195" s="77"/>
      <c r="AR1195" s="77"/>
      <c r="AS1195" s="77"/>
      <c r="AT1195" s="77"/>
      <c r="AU1195" s="77"/>
      <c r="AV1195" s="80" t="str">
        <f>HYPERLINK("https://pbs.twimg.com/profile_images/1646966811869564942/FclCGHvk_normal.jpg")</f>
        <v>https://pbs.twimg.com/profile_images/1646966811869564942/FclCGHvk_normal.jpg</v>
      </c>
      <c r="AW1195" s="82" t="s">
        <v>17968</v>
      </c>
      <c r="AX1195" s="82" t="s">
        <v>17968</v>
      </c>
      <c r="AY1195" s="77"/>
      <c r="AZ1195" s="82" t="s">
        <v>20971</v>
      </c>
      <c r="BA1195" s="82" t="s">
        <v>20971</v>
      </c>
      <c r="BB1195" s="82" t="s">
        <v>20971</v>
      </c>
      <c r="BC1195" s="82" t="s">
        <v>17968</v>
      </c>
      <c r="BD1195" s="82" t="s">
        <v>21180</v>
      </c>
      <c r="BE1195" s="77"/>
      <c r="BF1195" s="77"/>
      <c r="BG1195" s="77"/>
      <c r="BH1195" s="77"/>
      <c r="BI1195" s="77"/>
    </row>
    <row r="1196" spans="1:61" x14ac:dyDescent="0.25">
      <c r="A1196" s="62" t="s">
        <v>455</v>
      </c>
      <c r="B1196" s="62" t="s">
        <v>455</v>
      </c>
      <c r="C1196" s="63"/>
      <c r="D1196" s="64"/>
      <c r="E1196" s="65"/>
      <c r="F1196" s="66"/>
      <c r="G1196" s="63"/>
      <c r="H1196" s="67"/>
      <c r="I1196" s="68"/>
      <c r="J1196" s="68"/>
      <c r="K1196" s="32"/>
      <c r="L1196" s="75">
        <v>1196</v>
      </c>
      <c r="M1196" s="75"/>
      <c r="N1196" s="70"/>
      <c r="O1196" s="77" t="s">
        <v>179</v>
      </c>
      <c r="P1196" s="79">
        <v>45128.921087962961</v>
      </c>
      <c r="Q1196" s="77" t="s">
        <v>2440</v>
      </c>
      <c r="R1196" s="77">
        <v>1</v>
      </c>
      <c r="S1196" s="77">
        <v>2</v>
      </c>
      <c r="T1196" s="77">
        <v>0</v>
      </c>
      <c r="U1196" s="77">
        <v>0</v>
      </c>
      <c r="V1196" s="77">
        <v>41</v>
      </c>
      <c r="W1196" s="82" t="s">
        <v>5609</v>
      </c>
      <c r="X1196" s="80" t="str">
        <f>HYPERLINK("https://youtu.be/CRgH-WY6nFs")</f>
        <v>https://youtu.be/CRgH-WY6nFs</v>
      </c>
      <c r="Y1196" s="77" t="s">
        <v>7248</v>
      </c>
      <c r="Z1196" s="77"/>
      <c r="AA1196" s="77" t="s">
        <v>7955</v>
      </c>
      <c r="AB1196" s="77" t="s">
        <v>10129</v>
      </c>
      <c r="AC1196" s="82" t="s">
        <v>10144</v>
      </c>
      <c r="AD1196" s="77" t="s">
        <v>10184</v>
      </c>
      <c r="AE1196" s="80" t="str">
        <f>HYPERLINK("https://twitter.com/xtudooficiaal/status/1682512365646913536")</f>
        <v>https://twitter.com/xtudooficiaal/status/1682512365646913536</v>
      </c>
      <c r="AF1196" s="79">
        <v>45128.921087962961</v>
      </c>
      <c r="AG1196" s="85">
        <v>45128</v>
      </c>
      <c r="AH1196" s="82" t="s">
        <v>11344</v>
      </c>
      <c r="AI1196" s="77" t="b">
        <v>0</v>
      </c>
      <c r="AJ1196" s="77"/>
      <c r="AK1196" s="77"/>
      <c r="AL1196" s="77"/>
      <c r="AM1196" s="77"/>
      <c r="AN1196" s="77"/>
      <c r="AO1196" s="77"/>
      <c r="AP1196" s="77"/>
      <c r="AQ1196" s="77" t="s">
        <v>14599</v>
      </c>
      <c r="AR1196" s="77">
        <v>13566</v>
      </c>
      <c r="AS1196" s="77"/>
      <c r="AT1196" s="77"/>
      <c r="AU1196" s="77"/>
      <c r="AV1196" s="80" t="str">
        <f>HYPERLINK("https://pbs.twimg.com/ext_tw_video_thumb/1682512279772844034/pu/img/VY352PMDa2HbnzVQ.jpg")</f>
        <v>https://pbs.twimg.com/ext_tw_video_thumb/1682512279772844034/pu/img/VY352PMDa2HbnzVQ.jpg</v>
      </c>
      <c r="AW1196" s="82" t="s">
        <v>17969</v>
      </c>
      <c r="AX1196" s="82" t="s">
        <v>17969</v>
      </c>
      <c r="AY1196" s="77"/>
      <c r="AZ1196" s="82" t="s">
        <v>20971</v>
      </c>
      <c r="BA1196" s="82" t="s">
        <v>20971</v>
      </c>
      <c r="BB1196" s="82" t="s">
        <v>20971</v>
      </c>
      <c r="BC1196" s="82" t="s">
        <v>17969</v>
      </c>
      <c r="BD1196" s="82" t="s">
        <v>21181</v>
      </c>
      <c r="BE1196" s="77"/>
      <c r="BF1196" s="77"/>
      <c r="BG1196" s="77"/>
      <c r="BH1196" s="77"/>
      <c r="BI1196" s="77"/>
    </row>
    <row r="1197" spans="1:61" x14ac:dyDescent="0.25">
      <c r="A1197" s="62" t="s">
        <v>456</v>
      </c>
      <c r="B1197" s="62" t="s">
        <v>456</v>
      </c>
      <c r="C1197" s="63"/>
      <c r="D1197" s="64"/>
      <c r="E1197" s="65"/>
      <c r="F1197" s="66"/>
      <c r="G1197" s="63"/>
      <c r="H1197" s="67"/>
      <c r="I1197" s="68"/>
      <c r="J1197" s="68"/>
      <c r="K1197" s="32"/>
      <c r="L1197" s="75">
        <v>1197</v>
      </c>
      <c r="M1197" s="75"/>
      <c r="N1197" s="70"/>
      <c r="O1197" s="77" t="s">
        <v>179</v>
      </c>
      <c r="P1197" s="79">
        <v>45042.772476851853</v>
      </c>
      <c r="Q1197" s="77" t="s">
        <v>2441</v>
      </c>
      <c r="R1197" s="77">
        <v>0</v>
      </c>
      <c r="S1197" s="77">
        <v>0</v>
      </c>
      <c r="T1197" s="77">
        <v>0</v>
      </c>
      <c r="U1197" s="77">
        <v>0</v>
      </c>
      <c r="V1197" s="77">
        <v>41</v>
      </c>
      <c r="W1197" s="82" t="s">
        <v>5610</v>
      </c>
      <c r="X1197" s="80" t="str">
        <f>HYPERLINK("https://www.dicasdomesticas.com/dica/d3d9aea7-2cfb-4b96-9df6-33e3fa35a5e4?utm_source=twitter&amp;utm_medium=post")</f>
        <v>https://www.dicasdomesticas.com/dica/d3d9aea7-2cfb-4b96-9df6-33e3fa35a5e4?utm_source=twitter&amp;utm_medium=post</v>
      </c>
      <c r="Y1197" s="77" t="s">
        <v>7321</v>
      </c>
      <c r="Z1197" s="77"/>
      <c r="AA1197" s="77"/>
      <c r="AB1197" s="77"/>
      <c r="AC1197" s="82" t="s">
        <v>10146</v>
      </c>
      <c r="AD1197" s="77" t="s">
        <v>10184</v>
      </c>
      <c r="AE1197" s="80" t="str">
        <f>HYPERLINK("https://twitter.com/domesticasdicas/status/1651293156954996739")</f>
        <v>https://twitter.com/domesticasdicas/status/1651293156954996739</v>
      </c>
      <c r="AF1197" s="79">
        <v>45042.772476851853</v>
      </c>
      <c r="AG1197" s="85">
        <v>45042</v>
      </c>
      <c r="AH1197" s="82" t="s">
        <v>11345</v>
      </c>
      <c r="AI1197" s="77" t="b">
        <v>0</v>
      </c>
      <c r="AJ1197" s="77"/>
      <c r="AK1197" s="77"/>
      <c r="AL1197" s="77"/>
      <c r="AM1197" s="77"/>
      <c r="AN1197" s="77"/>
      <c r="AO1197" s="77"/>
      <c r="AP1197" s="77"/>
      <c r="AQ1197" s="77"/>
      <c r="AR1197" s="77"/>
      <c r="AS1197" s="77"/>
      <c r="AT1197" s="77"/>
      <c r="AU1197" s="77"/>
      <c r="AV1197" s="80" t="str">
        <f>HYPERLINK("https://pbs.twimg.com/profile_images/1477784477422211076/lTLhK21G_normal.png")</f>
        <v>https://pbs.twimg.com/profile_images/1477784477422211076/lTLhK21G_normal.png</v>
      </c>
      <c r="AW1197" s="82" t="s">
        <v>17970</v>
      </c>
      <c r="AX1197" s="82" t="s">
        <v>17970</v>
      </c>
      <c r="AY1197" s="77"/>
      <c r="AZ1197" s="82" t="s">
        <v>20971</v>
      </c>
      <c r="BA1197" s="82" t="s">
        <v>20971</v>
      </c>
      <c r="BB1197" s="82" t="s">
        <v>20971</v>
      </c>
      <c r="BC1197" s="82" t="s">
        <v>17970</v>
      </c>
      <c r="BD1197" s="82" t="s">
        <v>21182</v>
      </c>
      <c r="BE1197" s="77"/>
      <c r="BF1197" s="77"/>
      <c r="BG1197" s="77"/>
      <c r="BH1197" s="77"/>
      <c r="BI1197" s="77"/>
    </row>
    <row r="1198" spans="1:61" x14ac:dyDescent="0.25">
      <c r="A1198" s="62" t="s">
        <v>457</v>
      </c>
      <c r="B1198" s="62" t="s">
        <v>457</v>
      </c>
      <c r="C1198" s="63"/>
      <c r="D1198" s="64"/>
      <c r="E1198" s="65"/>
      <c r="F1198" s="66"/>
      <c r="G1198" s="63"/>
      <c r="H1198" s="67"/>
      <c r="I1198" s="68"/>
      <c r="J1198" s="68"/>
      <c r="K1198" s="32"/>
      <c r="L1198" s="75">
        <v>1198</v>
      </c>
      <c r="M1198" s="75"/>
      <c r="N1198" s="70"/>
      <c r="O1198" s="77" t="s">
        <v>179</v>
      </c>
      <c r="P1198" s="79">
        <v>45036.686284722222</v>
      </c>
      <c r="Q1198" s="77" t="s">
        <v>2442</v>
      </c>
      <c r="R1198" s="77">
        <v>0</v>
      </c>
      <c r="S1198" s="77">
        <v>0</v>
      </c>
      <c r="T1198" s="77">
        <v>0</v>
      </c>
      <c r="U1198" s="77">
        <v>0</v>
      </c>
      <c r="V1198" s="77">
        <v>7</v>
      </c>
      <c r="W1198" s="82" t="s">
        <v>5611</v>
      </c>
      <c r="X1198" s="80" t="str">
        <f>HYPERLINK("https://reidosartigos.com/como-vender-como-afiliado-e-ganhar-comissoes-na-internet/")</f>
        <v>https://reidosartigos.com/como-vender-como-afiliado-e-ganhar-comissoes-na-internet/</v>
      </c>
      <c r="Y1198" s="77" t="s">
        <v>7322</v>
      </c>
      <c r="Z1198" s="77"/>
      <c r="AA1198" s="77"/>
      <c r="AB1198" s="77"/>
      <c r="AC1198" s="82" t="s">
        <v>10146</v>
      </c>
      <c r="AD1198" s="77" t="s">
        <v>10187</v>
      </c>
      <c r="AE1198" s="80" t="str">
        <f>HYPERLINK("https://twitter.com/reidosartigos/status/1649087594972561418")</f>
        <v>https://twitter.com/reidosartigos/status/1649087594972561418</v>
      </c>
      <c r="AF1198" s="79">
        <v>45036.686284722222</v>
      </c>
      <c r="AG1198" s="85">
        <v>45036</v>
      </c>
      <c r="AH1198" s="82" t="s">
        <v>11346</v>
      </c>
      <c r="AI1198" s="77" t="b">
        <v>0</v>
      </c>
      <c r="AJ1198" s="77"/>
      <c r="AK1198" s="77"/>
      <c r="AL1198" s="77"/>
      <c r="AM1198" s="77"/>
      <c r="AN1198" s="77"/>
      <c r="AO1198" s="77"/>
      <c r="AP1198" s="77"/>
      <c r="AQ1198" s="77"/>
      <c r="AR1198" s="77"/>
      <c r="AS1198" s="77"/>
      <c r="AT1198" s="77"/>
      <c r="AU1198" s="77"/>
      <c r="AV1198" s="80" t="str">
        <f>HYPERLINK("https://pbs.twimg.com/profile_images/1648040016268914713/NMRuTNtY_normal.jpg")</f>
        <v>https://pbs.twimg.com/profile_images/1648040016268914713/NMRuTNtY_normal.jpg</v>
      </c>
      <c r="AW1198" s="82" t="s">
        <v>17971</v>
      </c>
      <c r="AX1198" s="82" t="s">
        <v>17971</v>
      </c>
      <c r="AY1198" s="77"/>
      <c r="AZ1198" s="82" t="s">
        <v>20971</v>
      </c>
      <c r="BA1198" s="82" t="s">
        <v>20971</v>
      </c>
      <c r="BB1198" s="82" t="s">
        <v>20971</v>
      </c>
      <c r="BC1198" s="82" t="s">
        <v>17971</v>
      </c>
      <c r="BD1198" s="82" t="s">
        <v>21183</v>
      </c>
      <c r="BE1198" s="77"/>
      <c r="BF1198" s="77"/>
      <c r="BG1198" s="77"/>
      <c r="BH1198" s="77"/>
      <c r="BI1198" s="77"/>
    </row>
    <row r="1199" spans="1:61" x14ac:dyDescent="0.25">
      <c r="A1199" s="62" t="s">
        <v>457</v>
      </c>
      <c r="B1199" s="62" t="s">
        <v>457</v>
      </c>
      <c r="C1199" s="63"/>
      <c r="D1199" s="64"/>
      <c r="E1199" s="65"/>
      <c r="F1199" s="66"/>
      <c r="G1199" s="63"/>
      <c r="H1199" s="67"/>
      <c r="I1199" s="68"/>
      <c r="J1199" s="68"/>
      <c r="K1199" s="32"/>
      <c r="L1199" s="75">
        <v>1199</v>
      </c>
      <c r="M1199" s="75"/>
      <c r="N1199" s="70"/>
      <c r="O1199" s="77" t="s">
        <v>179</v>
      </c>
      <c r="P1199" s="79">
        <v>45036.685601851852</v>
      </c>
      <c r="Q1199" s="77" t="s">
        <v>2443</v>
      </c>
      <c r="R1199" s="77">
        <v>0</v>
      </c>
      <c r="S1199" s="77">
        <v>0</v>
      </c>
      <c r="T1199" s="77">
        <v>0</v>
      </c>
      <c r="U1199" s="77">
        <v>0</v>
      </c>
      <c r="V1199" s="77">
        <v>12</v>
      </c>
      <c r="W1199" s="82" t="s">
        <v>5611</v>
      </c>
      <c r="X1199" s="80" t="str">
        <f>HYPERLINK("https://reidosartigos.com/jogos-para-ganhar-dinheiro-na-play-store-luckycash/")</f>
        <v>https://reidosartigos.com/jogos-para-ganhar-dinheiro-na-play-store-luckycash/</v>
      </c>
      <c r="Y1199" s="77" t="s">
        <v>7322</v>
      </c>
      <c r="Z1199" s="77"/>
      <c r="AA1199" s="77"/>
      <c r="AB1199" s="77"/>
      <c r="AC1199" s="82" t="s">
        <v>10146</v>
      </c>
      <c r="AD1199" s="77" t="s">
        <v>10184</v>
      </c>
      <c r="AE1199" s="80" t="str">
        <f>HYPERLINK("https://twitter.com/reidosartigos/status/1649087345797533696")</f>
        <v>https://twitter.com/reidosartigos/status/1649087345797533696</v>
      </c>
      <c r="AF1199" s="79">
        <v>45036.685601851852</v>
      </c>
      <c r="AG1199" s="85">
        <v>45036</v>
      </c>
      <c r="AH1199" s="82" t="s">
        <v>11347</v>
      </c>
      <c r="AI1199" s="77" t="b">
        <v>0</v>
      </c>
      <c r="AJ1199" s="77"/>
      <c r="AK1199" s="77"/>
      <c r="AL1199" s="77"/>
      <c r="AM1199" s="77"/>
      <c r="AN1199" s="77"/>
      <c r="AO1199" s="77"/>
      <c r="AP1199" s="77"/>
      <c r="AQ1199" s="77"/>
      <c r="AR1199" s="77"/>
      <c r="AS1199" s="77"/>
      <c r="AT1199" s="77"/>
      <c r="AU1199" s="77"/>
      <c r="AV1199" s="80" t="str">
        <f>HYPERLINK("https://pbs.twimg.com/profile_images/1648040016268914713/NMRuTNtY_normal.jpg")</f>
        <v>https://pbs.twimg.com/profile_images/1648040016268914713/NMRuTNtY_normal.jpg</v>
      </c>
      <c r="AW1199" s="82" t="s">
        <v>17972</v>
      </c>
      <c r="AX1199" s="82" t="s">
        <v>17972</v>
      </c>
      <c r="AY1199" s="77"/>
      <c r="AZ1199" s="82" t="s">
        <v>20971</v>
      </c>
      <c r="BA1199" s="82" t="s">
        <v>20971</v>
      </c>
      <c r="BB1199" s="82" t="s">
        <v>20971</v>
      </c>
      <c r="BC1199" s="82" t="s">
        <v>17972</v>
      </c>
      <c r="BD1199" s="82" t="s">
        <v>21183</v>
      </c>
      <c r="BE1199" s="77"/>
      <c r="BF1199" s="77"/>
      <c r="BG1199" s="77"/>
      <c r="BH1199" s="77"/>
      <c r="BI1199" s="77"/>
    </row>
    <row r="1200" spans="1:61" x14ac:dyDescent="0.25">
      <c r="A1200" s="62" t="s">
        <v>457</v>
      </c>
      <c r="B1200" s="62" t="s">
        <v>457</v>
      </c>
      <c r="C1200" s="63"/>
      <c r="D1200" s="64"/>
      <c r="E1200" s="65"/>
      <c r="F1200" s="66"/>
      <c r="G1200" s="63"/>
      <c r="H1200" s="67"/>
      <c r="I1200" s="68"/>
      <c r="J1200" s="68"/>
      <c r="K1200" s="32"/>
      <c r="L1200" s="75">
        <v>1200</v>
      </c>
      <c r="M1200" s="75"/>
      <c r="N1200" s="70"/>
      <c r="O1200" s="77" t="s">
        <v>179</v>
      </c>
      <c r="P1200" s="79">
        <v>45044.777916666666</v>
      </c>
      <c r="Q1200" s="77" t="s">
        <v>2444</v>
      </c>
      <c r="R1200" s="77">
        <v>0</v>
      </c>
      <c r="S1200" s="77">
        <v>0</v>
      </c>
      <c r="T1200" s="77">
        <v>0</v>
      </c>
      <c r="U1200" s="77">
        <v>0</v>
      </c>
      <c r="V1200" s="77">
        <v>20</v>
      </c>
      <c r="W1200" s="82" t="s">
        <v>5612</v>
      </c>
      <c r="X1200" s="80" t="str">
        <f>HYPERLINK("https://reidosartigos.com/como-ganhar-dinheiro-assistindo-videos-no-youtube/")</f>
        <v>https://reidosartigos.com/como-ganhar-dinheiro-assistindo-videos-no-youtube/</v>
      </c>
      <c r="Y1200" s="77" t="s">
        <v>7322</v>
      </c>
      <c r="Z1200" s="77"/>
      <c r="AA1200" s="77"/>
      <c r="AB1200" s="77"/>
      <c r="AC1200" s="82" t="s">
        <v>10146</v>
      </c>
      <c r="AD1200" s="77" t="s">
        <v>10184</v>
      </c>
      <c r="AE1200" s="80" t="str">
        <f>HYPERLINK("https://twitter.com/reidosartigos/status/1652019904579551248")</f>
        <v>https://twitter.com/reidosartigos/status/1652019904579551248</v>
      </c>
      <c r="AF1200" s="79">
        <v>45044.777916666666</v>
      </c>
      <c r="AG1200" s="85">
        <v>45044</v>
      </c>
      <c r="AH1200" s="82" t="s">
        <v>11348</v>
      </c>
      <c r="AI1200" s="77" t="b">
        <v>0</v>
      </c>
      <c r="AJ1200" s="77"/>
      <c r="AK1200" s="77"/>
      <c r="AL1200" s="77"/>
      <c r="AM1200" s="77"/>
      <c r="AN1200" s="77"/>
      <c r="AO1200" s="77"/>
      <c r="AP1200" s="77"/>
      <c r="AQ1200" s="77"/>
      <c r="AR1200" s="77"/>
      <c r="AS1200" s="77"/>
      <c r="AT1200" s="77"/>
      <c r="AU1200" s="77"/>
      <c r="AV1200" s="80" t="str">
        <f>HYPERLINK("https://pbs.twimg.com/profile_images/1648040016268914713/NMRuTNtY_normal.jpg")</f>
        <v>https://pbs.twimg.com/profile_images/1648040016268914713/NMRuTNtY_normal.jpg</v>
      </c>
      <c r="AW1200" s="82" t="s">
        <v>17973</v>
      </c>
      <c r="AX1200" s="82" t="s">
        <v>17973</v>
      </c>
      <c r="AY1200" s="77"/>
      <c r="AZ1200" s="82" t="s">
        <v>20971</v>
      </c>
      <c r="BA1200" s="82" t="s">
        <v>20971</v>
      </c>
      <c r="BB1200" s="82" t="s">
        <v>20971</v>
      </c>
      <c r="BC1200" s="82" t="s">
        <v>17973</v>
      </c>
      <c r="BD1200" s="82" t="s">
        <v>21183</v>
      </c>
      <c r="BE1200" s="77"/>
      <c r="BF1200" s="77"/>
      <c r="BG1200" s="77"/>
      <c r="BH1200" s="77"/>
      <c r="BI1200" s="77"/>
    </row>
    <row r="1201" spans="1:61" x14ac:dyDescent="0.25">
      <c r="A1201" s="62" t="s">
        <v>457</v>
      </c>
      <c r="B1201" s="62" t="s">
        <v>457</v>
      </c>
      <c r="C1201" s="63"/>
      <c r="D1201" s="64"/>
      <c r="E1201" s="65"/>
      <c r="F1201" s="66"/>
      <c r="G1201" s="63"/>
      <c r="H1201" s="67"/>
      <c r="I1201" s="68"/>
      <c r="J1201" s="68"/>
      <c r="K1201" s="32"/>
      <c r="L1201" s="75">
        <v>1201</v>
      </c>
      <c r="M1201" s="75"/>
      <c r="N1201" s="70"/>
      <c r="O1201" s="77" t="s">
        <v>179</v>
      </c>
      <c r="P1201" s="79">
        <v>45035.806597222225</v>
      </c>
      <c r="Q1201" s="77" t="s">
        <v>2445</v>
      </c>
      <c r="R1201" s="77">
        <v>0</v>
      </c>
      <c r="S1201" s="77">
        <v>0</v>
      </c>
      <c r="T1201" s="77">
        <v>0</v>
      </c>
      <c r="U1201" s="77">
        <v>0</v>
      </c>
      <c r="V1201" s="77">
        <v>12</v>
      </c>
      <c r="W1201" s="82" t="s">
        <v>5611</v>
      </c>
      <c r="X1201" s="80" t="str">
        <f>HYPERLINK("https://reidosartigos.com/melhor-jogo-para-ganhar-dinheiro-app-clipclaps/")</f>
        <v>https://reidosartigos.com/melhor-jogo-para-ganhar-dinheiro-app-clipclaps/</v>
      </c>
      <c r="Y1201" s="77" t="s">
        <v>7322</v>
      </c>
      <c r="Z1201" s="77"/>
      <c r="AA1201" s="77"/>
      <c r="AB1201" s="77"/>
      <c r="AC1201" s="82" t="s">
        <v>10146</v>
      </c>
      <c r="AD1201" s="77" t="s">
        <v>10184</v>
      </c>
      <c r="AE1201" s="80" t="str">
        <f>HYPERLINK("https://twitter.com/reidosartigos/status/1648768804460060689")</f>
        <v>https://twitter.com/reidosartigos/status/1648768804460060689</v>
      </c>
      <c r="AF1201" s="79">
        <v>45035.806597222225</v>
      </c>
      <c r="AG1201" s="85">
        <v>45035</v>
      </c>
      <c r="AH1201" s="82" t="s">
        <v>11349</v>
      </c>
      <c r="AI1201" s="77" t="b">
        <v>0</v>
      </c>
      <c r="AJ1201" s="77"/>
      <c r="AK1201" s="77"/>
      <c r="AL1201" s="77"/>
      <c r="AM1201" s="77"/>
      <c r="AN1201" s="77"/>
      <c r="AO1201" s="77"/>
      <c r="AP1201" s="77"/>
      <c r="AQ1201" s="77"/>
      <c r="AR1201" s="77"/>
      <c r="AS1201" s="77"/>
      <c r="AT1201" s="77"/>
      <c r="AU1201" s="77"/>
      <c r="AV1201" s="80" t="str">
        <f>HYPERLINK("https://pbs.twimg.com/profile_images/1648040016268914713/NMRuTNtY_normal.jpg")</f>
        <v>https://pbs.twimg.com/profile_images/1648040016268914713/NMRuTNtY_normal.jpg</v>
      </c>
      <c r="AW1201" s="82" t="s">
        <v>17974</v>
      </c>
      <c r="AX1201" s="82" t="s">
        <v>17974</v>
      </c>
      <c r="AY1201" s="77"/>
      <c r="AZ1201" s="82" t="s">
        <v>20971</v>
      </c>
      <c r="BA1201" s="82" t="s">
        <v>20971</v>
      </c>
      <c r="BB1201" s="82" t="s">
        <v>20971</v>
      </c>
      <c r="BC1201" s="82" t="s">
        <v>17974</v>
      </c>
      <c r="BD1201" s="82" t="s">
        <v>21183</v>
      </c>
      <c r="BE1201" s="77"/>
      <c r="BF1201" s="77"/>
      <c r="BG1201" s="77"/>
      <c r="BH1201" s="77"/>
      <c r="BI1201" s="77"/>
    </row>
    <row r="1202" spans="1:61" x14ac:dyDescent="0.25">
      <c r="A1202" s="62" t="s">
        <v>457</v>
      </c>
      <c r="B1202" s="62" t="s">
        <v>457</v>
      </c>
      <c r="C1202" s="63"/>
      <c r="D1202" s="64"/>
      <c r="E1202" s="65"/>
      <c r="F1202" s="66"/>
      <c r="G1202" s="63"/>
      <c r="H1202" s="67"/>
      <c r="I1202" s="68"/>
      <c r="J1202" s="68"/>
      <c r="K1202" s="32"/>
      <c r="L1202" s="75">
        <v>1202</v>
      </c>
      <c r="M1202" s="75"/>
      <c r="N1202" s="70"/>
      <c r="O1202" s="77" t="s">
        <v>179</v>
      </c>
      <c r="P1202" s="79">
        <v>45034.806250000001</v>
      </c>
      <c r="Q1202" s="77" t="s">
        <v>2446</v>
      </c>
      <c r="R1202" s="77">
        <v>0</v>
      </c>
      <c r="S1202" s="77">
        <v>0</v>
      </c>
      <c r="T1202" s="77">
        <v>0</v>
      </c>
      <c r="U1202" s="77">
        <v>0</v>
      </c>
      <c r="V1202" s="77">
        <v>6</v>
      </c>
      <c r="W1202" s="82" t="s">
        <v>5613</v>
      </c>
      <c r="X1202" s="80" t="str">
        <f>HYPERLINK("https://reidosartigos.com/joguinho-que-ganha-dinheiro-como-jogar-cashpirate/")</f>
        <v>https://reidosartigos.com/joguinho-que-ganha-dinheiro-como-jogar-cashpirate/</v>
      </c>
      <c r="Y1202" s="77" t="s">
        <v>7322</v>
      </c>
      <c r="Z1202" s="77"/>
      <c r="AA1202" s="77"/>
      <c r="AB1202" s="77"/>
      <c r="AC1202" s="82" t="s">
        <v>10146</v>
      </c>
      <c r="AD1202" s="77" t="s">
        <v>10184</v>
      </c>
      <c r="AE1202" s="80" t="str">
        <f>HYPERLINK("https://twitter.com/reidosartigos/status/1648406291302215680")</f>
        <v>https://twitter.com/reidosartigos/status/1648406291302215680</v>
      </c>
      <c r="AF1202" s="79">
        <v>45034.806250000001</v>
      </c>
      <c r="AG1202" s="85">
        <v>45034</v>
      </c>
      <c r="AH1202" s="82" t="s">
        <v>10310</v>
      </c>
      <c r="AI1202" s="77" t="b">
        <v>0</v>
      </c>
      <c r="AJ1202" s="77"/>
      <c r="AK1202" s="77"/>
      <c r="AL1202" s="77"/>
      <c r="AM1202" s="77"/>
      <c r="AN1202" s="77"/>
      <c r="AO1202" s="77"/>
      <c r="AP1202" s="77"/>
      <c r="AQ1202" s="77"/>
      <c r="AR1202" s="77"/>
      <c r="AS1202" s="77"/>
      <c r="AT1202" s="77"/>
      <c r="AU1202" s="77"/>
      <c r="AV1202" s="80" t="str">
        <f>HYPERLINK("https://pbs.twimg.com/profile_images/1648040016268914713/NMRuTNtY_normal.jpg")</f>
        <v>https://pbs.twimg.com/profile_images/1648040016268914713/NMRuTNtY_normal.jpg</v>
      </c>
      <c r="AW1202" s="82" t="s">
        <v>17975</v>
      </c>
      <c r="AX1202" s="82" t="s">
        <v>17975</v>
      </c>
      <c r="AY1202" s="77"/>
      <c r="AZ1202" s="82" t="s">
        <v>20971</v>
      </c>
      <c r="BA1202" s="82" t="s">
        <v>20971</v>
      </c>
      <c r="BB1202" s="82" t="s">
        <v>20971</v>
      </c>
      <c r="BC1202" s="82" t="s">
        <v>17975</v>
      </c>
      <c r="BD1202" s="82" t="s">
        <v>21183</v>
      </c>
      <c r="BE1202" s="77"/>
      <c r="BF1202" s="77"/>
      <c r="BG1202" s="77"/>
      <c r="BH1202" s="77"/>
      <c r="BI1202" s="77"/>
    </row>
    <row r="1203" spans="1:61" x14ac:dyDescent="0.25">
      <c r="A1203" s="62" t="s">
        <v>457</v>
      </c>
      <c r="B1203" s="62" t="s">
        <v>457</v>
      </c>
      <c r="C1203" s="63"/>
      <c r="D1203" s="64"/>
      <c r="E1203" s="65"/>
      <c r="F1203" s="66"/>
      <c r="G1203" s="63"/>
      <c r="H1203" s="67"/>
      <c r="I1203" s="68"/>
      <c r="J1203" s="68"/>
      <c r="K1203" s="32"/>
      <c r="L1203" s="75">
        <v>1203</v>
      </c>
      <c r="M1203" s="75"/>
      <c r="N1203" s="70"/>
      <c r="O1203" s="77" t="s">
        <v>179</v>
      </c>
      <c r="P1203" s="79">
        <v>45034.805856481478</v>
      </c>
      <c r="Q1203" s="77" t="s">
        <v>2447</v>
      </c>
      <c r="R1203" s="77">
        <v>0</v>
      </c>
      <c r="S1203" s="77">
        <v>0</v>
      </c>
      <c r="T1203" s="77">
        <v>0</v>
      </c>
      <c r="U1203" s="77">
        <v>0</v>
      </c>
      <c r="V1203" s="77">
        <v>8</v>
      </c>
      <c r="W1203" s="82" t="s">
        <v>5614</v>
      </c>
      <c r="X1203" s="80" t="str">
        <f>HYPERLINK("https://reidosartigos.com/como-ganhar-dinheiro-jogando-no-celular-com-appkarma/")</f>
        <v>https://reidosartigos.com/como-ganhar-dinheiro-jogando-no-celular-com-appkarma/</v>
      </c>
      <c r="Y1203" s="77" t="s">
        <v>7322</v>
      </c>
      <c r="Z1203" s="77"/>
      <c r="AA1203" s="77"/>
      <c r="AB1203" s="77"/>
      <c r="AC1203" s="82" t="s">
        <v>10146</v>
      </c>
      <c r="AD1203" s="77" t="s">
        <v>10184</v>
      </c>
      <c r="AE1203" s="80" t="str">
        <f>HYPERLINK("https://twitter.com/reidosartigos/status/1648406147890659331")</f>
        <v>https://twitter.com/reidosartigos/status/1648406147890659331</v>
      </c>
      <c r="AF1203" s="79">
        <v>45034.805856481478</v>
      </c>
      <c r="AG1203" s="85">
        <v>45034</v>
      </c>
      <c r="AH1203" s="82" t="s">
        <v>11350</v>
      </c>
      <c r="AI1203" s="77" t="b">
        <v>0</v>
      </c>
      <c r="AJ1203" s="77"/>
      <c r="AK1203" s="77"/>
      <c r="AL1203" s="77"/>
      <c r="AM1203" s="77"/>
      <c r="AN1203" s="77"/>
      <c r="AO1203" s="77"/>
      <c r="AP1203" s="77"/>
      <c r="AQ1203" s="77"/>
      <c r="AR1203" s="77"/>
      <c r="AS1203" s="77"/>
      <c r="AT1203" s="77"/>
      <c r="AU1203" s="77"/>
      <c r="AV1203" s="80" t="str">
        <f>HYPERLINK("https://pbs.twimg.com/profile_images/1648040016268914713/NMRuTNtY_normal.jpg")</f>
        <v>https://pbs.twimg.com/profile_images/1648040016268914713/NMRuTNtY_normal.jpg</v>
      </c>
      <c r="AW1203" s="82" t="s">
        <v>17976</v>
      </c>
      <c r="AX1203" s="82" t="s">
        <v>17976</v>
      </c>
      <c r="AY1203" s="77"/>
      <c r="AZ1203" s="82" t="s">
        <v>20971</v>
      </c>
      <c r="BA1203" s="82" t="s">
        <v>20971</v>
      </c>
      <c r="BB1203" s="82" t="s">
        <v>20971</v>
      </c>
      <c r="BC1203" s="82" t="s">
        <v>17976</v>
      </c>
      <c r="BD1203" s="82" t="s">
        <v>21183</v>
      </c>
      <c r="BE1203" s="77"/>
      <c r="BF1203" s="77"/>
      <c r="BG1203" s="77"/>
      <c r="BH1203" s="77"/>
      <c r="BI1203" s="77"/>
    </row>
    <row r="1204" spans="1:61" x14ac:dyDescent="0.25">
      <c r="A1204" s="62" t="s">
        <v>457</v>
      </c>
      <c r="B1204" s="62" t="s">
        <v>457</v>
      </c>
      <c r="C1204" s="63"/>
      <c r="D1204" s="64"/>
      <c r="E1204" s="65"/>
      <c r="F1204" s="66"/>
      <c r="G1204" s="63"/>
      <c r="H1204" s="67"/>
      <c r="I1204" s="68"/>
      <c r="J1204" s="68"/>
      <c r="K1204" s="32"/>
      <c r="L1204" s="75">
        <v>1204</v>
      </c>
      <c r="M1204" s="75"/>
      <c r="N1204" s="70"/>
      <c r="O1204" s="77" t="s">
        <v>179</v>
      </c>
      <c r="P1204" s="79">
        <v>45034.805381944447</v>
      </c>
      <c r="Q1204" s="77" t="s">
        <v>2448</v>
      </c>
      <c r="R1204" s="77">
        <v>0</v>
      </c>
      <c r="S1204" s="77">
        <v>0</v>
      </c>
      <c r="T1204" s="77">
        <v>0</v>
      </c>
      <c r="U1204" s="77">
        <v>0</v>
      </c>
      <c r="V1204" s="77">
        <v>9</v>
      </c>
      <c r="W1204" s="82" t="s">
        <v>5615</v>
      </c>
      <c r="X1204" s="80" t="str">
        <f>HYPERLINK("https://reidosartigos.com/melhores-jogos-para-ganhar-dinheiro-ganhe-com-makemoney/")</f>
        <v>https://reidosartigos.com/melhores-jogos-para-ganhar-dinheiro-ganhe-com-makemoney/</v>
      </c>
      <c r="Y1204" s="77" t="s">
        <v>7322</v>
      </c>
      <c r="Z1204" s="77"/>
      <c r="AA1204" s="77"/>
      <c r="AB1204" s="77"/>
      <c r="AC1204" s="82" t="s">
        <v>10146</v>
      </c>
      <c r="AD1204" s="77" t="s">
        <v>10184</v>
      </c>
      <c r="AE1204" s="80" t="str">
        <f>HYPERLINK("https://twitter.com/reidosartigos/status/1648405975219486721")</f>
        <v>https://twitter.com/reidosartigos/status/1648405975219486721</v>
      </c>
      <c r="AF1204" s="79">
        <v>45034.805381944447</v>
      </c>
      <c r="AG1204" s="85">
        <v>45034</v>
      </c>
      <c r="AH1204" s="82" t="s">
        <v>11351</v>
      </c>
      <c r="AI1204" s="77" t="b">
        <v>0</v>
      </c>
      <c r="AJ1204" s="77"/>
      <c r="AK1204" s="77"/>
      <c r="AL1204" s="77"/>
      <c r="AM1204" s="77"/>
      <c r="AN1204" s="77"/>
      <c r="AO1204" s="77"/>
      <c r="AP1204" s="77"/>
      <c r="AQ1204" s="77"/>
      <c r="AR1204" s="77"/>
      <c r="AS1204" s="77"/>
      <c r="AT1204" s="77"/>
      <c r="AU1204" s="77"/>
      <c r="AV1204" s="80" t="str">
        <f>HYPERLINK("https://pbs.twimg.com/profile_images/1648040016268914713/NMRuTNtY_normal.jpg")</f>
        <v>https://pbs.twimg.com/profile_images/1648040016268914713/NMRuTNtY_normal.jpg</v>
      </c>
      <c r="AW1204" s="82" t="s">
        <v>17977</v>
      </c>
      <c r="AX1204" s="82" t="s">
        <v>17977</v>
      </c>
      <c r="AY1204" s="77"/>
      <c r="AZ1204" s="82" t="s">
        <v>20971</v>
      </c>
      <c r="BA1204" s="82" t="s">
        <v>20971</v>
      </c>
      <c r="BB1204" s="82" t="s">
        <v>20971</v>
      </c>
      <c r="BC1204" s="82" t="s">
        <v>17977</v>
      </c>
      <c r="BD1204" s="82" t="s">
        <v>21183</v>
      </c>
      <c r="BE1204" s="77"/>
      <c r="BF1204" s="77"/>
      <c r="BG1204" s="77"/>
      <c r="BH1204" s="77"/>
      <c r="BI1204" s="77"/>
    </row>
    <row r="1205" spans="1:61" x14ac:dyDescent="0.25">
      <c r="A1205" s="62" t="s">
        <v>457</v>
      </c>
      <c r="B1205" s="62" t="s">
        <v>457</v>
      </c>
      <c r="C1205" s="63"/>
      <c r="D1205" s="64"/>
      <c r="E1205" s="65"/>
      <c r="F1205" s="66"/>
      <c r="G1205" s="63"/>
      <c r="H1205" s="67"/>
      <c r="I1205" s="68"/>
      <c r="J1205" s="68"/>
      <c r="K1205" s="32"/>
      <c r="L1205" s="75">
        <v>1205</v>
      </c>
      <c r="M1205" s="75"/>
      <c r="N1205" s="70"/>
      <c r="O1205" s="77" t="s">
        <v>179</v>
      </c>
      <c r="P1205" s="79">
        <v>45034.804976851854</v>
      </c>
      <c r="Q1205" s="77" t="s">
        <v>2449</v>
      </c>
      <c r="R1205" s="77">
        <v>0</v>
      </c>
      <c r="S1205" s="77">
        <v>0</v>
      </c>
      <c r="T1205" s="77">
        <v>0</v>
      </c>
      <c r="U1205" s="77">
        <v>0</v>
      </c>
      <c r="V1205" s="77">
        <v>12</v>
      </c>
      <c r="W1205" s="82" t="s">
        <v>5613</v>
      </c>
      <c r="X1205" s="80" t="str">
        <f>HYPERLINK("https://reidosartigos.com/jogos-online-para-ganhar-dinheiro-de-verdade-featurepoints/")</f>
        <v>https://reidosartigos.com/jogos-online-para-ganhar-dinheiro-de-verdade-featurepoints/</v>
      </c>
      <c r="Y1205" s="77" t="s">
        <v>7322</v>
      </c>
      <c r="Z1205" s="77"/>
      <c r="AA1205" s="77"/>
      <c r="AB1205" s="77"/>
      <c r="AC1205" s="82" t="s">
        <v>10146</v>
      </c>
      <c r="AD1205" s="77" t="s">
        <v>10184</v>
      </c>
      <c r="AE1205" s="80" t="str">
        <f>HYPERLINK("https://twitter.com/reidosartigos/status/1648405830901940225")</f>
        <v>https://twitter.com/reidosartigos/status/1648405830901940225</v>
      </c>
      <c r="AF1205" s="79">
        <v>45034.804976851854</v>
      </c>
      <c r="AG1205" s="85">
        <v>45034</v>
      </c>
      <c r="AH1205" s="82" t="s">
        <v>11352</v>
      </c>
      <c r="AI1205" s="77" t="b">
        <v>0</v>
      </c>
      <c r="AJ1205" s="77"/>
      <c r="AK1205" s="77"/>
      <c r="AL1205" s="77"/>
      <c r="AM1205" s="77"/>
      <c r="AN1205" s="77"/>
      <c r="AO1205" s="77"/>
      <c r="AP1205" s="77"/>
      <c r="AQ1205" s="77"/>
      <c r="AR1205" s="77"/>
      <c r="AS1205" s="77"/>
      <c r="AT1205" s="77"/>
      <c r="AU1205" s="77"/>
      <c r="AV1205" s="80" t="str">
        <f>HYPERLINK("https://pbs.twimg.com/profile_images/1648040016268914713/NMRuTNtY_normal.jpg")</f>
        <v>https://pbs.twimg.com/profile_images/1648040016268914713/NMRuTNtY_normal.jpg</v>
      </c>
      <c r="AW1205" s="82" t="s">
        <v>17978</v>
      </c>
      <c r="AX1205" s="82" t="s">
        <v>17978</v>
      </c>
      <c r="AY1205" s="77"/>
      <c r="AZ1205" s="82" t="s">
        <v>20971</v>
      </c>
      <c r="BA1205" s="82" t="s">
        <v>20971</v>
      </c>
      <c r="BB1205" s="82" t="s">
        <v>20971</v>
      </c>
      <c r="BC1205" s="82" t="s">
        <v>17978</v>
      </c>
      <c r="BD1205" s="82" t="s">
        <v>21183</v>
      </c>
      <c r="BE1205" s="77"/>
      <c r="BF1205" s="77"/>
      <c r="BG1205" s="77"/>
      <c r="BH1205" s="77"/>
      <c r="BI1205" s="77"/>
    </row>
    <row r="1206" spans="1:61" x14ac:dyDescent="0.25">
      <c r="A1206" s="62" t="s">
        <v>457</v>
      </c>
      <c r="B1206" s="62" t="s">
        <v>457</v>
      </c>
      <c r="C1206" s="63"/>
      <c r="D1206" s="64"/>
      <c r="E1206" s="65"/>
      <c r="F1206" s="66"/>
      <c r="G1206" s="63"/>
      <c r="H1206" s="67"/>
      <c r="I1206" s="68"/>
      <c r="J1206" s="68"/>
      <c r="K1206" s="32"/>
      <c r="L1206" s="75">
        <v>1206</v>
      </c>
      <c r="M1206" s="75"/>
      <c r="N1206" s="70"/>
      <c r="O1206" s="77" t="s">
        <v>179</v>
      </c>
      <c r="P1206" s="79">
        <v>45043.863854166666</v>
      </c>
      <c r="Q1206" s="77" t="s">
        <v>2450</v>
      </c>
      <c r="R1206" s="77">
        <v>0</v>
      </c>
      <c r="S1206" s="77">
        <v>0</v>
      </c>
      <c r="T1206" s="77">
        <v>0</v>
      </c>
      <c r="U1206" s="77">
        <v>0</v>
      </c>
      <c r="V1206" s="77">
        <v>10</v>
      </c>
      <c r="W1206" s="82" t="s">
        <v>5616</v>
      </c>
      <c r="X1206" s="80" t="str">
        <f>HYPERLINK("https://reidosartigos.com/como-ganhar-dinheiro-no-instagram-9-maneiras-diferentes/")</f>
        <v>https://reidosartigos.com/como-ganhar-dinheiro-no-instagram-9-maneiras-diferentes/</v>
      </c>
      <c r="Y1206" s="77" t="s">
        <v>7322</v>
      </c>
      <c r="Z1206" s="77"/>
      <c r="AA1206" s="77"/>
      <c r="AB1206" s="77"/>
      <c r="AC1206" s="82" t="s">
        <v>10146</v>
      </c>
      <c r="AD1206" s="77" t="s">
        <v>10184</v>
      </c>
      <c r="AE1206" s="80" t="str">
        <f>HYPERLINK("https://twitter.com/reidosartigos/status/1651688658557181953")</f>
        <v>https://twitter.com/reidosartigos/status/1651688658557181953</v>
      </c>
      <c r="AF1206" s="79">
        <v>45043.863854166666</v>
      </c>
      <c r="AG1206" s="85">
        <v>45043</v>
      </c>
      <c r="AH1206" s="82" t="s">
        <v>11353</v>
      </c>
      <c r="AI1206" s="77" t="b">
        <v>0</v>
      </c>
      <c r="AJ1206" s="77"/>
      <c r="AK1206" s="77"/>
      <c r="AL1206" s="77"/>
      <c r="AM1206" s="77"/>
      <c r="AN1206" s="77"/>
      <c r="AO1206" s="77"/>
      <c r="AP1206" s="77"/>
      <c r="AQ1206" s="77"/>
      <c r="AR1206" s="77"/>
      <c r="AS1206" s="77"/>
      <c r="AT1206" s="77"/>
      <c r="AU1206" s="77"/>
      <c r="AV1206" s="80" t="str">
        <f>HYPERLINK("https://pbs.twimg.com/profile_images/1648040016268914713/NMRuTNtY_normal.jpg")</f>
        <v>https://pbs.twimg.com/profile_images/1648040016268914713/NMRuTNtY_normal.jpg</v>
      </c>
      <c r="AW1206" s="82" t="s">
        <v>17979</v>
      </c>
      <c r="AX1206" s="82" t="s">
        <v>17979</v>
      </c>
      <c r="AY1206" s="77"/>
      <c r="AZ1206" s="82" t="s">
        <v>20971</v>
      </c>
      <c r="BA1206" s="82" t="s">
        <v>20971</v>
      </c>
      <c r="BB1206" s="82" t="s">
        <v>20971</v>
      </c>
      <c r="BC1206" s="82" t="s">
        <v>17979</v>
      </c>
      <c r="BD1206" s="82" t="s">
        <v>21183</v>
      </c>
      <c r="BE1206" s="77"/>
      <c r="BF1206" s="77"/>
      <c r="BG1206" s="77"/>
      <c r="BH1206" s="77"/>
      <c r="BI1206" s="77"/>
    </row>
    <row r="1207" spans="1:61" x14ac:dyDescent="0.25">
      <c r="A1207" s="62" t="s">
        <v>457</v>
      </c>
      <c r="B1207" s="62" t="s">
        <v>457</v>
      </c>
      <c r="C1207" s="63"/>
      <c r="D1207" s="64"/>
      <c r="E1207" s="65"/>
      <c r="F1207" s="66"/>
      <c r="G1207" s="63"/>
      <c r="H1207" s="67"/>
      <c r="I1207" s="68"/>
      <c r="J1207" s="68"/>
      <c r="K1207" s="32"/>
      <c r="L1207" s="75">
        <v>1207</v>
      </c>
      <c r="M1207" s="75"/>
      <c r="N1207" s="70"/>
      <c r="O1207" s="77" t="s">
        <v>179</v>
      </c>
      <c r="P1207" s="79">
        <v>45043.862719907411</v>
      </c>
      <c r="Q1207" s="77" t="s">
        <v>2451</v>
      </c>
      <c r="R1207" s="77">
        <v>0</v>
      </c>
      <c r="S1207" s="77">
        <v>0</v>
      </c>
      <c r="T1207" s="77">
        <v>0</v>
      </c>
      <c r="U1207" s="77">
        <v>0</v>
      </c>
      <c r="V1207" s="77">
        <v>8</v>
      </c>
      <c r="W1207" s="82" t="s">
        <v>5617</v>
      </c>
      <c r="X1207" s="80" t="str">
        <f>HYPERLINK("https://reidosartigos.com/como-monetizar-o-facebook-e-ganhar-com-seus-videos/")</f>
        <v>https://reidosartigos.com/como-monetizar-o-facebook-e-ganhar-com-seus-videos/</v>
      </c>
      <c r="Y1207" s="77" t="s">
        <v>7322</v>
      </c>
      <c r="Z1207" s="77"/>
      <c r="AA1207" s="77"/>
      <c r="AB1207" s="77"/>
      <c r="AC1207" s="82" t="s">
        <v>10146</v>
      </c>
      <c r="AD1207" s="77" t="s">
        <v>10184</v>
      </c>
      <c r="AE1207" s="80" t="str">
        <f>HYPERLINK("https://twitter.com/reidosartigos/status/1651688246970130433")</f>
        <v>https://twitter.com/reidosartigos/status/1651688246970130433</v>
      </c>
      <c r="AF1207" s="79">
        <v>45043.862719907411</v>
      </c>
      <c r="AG1207" s="85">
        <v>45043</v>
      </c>
      <c r="AH1207" s="82" t="s">
        <v>11354</v>
      </c>
      <c r="AI1207" s="77" t="b">
        <v>0</v>
      </c>
      <c r="AJ1207" s="77"/>
      <c r="AK1207" s="77"/>
      <c r="AL1207" s="77"/>
      <c r="AM1207" s="77"/>
      <c r="AN1207" s="77"/>
      <c r="AO1207" s="77"/>
      <c r="AP1207" s="77"/>
      <c r="AQ1207" s="77"/>
      <c r="AR1207" s="77"/>
      <c r="AS1207" s="77"/>
      <c r="AT1207" s="77"/>
      <c r="AU1207" s="77"/>
      <c r="AV1207" s="80" t="str">
        <f>HYPERLINK("https://pbs.twimg.com/profile_images/1648040016268914713/NMRuTNtY_normal.jpg")</f>
        <v>https://pbs.twimg.com/profile_images/1648040016268914713/NMRuTNtY_normal.jpg</v>
      </c>
      <c r="AW1207" s="82" t="s">
        <v>17980</v>
      </c>
      <c r="AX1207" s="82" t="s">
        <v>17980</v>
      </c>
      <c r="AY1207" s="77"/>
      <c r="AZ1207" s="82" t="s">
        <v>20971</v>
      </c>
      <c r="BA1207" s="82" t="s">
        <v>20971</v>
      </c>
      <c r="BB1207" s="82" t="s">
        <v>20971</v>
      </c>
      <c r="BC1207" s="82" t="s">
        <v>17980</v>
      </c>
      <c r="BD1207" s="82" t="s">
        <v>21183</v>
      </c>
      <c r="BE1207" s="77"/>
      <c r="BF1207" s="77"/>
      <c r="BG1207" s="77"/>
      <c r="BH1207" s="77"/>
      <c r="BI1207" s="77"/>
    </row>
    <row r="1208" spans="1:61" x14ac:dyDescent="0.25">
      <c r="A1208" s="62" t="s">
        <v>458</v>
      </c>
      <c r="B1208" s="62" t="s">
        <v>458</v>
      </c>
      <c r="C1208" s="63"/>
      <c r="D1208" s="64"/>
      <c r="E1208" s="65"/>
      <c r="F1208" s="66"/>
      <c r="G1208" s="63"/>
      <c r="H1208" s="67"/>
      <c r="I1208" s="68"/>
      <c r="J1208" s="68"/>
      <c r="K1208" s="32"/>
      <c r="L1208" s="75">
        <v>1208</v>
      </c>
      <c r="M1208" s="75"/>
      <c r="N1208" s="70"/>
      <c r="O1208" s="77" t="s">
        <v>179</v>
      </c>
      <c r="P1208" s="79">
        <v>44972.169074074074</v>
      </c>
      <c r="Q1208" s="77" t="s">
        <v>2452</v>
      </c>
      <c r="R1208" s="77">
        <v>0</v>
      </c>
      <c r="S1208" s="77">
        <v>0</v>
      </c>
      <c r="T1208" s="77">
        <v>0</v>
      </c>
      <c r="U1208" s="77">
        <v>0</v>
      </c>
      <c r="V1208" s="77">
        <v>22</v>
      </c>
      <c r="W1208" s="82" t="s">
        <v>5618</v>
      </c>
      <c r="X1208" s="80" t="str">
        <f>HYPERLINK("https://instagr.am/p/Coqvwj5tUr-/")</f>
        <v>https://instagr.am/p/Coqvwj5tUr-/</v>
      </c>
      <c r="Y1208" s="77" t="s">
        <v>7323</v>
      </c>
      <c r="Z1208" s="77"/>
      <c r="AA1208" s="77" t="s">
        <v>7956</v>
      </c>
      <c r="AB1208" s="77" t="s">
        <v>10130</v>
      </c>
      <c r="AC1208" s="82" t="s">
        <v>10157</v>
      </c>
      <c r="AD1208" s="77" t="s">
        <v>10184</v>
      </c>
      <c r="AE1208" s="80" t="str">
        <f>HYPERLINK("https://twitter.com/wiskton/status/1625707339943710721")</f>
        <v>https://twitter.com/wiskton/status/1625707339943710721</v>
      </c>
      <c r="AF1208" s="79">
        <v>44972.169074074074</v>
      </c>
      <c r="AG1208" s="85">
        <v>44972</v>
      </c>
      <c r="AH1208" s="82" t="s">
        <v>11355</v>
      </c>
      <c r="AI1208" s="77" t="b">
        <v>0</v>
      </c>
      <c r="AJ1208" s="77"/>
      <c r="AK1208" s="77"/>
      <c r="AL1208" s="77"/>
      <c r="AM1208" s="77"/>
      <c r="AN1208" s="77"/>
      <c r="AO1208" s="77"/>
      <c r="AP1208" s="77"/>
      <c r="AQ1208" s="77" t="s">
        <v>14600</v>
      </c>
      <c r="AR1208" s="77"/>
      <c r="AS1208" s="77"/>
      <c r="AT1208" s="77"/>
      <c r="AU1208" s="77"/>
      <c r="AV1208" s="80" t="str">
        <f>HYPERLINK("https://pbs.twimg.com/media/Fo-sNetXgAYsHoa.jpg")</f>
        <v>https://pbs.twimg.com/media/Fo-sNetXgAYsHoa.jpg</v>
      </c>
      <c r="AW1208" s="82" t="s">
        <v>17981</v>
      </c>
      <c r="AX1208" s="82" t="s">
        <v>17981</v>
      </c>
      <c r="AY1208" s="77"/>
      <c r="AZ1208" s="82" t="s">
        <v>20971</v>
      </c>
      <c r="BA1208" s="82" t="s">
        <v>20971</v>
      </c>
      <c r="BB1208" s="82" t="s">
        <v>20971</v>
      </c>
      <c r="BC1208" s="82" t="s">
        <v>17981</v>
      </c>
      <c r="BD1208" s="77">
        <v>191255810</v>
      </c>
      <c r="BE1208" s="77"/>
      <c r="BF1208" s="77"/>
      <c r="BG1208" s="77"/>
      <c r="BH1208" s="77"/>
      <c r="BI1208" s="77"/>
    </row>
    <row r="1209" spans="1:61" x14ac:dyDescent="0.25">
      <c r="A1209" s="62" t="s">
        <v>459</v>
      </c>
      <c r="B1209" s="62" t="s">
        <v>459</v>
      </c>
      <c r="C1209" s="63"/>
      <c r="D1209" s="64"/>
      <c r="E1209" s="65"/>
      <c r="F1209" s="66"/>
      <c r="G1209" s="63"/>
      <c r="H1209" s="67"/>
      <c r="I1209" s="68"/>
      <c r="J1209" s="68"/>
      <c r="K1209" s="32"/>
      <c r="L1209" s="75">
        <v>1209</v>
      </c>
      <c r="M1209" s="75"/>
      <c r="N1209" s="70"/>
      <c r="O1209" s="77" t="s">
        <v>179</v>
      </c>
      <c r="P1209" s="79">
        <v>45122.449641203704</v>
      </c>
      <c r="Q1209" s="77" t="s">
        <v>2453</v>
      </c>
      <c r="R1209" s="77">
        <v>0</v>
      </c>
      <c r="S1209" s="77">
        <v>0</v>
      </c>
      <c r="T1209" s="77">
        <v>0</v>
      </c>
      <c r="U1209" s="77">
        <v>0</v>
      </c>
      <c r="V1209" s="77">
        <v>47</v>
      </c>
      <c r="W1209" s="82" t="s">
        <v>5619</v>
      </c>
      <c r="X1209" s="77"/>
      <c r="Y1209" s="77"/>
      <c r="Z1209" s="77"/>
      <c r="AA1209" s="77" t="s">
        <v>7957</v>
      </c>
      <c r="AB1209" s="77" t="s">
        <v>10130</v>
      </c>
      <c r="AC1209" s="82" t="s">
        <v>10144</v>
      </c>
      <c r="AD1209" s="77" t="s">
        <v>10183</v>
      </c>
      <c r="AE1209" s="80" t="str">
        <f>HYPERLINK("https://twitter.com/listdaminacdm/status/1680167192980070401")</f>
        <v>https://twitter.com/listdaminacdm/status/1680167192980070401</v>
      </c>
      <c r="AF1209" s="79">
        <v>45122.449641203704</v>
      </c>
      <c r="AG1209" s="85">
        <v>45122</v>
      </c>
      <c r="AH1209" s="82" t="s">
        <v>11356</v>
      </c>
      <c r="AI1209" s="77" t="b">
        <v>0</v>
      </c>
      <c r="AJ1209" s="77"/>
      <c r="AK1209" s="77"/>
      <c r="AL1209" s="77"/>
      <c r="AM1209" s="77"/>
      <c r="AN1209" s="77"/>
      <c r="AO1209" s="77"/>
      <c r="AP1209" s="77"/>
      <c r="AQ1209" s="77" t="s">
        <v>14601</v>
      </c>
      <c r="AR1209" s="77"/>
      <c r="AS1209" s="77"/>
      <c r="AT1209" s="77"/>
      <c r="AU1209" s="77"/>
      <c r="AV1209" s="80" t="str">
        <f>HYPERLINK("https://pbs.twimg.com/media/F1EnKGMXwAE_cFz.jpg")</f>
        <v>https://pbs.twimg.com/media/F1EnKGMXwAE_cFz.jpg</v>
      </c>
      <c r="AW1209" s="82" t="s">
        <v>17982</v>
      </c>
      <c r="AX1209" s="82" t="s">
        <v>17982</v>
      </c>
      <c r="AY1209" s="77"/>
      <c r="AZ1209" s="82" t="s">
        <v>20971</v>
      </c>
      <c r="BA1209" s="82" t="s">
        <v>20971</v>
      </c>
      <c r="BB1209" s="82" t="s">
        <v>20971</v>
      </c>
      <c r="BC1209" s="82" t="s">
        <v>17982</v>
      </c>
      <c r="BD1209" s="82" t="s">
        <v>21184</v>
      </c>
      <c r="BE1209" s="77"/>
      <c r="BF1209" s="77"/>
      <c r="BG1209" s="77"/>
      <c r="BH1209" s="77"/>
      <c r="BI1209" s="77"/>
    </row>
    <row r="1210" spans="1:61" x14ac:dyDescent="0.25">
      <c r="A1210" s="62" t="s">
        <v>460</v>
      </c>
      <c r="B1210" s="62" t="s">
        <v>460</v>
      </c>
      <c r="C1210" s="63"/>
      <c r="D1210" s="64"/>
      <c r="E1210" s="65"/>
      <c r="F1210" s="66"/>
      <c r="G1210" s="63"/>
      <c r="H1210" s="67"/>
      <c r="I1210" s="68"/>
      <c r="J1210" s="68"/>
      <c r="K1210" s="32"/>
      <c r="L1210" s="75">
        <v>1210</v>
      </c>
      <c r="M1210" s="75"/>
      <c r="N1210" s="70"/>
      <c r="O1210" s="77" t="s">
        <v>179</v>
      </c>
      <c r="P1210" s="79">
        <v>45042.73238425926</v>
      </c>
      <c r="Q1210" s="77" t="s">
        <v>2454</v>
      </c>
      <c r="R1210" s="77">
        <v>0</v>
      </c>
      <c r="S1210" s="77">
        <v>0</v>
      </c>
      <c r="T1210" s="77">
        <v>0</v>
      </c>
      <c r="U1210" s="77">
        <v>0</v>
      </c>
      <c r="V1210" s="77">
        <v>105</v>
      </c>
      <c r="W1210" s="82" t="s">
        <v>5620</v>
      </c>
      <c r="X1210" s="80" t="str">
        <f>HYPERLINK("https://p.eduzz.com/893018?a=892378067")</f>
        <v>https://p.eduzz.com/893018?a=892378067</v>
      </c>
      <c r="Y1210" s="77" t="s">
        <v>7245</v>
      </c>
      <c r="Z1210" s="77"/>
      <c r="AA1210" s="77"/>
      <c r="AB1210" s="77"/>
      <c r="AC1210" s="82" t="s">
        <v>10144</v>
      </c>
      <c r="AD1210" s="77" t="s">
        <v>10184</v>
      </c>
      <c r="AE1210" s="80" t="str">
        <f>HYPERLINK("https://twitter.com/eduardahelenad5/status/1651278627936387088")</f>
        <v>https://twitter.com/eduardahelenad5/status/1651278627936387088</v>
      </c>
      <c r="AF1210" s="79">
        <v>45042.73238425926</v>
      </c>
      <c r="AG1210" s="85">
        <v>45042</v>
      </c>
      <c r="AH1210" s="82" t="s">
        <v>11357</v>
      </c>
      <c r="AI1210" s="77" t="b">
        <v>0</v>
      </c>
      <c r="AJ1210" s="77"/>
      <c r="AK1210" s="77"/>
      <c r="AL1210" s="77"/>
      <c r="AM1210" s="77"/>
      <c r="AN1210" s="77"/>
      <c r="AO1210" s="77"/>
      <c r="AP1210" s="77"/>
      <c r="AQ1210" s="77"/>
      <c r="AR1210" s="77"/>
      <c r="AS1210" s="77"/>
      <c r="AT1210" s="77"/>
      <c r="AU1210" s="77"/>
      <c r="AV1210" s="80" t="str">
        <f>HYPERLINK("https://pbs.twimg.com/profile_images/1652047282924036108/cn626MBO_normal.jpg")</f>
        <v>https://pbs.twimg.com/profile_images/1652047282924036108/cn626MBO_normal.jpg</v>
      </c>
      <c r="AW1210" s="82" t="s">
        <v>17983</v>
      </c>
      <c r="AX1210" s="82" t="s">
        <v>17983</v>
      </c>
      <c r="AY1210" s="77"/>
      <c r="AZ1210" s="82" t="s">
        <v>20971</v>
      </c>
      <c r="BA1210" s="82" t="s">
        <v>20971</v>
      </c>
      <c r="BB1210" s="82" t="s">
        <v>20971</v>
      </c>
      <c r="BC1210" s="82" t="s">
        <v>17983</v>
      </c>
      <c r="BD1210" s="82" t="s">
        <v>21185</v>
      </c>
      <c r="BE1210" s="77"/>
      <c r="BF1210" s="77"/>
      <c r="BG1210" s="77"/>
      <c r="BH1210" s="77"/>
      <c r="BI1210" s="77"/>
    </row>
    <row r="1211" spans="1:61" x14ac:dyDescent="0.25">
      <c r="A1211" s="62" t="s">
        <v>461</v>
      </c>
      <c r="B1211" s="62" t="s">
        <v>461</v>
      </c>
      <c r="C1211" s="63"/>
      <c r="D1211" s="64"/>
      <c r="E1211" s="65"/>
      <c r="F1211" s="66"/>
      <c r="G1211" s="63"/>
      <c r="H1211" s="67"/>
      <c r="I1211" s="68"/>
      <c r="J1211" s="68"/>
      <c r="K1211" s="32"/>
      <c r="L1211" s="75">
        <v>1211</v>
      </c>
      <c r="M1211" s="75"/>
      <c r="N1211" s="70"/>
      <c r="O1211" s="77" t="s">
        <v>179</v>
      </c>
      <c r="P1211" s="79">
        <v>45005.495208333334</v>
      </c>
      <c r="Q1211" s="77" t="s">
        <v>2455</v>
      </c>
      <c r="R1211" s="77">
        <v>0</v>
      </c>
      <c r="S1211" s="77">
        <v>0</v>
      </c>
      <c r="T1211" s="77">
        <v>0</v>
      </c>
      <c r="U1211" s="77">
        <v>0</v>
      </c>
      <c r="V1211" s="77">
        <v>30</v>
      </c>
      <c r="W1211" s="82" t="s">
        <v>5621</v>
      </c>
      <c r="X1211" s="77"/>
      <c r="Y1211" s="77"/>
      <c r="Z1211" s="77"/>
      <c r="AA1211" s="77" t="s">
        <v>7958</v>
      </c>
      <c r="AB1211" s="77" t="s">
        <v>10129</v>
      </c>
      <c r="AC1211" s="82" t="s">
        <v>10144</v>
      </c>
      <c r="AD1211" s="77" t="s">
        <v>10183</v>
      </c>
      <c r="AE1211" s="80" t="str">
        <f>HYPERLINK("https://twitter.com/veravilela04/status/1637784327718158336")</f>
        <v>https://twitter.com/veravilela04/status/1637784327718158336</v>
      </c>
      <c r="AF1211" s="79">
        <v>45005.495208333334</v>
      </c>
      <c r="AG1211" s="85">
        <v>45005</v>
      </c>
      <c r="AH1211" s="82" t="s">
        <v>11358</v>
      </c>
      <c r="AI1211" s="77" t="b">
        <v>0</v>
      </c>
      <c r="AJ1211" s="77"/>
      <c r="AK1211" s="77"/>
      <c r="AL1211" s="77"/>
      <c r="AM1211" s="77"/>
      <c r="AN1211" s="77"/>
      <c r="AO1211" s="77"/>
      <c r="AP1211" s="77"/>
      <c r="AQ1211" s="77" t="s">
        <v>14602</v>
      </c>
      <c r="AR1211" s="77">
        <v>14814</v>
      </c>
      <c r="AS1211" s="77"/>
      <c r="AT1211" s="77"/>
      <c r="AU1211" s="77"/>
      <c r="AV1211" s="80" t="str">
        <f>HYPERLINK("https://pbs.twimg.com/ext_tw_video_thumb/1637784275058581504/pu/img/3PbJiS8Ebztl8KT2.jpg")</f>
        <v>https://pbs.twimg.com/ext_tw_video_thumb/1637784275058581504/pu/img/3PbJiS8Ebztl8KT2.jpg</v>
      </c>
      <c r="AW1211" s="82" t="s">
        <v>17984</v>
      </c>
      <c r="AX1211" s="82" t="s">
        <v>17984</v>
      </c>
      <c r="AY1211" s="77"/>
      <c r="AZ1211" s="82" t="s">
        <v>20971</v>
      </c>
      <c r="BA1211" s="82" t="s">
        <v>20971</v>
      </c>
      <c r="BB1211" s="82" t="s">
        <v>20971</v>
      </c>
      <c r="BC1211" s="82" t="s">
        <v>17984</v>
      </c>
      <c r="BD1211" s="82" t="s">
        <v>21186</v>
      </c>
      <c r="BE1211" s="77"/>
      <c r="BF1211" s="77"/>
      <c r="BG1211" s="77"/>
      <c r="BH1211" s="77"/>
      <c r="BI1211" s="77"/>
    </row>
    <row r="1212" spans="1:61" x14ac:dyDescent="0.25">
      <c r="A1212" s="62" t="s">
        <v>461</v>
      </c>
      <c r="B1212" s="62" t="s">
        <v>461</v>
      </c>
      <c r="C1212" s="63"/>
      <c r="D1212" s="64"/>
      <c r="E1212" s="65"/>
      <c r="F1212" s="66"/>
      <c r="G1212" s="63"/>
      <c r="H1212" s="67"/>
      <c r="I1212" s="68"/>
      <c r="J1212" s="68"/>
      <c r="K1212" s="32"/>
      <c r="L1212" s="75">
        <v>1212</v>
      </c>
      <c r="M1212" s="75"/>
      <c r="N1212" s="70"/>
      <c r="O1212" s="77" t="s">
        <v>179</v>
      </c>
      <c r="P1212" s="79">
        <v>45002.493414351855</v>
      </c>
      <c r="Q1212" s="77" t="s">
        <v>2456</v>
      </c>
      <c r="R1212" s="77">
        <v>0</v>
      </c>
      <c r="S1212" s="77">
        <v>0</v>
      </c>
      <c r="T1212" s="77">
        <v>0</v>
      </c>
      <c r="U1212" s="77">
        <v>0</v>
      </c>
      <c r="V1212" s="77">
        <v>62</v>
      </c>
      <c r="W1212" s="82" t="s">
        <v>5622</v>
      </c>
      <c r="X1212" s="77"/>
      <c r="Y1212" s="77"/>
      <c r="Z1212" s="77"/>
      <c r="AA1212" s="77" t="s">
        <v>7959</v>
      </c>
      <c r="AB1212" s="77" t="s">
        <v>10129</v>
      </c>
      <c r="AC1212" s="82" t="s">
        <v>10144</v>
      </c>
      <c r="AD1212" s="77" t="s">
        <v>10184</v>
      </c>
      <c r="AE1212" s="80" t="str">
        <f>HYPERLINK("https://twitter.com/veravilela04/status/1636696514092212225")</f>
        <v>https://twitter.com/veravilela04/status/1636696514092212225</v>
      </c>
      <c r="AF1212" s="79">
        <v>45002.493414351855</v>
      </c>
      <c r="AG1212" s="85">
        <v>45002</v>
      </c>
      <c r="AH1212" s="82" t="s">
        <v>11359</v>
      </c>
      <c r="AI1212" s="77" t="b">
        <v>0</v>
      </c>
      <c r="AJ1212" s="77"/>
      <c r="AK1212" s="77"/>
      <c r="AL1212" s="77"/>
      <c r="AM1212" s="77"/>
      <c r="AN1212" s="77"/>
      <c r="AO1212" s="77"/>
      <c r="AP1212" s="77"/>
      <c r="AQ1212" s="77" t="s">
        <v>14603</v>
      </c>
      <c r="AR1212" s="77">
        <v>10959</v>
      </c>
      <c r="AS1212" s="77"/>
      <c r="AT1212" s="77"/>
      <c r="AU1212" s="77"/>
      <c r="AV1212" s="80" t="str">
        <f>HYPERLINK("https://pbs.twimg.com/ext_tw_video_thumb/1636696475710246917/pu/img/Ar42bzf0mLawaYf6.jpg")</f>
        <v>https://pbs.twimg.com/ext_tw_video_thumb/1636696475710246917/pu/img/Ar42bzf0mLawaYf6.jpg</v>
      </c>
      <c r="AW1212" s="82" t="s">
        <v>17985</v>
      </c>
      <c r="AX1212" s="82" t="s">
        <v>17985</v>
      </c>
      <c r="AY1212" s="77"/>
      <c r="AZ1212" s="82" t="s">
        <v>20971</v>
      </c>
      <c r="BA1212" s="82" t="s">
        <v>20971</v>
      </c>
      <c r="BB1212" s="82" t="s">
        <v>20971</v>
      </c>
      <c r="BC1212" s="82" t="s">
        <v>17985</v>
      </c>
      <c r="BD1212" s="82" t="s">
        <v>21186</v>
      </c>
      <c r="BE1212" s="77"/>
      <c r="BF1212" s="77"/>
      <c r="BG1212" s="77"/>
      <c r="BH1212" s="77"/>
      <c r="BI1212" s="77"/>
    </row>
    <row r="1213" spans="1:61" x14ac:dyDescent="0.25">
      <c r="A1213" s="62" t="s">
        <v>461</v>
      </c>
      <c r="B1213" s="62" t="s">
        <v>461</v>
      </c>
      <c r="C1213" s="63"/>
      <c r="D1213" s="64"/>
      <c r="E1213" s="65"/>
      <c r="F1213" s="66"/>
      <c r="G1213" s="63"/>
      <c r="H1213" s="67"/>
      <c r="I1213" s="68"/>
      <c r="J1213" s="68"/>
      <c r="K1213" s="32"/>
      <c r="L1213" s="75">
        <v>1213</v>
      </c>
      <c r="M1213" s="75"/>
      <c r="N1213" s="70"/>
      <c r="O1213" s="77" t="s">
        <v>179</v>
      </c>
      <c r="P1213" s="79">
        <v>45001.458738425928</v>
      </c>
      <c r="Q1213" s="77" t="s">
        <v>2457</v>
      </c>
      <c r="R1213" s="77">
        <v>0</v>
      </c>
      <c r="S1213" s="77">
        <v>0</v>
      </c>
      <c r="T1213" s="77">
        <v>0</v>
      </c>
      <c r="U1213" s="77">
        <v>0</v>
      </c>
      <c r="V1213" s="77">
        <v>21</v>
      </c>
      <c r="W1213" s="82" t="s">
        <v>5623</v>
      </c>
      <c r="X1213" s="77"/>
      <c r="Y1213" s="77"/>
      <c r="Z1213" s="77"/>
      <c r="AA1213" s="77" t="s">
        <v>7960</v>
      </c>
      <c r="AB1213" s="77" t="s">
        <v>10129</v>
      </c>
      <c r="AC1213" s="82" t="s">
        <v>10144</v>
      </c>
      <c r="AD1213" s="77" t="s">
        <v>10183</v>
      </c>
      <c r="AE1213" s="80" t="str">
        <f>HYPERLINK("https://twitter.com/veravilela04/status/1636321556254150662")</f>
        <v>https://twitter.com/veravilela04/status/1636321556254150662</v>
      </c>
      <c r="AF1213" s="79">
        <v>45001.458738425928</v>
      </c>
      <c r="AG1213" s="85">
        <v>45001</v>
      </c>
      <c r="AH1213" s="82" t="s">
        <v>11360</v>
      </c>
      <c r="AI1213" s="77" t="b">
        <v>0</v>
      </c>
      <c r="AJ1213" s="77"/>
      <c r="AK1213" s="77"/>
      <c r="AL1213" s="77"/>
      <c r="AM1213" s="77"/>
      <c r="AN1213" s="77"/>
      <c r="AO1213" s="77"/>
      <c r="AP1213" s="77"/>
      <c r="AQ1213" s="77" t="s">
        <v>14604</v>
      </c>
      <c r="AR1213" s="77">
        <v>20499</v>
      </c>
      <c r="AS1213" s="77"/>
      <c r="AT1213" s="77"/>
      <c r="AU1213" s="77"/>
      <c r="AV1213" s="80" t="str">
        <f>HYPERLINK("https://pbs.twimg.com/ext_tw_video_thumb/1636321480274223106/pu/img/HMKZjA8Rhx5MP2os.jpg")</f>
        <v>https://pbs.twimg.com/ext_tw_video_thumb/1636321480274223106/pu/img/HMKZjA8Rhx5MP2os.jpg</v>
      </c>
      <c r="AW1213" s="82" t="s">
        <v>17986</v>
      </c>
      <c r="AX1213" s="82" t="s">
        <v>17986</v>
      </c>
      <c r="AY1213" s="77"/>
      <c r="AZ1213" s="82" t="s">
        <v>20971</v>
      </c>
      <c r="BA1213" s="82" t="s">
        <v>20971</v>
      </c>
      <c r="BB1213" s="82" t="s">
        <v>20971</v>
      </c>
      <c r="BC1213" s="82" t="s">
        <v>17986</v>
      </c>
      <c r="BD1213" s="82" t="s">
        <v>21186</v>
      </c>
      <c r="BE1213" s="77"/>
      <c r="BF1213" s="77"/>
      <c r="BG1213" s="77"/>
      <c r="BH1213" s="77"/>
      <c r="BI1213" s="77"/>
    </row>
    <row r="1214" spans="1:61" x14ac:dyDescent="0.25">
      <c r="A1214" s="62" t="s">
        <v>461</v>
      </c>
      <c r="B1214" s="62" t="s">
        <v>461</v>
      </c>
      <c r="C1214" s="63"/>
      <c r="D1214" s="64"/>
      <c r="E1214" s="65"/>
      <c r="F1214" s="66"/>
      <c r="G1214" s="63"/>
      <c r="H1214" s="67"/>
      <c r="I1214" s="68"/>
      <c r="J1214" s="68"/>
      <c r="K1214" s="32"/>
      <c r="L1214" s="75">
        <v>1214</v>
      </c>
      <c r="M1214" s="75"/>
      <c r="N1214" s="70"/>
      <c r="O1214" s="77" t="s">
        <v>179</v>
      </c>
      <c r="P1214" s="79">
        <v>44999.535324074073</v>
      </c>
      <c r="Q1214" s="77" t="s">
        <v>2458</v>
      </c>
      <c r="R1214" s="77">
        <v>0</v>
      </c>
      <c r="S1214" s="77">
        <v>0</v>
      </c>
      <c r="T1214" s="77">
        <v>0</v>
      </c>
      <c r="U1214" s="77">
        <v>0</v>
      </c>
      <c r="V1214" s="77">
        <v>24</v>
      </c>
      <c r="W1214" s="82" t="s">
        <v>5621</v>
      </c>
      <c r="X1214" s="77"/>
      <c r="Y1214" s="77"/>
      <c r="Z1214" s="77"/>
      <c r="AA1214" s="77" t="s">
        <v>7961</v>
      </c>
      <c r="AB1214" s="77" t="s">
        <v>10129</v>
      </c>
      <c r="AC1214" s="82" t="s">
        <v>10144</v>
      </c>
      <c r="AD1214" s="77" t="s">
        <v>10183</v>
      </c>
      <c r="AE1214" s="80" t="str">
        <f>HYPERLINK("https://twitter.com/veravilela04/status/1635624534186291201")</f>
        <v>https://twitter.com/veravilela04/status/1635624534186291201</v>
      </c>
      <c r="AF1214" s="79">
        <v>44999.535324074073</v>
      </c>
      <c r="AG1214" s="85">
        <v>44999</v>
      </c>
      <c r="AH1214" s="82" t="s">
        <v>11361</v>
      </c>
      <c r="AI1214" s="77" t="b">
        <v>0</v>
      </c>
      <c r="AJ1214" s="77"/>
      <c r="AK1214" s="77"/>
      <c r="AL1214" s="77"/>
      <c r="AM1214" s="77"/>
      <c r="AN1214" s="77"/>
      <c r="AO1214" s="77"/>
      <c r="AP1214" s="77"/>
      <c r="AQ1214" s="77" t="s">
        <v>14605</v>
      </c>
      <c r="AR1214" s="77">
        <v>9066</v>
      </c>
      <c r="AS1214" s="77"/>
      <c r="AT1214" s="77"/>
      <c r="AU1214" s="77"/>
      <c r="AV1214" s="80" t="str">
        <f>HYPERLINK("https://pbs.twimg.com/ext_tw_video_thumb/1635624501705670658/pu/img/Ypx6RZUb1aFfX5dS.jpg")</f>
        <v>https://pbs.twimg.com/ext_tw_video_thumb/1635624501705670658/pu/img/Ypx6RZUb1aFfX5dS.jpg</v>
      </c>
      <c r="AW1214" s="82" t="s">
        <v>17987</v>
      </c>
      <c r="AX1214" s="82" t="s">
        <v>17987</v>
      </c>
      <c r="AY1214" s="77"/>
      <c r="AZ1214" s="82" t="s">
        <v>20971</v>
      </c>
      <c r="BA1214" s="82" t="s">
        <v>20971</v>
      </c>
      <c r="BB1214" s="82" t="s">
        <v>20971</v>
      </c>
      <c r="BC1214" s="82" t="s">
        <v>17987</v>
      </c>
      <c r="BD1214" s="82" t="s">
        <v>21186</v>
      </c>
      <c r="BE1214" s="77"/>
      <c r="BF1214" s="77"/>
      <c r="BG1214" s="77"/>
      <c r="BH1214" s="77"/>
      <c r="BI1214" s="77"/>
    </row>
    <row r="1215" spans="1:61" x14ac:dyDescent="0.25">
      <c r="A1215" s="62" t="s">
        <v>461</v>
      </c>
      <c r="B1215" s="62" t="s">
        <v>461</v>
      </c>
      <c r="C1215" s="63"/>
      <c r="D1215" s="64"/>
      <c r="E1215" s="65"/>
      <c r="F1215" s="66"/>
      <c r="G1215" s="63"/>
      <c r="H1215" s="67"/>
      <c r="I1215" s="68"/>
      <c r="J1215" s="68"/>
      <c r="K1215" s="32"/>
      <c r="L1215" s="75">
        <v>1215</v>
      </c>
      <c r="M1215" s="75"/>
      <c r="N1215" s="70"/>
      <c r="O1215" s="77" t="s">
        <v>179</v>
      </c>
      <c r="P1215" s="79">
        <v>45037.872743055559</v>
      </c>
      <c r="Q1215" s="77" t="s">
        <v>2459</v>
      </c>
      <c r="R1215" s="77">
        <v>0</v>
      </c>
      <c r="S1215" s="77">
        <v>0</v>
      </c>
      <c r="T1215" s="77">
        <v>0</v>
      </c>
      <c r="U1215" s="77">
        <v>0</v>
      </c>
      <c r="V1215" s="77">
        <v>11</v>
      </c>
      <c r="W1215" s="82" t="s">
        <v>5624</v>
      </c>
      <c r="X1215" s="77"/>
      <c r="Y1215" s="77"/>
      <c r="Z1215" s="77"/>
      <c r="AA1215" s="77" t="s">
        <v>7962</v>
      </c>
      <c r="AB1215" s="77" t="s">
        <v>10129</v>
      </c>
      <c r="AC1215" s="82" t="s">
        <v>10144</v>
      </c>
      <c r="AD1215" s="77" t="s">
        <v>10183</v>
      </c>
      <c r="AE1215" s="80" t="str">
        <f>HYPERLINK("https://twitter.com/veravilela04/status/1649517552001843200")</f>
        <v>https://twitter.com/veravilela04/status/1649517552001843200</v>
      </c>
      <c r="AF1215" s="79">
        <v>45037.872743055559</v>
      </c>
      <c r="AG1215" s="85">
        <v>45037</v>
      </c>
      <c r="AH1215" s="82" t="s">
        <v>11362</v>
      </c>
      <c r="AI1215" s="77" t="b">
        <v>0</v>
      </c>
      <c r="AJ1215" s="77"/>
      <c r="AK1215" s="77"/>
      <c r="AL1215" s="77"/>
      <c r="AM1215" s="77"/>
      <c r="AN1215" s="77"/>
      <c r="AO1215" s="77"/>
      <c r="AP1215" s="77"/>
      <c r="AQ1215" s="77" t="s">
        <v>14606</v>
      </c>
      <c r="AR1215" s="77">
        <v>13792</v>
      </c>
      <c r="AS1215" s="77"/>
      <c r="AT1215" s="77"/>
      <c r="AU1215" s="77"/>
      <c r="AV1215" s="80" t="str">
        <f>HYPERLINK("https://pbs.twimg.com/ext_tw_video_thumb/1649517503586893825/pu/img/MUPhKJe_-ril2JZX.jpg")</f>
        <v>https://pbs.twimg.com/ext_tw_video_thumb/1649517503586893825/pu/img/MUPhKJe_-ril2JZX.jpg</v>
      </c>
      <c r="AW1215" s="82" t="s">
        <v>17988</v>
      </c>
      <c r="AX1215" s="82" t="s">
        <v>17988</v>
      </c>
      <c r="AY1215" s="77"/>
      <c r="AZ1215" s="82" t="s">
        <v>20971</v>
      </c>
      <c r="BA1215" s="82" t="s">
        <v>20971</v>
      </c>
      <c r="BB1215" s="82" t="s">
        <v>20971</v>
      </c>
      <c r="BC1215" s="82" t="s">
        <v>17988</v>
      </c>
      <c r="BD1215" s="82" t="s">
        <v>21186</v>
      </c>
      <c r="BE1215" s="77"/>
      <c r="BF1215" s="77"/>
      <c r="BG1215" s="77"/>
      <c r="BH1215" s="77"/>
      <c r="BI1215" s="77"/>
    </row>
    <row r="1216" spans="1:61" x14ac:dyDescent="0.25">
      <c r="A1216" s="62" t="s">
        <v>461</v>
      </c>
      <c r="B1216" s="62" t="s">
        <v>461</v>
      </c>
      <c r="C1216" s="63"/>
      <c r="D1216" s="64"/>
      <c r="E1216" s="65"/>
      <c r="F1216" s="66"/>
      <c r="G1216" s="63"/>
      <c r="H1216" s="67"/>
      <c r="I1216" s="68"/>
      <c r="J1216" s="68"/>
      <c r="K1216" s="32"/>
      <c r="L1216" s="75">
        <v>1216</v>
      </c>
      <c r="M1216" s="75"/>
      <c r="N1216" s="70"/>
      <c r="O1216" s="77" t="s">
        <v>179</v>
      </c>
      <c r="P1216" s="79">
        <v>45037.872175925928</v>
      </c>
      <c r="Q1216" s="77" t="s">
        <v>2460</v>
      </c>
      <c r="R1216" s="77">
        <v>0</v>
      </c>
      <c r="S1216" s="77">
        <v>0</v>
      </c>
      <c r="T1216" s="77">
        <v>0</v>
      </c>
      <c r="U1216" s="77">
        <v>0</v>
      </c>
      <c r="V1216" s="77">
        <v>10</v>
      </c>
      <c r="W1216" s="82" t="s">
        <v>5622</v>
      </c>
      <c r="X1216" s="77"/>
      <c r="Y1216" s="77"/>
      <c r="Z1216" s="77"/>
      <c r="AA1216" s="77" t="s">
        <v>7963</v>
      </c>
      <c r="AB1216" s="77" t="s">
        <v>10129</v>
      </c>
      <c r="AC1216" s="82" t="s">
        <v>10144</v>
      </c>
      <c r="AD1216" s="77" t="s">
        <v>10183</v>
      </c>
      <c r="AE1216" s="80" t="str">
        <f>HYPERLINK("https://twitter.com/veravilela04/status/1649517346237603841")</f>
        <v>https://twitter.com/veravilela04/status/1649517346237603841</v>
      </c>
      <c r="AF1216" s="79">
        <v>45037.872175925928</v>
      </c>
      <c r="AG1216" s="85">
        <v>45037</v>
      </c>
      <c r="AH1216" s="82" t="s">
        <v>11363</v>
      </c>
      <c r="AI1216" s="77" t="b">
        <v>0</v>
      </c>
      <c r="AJ1216" s="77"/>
      <c r="AK1216" s="77"/>
      <c r="AL1216" s="77"/>
      <c r="AM1216" s="77"/>
      <c r="AN1216" s="77"/>
      <c r="AO1216" s="77"/>
      <c r="AP1216" s="77"/>
      <c r="AQ1216" s="77" t="s">
        <v>14607</v>
      </c>
      <c r="AR1216" s="77">
        <v>31578</v>
      </c>
      <c r="AS1216" s="77"/>
      <c r="AT1216" s="77"/>
      <c r="AU1216" s="77"/>
      <c r="AV1216" s="80" t="str">
        <f>HYPERLINK("https://pbs.twimg.com/ext_tw_video_thumb/1649517259692425223/pu/img/x6pZHbnA4kuW-ITe.jpg")</f>
        <v>https://pbs.twimg.com/ext_tw_video_thumb/1649517259692425223/pu/img/x6pZHbnA4kuW-ITe.jpg</v>
      </c>
      <c r="AW1216" s="82" t="s">
        <v>17989</v>
      </c>
      <c r="AX1216" s="82" t="s">
        <v>17989</v>
      </c>
      <c r="AY1216" s="77"/>
      <c r="AZ1216" s="82" t="s">
        <v>20971</v>
      </c>
      <c r="BA1216" s="82" t="s">
        <v>20971</v>
      </c>
      <c r="BB1216" s="82" t="s">
        <v>20971</v>
      </c>
      <c r="BC1216" s="82" t="s">
        <v>17989</v>
      </c>
      <c r="BD1216" s="82" t="s">
        <v>21186</v>
      </c>
      <c r="BE1216" s="77"/>
      <c r="BF1216" s="77"/>
      <c r="BG1216" s="77"/>
      <c r="BH1216" s="77"/>
      <c r="BI1216" s="77"/>
    </row>
    <row r="1217" spans="1:61" x14ac:dyDescent="0.25">
      <c r="A1217" s="62" t="s">
        <v>461</v>
      </c>
      <c r="B1217" s="62" t="s">
        <v>461</v>
      </c>
      <c r="C1217" s="63"/>
      <c r="D1217" s="64"/>
      <c r="E1217" s="65"/>
      <c r="F1217" s="66"/>
      <c r="G1217" s="63"/>
      <c r="H1217" s="67"/>
      <c r="I1217" s="68"/>
      <c r="J1217" s="68"/>
      <c r="K1217" s="32"/>
      <c r="L1217" s="75">
        <v>1217</v>
      </c>
      <c r="M1217" s="75"/>
      <c r="N1217" s="70"/>
      <c r="O1217" s="77" t="s">
        <v>179</v>
      </c>
      <c r="P1217" s="79">
        <v>45037.871527777781</v>
      </c>
      <c r="Q1217" s="77" t="s">
        <v>2461</v>
      </c>
      <c r="R1217" s="77">
        <v>0</v>
      </c>
      <c r="S1217" s="77">
        <v>0</v>
      </c>
      <c r="T1217" s="77">
        <v>0</v>
      </c>
      <c r="U1217" s="77">
        <v>0</v>
      </c>
      <c r="V1217" s="77">
        <v>10</v>
      </c>
      <c r="W1217" s="82" t="s">
        <v>5622</v>
      </c>
      <c r="X1217" s="77"/>
      <c r="Y1217" s="77"/>
      <c r="Z1217" s="77"/>
      <c r="AA1217" s="77" t="s">
        <v>7964</v>
      </c>
      <c r="AB1217" s="77" t="s">
        <v>10129</v>
      </c>
      <c r="AC1217" s="82" t="s">
        <v>10144</v>
      </c>
      <c r="AD1217" s="77" t="s">
        <v>10183</v>
      </c>
      <c r="AE1217" s="80" t="str">
        <f>HYPERLINK("https://twitter.com/veravilela04/status/1649517111339827201")</f>
        <v>https://twitter.com/veravilela04/status/1649517111339827201</v>
      </c>
      <c r="AF1217" s="79">
        <v>45037.871527777781</v>
      </c>
      <c r="AG1217" s="85">
        <v>45037</v>
      </c>
      <c r="AH1217" s="82" t="s">
        <v>11364</v>
      </c>
      <c r="AI1217" s="77" t="b">
        <v>0</v>
      </c>
      <c r="AJ1217" s="77"/>
      <c r="AK1217" s="77"/>
      <c r="AL1217" s="77"/>
      <c r="AM1217" s="77"/>
      <c r="AN1217" s="77"/>
      <c r="AO1217" s="77"/>
      <c r="AP1217" s="77"/>
      <c r="AQ1217" s="77" t="s">
        <v>14608</v>
      </c>
      <c r="AR1217" s="77">
        <v>21222</v>
      </c>
      <c r="AS1217" s="77"/>
      <c r="AT1217" s="77"/>
      <c r="AU1217" s="77"/>
      <c r="AV1217" s="80" t="str">
        <f>HYPERLINK("https://pbs.twimg.com/ext_tw_video_thumb/1649517037973118977/pu/img/ilfZQ5_1GeHJjv2J.jpg")</f>
        <v>https://pbs.twimg.com/ext_tw_video_thumb/1649517037973118977/pu/img/ilfZQ5_1GeHJjv2J.jpg</v>
      </c>
      <c r="AW1217" s="82" t="s">
        <v>17990</v>
      </c>
      <c r="AX1217" s="82" t="s">
        <v>17990</v>
      </c>
      <c r="AY1217" s="77"/>
      <c r="AZ1217" s="82" t="s">
        <v>20971</v>
      </c>
      <c r="BA1217" s="82" t="s">
        <v>20971</v>
      </c>
      <c r="BB1217" s="82" t="s">
        <v>20971</v>
      </c>
      <c r="BC1217" s="82" t="s">
        <v>17990</v>
      </c>
      <c r="BD1217" s="82" t="s">
        <v>21186</v>
      </c>
      <c r="BE1217" s="77"/>
      <c r="BF1217" s="77"/>
      <c r="BG1217" s="77"/>
      <c r="BH1217" s="77"/>
      <c r="BI1217" s="77"/>
    </row>
    <row r="1218" spans="1:61" x14ac:dyDescent="0.25">
      <c r="A1218" s="62" t="s">
        <v>462</v>
      </c>
      <c r="B1218" s="62" t="s">
        <v>462</v>
      </c>
      <c r="C1218" s="63"/>
      <c r="D1218" s="64"/>
      <c r="E1218" s="65"/>
      <c r="F1218" s="66"/>
      <c r="G1218" s="63"/>
      <c r="H1218" s="67"/>
      <c r="I1218" s="68"/>
      <c r="J1218" s="68"/>
      <c r="K1218" s="32"/>
      <c r="L1218" s="75">
        <v>1218</v>
      </c>
      <c r="M1218" s="75"/>
      <c r="N1218" s="70"/>
      <c r="O1218" s="77" t="s">
        <v>179</v>
      </c>
      <c r="P1218" s="79">
        <v>44957.121574074074</v>
      </c>
      <c r="Q1218" s="77" t="s">
        <v>2462</v>
      </c>
      <c r="R1218" s="77">
        <v>1</v>
      </c>
      <c r="S1218" s="77">
        <v>5</v>
      </c>
      <c r="T1218" s="77">
        <v>0</v>
      </c>
      <c r="U1218" s="77">
        <v>0</v>
      </c>
      <c r="V1218" s="77">
        <v>106</v>
      </c>
      <c r="W1218" s="82" t="s">
        <v>5625</v>
      </c>
      <c r="X1218" s="77"/>
      <c r="Y1218" s="77"/>
      <c r="Z1218" s="77"/>
      <c r="AA1218" s="77" t="s">
        <v>7965</v>
      </c>
      <c r="AB1218" s="77" t="s">
        <v>10130</v>
      </c>
      <c r="AC1218" s="82" t="s">
        <v>10144</v>
      </c>
      <c r="AD1218" s="77" t="s">
        <v>10184</v>
      </c>
      <c r="AE1218" s="80" t="str">
        <f>HYPERLINK("https://twitter.com/stakemasterr/status/1620254307546439683")</f>
        <v>https://twitter.com/stakemasterr/status/1620254307546439683</v>
      </c>
      <c r="AF1218" s="79">
        <v>44957.121574074074</v>
      </c>
      <c r="AG1218" s="85">
        <v>44957</v>
      </c>
      <c r="AH1218" s="82" t="s">
        <v>11365</v>
      </c>
      <c r="AI1218" s="77" t="b">
        <v>0</v>
      </c>
      <c r="AJ1218" s="77"/>
      <c r="AK1218" s="77"/>
      <c r="AL1218" s="77"/>
      <c r="AM1218" s="77"/>
      <c r="AN1218" s="77"/>
      <c r="AO1218" s="77"/>
      <c r="AP1218" s="77"/>
      <c r="AQ1218" s="77" t="s">
        <v>14609</v>
      </c>
      <c r="AR1218" s="77"/>
      <c r="AS1218" s="77"/>
      <c r="AT1218" s="77"/>
      <c r="AU1218" s="77"/>
      <c r="AV1218" s="80" t="str">
        <f>HYPERLINK("https://pbs.twimg.com/media/FnxMtJFWAAAqzrE.jpg")</f>
        <v>https://pbs.twimg.com/media/FnxMtJFWAAAqzrE.jpg</v>
      </c>
      <c r="AW1218" s="82" t="s">
        <v>17991</v>
      </c>
      <c r="AX1218" s="82" t="s">
        <v>17991</v>
      </c>
      <c r="AY1218" s="77"/>
      <c r="AZ1218" s="82" t="s">
        <v>20971</v>
      </c>
      <c r="BA1218" s="82" t="s">
        <v>20971</v>
      </c>
      <c r="BB1218" s="82" t="s">
        <v>20971</v>
      </c>
      <c r="BC1218" s="82" t="s">
        <v>17991</v>
      </c>
      <c r="BD1218" s="82" t="s">
        <v>21187</v>
      </c>
      <c r="BE1218" s="77"/>
      <c r="BF1218" s="77"/>
      <c r="BG1218" s="77"/>
      <c r="BH1218" s="77"/>
      <c r="BI1218" s="77"/>
    </row>
    <row r="1219" spans="1:61" x14ac:dyDescent="0.25">
      <c r="A1219" s="62" t="s">
        <v>463</v>
      </c>
      <c r="B1219" s="62" t="s">
        <v>463</v>
      </c>
      <c r="C1219" s="63"/>
      <c r="D1219" s="64"/>
      <c r="E1219" s="65"/>
      <c r="F1219" s="66"/>
      <c r="G1219" s="63"/>
      <c r="H1219" s="67"/>
      <c r="I1219" s="68"/>
      <c r="J1219" s="68"/>
      <c r="K1219" s="32"/>
      <c r="L1219" s="75">
        <v>1219</v>
      </c>
      <c r="M1219" s="75"/>
      <c r="N1219" s="70"/>
      <c r="O1219" s="77" t="s">
        <v>179</v>
      </c>
      <c r="P1219" s="79">
        <v>45170.155173611114</v>
      </c>
      <c r="Q1219" s="77" t="s">
        <v>2463</v>
      </c>
      <c r="R1219" s="77">
        <v>0</v>
      </c>
      <c r="S1219" s="77">
        <v>1</v>
      </c>
      <c r="T1219" s="77">
        <v>0</v>
      </c>
      <c r="U1219" s="77">
        <v>0</v>
      </c>
      <c r="V1219" s="77">
        <v>57</v>
      </c>
      <c r="W1219" s="82" t="s">
        <v>5626</v>
      </c>
      <c r="X1219" s="80" t="str">
        <f>HYPERLINK("https://ton.com.br/checkout/#/cart?productId=PROMOTON_TIER_S920&amp;referrer=7E9A0175-4AE5-49F6-8FC6-E29")</f>
        <v>https://ton.com.br/checkout/#/cart?productId=PROMOTON_TIER_S920&amp;referrer=7E9A0175-4AE5-49F6-8FC6-E29</v>
      </c>
      <c r="Y1219" s="77" t="s">
        <v>7252</v>
      </c>
      <c r="Z1219" s="77"/>
      <c r="AA1219" s="77"/>
      <c r="AB1219" s="77"/>
      <c r="AC1219" s="82" t="s">
        <v>10144</v>
      </c>
      <c r="AD1219" s="77" t="s">
        <v>10184</v>
      </c>
      <c r="AE1219" s="80" t="str">
        <f>HYPERLINK("https://twitter.com/gabsbluez/status/1697455099402924102")</f>
        <v>https://twitter.com/gabsbluez/status/1697455099402924102</v>
      </c>
      <c r="AF1219" s="79">
        <v>45170.155173611114</v>
      </c>
      <c r="AG1219" s="85">
        <v>45170</v>
      </c>
      <c r="AH1219" s="82" t="s">
        <v>11366</v>
      </c>
      <c r="AI1219" s="77" t="b">
        <v>0</v>
      </c>
      <c r="AJ1219" s="77"/>
      <c r="AK1219" s="77"/>
      <c r="AL1219" s="77"/>
      <c r="AM1219" s="77"/>
      <c r="AN1219" s="77"/>
      <c r="AO1219" s="77"/>
      <c r="AP1219" s="77"/>
      <c r="AQ1219" s="77"/>
      <c r="AR1219" s="77"/>
      <c r="AS1219" s="77"/>
      <c r="AT1219" s="77"/>
      <c r="AU1219" s="77"/>
      <c r="AV1219" s="80" t="str">
        <f>HYPERLINK("https://pbs.twimg.com/profile_images/1664581304644431873/GugULGY2_normal.jpg")</f>
        <v>https://pbs.twimg.com/profile_images/1664581304644431873/GugULGY2_normal.jpg</v>
      </c>
      <c r="AW1219" s="82" t="s">
        <v>17992</v>
      </c>
      <c r="AX1219" s="82" t="s">
        <v>17992</v>
      </c>
      <c r="AY1219" s="77"/>
      <c r="AZ1219" s="82" t="s">
        <v>20971</v>
      </c>
      <c r="BA1219" s="82" t="s">
        <v>20971</v>
      </c>
      <c r="BB1219" s="82" t="s">
        <v>20971</v>
      </c>
      <c r="BC1219" s="82" t="s">
        <v>17992</v>
      </c>
      <c r="BD1219" s="82" t="s">
        <v>21188</v>
      </c>
      <c r="BE1219" s="77"/>
      <c r="BF1219" s="77"/>
      <c r="BG1219" s="77"/>
      <c r="BH1219" s="77"/>
      <c r="BI1219" s="77"/>
    </row>
    <row r="1220" spans="1:61" x14ac:dyDescent="0.25">
      <c r="A1220" s="62" t="s">
        <v>464</v>
      </c>
      <c r="B1220" s="62" t="s">
        <v>464</v>
      </c>
      <c r="C1220" s="63"/>
      <c r="D1220" s="64"/>
      <c r="E1220" s="65"/>
      <c r="F1220" s="66"/>
      <c r="G1220" s="63"/>
      <c r="H1220" s="67"/>
      <c r="I1220" s="68"/>
      <c r="J1220" s="68"/>
      <c r="K1220" s="32"/>
      <c r="L1220" s="75">
        <v>1220</v>
      </c>
      <c r="M1220" s="75"/>
      <c r="N1220" s="70"/>
      <c r="O1220" s="77" t="s">
        <v>179</v>
      </c>
      <c r="P1220" s="79">
        <v>45130.681608796294</v>
      </c>
      <c r="Q1220" s="77" t="s">
        <v>2464</v>
      </c>
      <c r="R1220" s="77">
        <v>0</v>
      </c>
      <c r="S1220" s="77">
        <v>0</v>
      </c>
      <c r="T1220" s="77">
        <v>0</v>
      </c>
      <c r="U1220" s="77">
        <v>0</v>
      </c>
      <c r="V1220" s="77">
        <v>12</v>
      </c>
      <c r="W1220" s="82" t="s">
        <v>5627</v>
      </c>
      <c r="X1220" s="80" t="str">
        <f>HYPERLINK("https://vm.tiktok.com/ZM2bgL6Ef/")</f>
        <v>https://vm.tiktok.com/ZM2bgL6Ef/</v>
      </c>
      <c r="Y1220" s="77" t="s">
        <v>7306</v>
      </c>
      <c r="Z1220" s="77"/>
      <c r="AA1220" s="77"/>
      <c r="AB1220" s="77"/>
      <c r="AC1220" s="82" t="s">
        <v>10144</v>
      </c>
      <c r="AD1220" s="77" t="s">
        <v>10184</v>
      </c>
      <c r="AE1220" s="80" t="str">
        <f>HYPERLINK("https://twitter.com/denilso01603502/status/1683150357159919619")</f>
        <v>https://twitter.com/denilso01603502/status/1683150357159919619</v>
      </c>
      <c r="AF1220" s="79">
        <v>45130.681608796294</v>
      </c>
      <c r="AG1220" s="85">
        <v>45130</v>
      </c>
      <c r="AH1220" s="82" t="s">
        <v>11367</v>
      </c>
      <c r="AI1220" s="77" t="b">
        <v>0</v>
      </c>
      <c r="AJ1220" s="77"/>
      <c r="AK1220" s="77"/>
      <c r="AL1220" s="77"/>
      <c r="AM1220" s="77"/>
      <c r="AN1220" s="77"/>
      <c r="AO1220" s="77"/>
      <c r="AP1220" s="77"/>
      <c r="AQ1220" s="77"/>
      <c r="AR1220" s="77"/>
      <c r="AS1220" s="77"/>
      <c r="AT1220" s="77"/>
      <c r="AU1220" s="77"/>
      <c r="AV1220" s="80" t="str">
        <f>HYPERLINK("https://pbs.twimg.com/profile_images/1612592783801438209/UDRnnc7q_normal.jpg")</f>
        <v>https://pbs.twimg.com/profile_images/1612592783801438209/UDRnnc7q_normal.jpg</v>
      </c>
      <c r="AW1220" s="82" t="s">
        <v>17993</v>
      </c>
      <c r="AX1220" s="82" t="s">
        <v>17993</v>
      </c>
      <c r="AY1220" s="77"/>
      <c r="AZ1220" s="82" t="s">
        <v>20971</v>
      </c>
      <c r="BA1220" s="82" t="s">
        <v>20971</v>
      </c>
      <c r="BB1220" s="82" t="s">
        <v>20971</v>
      </c>
      <c r="BC1220" s="82" t="s">
        <v>17993</v>
      </c>
      <c r="BD1220" s="82" t="s">
        <v>21189</v>
      </c>
      <c r="BE1220" s="77"/>
      <c r="BF1220" s="77"/>
      <c r="BG1220" s="77"/>
      <c r="BH1220" s="77"/>
      <c r="BI1220" s="77"/>
    </row>
    <row r="1221" spans="1:61" x14ac:dyDescent="0.25">
      <c r="A1221" s="62" t="s">
        <v>465</v>
      </c>
      <c r="B1221" s="62" t="s">
        <v>465</v>
      </c>
      <c r="C1221" s="63"/>
      <c r="D1221" s="64"/>
      <c r="E1221" s="65"/>
      <c r="F1221" s="66"/>
      <c r="G1221" s="63"/>
      <c r="H1221" s="67"/>
      <c r="I1221" s="68"/>
      <c r="J1221" s="68"/>
      <c r="K1221" s="32"/>
      <c r="L1221" s="75">
        <v>1221</v>
      </c>
      <c r="M1221" s="75"/>
      <c r="N1221" s="70"/>
      <c r="O1221" s="77" t="s">
        <v>1284</v>
      </c>
      <c r="P1221" s="79">
        <v>45018.584780092591</v>
      </c>
      <c r="Q1221" s="77" t="s">
        <v>2465</v>
      </c>
      <c r="R1221" s="77">
        <v>0</v>
      </c>
      <c r="S1221" s="77">
        <v>0</v>
      </c>
      <c r="T1221" s="77">
        <v>1</v>
      </c>
      <c r="U1221" s="77">
        <v>0</v>
      </c>
      <c r="V1221" s="77">
        <v>808</v>
      </c>
      <c r="W1221" s="82" t="s">
        <v>5628</v>
      </c>
      <c r="X1221" s="77"/>
      <c r="Y1221" s="77"/>
      <c r="Z1221" s="77"/>
      <c r="AA1221" s="77"/>
      <c r="AB1221" s="77"/>
      <c r="AC1221" s="82" t="s">
        <v>10144</v>
      </c>
      <c r="AD1221" s="77" t="s">
        <v>10186</v>
      </c>
      <c r="AE1221" s="80" t="str">
        <f>HYPERLINK("https://twitter.com/70scars/status/1642527829572108289")</f>
        <v>https://twitter.com/70scars/status/1642527829572108289</v>
      </c>
      <c r="AF1221" s="79">
        <v>45018.584780092591</v>
      </c>
      <c r="AG1221" s="85">
        <v>45018</v>
      </c>
      <c r="AH1221" s="82" t="s">
        <v>11368</v>
      </c>
      <c r="AI1221" s="77"/>
      <c r="AJ1221" s="77"/>
      <c r="AK1221" s="77"/>
      <c r="AL1221" s="77"/>
      <c r="AM1221" s="77"/>
      <c r="AN1221" s="77"/>
      <c r="AO1221" s="77"/>
      <c r="AP1221" s="77"/>
      <c r="AQ1221" s="77"/>
      <c r="AR1221" s="77"/>
      <c r="AS1221" s="77"/>
      <c r="AT1221" s="77"/>
      <c r="AU1221" s="77"/>
      <c r="AV1221" s="80" t="str">
        <f>HYPERLINK("https://pbs.twimg.com/profile_images/1694361269522845696/8NbP3PwJ_normal.jpg")</f>
        <v>https://pbs.twimg.com/profile_images/1694361269522845696/8NbP3PwJ_normal.jpg</v>
      </c>
      <c r="AW1221" s="82" t="s">
        <v>17994</v>
      </c>
      <c r="AX1221" s="82" t="s">
        <v>20806</v>
      </c>
      <c r="AY1221" s="82" t="s">
        <v>20914</v>
      </c>
      <c r="AZ1221" s="82" t="s">
        <v>20806</v>
      </c>
      <c r="BA1221" s="82" t="s">
        <v>20971</v>
      </c>
      <c r="BB1221" s="82" t="s">
        <v>20971</v>
      </c>
      <c r="BC1221" s="82" t="s">
        <v>20806</v>
      </c>
      <c r="BD1221" s="82" t="s">
        <v>20914</v>
      </c>
      <c r="BE1221" s="77"/>
      <c r="BF1221" s="77"/>
      <c r="BG1221" s="77"/>
      <c r="BH1221" s="77"/>
      <c r="BI1221" s="77"/>
    </row>
    <row r="1222" spans="1:61" x14ac:dyDescent="0.25">
      <c r="A1222" s="62" t="s">
        <v>465</v>
      </c>
      <c r="B1222" s="62" t="s">
        <v>465</v>
      </c>
      <c r="C1222" s="63"/>
      <c r="D1222" s="64"/>
      <c r="E1222" s="65"/>
      <c r="F1222" s="66"/>
      <c r="G1222" s="63"/>
      <c r="H1222" s="67"/>
      <c r="I1222" s="68"/>
      <c r="J1222" s="68"/>
      <c r="K1222" s="32"/>
      <c r="L1222" s="75">
        <v>1222</v>
      </c>
      <c r="M1222" s="75"/>
      <c r="N1222" s="70"/>
      <c r="O1222" s="77" t="s">
        <v>1284</v>
      </c>
      <c r="P1222" s="79">
        <v>45117.528726851851</v>
      </c>
      <c r="Q1222" s="77" t="s">
        <v>2466</v>
      </c>
      <c r="R1222" s="77">
        <v>0</v>
      </c>
      <c r="S1222" s="77">
        <v>0</v>
      </c>
      <c r="T1222" s="77">
        <v>8</v>
      </c>
      <c r="U1222" s="77">
        <v>0</v>
      </c>
      <c r="V1222" s="77">
        <v>206</v>
      </c>
      <c r="W1222" s="82" t="s">
        <v>5629</v>
      </c>
      <c r="X1222" s="77"/>
      <c r="Y1222" s="77"/>
      <c r="Z1222" s="77"/>
      <c r="AA1222" s="77"/>
      <c r="AB1222" s="77"/>
      <c r="AC1222" s="82" t="s">
        <v>10144</v>
      </c>
      <c r="AD1222" s="77" t="s">
        <v>10186</v>
      </c>
      <c r="AE1222" s="80" t="str">
        <f>HYPERLINK("https://twitter.com/70scars/status/1678383914333753346")</f>
        <v>https://twitter.com/70scars/status/1678383914333753346</v>
      </c>
      <c r="AF1222" s="79">
        <v>45117.528726851851</v>
      </c>
      <c r="AG1222" s="85">
        <v>45117</v>
      </c>
      <c r="AH1222" s="82" t="s">
        <v>11369</v>
      </c>
      <c r="AI1222" s="77"/>
      <c r="AJ1222" s="77"/>
      <c r="AK1222" s="77"/>
      <c r="AL1222" s="77"/>
      <c r="AM1222" s="77"/>
      <c r="AN1222" s="77"/>
      <c r="AO1222" s="77"/>
      <c r="AP1222" s="77"/>
      <c r="AQ1222" s="77"/>
      <c r="AR1222" s="77"/>
      <c r="AS1222" s="77"/>
      <c r="AT1222" s="77"/>
      <c r="AU1222" s="77"/>
      <c r="AV1222" s="80" t="str">
        <f>HYPERLINK("https://pbs.twimg.com/profile_images/1694361269522845696/8NbP3PwJ_normal.jpg")</f>
        <v>https://pbs.twimg.com/profile_images/1694361269522845696/8NbP3PwJ_normal.jpg</v>
      </c>
      <c r="AW1222" s="82" t="s">
        <v>17995</v>
      </c>
      <c r="AX1222" s="82" t="s">
        <v>20807</v>
      </c>
      <c r="AY1222" s="82" t="s">
        <v>20914</v>
      </c>
      <c r="AZ1222" s="82" t="s">
        <v>20807</v>
      </c>
      <c r="BA1222" s="82" t="s">
        <v>20971</v>
      </c>
      <c r="BB1222" s="82" t="s">
        <v>20971</v>
      </c>
      <c r="BC1222" s="82" t="s">
        <v>20807</v>
      </c>
      <c r="BD1222" s="82" t="s">
        <v>20914</v>
      </c>
      <c r="BE1222" s="77"/>
      <c r="BF1222" s="77"/>
      <c r="BG1222" s="77"/>
      <c r="BH1222" s="77"/>
      <c r="BI1222" s="77"/>
    </row>
    <row r="1223" spans="1:61" x14ac:dyDescent="0.25">
      <c r="A1223" s="62" t="s">
        <v>466</v>
      </c>
      <c r="B1223" s="62" t="s">
        <v>466</v>
      </c>
      <c r="C1223" s="63"/>
      <c r="D1223" s="64"/>
      <c r="E1223" s="65"/>
      <c r="F1223" s="66"/>
      <c r="G1223" s="63"/>
      <c r="H1223" s="67"/>
      <c r="I1223" s="68"/>
      <c r="J1223" s="68"/>
      <c r="K1223" s="32"/>
      <c r="L1223" s="75">
        <v>1223</v>
      </c>
      <c r="M1223" s="75"/>
      <c r="N1223" s="70"/>
      <c r="O1223" s="77" t="s">
        <v>179</v>
      </c>
      <c r="P1223" s="79">
        <v>45170.48940972222</v>
      </c>
      <c r="Q1223" s="77" t="s">
        <v>2467</v>
      </c>
      <c r="R1223" s="77">
        <v>0</v>
      </c>
      <c r="S1223" s="77">
        <v>1</v>
      </c>
      <c r="T1223" s="77">
        <v>0</v>
      </c>
      <c r="U1223" s="77">
        <v>0</v>
      </c>
      <c r="V1223" s="77">
        <v>60</v>
      </c>
      <c r="W1223" s="82" t="s">
        <v>5630</v>
      </c>
      <c r="X1223" s="80" t="str">
        <f>HYPERLINK("https://youtu.be/G9rqnhvMsvE?si=R9oi3T8L-FraXXh9")</f>
        <v>https://youtu.be/G9rqnhvMsvE?si=R9oi3T8L-FraXXh9</v>
      </c>
      <c r="Y1223" s="77" t="s">
        <v>7248</v>
      </c>
      <c r="Z1223" s="77"/>
      <c r="AA1223" s="77"/>
      <c r="AB1223" s="77"/>
      <c r="AC1223" s="82" t="s">
        <v>10146</v>
      </c>
      <c r="AD1223" s="77" t="s">
        <v>10184</v>
      </c>
      <c r="AE1223" s="80" t="str">
        <f>HYPERLINK("https://twitter.com/rauniramosyt/status/1697576224250306696")</f>
        <v>https://twitter.com/rauniramosyt/status/1697576224250306696</v>
      </c>
      <c r="AF1223" s="79">
        <v>45170.48940972222</v>
      </c>
      <c r="AG1223" s="85">
        <v>45170</v>
      </c>
      <c r="AH1223" s="82" t="s">
        <v>11370</v>
      </c>
      <c r="AI1223" s="77" t="b">
        <v>0</v>
      </c>
      <c r="AJ1223" s="77"/>
      <c r="AK1223" s="77"/>
      <c r="AL1223" s="77"/>
      <c r="AM1223" s="77"/>
      <c r="AN1223" s="77"/>
      <c r="AO1223" s="77"/>
      <c r="AP1223" s="77"/>
      <c r="AQ1223" s="77"/>
      <c r="AR1223" s="77"/>
      <c r="AS1223" s="77"/>
      <c r="AT1223" s="77"/>
      <c r="AU1223" s="77"/>
      <c r="AV1223" s="80" t="str">
        <f>HYPERLINK("https://pbs.twimg.com/profile_images/1562082333917839360/7s8uSPc8_normal.jpg")</f>
        <v>https://pbs.twimg.com/profile_images/1562082333917839360/7s8uSPc8_normal.jpg</v>
      </c>
      <c r="AW1223" s="82" t="s">
        <v>17996</v>
      </c>
      <c r="AX1223" s="82" t="s">
        <v>17996</v>
      </c>
      <c r="AY1223" s="77"/>
      <c r="AZ1223" s="82" t="s">
        <v>20971</v>
      </c>
      <c r="BA1223" s="82" t="s">
        <v>20971</v>
      </c>
      <c r="BB1223" s="82" t="s">
        <v>20971</v>
      </c>
      <c r="BC1223" s="82" t="s">
        <v>17996</v>
      </c>
      <c r="BD1223" s="82" t="s">
        <v>21190</v>
      </c>
      <c r="BE1223" s="77"/>
      <c r="BF1223" s="77"/>
      <c r="BG1223" s="77"/>
      <c r="BH1223" s="77"/>
      <c r="BI1223" s="77"/>
    </row>
    <row r="1224" spans="1:61" x14ac:dyDescent="0.25">
      <c r="A1224" s="62" t="s">
        <v>466</v>
      </c>
      <c r="B1224" s="62" t="s">
        <v>466</v>
      </c>
      <c r="C1224" s="63"/>
      <c r="D1224" s="64"/>
      <c r="E1224" s="65"/>
      <c r="F1224" s="66"/>
      <c r="G1224" s="63"/>
      <c r="H1224" s="67"/>
      <c r="I1224" s="68"/>
      <c r="J1224" s="68"/>
      <c r="K1224" s="32"/>
      <c r="L1224" s="75">
        <v>1224</v>
      </c>
      <c r="M1224" s="75"/>
      <c r="N1224" s="70"/>
      <c r="O1224" s="77" t="s">
        <v>179</v>
      </c>
      <c r="P1224" s="79">
        <v>45172.017881944441</v>
      </c>
      <c r="Q1224" s="77" t="s">
        <v>2468</v>
      </c>
      <c r="R1224" s="77">
        <v>0</v>
      </c>
      <c r="S1224" s="77">
        <v>2</v>
      </c>
      <c r="T1224" s="77">
        <v>0</v>
      </c>
      <c r="U1224" s="77">
        <v>0</v>
      </c>
      <c r="V1224" s="77">
        <v>143</v>
      </c>
      <c r="W1224" s="82" t="s">
        <v>5631</v>
      </c>
      <c r="X1224" s="80" t="str">
        <f>HYPERLINK("https://youtu.be/0WMlIz5pGf8?si=0uQ69YUaN6-RXAPx")</f>
        <v>https://youtu.be/0WMlIz5pGf8?si=0uQ69YUaN6-RXAPx</v>
      </c>
      <c r="Y1224" s="77" t="s">
        <v>7248</v>
      </c>
      <c r="Z1224" s="77"/>
      <c r="AA1224" s="77"/>
      <c r="AB1224" s="77"/>
      <c r="AC1224" s="82" t="s">
        <v>10146</v>
      </c>
      <c r="AD1224" s="77" t="s">
        <v>10184</v>
      </c>
      <c r="AE1224" s="80" t="str">
        <f>HYPERLINK("https://twitter.com/rauniramosyt/status/1698130121033486487")</f>
        <v>https://twitter.com/rauniramosyt/status/1698130121033486487</v>
      </c>
      <c r="AF1224" s="79">
        <v>45172.017881944441</v>
      </c>
      <c r="AG1224" s="85">
        <v>45172</v>
      </c>
      <c r="AH1224" s="82" t="s">
        <v>11371</v>
      </c>
      <c r="AI1224" s="77" t="b">
        <v>0</v>
      </c>
      <c r="AJ1224" s="77"/>
      <c r="AK1224" s="77"/>
      <c r="AL1224" s="77"/>
      <c r="AM1224" s="77"/>
      <c r="AN1224" s="77"/>
      <c r="AO1224" s="77"/>
      <c r="AP1224" s="77"/>
      <c r="AQ1224" s="77"/>
      <c r="AR1224" s="77"/>
      <c r="AS1224" s="77"/>
      <c r="AT1224" s="77"/>
      <c r="AU1224" s="77"/>
      <c r="AV1224" s="80" t="str">
        <f>HYPERLINK("https://pbs.twimg.com/profile_images/1562082333917839360/7s8uSPc8_normal.jpg")</f>
        <v>https://pbs.twimg.com/profile_images/1562082333917839360/7s8uSPc8_normal.jpg</v>
      </c>
      <c r="AW1224" s="82" t="s">
        <v>17997</v>
      </c>
      <c r="AX1224" s="82" t="s">
        <v>17997</v>
      </c>
      <c r="AY1224" s="77"/>
      <c r="AZ1224" s="82" t="s">
        <v>20971</v>
      </c>
      <c r="BA1224" s="82" t="s">
        <v>20971</v>
      </c>
      <c r="BB1224" s="82" t="s">
        <v>20971</v>
      </c>
      <c r="BC1224" s="82" t="s">
        <v>17997</v>
      </c>
      <c r="BD1224" s="82" t="s">
        <v>21190</v>
      </c>
      <c r="BE1224" s="77"/>
      <c r="BF1224" s="77"/>
      <c r="BG1224" s="77"/>
      <c r="BH1224" s="77"/>
      <c r="BI1224" s="77"/>
    </row>
    <row r="1225" spans="1:61" x14ac:dyDescent="0.25">
      <c r="A1225" s="62" t="s">
        <v>466</v>
      </c>
      <c r="B1225" s="62" t="s">
        <v>466</v>
      </c>
      <c r="C1225" s="63"/>
      <c r="D1225" s="64"/>
      <c r="E1225" s="65"/>
      <c r="F1225" s="66"/>
      <c r="G1225" s="63"/>
      <c r="H1225" s="67"/>
      <c r="I1225" s="68"/>
      <c r="J1225" s="68"/>
      <c r="K1225" s="32"/>
      <c r="L1225" s="75">
        <v>1225</v>
      </c>
      <c r="M1225" s="75"/>
      <c r="N1225" s="70"/>
      <c r="O1225" s="77" t="s">
        <v>179</v>
      </c>
      <c r="P1225" s="79">
        <v>45189.12090277778</v>
      </c>
      <c r="Q1225" s="77" t="s">
        <v>2469</v>
      </c>
      <c r="R1225" s="77">
        <v>0</v>
      </c>
      <c r="S1225" s="77">
        <v>1</v>
      </c>
      <c r="T1225" s="77">
        <v>0</v>
      </c>
      <c r="U1225" s="77">
        <v>0</v>
      </c>
      <c r="V1225" s="77">
        <v>82</v>
      </c>
      <c r="W1225" s="82" t="s">
        <v>5632</v>
      </c>
      <c r="X1225" s="80" t="str">
        <f>HYPERLINK("https://youtu.be/AwO0YN5vSsc?si=UiYTZiB25tTSw8Z5")</f>
        <v>https://youtu.be/AwO0YN5vSsc?si=UiYTZiB25tTSw8Z5</v>
      </c>
      <c r="Y1225" s="77" t="s">
        <v>7248</v>
      </c>
      <c r="Z1225" s="77"/>
      <c r="AA1225" s="77"/>
      <c r="AB1225" s="77"/>
      <c r="AC1225" s="82" t="s">
        <v>10146</v>
      </c>
      <c r="AD1225" s="77" t="s">
        <v>10184</v>
      </c>
      <c r="AE1225" s="80" t="str">
        <f>HYPERLINK("https://twitter.com/rauniramosyt/status/1704328050299601138")</f>
        <v>https://twitter.com/rauniramosyt/status/1704328050299601138</v>
      </c>
      <c r="AF1225" s="79">
        <v>45189.12090277778</v>
      </c>
      <c r="AG1225" s="85">
        <v>45189</v>
      </c>
      <c r="AH1225" s="82" t="s">
        <v>11372</v>
      </c>
      <c r="AI1225" s="77" t="b">
        <v>0</v>
      </c>
      <c r="AJ1225" s="77"/>
      <c r="AK1225" s="77"/>
      <c r="AL1225" s="77"/>
      <c r="AM1225" s="77"/>
      <c r="AN1225" s="77"/>
      <c r="AO1225" s="77"/>
      <c r="AP1225" s="77"/>
      <c r="AQ1225" s="77"/>
      <c r="AR1225" s="77"/>
      <c r="AS1225" s="77"/>
      <c r="AT1225" s="77"/>
      <c r="AU1225" s="77"/>
      <c r="AV1225" s="80" t="str">
        <f>HYPERLINK("https://pbs.twimg.com/profile_images/1562082333917839360/7s8uSPc8_normal.jpg")</f>
        <v>https://pbs.twimg.com/profile_images/1562082333917839360/7s8uSPc8_normal.jpg</v>
      </c>
      <c r="AW1225" s="82" t="s">
        <v>17998</v>
      </c>
      <c r="AX1225" s="82" t="s">
        <v>17998</v>
      </c>
      <c r="AY1225" s="77"/>
      <c r="AZ1225" s="82" t="s">
        <v>20971</v>
      </c>
      <c r="BA1225" s="82" t="s">
        <v>20971</v>
      </c>
      <c r="BB1225" s="82" t="s">
        <v>20971</v>
      </c>
      <c r="BC1225" s="82" t="s">
        <v>17998</v>
      </c>
      <c r="BD1225" s="82" t="s">
        <v>21190</v>
      </c>
      <c r="BE1225" s="77"/>
      <c r="BF1225" s="77"/>
      <c r="BG1225" s="77"/>
      <c r="BH1225" s="77"/>
      <c r="BI1225" s="77"/>
    </row>
    <row r="1226" spans="1:61" x14ac:dyDescent="0.25">
      <c r="A1226" s="62" t="s">
        <v>466</v>
      </c>
      <c r="B1226" s="62" t="s">
        <v>466</v>
      </c>
      <c r="C1226" s="63"/>
      <c r="D1226" s="64"/>
      <c r="E1226" s="65"/>
      <c r="F1226" s="66"/>
      <c r="G1226" s="63"/>
      <c r="H1226" s="67"/>
      <c r="I1226" s="68"/>
      <c r="J1226" s="68"/>
      <c r="K1226" s="32"/>
      <c r="L1226" s="75">
        <v>1226</v>
      </c>
      <c r="M1226" s="75"/>
      <c r="N1226" s="70"/>
      <c r="O1226" s="77" t="s">
        <v>179</v>
      </c>
      <c r="P1226" s="79">
        <v>45185.533958333333</v>
      </c>
      <c r="Q1226" s="77" t="s">
        <v>2470</v>
      </c>
      <c r="R1226" s="77">
        <v>0</v>
      </c>
      <c r="S1226" s="77">
        <v>1</v>
      </c>
      <c r="T1226" s="77">
        <v>0</v>
      </c>
      <c r="U1226" s="77">
        <v>0</v>
      </c>
      <c r="V1226" s="77">
        <v>71</v>
      </c>
      <c r="W1226" s="82" t="s">
        <v>5633</v>
      </c>
      <c r="X1226" s="80" t="str">
        <f>HYPERLINK("https://youtu.be/GWTfwpZgfeE?si=U151mTFxQuIpC0Gv")</f>
        <v>https://youtu.be/GWTfwpZgfeE?si=U151mTFxQuIpC0Gv</v>
      </c>
      <c r="Y1226" s="77" t="s">
        <v>7248</v>
      </c>
      <c r="Z1226" s="77"/>
      <c r="AA1226" s="77"/>
      <c r="AB1226" s="77"/>
      <c r="AC1226" s="82" t="s">
        <v>10146</v>
      </c>
      <c r="AD1226" s="77" t="s">
        <v>10184</v>
      </c>
      <c r="AE1226" s="80" t="str">
        <f>HYPERLINK("https://twitter.com/rauniramosyt/status/1703028183694467431")</f>
        <v>https://twitter.com/rauniramosyt/status/1703028183694467431</v>
      </c>
      <c r="AF1226" s="79">
        <v>45185.533958333333</v>
      </c>
      <c r="AG1226" s="85">
        <v>45185</v>
      </c>
      <c r="AH1226" s="82" t="s">
        <v>11373</v>
      </c>
      <c r="AI1226" s="77" t="b">
        <v>0</v>
      </c>
      <c r="AJ1226" s="77"/>
      <c r="AK1226" s="77"/>
      <c r="AL1226" s="77"/>
      <c r="AM1226" s="77"/>
      <c r="AN1226" s="77"/>
      <c r="AO1226" s="77"/>
      <c r="AP1226" s="77"/>
      <c r="AQ1226" s="77"/>
      <c r="AR1226" s="77"/>
      <c r="AS1226" s="77"/>
      <c r="AT1226" s="77"/>
      <c r="AU1226" s="77"/>
      <c r="AV1226" s="80" t="str">
        <f>HYPERLINK("https://pbs.twimg.com/profile_images/1562082333917839360/7s8uSPc8_normal.jpg")</f>
        <v>https://pbs.twimg.com/profile_images/1562082333917839360/7s8uSPc8_normal.jpg</v>
      </c>
      <c r="AW1226" s="82" t="s">
        <v>17999</v>
      </c>
      <c r="AX1226" s="82" t="s">
        <v>17999</v>
      </c>
      <c r="AY1226" s="77"/>
      <c r="AZ1226" s="82" t="s">
        <v>20971</v>
      </c>
      <c r="BA1226" s="82" t="s">
        <v>20971</v>
      </c>
      <c r="BB1226" s="82" t="s">
        <v>20971</v>
      </c>
      <c r="BC1226" s="82" t="s">
        <v>17999</v>
      </c>
      <c r="BD1226" s="82" t="s">
        <v>21190</v>
      </c>
      <c r="BE1226" s="77"/>
      <c r="BF1226" s="77"/>
      <c r="BG1226" s="77"/>
      <c r="BH1226" s="77"/>
      <c r="BI1226" s="77"/>
    </row>
    <row r="1227" spans="1:61" x14ac:dyDescent="0.25">
      <c r="A1227" s="62" t="s">
        <v>466</v>
      </c>
      <c r="B1227" s="62" t="s">
        <v>466</v>
      </c>
      <c r="C1227" s="63"/>
      <c r="D1227" s="64"/>
      <c r="E1227" s="65"/>
      <c r="F1227" s="66"/>
      <c r="G1227" s="63"/>
      <c r="H1227" s="67"/>
      <c r="I1227" s="68"/>
      <c r="J1227" s="68"/>
      <c r="K1227" s="32"/>
      <c r="L1227" s="75">
        <v>1227</v>
      </c>
      <c r="M1227" s="75"/>
      <c r="N1227" s="70"/>
      <c r="O1227" s="77" t="s">
        <v>179</v>
      </c>
      <c r="P1227" s="79">
        <v>45181.516365740739</v>
      </c>
      <c r="Q1227" s="77" t="s">
        <v>2471</v>
      </c>
      <c r="R1227" s="77">
        <v>0</v>
      </c>
      <c r="S1227" s="77">
        <v>1</v>
      </c>
      <c r="T1227" s="77">
        <v>0</v>
      </c>
      <c r="U1227" s="77">
        <v>0</v>
      </c>
      <c r="V1227" s="77">
        <v>47</v>
      </c>
      <c r="W1227" s="82" t="s">
        <v>5634</v>
      </c>
      <c r="X1227" s="80" t="str">
        <f>HYPERLINK("https://youtu.be/QTy-9zBM0DY?si=qkpWZBEKI-t6j-uy")</f>
        <v>https://youtu.be/QTy-9zBM0DY?si=qkpWZBEKI-t6j-uy</v>
      </c>
      <c r="Y1227" s="77" t="s">
        <v>7248</v>
      </c>
      <c r="Z1227" s="77"/>
      <c r="AA1227" s="77"/>
      <c r="AB1227" s="77"/>
      <c r="AC1227" s="82" t="s">
        <v>10146</v>
      </c>
      <c r="AD1227" s="77" t="s">
        <v>10184</v>
      </c>
      <c r="AE1227" s="80" t="str">
        <f>HYPERLINK("https://twitter.com/rauniramosyt/status/1701572257267507693")</f>
        <v>https://twitter.com/rauniramosyt/status/1701572257267507693</v>
      </c>
      <c r="AF1227" s="79">
        <v>45181.516365740739</v>
      </c>
      <c r="AG1227" s="85">
        <v>45181</v>
      </c>
      <c r="AH1227" s="82" t="s">
        <v>11374</v>
      </c>
      <c r="AI1227" s="77" t="b">
        <v>0</v>
      </c>
      <c r="AJ1227" s="77"/>
      <c r="AK1227" s="77"/>
      <c r="AL1227" s="77"/>
      <c r="AM1227" s="77"/>
      <c r="AN1227" s="77"/>
      <c r="AO1227" s="77"/>
      <c r="AP1227" s="77"/>
      <c r="AQ1227" s="77"/>
      <c r="AR1227" s="77"/>
      <c r="AS1227" s="77"/>
      <c r="AT1227" s="77"/>
      <c r="AU1227" s="77"/>
      <c r="AV1227" s="80" t="str">
        <f>HYPERLINK("https://pbs.twimg.com/profile_images/1562082333917839360/7s8uSPc8_normal.jpg")</f>
        <v>https://pbs.twimg.com/profile_images/1562082333917839360/7s8uSPc8_normal.jpg</v>
      </c>
      <c r="AW1227" s="82" t="s">
        <v>18000</v>
      </c>
      <c r="AX1227" s="82" t="s">
        <v>18000</v>
      </c>
      <c r="AY1227" s="77"/>
      <c r="AZ1227" s="82" t="s">
        <v>20971</v>
      </c>
      <c r="BA1227" s="82" t="s">
        <v>20971</v>
      </c>
      <c r="BB1227" s="82" t="s">
        <v>20971</v>
      </c>
      <c r="BC1227" s="82" t="s">
        <v>18000</v>
      </c>
      <c r="BD1227" s="82" t="s">
        <v>21190</v>
      </c>
      <c r="BE1227" s="77"/>
      <c r="BF1227" s="77"/>
      <c r="BG1227" s="77"/>
      <c r="BH1227" s="77"/>
      <c r="BI1227" s="77"/>
    </row>
    <row r="1228" spans="1:61" x14ac:dyDescent="0.25">
      <c r="A1228" s="62" t="s">
        <v>467</v>
      </c>
      <c r="B1228" s="62" t="s">
        <v>467</v>
      </c>
      <c r="C1228" s="63"/>
      <c r="D1228" s="64"/>
      <c r="E1228" s="65"/>
      <c r="F1228" s="66"/>
      <c r="G1228" s="63"/>
      <c r="H1228" s="67"/>
      <c r="I1228" s="68"/>
      <c r="J1228" s="68"/>
      <c r="K1228" s="32"/>
      <c r="L1228" s="75">
        <v>1228</v>
      </c>
      <c r="M1228" s="75"/>
      <c r="N1228" s="70"/>
      <c r="O1228" s="77" t="s">
        <v>179</v>
      </c>
      <c r="P1228" s="79">
        <v>45018.623749999999</v>
      </c>
      <c r="Q1228" s="77" t="s">
        <v>2472</v>
      </c>
      <c r="R1228" s="77">
        <v>0</v>
      </c>
      <c r="S1228" s="77">
        <v>0</v>
      </c>
      <c r="T1228" s="77">
        <v>0</v>
      </c>
      <c r="U1228" s="77">
        <v>0</v>
      </c>
      <c r="V1228" s="77">
        <v>118</v>
      </c>
      <c r="W1228" s="82" t="s">
        <v>5635</v>
      </c>
      <c r="X1228" s="80" t="str">
        <f>HYPERLINK("https://hotm.art/MYAQdNR")</f>
        <v>https://hotm.art/MYAQdNR</v>
      </c>
      <c r="Y1228" s="77" t="s">
        <v>7260</v>
      </c>
      <c r="Z1228" s="77"/>
      <c r="AA1228" s="77" t="s">
        <v>7966</v>
      </c>
      <c r="AB1228" s="77" t="s">
        <v>10130</v>
      </c>
      <c r="AC1228" s="82" t="s">
        <v>10144</v>
      </c>
      <c r="AD1228" s="77" t="s">
        <v>10184</v>
      </c>
      <c r="AE1228" s="80" t="str">
        <f>HYPERLINK("https://twitter.com/insightinbound/status/1642541951529410562")</f>
        <v>https://twitter.com/insightinbound/status/1642541951529410562</v>
      </c>
      <c r="AF1228" s="79">
        <v>45018.623749999999</v>
      </c>
      <c r="AG1228" s="85">
        <v>45018</v>
      </c>
      <c r="AH1228" s="82" t="s">
        <v>11375</v>
      </c>
      <c r="AI1228" s="77" t="b">
        <v>0</v>
      </c>
      <c r="AJ1228" s="77" t="s">
        <v>14011</v>
      </c>
      <c r="AK1228" s="77" t="s">
        <v>14033</v>
      </c>
      <c r="AL1228" s="77" t="s">
        <v>14035</v>
      </c>
      <c r="AM1228" s="77" t="s">
        <v>14033</v>
      </c>
      <c r="AN1228" s="77" t="s">
        <v>14090</v>
      </c>
      <c r="AO1228" s="77" t="s">
        <v>14033</v>
      </c>
      <c r="AP1228" s="77" t="s">
        <v>14151</v>
      </c>
      <c r="AQ1228" s="77" t="s">
        <v>14610</v>
      </c>
      <c r="AR1228" s="77"/>
      <c r="AS1228" s="77"/>
      <c r="AT1228" s="77"/>
      <c r="AU1228" s="77"/>
      <c r="AV1228" s="80" t="str">
        <f>HYPERLINK("https://pbs.twimg.com/media/Fst7MucXgAAWfJI.jpg")</f>
        <v>https://pbs.twimg.com/media/Fst7MucXgAAWfJI.jpg</v>
      </c>
      <c r="AW1228" s="82" t="s">
        <v>18001</v>
      </c>
      <c r="AX1228" s="82" t="s">
        <v>18001</v>
      </c>
      <c r="AY1228" s="77"/>
      <c r="AZ1228" s="82" t="s">
        <v>20971</v>
      </c>
      <c r="BA1228" s="82" t="s">
        <v>20971</v>
      </c>
      <c r="BB1228" s="82" t="s">
        <v>20971</v>
      </c>
      <c r="BC1228" s="82" t="s">
        <v>18001</v>
      </c>
      <c r="BD1228" s="82" t="s">
        <v>21191</v>
      </c>
      <c r="BE1228" s="77"/>
      <c r="BF1228" s="77"/>
      <c r="BG1228" s="77"/>
      <c r="BH1228" s="77"/>
      <c r="BI1228" s="77"/>
    </row>
    <row r="1229" spans="1:61" x14ac:dyDescent="0.25">
      <c r="A1229" s="62" t="s">
        <v>468</v>
      </c>
      <c r="B1229" s="62" t="s">
        <v>468</v>
      </c>
      <c r="C1229" s="63"/>
      <c r="D1229" s="64"/>
      <c r="E1229" s="65"/>
      <c r="F1229" s="66"/>
      <c r="G1229" s="63"/>
      <c r="H1229" s="67"/>
      <c r="I1229" s="68"/>
      <c r="J1229" s="68"/>
      <c r="K1229" s="32"/>
      <c r="L1229" s="75">
        <v>1229</v>
      </c>
      <c r="M1229" s="75"/>
      <c r="N1229" s="70"/>
      <c r="O1229" s="77" t="s">
        <v>179</v>
      </c>
      <c r="P1229" s="79">
        <v>45024.792037037034</v>
      </c>
      <c r="Q1229" s="77" t="s">
        <v>2473</v>
      </c>
      <c r="R1229" s="77">
        <v>4</v>
      </c>
      <c r="S1229" s="77">
        <v>20</v>
      </c>
      <c r="T1229" s="77">
        <v>0</v>
      </c>
      <c r="U1229" s="77">
        <v>1</v>
      </c>
      <c r="V1229" s="77">
        <v>1301</v>
      </c>
      <c r="W1229" s="82" t="s">
        <v>5636</v>
      </c>
      <c r="X1229" s="77"/>
      <c r="Y1229" s="77"/>
      <c r="Z1229" s="77"/>
      <c r="AA1229" s="77" t="s">
        <v>7967</v>
      </c>
      <c r="AB1229" s="77" t="s">
        <v>10130</v>
      </c>
      <c r="AC1229" s="82" t="s">
        <v>10158</v>
      </c>
      <c r="AD1229" s="77" t="s">
        <v>10184</v>
      </c>
      <c r="AE1229" s="80" t="str">
        <f>HYPERLINK("https://twitter.com/kubeta_cursos/status/1644777262791655431")</f>
        <v>https://twitter.com/kubeta_cursos/status/1644777262791655431</v>
      </c>
      <c r="AF1229" s="79">
        <v>45024.792037037034</v>
      </c>
      <c r="AG1229" s="85">
        <v>45024</v>
      </c>
      <c r="AH1229" s="82" t="s">
        <v>11376</v>
      </c>
      <c r="AI1229" s="77" t="b">
        <v>0</v>
      </c>
      <c r="AJ1229" s="77"/>
      <c r="AK1229" s="77"/>
      <c r="AL1229" s="77"/>
      <c r="AM1229" s="77"/>
      <c r="AN1229" s="77"/>
      <c r="AO1229" s="77"/>
      <c r="AP1229" s="77"/>
      <c r="AQ1229" s="77" t="s">
        <v>14611</v>
      </c>
      <c r="AR1229" s="77"/>
      <c r="AS1229" s="77"/>
      <c r="AT1229" s="77"/>
      <c r="AU1229" s="77"/>
      <c r="AV1229" s="80" t="str">
        <f>HYPERLINK("https://pbs.twimg.com/media/FtNsM7ZXsAE0QxI.jpg")</f>
        <v>https://pbs.twimg.com/media/FtNsM7ZXsAE0QxI.jpg</v>
      </c>
      <c r="AW1229" s="82" t="s">
        <v>18002</v>
      </c>
      <c r="AX1229" s="82" t="s">
        <v>18002</v>
      </c>
      <c r="AY1229" s="77"/>
      <c r="AZ1229" s="82" t="s">
        <v>20971</v>
      </c>
      <c r="BA1229" s="82" t="s">
        <v>20971</v>
      </c>
      <c r="BB1229" s="82" t="s">
        <v>20971</v>
      </c>
      <c r="BC1229" s="82" t="s">
        <v>18002</v>
      </c>
      <c r="BD1229" s="82" t="s">
        <v>21192</v>
      </c>
      <c r="BE1229" s="77"/>
      <c r="BF1229" s="77"/>
      <c r="BG1229" s="77"/>
      <c r="BH1229" s="77"/>
      <c r="BI1229" s="77"/>
    </row>
    <row r="1230" spans="1:61" x14ac:dyDescent="0.25">
      <c r="A1230" s="62" t="s">
        <v>469</v>
      </c>
      <c r="B1230" s="62" t="s">
        <v>469</v>
      </c>
      <c r="C1230" s="63"/>
      <c r="D1230" s="64"/>
      <c r="E1230" s="65"/>
      <c r="F1230" s="66"/>
      <c r="G1230" s="63"/>
      <c r="H1230" s="67"/>
      <c r="I1230" s="68"/>
      <c r="J1230" s="68"/>
      <c r="K1230" s="32"/>
      <c r="L1230" s="75">
        <v>1230</v>
      </c>
      <c r="M1230" s="75"/>
      <c r="N1230" s="70"/>
      <c r="O1230" s="77" t="s">
        <v>179</v>
      </c>
      <c r="P1230" s="79">
        <v>44965.792129629626</v>
      </c>
      <c r="Q1230" s="77" t="s">
        <v>2474</v>
      </c>
      <c r="R1230" s="77">
        <v>0</v>
      </c>
      <c r="S1230" s="77">
        <v>0</v>
      </c>
      <c r="T1230" s="77">
        <v>0</v>
      </c>
      <c r="U1230" s="77">
        <v>0</v>
      </c>
      <c r="V1230" s="77">
        <v>24</v>
      </c>
      <c r="W1230" s="82" t="s">
        <v>5637</v>
      </c>
      <c r="X1230" s="77"/>
      <c r="Y1230" s="77"/>
      <c r="Z1230" s="77"/>
      <c r="AA1230" s="77" t="s">
        <v>7968</v>
      </c>
      <c r="AB1230" s="77" t="s">
        <v>10130</v>
      </c>
      <c r="AC1230" s="82" t="s">
        <v>10147</v>
      </c>
      <c r="AD1230" s="77" t="s">
        <v>10184</v>
      </c>
      <c r="AE1230" s="80" t="str">
        <f>HYPERLINK("https://twitter.com/realsegviagem/status/1623396413391380486")</f>
        <v>https://twitter.com/realsegviagem/status/1623396413391380486</v>
      </c>
      <c r="AF1230" s="79">
        <v>44965.792129629626</v>
      </c>
      <c r="AG1230" s="85">
        <v>44965</v>
      </c>
      <c r="AH1230" s="82" t="s">
        <v>11377</v>
      </c>
      <c r="AI1230" s="77" t="b">
        <v>0</v>
      </c>
      <c r="AJ1230" s="77"/>
      <c r="AK1230" s="77"/>
      <c r="AL1230" s="77"/>
      <c r="AM1230" s="77"/>
      <c r="AN1230" s="77"/>
      <c r="AO1230" s="77"/>
      <c r="AP1230" s="77"/>
      <c r="AQ1230" s="77" t="s">
        <v>14612</v>
      </c>
      <c r="AR1230" s="77"/>
      <c r="AS1230" s="77"/>
      <c r="AT1230" s="77"/>
      <c r="AU1230" s="77"/>
      <c r="AV1230" s="80" t="str">
        <f>HYPERLINK("https://pbs.twimg.com/media/Fod2b1HWAAAUmi1.jpg")</f>
        <v>https://pbs.twimg.com/media/Fod2b1HWAAAUmi1.jpg</v>
      </c>
      <c r="AW1230" s="82" t="s">
        <v>18003</v>
      </c>
      <c r="AX1230" s="82" t="s">
        <v>18003</v>
      </c>
      <c r="AY1230" s="77"/>
      <c r="AZ1230" s="82" t="s">
        <v>20971</v>
      </c>
      <c r="BA1230" s="82" t="s">
        <v>20971</v>
      </c>
      <c r="BB1230" s="82" t="s">
        <v>20971</v>
      </c>
      <c r="BC1230" s="82" t="s">
        <v>18003</v>
      </c>
      <c r="BD1230" s="77">
        <v>17960494</v>
      </c>
      <c r="BE1230" s="77"/>
      <c r="BF1230" s="77"/>
      <c r="BG1230" s="77"/>
      <c r="BH1230" s="77"/>
      <c r="BI1230" s="77"/>
    </row>
    <row r="1231" spans="1:61" x14ac:dyDescent="0.25">
      <c r="A1231" s="62" t="s">
        <v>469</v>
      </c>
      <c r="B1231" s="62" t="s">
        <v>469</v>
      </c>
      <c r="C1231" s="63"/>
      <c r="D1231" s="64"/>
      <c r="E1231" s="65"/>
      <c r="F1231" s="66"/>
      <c r="G1231" s="63"/>
      <c r="H1231" s="67"/>
      <c r="I1231" s="68"/>
      <c r="J1231" s="68"/>
      <c r="K1231" s="32"/>
      <c r="L1231" s="75">
        <v>1231</v>
      </c>
      <c r="M1231" s="75"/>
      <c r="N1231" s="70"/>
      <c r="O1231" s="77" t="s">
        <v>179</v>
      </c>
      <c r="P1231" s="79">
        <v>44960.79277777778</v>
      </c>
      <c r="Q1231" s="77" t="s">
        <v>2475</v>
      </c>
      <c r="R1231" s="77">
        <v>0</v>
      </c>
      <c r="S1231" s="77">
        <v>0</v>
      </c>
      <c r="T1231" s="77">
        <v>0</v>
      </c>
      <c r="U1231" s="77">
        <v>0</v>
      </c>
      <c r="V1231" s="77">
        <v>59</v>
      </c>
      <c r="W1231" s="82" t="s">
        <v>5638</v>
      </c>
      <c r="X1231" s="77"/>
      <c r="Y1231" s="77"/>
      <c r="Z1231" s="77"/>
      <c r="AA1231" s="77" t="s">
        <v>7969</v>
      </c>
      <c r="AB1231" s="77" t="s">
        <v>10129</v>
      </c>
      <c r="AC1231" s="82" t="s">
        <v>10147</v>
      </c>
      <c r="AD1231" s="77" t="s">
        <v>10184</v>
      </c>
      <c r="AE1231" s="80" t="str">
        <f>HYPERLINK("https://twitter.com/realsegviagem/status/1621584706033573891")</f>
        <v>https://twitter.com/realsegviagem/status/1621584706033573891</v>
      </c>
      <c r="AF1231" s="79">
        <v>44960.79277777778</v>
      </c>
      <c r="AG1231" s="85">
        <v>44960</v>
      </c>
      <c r="AH1231" s="82" t="s">
        <v>11378</v>
      </c>
      <c r="AI1231" s="77" t="b">
        <v>0</v>
      </c>
      <c r="AJ1231" s="77"/>
      <c r="AK1231" s="77"/>
      <c r="AL1231" s="77"/>
      <c r="AM1231" s="77"/>
      <c r="AN1231" s="77"/>
      <c r="AO1231" s="77"/>
      <c r="AP1231" s="77"/>
      <c r="AQ1231" s="77" t="s">
        <v>14613</v>
      </c>
      <c r="AR1231" s="77">
        <v>29100</v>
      </c>
      <c r="AS1231" s="77"/>
      <c r="AT1231" s="77"/>
      <c r="AU1231" s="77"/>
      <c r="AV1231" s="80" t="str">
        <f>HYPERLINK("https://pbs.twimg.com/ext_tw_video_thumb/1621584430350344200/pu/img/CSpq_eSgwmgNLNM2.jpg")</f>
        <v>https://pbs.twimg.com/ext_tw_video_thumb/1621584430350344200/pu/img/CSpq_eSgwmgNLNM2.jpg</v>
      </c>
      <c r="AW1231" s="82" t="s">
        <v>18004</v>
      </c>
      <c r="AX1231" s="82" t="s">
        <v>18004</v>
      </c>
      <c r="AY1231" s="77"/>
      <c r="AZ1231" s="82" t="s">
        <v>20971</v>
      </c>
      <c r="BA1231" s="82" t="s">
        <v>20971</v>
      </c>
      <c r="BB1231" s="82" t="s">
        <v>20971</v>
      </c>
      <c r="BC1231" s="82" t="s">
        <v>18004</v>
      </c>
      <c r="BD1231" s="77">
        <v>17960494</v>
      </c>
      <c r="BE1231" s="77"/>
      <c r="BF1231" s="77"/>
      <c r="BG1231" s="77"/>
      <c r="BH1231" s="77"/>
      <c r="BI1231" s="77"/>
    </row>
    <row r="1232" spans="1:61" x14ac:dyDescent="0.25">
      <c r="A1232" s="62" t="s">
        <v>470</v>
      </c>
      <c r="B1232" s="62" t="s">
        <v>470</v>
      </c>
      <c r="C1232" s="63"/>
      <c r="D1232" s="64"/>
      <c r="E1232" s="65"/>
      <c r="F1232" s="66"/>
      <c r="G1232" s="63"/>
      <c r="H1232" s="67"/>
      <c r="I1232" s="68"/>
      <c r="J1232" s="68"/>
      <c r="K1232" s="32"/>
      <c r="L1232" s="75">
        <v>1232</v>
      </c>
      <c r="M1232" s="75"/>
      <c r="N1232" s="70"/>
      <c r="O1232" s="77" t="s">
        <v>179</v>
      </c>
      <c r="P1232" s="79">
        <v>45157.169629629629</v>
      </c>
      <c r="Q1232" s="77" t="s">
        <v>2476</v>
      </c>
      <c r="R1232" s="77">
        <v>0</v>
      </c>
      <c r="S1232" s="77">
        <v>1</v>
      </c>
      <c r="T1232" s="77">
        <v>0</v>
      </c>
      <c r="U1232" s="77">
        <v>0</v>
      </c>
      <c r="V1232" s="77">
        <v>17</v>
      </c>
      <c r="W1232" s="82" t="s">
        <v>5639</v>
      </c>
      <c r="X1232" s="80" t="str">
        <f>HYPERLINK("https://play.google.com/store/apps/details?id=br.com.vendah.app&amp;referrer=ref%3D6790579912960_summerside")</f>
        <v>https://play.google.com/store/apps/details?id=br.com.vendah.app&amp;referrer=ref%3D6790579912960_summerside</v>
      </c>
      <c r="Y1232" s="77" t="s">
        <v>7305</v>
      </c>
      <c r="Z1232" s="77"/>
      <c r="AA1232" s="77" t="s">
        <v>7970</v>
      </c>
      <c r="AB1232" s="77" t="s">
        <v>10130</v>
      </c>
      <c r="AC1232" s="82" t="s">
        <v>10144</v>
      </c>
      <c r="AD1232" s="77" t="s">
        <v>10184</v>
      </c>
      <c r="AE1232" s="80" t="str">
        <f>HYPERLINK("https://twitter.com/lojafelixcat/status/1692749293822624125")</f>
        <v>https://twitter.com/lojafelixcat/status/1692749293822624125</v>
      </c>
      <c r="AF1232" s="79">
        <v>45157.169629629629</v>
      </c>
      <c r="AG1232" s="85">
        <v>45157</v>
      </c>
      <c r="AH1232" s="82" t="s">
        <v>11379</v>
      </c>
      <c r="AI1232" s="77" t="b">
        <v>0</v>
      </c>
      <c r="AJ1232" s="77" t="s">
        <v>13998</v>
      </c>
      <c r="AK1232" s="77" t="s">
        <v>14033</v>
      </c>
      <c r="AL1232" s="77" t="s">
        <v>14035</v>
      </c>
      <c r="AM1232" s="77" t="s">
        <v>14040</v>
      </c>
      <c r="AN1232" s="77" t="s">
        <v>14077</v>
      </c>
      <c r="AO1232" s="77" t="s">
        <v>14115</v>
      </c>
      <c r="AP1232" s="77" t="s">
        <v>14149</v>
      </c>
      <c r="AQ1232" s="77" t="s">
        <v>14614</v>
      </c>
      <c r="AR1232" s="77"/>
      <c r="AS1232" s="77"/>
      <c r="AT1232" s="77"/>
      <c r="AU1232" s="77"/>
      <c r="AV1232" s="80" t="str">
        <f>HYPERLINK("https://pbs.twimg.com/media/F33agx5WcAAqNP7.jpg")</f>
        <v>https://pbs.twimg.com/media/F33agx5WcAAqNP7.jpg</v>
      </c>
      <c r="AW1232" s="82" t="s">
        <v>18005</v>
      </c>
      <c r="AX1232" s="82" t="s">
        <v>18005</v>
      </c>
      <c r="AY1232" s="77"/>
      <c r="AZ1232" s="82" t="s">
        <v>20971</v>
      </c>
      <c r="BA1232" s="82" t="s">
        <v>20971</v>
      </c>
      <c r="BB1232" s="82" t="s">
        <v>20971</v>
      </c>
      <c r="BC1232" s="82" t="s">
        <v>18005</v>
      </c>
      <c r="BD1232" s="82" t="s">
        <v>21193</v>
      </c>
      <c r="BE1232" s="77"/>
      <c r="BF1232" s="77"/>
      <c r="BG1232" s="77"/>
      <c r="BH1232" s="77"/>
      <c r="BI1232" s="77"/>
    </row>
    <row r="1233" spans="1:61" x14ac:dyDescent="0.25">
      <c r="A1233" s="62" t="s">
        <v>470</v>
      </c>
      <c r="B1233" s="62" t="s">
        <v>470</v>
      </c>
      <c r="C1233" s="63"/>
      <c r="D1233" s="64"/>
      <c r="E1233" s="65"/>
      <c r="F1233" s="66"/>
      <c r="G1233" s="63"/>
      <c r="H1233" s="67"/>
      <c r="I1233" s="68"/>
      <c r="J1233" s="68"/>
      <c r="K1233" s="32"/>
      <c r="L1233" s="75">
        <v>1233</v>
      </c>
      <c r="M1233" s="75"/>
      <c r="N1233" s="70"/>
      <c r="O1233" s="77" t="s">
        <v>179</v>
      </c>
      <c r="P1233" s="79">
        <v>45157.16878472222</v>
      </c>
      <c r="Q1233" s="77" t="s">
        <v>2477</v>
      </c>
      <c r="R1233" s="77">
        <v>0</v>
      </c>
      <c r="S1233" s="77">
        <v>1</v>
      </c>
      <c r="T1233" s="77">
        <v>0</v>
      </c>
      <c r="U1233" s="77">
        <v>0</v>
      </c>
      <c r="V1233" s="77">
        <v>17</v>
      </c>
      <c r="W1233" s="82" t="s">
        <v>5639</v>
      </c>
      <c r="X1233" s="80" t="str">
        <f>HYPERLINK("https://play.google.com/store/apps/details?id=br.com.vendah.app&amp;referrer=ref%3D6790579912960_summerside")</f>
        <v>https://play.google.com/store/apps/details?id=br.com.vendah.app&amp;referrer=ref%3D6790579912960_summerside</v>
      </c>
      <c r="Y1233" s="77" t="s">
        <v>7305</v>
      </c>
      <c r="Z1233" s="77"/>
      <c r="AA1233" s="77"/>
      <c r="AB1233" s="77"/>
      <c r="AC1233" s="82" t="s">
        <v>10144</v>
      </c>
      <c r="AD1233" s="77" t="s">
        <v>10184</v>
      </c>
      <c r="AE1233" s="80" t="str">
        <f>HYPERLINK("https://twitter.com/lojafelixcat/status/1692748989018321129")</f>
        <v>https://twitter.com/lojafelixcat/status/1692748989018321129</v>
      </c>
      <c r="AF1233" s="79">
        <v>45157.16878472222</v>
      </c>
      <c r="AG1233" s="85">
        <v>45157</v>
      </c>
      <c r="AH1233" s="82" t="s">
        <v>11380</v>
      </c>
      <c r="AI1233" s="77" t="b">
        <v>0</v>
      </c>
      <c r="AJ1233" s="77" t="s">
        <v>13998</v>
      </c>
      <c r="AK1233" s="77" t="s">
        <v>14033</v>
      </c>
      <c r="AL1233" s="77" t="s">
        <v>14035</v>
      </c>
      <c r="AM1233" s="77" t="s">
        <v>14040</v>
      </c>
      <c r="AN1233" s="77" t="s">
        <v>14077</v>
      </c>
      <c r="AO1233" s="77" t="s">
        <v>14115</v>
      </c>
      <c r="AP1233" s="77" t="s">
        <v>14149</v>
      </c>
      <c r="AQ1233" s="77"/>
      <c r="AR1233" s="77"/>
      <c r="AS1233" s="77"/>
      <c r="AT1233" s="77"/>
      <c r="AU1233" s="77"/>
      <c r="AV1233" s="80" t="str">
        <f>HYPERLINK("https://pbs.twimg.com/profile_images/1613801489054441472/mQpjwPOi_normal.jpg")</f>
        <v>https://pbs.twimg.com/profile_images/1613801489054441472/mQpjwPOi_normal.jpg</v>
      </c>
      <c r="AW1233" s="82" t="s">
        <v>18006</v>
      </c>
      <c r="AX1233" s="82" t="s">
        <v>18006</v>
      </c>
      <c r="AY1233" s="77"/>
      <c r="AZ1233" s="82" t="s">
        <v>20971</v>
      </c>
      <c r="BA1233" s="82" t="s">
        <v>20971</v>
      </c>
      <c r="BB1233" s="82" t="s">
        <v>20971</v>
      </c>
      <c r="BC1233" s="82" t="s">
        <v>18006</v>
      </c>
      <c r="BD1233" s="82" t="s">
        <v>21193</v>
      </c>
      <c r="BE1233" s="77"/>
      <c r="BF1233" s="77"/>
      <c r="BG1233" s="77"/>
      <c r="BH1233" s="77"/>
      <c r="BI1233" s="77"/>
    </row>
    <row r="1234" spans="1:61" x14ac:dyDescent="0.25">
      <c r="A1234" s="62" t="s">
        <v>471</v>
      </c>
      <c r="B1234" s="62" t="s">
        <v>471</v>
      </c>
      <c r="C1234" s="63"/>
      <c r="D1234" s="64"/>
      <c r="E1234" s="65"/>
      <c r="F1234" s="66"/>
      <c r="G1234" s="63"/>
      <c r="H1234" s="67"/>
      <c r="I1234" s="68"/>
      <c r="J1234" s="68"/>
      <c r="K1234" s="32"/>
      <c r="L1234" s="75">
        <v>1234</v>
      </c>
      <c r="M1234" s="75"/>
      <c r="N1234" s="70"/>
      <c r="O1234" s="77" t="s">
        <v>179</v>
      </c>
      <c r="P1234" s="79">
        <v>45000.69935185185</v>
      </c>
      <c r="Q1234" s="77" t="s">
        <v>2478</v>
      </c>
      <c r="R1234" s="77">
        <v>0</v>
      </c>
      <c r="S1234" s="77">
        <v>0</v>
      </c>
      <c r="T1234" s="77">
        <v>0</v>
      </c>
      <c r="U1234" s="77">
        <v>0</v>
      </c>
      <c r="V1234" s="77">
        <v>46</v>
      </c>
      <c r="W1234" s="82" t="s">
        <v>5640</v>
      </c>
      <c r="X1234" s="80" t="str">
        <f>HYPERLINK("https://go.hotmart.com/M75062888D")</f>
        <v>https://go.hotmart.com/M75062888D</v>
      </c>
      <c r="Y1234" s="77" t="s">
        <v>7251</v>
      </c>
      <c r="Z1234" s="77"/>
      <c r="AA1234" s="77" t="s">
        <v>7971</v>
      </c>
      <c r="AB1234" s="77" t="s">
        <v>10130</v>
      </c>
      <c r="AC1234" s="82" t="s">
        <v>10144</v>
      </c>
      <c r="AD1234" s="77" t="s">
        <v>10184</v>
      </c>
      <c r="AE1234" s="80" t="str">
        <f>HYPERLINK("https://twitter.com/renatoney04/status/1636046366739689474")</f>
        <v>https://twitter.com/renatoney04/status/1636046366739689474</v>
      </c>
      <c r="AF1234" s="79">
        <v>45000.69935185185</v>
      </c>
      <c r="AG1234" s="85">
        <v>45000</v>
      </c>
      <c r="AH1234" s="82" t="s">
        <v>11381</v>
      </c>
      <c r="AI1234" s="77" t="b">
        <v>0</v>
      </c>
      <c r="AJ1234" s="77"/>
      <c r="AK1234" s="77"/>
      <c r="AL1234" s="77"/>
      <c r="AM1234" s="77"/>
      <c r="AN1234" s="77"/>
      <c r="AO1234" s="77"/>
      <c r="AP1234" s="77"/>
      <c r="AQ1234" s="77" t="s">
        <v>14615</v>
      </c>
      <c r="AR1234" s="77"/>
      <c r="AS1234" s="77"/>
      <c r="AT1234" s="77"/>
      <c r="AU1234" s="77"/>
      <c r="AV1234" s="80" t="str">
        <f>HYPERLINK("https://pbs.twimg.com/media/FrRnf7YXwBMOh30.jpg")</f>
        <v>https://pbs.twimg.com/media/FrRnf7YXwBMOh30.jpg</v>
      </c>
      <c r="AW1234" s="82" t="s">
        <v>18007</v>
      </c>
      <c r="AX1234" s="82" t="s">
        <v>18007</v>
      </c>
      <c r="AY1234" s="77"/>
      <c r="AZ1234" s="82" t="s">
        <v>20971</v>
      </c>
      <c r="BA1234" s="82" t="s">
        <v>20971</v>
      </c>
      <c r="BB1234" s="82" t="s">
        <v>20971</v>
      </c>
      <c r="BC1234" s="82" t="s">
        <v>18007</v>
      </c>
      <c r="BD1234" s="82" t="s">
        <v>21194</v>
      </c>
      <c r="BE1234" s="77"/>
      <c r="BF1234" s="77"/>
      <c r="BG1234" s="77"/>
      <c r="BH1234" s="77"/>
      <c r="BI1234" s="77"/>
    </row>
    <row r="1235" spans="1:61" x14ac:dyDescent="0.25">
      <c r="A1235" s="62" t="s">
        <v>471</v>
      </c>
      <c r="B1235" s="62" t="s">
        <v>471</v>
      </c>
      <c r="C1235" s="63"/>
      <c r="D1235" s="64"/>
      <c r="E1235" s="65"/>
      <c r="F1235" s="66"/>
      <c r="G1235" s="63"/>
      <c r="H1235" s="67"/>
      <c r="I1235" s="68"/>
      <c r="J1235" s="68"/>
      <c r="K1235" s="32"/>
      <c r="L1235" s="75">
        <v>1235</v>
      </c>
      <c r="M1235" s="75"/>
      <c r="N1235" s="70"/>
      <c r="O1235" s="77" t="s">
        <v>179</v>
      </c>
      <c r="P1235" s="79">
        <v>45005.098090277781</v>
      </c>
      <c r="Q1235" s="77" t="s">
        <v>2479</v>
      </c>
      <c r="R1235" s="77">
        <v>0</v>
      </c>
      <c r="S1235" s="77">
        <v>1</v>
      </c>
      <c r="T1235" s="77">
        <v>0</v>
      </c>
      <c r="U1235" s="77">
        <v>0</v>
      </c>
      <c r="V1235" s="77">
        <v>79</v>
      </c>
      <c r="W1235" s="82" t="s">
        <v>5641</v>
      </c>
      <c r="X1235" s="80" t="str">
        <f>HYPERLINK("https://go.hotmart.com/E80951492F")</f>
        <v>https://go.hotmart.com/E80951492F</v>
      </c>
      <c r="Y1235" s="77" t="s">
        <v>7251</v>
      </c>
      <c r="Z1235" s="77"/>
      <c r="AA1235" s="77" t="s">
        <v>7972</v>
      </c>
      <c r="AB1235" s="77" t="s">
        <v>10130</v>
      </c>
      <c r="AC1235" s="82" t="s">
        <v>10144</v>
      </c>
      <c r="AD1235" s="77" t="s">
        <v>10184</v>
      </c>
      <c r="AE1235" s="80" t="str">
        <f>HYPERLINK("https://twitter.com/renatoney04/status/1637640416580231169")</f>
        <v>https://twitter.com/renatoney04/status/1637640416580231169</v>
      </c>
      <c r="AF1235" s="79">
        <v>45005.098090277781</v>
      </c>
      <c r="AG1235" s="85">
        <v>45005</v>
      </c>
      <c r="AH1235" s="82" t="s">
        <v>11382</v>
      </c>
      <c r="AI1235" s="77" t="b">
        <v>0</v>
      </c>
      <c r="AJ1235" s="77"/>
      <c r="AK1235" s="77"/>
      <c r="AL1235" s="77"/>
      <c r="AM1235" s="77"/>
      <c r="AN1235" s="77"/>
      <c r="AO1235" s="77"/>
      <c r="AP1235" s="77"/>
      <c r="AQ1235" s="77" t="s">
        <v>14616</v>
      </c>
      <c r="AR1235" s="77"/>
      <c r="AS1235" s="77"/>
      <c r="AT1235" s="77"/>
      <c r="AU1235" s="77"/>
      <c r="AV1235" s="80" t="str">
        <f>HYPERLINK("https://pbs.twimg.com/media/FroRRukXsAMxXz5.jpg")</f>
        <v>https://pbs.twimg.com/media/FroRRukXsAMxXz5.jpg</v>
      </c>
      <c r="AW1235" s="82" t="s">
        <v>18008</v>
      </c>
      <c r="AX1235" s="82" t="s">
        <v>18008</v>
      </c>
      <c r="AY1235" s="77"/>
      <c r="AZ1235" s="82" t="s">
        <v>20971</v>
      </c>
      <c r="BA1235" s="82" t="s">
        <v>20971</v>
      </c>
      <c r="BB1235" s="82" t="s">
        <v>20971</v>
      </c>
      <c r="BC1235" s="82" t="s">
        <v>18008</v>
      </c>
      <c r="BD1235" s="82" t="s">
        <v>21194</v>
      </c>
      <c r="BE1235" s="77"/>
      <c r="BF1235" s="77"/>
      <c r="BG1235" s="77"/>
      <c r="BH1235" s="77"/>
      <c r="BI1235" s="77"/>
    </row>
    <row r="1236" spans="1:61" x14ac:dyDescent="0.25">
      <c r="A1236" s="62" t="s">
        <v>472</v>
      </c>
      <c r="B1236" s="62" t="s">
        <v>472</v>
      </c>
      <c r="C1236" s="63"/>
      <c r="D1236" s="64"/>
      <c r="E1236" s="65"/>
      <c r="F1236" s="66"/>
      <c r="G1236" s="63"/>
      <c r="H1236" s="67"/>
      <c r="I1236" s="68"/>
      <c r="J1236" s="68"/>
      <c r="K1236" s="32"/>
      <c r="L1236" s="75">
        <v>1236</v>
      </c>
      <c r="M1236" s="75"/>
      <c r="N1236" s="70"/>
      <c r="O1236" s="77" t="s">
        <v>179</v>
      </c>
      <c r="P1236" s="79">
        <v>44994.819953703707</v>
      </c>
      <c r="Q1236" s="77" t="s">
        <v>2480</v>
      </c>
      <c r="R1236" s="77">
        <v>0</v>
      </c>
      <c r="S1236" s="77">
        <v>0</v>
      </c>
      <c r="T1236" s="77">
        <v>0</v>
      </c>
      <c r="U1236" s="77">
        <v>0</v>
      </c>
      <c r="V1236" s="77">
        <v>17</v>
      </c>
      <c r="W1236" s="82" t="s">
        <v>5642</v>
      </c>
      <c r="X1236" s="80" t="str">
        <f>HYPERLINK("https://hotm.art/pixelpro")</f>
        <v>https://hotm.art/pixelpro</v>
      </c>
      <c r="Y1236" s="77" t="s">
        <v>7260</v>
      </c>
      <c r="Z1236" s="77"/>
      <c r="AA1236" s="77" t="s">
        <v>7973</v>
      </c>
      <c r="AB1236" s="77" t="s">
        <v>10131</v>
      </c>
      <c r="AC1236" s="82" t="s">
        <v>10146</v>
      </c>
      <c r="AD1236" s="77" t="s">
        <v>10184</v>
      </c>
      <c r="AE1236" s="80" t="str">
        <f>HYPERLINK("https://twitter.com/hjaloto/status/1633915742088306688")</f>
        <v>https://twitter.com/hjaloto/status/1633915742088306688</v>
      </c>
      <c r="AF1236" s="79">
        <v>44994.819953703707</v>
      </c>
      <c r="AG1236" s="85">
        <v>44994</v>
      </c>
      <c r="AH1236" s="82" t="s">
        <v>11383</v>
      </c>
      <c r="AI1236" s="77" t="b">
        <v>0</v>
      </c>
      <c r="AJ1236" s="77"/>
      <c r="AK1236" s="77"/>
      <c r="AL1236" s="77"/>
      <c r="AM1236" s="77"/>
      <c r="AN1236" s="77"/>
      <c r="AO1236" s="77"/>
      <c r="AP1236" s="77"/>
      <c r="AQ1236" s="77" t="s">
        <v>14617</v>
      </c>
      <c r="AR1236" s="77"/>
      <c r="AS1236" s="77"/>
      <c r="AT1236" s="77"/>
      <c r="AU1236" s="77"/>
      <c r="AV1236" s="80" t="str">
        <f>HYPERLINK("https://pbs.twimg.com/media/FqzVsGFXsAA_WA6.jpg")</f>
        <v>https://pbs.twimg.com/media/FqzVsGFXsAA_WA6.jpg</v>
      </c>
      <c r="AW1236" s="82" t="s">
        <v>18009</v>
      </c>
      <c r="AX1236" s="82" t="s">
        <v>18009</v>
      </c>
      <c r="AY1236" s="77"/>
      <c r="AZ1236" s="82" t="s">
        <v>20971</v>
      </c>
      <c r="BA1236" s="82" t="s">
        <v>20971</v>
      </c>
      <c r="BB1236" s="82" t="s">
        <v>20971</v>
      </c>
      <c r="BC1236" s="82" t="s">
        <v>18009</v>
      </c>
      <c r="BD1236" s="82" t="s">
        <v>21195</v>
      </c>
      <c r="BE1236" s="77"/>
      <c r="BF1236" s="77"/>
      <c r="BG1236" s="77"/>
      <c r="BH1236" s="77"/>
      <c r="BI1236" s="77"/>
    </row>
    <row r="1237" spans="1:61" x14ac:dyDescent="0.25">
      <c r="A1237" s="62" t="s">
        <v>473</v>
      </c>
      <c r="B1237" s="62" t="s">
        <v>473</v>
      </c>
      <c r="C1237" s="63"/>
      <c r="D1237" s="64"/>
      <c r="E1237" s="65"/>
      <c r="F1237" s="66"/>
      <c r="G1237" s="63"/>
      <c r="H1237" s="67"/>
      <c r="I1237" s="68"/>
      <c r="J1237" s="68"/>
      <c r="K1237" s="32"/>
      <c r="L1237" s="75">
        <v>1237</v>
      </c>
      <c r="M1237" s="75"/>
      <c r="N1237" s="70"/>
      <c r="O1237" s="77" t="s">
        <v>179</v>
      </c>
      <c r="P1237" s="79">
        <v>44980.545949074076</v>
      </c>
      <c r="Q1237" s="77" t="s">
        <v>2481</v>
      </c>
      <c r="R1237" s="77">
        <v>0</v>
      </c>
      <c r="S1237" s="77">
        <v>1</v>
      </c>
      <c r="T1237" s="77">
        <v>1</v>
      </c>
      <c r="U1237" s="77">
        <v>0</v>
      </c>
      <c r="V1237" s="77">
        <v>54</v>
      </c>
      <c r="W1237" s="82" t="s">
        <v>5643</v>
      </c>
      <c r="X1237" s="77"/>
      <c r="Y1237" s="77"/>
      <c r="Z1237" s="77"/>
      <c r="AA1237" s="77"/>
      <c r="AB1237" s="77"/>
      <c r="AC1237" s="82" t="s">
        <v>10145</v>
      </c>
      <c r="AD1237" s="77" t="s">
        <v>10184</v>
      </c>
      <c r="AE1237" s="80" t="str">
        <f>HYPERLINK("https://twitter.com/pontes_adao/status/1628743016671285248")</f>
        <v>https://twitter.com/pontes_adao/status/1628743016671285248</v>
      </c>
      <c r="AF1237" s="79">
        <v>44980.545949074076</v>
      </c>
      <c r="AG1237" s="85">
        <v>44980</v>
      </c>
      <c r="AH1237" s="82" t="s">
        <v>11384</v>
      </c>
      <c r="AI1237" s="77"/>
      <c r="AJ1237" s="77"/>
      <c r="AK1237" s="77"/>
      <c r="AL1237" s="77"/>
      <c r="AM1237" s="77"/>
      <c r="AN1237" s="77"/>
      <c r="AO1237" s="77"/>
      <c r="AP1237" s="77"/>
      <c r="AQ1237" s="77"/>
      <c r="AR1237" s="77"/>
      <c r="AS1237" s="77"/>
      <c r="AT1237" s="77"/>
      <c r="AU1237" s="77"/>
      <c r="AV1237" s="80" t="str">
        <f>HYPERLINK("https://pbs.twimg.com/profile_images/1621375813487575041/1ThoIZxH_normal.jpg")</f>
        <v>https://pbs.twimg.com/profile_images/1621375813487575041/1ThoIZxH_normal.jpg</v>
      </c>
      <c r="AW1237" s="82" t="s">
        <v>18010</v>
      </c>
      <c r="AX1237" s="82" t="s">
        <v>18010</v>
      </c>
      <c r="AY1237" s="77"/>
      <c r="AZ1237" s="82" t="s">
        <v>20971</v>
      </c>
      <c r="BA1237" s="82" t="s">
        <v>20971</v>
      </c>
      <c r="BB1237" s="82" t="s">
        <v>20971</v>
      </c>
      <c r="BC1237" s="82" t="s">
        <v>18010</v>
      </c>
      <c r="BD1237" s="82" t="s">
        <v>21196</v>
      </c>
      <c r="BE1237" s="77"/>
      <c r="BF1237" s="77"/>
      <c r="BG1237" s="77"/>
      <c r="BH1237" s="77"/>
      <c r="BI1237" s="77"/>
    </row>
    <row r="1238" spans="1:61" x14ac:dyDescent="0.25">
      <c r="A1238" s="62" t="s">
        <v>474</v>
      </c>
      <c r="B1238" s="62" t="s">
        <v>474</v>
      </c>
      <c r="C1238" s="63"/>
      <c r="D1238" s="64"/>
      <c r="E1238" s="65"/>
      <c r="F1238" s="66"/>
      <c r="G1238" s="63"/>
      <c r="H1238" s="67"/>
      <c r="I1238" s="68"/>
      <c r="J1238" s="68"/>
      <c r="K1238" s="32"/>
      <c r="L1238" s="75">
        <v>1238</v>
      </c>
      <c r="M1238" s="75"/>
      <c r="N1238" s="70"/>
      <c r="O1238" s="77" t="s">
        <v>179</v>
      </c>
      <c r="P1238" s="79">
        <v>45110.925474537034</v>
      </c>
      <c r="Q1238" s="77" t="s">
        <v>2482</v>
      </c>
      <c r="R1238" s="77">
        <v>0</v>
      </c>
      <c r="S1238" s="77">
        <v>0</v>
      </c>
      <c r="T1238" s="77">
        <v>0</v>
      </c>
      <c r="U1238" s="77">
        <v>0</v>
      </c>
      <c r="V1238" s="77">
        <v>93</v>
      </c>
      <c r="W1238" s="82" t="s">
        <v>5644</v>
      </c>
      <c r="X1238" s="77"/>
      <c r="Y1238" s="77"/>
      <c r="Z1238" s="77"/>
      <c r="AA1238" s="77" t="s">
        <v>7974</v>
      </c>
      <c r="AB1238" s="77" t="s">
        <v>10129</v>
      </c>
      <c r="AC1238" s="82" t="s">
        <v>10145</v>
      </c>
      <c r="AD1238" s="77" t="s">
        <v>10184</v>
      </c>
      <c r="AE1238" s="80" t="str">
        <f>HYPERLINK("https://twitter.com/lopeseconomista/status/1675990976706367489")</f>
        <v>https://twitter.com/lopeseconomista/status/1675990976706367489</v>
      </c>
      <c r="AF1238" s="79">
        <v>45110.925474537034</v>
      </c>
      <c r="AG1238" s="85">
        <v>45110</v>
      </c>
      <c r="AH1238" s="82" t="s">
        <v>11385</v>
      </c>
      <c r="AI1238" s="77" t="b">
        <v>0</v>
      </c>
      <c r="AJ1238" s="77" t="s">
        <v>14012</v>
      </c>
      <c r="AK1238" s="77" t="s">
        <v>14033</v>
      </c>
      <c r="AL1238" s="77" t="s">
        <v>14035</v>
      </c>
      <c r="AM1238" s="77" t="s">
        <v>14053</v>
      </c>
      <c r="AN1238" s="77" t="s">
        <v>14091</v>
      </c>
      <c r="AO1238" s="77" t="s">
        <v>14128</v>
      </c>
      <c r="AP1238" s="77" t="s">
        <v>14149</v>
      </c>
      <c r="AQ1238" s="77" t="s">
        <v>14618</v>
      </c>
      <c r="AR1238" s="77">
        <v>5000</v>
      </c>
      <c r="AS1238" s="77"/>
      <c r="AT1238" s="77"/>
      <c r="AU1238" s="77"/>
      <c r="AV1238" s="80" t="str">
        <f>HYPERLINK("https://pbs.twimg.com/ext_tw_video_thumb/1675990960566685697/pu/img/DRnCul3Ub9Lqyyu5.jpg")</f>
        <v>https://pbs.twimg.com/ext_tw_video_thumb/1675990960566685697/pu/img/DRnCul3Ub9Lqyyu5.jpg</v>
      </c>
      <c r="AW1238" s="82" t="s">
        <v>18011</v>
      </c>
      <c r="AX1238" s="82" t="s">
        <v>18011</v>
      </c>
      <c r="AY1238" s="77"/>
      <c r="AZ1238" s="82" t="s">
        <v>20971</v>
      </c>
      <c r="BA1238" s="82" t="s">
        <v>20971</v>
      </c>
      <c r="BB1238" s="82" t="s">
        <v>20971</v>
      </c>
      <c r="BC1238" s="82" t="s">
        <v>18011</v>
      </c>
      <c r="BD1238" s="82" t="s">
        <v>21197</v>
      </c>
      <c r="BE1238" s="77"/>
      <c r="BF1238" s="77"/>
      <c r="BG1238" s="77"/>
      <c r="BH1238" s="77"/>
      <c r="BI1238" s="77"/>
    </row>
    <row r="1239" spans="1:61" x14ac:dyDescent="0.25">
      <c r="A1239" s="62" t="s">
        <v>475</v>
      </c>
      <c r="B1239" s="62" t="s">
        <v>475</v>
      </c>
      <c r="C1239" s="63"/>
      <c r="D1239" s="64"/>
      <c r="E1239" s="65"/>
      <c r="F1239" s="66"/>
      <c r="G1239" s="63"/>
      <c r="H1239" s="67"/>
      <c r="I1239" s="68"/>
      <c r="J1239" s="68"/>
      <c r="K1239" s="32"/>
      <c r="L1239" s="75">
        <v>1239</v>
      </c>
      <c r="M1239" s="75"/>
      <c r="N1239" s="70"/>
      <c r="O1239" s="77" t="s">
        <v>179</v>
      </c>
      <c r="P1239" s="79">
        <v>44968.920034722221</v>
      </c>
      <c r="Q1239" s="77" t="s">
        <v>2483</v>
      </c>
      <c r="R1239" s="77">
        <v>0</v>
      </c>
      <c r="S1239" s="77">
        <v>0</v>
      </c>
      <c r="T1239" s="77">
        <v>1</v>
      </c>
      <c r="U1239" s="77">
        <v>0</v>
      </c>
      <c r="V1239" s="77">
        <v>87</v>
      </c>
      <c r="W1239" s="82" t="s">
        <v>5335</v>
      </c>
      <c r="X1239" s="80" t="str">
        <f>HYPERLINK("https://p.eduzz.com/684625?a=76603059")</f>
        <v>https://p.eduzz.com/684625?a=76603059</v>
      </c>
      <c r="Y1239" s="77" t="s">
        <v>7245</v>
      </c>
      <c r="Z1239" s="77"/>
      <c r="AA1239" s="77" t="s">
        <v>7975</v>
      </c>
      <c r="AB1239" s="77" t="s">
        <v>10129</v>
      </c>
      <c r="AC1239" s="82" t="s">
        <v>10144</v>
      </c>
      <c r="AD1239" s="77" t="s">
        <v>10184</v>
      </c>
      <c r="AE1239" s="80" t="str">
        <f>HYPERLINK("https://twitter.com/yutomas64/status/1624529925427417092")</f>
        <v>https://twitter.com/yutomas64/status/1624529925427417092</v>
      </c>
      <c r="AF1239" s="79">
        <v>44968.920034722221</v>
      </c>
      <c r="AG1239" s="85">
        <v>44968</v>
      </c>
      <c r="AH1239" s="82" t="s">
        <v>11386</v>
      </c>
      <c r="AI1239" s="77" t="b">
        <v>0</v>
      </c>
      <c r="AJ1239" s="77"/>
      <c r="AK1239" s="77"/>
      <c r="AL1239" s="77"/>
      <c r="AM1239" s="77"/>
      <c r="AN1239" s="77"/>
      <c r="AO1239" s="77"/>
      <c r="AP1239" s="77"/>
      <c r="AQ1239" s="77" t="s">
        <v>14619</v>
      </c>
      <c r="AR1239" s="77">
        <v>44998</v>
      </c>
      <c r="AS1239" s="77"/>
      <c r="AT1239" s="77"/>
      <c r="AU1239" s="77"/>
      <c r="AV1239" s="80" t="str">
        <f>HYPERLINK("https://pbs.twimg.com/ext_tw_video_thumb/1624529847102980099/pu/img/aBZhBHT7aJzL5Ubw.jpg")</f>
        <v>https://pbs.twimg.com/ext_tw_video_thumb/1624529847102980099/pu/img/aBZhBHT7aJzL5Ubw.jpg</v>
      </c>
      <c r="AW1239" s="82" t="s">
        <v>18012</v>
      </c>
      <c r="AX1239" s="82" t="s">
        <v>18012</v>
      </c>
      <c r="AY1239" s="77"/>
      <c r="AZ1239" s="82" t="s">
        <v>20971</v>
      </c>
      <c r="BA1239" s="82" t="s">
        <v>20971</v>
      </c>
      <c r="BB1239" s="82" t="s">
        <v>20971</v>
      </c>
      <c r="BC1239" s="82" t="s">
        <v>18012</v>
      </c>
      <c r="BD1239" s="82" t="s">
        <v>21198</v>
      </c>
      <c r="BE1239" s="77"/>
      <c r="BF1239" s="77"/>
      <c r="BG1239" s="77"/>
      <c r="BH1239" s="77"/>
      <c r="BI1239" s="77"/>
    </row>
    <row r="1240" spans="1:61" x14ac:dyDescent="0.25">
      <c r="A1240" s="62" t="s">
        <v>476</v>
      </c>
      <c r="B1240" s="62" t="s">
        <v>476</v>
      </c>
      <c r="C1240" s="63"/>
      <c r="D1240" s="64"/>
      <c r="E1240" s="65"/>
      <c r="F1240" s="66"/>
      <c r="G1240" s="63"/>
      <c r="H1240" s="67"/>
      <c r="I1240" s="68"/>
      <c r="J1240" s="68"/>
      <c r="K1240" s="32"/>
      <c r="L1240" s="75">
        <v>1240</v>
      </c>
      <c r="M1240" s="75"/>
      <c r="N1240" s="70"/>
      <c r="O1240" s="77" t="s">
        <v>179</v>
      </c>
      <c r="P1240" s="79">
        <v>45010.587581018517</v>
      </c>
      <c r="Q1240" s="77" t="s">
        <v>2484</v>
      </c>
      <c r="R1240" s="77">
        <v>0</v>
      </c>
      <c r="S1240" s="77">
        <v>0</v>
      </c>
      <c r="T1240" s="77">
        <v>0</v>
      </c>
      <c r="U1240" s="77">
        <v>0</v>
      </c>
      <c r="V1240" s="77">
        <v>51</v>
      </c>
      <c r="W1240" s="82" t="s">
        <v>5645</v>
      </c>
      <c r="X1240" s="77"/>
      <c r="Y1240" s="77"/>
      <c r="Z1240" s="77"/>
      <c r="AA1240" s="77"/>
      <c r="AB1240" s="77"/>
      <c r="AC1240" s="82" t="s">
        <v>10146</v>
      </c>
      <c r="AD1240" s="77" t="s">
        <v>10184</v>
      </c>
      <c r="AE1240" s="80" t="str">
        <f>HYPERLINK("https://twitter.com/noitepaladino/status/1639629740905512961")</f>
        <v>https://twitter.com/noitepaladino/status/1639629740905512961</v>
      </c>
      <c r="AF1240" s="79">
        <v>45010.587581018517</v>
      </c>
      <c r="AG1240" s="85">
        <v>45010</v>
      </c>
      <c r="AH1240" s="82" t="s">
        <v>11387</v>
      </c>
      <c r="AI1240" s="77"/>
      <c r="AJ1240" s="77"/>
      <c r="AK1240" s="77"/>
      <c r="AL1240" s="77"/>
      <c r="AM1240" s="77"/>
      <c r="AN1240" s="77"/>
      <c r="AO1240" s="77"/>
      <c r="AP1240" s="77"/>
      <c r="AQ1240" s="77"/>
      <c r="AR1240" s="77"/>
      <c r="AS1240" s="77"/>
      <c r="AT1240" s="77"/>
      <c r="AU1240" s="77"/>
      <c r="AV1240" s="80" t="str">
        <f>HYPERLINK("https://pbs.twimg.com/profile_images/1639287591131312130/n1e12DTn_normal.jpg")</f>
        <v>https://pbs.twimg.com/profile_images/1639287591131312130/n1e12DTn_normal.jpg</v>
      </c>
      <c r="AW1240" s="82" t="s">
        <v>18013</v>
      </c>
      <c r="AX1240" s="82" t="s">
        <v>18013</v>
      </c>
      <c r="AY1240" s="77"/>
      <c r="AZ1240" s="82" t="s">
        <v>20971</v>
      </c>
      <c r="BA1240" s="82" t="s">
        <v>20971</v>
      </c>
      <c r="BB1240" s="82" t="s">
        <v>20971</v>
      </c>
      <c r="BC1240" s="82" t="s">
        <v>18013</v>
      </c>
      <c r="BD1240" s="82" t="s">
        <v>21199</v>
      </c>
      <c r="BE1240" s="77"/>
      <c r="BF1240" s="77"/>
      <c r="BG1240" s="77"/>
      <c r="BH1240" s="77"/>
      <c r="BI1240" s="77"/>
    </row>
    <row r="1241" spans="1:61" x14ac:dyDescent="0.25">
      <c r="A1241" s="62" t="s">
        <v>476</v>
      </c>
      <c r="B1241" s="62" t="s">
        <v>476</v>
      </c>
      <c r="C1241" s="63"/>
      <c r="D1241" s="64"/>
      <c r="E1241" s="65"/>
      <c r="F1241" s="66"/>
      <c r="G1241" s="63"/>
      <c r="H1241" s="67"/>
      <c r="I1241" s="68"/>
      <c r="J1241" s="68"/>
      <c r="K1241" s="32"/>
      <c r="L1241" s="75">
        <v>1241</v>
      </c>
      <c r="M1241" s="75"/>
      <c r="N1241" s="70"/>
      <c r="O1241" s="77" t="s">
        <v>179</v>
      </c>
      <c r="P1241" s="79">
        <v>45010.583171296297</v>
      </c>
      <c r="Q1241" s="77" t="s">
        <v>2485</v>
      </c>
      <c r="R1241" s="77">
        <v>0</v>
      </c>
      <c r="S1241" s="77">
        <v>0</v>
      </c>
      <c r="T1241" s="77">
        <v>0</v>
      </c>
      <c r="U1241" s="77">
        <v>0</v>
      </c>
      <c r="V1241" s="77">
        <v>14</v>
      </c>
      <c r="W1241" s="82" t="s">
        <v>5646</v>
      </c>
      <c r="X1241" s="77"/>
      <c r="Y1241" s="77"/>
      <c r="Z1241" s="77"/>
      <c r="AA1241" s="77"/>
      <c r="AB1241" s="77"/>
      <c r="AC1241" s="82" t="s">
        <v>10146</v>
      </c>
      <c r="AD1241" s="77" t="s">
        <v>10184</v>
      </c>
      <c r="AE1241" s="80" t="str">
        <f>HYPERLINK("https://twitter.com/noitepaladino/status/1639628142930284547")</f>
        <v>https://twitter.com/noitepaladino/status/1639628142930284547</v>
      </c>
      <c r="AF1241" s="79">
        <v>45010.583171296297</v>
      </c>
      <c r="AG1241" s="85">
        <v>45010</v>
      </c>
      <c r="AH1241" s="82" t="s">
        <v>11388</v>
      </c>
      <c r="AI1241" s="77"/>
      <c r="AJ1241" s="77"/>
      <c r="AK1241" s="77"/>
      <c r="AL1241" s="77"/>
      <c r="AM1241" s="77"/>
      <c r="AN1241" s="77"/>
      <c r="AO1241" s="77"/>
      <c r="AP1241" s="77"/>
      <c r="AQ1241" s="77"/>
      <c r="AR1241" s="77"/>
      <c r="AS1241" s="77"/>
      <c r="AT1241" s="77"/>
      <c r="AU1241" s="77"/>
      <c r="AV1241" s="80" t="str">
        <f>HYPERLINK("https://pbs.twimg.com/profile_images/1639287591131312130/n1e12DTn_normal.jpg")</f>
        <v>https://pbs.twimg.com/profile_images/1639287591131312130/n1e12DTn_normal.jpg</v>
      </c>
      <c r="AW1241" s="82" t="s">
        <v>18014</v>
      </c>
      <c r="AX1241" s="82" t="s">
        <v>18014</v>
      </c>
      <c r="AY1241" s="77"/>
      <c r="AZ1241" s="82" t="s">
        <v>20971</v>
      </c>
      <c r="BA1241" s="82" t="s">
        <v>20971</v>
      </c>
      <c r="BB1241" s="82" t="s">
        <v>20971</v>
      </c>
      <c r="BC1241" s="82" t="s">
        <v>18014</v>
      </c>
      <c r="BD1241" s="82" t="s">
        <v>21199</v>
      </c>
      <c r="BE1241" s="77"/>
      <c r="BF1241" s="77"/>
      <c r="BG1241" s="77"/>
      <c r="BH1241" s="77"/>
      <c r="BI1241" s="77"/>
    </row>
    <row r="1242" spans="1:61" x14ac:dyDescent="0.25">
      <c r="A1242" s="62" t="s">
        <v>476</v>
      </c>
      <c r="B1242" s="62" t="s">
        <v>476</v>
      </c>
      <c r="C1242" s="63"/>
      <c r="D1242" s="64"/>
      <c r="E1242" s="65"/>
      <c r="F1242" s="66"/>
      <c r="G1242" s="63"/>
      <c r="H1242" s="67"/>
      <c r="I1242" s="68"/>
      <c r="J1242" s="68"/>
      <c r="K1242" s="32"/>
      <c r="L1242" s="75">
        <v>1242</v>
      </c>
      <c r="M1242" s="75"/>
      <c r="N1242" s="70"/>
      <c r="O1242" s="77" t="s">
        <v>179</v>
      </c>
      <c r="P1242" s="79">
        <v>45010.581192129626</v>
      </c>
      <c r="Q1242" s="77" t="s">
        <v>2486</v>
      </c>
      <c r="R1242" s="77">
        <v>0</v>
      </c>
      <c r="S1242" s="77">
        <v>0</v>
      </c>
      <c r="T1242" s="77">
        <v>0</v>
      </c>
      <c r="U1242" s="77">
        <v>0</v>
      </c>
      <c r="V1242" s="77">
        <v>24</v>
      </c>
      <c r="W1242" s="82" t="s">
        <v>5647</v>
      </c>
      <c r="X1242" s="77"/>
      <c r="Y1242" s="77"/>
      <c r="Z1242" s="77"/>
      <c r="AA1242" s="77"/>
      <c r="AB1242" s="77"/>
      <c r="AC1242" s="82" t="s">
        <v>10146</v>
      </c>
      <c r="AD1242" s="77" t="s">
        <v>10184</v>
      </c>
      <c r="AE1242" s="80" t="str">
        <f>HYPERLINK("https://twitter.com/noitepaladino/status/1639627426211721217")</f>
        <v>https://twitter.com/noitepaladino/status/1639627426211721217</v>
      </c>
      <c r="AF1242" s="79">
        <v>45010.581192129626</v>
      </c>
      <c r="AG1242" s="85">
        <v>45010</v>
      </c>
      <c r="AH1242" s="82" t="s">
        <v>11389</v>
      </c>
      <c r="AI1242" s="77"/>
      <c r="AJ1242" s="77"/>
      <c r="AK1242" s="77"/>
      <c r="AL1242" s="77"/>
      <c r="AM1242" s="77"/>
      <c r="AN1242" s="77"/>
      <c r="AO1242" s="77"/>
      <c r="AP1242" s="77"/>
      <c r="AQ1242" s="77"/>
      <c r="AR1242" s="77"/>
      <c r="AS1242" s="77"/>
      <c r="AT1242" s="77"/>
      <c r="AU1242" s="77"/>
      <c r="AV1242" s="80" t="str">
        <f>HYPERLINK("https://pbs.twimg.com/profile_images/1639287591131312130/n1e12DTn_normal.jpg")</f>
        <v>https://pbs.twimg.com/profile_images/1639287591131312130/n1e12DTn_normal.jpg</v>
      </c>
      <c r="AW1242" s="82" t="s">
        <v>18015</v>
      </c>
      <c r="AX1242" s="82" t="s">
        <v>18015</v>
      </c>
      <c r="AY1242" s="77"/>
      <c r="AZ1242" s="82" t="s">
        <v>20971</v>
      </c>
      <c r="BA1242" s="82" t="s">
        <v>20971</v>
      </c>
      <c r="BB1242" s="82" t="s">
        <v>20971</v>
      </c>
      <c r="BC1242" s="82" t="s">
        <v>18015</v>
      </c>
      <c r="BD1242" s="82" t="s">
        <v>21199</v>
      </c>
      <c r="BE1242" s="77"/>
      <c r="BF1242" s="77"/>
      <c r="BG1242" s="77"/>
      <c r="BH1242" s="77"/>
      <c r="BI1242" s="77"/>
    </row>
    <row r="1243" spans="1:61" x14ac:dyDescent="0.25">
      <c r="A1243" s="62" t="s">
        <v>476</v>
      </c>
      <c r="B1243" s="62" t="s">
        <v>476</v>
      </c>
      <c r="C1243" s="63"/>
      <c r="D1243" s="64"/>
      <c r="E1243" s="65"/>
      <c r="F1243" s="66"/>
      <c r="G1243" s="63"/>
      <c r="H1243" s="67"/>
      <c r="I1243" s="68"/>
      <c r="J1243" s="68"/>
      <c r="K1243" s="32"/>
      <c r="L1243" s="75">
        <v>1243</v>
      </c>
      <c r="M1243" s="75"/>
      <c r="N1243" s="70"/>
      <c r="O1243" s="77" t="s">
        <v>179</v>
      </c>
      <c r="P1243" s="79">
        <v>45009.852523148147</v>
      </c>
      <c r="Q1243" s="77" t="s">
        <v>2487</v>
      </c>
      <c r="R1243" s="77">
        <v>0</v>
      </c>
      <c r="S1243" s="77">
        <v>0</v>
      </c>
      <c r="T1243" s="77">
        <v>0</v>
      </c>
      <c r="U1243" s="77">
        <v>0</v>
      </c>
      <c r="V1243" s="77">
        <v>11</v>
      </c>
      <c r="W1243" s="82" t="s">
        <v>5648</v>
      </c>
      <c r="X1243" s="77"/>
      <c r="Y1243" s="77"/>
      <c r="Z1243" s="77"/>
      <c r="AA1243" s="77"/>
      <c r="AB1243" s="77"/>
      <c r="AC1243" s="82" t="s">
        <v>10146</v>
      </c>
      <c r="AD1243" s="77" t="s">
        <v>10184</v>
      </c>
      <c r="AE1243" s="80" t="str">
        <f>HYPERLINK("https://twitter.com/noitepaladino/status/1639363362210340881")</f>
        <v>https://twitter.com/noitepaladino/status/1639363362210340881</v>
      </c>
      <c r="AF1243" s="79">
        <v>45009.852523148147</v>
      </c>
      <c r="AG1243" s="85">
        <v>45009</v>
      </c>
      <c r="AH1243" s="82" t="s">
        <v>11390</v>
      </c>
      <c r="AI1243" s="77"/>
      <c r="AJ1243" s="77"/>
      <c r="AK1243" s="77"/>
      <c r="AL1243" s="77"/>
      <c r="AM1243" s="77"/>
      <c r="AN1243" s="77"/>
      <c r="AO1243" s="77"/>
      <c r="AP1243" s="77"/>
      <c r="AQ1243" s="77"/>
      <c r="AR1243" s="77"/>
      <c r="AS1243" s="77"/>
      <c r="AT1243" s="77"/>
      <c r="AU1243" s="77"/>
      <c r="AV1243" s="80" t="str">
        <f>HYPERLINK("https://pbs.twimg.com/profile_images/1639287591131312130/n1e12DTn_normal.jpg")</f>
        <v>https://pbs.twimg.com/profile_images/1639287591131312130/n1e12DTn_normal.jpg</v>
      </c>
      <c r="AW1243" s="82" t="s">
        <v>18016</v>
      </c>
      <c r="AX1243" s="82" t="s">
        <v>18016</v>
      </c>
      <c r="AY1243" s="77"/>
      <c r="AZ1243" s="82" t="s">
        <v>20971</v>
      </c>
      <c r="BA1243" s="82" t="s">
        <v>20971</v>
      </c>
      <c r="BB1243" s="82" t="s">
        <v>20971</v>
      </c>
      <c r="BC1243" s="82" t="s">
        <v>18016</v>
      </c>
      <c r="BD1243" s="82" t="s">
        <v>21199</v>
      </c>
      <c r="BE1243" s="77"/>
      <c r="BF1243" s="77"/>
      <c r="BG1243" s="77"/>
      <c r="BH1243" s="77"/>
      <c r="BI1243" s="77"/>
    </row>
    <row r="1244" spans="1:61" x14ac:dyDescent="0.25">
      <c r="A1244" s="62" t="s">
        <v>476</v>
      </c>
      <c r="B1244" s="62" t="s">
        <v>476</v>
      </c>
      <c r="C1244" s="63"/>
      <c r="D1244" s="64"/>
      <c r="E1244" s="65"/>
      <c r="F1244" s="66"/>
      <c r="G1244" s="63"/>
      <c r="H1244" s="67"/>
      <c r="I1244" s="68"/>
      <c r="J1244" s="68"/>
      <c r="K1244" s="32"/>
      <c r="L1244" s="75">
        <v>1244</v>
      </c>
      <c r="M1244" s="75"/>
      <c r="N1244" s="70"/>
      <c r="O1244" s="77" t="s">
        <v>179</v>
      </c>
      <c r="P1244" s="79">
        <v>45009.774710648147</v>
      </c>
      <c r="Q1244" s="77" t="s">
        <v>2488</v>
      </c>
      <c r="R1244" s="77">
        <v>0</v>
      </c>
      <c r="S1244" s="77">
        <v>0</v>
      </c>
      <c r="T1244" s="77">
        <v>0</v>
      </c>
      <c r="U1244" s="77">
        <v>0</v>
      </c>
      <c r="V1244" s="77">
        <v>37</v>
      </c>
      <c r="W1244" s="82" t="s">
        <v>5236</v>
      </c>
      <c r="X1244" s="77"/>
      <c r="Y1244" s="77"/>
      <c r="Z1244" s="77"/>
      <c r="AA1244" s="77"/>
      <c r="AB1244" s="77"/>
      <c r="AC1244" s="82" t="s">
        <v>10146</v>
      </c>
      <c r="AD1244" s="77" t="s">
        <v>10184</v>
      </c>
      <c r="AE1244" s="80" t="str">
        <f>HYPERLINK("https://twitter.com/noitepaladino/status/1639335167402573837")</f>
        <v>https://twitter.com/noitepaladino/status/1639335167402573837</v>
      </c>
      <c r="AF1244" s="79">
        <v>45009.774710648147</v>
      </c>
      <c r="AG1244" s="85">
        <v>45009</v>
      </c>
      <c r="AH1244" s="82" t="s">
        <v>11391</v>
      </c>
      <c r="AI1244" s="77"/>
      <c r="AJ1244" s="77"/>
      <c r="AK1244" s="77"/>
      <c r="AL1244" s="77"/>
      <c r="AM1244" s="77"/>
      <c r="AN1244" s="77"/>
      <c r="AO1244" s="77"/>
      <c r="AP1244" s="77"/>
      <c r="AQ1244" s="77"/>
      <c r="AR1244" s="77"/>
      <c r="AS1244" s="77"/>
      <c r="AT1244" s="77"/>
      <c r="AU1244" s="77"/>
      <c r="AV1244" s="80" t="str">
        <f>HYPERLINK("https://pbs.twimg.com/profile_images/1639287591131312130/n1e12DTn_normal.jpg")</f>
        <v>https://pbs.twimg.com/profile_images/1639287591131312130/n1e12DTn_normal.jpg</v>
      </c>
      <c r="AW1244" s="82" t="s">
        <v>18017</v>
      </c>
      <c r="AX1244" s="82" t="s">
        <v>18017</v>
      </c>
      <c r="AY1244" s="77"/>
      <c r="AZ1244" s="82" t="s">
        <v>20971</v>
      </c>
      <c r="BA1244" s="82" t="s">
        <v>20971</v>
      </c>
      <c r="BB1244" s="82" t="s">
        <v>20971</v>
      </c>
      <c r="BC1244" s="82" t="s">
        <v>18017</v>
      </c>
      <c r="BD1244" s="82" t="s">
        <v>21199</v>
      </c>
      <c r="BE1244" s="77"/>
      <c r="BF1244" s="77"/>
      <c r="BG1244" s="77"/>
      <c r="BH1244" s="77"/>
      <c r="BI1244" s="77"/>
    </row>
    <row r="1245" spans="1:61" x14ac:dyDescent="0.25">
      <c r="A1245" s="62" t="s">
        <v>477</v>
      </c>
      <c r="B1245" s="62" t="s">
        <v>477</v>
      </c>
      <c r="C1245" s="63"/>
      <c r="D1245" s="64"/>
      <c r="E1245" s="65"/>
      <c r="F1245" s="66"/>
      <c r="G1245" s="63"/>
      <c r="H1245" s="67"/>
      <c r="I1245" s="68"/>
      <c r="J1245" s="68"/>
      <c r="K1245" s="32"/>
      <c r="L1245" s="75">
        <v>1245</v>
      </c>
      <c r="M1245" s="75"/>
      <c r="N1245" s="70"/>
      <c r="O1245" s="77" t="s">
        <v>179</v>
      </c>
      <c r="P1245" s="79">
        <v>45037.970520833333</v>
      </c>
      <c r="Q1245" s="77" t="s">
        <v>2489</v>
      </c>
      <c r="R1245" s="77">
        <v>0</v>
      </c>
      <c r="S1245" s="77">
        <v>0</v>
      </c>
      <c r="T1245" s="77">
        <v>0</v>
      </c>
      <c r="U1245" s="77">
        <v>0</v>
      </c>
      <c r="V1245" s="77">
        <v>237</v>
      </c>
      <c r="W1245" s="82" t="s">
        <v>5649</v>
      </c>
      <c r="X1245" s="80" t="str">
        <f>HYPERLINK("https://p.eduzz.com/404695?a=66497070")</f>
        <v>https://p.eduzz.com/404695?a=66497070</v>
      </c>
      <c r="Y1245" s="77" t="s">
        <v>7245</v>
      </c>
      <c r="Z1245" s="77"/>
      <c r="AA1245" s="77"/>
      <c r="AB1245" s="77"/>
      <c r="AC1245" s="82" t="s">
        <v>10144</v>
      </c>
      <c r="AD1245" s="77" t="s">
        <v>10184</v>
      </c>
      <c r="AE1245" s="80" t="str">
        <f>HYPERLINK("https://twitter.com/topviplgbt/status/1649552984907341830")</f>
        <v>https://twitter.com/topviplgbt/status/1649552984907341830</v>
      </c>
      <c r="AF1245" s="79">
        <v>45037.970520833333</v>
      </c>
      <c r="AG1245" s="85">
        <v>45037</v>
      </c>
      <c r="AH1245" s="82" t="s">
        <v>11392</v>
      </c>
      <c r="AI1245" s="77" t="b">
        <v>0</v>
      </c>
      <c r="AJ1245" s="77"/>
      <c r="AK1245" s="77"/>
      <c r="AL1245" s="77"/>
      <c r="AM1245" s="77"/>
      <c r="AN1245" s="77"/>
      <c r="AO1245" s="77"/>
      <c r="AP1245" s="77"/>
      <c r="AQ1245" s="77"/>
      <c r="AR1245" s="77"/>
      <c r="AS1245" s="77"/>
      <c r="AT1245" s="77"/>
      <c r="AU1245" s="77"/>
      <c r="AV1245" s="80" t="str">
        <f>HYPERLINK("https://pbs.twimg.com/profile_images/1649725742589116416/off4VR6D_normal.jpg")</f>
        <v>https://pbs.twimg.com/profile_images/1649725742589116416/off4VR6D_normal.jpg</v>
      </c>
      <c r="AW1245" s="82" t="s">
        <v>18018</v>
      </c>
      <c r="AX1245" s="82" t="s">
        <v>18018</v>
      </c>
      <c r="AY1245" s="77"/>
      <c r="AZ1245" s="82" t="s">
        <v>20971</v>
      </c>
      <c r="BA1245" s="82" t="s">
        <v>20971</v>
      </c>
      <c r="BB1245" s="82" t="s">
        <v>20971</v>
      </c>
      <c r="BC1245" s="82" t="s">
        <v>18018</v>
      </c>
      <c r="BD1245" s="82" t="s">
        <v>21200</v>
      </c>
      <c r="BE1245" s="77"/>
      <c r="BF1245" s="77"/>
      <c r="BG1245" s="77"/>
      <c r="BH1245" s="77"/>
      <c r="BI1245" s="77"/>
    </row>
    <row r="1246" spans="1:61" x14ac:dyDescent="0.25">
      <c r="A1246" s="62" t="s">
        <v>478</v>
      </c>
      <c r="B1246" s="62" t="s">
        <v>478</v>
      </c>
      <c r="C1246" s="63"/>
      <c r="D1246" s="64"/>
      <c r="E1246" s="65"/>
      <c r="F1246" s="66"/>
      <c r="G1246" s="63"/>
      <c r="H1246" s="67"/>
      <c r="I1246" s="68"/>
      <c r="J1246" s="68"/>
      <c r="K1246" s="32"/>
      <c r="L1246" s="75">
        <v>1246</v>
      </c>
      <c r="M1246" s="75"/>
      <c r="N1246" s="70"/>
      <c r="O1246" s="77" t="s">
        <v>179</v>
      </c>
      <c r="P1246" s="79">
        <v>45056.031886574077</v>
      </c>
      <c r="Q1246" s="77" t="s">
        <v>2490</v>
      </c>
      <c r="R1246" s="77">
        <v>0</v>
      </c>
      <c r="S1246" s="77">
        <v>0</v>
      </c>
      <c r="T1246" s="77">
        <v>0</v>
      </c>
      <c r="U1246" s="77">
        <v>0</v>
      </c>
      <c r="V1246" s="77">
        <v>42</v>
      </c>
      <c r="W1246" s="82" t="s">
        <v>5650</v>
      </c>
      <c r="X1246" s="80" t="str">
        <f>HYPERLINK("https://lnkd.in/dFhAa6Th")</f>
        <v>https://lnkd.in/dFhAa6Th</v>
      </c>
      <c r="Y1246" s="77" t="s">
        <v>7324</v>
      </c>
      <c r="Z1246" s="77"/>
      <c r="AA1246" s="77" t="s">
        <v>7976</v>
      </c>
      <c r="AB1246" s="77" t="s">
        <v>10129</v>
      </c>
      <c r="AC1246" s="82" t="s">
        <v>10146</v>
      </c>
      <c r="AD1246" s="77" t="s">
        <v>10184</v>
      </c>
      <c r="AE1246" s="80" t="str">
        <f>HYPERLINK("https://twitter.com/dodavizao/status/1656098203584847873")</f>
        <v>https://twitter.com/dodavizao/status/1656098203584847873</v>
      </c>
      <c r="AF1246" s="79">
        <v>45056.031886574077</v>
      </c>
      <c r="AG1246" s="85">
        <v>45056</v>
      </c>
      <c r="AH1246" s="82" t="s">
        <v>11393</v>
      </c>
      <c r="AI1246" s="77" t="b">
        <v>0</v>
      </c>
      <c r="AJ1246" s="77"/>
      <c r="AK1246" s="77"/>
      <c r="AL1246" s="77"/>
      <c r="AM1246" s="77"/>
      <c r="AN1246" s="77"/>
      <c r="AO1246" s="77"/>
      <c r="AP1246" s="77"/>
      <c r="AQ1246" s="77" t="s">
        <v>14620</v>
      </c>
      <c r="AR1246" s="77">
        <v>15866</v>
      </c>
      <c r="AS1246" s="77"/>
      <c r="AT1246" s="77"/>
      <c r="AU1246" s="77"/>
      <c r="AV1246" s="80" t="str">
        <f>HYPERLINK("https://pbs.twimg.com/ext_tw_video_thumb/1656098164330340356/pu/img/mdyfVzyLKwXEysQm.jpg")</f>
        <v>https://pbs.twimg.com/ext_tw_video_thumb/1656098164330340356/pu/img/mdyfVzyLKwXEysQm.jpg</v>
      </c>
      <c r="AW1246" s="82" t="s">
        <v>18019</v>
      </c>
      <c r="AX1246" s="82" t="s">
        <v>18019</v>
      </c>
      <c r="AY1246" s="77"/>
      <c r="AZ1246" s="82" t="s">
        <v>20971</v>
      </c>
      <c r="BA1246" s="82" t="s">
        <v>20971</v>
      </c>
      <c r="BB1246" s="82" t="s">
        <v>20971</v>
      </c>
      <c r="BC1246" s="82" t="s">
        <v>18019</v>
      </c>
      <c r="BD1246" s="82" t="s">
        <v>21201</v>
      </c>
      <c r="BE1246" s="77"/>
      <c r="BF1246" s="77"/>
      <c r="BG1246" s="77"/>
      <c r="BH1246" s="77"/>
      <c r="BI1246" s="77"/>
    </row>
    <row r="1247" spans="1:61" x14ac:dyDescent="0.25">
      <c r="A1247" s="62" t="s">
        <v>478</v>
      </c>
      <c r="B1247" s="62" t="s">
        <v>478</v>
      </c>
      <c r="C1247" s="63"/>
      <c r="D1247" s="64"/>
      <c r="E1247" s="65"/>
      <c r="F1247" s="66"/>
      <c r="G1247" s="63"/>
      <c r="H1247" s="67"/>
      <c r="I1247" s="68"/>
      <c r="J1247" s="68"/>
      <c r="K1247" s="32"/>
      <c r="L1247" s="75">
        <v>1247</v>
      </c>
      <c r="M1247" s="75"/>
      <c r="N1247" s="70"/>
      <c r="O1247" s="77" t="s">
        <v>179</v>
      </c>
      <c r="P1247" s="79">
        <v>45040.81653935185</v>
      </c>
      <c r="Q1247" s="77" t="s">
        <v>2491</v>
      </c>
      <c r="R1247" s="77">
        <v>1</v>
      </c>
      <c r="S1247" s="77">
        <v>0</v>
      </c>
      <c r="T1247" s="77">
        <v>0</v>
      </c>
      <c r="U1247" s="77">
        <v>0</v>
      </c>
      <c r="V1247" s="77">
        <v>46</v>
      </c>
      <c r="W1247" s="82" t="s">
        <v>5651</v>
      </c>
      <c r="X1247" s="80" t="str">
        <f>HYPERLINK("https://bit.ly/3KMeXDo")</f>
        <v>https://bit.ly/3KMeXDo</v>
      </c>
      <c r="Y1247" s="77" t="s">
        <v>7268</v>
      </c>
      <c r="Z1247" s="77"/>
      <c r="AA1247" s="77" t="s">
        <v>7977</v>
      </c>
      <c r="AB1247" s="77" t="s">
        <v>10130</v>
      </c>
      <c r="AC1247" s="82" t="s">
        <v>10146</v>
      </c>
      <c r="AD1247" s="77" t="s">
        <v>10184</v>
      </c>
      <c r="AE1247" s="80" t="str">
        <f>HYPERLINK("https://twitter.com/dodavizao/status/1650584346326081543")</f>
        <v>https://twitter.com/dodavizao/status/1650584346326081543</v>
      </c>
      <c r="AF1247" s="79">
        <v>45040.81653935185</v>
      </c>
      <c r="AG1247" s="85">
        <v>45040</v>
      </c>
      <c r="AH1247" s="82" t="s">
        <v>11394</v>
      </c>
      <c r="AI1247" s="77" t="b">
        <v>0</v>
      </c>
      <c r="AJ1247" s="77"/>
      <c r="AK1247" s="77"/>
      <c r="AL1247" s="77"/>
      <c r="AM1247" s="77"/>
      <c r="AN1247" s="77"/>
      <c r="AO1247" s="77"/>
      <c r="AP1247" s="77"/>
      <c r="AQ1247" s="77" t="s">
        <v>14621</v>
      </c>
      <c r="AR1247" s="77"/>
      <c r="AS1247" s="77"/>
      <c r="AT1247" s="77"/>
      <c r="AU1247" s="77"/>
      <c r="AV1247" s="80" t="str">
        <f>HYPERLINK("https://pbs.twimg.com/media/FugNlW_XgAEETdv.jpg")</f>
        <v>https://pbs.twimg.com/media/FugNlW_XgAEETdv.jpg</v>
      </c>
      <c r="AW1247" s="82" t="s">
        <v>18020</v>
      </c>
      <c r="AX1247" s="82" t="s">
        <v>18020</v>
      </c>
      <c r="AY1247" s="77"/>
      <c r="AZ1247" s="82" t="s">
        <v>20971</v>
      </c>
      <c r="BA1247" s="82" t="s">
        <v>20971</v>
      </c>
      <c r="BB1247" s="82" t="s">
        <v>20971</v>
      </c>
      <c r="BC1247" s="82" t="s">
        <v>18020</v>
      </c>
      <c r="BD1247" s="82" t="s">
        <v>21201</v>
      </c>
      <c r="BE1247" s="77"/>
      <c r="BF1247" s="77"/>
      <c r="BG1247" s="77"/>
      <c r="BH1247" s="77"/>
      <c r="BI1247" s="77"/>
    </row>
    <row r="1248" spans="1:61" x14ac:dyDescent="0.25">
      <c r="A1248" s="62" t="s">
        <v>478</v>
      </c>
      <c r="B1248" s="62" t="s">
        <v>478</v>
      </c>
      <c r="C1248" s="63"/>
      <c r="D1248" s="64"/>
      <c r="E1248" s="65"/>
      <c r="F1248" s="66"/>
      <c r="G1248" s="63"/>
      <c r="H1248" s="67"/>
      <c r="I1248" s="68"/>
      <c r="J1248" s="68"/>
      <c r="K1248" s="32"/>
      <c r="L1248" s="75">
        <v>1248</v>
      </c>
      <c r="M1248" s="75"/>
      <c r="N1248" s="70"/>
      <c r="O1248" s="77" t="s">
        <v>179</v>
      </c>
      <c r="P1248" s="79">
        <v>45070.810196759259</v>
      </c>
      <c r="Q1248" s="77" t="s">
        <v>2492</v>
      </c>
      <c r="R1248" s="77">
        <v>0</v>
      </c>
      <c r="S1248" s="77">
        <v>0</v>
      </c>
      <c r="T1248" s="77">
        <v>0</v>
      </c>
      <c r="U1248" s="77">
        <v>0</v>
      </c>
      <c r="V1248" s="77">
        <v>18</v>
      </c>
      <c r="W1248" s="82" t="s">
        <v>5652</v>
      </c>
      <c r="X1248" s="80" t="str">
        <f>HYPERLINK("https://lnkd.in/eCEhQ8YA")</f>
        <v>https://lnkd.in/eCEhQ8YA</v>
      </c>
      <c r="Y1248" s="77" t="s">
        <v>7324</v>
      </c>
      <c r="Z1248" s="77"/>
      <c r="AA1248" s="77" t="s">
        <v>7978</v>
      </c>
      <c r="AB1248" s="77" t="s">
        <v>10129</v>
      </c>
      <c r="AC1248" s="82" t="s">
        <v>10146</v>
      </c>
      <c r="AD1248" s="77" t="s">
        <v>10184</v>
      </c>
      <c r="AE1248" s="80" t="str">
        <f>HYPERLINK("https://twitter.com/dodavizao/status/1661453685237374977")</f>
        <v>https://twitter.com/dodavizao/status/1661453685237374977</v>
      </c>
      <c r="AF1248" s="79">
        <v>45070.810196759259</v>
      </c>
      <c r="AG1248" s="85">
        <v>45070</v>
      </c>
      <c r="AH1248" s="82" t="s">
        <v>11395</v>
      </c>
      <c r="AI1248" s="77" t="b">
        <v>0</v>
      </c>
      <c r="AJ1248" s="77"/>
      <c r="AK1248" s="77"/>
      <c r="AL1248" s="77"/>
      <c r="AM1248" s="77"/>
      <c r="AN1248" s="77"/>
      <c r="AO1248" s="77"/>
      <c r="AP1248" s="77"/>
      <c r="AQ1248" s="77" t="s">
        <v>14622</v>
      </c>
      <c r="AR1248" s="77">
        <v>18333</v>
      </c>
      <c r="AS1248" s="77"/>
      <c r="AT1248" s="77"/>
      <c r="AU1248" s="77"/>
      <c r="AV1248" s="80" t="str">
        <f>HYPERLINK("https://pbs.twimg.com/ext_tw_video_thumb/1661453651137658881/pu/img/sVbK0VpUXKV4rLbo.jpg")</f>
        <v>https://pbs.twimg.com/ext_tw_video_thumb/1661453651137658881/pu/img/sVbK0VpUXKV4rLbo.jpg</v>
      </c>
      <c r="AW1248" s="82" t="s">
        <v>18021</v>
      </c>
      <c r="AX1248" s="82" t="s">
        <v>18021</v>
      </c>
      <c r="AY1248" s="77"/>
      <c r="AZ1248" s="82" t="s">
        <v>20971</v>
      </c>
      <c r="BA1248" s="82" t="s">
        <v>20971</v>
      </c>
      <c r="BB1248" s="82" t="s">
        <v>20971</v>
      </c>
      <c r="BC1248" s="82" t="s">
        <v>18021</v>
      </c>
      <c r="BD1248" s="82" t="s">
        <v>21201</v>
      </c>
      <c r="BE1248" s="77"/>
      <c r="BF1248" s="77"/>
      <c r="BG1248" s="77"/>
      <c r="BH1248" s="77"/>
      <c r="BI1248" s="77"/>
    </row>
    <row r="1249" spans="1:61" x14ac:dyDescent="0.25">
      <c r="A1249" s="62" t="s">
        <v>478</v>
      </c>
      <c r="B1249" s="62" t="s">
        <v>478</v>
      </c>
      <c r="C1249" s="63"/>
      <c r="D1249" s="64"/>
      <c r="E1249" s="65"/>
      <c r="F1249" s="66"/>
      <c r="G1249" s="63"/>
      <c r="H1249" s="67"/>
      <c r="I1249" s="68"/>
      <c r="J1249" s="68"/>
      <c r="K1249" s="32"/>
      <c r="L1249" s="75">
        <v>1249</v>
      </c>
      <c r="M1249" s="75"/>
      <c r="N1249" s="70"/>
      <c r="O1249" s="77" t="s">
        <v>179</v>
      </c>
      <c r="P1249" s="79">
        <v>45070.809571759259</v>
      </c>
      <c r="Q1249" s="77" t="s">
        <v>2493</v>
      </c>
      <c r="R1249" s="77">
        <v>0</v>
      </c>
      <c r="S1249" s="77">
        <v>0</v>
      </c>
      <c r="T1249" s="77">
        <v>0</v>
      </c>
      <c r="U1249" s="77">
        <v>0</v>
      </c>
      <c r="V1249" s="77">
        <v>18</v>
      </c>
      <c r="W1249" s="82" t="s">
        <v>5652</v>
      </c>
      <c r="X1249" s="80" t="str">
        <f>HYPERLINK("https://lnkd.in/eCEhQ8YA")</f>
        <v>https://lnkd.in/eCEhQ8YA</v>
      </c>
      <c r="Y1249" s="77" t="s">
        <v>7324</v>
      </c>
      <c r="Z1249" s="77"/>
      <c r="AA1249" s="77" t="s">
        <v>7979</v>
      </c>
      <c r="AB1249" s="77" t="s">
        <v>10129</v>
      </c>
      <c r="AC1249" s="82" t="s">
        <v>10146</v>
      </c>
      <c r="AD1249" s="77" t="s">
        <v>10184</v>
      </c>
      <c r="AE1249" s="80" t="str">
        <f>HYPERLINK("https://twitter.com/dodavizao/status/1661453456727592983")</f>
        <v>https://twitter.com/dodavizao/status/1661453456727592983</v>
      </c>
      <c r="AF1249" s="79">
        <v>45070.809571759259</v>
      </c>
      <c r="AG1249" s="85">
        <v>45070</v>
      </c>
      <c r="AH1249" s="82" t="s">
        <v>11396</v>
      </c>
      <c r="AI1249" s="77" t="b">
        <v>0</v>
      </c>
      <c r="AJ1249" s="77"/>
      <c r="AK1249" s="77"/>
      <c r="AL1249" s="77"/>
      <c r="AM1249" s="77"/>
      <c r="AN1249" s="77"/>
      <c r="AO1249" s="77"/>
      <c r="AP1249" s="77"/>
      <c r="AQ1249" s="77" t="s">
        <v>14623</v>
      </c>
      <c r="AR1249" s="77">
        <v>18366</v>
      </c>
      <c r="AS1249" s="77"/>
      <c r="AT1249" s="77"/>
      <c r="AU1249" s="77"/>
      <c r="AV1249" s="80" t="str">
        <f>HYPERLINK("https://pbs.twimg.com/ext_tw_video_thumb/1661453419012411407/pu/img/AMthoF5HpWhdpXAH.jpg")</f>
        <v>https://pbs.twimg.com/ext_tw_video_thumb/1661453419012411407/pu/img/AMthoF5HpWhdpXAH.jpg</v>
      </c>
      <c r="AW1249" s="82" t="s">
        <v>18022</v>
      </c>
      <c r="AX1249" s="82" t="s">
        <v>18022</v>
      </c>
      <c r="AY1249" s="77"/>
      <c r="AZ1249" s="82" t="s">
        <v>20971</v>
      </c>
      <c r="BA1249" s="82" t="s">
        <v>20971</v>
      </c>
      <c r="BB1249" s="82" t="s">
        <v>20971</v>
      </c>
      <c r="BC1249" s="82" t="s">
        <v>18022</v>
      </c>
      <c r="BD1249" s="82" t="s">
        <v>21201</v>
      </c>
      <c r="BE1249" s="77"/>
      <c r="BF1249" s="77"/>
      <c r="BG1249" s="77"/>
      <c r="BH1249" s="77"/>
      <c r="BI1249" s="77"/>
    </row>
    <row r="1250" spans="1:61" x14ac:dyDescent="0.25">
      <c r="A1250" s="62" t="s">
        <v>478</v>
      </c>
      <c r="B1250" s="62" t="s">
        <v>478</v>
      </c>
      <c r="C1250" s="63"/>
      <c r="D1250" s="64"/>
      <c r="E1250" s="65"/>
      <c r="F1250" s="66"/>
      <c r="G1250" s="63"/>
      <c r="H1250" s="67"/>
      <c r="I1250" s="68"/>
      <c r="J1250" s="68"/>
      <c r="K1250" s="32"/>
      <c r="L1250" s="75">
        <v>1250</v>
      </c>
      <c r="M1250" s="75"/>
      <c r="N1250" s="70"/>
      <c r="O1250" s="77" t="s">
        <v>179</v>
      </c>
      <c r="P1250" s="79">
        <v>45070.80332175926</v>
      </c>
      <c r="Q1250" s="77" t="s">
        <v>2494</v>
      </c>
      <c r="R1250" s="77">
        <v>0</v>
      </c>
      <c r="S1250" s="77">
        <v>0</v>
      </c>
      <c r="T1250" s="77">
        <v>0</v>
      </c>
      <c r="U1250" s="77">
        <v>0</v>
      </c>
      <c r="V1250" s="77">
        <v>17</v>
      </c>
      <c r="W1250" s="82" t="s">
        <v>5652</v>
      </c>
      <c r="X1250" s="80" t="str">
        <f>HYPERLINK("https://lnkd.in/eCEhQ8YA")</f>
        <v>https://lnkd.in/eCEhQ8YA</v>
      </c>
      <c r="Y1250" s="77" t="s">
        <v>7324</v>
      </c>
      <c r="Z1250" s="77"/>
      <c r="AA1250" s="77" t="s">
        <v>7980</v>
      </c>
      <c r="AB1250" s="77" t="s">
        <v>10129</v>
      </c>
      <c r="AC1250" s="82" t="s">
        <v>10146</v>
      </c>
      <c r="AD1250" s="77" t="s">
        <v>10184</v>
      </c>
      <c r="AE1250" s="80" t="str">
        <f>HYPERLINK("https://twitter.com/dodavizao/status/1661451194609422339")</f>
        <v>https://twitter.com/dodavizao/status/1661451194609422339</v>
      </c>
      <c r="AF1250" s="79">
        <v>45070.80332175926</v>
      </c>
      <c r="AG1250" s="85">
        <v>45070</v>
      </c>
      <c r="AH1250" s="82" t="s">
        <v>11397</v>
      </c>
      <c r="AI1250" s="77" t="b">
        <v>0</v>
      </c>
      <c r="AJ1250" s="77"/>
      <c r="AK1250" s="77"/>
      <c r="AL1250" s="77"/>
      <c r="AM1250" s="77"/>
      <c r="AN1250" s="77"/>
      <c r="AO1250" s="77"/>
      <c r="AP1250" s="77"/>
      <c r="AQ1250" s="77" t="s">
        <v>14624</v>
      </c>
      <c r="AR1250" s="77">
        <v>17666</v>
      </c>
      <c r="AS1250" s="77"/>
      <c r="AT1250" s="77"/>
      <c r="AU1250" s="77"/>
      <c r="AV1250" s="80" t="str">
        <f>HYPERLINK("https://pbs.twimg.com/ext_tw_video_thumb/1661451117039964168/pu/img/NTlNubkaHQX9WRSn.jpg")</f>
        <v>https://pbs.twimg.com/ext_tw_video_thumb/1661451117039964168/pu/img/NTlNubkaHQX9WRSn.jpg</v>
      </c>
      <c r="AW1250" s="82" t="s">
        <v>18023</v>
      </c>
      <c r="AX1250" s="82" t="s">
        <v>18023</v>
      </c>
      <c r="AY1250" s="77"/>
      <c r="AZ1250" s="82" t="s">
        <v>20971</v>
      </c>
      <c r="BA1250" s="82" t="s">
        <v>20971</v>
      </c>
      <c r="BB1250" s="82" t="s">
        <v>20971</v>
      </c>
      <c r="BC1250" s="82" t="s">
        <v>18023</v>
      </c>
      <c r="BD1250" s="82" t="s">
        <v>21201</v>
      </c>
      <c r="BE1250" s="77"/>
      <c r="BF1250" s="77"/>
      <c r="BG1250" s="77"/>
      <c r="BH1250" s="77"/>
      <c r="BI1250" s="77"/>
    </row>
    <row r="1251" spans="1:61" x14ac:dyDescent="0.25">
      <c r="A1251" s="62" t="s">
        <v>478</v>
      </c>
      <c r="B1251" s="62" t="s">
        <v>478</v>
      </c>
      <c r="C1251" s="63"/>
      <c r="D1251" s="64"/>
      <c r="E1251" s="65"/>
      <c r="F1251" s="66"/>
      <c r="G1251" s="63"/>
      <c r="H1251" s="67"/>
      <c r="I1251" s="68"/>
      <c r="J1251" s="68"/>
      <c r="K1251" s="32"/>
      <c r="L1251" s="75">
        <v>1251</v>
      </c>
      <c r="M1251" s="75"/>
      <c r="N1251" s="70"/>
      <c r="O1251" s="77" t="s">
        <v>179</v>
      </c>
      <c r="P1251" s="79">
        <v>45075.482465277775</v>
      </c>
      <c r="Q1251" s="77" t="s">
        <v>2495</v>
      </c>
      <c r="R1251" s="77">
        <v>0</v>
      </c>
      <c r="S1251" s="77">
        <v>0</v>
      </c>
      <c r="T1251" s="77">
        <v>0</v>
      </c>
      <c r="U1251" s="77">
        <v>0</v>
      </c>
      <c r="V1251" s="77">
        <v>40</v>
      </c>
      <c r="W1251" s="82" t="s">
        <v>5650</v>
      </c>
      <c r="X1251" s="80" t="str">
        <f>HYPERLINK("https://lnkd.in/eCEhQ8YA")</f>
        <v>https://lnkd.in/eCEhQ8YA</v>
      </c>
      <c r="Y1251" s="77" t="s">
        <v>7324</v>
      </c>
      <c r="Z1251" s="77"/>
      <c r="AA1251" s="77" t="s">
        <v>7981</v>
      </c>
      <c r="AB1251" s="77" t="s">
        <v>10130</v>
      </c>
      <c r="AC1251" s="82" t="s">
        <v>10146</v>
      </c>
      <c r="AD1251" s="77" t="s">
        <v>10184</v>
      </c>
      <c r="AE1251" s="80" t="str">
        <f>HYPERLINK("https://twitter.com/dodavizao/status/1663146860083642380")</f>
        <v>https://twitter.com/dodavizao/status/1663146860083642380</v>
      </c>
      <c r="AF1251" s="79">
        <v>45075.482465277775</v>
      </c>
      <c r="AG1251" s="85">
        <v>45075</v>
      </c>
      <c r="AH1251" s="82" t="s">
        <v>11398</v>
      </c>
      <c r="AI1251" s="77" t="b">
        <v>0</v>
      </c>
      <c r="AJ1251" s="77"/>
      <c r="AK1251" s="77"/>
      <c r="AL1251" s="77"/>
      <c r="AM1251" s="77"/>
      <c r="AN1251" s="77"/>
      <c r="AO1251" s="77"/>
      <c r="AP1251" s="77"/>
      <c r="AQ1251" s="77" t="s">
        <v>14625</v>
      </c>
      <c r="AR1251" s="77"/>
      <c r="AS1251" s="77"/>
      <c r="AT1251" s="77"/>
      <c r="AU1251" s="77"/>
      <c r="AV1251" s="80" t="str">
        <f>HYPERLINK("https://pbs.twimg.com/media/FxSvNp8X0AMtq1J.jpg")</f>
        <v>https://pbs.twimg.com/media/FxSvNp8X0AMtq1J.jpg</v>
      </c>
      <c r="AW1251" s="82" t="s">
        <v>18024</v>
      </c>
      <c r="AX1251" s="82" t="s">
        <v>18024</v>
      </c>
      <c r="AY1251" s="77"/>
      <c r="AZ1251" s="82" t="s">
        <v>20971</v>
      </c>
      <c r="BA1251" s="82" t="s">
        <v>20971</v>
      </c>
      <c r="BB1251" s="82" t="s">
        <v>20971</v>
      </c>
      <c r="BC1251" s="82" t="s">
        <v>18024</v>
      </c>
      <c r="BD1251" s="82" t="s">
        <v>21201</v>
      </c>
      <c r="BE1251" s="77"/>
      <c r="BF1251" s="77"/>
      <c r="BG1251" s="77"/>
      <c r="BH1251" s="77"/>
      <c r="BI1251" s="77"/>
    </row>
    <row r="1252" spans="1:61" x14ac:dyDescent="0.25">
      <c r="A1252" s="62" t="s">
        <v>478</v>
      </c>
      <c r="B1252" s="62" t="s">
        <v>478</v>
      </c>
      <c r="C1252" s="63"/>
      <c r="D1252" s="64"/>
      <c r="E1252" s="65"/>
      <c r="F1252" s="66"/>
      <c r="G1252" s="63"/>
      <c r="H1252" s="67"/>
      <c r="I1252" s="68"/>
      <c r="J1252" s="68"/>
      <c r="K1252" s="32"/>
      <c r="L1252" s="75">
        <v>1252</v>
      </c>
      <c r="M1252" s="75"/>
      <c r="N1252" s="70"/>
      <c r="O1252" s="77" t="s">
        <v>179</v>
      </c>
      <c r="P1252" s="79">
        <v>45075.481956018521</v>
      </c>
      <c r="Q1252" s="77" t="s">
        <v>2496</v>
      </c>
      <c r="R1252" s="77">
        <v>0</v>
      </c>
      <c r="S1252" s="77">
        <v>0</v>
      </c>
      <c r="T1252" s="77">
        <v>0</v>
      </c>
      <c r="U1252" s="77">
        <v>0</v>
      </c>
      <c r="V1252" s="77">
        <v>102</v>
      </c>
      <c r="W1252" s="82" t="s">
        <v>5650</v>
      </c>
      <c r="X1252" s="80" t="str">
        <f>HYPERLINK("https://lnkd.in/eCEhQ8YA")</f>
        <v>https://lnkd.in/eCEhQ8YA</v>
      </c>
      <c r="Y1252" s="77" t="s">
        <v>7324</v>
      </c>
      <c r="Z1252" s="77"/>
      <c r="AA1252" s="77" t="s">
        <v>7982</v>
      </c>
      <c r="AB1252" s="77" t="s">
        <v>10129</v>
      </c>
      <c r="AC1252" s="82" t="s">
        <v>10146</v>
      </c>
      <c r="AD1252" s="77" t="s">
        <v>10184</v>
      </c>
      <c r="AE1252" s="80" t="str">
        <f>HYPERLINK("https://twitter.com/dodavizao/status/1663146672820477953")</f>
        <v>https://twitter.com/dodavizao/status/1663146672820477953</v>
      </c>
      <c r="AF1252" s="79">
        <v>45075.481956018521</v>
      </c>
      <c r="AG1252" s="85">
        <v>45075</v>
      </c>
      <c r="AH1252" s="82" t="s">
        <v>11399</v>
      </c>
      <c r="AI1252" s="77" t="b">
        <v>0</v>
      </c>
      <c r="AJ1252" s="77"/>
      <c r="AK1252" s="77"/>
      <c r="AL1252" s="77"/>
      <c r="AM1252" s="77"/>
      <c r="AN1252" s="77"/>
      <c r="AO1252" s="77"/>
      <c r="AP1252" s="77"/>
      <c r="AQ1252" s="77" t="s">
        <v>14626</v>
      </c>
      <c r="AR1252" s="77">
        <v>14266</v>
      </c>
      <c r="AS1252" s="77"/>
      <c r="AT1252" s="77"/>
      <c r="AU1252" s="77"/>
      <c r="AV1252" s="80" t="str">
        <f>HYPERLINK("https://pbs.twimg.com/ext_tw_video_thumb/1663146396499734528/pu/img/zCLEn4RSefBSjpaj.jpg")</f>
        <v>https://pbs.twimg.com/ext_tw_video_thumb/1663146396499734528/pu/img/zCLEn4RSefBSjpaj.jpg</v>
      </c>
      <c r="AW1252" s="82" t="s">
        <v>18025</v>
      </c>
      <c r="AX1252" s="82" t="s">
        <v>18025</v>
      </c>
      <c r="AY1252" s="77"/>
      <c r="AZ1252" s="82" t="s">
        <v>20971</v>
      </c>
      <c r="BA1252" s="82" t="s">
        <v>20971</v>
      </c>
      <c r="BB1252" s="82" t="s">
        <v>20971</v>
      </c>
      <c r="BC1252" s="82" t="s">
        <v>18025</v>
      </c>
      <c r="BD1252" s="82" t="s">
        <v>21201</v>
      </c>
      <c r="BE1252" s="77"/>
      <c r="BF1252" s="77"/>
      <c r="BG1252" s="77"/>
      <c r="BH1252" s="77"/>
      <c r="BI1252" s="77"/>
    </row>
    <row r="1253" spans="1:61" x14ac:dyDescent="0.25">
      <c r="A1253" s="62" t="s">
        <v>478</v>
      </c>
      <c r="B1253" s="62" t="s">
        <v>478</v>
      </c>
      <c r="C1253" s="63"/>
      <c r="D1253" s="64"/>
      <c r="E1253" s="65"/>
      <c r="F1253" s="66"/>
      <c r="G1253" s="63"/>
      <c r="H1253" s="67"/>
      <c r="I1253" s="68"/>
      <c r="J1253" s="68"/>
      <c r="K1253" s="32"/>
      <c r="L1253" s="75">
        <v>1253</v>
      </c>
      <c r="M1253" s="75"/>
      <c r="N1253" s="70"/>
      <c r="O1253" s="77" t="s">
        <v>179</v>
      </c>
      <c r="P1253" s="79">
        <v>45075.48096064815</v>
      </c>
      <c r="Q1253" s="77" t="s">
        <v>2497</v>
      </c>
      <c r="R1253" s="77">
        <v>0</v>
      </c>
      <c r="S1253" s="77">
        <v>0</v>
      </c>
      <c r="T1253" s="77">
        <v>0</v>
      </c>
      <c r="U1253" s="77">
        <v>0</v>
      </c>
      <c r="V1253" s="77">
        <v>161</v>
      </c>
      <c r="W1253" s="82" t="s">
        <v>5650</v>
      </c>
      <c r="X1253" s="80" t="str">
        <f>HYPERLINK("https://lnkd.in/eCEhQ8YA")</f>
        <v>https://lnkd.in/eCEhQ8YA</v>
      </c>
      <c r="Y1253" s="77" t="s">
        <v>7324</v>
      </c>
      <c r="Z1253" s="77"/>
      <c r="AA1253" s="77" t="s">
        <v>7983</v>
      </c>
      <c r="AB1253" s="77" t="s">
        <v>10129</v>
      </c>
      <c r="AC1253" s="82" t="s">
        <v>10146</v>
      </c>
      <c r="AD1253" s="77" t="s">
        <v>10184</v>
      </c>
      <c r="AE1253" s="80" t="str">
        <f>HYPERLINK("https://twitter.com/dodavizao/status/1663146315084070913")</f>
        <v>https://twitter.com/dodavizao/status/1663146315084070913</v>
      </c>
      <c r="AF1253" s="79">
        <v>45075.48096064815</v>
      </c>
      <c r="AG1253" s="85">
        <v>45075</v>
      </c>
      <c r="AH1253" s="82" t="s">
        <v>11400</v>
      </c>
      <c r="AI1253" s="77" t="b">
        <v>0</v>
      </c>
      <c r="AJ1253" s="77"/>
      <c r="AK1253" s="77"/>
      <c r="AL1253" s="77"/>
      <c r="AM1253" s="77"/>
      <c r="AN1253" s="77"/>
      <c r="AO1253" s="77"/>
      <c r="AP1253" s="77"/>
      <c r="AQ1253" s="77" t="s">
        <v>14627</v>
      </c>
      <c r="AR1253" s="77">
        <v>14266</v>
      </c>
      <c r="AS1253" s="77"/>
      <c r="AT1253" s="77"/>
      <c r="AU1253" s="77"/>
      <c r="AV1253" s="80" t="str">
        <f>HYPERLINK("https://pbs.twimg.com/ext_tw_video_thumb/1663145604208381952/pu/img/sYa60CgIxMCEhlHU.jpg")</f>
        <v>https://pbs.twimg.com/ext_tw_video_thumb/1663145604208381952/pu/img/sYa60CgIxMCEhlHU.jpg</v>
      </c>
      <c r="AW1253" s="82" t="s">
        <v>18026</v>
      </c>
      <c r="AX1253" s="82" t="s">
        <v>18026</v>
      </c>
      <c r="AY1253" s="77"/>
      <c r="AZ1253" s="82" t="s">
        <v>20971</v>
      </c>
      <c r="BA1253" s="82" t="s">
        <v>20971</v>
      </c>
      <c r="BB1253" s="82" t="s">
        <v>20971</v>
      </c>
      <c r="BC1253" s="82" t="s">
        <v>18026</v>
      </c>
      <c r="BD1253" s="82" t="s">
        <v>21201</v>
      </c>
      <c r="BE1253" s="77"/>
      <c r="BF1253" s="77"/>
      <c r="BG1253" s="77"/>
      <c r="BH1253" s="77"/>
      <c r="BI1253" s="77"/>
    </row>
    <row r="1254" spans="1:61" x14ac:dyDescent="0.25">
      <c r="A1254" s="62" t="s">
        <v>478</v>
      </c>
      <c r="B1254" s="62" t="s">
        <v>478</v>
      </c>
      <c r="C1254" s="63"/>
      <c r="D1254" s="64"/>
      <c r="E1254" s="65"/>
      <c r="F1254" s="66"/>
      <c r="G1254" s="63"/>
      <c r="H1254" s="67"/>
      <c r="I1254" s="68"/>
      <c r="J1254" s="68"/>
      <c r="K1254" s="32"/>
      <c r="L1254" s="75">
        <v>1254</v>
      </c>
      <c r="M1254" s="75"/>
      <c r="N1254" s="70"/>
      <c r="O1254" s="77" t="s">
        <v>179</v>
      </c>
      <c r="P1254" s="79">
        <v>45073.903599537036</v>
      </c>
      <c r="Q1254" s="77" t="s">
        <v>2498</v>
      </c>
      <c r="R1254" s="77">
        <v>0</v>
      </c>
      <c r="S1254" s="77">
        <v>0</v>
      </c>
      <c r="T1254" s="77">
        <v>0</v>
      </c>
      <c r="U1254" s="77">
        <v>0</v>
      </c>
      <c r="V1254" s="77">
        <v>28</v>
      </c>
      <c r="W1254" s="82" t="s">
        <v>5652</v>
      </c>
      <c r="X1254" s="80" t="str">
        <f>HYPERLINK("https://lnkd.in/eCEhQ8YA")</f>
        <v>https://lnkd.in/eCEhQ8YA</v>
      </c>
      <c r="Y1254" s="77" t="s">
        <v>7324</v>
      </c>
      <c r="Z1254" s="77"/>
      <c r="AA1254" s="77" t="s">
        <v>7984</v>
      </c>
      <c r="AB1254" s="77" t="s">
        <v>10129</v>
      </c>
      <c r="AC1254" s="82" t="s">
        <v>10146</v>
      </c>
      <c r="AD1254" s="77" t="s">
        <v>10184</v>
      </c>
      <c r="AE1254" s="80" t="str">
        <f>HYPERLINK("https://twitter.com/dodavizao/status/1662574695554711553")</f>
        <v>https://twitter.com/dodavizao/status/1662574695554711553</v>
      </c>
      <c r="AF1254" s="79">
        <v>45073.903599537036</v>
      </c>
      <c r="AG1254" s="85">
        <v>45073</v>
      </c>
      <c r="AH1254" s="82" t="s">
        <v>11217</v>
      </c>
      <c r="AI1254" s="77" t="b">
        <v>0</v>
      </c>
      <c r="AJ1254" s="77"/>
      <c r="AK1254" s="77"/>
      <c r="AL1254" s="77"/>
      <c r="AM1254" s="77"/>
      <c r="AN1254" s="77"/>
      <c r="AO1254" s="77"/>
      <c r="AP1254" s="77"/>
      <c r="AQ1254" s="77" t="s">
        <v>14628</v>
      </c>
      <c r="AR1254" s="77">
        <v>15600</v>
      </c>
      <c r="AS1254" s="77"/>
      <c r="AT1254" s="77"/>
      <c r="AU1254" s="77"/>
      <c r="AV1254" s="80" t="str">
        <f>HYPERLINK("https://pbs.twimg.com/ext_tw_video_thumb/1662574499638702082/pu/img/BIK2QjNqLS-50ItA.jpg")</f>
        <v>https://pbs.twimg.com/ext_tw_video_thumb/1662574499638702082/pu/img/BIK2QjNqLS-50ItA.jpg</v>
      </c>
      <c r="AW1254" s="82" t="s">
        <v>18027</v>
      </c>
      <c r="AX1254" s="82" t="s">
        <v>18027</v>
      </c>
      <c r="AY1254" s="77"/>
      <c r="AZ1254" s="82" t="s">
        <v>20971</v>
      </c>
      <c r="BA1254" s="82" t="s">
        <v>20971</v>
      </c>
      <c r="BB1254" s="82" t="s">
        <v>20971</v>
      </c>
      <c r="BC1254" s="82" t="s">
        <v>18027</v>
      </c>
      <c r="BD1254" s="82" t="s">
        <v>21201</v>
      </c>
      <c r="BE1254" s="77"/>
      <c r="BF1254" s="77"/>
      <c r="BG1254" s="77"/>
      <c r="BH1254" s="77"/>
      <c r="BI1254" s="77"/>
    </row>
    <row r="1255" spans="1:61" x14ac:dyDescent="0.25">
      <c r="A1255" s="62" t="s">
        <v>478</v>
      </c>
      <c r="B1255" s="62" t="s">
        <v>478</v>
      </c>
      <c r="C1255" s="63"/>
      <c r="D1255" s="64"/>
      <c r="E1255" s="65"/>
      <c r="F1255" s="66"/>
      <c r="G1255" s="63"/>
      <c r="H1255" s="67"/>
      <c r="I1255" s="68"/>
      <c r="J1255" s="68"/>
      <c r="K1255" s="32"/>
      <c r="L1255" s="75">
        <v>1255</v>
      </c>
      <c r="M1255" s="75"/>
      <c r="N1255" s="70"/>
      <c r="O1255" s="77" t="s">
        <v>179</v>
      </c>
      <c r="P1255" s="79">
        <v>45079.576423611114</v>
      </c>
      <c r="Q1255" s="77" t="s">
        <v>2499</v>
      </c>
      <c r="R1255" s="77">
        <v>0</v>
      </c>
      <c r="S1255" s="77">
        <v>0</v>
      </c>
      <c r="T1255" s="77">
        <v>0</v>
      </c>
      <c r="U1255" s="77">
        <v>0</v>
      </c>
      <c r="V1255" s="77">
        <v>19</v>
      </c>
      <c r="W1255" s="82" t="s">
        <v>5519</v>
      </c>
      <c r="X1255" s="80" t="str">
        <f>HYPERLINK("https://grupobigboss.com.br/home/mensal_desconto_147?ref=3169")</f>
        <v>https://grupobigboss.com.br/home/mensal_desconto_147?ref=3169</v>
      </c>
      <c r="Y1255" s="77" t="s">
        <v>7252</v>
      </c>
      <c r="Z1255" s="77"/>
      <c r="AA1255" s="77" t="s">
        <v>7985</v>
      </c>
      <c r="AB1255" s="77" t="s">
        <v>10129</v>
      </c>
      <c r="AC1255" s="82" t="s">
        <v>10146</v>
      </c>
      <c r="AD1255" s="77" t="s">
        <v>10184</v>
      </c>
      <c r="AE1255" s="80" t="str">
        <f>HYPERLINK("https://twitter.com/dodavizao/status/1664630458385039369")</f>
        <v>https://twitter.com/dodavizao/status/1664630458385039369</v>
      </c>
      <c r="AF1255" s="79">
        <v>45079.576423611114</v>
      </c>
      <c r="AG1255" s="85">
        <v>45079</v>
      </c>
      <c r="AH1255" s="82" t="s">
        <v>11401</v>
      </c>
      <c r="AI1255" s="77" t="b">
        <v>0</v>
      </c>
      <c r="AJ1255" s="77"/>
      <c r="AK1255" s="77"/>
      <c r="AL1255" s="77"/>
      <c r="AM1255" s="77"/>
      <c r="AN1255" s="77"/>
      <c r="AO1255" s="77"/>
      <c r="AP1255" s="77"/>
      <c r="AQ1255" s="77" t="s">
        <v>14629</v>
      </c>
      <c r="AR1255" s="77">
        <v>18133</v>
      </c>
      <c r="AS1255" s="77"/>
      <c r="AT1255" s="77"/>
      <c r="AU1255" s="77"/>
      <c r="AV1255" s="80" t="str">
        <f>HYPERLINK("https://pbs.twimg.com/ext_tw_video_thumb/1664630136065388544/pu/img/z04myyBTcZDcH5Ge.jpg")</f>
        <v>https://pbs.twimg.com/ext_tw_video_thumb/1664630136065388544/pu/img/z04myyBTcZDcH5Ge.jpg</v>
      </c>
      <c r="AW1255" s="82" t="s">
        <v>18028</v>
      </c>
      <c r="AX1255" s="82" t="s">
        <v>18028</v>
      </c>
      <c r="AY1255" s="77"/>
      <c r="AZ1255" s="82" t="s">
        <v>20971</v>
      </c>
      <c r="BA1255" s="82" t="s">
        <v>20971</v>
      </c>
      <c r="BB1255" s="82" t="s">
        <v>20971</v>
      </c>
      <c r="BC1255" s="82" t="s">
        <v>18028</v>
      </c>
      <c r="BD1255" s="82" t="s">
        <v>21201</v>
      </c>
      <c r="BE1255" s="77"/>
      <c r="BF1255" s="77"/>
      <c r="BG1255" s="77"/>
      <c r="BH1255" s="77"/>
      <c r="BI1255" s="77"/>
    </row>
    <row r="1256" spans="1:61" x14ac:dyDescent="0.25">
      <c r="A1256" s="62" t="s">
        <v>478</v>
      </c>
      <c r="B1256" s="62" t="s">
        <v>478</v>
      </c>
      <c r="C1256" s="63"/>
      <c r="D1256" s="64"/>
      <c r="E1256" s="65"/>
      <c r="F1256" s="66"/>
      <c r="G1256" s="63"/>
      <c r="H1256" s="67"/>
      <c r="I1256" s="68"/>
      <c r="J1256" s="68"/>
      <c r="K1256" s="32"/>
      <c r="L1256" s="75">
        <v>1256</v>
      </c>
      <c r="M1256" s="75"/>
      <c r="N1256" s="70"/>
      <c r="O1256" s="77" t="s">
        <v>179</v>
      </c>
      <c r="P1256" s="79">
        <v>45081.640011574076</v>
      </c>
      <c r="Q1256" s="77" t="s">
        <v>2500</v>
      </c>
      <c r="R1256" s="77">
        <v>0</v>
      </c>
      <c r="S1256" s="77">
        <v>0</v>
      </c>
      <c r="T1256" s="77">
        <v>0</v>
      </c>
      <c r="U1256" s="77">
        <v>0</v>
      </c>
      <c r="V1256" s="77">
        <v>13</v>
      </c>
      <c r="W1256" s="82" t="s">
        <v>5652</v>
      </c>
      <c r="X1256" s="80" t="str">
        <f>HYPERLINK("https://lnkd.in/eCEhQ8YA")</f>
        <v>https://lnkd.in/eCEhQ8YA</v>
      </c>
      <c r="Y1256" s="77" t="s">
        <v>7324</v>
      </c>
      <c r="Z1256" s="77"/>
      <c r="AA1256" s="77" t="s">
        <v>7986</v>
      </c>
      <c r="AB1256" s="77" t="s">
        <v>10129</v>
      </c>
      <c r="AC1256" s="82" t="s">
        <v>10146</v>
      </c>
      <c r="AD1256" s="77" t="s">
        <v>10184</v>
      </c>
      <c r="AE1256" s="80" t="str">
        <f>HYPERLINK("https://twitter.com/dodavizao/status/1665378278503325698")</f>
        <v>https://twitter.com/dodavizao/status/1665378278503325698</v>
      </c>
      <c r="AF1256" s="79">
        <v>45081.640011574076</v>
      </c>
      <c r="AG1256" s="85">
        <v>45081</v>
      </c>
      <c r="AH1256" s="82" t="s">
        <v>11402</v>
      </c>
      <c r="AI1256" s="77" t="b">
        <v>0</v>
      </c>
      <c r="AJ1256" s="77"/>
      <c r="AK1256" s="77"/>
      <c r="AL1256" s="77"/>
      <c r="AM1256" s="77"/>
      <c r="AN1256" s="77"/>
      <c r="AO1256" s="77"/>
      <c r="AP1256" s="77"/>
      <c r="AQ1256" s="77" t="s">
        <v>14630</v>
      </c>
      <c r="AR1256" s="77">
        <v>13966</v>
      </c>
      <c r="AS1256" s="77"/>
      <c r="AT1256" s="77"/>
      <c r="AU1256" s="77"/>
      <c r="AV1256" s="80" t="str">
        <f>HYPERLINK("https://pbs.twimg.com/ext_tw_video_thumb/1665378199423811587/pu/img/X5WEIMKrImZF8k_S.jpg")</f>
        <v>https://pbs.twimg.com/ext_tw_video_thumb/1665378199423811587/pu/img/X5WEIMKrImZF8k_S.jpg</v>
      </c>
      <c r="AW1256" s="82" t="s">
        <v>18029</v>
      </c>
      <c r="AX1256" s="82" t="s">
        <v>18029</v>
      </c>
      <c r="AY1256" s="77"/>
      <c r="AZ1256" s="82" t="s">
        <v>20971</v>
      </c>
      <c r="BA1256" s="82" t="s">
        <v>20971</v>
      </c>
      <c r="BB1256" s="82" t="s">
        <v>20971</v>
      </c>
      <c r="BC1256" s="82" t="s">
        <v>18029</v>
      </c>
      <c r="BD1256" s="82" t="s">
        <v>21201</v>
      </c>
      <c r="BE1256" s="77"/>
      <c r="BF1256" s="77"/>
      <c r="BG1256" s="77"/>
      <c r="BH1256" s="77"/>
      <c r="BI1256" s="77"/>
    </row>
    <row r="1257" spans="1:61" x14ac:dyDescent="0.25">
      <c r="A1257" s="62" t="s">
        <v>478</v>
      </c>
      <c r="B1257" s="62" t="s">
        <v>478</v>
      </c>
      <c r="C1257" s="63"/>
      <c r="D1257" s="64"/>
      <c r="E1257" s="65"/>
      <c r="F1257" s="66"/>
      <c r="G1257" s="63"/>
      <c r="H1257" s="67"/>
      <c r="I1257" s="68"/>
      <c r="J1257" s="68"/>
      <c r="K1257" s="32"/>
      <c r="L1257" s="75">
        <v>1257</v>
      </c>
      <c r="M1257" s="75"/>
      <c r="N1257" s="70"/>
      <c r="O1257" s="77" t="s">
        <v>179</v>
      </c>
      <c r="P1257" s="79">
        <v>45081.638877314814</v>
      </c>
      <c r="Q1257" s="77" t="s">
        <v>2501</v>
      </c>
      <c r="R1257" s="77">
        <v>0</v>
      </c>
      <c r="S1257" s="77">
        <v>0</v>
      </c>
      <c r="T1257" s="77">
        <v>0</v>
      </c>
      <c r="U1257" s="77">
        <v>0</v>
      </c>
      <c r="V1257" s="77">
        <v>13</v>
      </c>
      <c r="W1257" s="82" t="s">
        <v>5652</v>
      </c>
      <c r="X1257" s="80" t="str">
        <f>HYPERLINK("https://lnkd.in/eCEhQ8YA")</f>
        <v>https://lnkd.in/eCEhQ8YA</v>
      </c>
      <c r="Y1257" s="77" t="s">
        <v>7324</v>
      </c>
      <c r="Z1257" s="77"/>
      <c r="AA1257" s="77" t="s">
        <v>7987</v>
      </c>
      <c r="AB1257" s="77" t="s">
        <v>10129</v>
      </c>
      <c r="AC1257" s="82" t="s">
        <v>10146</v>
      </c>
      <c r="AD1257" s="77" t="s">
        <v>10184</v>
      </c>
      <c r="AE1257" s="80" t="str">
        <f>HYPERLINK("https://twitter.com/dodavizao/status/1665377867952185349")</f>
        <v>https://twitter.com/dodavizao/status/1665377867952185349</v>
      </c>
      <c r="AF1257" s="79">
        <v>45081.638877314814</v>
      </c>
      <c r="AG1257" s="85">
        <v>45081</v>
      </c>
      <c r="AH1257" s="82" t="s">
        <v>11403</v>
      </c>
      <c r="AI1257" s="77" t="b">
        <v>0</v>
      </c>
      <c r="AJ1257" s="77"/>
      <c r="AK1257" s="77"/>
      <c r="AL1257" s="77"/>
      <c r="AM1257" s="77"/>
      <c r="AN1257" s="77"/>
      <c r="AO1257" s="77"/>
      <c r="AP1257" s="77"/>
      <c r="AQ1257" s="77" t="s">
        <v>14631</v>
      </c>
      <c r="AR1257" s="77">
        <v>13766</v>
      </c>
      <c r="AS1257" s="77"/>
      <c r="AT1257" s="77"/>
      <c r="AU1257" s="77"/>
      <c r="AV1257" s="80" t="str">
        <f>HYPERLINK("https://pbs.twimg.com/ext_tw_video_thumb/1665377798385483776/pu/img/QGQ81HUUXAVLyYlK.jpg")</f>
        <v>https://pbs.twimg.com/ext_tw_video_thumb/1665377798385483776/pu/img/QGQ81HUUXAVLyYlK.jpg</v>
      </c>
      <c r="AW1257" s="82" t="s">
        <v>18030</v>
      </c>
      <c r="AX1257" s="82" t="s">
        <v>18030</v>
      </c>
      <c r="AY1257" s="77"/>
      <c r="AZ1257" s="82" t="s">
        <v>20971</v>
      </c>
      <c r="BA1257" s="82" t="s">
        <v>20971</v>
      </c>
      <c r="BB1257" s="82" t="s">
        <v>20971</v>
      </c>
      <c r="BC1257" s="82" t="s">
        <v>18030</v>
      </c>
      <c r="BD1257" s="82" t="s">
        <v>21201</v>
      </c>
      <c r="BE1257" s="77"/>
      <c r="BF1257" s="77"/>
      <c r="BG1257" s="77"/>
      <c r="BH1257" s="77"/>
      <c r="BI1257" s="77"/>
    </row>
    <row r="1258" spans="1:61" x14ac:dyDescent="0.25">
      <c r="A1258" s="62" t="s">
        <v>478</v>
      </c>
      <c r="B1258" s="62" t="s">
        <v>478</v>
      </c>
      <c r="C1258" s="63"/>
      <c r="D1258" s="64"/>
      <c r="E1258" s="65"/>
      <c r="F1258" s="66"/>
      <c r="G1258" s="63"/>
      <c r="H1258" s="67"/>
      <c r="I1258" s="68"/>
      <c r="J1258" s="68"/>
      <c r="K1258" s="32"/>
      <c r="L1258" s="75">
        <v>1258</v>
      </c>
      <c r="M1258" s="75"/>
      <c r="N1258" s="70"/>
      <c r="O1258" s="77" t="s">
        <v>179</v>
      </c>
      <c r="P1258" s="79">
        <v>45081.638449074075</v>
      </c>
      <c r="Q1258" s="77" t="s">
        <v>2502</v>
      </c>
      <c r="R1258" s="77">
        <v>0</v>
      </c>
      <c r="S1258" s="77">
        <v>0</v>
      </c>
      <c r="T1258" s="77">
        <v>0</v>
      </c>
      <c r="U1258" s="77">
        <v>0</v>
      </c>
      <c r="V1258" s="77">
        <v>12</v>
      </c>
      <c r="W1258" s="82" t="s">
        <v>5652</v>
      </c>
      <c r="X1258" s="80" t="str">
        <f>HYPERLINK("https://lnkd.in/eCEhQ8YA")</f>
        <v>https://lnkd.in/eCEhQ8YA</v>
      </c>
      <c r="Y1258" s="77" t="s">
        <v>7324</v>
      </c>
      <c r="Z1258" s="77"/>
      <c r="AA1258" s="77" t="s">
        <v>7988</v>
      </c>
      <c r="AB1258" s="77" t="s">
        <v>10129</v>
      </c>
      <c r="AC1258" s="82" t="s">
        <v>10146</v>
      </c>
      <c r="AD1258" s="77" t="s">
        <v>10184</v>
      </c>
      <c r="AE1258" s="80" t="str">
        <f>HYPERLINK("https://twitter.com/dodavizao/status/1665377711051636741")</f>
        <v>https://twitter.com/dodavizao/status/1665377711051636741</v>
      </c>
      <c r="AF1258" s="79">
        <v>45081.638449074075</v>
      </c>
      <c r="AG1258" s="85">
        <v>45081</v>
      </c>
      <c r="AH1258" s="82" t="s">
        <v>11404</v>
      </c>
      <c r="AI1258" s="77" t="b">
        <v>0</v>
      </c>
      <c r="AJ1258" s="77"/>
      <c r="AK1258" s="77"/>
      <c r="AL1258" s="77"/>
      <c r="AM1258" s="77"/>
      <c r="AN1258" s="77"/>
      <c r="AO1258" s="77"/>
      <c r="AP1258" s="77"/>
      <c r="AQ1258" s="77" t="s">
        <v>14632</v>
      </c>
      <c r="AR1258" s="77">
        <v>13833</v>
      </c>
      <c r="AS1258" s="77"/>
      <c r="AT1258" s="77"/>
      <c r="AU1258" s="77"/>
      <c r="AV1258" s="80" t="str">
        <f>HYPERLINK("https://pbs.twimg.com/ext_tw_video_thumb/1665377574631907330/pu/img/DPe57TP92_tn67ji.jpg")</f>
        <v>https://pbs.twimg.com/ext_tw_video_thumb/1665377574631907330/pu/img/DPe57TP92_tn67ji.jpg</v>
      </c>
      <c r="AW1258" s="82" t="s">
        <v>18031</v>
      </c>
      <c r="AX1258" s="82" t="s">
        <v>18031</v>
      </c>
      <c r="AY1258" s="77"/>
      <c r="AZ1258" s="82" t="s">
        <v>20971</v>
      </c>
      <c r="BA1258" s="82" t="s">
        <v>20971</v>
      </c>
      <c r="BB1258" s="82" t="s">
        <v>20971</v>
      </c>
      <c r="BC1258" s="82" t="s">
        <v>18031</v>
      </c>
      <c r="BD1258" s="82" t="s">
        <v>21201</v>
      </c>
      <c r="BE1258" s="77"/>
      <c r="BF1258" s="77"/>
      <c r="BG1258" s="77"/>
      <c r="BH1258" s="77"/>
      <c r="BI1258" s="77"/>
    </row>
    <row r="1259" spans="1:61" x14ac:dyDescent="0.25">
      <c r="A1259" s="62" t="s">
        <v>478</v>
      </c>
      <c r="B1259" s="62" t="s">
        <v>478</v>
      </c>
      <c r="C1259" s="63"/>
      <c r="D1259" s="64"/>
      <c r="E1259" s="65"/>
      <c r="F1259" s="66"/>
      <c r="G1259" s="63"/>
      <c r="H1259" s="67"/>
      <c r="I1259" s="68"/>
      <c r="J1259" s="68"/>
      <c r="K1259" s="32"/>
      <c r="L1259" s="75">
        <v>1259</v>
      </c>
      <c r="M1259" s="75"/>
      <c r="N1259" s="70"/>
      <c r="O1259" s="77" t="s">
        <v>179</v>
      </c>
      <c r="P1259" s="79">
        <v>45086.635706018518</v>
      </c>
      <c r="Q1259" s="77" t="s">
        <v>2503</v>
      </c>
      <c r="R1259" s="77">
        <v>0</v>
      </c>
      <c r="S1259" s="77">
        <v>0</v>
      </c>
      <c r="T1259" s="77">
        <v>0</v>
      </c>
      <c r="U1259" s="77">
        <v>0</v>
      </c>
      <c r="V1259" s="77">
        <v>11</v>
      </c>
      <c r="W1259" s="82" t="s">
        <v>5652</v>
      </c>
      <c r="X1259" s="80" t="str">
        <f>HYPERLINK("https://lnkd.in/eCEhQ8YA")</f>
        <v>https://lnkd.in/eCEhQ8YA</v>
      </c>
      <c r="Y1259" s="77" t="s">
        <v>7324</v>
      </c>
      <c r="Z1259" s="77"/>
      <c r="AA1259" s="77" t="s">
        <v>7989</v>
      </c>
      <c r="AB1259" s="77" t="s">
        <v>10129</v>
      </c>
      <c r="AC1259" s="82" t="s">
        <v>10146</v>
      </c>
      <c r="AD1259" s="77" t="s">
        <v>10184</v>
      </c>
      <c r="AE1259" s="80" t="str">
        <f>HYPERLINK("https://twitter.com/dodavizao/status/1667188656770015233")</f>
        <v>https://twitter.com/dodavizao/status/1667188656770015233</v>
      </c>
      <c r="AF1259" s="79">
        <v>45086.635706018518</v>
      </c>
      <c r="AG1259" s="85">
        <v>45086</v>
      </c>
      <c r="AH1259" s="82" t="s">
        <v>11405</v>
      </c>
      <c r="AI1259" s="77" t="b">
        <v>0</v>
      </c>
      <c r="AJ1259" s="77"/>
      <c r="AK1259" s="77"/>
      <c r="AL1259" s="77"/>
      <c r="AM1259" s="77"/>
      <c r="AN1259" s="77"/>
      <c r="AO1259" s="77"/>
      <c r="AP1259" s="77"/>
      <c r="AQ1259" s="77" t="s">
        <v>14633</v>
      </c>
      <c r="AR1259" s="77">
        <v>16733</v>
      </c>
      <c r="AS1259" s="77"/>
      <c r="AT1259" s="77"/>
      <c r="AU1259" s="77"/>
      <c r="AV1259" s="80" t="str">
        <f>HYPERLINK("https://pbs.twimg.com/ext_tw_video_thumb/1667188542877966340/pu/img/GMg9yUtA3YC39vUo.jpg")</f>
        <v>https://pbs.twimg.com/ext_tw_video_thumb/1667188542877966340/pu/img/GMg9yUtA3YC39vUo.jpg</v>
      </c>
      <c r="AW1259" s="82" t="s">
        <v>18032</v>
      </c>
      <c r="AX1259" s="82" t="s">
        <v>18032</v>
      </c>
      <c r="AY1259" s="77"/>
      <c r="AZ1259" s="82" t="s">
        <v>20971</v>
      </c>
      <c r="BA1259" s="82" t="s">
        <v>20971</v>
      </c>
      <c r="BB1259" s="82" t="s">
        <v>20971</v>
      </c>
      <c r="BC1259" s="82" t="s">
        <v>18032</v>
      </c>
      <c r="BD1259" s="82" t="s">
        <v>21201</v>
      </c>
      <c r="BE1259" s="77"/>
      <c r="BF1259" s="77"/>
      <c r="BG1259" s="77"/>
      <c r="BH1259" s="77"/>
      <c r="BI1259" s="77"/>
    </row>
    <row r="1260" spans="1:61" x14ac:dyDescent="0.25">
      <c r="A1260" s="62" t="s">
        <v>479</v>
      </c>
      <c r="B1260" s="62" t="s">
        <v>479</v>
      </c>
      <c r="C1260" s="63"/>
      <c r="D1260" s="64"/>
      <c r="E1260" s="65"/>
      <c r="F1260" s="66"/>
      <c r="G1260" s="63"/>
      <c r="H1260" s="67"/>
      <c r="I1260" s="68"/>
      <c r="J1260" s="68"/>
      <c r="K1260" s="32"/>
      <c r="L1260" s="75">
        <v>1260</v>
      </c>
      <c r="M1260" s="75"/>
      <c r="N1260" s="70"/>
      <c r="O1260" s="77" t="s">
        <v>179</v>
      </c>
      <c r="P1260" s="79">
        <v>44962.560219907406</v>
      </c>
      <c r="Q1260" s="77" t="s">
        <v>2504</v>
      </c>
      <c r="R1260" s="77">
        <v>1</v>
      </c>
      <c r="S1260" s="77">
        <v>19</v>
      </c>
      <c r="T1260" s="77">
        <v>1</v>
      </c>
      <c r="U1260" s="77">
        <v>0</v>
      </c>
      <c r="V1260" s="77">
        <v>1128</v>
      </c>
      <c r="W1260" s="82" t="s">
        <v>5653</v>
      </c>
      <c r="X1260" s="80" t="str">
        <f>HYPERLINK("http://hotm.art/UxzYxD")</f>
        <v>http://hotm.art/UxzYxD</v>
      </c>
      <c r="Y1260" s="77" t="s">
        <v>7260</v>
      </c>
      <c r="Z1260" s="77"/>
      <c r="AA1260" s="77" t="s">
        <v>7990</v>
      </c>
      <c r="AB1260" s="77" t="s">
        <v>10130</v>
      </c>
      <c r="AC1260" s="82" t="s">
        <v>10146</v>
      </c>
      <c r="AD1260" s="77" t="s">
        <v>10184</v>
      </c>
      <c r="AE1260" s="80" t="str">
        <f>HYPERLINK("https://twitter.com/ceufragmentos/status/1622225206168244224")</f>
        <v>https://twitter.com/ceufragmentos/status/1622225206168244224</v>
      </c>
      <c r="AF1260" s="79">
        <v>44962.560219907406</v>
      </c>
      <c r="AG1260" s="85">
        <v>44962</v>
      </c>
      <c r="AH1260" s="82" t="s">
        <v>11406</v>
      </c>
      <c r="AI1260" s="77" t="b">
        <v>0</v>
      </c>
      <c r="AJ1260" s="77"/>
      <c r="AK1260" s="77"/>
      <c r="AL1260" s="77"/>
      <c r="AM1260" s="77"/>
      <c r="AN1260" s="77"/>
      <c r="AO1260" s="77"/>
      <c r="AP1260" s="77"/>
      <c r="AQ1260" s="77" t="s">
        <v>14634</v>
      </c>
      <c r="AR1260" s="77"/>
      <c r="AS1260" s="77"/>
      <c r="AT1260" s="77"/>
      <c r="AU1260" s="77"/>
      <c r="AV1260" s="80" t="str">
        <f>HYPERLINK("https://pbs.twimg.com/media/FoNM62pXwAAI_pu.jpg")</f>
        <v>https://pbs.twimg.com/media/FoNM62pXwAAI_pu.jpg</v>
      </c>
      <c r="AW1260" s="82" t="s">
        <v>18033</v>
      </c>
      <c r="AX1260" s="82" t="s">
        <v>18033</v>
      </c>
      <c r="AY1260" s="77"/>
      <c r="AZ1260" s="82" t="s">
        <v>20971</v>
      </c>
      <c r="BA1260" s="82" t="s">
        <v>20971</v>
      </c>
      <c r="BB1260" s="82" t="s">
        <v>20971</v>
      </c>
      <c r="BC1260" s="82" t="s">
        <v>18033</v>
      </c>
      <c r="BD1260" s="82" t="s">
        <v>21202</v>
      </c>
      <c r="BE1260" s="77"/>
      <c r="BF1260" s="77"/>
      <c r="BG1260" s="77"/>
      <c r="BH1260" s="77"/>
      <c r="BI1260" s="77"/>
    </row>
    <row r="1261" spans="1:61" x14ac:dyDescent="0.25">
      <c r="A1261" s="62" t="s">
        <v>480</v>
      </c>
      <c r="B1261" s="62" t="s">
        <v>480</v>
      </c>
      <c r="C1261" s="63"/>
      <c r="D1261" s="64"/>
      <c r="E1261" s="65"/>
      <c r="F1261" s="66"/>
      <c r="G1261" s="63"/>
      <c r="H1261" s="67"/>
      <c r="I1261" s="68"/>
      <c r="J1261" s="68"/>
      <c r="K1261" s="32"/>
      <c r="L1261" s="75">
        <v>1261</v>
      </c>
      <c r="M1261" s="75"/>
      <c r="N1261" s="70"/>
      <c r="O1261" s="77" t="s">
        <v>179</v>
      </c>
      <c r="P1261" s="79">
        <v>44977.92900462963</v>
      </c>
      <c r="Q1261" s="77" t="s">
        <v>2505</v>
      </c>
      <c r="R1261" s="77">
        <v>0</v>
      </c>
      <c r="S1261" s="77">
        <v>0</v>
      </c>
      <c r="T1261" s="77">
        <v>0</v>
      </c>
      <c r="U1261" s="77">
        <v>0</v>
      </c>
      <c r="V1261" s="77">
        <v>49</v>
      </c>
      <c r="W1261" s="82" t="s">
        <v>5236</v>
      </c>
      <c r="X1261" s="80" t="str">
        <f>HYPERLINK("https://go.hotmart.com/B77468619P")</f>
        <v>https://go.hotmart.com/B77468619P</v>
      </c>
      <c r="Y1261" s="77" t="s">
        <v>7251</v>
      </c>
      <c r="Z1261" s="77"/>
      <c r="AA1261" s="77" t="s">
        <v>7991</v>
      </c>
      <c r="AB1261" s="77" t="s">
        <v>10130</v>
      </c>
      <c r="AC1261" s="82" t="s">
        <v>480</v>
      </c>
      <c r="AD1261" s="77" t="s">
        <v>10184</v>
      </c>
      <c r="AE1261" s="80" t="str">
        <f>HYPERLINK("https://twitter.com/informa_bc/status/1627794669252886528")</f>
        <v>https://twitter.com/informa_bc/status/1627794669252886528</v>
      </c>
      <c r="AF1261" s="79">
        <v>44977.92900462963</v>
      </c>
      <c r="AG1261" s="85">
        <v>44977</v>
      </c>
      <c r="AH1261" s="82" t="s">
        <v>11407</v>
      </c>
      <c r="AI1261" s="77" t="b">
        <v>0</v>
      </c>
      <c r="AJ1261" s="77"/>
      <c r="AK1261" s="77"/>
      <c r="AL1261" s="77"/>
      <c r="AM1261" s="77"/>
      <c r="AN1261" s="77"/>
      <c r="AO1261" s="77"/>
      <c r="AP1261" s="77"/>
      <c r="AQ1261" s="77" t="s">
        <v>14635</v>
      </c>
      <c r="AR1261" s="77"/>
      <c r="AS1261" s="77"/>
      <c r="AT1261" s="77"/>
      <c r="AU1261" s="77"/>
      <c r="AV1261" s="80" t="str">
        <f>HYPERLINK("https://pbs.twimg.com/media/FpcWl4tWYAA_EpG.jpg")</f>
        <v>https://pbs.twimg.com/media/FpcWl4tWYAA_EpG.jpg</v>
      </c>
      <c r="AW1261" s="82" t="s">
        <v>18034</v>
      </c>
      <c r="AX1261" s="82" t="s">
        <v>18034</v>
      </c>
      <c r="AY1261" s="77"/>
      <c r="AZ1261" s="82" t="s">
        <v>20971</v>
      </c>
      <c r="BA1261" s="82" t="s">
        <v>20971</v>
      </c>
      <c r="BB1261" s="82" t="s">
        <v>20971</v>
      </c>
      <c r="BC1261" s="82" t="s">
        <v>18034</v>
      </c>
      <c r="BD1261" s="82" t="s">
        <v>21203</v>
      </c>
      <c r="BE1261" s="77"/>
      <c r="BF1261" s="77"/>
      <c r="BG1261" s="77"/>
      <c r="BH1261" s="77"/>
      <c r="BI1261" s="77"/>
    </row>
    <row r="1262" spans="1:61" x14ac:dyDescent="0.25">
      <c r="A1262" s="62" t="s">
        <v>480</v>
      </c>
      <c r="B1262" s="62" t="s">
        <v>480</v>
      </c>
      <c r="C1262" s="63"/>
      <c r="D1262" s="64"/>
      <c r="E1262" s="65"/>
      <c r="F1262" s="66"/>
      <c r="G1262" s="63"/>
      <c r="H1262" s="67"/>
      <c r="I1262" s="68"/>
      <c r="J1262" s="68"/>
      <c r="K1262" s="32"/>
      <c r="L1262" s="75">
        <v>1262</v>
      </c>
      <c r="M1262" s="75"/>
      <c r="N1262" s="70"/>
      <c r="O1262" s="77" t="s">
        <v>179</v>
      </c>
      <c r="P1262" s="79">
        <v>44960.412048611113</v>
      </c>
      <c r="Q1262" s="77" t="s">
        <v>2506</v>
      </c>
      <c r="R1262" s="77">
        <v>1</v>
      </c>
      <c r="S1262" s="77">
        <v>1</v>
      </c>
      <c r="T1262" s="77">
        <v>0</v>
      </c>
      <c r="U1262" s="77">
        <v>0</v>
      </c>
      <c r="V1262" s="77">
        <v>22</v>
      </c>
      <c r="W1262" s="82" t="s">
        <v>5236</v>
      </c>
      <c r="X1262" s="80" t="str">
        <f>HYPERLINK("https://go.hotmart.com/B77468619P")</f>
        <v>https://go.hotmart.com/B77468619P</v>
      </c>
      <c r="Y1262" s="77" t="s">
        <v>7251</v>
      </c>
      <c r="Z1262" s="77"/>
      <c r="AA1262" s="77" t="s">
        <v>7992</v>
      </c>
      <c r="AB1262" s="77" t="s">
        <v>10130</v>
      </c>
      <c r="AC1262" s="82" t="s">
        <v>480</v>
      </c>
      <c r="AD1262" s="77" t="s">
        <v>10184</v>
      </c>
      <c r="AE1262" s="80" t="str">
        <f>HYPERLINK("https://twitter.com/informa_bc/status/1621446737813536768")</f>
        <v>https://twitter.com/informa_bc/status/1621446737813536768</v>
      </c>
      <c r="AF1262" s="79">
        <v>44960.412048611113</v>
      </c>
      <c r="AG1262" s="85">
        <v>44960</v>
      </c>
      <c r="AH1262" s="82" t="s">
        <v>11408</v>
      </c>
      <c r="AI1262" s="77" t="b">
        <v>0</v>
      </c>
      <c r="AJ1262" s="77"/>
      <c r="AK1262" s="77"/>
      <c r="AL1262" s="77"/>
      <c r="AM1262" s="77"/>
      <c r="AN1262" s="77"/>
      <c r="AO1262" s="77"/>
      <c r="AP1262" s="77"/>
      <c r="AQ1262" s="77" t="s">
        <v>14636</v>
      </c>
      <c r="AR1262" s="77"/>
      <c r="AS1262" s="77"/>
      <c r="AT1262" s="77"/>
      <c r="AU1262" s="77"/>
      <c r="AV1262" s="80" t="str">
        <f>HYPERLINK("https://pbs.twimg.com/media/FoCJL1IXwAYSdni.jpg")</f>
        <v>https://pbs.twimg.com/media/FoCJL1IXwAYSdni.jpg</v>
      </c>
      <c r="AW1262" s="82" t="s">
        <v>18035</v>
      </c>
      <c r="AX1262" s="82" t="s">
        <v>18035</v>
      </c>
      <c r="AY1262" s="77"/>
      <c r="AZ1262" s="82" t="s">
        <v>20971</v>
      </c>
      <c r="BA1262" s="82" t="s">
        <v>20971</v>
      </c>
      <c r="BB1262" s="82" t="s">
        <v>20971</v>
      </c>
      <c r="BC1262" s="82" t="s">
        <v>18035</v>
      </c>
      <c r="BD1262" s="82" t="s">
        <v>21203</v>
      </c>
      <c r="BE1262" s="77"/>
      <c r="BF1262" s="77"/>
      <c r="BG1262" s="77"/>
      <c r="BH1262" s="77"/>
      <c r="BI1262" s="77"/>
    </row>
    <row r="1263" spans="1:61" x14ac:dyDescent="0.25">
      <c r="A1263" s="62" t="s">
        <v>480</v>
      </c>
      <c r="B1263" s="62" t="s">
        <v>480</v>
      </c>
      <c r="C1263" s="63"/>
      <c r="D1263" s="64"/>
      <c r="E1263" s="65"/>
      <c r="F1263" s="66"/>
      <c r="G1263" s="63"/>
      <c r="H1263" s="67"/>
      <c r="I1263" s="68"/>
      <c r="J1263" s="68"/>
      <c r="K1263" s="32"/>
      <c r="L1263" s="75">
        <v>1263</v>
      </c>
      <c r="M1263" s="75"/>
      <c r="N1263" s="70"/>
      <c r="O1263" s="77" t="s">
        <v>179</v>
      </c>
      <c r="P1263" s="79">
        <v>44960.328553240739</v>
      </c>
      <c r="Q1263" s="77" t="s">
        <v>2507</v>
      </c>
      <c r="R1263" s="77">
        <v>1</v>
      </c>
      <c r="S1263" s="77">
        <v>2</v>
      </c>
      <c r="T1263" s="77">
        <v>0</v>
      </c>
      <c r="U1263" s="77">
        <v>0</v>
      </c>
      <c r="V1263" s="77">
        <v>22</v>
      </c>
      <c r="W1263" s="82" t="s">
        <v>5236</v>
      </c>
      <c r="X1263" s="80" t="str">
        <f>HYPERLINK("https://go.hotmart.com/B77468619P")</f>
        <v>https://go.hotmart.com/B77468619P</v>
      </c>
      <c r="Y1263" s="77" t="s">
        <v>7251</v>
      </c>
      <c r="Z1263" s="77"/>
      <c r="AA1263" s="77" t="s">
        <v>7993</v>
      </c>
      <c r="AB1263" s="77" t="s">
        <v>10130</v>
      </c>
      <c r="AC1263" s="82" t="s">
        <v>480</v>
      </c>
      <c r="AD1263" s="77" t="s">
        <v>10184</v>
      </c>
      <c r="AE1263" s="80" t="str">
        <f>HYPERLINK("https://twitter.com/informa_bc/status/1621416477625651200")</f>
        <v>https://twitter.com/informa_bc/status/1621416477625651200</v>
      </c>
      <c r="AF1263" s="79">
        <v>44960.328553240739</v>
      </c>
      <c r="AG1263" s="85">
        <v>44960</v>
      </c>
      <c r="AH1263" s="82" t="s">
        <v>11409</v>
      </c>
      <c r="AI1263" s="77" t="b">
        <v>0</v>
      </c>
      <c r="AJ1263" s="77"/>
      <c r="AK1263" s="77"/>
      <c r="AL1263" s="77"/>
      <c r="AM1263" s="77"/>
      <c r="AN1263" s="77"/>
      <c r="AO1263" s="77"/>
      <c r="AP1263" s="77"/>
      <c r="AQ1263" s="77" t="s">
        <v>14637</v>
      </c>
      <c r="AR1263" s="77"/>
      <c r="AS1263" s="77"/>
      <c r="AT1263" s="77"/>
      <c r="AU1263" s="77"/>
      <c r="AV1263" s="80" t="str">
        <f>HYPERLINK("https://pbs.twimg.com/media/FoBtq_RWAAA6s-T.jpg")</f>
        <v>https://pbs.twimg.com/media/FoBtq_RWAAA6s-T.jpg</v>
      </c>
      <c r="AW1263" s="82" t="s">
        <v>18036</v>
      </c>
      <c r="AX1263" s="82" t="s">
        <v>18036</v>
      </c>
      <c r="AY1263" s="77"/>
      <c r="AZ1263" s="82" t="s">
        <v>20971</v>
      </c>
      <c r="BA1263" s="82" t="s">
        <v>20971</v>
      </c>
      <c r="BB1263" s="82" t="s">
        <v>20971</v>
      </c>
      <c r="BC1263" s="82" t="s">
        <v>18036</v>
      </c>
      <c r="BD1263" s="82" t="s">
        <v>21203</v>
      </c>
      <c r="BE1263" s="77"/>
      <c r="BF1263" s="77"/>
      <c r="BG1263" s="77"/>
      <c r="BH1263" s="77"/>
      <c r="BI1263" s="77"/>
    </row>
    <row r="1264" spans="1:61" x14ac:dyDescent="0.25">
      <c r="A1264" s="62" t="s">
        <v>480</v>
      </c>
      <c r="B1264" s="62" t="s">
        <v>480</v>
      </c>
      <c r="C1264" s="63"/>
      <c r="D1264" s="64"/>
      <c r="E1264" s="65"/>
      <c r="F1264" s="66"/>
      <c r="G1264" s="63"/>
      <c r="H1264" s="67"/>
      <c r="I1264" s="68"/>
      <c r="J1264" s="68"/>
      <c r="K1264" s="32"/>
      <c r="L1264" s="75">
        <v>1264</v>
      </c>
      <c r="M1264" s="75"/>
      <c r="N1264" s="70"/>
      <c r="O1264" s="77" t="s">
        <v>179</v>
      </c>
      <c r="P1264" s="79">
        <v>44960.245000000003</v>
      </c>
      <c r="Q1264" s="77" t="s">
        <v>2508</v>
      </c>
      <c r="R1264" s="77">
        <v>0</v>
      </c>
      <c r="S1264" s="77">
        <v>0</v>
      </c>
      <c r="T1264" s="77">
        <v>0</v>
      </c>
      <c r="U1264" s="77">
        <v>0</v>
      </c>
      <c r="V1264" s="77">
        <v>19</v>
      </c>
      <c r="W1264" s="82" t="s">
        <v>5236</v>
      </c>
      <c r="X1264" s="80" t="str">
        <f>HYPERLINK("https://go.hotmart.com/B77468619P")</f>
        <v>https://go.hotmart.com/B77468619P</v>
      </c>
      <c r="Y1264" s="77" t="s">
        <v>7251</v>
      </c>
      <c r="Z1264" s="77"/>
      <c r="AA1264" s="77" t="s">
        <v>7994</v>
      </c>
      <c r="AB1264" s="77" t="s">
        <v>10130</v>
      </c>
      <c r="AC1264" s="82" t="s">
        <v>480</v>
      </c>
      <c r="AD1264" s="77" t="s">
        <v>10184</v>
      </c>
      <c r="AE1264" s="80" t="str">
        <f>HYPERLINK("https://twitter.com/informa_bc/status/1621386200228446208")</f>
        <v>https://twitter.com/informa_bc/status/1621386200228446208</v>
      </c>
      <c r="AF1264" s="79">
        <v>44960.245000000003</v>
      </c>
      <c r="AG1264" s="85">
        <v>44960</v>
      </c>
      <c r="AH1264" s="82" t="s">
        <v>11410</v>
      </c>
      <c r="AI1264" s="77" t="b">
        <v>0</v>
      </c>
      <c r="AJ1264" s="77"/>
      <c r="AK1264" s="77"/>
      <c r="AL1264" s="77"/>
      <c r="AM1264" s="77"/>
      <c r="AN1264" s="77"/>
      <c r="AO1264" s="77"/>
      <c r="AP1264" s="77"/>
      <c r="AQ1264" s="77" t="s">
        <v>14638</v>
      </c>
      <c r="AR1264" s="77"/>
      <c r="AS1264" s="77"/>
      <c r="AT1264" s="77"/>
      <c r="AU1264" s="77"/>
      <c r="AV1264" s="80" t="str">
        <f>HYPERLINK("https://pbs.twimg.com/media/FoBSIdSXgAApYgI.jpg")</f>
        <v>https://pbs.twimg.com/media/FoBSIdSXgAApYgI.jpg</v>
      </c>
      <c r="AW1264" s="82" t="s">
        <v>18037</v>
      </c>
      <c r="AX1264" s="82" t="s">
        <v>18037</v>
      </c>
      <c r="AY1264" s="77"/>
      <c r="AZ1264" s="82" t="s">
        <v>20971</v>
      </c>
      <c r="BA1264" s="82" t="s">
        <v>20971</v>
      </c>
      <c r="BB1264" s="82" t="s">
        <v>20971</v>
      </c>
      <c r="BC1264" s="82" t="s">
        <v>18037</v>
      </c>
      <c r="BD1264" s="82" t="s">
        <v>21203</v>
      </c>
      <c r="BE1264" s="77"/>
      <c r="BF1264" s="77"/>
      <c r="BG1264" s="77"/>
      <c r="BH1264" s="77"/>
      <c r="BI1264" s="77"/>
    </row>
    <row r="1265" spans="1:61" x14ac:dyDescent="0.25">
      <c r="A1265" s="62" t="s">
        <v>480</v>
      </c>
      <c r="B1265" s="62" t="s">
        <v>480</v>
      </c>
      <c r="C1265" s="63"/>
      <c r="D1265" s="64"/>
      <c r="E1265" s="65"/>
      <c r="F1265" s="66"/>
      <c r="G1265" s="63"/>
      <c r="H1265" s="67"/>
      <c r="I1265" s="68"/>
      <c r="J1265" s="68"/>
      <c r="K1265" s="32"/>
      <c r="L1265" s="75">
        <v>1265</v>
      </c>
      <c r="M1265" s="75"/>
      <c r="N1265" s="70"/>
      <c r="O1265" s="77" t="s">
        <v>179</v>
      </c>
      <c r="P1265" s="79">
        <v>45026.610208333332</v>
      </c>
      <c r="Q1265" s="77" t="s">
        <v>2509</v>
      </c>
      <c r="R1265" s="77">
        <v>0</v>
      </c>
      <c r="S1265" s="77">
        <v>0</v>
      </c>
      <c r="T1265" s="77">
        <v>0</v>
      </c>
      <c r="U1265" s="77">
        <v>0</v>
      </c>
      <c r="V1265" s="77">
        <v>18</v>
      </c>
      <c r="W1265" s="82" t="s">
        <v>5236</v>
      </c>
      <c r="X1265" s="80" t="str">
        <f>HYPERLINK("https://go.hotmart.com/B77468619P")</f>
        <v>https://go.hotmart.com/B77468619P</v>
      </c>
      <c r="Y1265" s="77" t="s">
        <v>7251</v>
      </c>
      <c r="Z1265" s="77"/>
      <c r="AA1265" s="77" t="s">
        <v>7995</v>
      </c>
      <c r="AB1265" s="77" t="s">
        <v>10130</v>
      </c>
      <c r="AC1265" s="82" t="s">
        <v>480</v>
      </c>
      <c r="AD1265" s="77" t="s">
        <v>10184</v>
      </c>
      <c r="AE1265" s="80" t="str">
        <f>HYPERLINK("https://twitter.com/informa_bc/status/1645436146065760257")</f>
        <v>https://twitter.com/informa_bc/status/1645436146065760257</v>
      </c>
      <c r="AF1265" s="79">
        <v>45026.610208333332</v>
      </c>
      <c r="AG1265" s="85">
        <v>45026</v>
      </c>
      <c r="AH1265" s="82" t="s">
        <v>11411</v>
      </c>
      <c r="AI1265" s="77" t="b">
        <v>0</v>
      </c>
      <c r="AJ1265" s="77"/>
      <c r="AK1265" s="77"/>
      <c r="AL1265" s="77"/>
      <c r="AM1265" s="77"/>
      <c r="AN1265" s="77"/>
      <c r="AO1265" s="77"/>
      <c r="AP1265" s="77"/>
      <c r="AQ1265" s="77" t="s">
        <v>14639</v>
      </c>
      <c r="AR1265" s="77"/>
      <c r="AS1265" s="77"/>
      <c r="AT1265" s="77"/>
      <c r="AU1265" s="77"/>
      <c r="AV1265" s="80" t="str">
        <f>HYPERLINK("https://pbs.twimg.com/media/FtXDbEvXoAU-fUO.jpg")</f>
        <v>https://pbs.twimg.com/media/FtXDbEvXoAU-fUO.jpg</v>
      </c>
      <c r="AW1265" s="82" t="s">
        <v>18038</v>
      </c>
      <c r="AX1265" s="82" t="s">
        <v>18038</v>
      </c>
      <c r="AY1265" s="77"/>
      <c r="AZ1265" s="82" t="s">
        <v>20971</v>
      </c>
      <c r="BA1265" s="82" t="s">
        <v>20971</v>
      </c>
      <c r="BB1265" s="82" t="s">
        <v>20971</v>
      </c>
      <c r="BC1265" s="82" t="s">
        <v>18038</v>
      </c>
      <c r="BD1265" s="82" t="s">
        <v>21203</v>
      </c>
      <c r="BE1265" s="77"/>
      <c r="BF1265" s="77"/>
      <c r="BG1265" s="77"/>
      <c r="BH1265" s="77"/>
      <c r="BI1265" s="77"/>
    </row>
    <row r="1266" spans="1:61" x14ac:dyDescent="0.25">
      <c r="A1266" s="62" t="s">
        <v>480</v>
      </c>
      <c r="B1266" s="62" t="s">
        <v>480</v>
      </c>
      <c r="C1266" s="63"/>
      <c r="D1266" s="64"/>
      <c r="E1266" s="65"/>
      <c r="F1266" s="66"/>
      <c r="G1266" s="63"/>
      <c r="H1266" s="67"/>
      <c r="I1266" s="68"/>
      <c r="J1266" s="68"/>
      <c r="K1266" s="32"/>
      <c r="L1266" s="75">
        <v>1266</v>
      </c>
      <c r="M1266" s="75"/>
      <c r="N1266" s="70"/>
      <c r="O1266" s="77" t="s">
        <v>179</v>
      </c>
      <c r="P1266" s="79">
        <v>45022.274340277778</v>
      </c>
      <c r="Q1266" s="77" t="s">
        <v>2510</v>
      </c>
      <c r="R1266" s="77">
        <v>0</v>
      </c>
      <c r="S1266" s="77">
        <v>0</v>
      </c>
      <c r="T1266" s="77">
        <v>0</v>
      </c>
      <c r="U1266" s="77">
        <v>0</v>
      </c>
      <c r="V1266" s="77">
        <v>20</v>
      </c>
      <c r="W1266" s="82" t="s">
        <v>5236</v>
      </c>
      <c r="X1266" s="80" t="str">
        <f>HYPERLINK("https://go.hotmart.com/B77468619P")</f>
        <v>https://go.hotmart.com/B77468619P</v>
      </c>
      <c r="Y1266" s="77" t="s">
        <v>7251</v>
      </c>
      <c r="Z1266" s="77"/>
      <c r="AA1266" s="77" t="s">
        <v>7996</v>
      </c>
      <c r="AB1266" s="77" t="s">
        <v>10130</v>
      </c>
      <c r="AC1266" s="82" t="s">
        <v>480</v>
      </c>
      <c r="AD1266" s="77" t="s">
        <v>10184</v>
      </c>
      <c r="AE1266" s="80" t="str">
        <f>HYPERLINK("https://twitter.com/informa_bc/status/1643864878325612549")</f>
        <v>https://twitter.com/informa_bc/status/1643864878325612549</v>
      </c>
      <c r="AF1266" s="79">
        <v>45022.274340277778</v>
      </c>
      <c r="AG1266" s="85">
        <v>45022</v>
      </c>
      <c r="AH1266" s="82" t="s">
        <v>11412</v>
      </c>
      <c r="AI1266" s="77" t="b">
        <v>0</v>
      </c>
      <c r="AJ1266" s="77"/>
      <c r="AK1266" s="77"/>
      <c r="AL1266" s="77"/>
      <c r="AM1266" s="77"/>
      <c r="AN1266" s="77"/>
      <c r="AO1266" s="77"/>
      <c r="AP1266" s="77"/>
      <c r="AQ1266" s="77" t="s">
        <v>14640</v>
      </c>
      <c r="AR1266" s="77"/>
      <c r="AS1266" s="77"/>
      <c r="AT1266" s="77"/>
      <c r="AU1266" s="77"/>
      <c r="AV1266" s="80" t="str">
        <f>HYPERLINK("https://pbs.twimg.com/media/FtAuXSBWIAE7UW2.jpg")</f>
        <v>https://pbs.twimg.com/media/FtAuXSBWIAE7UW2.jpg</v>
      </c>
      <c r="AW1266" s="82" t="s">
        <v>18039</v>
      </c>
      <c r="AX1266" s="82" t="s">
        <v>18039</v>
      </c>
      <c r="AY1266" s="77"/>
      <c r="AZ1266" s="82" t="s">
        <v>20971</v>
      </c>
      <c r="BA1266" s="82" t="s">
        <v>20971</v>
      </c>
      <c r="BB1266" s="82" t="s">
        <v>20971</v>
      </c>
      <c r="BC1266" s="82" t="s">
        <v>18039</v>
      </c>
      <c r="BD1266" s="82" t="s">
        <v>21203</v>
      </c>
      <c r="BE1266" s="77"/>
      <c r="BF1266" s="77"/>
      <c r="BG1266" s="77"/>
      <c r="BH1266" s="77"/>
      <c r="BI1266" s="77"/>
    </row>
    <row r="1267" spans="1:61" x14ac:dyDescent="0.25">
      <c r="A1267" s="62" t="s">
        <v>480</v>
      </c>
      <c r="B1267" s="62" t="s">
        <v>480</v>
      </c>
      <c r="C1267" s="63"/>
      <c r="D1267" s="64"/>
      <c r="E1267" s="65"/>
      <c r="F1267" s="66"/>
      <c r="G1267" s="63"/>
      <c r="H1267" s="67"/>
      <c r="I1267" s="68"/>
      <c r="J1267" s="68"/>
      <c r="K1267" s="32"/>
      <c r="L1267" s="75">
        <v>1267</v>
      </c>
      <c r="M1267" s="75"/>
      <c r="N1267" s="70"/>
      <c r="O1267" s="77" t="s">
        <v>179</v>
      </c>
      <c r="P1267" s="79">
        <v>45017.714525462965</v>
      </c>
      <c r="Q1267" s="77" t="s">
        <v>2511</v>
      </c>
      <c r="R1267" s="77">
        <v>1</v>
      </c>
      <c r="S1267" s="77">
        <v>2</v>
      </c>
      <c r="T1267" s="77">
        <v>0</v>
      </c>
      <c r="U1267" s="77">
        <v>0</v>
      </c>
      <c r="V1267" s="77">
        <v>33</v>
      </c>
      <c r="W1267" s="82" t="s">
        <v>5236</v>
      </c>
      <c r="X1267" s="80" t="str">
        <f>HYPERLINK("https://go.hotmart.com/B77468619P")</f>
        <v>https://go.hotmart.com/B77468619P</v>
      </c>
      <c r="Y1267" s="77" t="s">
        <v>7251</v>
      </c>
      <c r="Z1267" s="77"/>
      <c r="AA1267" s="77" t="s">
        <v>7997</v>
      </c>
      <c r="AB1267" s="77" t="s">
        <v>10130</v>
      </c>
      <c r="AC1267" s="82" t="s">
        <v>480</v>
      </c>
      <c r="AD1267" s="77" t="s">
        <v>10184</v>
      </c>
      <c r="AE1267" s="80" t="str">
        <f>HYPERLINK("https://twitter.com/informa_bc/status/1642212458369540096")</f>
        <v>https://twitter.com/informa_bc/status/1642212458369540096</v>
      </c>
      <c r="AF1267" s="79">
        <v>45017.714525462965</v>
      </c>
      <c r="AG1267" s="85">
        <v>45017</v>
      </c>
      <c r="AH1267" s="82" t="s">
        <v>11413</v>
      </c>
      <c r="AI1267" s="77" t="b">
        <v>0</v>
      </c>
      <c r="AJ1267" s="77"/>
      <c r="AK1267" s="77"/>
      <c r="AL1267" s="77"/>
      <c r="AM1267" s="77"/>
      <c r="AN1267" s="77"/>
      <c r="AO1267" s="77"/>
      <c r="AP1267" s="77"/>
      <c r="AQ1267" s="77" t="s">
        <v>14641</v>
      </c>
      <c r="AR1267" s="77"/>
      <c r="AS1267" s="77"/>
      <c r="AT1267" s="77"/>
      <c r="AU1267" s="77"/>
      <c r="AV1267" s="80" t="str">
        <f>HYPERLINK("https://pbs.twimg.com/media/FspPfyoX0AANpK0.jpg")</f>
        <v>https://pbs.twimg.com/media/FspPfyoX0AANpK0.jpg</v>
      </c>
      <c r="AW1267" s="82" t="s">
        <v>18040</v>
      </c>
      <c r="AX1267" s="82" t="s">
        <v>18040</v>
      </c>
      <c r="AY1267" s="77"/>
      <c r="AZ1267" s="82" t="s">
        <v>20971</v>
      </c>
      <c r="BA1267" s="82" t="s">
        <v>20971</v>
      </c>
      <c r="BB1267" s="82" t="s">
        <v>20971</v>
      </c>
      <c r="BC1267" s="82" t="s">
        <v>18040</v>
      </c>
      <c r="BD1267" s="82" t="s">
        <v>21203</v>
      </c>
      <c r="BE1267" s="77"/>
      <c r="BF1267" s="77"/>
      <c r="BG1267" s="77"/>
      <c r="BH1267" s="77"/>
      <c r="BI1267" s="77"/>
    </row>
    <row r="1268" spans="1:61" x14ac:dyDescent="0.25">
      <c r="A1268" s="62" t="s">
        <v>480</v>
      </c>
      <c r="B1268" s="62" t="s">
        <v>480</v>
      </c>
      <c r="C1268" s="63"/>
      <c r="D1268" s="64"/>
      <c r="E1268" s="65"/>
      <c r="F1268" s="66"/>
      <c r="G1268" s="63"/>
      <c r="H1268" s="67"/>
      <c r="I1268" s="68"/>
      <c r="J1268" s="68"/>
      <c r="K1268" s="32"/>
      <c r="L1268" s="75">
        <v>1268</v>
      </c>
      <c r="M1268" s="75"/>
      <c r="N1268" s="70"/>
      <c r="O1268" s="77" t="s">
        <v>179</v>
      </c>
      <c r="P1268" s="79">
        <v>45030.873611111114</v>
      </c>
      <c r="Q1268" s="77" t="s">
        <v>2512</v>
      </c>
      <c r="R1268" s="77">
        <v>0</v>
      </c>
      <c r="S1268" s="77">
        <v>0</v>
      </c>
      <c r="T1268" s="77">
        <v>0</v>
      </c>
      <c r="U1268" s="77">
        <v>0</v>
      </c>
      <c r="V1268" s="77">
        <v>37</v>
      </c>
      <c r="W1268" s="82" t="s">
        <v>5236</v>
      </c>
      <c r="X1268" s="80" t="str">
        <f>HYPERLINK("https://go.hotmart.com/B77468619P")</f>
        <v>https://go.hotmart.com/B77468619P</v>
      </c>
      <c r="Y1268" s="77" t="s">
        <v>7251</v>
      </c>
      <c r="Z1268" s="77"/>
      <c r="AA1268" s="77" t="s">
        <v>7998</v>
      </c>
      <c r="AB1268" s="77" t="s">
        <v>10130</v>
      </c>
      <c r="AC1268" s="82" t="s">
        <v>480</v>
      </c>
      <c r="AD1268" s="77" t="s">
        <v>10184</v>
      </c>
      <c r="AE1268" s="80" t="str">
        <f>HYPERLINK("https://twitter.com/informa_bc/status/1646981149451796480")</f>
        <v>https://twitter.com/informa_bc/status/1646981149451796480</v>
      </c>
      <c r="AF1268" s="79">
        <v>45030.873611111114</v>
      </c>
      <c r="AG1268" s="85">
        <v>45030</v>
      </c>
      <c r="AH1268" s="82" t="s">
        <v>11414</v>
      </c>
      <c r="AI1268" s="77" t="b">
        <v>0</v>
      </c>
      <c r="AJ1268" s="77"/>
      <c r="AK1268" s="77"/>
      <c r="AL1268" s="77"/>
      <c r="AM1268" s="77"/>
      <c r="AN1268" s="77"/>
      <c r="AO1268" s="77"/>
      <c r="AP1268" s="77"/>
      <c r="AQ1268" s="77" t="s">
        <v>14642</v>
      </c>
      <c r="AR1268" s="77"/>
      <c r="AS1268" s="77"/>
      <c r="AT1268" s="77"/>
      <c r="AU1268" s="77"/>
      <c r="AV1268" s="80" t="str">
        <f>HYPERLINK("https://pbs.twimg.com/media/FttAl9gXgAENIFE.jpg")</f>
        <v>https://pbs.twimg.com/media/FttAl9gXgAENIFE.jpg</v>
      </c>
      <c r="AW1268" s="82" t="s">
        <v>18041</v>
      </c>
      <c r="AX1268" s="82" t="s">
        <v>18041</v>
      </c>
      <c r="AY1268" s="77"/>
      <c r="AZ1268" s="82" t="s">
        <v>20971</v>
      </c>
      <c r="BA1268" s="82" t="s">
        <v>20971</v>
      </c>
      <c r="BB1268" s="82" t="s">
        <v>20971</v>
      </c>
      <c r="BC1268" s="82" t="s">
        <v>18041</v>
      </c>
      <c r="BD1268" s="82" t="s">
        <v>21203</v>
      </c>
      <c r="BE1268" s="77"/>
      <c r="BF1268" s="77"/>
      <c r="BG1268" s="77"/>
      <c r="BH1268" s="77"/>
      <c r="BI1268" s="77"/>
    </row>
    <row r="1269" spans="1:61" x14ac:dyDescent="0.25">
      <c r="A1269" s="62" t="s">
        <v>481</v>
      </c>
      <c r="B1269" s="62" t="s">
        <v>481</v>
      </c>
      <c r="C1269" s="63"/>
      <c r="D1269" s="64"/>
      <c r="E1269" s="65"/>
      <c r="F1269" s="66"/>
      <c r="G1269" s="63"/>
      <c r="H1269" s="67"/>
      <c r="I1269" s="68"/>
      <c r="J1269" s="68"/>
      <c r="K1269" s="32"/>
      <c r="L1269" s="75">
        <v>1269</v>
      </c>
      <c r="M1269" s="75"/>
      <c r="N1269" s="70"/>
      <c r="O1269" s="77" t="s">
        <v>179</v>
      </c>
      <c r="P1269" s="79">
        <v>45027.122488425928</v>
      </c>
      <c r="Q1269" s="77" t="s">
        <v>2513</v>
      </c>
      <c r="R1269" s="77">
        <v>0</v>
      </c>
      <c r="S1269" s="77">
        <v>0</v>
      </c>
      <c r="T1269" s="77">
        <v>0</v>
      </c>
      <c r="U1269" s="77">
        <v>0</v>
      </c>
      <c r="V1269" s="77">
        <v>17</v>
      </c>
      <c r="W1269" s="82" t="s">
        <v>5654</v>
      </c>
      <c r="X1269" s="77"/>
      <c r="Y1269" s="77"/>
      <c r="Z1269" s="77"/>
      <c r="AA1269" s="77" t="s">
        <v>7999</v>
      </c>
      <c r="AB1269" s="77" t="s">
        <v>10130</v>
      </c>
      <c r="AC1269" s="82" t="s">
        <v>10144</v>
      </c>
      <c r="AD1269" s="77" t="s">
        <v>10184</v>
      </c>
      <c r="AE1269" s="80" t="str">
        <f>HYPERLINK("https://twitter.com/jaquesantosluiz/status/1645621787923820545")</f>
        <v>https://twitter.com/jaquesantosluiz/status/1645621787923820545</v>
      </c>
      <c r="AF1269" s="79">
        <v>45027.122488425928</v>
      </c>
      <c r="AG1269" s="85">
        <v>45027</v>
      </c>
      <c r="AH1269" s="82" t="s">
        <v>11415</v>
      </c>
      <c r="AI1269" s="77" t="b">
        <v>0</v>
      </c>
      <c r="AJ1269" s="77"/>
      <c r="AK1269" s="77"/>
      <c r="AL1269" s="77"/>
      <c r="AM1269" s="77"/>
      <c r="AN1269" s="77"/>
      <c r="AO1269" s="77"/>
      <c r="AP1269" s="77"/>
      <c r="AQ1269" s="77" t="s">
        <v>14643</v>
      </c>
      <c r="AR1269" s="77"/>
      <c r="AS1269" s="77"/>
      <c r="AT1269" s="77"/>
      <c r="AU1269" s="77"/>
      <c r="AV1269" s="80" t="str">
        <f>HYPERLINK("https://pbs.twimg.com/media/FtZsS4RWwAMXFpH.jpg")</f>
        <v>https://pbs.twimg.com/media/FtZsS4RWwAMXFpH.jpg</v>
      </c>
      <c r="AW1269" s="82" t="s">
        <v>18042</v>
      </c>
      <c r="AX1269" s="82" t="s">
        <v>18042</v>
      </c>
      <c r="AY1269" s="77"/>
      <c r="AZ1269" s="82" t="s">
        <v>20971</v>
      </c>
      <c r="BA1269" s="82" t="s">
        <v>20971</v>
      </c>
      <c r="BB1269" s="82" t="s">
        <v>20971</v>
      </c>
      <c r="BC1269" s="82" t="s">
        <v>18042</v>
      </c>
      <c r="BD1269" s="82" t="s">
        <v>21204</v>
      </c>
      <c r="BE1269" s="77"/>
      <c r="BF1269" s="77"/>
      <c r="BG1269" s="77"/>
      <c r="BH1269" s="77"/>
      <c r="BI1269" s="77"/>
    </row>
    <row r="1270" spans="1:61" x14ac:dyDescent="0.25">
      <c r="A1270" s="62" t="s">
        <v>482</v>
      </c>
      <c r="B1270" s="62" t="s">
        <v>482</v>
      </c>
      <c r="C1270" s="63"/>
      <c r="D1270" s="64"/>
      <c r="E1270" s="65"/>
      <c r="F1270" s="66"/>
      <c r="G1270" s="63"/>
      <c r="H1270" s="67"/>
      <c r="I1270" s="68"/>
      <c r="J1270" s="68"/>
      <c r="K1270" s="32"/>
      <c r="L1270" s="75">
        <v>1270</v>
      </c>
      <c r="M1270" s="75"/>
      <c r="N1270" s="70"/>
      <c r="O1270" s="77" t="s">
        <v>179</v>
      </c>
      <c r="P1270" s="79">
        <v>45052.541307870371</v>
      </c>
      <c r="Q1270" s="77" t="s">
        <v>2514</v>
      </c>
      <c r="R1270" s="77">
        <v>2</v>
      </c>
      <c r="S1270" s="77">
        <v>0</v>
      </c>
      <c r="T1270" s="77">
        <v>1</v>
      </c>
      <c r="U1270" s="77">
        <v>0</v>
      </c>
      <c r="V1270" s="77">
        <v>85</v>
      </c>
      <c r="W1270" s="82" t="s">
        <v>5655</v>
      </c>
      <c r="X1270" s="77" t="s">
        <v>7194</v>
      </c>
      <c r="Y1270" s="77" t="s">
        <v>7325</v>
      </c>
      <c r="Z1270" s="77"/>
      <c r="AA1270" s="77"/>
      <c r="AB1270" s="77"/>
      <c r="AC1270" s="82" t="s">
        <v>10144</v>
      </c>
      <c r="AD1270" s="77" t="s">
        <v>10184</v>
      </c>
      <c r="AE1270" s="80" t="str">
        <f>HYPERLINK("https://twitter.com/pelearrepiada/status/1654833260453568514")</f>
        <v>https://twitter.com/pelearrepiada/status/1654833260453568514</v>
      </c>
      <c r="AF1270" s="79">
        <v>45052.541307870371</v>
      </c>
      <c r="AG1270" s="85">
        <v>45052</v>
      </c>
      <c r="AH1270" s="82" t="s">
        <v>11416</v>
      </c>
      <c r="AI1270" s="77" t="b">
        <v>1</v>
      </c>
      <c r="AJ1270" s="77"/>
      <c r="AK1270" s="77"/>
      <c r="AL1270" s="77"/>
      <c r="AM1270" s="77"/>
      <c r="AN1270" s="77"/>
      <c r="AO1270" s="77"/>
      <c r="AP1270" s="77"/>
      <c r="AQ1270" s="77"/>
      <c r="AR1270" s="77"/>
      <c r="AS1270" s="77"/>
      <c r="AT1270" s="77"/>
      <c r="AU1270" s="77"/>
      <c r="AV1270" s="80" t="str">
        <f>HYPERLINK("https://pbs.twimg.com/profile_images/1648284004204806144/bPhoAUPx_normal.jpg")</f>
        <v>https://pbs.twimg.com/profile_images/1648284004204806144/bPhoAUPx_normal.jpg</v>
      </c>
      <c r="AW1270" s="82" t="s">
        <v>18043</v>
      </c>
      <c r="AX1270" s="82" t="s">
        <v>18043</v>
      </c>
      <c r="AY1270" s="77"/>
      <c r="AZ1270" s="82" t="s">
        <v>20971</v>
      </c>
      <c r="BA1270" s="82" t="s">
        <v>20971</v>
      </c>
      <c r="BB1270" s="82" t="s">
        <v>20971</v>
      </c>
      <c r="BC1270" s="82" t="s">
        <v>18043</v>
      </c>
      <c r="BD1270" s="77">
        <v>336676673</v>
      </c>
      <c r="BE1270" s="77"/>
      <c r="BF1270" s="77"/>
      <c r="BG1270" s="77"/>
      <c r="BH1270" s="77"/>
      <c r="BI1270" s="77"/>
    </row>
    <row r="1271" spans="1:61" x14ac:dyDescent="0.25">
      <c r="A1271" s="62" t="s">
        <v>483</v>
      </c>
      <c r="B1271" s="62" t="s">
        <v>483</v>
      </c>
      <c r="C1271" s="63"/>
      <c r="D1271" s="64"/>
      <c r="E1271" s="65"/>
      <c r="F1271" s="66"/>
      <c r="G1271" s="63"/>
      <c r="H1271" s="67"/>
      <c r="I1271" s="68"/>
      <c r="J1271" s="68"/>
      <c r="K1271" s="32"/>
      <c r="L1271" s="75">
        <v>1271</v>
      </c>
      <c r="M1271" s="75"/>
      <c r="N1271" s="70"/>
      <c r="O1271" s="77" t="s">
        <v>179</v>
      </c>
      <c r="P1271" s="79">
        <v>44986.981145833335</v>
      </c>
      <c r="Q1271" s="77" t="s">
        <v>2515</v>
      </c>
      <c r="R1271" s="77">
        <v>1</v>
      </c>
      <c r="S1271" s="77">
        <v>1</v>
      </c>
      <c r="T1271" s="77">
        <v>0</v>
      </c>
      <c r="U1271" s="77">
        <v>0</v>
      </c>
      <c r="V1271" s="77">
        <v>24</v>
      </c>
      <c r="W1271" s="82" t="s">
        <v>5656</v>
      </c>
      <c r="X1271" s="80" t="str">
        <f>HYPERLINK("http://hotm.art/rendacomovospascoa")</f>
        <v>http://hotm.art/rendacomovospascoa</v>
      </c>
      <c r="Y1271" s="77" t="s">
        <v>7260</v>
      </c>
      <c r="Z1271" s="77"/>
      <c r="AA1271" s="77" t="s">
        <v>8000</v>
      </c>
      <c r="AB1271" s="77" t="s">
        <v>10130</v>
      </c>
      <c r="AC1271" s="82" t="s">
        <v>10146</v>
      </c>
      <c r="AD1271" s="77" t="s">
        <v>10184</v>
      </c>
      <c r="AE1271" s="80" t="str">
        <f>HYPERLINK("https://twitter.com/megapromosdalo/status/1631075054023856131")</f>
        <v>https://twitter.com/megapromosdalo/status/1631075054023856131</v>
      </c>
      <c r="AF1271" s="79">
        <v>44986.981145833335</v>
      </c>
      <c r="AG1271" s="85">
        <v>44986</v>
      </c>
      <c r="AH1271" s="82" t="s">
        <v>11417</v>
      </c>
      <c r="AI1271" s="77" t="b">
        <v>0</v>
      </c>
      <c r="AJ1271" s="77"/>
      <c r="AK1271" s="77"/>
      <c r="AL1271" s="77"/>
      <c r="AM1271" s="77"/>
      <c r="AN1271" s="77"/>
      <c r="AO1271" s="77"/>
      <c r="AP1271" s="77"/>
      <c r="AQ1271" s="77" t="s">
        <v>14644</v>
      </c>
      <c r="AR1271" s="77"/>
      <c r="AS1271" s="77"/>
      <c r="AT1271" s="77"/>
      <c r="AU1271" s="77"/>
      <c r="AV1271" s="80" t="str">
        <f>HYPERLINK("https://pbs.twimg.com/media/FqK90QlWcAM0BXK.jpg")</f>
        <v>https://pbs.twimg.com/media/FqK90QlWcAM0BXK.jpg</v>
      </c>
      <c r="AW1271" s="82" t="s">
        <v>18044</v>
      </c>
      <c r="AX1271" s="82" t="s">
        <v>18044</v>
      </c>
      <c r="AY1271" s="77"/>
      <c r="AZ1271" s="82" t="s">
        <v>20971</v>
      </c>
      <c r="BA1271" s="82" t="s">
        <v>20971</v>
      </c>
      <c r="BB1271" s="82" t="s">
        <v>20971</v>
      </c>
      <c r="BC1271" s="82" t="s">
        <v>18044</v>
      </c>
      <c r="BD1271" s="82" t="s">
        <v>21205</v>
      </c>
      <c r="BE1271" s="77"/>
      <c r="BF1271" s="77"/>
      <c r="BG1271" s="77"/>
      <c r="BH1271" s="77"/>
      <c r="BI1271" s="77"/>
    </row>
    <row r="1272" spans="1:61" x14ac:dyDescent="0.25">
      <c r="A1272" s="62" t="s">
        <v>484</v>
      </c>
      <c r="B1272" s="62" t="s">
        <v>484</v>
      </c>
      <c r="C1272" s="63"/>
      <c r="D1272" s="64"/>
      <c r="E1272" s="65"/>
      <c r="F1272" s="66"/>
      <c r="G1272" s="63"/>
      <c r="H1272" s="67"/>
      <c r="I1272" s="68"/>
      <c r="J1272" s="68"/>
      <c r="K1272" s="32"/>
      <c r="L1272" s="75">
        <v>1272</v>
      </c>
      <c r="M1272" s="75"/>
      <c r="N1272" s="70"/>
      <c r="O1272" s="77" t="s">
        <v>179</v>
      </c>
      <c r="P1272" s="79">
        <v>45008.05641203704</v>
      </c>
      <c r="Q1272" s="77" t="s">
        <v>2516</v>
      </c>
      <c r="R1272" s="77">
        <v>0</v>
      </c>
      <c r="S1272" s="77">
        <v>0</v>
      </c>
      <c r="T1272" s="77">
        <v>0</v>
      </c>
      <c r="U1272" s="77">
        <v>0</v>
      </c>
      <c r="V1272" s="77">
        <v>193</v>
      </c>
      <c r="W1272" s="82" t="s">
        <v>5657</v>
      </c>
      <c r="X1272" s="77" t="s">
        <v>7195</v>
      </c>
      <c r="Y1272" s="77" t="s">
        <v>7326</v>
      </c>
      <c r="Z1272" s="77"/>
      <c r="AA1272" s="77" t="s">
        <v>8001</v>
      </c>
      <c r="AB1272" s="77" t="s">
        <v>10130</v>
      </c>
      <c r="AC1272" s="82" t="s">
        <v>10144</v>
      </c>
      <c r="AD1272" s="77" t="s">
        <v>10184</v>
      </c>
      <c r="AE1272" s="80" t="str">
        <f>HYPERLINK("https://twitter.com/fortunetigerbot/status/1638712475703996419")</f>
        <v>https://twitter.com/fortunetigerbot/status/1638712475703996419</v>
      </c>
      <c r="AF1272" s="79">
        <v>45008.05641203704</v>
      </c>
      <c r="AG1272" s="85">
        <v>45008</v>
      </c>
      <c r="AH1272" s="82" t="s">
        <v>11418</v>
      </c>
      <c r="AI1272" s="77" t="b">
        <v>0</v>
      </c>
      <c r="AJ1272" s="77"/>
      <c r="AK1272" s="77"/>
      <c r="AL1272" s="77"/>
      <c r="AM1272" s="77"/>
      <c r="AN1272" s="77"/>
      <c r="AO1272" s="77"/>
      <c r="AP1272" s="77"/>
      <c r="AQ1272" s="77" t="s">
        <v>14645</v>
      </c>
      <c r="AR1272" s="77"/>
      <c r="AS1272" s="77"/>
      <c r="AT1272" s="77"/>
      <c r="AU1272" s="77"/>
      <c r="AV1272" s="80" t="str">
        <f>HYPERLINK("https://pbs.twimg.com/media/Fr3gTnNWAAE1Odc.jpg")</f>
        <v>https://pbs.twimg.com/media/Fr3gTnNWAAE1Odc.jpg</v>
      </c>
      <c r="AW1272" s="82" t="s">
        <v>18045</v>
      </c>
      <c r="AX1272" s="82" t="s">
        <v>18045</v>
      </c>
      <c r="AY1272" s="77"/>
      <c r="AZ1272" s="82" t="s">
        <v>20971</v>
      </c>
      <c r="BA1272" s="82" t="s">
        <v>20971</v>
      </c>
      <c r="BB1272" s="82" t="s">
        <v>20971</v>
      </c>
      <c r="BC1272" s="82" t="s">
        <v>18045</v>
      </c>
      <c r="BD1272" s="82" t="s">
        <v>21206</v>
      </c>
      <c r="BE1272" s="77"/>
      <c r="BF1272" s="77"/>
      <c r="BG1272" s="77"/>
      <c r="BH1272" s="77"/>
      <c r="BI1272" s="77"/>
    </row>
    <row r="1273" spans="1:61" x14ac:dyDescent="0.25">
      <c r="A1273" s="62" t="s">
        <v>484</v>
      </c>
      <c r="B1273" s="62" t="s">
        <v>484</v>
      </c>
      <c r="C1273" s="63"/>
      <c r="D1273" s="64"/>
      <c r="E1273" s="65"/>
      <c r="F1273" s="66"/>
      <c r="G1273" s="63"/>
      <c r="H1273" s="67"/>
      <c r="I1273" s="68"/>
      <c r="J1273" s="68"/>
      <c r="K1273" s="32"/>
      <c r="L1273" s="75">
        <v>1273</v>
      </c>
      <c r="M1273" s="75"/>
      <c r="N1273" s="70"/>
      <c r="O1273" s="77" t="s">
        <v>179</v>
      </c>
      <c r="P1273" s="79">
        <v>45005.732465277775</v>
      </c>
      <c r="Q1273" s="77" t="s">
        <v>2517</v>
      </c>
      <c r="R1273" s="77">
        <v>0</v>
      </c>
      <c r="S1273" s="77">
        <v>1</v>
      </c>
      <c r="T1273" s="77">
        <v>0</v>
      </c>
      <c r="U1273" s="77">
        <v>0</v>
      </c>
      <c r="V1273" s="77">
        <v>357</v>
      </c>
      <c r="W1273" s="82" t="s">
        <v>5658</v>
      </c>
      <c r="X1273" s="77" t="s">
        <v>7195</v>
      </c>
      <c r="Y1273" s="77" t="s">
        <v>7326</v>
      </c>
      <c r="Z1273" s="77"/>
      <c r="AA1273" s="77" t="s">
        <v>8002</v>
      </c>
      <c r="AB1273" s="77" t="s">
        <v>10129</v>
      </c>
      <c r="AC1273" s="82" t="s">
        <v>10144</v>
      </c>
      <c r="AD1273" s="77" t="s">
        <v>10184</v>
      </c>
      <c r="AE1273" s="80" t="str">
        <f>HYPERLINK("https://twitter.com/fortunetigerbot/status/1637870305250009106")</f>
        <v>https://twitter.com/fortunetigerbot/status/1637870305250009106</v>
      </c>
      <c r="AF1273" s="79">
        <v>45005.732465277775</v>
      </c>
      <c r="AG1273" s="85">
        <v>45005</v>
      </c>
      <c r="AH1273" s="82" t="s">
        <v>11419</v>
      </c>
      <c r="AI1273" s="77" t="b">
        <v>0</v>
      </c>
      <c r="AJ1273" s="77"/>
      <c r="AK1273" s="77"/>
      <c r="AL1273" s="77"/>
      <c r="AM1273" s="77"/>
      <c r="AN1273" s="77"/>
      <c r="AO1273" s="77"/>
      <c r="AP1273" s="77"/>
      <c r="AQ1273" s="77" t="s">
        <v>14646</v>
      </c>
      <c r="AR1273" s="77">
        <v>40610</v>
      </c>
      <c r="AS1273" s="77"/>
      <c r="AT1273" s="77"/>
      <c r="AU1273" s="77"/>
      <c r="AV1273" s="80" t="str">
        <f>HYPERLINK("https://pbs.twimg.com/ext_tw_video_thumb/1637870190917476383/pu/img/c_Yfv30HwbMDYO4Z.jpg")</f>
        <v>https://pbs.twimg.com/ext_tw_video_thumb/1637870190917476383/pu/img/c_Yfv30HwbMDYO4Z.jpg</v>
      </c>
      <c r="AW1273" s="82" t="s">
        <v>18046</v>
      </c>
      <c r="AX1273" s="82" t="s">
        <v>18046</v>
      </c>
      <c r="AY1273" s="77"/>
      <c r="AZ1273" s="82" t="s">
        <v>20971</v>
      </c>
      <c r="BA1273" s="82" t="s">
        <v>20971</v>
      </c>
      <c r="BB1273" s="82" t="s">
        <v>20971</v>
      </c>
      <c r="BC1273" s="82" t="s">
        <v>18046</v>
      </c>
      <c r="BD1273" s="82" t="s">
        <v>21206</v>
      </c>
      <c r="BE1273" s="77"/>
      <c r="BF1273" s="77"/>
      <c r="BG1273" s="77"/>
      <c r="BH1273" s="77"/>
      <c r="BI1273" s="77"/>
    </row>
    <row r="1274" spans="1:61" x14ac:dyDescent="0.25">
      <c r="A1274" s="62" t="s">
        <v>484</v>
      </c>
      <c r="B1274" s="62" t="s">
        <v>484</v>
      </c>
      <c r="C1274" s="63"/>
      <c r="D1274" s="64"/>
      <c r="E1274" s="65"/>
      <c r="F1274" s="66"/>
      <c r="G1274" s="63"/>
      <c r="H1274" s="67"/>
      <c r="I1274" s="68"/>
      <c r="J1274" s="68"/>
      <c r="K1274" s="32"/>
      <c r="L1274" s="75">
        <v>1274</v>
      </c>
      <c r="M1274" s="75"/>
      <c r="N1274" s="70"/>
      <c r="O1274" s="77" t="s">
        <v>179</v>
      </c>
      <c r="P1274" s="79">
        <v>45005.732291666667</v>
      </c>
      <c r="Q1274" s="77" t="s">
        <v>2518</v>
      </c>
      <c r="R1274" s="77">
        <v>0</v>
      </c>
      <c r="S1274" s="77">
        <v>0</v>
      </c>
      <c r="T1274" s="77">
        <v>0</v>
      </c>
      <c r="U1274" s="77">
        <v>0</v>
      </c>
      <c r="V1274" s="77">
        <v>237</v>
      </c>
      <c r="W1274" s="82" t="s">
        <v>5658</v>
      </c>
      <c r="X1274" s="77" t="s">
        <v>7195</v>
      </c>
      <c r="Y1274" s="77" t="s">
        <v>7326</v>
      </c>
      <c r="Z1274" s="77"/>
      <c r="AA1274" s="77" t="s">
        <v>8003</v>
      </c>
      <c r="AB1274" s="77" t="s">
        <v>10130</v>
      </c>
      <c r="AC1274" s="82" t="s">
        <v>10144</v>
      </c>
      <c r="AD1274" s="77" t="s">
        <v>10184</v>
      </c>
      <c r="AE1274" s="80" t="str">
        <f>HYPERLINK("https://twitter.com/fortunetigerbot/status/1637870241379147809")</f>
        <v>https://twitter.com/fortunetigerbot/status/1637870241379147809</v>
      </c>
      <c r="AF1274" s="79">
        <v>45005.732291666667</v>
      </c>
      <c r="AG1274" s="85">
        <v>45005</v>
      </c>
      <c r="AH1274" s="82" t="s">
        <v>11420</v>
      </c>
      <c r="AI1274" s="77" t="b">
        <v>0</v>
      </c>
      <c r="AJ1274" s="77"/>
      <c r="AK1274" s="77"/>
      <c r="AL1274" s="77"/>
      <c r="AM1274" s="77"/>
      <c r="AN1274" s="77"/>
      <c r="AO1274" s="77"/>
      <c r="AP1274" s="77"/>
      <c r="AQ1274" s="77" t="s">
        <v>14647</v>
      </c>
      <c r="AR1274" s="77"/>
      <c r="AS1274" s="77"/>
      <c r="AT1274" s="77"/>
      <c r="AU1274" s="77"/>
      <c r="AV1274" s="80" t="str">
        <f>HYPERLINK("https://pbs.twimg.com/media/FrriRx4WIAAPKgR.jpg")</f>
        <v>https://pbs.twimg.com/media/FrriRx4WIAAPKgR.jpg</v>
      </c>
      <c r="AW1274" s="82" t="s">
        <v>18047</v>
      </c>
      <c r="AX1274" s="82" t="s">
        <v>18047</v>
      </c>
      <c r="AY1274" s="77"/>
      <c r="AZ1274" s="82" t="s">
        <v>20971</v>
      </c>
      <c r="BA1274" s="82" t="s">
        <v>20971</v>
      </c>
      <c r="BB1274" s="82" t="s">
        <v>20971</v>
      </c>
      <c r="BC1274" s="82" t="s">
        <v>18047</v>
      </c>
      <c r="BD1274" s="82" t="s">
        <v>21206</v>
      </c>
      <c r="BE1274" s="77"/>
      <c r="BF1274" s="77"/>
      <c r="BG1274" s="77"/>
      <c r="BH1274" s="77"/>
      <c r="BI1274" s="77"/>
    </row>
    <row r="1275" spans="1:61" x14ac:dyDescent="0.25">
      <c r="A1275" s="62" t="s">
        <v>484</v>
      </c>
      <c r="B1275" s="62" t="s">
        <v>484</v>
      </c>
      <c r="C1275" s="63"/>
      <c r="D1275" s="64"/>
      <c r="E1275" s="65"/>
      <c r="F1275" s="66"/>
      <c r="G1275" s="63"/>
      <c r="H1275" s="67"/>
      <c r="I1275" s="68"/>
      <c r="J1275" s="68"/>
      <c r="K1275" s="32"/>
      <c r="L1275" s="75">
        <v>1275</v>
      </c>
      <c r="M1275" s="75"/>
      <c r="N1275" s="70"/>
      <c r="O1275" s="77" t="s">
        <v>179</v>
      </c>
      <c r="P1275" s="79">
        <v>45003.740243055552</v>
      </c>
      <c r="Q1275" s="77" t="s">
        <v>2519</v>
      </c>
      <c r="R1275" s="77">
        <v>0</v>
      </c>
      <c r="S1275" s="77">
        <v>0</v>
      </c>
      <c r="T1275" s="77">
        <v>0</v>
      </c>
      <c r="U1275" s="77">
        <v>0</v>
      </c>
      <c r="V1275" s="77">
        <v>228</v>
      </c>
      <c r="W1275" s="82" t="s">
        <v>5658</v>
      </c>
      <c r="X1275" s="77" t="s">
        <v>7195</v>
      </c>
      <c r="Y1275" s="77" t="s">
        <v>7326</v>
      </c>
      <c r="Z1275" s="77"/>
      <c r="AA1275" s="77" t="s">
        <v>8004</v>
      </c>
      <c r="AB1275" s="77" t="s">
        <v>10130</v>
      </c>
      <c r="AC1275" s="82" t="s">
        <v>10144</v>
      </c>
      <c r="AD1275" s="77" t="s">
        <v>10184</v>
      </c>
      <c r="AE1275" s="80" t="str">
        <f>HYPERLINK("https://twitter.com/fortunetigerbot/status/1637148348137209859")</f>
        <v>https://twitter.com/fortunetigerbot/status/1637148348137209859</v>
      </c>
      <c r="AF1275" s="79">
        <v>45003.740243055552</v>
      </c>
      <c r="AG1275" s="85">
        <v>45003</v>
      </c>
      <c r="AH1275" s="82" t="s">
        <v>11421</v>
      </c>
      <c r="AI1275" s="77" t="b">
        <v>0</v>
      </c>
      <c r="AJ1275" s="77"/>
      <c r="AK1275" s="77"/>
      <c r="AL1275" s="77"/>
      <c r="AM1275" s="77"/>
      <c r="AN1275" s="77"/>
      <c r="AO1275" s="77"/>
      <c r="AP1275" s="77"/>
      <c r="AQ1275" s="77" t="s">
        <v>14648</v>
      </c>
      <c r="AR1275" s="77"/>
      <c r="AS1275" s="77"/>
      <c r="AT1275" s="77"/>
      <c r="AU1275" s="77"/>
      <c r="AV1275" s="80" t="str">
        <f>HYPERLINK("https://pbs.twimg.com/media/FrhRvvJWwAQDVmX.jpg")</f>
        <v>https://pbs.twimg.com/media/FrhRvvJWwAQDVmX.jpg</v>
      </c>
      <c r="AW1275" s="82" t="s">
        <v>18048</v>
      </c>
      <c r="AX1275" s="82" t="s">
        <v>18048</v>
      </c>
      <c r="AY1275" s="77"/>
      <c r="AZ1275" s="82" t="s">
        <v>20971</v>
      </c>
      <c r="BA1275" s="82" t="s">
        <v>20971</v>
      </c>
      <c r="BB1275" s="82" t="s">
        <v>20971</v>
      </c>
      <c r="BC1275" s="82" t="s">
        <v>18048</v>
      </c>
      <c r="BD1275" s="82" t="s">
        <v>21206</v>
      </c>
      <c r="BE1275" s="77"/>
      <c r="BF1275" s="77"/>
      <c r="BG1275" s="77"/>
      <c r="BH1275" s="77"/>
      <c r="BI1275" s="77"/>
    </row>
    <row r="1276" spans="1:61" x14ac:dyDescent="0.25">
      <c r="A1276" s="62" t="s">
        <v>485</v>
      </c>
      <c r="B1276" s="62" t="s">
        <v>485</v>
      </c>
      <c r="C1276" s="63"/>
      <c r="D1276" s="64"/>
      <c r="E1276" s="65"/>
      <c r="F1276" s="66"/>
      <c r="G1276" s="63"/>
      <c r="H1276" s="67"/>
      <c r="I1276" s="68"/>
      <c r="J1276" s="68"/>
      <c r="K1276" s="32"/>
      <c r="L1276" s="75">
        <v>1276</v>
      </c>
      <c r="M1276" s="75"/>
      <c r="N1276" s="70"/>
      <c r="O1276" s="77" t="s">
        <v>179</v>
      </c>
      <c r="P1276" s="79">
        <v>45027.924780092595</v>
      </c>
      <c r="Q1276" s="77" t="s">
        <v>2520</v>
      </c>
      <c r="R1276" s="77">
        <v>0</v>
      </c>
      <c r="S1276" s="77">
        <v>1</v>
      </c>
      <c r="T1276" s="77">
        <v>1</v>
      </c>
      <c r="U1276" s="77">
        <v>0</v>
      </c>
      <c r="V1276" s="77">
        <v>144</v>
      </c>
      <c r="W1276" s="82" t="s">
        <v>5659</v>
      </c>
      <c r="X1276" s="77"/>
      <c r="Y1276" s="77"/>
      <c r="Z1276" s="77"/>
      <c r="AA1276" s="77" t="s">
        <v>8005</v>
      </c>
      <c r="AB1276" s="77" t="s">
        <v>10130</v>
      </c>
      <c r="AC1276" s="82" t="s">
        <v>10144</v>
      </c>
      <c r="AD1276" s="77" t="s">
        <v>10184</v>
      </c>
      <c r="AE1276" s="80" t="str">
        <f>HYPERLINK("https://twitter.com/tipster_gabriel/status/1645912530810998786")</f>
        <v>https://twitter.com/tipster_gabriel/status/1645912530810998786</v>
      </c>
      <c r="AF1276" s="79">
        <v>45027.924780092595</v>
      </c>
      <c r="AG1276" s="85">
        <v>45027</v>
      </c>
      <c r="AH1276" s="82" t="s">
        <v>11422</v>
      </c>
      <c r="AI1276" s="77" t="b">
        <v>0</v>
      </c>
      <c r="AJ1276" s="77"/>
      <c r="AK1276" s="77"/>
      <c r="AL1276" s="77"/>
      <c r="AM1276" s="77"/>
      <c r="AN1276" s="77"/>
      <c r="AO1276" s="77"/>
      <c r="AP1276" s="77"/>
      <c r="AQ1276" s="77" t="s">
        <v>14649</v>
      </c>
      <c r="AR1276" s="77"/>
      <c r="AS1276" s="77"/>
      <c r="AT1276" s="77"/>
      <c r="AU1276" s="77"/>
      <c r="AV1276" s="80" t="str">
        <f>HYPERLINK("https://pbs.twimg.com/media/Ftd0uQxXgAQYfsN.jpg")</f>
        <v>https://pbs.twimg.com/media/Ftd0uQxXgAQYfsN.jpg</v>
      </c>
      <c r="AW1276" s="82" t="s">
        <v>18049</v>
      </c>
      <c r="AX1276" s="82" t="s">
        <v>18049</v>
      </c>
      <c r="AY1276" s="77"/>
      <c r="AZ1276" s="82" t="s">
        <v>20971</v>
      </c>
      <c r="BA1276" s="82" t="s">
        <v>20971</v>
      </c>
      <c r="BB1276" s="82" t="s">
        <v>20971</v>
      </c>
      <c r="BC1276" s="82" t="s">
        <v>18049</v>
      </c>
      <c r="BD1276" s="82" t="s">
        <v>21207</v>
      </c>
      <c r="BE1276" s="77"/>
      <c r="BF1276" s="77"/>
      <c r="BG1276" s="77"/>
      <c r="BH1276" s="77"/>
      <c r="BI1276" s="77"/>
    </row>
    <row r="1277" spans="1:61" x14ac:dyDescent="0.25">
      <c r="A1277" s="62" t="s">
        <v>485</v>
      </c>
      <c r="B1277" s="62" t="s">
        <v>485</v>
      </c>
      <c r="C1277" s="63"/>
      <c r="D1277" s="64"/>
      <c r="E1277" s="65"/>
      <c r="F1277" s="66"/>
      <c r="G1277" s="63"/>
      <c r="H1277" s="67"/>
      <c r="I1277" s="68"/>
      <c r="J1277" s="68"/>
      <c r="K1277" s="32"/>
      <c r="L1277" s="75">
        <v>1277</v>
      </c>
      <c r="M1277" s="75"/>
      <c r="N1277" s="70"/>
      <c r="O1277" s="77" t="s">
        <v>179</v>
      </c>
      <c r="P1277" s="79">
        <v>45027.923981481479</v>
      </c>
      <c r="Q1277" s="77" t="s">
        <v>2521</v>
      </c>
      <c r="R1277" s="77">
        <v>0</v>
      </c>
      <c r="S1277" s="77">
        <v>1</v>
      </c>
      <c r="T1277" s="77">
        <v>1</v>
      </c>
      <c r="U1277" s="77">
        <v>0</v>
      </c>
      <c r="V1277" s="77">
        <v>142</v>
      </c>
      <c r="W1277" s="82" t="s">
        <v>5660</v>
      </c>
      <c r="X1277" s="77"/>
      <c r="Y1277" s="77"/>
      <c r="Z1277" s="77"/>
      <c r="AA1277" s="77" t="s">
        <v>8006</v>
      </c>
      <c r="AB1277" s="77" t="s">
        <v>10130</v>
      </c>
      <c r="AC1277" s="82" t="s">
        <v>10144</v>
      </c>
      <c r="AD1277" s="77" t="s">
        <v>10184</v>
      </c>
      <c r="AE1277" s="80" t="str">
        <f>HYPERLINK("https://twitter.com/tipster_gabriel/status/1645912240803987456")</f>
        <v>https://twitter.com/tipster_gabriel/status/1645912240803987456</v>
      </c>
      <c r="AF1277" s="79">
        <v>45027.923981481479</v>
      </c>
      <c r="AG1277" s="85">
        <v>45027</v>
      </c>
      <c r="AH1277" s="82" t="s">
        <v>11423</v>
      </c>
      <c r="AI1277" s="77" t="b">
        <v>0</v>
      </c>
      <c r="AJ1277" s="77"/>
      <c r="AK1277" s="77"/>
      <c r="AL1277" s="77"/>
      <c r="AM1277" s="77"/>
      <c r="AN1277" s="77"/>
      <c r="AO1277" s="77"/>
      <c r="AP1277" s="77"/>
      <c r="AQ1277" s="77" t="s">
        <v>14650</v>
      </c>
      <c r="AR1277" s="77"/>
      <c r="AS1277" s="77"/>
      <c r="AT1277" s="77"/>
      <c r="AU1277" s="77"/>
      <c r="AV1277" s="80" t="str">
        <f>HYPERLINK("https://pbs.twimg.com/media/Ftd0dWVXwAEZNii.jpg")</f>
        <v>https://pbs.twimg.com/media/Ftd0dWVXwAEZNii.jpg</v>
      </c>
      <c r="AW1277" s="82" t="s">
        <v>18050</v>
      </c>
      <c r="AX1277" s="82" t="s">
        <v>18050</v>
      </c>
      <c r="AY1277" s="77"/>
      <c r="AZ1277" s="82" t="s">
        <v>20971</v>
      </c>
      <c r="BA1277" s="82" t="s">
        <v>20971</v>
      </c>
      <c r="BB1277" s="82" t="s">
        <v>20971</v>
      </c>
      <c r="BC1277" s="82" t="s">
        <v>18050</v>
      </c>
      <c r="BD1277" s="82" t="s">
        <v>21207</v>
      </c>
      <c r="BE1277" s="77"/>
      <c r="BF1277" s="77"/>
      <c r="BG1277" s="77"/>
      <c r="BH1277" s="77"/>
      <c r="BI1277" s="77"/>
    </row>
    <row r="1278" spans="1:61" x14ac:dyDescent="0.25">
      <c r="A1278" s="62" t="s">
        <v>486</v>
      </c>
      <c r="B1278" s="62" t="s">
        <v>486</v>
      </c>
      <c r="C1278" s="63"/>
      <c r="D1278" s="64"/>
      <c r="E1278" s="65"/>
      <c r="F1278" s="66"/>
      <c r="G1278" s="63"/>
      <c r="H1278" s="67"/>
      <c r="I1278" s="68"/>
      <c r="J1278" s="68"/>
      <c r="K1278" s="32"/>
      <c r="L1278" s="75">
        <v>1278</v>
      </c>
      <c r="M1278" s="75"/>
      <c r="N1278" s="70"/>
      <c r="O1278" s="77" t="s">
        <v>179</v>
      </c>
      <c r="P1278" s="79">
        <v>44986.921377314815</v>
      </c>
      <c r="Q1278" s="77" t="s">
        <v>2522</v>
      </c>
      <c r="R1278" s="77">
        <v>0</v>
      </c>
      <c r="S1278" s="77">
        <v>0</v>
      </c>
      <c r="T1278" s="77">
        <v>0</v>
      </c>
      <c r="U1278" s="77">
        <v>0</v>
      </c>
      <c r="V1278" s="77">
        <v>17</v>
      </c>
      <c r="W1278" s="82" t="s">
        <v>5661</v>
      </c>
      <c r="X1278" s="80" t="str">
        <f>HYPERLINK("https://www.financasecia.com.br/renda-extra-2023/")</f>
        <v>https://www.financasecia.com.br/renda-extra-2023/</v>
      </c>
      <c r="Y1278" s="77" t="s">
        <v>7252</v>
      </c>
      <c r="Z1278" s="77"/>
      <c r="AA1278" s="77" t="s">
        <v>8007</v>
      </c>
      <c r="AB1278" s="77" t="s">
        <v>10130</v>
      </c>
      <c r="AC1278" s="82" t="s">
        <v>10146</v>
      </c>
      <c r="AD1278" s="77" t="s">
        <v>10184</v>
      </c>
      <c r="AE1278" s="80" t="str">
        <f>HYPERLINK("https://twitter.com/diogo86azevedo/status/1631053393824305155")</f>
        <v>https://twitter.com/diogo86azevedo/status/1631053393824305155</v>
      </c>
      <c r="AF1278" s="79">
        <v>44986.921377314815</v>
      </c>
      <c r="AG1278" s="85">
        <v>44986</v>
      </c>
      <c r="AH1278" s="82" t="s">
        <v>11424</v>
      </c>
      <c r="AI1278" s="77" t="b">
        <v>0</v>
      </c>
      <c r="AJ1278" s="77"/>
      <c r="AK1278" s="77"/>
      <c r="AL1278" s="77"/>
      <c r="AM1278" s="77"/>
      <c r="AN1278" s="77"/>
      <c r="AO1278" s="77"/>
      <c r="AP1278" s="77"/>
      <c r="AQ1278" s="77" t="s">
        <v>14651</v>
      </c>
      <c r="AR1278" s="77"/>
      <c r="AS1278" s="77"/>
      <c r="AT1278" s="77"/>
      <c r="AU1278" s="77"/>
      <c r="AV1278" s="80" t="str">
        <f>HYPERLINK("https://pbs.twimg.com/media/FqKqWXjWwAQUYKI.jpg")</f>
        <v>https://pbs.twimg.com/media/FqKqWXjWwAQUYKI.jpg</v>
      </c>
      <c r="AW1278" s="82" t="s">
        <v>18051</v>
      </c>
      <c r="AX1278" s="82" t="s">
        <v>18051</v>
      </c>
      <c r="AY1278" s="77"/>
      <c r="AZ1278" s="82" t="s">
        <v>20971</v>
      </c>
      <c r="BA1278" s="82" t="s">
        <v>20971</v>
      </c>
      <c r="BB1278" s="82" t="s">
        <v>20971</v>
      </c>
      <c r="BC1278" s="82" t="s">
        <v>18051</v>
      </c>
      <c r="BD1278" s="77">
        <v>308231295</v>
      </c>
      <c r="BE1278" s="77"/>
      <c r="BF1278" s="77"/>
      <c r="BG1278" s="77"/>
      <c r="BH1278" s="77"/>
      <c r="BI1278" s="77"/>
    </row>
    <row r="1279" spans="1:61" x14ac:dyDescent="0.25">
      <c r="A1279" s="62" t="s">
        <v>487</v>
      </c>
      <c r="B1279" s="62" t="s">
        <v>487</v>
      </c>
      <c r="C1279" s="63"/>
      <c r="D1279" s="64"/>
      <c r="E1279" s="65"/>
      <c r="F1279" s="66"/>
      <c r="G1279" s="63"/>
      <c r="H1279" s="67"/>
      <c r="I1279" s="68"/>
      <c r="J1279" s="68"/>
      <c r="K1279" s="32"/>
      <c r="L1279" s="75">
        <v>1279</v>
      </c>
      <c r="M1279" s="75"/>
      <c r="N1279" s="70"/>
      <c r="O1279" s="77" t="s">
        <v>179</v>
      </c>
      <c r="P1279" s="79">
        <v>45021.664560185185</v>
      </c>
      <c r="Q1279" s="77" t="s">
        <v>2523</v>
      </c>
      <c r="R1279" s="77">
        <v>0</v>
      </c>
      <c r="S1279" s="77">
        <v>0</v>
      </c>
      <c r="T1279" s="77">
        <v>0</v>
      </c>
      <c r="U1279" s="77">
        <v>0</v>
      </c>
      <c r="V1279" s="77">
        <v>27</v>
      </c>
      <c r="W1279" s="82" t="s">
        <v>5662</v>
      </c>
      <c r="X1279" s="80" t="str">
        <f>HYPERLINK("https://linktr.ee/patricia_.ribeiro")</f>
        <v>https://linktr.ee/patricia_.ribeiro</v>
      </c>
      <c r="Y1279" s="77" t="s">
        <v>7300</v>
      </c>
      <c r="Z1279" s="77"/>
      <c r="AA1279" s="77" t="s">
        <v>8008</v>
      </c>
      <c r="AB1279" s="77" t="s">
        <v>10130</v>
      </c>
      <c r="AC1279" s="82" t="s">
        <v>10144</v>
      </c>
      <c r="AD1279" s="77" t="s">
        <v>10184</v>
      </c>
      <c r="AE1279" s="80" t="str">
        <f>HYPERLINK("https://twitter.com/digital_online_/status/1643643901297786883")</f>
        <v>https://twitter.com/digital_online_/status/1643643901297786883</v>
      </c>
      <c r="AF1279" s="79">
        <v>45021.664560185185</v>
      </c>
      <c r="AG1279" s="85">
        <v>45021</v>
      </c>
      <c r="AH1279" s="82" t="s">
        <v>11425</v>
      </c>
      <c r="AI1279" s="77" t="b">
        <v>0</v>
      </c>
      <c r="AJ1279" s="77"/>
      <c r="AK1279" s="77"/>
      <c r="AL1279" s="77"/>
      <c r="AM1279" s="77"/>
      <c r="AN1279" s="77"/>
      <c r="AO1279" s="77"/>
      <c r="AP1279" s="77"/>
      <c r="AQ1279" s="77" t="s">
        <v>14652</v>
      </c>
      <c r="AR1279" s="77"/>
      <c r="AS1279" s="77"/>
      <c r="AT1279" s="77"/>
      <c r="AU1279" s="77"/>
      <c r="AV1279" s="80" t="str">
        <f>HYPERLINK("https://pbs.twimg.com/media/Fs9laZUWYAAVq0W.jpg")</f>
        <v>https://pbs.twimg.com/media/Fs9laZUWYAAVq0W.jpg</v>
      </c>
      <c r="AW1279" s="82" t="s">
        <v>18052</v>
      </c>
      <c r="AX1279" s="82" t="s">
        <v>18052</v>
      </c>
      <c r="AY1279" s="77"/>
      <c r="AZ1279" s="82" t="s">
        <v>20971</v>
      </c>
      <c r="BA1279" s="82" t="s">
        <v>20971</v>
      </c>
      <c r="BB1279" s="82" t="s">
        <v>20971</v>
      </c>
      <c r="BC1279" s="82" t="s">
        <v>18052</v>
      </c>
      <c r="BD1279" s="82" t="s">
        <v>21208</v>
      </c>
      <c r="BE1279" s="77"/>
      <c r="BF1279" s="77"/>
      <c r="BG1279" s="77"/>
      <c r="BH1279" s="77"/>
      <c r="BI1279" s="77"/>
    </row>
    <row r="1280" spans="1:61" x14ac:dyDescent="0.25">
      <c r="A1280" s="62" t="s">
        <v>487</v>
      </c>
      <c r="B1280" s="62" t="s">
        <v>487</v>
      </c>
      <c r="C1280" s="63"/>
      <c r="D1280" s="64"/>
      <c r="E1280" s="65"/>
      <c r="F1280" s="66"/>
      <c r="G1280" s="63"/>
      <c r="H1280" s="67"/>
      <c r="I1280" s="68"/>
      <c r="J1280" s="68"/>
      <c r="K1280" s="32"/>
      <c r="L1280" s="75">
        <v>1280</v>
      </c>
      <c r="M1280" s="75"/>
      <c r="N1280" s="70"/>
      <c r="O1280" s="77" t="s">
        <v>179</v>
      </c>
      <c r="P1280" s="79">
        <v>45021.661134259259</v>
      </c>
      <c r="Q1280" s="77" t="s">
        <v>2524</v>
      </c>
      <c r="R1280" s="77">
        <v>0</v>
      </c>
      <c r="S1280" s="77">
        <v>0</v>
      </c>
      <c r="T1280" s="77">
        <v>0</v>
      </c>
      <c r="U1280" s="77">
        <v>0</v>
      </c>
      <c r="V1280" s="77">
        <v>49</v>
      </c>
      <c r="W1280" s="82" t="s">
        <v>5663</v>
      </c>
      <c r="X1280" s="80" t="str">
        <f>HYPERLINK("https://linktr.ee/patricia_.ribeiro")</f>
        <v>https://linktr.ee/patricia_.ribeiro</v>
      </c>
      <c r="Y1280" s="77" t="s">
        <v>7300</v>
      </c>
      <c r="Z1280" s="77"/>
      <c r="AA1280" s="77" t="s">
        <v>8009</v>
      </c>
      <c r="AB1280" s="77" t="s">
        <v>10129</v>
      </c>
      <c r="AC1280" s="82" t="s">
        <v>10144</v>
      </c>
      <c r="AD1280" s="77" t="s">
        <v>10184</v>
      </c>
      <c r="AE1280" s="80" t="str">
        <f>HYPERLINK("https://twitter.com/digital_online_/status/1643642659490127874")</f>
        <v>https://twitter.com/digital_online_/status/1643642659490127874</v>
      </c>
      <c r="AF1280" s="79">
        <v>45021.661134259259</v>
      </c>
      <c r="AG1280" s="85">
        <v>45021</v>
      </c>
      <c r="AH1280" s="82" t="s">
        <v>11426</v>
      </c>
      <c r="AI1280" s="77" t="b">
        <v>0</v>
      </c>
      <c r="AJ1280" s="77"/>
      <c r="AK1280" s="77"/>
      <c r="AL1280" s="77"/>
      <c r="AM1280" s="77"/>
      <c r="AN1280" s="77"/>
      <c r="AO1280" s="77"/>
      <c r="AP1280" s="77"/>
      <c r="AQ1280" s="77" t="s">
        <v>14653</v>
      </c>
      <c r="AR1280" s="77">
        <v>7662</v>
      </c>
      <c r="AS1280" s="77"/>
      <c r="AT1280" s="77"/>
      <c r="AU1280" s="77"/>
      <c r="AV1280" s="80" t="str">
        <f>HYPERLINK("https://pbs.twimg.com/ext_tw_video_thumb/1643642536420945921/pu/img/0G9BgJuG3o-Vjx1W.jpg")</f>
        <v>https://pbs.twimg.com/ext_tw_video_thumb/1643642536420945921/pu/img/0G9BgJuG3o-Vjx1W.jpg</v>
      </c>
      <c r="AW1280" s="82" t="s">
        <v>18053</v>
      </c>
      <c r="AX1280" s="82" t="s">
        <v>18053</v>
      </c>
      <c r="AY1280" s="77"/>
      <c r="AZ1280" s="82" t="s">
        <v>20971</v>
      </c>
      <c r="BA1280" s="82" t="s">
        <v>20971</v>
      </c>
      <c r="BB1280" s="82" t="s">
        <v>20971</v>
      </c>
      <c r="BC1280" s="82" t="s">
        <v>18053</v>
      </c>
      <c r="BD1280" s="82" t="s">
        <v>21208</v>
      </c>
      <c r="BE1280" s="77"/>
      <c r="BF1280" s="77"/>
      <c r="BG1280" s="77"/>
      <c r="BH1280" s="77"/>
      <c r="BI1280" s="77"/>
    </row>
    <row r="1281" spans="1:61" x14ac:dyDescent="0.25">
      <c r="A1281" s="62" t="s">
        <v>487</v>
      </c>
      <c r="B1281" s="62" t="s">
        <v>487</v>
      </c>
      <c r="C1281" s="63"/>
      <c r="D1281" s="64"/>
      <c r="E1281" s="65"/>
      <c r="F1281" s="66"/>
      <c r="G1281" s="63"/>
      <c r="H1281" s="67"/>
      <c r="I1281" s="68"/>
      <c r="J1281" s="68"/>
      <c r="K1281" s="32"/>
      <c r="L1281" s="75">
        <v>1281</v>
      </c>
      <c r="M1281" s="75"/>
      <c r="N1281" s="70"/>
      <c r="O1281" s="77" t="s">
        <v>179</v>
      </c>
      <c r="P1281" s="79">
        <v>45019.70034722222</v>
      </c>
      <c r="Q1281" s="77" t="s">
        <v>2525</v>
      </c>
      <c r="R1281" s="77">
        <v>0</v>
      </c>
      <c r="S1281" s="77">
        <v>0</v>
      </c>
      <c r="T1281" s="77">
        <v>0</v>
      </c>
      <c r="U1281" s="77">
        <v>0</v>
      </c>
      <c r="V1281" s="77">
        <v>36</v>
      </c>
      <c r="W1281" s="82" t="s">
        <v>5664</v>
      </c>
      <c r="X1281" s="80" t="str">
        <f>HYPERLINK("https://linktr.ee/patricia_.ribeiro")</f>
        <v>https://linktr.ee/patricia_.ribeiro</v>
      </c>
      <c r="Y1281" s="77" t="s">
        <v>7300</v>
      </c>
      <c r="Z1281" s="77"/>
      <c r="AA1281" s="77" t="s">
        <v>8010</v>
      </c>
      <c r="AB1281" s="77" t="s">
        <v>10130</v>
      </c>
      <c r="AC1281" s="82" t="s">
        <v>10144</v>
      </c>
      <c r="AD1281" s="77" t="s">
        <v>10184</v>
      </c>
      <c r="AE1281" s="80" t="str">
        <f>HYPERLINK("https://twitter.com/digital_online_/status/1642932096539803659")</f>
        <v>https://twitter.com/digital_online_/status/1642932096539803659</v>
      </c>
      <c r="AF1281" s="79">
        <v>45019.70034722222</v>
      </c>
      <c r="AG1281" s="85">
        <v>45019</v>
      </c>
      <c r="AH1281" s="82" t="s">
        <v>11427</v>
      </c>
      <c r="AI1281" s="77" t="b">
        <v>0</v>
      </c>
      <c r="AJ1281" s="77"/>
      <c r="AK1281" s="77"/>
      <c r="AL1281" s="77"/>
      <c r="AM1281" s="77"/>
      <c r="AN1281" s="77"/>
      <c r="AO1281" s="77"/>
      <c r="AP1281" s="77"/>
      <c r="AQ1281" s="77" t="s">
        <v>14654</v>
      </c>
      <c r="AR1281" s="77"/>
      <c r="AS1281" s="77"/>
      <c r="AT1281" s="77"/>
      <c r="AU1281" s="77"/>
      <c r="AV1281" s="80" t="str">
        <f>HYPERLINK("https://pbs.twimg.com/media/FszeB55XgAAZIqx.jpg")</f>
        <v>https://pbs.twimg.com/media/FszeB55XgAAZIqx.jpg</v>
      </c>
      <c r="AW1281" s="82" t="s">
        <v>18054</v>
      </c>
      <c r="AX1281" s="82" t="s">
        <v>18054</v>
      </c>
      <c r="AY1281" s="77"/>
      <c r="AZ1281" s="82" t="s">
        <v>20971</v>
      </c>
      <c r="BA1281" s="82" t="s">
        <v>20971</v>
      </c>
      <c r="BB1281" s="82" t="s">
        <v>20971</v>
      </c>
      <c r="BC1281" s="82" t="s">
        <v>18054</v>
      </c>
      <c r="BD1281" s="82" t="s">
        <v>21208</v>
      </c>
      <c r="BE1281" s="77"/>
      <c r="BF1281" s="77"/>
      <c r="BG1281" s="77"/>
      <c r="BH1281" s="77"/>
      <c r="BI1281" s="77"/>
    </row>
    <row r="1282" spans="1:61" x14ac:dyDescent="0.25">
      <c r="A1282" s="62" t="s">
        <v>487</v>
      </c>
      <c r="B1282" s="62" t="s">
        <v>487</v>
      </c>
      <c r="C1282" s="63"/>
      <c r="D1282" s="64"/>
      <c r="E1282" s="65"/>
      <c r="F1282" s="66"/>
      <c r="G1282" s="63"/>
      <c r="H1282" s="67"/>
      <c r="I1282" s="68"/>
      <c r="J1282" s="68"/>
      <c r="K1282" s="32"/>
      <c r="L1282" s="75">
        <v>1282</v>
      </c>
      <c r="M1282" s="75"/>
      <c r="N1282" s="70"/>
      <c r="O1282" s="77" t="s">
        <v>179</v>
      </c>
      <c r="P1282" s="79">
        <v>45019.697592592594</v>
      </c>
      <c r="Q1282" s="77" t="s">
        <v>2526</v>
      </c>
      <c r="R1282" s="77">
        <v>0</v>
      </c>
      <c r="S1282" s="77">
        <v>0</v>
      </c>
      <c r="T1282" s="77">
        <v>0</v>
      </c>
      <c r="U1282" s="77">
        <v>0</v>
      </c>
      <c r="V1282" s="77">
        <v>24</v>
      </c>
      <c r="W1282" s="82" t="s">
        <v>5665</v>
      </c>
      <c r="X1282" s="80" t="str">
        <f>HYPERLINK("https://linktr.ee/patricia_.ribeiro")</f>
        <v>https://linktr.ee/patricia_.ribeiro</v>
      </c>
      <c r="Y1282" s="77" t="s">
        <v>7300</v>
      </c>
      <c r="Z1282" s="77"/>
      <c r="AA1282" s="77" t="s">
        <v>8011</v>
      </c>
      <c r="AB1282" s="77" t="s">
        <v>10129</v>
      </c>
      <c r="AC1282" s="82" t="s">
        <v>10144</v>
      </c>
      <c r="AD1282" s="77" t="s">
        <v>10184</v>
      </c>
      <c r="AE1282" s="80" t="str">
        <f>HYPERLINK("https://twitter.com/digital_online_/status/1642931098878459915")</f>
        <v>https://twitter.com/digital_online_/status/1642931098878459915</v>
      </c>
      <c r="AF1282" s="79">
        <v>45019.697592592594</v>
      </c>
      <c r="AG1282" s="85">
        <v>45019</v>
      </c>
      <c r="AH1282" s="82" t="s">
        <v>11428</v>
      </c>
      <c r="AI1282" s="77" t="b">
        <v>0</v>
      </c>
      <c r="AJ1282" s="77"/>
      <c r="AK1282" s="77"/>
      <c r="AL1282" s="77"/>
      <c r="AM1282" s="77"/>
      <c r="AN1282" s="77"/>
      <c r="AO1282" s="77"/>
      <c r="AP1282" s="77"/>
      <c r="AQ1282" s="77" t="s">
        <v>14655</v>
      </c>
      <c r="AR1282" s="77">
        <v>6733</v>
      </c>
      <c r="AS1282" s="77"/>
      <c r="AT1282" s="77"/>
      <c r="AU1282" s="77"/>
      <c r="AV1282" s="80" t="str">
        <f>HYPERLINK("https://pbs.twimg.com/ext_tw_video_thumb/1642930984470364161/pu/img/cPdsYcNrXklKYb3Q.jpg")</f>
        <v>https://pbs.twimg.com/ext_tw_video_thumb/1642930984470364161/pu/img/cPdsYcNrXklKYb3Q.jpg</v>
      </c>
      <c r="AW1282" s="82" t="s">
        <v>18055</v>
      </c>
      <c r="AX1282" s="82" t="s">
        <v>18055</v>
      </c>
      <c r="AY1282" s="77"/>
      <c r="AZ1282" s="82" t="s">
        <v>20971</v>
      </c>
      <c r="BA1282" s="82" t="s">
        <v>20971</v>
      </c>
      <c r="BB1282" s="82" t="s">
        <v>20971</v>
      </c>
      <c r="BC1282" s="82" t="s">
        <v>18055</v>
      </c>
      <c r="BD1282" s="82" t="s">
        <v>21208</v>
      </c>
      <c r="BE1282" s="77"/>
      <c r="BF1282" s="77"/>
      <c r="BG1282" s="77"/>
      <c r="BH1282" s="77"/>
      <c r="BI1282" s="77"/>
    </row>
    <row r="1283" spans="1:61" x14ac:dyDescent="0.25">
      <c r="A1283" s="62" t="s">
        <v>487</v>
      </c>
      <c r="B1283" s="62" t="s">
        <v>487</v>
      </c>
      <c r="C1283" s="63"/>
      <c r="D1283" s="64"/>
      <c r="E1283" s="65"/>
      <c r="F1283" s="66"/>
      <c r="G1283" s="63"/>
      <c r="H1283" s="67"/>
      <c r="I1283" s="68"/>
      <c r="J1283" s="68"/>
      <c r="K1283" s="32"/>
      <c r="L1283" s="75">
        <v>1283</v>
      </c>
      <c r="M1283" s="75"/>
      <c r="N1283" s="70"/>
      <c r="O1283" s="77" t="s">
        <v>179</v>
      </c>
      <c r="P1283" s="79">
        <v>45013.637511574074</v>
      </c>
      <c r="Q1283" s="77" t="s">
        <v>2527</v>
      </c>
      <c r="R1283" s="77">
        <v>0</v>
      </c>
      <c r="S1283" s="77">
        <v>0</v>
      </c>
      <c r="T1283" s="77">
        <v>0</v>
      </c>
      <c r="U1283" s="77">
        <v>0</v>
      </c>
      <c r="V1283" s="77">
        <v>23</v>
      </c>
      <c r="W1283" s="82" t="s">
        <v>5666</v>
      </c>
      <c r="X1283" s="80" t="str">
        <f>HYPERLINK("https://linktr.ee/patricia_.ribeiro")</f>
        <v>https://linktr.ee/patricia_.ribeiro</v>
      </c>
      <c r="Y1283" s="77" t="s">
        <v>7300</v>
      </c>
      <c r="Z1283" s="77"/>
      <c r="AA1283" s="77" t="s">
        <v>8012</v>
      </c>
      <c r="AB1283" s="77" t="s">
        <v>10130</v>
      </c>
      <c r="AC1283" s="82" t="s">
        <v>10144</v>
      </c>
      <c r="AD1283" s="77" t="s">
        <v>10184</v>
      </c>
      <c r="AE1283" s="80" t="str">
        <f>HYPERLINK("https://twitter.com/digital_online_/status/1640734996871643138")</f>
        <v>https://twitter.com/digital_online_/status/1640734996871643138</v>
      </c>
      <c r="AF1283" s="79">
        <v>45013.637511574074</v>
      </c>
      <c r="AG1283" s="85">
        <v>45013</v>
      </c>
      <c r="AH1283" s="82" t="s">
        <v>11429</v>
      </c>
      <c r="AI1283" s="77" t="b">
        <v>0</v>
      </c>
      <c r="AJ1283" s="77"/>
      <c r="AK1283" s="77"/>
      <c r="AL1283" s="77"/>
      <c r="AM1283" s="77"/>
      <c r="AN1283" s="77"/>
      <c r="AO1283" s="77"/>
      <c r="AP1283" s="77"/>
      <c r="AQ1283" s="77" t="s">
        <v>14656</v>
      </c>
      <c r="AR1283" s="77"/>
      <c r="AS1283" s="77"/>
      <c r="AT1283" s="77"/>
      <c r="AU1283" s="77"/>
      <c r="AV1283" s="80" t="str">
        <f>HYPERLINK("https://pbs.twimg.com/media/FsUPxboXoAIlgl7.jpg")</f>
        <v>https://pbs.twimg.com/media/FsUPxboXoAIlgl7.jpg</v>
      </c>
      <c r="AW1283" s="82" t="s">
        <v>18056</v>
      </c>
      <c r="AX1283" s="82" t="s">
        <v>18056</v>
      </c>
      <c r="AY1283" s="77"/>
      <c r="AZ1283" s="82" t="s">
        <v>20971</v>
      </c>
      <c r="BA1283" s="82" t="s">
        <v>20971</v>
      </c>
      <c r="BB1283" s="82" t="s">
        <v>20971</v>
      </c>
      <c r="BC1283" s="82" t="s">
        <v>18056</v>
      </c>
      <c r="BD1283" s="82" t="s">
        <v>21208</v>
      </c>
      <c r="BE1283" s="77"/>
      <c r="BF1283" s="77"/>
      <c r="BG1283" s="77"/>
      <c r="BH1283" s="77"/>
      <c r="BI1283" s="77"/>
    </row>
    <row r="1284" spans="1:61" x14ac:dyDescent="0.25">
      <c r="A1284" s="62" t="s">
        <v>487</v>
      </c>
      <c r="B1284" s="62" t="s">
        <v>487</v>
      </c>
      <c r="C1284" s="63"/>
      <c r="D1284" s="64"/>
      <c r="E1284" s="65"/>
      <c r="F1284" s="66"/>
      <c r="G1284" s="63"/>
      <c r="H1284" s="67"/>
      <c r="I1284" s="68"/>
      <c r="J1284" s="68"/>
      <c r="K1284" s="32"/>
      <c r="L1284" s="75">
        <v>1284</v>
      </c>
      <c r="M1284" s="75"/>
      <c r="N1284" s="70"/>
      <c r="O1284" s="77" t="s">
        <v>179</v>
      </c>
      <c r="P1284" s="79">
        <v>45013.628981481481</v>
      </c>
      <c r="Q1284" s="77" t="s">
        <v>2528</v>
      </c>
      <c r="R1284" s="77">
        <v>0</v>
      </c>
      <c r="S1284" s="77">
        <v>0</v>
      </c>
      <c r="T1284" s="77">
        <v>0</v>
      </c>
      <c r="U1284" s="77">
        <v>0</v>
      </c>
      <c r="V1284" s="77">
        <v>18</v>
      </c>
      <c r="W1284" s="82" t="s">
        <v>5667</v>
      </c>
      <c r="X1284" s="80" t="str">
        <f>HYPERLINK("https://linktr.ee/patricia_.ribeiro")</f>
        <v>https://linktr.ee/patricia_.ribeiro</v>
      </c>
      <c r="Y1284" s="77" t="s">
        <v>7300</v>
      </c>
      <c r="Z1284" s="77"/>
      <c r="AA1284" s="77" t="s">
        <v>8013</v>
      </c>
      <c r="AB1284" s="77" t="s">
        <v>10129</v>
      </c>
      <c r="AC1284" s="82" t="s">
        <v>10144</v>
      </c>
      <c r="AD1284" s="77" t="s">
        <v>10184</v>
      </c>
      <c r="AE1284" s="80" t="str">
        <f>HYPERLINK("https://twitter.com/digital_online_/status/1640731906739150848")</f>
        <v>https://twitter.com/digital_online_/status/1640731906739150848</v>
      </c>
      <c r="AF1284" s="79">
        <v>45013.628981481481</v>
      </c>
      <c r="AG1284" s="85">
        <v>45013</v>
      </c>
      <c r="AH1284" s="82" t="s">
        <v>11430</v>
      </c>
      <c r="AI1284" s="77" t="b">
        <v>0</v>
      </c>
      <c r="AJ1284" s="77"/>
      <c r="AK1284" s="77"/>
      <c r="AL1284" s="77"/>
      <c r="AM1284" s="77"/>
      <c r="AN1284" s="77"/>
      <c r="AO1284" s="77"/>
      <c r="AP1284" s="77"/>
      <c r="AQ1284" s="77" t="s">
        <v>14657</v>
      </c>
      <c r="AR1284" s="77">
        <v>17135</v>
      </c>
      <c r="AS1284" s="77"/>
      <c r="AT1284" s="77"/>
      <c r="AU1284" s="77"/>
      <c r="AV1284" s="80" t="str">
        <f>HYPERLINK("https://pbs.twimg.com/ext_tw_video_thumb/1640731806704992256/pu/img/trL706WfOWnbZANR.jpg")</f>
        <v>https://pbs.twimg.com/ext_tw_video_thumb/1640731806704992256/pu/img/trL706WfOWnbZANR.jpg</v>
      </c>
      <c r="AW1284" s="82" t="s">
        <v>18057</v>
      </c>
      <c r="AX1284" s="82" t="s">
        <v>18057</v>
      </c>
      <c r="AY1284" s="77"/>
      <c r="AZ1284" s="82" t="s">
        <v>20971</v>
      </c>
      <c r="BA1284" s="82" t="s">
        <v>20971</v>
      </c>
      <c r="BB1284" s="82" t="s">
        <v>20971</v>
      </c>
      <c r="BC1284" s="82" t="s">
        <v>18057</v>
      </c>
      <c r="BD1284" s="82" t="s">
        <v>21208</v>
      </c>
      <c r="BE1284" s="77"/>
      <c r="BF1284" s="77"/>
      <c r="BG1284" s="77"/>
      <c r="BH1284" s="77"/>
      <c r="BI1284" s="77"/>
    </row>
    <row r="1285" spans="1:61" x14ac:dyDescent="0.25">
      <c r="A1285" s="62" t="s">
        <v>487</v>
      </c>
      <c r="B1285" s="62" t="s">
        <v>487</v>
      </c>
      <c r="C1285" s="63"/>
      <c r="D1285" s="64"/>
      <c r="E1285" s="65"/>
      <c r="F1285" s="66"/>
      <c r="G1285" s="63"/>
      <c r="H1285" s="67"/>
      <c r="I1285" s="68"/>
      <c r="J1285" s="68"/>
      <c r="K1285" s="32"/>
      <c r="L1285" s="75">
        <v>1285</v>
      </c>
      <c r="M1285" s="75"/>
      <c r="N1285" s="70"/>
      <c r="O1285" s="77" t="s">
        <v>179</v>
      </c>
      <c r="P1285" s="79">
        <v>45012.694953703707</v>
      </c>
      <c r="Q1285" s="77" t="s">
        <v>2529</v>
      </c>
      <c r="R1285" s="77">
        <v>0</v>
      </c>
      <c r="S1285" s="77">
        <v>0</v>
      </c>
      <c r="T1285" s="77">
        <v>0</v>
      </c>
      <c r="U1285" s="77">
        <v>0</v>
      </c>
      <c r="V1285" s="77">
        <v>42</v>
      </c>
      <c r="W1285" s="82" t="s">
        <v>5668</v>
      </c>
      <c r="X1285" s="80" t="str">
        <f>HYPERLINK("https://linktr.ee/patricia_.ribeiro")</f>
        <v>https://linktr.ee/patricia_.ribeiro</v>
      </c>
      <c r="Y1285" s="77" t="s">
        <v>7300</v>
      </c>
      <c r="Z1285" s="77"/>
      <c r="AA1285" s="77" t="s">
        <v>8014</v>
      </c>
      <c r="AB1285" s="77" t="s">
        <v>10130</v>
      </c>
      <c r="AC1285" s="82" t="s">
        <v>10144</v>
      </c>
      <c r="AD1285" s="77" t="s">
        <v>10184</v>
      </c>
      <c r="AE1285" s="80" t="str">
        <f>HYPERLINK("https://twitter.com/digital_online_/status/1640393427849302016")</f>
        <v>https://twitter.com/digital_online_/status/1640393427849302016</v>
      </c>
      <c r="AF1285" s="79">
        <v>45012.694953703707</v>
      </c>
      <c r="AG1285" s="85">
        <v>45012</v>
      </c>
      <c r="AH1285" s="82" t="s">
        <v>11431</v>
      </c>
      <c r="AI1285" s="77" t="b">
        <v>0</v>
      </c>
      <c r="AJ1285" s="77"/>
      <c r="AK1285" s="77"/>
      <c r="AL1285" s="77"/>
      <c r="AM1285" s="77"/>
      <c r="AN1285" s="77"/>
      <c r="AO1285" s="77"/>
      <c r="AP1285" s="77"/>
      <c r="AQ1285" s="77" t="s">
        <v>14658</v>
      </c>
      <c r="AR1285" s="77"/>
      <c r="AS1285" s="77"/>
      <c r="AT1285" s="77"/>
      <c r="AU1285" s="77"/>
      <c r="AV1285" s="80" t="str">
        <f>HYPERLINK("https://pbs.twimg.com/media/FsPZIIzX0AEQFnO.jpg")</f>
        <v>https://pbs.twimg.com/media/FsPZIIzX0AEQFnO.jpg</v>
      </c>
      <c r="AW1285" s="82" t="s">
        <v>18058</v>
      </c>
      <c r="AX1285" s="82" t="s">
        <v>18058</v>
      </c>
      <c r="AY1285" s="77"/>
      <c r="AZ1285" s="82" t="s">
        <v>20971</v>
      </c>
      <c r="BA1285" s="82" t="s">
        <v>20971</v>
      </c>
      <c r="BB1285" s="82" t="s">
        <v>20971</v>
      </c>
      <c r="BC1285" s="82" t="s">
        <v>18058</v>
      </c>
      <c r="BD1285" s="82" t="s">
        <v>21208</v>
      </c>
      <c r="BE1285" s="77"/>
      <c r="BF1285" s="77"/>
      <c r="BG1285" s="77"/>
      <c r="BH1285" s="77"/>
      <c r="BI1285" s="77"/>
    </row>
    <row r="1286" spans="1:61" x14ac:dyDescent="0.25">
      <c r="A1286" s="62" t="s">
        <v>487</v>
      </c>
      <c r="B1286" s="62" t="s">
        <v>487</v>
      </c>
      <c r="C1286" s="63"/>
      <c r="D1286" s="64"/>
      <c r="E1286" s="65"/>
      <c r="F1286" s="66"/>
      <c r="G1286" s="63"/>
      <c r="H1286" s="67"/>
      <c r="I1286" s="68"/>
      <c r="J1286" s="68"/>
      <c r="K1286" s="32"/>
      <c r="L1286" s="75">
        <v>1286</v>
      </c>
      <c r="M1286" s="75"/>
      <c r="N1286" s="70"/>
      <c r="O1286" s="77" t="s">
        <v>179</v>
      </c>
      <c r="P1286" s="79">
        <v>45054.9375462963</v>
      </c>
      <c r="Q1286" s="77" t="s">
        <v>2530</v>
      </c>
      <c r="R1286" s="77">
        <v>1</v>
      </c>
      <c r="S1286" s="77">
        <v>2</v>
      </c>
      <c r="T1286" s="77">
        <v>0</v>
      </c>
      <c r="U1286" s="77">
        <v>0</v>
      </c>
      <c r="V1286" s="77">
        <v>45</v>
      </c>
      <c r="W1286" s="82" t="s">
        <v>5669</v>
      </c>
      <c r="X1286" s="80" t="str">
        <f>HYPERLINK("https://linktr.ee/patricia_.ribeiro")</f>
        <v>https://linktr.ee/patricia_.ribeiro</v>
      </c>
      <c r="Y1286" s="77" t="s">
        <v>7300</v>
      </c>
      <c r="Z1286" s="77"/>
      <c r="AA1286" s="77" t="s">
        <v>8015</v>
      </c>
      <c r="AB1286" s="77" t="s">
        <v>10129</v>
      </c>
      <c r="AC1286" s="82" t="s">
        <v>10144</v>
      </c>
      <c r="AD1286" s="77" t="s">
        <v>10185</v>
      </c>
      <c r="AE1286" s="80" t="str">
        <f>HYPERLINK("https://twitter.com/digital_online_/status/1655701628198985729")</f>
        <v>https://twitter.com/digital_online_/status/1655701628198985729</v>
      </c>
      <c r="AF1286" s="79">
        <v>45054.9375462963</v>
      </c>
      <c r="AG1286" s="85">
        <v>45054</v>
      </c>
      <c r="AH1286" s="82" t="s">
        <v>11432</v>
      </c>
      <c r="AI1286" s="77" t="b">
        <v>0</v>
      </c>
      <c r="AJ1286" s="77"/>
      <c r="AK1286" s="77"/>
      <c r="AL1286" s="77"/>
      <c r="AM1286" s="77"/>
      <c r="AN1286" s="77"/>
      <c r="AO1286" s="77"/>
      <c r="AP1286" s="77"/>
      <c r="AQ1286" s="77" t="s">
        <v>14659</v>
      </c>
      <c r="AR1286" s="77">
        <v>8869</v>
      </c>
      <c r="AS1286" s="77"/>
      <c r="AT1286" s="77"/>
      <c r="AU1286" s="77"/>
      <c r="AV1286" s="80" t="str">
        <f>HYPERLINK("https://pbs.twimg.com/ext_tw_video_thumb/1655701541796339713/pu/img/BcQ6lYpP8OhA0dQV.jpg")</f>
        <v>https://pbs.twimg.com/ext_tw_video_thumb/1655701541796339713/pu/img/BcQ6lYpP8OhA0dQV.jpg</v>
      </c>
      <c r="AW1286" s="82" t="s">
        <v>18059</v>
      </c>
      <c r="AX1286" s="82" t="s">
        <v>18059</v>
      </c>
      <c r="AY1286" s="77"/>
      <c r="AZ1286" s="82" t="s">
        <v>20971</v>
      </c>
      <c r="BA1286" s="82" t="s">
        <v>20971</v>
      </c>
      <c r="BB1286" s="82" t="s">
        <v>20971</v>
      </c>
      <c r="BC1286" s="82" t="s">
        <v>18059</v>
      </c>
      <c r="BD1286" s="82" t="s">
        <v>21208</v>
      </c>
      <c r="BE1286" s="77"/>
      <c r="BF1286" s="77"/>
      <c r="BG1286" s="77"/>
      <c r="BH1286" s="77"/>
      <c r="BI1286" s="77"/>
    </row>
    <row r="1287" spans="1:61" x14ac:dyDescent="0.25">
      <c r="A1287" s="62" t="s">
        <v>487</v>
      </c>
      <c r="B1287" s="62" t="s">
        <v>487</v>
      </c>
      <c r="C1287" s="63"/>
      <c r="D1287" s="64"/>
      <c r="E1287" s="65"/>
      <c r="F1287" s="66"/>
      <c r="G1287" s="63"/>
      <c r="H1287" s="67"/>
      <c r="I1287" s="68"/>
      <c r="J1287" s="68"/>
      <c r="K1287" s="32"/>
      <c r="L1287" s="75">
        <v>1287</v>
      </c>
      <c r="M1287" s="75"/>
      <c r="N1287" s="70"/>
      <c r="O1287" s="77" t="s">
        <v>179</v>
      </c>
      <c r="P1287" s="79">
        <v>45030.755555555559</v>
      </c>
      <c r="Q1287" s="77" t="s">
        <v>2531</v>
      </c>
      <c r="R1287" s="77">
        <v>0</v>
      </c>
      <c r="S1287" s="77">
        <v>0</v>
      </c>
      <c r="T1287" s="77">
        <v>0</v>
      </c>
      <c r="U1287" s="77">
        <v>0</v>
      </c>
      <c r="V1287" s="77">
        <v>18</v>
      </c>
      <c r="W1287" s="82" t="s">
        <v>5670</v>
      </c>
      <c r="X1287" s="80" t="str">
        <f>HYPERLINK("https://linktr.ee/patricia_.ribeiro")</f>
        <v>https://linktr.ee/patricia_.ribeiro</v>
      </c>
      <c r="Y1287" s="77" t="s">
        <v>7300</v>
      </c>
      <c r="Z1287" s="77"/>
      <c r="AA1287" s="77" t="s">
        <v>8016</v>
      </c>
      <c r="AB1287" s="77" t="s">
        <v>10129</v>
      </c>
      <c r="AC1287" s="82" t="s">
        <v>10144</v>
      </c>
      <c r="AD1287" s="77" t="s">
        <v>10184</v>
      </c>
      <c r="AE1287" s="80" t="str">
        <f>HYPERLINK("https://twitter.com/digital_online_/status/1646938369492918281")</f>
        <v>https://twitter.com/digital_online_/status/1646938369492918281</v>
      </c>
      <c r="AF1287" s="79">
        <v>45030.755555555559</v>
      </c>
      <c r="AG1287" s="85">
        <v>45030</v>
      </c>
      <c r="AH1287" s="82" t="s">
        <v>11122</v>
      </c>
      <c r="AI1287" s="77" t="b">
        <v>0</v>
      </c>
      <c r="AJ1287" s="77"/>
      <c r="AK1287" s="77"/>
      <c r="AL1287" s="77"/>
      <c r="AM1287" s="77"/>
      <c r="AN1287" s="77"/>
      <c r="AO1287" s="77"/>
      <c r="AP1287" s="77"/>
      <c r="AQ1287" s="77" t="s">
        <v>14660</v>
      </c>
      <c r="AR1287" s="77">
        <v>7198</v>
      </c>
      <c r="AS1287" s="77"/>
      <c r="AT1287" s="77"/>
      <c r="AU1287" s="77"/>
      <c r="AV1287" s="80" t="str">
        <f>HYPERLINK("https://pbs.twimg.com/ext_tw_video_thumb/1646938293068505091/pu/img/K6Z1SBOQ9j8pLwaJ.jpg")</f>
        <v>https://pbs.twimg.com/ext_tw_video_thumb/1646938293068505091/pu/img/K6Z1SBOQ9j8pLwaJ.jpg</v>
      </c>
      <c r="AW1287" s="82" t="s">
        <v>18060</v>
      </c>
      <c r="AX1287" s="82" t="s">
        <v>18060</v>
      </c>
      <c r="AY1287" s="77"/>
      <c r="AZ1287" s="82" t="s">
        <v>20971</v>
      </c>
      <c r="BA1287" s="82" t="s">
        <v>20971</v>
      </c>
      <c r="BB1287" s="82" t="s">
        <v>20971</v>
      </c>
      <c r="BC1287" s="82" t="s">
        <v>18060</v>
      </c>
      <c r="BD1287" s="82" t="s">
        <v>21208</v>
      </c>
      <c r="BE1287" s="77"/>
      <c r="BF1287" s="77"/>
      <c r="BG1287" s="77"/>
      <c r="BH1287" s="77"/>
      <c r="BI1287" s="77"/>
    </row>
    <row r="1288" spans="1:61" x14ac:dyDescent="0.25">
      <c r="A1288" s="62" t="s">
        <v>487</v>
      </c>
      <c r="B1288" s="62" t="s">
        <v>487</v>
      </c>
      <c r="C1288" s="63"/>
      <c r="D1288" s="64"/>
      <c r="E1288" s="65"/>
      <c r="F1288" s="66"/>
      <c r="G1288" s="63"/>
      <c r="H1288" s="67"/>
      <c r="I1288" s="68"/>
      <c r="J1288" s="68"/>
      <c r="K1288" s="32"/>
      <c r="L1288" s="75">
        <v>1288</v>
      </c>
      <c r="M1288" s="75"/>
      <c r="N1288" s="70"/>
      <c r="O1288" s="77" t="s">
        <v>179</v>
      </c>
      <c r="P1288" s="79">
        <v>45057.035729166666</v>
      </c>
      <c r="Q1288" s="77" t="s">
        <v>2532</v>
      </c>
      <c r="R1288" s="77">
        <v>0</v>
      </c>
      <c r="S1288" s="77">
        <v>0</v>
      </c>
      <c r="T1288" s="77">
        <v>0</v>
      </c>
      <c r="U1288" s="77">
        <v>0</v>
      </c>
      <c r="V1288" s="77">
        <v>21</v>
      </c>
      <c r="W1288" s="82" t="s">
        <v>5671</v>
      </c>
      <c r="X1288" s="80" t="str">
        <f>HYPERLINK("https://linktr.ee/patricia_.ribeiro")</f>
        <v>https://linktr.ee/patricia_.ribeiro</v>
      </c>
      <c r="Y1288" s="77" t="s">
        <v>7300</v>
      </c>
      <c r="Z1288" s="77"/>
      <c r="AA1288" s="77" t="s">
        <v>8017</v>
      </c>
      <c r="AB1288" s="77" t="s">
        <v>10130</v>
      </c>
      <c r="AC1288" s="82" t="s">
        <v>10144</v>
      </c>
      <c r="AD1288" s="77" t="s">
        <v>10184</v>
      </c>
      <c r="AE1288" s="80" t="str">
        <f>HYPERLINK("https://twitter.com/digital_online_/status/1656461983925821442")</f>
        <v>https://twitter.com/digital_online_/status/1656461983925821442</v>
      </c>
      <c r="AF1288" s="79">
        <v>45057.035729166666</v>
      </c>
      <c r="AG1288" s="85">
        <v>45057</v>
      </c>
      <c r="AH1288" s="82" t="s">
        <v>11433</v>
      </c>
      <c r="AI1288" s="77" t="b">
        <v>0</v>
      </c>
      <c r="AJ1288" s="77"/>
      <c r="AK1288" s="77"/>
      <c r="AL1288" s="77"/>
      <c r="AM1288" s="77"/>
      <c r="AN1288" s="77"/>
      <c r="AO1288" s="77"/>
      <c r="AP1288" s="77"/>
      <c r="AQ1288" s="77" t="s">
        <v>14661</v>
      </c>
      <c r="AR1288" s="77"/>
      <c r="AS1288" s="77"/>
      <c r="AT1288" s="77"/>
      <c r="AU1288" s="77"/>
      <c r="AV1288" s="80" t="str">
        <f>HYPERLINK("https://pbs.twimg.com/media/FvzvYubXoAEC8G5.jpg")</f>
        <v>https://pbs.twimg.com/media/FvzvYubXoAEC8G5.jpg</v>
      </c>
      <c r="AW1288" s="82" t="s">
        <v>18061</v>
      </c>
      <c r="AX1288" s="82" t="s">
        <v>18061</v>
      </c>
      <c r="AY1288" s="77"/>
      <c r="AZ1288" s="82" t="s">
        <v>20971</v>
      </c>
      <c r="BA1288" s="82" t="s">
        <v>20971</v>
      </c>
      <c r="BB1288" s="82" t="s">
        <v>20971</v>
      </c>
      <c r="BC1288" s="82" t="s">
        <v>18061</v>
      </c>
      <c r="BD1288" s="82" t="s">
        <v>21208</v>
      </c>
      <c r="BE1288" s="77"/>
      <c r="BF1288" s="77"/>
      <c r="BG1288" s="77"/>
      <c r="BH1288" s="77"/>
      <c r="BI1288" s="77"/>
    </row>
    <row r="1289" spans="1:61" x14ac:dyDescent="0.25">
      <c r="A1289" s="62" t="s">
        <v>487</v>
      </c>
      <c r="B1289" s="62" t="s">
        <v>487</v>
      </c>
      <c r="C1289" s="63"/>
      <c r="D1289" s="64"/>
      <c r="E1289" s="65"/>
      <c r="F1289" s="66"/>
      <c r="G1289" s="63"/>
      <c r="H1289" s="67"/>
      <c r="I1289" s="68"/>
      <c r="J1289" s="68"/>
      <c r="K1289" s="32"/>
      <c r="L1289" s="75">
        <v>1289</v>
      </c>
      <c r="M1289" s="75"/>
      <c r="N1289" s="70"/>
      <c r="O1289" s="77" t="s">
        <v>179</v>
      </c>
      <c r="P1289" s="79">
        <v>45057.029120370367</v>
      </c>
      <c r="Q1289" s="77" t="s">
        <v>2533</v>
      </c>
      <c r="R1289" s="77">
        <v>0</v>
      </c>
      <c r="S1289" s="77">
        <v>1</v>
      </c>
      <c r="T1289" s="77">
        <v>0</v>
      </c>
      <c r="U1289" s="77">
        <v>0</v>
      </c>
      <c r="V1289" s="77">
        <v>16</v>
      </c>
      <c r="W1289" s="82" t="s">
        <v>5672</v>
      </c>
      <c r="X1289" s="80" t="str">
        <f>HYPERLINK("https://linktr.ee/patricia_.ribeiro")</f>
        <v>https://linktr.ee/patricia_.ribeiro</v>
      </c>
      <c r="Y1289" s="77" t="s">
        <v>7300</v>
      </c>
      <c r="Z1289" s="77"/>
      <c r="AA1289" s="77" t="s">
        <v>8018</v>
      </c>
      <c r="AB1289" s="77" t="s">
        <v>10129</v>
      </c>
      <c r="AC1289" s="82" t="s">
        <v>10144</v>
      </c>
      <c r="AD1289" s="77" t="s">
        <v>10184</v>
      </c>
      <c r="AE1289" s="80" t="str">
        <f>HYPERLINK("https://twitter.com/digital_online_/status/1656459588634394629")</f>
        <v>https://twitter.com/digital_online_/status/1656459588634394629</v>
      </c>
      <c r="AF1289" s="79">
        <v>45057.029120370367</v>
      </c>
      <c r="AG1289" s="85">
        <v>45057</v>
      </c>
      <c r="AH1289" s="82" t="s">
        <v>11434</v>
      </c>
      <c r="AI1289" s="77" t="b">
        <v>0</v>
      </c>
      <c r="AJ1289" s="77"/>
      <c r="AK1289" s="77"/>
      <c r="AL1289" s="77"/>
      <c r="AM1289" s="77"/>
      <c r="AN1289" s="77"/>
      <c r="AO1289" s="77"/>
      <c r="AP1289" s="77"/>
      <c r="AQ1289" s="77" t="s">
        <v>14662</v>
      </c>
      <c r="AR1289" s="77">
        <v>19366</v>
      </c>
      <c r="AS1289" s="77"/>
      <c r="AT1289" s="77"/>
      <c r="AU1289" s="77"/>
      <c r="AV1289" s="80" t="str">
        <f>HYPERLINK("https://pbs.twimg.com/ext_tw_video_thumb/1656459410607046656/pu/img/vctdu86AeNC2nM4M.jpg")</f>
        <v>https://pbs.twimg.com/ext_tw_video_thumb/1656459410607046656/pu/img/vctdu86AeNC2nM4M.jpg</v>
      </c>
      <c r="AW1289" s="82" t="s">
        <v>18062</v>
      </c>
      <c r="AX1289" s="82" t="s">
        <v>18062</v>
      </c>
      <c r="AY1289" s="77"/>
      <c r="AZ1289" s="82" t="s">
        <v>20971</v>
      </c>
      <c r="BA1289" s="82" t="s">
        <v>20971</v>
      </c>
      <c r="BB1289" s="82" t="s">
        <v>20971</v>
      </c>
      <c r="BC1289" s="82" t="s">
        <v>18062</v>
      </c>
      <c r="BD1289" s="82" t="s">
        <v>21208</v>
      </c>
      <c r="BE1289" s="77"/>
      <c r="BF1289" s="77"/>
      <c r="BG1289" s="77"/>
      <c r="BH1289" s="77"/>
      <c r="BI1289" s="77"/>
    </row>
    <row r="1290" spans="1:61" x14ac:dyDescent="0.25">
      <c r="A1290" s="62" t="s">
        <v>487</v>
      </c>
      <c r="B1290" s="62" t="s">
        <v>487</v>
      </c>
      <c r="C1290" s="63"/>
      <c r="D1290" s="64"/>
      <c r="E1290" s="65"/>
      <c r="F1290" s="66"/>
      <c r="G1290" s="63"/>
      <c r="H1290" s="67"/>
      <c r="I1290" s="68"/>
      <c r="J1290" s="68"/>
      <c r="K1290" s="32"/>
      <c r="L1290" s="75">
        <v>1290</v>
      </c>
      <c r="M1290" s="75"/>
      <c r="N1290" s="70"/>
      <c r="O1290" s="77" t="s">
        <v>179</v>
      </c>
      <c r="P1290" s="79">
        <v>45011.72148148148</v>
      </c>
      <c r="Q1290" s="77" t="s">
        <v>2534</v>
      </c>
      <c r="R1290" s="77">
        <v>0</v>
      </c>
      <c r="S1290" s="77">
        <v>0</v>
      </c>
      <c r="T1290" s="77">
        <v>0</v>
      </c>
      <c r="U1290" s="77">
        <v>0</v>
      </c>
      <c r="V1290" s="77">
        <v>78</v>
      </c>
      <c r="W1290" s="82" t="s">
        <v>5673</v>
      </c>
      <c r="X1290" s="80" t="str">
        <f>HYPERLINK("https://linktr.ee/patricia_.ribeiro")</f>
        <v>https://linktr.ee/patricia_.ribeiro</v>
      </c>
      <c r="Y1290" s="77" t="s">
        <v>7300</v>
      </c>
      <c r="Z1290" s="77"/>
      <c r="AA1290" s="77" t="s">
        <v>8019</v>
      </c>
      <c r="AB1290" s="77" t="s">
        <v>10129</v>
      </c>
      <c r="AC1290" s="82" t="s">
        <v>10144</v>
      </c>
      <c r="AD1290" s="77" t="s">
        <v>10184</v>
      </c>
      <c r="AE1290" s="80" t="str">
        <f>HYPERLINK("https://twitter.com/digital_online_/status/1640040652468637698")</f>
        <v>https://twitter.com/digital_online_/status/1640040652468637698</v>
      </c>
      <c r="AF1290" s="79">
        <v>45011.72148148148</v>
      </c>
      <c r="AG1290" s="85">
        <v>45011</v>
      </c>
      <c r="AH1290" s="82" t="s">
        <v>11435</v>
      </c>
      <c r="AI1290" s="77" t="b">
        <v>0</v>
      </c>
      <c r="AJ1290" s="77"/>
      <c r="AK1290" s="77"/>
      <c r="AL1290" s="77"/>
      <c r="AM1290" s="77"/>
      <c r="AN1290" s="77"/>
      <c r="AO1290" s="77"/>
      <c r="AP1290" s="77"/>
      <c r="AQ1290" s="77" t="s">
        <v>14663</v>
      </c>
      <c r="AR1290" s="77">
        <v>7244</v>
      </c>
      <c r="AS1290" s="77"/>
      <c r="AT1290" s="77"/>
      <c r="AU1290" s="77"/>
      <c r="AV1290" s="80" t="str">
        <f>HYPERLINK("https://pbs.twimg.com/ext_tw_video_thumb/1640040552941887488/pu/img/gyVEkUW0-cVQ68Yr.jpg")</f>
        <v>https://pbs.twimg.com/ext_tw_video_thumb/1640040552941887488/pu/img/gyVEkUW0-cVQ68Yr.jpg</v>
      </c>
      <c r="AW1290" s="82" t="s">
        <v>18063</v>
      </c>
      <c r="AX1290" s="82" t="s">
        <v>18063</v>
      </c>
      <c r="AY1290" s="77"/>
      <c r="AZ1290" s="82" t="s">
        <v>20971</v>
      </c>
      <c r="BA1290" s="82" t="s">
        <v>20971</v>
      </c>
      <c r="BB1290" s="82" t="s">
        <v>20971</v>
      </c>
      <c r="BC1290" s="82" t="s">
        <v>18063</v>
      </c>
      <c r="BD1290" s="82" t="s">
        <v>21208</v>
      </c>
      <c r="BE1290" s="77"/>
      <c r="BF1290" s="77"/>
      <c r="BG1290" s="77"/>
      <c r="BH1290" s="77"/>
      <c r="BI1290" s="77"/>
    </row>
    <row r="1291" spans="1:61" x14ac:dyDescent="0.25">
      <c r="A1291" s="62" t="s">
        <v>487</v>
      </c>
      <c r="B1291" s="62" t="s">
        <v>487</v>
      </c>
      <c r="C1291" s="63"/>
      <c r="D1291" s="64"/>
      <c r="E1291" s="65"/>
      <c r="F1291" s="66"/>
      <c r="G1291" s="63"/>
      <c r="H1291" s="67"/>
      <c r="I1291" s="68"/>
      <c r="J1291" s="68"/>
      <c r="K1291" s="32"/>
      <c r="L1291" s="75">
        <v>1291</v>
      </c>
      <c r="M1291" s="75"/>
      <c r="N1291" s="70"/>
      <c r="O1291" s="77" t="s">
        <v>179</v>
      </c>
      <c r="P1291" s="79">
        <v>45011.719189814816</v>
      </c>
      <c r="Q1291" s="77" t="s">
        <v>2535</v>
      </c>
      <c r="R1291" s="77">
        <v>0</v>
      </c>
      <c r="S1291" s="77">
        <v>0</v>
      </c>
      <c r="T1291" s="77">
        <v>0</v>
      </c>
      <c r="U1291" s="77">
        <v>0</v>
      </c>
      <c r="V1291" s="77">
        <v>36</v>
      </c>
      <c r="W1291" s="82" t="s">
        <v>5674</v>
      </c>
      <c r="X1291" s="80" t="str">
        <f>HYPERLINK("https://linktr.ee/patricia_.ribeiro")</f>
        <v>https://linktr.ee/patricia_.ribeiro</v>
      </c>
      <c r="Y1291" s="77" t="s">
        <v>7300</v>
      </c>
      <c r="Z1291" s="77"/>
      <c r="AA1291" s="77" t="s">
        <v>8020</v>
      </c>
      <c r="AB1291" s="77" t="s">
        <v>10130</v>
      </c>
      <c r="AC1291" s="82" t="s">
        <v>10144</v>
      </c>
      <c r="AD1291" s="77" t="s">
        <v>10184</v>
      </c>
      <c r="AE1291" s="80" t="str">
        <f>HYPERLINK("https://twitter.com/digital_online_/status/1640039819840479235")</f>
        <v>https://twitter.com/digital_online_/status/1640039819840479235</v>
      </c>
      <c r="AF1291" s="79">
        <v>45011.719189814816</v>
      </c>
      <c r="AG1291" s="85">
        <v>45011</v>
      </c>
      <c r="AH1291" s="82" t="s">
        <v>11436</v>
      </c>
      <c r="AI1291" s="77" t="b">
        <v>0</v>
      </c>
      <c r="AJ1291" s="77"/>
      <c r="AK1291" s="77"/>
      <c r="AL1291" s="77"/>
      <c r="AM1291" s="77"/>
      <c r="AN1291" s="77"/>
      <c r="AO1291" s="77"/>
      <c r="AP1291" s="77"/>
      <c r="AQ1291" s="77" t="s">
        <v>14664</v>
      </c>
      <c r="AR1291" s="77"/>
      <c r="AS1291" s="77"/>
      <c r="AT1291" s="77"/>
      <c r="AU1291" s="77"/>
      <c r="AV1291" s="80" t="str">
        <f>HYPERLINK("https://pbs.twimg.com/media/FsKXhY2X0AEFleW.jpg")</f>
        <v>https://pbs.twimg.com/media/FsKXhY2X0AEFleW.jpg</v>
      </c>
      <c r="AW1291" s="82" t="s">
        <v>18064</v>
      </c>
      <c r="AX1291" s="82" t="s">
        <v>18064</v>
      </c>
      <c r="AY1291" s="77"/>
      <c r="AZ1291" s="82" t="s">
        <v>20971</v>
      </c>
      <c r="BA1291" s="82" t="s">
        <v>20971</v>
      </c>
      <c r="BB1291" s="82" t="s">
        <v>20971</v>
      </c>
      <c r="BC1291" s="82" t="s">
        <v>18064</v>
      </c>
      <c r="BD1291" s="82" t="s">
        <v>21208</v>
      </c>
      <c r="BE1291" s="77"/>
      <c r="BF1291" s="77"/>
      <c r="BG1291" s="77"/>
      <c r="BH1291" s="77"/>
      <c r="BI1291" s="77"/>
    </row>
    <row r="1292" spans="1:61" x14ac:dyDescent="0.25">
      <c r="A1292" s="62" t="s">
        <v>487</v>
      </c>
      <c r="B1292" s="62" t="s">
        <v>487</v>
      </c>
      <c r="C1292" s="63"/>
      <c r="D1292" s="64"/>
      <c r="E1292" s="65"/>
      <c r="F1292" s="66"/>
      <c r="G1292" s="63"/>
      <c r="H1292" s="67"/>
      <c r="I1292" s="68"/>
      <c r="J1292" s="68"/>
      <c r="K1292" s="32"/>
      <c r="L1292" s="75">
        <v>1292</v>
      </c>
      <c r="M1292" s="75"/>
      <c r="N1292" s="70"/>
      <c r="O1292" s="77" t="s">
        <v>179</v>
      </c>
      <c r="P1292" s="79">
        <v>45010.706342592595</v>
      </c>
      <c r="Q1292" s="77" t="s">
        <v>2536</v>
      </c>
      <c r="R1292" s="77">
        <v>0</v>
      </c>
      <c r="S1292" s="77">
        <v>0</v>
      </c>
      <c r="T1292" s="77">
        <v>0</v>
      </c>
      <c r="U1292" s="77">
        <v>0</v>
      </c>
      <c r="V1292" s="77">
        <v>44</v>
      </c>
      <c r="W1292" s="82" t="s">
        <v>5675</v>
      </c>
      <c r="X1292" s="80" t="str">
        <f>HYPERLINK("https://linktr.ee/patricia_.ribeiro")</f>
        <v>https://linktr.ee/patricia_.ribeiro</v>
      </c>
      <c r="Y1292" s="77" t="s">
        <v>7300</v>
      </c>
      <c r="Z1292" s="77"/>
      <c r="AA1292" s="77" t="s">
        <v>8021</v>
      </c>
      <c r="AB1292" s="77" t="s">
        <v>10130</v>
      </c>
      <c r="AC1292" s="82" t="s">
        <v>10144</v>
      </c>
      <c r="AD1292" s="77" t="s">
        <v>10184</v>
      </c>
      <c r="AE1292" s="80" t="str">
        <f>HYPERLINK("https://twitter.com/digital_online_/status/1639672776620494849")</f>
        <v>https://twitter.com/digital_online_/status/1639672776620494849</v>
      </c>
      <c r="AF1292" s="79">
        <v>45010.706342592595</v>
      </c>
      <c r="AG1292" s="85">
        <v>45010</v>
      </c>
      <c r="AH1292" s="82" t="s">
        <v>11437</v>
      </c>
      <c r="AI1292" s="77" t="b">
        <v>0</v>
      </c>
      <c r="AJ1292" s="77"/>
      <c r="AK1292" s="77"/>
      <c r="AL1292" s="77"/>
      <c r="AM1292" s="77"/>
      <c r="AN1292" s="77"/>
      <c r="AO1292" s="77"/>
      <c r="AP1292" s="77"/>
      <c r="AQ1292" s="77" t="s">
        <v>14665</v>
      </c>
      <c r="AR1292" s="77"/>
      <c r="AS1292" s="77"/>
      <c r="AT1292" s="77"/>
      <c r="AU1292" s="77"/>
      <c r="AV1292" s="80" t="str">
        <f>HYPERLINK("https://pbs.twimg.com/media/FsFJsiiWYAAZPHH.jpg")</f>
        <v>https://pbs.twimg.com/media/FsFJsiiWYAAZPHH.jpg</v>
      </c>
      <c r="AW1292" s="82" t="s">
        <v>18065</v>
      </c>
      <c r="AX1292" s="82" t="s">
        <v>18065</v>
      </c>
      <c r="AY1292" s="77"/>
      <c r="AZ1292" s="82" t="s">
        <v>20971</v>
      </c>
      <c r="BA1292" s="82" t="s">
        <v>20971</v>
      </c>
      <c r="BB1292" s="82" t="s">
        <v>20971</v>
      </c>
      <c r="BC1292" s="82" t="s">
        <v>18065</v>
      </c>
      <c r="BD1292" s="82" t="s">
        <v>21208</v>
      </c>
      <c r="BE1292" s="77"/>
      <c r="BF1292" s="77"/>
      <c r="BG1292" s="77"/>
      <c r="BH1292" s="77"/>
      <c r="BI1292" s="77"/>
    </row>
    <row r="1293" spans="1:61" x14ac:dyDescent="0.25">
      <c r="A1293" s="62" t="s">
        <v>487</v>
      </c>
      <c r="B1293" s="62" t="s">
        <v>487</v>
      </c>
      <c r="C1293" s="63"/>
      <c r="D1293" s="64"/>
      <c r="E1293" s="65"/>
      <c r="F1293" s="66"/>
      <c r="G1293" s="63"/>
      <c r="H1293" s="67"/>
      <c r="I1293" s="68"/>
      <c r="J1293" s="68"/>
      <c r="K1293" s="32"/>
      <c r="L1293" s="75">
        <v>1293</v>
      </c>
      <c r="M1293" s="75"/>
      <c r="N1293" s="70"/>
      <c r="O1293" s="77" t="s">
        <v>179</v>
      </c>
      <c r="P1293" s="79">
        <v>45009.76971064815</v>
      </c>
      <c r="Q1293" s="77" t="s">
        <v>2537</v>
      </c>
      <c r="R1293" s="77">
        <v>0</v>
      </c>
      <c r="S1293" s="77">
        <v>0</v>
      </c>
      <c r="T1293" s="77">
        <v>0</v>
      </c>
      <c r="U1293" s="77">
        <v>0</v>
      </c>
      <c r="V1293" s="77">
        <v>55</v>
      </c>
      <c r="W1293" s="82" t="s">
        <v>5676</v>
      </c>
      <c r="X1293" s="80" t="str">
        <f>HYPERLINK("https://linktr.ee/patricia_.ribeiro")</f>
        <v>https://linktr.ee/patricia_.ribeiro</v>
      </c>
      <c r="Y1293" s="77" t="s">
        <v>7300</v>
      </c>
      <c r="Z1293" s="77"/>
      <c r="AA1293" s="77" t="s">
        <v>8022</v>
      </c>
      <c r="AB1293" s="77" t="s">
        <v>10130</v>
      </c>
      <c r="AC1293" s="82" t="s">
        <v>10144</v>
      </c>
      <c r="AD1293" s="77" t="s">
        <v>10184</v>
      </c>
      <c r="AE1293" s="80" t="str">
        <f>HYPERLINK("https://twitter.com/digital_online_/status/1639333351931641884")</f>
        <v>https://twitter.com/digital_online_/status/1639333351931641884</v>
      </c>
      <c r="AF1293" s="79">
        <v>45009.76971064815</v>
      </c>
      <c r="AG1293" s="85">
        <v>45009</v>
      </c>
      <c r="AH1293" s="82" t="s">
        <v>11438</v>
      </c>
      <c r="AI1293" s="77" t="b">
        <v>0</v>
      </c>
      <c r="AJ1293" s="77"/>
      <c r="AK1293" s="77"/>
      <c r="AL1293" s="77"/>
      <c r="AM1293" s="77"/>
      <c r="AN1293" s="77"/>
      <c r="AO1293" s="77"/>
      <c r="AP1293" s="77"/>
      <c r="AQ1293" s="77" t="s">
        <v>14666</v>
      </c>
      <c r="AR1293" s="77"/>
      <c r="AS1293" s="77"/>
      <c r="AT1293" s="77"/>
      <c r="AU1293" s="77"/>
      <c r="AV1293" s="80" t="str">
        <f>HYPERLINK("https://pbs.twimg.com/media/FsAU_nQWAAoY8LU.jpg")</f>
        <v>https://pbs.twimg.com/media/FsAU_nQWAAoY8LU.jpg</v>
      </c>
      <c r="AW1293" s="82" t="s">
        <v>18066</v>
      </c>
      <c r="AX1293" s="82" t="s">
        <v>18066</v>
      </c>
      <c r="AY1293" s="77"/>
      <c r="AZ1293" s="82" t="s">
        <v>20971</v>
      </c>
      <c r="BA1293" s="82" t="s">
        <v>20971</v>
      </c>
      <c r="BB1293" s="82" t="s">
        <v>20971</v>
      </c>
      <c r="BC1293" s="82" t="s">
        <v>18066</v>
      </c>
      <c r="BD1293" s="82" t="s">
        <v>21208</v>
      </c>
      <c r="BE1293" s="77"/>
      <c r="BF1293" s="77"/>
      <c r="BG1293" s="77"/>
      <c r="BH1293" s="77"/>
      <c r="BI1293" s="77"/>
    </row>
    <row r="1294" spans="1:61" x14ac:dyDescent="0.25">
      <c r="A1294" s="62" t="s">
        <v>487</v>
      </c>
      <c r="B1294" s="62" t="s">
        <v>487</v>
      </c>
      <c r="C1294" s="63"/>
      <c r="D1294" s="64"/>
      <c r="E1294" s="65"/>
      <c r="F1294" s="66"/>
      <c r="G1294" s="63"/>
      <c r="H1294" s="67"/>
      <c r="I1294" s="68"/>
      <c r="J1294" s="68"/>
      <c r="K1294" s="32"/>
      <c r="L1294" s="75">
        <v>1294</v>
      </c>
      <c r="M1294" s="75"/>
      <c r="N1294" s="70"/>
      <c r="O1294" s="77" t="s">
        <v>179</v>
      </c>
      <c r="P1294" s="79">
        <v>45071.045219907406</v>
      </c>
      <c r="Q1294" s="77" t="s">
        <v>2538</v>
      </c>
      <c r="R1294" s="77">
        <v>0</v>
      </c>
      <c r="S1294" s="77">
        <v>0</v>
      </c>
      <c r="T1294" s="77">
        <v>0</v>
      </c>
      <c r="U1294" s="77">
        <v>0</v>
      </c>
      <c r="V1294" s="77">
        <v>25</v>
      </c>
      <c r="W1294" s="82" t="s">
        <v>5677</v>
      </c>
      <c r="X1294" s="80" t="str">
        <f>HYPERLINK("https://linktr.ee/patricia_.ribeiro")</f>
        <v>https://linktr.ee/patricia_.ribeiro</v>
      </c>
      <c r="Y1294" s="77" t="s">
        <v>7300</v>
      </c>
      <c r="Z1294" s="77"/>
      <c r="AA1294" s="77" t="s">
        <v>8023</v>
      </c>
      <c r="AB1294" s="77" t="s">
        <v>10130</v>
      </c>
      <c r="AC1294" s="82" t="s">
        <v>10144</v>
      </c>
      <c r="AD1294" s="77" t="s">
        <v>10184</v>
      </c>
      <c r="AE1294" s="80" t="str">
        <f>HYPERLINK("https://twitter.com/digital_online_/status/1661538853482635266")</f>
        <v>https://twitter.com/digital_online_/status/1661538853482635266</v>
      </c>
      <c r="AF1294" s="79">
        <v>45071.045219907406</v>
      </c>
      <c r="AG1294" s="85">
        <v>45071</v>
      </c>
      <c r="AH1294" s="82" t="s">
        <v>11439</v>
      </c>
      <c r="AI1294" s="77" t="b">
        <v>0</v>
      </c>
      <c r="AJ1294" s="77"/>
      <c r="AK1294" s="77"/>
      <c r="AL1294" s="77"/>
      <c r="AM1294" s="77"/>
      <c r="AN1294" s="77"/>
      <c r="AO1294" s="77"/>
      <c r="AP1294" s="77"/>
      <c r="AQ1294" s="77" t="s">
        <v>14667</v>
      </c>
      <c r="AR1294" s="77"/>
      <c r="AS1294" s="77"/>
      <c r="AT1294" s="77"/>
      <c r="AU1294" s="77"/>
      <c r="AV1294" s="80" t="str">
        <f>HYPERLINK("https://pbs.twimg.com/media/Fw74w9nXwAA3s3b.jpg")</f>
        <v>https://pbs.twimg.com/media/Fw74w9nXwAA3s3b.jpg</v>
      </c>
      <c r="AW1294" s="82" t="s">
        <v>18067</v>
      </c>
      <c r="AX1294" s="82" t="s">
        <v>18067</v>
      </c>
      <c r="AY1294" s="77"/>
      <c r="AZ1294" s="82" t="s">
        <v>20971</v>
      </c>
      <c r="BA1294" s="82" t="s">
        <v>20971</v>
      </c>
      <c r="BB1294" s="82" t="s">
        <v>20971</v>
      </c>
      <c r="BC1294" s="82" t="s">
        <v>18067</v>
      </c>
      <c r="BD1294" s="82" t="s">
        <v>21208</v>
      </c>
      <c r="BE1294" s="77"/>
      <c r="BF1294" s="77"/>
      <c r="BG1294" s="77"/>
      <c r="BH1294" s="77"/>
      <c r="BI1294" s="77"/>
    </row>
    <row r="1295" spans="1:61" x14ac:dyDescent="0.25">
      <c r="A1295" s="62" t="s">
        <v>487</v>
      </c>
      <c r="B1295" s="62" t="s">
        <v>487</v>
      </c>
      <c r="C1295" s="63"/>
      <c r="D1295" s="64"/>
      <c r="E1295" s="65"/>
      <c r="F1295" s="66"/>
      <c r="G1295" s="63"/>
      <c r="H1295" s="67"/>
      <c r="I1295" s="68"/>
      <c r="J1295" s="68"/>
      <c r="K1295" s="32"/>
      <c r="L1295" s="75">
        <v>1295</v>
      </c>
      <c r="M1295" s="75"/>
      <c r="N1295" s="70"/>
      <c r="O1295" s="77" t="s">
        <v>179</v>
      </c>
      <c r="P1295" s="79">
        <v>45150.937731481485</v>
      </c>
      <c r="Q1295" s="77" t="s">
        <v>2539</v>
      </c>
      <c r="R1295" s="77">
        <v>0</v>
      </c>
      <c r="S1295" s="77">
        <v>0</v>
      </c>
      <c r="T1295" s="77">
        <v>0</v>
      </c>
      <c r="U1295" s="77">
        <v>0</v>
      </c>
      <c r="V1295" s="77">
        <v>46</v>
      </c>
      <c r="W1295" s="82" t="s">
        <v>5678</v>
      </c>
      <c r="X1295" s="77"/>
      <c r="Y1295" s="77"/>
      <c r="Z1295" s="77"/>
      <c r="AA1295" s="77" t="s">
        <v>8024</v>
      </c>
      <c r="AB1295" s="77" t="s">
        <v>10130</v>
      </c>
      <c r="AC1295" s="82" t="s">
        <v>10144</v>
      </c>
      <c r="AD1295" s="77" t="s">
        <v>10184</v>
      </c>
      <c r="AE1295" s="80" t="str">
        <f>HYPERLINK("https://twitter.com/digital_online_/status/1690490931852513280")</f>
        <v>https://twitter.com/digital_online_/status/1690490931852513280</v>
      </c>
      <c r="AF1295" s="79">
        <v>45150.937731481485</v>
      </c>
      <c r="AG1295" s="85">
        <v>45150</v>
      </c>
      <c r="AH1295" s="82" t="s">
        <v>11440</v>
      </c>
      <c r="AI1295" s="77" t="b">
        <v>0</v>
      </c>
      <c r="AJ1295" s="77"/>
      <c r="AK1295" s="77"/>
      <c r="AL1295" s="77"/>
      <c r="AM1295" s="77"/>
      <c r="AN1295" s="77"/>
      <c r="AO1295" s="77"/>
      <c r="AP1295" s="77"/>
      <c r="AQ1295" s="77" t="s">
        <v>14668</v>
      </c>
      <c r="AR1295" s="77"/>
      <c r="AS1295" s="77"/>
      <c r="AT1295" s="77"/>
      <c r="AU1295" s="77"/>
      <c r="AV1295" s="80" t="str">
        <f>HYPERLINK("https://pbs.twimg.com/media/F3XUimtXEAAFJWo.jpg")</f>
        <v>https://pbs.twimg.com/media/F3XUimtXEAAFJWo.jpg</v>
      </c>
      <c r="AW1295" s="82" t="s">
        <v>18068</v>
      </c>
      <c r="AX1295" s="82" t="s">
        <v>18068</v>
      </c>
      <c r="AY1295" s="77"/>
      <c r="AZ1295" s="82" t="s">
        <v>20971</v>
      </c>
      <c r="BA1295" s="82" t="s">
        <v>20971</v>
      </c>
      <c r="BB1295" s="82" t="s">
        <v>20971</v>
      </c>
      <c r="BC1295" s="82" t="s">
        <v>18068</v>
      </c>
      <c r="BD1295" s="82" t="s">
        <v>21208</v>
      </c>
      <c r="BE1295" s="77"/>
      <c r="BF1295" s="77"/>
      <c r="BG1295" s="77"/>
      <c r="BH1295" s="77"/>
      <c r="BI1295" s="77"/>
    </row>
    <row r="1296" spans="1:61" x14ac:dyDescent="0.25">
      <c r="A1296" s="62" t="s">
        <v>487</v>
      </c>
      <c r="B1296" s="62" t="s">
        <v>487</v>
      </c>
      <c r="C1296" s="63"/>
      <c r="D1296" s="64"/>
      <c r="E1296" s="65"/>
      <c r="F1296" s="66"/>
      <c r="G1296" s="63"/>
      <c r="H1296" s="67"/>
      <c r="I1296" s="68"/>
      <c r="J1296" s="68"/>
      <c r="K1296" s="32"/>
      <c r="L1296" s="75">
        <v>1296</v>
      </c>
      <c r="M1296" s="75"/>
      <c r="N1296" s="70"/>
      <c r="O1296" s="77" t="s">
        <v>179</v>
      </c>
      <c r="P1296" s="79">
        <v>45089.96503472222</v>
      </c>
      <c r="Q1296" s="77" t="s">
        <v>2540</v>
      </c>
      <c r="R1296" s="77">
        <v>0</v>
      </c>
      <c r="S1296" s="77">
        <v>0</v>
      </c>
      <c r="T1296" s="77">
        <v>0</v>
      </c>
      <c r="U1296" s="77">
        <v>0</v>
      </c>
      <c r="V1296" s="77">
        <v>31</v>
      </c>
      <c r="W1296" s="82" t="s">
        <v>5679</v>
      </c>
      <c r="X1296" s="80" t="str">
        <f>HYPERLINK("https://linktr.ee/patricia_.ribeiro")</f>
        <v>https://linktr.ee/patricia_.ribeiro</v>
      </c>
      <c r="Y1296" s="77" t="s">
        <v>7300</v>
      </c>
      <c r="Z1296" s="77"/>
      <c r="AA1296" s="77" t="s">
        <v>8025</v>
      </c>
      <c r="AB1296" s="77" t="s">
        <v>10129</v>
      </c>
      <c r="AC1296" s="82" t="s">
        <v>10144</v>
      </c>
      <c r="AD1296" s="77" t="s">
        <v>10184</v>
      </c>
      <c r="AE1296" s="80" t="str">
        <f>HYPERLINK("https://twitter.com/digital_online_/status/1668395163880751104")</f>
        <v>https://twitter.com/digital_online_/status/1668395163880751104</v>
      </c>
      <c r="AF1296" s="79">
        <v>45089.96503472222</v>
      </c>
      <c r="AG1296" s="85">
        <v>45089</v>
      </c>
      <c r="AH1296" s="82" t="s">
        <v>11441</v>
      </c>
      <c r="AI1296" s="77" t="b">
        <v>0</v>
      </c>
      <c r="AJ1296" s="77"/>
      <c r="AK1296" s="77"/>
      <c r="AL1296" s="77"/>
      <c r="AM1296" s="77"/>
      <c r="AN1296" s="77"/>
      <c r="AO1296" s="77"/>
      <c r="AP1296" s="77"/>
      <c r="AQ1296" s="77" t="s">
        <v>14669</v>
      </c>
      <c r="AR1296" s="77">
        <v>11795</v>
      </c>
      <c r="AS1296" s="77"/>
      <c r="AT1296" s="77"/>
      <c r="AU1296" s="77"/>
      <c r="AV1296" s="80" t="str">
        <f>HYPERLINK("https://pbs.twimg.com/ext_tw_video_thumb/1668394977678835712/pu/img/9AtBDt3fuvTHNAjw.jpg")</f>
        <v>https://pbs.twimg.com/ext_tw_video_thumb/1668394977678835712/pu/img/9AtBDt3fuvTHNAjw.jpg</v>
      </c>
      <c r="AW1296" s="82" t="s">
        <v>18069</v>
      </c>
      <c r="AX1296" s="82" t="s">
        <v>18069</v>
      </c>
      <c r="AY1296" s="77"/>
      <c r="AZ1296" s="82" t="s">
        <v>20971</v>
      </c>
      <c r="BA1296" s="82" t="s">
        <v>20971</v>
      </c>
      <c r="BB1296" s="82" t="s">
        <v>20971</v>
      </c>
      <c r="BC1296" s="82" t="s">
        <v>18069</v>
      </c>
      <c r="BD1296" s="82" t="s">
        <v>21208</v>
      </c>
      <c r="BE1296" s="77"/>
      <c r="BF1296" s="77"/>
      <c r="BG1296" s="77"/>
      <c r="BH1296" s="77"/>
      <c r="BI1296" s="77"/>
    </row>
    <row r="1297" spans="1:61" x14ac:dyDescent="0.25">
      <c r="A1297" s="62" t="s">
        <v>487</v>
      </c>
      <c r="B1297" s="62" t="s">
        <v>487</v>
      </c>
      <c r="C1297" s="63"/>
      <c r="D1297" s="64"/>
      <c r="E1297" s="65"/>
      <c r="F1297" s="66"/>
      <c r="G1297" s="63"/>
      <c r="H1297" s="67"/>
      <c r="I1297" s="68"/>
      <c r="J1297" s="68"/>
      <c r="K1297" s="32"/>
      <c r="L1297" s="75">
        <v>1297</v>
      </c>
      <c r="M1297" s="75"/>
      <c r="N1297" s="70"/>
      <c r="O1297" s="77" t="s">
        <v>179</v>
      </c>
      <c r="P1297" s="79">
        <v>45015.68482638889</v>
      </c>
      <c r="Q1297" s="77" t="s">
        <v>2541</v>
      </c>
      <c r="R1297" s="77">
        <v>0</v>
      </c>
      <c r="S1297" s="77">
        <v>0</v>
      </c>
      <c r="T1297" s="77">
        <v>0</v>
      </c>
      <c r="U1297" s="77">
        <v>0</v>
      </c>
      <c r="V1297" s="77">
        <v>19</v>
      </c>
      <c r="W1297" s="82" t="s">
        <v>5680</v>
      </c>
      <c r="X1297" s="80" t="str">
        <f>HYPERLINK("https://linktr.ee/patricia_.ribeiro")</f>
        <v>https://linktr.ee/patricia_.ribeiro</v>
      </c>
      <c r="Y1297" s="77" t="s">
        <v>7300</v>
      </c>
      <c r="Z1297" s="77"/>
      <c r="AA1297" s="77" t="s">
        <v>8026</v>
      </c>
      <c r="AB1297" s="77" t="s">
        <v>10130</v>
      </c>
      <c r="AC1297" s="82" t="s">
        <v>10144</v>
      </c>
      <c r="AD1297" s="77" t="s">
        <v>10184</v>
      </c>
      <c r="AE1297" s="80" t="str">
        <f>HYPERLINK("https://twitter.com/digital_online_/status/1641476918976434178")</f>
        <v>https://twitter.com/digital_online_/status/1641476918976434178</v>
      </c>
      <c r="AF1297" s="79">
        <v>45015.68482638889</v>
      </c>
      <c r="AG1297" s="85">
        <v>45015</v>
      </c>
      <c r="AH1297" s="82" t="s">
        <v>11442</v>
      </c>
      <c r="AI1297" s="77" t="b">
        <v>0</v>
      </c>
      <c r="AJ1297" s="77"/>
      <c r="AK1297" s="77"/>
      <c r="AL1297" s="77"/>
      <c r="AM1297" s="77"/>
      <c r="AN1297" s="77"/>
      <c r="AO1297" s="77"/>
      <c r="AP1297" s="77"/>
      <c r="AQ1297" s="77" t="s">
        <v>14670</v>
      </c>
      <c r="AR1297" s="77"/>
      <c r="AS1297" s="77"/>
      <c r="AT1297" s="77"/>
      <c r="AU1297" s="77"/>
      <c r="AV1297" s="80" t="str">
        <f>HYPERLINK("https://pbs.twimg.com/media/Fseyi3cX0AAPozD.jpg")</f>
        <v>https://pbs.twimg.com/media/Fseyi3cX0AAPozD.jpg</v>
      </c>
      <c r="AW1297" s="82" t="s">
        <v>18070</v>
      </c>
      <c r="AX1297" s="82" t="s">
        <v>18070</v>
      </c>
      <c r="AY1297" s="77"/>
      <c r="AZ1297" s="82" t="s">
        <v>20971</v>
      </c>
      <c r="BA1297" s="82" t="s">
        <v>20971</v>
      </c>
      <c r="BB1297" s="82" t="s">
        <v>20971</v>
      </c>
      <c r="BC1297" s="82" t="s">
        <v>18070</v>
      </c>
      <c r="BD1297" s="82" t="s">
        <v>21208</v>
      </c>
      <c r="BE1297" s="77"/>
      <c r="BF1297" s="77"/>
      <c r="BG1297" s="77"/>
      <c r="BH1297" s="77"/>
      <c r="BI1297" s="77"/>
    </row>
    <row r="1298" spans="1:61" x14ac:dyDescent="0.25">
      <c r="A1298" s="62" t="s">
        <v>487</v>
      </c>
      <c r="B1298" s="62" t="s">
        <v>487</v>
      </c>
      <c r="C1298" s="63"/>
      <c r="D1298" s="64"/>
      <c r="E1298" s="65"/>
      <c r="F1298" s="66"/>
      <c r="G1298" s="63"/>
      <c r="H1298" s="67"/>
      <c r="I1298" s="68"/>
      <c r="J1298" s="68"/>
      <c r="K1298" s="32"/>
      <c r="L1298" s="75">
        <v>1298</v>
      </c>
      <c r="M1298" s="75"/>
      <c r="N1298" s="70"/>
      <c r="O1298" s="77" t="s">
        <v>179</v>
      </c>
      <c r="P1298" s="79">
        <v>45015.679513888892</v>
      </c>
      <c r="Q1298" s="77" t="s">
        <v>2542</v>
      </c>
      <c r="R1298" s="77">
        <v>0</v>
      </c>
      <c r="S1298" s="77">
        <v>0</v>
      </c>
      <c r="T1298" s="77">
        <v>0</v>
      </c>
      <c r="U1298" s="77">
        <v>0</v>
      </c>
      <c r="V1298" s="77">
        <v>15</v>
      </c>
      <c r="W1298" s="82" t="s">
        <v>5681</v>
      </c>
      <c r="X1298" s="80" t="str">
        <f>HYPERLINK("https://linktr.ee/patricia_.ribeiro")</f>
        <v>https://linktr.ee/patricia_.ribeiro</v>
      </c>
      <c r="Y1298" s="77" t="s">
        <v>7300</v>
      </c>
      <c r="Z1298" s="77"/>
      <c r="AA1298" s="77" t="s">
        <v>8027</v>
      </c>
      <c r="AB1298" s="77" t="s">
        <v>10129</v>
      </c>
      <c r="AC1298" s="82" t="s">
        <v>10144</v>
      </c>
      <c r="AD1298" s="77" t="s">
        <v>10184</v>
      </c>
      <c r="AE1298" s="80" t="str">
        <f>HYPERLINK("https://twitter.com/digital_online_/status/1641474993593757705")</f>
        <v>https://twitter.com/digital_online_/status/1641474993593757705</v>
      </c>
      <c r="AF1298" s="79">
        <v>45015.679513888892</v>
      </c>
      <c r="AG1298" s="85">
        <v>45015</v>
      </c>
      <c r="AH1298" s="82" t="s">
        <v>10396</v>
      </c>
      <c r="AI1298" s="77" t="b">
        <v>0</v>
      </c>
      <c r="AJ1298" s="77"/>
      <c r="AK1298" s="77"/>
      <c r="AL1298" s="77"/>
      <c r="AM1298" s="77"/>
      <c r="AN1298" s="77"/>
      <c r="AO1298" s="77"/>
      <c r="AP1298" s="77"/>
      <c r="AQ1298" s="77" t="s">
        <v>14671</v>
      </c>
      <c r="AR1298" s="77">
        <v>14966</v>
      </c>
      <c r="AS1298" s="77"/>
      <c r="AT1298" s="77"/>
      <c r="AU1298" s="77"/>
      <c r="AV1298" s="80" t="str">
        <f>HYPERLINK("https://pbs.twimg.com/ext_tw_video_thumb/1641474885514919938/pu/img/pWxkSXtE5rEg1uuW.jpg")</f>
        <v>https://pbs.twimg.com/ext_tw_video_thumb/1641474885514919938/pu/img/pWxkSXtE5rEg1uuW.jpg</v>
      </c>
      <c r="AW1298" s="82" t="s">
        <v>18071</v>
      </c>
      <c r="AX1298" s="82" t="s">
        <v>18071</v>
      </c>
      <c r="AY1298" s="77"/>
      <c r="AZ1298" s="82" t="s">
        <v>20971</v>
      </c>
      <c r="BA1298" s="82" t="s">
        <v>20971</v>
      </c>
      <c r="BB1298" s="82" t="s">
        <v>20971</v>
      </c>
      <c r="BC1298" s="82" t="s">
        <v>18071</v>
      </c>
      <c r="BD1298" s="82" t="s">
        <v>21208</v>
      </c>
      <c r="BE1298" s="77"/>
      <c r="BF1298" s="77"/>
      <c r="BG1298" s="77"/>
      <c r="BH1298" s="77"/>
      <c r="BI1298" s="77"/>
    </row>
    <row r="1299" spans="1:61" x14ac:dyDescent="0.25">
      <c r="A1299" s="62" t="s">
        <v>487</v>
      </c>
      <c r="B1299" s="62" t="s">
        <v>487</v>
      </c>
      <c r="C1299" s="63"/>
      <c r="D1299" s="64"/>
      <c r="E1299" s="65"/>
      <c r="F1299" s="66"/>
      <c r="G1299" s="63"/>
      <c r="H1299" s="67"/>
      <c r="I1299" s="68"/>
      <c r="J1299" s="68"/>
      <c r="K1299" s="32"/>
      <c r="L1299" s="75">
        <v>1299</v>
      </c>
      <c r="M1299" s="75"/>
      <c r="N1299" s="70"/>
      <c r="O1299" s="77" t="s">
        <v>179</v>
      </c>
      <c r="P1299" s="79">
        <v>45014.700902777775</v>
      </c>
      <c r="Q1299" s="77" t="s">
        <v>2543</v>
      </c>
      <c r="R1299" s="77">
        <v>0</v>
      </c>
      <c r="S1299" s="77">
        <v>0</v>
      </c>
      <c r="T1299" s="77">
        <v>0</v>
      </c>
      <c r="U1299" s="77">
        <v>0</v>
      </c>
      <c r="V1299" s="77">
        <v>18</v>
      </c>
      <c r="W1299" s="82" t="s">
        <v>5682</v>
      </c>
      <c r="X1299" s="80" t="str">
        <f>HYPERLINK("https://linktr.ee/patricia_.ribeiro")</f>
        <v>https://linktr.ee/patricia_.ribeiro</v>
      </c>
      <c r="Y1299" s="77" t="s">
        <v>7300</v>
      </c>
      <c r="Z1299" s="77"/>
      <c r="AA1299" s="77" t="s">
        <v>8028</v>
      </c>
      <c r="AB1299" s="77" t="s">
        <v>10130</v>
      </c>
      <c r="AC1299" s="82" t="s">
        <v>10144</v>
      </c>
      <c r="AD1299" s="77" t="s">
        <v>10184</v>
      </c>
      <c r="AE1299" s="80" t="str">
        <f>HYPERLINK("https://twitter.com/digital_online_/status/1641120356638285824")</f>
        <v>https://twitter.com/digital_online_/status/1641120356638285824</v>
      </c>
      <c r="AF1299" s="79">
        <v>45014.700902777775</v>
      </c>
      <c r="AG1299" s="85">
        <v>45014</v>
      </c>
      <c r="AH1299" s="82" t="s">
        <v>11443</v>
      </c>
      <c r="AI1299" s="77" t="b">
        <v>0</v>
      </c>
      <c r="AJ1299" s="77"/>
      <c r="AK1299" s="77"/>
      <c r="AL1299" s="77"/>
      <c r="AM1299" s="77"/>
      <c r="AN1299" s="77"/>
      <c r="AO1299" s="77"/>
      <c r="AP1299" s="77"/>
      <c r="AQ1299" s="77" t="s">
        <v>14672</v>
      </c>
      <c r="AR1299" s="77"/>
      <c r="AS1299" s="77"/>
      <c r="AT1299" s="77"/>
      <c r="AU1299" s="77"/>
      <c r="AV1299" s="80" t="str">
        <f>HYPERLINK("https://pbs.twimg.com/media/FsZuQ2dXwBAc0hu.jpg")</f>
        <v>https://pbs.twimg.com/media/FsZuQ2dXwBAc0hu.jpg</v>
      </c>
      <c r="AW1299" s="82" t="s">
        <v>18072</v>
      </c>
      <c r="AX1299" s="82" t="s">
        <v>18072</v>
      </c>
      <c r="AY1299" s="77"/>
      <c r="AZ1299" s="82" t="s">
        <v>20971</v>
      </c>
      <c r="BA1299" s="82" t="s">
        <v>20971</v>
      </c>
      <c r="BB1299" s="82" t="s">
        <v>20971</v>
      </c>
      <c r="BC1299" s="82" t="s">
        <v>18072</v>
      </c>
      <c r="BD1299" s="82" t="s">
        <v>21208</v>
      </c>
      <c r="BE1299" s="77"/>
      <c r="BF1299" s="77"/>
      <c r="BG1299" s="77"/>
      <c r="BH1299" s="77"/>
      <c r="BI1299" s="77"/>
    </row>
    <row r="1300" spans="1:61" x14ac:dyDescent="0.25">
      <c r="A1300" s="62" t="s">
        <v>487</v>
      </c>
      <c r="B1300" s="62" t="s">
        <v>487</v>
      </c>
      <c r="C1300" s="63"/>
      <c r="D1300" s="64"/>
      <c r="E1300" s="65"/>
      <c r="F1300" s="66"/>
      <c r="G1300" s="63"/>
      <c r="H1300" s="67"/>
      <c r="I1300" s="68"/>
      <c r="J1300" s="68"/>
      <c r="K1300" s="32"/>
      <c r="L1300" s="75">
        <v>1300</v>
      </c>
      <c r="M1300" s="75"/>
      <c r="N1300" s="70"/>
      <c r="O1300" s="77" t="s">
        <v>179</v>
      </c>
      <c r="P1300" s="79">
        <v>45014.69866898148</v>
      </c>
      <c r="Q1300" s="77" t="s">
        <v>2544</v>
      </c>
      <c r="R1300" s="77">
        <v>0</v>
      </c>
      <c r="S1300" s="77">
        <v>0</v>
      </c>
      <c r="T1300" s="77">
        <v>0</v>
      </c>
      <c r="U1300" s="77">
        <v>0</v>
      </c>
      <c r="V1300" s="77">
        <v>103</v>
      </c>
      <c r="W1300" s="82" t="s">
        <v>5682</v>
      </c>
      <c r="X1300" s="80" t="str">
        <f>HYPERLINK("https://linktr.ee/patricia_.ribeiro")</f>
        <v>https://linktr.ee/patricia_.ribeiro</v>
      </c>
      <c r="Y1300" s="77" t="s">
        <v>7300</v>
      </c>
      <c r="Z1300" s="77"/>
      <c r="AA1300" s="77" t="s">
        <v>8029</v>
      </c>
      <c r="AB1300" s="77" t="s">
        <v>10129</v>
      </c>
      <c r="AC1300" s="82" t="s">
        <v>10144</v>
      </c>
      <c r="AD1300" s="77" t="s">
        <v>10184</v>
      </c>
      <c r="AE1300" s="80" t="str">
        <f>HYPERLINK("https://twitter.com/digital_online_/status/1641119548932870144")</f>
        <v>https://twitter.com/digital_online_/status/1641119548932870144</v>
      </c>
      <c r="AF1300" s="79">
        <v>45014.69866898148</v>
      </c>
      <c r="AG1300" s="85">
        <v>45014</v>
      </c>
      <c r="AH1300" s="82" t="s">
        <v>11444</v>
      </c>
      <c r="AI1300" s="77" t="b">
        <v>0</v>
      </c>
      <c r="AJ1300" s="77"/>
      <c r="AK1300" s="77"/>
      <c r="AL1300" s="77"/>
      <c r="AM1300" s="77"/>
      <c r="AN1300" s="77"/>
      <c r="AO1300" s="77"/>
      <c r="AP1300" s="77"/>
      <c r="AQ1300" s="77" t="s">
        <v>14673</v>
      </c>
      <c r="AR1300" s="77">
        <v>8033</v>
      </c>
      <c r="AS1300" s="77"/>
      <c r="AT1300" s="77"/>
      <c r="AU1300" s="77"/>
      <c r="AV1300" s="80" t="str">
        <f>HYPERLINK("https://pbs.twimg.com/ext_tw_video_thumb/1641119437435682825/pu/img/6GTZl3B7L6rqKLVX.jpg")</f>
        <v>https://pbs.twimg.com/ext_tw_video_thumb/1641119437435682825/pu/img/6GTZl3B7L6rqKLVX.jpg</v>
      </c>
      <c r="AW1300" s="82" t="s">
        <v>18073</v>
      </c>
      <c r="AX1300" s="82" t="s">
        <v>18073</v>
      </c>
      <c r="AY1300" s="77"/>
      <c r="AZ1300" s="82" t="s">
        <v>20971</v>
      </c>
      <c r="BA1300" s="82" t="s">
        <v>20971</v>
      </c>
      <c r="BB1300" s="82" t="s">
        <v>20971</v>
      </c>
      <c r="BC1300" s="82" t="s">
        <v>18073</v>
      </c>
      <c r="BD1300" s="82" t="s">
        <v>21208</v>
      </c>
      <c r="BE1300" s="77"/>
      <c r="BF1300" s="77"/>
      <c r="BG1300" s="77"/>
      <c r="BH1300" s="77"/>
      <c r="BI1300" s="77"/>
    </row>
    <row r="1301" spans="1:61" x14ac:dyDescent="0.25">
      <c r="A1301" s="62" t="s">
        <v>487</v>
      </c>
      <c r="B1301" s="62" t="s">
        <v>487</v>
      </c>
      <c r="C1301" s="63"/>
      <c r="D1301" s="64"/>
      <c r="E1301" s="65"/>
      <c r="F1301" s="66"/>
      <c r="G1301" s="63"/>
      <c r="H1301" s="67"/>
      <c r="I1301" s="68"/>
      <c r="J1301" s="68"/>
      <c r="K1301" s="32"/>
      <c r="L1301" s="75">
        <v>1301</v>
      </c>
      <c r="M1301" s="75"/>
      <c r="N1301" s="70"/>
      <c r="O1301" s="77" t="s">
        <v>179</v>
      </c>
      <c r="P1301" s="79">
        <v>45149.946388888886</v>
      </c>
      <c r="Q1301" s="77" t="s">
        <v>2545</v>
      </c>
      <c r="R1301" s="77">
        <v>0</v>
      </c>
      <c r="S1301" s="77">
        <v>0</v>
      </c>
      <c r="T1301" s="77">
        <v>0</v>
      </c>
      <c r="U1301" s="77">
        <v>0</v>
      </c>
      <c r="V1301" s="77">
        <v>16</v>
      </c>
      <c r="W1301" s="82" t="s">
        <v>5683</v>
      </c>
      <c r="X1301" s="77"/>
      <c r="Y1301" s="77"/>
      <c r="Z1301" s="77"/>
      <c r="AA1301" s="77" t="s">
        <v>8030</v>
      </c>
      <c r="AB1301" s="77" t="s">
        <v>10133</v>
      </c>
      <c r="AC1301" s="82" t="s">
        <v>10144</v>
      </c>
      <c r="AD1301" s="77" t="s">
        <v>10184</v>
      </c>
      <c r="AE1301" s="80" t="str">
        <f>HYPERLINK("https://twitter.com/digital_online_/status/1690131679401160704")</f>
        <v>https://twitter.com/digital_online_/status/1690131679401160704</v>
      </c>
      <c r="AF1301" s="79">
        <v>45149.946388888886</v>
      </c>
      <c r="AG1301" s="85">
        <v>45149</v>
      </c>
      <c r="AH1301" s="82" t="s">
        <v>11445</v>
      </c>
      <c r="AI1301" s="77" t="b">
        <v>0</v>
      </c>
      <c r="AJ1301" s="77"/>
      <c r="AK1301" s="77"/>
      <c r="AL1301" s="77"/>
      <c r="AM1301" s="77"/>
      <c r="AN1301" s="77"/>
      <c r="AO1301" s="77"/>
      <c r="AP1301" s="77"/>
      <c r="AQ1301" s="77" t="s">
        <v>14674</v>
      </c>
      <c r="AR1301" s="77"/>
      <c r="AS1301" s="77"/>
      <c r="AT1301" s="77"/>
      <c r="AU1301" s="77"/>
      <c r="AV1301" s="80" t="str">
        <f>HYPERLINK("https://pbs.twimg.com/tweet_video_thumb/F3SNtxCX0AAVpuo.jpg")</f>
        <v>https://pbs.twimg.com/tweet_video_thumb/F3SNtxCX0AAVpuo.jpg</v>
      </c>
      <c r="AW1301" s="82" t="s">
        <v>18074</v>
      </c>
      <c r="AX1301" s="82" t="s">
        <v>18074</v>
      </c>
      <c r="AY1301" s="77"/>
      <c r="AZ1301" s="82" t="s">
        <v>20971</v>
      </c>
      <c r="BA1301" s="82" t="s">
        <v>20971</v>
      </c>
      <c r="BB1301" s="82" t="s">
        <v>20971</v>
      </c>
      <c r="BC1301" s="82" t="s">
        <v>18074</v>
      </c>
      <c r="BD1301" s="82" t="s">
        <v>21208</v>
      </c>
      <c r="BE1301" s="77"/>
      <c r="BF1301" s="77"/>
      <c r="BG1301" s="77"/>
      <c r="BH1301" s="77"/>
      <c r="BI1301" s="77"/>
    </row>
    <row r="1302" spans="1:61" x14ac:dyDescent="0.25">
      <c r="A1302" s="62" t="s">
        <v>487</v>
      </c>
      <c r="B1302" s="62" t="s">
        <v>487</v>
      </c>
      <c r="C1302" s="63"/>
      <c r="D1302" s="64"/>
      <c r="E1302" s="65"/>
      <c r="F1302" s="66"/>
      <c r="G1302" s="63"/>
      <c r="H1302" s="67"/>
      <c r="I1302" s="68"/>
      <c r="J1302" s="68"/>
      <c r="K1302" s="32"/>
      <c r="L1302" s="75">
        <v>1302</v>
      </c>
      <c r="M1302" s="75"/>
      <c r="N1302" s="70"/>
      <c r="O1302" s="77" t="s">
        <v>179</v>
      </c>
      <c r="P1302" s="79">
        <v>45031.731886574074</v>
      </c>
      <c r="Q1302" s="77" t="s">
        <v>2546</v>
      </c>
      <c r="R1302" s="77">
        <v>0</v>
      </c>
      <c r="S1302" s="77">
        <v>0</v>
      </c>
      <c r="T1302" s="77">
        <v>0</v>
      </c>
      <c r="U1302" s="77">
        <v>0</v>
      </c>
      <c r="V1302" s="77">
        <v>15</v>
      </c>
      <c r="W1302" s="82" t="s">
        <v>5684</v>
      </c>
      <c r="X1302" s="80" t="str">
        <f>HYPERLINK("https://linktr.ee/patricia_.ribeiro")</f>
        <v>https://linktr.ee/patricia_.ribeiro</v>
      </c>
      <c r="Y1302" s="77" t="s">
        <v>7300</v>
      </c>
      <c r="Z1302" s="77"/>
      <c r="AA1302" s="77" t="s">
        <v>8031</v>
      </c>
      <c r="AB1302" s="77" t="s">
        <v>10129</v>
      </c>
      <c r="AC1302" s="82" t="s">
        <v>10144</v>
      </c>
      <c r="AD1302" s="77" t="s">
        <v>10184</v>
      </c>
      <c r="AE1302" s="80" t="str">
        <f>HYPERLINK("https://twitter.com/digital_online_/status/1647292178673090561")</f>
        <v>https://twitter.com/digital_online_/status/1647292178673090561</v>
      </c>
      <c r="AF1302" s="79">
        <v>45031.731886574074</v>
      </c>
      <c r="AG1302" s="85">
        <v>45031</v>
      </c>
      <c r="AH1302" s="82" t="s">
        <v>11446</v>
      </c>
      <c r="AI1302" s="77" t="b">
        <v>0</v>
      </c>
      <c r="AJ1302" s="77"/>
      <c r="AK1302" s="77"/>
      <c r="AL1302" s="77"/>
      <c r="AM1302" s="77"/>
      <c r="AN1302" s="77"/>
      <c r="AO1302" s="77"/>
      <c r="AP1302" s="77"/>
      <c r="AQ1302" s="77" t="s">
        <v>14675</v>
      </c>
      <c r="AR1302" s="77">
        <v>5990</v>
      </c>
      <c r="AS1302" s="77"/>
      <c r="AT1302" s="77"/>
      <c r="AU1302" s="77"/>
      <c r="AV1302" s="80" t="str">
        <f>HYPERLINK("https://pbs.twimg.com/ext_tw_video_thumb/1647292122427543554/pu/img/DiIqWgpebaHX3F84.jpg")</f>
        <v>https://pbs.twimg.com/ext_tw_video_thumb/1647292122427543554/pu/img/DiIqWgpebaHX3F84.jpg</v>
      </c>
      <c r="AW1302" s="82" t="s">
        <v>18075</v>
      </c>
      <c r="AX1302" s="82" t="s">
        <v>18075</v>
      </c>
      <c r="AY1302" s="77"/>
      <c r="AZ1302" s="82" t="s">
        <v>20971</v>
      </c>
      <c r="BA1302" s="82" t="s">
        <v>20971</v>
      </c>
      <c r="BB1302" s="82" t="s">
        <v>20971</v>
      </c>
      <c r="BC1302" s="82" t="s">
        <v>18075</v>
      </c>
      <c r="BD1302" s="82" t="s">
        <v>21208</v>
      </c>
      <c r="BE1302" s="77"/>
      <c r="BF1302" s="77"/>
      <c r="BG1302" s="77"/>
      <c r="BH1302" s="77"/>
      <c r="BI1302" s="77"/>
    </row>
    <row r="1303" spans="1:61" x14ac:dyDescent="0.25">
      <c r="A1303" s="62" t="s">
        <v>488</v>
      </c>
      <c r="B1303" s="62" t="s">
        <v>488</v>
      </c>
      <c r="C1303" s="63"/>
      <c r="D1303" s="64"/>
      <c r="E1303" s="65"/>
      <c r="F1303" s="66"/>
      <c r="G1303" s="63"/>
      <c r="H1303" s="67"/>
      <c r="I1303" s="68"/>
      <c r="J1303" s="68"/>
      <c r="K1303" s="32"/>
      <c r="L1303" s="75">
        <v>1303</v>
      </c>
      <c r="M1303" s="75"/>
      <c r="N1303" s="70"/>
      <c r="O1303" s="77" t="s">
        <v>179</v>
      </c>
      <c r="P1303" s="79">
        <v>45053.909837962965</v>
      </c>
      <c r="Q1303" s="77" t="s">
        <v>2547</v>
      </c>
      <c r="R1303" s="77">
        <v>1</v>
      </c>
      <c r="S1303" s="77">
        <v>0</v>
      </c>
      <c r="T1303" s="77">
        <v>0</v>
      </c>
      <c r="U1303" s="77">
        <v>0</v>
      </c>
      <c r="V1303" s="77">
        <v>81</v>
      </c>
      <c r="W1303" s="82" t="s">
        <v>5685</v>
      </c>
      <c r="X1303" s="80" t="str">
        <f>HYPERLINK("https://r.bingo-spin.com/?r_id=31078")</f>
        <v>https://r.bingo-spin.com/?r_id=31078</v>
      </c>
      <c r="Y1303" s="77" t="s">
        <v>7327</v>
      </c>
      <c r="Z1303" s="77"/>
      <c r="AA1303" s="77" t="s">
        <v>8032</v>
      </c>
      <c r="AB1303" s="77" t="s">
        <v>10128</v>
      </c>
      <c r="AC1303" s="82" t="s">
        <v>10144</v>
      </c>
      <c r="AD1303" s="77" t="s">
        <v>10184</v>
      </c>
      <c r="AE1303" s="80" t="str">
        <f>HYPERLINK("https://twitter.com/yunre02/status/1655329199735861248")</f>
        <v>https://twitter.com/yunre02/status/1655329199735861248</v>
      </c>
      <c r="AF1303" s="79">
        <v>45053.909837962965</v>
      </c>
      <c r="AG1303" s="85">
        <v>45053</v>
      </c>
      <c r="AH1303" s="82" t="s">
        <v>11447</v>
      </c>
      <c r="AI1303" s="77" t="b">
        <v>0</v>
      </c>
      <c r="AJ1303" s="77"/>
      <c r="AK1303" s="77"/>
      <c r="AL1303" s="77"/>
      <c r="AM1303" s="77"/>
      <c r="AN1303" s="77"/>
      <c r="AO1303" s="77"/>
      <c r="AP1303" s="77"/>
      <c r="AQ1303" s="77" t="s">
        <v>14676</v>
      </c>
      <c r="AR1303" s="77"/>
      <c r="AS1303" s="77"/>
      <c r="AT1303" s="77"/>
      <c r="AU1303" s="77"/>
      <c r="AV1303" s="80" t="str">
        <f>HYPERLINK("https://pbs.twimg.com/media/FvjpIV9WAAM-iQl.jpg")</f>
        <v>https://pbs.twimg.com/media/FvjpIV9WAAM-iQl.jpg</v>
      </c>
      <c r="AW1303" s="82" t="s">
        <v>18076</v>
      </c>
      <c r="AX1303" s="82" t="s">
        <v>18076</v>
      </c>
      <c r="AY1303" s="77"/>
      <c r="AZ1303" s="82" t="s">
        <v>20971</v>
      </c>
      <c r="BA1303" s="82" t="s">
        <v>20971</v>
      </c>
      <c r="BB1303" s="82" t="s">
        <v>20971</v>
      </c>
      <c r="BC1303" s="82" t="s">
        <v>18076</v>
      </c>
      <c r="BD1303" s="77">
        <v>738928777</v>
      </c>
      <c r="BE1303" s="77"/>
      <c r="BF1303" s="77"/>
      <c r="BG1303" s="77"/>
      <c r="BH1303" s="77"/>
      <c r="BI1303" s="77"/>
    </row>
    <row r="1304" spans="1:61" x14ac:dyDescent="0.25">
      <c r="A1304" s="62" t="s">
        <v>489</v>
      </c>
      <c r="B1304" s="62" t="s">
        <v>489</v>
      </c>
      <c r="C1304" s="63"/>
      <c r="D1304" s="64"/>
      <c r="E1304" s="65"/>
      <c r="F1304" s="66"/>
      <c r="G1304" s="63"/>
      <c r="H1304" s="67"/>
      <c r="I1304" s="68"/>
      <c r="J1304" s="68"/>
      <c r="K1304" s="32"/>
      <c r="L1304" s="75">
        <v>1304</v>
      </c>
      <c r="M1304" s="75"/>
      <c r="N1304" s="70"/>
      <c r="O1304" s="77" t="s">
        <v>179</v>
      </c>
      <c r="P1304" s="79">
        <v>44974.879699074074</v>
      </c>
      <c r="Q1304" s="77" t="s">
        <v>2548</v>
      </c>
      <c r="R1304" s="77">
        <v>0</v>
      </c>
      <c r="S1304" s="77">
        <v>0</v>
      </c>
      <c r="T1304" s="77">
        <v>0</v>
      </c>
      <c r="U1304" s="77">
        <v>0</v>
      </c>
      <c r="V1304" s="77">
        <v>52</v>
      </c>
      <c r="W1304" s="82" t="s">
        <v>5686</v>
      </c>
      <c r="X1304" s="77"/>
      <c r="Y1304" s="77"/>
      <c r="Z1304" s="77"/>
      <c r="AA1304" s="77"/>
      <c r="AB1304" s="77"/>
      <c r="AC1304" s="82" t="s">
        <v>10144</v>
      </c>
      <c r="AD1304" s="77" t="s">
        <v>10187</v>
      </c>
      <c r="AE1304" s="80" t="str">
        <f>HYPERLINK("https://twitter.com/fredyherreraag/status/1626689637879103488")</f>
        <v>https://twitter.com/fredyherreraag/status/1626689637879103488</v>
      </c>
      <c r="AF1304" s="79">
        <v>44974.879699074074</v>
      </c>
      <c r="AG1304" s="85">
        <v>44974</v>
      </c>
      <c r="AH1304" s="82" t="s">
        <v>11448</v>
      </c>
      <c r="AI1304" s="77"/>
      <c r="AJ1304" s="77"/>
      <c r="AK1304" s="77"/>
      <c r="AL1304" s="77"/>
      <c r="AM1304" s="77"/>
      <c r="AN1304" s="77"/>
      <c r="AO1304" s="77"/>
      <c r="AP1304" s="77"/>
      <c r="AQ1304" s="77"/>
      <c r="AR1304" s="77"/>
      <c r="AS1304" s="77"/>
      <c r="AT1304" s="77"/>
      <c r="AU1304" s="77"/>
      <c r="AV1304" s="80" t="str">
        <f>HYPERLINK("https://pbs.twimg.com/profile_images/1535654544759263232/Fv3tKd6K_normal.png")</f>
        <v>https://pbs.twimg.com/profile_images/1535654544759263232/Fv3tKd6K_normal.png</v>
      </c>
      <c r="AW1304" s="82" t="s">
        <v>18077</v>
      </c>
      <c r="AX1304" s="82" t="s">
        <v>18077</v>
      </c>
      <c r="AY1304" s="77"/>
      <c r="AZ1304" s="82" t="s">
        <v>20971</v>
      </c>
      <c r="BA1304" s="82" t="s">
        <v>20971</v>
      </c>
      <c r="BB1304" s="82" t="s">
        <v>20971</v>
      </c>
      <c r="BC1304" s="82" t="s">
        <v>18077</v>
      </c>
      <c r="BD1304" s="82" t="s">
        <v>21209</v>
      </c>
      <c r="BE1304" s="77"/>
      <c r="BF1304" s="77"/>
      <c r="BG1304" s="77"/>
      <c r="BH1304" s="77"/>
      <c r="BI1304" s="77"/>
    </row>
    <row r="1305" spans="1:61" x14ac:dyDescent="0.25">
      <c r="A1305" s="62" t="s">
        <v>490</v>
      </c>
      <c r="B1305" s="62" t="s">
        <v>490</v>
      </c>
      <c r="C1305" s="63"/>
      <c r="D1305" s="64"/>
      <c r="E1305" s="65"/>
      <c r="F1305" s="66"/>
      <c r="G1305" s="63"/>
      <c r="H1305" s="67"/>
      <c r="I1305" s="68"/>
      <c r="J1305" s="68"/>
      <c r="K1305" s="32"/>
      <c r="L1305" s="75">
        <v>1305</v>
      </c>
      <c r="M1305" s="75"/>
      <c r="N1305" s="70"/>
      <c r="O1305" s="77" t="s">
        <v>179</v>
      </c>
      <c r="P1305" s="79">
        <v>45121.630347222221</v>
      </c>
      <c r="Q1305" s="77" t="s">
        <v>2549</v>
      </c>
      <c r="R1305" s="77">
        <v>0</v>
      </c>
      <c r="S1305" s="77">
        <v>0</v>
      </c>
      <c r="T1305" s="77">
        <v>0</v>
      </c>
      <c r="U1305" s="77">
        <v>0</v>
      </c>
      <c r="V1305" s="77">
        <v>106</v>
      </c>
      <c r="W1305" s="82" t="s">
        <v>5687</v>
      </c>
      <c r="X1305" s="77"/>
      <c r="Y1305" s="77"/>
      <c r="Z1305" s="77"/>
      <c r="AA1305" s="77" t="s">
        <v>8033</v>
      </c>
      <c r="AB1305" s="77" t="s">
        <v>10129</v>
      </c>
      <c r="AC1305" s="82" t="s">
        <v>10144</v>
      </c>
      <c r="AD1305" s="77" t="s">
        <v>10184</v>
      </c>
      <c r="AE1305" s="80" t="str">
        <f>HYPERLINK("https://twitter.com/eugully/status/1679870289411178496")</f>
        <v>https://twitter.com/eugully/status/1679870289411178496</v>
      </c>
      <c r="AF1305" s="79">
        <v>45121.630347222221</v>
      </c>
      <c r="AG1305" s="85">
        <v>45121</v>
      </c>
      <c r="AH1305" s="82" t="s">
        <v>11449</v>
      </c>
      <c r="AI1305" s="77" t="b">
        <v>0</v>
      </c>
      <c r="AJ1305" s="77"/>
      <c r="AK1305" s="77"/>
      <c r="AL1305" s="77"/>
      <c r="AM1305" s="77"/>
      <c r="AN1305" s="77"/>
      <c r="AO1305" s="77"/>
      <c r="AP1305" s="77"/>
      <c r="AQ1305" s="77" t="s">
        <v>14677</v>
      </c>
      <c r="AR1305" s="77">
        <v>11500</v>
      </c>
      <c r="AS1305" s="77"/>
      <c r="AT1305" s="77"/>
      <c r="AU1305" s="77"/>
      <c r="AV1305" s="80" t="str">
        <f>HYPERLINK("https://pbs.twimg.com/ext_tw_video_thumb/1679870213154562048/pu/img/UZ56339u26wN8gGO.jpg")</f>
        <v>https://pbs.twimg.com/ext_tw_video_thumb/1679870213154562048/pu/img/UZ56339u26wN8gGO.jpg</v>
      </c>
      <c r="AW1305" s="82" t="s">
        <v>18078</v>
      </c>
      <c r="AX1305" s="82" t="s">
        <v>18078</v>
      </c>
      <c r="AY1305" s="77"/>
      <c r="AZ1305" s="82" t="s">
        <v>20971</v>
      </c>
      <c r="BA1305" s="82" t="s">
        <v>20971</v>
      </c>
      <c r="BB1305" s="82" t="s">
        <v>20971</v>
      </c>
      <c r="BC1305" s="82" t="s">
        <v>18078</v>
      </c>
      <c r="BD1305" s="82" t="s">
        <v>21210</v>
      </c>
      <c r="BE1305" s="77"/>
      <c r="BF1305" s="77"/>
      <c r="BG1305" s="77"/>
      <c r="BH1305" s="77"/>
      <c r="BI1305" s="77"/>
    </row>
    <row r="1306" spans="1:61" x14ac:dyDescent="0.25">
      <c r="A1306" s="62" t="s">
        <v>491</v>
      </c>
      <c r="B1306" s="62" t="s">
        <v>491</v>
      </c>
      <c r="C1306" s="63"/>
      <c r="D1306" s="64"/>
      <c r="E1306" s="65"/>
      <c r="F1306" s="66"/>
      <c r="G1306" s="63"/>
      <c r="H1306" s="67"/>
      <c r="I1306" s="68"/>
      <c r="J1306" s="68"/>
      <c r="K1306" s="32"/>
      <c r="L1306" s="75">
        <v>1306</v>
      </c>
      <c r="M1306" s="75"/>
      <c r="N1306" s="70"/>
      <c r="O1306" s="77" t="s">
        <v>179</v>
      </c>
      <c r="P1306" s="79">
        <v>45001.906041666669</v>
      </c>
      <c r="Q1306" s="77" t="s">
        <v>2550</v>
      </c>
      <c r="R1306" s="77">
        <v>0</v>
      </c>
      <c r="S1306" s="77">
        <v>0</v>
      </c>
      <c r="T1306" s="77">
        <v>0</v>
      </c>
      <c r="U1306" s="77">
        <v>0</v>
      </c>
      <c r="V1306" s="77">
        <v>44</v>
      </c>
      <c r="W1306" s="82" t="s">
        <v>5688</v>
      </c>
      <c r="X1306" s="80" t="str">
        <f>HYPERLINK("https://linktr.ee/modavipebeleza")</f>
        <v>https://linktr.ee/modavipebeleza</v>
      </c>
      <c r="Y1306" s="77" t="s">
        <v>7300</v>
      </c>
      <c r="Z1306" s="77"/>
      <c r="AA1306" s="77" t="s">
        <v>8034</v>
      </c>
      <c r="AB1306" s="77" t="s">
        <v>10128</v>
      </c>
      <c r="AC1306" s="82" t="s">
        <v>10145</v>
      </c>
      <c r="AD1306" s="77" t="s">
        <v>10184</v>
      </c>
      <c r="AE1306" s="80" t="str">
        <f>HYPERLINK("https://twitter.com/simplesopinions/status/1636483654653300739")</f>
        <v>https://twitter.com/simplesopinions/status/1636483654653300739</v>
      </c>
      <c r="AF1306" s="79">
        <v>45001.906041666669</v>
      </c>
      <c r="AG1306" s="85">
        <v>45001</v>
      </c>
      <c r="AH1306" s="82" t="s">
        <v>11450</v>
      </c>
      <c r="AI1306" s="77" t="b">
        <v>0</v>
      </c>
      <c r="AJ1306" s="77"/>
      <c r="AK1306" s="77"/>
      <c r="AL1306" s="77"/>
      <c r="AM1306" s="77"/>
      <c r="AN1306" s="77"/>
      <c r="AO1306" s="77"/>
      <c r="AP1306" s="77"/>
      <c r="AQ1306" s="77" t="s">
        <v>14678</v>
      </c>
      <c r="AR1306" s="77"/>
      <c r="AS1306" s="77"/>
      <c r="AT1306" s="77"/>
      <c r="AU1306" s="77"/>
      <c r="AV1306" s="80" t="str">
        <f>HYPERLINK("https://pbs.twimg.com/media/FrX1NScX0AE2q36.jpg")</f>
        <v>https://pbs.twimg.com/media/FrX1NScX0AE2q36.jpg</v>
      </c>
      <c r="AW1306" s="82" t="s">
        <v>18079</v>
      </c>
      <c r="AX1306" s="82" t="s">
        <v>18079</v>
      </c>
      <c r="AY1306" s="77"/>
      <c r="AZ1306" s="82" t="s">
        <v>20971</v>
      </c>
      <c r="BA1306" s="82" t="s">
        <v>20971</v>
      </c>
      <c r="BB1306" s="82" t="s">
        <v>20971</v>
      </c>
      <c r="BC1306" s="82" t="s">
        <v>18079</v>
      </c>
      <c r="BD1306" s="82" t="s">
        <v>21211</v>
      </c>
      <c r="BE1306" s="77"/>
      <c r="BF1306" s="77"/>
      <c r="BG1306" s="77"/>
      <c r="BH1306" s="77"/>
      <c r="BI1306" s="77"/>
    </row>
    <row r="1307" spans="1:61" x14ac:dyDescent="0.25">
      <c r="A1307" s="62" t="s">
        <v>492</v>
      </c>
      <c r="B1307" s="62" t="s">
        <v>492</v>
      </c>
      <c r="C1307" s="63"/>
      <c r="D1307" s="64"/>
      <c r="E1307" s="65"/>
      <c r="F1307" s="66"/>
      <c r="G1307" s="63"/>
      <c r="H1307" s="67"/>
      <c r="I1307" s="68"/>
      <c r="J1307" s="68"/>
      <c r="K1307" s="32"/>
      <c r="L1307" s="75">
        <v>1307</v>
      </c>
      <c r="M1307" s="75"/>
      <c r="N1307" s="70"/>
      <c r="O1307" s="77" t="s">
        <v>179</v>
      </c>
      <c r="P1307" s="79">
        <v>45194.953125</v>
      </c>
      <c r="Q1307" s="77" t="s">
        <v>2551</v>
      </c>
      <c r="R1307" s="77">
        <v>0</v>
      </c>
      <c r="S1307" s="77">
        <v>0</v>
      </c>
      <c r="T1307" s="77">
        <v>0</v>
      </c>
      <c r="U1307" s="77">
        <v>0</v>
      </c>
      <c r="V1307" s="77">
        <v>5</v>
      </c>
      <c r="W1307" s="82" t="s">
        <v>5689</v>
      </c>
      <c r="X1307" s="77"/>
      <c r="Y1307" s="77"/>
      <c r="Z1307" s="77"/>
      <c r="AA1307" s="77" t="s">
        <v>8035</v>
      </c>
      <c r="AB1307" s="77" t="s">
        <v>10130</v>
      </c>
      <c r="AC1307" s="82" t="s">
        <v>10146</v>
      </c>
      <c r="AD1307" s="77" t="s">
        <v>10184</v>
      </c>
      <c r="AE1307" s="80" t="str">
        <f>HYPERLINK("https://twitter.com/orestesleal1/status/1706441575255949591")</f>
        <v>https://twitter.com/orestesleal1/status/1706441575255949591</v>
      </c>
      <c r="AF1307" s="79">
        <v>45194.953125</v>
      </c>
      <c r="AG1307" s="85">
        <v>45194</v>
      </c>
      <c r="AH1307" s="82" t="s">
        <v>11451</v>
      </c>
      <c r="AI1307" s="77" t="b">
        <v>0</v>
      </c>
      <c r="AJ1307" s="77"/>
      <c r="AK1307" s="77"/>
      <c r="AL1307" s="77"/>
      <c r="AM1307" s="77"/>
      <c r="AN1307" s="77"/>
      <c r="AO1307" s="77"/>
      <c r="AP1307" s="77"/>
      <c r="AQ1307" s="77" t="s">
        <v>14679</v>
      </c>
      <c r="AR1307" s="77"/>
      <c r="AS1307" s="77"/>
      <c r="AT1307" s="77"/>
      <c r="AU1307" s="77"/>
      <c r="AV1307" s="80" t="str">
        <f>HYPERLINK("https://pbs.twimg.com/media/F65_WXkXMAA_MLy.jpg")</f>
        <v>https://pbs.twimg.com/media/F65_WXkXMAA_MLy.jpg</v>
      </c>
      <c r="AW1307" s="82" t="s">
        <v>18080</v>
      </c>
      <c r="AX1307" s="82" t="s">
        <v>18080</v>
      </c>
      <c r="AY1307" s="77"/>
      <c r="AZ1307" s="82" t="s">
        <v>20971</v>
      </c>
      <c r="BA1307" s="82" t="s">
        <v>20971</v>
      </c>
      <c r="BB1307" s="82" t="s">
        <v>20971</v>
      </c>
      <c r="BC1307" s="82" t="s">
        <v>18080</v>
      </c>
      <c r="BD1307" s="82" t="s">
        <v>21212</v>
      </c>
      <c r="BE1307" s="77"/>
      <c r="BF1307" s="77"/>
      <c r="BG1307" s="77"/>
      <c r="BH1307" s="77"/>
      <c r="BI1307" s="77"/>
    </row>
    <row r="1308" spans="1:61" x14ac:dyDescent="0.25">
      <c r="A1308" s="62" t="s">
        <v>493</v>
      </c>
      <c r="B1308" s="62" t="s">
        <v>493</v>
      </c>
      <c r="C1308" s="63"/>
      <c r="D1308" s="64"/>
      <c r="E1308" s="65"/>
      <c r="F1308" s="66"/>
      <c r="G1308" s="63"/>
      <c r="H1308" s="67"/>
      <c r="I1308" s="68"/>
      <c r="J1308" s="68"/>
      <c r="K1308" s="32"/>
      <c r="L1308" s="75">
        <v>1308</v>
      </c>
      <c r="M1308" s="75"/>
      <c r="N1308" s="70"/>
      <c r="O1308" s="77" t="s">
        <v>179</v>
      </c>
      <c r="P1308" s="79">
        <v>45019.40116898148</v>
      </c>
      <c r="Q1308" s="77" t="s">
        <v>2552</v>
      </c>
      <c r="R1308" s="77">
        <v>0</v>
      </c>
      <c r="S1308" s="77">
        <v>0</v>
      </c>
      <c r="T1308" s="77">
        <v>0</v>
      </c>
      <c r="U1308" s="77">
        <v>0</v>
      </c>
      <c r="V1308" s="77">
        <v>19</v>
      </c>
      <c r="W1308" s="82" t="s">
        <v>5481</v>
      </c>
      <c r="X1308" s="80" t="str">
        <f>HYPERLINK("https://youtu.be/tbHLY5wSz2E")</f>
        <v>https://youtu.be/tbHLY5wSz2E</v>
      </c>
      <c r="Y1308" s="77" t="s">
        <v>7248</v>
      </c>
      <c r="Z1308" s="77"/>
      <c r="AA1308" s="77"/>
      <c r="AB1308" s="77"/>
      <c r="AC1308" s="82" t="s">
        <v>10144</v>
      </c>
      <c r="AD1308" s="77" t="s">
        <v>10184</v>
      </c>
      <c r="AE1308" s="80" t="str">
        <f>HYPERLINK("https://twitter.com/cassiasantosa/status/1642823676490919936")</f>
        <v>https://twitter.com/cassiasantosa/status/1642823676490919936</v>
      </c>
      <c r="AF1308" s="79">
        <v>45019.40116898148</v>
      </c>
      <c r="AG1308" s="85">
        <v>45019</v>
      </c>
      <c r="AH1308" s="82" t="s">
        <v>11452</v>
      </c>
      <c r="AI1308" s="77" t="b">
        <v>0</v>
      </c>
      <c r="AJ1308" s="77"/>
      <c r="AK1308" s="77"/>
      <c r="AL1308" s="77"/>
      <c r="AM1308" s="77"/>
      <c r="AN1308" s="77"/>
      <c r="AO1308" s="77"/>
      <c r="AP1308" s="77"/>
      <c r="AQ1308" s="77"/>
      <c r="AR1308" s="77"/>
      <c r="AS1308" s="77"/>
      <c r="AT1308" s="77"/>
      <c r="AU1308" s="77"/>
      <c r="AV1308" s="80" t="str">
        <f>HYPERLINK("https://pbs.twimg.com/profile_images/1638287517374881792/BEDbjWCS_normal.jpg")</f>
        <v>https://pbs.twimg.com/profile_images/1638287517374881792/BEDbjWCS_normal.jpg</v>
      </c>
      <c r="AW1308" s="82" t="s">
        <v>18081</v>
      </c>
      <c r="AX1308" s="82" t="s">
        <v>18081</v>
      </c>
      <c r="AY1308" s="77"/>
      <c r="AZ1308" s="82" t="s">
        <v>20971</v>
      </c>
      <c r="BA1308" s="82" t="s">
        <v>20971</v>
      </c>
      <c r="BB1308" s="82" t="s">
        <v>20971</v>
      </c>
      <c r="BC1308" s="82" t="s">
        <v>18081</v>
      </c>
      <c r="BD1308" s="82" t="s">
        <v>21213</v>
      </c>
      <c r="BE1308" s="77"/>
      <c r="BF1308" s="77"/>
      <c r="BG1308" s="77"/>
      <c r="BH1308" s="77"/>
      <c r="BI1308" s="77"/>
    </row>
    <row r="1309" spans="1:61" x14ac:dyDescent="0.25">
      <c r="A1309" s="62" t="s">
        <v>494</v>
      </c>
      <c r="B1309" s="62" t="s">
        <v>494</v>
      </c>
      <c r="C1309" s="63"/>
      <c r="D1309" s="64"/>
      <c r="E1309" s="65"/>
      <c r="F1309" s="66"/>
      <c r="G1309" s="63"/>
      <c r="H1309" s="67"/>
      <c r="I1309" s="68"/>
      <c r="J1309" s="68"/>
      <c r="K1309" s="32"/>
      <c r="L1309" s="75">
        <v>1309</v>
      </c>
      <c r="M1309" s="75"/>
      <c r="N1309" s="70"/>
      <c r="O1309" s="77" t="s">
        <v>1284</v>
      </c>
      <c r="P1309" s="79">
        <v>45003.681851851848</v>
      </c>
      <c r="Q1309" s="77" t="s">
        <v>2553</v>
      </c>
      <c r="R1309" s="77">
        <v>0</v>
      </c>
      <c r="S1309" s="77">
        <v>0</v>
      </c>
      <c r="T1309" s="77">
        <v>0</v>
      </c>
      <c r="U1309" s="77">
        <v>0</v>
      </c>
      <c r="V1309" s="77">
        <v>17</v>
      </c>
      <c r="W1309" s="82" t="s">
        <v>5690</v>
      </c>
      <c r="X1309" s="77"/>
      <c r="Y1309" s="77"/>
      <c r="Z1309" s="77"/>
      <c r="AA1309" s="77"/>
      <c r="AB1309" s="77"/>
      <c r="AC1309" s="82" t="s">
        <v>10144</v>
      </c>
      <c r="AD1309" s="77" t="s">
        <v>10186</v>
      </c>
      <c r="AE1309" s="80" t="str">
        <f>HYPERLINK("https://twitter.com/_l4chimolala/status/1637127185860313093")</f>
        <v>https://twitter.com/_l4chimolala/status/1637127185860313093</v>
      </c>
      <c r="AF1309" s="79">
        <v>45003.681851851848</v>
      </c>
      <c r="AG1309" s="85">
        <v>45003</v>
      </c>
      <c r="AH1309" s="82" t="s">
        <v>11453</v>
      </c>
      <c r="AI1309" s="77"/>
      <c r="AJ1309" s="77"/>
      <c r="AK1309" s="77"/>
      <c r="AL1309" s="77"/>
      <c r="AM1309" s="77"/>
      <c r="AN1309" s="77"/>
      <c r="AO1309" s="77"/>
      <c r="AP1309" s="77"/>
      <c r="AQ1309" s="77"/>
      <c r="AR1309" s="77"/>
      <c r="AS1309" s="77"/>
      <c r="AT1309" s="77"/>
      <c r="AU1309" s="77"/>
      <c r="AV1309" s="80" t="str">
        <f>HYPERLINK("https://pbs.twimg.com/profile_images/1658961985508089856/kjpEfMVx_normal.jpg")</f>
        <v>https://pbs.twimg.com/profile_images/1658961985508089856/kjpEfMVx_normal.jpg</v>
      </c>
      <c r="AW1309" s="82" t="s">
        <v>18082</v>
      </c>
      <c r="AX1309" s="82" t="s">
        <v>20808</v>
      </c>
      <c r="AY1309" s="82" t="s">
        <v>20915</v>
      </c>
      <c r="AZ1309" s="82" t="s">
        <v>20808</v>
      </c>
      <c r="BA1309" s="82" t="s">
        <v>20971</v>
      </c>
      <c r="BB1309" s="82" t="s">
        <v>20971</v>
      </c>
      <c r="BC1309" s="82" t="s">
        <v>20808</v>
      </c>
      <c r="BD1309" s="82" t="s">
        <v>20915</v>
      </c>
      <c r="BE1309" s="77"/>
      <c r="BF1309" s="77"/>
      <c r="BG1309" s="77"/>
      <c r="BH1309" s="77"/>
      <c r="BI1309" s="77"/>
    </row>
    <row r="1310" spans="1:61" x14ac:dyDescent="0.25">
      <c r="A1310" s="62" t="s">
        <v>495</v>
      </c>
      <c r="B1310" s="62" t="s">
        <v>495</v>
      </c>
      <c r="C1310" s="63"/>
      <c r="D1310" s="64"/>
      <c r="E1310" s="65"/>
      <c r="F1310" s="66"/>
      <c r="G1310" s="63"/>
      <c r="H1310" s="67"/>
      <c r="I1310" s="68"/>
      <c r="J1310" s="68"/>
      <c r="K1310" s="32"/>
      <c r="L1310" s="75">
        <v>1310</v>
      </c>
      <c r="M1310" s="75"/>
      <c r="N1310" s="70"/>
      <c r="O1310" s="77" t="s">
        <v>179</v>
      </c>
      <c r="P1310" s="79">
        <v>45153.370138888888</v>
      </c>
      <c r="Q1310" s="77" t="s">
        <v>2554</v>
      </c>
      <c r="R1310" s="77">
        <v>0</v>
      </c>
      <c r="S1310" s="77">
        <v>0</v>
      </c>
      <c r="T1310" s="77">
        <v>0</v>
      </c>
      <c r="U1310" s="77">
        <v>0</v>
      </c>
      <c r="V1310" s="77">
        <v>8</v>
      </c>
      <c r="W1310" s="82" t="s">
        <v>5691</v>
      </c>
      <c r="X1310" s="80" t="str">
        <f>HYPERLINK("https://wa.me/5581986013631")</f>
        <v>https://wa.me/5581986013631</v>
      </c>
      <c r="Y1310" s="77" t="s">
        <v>7279</v>
      </c>
      <c r="Z1310" s="77"/>
      <c r="AA1310" s="77" t="s">
        <v>8036</v>
      </c>
      <c r="AB1310" s="77" t="s">
        <v>10129</v>
      </c>
      <c r="AC1310" s="82" t="s">
        <v>10146</v>
      </c>
      <c r="AD1310" s="77" t="s">
        <v>10184</v>
      </c>
      <c r="AE1310" s="80" t="str">
        <f>HYPERLINK("https://twitter.com/flashliteappbr/status/1691372407385214976")</f>
        <v>https://twitter.com/flashliteappbr/status/1691372407385214976</v>
      </c>
      <c r="AF1310" s="79">
        <v>45153.370138888888</v>
      </c>
      <c r="AG1310" s="85">
        <v>45153</v>
      </c>
      <c r="AH1310" s="82" t="s">
        <v>11454</v>
      </c>
      <c r="AI1310" s="77" t="b">
        <v>0</v>
      </c>
      <c r="AJ1310" s="77"/>
      <c r="AK1310" s="77"/>
      <c r="AL1310" s="77"/>
      <c r="AM1310" s="77"/>
      <c r="AN1310" s="77"/>
      <c r="AO1310" s="77"/>
      <c r="AP1310" s="77"/>
      <c r="AQ1310" s="77" t="s">
        <v>14680</v>
      </c>
      <c r="AR1310" s="77">
        <v>90000</v>
      </c>
      <c r="AS1310" s="77"/>
      <c r="AT1310" s="77"/>
      <c r="AU1310" s="77"/>
      <c r="AV1310" s="80" t="str">
        <f>HYPERLINK("https://pbs.twimg.com/ext_tw_video_thumb/1691371829741363200/pu/img/S7TwMCw7zS_GkmkB.jpg")</f>
        <v>https://pbs.twimg.com/ext_tw_video_thumb/1691371829741363200/pu/img/S7TwMCw7zS_GkmkB.jpg</v>
      </c>
      <c r="AW1310" s="82" t="s">
        <v>18083</v>
      </c>
      <c r="AX1310" s="82" t="s">
        <v>18083</v>
      </c>
      <c r="AY1310" s="77"/>
      <c r="AZ1310" s="82" t="s">
        <v>20971</v>
      </c>
      <c r="BA1310" s="82" t="s">
        <v>20971</v>
      </c>
      <c r="BB1310" s="82" t="s">
        <v>20971</v>
      </c>
      <c r="BC1310" s="82" t="s">
        <v>18083</v>
      </c>
      <c r="BD1310" s="82" t="s">
        <v>21214</v>
      </c>
      <c r="BE1310" s="77"/>
      <c r="BF1310" s="77"/>
      <c r="BG1310" s="77"/>
      <c r="BH1310" s="77"/>
      <c r="BI1310" s="77"/>
    </row>
    <row r="1311" spans="1:61" x14ac:dyDescent="0.25">
      <c r="A1311" s="62" t="s">
        <v>496</v>
      </c>
      <c r="B1311" s="62" t="s">
        <v>496</v>
      </c>
      <c r="C1311" s="63"/>
      <c r="D1311" s="64"/>
      <c r="E1311" s="65"/>
      <c r="F1311" s="66"/>
      <c r="G1311" s="63"/>
      <c r="H1311" s="67"/>
      <c r="I1311" s="68"/>
      <c r="J1311" s="68"/>
      <c r="K1311" s="32"/>
      <c r="L1311" s="75">
        <v>1311</v>
      </c>
      <c r="M1311" s="75"/>
      <c r="N1311" s="70"/>
      <c r="O1311" s="77" t="s">
        <v>179</v>
      </c>
      <c r="P1311" s="79">
        <v>45023.130127314813</v>
      </c>
      <c r="Q1311" s="77" t="s">
        <v>2555</v>
      </c>
      <c r="R1311" s="77">
        <v>0</v>
      </c>
      <c r="S1311" s="77">
        <v>1</v>
      </c>
      <c r="T1311" s="77">
        <v>0</v>
      </c>
      <c r="U1311" s="77">
        <v>0</v>
      </c>
      <c r="V1311" s="77">
        <v>100</v>
      </c>
      <c r="W1311" s="82" t="s">
        <v>5692</v>
      </c>
      <c r="X1311" s="77"/>
      <c r="Y1311" s="77"/>
      <c r="Z1311" s="77"/>
      <c r="AA1311" s="77" t="s">
        <v>8037</v>
      </c>
      <c r="AB1311" s="77" t="s">
        <v>10130</v>
      </c>
      <c r="AC1311" s="82" t="s">
        <v>10144</v>
      </c>
      <c r="AD1311" s="77" t="s">
        <v>10184</v>
      </c>
      <c r="AE1311" s="80" t="str">
        <f>HYPERLINK("https://twitter.com/mateusd09524565/status/1644175005456932865")</f>
        <v>https://twitter.com/mateusd09524565/status/1644175005456932865</v>
      </c>
      <c r="AF1311" s="79">
        <v>45023.130127314813</v>
      </c>
      <c r="AG1311" s="85">
        <v>45023</v>
      </c>
      <c r="AH1311" s="82" t="s">
        <v>11455</v>
      </c>
      <c r="AI1311" s="77" t="b">
        <v>0</v>
      </c>
      <c r="AJ1311" s="77"/>
      <c r="AK1311" s="77"/>
      <c r="AL1311" s="77"/>
      <c r="AM1311" s="77"/>
      <c r="AN1311" s="77"/>
      <c r="AO1311" s="77"/>
      <c r="AP1311" s="77"/>
      <c r="AQ1311" s="77" t="s">
        <v>14681</v>
      </c>
      <c r="AR1311" s="77"/>
      <c r="AS1311" s="77"/>
      <c r="AT1311" s="77"/>
      <c r="AU1311" s="77"/>
      <c r="AV1311" s="80" t="str">
        <f>HYPERLINK("https://pbs.twimg.com/media/FtFIc35XgAAYJVj.jpg")</f>
        <v>https://pbs.twimg.com/media/FtFIc35XgAAYJVj.jpg</v>
      </c>
      <c r="AW1311" s="82" t="s">
        <v>18084</v>
      </c>
      <c r="AX1311" s="82" t="s">
        <v>18084</v>
      </c>
      <c r="AY1311" s="77"/>
      <c r="AZ1311" s="82" t="s">
        <v>20971</v>
      </c>
      <c r="BA1311" s="82" t="s">
        <v>20971</v>
      </c>
      <c r="BB1311" s="82" t="s">
        <v>20971</v>
      </c>
      <c r="BC1311" s="82" t="s">
        <v>18084</v>
      </c>
      <c r="BD1311" s="82" t="s">
        <v>21215</v>
      </c>
      <c r="BE1311" s="77"/>
      <c r="BF1311" s="77"/>
      <c r="BG1311" s="77"/>
      <c r="BH1311" s="77"/>
      <c r="BI1311" s="77"/>
    </row>
    <row r="1312" spans="1:61" x14ac:dyDescent="0.25">
      <c r="A1312" s="62" t="s">
        <v>496</v>
      </c>
      <c r="B1312" s="62" t="s">
        <v>496</v>
      </c>
      <c r="C1312" s="63"/>
      <c r="D1312" s="64"/>
      <c r="E1312" s="65"/>
      <c r="F1312" s="66"/>
      <c r="G1312" s="63"/>
      <c r="H1312" s="67"/>
      <c r="I1312" s="68"/>
      <c r="J1312" s="68"/>
      <c r="K1312" s="32"/>
      <c r="L1312" s="75">
        <v>1312</v>
      </c>
      <c r="M1312" s="75"/>
      <c r="N1312" s="70"/>
      <c r="O1312" s="77" t="s">
        <v>179</v>
      </c>
      <c r="P1312" s="79">
        <v>45070.056342592594</v>
      </c>
      <c r="Q1312" s="77" t="s">
        <v>2556</v>
      </c>
      <c r="R1312" s="77">
        <v>0</v>
      </c>
      <c r="S1312" s="77">
        <v>1</v>
      </c>
      <c r="T1312" s="77">
        <v>0</v>
      </c>
      <c r="U1312" s="77">
        <v>0</v>
      </c>
      <c r="V1312" s="77">
        <v>33</v>
      </c>
      <c r="W1312" s="82" t="s">
        <v>5693</v>
      </c>
      <c r="X1312" s="77"/>
      <c r="Y1312" s="77"/>
      <c r="Z1312" s="77"/>
      <c r="AA1312" s="77" t="s">
        <v>8038</v>
      </c>
      <c r="AB1312" s="77" t="s">
        <v>10128</v>
      </c>
      <c r="AC1312" s="82" t="s">
        <v>10144</v>
      </c>
      <c r="AD1312" s="77" t="s">
        <v>10184</v>
      </c>
      <c r="AE1312" s="80" t="str">
        <f>HYPERLINK("https://twitter.com/mateusd09524565/status/1661180498696175616")</f>
        <v>https://twitter.com/mateusd09524565/status/1661180498696175616</v>
      </c>
      <c r="AF1312" s="79">
        <v>45070.056342592594</v>
      </c>
      <c r="AG1312" s="85">
        <v>45070</v>
      </c>
      <c r="AH1312" s="82" t="s">
        <v>11456</v>
      </c>
      <c r="AI1312" s="77" t="b">
        <v>0</v>
      </c>
      <c r="AJ1312" s="77"/>
      <c r="AK1312" s="77"/>
      <c r="AL1312" s="77"/>
      <c r="AM1312" s="77"/>
      <c r="AN1312" s="77"/>
      <c r="AO1312" s="77"/>
      <c r="AP1312" s="77"/>
      <c r="AQ1312" s="77" t="s">
        <v>14682</v>
      </c>
      <c r="AR1312" s="77"/>
      <c r="AS1312" s="77"/>
      <c r="AT1312" s="77"/>
      <c r="AU1312" s="77"/>
      <c r="AV1312" s="80" t="str">
        <f>HYPERLINK("https://pbs.twimg.com/media/Fw2y1mhWwAId3mU.jpg")</f>
        <v>https://pbs.twimg.com/media/Fw2y1mhWwAId3mU.jpg</v>
      </c>
      <c r="AW1312" s="82" t="s">
        <v>18085</v>
      </c>
      <c r="AX1312" s="82" t="s">
        <v>18085</v>
      </c>
      <c r="AY1312" s="77"/>
      <c r="AZ1312" s="82" t="s">
        <v>20971</v>
      </c>
      <c r="BA1312" s="82" t="s">
        <v>20971</v>
      </c>
      <c r="BB1312" s="82" t="s">
        <v>20971</v>
      </c>
      <c r="BC1312" s="82" t="s">
        <v>18085</v>
      </c>
      <c r="BD1312" s="82" t="s">
        <v>21215</v>
      </c>
      <c r="BE1312" s="77"/>
      <c r="BF1312" s="77"/>
      <c r="BG1312" s="77"/>
      <c r="BH1312" s="77"/>
      <c r="BI1312" s="77"/>
    </row>
    <row r="1313" spans="1:61" x14ac:dyDescent="0.25">
      <c r="A1313" s="62" t="s">
        <v>496</v>
      </c>
      <c r="B1313" s="62" t="s">
        <v>496</v>
      </c>
      <c r="C1313" s="63"/>
      <c r="D1313" s="64"/>
      <c r="E1313" s="65"/>
      <c r="F1313" s="66"/>
      <c r="G1313" s="63"/>
      <c r="H1313" s="67"/>
      <c r="I1313" s="68"/>
      <c r="J1313" s="68"/>
      <c r="K1313" s="32"/>
      <c r="L1313" s="75">
        <v>1313</v>
      </c>
      <c r="M1313" s="75"/>
      <c r="N1313" s="70"/>
      <c r="O1313" s="77" t="s">
        <v>179</v>
      </c>
      <c r="P1313" s="79">
        <v>45089.154004629629</v>
      </c>
      <c r="Q1313" s="77" t="s">
        <v>2557</v>
      </c>
      <c r="R1313" s="77">
        <v>0</v>
      </c>
      <c r="S1313" s="77">
        <v>1</v>
      </c>
      <c r="T1313" s="77">
        <v>0</v>
      </c>
      <c r="U1313" s="77">
        <v>0</v>
      </c>
      <c r="V1313" s="77">
        <v>22</v>
      </c>
      <c r="W1313" s="82" t="s">
        <v>5694</v>
      </c>
      <c r="X1313" s="77"/>
      <c r="Y1313" s="77"/>
      <c r="Z1313" s="77"/>
      <c r="AA1313" s="77" t="s">
        <v>8039</v>
      </c>
      <c r="AB1313" s="77" t="s">
        <v>10130</v>
      </c>
      <c r="AC1313" s="82" t="s">
        <v>10144</v>
      </c>
      <c r="AD1313" s="77" t="s">
        <v>10184</v>
      </c>
      <c r="AE1313" s="80" t="str">
        <f>HYPERLINK("https://twitter.com/mateusd09524565/status/1668101256512958465")</f>
        <v>https://twitter.com/mateusd09524565/status/1668101256512958465</v>
      </c>
      <c r="AF1313" s="79">
        <v>45089.154004629629</v>
      </c>
      <c r="AG1313" s="85">
        <v>45089</v>
      </c>
      <c r="AH1313" s="82" t="s">
        <v>11457</v>
      </c>
      <c r="AI1313" s="77" t="b">
        <v>0</v>
      </c>
      <c r="AJ1313" s="77"/>
      <c r="AK1313" s="77"/>
      <c r="AL1313" s="77"/>
      <c r="AM1313" s="77"/>
      <c r="AN1313" s="77"/>
      <c r="AO1313" s="77"/>
      <c r="AP1313" s="77"/>
      <c r="AQ1313" s="77" t="s">
        <v>14683</v>
      </c>
      <c r="AR1313" s="77"/>
      <c r="AS1313" s="77"/>
      <c r="AT1313" s="77"/>
      <c r="AU1313" s="77"/>
      <c r="AV1313" s="80" t="str">
        <f>HYPERLINK("https://pbs.twimg.com/media/FyZJQCWWYAERgjL.jpg")</f>
        <v>https://pbs.twimg.com/media/FyZJQCWWYAERgjL.jpg</v>
      </c>
      <c r="AW1313" s="82" t="s">
        <v>18086</v>
      </c>
      <c r="AX1313" s="82" t="s">
        <v>18086</v>
      </c>
      <c r="AY1313" s="77"/>
      <c r="AZ1313" s="82" t="s">
        <v>20971</v>
      </c>
      <c r="BA1313" s="82" t="s">
        <v>20971</v>
      </c>
      <c r="BB1313" s="82" t="s">
        <v>20971</v>
      </c>
      <c r="BC1313" s="82" t="s">
        <v>18086</v>
      </c>
      <c r="BD1313" s="82" t="s">
        <v>21215</v>
      </c>
      <c r="BE1313" s="77"/>
      <c r="BF1313" s="77"/>
      <c r="BG1313" s="77"/>
      <c r="BH1313" s="77"/>
      <c r="BI1313" s="77"/>
    </row>
    <row r="1314" spans="1:61" x14ac:dyDescent="0.25">
      <c r="A1314" s="62" t="s">
        <v>497</v>
      </c>
      <c r="B1314" s="62" t="s">
        <v>497</v>
      </c>
      <c r="C1314" s="63"/>
      <c r="D1314" s="64"/>
      <c r="E1314" s="65"/>
      <c r="F1314" s="66"/>
      <c r="G1314" s="63"/>
      <c r="H1314" s="67"/>
      <c r="I1314" s="68"/>
      <c r="J1314" s="68"/>
      <c r="K1314" s="32"/>
      <c r="L1314" s="75">
        <v>1314</v>
      </c>
      <c r="M1314" s="75"/>
      <c r="N1314" s="70"/>
      <c r="O1314" s="77" t="s">
        <v>179</v>
      </c>
      <c r="P1314" s="79">
        <v>45066.046909722223</v>
      </c>
      <c r="Q1314" s="77" t="s">
        <v>2558</v>
      </c>
      <c r="R1314" s="77">
        <v>0</v>
      </c>
      <c r="S1314" s="77">
        <v>0</v>
      </c>
      <c r="T1314" s="77">
        <v>0</v>
      </c>
      <c r="U1314" s="77">
        <v>0</v>
      </c>
      <c r="V1314" s="77">
        <v>115</v>
      </c>
      <c r="W1314" s="82" t="s">
        <v>5236</v>
      </c>
      <c r="X1314" s="80" t="str">
        <f>HYPERLINK("https://www.binance.com/pt-BR/activity/referral-entry/CPA?ref=CPA_00B7YECO8Y&amp;utm_campaign=web_share_link")</f>
        <v>https://www.binance.com/pt-BR/activity/referral-entry/CPA?ref=CPA_00B7YECO8Y&amp;utm_campaign=web_share_link</v>
      </c>
      <c r="Y1314" s="77" t="s">
        <v>7328</v>
      </c>
      <c r="Z1314" s="77"/>
      <c r="AA1314" s="77" t="s">
        <v>8040</v>
      </c>
      <c r="AB1314" s="77" t="s">
        <v>10130</v>
      </c>
      <c r="AC1314" s="82" t="s">
        <v>10144</v>
      </c>
      <c r="AD1314" s="77" t="s">
        <v>10183</v>
      </c>
      <c r="AE1314" s="80" t="str">
        <f>HYPERLINK("https://twitter.com/shyolvr/status/1659727528641085443")</f>
        <v>https://twitter.com/shyolvr/status/1659727528641085443</v>
      </c>
      <c r="AF1314" s="79">
        <v>45066.046909722223</v>
      </c>
      <c r="AG1314" s="85">
        <v>45066</v>
      </c>
      <c r="AH1314" s="82" t="s">
        <v>11458</v>
      </c>
      <c r="AI1314" s="77" t="b">
        <v>0</v>
      </c>
      <c r="AJ1314" s="77"/>
      <c r="AK1314" s="77"/>
      <c r="AL1314" s="77"/>
      <c r="AM1314" s="77"/>
      <c r="AN1314" s="77"/>
      <c r="AO1314" s="77"/>
      <c r="AP1314" s="77"/>
      <c r="AQ1314" s="77" t="s">
        <v>14684</v>
      </c>
      <c r="AR1314" s="77"/>
      <c r="AS1314" s="77"/>
      <c r="AT1314" s="77"/>
      <c r="AU1314" s="77"/>
      <c r="AV1314" s="80" t="str">
        <f>HYPERLINK("https://pbs.twimg.com/media/FwiJY-LXsAE2Svw.jpg")</f>
        <v>https://pbs.twimg.com/media/FwiJY-LXsAE2Svw.jpg</v>
      </c>
      <c r="AW1314" s="82" t="s">
        <v>18087</v>
      </c>
      <c r="AX1314" s="82" t="s">
        <v>18087</v>
      </c>
      <c r="AY1314" s="77"/>
      <c r="AZ1314" s="82" t="s">
        <v>20971</v>
      </c>
      <c r="BA1314" s="82" t="s">
        <v>20971</v>
      </c>
      <c r="BB1314" s="82" t="s">
        <v>20971</v>
      </c>
      <c r="BC1314" s="82" t="s">
        <v>18087</v>
      </c>
      <c r="BD1314" s="77">
        <v>341845421</v>
      </c>
      <c r="BE1314" s="77"/>
      <c r="BF1314" s="77"/>
      <c r="BG1314" s="77"/>
      <c r="BH1314" s="77"/>
      <c r="BI1314" s="77"/>
    </row>
    <row r="1315" spans="1:61" x14ac:dyDescent="0.25">
      <c r="A1315" s="62" t="s">
        <v>498</v>
      </c>
      <c r="B1315" s="62" t="s">
        <v>498</v>
      </c>
      <c r="C1315" s="63"/>
      <c r="D1315" s="64"/>
      <c r="E1315" s="65"/>
      <c r="F1315" s="66"/>
      <c r="G1315" s="63"/>
      <c r="H1315" s="67"/>
      <c r="I1315" s="68"/>
      <c r="J1315" s="68"/>
      <c r="K1315" s="32"/>
      <c r="L1315" s="75">
        <v>1315</v>
      </c>
      <c r="M1315" s="75"/>
      <c r="N1315" s="70"/>
      <c r="O1315" s="77" t="s">
        <v>179</v>
      </c>
      <c r="P1315" s="79">
        <v>45116.853680555556</v>
      </c>
      <c r="Q1315" s="77" t="s">
        <v>2559</v>
      </c>
      <c r="R1315" s="77">
        <v>0</v>
      </c>
      <c r="S1315" s="77">
        <v>1</v>
      </c>
      <c r="T1315" s="77">
        <v>3</v>
      </c>
      <c r="U1315" s="77">
        <v>0</v>
      </c>
      <c r="V1315" s="77">
        <v>75</v>
      </c>
      <c r="W1315" s="82" t="s">
        <v>5695</v>
      </c>
      <c r="X1315" s="80" t="str">
        <f>HYPERLINK("https://whiteclub.tech/invite/MARCIOVSSILVA1")</f>
        <v>https://whiteclub.tech/invite/MARCIOVSSILVA1</v>
      </c>
      <c r="Y1315" s="77" t="s">
        <v>7329</v>
      </c>
      <c r="Z1315" s="77"/>
      <c r="AA1315" s="77"/>
      <c r="AB1315" s="77"/>
      <c r="AC1315" s="82" t="s">
        <v>10146</v>
      </c>
      <c r="AD1315" s="77" t="s">
        <v>10184</v>
      </c>
      <c r="AE1315" s="80" t="str">
        <f>HYPERLINK("https://twitter.com/marciogroove/status/1678139283406823425")</f>
        <v>https://twitter.com/marciogroove/status/1678139283406823425</v>
      </c>
      <c r="AF1315" s="79">
        <v>45116.853680555556</v>
      </c>
      <c r="AG1315" s="85">
        <v>45116</v>
      </c>
      <c r="AH1315" s="82" t="s">
        <v>11459</v>
      </c>
      <c r="AI1315" s="77" t="b">
        <v>0</v>
      </c>
      <c r="AJ1315" s="77"/>
      <c r="AK1315" s="77"/>
      <c r="AL1315" s="77"/>
      <c r="AM1315" s="77"/>
      <c r="AN1315" s="77"/>
      <c r="AO1315" s="77"/>
      <c r="AP1315" s="77"/>
      <c r="AQ1315" s="77"/>
      <c r="AR1315" s="77"/>
      <c r="AS1315" s="77"/>
      <c r="AT1315" s="77"/>
      <c r="AU1315" s="77"/>
      <c r="AV1315" s="80" t="str">
        <f>HYPERLINK("https://pbs.twimg.com/profile_images/1541035491105116165/gH_39sE2_normal.jpg")</f>
        <v>https://pbs.twimg.com/profile_images/1541035491105116165/gH_39sE2_normal.jpg</v>
      </c>
      <c r="AW1315" s="82" t="s">
        <v>18088</v>
      </c>
      <c r="AX1315" s="82" t="s">
        <v>18088</v>
      </c>
      <c r="AY1315" s="77"/>
      <c r="AZ1315" s="82" t="s">
        <v>20971</v>
      </c>
      <c r="BA1315" s="82" t="s">
        <v>20971</v>
      </c>
      <c r="BB1315" s="82" t="s">
        <v>20971</v>
      </c>
      <c r="BC1315" s="82" t="s">
        <v>18088</v>
      </c>
      <c r="BD1315" s="77">
        <v>55908222</v>
      </c>
      <c r="BE1315" s="77"/>
      <c r="BF1315" s="77"/>
      <c r="BG1315" s="77"/>
      <c r="BH1315" s="77"/>
      <c r="BI1315" s="77"/>
    </row>
    <row r="1316" spans="1:61" x14ac:dyDescent="0.25">
      <c r="A1316" s="62" t="s">
        <v>499</v>
      </c>
      <c r="B1316" s="62" t="s">
        <v>1241</v>
      </c>
      <c r="C1316" s="63"/>
      <c r="D1316" s="64"/>
      <c r="E1316" s="65"/>
      <c r="F1316" s="66"/>
      <c r="G1316" s="63"/>
      <c r="H1316" s="67"/>
      <c r="I1316" s="68"/>
      <c r="J1316" s="68"/>
      <c r="K1316" s="32"/>
      <c r="L1316" s="75">
        <v>1316</v>
      </c>
      <c r="M1316" s="75"/>
      <c r="N1316" s="70"/>
      <c r="O1316" s="77" t="s">
        <v>1285</v>
      </c>
      <c r="P1316" s="79">
        <v>45084.840277777781</v>
      </c>
      <c r="Q1316" s="77" t="s">
        <v>2560</v>
      </c>
      <c r="R1316" s="77">
        <v>0</v>
      </c>
      <c r="S1316" s="77">
        <v>0</v>
      </c>
      <c r="T1316" s="77">
        <v>0</v>
      </c>
      <c r="U1316" s="77">
        <v>0</v>
      </c>
      <c r="V1316" s="77">
        <v>21</v>
      </c>
      <c r="W1316" s="82" t="s">
        <v>5696</v>
      </c>
      <c r="X1316" s="80" t="str">
        <f>HYPERLINK("https://youtu.be/AOsszQTLlWY")</f>
        <v>https://youtu.be/AOsszQTLlWY</v>
      </c>
      <c r="Y1316" s="77" t="s">
        <v>7248</v>
      </c>
      <c r="Z1316" s="77" t="s">
        <v>1241</v>
      </c>
      <c r="AA1316" s="77"/>
      <c r="AB1316" s="77"/>
      <c r="AC1316" s="82" t="s">
        <v>10145</v>
      </c>
      <c r="AD1316" s="77" t="s">
        <v>10184</v>
      </c>
      <c r="AE1316" s="80" t="str">
        <f>HYPERLINK("https://twitter.com/dolarizando_/status/1666538016389693440")</f>
        <v>https://twitter.com/dolarizando_/status/1666538016389693440</v>
      </c>
      <c r="AF1316" s="79">
        <v>45084.840277777781</v>
      </c>
      <c r="AG1316" s="85">
        <v>45084</v>
      </c>
      <c r="AH1316" s="82" t="s">
        <v>11460</v>
      </c>
      <c r="AI1316" s="77" t="b">
        <v>0</v>
      </c>
      <c r="AJ1316" s="77"/>
      <c r="AK1316" s="77"/>
      <c r="AL1316" s="77"/>
      <c r="AM1316" s="77"/>
      <c r="AN1316" s="77"/>
      <c r="AO1316" s="77"/>
      <c r="AP1316" s="77"/>
      <c r="AQ1316" s="77"/>
      <c r="AR1316" s="77"/>
      <c r="AS1316" s="77"/>
      <c r="AT1316" s="77"/>
      <c r="AU1316" s="77"/>
      <c r="AV1316" s="80" t="str">
        <f>HYPERLINK("https://pbs.twimg.com/profile_images/1659070512352378880/cl41bq0P_normal.jpg")</f>
        <v>https://pbs.twimg.com/profile_images/1659070512352378880/cl41bq0P_normal.jpg</v>
      </c>
      <c r="AW1316" s="82" t="s">
        <v>18089</v>
      </c>
      <c r="AX1316" s="82" t="s">
        <v>18089</v>
      </c>
      <c r="AY1316" s="77"/>
      <c r="AZ1316" s="82" t="s">
        <v>20971</v>
      </c>
      <c r="BA1316" s="82" t="s">
        <v>20971</v>
      </c>
      <c r="BB1316" s="82" t="s">
        <v>20971</v>
      </c>
      <c r="BC1316" s="82" t="s">
        <v>18089</v>
      </c>
      <c r="BD1316" s="82" t="s">
        <v>21216</v>
      </c>
      <c r="BE1316" s="77"/>
      <c r="BF1316" s="77"/>
      <c r="BG1316" s="77"/>
      <c r="BH1316" s="77"/>
      <c r="BI1316" s="77"/>
    </row>
    <row r="1317" spans="1:61" x14ac:dyDescent="0.25">
      <c r="A1317" s="62" t="s">
        <v>499</v>
      </c>
      <c r="B1317" s="62" t="s">
        <v>1241</v>
      </c>
      <c r="C1317" s="63"/>
      <c r="D1317" s="64"/>
      <c r="E1317" s="65"/>
      <c r="F1317" s="66"/>
      <c r="G1317" s="63"/>
      <c r="H1317" s="67"/>
      <c r="I1317" s="68"/>
      <c r="J1317" s="68"/>
      <c r="K1317" s="32"/>
      <c r="L1317" s="75">
        <v>1317</v>
      </c>
      <c r="M1317" s="75"/>
      <c r="N1317" s="70"/>
      <c r="O1317" s="77" t="s">
        <v>1285</v>
      </c>
      <c r="P1317" s="79">
        <v>45090.540648148148</v>
      </c>
      <c r="Q1317" s="77" t="s">
        <v>2561</v>
      </c>
      <c r="R1317" s="77">
        <v>0</v>
      </c>
      <c r="S1317" s="77">
        <v>0</v>
      </c>
      <c r="T1317" s="77">
        <v>0</v>
      </c>
      <c r="U1317" s="77">
        <v>0</v>
      </c>
      <c r="V1317" s="77">
        <v>5</v>
      </c>
      <c r="W1317" s="82" t="s">
        <v>5697</v>
      </c>
      <c r="X1317" s="80" t="str">
        <f>HYPERLINK("https://youtube.com/shorts/PPgJfwp8JQQ?feature=share")</f>
        <v>https://youtube.com/shorts/PPgJfwp8JQQ?feature=share</v>
      </c>
      <c r="Y1317" s="77" t="s">
        <v>7303</v>
      </c>
      <c r="Z1317" s="77" t="s">
        <v>1241</v>
      </c>
      <c r="AA1317" s="77"/>
      <c r="AB1317" s="77"/>
      <c r="AC1317" s="82" t="s">
        <v>10145</v>
      </c>
      <c r="AD1317" s="77" t="s">
        <v>10184</v>
      </c>
      <c r="AE1317" s="80" t="str">
        <f>HYPERLINK("https://twitter.com/dolarizando_/status/1668603763152547840")</f>
        <v>https://twitter.com/dolarizando_/status/1668603763152547840</v>
      </c>
      <c r="AF1317" s="79">
        <v>45090.540648148148</v>
      </c>
      <c r="AG1317" s="85">
        <v>45090</v>
      </c>
      <c r="AH1317" s="82" t="s">
        <v>11461</v>
      </c>
      <c r="AI1317" s="77" t="b">
        <v>0</v>
      </c>
      <c r="AJ1317" s="77"/>
      <c r="AK1317" s="77"/>
      <c r="AL1317" s="77"/>
      <c r="AM1317" s="77"/>
      <c r="AN1317" s="77"/>
      <c r="AO1317" s="77"/>
      <c r="AP1317" s="77"/>
      <c r="AQ1317" s="77"/>
      <c r="AR1317" s="77"/>
      <c r="AS1317" s="77"/>
      <c r="AT1317" s="77"/>
      <c r="AU1317" s="77"/>
      <c r="AV1317" s="80" t="str">
        <f>HYPERLINK("https://pbs.twimg.com/profile_images/1659070512352378880/cl41bq0P_normal.jpg")</f>
        <v>https://pbs.twimg.com/profile_images/1659070512352378880/cl41bq0P_normal.jpg</v>
      </c>
      <c r="AW1317" s="82" t="s">
        <v>18090</v>
      </c>
      <c r="AX1317" s="82" t="s">
        <v>18090</v>
      </c>
      <c r="AY1317" s="77"/>
      <c r="AZ1317" s="82" t="s">
        <v>20971</v>
      </c>
      <c r="BA1317" s="82" t="s">
        <v>20971</v>
      </c>
      <c r="BB1317" s="82" t="s">
        <v>20971</v>
      </c>
      <c r="BC1317" s="82" t="s">
        <v>18090</v>
      </c>
      <c r="BD1317" s="82" t="s">
        <v>21216</v>
      </c>
      <c r="BE1317" s="77"/>
      <c r="BF1317" s="77"/>
      <c r="BG1317" s="77"/>
      <c r="BH1317" s="77"/>
      <c r="BI1317" s="77"/>
    </row>
    <row r="1318" spans="1:61" x14ac:dyDescent="0.25">
      <c r="A1318" s="62" t="s">
        <v>499</v>
      </c>
      <c r="B1318" s="62" t="s">
        <v>1241</v>
      </c>
      <c r="C1318" s="63"/>
      <c r="D1318" s="64"/>
      <c r="E1318" s="65"/>
      <c r="F1318" s="66"/>
      <c r="G1318" s="63"/>
      <c r="H1318" s="67"/>
      <c r="I1318" s="68"/>
      <c r="J1318" s="68"/>
      <c r="K1318" s="32"/>
      <c r="L1318" s="75">
        <v>1318</v>
      </c>
      <c r="M1318" s="75"/>
      <c r="N1318" s="70"/>
      <c r="O1318" s="77" t="s">
        <v>1285</v>
      </c>
      <c r="P1318" s="79">
        <v>45090.523240740738</v>
      </c>
      <c r="Q1318" s="77" t="s">
        <v>2562</v>
      </c>
      <c r="R1318" s="77">
        <v>0</v>
      </c>
      <c r="S1318" s="77">
        <v>1</v>
      </c>
      <c r="T1318" s="77">
        <v>0</v>
      </c>
      <c r="U1318" s="77">
        <v>0</v>
      </c>
      <c r="V1318" s="77">
        <v>29</v>
      </c>
      <c r="W1318" s="82" t="s">
        <v>5698</v>
      </c>
      <c r="X1318" s="80" t="str">
        <f>HYPERLINK("https://youtu.be/AOsszQTLlWY")</f>
        <v>https://youtu.be/AOsszQTLlWY</v>
      </c>
      <c r="Y1318" s="77" t="s">
        <v>7248</v>
      </c>
      <c r="Z1318" s="77" t="s">
        <v>1241</v>
      </c>
      <c r="AA1318" s="77"/>
      <c r="AB1318" s="77"/>
      <c r="AC1318" s="82" t="s">
        <v>10145</v>
      </c>
      <c r="AD1318" s="77" t="s">
        <v>10184</v>
      </c>
      <c r="AE1318" s="80" t="str">
        <f>HYPERLINK("https://twitter.com/dolarizando_/status/1668597453438812162")</f>
        <v>https://twitter.com/dolarizando_/status/1668597453438812162</v>
      </c>
      <c r="AF1318" s="79">
        <v>45090.523240740738</v>
      </c>
      <c r="AG1318" s="85">
        <v>45090</v>
      </c>
      <c r="AH1318" s="82" t="s">
        <v>11462</v>
      </c>
      <c r="AI1318" s="77" t="b">
        <v>0</v>
      </c>
      <c r="AJ1318" s="77"/>
      <c r="AK1318" s="77"/>
      <c r="AL1318" s="77"/>
      <c r="AM1318" s="77"/>
      <c r="AN1318" s="77"/>
      <c r="AO1318" s="77"/>
      <c r="AP1318" s="77"/>
      <c r="AQ1318" s="77"/>
      <c r="AR1318" s="77"/>
      <c r="AS1318" s="77"/>
      <c r="AT1318" s="77"/>
      <c r="AU1318" s="77"/>
      <c r="AV1318" s="80" t="str">
        <f>HYPERLINK("https://pbs.twimg.com/profile_images/1659070512352378880/cl41bq0P_normal.jpg")</f>
        <v>https://pbs.twimg.com/profile_images/1659070512352378880/cl41bq0P_normal.jpg</v>
      </c>
      <c r="AW1318" s="82" t="s">
        <v>18091</v>
      </c>
      <c r="AX1318" s="82" t="s">
        <v>18091</v>
      </c>
      <c r="AY1318" s="77"/>
      <c r="AZ1318" s="82" t="s">
        <v>20971</v>
      </c>
      <c r="BA1318" s="82" t="s">
        <v>20971</v>
      </c>
      <c r="BB1318" s="82" t="s">
        <v>20971</v>
      </c>
      <c r="BC1318" s="82" t="s">
        <v>18091</v>
      </c>
      <c r="BD1318" s="82" t="s">
        <v>21216</v>
      </c>
      <c r="BE1318" s="77"/>
      <c r="BF1318" s="77"/>
      <c r="BG1318" s="77"/>
      <c r="BH1318" s="77"/>
      <c r="BI1318" s="77"/>
    </row>
    <row r="1319" spans="1:61" x14ac:dyDescent="0.25">
      <c r="A1319" s="62" t="s">
        <v>500</v>
      </c>
      <c r="B1319" s="62" t="s">
        <v>500</v>
      </c>
      <c r="C1319" s="63"/>
      <c r="D1319" s="64"/>
      <c r="E1319" s="65"/>
      <c r="F1319" s="66"/>
      <c r="G1319" s="63"/>
      <c r="H1319" s="67"/>
      <c r="I1319" s="68"/>
      <c r="J1319" s="68"/>
      <c r="K1319" s="32"/>
      <c r="L1319" s="75">
        <v>1319</v>
      </c>
      <c r="M1319" s="75"/>
      <c r="N1319" s="70"/>
      <c r="O1319" s="77" t="s">
        <v>179</v>
      </c>
      <c r="P1319" s="79">
        <v>45014.005844907406</v>
      </c>
      <c r="Q1319" s="77" t="s">
        <v>2563</v>
      </c>
      <c r="R1319" s="77">
        <v>0</v>
      </c>
      <c r="S1319" s="77">
        <v>0</v>
      </c>
      <c r="T1319" s="77">
        <v>0</v>
      </c>
      <c r="U1319" s="77">
        <v>0</v>
      </c>
      <c r="V1319" s="77">
        <v>86</v>
      </c>
      <c r="W1319" s="82" t="s">
        <v>5699</v>
      </c>
      <c r="X1319" s="80" t="str">
        <f>HYPERLINK("https://bit.ly/meta150off")</f>
        <v>https://bit.ly/meta150off</v>
      </c>
      <c r="Y1319" s="77" t="s">
        <v>7268</v>
      </c>
      <c r="Z1319" s="77"/>
      <c r="AA1319" s="77"/>
      <c r="AB1319" s="77"/>
      <c r="AC1319" s="82" t="s">
        <v>10144</v>
      </c>
      <c r="AD1319" s="77" t="s">
        <v>10184</v>
      </c>
      <c r="AE1319" s="80" t="str">
        <f>HYPERLINK("https://twitter.com/fellipepinheiro/status/1640868475236151298")</f>
        <v>https://twitter.com/fellipepinheiro/status/1640868475236151298</v>
      </c>
      <c r="AF1319" s="79">
        <v>45014.005844907406</v>
      </c>
      <c r="AG1319" s="85">
        <v>45014</v>
      </c>
      <c r="AH1319" s="82" t="s">
        <v>11463</v>
      </c>
      <c r="AI1319" s="77" t="b">
        <v>0</v>
      </c>
      <c r="AJ1319" s="77"/>
      <c r="AK1319" s="77"/>
      <c r="AL1319" s="77"/>
      <c r="AM1319" s="77"/>
      <c r="AN1319" s="77"/>
      <c r="AO1319" s="77"/>
      <c r="AP1319" s="77"/>
      <c r="AQ1319" s="77"/>
      <c r="AR1319" s="77"/>
      <c r="AS1319" s="77"/>
      <c r="AT1319" s="77"/>
      <c r="AU1319" s="77"/>
      <c r="AV1319" s="80" t="str">
        <f>HYPERLINK("https://pbs.twimg.com/profile_images/1608885271268921344/TLwgjQYB_normal.jpg")</f>
        <v>https://pbs.twimg.com/profile_images/1608885271268921344/TLwgjQYB_normal.jpg</v>
      </c>
      <c r="AW1319" s="82" t="s">
        <v>18092</v>
      </c>
      <c r="AX1319" s="82" t="s">
        <v>18092</v>
      </c>
      <c r="AY1319" s="77"/>
      <c r="AZ1319" s="82" t="s">
        <v>20971</v>
      </c>
      <c r="BA1319" s="82" t="s">
        <v>20971</v>
      </c>
      <c r="BB1319" s="82" t="s">
        <v>20971</v>
      </c>
      <c r="BC1319" s="82" t="s">
        <v>18092</v>
      </c>
      <c r="BD1319" s="77">
        <v>17763801</v>
      </c>
      <c r="BE1319" s="77"/>
      <c r="BF1319" s="77"/>
      <c r="BG1319" s="77"/>
      <c r="BH1319" s="77"/>
      <c r="BI1319" s="77"/>
    </row>
    <row r="1320" spans="1:61" x14ac:dyDescent="0.25">
      <c r="A1320" s="62" t="s">
        <v>501</v>
      </c>
      <c r="B1320" s="62" t="s">
        <v>1247</v>
      </c>
      <c r="C1320" s="63"/>
      <c r="D1320" s="64"/>
      <c r="E1320" s="65"/>
      <c r="F1320" s="66"/>
      <c r="G1320" s="63"/>
      <c r="H1320" s="67"/>
      <c r="I1320" s="68"/>
      <c r="J1320" s="68"/>
      <c r="K1320" s="32"/>
      <c r="L1320" s="75">
        <v>1320</v>
      </c>
      <c r="M1320" s="75"/>
      <c r="N1320" s="70"/>
      <c r="O1320" s="77" t="s">
        <v>1284</v>
      </c>
      <c r="P1320" s="79">
        <v>45137.633668981478</v>
      </c>
      <c r="Q1320" s="77" t="s">
        <v>2564</v>
      </c>
      <c r="R1320" s="77">
        <v>0</v>
      </c>
      <c r="S1320" s="77">
        <v>0</v>
      </c>
      <c r="T1320" s="77">
        <v>0</v>
      </c>
      <c r="U1320" s="77">
        <v>0</v>
      </c>
      <c r="V1320" s="77">
        <v>42</v>
      </c>
      <c r="W1320" s="82" t="s">
        <v>5700</v>
      </c>
      <c r="X1320" s="77"/>
      <c r="Y1320" s="77"/>
      <c r="Z1320" s="77" t="s">
        <v>1247</v>
      </c>
      <c r="AA1320" s="77"/>
      <c r="AB1320" s="77"/>
      <c r="AC1320" s="82" t="s">
        <v>10144</v>
      </c>
      <c r="AD1320" s="77" t="s">
        <v>10184</v>
      </c>
      <c r="AE1320" s="80" t="str">
        <f>HYPERLINK("https://twitter.com/beicadaskkkkj/status/1685669701362294784")</f>
        <v>https://twitter.com/beicadaskkkkj/status/1685669701362294784</v>
      </c>
      <c r="AF1320" s="79">
        <v>45137.633668981478</v>
      </c>
      <c r="AG1320" s="85">
        <v>45137</v>
      </c>
      <c r="AH1320" s="82" t="s">
        <v>11464</v>
      </c>
      <c r="AI1320" s="77"/>
      <c r="AJ1320" s="77"/>
      <c r="AK1320" s="77"/>
      <c r="AL1320" s="77"/>
      <c r="AM1320" s="77"/>
      <c r="AN1320" s="77"/>
      <c r="AO1320" s="77"/>
      <c r="AP1320" s="77"/>
      <c r="AQ1320" s="77"/>
      <c r="AR1320" s="77"/>
      <c r="AS1320" s="77"/>
      <c r="AT1320" s="77"/>
      <c r="AU1320" s="77"/>
      <c r="AV1320" s="80" t="str">
        <f>HYPERLINK("https://pbs.twimg.com/profile_images/1702087760029372416/eXfBC9Lf_normal.jpg")</f>
        <v>https://pbs.twimg.com/profile_images/1702087760029372416/eXfBC9Lf_normal.jpg</v>
      </c>
      <c r="AW1320" s="82" t="s">
        <v>18093</v>
      </c>
      <c r="AX1320" s="82" t="s">
        <v>20809</v>
      </c>
      <c r="AY1320" s="82" t="s">
        <v>20916</v>
      </c>
      <c r="AZ1320" s="82" t="s">
        <v>20809</v>
      </c>
      <c r="BA1320" s="82" t="s">
        <v>20971</v>
      </c>
      <c r="BB1320" s="82" t="s">
        <v>20971</v>
      </c>
      <c r="BC1320" s="82" t="s">
        <v>20809</v>
      </c>
      <c r="BD1320" s="82" t="s">
        <v>21217</v>
      </c>
      <c r="BE1320" s="77"/>
      <c r="BF1320" s="77"/>
      <c r="BG1320" s="77"/>
      <c r="BH1320" s="77"/>
      <c r="BI1320" s="77"/>
    </row>
    <row r="1321" spans="1:61" x14ac:dyDescent="0.25">
      <c r="A1321" s="62" t="s">
        <v>502</v>
      </c>
      <c r="B1321" s="62" t="s">
        <v>1241</v>
      </c>
      <c r="C1321" s="63"/>
      <c r="D1321" s="64"/>
      <c r="E1321" s="65"/>
      <c r="F1321" s="66"/>
      <c r="G1321" s="63"/>
      <c r="H1321" s="67"/>
      <c r="I1321" s="68"/>
      <c r="J1321" s="68"/>
      <c r="K1321" s="32"/>
      <c r="L1321" s="75">
        <v>1321</v>
      </c>
      <c r="M1321" s="75"/>
      <c r="N1321" s="70"/>
      <c r="O1321" s="77" t="s">
        <v>1285</v>
      </c>
      <c r="P1321" s="79">
        <v>45031.124340277776</v>
      </c>
      <c r="Q1321" s="77" t="s">
        <v>2565</v>
      </c>
      <c r="R1321" s="77">
        <v>0</v>
      </c>
      <c r="S1321" s="77">
        <v>0</v>
      </c>
      <c r="T1321" s="77">
        <v>0</v>
      </c>
      <c r="U1321" s="77">
        <v>0</v>
      </c>
      <c r="V1321" s="77">
        <v>129</v>
      </c>
      <c r="W1321" s="82" t="s">
        <v>5701</v>
      </c>
      <c r="X1321" s="80" t="str">
        <f>HYPERLINK("https://youtu.be/jxYDtgGlI7s")</f>
        <v>https://youtu.be/jxYDtgGlI7s</v>
      </c>
      <c r="Y1321" s="77" t="s">
        <v>7248</v>
      </c>
      <c r="Z1321" s="77" t="s">
        <v>1241</v>
      </c>
      <c r="AA1321" s="77"/>
      <c r="AB1321" s="77"/>
      <c r="AC1321" s="82" t="s">
        <v>10146</v>
      </c>
      <c r="AD1321" s="77" t="s">
        <v>10184</v>
      </c>
      <c r="AE1321" s="80" t="str">
        <f>HYPERLINK("https://twitter.com/eulima_eu/status/1647072012383272960")</f>
        <v>https://twitter.com/eulima_eu/status/1647072012383272960</v>
      </c>
      <c r="AF1321" s="79">
        <v>45031.124340277776</v>
      </c>
      <c r="AG1321" s="85">
        <v>45031</v>
      </c>
      <c r="AH1321" s="82" t="s">
        <v>11465</v>
      </c>
      <c r="AI1321" s="77" t="b">
        <v>0</v>
      </c>
      <c r="AJ1321" s="77"/>
      <c r="AK1321" s="77"/>
      <c r="AL1321" s="77"/>
      <c r="AM1321" s="77"/>
      <c r="AN1321" s="77"/>
      <c r="AO1321" s="77"/>
      <c r="AP1321" s="77"/>
      <c r="AQ1321" s="77"/>
      <c r="AR1321" s="77"/>
      <c r="AS1321" s="77"/>
      <c r="AT1321" s="77"/>
      <c r="AU1321" s="77"/>
      <c r="AV1321" s="80" t="str">
        <f>HYPERLINK("https://pbs.twimg.com/profile_images/1480001774094360579/dzhISc3R_normal.jpg")</f>
        <v>https://pbs.twimg.com/profile_images/1480001774094360579/dzhISc3R_normal.jpg</v>
      </c>
      <c r="AW1321" s="82" t="s">
        <v>18094</v>
      </c>
      <c r="AX1321" s="82" t="s">
        <v>18094</v>
      </c>
      <c r="AY1321" s="77"/>
      <c r="AZ1321" s="82" t="s">
        <v>20971</v>
      </c>
      <c r="BA1321" s="82" t="s">
        <v>20971</v>
      </c>
      <c r="BB1321" s="82" t="s">
        <v>20971</v>
      </c>
      <c r="BC1321" s="82" t="s">
        <v>18094</v>
      </c>
      <c r="BD1321" s="82" t="s">
        <v>21218</v>
      </c>
      <c r="BE1321" s="77"/>
      <c r="BF1321" s="77"/>
      <c r="BG1321" s="77"/>
      <c r="BH1321" s="77"/>
      <c r="BI1321" s="77"/>
    </row>
    <row r="1322" spans="1:61" x14ac:dyDescent="0.25">
      <c r="A1322" s="62" t="s">
        <v>502</v>
      </c>
      <c r="B1322" s="62" t="s">
        <v>1241</v>
      </c>
      <c r="C1322" s="63"/>
      <c r="D1322" s="64"/>
      <c r="E1322" s="65"/>
      <c r="F1322" s="66"/>
      <c r="G1322" s="63"/>
      <c r="H1322" s="67"/>
      <c r="I1322" s="68"/>
      <c r="J1322" s="68"/>
      <c r="K1322" s="32"/>
      <c r="L1322" s="75">
        <v>1322</v>
      </c>
      <c r="M1322" s="75"/>
      <c r="N1322" s="70"/>
      <c r="O1322" s="77" t="s">
        <v>1285</v>
      </c>
      <c r="P1322" s="79">
        <v>45030.06045138889</v>
      </c>
      <c r="Q1322" s="77" t="s">
        <v>2566</v>
      </c>
      <c r="R1322" s="77">
        <v>0</v>
      </c>
      <c r="S1322" s="77">
        <v>0</v>
      </c>
      <c r="T1322" s="77">
        <v>0</v>
      </c>
      <c r="U1322" s="77">
        <v>0</v>
      </c>
      <c r="V1322" s="77">
        <v>38</v>
      </c>
      <c r="W1322" s="82" t="s">
        <v>5702</v>
      </c>
      <c r="X1322" s="80" t="str">
        <f>HYPERLINK("https://youtu.be/2t7QIMsbP-A")</f>
        <v>https://youtu.be/2t7QIMsbP-A</v>
      </c>
      <c r="Y1322" s="77" t="s">
        <v>7248</v>
      </c>
      <c r="Z1322" s="77" t="s">
        <v>1241</v>
      </c>
      <c r="AA1322" s="77"/>
      <c r="AB1322" s="77"/>
      <c r="AC1322" s="82" t="s">
        <v>10146</v>
      </c>
      <c r="AD1322" s="77" t="s">
        <v>10184</v>
      </c>
      <c r="AE1322" s="80" t="str">
        <f>HYPERLINK("https://twitter.com/eulima_eu/status/1646686472748122113")</f>
        <v>https://twitter.com/eulima_eu/status/1646686472748122113</v>
      </c>
      <c r="AF1322" s="79">
        <v>45030.06045138889</v>
      </c>
      <c r="AG1322" s="85">
        <v>45030</v>
      </c>
      <c r="AH1322" s="82" t="s">
        <v>11466</v>
      </c>
      <c r="AI1322" s="77" t="b">
        <v>0</v>
      </c>
      <c r="AJ1322" s="77"/>
      <c r="AK1322" s="77"/>
      <c r="AL1322" s="77"/>
      <c r="AM1322" s="77"/>
      <c r="AN1322" s="77"/>
      <c r="AO1322" s="77"/>
      <c r="AP1322" s="77"/>
      <c r="AQ1322" s="77"/>
      <c r="AR1322" s="77"/>
      <c r="AS1322" s="77"/>
      <c r="AT1322" s="77"/>
      <c r="AU1322" s="77"/>
      <c r="AV1322" s="80" t="str">
        <f>HYPERLINK("https://pbs.twimg.com/profile_images/1480001774094360579/dzhISc3R_normal.jpg")</f>
        <v>https://pbs.twimg.com/profile_images/1480001774094360579/dzhISc3R_normal.jpg</v>
      </c>
      <c r="AW1322" s="82" t="s">
        <v>18095</v>
      </c>
      <c r="AX1322" s="82" t="s">
        <v>18095</v>
      </c>
      <c r="AY1322" s="77"/>
      <c r="AZ1322" s="82" t="s">
        <v>20971</v>
      </c>
      <c r="BA1322" s="82" t="s">
        <v>20971</v>
      </c>
      <c r="BB1322" s="82" t="s">
        <v>20971</v>
      </c>
      <c r="BC1322" s="82" t="s">
        <v>18095</v>
      </c>
      <c r="BD1322" s="82" t="s">
        <v>21218</v>
      </c>
      <c r="BE1322" s="77"/>
      <c r="BF1322" s="77"/>
      <c r="BG1322" s="77"/>
      <c r="BH1322" s="77"/>
      <c r="BI1322" s="77"/>
    </row>
    <row r="1323" spans="1:61" x14ac:dyDescent="0.25">
      <c r="A1323" s="62" t="s">
        <v>502</v>
      </c>
      <c r="B1323" s="62" t="s">
        <v>1241</v>
      </c>
      <c r="C1323" s="63"/>
      <c r="D1323" s="64"/>
      <c r="E1323" s="65"/>
      <c r="F1323" s="66"/>
      <c r="G1323" s="63"/>
      <c r="H1323" s="67"/>
      <c r="I1323" s="68"/>
      <c r="J1323" s="68"/>
      <c r="K1323" s="32"/>
      <c r="L1323" s="75">
        <v>1323</v>
      </c>
      <c r="M1323" s="75"/>
      <c r="N1323" s="70"/>
      <c r="O1323" s="77" t="s">
        <v>1285</v>
      </c>
      <c r="P1323" s="79">
        <v>45037.684479166666</v>
      </c>
      <c r="Q1323" s="77" t="s">
        <v>2567</v>
      </c>
      <c r="R1323" s="77">
        <v>0</v>
      </c>
      <c r="S1323" s="77">
        <v>0</v>
      </c>
      <c r="T1323" s="77">
        <v>0</v>
      </c>
      <c r="U1323" s="77">
        <v>0</v>
      </c>
      <c r="V1323" s="77">
        <v>81</v>
      </c>
      <c r="W1323" s="82" t="s">
        <v>5703</v>
      </c>
      <c r="X1323" s="80" t="str">
        <f>HYPERLINK("https://youtu.be/zW_Hsj-Gh8g")</f>
        <v>https://youtu.be/zW_Hsj-Gh8g</v>
      </c>
      <c r="Y1323" s="77" t="s">
        <v>7248</v>
      </c>
      <c r="Z1323" s="77" t="s">
        <v>1241</v>
      </c>
      <c r="AA1323" s="77"/>
      <c r="AB1323" s="77"/>
      <c r="AC1323" s="82" t="s">
        <v>10146</v>
      </c>
      <c r="AD1323" s="77" t="s">
        <v>10184</v>
      </c>
      <c r="AE1323" s="80" t="str">
        <f>HYPERLINK("https://twitter.com/eulima_eu/status/1649449325825589257")</f>
        <v>https://twitter.com/eulima_eu/status/1649449325825589257</v>
      </c>
      <c r="AF1323" s="79">
        <v>45037.684479166666</v>
      </c>
      <c r="AG1323" s="85">
        <v>45037</v>
      </c>
      <c r="AH1323" s="82" t="s">
        <v>11467</v>
      </c>
      <c r="AI1323" s="77" t="b">
        <v>0</v>
      </c>
      <c r="AJ1323" s="77"/>
      <c r="AK1323" s="77"/>
      <c r="AL1323" s="77"/>
      <c r="AM1323" s="77"/>
      <c r="AN1323" s="77"/>
      <c r="AO1323" s="77"/>
      <c r="AP1323" s="77"/>
      <c r="AQ1323" s="77"/>
      <c r="AR1323" s="77"/>
      <c r="AS1323" s="77"/>
      <c r="AT1323" s="77"/>
      <c r="AU1323" s="77"/>
      <c r="AV1323" s="80" t="str">
        <f>HYPERLINK("https://pbs.twimg.com/profile_images/1480001774094360579/dzhISc3R_normal.jpg")</f>
        <v>https://pbs.twimg.com/profile_images/1480001774094360579/dzhISc3R_normal.jpg</v>
      </c>
      <c r="AW1323" s="82" t="s">
        <v>18096</v>
      </c>
      <c r="AX1323" s="82" t="s">
        <v>18096</v>
      </c>
      <c r="AY1323" s="77"/>
      <c r="AZ1323" s="82" t="s">
        <v>20971</v>
      </c>
      <c r="BA1323" s="82" t="s">
        <v>20971</v>
      </c>
      <c r="BB1323" s="82" t="s">
        <v>20971</v>
      </c>
      <c r="BC1323" s="82" t="s">
        <v>18096</v>
      </c>
      <c r="BD1323" s="82" t="s">
        <v>21218</v>
      </c>
      <c r="BE1323" s="77"/>
      <c r="BF1323" s="77"/>
      <c r="BG1323" s="77"/>
      <c r="BH1323" s="77"/>
      <c r="BI1323" s="77"/>
    </row>
    <row r="1324" spans="1:61" x14ac:dyDescent="0.25">
      <c r="A1324" s="62" t="s">
        <v>502</v>
      </c>
      <c r="B1324" s="62" t="s">
        <v>1241</v>
      </c>
      <c r="C1324" s="63"/>
      <c r="D1324" s="64"/>
      <c r="E1324" s="65"/>
      <c r="F1324" s="66"/>
      <c r="G1324" s="63"/>
      <c r="H1324" s="67"/>
      <c r="I1324" s="68"/>
      <c r="J1324" s="68"/>
      <c r="K1324" s="32"/>
      <c r="L1324" s="75">
        <v>1324</v>
      </c>
      <c r="M1324" s="75"/>
      <c r="N1324" s="70"/>
      <c r="O1324" s="77" t="s">
        <v>1285</v>
      </c>
      <c r="P1324" s="79">
        <v>45037.587997685187</v>
      </c>
      <c r="Q1324" s="77" t="s">
        <v>2568</v>
      </c>
      <c r="R1324" s="77">
        <v>0</v>
      </c>
      <c r="S1324" s="77">
        <v>2</v>
      </c>
      <c r="T1324" s="77">
        <v>0</v>
      </c>
      <c r="U1324" s="77">
        <v>0</v>
      </c>
      <c r="V1324" s="77">
        <v>36</v>
      </c>
      <c r="W1324" s="82" t="s">
        <v>5704</v>
      </c>
      <c r="X1324" s="80" t="str">
        <f>HYPERLINK("https://youtu.be/q96e0d1byN8")</f>
        <v>https://youtu.be/q96e0d1byN8</v>
      </c>
      <c r="Y1324" s="77" t="s">
        <v>7248</v>
      </c>
      <c r="Z1324" s="77" t="s">
        <v>1241</v>
      </c>
      <c r="AA1324" s="77"/>
      <c r="AB1324" s="77"/>
      <c r="AC1324" s="82" t="s">
        <v>10146</v>
      </c>
      <c r="AD1324" s="77" t="s">
        <v>10192</v>
      </c>
      <c r="AE1324" s="80" t="str">
        <f>HYPERLINK("https://twitter.com/eulima_eu/status/1649414362073899010")</f>
        <v>https://twitter.com/eulima_eu/status/1649414362073899010</v>
      </c>
      <c r="AF1324" s="79">
        <v>45037.587997685187</v>
      </c>
      <c r="AG1324" s="85">
        <v>45037</v>
      </c>
      <c r="AH1324" s="82" t="s">
        <v>11468</v>
      </c>
      <c r="AI1324" s="77" t="b">
        <v>0</v>
      </c>
      <c r="AJ1324" s="77"/>
      <c r="AK1324" s="77"/>
      <c r="AL1324" s="77"/>
      <c r="AM1324" s="77"/>
      <c r="AN1324" s="77"/>
      <c r="AO1324" s="77"/>
      <c r="AP1324" s="77"/>
      <c r="AQ1324" s="77"/>
      <c r="AR1324" s="77"/>
      <c r="AS1324" s="77"/>
      <c r="AT1324" s="77"/>
      <c r="AU1324" s="77"/>
      <c r="AV1324" s="80" t="str">
        <f>HYPERLINK("https://pbs.twimg.com/profile_images/1480001774094360579/dzhISc3R_normal.jpg")</f>
        <v>https://pbs.twimg.com/profile_images/1480001774094360579/dzhISc3R_normal.jpg</v>
      </c>
      <c r="AW1324" s="82" t="s">
        <v>18097</v>
      </c>
      <c r="AX1324" s="82" t="s">
        <v>18097</v>
      </c>
      <c r="AY1324" s="77"/>
      <c r="AZ1324" s="82" t="s">
        <v>20971</v>
      </c>
      <c r="BA1324" s="82" t="s">
        <v>20971</v>
      </c>
      <c r="BB1324" s="82" t="s">
        <v>20971</v>
      </c>
      <c r="BC1324" s="82" t="s">
        <v>18097</v>
      </c>
      <c r="BD1324" s="82" t="s">
        <v>21218</v>
      </c>
      <c r="BE1324" s="77"/>
      <c r="BF1324" s="77"/>
      <c r="BG1324" s="77"/>
      <c r="BH1324" s="77"/>
      <c r="BI1324" s="77"/>
    </row>
    <row r="1325" spans="1:61" x14ac:dyDescent="0.25">
      <c r="A1325" s="62" t="s">
        <v>502</v>
      </c>
      <c r="B1325" s="62" t="s">
        <v>1241</v>
      </c>
      <c r="C1325" s="63"/>
      <c r="D1325" s="64"/>
      <c r="E1325" s="65"/>
      <c r="F1325" s="66"/>
      <c r="G1325" s="63"/>
      <c r="H1325" s="67"/>
      <c r="I1325" s="68"/>
      <c r="J1325" s="68"/>
      <c r="K1325" s="32"/>
      <c r="L1325" s="75">
        <v>1325</v>
      </c>
      <c r="M1325" s="75"/>
      <c r="N1325" s="70"/>
      <c r="O1325" s="77" t="s">
        <v>1285</v>
      </c>
      <c r="P1325" s="79">
        <v>45036.590879629628</v>
      </c>
      <c r="Q1325" s="77" t="s">
        <v>2569</v>
      </c>
      <c r="R1325" s="77">
        <v>0</v>
      </c>
      <c r="S1325" s="77">
        <v>0</v>
      </c>
      <c r="T1325" s="77">
        <v>0</v>
      </c>
      <c r="U1325" s="77">
        <v>0</v>
      </c>
      <c r="V1325" s="77">
        <v>42</v>
      </c>
      <c r="W1325" s="82" t="s">
        <v>5705</v>
      </c>
      <c r="X1325" s="80" t="str">
        <f>HYPERLINK("https://youtu.be/leJvrIHR8w4")</f>
        <v>https://youtu.be/leJvrIHR8w4</v>
      </c>
      <c r="Y1325" s="77" t="s">
        <v>7248</v>
      </c>
      <c r="Z1325" s="77" t="s">
        <v>1241</v>
      </c>
      <c r="AA1325" s="77"/>
      <c r="AB1325" s="77"/>
      <c r="AC1325" s="82" t="s">
        <v>10146</v>
      </c>
      <c r="AD1325" s="77" t="s">
        <v>10184</v>
      </c>
      <c r="AE1325" s="80" t="str">
        <f>HYPERLINK("https://twitter.com/eulima_eu/status/1649053021203238912")</f>
        <v>https://twitter.com/eulima_eu/status/1649053021203238912</v>
      </c>
      <c r="AF1325" s="79">
        <v>45036.590879629628</v>
      </c>
      <c r="AG1325" s="85">
        <v>45036</v>
      </c>
      <c r="AH1325" s="82" t="s">
        <v>11469</v>
      </c>
      <c r="AI1325" s="77" t="b">
        <v>0</v>
      </c>
      <c r="AJ1325" s="77"/>
      <c r="AK1325" s="77"/>
      <c r="AL1325" s="77"/>
      <c r="AM1325" s="77"/>
      <c r="AN1325" s="77"/>
      <c r="AO1325" s="77"/>
      <c r="AP1325" s="77"/>
      <c r="AQ1325" s="77"/>
      <c r="AR1325" s="77"/>
      <c r="AS1325" s="77"/>
      <c r="AT1325" s="77"/>
      <c r="AU1325" s="77"/>
      <c r="AV1325" s="80" t="str">
        <f>HYPERLINK("https://pbs.twimg.com/profile_images/1480001774094360579/dzhISc3R_normal.jpg")</f>
        <v>https://pbs.twimg.com/profile_images/1480001774094360579/dzhISc3R_normal.jpg</v>
      </c>
      <c r="AW1325" s="82" t="s">
        <v>18098</v>
      </c>
      <c r="AX1325" s="82" t="s">
        <v>18098</v>
      </c>
      <c r="AY1325" s="77"/>
      <c r="AZ1325" s="82" t="s">
        <v>20971</v>
      </c>
      <c r="BA1325" s="82" t="s">
        <v>20971</v>
      </c>
      <c r="BB1325" s="82" t="s">
        <v>20971</v>
      </c>
      <c r="BC1325" s="82" t="s">
        <v>18098</v>
      </c>
      <c r="BD1325" s="82" t="s">
        <v>21218</v>
      </c>
      <c r="BE1325" s="77"/>
      <c r="BF1325" s="77"/>
      <c r="BG1325" s="77"/>
      <c r="BH1325" s="77"/>
      <c r="BI1325" s="77"/>
    </row>
    <row r="1326" spans="1:61" x14ac:dyDescent="0.25">
      <c r="A1326" s="62" t="s">
        <v>502</v>
      </c>
      <c r="B1326" s="62" t="s">
        <v>1241</v>
      </c>
      <c r="C1326" s="63"/>
      <c r="D1326" s="64"/>
      <c r="E1326" s="65"/>
      <c r="F1326" s="66"/>
      <c r="G1326" s="63"/>
      <c r="H1326" s="67"/>
      <c r="I1326" s="68"/>
      <c r="J1326" s="68"/>
      <c r="K1326" s="32"/>
      <c r="L1326" s="75">
        <v>1326</v>
      </c>
      <c r="M1326" s="75"/>
      <c r="N1326" s="70"/>
      <c r="O1326" s="77" t="s">
        <v>1285</v>
      </c>
      <c r="P1326" s="79">
        <v>45074.685995370368</v>
      </c>
      <c r="Q1326" s="77" t="s">
        <v>2570</v>
      </c>
      <c r="R1326" s="77">
        <v>0</v>
      </c>
      <c r="S1326" s="77">
        <v>0</v>
      </c>
      <c r="T1326" s="77">
        <v>0</v>
      </c>
      <c r="U1326" s="77">
        <v>0</v>
      </c>
      <c r="V1326" s="77">
        <v>89</v>
      </c>
      <c r="W1326" s="82" t="s">
        <v>5706</v>
      </c>
      <c r="X1326" s="80" t="str">
        <f>HYPERLINK("https://youtu.be/68XIRfWyRMQ")</f>
        <v>https://youtu.be/68XIRfWyRMQ</v>
      </c>
      <c r="Y1326" s="77" t="s">
        <v>7248</v>
      </c>
      <c r="Z1326" s="77" t="s">
        <v>1241</v>
      </c>
      <c r="AA1326" s="77"/>
      <c r="AB1326" s="77"/>
      <c r="AC1326" s="82" t="s">
        <v>10146</v>
      </c>
      <c r="AD1326" s="77" t="s">
        <v>10184</v>
      </c>
      <c r="AE1326" s="80" t="str">
        <f>HYPERLINK("https://twitter.com/eulima_eu/status/1662858228726738944")</f>
        <v>https://twitter.com/eulima_eu/status/1662858228726738944</v>
      </c>
      <c r="AF1326" s="79">
        <v>45074.685995370368</v>
      </c>
      <c r="AG1326" s="85">
        <v>45074</v>
      </c>
      <c r="AH1326" s="82" t="s">
        <v>11470</v>
      </c>
      <c r="AI1326" s="77" t="b">
        <v>0</v>
      </c>
      <c r="AJ1326" s="77"/>
      <c r="AK1326" s="77"/>
      <c r="AL1326" s="77"/>
      <c r="AM1326" s="77"/>
      <c r="AN1326" s="77"/>
      <c r="AO1326" s="77"/>
      <c r="AP1326" s="77"/>
      <c r="AQ1326" s="77"/>
      <c r="AR1326" s="77"/>
      <c r="AS1326" s="77"/>
      <c r="AT1326" s="77"/>
      <c r="AU1326" s="77"/>
      <c r="AV1326" s="80" t="str">
        <f>HYPERLINK("https://pbs.twimg.com/profile_images/1480001774094360579/dzhISc3R_normal.jpg")</f>
        <v>https://pbs.twimg.com/profile_images/1480001774094360579/dzhISc3R_normal.jpg</v>
      </c>
      <c r="AW1326" s="82" t="s">
        <v>18099</v>
      </c>
      <c r="AX1326" s="82" t="s">
        <v>18099</v>
      </c>
      <c r="AY1326" s="77"/>
      <c r="AZ1326" s="82" t="s">
        <v>20971</v>
      </c>
      <c r="BA1326" s="82" t="s">
        <v>20971</v>
      </c>
      <c r="BB1326" s="82" t="s">
        <v>20971</v>
      </c>
      <c r="BC1326" s="82" t="s">
        <v>18099</v>
      </c>
      <c r="BD1326" s="82" t="s">
        <v>21218</v>
      </c>
      <c r="BE1326" s="77"/>
      <c r="BF1326" s="77"/>
      <c r="BG1326" s="77"/>
      <c r="BH1326" s="77"/>
      <c r="BI1326" s="77"/>
    </row>
    <row r="1327" spans="1:61" x14ac:dyDescent="0.25">
      <c r="A1327" s="62" t="s">
        <v>502</v>
      </c>
      <c r="B1327" s="62" t="s">
        <v>1241</v>
      </c>
      <c r="C1327" s="63"/>
      <c r="D1327" s="64"/>
      <c r="E1327" s="65"/>
      <c r="F1327" s="66"/>
      <c r="G1327" s="63"/>
      <c r="H1327" s="67"/>
      <c r="I1327" s="68"/>
      <c r="J1327" s="68"/>
      <c r="K1327" s="32"/>
      <c r="L1327" s="75">
        <v>1327</v>
      </c>
      <c r="M1327" s="75"/>
      <c r="N1327" s="70"/>
      <c r="O1327" s="77" t="s">
        <v>1285</v>
      </c>
      <c r="P1327" s="79">
        <v>45157.118252314816</v>
      </c>
      <c r="Q1327" s="77" t="s">
        <v>2571</v>
      </c>
      <c r="R1327" s="77">
        <v>0</v>
      </c>
      <c r="S1327" s="77">
        <v>0</v>
      </c>
      <c r="T1327" s="77">
        <v>0</v>
      </c>
      <c r="U1327" s="77">
        <v>0</v>
      </c>
      <c r="V1327" s="77">
        <v>7</v>
      </c>
      <c r="W1327" s="82" t="s">
        <v>5707</v>
      </c>
      <c r="X1327" s="80" t="str">
        <f>HYPERLINK("https://youtu.be/n9FxOMVOA64")</f>
        <v>https://youtu.be/n9FxOMVOA64</v>
      </c>
      <c r="Y1327" s="77" t="s">
        <v>7248</v>
      </c>
      <c r="Z1327" s="77" t="s">
        <v>1241</v>
      </c>
      <c r="AA1327" s="77"/>
      <c r="AB1327" s="77"/>
      <c r="AC1327" s="82" t="s">
        <v>10146</v>
      </c>
      <c r="AD1327" s="77" t="s">
        <v>10184</v>
      </c>
      <c r="AE1327" s="80" t="str">
        <f>HYPERLINK("https://twitter.com/eulima_eu/status/1692730677987352767")</f>
        <v>https://twitter.com/eulima_eu/status/1692730677987352767</v>
      </c>
      <c r="AF1327" s="79">
        <v>45157.118252314816</v>
      </c>
      <c r="AG1327" s="85">
        <v>45157</v>
      </c>
      <c r="AH1327" s="82" t="s">
        <v>11471</v>
      </c>
      <c r="AI1327" s="77" t="b">
        <v>0</v>
      </c>
      <c r="AJ1327" s="77"/>
      <c r="AK1327" s="77"/>
      <c r="AL1327" s="77"/>
      <c r="AM1327" s="77"/>
      <c r="AN1327" s="77"/>
      <c r="AO1327" s="77"/>
      <c r="AP1327" s="77"/>
      <c r="AQ1327" s="77"/>
      <c r="AR1327" s="77"/>
      <c r="AS1327" s="77"/>
      <c r="AT1327" s="77"/>
      <c r="AU1327" s="77"/>
      <c r="AV1327" s="80" t="str">
        <f>HYPERLINK("https://pbs.twimg.com/profile_images/1480001774094360579/dzhISc3R_normal.jpg")</f>
        <v>https://pbs.twimg.com/profile_images/1480001774094360579/dzhISc3R_normal.jpg</v>
      </c>
      <c r="AW1327" s="82" t="s">
        <v>18100</v>
      </c>
      <c r="AX1327" s="82" t="s">
        <v>18100</v>
      </c>
      <c r="AY1327" s="77"/>
      <c r="AZ1327" s="82" t="s">
        <v>20971</v>
      </c>
      <c r="BA1327" s="82" t="s">
        <v>20971</v>
      </c>
      <c r="BB1327" s="82" t="s">
        <v>20971</v>
      </c>
      <c r="BC1327" s="82" t="s">
        <v>18100</v>
      </c>
      <c r="BD1327" s="82" t="s">
        <v>21218</v>
      </c>
      <c r="BE1327" s="77"/>
      <c r="BF1327" s="77"/>
      <c r="BG1327" s="77"/>
      <c r="BH1327" s="77"/>
      <c r="BI1327" s="77"/>
    </row>
    <row r="1328" spans="1:61" x14ac:dyDescent="0.25">
      <c r="A1328" s="62" t="s">
        <v>503</v>
      </c>
      <c r="B1328" s="62" t="s">
        <v>1248</v>
      </c>
      <c r="C1328" s="63"/>
      <c r="D1328" s="64"/>
      <c r="E1328" s="65"/>
      <c r="F1328" s="66"/>
      <c r="G1328" s="63"/>
      <c r="H1328" s="67"/>
      <c r="I1328" s="68"/>
      <c r="J1328" s="68"/>
      <c r="K1328" s="32"/>
      <c r="L1328" s="75">
        <v>1328</v>
      </c>
      <c r="M1328" s="75"/>
      <c r="N1328" s="70"/>
      <c r="O1328" s="77" t="s">
        <v>1285</v>
      </c>
      <c r="P1328" s="79">
        <v>45020.632800925923</v>
      </c>
      <c r="Q1328" s="77" t="s">
        <v>2572</v>
      </c>
      <c r="R1328" s="77">
        <v>0</v>
      </c>
      <c r="S1328" s="77">
        <v>0</v>
      </c>
      <c r="T1328" s="77">
        <v>0</v>
      </c>
      <c r="U1328" s="77">
        <v>0</v>
      </c>
      <c r="V1328" s="77">
        <v>324</v>
      </c>
      <c r="W1328" s="82" t="s">
        <v>5708</v>
      </c>
      <c r="X1328" s="80" t="str">
        <f>HYPERLINK("https://www.instagram.com/reel/CqnlM9bpQIi/?igshid=YTgzYjQ4ZTY=")</f>
        <v>https://www.instagram.com/reel/CqnlM9bpQIi/?igshid=YTgzYjQ4ZTY=</v>
      </c>
      <c r="Y1328" s="77" t="s">
        <v>7250</v>
      </c>
      <c r="Z1328" s="77" t="s">
        <v>1248</v>
      </c>
      <c r="AA1328" s="77"/>
      <c r="AB1328" s="77"/>
      <c r="AC1328" s="82" t="s">
        <v>10144</v>
      </c>
      <c r="AD1328" s="77" t="s">
        <v>10184</v>
      </c>
      <c r="AE1328" s="80" t="str">
        <f>HYPERLINK("https://twitter.com/jovemmilion1/status/1643270003716653058")</f>
        <v>https://twitter.com/jovemmilion1/status/1643270003716653058</v>
      </c>
      <c r="AF1328" s="79">
        <v>45020.632800925923</v>
      </c>
      <c r="AG1328" s="85">
        <v>45020</v>
      </c>
      <c r="AH1328" s="82" t="s">
        <v>11472</v>
      </c>
      <c r="AI1328" s="77" t="b">
        <v>0</v>
      </c>
      <c r="AJ1328" s="77"/>
      <c r="AK1328" s="77"/>
      <c r="AL1328" s="77"/>
      <c r="AM1328" s="77"/>
      <c r="AN1328" s="77"/>
      <c r="AO1328" s="77"/>
      <c r="AP1328" s="77"/>
      <c r="AQ1328" s="77"/>
      <c r="AR1328" s="77"/>
      <c r="AS1328" s="77"/>
      <c r="AT1328" s="77"/>
      <c r="AU1328" s="77"/>
      <c r="AV1328" s="80" t="str">
        <f>HYPERLINK("https://pbs.twimg.com/profile_images/1642634588278120448/efmUQoAn_normal.jpg")</f>
        <v>https://pbs.twimg.com/profile_images/1642634588278120448/efmUQoAn_normal.jpg</v>
      </c>
      <c r="AW1328" s="82" t="s">
        <v>18101</v>
      </c>
      <c r="AX1328" s="82" t="s">
        <v>18101</v>
      </c>
      <c r="AY1328" s="77"/>
      <c r="AZ1328" s="82" t="s">
        <v>20971</v>
      </c>
      <c r="BA1328" s="82" t="s">
        <v>20971</v>
      </c>
      <c r="BB1328" s="82" t="s">
        <v>20971</v>
      </c>
      <c r="BC1328" s="82" t="s">
        <v>18101</v>
      </c>
      <c r="BD1328" s="82" t="s">
        <v>21219</v>
      </c>
      <c r="BE1328" s="77"/>
      <c r="BF1328" s="77"/>
      <c r="BG1328" s="77"/>
      <c r="BH1328" s="77"/>
      <c r="BI1328" s="77"/>
    </row>
    <row r="1329" spans="1:61" x14ac:dyDescent="0.25">
      <c r="A1329" s="62" t="s">
        <v>504</v>
      </c>
      <c r="B1329" s="62" t="s">
        <v>504</v>
      </c>
      <c r="C1329" s="63"/>
      <c r="D1329" s="64"/>
      <c r="E1329" s="65"/>
      <c r="F1329" s="66"/>
      <c r="G1329" s="63"/>
      <c r="H1329" s="67"/>
      <c r="I1329" s="68"/>
      <c r="J1329" s="68"/>
      <c r="K1329" s="32"/>
      <c r="L1329" s="75">
        <v>1329</v>
      </c>
      <c r="M1329" s="75"/>
      <c r="N1329" s="70"/>
      <c r="O1329" s="77" t="s">
        <v>1284</v>
      </c>
      <c r="P1329" s="79">
        <v>44995.720300925925</v>
      </c>
      <c r="Q1329" s="77" t="s">
        <v>2573</v>
      </c>
      <c r="R1329" s="77">
        <v>0</v>
      </c>
      <c r="S1329" s="77">
        <v>0</v>
      </c>
      <c r="T1329" s="77">
        <v>0</v>
      </c>
      <c r="U1329" s="77">
        <v>0</v>
      </c>
      <c r="V1329" s="77">
        <v>24</v>
      </c>
      <c r="W1329" s="82" t="s">
        <v>5709</v>
      </c>
      <c r="X1329" s="77"/>
      <c r="Y1329" s="77"/>
      <c r="Z1329" s="77"/>
      <c r="AA1329" s="77"/>
      <c r="AB1329" s="77"/>
      <c r="AC1329" s="82" t="s">
        <v>10146</v>
      </c>
      <c r="AD1329" s="77" t="s">
        <v>10184</v>
      </c>
      <c r="AE1329" s="80" t="str">
        <f>HYPERLINK("https://twitter.com/prefcatanduva/status/1634242018552496131")</f>
        <v>https://twitter.com/prefcatanduva/status/1634242018552496131</v>
      </c>
      <c r="AF1329" s="79">
        <v>44995.720300925925</v>
      </c>
      <c r="AG1329" s="85">
        <v>44995</v>
      </c>
      <c r="AH1329" s="82" t="s">
        <v>11473</v>
      </c>
      <c r="AI1329" s="77"/>
      <c r="AJ1329" s="77"/>
      <c r="AK1329" s="77"/>
      <c r="AL1329" s="77"/>
      <c r="AM1329" s="77"/>
      <c r="AN1329" s="77"/>
      <c r="AO1329" s="77"/>
      <c r="AP1329" s="77"/>
      <c r="AQ1329" s="77"/>
      <c r="AR1329" s="77"/>
      <c r="AS1329" s="77"/>
      <c r="AT1329" s="77"/>
      <c r="AU1329" s="77"/>
      <c r="AV1329" s="80" t="str">
        <f>HYPERLINK("https://pbs.twimg.com/profile_images/1613153319987412994/pte1z9Uq_normal.jpg")</f>
        <v>https://pbs.twimg.com/profile_images/1613153319987412994/pte1z9Uq_normal.jpg</v>
      </c>
      <c r="AW1329" s="82" t="s">
        <v>18102</v>
      </c>
      <c r="AX1329" s="82" t="s">
        <v>20810</v>
      </c>
      <c r="AY1329" s="82" t="s">
        <v>20917</v>
      </c>
      <c r="AZ1329" s="82" t="s">
        <v>20975</v>
      </c>
      <c r="BA1329" s="82" t="s">
        <v>20971</v>
      </c>
      <c r="BB1329" s="82" t="s">
        <v>20971</v>
      </c>
      <c r="BC1329" s="82" t="s">
        <v>20975</v>
      </c>
      <c r="BD1329" s="77">
        <v>1128026436</v>
      </c>
      <c r="BE1329" s="77"/>
      <c r="BF1329" s="77"/>
      <c r="BG1329" s="77"/>
      <c r="BH1329" s="77"/>
      <c r="BI1329" s="77"/>
    </row>
    <row r="1330" spans="1:61" x14ac:dyDescent="0.25">
      <c r="A1330" s="62" t="s">
        <v>505</v>
      </c>
      <c r="B1330" s="62" t="s">
        <v>505</v>
      </c>
      <c r="C1330" s="63"/>
      <c r="D1330" s="64"/>
      <c r="E1330" s="65"/>
      <c r="F1330" s="66"/>
      <c r="G1330" s="63"/>
      <c r="H1330" s="67"/>
      <c r="I1330" s="68"/>
      <c r="J1330" s="68"/>
      <c r="K1330" s="32"/>
      <c r="L1330" s="75">
        <v>1330</v>
      </c>
      <c r="M1330" s="75"/>
      <c r="N1330" s="70"/>
      <c r="O1330" s="77" t="s">
        <v>179</v>
      </c>
      <c r="P1330" s="79">
        <v>45105.881377314814</v>
      </c>
      <c r="Q1330" s="77" t="s">
        <v>2574</v>
      </c>
      <c r="R1330" s="77">
        <v>0</v>
      </c>
      <c r="S1330" s="77">
        <v>1</v>
      </c>
      <c r="T1330" s="77">
        <v>0</v>
      </c>
      <c r="U1330" s="77">
        <v>0</v>
      </c>
      <c r="V1330" s="77">
        <v>16</v>
      </c>
      <c r="W1330" s="82" t="s">
        <v>5710</v>
      </c>
      <c r="X1330" s="80" t="str">
        <f>HYPERLINK("https://ift.tt/IsGga8t")</f>
        <v>https://ift.tt/IsGga8t</v>
      </c>
      <c r="Y1330" s="77" t="s">
        <v>7330</v>
      </c>
      <c r="Z1330" s="77"/>
      <c r="AA1330" s="77"/>
      <c r="AB1330" s="77"/>
      <c r="AC1330" s="82" t="s">
        <v>10157</v>
      </c>
      <c r="AD1330" s="77" t="s">
        <v>10184</v>
      </c>
      <c r="AE1330" s="80" t="str">
        <f>HYPERLINK("https://twitter.com/mateada_oficial/status/1674163053770821635")</f>
        <v>https://twitter.com/mateada_oficial/status/1674163053770821635</v>
      </c>
      <c r="AF1330" s="79">
        <v>45105.881377314814</v>
      </c>
      <c r="AG1330" s="85">
        <v>45105</v>
      </c>
      <c r="AH1330" s="82" t="s">
        <v>11474</v>
      </c>
      <c r="AI1330" s="77" t="b">
        <v>0</v>
      </c>
      <c r="AJ1330" s="77"/>
      <c r="AK1330" s="77"/>
      <c r="AL1330" s="77"/>
      <c r="AM1330" s="77"/>
      <c r="AN1330" s="77"/>
      <c r="AO1330" s="77"/>
      <c r="AP1330" s="77"/>
      <c r="AQ1330" s="77"/>
      <c r="AR1330" s="77"/>
      <c r="AS1330" s="77"/>
      <c r="AT1330" s="77"/>
      <c r="AU1330" s="77"/>
      <c r="AV1330" s="80" t="str">
        <f>HYPERLINK("https://pbs.twimg.com/profile_images/1480982281112236032/lVyG9k1j_normal.jpg")</f>
        <v>https://pbs.twimg.com/profile_images/1480982281112236032/lVyG9k1j_normal.jpg</v>
      </c>
      <c r="AW1330" s="82" t="s">
        <v>18103</v>
      </c>
      <c r="AX1330" s="82" t="s">
        <v>18103</v>
      </c>
      <c r="AY1330" s="77"/>
      <c r="AZ1330" s="82" t="s">
        <v>20971</v>
      </c>
      <c r="BA1330" s="82" t="s">
        <v>20971</v>
      </c>
      <c r="BB1330" s="82" t="s">
        <v>20971</v>
      </c>
      <c r="BC1330" s="82" t="s">
        <v>18103</v>
      </c>
      <c r="BD1330" s="77">
        <v>411943956</v>
      </c>
      <c r="BE1330" s="77"/>
      <c r="BF1330" s="77"/>
      <c r="BG1330" s="77"/>
      <c r="BH1330" s="77"/>
      <c r="BI1330" s="77"/>
    </row>
    <row r="1331" spans="1:61" x14ac:dyDescent="0.25">
      <c r="A1331" s="62" t="s">
        <v>506</v>
      </c>
      <c r="B1331" s="62" t="s">
        <v>506</v>
      </c>
      <c r="C1331" s="63"/>
      <c r="D1331" s="64"/>
      <c r="E1331" s="65"/>
      <c r="F1331" s="66"/>
      <c r="G1331" s="63"/>
      <c r="H1331" s="67"/>
      <c r="I1331" s="68"/>
      <c r="J1331" s="68"/>
      <c r="K1331" s="32"/>
      <c r="L1331" s="75">
        <v>1331</v>
      </c>
      <c r="M1331" s="75"/>
      <c r="N1331" s="70"/>
      <c r="O1331" s="77" t="s">
        <v>1284</v>
      </c>
      <c r="P1331" s="79">
        <v>45037.838576388887</v>
      </c>
      <c r="Q1331" s="77" t="s">
        <v>2575</v>
      </c>
      <c r="R1331" s="77">
        <v>0</v>
      </c>
      <c r="S1331" s="77">
        <v>0</v>
      </c>
      <c r="T1331" s="77">
        <v>0</v>
      </c>
      <c r="U1331" s="77">
        <v>0</v>
      </c>
      <c r="V1331" s="77">
        <v>14</v>
      </c>
      <c r="W1331" s="82" t="s">
        <v>5711</v>
      </c>
      <c r="X1331" s="77"/>
      <c r="Y1331" s="77"/>
      <c r="Z1331" s="77"/>
      <c r="AA1331" s="77"/>
      <c r="AB1331" s="77"/>
      <c r="AC1331" s="82" t="s">
        <v>10144</v>
      </c>
      <c r="AD1331" s="77" t="s">
        <v>10186</v>
      </c>
      <c r="AE1331" s="80" t="str">
        <f>HYPERLINK("https://twitter.com/iludidokkkkk/status/1649505167950135296")</f>
        <v>https://twitter.com/iludidokkkkk/status/1649505167950135296</v>
      </c>
      <c r="AF1331" s="79">
        <v>45037.838576388887</v>
      </c>
      <c r="AG1331" s="85">
        <v>45037</v>
      </c>
      <c r="AH1331" s="82" t="s">
        <v>11475</v>
      </c>
      <c r="AI1331" s="77"/>
      <c r="AJ1331" s="77"/>
      <c r="AK1331" s="77"/>
      <c r="AL1331" s="77"/>
      <c r="AM1331" s="77"/>
      <c r="AN1331" s="77"/>
      <c r="AO1331" s="77"/>
      <c r="AP1331" s="77"/>
      <c r="AQ1331" s="77"/>
      <c r="AR1331" s="77"/>
      <c r="AS1331" s="77"/>
      <c r="AT1331" s="77"/>
      <c r="AU1331" s="77"/>
      <c r="AV1331" s="80" t="str">
        <f>HYPERLINK("https://pbs.twimg.com/profile_images/1682593813523464193/hR2CsBc5_normal.jpg")</f>
        <v>https://pbs.twimg.com/profile_images/1682593813523464193/hR2CsBc5_normal.jpg</v>
      </c>
      <c r="AW1331" s="82" t="s">
        <v>18104</v>
      </c>
      <c r="AX1331" s="82" t="s">
        <v>20811</v>
      </c>
      <c r="AY1331" s="82" t="s">
        <v>20918</v>
      </c>
      <c r="AZ1331" s="82" t="s">
        <v>20811</v>
      </c>
      <c r="BA1331" s="82" t="s">
        <v>20971</v>
      </c>
      <c r="BB1331" s="82" t="s">
        <v>20971</v>
      </c>
      <c r="BC1331" s="82" t="s">
        <v>20811</v>
      </c>
      <c r="BD1331" s="82" t="s">
        <v>20918</v>
      </c>
      <c r="BE1331" s="77"/>
      <c r="BF1331" s="77"/>
      <c r="BG1331" s="77"/>
      <c r="BH1331" s="77"/>
      <c r="BI1331" s="77"/>
    </row>
    <row r="1332" spans="1:61" x14ac:dyDescent="0.25">
      <c r="A1332" s="62" t="s">
        <v>506</v>
      </c>
      <c r="B1332" s="62" t="s">
        <v>506</v>
      </c>
      <c r="C1332" s="63"/>
      <c r="D1332" s="64"/>
      <c r="E1332" s="65"/>
      <c r="F1332" s="66"/>
      <c r="G1332" s="63"/>
      <c r="H1332" s="67"/>
      <c r="I1332" s="68"/>
      <c r="J1332" s="68"/>
      <c r="K1332" s="32"/>
      <c r="L1332" s="75">
        <v>1332</v>
      </c>
      <c r="M1332" s="75"/>
      <c r="N1332" s="70"/>
      <c r="O1332" s="77" t="s">
        <v>1284</v>
      </c>
      <c r="P1332" s="79">
        <v>45037.094317129631</v>
      </c>
      <c r="Q1332" s="77" t="s">
        <v>2576</v>
      </c>
      <c r="R1332" s="77">
        <v>0</v>
      </c>
      <c r="S1332" s="77">
        <v>0</v>
      </c>
      <c r="T1332" s="77">
        <v>0</v>
      </c>
      <c r="U1332" s="77">
        <v>0</v>
      </c>
      <c r="V1332" s="77">
        <v>26</v>
      </c>
      <c r="W1332" s="82" t="s">
        <v>5712</v>
      </c>
      <c r="X1332" s="77"/>
      <c r="Y1332" s="77"/>
      <c r="Z1332" s="77"/>
      <c r="AA1332" s="77"/>
      <c r="AB1332" s="77"/>
      <c r="AC1332" s="82" t="s">
        <v>10144</v>
      </c>
      <c r="AD1332" s="77" t="s">
        <v>10186</v>
      </c>
      <c r="AE1332" s="80" t="str">
        <f>HYPERLINK("https://twitter.com/iludidokkkkk/status/1649235459829030920")</f>
        <v>https://twitter.com/iludidokkkkk/status/1649235459829030920</v>
      </c>
      <c r="AF1332" s="79">
        <v>45037.094317129631</v>
      </c>
      <c r="AG1332" s="85">
        <v>45037</v>
      </c>
      <c r="AH1332" s="82" t="s">
        <v>11476</v>
      </c>
      <c r="AI1332" s="77"/>
      <c r="AJ1332" s="77"/>
      <c r="AK1332" s="77"/>
      <c r="AL1332" s="77"/>
      <c r="AM1332" s="77"/>
      <c r="AN1332" s="77"/>
      <c r="AO1332" s="77"/>
      <c r="AP1332" s="77"/>
      <c r="AQ1332" s="77"/>
      <c r="AR1332" s="77"/>
      <c r="AS1332" s="77"/>
      <c r="AT1332" s="77"/>
      <c r="AU1332" s="77"/>
      <c r="AV1332" s="80" t="str">
        <f>HYPERLINK("https://pbs.twimg.com/profile_images/1682593813523464193/hR2CsBc5_normal.jpg")</f>
        <v>https://pbs.twimg.com/profile_images/1682593813523464193/hR2CsBc5_normal.jpg</v>
      </c>
      <c r="AW1332" s="82" t="s">
        <v>18105</v>
      </c>
      <c r="AX1332" s="82" t="s">
        <v>20812</v>
      </c>
      <c r="AY1332" s="82" t="s">
        <v>20918</v>
      </c>
      <c r="AZ1332" s="82" t="s">
        <v>20812</v>
      </c>
      <c r="BA1332" s="82" t="s">
        <v>20971</v>
      </c>
      <c r="BB1332" s="82" t="s">
        <v>20971</v>
      </c>
      <c r="BC1332" s="82" t="s">
        <v>20812</v>
      </c>
      <c r="BD1332" s="82" t="s">
        <v>20918</v>
      </c>
      <c r="BE1332" s="77"/>
      <c r="BF1332" s="77"/>
      <c r="BG1332" s="77"/>
      <c r="BH1332" s="77"/>
      <c r="BI1332" s="77"/>
    </row>
    <row r="1333" spans="1:61" x14ac:dyDescent="0.25">
      <c r="A1333" s="62" t="s">
        <v>506</v>
      </c>
      <c r="B1333" s="62" t="s">
        <v>506</v>
      </c>
      <c r="C1333" s="63"/>
      <c r="D1333" s="64"/>
      <c r="E1333" s="65"/>
      <c r="F1333" s="66"/>
      <c r="G1333" s="63"/>
      <c r="H1333" s="67"/>
      <c r="I1333" s="68"/>
      <c r="J1333" s="68"/>
      <c r="K1333" s="32"/>
      <c r="L1333" s="75">
        <v>1333</v>
      </c>
      <c r="M1333" s="75"/>
      <c r="N1333" s="70"/>
      <c r="O1333" s="77" t="s">
        <v>179</v>
      </c>
      <c r="P1333" s="79">
        <v>45036.988344907404</v>
      </c>
      <c r="Q1333" s="77" t="s">
        <v>2577</v>
      </c>
      <c r="R1333" s="77">
        <v>0</v>
      </c>
      <c r="S1333" s="77">
        <v>0</v>
      </c>
      <c r="T1333" s="77">
        <v>0</v>
      </c>
      <c r="U1333" s="77">
        <v>0</v>
      </c>
      <c r="V1333" s="77">
        <v>318</v>
      </c>
      <c r="W1333" s="82" t="s">
        <v>5713</v>
      </c>
      <c r="X1333" s="80" t="str">
        <f>HYPERLINK("https://app.neon.com.br/r2Ar?pid=MGM&amp;af_web_dp=https://neon.com.br/indicacoes/?id=12353b1a-0d4c-4e29-9b6f-7a9f100c64b2")</f>
        <v>https://app.neon.com.br/r2Ar?pid=MGM&amp;af_web_dp=https://neon.com.br/indicacoes/?id=12353b1a-0d4c-4e29-9b6f-7a9f100c64b2</v>
      </c>
      <c r="Y1333" s="77" t="s">
        <v>7252</v>
      </c>
      <c r="Z1333" s="77"/>
      <c r="AA1333" s="77" t="s">
        <v>8041</v>
      </c>
      <c r="AB1333" s="77" t="s">
        <v>10130</v>
      </c>
      <c r="AC1333" s="82" t="s">
        <v>10144</v>
      </c>
      <c r="AD1333" s="77" t="s">
        <v>10184</v>
      </c>
      <c r="AE1333" s="80" t="str">
        <f>HYPERLINK("https://twitter.com/iludidokkkkk/status/1649197056689422341")</f>
        <v>https://twitter.com/iludidokkkkk/status/1649197056689422341</v>
      </c>
      <c r="AF1333" s="79">
        <v>45036.988344907404</v>
      </c>
      <c r="AG1333" s="85">
        <v>45036</v>
      </c>
      <c r="AH1333" s="82" t="s">
        <v>11477</v>
      </c>
      <c r="AI1333" s="77" t="b">
        <v>0</v>
      </c>
      <c r="AJ1333" s="77"/>
      <c r="AK1333" s="77"/>
      <c r="AL1333" s="77"/>
      <c r="AM1333" s="77"/>
      <c r="AN1333" s="77"/>
      <c r="AO1333" s="77"/>
      <c r="AP1333" s="77"/>
      <c r="AQ1333" s="77" t="s">
        <v>14685</v>
      </c>
      <c r="AR1333" s="77"/>
      <c r="AS1333" s="77"/>
      <c r="AT1333" s="77"/>
      <c r="AU1333" s="77"/>
      <c r="AV1333" s="80" t="str">
        <f>HYPERLINK("https://pbs.twimg.com/media/FuMf-83WYAI7t2P.png")</f>
        <v>https://pbs.twimg.com/media/FuMf-83WYAI7t2P.png</v>
      </c>
      <c r="AW1333" s="82" t="s">
        <v>18106</v>
      </c>
      <c r="AX1333" s="82" t="s">
        <v>18106</v>
      </c>
      <c r="AY1333" s="77"/>
      <c r="AZ1333" s="82" t="s">
        <v>20971</v>
      </c>
      <c r="BA1333" s="82" t="s">
        <v>20971</v>
      </c>
      <c r="BB1333" s="82" t="s">
        <v>20971</v>
      </c>
      <c r="BC1333" s="82" t="s">
        <v>18106</v>
      </c>
      <c r="BD1333" s="82" t="s">
        <v>20918</v>
      </c>
      <c r="BE1333" s="77"/>
      <c r="BF1333" s="77"/>
      <c r="BG1333" s="77"/>
      <c r="BH1333" s="77"/>
      <c r="BI1333" s="77"/>
    </row>
    <row r="1334" spans="1:61" x14ac:dyDescent="0.25">
      <c r="A1334" s="62" t="s">
        <v>506</v>
      </c>
      <c r="B1334" s="62" t="s">
        <v>506</v>
      </c>
      <c r="C1334" s="63"/>
      <c r="D1334" s="64"/>
      <c r="E1334" s="65"/>
      <c r="F1334" s="66"/>
      <c r="G1334" s="63"/>
      <c r="H1334" s="67"/>
      <c r="I1334" s="68"/>
      <c r="J1334" s="68"/>
      <c r="K1334" s="32"/>
      <c r="L1334" s="75">
        <v>1334</v>
      </c>
      <c r="M1334" s="75"/>
      <c r="N1334" s="70"/>
      <c r="O1334" s="77" t="s">
        <v>1284</v>
      </c>
      <c r="P1334" s="79">
        <v>45036.8515625</v>
      </c>
      <c r="Q1334" s="77" t="s">
        <v>2578</v>
      </c>
      <c r="R1334" s="77">
        <v>0</v>
      </c>
      <c r="S1334" s="77">
        <v>0</v>
      </c>
      <c r="T1334" s="77">
        <v>0</v>
      </c>
      <c r="U1334" s="77">
        <v>0</v>
      </c>
      <c r="V1334" s="77">
        <v>31</v>
      </c>
      <c r="W1334" s="82" t="s">
        <v>5714</v>
      </c>
      <c r="X1334" s="77"/>
      <c r="Y1334" s="77"/>
      <c r="Z1334" s="77"/>
      <c r="AA1334" s="77"/>
      <c r="AB1334" s="77"/>
      <c r="AC1334" s="82" t="s">
        <v>10144</v>
      </c>
      <c r="AD1334" s="77" t="s">
        <v>10186</v>
      </c>
      <c r="AE1334" s="80" t="str">
        <f>HYPERLINK("https://twitter.com/iludidokkkkk/status/1649147489176485888")</f>
        <v>https://twitter.com/iludidokkkkk/status/1649147489176485888</v>
      </c>
      <c r="AF1334" s="79">
        <v>45036.8515625</v>
      </c>
      <c r="AG1334" s="85">
        <v>45036</v>
      </c>
      <c r="AH1334" s="82" t="s">
        <v>11478</v>
      </c>
      <c r="AI1334" s="77"/>
      <c r="AJ1334" s="77"/>
      <c r="AK1334" s="77"/>
      <c r="AL1334" s="77"/>
      <c r="AM1334" s="77"/>
      <c r="AN1334" s="77"/>
      <c r="AO1334" s="77"/>
      <c r="AP1334" s="77"/>
      <c r="AQ1334" s="77"/>
      <c r="AR1334" s="77"/>
      <c r="AS1334" s="77"/>
      <c r="AT1334" s="77"/>
      <c r="AU1334" s="77"/>
      <c r="AV1334" s="80" t="str">
        <f>HYPERLINK("https://pbs.twimg.com/profile_images/1682593813523464193/hR2CsBc5_normal.jpg")</f>
        <v>https://pbs.twimg.com/profile_images/1682593813523464193/hR2CsBc5_normal.jpg</v>
      </c>
      <c r="AW1334" s="82" t="s">
        <v>18107</v>
      </c>
      <c r="AX1334" s="82" t="s">
        <v>20813</v>
      </c>
      <c r="AY1334" s="82" t="s">
        <v>20918</v>
      </c>
      <c r="AZ1334" s="82" t="s">
        <v>20813</v>
      </c>
      <c r="BA1334" s="82" t="s">
        <v>20971</v>
      </c>
      <c r="BB1334" s="82" t="s">
        <v>20971</v>
      </c>
      <c r="BC1334" s="82" t="s">
        <v>20813</v>
      </c>
      <c r="BD1334" s="82" t="s">
        <v>20918</v>
      </c>
      <c r="BE1334" s="77"/>
      <c r="BF1334" s="77"/>
      <c r="BG1334" s="77"/>
      <c r="BH1334" s="77"/>
      <c r="BI1334" s="77"/>
    </row>
    <row r="1335" spans="1:61" x14ac:dyDescent="0.25">
      <c r="A1335" s="62" t="s">
        <v>507</v>
      </c>
      <c r="B1335" s="62" t="s">
        <v>507</v>
      </c>
      <c r="C1335" s="63"/>
      <c r="D1335" s="64"/>
      <c r="E1335" s="65"/>
      <c r="F1335" s="66"/>
      <c r="G1335" s="63"/>
      <c r="H1335" s="67"/>
      <c r="I1335" s="68"/>
      <c r="J1335" s="68"/>
      <c r="K1335" s="32"/>
      <c r="L1335" s="75">
        <v>1335</v>
      </c>
      <c r="M1335" s="75"/>
      <c r="N1335" s="70"/>
      <c r="O1335" s="77" t="s">
        <v>179</v>
      </c>
      <c r="P1335" s="79">
        <v>45028.121516203704</v>
      </c>
      <c r="Q1335" s="77" t="s">
        <v>2579</v>
      </c>
      <c r="R1335" s="77">
        <v>0</v>
      </c>
      <c r="S1335" s="77">
        <v>0</v>
      </c>
      <c r="T1335" s="77">
        <v>1</v>
      </c>
      <c r="U1335" s="77">
        <v>0</v>
      </c>
      <c r="V1335" s="77">
        <v>38</v>
      </c>
      <c r="W1335" s="82" t="s">
        <v>5299</v>
      </c>
      <c r="X1335" s="77"/>
      <c r="Y1335" s="77"/>
      <c r="Z1335" s="77"/>
      <c r="AA1335" s="77" t="s">
        <v>8042</v>
      </c>
      <c r="AB1335" s="77" t="s">
        <v>10129</v>
      </c>
      <c r="AC1335" s="82" t="s">
        <v>10144</v>
      </c>
      <c r="AD1335" s="77" t="s">
        <v>10183</v>
      </c>
      <c r="AE1335" s="80" t="str">
        <f>HYPERLINK("https://twitter.com/degmellos/status/1645983826970136578")</f>
        <v>https://twitter.com/degmellos/status/1645983826970136578</v>
      </c>
      <c r="AF1335" s="79">
        <v>45028.121516203704</v>
      </c>
      <c r="AG1335" s="85">
        <v>45028</v>
      </c>
      <c r="AH1335" s="82" t="s">
        <v>11479</v>
      </c>
      <c r="AI1335" s="77" t="b">
        <v>0</v>
      </c>
      <c r="AJ1335" s="77"/>
      <c r="AK1335" s="77"/>
      <c r="AL1335" s="77"/>
      <c r="AM1335" s="77"/>
      <c r="AN1335" s="77"/>
      <c r="AO1335" s="77"/>
      <c r="AP1335" s="77"/>
      <c r="AQ1335" s="77" t="s">
        <v>14686</v>
      </c>
      <c r="AR1335" s="77">
        <v>14461</v>
      </c>
      <c r="AS1335" s="77"/>
      <c r="AT1335" s="77"/>
      <c r="AU1335" s="77"/>
      <c r="AV1335" s="80" t="str">
        <f>HYPERLINK("https://pbs.twimg.com/ext_tw_video_thumb/1645983736800894977/pu/img/3C_FsMUntP0DAb2C.jpg")</f>
        <v>https://pbs.twimg.com/ext_tw_video_thumb/1645983736800894977/pu/img/3C_FsMUntP0DAb2C.jpg</v>
      </c>
      <c r="AW1335" s="82" t="s">
        <v>18108</v>
      </c>
      <c r="AX1335" s="82" t="s">
        <v>18108</v>
      </c>
      <c r="AY1335" s="77"/>
      <c r="AZ1335" s="82" t="s">
        <v>20971</v>
      </c>
      <c r="BA1335" s="82" t="s">
        <v>20971</v>
      </c>
      <c r="BB1335" s="82" t="s">
        <v>20971</v>
      </c>
      <c r="BC1335" s="82" t="s">
        <v>18108</v>
      </c>
      <c r="BD1335" s="82" t="s">
        <v>21220</v>
      </c>
      <c r="BE1335" s="77"/>
      <c r="BF1335" s="77"/>
      <c r="BG1335" s="77"/>
      <c r="BH1335" s="77"/>
      <c r="BI1335" s="77"/>
    </row>
    <row r="1336" spans="1:61" x14ac:dyDescent="0.25">
      <c r="A1336" s="62" t="s">
        <v>508</v>
      </c>
      <c r="B1336" s="62" t="s">
        <v>508</v>
      </c>
      <c r="C1336" s="63"/>
      <c r="D1336" s="64"/>
      <c r="E1336" s="65"/>
      <c r="F1336" s="66"/>
      <c r="G1336" s="63"/>
      <c r="H1336" s="67"/>
      <c r="I1336" s="68"/>
      <c r="J1336" s="68"/>
      <c r="K1336" s="32"/>
      <c r="L1336" s="75">
        <v>1336</v>
      </c>
      <c r="M1336" s="75"/>
      <c r="N1336" s="70"/>
      <c r="O1336" s="77" t="s">
        <v>179</v>
      </c>
      <c r="P1336" s="79">
        <v>44956.980439814812</v>
      </c>
      <c r="Q1336" s="77" t="s">
        <v>2580</v>
      </c>
      <c r="R1336" s="77">
        <v>0</v>
      </c>
      <c r="S1336" s="77">
        <v>1</v>
      </c>
      <c r="T1336" s="77">
        <v>0</v>
      </c>
      <c r="U1336" s="77">
        <v>0</v>
      </c>
      <c r="V1336" s="77">
        <v>750</v>
      </c>
      <c r="W1336" s="82" t="s">
        <v>5715</v>
      </c>
      <c r="X1336" s="80" t="str">
        <f>HYPERLINK("https://www.brabet.com/?agentid=77590832")</f>
        <v>https://www.brabet.com/?agentid=77590832</v>
      </c>
      <c r="Y1336" s="77" t="s">
        <v>7331</v>
      </c>
      <c r="Z1336" s="77"/>
      <c r="AA1336" s="77" t="s">
        <v>8043</v>
      </c>
      <c r="AB1336" s="77" t="s">
        <v>10129</v>
      </c>
      <c r="AC1336" s="82" t="s">
        <v>10144</v>
      </c>
      <c r="AD1336" s="77" t="s">
        <v>10184</v>
      </c>
      <c r="AE1336" s="80" t="str">
        <f>HYPERLINK("https://twitter.com/rloretti/status/1620203162174107650")</f>
        <v>https://twitter.com/rloretti/status/1620203162174107650</v>
      </c>
      <c r="AF1336" s="79">
        <v>44956.980439814812</v>
      </c>
      <c r="AG1336" s="85">
        <v>44956</v>
      </c>
      <c r="AH1336" s="82" t="s">
        <v>11480</v>
      </c>
      <c r="AI1336" s="77" t="b">
        <v>0</v>
      </c>
      <c r="AJ1336" s="77"/>
      <c r="AK1336" s="77"/>
      <c r="AL1336" s="77"/>
      <c r="AM1336" s="77"/>
      <c r="AN1336" s="77"/>
      <c r="AO1336" s="77"/>
      <c r="AP1336" s="77"/>
      <c r="AQ1336" s="77" t="s">
        <v>14687</v>
      </c>
      <c r="AR1336" s="77">
        <v>45000</v>
      </c>
      <c r="AS1336" s="77"/>
      <c r="AT1336" s="77"/>
      <c r="AU1336" s="77"/>
      <c r="AV1336" s="80" t="str">
        <f>HYPERLINK("https://pbs.twimg.com/ext_tw_video_thumb/1620202903104360451/pu/img/2HFIy7NbhfQlwpA2.jpg")</f>
        <v>https://pbs.twimg.com/ext_tw_video_thumb/1620202903104360451/pu/img/2HFIy7NbhfQlwpA2.jpg</v>
      </c>
      <c r="AW1336" s="82" t="s">
        <v>18109</v>
      </c>
      <c r="AX1336" s="82" t="s">
        <v>18109</v>
      </c>
      <c r="AY1336" s="77"/>
      <c r="AZ1336" s="82" t="s">
        <v>20971</v>
      </c>
      <c r="BA1336" s="82" t="s">
        <v>20971</v>
      </c>
      <c r="BB1336" s="82" t="s">
        <v>20971</v>
      </c>
      <c r="BC1336" s="82" t="s">
        <v>18109</v>
      </c>
      <c r="BD1336" s="77">
        <v>78905875</v>
      </c>
      <c r="BE1336" s="77"/>
      <c r="BF1336" s="77"/>
      <c r="BG1336" s="77"/>
      <c r="BH1336" s="77"/>
      <c r="BI1336" s="77"/>
    </row>
    <row r="1337" spans="1:61" x14ac:dyDescent="0.25">
      <c r="A1337" s="62" t="s">
        <v>509</v>
      </c>
      <c r="B1337" s="62" t="s">
        <v>509</v>
      </c>
      <c r="C1337" s="63"/>
      <c r="D1337" s="64"/>
      <c r="E1337" s="65"/>
      <c r="F1337" s="66"/>
      <c r="G1337" s="63"/>
      <c r="H1337" s="67"/>
      <c r="I1337" s="68"/>
      <c r="J1337" s="68"/>
      <c r="K1337" s="32"/>
      <c r="L1337" s="75">
        <v>1337</v>
      </c>
      <c r="M1337" s="75"/>
      <c r="N1337" s="70"/>
      <c r="O1337" s="77" t="s">
        <v>179</v>
      </c>
      <c r="P1337" s="79">
        <v>45000.871018518519</v>
      </c>
      <c r="Q1337" s="77" t="s">
        <v>2581</v>
      </c>
      <c r="R1337" s="77">
        <v>0</v>
      </c>
      <c r="S1337" s="77">
        <v>0</v>
      </c>
      <c r="T1337" s="77">
        <v>0</v>
      </c>
      <c r="U1337" s="77">
        <v>0</v>
      </c>
      <c r="V1337" s="77">
        <v>6</v>
      </c>
      <c r="W1337" s="82" t="s">
        <v>5716</v>
      </c>
      <c r="X1337" s="80" t="str">
        <f>HYPERLINK("https://hotm.art/ovodepascoarenda")</f>
        <v>https://hotm.art/ovodepascoarenda</v>
      </c>
      <c r="Y1337" s="77" t="s">
        <v>7260</v>
      </c>
      <c r="Z1337" s="77"/>
      <c r="AA1337" s="77" t="s">
        <v>8044</v>
      </c>
      <c r="AB1337" s="77" t="s">
        <v>10130</v>
      </c>
      <c r="AC1337" s="82" t="s">
        <v>10146</v>
      </c>
      <c r="AD1337" s="77" t="s">
        <v>10184</v>
      </c>
      <c r="AE1337" s="80" t="str">
        <f>HYPERLINK("https://twitter.com/kleber_bsbdf/status/1636108577151545344")</f>
        <v>https://twitter.com/kleber_bsbdf/status/1636108577151545344</v>
      </c>
      <c r="AF1337" s="79">
        <v>45000.871018518519</v>
      </c>
      <c r="AG1337" s="85">
        <v>45000</v>
      </c>
      <c r="AH1337" s="82" t="s">
        <v>11481</v>
      </c>
      <c r="AI1337" s="77" t="b">
        <v>0</v>
      </c>
      <c r="AJ1337" s="77"/>
      <c r="AK1337" s="77"/>
      <c r="AL1337" s="77"/>
      <c r="AM1337" s="77"/>
      <c r="AN1337" s="77"/>
      <c r="AO1337" s="77"/>
      <c r="AP1337" s="77"/>
      <c r="AQ1337" s="77" t="s">
        <v>14688</v>
      </c>
      <c r="AR1337" s="77"/>
      <c r="AS1337" s="77"/>
      <c r="AT1337" s="77"/>
      <c r="AU1337" s="77"/>
      <c r="AV1337" s="80" t="str">
        <f>HYPERLINK("https://pbs.twimg.com/media/FrSftsiXwAAjxpf.jpg")</f>
        <v>https://pbs.twimg.com/media/FrSftsiXwAAjxpf.jpg</v>
      </c>
      <c r="AW1337" s="82" t="s">
        <v>18110</v>
      </c>
      <c r="AX1337" s="82" t="s">
        <v>18110</v>
      </c>
      <c r="AY1337" s="77"/>
      <c r="AZ1337" s="82" t="s">
        <v>20971</v>
      </c>
      <c r="BA1337" s="82" t="s">
        <v>20971</v>
      </c>
      <c r="BB1337" s="82" t="s">
        <v>20971</v>
      </c>
      <c r="BC1337" s="82" t="s">
        <v>18110</v>
      </c>
      <c r="BD1337" s="82" t="s">
        <v>21221</v>
      </c>
      <c r="BE1337" s="77"/>
      <c r="BF1337" s="77"/>
      <c r="BG1337" s="77"/>
      <c r="BH1337" s="77"/>
      <c r="BI1337" s="77"/>
    </row>
    <row r="1338" spans="1:61" x14ac:dyDescent="0.25">
      <c r="A1338" s="62" t="s">
        <v>510</v>
      </c>
      <c r="B1338" s="62" t="s">
        <v>510</v>
      </c>
      <c r="C1338" s="63"/>
      <c r="D1338" s="64"/>
      <c r="E1338" s="65"/>
      <c r="F1338" s="66"/>
      <c r="G1338" s="63"/>
      <c r="H1338" s="67"/>
      <c r="I1338" s="68"/>
      <c r="J1338" s="68"/>
      <c r="K1338" s="32"/>
      <c r="L1338" s="75">
        <v>1338</v>
      </c>
      <c r="M1338" s="75"/>
      <c r="N1338" s="70"/>
      <c r="O1338" s="77" t="s">
        <v>179</v>
      </c>
      <c r="P1338" s="79">
        <v>45003.623761574076</v>
      </c>
      <c r="Q1338" s="77" t="s">
        <v>2582</v>
      </c>
      <c r="R1338" s="77">
        <v>0</v>
      </c>
      <c r="S1338" s="77">
        <v>0</v>
      </c>
      <c r="T1338" s="77">
        <v>0</v>
      </c>
      <c r="U1338" s="77">
        <v>0</v>
      </c>
      <c r="V1338" s="77">
        <v>107</v>
      </c>
      <c r="W1338" s="82" t="s">
        <v>5717</v>
      </c>
      <c r="X1338" s="77"/>
      <c r="Y1338" s="77"/>
      <c r="Z1338" s="77"/>
      <c r="AA1338" s="77" t="s">
        <v>8045</v>
      </c>
      <c r="AB1338" s="77" t="s">
        <v>10129</v>
      </c>
      <c r="AC1338" s="82" t="s">
        <v>10144</v>
      </c>
      <c r="AD1338" s="77" t="s">
        <v>10184</v>
      </c>
      <c r="AE1338" s="80" t="str">
        <f>HYPERLINK("https://twitter.com/juliana72640554/status/1637106134354993152")</f>
        <v>https://twitter.com/juliana72640554/status/1637106134354993152</v>
      </c>
      <c r="AF1338" s="79">
        <v>45003.623761574076</v>
      </c>
      <c r="AG1338" s="85">
        <v>45003</v>
      </c>
      <c r="AH1338" s="82" t="s">
        <v>11482</v>
      </c>
      <c r="AI1338" s="77" t="b">
        <v>0</v>
      </c>
      <c r="AJ1338" s="77"/>
      <c r="AK1338" s="77"/>
      <c r="AL1338" s="77"/>
      <c r="AM1338" s="77"/>
      <c r="AN1338" s="77"/>
      <c r="AO1338" s="77"/>
      <c r="AP1338" s="77"/>
      <c r="AQ1338" s="77" t="s">
        <v>14689</v>
      </c>
      <c r="AR1338" s="77">
        <v>8219</v>
      </c>
      <c r="AS1338" s="77"/>
      <c r="AT1338" s="77"/>
      <c r="AU1338" s="77"/>
      <c r="AV1338" s="80" t="str">
        <f>HYPERLINK("https://pbs.twimg.com/ext_tw_video_thumb/1637106095029202946/pu/img/cPNFTQqE0CpnzmiE.jpg")</f>
        <v>https://pbs.twimg.com/ext_tw_video_thumb/1637106095029202946/pu/img/cPNFTQqE0CpnzmiE.jpg</v>
      </c>
      <c r="AW1338" s="82" t="s">
        <v>18111</v>
      </c>
      <c r="AX1338" s="82" t="s">
        <v>18111</v>
      </c>
      <c r="AY1338" s="77"/>
      <c r="AZ1338" s="82" t="s">
        <v>20971</v>
      </c>
      <c r="BA1338" s="82" t="s">
        <v>20971</v>
      </c>
      <c r="BB1338" s="82" t="s">
        <v>20971</v>
      </c>
      <c r="BC1338" s="82" t="s">
        <v>18111</v>
      </c>
      <c r="BD1338" s="82" t="s">
        <v>21222</v>
      </c>
      <c r="BE1338" s="77"/>
      <c r="BF1338" s="77"/>
      <c r="BG1338" s="77"/>
      <c r="BH1338" s="77"/>
      <c r="BI1338" s="77"/>
    </row>
    <row r="1339" spans="1:61" x14ac:dyDescent="0.25">
      <c r="A1339" s="62" t="s">
        <v>511</v>
      </c>
      <c r="B1339" s="62" t="s">
        <v>511</v>
      </c>
      <c r="C1339" s="63"/>
      <c r="D1339" s="64"/>
      <c r="E1339" s="65"/>
      <c r="F1339" s="66"/>
      <c r="G1339" s="63"/>
      <c r="H1339" s="67"/>
      <c r="I1339" s="68"/>
      <c r="J1339" s="68"/>
      <c r="K1339" s="32"/>
      <c r="L1339" s="75">
        <v>1339</v>
      </c>
      <c r="M1339" s="75"/>
      <c r="N1339" s="70"/>
      <c r="O1339" s="77" t="s">
        <v>179</v>
      </c>
      <c r="P1339" s="79">
        <v>45140.760335648149</v>
      </c>
      <c r="Q1339" s="77" t="s">
        <v>2583</v>
      </c>
      <c r="R1339" s="77">
        <v>0</v>
      </c>
      <c r="S1339" s="77">
        <v>0</v>
      </c>
      <c r="T1339" s="77">
        <v>0</v>
      </c>
      <c r="U1339" s="77">
        <v>0</v>
      </c>
      <c r="V1339" s="77">
        <v>56</v>
      </c>
      <c r="W1339" s="82" t="s">
        <v>5718</v>
      </c>
      <c r="X1339" s="77"/>
      <c r="Y1339" s="77"/>
      <c r="Z1339" s="77"/>
      <c r="AA1339" s="77" t="s">
        <v>8046</v>
      </c>
      <c r="AB1339" s="77" t="s">
        <v>10129</v>
      </c>
      <c r="AC1339" s="82" t="s">
        <v>10144</v>
      </c>
      <c r="AD1339" s="77" t="s">
        <v>10184</v>
      </c>
      <c r="AE1339" s="80" t="str">
        <f>HYPERLINK("https://twitter.com/eushaman/status/1686802768453922844")</f>
        <v>https://twitter.com/eushaman/status/1686802768453922844</v>
      </c>
      <c r="AF1339" s="79">
        <v>45140.760335648149</v>
      </c>
      <c r="AG1339" s="85">
        <v>45140</v>
      </c>
      <c r="AH1339" s="82" t="s">
        <v>11483</v>
      </c>
      <c r="AI1339" s="77" t="b">
        <v>0</v>
      </c>
      <c r="AJ1339" s="77" t="s">
        <v>14013</v>
      </c>
      <c r="AK1339" s="77" t="s">
        <v>14034</v>
      </c>
      <c r="AL1339" s="77" t="s">
        <v>14036</v>
      </c>
      <c r="AM1339" s="77" t="s">
        <v>14054</v>
      </c>
      <c r="AN1339" s="77" t="s">
        <v>14092</v>
      </c>
      <c r="AO1339" s="77" t="s">
        <v>14129</v>
      </c>
      <c r="AP1339" s="77" t="s">
        <v>14149</v>
      </c>
      <c r="AQ1339" s="77" t="s">
        <v>14690</v>
      </c>
      <c r="AR1339" s="77">
        <v>20214</v>
      </c>
      <c r="AS1339" s="77"/>
      <c r="AT1339" s="77"/>
      <c r="AU1339" s="77"/>
      <c r="AV1339" s="80" t="str">
        <f>HYPERLINK("https://pbs.twimg.com/ext_tw_video_thumb/1686802698316713984/pu/img/NazjC_bK_A0L6nGy.jpg")</f>
        <v>https://pbs.twimg.com/ext_tw_video_thumb/1686802698316713984/pu/img/NazjC_bK_A0L6nGy.jpg</v>
      </c>
      <c r="AW1339" s="82" t="s">
        <v>18112</v>
      </c>
      <c r="AX1339" s="82" t="s">
        <v>18112</v>
      </c>
      <c r="AY1339" s="77"/>
      <c r="AZ1339" s="82" t="s">
        <v>20971</v>
      </c>
      <c r="BA1339" s="82" t="s">
        <v>20971</v>
      </c>
      <c r="BB1339" s="82" t="s">
        <v>20971</v>
      </c>
      <c r="BC1339" s="82" t="s">
        <v>18112</v>
      </c>
      <c r="BD1339" s="77">
        <v>218511743</v>
      </c>
      <c r="BE1339" s="77"/>
      <c r="BF1339" s="77"/>
      <c r="BG1339" s="77"/>
      <c r="BH1339" s="77"/>
      <c r="BI1339" s="77"/>
    </row>
    <row r="1340" spans="1:61" x14ac:dyDescent="0.25">
      <c r="A1340" s="62" t="s">
        <v>512</v>
      </c>
      <c r="B1340" s="62" t="s">
        <v>512</v>
      </c>
      <c r="C1340" s="63"/>
      <c r="D1340" s="64"/>
      <c r="E1340" s="65"/>
      <c r="F1340" s="66"/>
      <c r="G1340" s="63"/>
      <c r="H1340" s="67"/>
      <c r="I1340" s="68"/>
      <c r="J1340" s="68"/>
      <c r="K1340" s="32"/>
      <c r="L1340" s="75">
        <v>1340</v>
      </c>
      <c r="M1340" s="75"/>
      <c r="N1340" s="70"/>
      <c r="O1340" s="77" t="s">
        <v>179</v>
      </c>
      <c r="P1340" s="79">
        <v>45092.574490740742</v>
      </c>
      <c r="Q1340" s="77" t="s">
        <v>2584</v>
      </c>
      <c r="R1340" s="77">
        <v>0</v>
      </c>
      <c r="S1340" s="77">
        <v>3</v>
      </c>
      <c r="T1340" s="77">
        <v>4</v>
      </c>
      <c r="U1340" s="77">
        <v>0</v>
      </c>
      <c r="V1340" s="77">
        <v>1529</v>
      </c>
      <c r="W1340" s="82" t="s">
        <v>5719</v>
      </c>
      <c r="X1340" s="77"/>
      <c r="Y1340" s="77"/>
      <c r="Z1340" s="77"/>
      <c r="AA1340" s="77" t="s">
        <v>8047</v>
      </c>
      <c r="AB1340" s="77" t="s">
        <v>10130</v>
      </c>
      <c r="AC1340" s="82" t="s">
        <v>10144</v>
      </c>
      <c r="AD1340" s="77" t="s">
        <v>10184</v>
      </c>
      <c r="AE1340" s="80" t="str">
        <f>HYPERLINK("https://twitter.com/nahildasuprema/status/1669340799367262213")</f>
        <v>https://twitter.com/nahildasuprema/status/1669340799367262213</v>
      </c>
      <c r="AF1340" s="79">
        <v>45092.574490740742</v>
      </c>
      <c r="AG1340" s="85">
        <v>45092</v>
      </c>
      <c r="AH1340" s="82" t="s">
        <v>11484</v>
      </c>
      <c r="AI1340" s="77" t="b">
        <v>0</v>
      </c>
      <c r="AJ1340" s="77"/>
      <c r="AK1340" s="77"/>
      <c r="AL1340" s="77"/>
      <c r="AM1340" s="77"/>
      <c r="AN1340" s="77"/>
      <c r="AO1340" s="77"/>
      <c r="AP1340" s="77"/>
      <c r="AQ1340" s="77" t="s">
        <v>14691</v>
      </c>
      <c r="AR1340" s="77"/>
      <c r="AS1340" s="77"/>
      <c r="AT1340" s="77"/>
      <c r="AU1340" s="77"/>
      <c r="AV1340" s="80" t="str">
        <f>HYPERLINK("https://pbs.twimg.com/media/Fyqwm8taAAQv01D.jpg")</f>
        <v>https://pbs.twimg.com/media/Fyqwm8taAAQv01D.jpg</v>
      </c>
      <c r="AW1340" s="82" t="s">
        <v>18113</v>
      </c>
      <c r="AX1340" s="82" t="s">
        <v>18113</v>
      </c>
      <c r="AY1340" s="77"/>
      <c r="AZ1340" s="82" t="s">
        <v>20971</v>
      </c>
      <c r="BA1340" s="82" t="s">
        <v>20971</v>
      </c>
      <c r="BB1340" s="82" t="s">
        <v>20971</v>
      </c>
      <c r="BC1340" s="82" t="s">
        <v>18113</v>
      </c>
      <c r="BD1340" s="82" t="s">
        <v>21223</v>
      </c>
      <c r="BE1340" s="77"/>
      <c r="BF1340" s="77"/>
      <c r="BG1340" s="77"/>
      <c r="BH1340" s="77"/>
      <c r="BI1340" s="77"/>
    </row>
    <row r="1341" spans="1:61" x14ac:dyDescent="0.25">
      <c r="A1341" s="62" t="s">
        <v>513</v>
      </c>
      <c r="B1341" s="62" t="s">
        <v>513</v>
      </c>
      <c r="C1341" s="63"/>
      <c r="D1341" s="64"/>
      <c r="E1341" s="65"/>
      <c r="F1341" s="66"/>
      <c r="G1341" s="63"/>
      <c r="H1341" s="67"/>
      <c r="I1341" s="68"/>
      <c r="J1341" s="68"/>
      <c r="K1341" s="32"/>
      <c r="L1341" s="75">
        <v>1341</v>
      </c>
      <c r="M1341" s="75"/>
      <c r="N1341" s="70"/>
      <c r="O1341" s="77" t="s">
        <v>179</v>
      </c>
      <c r="P1341" s="79">
        <v>45122.074467592596</v>
      </c>
      <c r="Q1341" s="77" t="s">
        <v>2585</v>
      </c>
      <c r="R1341" s="77">
        <v>1</v>
      </c>
      <c r="S1341" s="77">
        <v>2</v>
      </c>
      <c r="T1341" s="77">
        <v>0</v>
      </c>
      <c r="U1341" s="77">
        <v>0</v>
      </c>
      <c r="V1341" s="77">
        <v>298</v>
      </c>
      <c r="W1341" s="82" t="s">
        <v>5720</v>
      </c>
      <c r="X1341" s="80" t="str">
        <f>HYPERLINK("https://encur.me/Fornecedor")</f>
        <v>https://encur.me/Fornecedor</v>
      </c>
      <c r="Y1341" s="77" t="s">
        <v>7332</v>
      </c>
      <c r="Z1341" s="77"/>
      <c r="AA1341" s="77" t="s">
        <v>8048</v>
      </c>
      <c r="AB1341" s="77" t="s">
        <v>10130</v>
      </c>
      <c r="AC1341" s="82" t="s">
        <v>10144</v>
      </c>
      <c r="AD1341" s="77" t="s">
        <v>10184</v>
      </c>
      <c r="AE1341" s="80" t="str">
        <f>HYPERLINK("https://twitter.com/juliana17293036/status/1680031234477391874")</f>
        <v>https://twitter.com/juliana17293036/status/1680031234477391874</v>
      </c>
      <c r="AF1341" s="79">
        <v>45122.074467592596</v>
      </c>
      <c r="AG1341" s="85">
        <v>45122</v>
      </c>
      <c r="AH1341" s="82" t="s">
        <v>11485</v>
      </c>
      <c r="AI1341" s="77" t="b">
        <v>0</v>
      </c>
      <c r="AJ1341" s="77"/>
      <c r="AK1341" s="77"/>
      <c r="AL1341" s="77"/>
      <c r="AM1341" s="77"/>
      <c r="AN1341" s="77"/>
      <c r="AO1341" s="77"/>
      <c r="AP1341" s="77"/>
      <c r="AQ1341" s="77" t="s">
        <v>14692</v>
      </c>
      <c r="AR1341" s="77"/>
      <c r="AS1341" s="77"/>
      <c r="AT1341" s="77"/>
      <c r="AU1341" s="77"/>
      <c r="AV1341" s="80" t="str">
        <f>HYPERLINK("https://pbs.twimg.com/media/F1CrgOXXoAAO1vz.jpg")</f>
        <v>https://pbs.twimg.com/media/F1CrgOXXoAAO1vz.jpg</v>
      </c>
      <c r="AW1341" s="82" t="s">
        <v>18114</v>
      </c>
      <c r="AX1341" s="82" t="s">
        <v>18114</v>
      </c>
      <c r="AY1341" s="77"/>
      <c r="AZ1341" s="82" t="s">
        <v>20971</v>
      </c>
      <c r="BA1341" s="82" t="s">
        <v>20971</v>
      </c>
      <c r="BB1341" s="82" t="s">
        <v>20971</v>
      </c>
      <c r="BC1341" s="82" t="s">
        <v>18114</v>
      </c>
      <c r="BD1341" s="82" t="s">
        <v>21224</v>
      </c>
      <c r="BE1341" s="77"/>
      <c r="BF1341" s="77"/>
      <c r="BG1341" s="77"/>
      <c r="BH1341" s="77"/>
      <c r="BI1341" s="77"/>
    </row>
    <row r="1342" spans="1:61" x14ac:dyDescent="0.25">
      <c r="A1342" s="62" t="s">
        <v>514</v>
      </c>
      <c r="B1342" s="62" t="s">
        <v>514</v>
      </c>
      <c r="C1342" s="63"/>
      <c r="D1342" s="64"/>
      <c r="E1342" s="65"/>
      <c r="F1342" s="66"/>
      <c r="G1342" s="63"/>
      <c r="H1342" s="67"/>
      <c r="I1342" s="68"/>
      <c r="J1342" s="68"/>
      <c r="K1342" s="32"/>
      <c r="L1342" s="75">
        <v>1342</v>
      </c>
      <c r="M1342" s="75"/>
      <c r="N1342" s="70"/>
      <c r="O1342" s="77" t="s">
        <v>1285</v>
      </c>
      <c r="P1342" s="79">
        <v>45141.633634259262</v>
      </c>
      <c r="Q1342" s="77" t="s">
        <v>2586</v>
      </c>
      <c r="R1342" s="77">
        <v>0</v>
      </c>
      <c r="S1342" s="77">
        <v>0</v>
      </c>
      <c r="T1342" s="77">
        <v>0</v>
      </c>
      <c r="U1342" s="77">
        <v>0</v>
      </c>
      <c r="V1342" s="77">
        <v>17</v>
      </c>
      <c r="W1342" s="82" t="s">
        <v>5721</v>
      </c>
      <c r="X1342" s="77"/>
      <c r="Y1342" s="77"/>
      <c r="Z1342" s="77" t="s">
        <v>514</v>
      </c>
      <c r="AA1342" s="77" t="s">
        <v>8049</v>
      </c>
      <c r="AB1342" s="77" t="s">
        <v>10129</v>
      </c>
      <c r="AC1342" s="82" t="s">
        <v>10146</v>
      </c>
      <c r="AD1342" s="77" t="s">
        <v>10184</v>
      </c>
      <c r="AE1342" s="80" t="str">
        <f>HYPERLINK("https://twitter.com/buzzbytebr/status/1687119238509543425")</f>
        <v>https://twitter.com/buzzbytebr/status/1687119238509543425</v>
      </c>
      <c r="AF1342" s="79">
        <v>45141.633634259262</v>
      </c>
      <c r="AG1342" s="85">
        <v>45141</v>
      </c>
      <c r="AH1342" s="82" t="s">
        <v>11486</v>
      </c>
      <c r="AI1342" s="77" t="b">
        <v>0</v>
      </c>
      <c r="AJ1342" s="77"/>
      <c r="AK1342" s="77"/>
      <c r="AL1342" s="77"/>
      <c r="AM1342" s="77"/>
      <c r="AN1342" s="77"/>
      <c r="AO1342" s="77"/>
      <c r="AP1342" s="77"/>
      <c r="AQ1342" s="77" t="s">
        <v>14693</v>
      </c>
      <c r="AR1342" s="77">
        <v>41400</v>
      </c>
      <c r="AS1342" s="77"/>
      <c r="AT1342" s="77"/>
      <c r="AU1342" s="77"/>
      <c r="AV1342" s="80" t="str">
        <f>HYPERLINK("https://pbs.twimg.com/ext_tw_video_thumb/1687118928030437376/pu/img/d6ADzq8-IG3IM6w_.jpg")</f>
        <v>https://pbs.twimg.com/ext_tw_video_thumb/1687118928030437376/pu/img/d6ADzq8-IG3IM6w_.jpg</v>
      </c>
      <c r="AW1342" s="82" t="s">
        <v>18115</v>
      </c>
      <c r="AX1342" s="82" t="s">
        <v>18115</v>
      </c>
      <c r="AY1342" s="77"/>
      <c r="AZ1342" s="82" t="s">
        <v>20971</v>
      </c>
      <c r="BA1342" s="82" t="s">
        <v>20971</v>
      </c>
      <c r="BB1342" s="82" t="s">
        <v>20971</v>
      </c>
      <c r="BC1342" s="82" t="s">
        <v>18115</v>
      </c>
      <c r="BD1342" s="82" t="s">
        <v>21225</v>
      </c>
      <c r="BE1342" s="77"/>
      <c r="BF1342" s="77"/>
      <c r="BG1342" s="77"/>
      <c r="BH1342" s="77"/>
      <c r="BI1342" s="77"/>
    </row>
    <row r="1343" spans="1:61" x14ac:dyDescent="0.25">
      <c r="A1343" s="62" t="s">
        <v>515</v>
      </c>
      <c r="B1343" s="62" t="s">
        <v>1249</v>
      </c>
      <c r="C1343" s="63"/>
      <c r="D1343" s="64"/>
      <c r="E1343" s="65"/>
      <c r="F1343" s="66"/>
      <c r="G1343" s="63"/>
      <c r="H1343" s="67"/>
      <c r="I1343" s="68"/>
      <c r="J1343" s="68"/>
      <c r="K1343" s="32"/>
      <c r="L1343" s="75">
        <v>1343</v>
      </c>
      <c r="M1343" s="75"/>
      <c r="N1343" s="70"/>
      <c r="O1343" s="77" t="s">
        <v>1284</v>
      </c>
      <c r="P1343" s="79">
        <v>45089.563703703701</v>
      </c>
      <c r="Q1343" s="77" t="s">
        <v>2587</v>
      </c>
      <c r="R1343" s="77">
        <v>0</v>
      </c>
      <c r="S1343" s="77">
        <v>0</v>
      </c>
      <c r="T1343" s="77">
        <v>0</v>
      </c>
      <c r="U1343" s="77">
        <v>0</v>
      </c>
      <c r="V1343" s="77">
        <v>46</v>
      </c>
      <c r="W1343" s="82" t="s">
        <v>5236</v>
      </c>
      <c r="X1343" s="77"/>
      <c r="Y1343" s="77"/>
      <c r="Z1343" s="77" t="s">
        <v>1249</v>
      </c>
      <c r="AA1343" s="77"/>
      <c r="AB1343" s="77"/>
      <c r="AC1343" s="82" t="s">
        <v>10145</v>
      </c>
      <c r="AD1343" s="77" t="s">
        <v>10183</v>
      </c>
      <c r="AE1343" s="80" t="str">
        <f>HYPERLINK("https://twitter.com/thcfreeky/status/1668249727849070593")</f>
        <v>https://twitter.com/thcfreeky/status/1668249727849070593</v>
      </c>
      <c r="AF1343" s="79">
        <v>45089.563703703701</v>
      </c>
      <c r="AG1343" s="85">
        <v>45089</v>
      </c>
      <c r="AH1343" s="82" t="s">
        <v>11487</v>
      </c>
      <c r="AI1343" s="77"/>
      <c r="AJ1343" s="77"/>
      <c r="AK1343" s="77"/>
      <c r="AL1343" s="77"/>
      <c r="AM1343" s="77"/>
      <c r="AN1343" s="77"/>
      <c r="AO1343" s="77"/>
      <c r="AP1343" s="77"/>
      <c r="AQ1343" s="77"/>
      <c r="AR1343" s="77"/>
      <c r="AS1343" s="77"/>
      <c r="AT1343" s="77"/>
      <c r="AU1343" s="77"/>
      <c r="AV1343" s="80" t="str">
        <f>HYPERLINK("https://pbs.twimg.com/profile_images/1703785083067363328/mc3CNK8J_normal.jpg")</f>
        <v>https://pbs.twimg.com/profile_images/1703785083067363328/mc3CNK8J_normal.jpg</v>
      </c>
      <c r="AW1343" s="82" t="s">
        <v>18116</v>
      </c>
      <c r="AX1343" s="82" t="s">
        <v>20814</v>
      </c>
      <c r="AY1343" s="82" t="s">
        <v>20919</v>
      </c>
      <c r="AZ1343" s="82" t="s">
        <v>20814</v>
      </c>
      <c r="BA1343" s="82" t="s">
        <v>20971</v>
      </c>
      <c r="BB1343" s="82" t="s">
        <v>20971</v>
      </c>
      <c r="BC1343" s="82" t="s">
        <v>20814</v>
      </c>
      <c r="BD1343" s="77">
        <v>2549182475</v>
      </c>
      <c r="BE1343" s="77"/>
      <c r="BF1343" s="77"/>
      <c r="BG1343" s="77"/>
      <c r="BH1343" s="77"/>
      <c r="BI1343" s="77"/>
    </row>
    <row r="1344" spans="1:61" x14ac:dyDescent="0.25">
      <c r="A1344" s="62" t="s">
        <v>516</v>
      </c>
      <c r="B1344" s="62" t="s">
        <v>516</v>
      </c>
      <c r="C1344" s="63"/>
      <c r="D1344" s="64"/>
      <c r="E1344" s="65"/>
      <c r="F1344" s="66"/>
      <c r="G1344" s="63"/>
      <c r="H1344" s="67"/>
      <c r="I1344" s="68"/>
      <c r="J1344" s="68"/>
      <c r="K1344" s="32"/>
      <c r="L1344" s="75">
        <v>1344</v>
      </c>
      <c r="M1344" s="75"/>
      <c r="N1344" s="70"/>
      <c r="O1344" s="77" t="s">
        <v>179</v>
      </c>
      <c r="P1344" s="79">
        <v>45193.761863425927</v>
      </c>
      <c r="Q1344" s="77" t="s">
        <v>2588</v>
      </c>
      <c r="R1344" s="77">
        <v>0</v>
      </c>
      <c r="S1344" s="77">
        <v>1</v>
      </c>
      <c r="T1344" s="77">
        <v>0</v>
      </c>
      <c r="U1344" s="77">
        <v>0</v>
      </c>
      <c r="V1344" s="77">
        <v>57</v>
      </c>
      <c r="W1344" s="82" t="s">
        <v>5722</v>
      </c>
      <c r="X1344" s="77"/>
      <c r="Y1344" s="77"/>
      <c r="Z1344" s="77"/>
      <c r="AA1344" s="77" t="s">
        <v>8050</v>
      </c>
      <c r="AB1344" s="77" t="s">
        <v>10129</v>
      </c>
      <c r="AC1344" s="82" t="s">
        <v>10144</v>
      </c>
      <c r="AD1344" s="77" t="s">
        <v>10184</v>
      </c>
      <c r="AE1344" s="80" t="str">
        <f>HYPERLINK("https://twitter.com/sucessostartup/status/1706009875342319673")</f>
        <v>https://twitter.com/sucessostartup/status/1706009875342319673</v>
      </c>
      <c r="AF1344" s="79">
        <v>45193.761863425927</v>
      </c>
      <c r="AG1344" s="85">
        <v>45193</v>
      </c>
      <c r="AH1344" s="82" t="s">
        <v>11488</v>
      </c>
      <c r="AI1344" s="77" t="b">
        <v>0</v>
      </c>
      <c r="AJ1344" s="77"/>
      <c r="AK1344" s="77"/>
      <c r="AL1344" s="77"/>
      <c r="AM1344" s="77"/>
      <c r="AN1344" s="77"/>
      <c r="AO1344" s="77"/>
      <c r="AP1344" s="77"/>
      <c r="AQ1344" s="77" t="s">
        <v>14694</v>
      </c>
      <c r="AR1344" s="77">
        <v>44805</v>
      </c>
      <c r="AS1344" s="77"/>
      <c r="AT1344" s="77"/>
      <c r="AU1344" s="77"/>
      <c r="AV1344" s="80" t="str">
        <f>HYPERLINK("https://pbs.twimg.com/ext_tw_video_thumb/1706009816081092608/pu/img/EqkEsJWlH491XW-A.jpg")</f>
        <v>https://pbs.twimg.com/ext_tw_video_thumb/1706009816081092608/pu/img/EqkEsJWlH491XW-A.jpg</v>
      </c>
      <c r="AW1344" s="82" t="s">
        <v>18117</v>
      </c>
      <c r="AX1344" s="82" t="s">
        <v>18117</v>
      </c>
      <c r="AY1344" s="77"/>
      <c r="AZ1344" s="82" t="s">
        <v>20971</v>
      </c>
      <c r="BA1344" s="82" t="s">
        <v>20971</v>
      </c>
      <c r="BB1344" s="82" t="s">
        <v>20971</v>
      </c>
      <c r="BC1344" s="82" t="s">
        <v>18117</v>
      </c>
      <c r="BD1344" s="82" t="s">
        <v>21226</v>
      </c>
      <c r="BE1344" s="77"/>
      <c r="BF1344" s="77"/>
      <c r="BG1344" s="77"/>
      <c r="BH1344" s="77"/>
      <c r="BI1344" s="77"/>
    </row>
    <row r="1345" spans="1:61" x14ac:dyDescent="0.25">
      <c r="A1345" s="62" t="s">
        <v>517</v>
      </c>
      <c r="B1345" s="62" t="s">
        <v>517</v>
      </c>
      <c r="C1345" s="63"/>
      <c r="D1345" s="64"/>
      <c r="E1345" s="65"/>
      <c r="F1345" s="66"/>
      <c r="G1345" s="63"/>
      <c r="H1345" s="67"/>
      <c r="I1345" s="68"/>
      <c r="J1345" s="68"/>
      <c r="K1345" s="32"/>
      <c r="L1345" s="75">
        <v>1345</v>
      </c>
      <c r="M1345" s="75"/>
      <c r="N1345" s="70"/>
      <c r="O1345" s="77" t="s">
        <v>179</v>
      </c>
      <c r="P1345" s="79">
        <v>45042.897615740738</v>
      </c>
      <c r="Q1345" s="77" t="s">
        <v>2589</v>
      </c>
      <c r="R1345" s="77">
        <v>4</v>
      </c>
      <c r="S1345" s="77">
        <v>1</v>
      </c>
      <c r="T1345" s="77">
        <v>1</v>
      </c>
      <c r="U1345" s="77">
        <v>0</v>
      </c>
      <c r="V1345" s="77">
        <v>860</v>
      </c>
      <c r="W1345" s="82" t="s">
        <v>5723</v>
      </c>
      <c r="X1345" s="80" t="str">
        <f>HYPERLINK("https://tracking.braxbet.com/o/dcGllq?lpage=HPK4a6")</f>
        <v>https://tracking.braxbet.com/o/dcGllq?lpage=HPK4a6</v>
      </c>
      <c r="Y1345" s="77" t="s">
        <v>7333</v>
      </c>
      <c r="Z1345" s="77"/>
      <c r="AA1345" s="77" t="s">
        <v>8051</v>
      </c>
      <c r="AB1345" s="77" t="s">
        <v>10130</v>
      </c>
      <c r="AC1345" s="82" t="s">
        <v>10144</v>
      </c>
      <c r="AD1345" s="77" t="s">
        <v>10184</v>
      </c>
      <c r="AE1345" s="80" t="str">
        <f>HYPERLINK("https://twitter.com/bartorei/status/1651338504578777088")</f>
        <v>https://twitter.com/bartorei/status/1651338504578777088</v>
      </c>
      <c r="AF1345" s="79">
        <v>45042.897615740738</v>
      </c>
      <c r="AG1345" s="85">
        <v>45042</v>
      </c>
      <c r="AH1345" s="82" t="s">
        <v>11489</v>
      </c>
      <c r="AI1345" s="77" t="b">
        <v>0</v>
      </c>
      <c r="AJ1345" s="77"/>
      <c r="AK1345" s="77"/>
      <c r="AL1345" s="77"/>
      <c r="AM1345" s="77"/>
      <c r="AN1345" s="77"/>
      <c r="AO1345" s="77"/>
      <c r="AP1345" s="77"/>
      <c r="AQ1345" s="77" t="s">
        <v>14695</v>
      </c>
      <c r="AR1345" s="77"/>
      <c r="AS1345" s="77"/>
      <c r="AT1345" s="77"/>
      <c r="AU1345" s="77"/>
      <c r="AV1345" s="80" t="str">
        <f>HYPERLINK("https://pbs.twimg.com/media/Fuq7nnvXgAQE0ma.jpg")</f>
        <v>https://pbs.twimg.com/media/Fuq7nnvXgAQE0ma.jpg</v>
      </c>
      <c r="AW1345" s="82" t="s">
        <v>18118</v>
      </c>
      <c r="AX1345" s="82" t="s">
        <v>18118</v>
      </c>
      <c r="AY1345" s="77"/>
      <c r="AZ1345" s="82" t="s">
        <v>20971</v>
      </c>
      <c r="BA1345" s="82" t="s">
        <v>20971</v>
      </c>
      <c r="BB1345" s="82" t="s">
        <v>20971</v>
      </c>
      <c r="BC1345" s="82" t="s">
        <v>18118</v>
      </c>
      <c r="BD1345" s="82" t="s">
        <v>21227</v>
      </c>
      <c r="BE1345" s="77"/>
      <c r="BF1345" s="77"/>
      <c r="BG1345" s="77"/>
      <c r="BH1345" s="77"/>
      <c r="BI1345" s="77"/>
    </row>
    <row r="1346" spans="1:61" x14ac:dyDescent="0.25">
      <c r="A1346" s="62" t="s">
        <v>518</v>
      </c>
      <c r="B1346" s="62" t="s">
        <v>518</v>
      </c>
      <c r="C1346" s="63"/>
      <c r="D1346" s="64"/>
      <c r="E1346" s="65"/>
      <c r="F1346" s="66"/>
      <c r="G1346" s="63"/>
      <c r="H1346" s="67"/>
      <c r="I1346" s="68"/>
      <c r="J1346" s="68"/>
      <c r="K1346" s="32"/>
      <c r="L1346" s="75">
        <v>1346</v>
      </c>
      <c r="M1346" s="75"/>
      <c r="N1346" s="70"/>
      <c r="O1346" s="77" t="s">
        <v>179</v>
      </c>
      <c r="P1346" s="79">
        <v>45022.041689814818</v>
      </c>
      <c r="Q1346" s="77" t="s">
        <v>2590</v>
      </c>
      <c r="R1346" s="77">
        <v>0</v>
      </c>
      <c r="S1346" s="77">
        <v>0</v>
      </c>
      <c r="T1346" s="77">
        <v>0</v>
      </c>
      <c r="U1346" s="77">
        <v>0</v>
      </c>
      <c r="V1346" s="77">
        <v>23</v>
      </c>
      <c r="W1346" s="82" t="s">
        <v>5724</v>
      </c>
      <c r="X1346" s="77"/>
      <c r="Y1346" s="77"/>
      <c r="Z1346" s="77"/>
      <c r="AA1346" s="77" t="s">
        <v>8052</v>
      </c>
      <c r="AB1346" s="77" t="s">
        <v>10132</v>
      </c>
      <c r="AC1346" s="82" t="s">
        <v>10145</v>
      </c>
      <c r="AD1346" s="77" t="s">
        <v>10184</v>
      </c>
      <c r="AE1346" s="80" t="str">
        <f>HYPERLINK("https://twitter.com/silvatiago87295/status/1643780568012713985")</f>
        <v>https://twitter.com/silvatiago87295/status/1643780568012713985</v>
      </c>
      <c r="AF1346" s="79">
        <v>45022.041689814818</v>
      </c>
      <c r="AG1346" s="85">
        <v>45022</v>
      </c>
      <c r="AH1346" s="82" t="s">
        <v>11490</v>
      </c>
      <c r="AI1346" s="77" t="b">
        <v>0</v>
      </c>
      <c r="AJ1346" s="77"/>
      <c r="AK1346" s="77"/>
      <c r="AL1346" s="77"/>
      <c r="AM1346" s="77"/>
      <c r="AN1346" s="77"/>
      <c r="AO1346" s="77"/>
      <c r="AP1346" s="77"/>
      <c r="AQ1346" s="77" t="s">
        <v>14696</v>
      </c>
      <c r="AR1346" s="77"/>
      <c r="AS1346" s="77"/>
      <c r="AT1346" s="77"/>
      <c r="AU1346" s="77"/>
      <c r="AV1346" s="80" t="str">
        <f>HYPERLINK("https://pbs.twimg.com/media/Fs_htmbXgAEdQnY.jpg")</f>
        <v>https://pbs.twimg.com/media/Fs_htmbXgAEdQnY.jpg</v>
      </c>
      <c r="AW1346" s="82" t="s">
        <v>18119</v>
      </c>
      <c r="AX1346" s="82" t="s">
        <v>18119</v>
      </c>
      <c r="AY1346" s="77"/>
      <c r="AZ1346" s="82" t="s">
        <v>20971</v>
      </c>
      <c r="BA1346" s="82" t="s">
        <v>20971</v>
      </c>
      <c r="BB1346" s="82" t="s">
        <v>20971</v>
      </c>
      <c r="BC1346" s="82" t="s">
        <v>18119</v>
      </c>
      <c r="BD1346" s="82" t="s">
        <v>21228</v>
      </c>
      <c r="BE1346" s="77"/>
      <c r="BF1346" s="77"/>
      <c r="BG1346" s="77"/>
      <c r="BH1346" s="77"/>
      <c r="BI1346" s="77"/>
    </row>
    <row r="1347" spans="1:61" x14ac:dyDescent="0.25">
      <c r="A1347" s="62" t="s">
        <v>519</v>
      </c>
      <c r="B1347" s="62" t="s">
        <v>519</v>
      </c>
      <c r="C1347" s="63"/>
      <c r="D1347" s="64"/>
      <c r="E1347" s="65"/>
      <c r="F1347" s="66"/>
      <c r="G1347" s="63"/>
      <c r="H1347" s="67"/>
      <c r="I1347" s="68"/>
      <c r="J1347" s="68"/>
      <c r="K1347" s="32"/>
      <c r="L1347" s="75">
        <v>1347</v>
      </c>
      <c r="M1347" s="75"/>
      <c r="N1347" s="70"/>
      <c r="O1347" s="77" t="s">
        <v>179</v>
      </c>
      <c r="P1347" s="79">
        <v>45160.67597222222</v>
      </c>
      <c r="Q1347" s="77" t="s">
        <v>2591</v>
      </c>
      <c r="R1347" s="77">
        <v>0</v>
      </c>
      <c r="S1347" s="77">
        <v>1</v>
      </c>
      <c r="T1347" s="77">
        <v>1</v>
      </c>
      <c r="U1347" s="77">
        <v>0</v>
      </c>
      <c r="V1347" s="77">
        <v>508</v>
      </c>
      <c r="W1347" s="82" t="s">
        <v>5725</v>
      </c>
      <c r="X1347" s="80" t="str">
        <f>HYPERLINK("https://www.bbrbet.com/c-EaO9Oz1X?lang=pt")</f>
        <v>https://www.bbrbet.com/c-EaO9Oz1X?lang=pt</v>
      </c>
      <c r="Y1347" s="77" t="s">
        <v>7280</v>
      </c>
      <c r="Z1347" s="77"/>
      <c r="AA1347" s="77" t="s">
        <v>8053</v>
      </c>
      <c r="AB1347" s="77" t="s">
        <v>10134</v>
      </c>
      <c r="AC1347" s="82" t="s">
        <v>10144</v>
      </c>
      <c r="AD1347" s="77" t="s">
        <v>10184</v>
      </c>
      <c r="AE1347" s="80" t="str">
        <f>HYPERLINK("https://twitter.com/leticia_pa99972/status/1694019951093330206")</f>
        <v>https://twitter.com/leticia_pa99972/status/1694019951093330206</v>
      </c>
      <c r="AF1347" s="79">
        <v>45160.67597222222</v>
      </c>
      <c r="AG1347" s="85">
        <v>45160</v>
      </c>
      <c r="AH1347" s="82" t="s">
        <v>11491</v>
      </c>
      <c r="AI1347" s="77" t="b">
        <v>0</v>
      </c>
      <c r="AJ1347" s="77"/>
      <c r="AK1347" s="77"/>
      <c r="AL1347" s="77"/>
      <c r="AM1347" s="77"/>
      <c r="AN1347" s="77"/>
      <c r="AO1347" s="77"/>
      <c r="AP1347" s="77"/>
      <c r="AQ1347" s="77" t="s">
        <v>14697</v>
      </c>
      <c r="AR1347" s="77">
        <v>44998</v>
      </c>
      <c r="AS1347" s="77"/>
      <c r="AT1347" s="77"/>
      <c r="AU1347" s="77"/>
      <c r="AV1347" s="80" t="str">
        <f>HYPERLINK("https://pbs.twimg.com/media/F4JeEx8XUAI66MY.jpg")</f>
        <v>https://pbs.twimg.com/media/F4JeEx8XUAI66MY.jpg</v>
      </c>
      <c r="AW1347" s="82" t="s">
        <v>18120</v>
      </c>
      <c r="AX1347" s="82" t="s">
        <v>18120</v>
      </c>
      <c r="AY1347" s="77"/>
      <c r="AZ1347" s="82" t="s">
        <v>20971</v>
      </c>
      <c r="BA1347" s="82" t="s">
        <v>20971</v>
      </c>
      <c r="BB1347" s="82" t="s">
        <v>20971</v>
      </c>
      <c r="BC1347" s="82" t="s">
        <v>18120</v>
      </c>
      <c r="BD1347" s="82" t="s">
        <v>21229</v>
      </c>
      <c r="BE1347" s="77"/>
      <c r="BF1347" s="77"/>
      <c r="BG1347" s="77"/>
      <c r="BH1347" s="77"/>
      <c r="BI1347" s="77"/>
    </row>
    <row r="1348" spans="1:61" x14ac:dyDescent="0.25">
      <c r="A1348" s="62" t="s">
        <v>520</v>
      </c>
      <c r="B1348" s="62" t="s">
        <v>520</v>
      </c>
      <c r="C1348" s="63"/>
      <c r="D1348" s="64"/>
      <c r="E1348" s="65"/>
      <c r="F1348" s="66"/>
      <c r="G1348" s="63"/>
      <c r="H1348" s="67"/>
      <c r="I1348" s="68"/>
      <c r="J1348" s="68"/>
      <c r="K1348" s="32"/>
      <c r="L1348" s="75">
        <v>1348</v>
      </c>
      <c r="M1348" s="75"/>
      <c r="N1348" s="70"/>
      <c r="O1348" s="77" t="s">
        <v>179</v>
      </c>
      <c r="P1348" s="79">
        <v>45169.770821759259</v>
      </c>
      <c r="Q1348" s="77" t="s">
        <v>2592</v>
      </c>
      <c r="R1348" s="77">
        <v>0</v>
      </c>
      <c r="S1348" s="77">
        <v>0</v>
      </c>
      <c r="T1348" s="77">
        <v>0</v>
      </c>
      <c r="U1348" s="77">
        <v>0</v>
      </c>
      <c r="V1348" s="77">
        <v>137</v>
      </c>
      <c r="W1348" s="82" t="s">
        <v>5285</v>
      </c>
      <c r="X1348" s="77"/>
      <c r="Y1348" s="77"/>
      <c r="Z1348" s="77"/>
      <c r="AA1348" s="77" t="s">
        <v>8054</v>
      </c>
      <c r="AB1348" s="77" t="s">
        <v>10129</v>
      </c>
      <c r="AC1348" s="82" t="s">
        <v>10144</v>
      </c>
      <c r="AD1348" s="77" t="s">
        <v>10184</v>
      </c>
      <c r="AE1348" s="80" t="str">
        <f>HYPERLINK("https://twitter.com/caiiohenriquetv/status/1697315814225953005")</f>
        <v>https://twitter.com/caiiohenriquetv/status/1697315814225953005</v>
      </c>
      <c r="AF1348" s="79">
        <v>45169.770821759259</v>
      </c>
      <c r="AG1348" s="85">
        <v>45169</v>
      </c>
      <c r="AH1348" s="82" t="s">
        <v>10843</v>
      </c>
      <c r="AI1348" s="77" t="b">
        <v>0</v>
      </c>
      <c r="AJ1348" s="77" t="s">
        <v>14009</v>
      </c>
      <c r="AK1348" s="77" t="s">
        <v>14033</v>
      </c>
      <c r="AL1348" s="77" t="s">
        <v>14035</v>
      </c>
      <c r="AM1348" s="77" t="s">
        <v>14051</v>
      </c>
      <c r="AN1348" s="77" t="s">
        <v>14088</v>
      </c>
      <c r="AO1348" s="77" t="s">
        <v>14126</v>
      </c>
      <c r="AP1348" s="77" t="s">
        <v>14149</v>
      </c>
      <c r="AQ1348" s="77" t="s">
        <v>14698</v>
      </c>
      <c r="AR1348" s="77">
        <v>44979</v>
      </c>
      <c r="AS1348" s="77"/>
      <c r="AT1348" s="77"/>
      <c r="AU1348" s="77"/>
      <c r="AV1348" s="80" t="str">
        <f>HYPERLINK("https://pbs.twimg.com/ext_tw_video_thumb/1697315711129935872/pu/img/7oWG-Av98w5Pmsyf.jpg")</f>
        <v>https://pbs.twimg.com/ext_tw_video_thumb/1697315711129935872/pu/img/7oWG-Av98w5Pmsyf.jpg</v>
      </c>
      <c r="AW1348" s="82" t="s">
        <v>18121</v>
      </c>
      <c r="AX1348" s="82" t="s">
        <v>18121</v>
      </c>
      <c r="AY1348" s="77"/>
      <c r="AZ1348" s="82" t="s">
        <v>20971</v>
      </c>
      <c r="BA1348" s="82" t="s">
        <v>20971</v>
      </c>
      <c r="BB1348" s="82" t="s">
        <v>20971</v>
      </c>
      <c r="BC1348" s="82" t="s">
        <v>18121</v>
      </c>
      <c r="BD1348" s="82" t="s">
        <v>21230</v>
      </c>
      <c r="BE1348" s="77"/>
      <c r="BF1348" s="77"/>
      <c r="BG1348" s="77"/>
      <c r="BH1348" s="77"/>
      <c r="BI1348" s="77"/>
    </row>
    <row r="1349" spans="1:61" x14ac:dyDescent="0.25">
      <c r="A1349" s="62" t="s">
        <v>520</v>
      </c>
      <c r="B1349" s="62" t="s">
        <v>520</v>
      </c>
      <c r="C1349" s="63"/>
      <c r="D1349" s="64"/>
      <c r="E1349" s="65"/>
      <c r="F1349" s="66"/>
      <c r="G1349" s="63"/>
      <c r="H1349" s="67"/>
      <c r="I1349" s="68"/>
      <c r="J1349" s="68"/>
      <c r="K1349" s="32"/>
      <c r="L1349" s="75">
        <v>1349</v>
      </c>
      <c r="M1349" s="75"/>
      <c r="N1349" s="70"/>
      <c r="O1349" s="77" t="s">
        <v>179</v>
      </c>
      <c r="P1349" s="79">
        <v>45170.431446759256</v>
      </c>
      <c r="Q1349" s="77" t="s">
        <v>2593</v>
      </c>
      <c r="R1349" s="77">
        <v>0</v>
      </c>
      <c r="S1349" s="77">
        <v>1</v>
      </c>
      <c r="T1349" s="77">
        <v>0</v>
      </c>
      <c r="U1349" s="77">
        <v>0</v>
      </c>
      <c r="V1349" s="77">
        <v>58</v>
      </c>
      <c r="W1349" s="82" t="s">
        <v>5726</v>
      </c>
      <c r="X1349" s="77"/>
      <c r="Y1349" s="77"/>
      <c r="Z1349" s="77"/>
      <c r="AA1349" s="77" t="s">
        <v>8055</v>
      </c>
      <c r="AB1349" s="77" t="s">
        <v>10130</v>
      </c>
      <c r="AC1349" s="82" t="s">
        <v>10144</v>
      </c>
      <c r="AD1349" s="77" t="s">
        <v>10184</v>
      </c>
      <c r="AE1349" s="80" t="str">
        <f>HYPERLINK("https://twitter.com/caiiohenriquetv/status/1697555218303451152")</f>
        <v>https://twitter.com/caiiohenriquetv/status/1697555218303451152</v>
      </c>
      <c r="AF1349" s="79">
        <v>45170.431446759256</v>
      </c>
      <c r="AG1349" s="85">
        <v>45170</v>
      </c>
      <c r="AH1349" s="82" t="s">
        <v>11492</v>
      </c>
      <c r="AI1349" s="77" t="b">
        <v>0</v>
      </c>
      <c r="AJ1349" s="77" t="s">
        <v>14014</v>
      </c>
      <c r="AK1349" s="77" t="s">
        <v>14033</v>
      </c>
      <c r="AL1349" s="77" t="s">
        <v>14035</v>
      </c>
      <c r="AM1349" s="77" t="s">
        <v>14055</v>
      </c>
      <c r="AN1349" s="77" t="s">
        <v>14093</v>
      </c>
      <c r="AO1349" s="77" t="s">
        <v>14130</v>
      </c>
      <c r="AP1349" s="77" t="s">
        <v>14150</v>
      </c>
      <c r="AQ1349" s="77" t="s">
        <v>14699</v>
      </c>
      <c r="AR1349" s="77"/>
      <c r="AS1349" s="77"/>
      <c r="AT1349" s="77"/>
      <c r="AU1349" s="77"/>
      <c r="AV1349" s="80" t="str">
        <f>HYPERLINK("https://pbs.twimg.com/media/F47teW8WoAAIu-W.jpg")</f>
        <v>https://pbs.twimg.com/media/F47teW8WoAAIu-W.jpg</v>
      </c>
      <c r="AW1349" s="82" t="s">
        <v>18122</v>
      </c>
      <c r="AX1349" s="82" t="s">
        <v>18122</v>
      </c>
      <c r="AY1349" s="77"/>
      <c r="AZ1349" s="82" t="s">
        <v>20971</v>
      </c>
      <c r="BA1349" s="82" t="s">
        <v>20971</v>
      </c>
      <c r="BB1349" s="82" t="s">
        <v>20971</v>
      </c>
      <c r="BC1349" s="82" t="s">
        <v>18122</v>
      </c>
      <c r="BD1349" s="82" t="s">
        <v>21230</v>
      </c>
      <c r="BE1349" s="77"/>
      <c r="BF1349" s="77"/>
      <c r="BG1349" s="77"/>
      <c r="BH1349" s="77"/>
      <c r="BI1349" s="77"/>
    </row>
    <row r="1350" spans="1:61" x14ac:dyDescent="0.25">
      <c r="A1350" s="62" t="s">
        <v>520</v>
      </c>
      <c r="B1350" s="62" t="s">
        <v>520</v>
      </c>
      <c r="C1350" s="63"/>
      <c r="D1350" s="64"/>
      <c r="E1350" s="65"/>
      <c r="F1350" s="66"/>
      <c r="G1350" s="63"/>
      <c r="H1350" s="67"/>
      <c r="I1350" s="68"/>
      <c r="J1350" s="68"/>
      <c r="K1350" s="32"/>
      <c r="L1350" s="75">
        <v>1350</v>
      </c>
      <c r="M1350" s="75"/>
      <c r="N1350" s="70"/>
      <c r="O1350" s="77" t="s">
        <v>179</v>
      </c>
      <c r="P1350" s="79">
        <v>45181.367361111108</v>
      </c>
      <c r="Q1350" s="77" t="s">
        <v>2594</v>
      </c>
      <c r="R1350" s="77">
        <v>0</v>
      </c>
      <c r="S1350" s="77">
        <v>0</v>
      </c>
      <c r="T1350" s="77">
        <v>0</v>
      </c>
      <c r="U1350" s="77">
        <v>0</v>
      </c>
      <c r="V1350" s="77">
        <v>51</v>
      </c>
      <c r="W1350" s="82" t="s">
        <v>5727</v>
      </c>
      <c r="X1350" s="77"/>
      <c r="Y1350" s="77"/>
      <c r="Z1350" s="77"/>
      <c r="AA1350" s="77" t="s">
        <v>8056</v>
      </c>
      <c r="AB1350" s="77" t="s">
        <v>10129</v>
      </c>
      <c r="AC1350" s="82" t="s">
        <v>10144</v>
      </c>
      <c r="AD1350" s="77" t="s">
        <v>10183</v>
      </c>
      <c r="AE1350" s="80" t="str">
        <f>HYPERLINK("https://twitter.com/caiiohenriquetv/status/1701518258480759083")</f>
        <v>https://twitter.com/caiiohenriquetv/status/1701518258480759083</v>
      </c>
      <c r="AF1350" s="79">
        <v>45181.367361111108</v>
      </c>
      <c r="AG1350" s="85">
        <v>45181</v>
      </c>
      <c r="AH1350" s="82" t="s">
        <v>11493</v>
      </c>
      <c r="AI1350" s="77" t="b">
        <v>0</v>
      </c>
      <c r="AJ1350" s="77" t="s">
        <v>14009</v>
      </c>
      <c r="AK1350" s="77" t="s">
        <v>14033</v>
      </c>
      <c r="AL1350" s="77" t="s">
        <v>14035</v>
      </c>
      <c r="AM1350" s="77" t="s">
        <v>14051</v>
      </c>
      <c r="AN1350" s="77" t="s">
        <v>14088</v>
      </c>
      <c r="AO1350" s="77" t="s">
        <v>14126</v>
      </c>
      <c r="AP1350" s="77" t="s">
        <v>14149</v>
      </c>
      <c r="AQ1350" s="77" t="s">
        <v>14700</v>
      </c>
      <c r="AR1350" s="77">
        <v>11818</v>
      </c>
      <c r="AS1350" s="77"/>
      <c r="AT1350" s="77"/>
      <c r="AU1350" s="77"/>
      <c r="AV1350" s="80" t="str">
        <f>HYPERLINK("https://pbs.twimg.com/ext_tw_video_thumb/1701518206249078784/pu/img/TSkSfqLgaeyUJnqE.jpg")</f>
        <v>https://pbs.twimg.com/ext_tw_video_thumb/1701518206249078784/pu/img/TSkSfqLgaeyUJnqE.jpg</v>
      </c>
      <c r="AW1350" s="82" t="s">
        <v>18123</v>
      </c>
      <c r="AX1350" s="82" t="s">
        <v>18123</v>
      </c>
      <c r="AY1350" s="77"/>
      <c r="AZ1350" s="82" t="s">
        <v>20971</v>
      </c>
      <c r="BA1350" s="82" t="s">
        <v>20971</v>
      </c>
      <c r="BB1350" s="82" t="s">
        <v>20971</v>
      </c>
      <c r="BC1350" s="82" t="s">
        <v>18123</v>
      </c>
      <c r="BD1350" s="82" t="s">
        <v>21230</v>
      </c>
      <c r="BE1350" s="77"/>
      <c r="BF1350" s="77"/>
      <c r="BG1350" s="77"/>
      <c r="BH1350" s="77"/>
      <c r="BI1350" s="77"/>
    </row>
    <row r="1351" spans="1:61" x14ac:dyDescent="0.25">
      <c r="A1351" s="62" t="s">
        <v>520</v>
      </c>
      <c r="B1351" s="62" t="s">
        <v>520</v>
      </c>
      <c r="C1351" s="63"/>
      <c r="D1351" s="64"/>
      <c r="E1351" s="65"/>
      <c r="F1351" s="66"/>
      <c r="G1351" s="63"/>
      <c r="H1351" s="67"/>
      <c r="I1351" s="68"/>
      <c r="J1351" s="68"/>
      <c r="K1351" s="32"/>
      <c r="L1351" s="75">
        <v>1351</v>
      </c>
      <c r="M1351" s="75"/>
      <c r="N1351" s="70"/>
      <c r="O1351" s="77" t="s">
        <v>179</v>
      </c>
      <c r="P1351" s="79">
        <v>45181.007476851853</v>
      </c>
      <c r="Q1351" s="77" t="s">
        <v>2595</v>
      </c>
      <c r="R1351" s="77">
        <v>0</v>
      </c>
      <c r="S1351" s="77">
        <v>1</v>
      </c>
      <c r="T1351" s="77">
        <v>0</v>
      </c>
      <c r="U1351" s="77">
        <v>0</v>
      </c>
      <c r="V1351" s="77">
        <v>156</v>
      </c>
      <c r="W1351" s="82" t="s">
        <v>5728</v>
      </c>
      <c r="X1351" s="77"/>
      <c r="Y1351" s="77"/>
      <c r="Z1351" s="77"/>
      <c r="AA1351" s="77" t="s">
        <v>8057</v>
      </c>
      <c r="AB1351" s="77" t="s">
        <v>10129</v>
      </c>
      <c r="AC1351" s="82" t="s">
        <v>10144</v>
      </c>
      <c r="AD1351" s="77" t="s">
        <v>10184</v>
      </c>
      <c r="AE1351" s="80" t="str">
        <f>HYPERLINK("https://twitter.com/caiiohenriquetv/status/1701387840347660539")</f>
        <v>https://twitter.com/caiiohenriquetv/status/1701387840347660539</v>
      </c>
      <c r="AF1351" s="79">
        <v>45181.007476851853</v>
      </c>
      <c r="AG1351" s="85">
        <v>45181</v>
      </c>
      <c r="AH1351" s="82" t="s">
        <v>11494</v>
      </c>
      <c r="AI1351" s="77" t="b">
        <v>0</v>
      </c>
      <c r="AJ1351" s="77" t="s">
        <v>14014</v>
      </c>
      <c r="AK1351" s="77" t="s">
        <v>14033</v>
      </c>
      <c r="AL1351" s="77" t="s">
        <v>14035</v>
      </c>
      <c r="AM1351" s="77" t="s">
        <v>14055</v>
      </c>
      <c r="AN1351" s="77" t="s">
        <v>14093</v>
      </c>
      <c r="AO1351" s="77" t="s">
        <v>14130</v>
      </c>
      <c r="AP1351" s="77" t="s">
        <v>14150</v>
      </c>
      <c r="AQ1351" s="77" t="s">
        <v>14701</v>
      </c>
      <c r="AR1351" s="77">
        <v>7105</v>
      </c>
      <c r="AS1351" s="77"/>
      <c r="AT1351" s="77"/>
      <c r="AU1351" s="77"/>
      <c r="AV1351" s="80" t="str">
        <f>HYPERLINK("https://pbs.twimg.com/ext_tw_video_thumb/1701387802582138880/pu/img/VzhLjNFWimOJZhVm.jpg")</f>
        <v>https://pbs.twimg.com/ext_tw_video_thumb/1701387802582138880/pu/img/VzhLjNFWimOJZhVm.jpg</v>
      </c>
      <c r="AW1351" s="82" t="s">
        <v>18124</v>
      </c>
      <c r="AX1351" s="82" t="s">
        <v>18124</v>
      </c>
      <c r="AY1351" s="77"/>
      <c r="AZ1351" s="82" t="s">
        <v>20971</v>
      </c>
      <c r="BA1351" s="82" t="s">
        <v>20971</v>
      </c>
      <c r="BB1351" s="82" t="s">
        <v>20971</v>
      </c>
      <c r="BC1351" s="82" t="s">
        <v>18124</v>
      </c>
      <c r="BD1351" s="82" t="s">
        <v>21230</v>
      </c>
      <c r="BE1351" s="77"/>
      <c r="BF1351" s="77"/>
      <c r="BG1351" s="77"/>
      <c r="BH1351" s="77"/>
      <c r="BI1351" s="77"/>
    </row>
    <row r="1352" spans="1:61" x14ac:dyDescent="0.25">
      <c r="A1352" s="62" t="s">
        <v>521</v>
      </c>
      <c r="B1352" s="62" t="s">
        <v>521</v>
      </c>
      <c r="C1352" s="63"/>
      <c r="D1352" s="64"/>
      <c r="E1352" s="65"/>
      <c r="F1352" s="66"/>
      <c r="G1352" s="63"/>
      <c r="H1352" s="67"/>
      <c r="I1352" s="68"/>
      <c r="J1352" s="68"/>
      <c r="K1352" s="32"/>
      <c r="L1352" s="75">
        <v>1352</v>
      </c>
      <c r="M1352" s="75"/>
      <c r="N1352" s="70"/>
      <c r="O1352" s="77" t="s">
        <v>179</v>
      </c>
      <c r="P1352" s="79">
        <v>45071.848993055559</v>
      </c>
      <c r="Q1352" s="77" t="s">
        <v>2596</v>
      </c>
      <c r="R1352" s="77">
        <v>0</v>
      </c>
      <c r="S1352" s="77">
        <v>0</v>
      </c>
      <c r="T1352" s="77">
        <v>0</v>
      </c>
      <c r="U1352" s="77">
        <v>0</v>
      </c>
      <c r="V1352" s="77">
        <v>50</v>
      </c>
      <c r="W1352" s="82" t="s">
        <v>5729</v>
      </c>
      <c r="X1352" s="77"/>
      <c r="Y1352" s="77"/>
      <c r="Z1352" s="77"/>
      <c r="AA1352" s="77" t="s">
        <v>8058</v>
      </c>
      <c r="AB1352" s="77" t="s">
        <v>10130</v>
      </c>
      <c r="AC1352" s="82" t="s">
        <v>10144</v>
      </c>
      <c r="AD1352" s="77" t="s">
        <v>10184</v>
      </c>
      <c r="AE1352" s="80" t="str">
        <f>HYPERLINK("https://twitter.com/carinagchagas/status/1661830131206201352")</f>
        <v>https://twitter.com/carinagchagas/status/1661830131206201352</v>
      </c>
      <c r="AF1352" s="79">
        <v>45071.848993055559</v>
      </c>
      <c r="AG1352" s="85">
        <v>45071</v>
      </c>
      <c r="AH1352" s="82" t="s">
        <v>11495</v>
      </c>
      <c r="AI1352" s="77" t="b">
        <v>0</v>
      </c>
      <c r="AJ1352" s="77"/>
      <c r="AK1352" s="77"/>
      <c r="AL1352" s="77"/>
      <c r="AM1352" s="77"/>
      <c r="AN1352" s="77"/>
      <c r="AO1352" s="77"/>
      <c r="AP1352" s="77"/>
      <c r="AQ1352" s="77" t="s">
        <v>14702</v>
      </c>
      <c r="AR1352" s="77"/>
      <c r="AS1352" s="77"/>
      <c r="AT1352" s="77"/>
      <c r="AU1352" s="77"/>
      <c r="AV1352" s="80" t="str">
        <f>HYPERLINK("https://pbs.twimg.com/media/FxABsmtWwAA76wV.jpg")</f>
        <v>https://pbs.twimg.com/media/FxABsmtWwAA76wV.jpg</v>
      </c>
      <c r="AW1352" s="82" t="s">
        <v>18125</v>
      </c>
      <c r="AX1352" s="82" t="s">
        <v>18125</v>
      </c>
      <c r="AY1352" s="77"/>
      <c r="AZ1352" s="82" t="s">
        <v>20971</v>
      </c>
      <c r="BA1352" s="82" t="s">
        <v>20971</v>
      </c>
      <c r="BB1352" s="82" t="s">
        <v>20971</v>
      </c>
      <c r="BC1352" s="82" t="s">
        <v>18125</v>
      </c>
      <c r="BD1352" s="82" t="s">
        <v>21231</v>
      </c>
      <c r="BE1352" s="77"/>
      <c r="BF1352" s="77"/>
      <c r="BG1352" s="77"/>
      <c r="BH1352" s="77"/>
      <c r="BI1352" s="77"/>
    </row>
    <row r="1353" spans="1:61" x14ac:dyDescent="0.25">
      <c r="A1353" s="62" t="s">
        <v>521</v>
      </c>
      <c r="B1353" s="62" t="s">
        <v>521</v>
      </c>
      <c r="C1353" s="63"/>
      <c r="D1353" s="64"/>
      <c r="E1353" s="65"/>
      <c r="F1353" s="66"/>
      <c r="G1353" s="63"/>
      <c r="H1353" s="67"/>
      <c r="I1353" s="68"/>
      <c r="J1353" s="68"/>
      <c r="K1353" s="32"/>
      <c r="L1353" s="75">
        <v>1353</v>
      </c>
      <c r="M1353" s="75"/>
      <c r="N1353" s="70"/>
      <c r="O1353" s="77" t="s">
        <v>179</v>
      </c>
      <c r="P1353" s="79">
        <v>45070.851331018515</v>
      </c>
      <c r="Q1353" s="77" t="s">
        <v>2597</v>
      </c>
      <c r="R1353" s="77">
        <v>0</v>
      </c>
      <c r="S1353" s="77">
        <v>0</v>
      </c>
      <c r="T1353" s="77">
        <v>0</v>
      </c>
      <c r="U1353" s="77">
        <v>0</v>
      </c>
      <c r="V1353" s="77">
        <v>32</v>
      </c>
      <c r="W1353" s="82" t="s">
        <v>5730</v>
      </c>
      <c r="X1353" s="77"/>
      <c r="Y1353" s="77"/>
      <c r="Z1353" s="77"/>
      <c r="AA1353" s="77" t="s">
        <v>8059</v>
      </c>
      <c r="AB1353" s="77" t="s">
        <v>10130</v>
      </c>
      <c r="AC1353" s="82" t="s">
        <v>10146</v>
      </c>
      <c r="AD1353" s="77" t="s">
        <v>10184</v>
      </c>
      <c r="AE1353" s="80" t="str">
        <f>HYPERLINK("https://twitter.com/carinagchagas/status/1661468592796233728")</f>
        <v>https://twitter.com/carinagchagas/status/1661468592796233728</v>
      </c>
      <c r="AF1353" s="79">
        <v>45070.851331018515</v>
      </c>
      <c r="AG1353" s="85">
        <v>45070</v>
      </c>
      <c r="AH1353" s="82" t="s">
        <v>11496</v>
      </c>
      <c r="AI1353" s="77" t="b">
        <v>0</v>
      </c>
      <c r="AJ1353" s="77"/>
      <c r="AK1353" s="77"/>
      <c r="AL1353" s="77"/>
      <c r="AM1353" s="77"/>
      <c r="AN1353" s="77"/>
      <c r="AO1353" s="77"/>
      <c r="AP1353" s="77"/>
      <c r="AQ1353" s="77" t="s">
        <v>14703</v>
      </c>
      <c r="AR1353" s="77"/>
      <c r="AS1353" s="77"/>
      <c r="AT1353" s="77"/>
      <c r="AU1353" s="77"/>
      <c r="AV1353" s="80" t="str">
        <f>HYPERLINK("https://pbs.twimg.com/media/Fw64PiVWYAAwyM6.jpg")</f>
        <v>https://pbs.twimg.com/media/Fw64PiVWYAAwyM6.jpg</v>
      </c>
      <c r="AW1353" s="82" t="s">
        <v>18126</v>
      </c>
      <c r="AX1353" s="82" t="s">
        <v>18126</v>
      </c>
      <c r="AY1353" s="77"/>
      <c r="AZ1353" s="82" t="s">
        <v>20971</v>
      </c>
      <c r="BA1353" s="82" t="s">
        <v>20971</v>
      </c>
      <c r="BB1353" s="82" t="s">
        <v>20971</v>
      </c>
      <c r="BC1353" s="82" t="s">
        <v>18126</v>
      </c>
      <c r="BD1353" s="82" t="s">
        <v>21231</v>
      </c>
      <c r="BE1353" s="77"/>
      <c r="BF1353" s="77"/>
      <c r="BG1353" s="77"/>
      <c r="BH1353" s="77"/>
      <c r="BI1353" s="77"/>
    </row>
    <row r="1354" spans="1:61" x14ac:dyDescent="0.25">
      <c r="A1354" s="62" t="s">
        <v>521</v>
      </c>
      <c r="B1354" s="62" t="s">
        <v>521</v>
      </c>
      <c r="C1354" s="63"/>
      <c r="D1354" s="64"/>
      <c r="E1354" s="65"/>
      <c r="F1354" s="66"/>
      <c r="G1354" s="63"/>
      <c r="H1354" s="67"/>
      <c r="I1354" s="68"/>
      <c r="J1354" s="68"/>
      <c r="K1354" s="32"/>
      <c r="L1354" s="75">
        <v>1354</v>
      </c>
      <c r="M1354" s="75"/>
      <c r="N1354" s="70"/>
      <c r="O1354" s="77" t="s">
        <v>179</v>
      </c>
      <c r="P1354" s="79">
        <v>45070.839143518519</v>
      </c>
      <c r="Q1354" s="77" t="s">
        <v>2598</v>
      </c>
      <c r="R1354" s="77">
        <v>0</v>
      </c>
      <c r="S1354" s="77">
        <v>0</v>
      </c>
      <c r="T1354" s="77">
        <v>0</v>
      </c>
      <c r="U1354" s="77">
        <v>0</v>
      </c>
      <c r="V1354" s="77">
        <v>69</v>
      </c>
      <c r="W1354" s="82" t="s">
        <v>5731</v>
      </c>
      <c r="X1354" s="77"/>
      <c r="Y1354" s="77"/>
      <c r="Z1354" s="77"/>
      <c r="AA1354" s="77"/>
      <c r="AB1354" s="77"/>
      <c r="AC1354" s="82" t="s">
        <v>10146</v>
      </c>
      <c r="AD1354" s="77" t="s">
        <v>10184</v>
      </c>
      <c r="AE1354" s="80" t="str">
        <f>HYPERLINK("https://twitter.com/carinagchagas/status/1661464174784905221")</f>
        <v>https://twitter.com/carinagchagas/status/1661464174784905221</v>
      </c>
      <c r="AF1354" s="79">
        <v>45070.839143518519</v>
      </c>
      <c r="AG1354" s="85">
        <v>45070</v>
      </c>
      <c r="AH1354" s="82" t="s">
        <v>11497</v>
      </c>
      <c r="AI1354" s="77"/>
      <c r="AJ1354" s="77"/>
      <c r="AK1354" s="77"/>
      <c r="AL1354" s="77"/>
      <c r="AM1354" s="77"/>
      <c r="AN1354" s="77"/>
      <c r="AO1354" s="77"/>
      <c r="AP1354" s="77"/>
      <c r="AQ1354" s="77"/>
      <c r="AR1354" s="77"/>
      <c r="AS1354" s="77"/>
      <c r="AT1354" s="77"/>
      <c r="AU1354" s="77"/>
      <c r="AV1354" s="80" t="str">
        <f>HYPERLINK("https://pbs.twimg.com/profile_images/1661465880121815041/ND3BB3Ji_normal.jpg")</f>
        <v>https://pbs.twimg.com/profile_images/1661465880121815041/ND3BB3Ji_normal.jpg</v>
      </c>
      <c r="AW1354" s="82" t="s">
        <v>18127</v>
      </c>
      <c r="AX1354" s="82" t="s">
        <v>18127</v>
      </c>
      <c r="AY1354" s="77"/>
      <c r="AZ1354" s="82" t="s">
        <v>20971</v>
      </c>
      <c r="BA1354" s="82" t="s">
        <v>20971</v>
      </c>
      <c r="BB1354" s="82" t="s">
        <v>20971</v>
      </c>
      <c r="BC1354" s="82" t="s">
        <v>18127</v>
      </c>
      <c r="BD1354" s="82" t="s">
        <v>21231</v>
      </c>
      <c r="BE1354" s="77"/>
      <c r="BF1354" s="77"/>
      <c r="BG1354" s="77"/>
      <c r="BH1354" s="77"/>
      <c r="BI1354" s="77"/>
    </row>
    <row r="1355" spans="1:61" x14ac:dyDescent="0.25">
      <c r="A1355" s="62" t="s">
        <v>522</v>
      </c>
      <c r="B1355" s="62" t="s">
        <v>1250</v>
      </c>
      <c r="C1355" s="63"/>
      <c r="D1355" s="64"/>
      <c r="E1355" s="65"/>
      <c r="F1355" s="66"/>
      <c r="G1355" s="63"/>
      <c r="H1355" s="67"/>
      <c r="I1355" s="68"/>
      <c r="J1355" s="68"/>
      <c r="K1355" s="32"/>
      <c r="L1355" s="75">
        <v>1355</v>
      </c>
      <c r="M1355" s="75"/>
      <c r="N1355" s="70"/>
      <c r="O1355" s="77" t="s">
        <v>1285</v>
      </c>
      <c r="P1355" s="79">
        <v>45149.380243055559</v>
      </c>
      <c r="Q1355" s="77" t="s">
        <v>2599</v>
      </c>
      <c r="R1355" s="77">
        <v>0</v>
      </c>
      <c r="S1355" s="77">
        <v>0</v>
      </c>
      <c r="T1355" s="77">
        <v>0</v>
      </c>
      <c r="U1355" s="77">
        <v>0</v>
      </c>
      <c r="V1355" s="77">
        <v>22</v>
      </c>
      <c r="W1355" s="82" t="s">
        <v>5732</v>
      </c>
      <c r="X1355" s="80" t="str">
        <f>HYPERLINK("https://freecash.com/r/118435436747203637008")</f>
        <v>https://freecash.com/r/118435436747203637008</v>
      </c>
      <c r="Y1355" s="77" t="s">
        <v>7334</v>
      </c>
      <c r="Z1355" s="77" t="s">
        <v>1250</v>
      </c>
      <c r="AA1355" s="77"/>
      <c r="AB1355" s="77"/>
      <c r="AC1355" s="82" t="s">
        <v>10146</v>
      </c>
      <c r="AD1355" s="77" t="s">
        <v>10184</v>
      </c>
      <c r="AE1355" s="80" t="str">
        <f>HYPERLINK("https://twitter.com/paradisebeache2/status/1689926515113267200")</f>
        <v>https://twitter.com/paradisebeache2/status/1689926515113267200</v>
      </c>
      <c r="AF1355" s="79">
        <v>45149.380243055559</v>
      </c>
      <c r="AG1355" s="85">
        <v>45149</v>
      </c>
      <c r="AH1355" s="82" t="s">
        <v>11498</v>
      </c>
      <c r="AI1355" s="77" t="b">
        <v>0</v>
      </c>
      <c r="AJ1355" s="77"/>
      <c r="AK1355" s="77"/>
      <c r="AL1355" s="77"/>
      <c r="AM1355" s="77"/>
      <c r="AN1355" s="77"/>
      <c r="AO1355" s="77"/>
      <c r="AP1355" s="77"/>
      <c r="AQ1355" s="77"/>
      <c r="AR1355" s="77"/>
      <c r="AS1355" s="77"/>
      <c r="AT1355" s="77"/>
      <c r="AU1355" s="77"/>
      <c r="AV1355" s="80" t="str">
        <f>HYPERLINK("https://pbs.twimg.com/profile_images/1547421418693984257/ay-2i5fR_normal.jpg")</f>
        <v>https://pbs.twimg.com/profile_images/1547421418693984257/ay-2i5fR_normal.jpg</v>
      </c>
      <c r="AW1355" s="82" t="s">
        <v>18128</v>
      </c>
      <c r="AX1355" s="82" t="s">
        <v>18128</v>
      </c>
      <c r="AY1355" s="77"/>
      <c r="AZ1355" s="82" t="s">
        <v>20971</v>
      </c>
      <c r="BA1355" s="82" t="s">
        <v>20971</v>
      </c>
      <c r="BB1355" s="82" t="s">
        <v>20971</v>
      </c>
      <c r="BC1355" s="82" t="s">
        <v>18128</v>
      </c>
      <c r="BD1355" s="82" t="s">
        <v>21232</v>
      </c>
      <c r="BE1355" s="77"/>
      <c r="BF1355" s="77"/>
      <c r="BG1355" s="77"/>
      <c r="BH1355" s="77"/>
      <c r="BI1355" s="77"/>
    </row>
    <row r="1356" spans="1:61" x14ac:dyDescent="0.25">
      <c r="A1356" s="62" t="s">
        <v>523</v>
      </c>
      <c r="B1356" s="62" t="s">
        <v>523</v>
      </c>
      <c r="C1356" s="63"/>
      <c r="D1356" s="64"/>
      <c r="E1356" s="65"/>
      <c r="F1356" s="66"/>
      <c r="G1356" s="63"/>
      <c r="H1356" s="67"/>
      <c r="I1356" s="68"/>
      <c r="J1356" s="68"/>
      <c r="K1356" s="32"/>
      <c r="L1356" s="75">
        <v>1356</v>
      </c>
      <c r="M1356" s="75"/>
      <c r="N1356" s="70"/>
      <c r="O1356" s="77" t="s">
        <v>179</v>
      </c>
      <c r="P1356" s="79">
        <v>44987.457430555558</v>
      </c>
      <c r="Q1356" s="77" t="s">
        <v>2600</v>
      </c>
      <c r="R1356" s="77">
        <v>0</v>
      </c>
      <c r="S1356" s="77">
        <v>0</v>
      </c>
      <c r="T1356" s="77">
        <v>0</v>
      </c>
      <c r="U1356" s="77">
        <v>0</v>
      </c>
      <c r="V1356" s="77">
        <v>53</v>
      </c>
      <c r="W1356" s="82" t="s">
        <v>5733</v>
      </c>
      <c r="X1356" s="80" t="str">
        <f>HYPERLINK("http://bit.ly/Pinlucrativoagatha")</f>
        <v>http://bit.ly/Pinlucrativoagatha</v>
      </c>
      <c r="Y1356" s="77" t="s">
        <v>7268</v>
      </c>
      <c r="Z1356" s="77"/>
      <c r="AA1356" s="77" t="s">
        <v>8060</v>
      </c>
      <c r="AB1356" s="77" t="s">
        <v>10130</v>
      </c>
      <c r="AC1356" s="82" t="s">
        <v>10145</v>
      </c>
      <c r="AD1356" s="77" t="s">
        <v>10184</v>
      </c>
      <c r="AE1356" s="80" t="str">
        <f>HYPERLINK("https://twitter.com/agathac79501121/status/1631247654523994112")</f>
        <v>https://twitter.com/agathac79501121/status/1631247654523994112</v>
      </c>
      <c r="AF1356" s="79">
        <v>44987.457430555558</v>
      </c>
      <c r="AG1356" s="85">
        <v>44987</v>
      </c>
      <c r="AH1356" s="82" t="s">
        <v>11499</v>
      </c>
      <c r="AI1356" s="77" t="b">
        <v>0</v>
      </c>
      <c r="AJ1356" s="77"/>
      <c r="AK1356" s="77"/>
      <c r="AL1356" s="77"/>
      <c r="AM1356" s="77"/>
      <c r="AN1356" s="77"/>
      <c r="AO1356" s="77"/>
      <c r="AP1356" s="77"/>
      <c r="AQ1356" s="77" t="s">
        <v>14704</v>
      </c>
      <c r="AR1356" s="77"/>
      <c r="AS1356" s="77"/>
      <c r="AT1356" s="77"/>
      <c r="AU1356" s="77"/>
      <c r="AV1356" s="80" t="str">
        <f>HYPERLINK("https://pbs.twimg.com/media/FqNbGCzXgAAz4kS.jpg")</f>
        <v>https://pbs.twimg.com/media/FqNbGCzXgAAz4kS.jpg</v>
      </c>
      <c r="AW1356" s="82" t="s">
        <v>18129</v>
      </c>
      <c r="AX1356" s="82" t="s">
        <v>18129</v>
      </c>
      <c r="AY1356" s="77"/>
      <c r="AZ1356" s="82" t="s">
        <v>20971</v>
      </c>
      <c r="BA1356" s="82" t="s">
        <v>20971</v>
      </c>
      <c r="BB1356" s="82" t="s">
        <v>20971</v>
      </c>
      <c r="BC1356" s="82" t="s">
        <v>18129</v>
      </c>
      <c r="BD1356" s="82" t="s">
        <v>21233</v>
      </c>
      <c r="BE1356" s="77"/>
      <c r="BF1356" s="77"/>
      <c r="BG1356" s="77"/>
      <c r="BH1356" s="77"/>
      <c r="BI1356" s="77"/>
    </row>
    <row r="1357" spans="1:61" x14ac:dyDescent="0.25">
      <c r="A1357" s="62" t="s">
        <v>523</v>
      </c>
      <c r="B1357" s="62" t="s">
        <v>523</v>
      </c>
      <c r="C1357" s="63"/>
      <c r="D1357" s="64"/>
      <c r="E1357" s="65"/>
      <c r="F1357" s="66"/>
      <c r="G1357" s="63"/>
      <c r="H1357" s="67"/>
      <c r="I1357" s="68"/>
      <c r="J1357" s="68"/>
      <c r="K1357" s="32"/>
      <c r="L1357" s="75">
        <v>1357</v>
      </c>
      <c r="M1357" s="75"/>
      <c r="N1357" s="70"/>
      <c r="O1357" s="77" t="s">
        <v>179</v>
      </c>
      <c r="P1357" s="79">
        <v>44973.639803240738</v>
      </c>
      <c r="Q1357" s="77" t="s">
        <v>2601</v>
      </c>
      <c r="R1357" s="77">
        <v>0</v>
      </c>
      <c r="S1357" s="77">
        <v>0</v>
      </c>
      <c r="T1357" s="77">
        <v>0</v>
      </c>
      <c r="U1357" s="77">
        <v>0</v>
      </c>
      <c r="V1357" s="77">
        <v>87</v>
      </c>
      <c r="W1357" s="82" t="s">
        <v>5734</v>
      </c>
      <c r="X1357" s="77"/>
      <c r="Y1357" s="77"/>
      <c r="Z1357" s="77"/>
      <c r="AA1357" s="77" t="s">
        <v>8061</v>
      </c>
      <c r="AB1357" s="77" t="s">
        <v>10129</v>
      </c>
      <c r="AC1357" s="82" t="s">
        <v>10145</v>
      </c>
      <c r="AD1357" s="77" t="s">
        <v>10184</v>
      </c>
      <c r="AE1357" s="80" t="str">
        <f>HYPERLINK("https://twitter.com/agathac79501121/status/1626240314838249473")</f>
        <v>https://twitter.com/agathac79501121/status/1626240314838249473</v>
      </c>
      <c r="AF1357" s="79">
        <v>44973.639803240738</v>
      </c>
      <c r="AG1357" s="85">
        <v>44973</v>
      </c>
      <c r="AH1357" s="82" t="s">
        <v>11500</v>
      </c>
      <c r="AI1357" s="77" t="b">
        <v>0</v>
      </c>
      <c r="AJ1357" s="77" t="s">
        <v>14015</v>
      </c>
      <c r="AK1357" s="77" t="s">
        <v>14033</v>
      </c>
      <c r="AL1357" s="77" t="s">
        <v>14035</v>
      </c>
      <c r="AM1357" s="77" t="s">
        <v>14056</v>
      </c>
      <c r="AN1357" s="77" t="s">
        <v>14094</v>
      </c>
      <c r="AO1357" s="77" t="s">
        <v>14131</v>
      </c>
      <c r="AP1357" s="77" t="s">
        <v>14149</v>
      </c>
      <c r="AQ1357" s="77" t="s">
        <v>14705</v>
      </c>
      <c r="AR1357" s="77">
        <v>8433</v>
      </c>
      <c r="AS1357" s="77"/>
      <c r="AT1357" s="77"/>
      <c r="AU1357" s="77"/>
      <c r="AV1357" s="80" t="str">
        <f>HYPERLINK("https://pbs.twimg.com/ext_tw_video_thumb/1626240279153094656/pu/img/WqpBvGUeabWXu7Bd.jpg")</f>
        <v>https://pbs.twimg.com/ext_tw_video_thumb/1626240279153094656/pu/img/WqpBvGUeabWXu7Bd.jpg</v>
      </c>
      <c r="AW1357" s="82" t="s">
        <v>18130</v>
      </c>
      <c r="AX1357" s="82" t="s">
        <v>18130</v>
      </c>
      <c r="AY1357" s="77"/>
      <c r="AZ1357" s="82" t="s">
        <v>20971</v>
      </c>
      <c r="BA1357" s="82" t="s">
        <v>20971</v>
      </c>
      <c r="BB1357" s="82" t="s">
        <v>20971</v>
      </c>
      <c r="BC1357" s="82" t="s">
        <v>18130</v>
      </c>
      <c r="BD1357" s="82" t="s">
        <v>21233</v>
      </c>
      <c r="BE1357" s="77"/>
      <c r="BF1357" s="77"/>
      <c r="BG1357" s="77"/>
      <c r="BH1357" s="77"/>
      <c r="BI1357" s="77"/>
    </row>
    <row r="1358" spans="1:61" x14ac:dyDescent="0.25">
      <c r="A1358" s="62" t="s">
        <v>523</v>
      </c>
      <c r="B1358" s="62" t="s">
        <v>523</v>
      </c>
      <c r="C1358" s="63"/>
      <c r="D1358" s="64"/>
      <c r="E1358" s="65"/>
      <c r="F1358" s="66"/>
      <c r="G1358" s="63"/>
      <c r="H1358" s="67"/>
      <c r="I1358" s="68"/>
      <c r="J1358" s="68"/>
      <c r="K1358" s="32"/>
      <c r="L1358" s="75">
        <v>1358</v>
      </c>
      <c r="M1358" s="75"/>
      <c r="N1358" s="70"/>
      <c r="O1358" s="77" t="s">
        <v>179</v>
      </c>
      <c r="P1358" s="79">
        <v>44973.632974537039</v>
      </c>
      <c r="Q1358" s="77" t="s">
        <v>2602</v>
      </c>
      <c r="R1358" s="77">
        <v>0</v>
      </c>
      <c r="S1358" s="77">
        <v>0</v>
      </c>
      <c r="T1358" s="77">
        <v>1</v>
      </c>
      <c r="U1358" s="77">
        <v>0</v>
      </c>
      <c r="V1358" s="77">
        <v>184</v>
      </c>
      <c r="W1358" s="82" t="s">
        <v>5236</v>
      </c>
      <c r="X1358" s="77"/>
      <c r="Y1358" s="77"/>
      <c r="Z1358" s="77"/>
      <c r="AA1358" s="77" t="s">
        <v>8062</v>
      </c>
      <c r="AB1358" s="77" t="s">
        <v>10130</v>
      </c>
      <c r="AC1358" s="82" t="s">
        <v>10145</v>
      </c>
      <c r="AD1358" s="77" t="s">
        <v>10184</v>
      </c>
      <c r="AE1358" s="80" t="str">
        <f>HYPERLINK("https://twitter.com/agathac79501121/status/1626237838361501696")</f>
        <v>https://twitter.com/agathac79501121/status/1626237838361501696</v>
      </c>
      <c r="AF1358" s="79">
        <v>44973.632974537039</v>
      </c>
      <c r="AG1358" s="85">
        <v>44973</v>
      </c>
      <c r="AH1358" s="82" t="s">
        <v>11501</v>
      </c>
      <c r="AI1358" s="77" t="b">
        <v>0</v>
      </c>
      <c r="AJ1358" s="77"/>
      <c r="AK1358" s="77"/>
      <c r="AL1358" s="77"/>
      <c r="AM1358" s="77"/>
      <c r="AN1358" s="77"/>
      <c r="AO1358" s="77"/>
      <c r="AP1358" s="77"/>
      <c r="AQ1358" s="77" t="s">
        <v>14706</v>
      </c>
      <c r="AR1358" s="77"/>
      <c r="AS1358" s="77"/>
      <c r="AT1358" s="77"/>
      <c r="AU1358" s="77"/>
      <c r="AV1358" s="80" t="str">
        <f>HYPERLINK("https://pbs.twimg.com/media/FpGOsTAWcAAMw-7.jpg")</f>
        <v>https://pbs.twimg.com/media/FpGOsTAWcAAMw-7.jpg</v>
      </c>
      <c r="AW1358" s="82" t="s">
        <v>18131</v>
      </c>
      <c r="AX1358" s="82" t="s">
        <v>18131</v>
      </c>
      <c r="AY1358" s="77"/>
      <c r="AZ1358" s="82" t="s">
        <v>20971</v>
      </c>
      <c r="BA1358" s="82" t="s">
        <v>20971</v>
      </c>
      <c r="BB1358" s="82" t="s">
        <v>20971</v>
      </c>
      <c r="BC1358" s="82" t="s">
        <v>18131</v>
      </c>
      <c r="BD1358" s="82" t="s">
        <v>21233</v>
      </c>
      <c r="BE1358" s="77"/>
      <c r="BF1358" s="77"/>
      <c r="BG1358" s="77"/>
      <c r="BH1358" s="77"/>
      <c r="BI1358" s="77"/>
    </row>
    <row r="1359" spans="1:61" x14ac:dyDescent="0.25">
      <c r="A1359" s="62" t="s">
        <v>523</v>
      </c>
      <c r="B1359" s="62" t="s">
        <v>523</v>
      </c>
      <c r="C1359" s="63"/>
      <c r="D1359" s="64"/>
      <c r="E1359" s="65"/>
      <c r="F1359" s="66"/>
      <c r="G1359" s="63"/>
      <c r="H1359" s="67"/>
      <c r="I1359" s="68"/>
      <c r="J1359" s="68"/>
      <c r="K1359" s="32"/>
      <c r="L1359" s="75">
        <v>1359</v>
      </c>
      <c r="M1359" s="75"/>
      <c r="N1359" s="70"/>
      <c r="O1359" s="77" t="s">
        <v>179</v>
      </c>
      <c r="P1359" s="79">
        <v>44984.43241898148</v>
      </c>
      <c r="Q1359" s="77" t="s">
        <v>2603</v>
      </c>
      <c r="R1359" s="77">
        <v>0</v>
      </c>
      <c r="S1359" s="77">
        <v>0</v>
      </c>
      <c r="T1359" s="77">
        <v>0</v>
      </c>
      <c r="U1359" s="77">
        <v>0</v>
      </c>
      <c r="V1359" s="77">
        <v>54</v>
      </c>
      <c r="W1359" s="82" t="s">
        <v>5735</v>
      </c>
      <c r="X1359" s="80" t="str">
        <f>HYPERLINK("http://bit.ly/Pinlucrativoagatha")</f>
        <v>http://bit.ly/Pinlucrativoagatha</v>
      </c>
      <c r="Y1359" s="77" t="s">
        <v>7268</v>
      </c>
      <c r="Z1359" s="77"/>
      <c r="AA1359" s="77" t="s">
        <v>8063</v>
      </c>
      <c r="AB1359" s="77" t="s">
        <v>10130</v>
      </c>
      <c r="AC1359" s="82" t="s">
        <v>10145</v>
      </c>
      <c r="AD1359" s="77" t="s">
        <v>10184</v>
      </c>
      <c r="AE1359" s="80" t="str">
        <f>HYPERLINK("https://twitter.com/agathac79501121/status/1630151424955883520")</f>
        <v>https://twitter.com/agathac79501121/status/1630151424955883520</v>
      </c>
      <c r="AF1359" s="79">
        <v>44984.43241898148</v>
      </c>
      <c r="AG1359" s="85">
        <v>44984</v>
      </c>
      <c r="AH1359" s="82" t="s">
        <v>11502</v>
      </c>
      <c r="AI1359" s="77" t="b">
        <v>0</v>
      </c>
      <c r="AJ1359" s="77"/>
      <c r="AK1359" s="77"/>
      <c r="AL1359" s="77"/>
      <c r="AM1359" s="77"/>
      <c r="AN1359" s="77"/>
      <c r="AO1359" s="77"/>
      <c r="AP1359" s="77"/>
      <c r="AQ1359" s="77" t="s">
        <v>14707</v>
      </c>
      <c r="AR1359" s="77"/>
      <c r="AS1359" s="77"/>
      <c r="AT1359" s="77"/>
      <c r="AU1359" s="77"/>
      <c r="AV1359" s="80" t="str">
        <f>HYPERLINK("https://pbs.twimg.com/media/Fp92FIBWcAEIP-i.jpg")</f>
        <v>https://pbs.twimg.com/media/Fp92FIBWcAEIP-i.jpg</v>
      </c>
      <c r="AW1359" s="82" t="s">
        <v>18132</v>
      </c>
      <c r="AX1359" s="82" t="s">
        <v>18132</v>
      </c>
      <c r="AY1359" s="77"/>
      <c r="AZ1359" s="82" t="s">
        <v>20971</v>
      </c>
      <c r="BA1359" s="82" t="s">
        <v>20971</v>
      </c>
      <c r="BB1359" s="82" t="s">
        <v>20971</v>
      </c>
      <c r="BC1359" s="82" t="s">
        <v>18132</v>
      </c>
      <c r="BD1359" s="82" t="s">
        <v>21233</v>
      </c>
      <c r="BE1359" s="77"/>
      <c r="BF1359" s="77"/>
      <c r="BG1359" s="77"/>
      <c r="BH1359" s="77"/>
      <c r="BI1359" s="77"/>
    </row>
    <row r="1360" spans="1:61" x14ac:dyDescent="0.25">
      <c r="A1360" s="62" t="s">
        <v>523</v>
      </c>
      <c r="B1360" s="62" t="s">
        <v>523</v>
      </c>
      <c r="C1360" s="63"/>
      <c r="D1360" s="64"/>
      <c r="E1360" s="65"/>
      <c r="F1360" s="66"/>
      <c r="G1360" s="63"/>
      <c r="H1360" s="67"/>
      <c r="I1360" s="68"/>
      <c r="J1360" s="68"/>
      <c r="K1360" s="32"/>
      <c r="L1360" s="75">
        <v>1360</v>
      </c>
      <c r="M1360" s="75"/>
      <c r="N1360" s="70"/>
      <c r="O1360" s="77" t="s">
        <v>179</v>
      </c>
      <c r="P1360" s="79">
        <v>44984.428148148145</v>
      </c>
      <c r="Q1360" s="77" t="s">
        <v>2604</v>
      </c>
      <c r="R1360" s="77">
        <v>0</v>
      </c>
      <c r="S1360" s="77">
        <v>0</v>
      </c>
      <c r="T1360" s="77">
        <v>0</v>
      </c>
      <c r="U1360" s="77">
        <v>0</v>
      </c>
      <c r="V1360" s="77">
        <v>126</v>
      </c>
      <c r="W1360" s="82" t="s">
        <v>5736</v>
      </c>
      <c r="X1360" s="80" t="str">
        <f>HYPERLINK("http://bit.ly/Pinlucrativoagatha")</f>
        <v>http://bit.ly/Pinlucrativoagatha</v>
      </c>
      <c r="Y1360" s="77" t="s">
        <v>7268</v>
      </c>
      <c r="Z1360" s="77"/>
      <c r="AA1360" s="77" t="s">
        <v>8064</v>
      </c>
      <c r="AB1360" s="77" t="s">
        <v>10129</v>
      </c>
      <c r="AC1360" s="82" t="s">
        <v>10145</v>
      </c>
      <c r="AD1360" s="77" t="s">
        <v>10184</v>
      </c>
      <c r="AE1360" s="80" t="str">
        <f>HYPERLINK("https://twitter.com/agathac79501121/status/1630149878432030720")</f>
        <v>https://twitter.com/agathac79501121/status/1630149878432030720</v>
      </c>
      <c r="AF1360" s="79">
        <v>44984.428148148145</v>
      </c>
      <c r="AG1360" s="85">
        <v>44984</v>
      </c>
      <c r="AH1360" s="82" t="s">
        <v>11503</v>
      </c>
      <c r="AI1360" s="77" t="b">
        <v>0</v>
      </c>
      <c r="AJ1360" s="77" t="s">
        <v>14015</v>
      </c>
      <c r="AK1360" s="77" t="s">
        <v>14033</v>
      </c>
      <c r="AL1360" s="77" t="s">
        <v>14035</v>
      </c>
      <c r="AM1360" s="77" t="s">
        <v>14056</v>
      </c>
      <c r="AN1360" s="77" t="s">
        <v>14094</v>
      </c>
      <c r="AO1360" s="77" t="s">
        <v>14131</v>
      </c>
      <c r="AP1360" s="77" t="s">
        <v>14149</v>
      </c>
      <c r="AQ1360" s="77" t="s">
        <v>14708</v>
      </c>
      <c r="AR1360" s="77">
        <v>7100</v>
      </c>
      <c r="AS1360" s="77"/>
      <c r="AT1360" s="77"/>
      <c r="AU1360" s="77"/>
      <c r="AV1360" s="80" t="str">
        <f>HYPERLINK("https://pbs.twimg.com/ext_tw_video_thumb/1630149852834279424/pu/img/d2lEMN2zADdU9wRc.jpg")</f>
        <v>https://pbs.twimg.com/ext_tw_video_thumb/1630149852834279424/pu/img/d2lEMN2zADdU9wRc.jpg</v>
      </c>
      <c r="AW1360" s="82" t="s">
        <v>18133</v>
      </c>
      <c r="AX1360" s="82" t="s">
        <v>18133</v>
      </c>
      <c r="AY1360" s="77"/>
      <c r="AZ1360" s="82" t="s">
        <v>20971</v>
      </c>
      <c r="BA1360" s="82" t="s">
        <v>20971</v>
      </c>
      <c r="BB1360" s="82" t="s">
        <v>20971</v>
      </c>
      <c r="BC1360" s="82" t="s">
        <v>18133</v>
      </c>
      <c r="BD1360" s="82" t="s">
        <v>21233</v>
      </c>
      <c r="BE1360" s="77"/>
      <c r="BF1360" s="77"/>
      <c r="BG1360" s="77"/>
      <c r="BH1360" s="77"/>
      <c r="BI1360" s="77"/>
    </row>
    <row r="1361" spans="1:61" x14ac:dyDescent="0.25">
      <c r="A1361" s="62" t="s">
        <v>523</v>
      </c>
      <c r="B1361" s="62" t="s">
        <v>523</v>
      </c>
      <c r="C1361" s="63"/>
      <c r="D1361" s="64"/>
      <c r="E1361" s="65"/>
      <c r="F1361" s="66"/>
      <c r="G1361" s="63"/>
      <c r="H1361" s="67"/>
      <c r="I1361" s="68"/>
      <c r="J1361" s="68"/>
      <c r="K1361" s="32"/>
      <c r="L1361" s="75">
        <v>1361</v>
      </c>
      <c r="M1361" s="75"/>
      <c r="N1361" s="70"/>
      <c r="O1361" s="77" t="s">
        <v>179</v>
      </c>
      <c r="P1361" s="79">
        <v>44982.80641203704</v>
      </c>
      <c r="Q1361" s="77" t="s">
        <v>2605</v>
      </c>
      <c r="R1361" s="77">
        <v>0</v>
      </c>
      <c r="S1361" s="77">
        <v>0</v>
      </c>
      <c r="T1361" s="77">
        <v>0</v>
      </c>
      <c r="U1361" s="77">
        <v>0</v>
      </c>
      <c r="V1361" s="77">
        <v>31</v>
      </c>
      <c r="W1361" s="82" t="s">
        <v>5737</v>
      </c>
      <c r="X1361" s="80" t="str">
        <f>HYPERLINK("http://bit.ly/Pinlucrativoagatha")</f>
        <v>http://bit.ly/Pinlucrativoagatha</v>
      </c>
      <c r="Y1361" s="77" t="s">
        <v>7268</v>
      </c>
      <c r="Z1361" s="77"/>
      <c r="AA1361" s="77" t="s">
        <v>8065</v>
      </c>
      <c r="AB1361" s="77" t="s">
        <v>10130</v>
      </c>
      <c r="AC1361" s="82" t="s">
        <v>10145</v>
      </c>
      <c r="AD1361" s="77" t="s">
        <v>10184</v>
      </c>
      <c r="AE1361" s="80" t="str">
        <f>HYPERLINK("https://twitter.com/agathac79501121/status/1629562179295772673")</f>
        <v>https://twitter.com/agathac79501121/status/1629562179295772673</v>
      </c>
      <c r="AF1361" s="79">
        <v>44982.80641203704</v>
      </c>
      <c r="AG1361" s="85">
        <v>44982</v>
      </c>
      <c r="AH1361" s="82" t="s">
        <v>11504</v>
      </c>
      <c r="AI1361" s="77" t="b">
        <v>0</v>
      </c>
      <c r="AJ1361" s="77" t="s">
        <v>14015</v>
      </c>
      <c r="AK1361" s="77" t="s">
        <v>14033</v>
      </c>
      <c r="AL1361" s="77" t="s">
        <v>14035</v>
      </c>
      <c r="AM1361" s="77" t="s">
        <v>14056</v>
      </c>
      <c r="AN1361" s="77" t="s">
        <v>14094</v>
      </c>
      <c r="AO1361" s="77" t="s">
        <v>14131</v>
      </c>
      <c r="AP1361" s="77" t="s">
        <v>14149</v>
      </c>
      <c r="AQ1361" s="77" t="s">
        <v>14709</v>
      </c>
      <c r="AR1361" s="77"/>
      <c r="AS1361" s="77"/>
      <c r="AT1361" s="77"/>
      <c r="AU1361" s="77"/>
      <c r="AV1361" s="80" t="str">
        <f>HYPERLINK("https://pbs.twimg.com/media/Fp1eKfsXoAEYdne.jpg")</f>
        <v>https://pbs.twimg.com/media/Fp1eKfsXoAEYdne.jpg</v>
      </c>
      <c r="AW1361" s="82" t="s">
        <v>18134</v>
      </c>
      <c r="AX1361" s="82" t="s">
        <v>18134</v>
      </c>
      <c r="AY1361" s="77"/>
      <c r="AZ1361" s="82" t="s">
        <v>20971</v>
      </c>
      <c r="BA1361" s="82" t="s">
        <v>20971</v>
      </c>
      <c r="BB1361" s="82" t="s">
        <v>20971</v>
      </c>
      <c r="BC1361" s="82" t="s">
        <v>18134</v>
      </c>
      <c r="BD1361" s="82" t="s">
        <v>21233</v>
      </c>
      <c r="BE1361" s="77"/>
      <c r="BF1361" s="77"/>
      <c r="BG1361" s="77"/>
      <c r="BH1361" s="77"/>
      <c r="BI1361" s="77"/>
    </row>
    <row r="1362" spans="1:61" x14ac:dyDescent="0.25">
      <c r="A1362" s="62" t="s">
        <v>523</v>
      </c>
      <c r="B1362" s="62" t="s">
        <v>523</v>
      </c>
      <c r="C1362" s="63"/>
      <c r="D1362" s="64"/>
      <c r="E1362" s="65"/>
      <c r="F1362" s="66"/>
      <c r="G1362" s="63"/>
      <c r="H1362" s="67"/>
      <c r="I1362" s="68"/>
      <c r="J1362" s="68"/>
      <c r="K1362" s="32"/>
      <c r="L1362" s="75">
        <v>1362</v>
      </c>
      <c r="M1362" s="75"/>
      <c r="N1362" s="70"/>
      <c r="O1362" s="77" t="s">
        <v>179</v>
      </c>
      <c r="P1362" s="79">
        <v>44982.805694444447</v>
      </c>
      <c r="Q1362" s="77" t="s">
        <v>2606</v>
      </c>
      <c r="R1362" s="77">
        <v>0</v>
      </c>
      <c r="S1362" s="77">
        <v>0</v>
      </c>
      <c r="T1362" s="77">
        <v>0</v>
      </c>
      <c r="U1362" s="77">
        <v>0</v>
      </c>
      <c r="V1362" s="77">
        <v>82</v>
      </c>
      <c r="W1362" s="82" t="s">
        <v>5738</v>
      </c>
      <c r="X1362" s="80" t="str">
        <f>HYPERLINK("http://bit.ly/Pinlucrativoagatha")</f>
        <v>http://bit.ly/Pinlucrativoagatha</v>
      </c>
      <c r="Y1362" s="77" t="s">
        <v>7268</v>
      </c>
      <c r="Z1362" s="77"/>
      <c r="AA1362" s="77" t="s">
        <v>8066</v>
      </c>
      <c r="AB1362" s="77" t="s">
        <v>10129</v>
      </c>
      <c r="AC1362" s="82" t="s">
        <v>10145</v>
      </c>
      <c r="AD1362" s="77" t="s">
        <v>10184</v>
      </c>
      <c r="AE1362" s="80" t="str">
        <f>HYPERLINK("https://twitter.com/agathac79501121/status/1629561923225243649")</f>
        <v>https://twitter.com/agathac79501121/status/1629561923225243649</v>
      </c>
      <c r="AF1362" s="79">
        <v>44982.805694444447</v>
      </c>
      <c r="AG1362" s="85">
        <v>44982</v>
      </c>
      <c r="AH1362" s="82" t="s">
        <v>11505</v>
      </c>
      <c r="AI1362" s="77" t="b">
        <v>0</v>
      </c>
      <c r="AJ1362" s="77"/>
      <c r="AK1362" s="77"/>
      <c r="AL1362" s="77"/>
      <c r="AM1362" s="77"/>
      <c r="AN1362" s="77"/>
      <c r="AO1362" s="77"/>
      <c r="AP1362" s="77"/>
      <c r="AQ1362" s="77" t="s">
        <v>14710</v>
      </c>
      <c r="AR1362" s="77">
        <v>32445</v>
      </c>
      <c r="AS1362" s="77"/>
      <c r="AT1362" s="77"/>
      <c r="AU1362" s="77"/>
      <c r="AV1362" s="80" t="str">
        <f>HYPERLINK("https://pbs.twimg.com/ext_tw_video_thumb/1629561870733459456/pu/img/l5_b_-6t1eA5J0tN.jpg")</f>
        <v>https://pbs.twimg.com/ext_tw_video_thumb/1629561870733459456/pu/img/l5_b_-6t1eA5J0tN.jpg</v>
      </c>
      <c r="AW1362" s="82" t="s">
        <v>18135</v>
      </c>
      <c r="AX1362" s="82" t="s">
        <v>18135</v>
      </c>
      <c r="AY1362" s="77"/>
      <c r="AZ1362" s="82" t="s">
        <v>20971</v>
      </c>
      <c r="BA1362" s="82" t="s">
        <v>20971</v>
      </c>
      <c r="BB1362" s="82" t="s">
        <v>20971</v>
      </c>
      <c r="BC1362" s="82" t="s">
        <v>18135</v>
      </c>
      <c r="BD1362" s="82" t="s">
        <v>21233</v>
      </c>
      <c r="BE1362" s="77"/>
      <c r="BF1362" s="77"/>
      <c r="BG1362" s="77"/>
      <c r="BH1362" s="77"/>
      <c r="BI1362" s="77"/>
    </row>
    <row r="1363" spans="1:61" x14ac:dyDescent="0.25">
      <c r="A1363" s="62" t="s">
        <v>523</v>
      </c>
      <c r="B1363" s="62" t="s">
        <v>523</v>
      </c>
      <c r="C1363" s="63"/>
      <c r="D1363" s="64"/>
      <c r="E1363" s="65"/>
      <c r="F1363" s="66"/>
      <c r="G1363" s="63"/>
      <c r="H1363" s="67"/>
      <c r="I1363" s="68"/>
      <c r="J1363" s="68"/>
      <c r="K1363" s="32"/>
      <c r="L1363" s="75">
        <v>1363</v>
      </c>
      <c r="M1363" s="75"/>
      <c r="N1363" s="70"/>
      <c r="O1363" s="77" t="s">
        <v>179</v>
      </c>
      <c r="P1363" s="79">
        <v>44982.803310185183</v>
      </c>
      <c r="Q1363" s="77" t="s">
        <v>2607</v>
      </c>
      <c r="R1363" s="77">
        <v>0</v>
      </c>
      <c r="S1363" s="77">
        <v>0</v>
      </c>
      <c r="T1363" s="77">
        <v>0</v>
      </c>
      <c r="U1363" s="77">
        <v>0</v>
      </c>
      <c r="V1363" s="77">
        <v>64</v>
      </c>
      <c r="W1363" s="82" t="s">
        <v>5738</v>
      </c>
      <c r="X1363" s="80" t="str">
        <f>HYPERLINK("http://bit.ly/Pinlucrativoagatha")</f>
        <v>http://bit.ly/Pinlucrativoagatha</v>
      </c>
      <c r="Y1363" s="77" t="s">
        <v>7268</v>
      </c>
      <c r="Z1363" s="77"/>
      <c r="AA1363" s="77" t="s">
        <v>8067</v>
      </c>
      <c r="AB1363" s="77" t="s">
        <v>10130</v>
      </c>
      <c r="AC1363" s="82" t="s">
        <v>10145</v>
      </c>
      <c r="AD1363" s="77" t="s">
        <v>10184</v>
      </c>
      <c r="AE1363" s="80" t="str">
        <f>HYPERLINK("https://twitter.com/agathac79501121/status/1629561057831276545")</f>
        <v>https://twitter.com/agathac79501121/status/1629561057831276545</v>
      </c>
      <c r="AF1363" s="79">
        <v>44982.803310185183</v>
      </c>
      <c r="AG1363" s="85">
        <v>44982</v>
      </c>
      <c r="AH1363" s="82" t="s">
        <v>11506</v>
      </c>
      <c r="AI1363" s="77" t="b">
        <v>0</v>
      </c>
      <c r="AJ1363" s="77"/>
      <c r="AK1363" s="77"/>
      <c r="AL1363" s="77"/>
      <c r="AM1363" s="77"/>
      <c r="AN1363" s="77"/>
      <c r="AO1363" s="77"/>
      <c r="AP1363" s="77"/>
      <c r="AQ1363" s="77" t="s">
        <v>14711</v>
      </c>
      <c r="AR1363" s="77"/>
      <c r="AS1363" s="77"/>
      <c r="AT1363" s="77"/>
      <c r="AU1363" s="77"/>
      <c r="AV1363" s="80" t="str">
        <f>HYPERLINK("https://pbs.twimg.com/media/Fp1dJOOWwAE5LH_.jpg")</f>
        <v>https://pbs.twimg.com/media/Fp1dJOOWwAE5LH_.jpg</v>
      </c>
      <c r="AW1363" s="82" t="s">
        <v>18136</v>
      </c>
      <c r="AX1363" s="82" t="s">
        <v>18136</v>
      </c>
      <c r="AY1363" s="77"/>
      <c r="AZ1363" s="82" t="s">
        <v>20971</v>
      </c>
      <c r="BA1363" s="82" t="s">
        <v>20971</v>
      </c>
      <c r="BB1363" s="82" t="s">
        <v>20971</v>
      </c>
      <c r="BC1363" s="82" t="s">
        <v>18136</v>
      </c>
      <c r="BD1363" s="82" t="s">
        <v>21233</v>
      </c>
      <c r="BE1363" s="77"/>
      <c r="BF1363" s="77"/>
      <c r="BG1363" s="77"/>
      <c r="BH1363" s="77"/>
      <c r="BI1363" s="77"/>
    </row>
    <row r="1364" spans="1:61" x14ac:dyDescent="0.25">
      <c r="A1364" s="62" t="s">
        <v>523</v>
      </c>
      <c r="B1364" s="62" t="s">
        <v>523</v>
      </c>
      <c r="C1364" s="63"/>
      <c r="D1364" s="64"/>
      <c r="E1364" s="65"/>
      <c r="F1364" s="66"/>
      <c r="G1364" s="63"/>
      <c r="H1364" s="67"/>
      <c r="I1364" s="68"/>
      <c r="J1364" s="68"/>
      <c r="K1364" s="32"/>
      <c r="L1364" s="75">
        <v>1364</v>
      </c>
      <c r="M1364" s="75"/>
      <c r="N1364" s="70"/>
      <c r="O1364" s="77" t="s">
        <v>179</v>
      </c>
      <c r="P1364" s="79">
        <v>44977.743564814817</v>
      </c>
      <c r="Q1364" s="77" t="s">
        <v>2608</v>
      </c>
      <c r="R1364" s="77">
        <v>0</v>
      </c>
      <c r="S1364" s="77">
        <v>0</v>
      </c>
      <c r="T1364" s="77">
        <v>0</v>
      </c>
      <c r="U1364" s="77">
        <v>0</v>
      </c>
      <c r="V1364" s="77">
        <v>39</v>
      </c>
      <c r="W1364" s="82" t="s">
        <v>5739</v>
      </c>
      <c r="X1364" s="80" t="str">
        <f>HYPERLINK("https://pin.it/ZZSlRmR")</f>
        <v>https://pin.it/ZZSlRmR</v>
      </c>
      <c r="Y1364" s="77" t="s">
        <v>7335</v>
      </c>
      <c r="Z1364" s="77"/>
      <c r="AA1364" s="77" t="s">
        <v>8068</v>
      </c>
      <c r="AB1364" s="77" t="s">
        <v>10130</v>
      </c>
      <c r="AC1364" s="82" t="s">
        <v>10145</v>
      </c>
      <c r="AD1364" s="77" t="s">
        <v>10184</v>
      </c>
      <c r="AE1364" s="80" t="str">
        <f>HYPERLINK("https://twitter.com/agathac79501121/status/1627727468395102208")</f>
        <v>https://twitter.com/agathac79501121/status/1627727468395102208</v>
      </c>
      <c r="AF1364" s="79">
        <v>44977.743564814817</v>
      </c>
      <c r="AG1364" s="85">
        <v>44977</v>
      </c>
      <c r="AH1364" s="82" t="s">
        <v>11507</v>
      </c>
      <c r="AI1364" s="77" t="b">
        <v>0</v>
      </c>
      <c r="AJ1364" s="77" t="s">
        <v>14015</v>
      </c>
      <c r="AK1364" s="77" t="s">
        <v>14033</v>
      </c>
      <c r="AL1364" s="77" t="s">
        <v>14035</v>
      </c>
      <c r="AM1364" s="77" t="s">
        <v>14056</v>
      </c>
      <c r="AN1364" s="77" t="s">
        <v>14094</v>
      </c>
      <c r="AO1364" s="77" t="s">
        <v>14131</v>
      </c>
      <c r="AP1364" s="77" t="s">
        <v>14149</v>
      </c>
      <c r="AQ1364" s="77" t="s">
        <v>14712</v>
      </c>
      <c r="AR1364" s="77"/>
      <c r="AS1364" s="77"/>
      <c r="AT1364" s="77"/>
      <c r="AU1364" s="77"/>
      <c r="AV1364" s="80" t="str">
        <f>HYPERLINK("https://pbs.twimg.com/media/FpbZfh7XEBMjlNA.jpg")</f>
        <v>https://pbs.twimg.com/media/FpbZfh7XEBMjlNA.jpg</v>
      </c>
      <c r="AW1364" s="82" t="s">
        <v>18137</v>
      </c>
      <c r="AX1364" s="82" t="s">
        <v>18137</v>
      </c>
      <c r="AY1364" s="77"/>
      <c r="AZ1364" s="82" t="s">
        <v>20971</v>
      </c>
      <c r="BA1364" s="82" t="s">
        <v>20971</v>
      </c>
      <c r="BB1364" s="82" t="s">
        <v>20971</v>
      </c>
      <c r="BC1364" s="82" t="s">
        <v>18137</v>
      </c>
      <c r="BD1364" s="82" t="s">
        <v>21233</v>
      </c>
      <c r="BE1364" s="77"/>
      <c r="BF1364" s="77"/>
      <c r="BG1364" s="77"/>
      <c r="BH1364" s="77"/>
      <c r="BI1364" s="77"/>
    </row>
    <row r="1365" spans="1:61" x14ac:dyDescent="0.25">
      <c r="A1365" s="62" t="s">
        <v>523</v>
      </c>
      <c r="B1365" s="62" t="s">
        <v>523</v>
      </c>
      <c r="C1365" s="63"/>
      <c r="D1365" s="64"/>
      <c r="E1365" s="65"/>
      <c r="F1365" s="66"/>
      <c r="G1365" s="63"/>
      <c r="H1365" s="67"/>
      <c r="I1365" s="68"/>
      <c r="J1365" s="68"/>
      <c r="K1365" s="32"/>
      <c r="L1365" s="75">
        <v>1365</v>
      </c>
      <c r="M1365" s="75"/>
      <c r="N1365" s="70"/>
      <c r="O1365" s="77" t="s">
        <v>179</v>
      </c>
      <c r="P1365" s="79">
        <v>44977.742048611108</v>
      </c>
      <c r="Q1365" s="77" t="s">
        <v>2609</v>
      </c>
      <c r="R1365" s="77">
        <v>0</v>
      </c>
      <c r="S1365" s="77">
        <v>0</v>
      </c>
      <c r="T1365" s="77">
        <v>0</v>
      </c>
      <c r="U1365" s="77">
        <v>0</v>
      </c>
      <c r="V1365" s="77">
        <v>86</v>
      </c>
      <c r="W1365" s="82" t="s">
        <v>5740</v>
      </c>
      <c r="X1365" s="80" t="str">
        <f>HYPERLINK("https://pin.it/ZZSlRmR")</f>
        <v>https://pin.it/ZZSlRmR</v>
      </c>
      <c r="Y1365" s="77" t="s">
        <v>7335</v>
      </c>
      <c r="Z1365" s="77"/>
      <c r="AA1365" s="77" t="s">
        <v>8069</v>
      </c>
      <c r="AB1365" s="77" t="s">
        <v>10129</v>
      </c>
      <c r="AC1365" s="82" t="s">
        <v>10145</v>
      </c>
      <c r="AD1365" s="77" t="s">
        <v>10184</v>
      </c>
      <c r="AE1365" s="80" t="str">
        <f>HYPERLINK("https://twitter.com/agathac79501121/status/1627726918232539140")</f>
        <v>https://twitter.com/agathac79501121/status/1627726918232539140</v>
      </c>
      <c r="AF1365" s="79">
        <v>44977.742048611108</v>
      </c>
      <c r="AG1365" s="85">
        <v>44977</v>
      </c>
      <c r="AH1365" s="82" t="s">
        <v>11508</v>
      </c>
      <c r="AI1365" s="77" t="b">
        <v>0</v>
      </c>
      <c r="AJ1365" s="77" t="s">
        <v>14015</v>
      </c>
      <c r="AK1365" s="77" t="s">
        <v>14033</v>
      </c>
      <c r="AL1365" s="77" t="s">
        <v>14035</v>
      </c>
      <c r="AM1365" s="77" t="s">
        <v>14056</v>
      </c>
      <c r="AN1365" s="77" t="s">
        <v>14094</v>
      </c>
      <c r="AO1365" s="77" t="s">
        <v>14131</v>
      </c>
      <c r="AP1365" s="77" t="s">
        <v>14149</v>
      </c>
      <c r="AQ1365" s="77" t="s">
        <v>14713</v>
      </c>
      <c r="AR1365" s="77">
        <v>12500</v>
      </c>
      <c r="AS1365" s="77"/>
      <c r="AT1365" s="77"/>
      <c r="AU1365" s="77"/>
      <c r="AV1365" s="80" t="str">
        <f>HYPERLINK("https://pbs.twimg.com/ext_tw_video_thumb/1627726857134084102/pu/img/6S4R1HMWpbap4Da4.jpg")</f>
        <v>https://pbs.twimg.com/ext_tw_video_thumb/1627726857134084102/pu/img/6S4R1HMWpbap4Da4.jpg</v>
      </c>
      <c r="AW1365" s="82" t="s">
        <v>18138</v>
      </c>
      <c r="AX1365" s="82" t="s">
        <v>18138</v>
      </c>
      <c r="AY1365" s="77"/>
      <c r="AZ1365" s="82" t="s">
        <v>20971</v>
      </c>
      <c r="BA1365" s="82" t="s">
        <v>20971</v>
      </c>
      <c r="BB1365" s="82" t="s">
        <v>20971</v>
      </c>
      <c r="BC1365" s="82" t="s">
        <v>18138</v>
      </c>
      <c r="BD1365" s="82" t="s">
        <v>21233</v>
      </c>
      <c r="BE1365" s="77"/>
      <c r="BF1365" s="77"/>
      <c r="BG1365" s="77"/>
      <c r="BH1365" s="77"/>
      <c r="BI1365" s="77"/>
    </row>
    <row r="1366" spans="1:61" x14ac:dyDescent="0.25">
      <c r="A1366" s="62" t="s">
        <v>523</v>
      </c>
      <c r="B1366" s="62" t="s">
        <v>523</v>
      </c>
      <c r="C1366" s="63"/>
      <c r="D1366" s="64"/>
      <c r="E1366" s="65"/>
      <c r="F1366" s="66"/>
      <c r="G1366" s="63"/>
      <c r="H1366" s="67"/>
      <c r="I1366" s="68"/>
      <c r="J1366" s="68"/>
      <c r="K1366" s="32"/>
      <c r="L1366" s="75">
        <v>1366</v>
      </c>
      <c r="M1366" s="75"/>
      <c r="N1366" s="70"/>
      <c r="O1366" s="77" t="s">
        <v>179</v>
      </c>
      <c r="P1366" s="79">
        <v>44977.740798611114</v>
      </c>
      <c r="Q1366" s="77" t="s">
        <v>2610</v>
      </c>
      <c r="R1366" s="77">
        <v>0</v>
      </c>
      <c r="S1366" s="77">
        <v>0</v>
      </c>
      <c r="T1366" s="77">
        <v>0</v>
      </c>
      <c r="U1366" s="77">
        <v>0</v>
      </c>
      <c r="V1366" s="77">
        <v>65</v>
      </c>
      <c r="W1366" s="82" t="s">
        <v>5741</v>
      </c>
      <c r="X1366" s="80" t="str">
        <f>HYPERLINK("https://pin.it/4FJldol")</f>
        <v>https://pin.it/4FJldol</v>
      </c>
      <c r="Y1366" s="77" t="s">
        <v>7335</v>
      </c>
      <c r="Z1366" s="77"/>
      <c r="AA1366" s="77" t="s">
        <v>8070</v>
      </c>
      <c r="AB1366" s="77" t="s">
        <v>10129</v>
      </c>
      <c r="AC1366" s="82" t="s">
        <v>10145</v>
      </c>
      <c r="AD1366" s="77" t="s">
        <v>10184</v>
      </c>
      <c r="AE1366" s="80" t="str">
        <f>HYPERLINK("https://twitter.com/agathac79501121/status/1627726464127737856")</f>
        <v>https://twitter.com/agathac79501121/status/1627726464127737856</v>
      </c>
      <c r="AF1366" s="79">
        <v>44977.740798611114</v>
      </c>
      <c r="AG1366" s="85">
        <v>44977</v>
      </c>
      <c r="AH1366" s="82" t="s">
        <v>11509</v>
      </c>
      <c r="AI1366" s="77" t="b">
        <v>0</v>
      </c>
      <c r="AJ1366" s="77" t="s">
        <v>14015</v>
      </c>
      <c r="AK1366" s="77" t="s">
        <v>14033</v>
      </c>
      <c r="AL1366" s="77" t="s">
        <v>14035</v>
      </c>
      <c r="AM1366" s="77" t="s">
        <v>14056</v>
      </c>
      <c r="AN1366" s="77" t="s">
        <v>14094</v>
      </c>
      <c r="AO1366" s="77" t="s">
        <v>14131</v>
      </c>
      <c r="AP1366" s="77" t="s">
        <v>14149</v>
      </c>
      <c r="AQ1366" s="77" t="s">
        <v>14714</v>
      </c>
      <c r="AR1366" s="77">
        <v>34733</v>
      </c>
      <c r="AS1366" s="77"/>
      <c r="AT1366" s="77"/>
      <c r="AU1366" s="77"/>
      <c r="AV1366" s="80" t="str">
        <f>HYPERLINK("https://pbs.twimg.com/ext_tw_video_thumb/1627726419957583891/pu/img/FmzxnTVkA4zj2idm.jpg")</f>
        <v>https://pbs.twimg.com/ext_tw_video_thumb/1627726419957583891/pu/img/FmzxnTVkA4zj2idm.jpg</v>
      </c>
      <c r="AW1366" s="82" t="s">
        <v>18139</v>
      </c>
      <c r="AX1366" s="82" t="s">
        <v>18139</v>
      </c>
      <c r="AY1366" s="77"/>
      <c r="AZ1366" s="82" t="s">
        <v>20971</v>
      </c>
      <c r="BA1366" s="82" t="s">
        <v>20971</v>
      </c>
      <c r="BB1366" s="82" t="s">
        <v>20971</v>
      </c>
      <c r="BC1366" s="82" t="s">
        <v>18139</v>
      </c>
      <c r="BD1366" s="82" t="s">
        <v>21233</v>
      </c>
      <c r="BE1366" s="77"/>
      <c r="BF1366" s="77"/>
      <c r="BG1366" s="77"/>
      <c r="BH1366" s="77"/>
      <c r="BI1366" s="77"/>
    </row>
    <row r="1367" spans="1:61" x14ac:dyDescent="0.25">
      <c r="A1367" s="62" t="s">
        <v>523</v>
      </c>
      <c r="B1367" s="62" t="s">
        <v>523</v>
      </c>
      <c r="C1367" s="63"/>
      <c r="D1367" s="64"/>
      <c r="E1367" s="65"/>
      <c r="F1367" s="66"/>
      <c r="G1367" s="63"/>
      <c r="H1367" s="67"/>
      <c r="I1367" s="68"/>
      <c r="J1367" s="68"/>
      <c r="K1367" s="32"/>
      <c r="L1367" s="75">
        <v>1367</v>
      </c>
      <c r="M1367" s="75"/>
      <c r="N1367" s="70"/>
      <c r="O1367" s="77" t="s">
        <v>179</v>
      </c>
      <c r="P1367" s="79">
        <v>44977.738888888889</v>
      </c>
      <c r="Q1367" s="77" t="s">
        <v>2611</v>
      </c>
      <c r="R1367" s="77">
        <v>0</v>
      </c>
      <c r="S1367" s="77">
        <v>0</v>
      </c>
      <c r="T1367" s="77">
        <v>0</v>
      </c>
      <c r="U1367" s="77">
        <v>0</v>
      </c>
      <c r="V1367" s="77">
        <v>60</v>
      </c>
      <c r="W1367" s="82" t="s">
        <v>5742</v>
      </c>
      <c r="X1367" s="80" t="str">
        <f>HYPERLINK("https://pin.it/Sw4fD5W")</f>
        <v>https://pin.it/Sw4fD5W</v>
      </c>
      <c r="Y1367" s="77" t="s">
        <v>7335</v>
      </c>
      <c r="Z1367" s="77"/>
      <c r="AA1367" s="77" t="s">
        <v>8071</v>
      </c>
      <c r="AB1367" s="77" t="s">
        <v>10130</v>
      </c>
      <c r="AC1367" s="82" t="s">
        <v>10145</v>
      </c>
      <c r="AD1367" s="77" t="s">
        <v>10184</v>
      </c>
      <c r="AE1367" s="80" t="str">
        <f>HYPERLINK("https://twitter.com/agathac79501121/status/1627725773091094528")</f>
        <v>https://twitter.com/agathac79501121/status/1627725773091094528</v>
      </c>
      <c r="AF1367" s="79">
        <v>44977.738888888889</v>
      </c>
      <c r="AG1367" s="85">
        <v>44977</v>
      </c>
      <c r="AH1367" s="82" t="s">
        <v>11510</v>
      </c>
      <c r="AI1367" s="77" t="b">
        <v>0</v>
      </c>
      <c r="AJ1367" s="77" t="s">
        <v>14015</v>
      </c>
      <c r="AK1367" s="77" t="s">
        <v>14033</v>
      </c>
      <c r="AL1367" s="77" t="s">
        <v>14035</v>
      </c>
      <c r="AM1367" s="77" t="s">
        <v>14056</v>
      </c>
      <c r="AN1367" s="77" t="s">
        <v>14094</v>
      </c>
      <c r="AO1367" s="77" t="s">
        <v>14131</v>
      </c>
      <c r="AP1367" s="77" t="s">
        <v>14149</v>
      </c>
      <c r="AQ1367" s="77" t="s">
        <v>14715</v>
      </c>
      <c r="AR1367" s="77"/>
      <c r="AS1367" s="77"/>
      <c r="AT1367" s="77"/>
      <c r="AU1367" s="77"/>
      <c r="AV1367" s="80" t="str">
        <f>HYPERLINK("https://pbs.twimg.com/media/FpbX9i2WAAYUnQj.jpg")</f>
        <v>https://pbs.twimg.com/media/FpbX9i2WAAYUnQj.jpg</v>
      </c>
      <c r="AW1367" s="82" t="s">
        <v>18140</v>
      </c>
      <c r="AX1367" s="82" t="s">
        <v>18140</v>
      </c>
      <c r="AY1367" s="77"/>
      <c r="AZ1367" s="82" t="s">
        <v>20971</v>
      </c>
      <c r="BA1367" s="82" t="s">
        <v>20971</v>
      </c>
      <c r="BB1367" s="82" t="s">
        <v>20971</v>
      </c>
      <c r="BC1367" s="82" t="s">
        <v>18140</v>
      </c>
      <c r="BD1367" s="82" t="s">
        <v>21233</v>
      </c>
      <c r="BE1367" s="77"/>
      <c r="BF1367" s="77"/>
      <c r="BG1367" s="77"/>
      <c r="BH1367" s="77"/>
      <c r="BI1367" s="77"/>
    </row>
    <row r="1368" spans="1:61" x14ac:dyDescent="0.25">
      <c r="A1368" s="62" t="s">
        <v>524</v>
      </c>
      <c r="B1368" s="62" t="s">
        <v>524</v>
      </c>
      <c r="C1368" s="63"/>
      <c r="D1368" s="64"/>
      <c r="E1368" s="65"/>
      <c r="F1368" s="66"/>
      <c r="G1368" s="63"/>
      <c r="H1368" s="67"/>
      <c r="I1368" s="68"/>
      <c r="J1368" s="68"/>
      <c r="K1368" s="32"/>
      <c r="L1368" s="75">
        <v>1368</v>
      </c>
      <c r="M1368" s="75"/>
      <c r="N1368" s="70"/>
      <c r="O1368" s="77" t="s">
        <v>179</v>
      </c>
      <c r="P1368" s="79">
        <v>45045.075856481482</v>
      </c>
      <c r="Q1368" s="77" t="s">
        <v>2612</v>
      </c>
      <c r="R1368" s="77">
        <v>0</v>
      </c>
      <c r="S1368" s="77">
        <v>0</v>
      </c>
      <c r="T1368" s="77">
        <v>0</v>
      </c>
      <c r="U1368" s="77">
        <v>0</v>
      </c>
      <c r="V1368" s="77">
        <v>62</v>
      </c>
      <c r="W1368" s="82" t="s">
        <v>5743</v>
      </c>
      <c r="X1368" s="80" t="str">
        <f>HYPERLINK("https://neofund-br.com/download?code=h34UQ1")</f>
        <v>https://neofund-br.com/download?code=h34UQ1</v>
      </c>
      <c r="Y1368" s="77" t="s">
        <v>7336</v>
      </c>
      <c r="Z1368" s="77"/>
      <c r="AA1368" s="77" t="s">
        <v>8072</v>
      </c>
      <c r="AB1368" s="77" t="s">
        <v>10130</v>
      </c>
      <c r="AC1368" s="82" t="s">
        <v>10144</v>
      </c>
      <c r="AD1368" s="77" t="s">
        <v>10184</v>
      </c>
      <c r="AE1368" s="80" t="str">
        <f>HYPERLINK("https://twitter.com/flanoticiashoje/status/1652127870989287424")</f>
        <v>https://twitter.com/flanoticiashoje/status/1652127870989287424</v>
      </c>
      <c r="AF1368" s="79">
        <v>45045.075856481482</v>
      </c>
      <c r="AG1368" s="85">
        <v>45045</v>
      </c>
      <c r="AH1368" s="82" t="s">
        <v>11511</v>
      </c>
      <c r="AI1368" s="77" t="b">
        <v>0</v>
      </c>
      <c r="AJ1368" s="77"/>
      <c r="AK1368" s="77"/>
      <c r="AL1368" s="77"/>
      <c r="AM1368" s="77"/>
      <c r="AN1368" s="77"/>
      <c r="AO1368" s="77"/>
      <c r="AP1368" s="77"/>
      <c r="AQ1368" s="77" t="s">
        <v>14716</v>
      </c>
      <c r="AR1368" s="77"/>
      <c r="AS1368" s="77"/>
      <c r="AT1368" s="77"/>
      <c r="AU1368" s="77"/>
      <c r="AV1368" s="80" t="str">
        <f>HYPERLINK("https://pbs.twimg.com/media/Fu2JixNXsAApviR.jpg")</f>
        <v>https://pbs.twimg.com/media/Fu2JixNXsAApviR.jpg</v>
      </c>
      <c r="AW1368" s="82" t="s">
        <v>18141</v>
      </c>
      <c r="AX1368" s="82" t="s">
        <v>18141</v>
      </c>
      <c r="AY1368" s="77"/>
      <c r="AZ1368" s="82" t="s">
        <v>20971</v>
      </c>
      <c r="BA1368" s="82" t="s">
        <v>20971</v>
      </c>
      <c r="BB1368" s="82" t="s">
        <v>20971</v>
      </c>
      <c r="BC1368" s="82" t="s">
        <v>18141</v>
      </c>
      <c r="BD1368" s="82" t="s">
        <v>21234</v>
      </c>
      <c r="BE1368" s="77"/>
      <c r="BF1368" s="77"/>
      <c r="BG1368" s="77"/>
      <c r="BH1368" s="77"/>
      <c r="BI1368" s="77"/>
    </row>
    <row r="1369" spans="1:61" x14ac:dyDescent="0.25">
      <c r="A1369" s="62" t="s">
        <v>525</v>
      </c>
      <c r="B1369" s="62" t="s">
        <v>525</v>
      </c>
      <c r="C1369" s="63"/>
      <c r="D1369" s="64"/>
      <c r="E1369" s="65"/>
      <c r="F1369" s="66"/>
      <c r="G1369" s="63"/>
      <c r="H1369" s="67"/>
      <c r="I1369" s="68"/>
      <c r="J1369" s="68"/>
      <c r="K1369" s="32"/>
      <c r="L1369" s="75">
        <v>1369</v>
      </c>
      <c r="M1369" s="75"/>
      <c r="N1369" s="70"/>
      <c r="O1369" s="77" t="s">
        <v>179</v>
      </c>
      <c r="P1369" s="79">
        <v>45124.745520833334</v>
      </c>
      <c r="Q1369" s="77" t="s">
        <v>2613</v>
      </c>
      <c r="R1369" s="77">
        <v>0</v>
      </c>
      <c r="S1369" s="77">
        <v>0</v>
      </c>
      <c r="T1369" s="77">
        <v>0</v>
      </c>
      <c r="U1369" s="77">
        <v>0</v>
      </c>
      <c r="V1369" s="77">
        <v>74</v>
      </c>
      <c r="W1369" s="82" t="s">
        <v>5236</v>
      </c>
      <c r="X1369" s="80" t="str">
        <f>HYPERLINK("https://www.linknacional.com.br/blog/site-para-ganhar-dinheiro/")</f>
        <v>https://www.linknacional.com.br/blog/site-para-ganhar-dinheiro/</v>
      </c>
      <c r="Y1369" s="77" t="s">
        <v>7252</v>
      </c>
      <c r="Z1369" s="77"/>
      <c r="AA1369" s="77"/>
      <c r="AB1369" s="77"/>
      <c r="AC1369" s="82" t="s">
        <v>10146</v>
      </c>
      <c r="AD1369" s="77" t="s">
        <v>10184</v>
      </c>
      <c r="AE1369" s="80" t="str">
        <f>HYPERLINK("https://twitter.com/linknacional/status/1680999190762070017")</f>
        <v>https://twitter.com/linknacional/status/1680999190762070017</v>
      </c>
      <c r="AF1369" s="79">
        <v>45124.745520833334</v>
      </c>
      <c r="AG1369" s="85">
        <v>45124</v>
      </c>
      <c r="AH1369" s="82" t="s">
        <v>11512</v>
      </c>
      <c r="AI1369" s="77" t="b">
        <v>0</v>
      </c>
      <c r="AJ1369" s="77"/>
      <c r="AK1369" s="77"/>
      <c r="AL1369" s="77"/>
      <c r="AM1369" s="77"/>
      <c r="AN1369" s="77"/>
      <c r="AO1369" s="77"/>
      <c r="AP1369" s="77"/>
      <c r="AQ1369" s="77"/>
      <c r="AR1369" s="77"/>
      <c r="AS1369" s="77"/>
      <c r="AT1369" s="77"/>
      <c r="AU1369" s="77"/>
      <c r="AV1369" s="80" t="str">
        <f>HYPERLINK("https://pbs.twimg.com/profile_images/1641095363732951040/6X7cVueQ_normal.jpg")</f>
        <v>https://pbs.twimg.com/profile_images/1641095363732951040/6X7cVueQ_normal.jpg</v>
      </c>
      <c r="AW1369" s="82" t="s">
        <v>18142</v>
      </c>
      <c r="AX1369" s="82" t="s">
        <v>18142</v>
      </c>
      <c r="AY1369" s="77"/>
      <c r="AZ1369" s="82" t="s">
        <v>20971</v>
      </c>
      <c r="BA1369" s="82" t="s">
        <v>20971</v>
      </c>
      <c r="BB1369" s="82" t="s">
        <v>20971</v>
      </c>
      <c r="BC1369" s="82" t="s">
        <v>18142</v>
      </c>
      <c r="BD1369" s="77">
        <v>174819496</v>
      </c>
      <c r="BE1369" s="77"/>
      <c r="BF1369" s="77"/>
      <c r="BG1369" s="77"/>
      <c r="BH1369" s="77"/>
      <c r="BI1369" s="77"/>
    </row>
    <row r="1370" spans="1:61" x14ac:dyDescent="0.25">
      <c r="A1370" s="62" t="s">
        <v>526</v>
      </c>
      <c r="B1370" s="62" t="s">
        <v>526</v>
      </c>
      <c r="C1370" s="63"/>
      <c r="D1370" s="64"/>
      <c r="E1370" s="65"/>
      <c r="F1370" s="66"/>
      <c r="G1370" s="63"/>
      <c r="H1370" s="67"/>
      <c r="I1370" s="68"/>
      <c r="J1370" s="68"/>
      <c r="K1370" s="32"/>
      <c r="L1370" s="75">
        <v>1370</v>
      </c>
      <c r="M1370" s="75"/>
      <c r="N1370" s="70"/>
      <c r="O1370" s="77" t="s">
        <v>179</v>
      </c>
      <c r="P1370" s="79">
        <v>45174.509664351855</v>
      </c>
      <c r="Q1370" s="77" t="s">
        <v>2614</v>
      </c>
      <c r="R1370" s="77">
        <v>0</v>
      </c>
      <c r="S1370" s="77">
        <v>0</v>
      </c>
      <c r="T1370" s="77">
        <v>0</v>
      </c>
      <c r="U1370" s="77">
        <v>0</v>
      </c>
      <c r="V1370" s="77">
        <v>26</v>
      </c>
      <c r="W1370" s="82" t="s">
        <v>5744</v>
      </c>
      <c r="X1370" s="80" t="str">
        <f>HYPERLINK("https://rzmlucremais.com.br")</f>
        <v>https://rzmlucremais.com.br</v>
      </c>
      <c r="Y1370" s="77" t="s">
        <v>7252</v>
      </c>
      <c r="Z1370" s="77"/>
      <c r="AA1370" s="77" t="s">
        <v>8073</v>
      </c>
      <c r="AB1370" s="77" t="s">
        <v>10130</v>
      </c>
      <c r="AC1370" s="82" t="s">
        <v>10146</v>
      </c>
      <c r="AD1370" s="77" t="s">
        <v>10184</v>
      </c>
      <c r="AE1370" s="80" t="str">
        <f>HYPERLINK("https://twitter.com/talentosrizom/status/1699033115266621882")</f>
        <v>https://twitter.com/talentosrizom/status/1699033115266621882</v>
      </c>
      <c r="AF1370" s="79">
        <v>45174.509664351855</v>
      </c>
      <c r="AG1370" s="85">
        <v>45174</v>
      </c>
      <c r="AH1370" s="82" t="s">
        <v>11513</v>
      </c>
      <c r="AI1370" s="77" t="b">
        <v>0</v>
      </c>
      <c r="AJ1370" s="77"/>
      <c r="AK1370" s="77"/>
      <c r="AL1370" s="77"/>
      <c r="AM1370" s="77"/>
      <c r="AN1370" s="77"/>
      <c r="AO1370" s="77"/>
      <c r="AP1370" s="77"/>
      <c r="AQ1370" s="77" t="s">
        <v>14717</v>
      </c>
      <c r="AR1370" s="77"/>
      <c r="AS1370" s="77"/>
      <c r="AT1370" s="77"/>
      <c r="AU1370" s="77"/>
      <c r="AV1370" s="80" t="str">
        <f>HYPERLINK("https://pbs.twimg.com/media/F5QtVCTWgAAQuPI.jpg")</f>
        <v>https://pbs.twimg.com/media/F5QtVCTWgAAQuPI.jpg</v>
      </c>
      <c r="AW1370" s="82" t="s">
        <v>18143</v>
      </c>
      <c r="AX1370" s="82" t="s">
        <v>18143</v>
      </c>
      <c r="AY1370" s="77"/>
      <c r="AZ1370" s="82" t="s">
        <v>20971</v>
      </c>
      <c r="BA1370" s="82" t="s">
        <v>20971</v>
      </c>
      <c r="BB1370" s="82" t="s">
        <v>20971</v>
      </c>
      <c r="BC1370" s="82" t="s">
        <v>18143</v>
      </c>
      <c r="BD1370" s="82" t="s">
        <v>21235</v>
      </c>
      <c r="BE1370" s="77"/>
      <c r="BF1370" s="77"/>
      <c r="BG1370" s="77"/>
      <c r="BH1370" s="77"/>
      <c r="BI1370" s="77"/>
    </row>
    <row r="1371" spans="1:61" x14ac:dyDescent="0.25">
      <c r="A1371" s="62" t="s">
        <v>526</v>
      </c>
      <c r="B1371" s="62" t="s">
        <v>526</v>
      </c>
      <c r="C1371" s="63"/>
      <c r="D1371" s="64"/>
      <c r="E1371" s="65"/>
      <c r="F1371" s="66"/>
      <c r="G1371" s="63"/>
      <c r="H1371" s="67"/>
      <c r="I1371" s="68"/>
      <c r="J1371" s="68"/>
      <c r="K1371" s="32"/>
      <c r="L1371" s="75">
        <v>1371</v>
      </c>
      <c r="M1371" s="75"/>
      <c r="N1371" s="70"/>
      <c r="O1371" s="77" t="s">
        <v>179</v>
      </c>
      <c r="P1371" s="79">
        <v>45183.687557870369</v>
      </c>
      <c r="Q1371" s="77" t="s">
        <v>2615</v>
      </c>
      <c r="R1371" s="77">
        <v>0</v>
      </c>
      <c r="S1371" s="77">
        <v>0</v>
      </c>
      <c r="T1371" s="77">
        <v>0</v>
      </c>
      <c r="U1371" s="77">
        <v>0</v>
      </c>
      <c r="V1371" s="77">
        <v>46</v>
      </c>
      <c r="W1371" s="82" t="s">
        <v>5745</v>
      </c>
      <c r="X1371" s="80" t="str">
        <f>HYPERLINK("https://rzmlucremais.com.br")</f>
        <v>https://rzmlucremais.com.br</v>
      </c>
      <c r="Y1371" s="77" t="s">
        <v>7252</v>
      </c>
      <c r="Z1371" s="77"/>
      <c r="AA1371" s="77" t="s">
        <v>8074</v>
      </c>
      <c r="AB1371" s="77" t="s">
        <v>10130</v>
      </c>
      <c r="AC1371" s="82" t="s">
        <v>10146</v>
      </c>
      <c r="AD1371" s="77" t="s">
        <v>10184</v>
      </c>
      <c r="AE1371" s="80" t="str">
        <f>HYPERLINK("https://twitter.com/talentosrizom/status/1702359072765280652")</f>
        <v>https://twitter.com/talentosrizom/status/1702359072765280652</v>
      </c>
      <c r="AF1371" s="79">
        <v>45183.687557870369</v>
      </c>
      <c r="AG1371" s="85">
        <v>45183</v>
      </c>
      <c r="AH1371" s="82" t="s">
        <v>11514</v>
      </c>
      <c r="AI1371" s="77" t="b">
        <v>0</v>
      </c>
      <c r="AJ1371" s="77"/>
      <c r="AK1371" s="77"/>
      <c r="AL1371" s="77"/>
      <c r="AM1371" s="77"/>
      <c r="AN1371" s="77"/>
      <c r="AO1371" s="77"/>
      <c r="AP1371" s="77"/>
      <c r="AQ1371" s="77" t="s">
        <v>14718</v>
      </c>
      <c r="AR1371" s="77"/>
      <c r="AS1371" s="77"/>
      <c r="AT1371" s="77"/>
      <c r="AU1371" s="77"/>
      <c r="AV1371" s="80" t="str">
        <f>HYPERLINK("https://pbs.twimg.com/media/F5_-jPmWcAAh8sx.jpg")</f>
        <v>https://pbs.twimg.com/media/F5_-jPmWcAAh8sx.jpg</v>
      </c>
      <c r="AW1371" s="82" t="s">
        <v>18144</v>
      </c>
      <c r="AX1371" s="82" t="s">
        <v>18144</v>
      </c>
      <c r="AY1371" s="77"/>
      <c r="AZ1371" s="82" t="s">
        <v>20971</v>
      </c>
      <c r="BA1371" s="82" t="s">
        <v>20971</v>
      </c>
      <c r="BB1371" s="82" t="s">
        <v>20971</v>
      </c>
      <c r="BC1371" s="82" t="s">
        <v>18144</v>
      </c>
      <c r="BD1371" s="82" t="s">
        <v>21235</v>
      </c>
      <c r="BE1371" s="77"/>
      <c r="BF1371" s="77"/>
      <c r="BG1371" s="77"/>
      <c r="BH1371" s="77"/>
      <c r="BI1371" s="77"/>
    </row>
    <row r="1372" spans="1:61" x14ac:dyDescent="0.25">
      <c r="A1372" s="62" t="s">
        <v>526</v>
      </c>
      <c r="B1372" s="62" t="s">
        <v>526</v>
      </c>
      <c r="C1372" s="63"/>
      <c r="D1372" s="64"/>
      <c r="E1372" s="65"/>
      <c r="F1372" s="66"/>
      <c r="G1372" s="63"/>
      <c r="H1372" s="67"/>
      <c r="I1372" s="68"/>
      <c r="J1372" s="68"/>
      <c r="K1372" s="32"/>
      <c r="L1372" s="75">
        <v>1372</v>
      </c>
      <c r="M1372" s="75"/>
      <c r="N1372" s="70"/>
      <c r="O1372" s="77" t="s">
        <v>179</v>
      </c>
      <c r="P1372" s="79">
        <v>45181.522847222222</v>
      </c>
      <c r="Q1372" s="77" t="s">
        <v>2616</v>
      </c>
      <c r="R1372" s="77">
        <v>0</v>
      </c>
      <c r="S1372" s="77">
        <v>0</v>
      </c>
      <c r="T1372" s="77">
        <v>0</v>
      </c>
      <c r="U1372" s="77">
        <v>0</v>
      </c>
      <c r="V1372" s="77">
        <v>20</v>
      </c>
      <c r="W1372" s="82" t="s">
        <v>5581</v>
      </c>
      <c r="X1372" s="80" t="str">
        <f>HYPERLINK("https://rzmlucremais.com.br")</f>
        <v>https://rzmlucremais.com.br</v>
      </c>
      <c r="Y1372" s="77" t="s">
        <v>7252</v>
      </c>
      <c r="Z1372" s="77"/>
      <c r="AA1372" s="77" t="s">
        <v>8075</v>
      </c>
      <c r="AB1372" s="77" t="s">
        <v>10130</v>
      </c>
      <c r="AC1372" s="82" t="s">
        <v>10146</v>
      </c>
      <c r="AD1372" s="77" t="s">
        <v>10184</v>
      </c>
      <c r="AE1372" s="80" t="str">
        <f>HYPERLINK("https://twitter.com/talentosrizom/status/1701574606111289581")</f>
        <v>https://twitter.com/talentosrizom/status/1701574606111289581</v>
      </c>
      <c r="AF1372" s="79">
        <v>45181.522847222222</v>
      </c>
      <c r="AG1372" s="85">
        <v>45181</v>
      </c>
      <c r="AH1372" s="82" t="s">
        <v>11515</v>
      </c>
      <c r="AI1372" s="77" t="b">
        <v>0</v>
      </c>
      <c r="AJ1372" s="77"/>
      <c r="AK1372" s="77"/>
      <c r="AL1372" s="77"/>
      <c r="AM1372" s="77"/>
      <c r="AN1372" s="77"/>
      <c r="AO1372" s="77"/>
      <c r="AP1372" s="77"/>
      <c r="AQ1372" s="77" t="s">
        <v>14719</v>
      </c>
      <c r="AR1372" s="77"/>
      <c r="AS1372" s="77"/>
      <c r="AT1372" s="77"/>
      <c r="AU1372" s="77"/>
      <c r="AV1372" s="80" t="str">
        <f>HYPERLINK("https://pbs.twimg.com/media/F501E4qWwAAOpXq.jpg")</f>
        <v>https://pbs.twimg.com/media/F501E4qWwAAOpXq.jpg</v>
      </c>
      <c r="AW1372" s="82" t="s">
        <v>18145</v>
      </c>
      <c r="AX1372" s="82" t="s">
        <v>18145</v>
      </c>
      <c r="AY1372" s="77"/>
      <c r="AZ1372" s="82" t="s">
        <v>20971</v>
      </c>
      <c r="BA1372" s="82" t="s">
        <v>20971</v>
      </c>
      <c r="BB1372" s="82" t="s">
        <v>20971</v>
      </c>
      <c r="BC1372" s="82" t="s">
        <v>18145</v>
      </c>
      <c r="BD1372" s="82" t="s">
        <v>21235</v>
      </c>
      <c r="BE1372" s="77"/>
      <c r="BF1372" s="77"/>
      <c r="BG1372" s="77"/>
      <c r="BH1372" s="77"/>
      <c r="BI1372" s="77"/>
    </row>
    <row r="1373" spans="1:61" x14ac:dyDescent="0.25">
      <c r="A1373" s="62" t="s">
        <v>526</v>
      </c>
      <c r="B1373" s="62" t="s">
        <v>526</v>
      </c>
      <c r="C1373" s="63"/>
      <c r="D1373" s="64"/>
      <c r="E1373" s="65"/>
      <c r="F1373" s="66"/>
      <c r="G1373" s="63"/>
      <c r="H1373" s="67"/>
      <c r="I1373" s="68"/>
      <c r="J1373" s="68"/>
      <c r="K1373" s="32"/>
      <c r="L1373" s="75">
        <v>1373</v>
      </c>
      <c r="M1373" s="75"/>
      <c r="N1373" s="70"/>
      <c r="O1373" s="77" t="s">
        <v>179</v>
      </c>
      <c r="P1373" s="79">
        <v>45177.806932870371</v>
      </c>
      <c r="Q1373" s="77" t="s">
        <v>2617</v>
      </c>
      <c r="R1373" s="77">
        <v>0</v>
      </c>
      <c r="S1373" s="77">
        <v>0</v>
      </c>
      <c r="T1373" s="77">
        <v>0</v>
      </c>
      <c r="U1373" s="77">
        <v>0</v>
      </c>
      <c r="V1373" s="77">
        <v>27</v>
      </c>
      <c r="W1373" s="82" t="s">
        <v>5746</v>
      </c>
      <c r="X1373" s="80" t="str">
        <f>HYPERLINK("https://rzmlucremais.com.br")</f>
        <v>https://rzmlucremais.com.br</v>
      </c>
      <c r="Y1373" s="77" t="s">
        <v>7252</v>
      </c>
      <c r="Z1373" s="77"/>
      <c r="AA1373" s="77" t="s">
        <v>8076</v>
      </c>
      <c r="AB1373" s="77" t="s">
        <v>10128</v>
      </c>
      <c r="AC1373" s="82" t="s">
        <v>10146</v>
      </c>
      <c r="AD1373" s="77" t="s">
        <v>10184</v>
      </c>
      <c r="AE1373" s="80" t="str">
        <f>HYPERLINK("https://twitter.com/talentosrizom/status/1700228005795176521")</f>
        <v>https://twitter.com/talentosrizom/status/1700228005795176521</v>
      </c>
      <c r="AF1373" s="79">
        <v>45177.806932870371</v>
      </c>
      <c r="AG1373" s="85">
        <v>45177</v>
      </c>
      <c r="AH1373" s="82" t="s">
        <v>11516</v>
      </c>
      <c r="AI1373" s="77" t="b">
        <v>0</v>
      </c>
      <c r="AJ1373" s="77"/>
      <c r="AK1373" s="77"/>
      <c r="AL1373" s="77"/>
      <c r="AM1373" s="77"/>
      <c r="AN1373" s="77"/>
      <c r="AO1373" s="77"/>
      <c r="AP1373" s="77"/>
      <c r="AQ1373" s="77" t="s">
        <v>14720</v>
      </c>
      <c r="AR1373" s="77"/>
      <c r="AS1373" s="77"/>
      <c r="AT1373" s="77"/>
      <c r="AU1373" s="77"/>
      <c r="AV1373" s="80" t="str">
        <f>HYPERLINK("https://pbs.twimg.com/media/F5hsVj0WgAA7_0c.jpg")</f>
        <v>https://pbs.twimg.com/media/F5hsVj0WgAA7_0c.jpg</v>
      </c>
      <c r="AW1373" s="82" t="s">
        <v>18146</v>
      </c>
      <c r="AX1373" s="82" t="s">
        <v>18146</v>
      </c>
      <c r="AY1373" s="77"/>
      <c r="AZ1373" s="82" t="s">
        <v>20971</v>
      </c>
      <c r="BA1373" s="82" t="s">
        <v>20971</v>
      </c>
      <c r="BB1373" s="82" t="s">
        <v>20971</v>
      </c>
      <c r="BC1373" s="82" t="s">
        <v>18146</v>
      </c>
      <c r="BD1373" s="82" t="s">
        <v>21235</v>
      </c>
      <c r="BE1373" s="77"/>
      <c r="BF1373" s="77"/>
      <c r="BG1373" s="77"/>
      <c r="BH1373" s="77"/>
      <c r="BI1373" s="77"/>
    </row>
    <row r="1374" spans="1:61" x14ac:dyDescent="0.25">
      <c r="A1374" s="62" t="s">
        <v>527</v>
      </c>
      <c r="B1374" s="62" t="s">
        <v>527</v>
      </c>
      <c r="C1374" s="63"/>
      <c r="D1374" s="64"/>
      <c r="E1374" s="65"/>
      <c r="F1374" s="66"/>
      <c r="G1374" s="63"/>
      <c r="H1374" s="67"/>
      <c r="I1374" s="68"/>
      <c r="J1374" s="68"/>
      <c r="K1374" s="32"/>
      <c r="L1374" s="75">
        <v>1374</v>
      </c>
      <c r="M1374" s="75"/>
      <c r="N1374" s="70"/>
      <c r="O1374" s="77" t="s">
        <v>179</v>
      </c>
      <c r="P1374" s="79">
        <v>45069.99560185185</v>
      </c>
      <c r="Q1374" s="77" t="s">
        <v>2618</v>
      </c>
      <c r="R1374" s="77">
        <v>0</v>
      </c>
      <c r="S1374" s="77">
        <v>0</v>
      </c>
      <c r="T1374" s="77">
        <v>0</v>
      </c>
      <c r="U1374" s="77">
        <v>0</v>
      </c>
      <c r="V1374" s="77">
        <v>20</v>
      </c>
      <c r="W1374" s="82" t="s">
        <v>5747</v>
      </c>
      <c r="X1374" s="80" t="str">
        <f>HYPERLINK("http://bit.ly/451c4Xp")</f>
        <v>http://bit.ly/451c4Xp</v>
      </c>
      <c r="Y1374" s="77" t="s">
        <v>7268</v>
      </c>
      <c r="Z1374" s="77"/>
      <c r="AA1374" s="77"/>
      <c r="AB1374" s="77"/>
      <c r="AC1374" s="82" t="s">
        <v>10144</v>
      </c>
      <c r="AD1374" s="77" t="s">
        <v>10184</v>
      </c>
      <c r="AE1374" s="80" t="str">
        <f>HYPERLINK("https://twitter.com/jeff_barrada/status/1661158487169159169")</f>
        <v>https://twitter.com/jeff_barrada/status/1661158487169159169</v>
      </c>
      <c r="AF1374" s="79">
        <v>45069.99560185185</v>
      </c>
      <c r="AG1374" s="85">
        <v>45069</v>
      </c>
      <c r="AH1374" s="82" t="s">
        <v>11517</v>
      </c>
      <c r="AI1374" s="77" t="b">
        <v>0</v>
      </c>
      <c r="AJ1374" s="77"/>
      <c r="AK1374" s="77"/>
      <c r="AL1374" s="77"/>
      <c r="AM1374" s="77"/>
      <c r="AN1374" s="77"/>
      <c r="AO1374" s="77"/>
      <c r="AP1374" s="77"/>
      <c r="AQ1374" s="77"/>
      <c r="AR1374" s="77"/>
      <c r="AS1374" s="77"/>
      <c r="AT1374" s="77"/>
      <c r="AU1374" s="77"/>
      <c r="AV1374" s="80" t="str">
        <f>HYPERLINK("https://pbs.twimg.com/profile_images/1663682741039161349/PTU76-rk_normal.jpg")</f>
        <v>https://pbs.twimg.com/profile_images/1663682741039161349/PTU76-rk_normal.jpg</v>
      </c>
      <c r="AW1374" s="82" t="s">
        <v>18147</v>
      </c>
      <c r="AX1374" s="82" t="s">
        <v>18147</v>
      </c>
      <c r="AY1374" s="77"/>
      <c r="AZ1374" s="82" t="s">
        <v>20971</v>
      </c>
      <c r="BA1374" s="82" t="s">
        <v>20971</v>
      </c>
      <c r="BB1374" s="82" t="s">
        <v>20971</v>
      </c>
      <c r="BC1374" s="82" t="s">
        <v>18147</v>
      </c>
      <c r="BD1374" s="77">
        <v>341697902</v>
      </c>
      <c r="BE1374" s="77"/>
      <c r="BF1374" s="77"/>
      <c r="BG1374" s="77"/>
      <c r="BH1374" s="77"/>
      <c r="BI1374" s="77"/>
    </row>
    <row r="1375" spans="1:61" x14ac:dyDescent="0.25">
      <c r="A1375" s="62" t="s">
        <v>528</v>
      </c>
      <c r="B1375" s="62" t="s">
        <v>528</v>
      </c>
      <c r="C1375" s="63"/>
      <c r="D1375" s="64"/>
      <c r="E1375" s="65"/>
      <c r="F1375" s="66"/>
      <c r="G1375" s="63"/>
      <c r="H1375" s="67"/>
      <c r="I1375" s="68"/>
      <c r="J1375" s="68"/>
      <c r="K1375" s="32"/>
      <c r="L1375" s="75">
        <v>1375</v>
      </c>
      <c r="M1375" s="75"/>
      <c r="N1375" s="70"/>
      <c r="O1375" s="77" t="s">
        <v>179</v>
      </c>
      <c r="P1375" s="79">
        <v>45160.936342592591</v>
      </c>
      <c r="Q1375" s="77" t="s">
        <v>2619</v>
      </c>
      <c r="R1375" s="77">
        <v>0</v>
      </c>
      <c r="S1375" s="77">
        <v>0</v>
      </c>
      <c r="T1375" s="77">
        <v>0</v>
      </c>
      <c r="U1375" s="77">
        <v>0</v>
      </c>
      <c r="V1375" s="77">
        <v>24</v>
      </c>
      <c r="W1375" s="82" t="s">
        <v>5748</v>
      </c>
      <c r="X1375" s="77"/>
      <c r="Y1375" s="77"/>
      <c r="Z1375" s="77"/>
      <c r="AA1375" s="77" t="s">
        <v>8077</v>
      </c>
      <c r="AB1375" s="77" t="s">
        <v>10129</v>
      </c>
      <c r="AC1375" s="82" t="s">
        <v>10145</v>
      </c>
      <c r="AD1375" s="77" t="s">
        <v>10183</v>
      </c>
      <c r="AE1375" s="80" t="str">
        <f>HYPERLINK("https://twitter.com/marcelo03272356/status/1694114308173561926")</f>
        <v>https://twitter.com/marcelo03272356/status/1694114308173561926</v>
      </c>
      <c r="AF1375" s="79">
        <v>45160.936342592591</v>
      </c>
      <c r="AG1375" s="85">
        <v>45160</v>
      </c>
      <c r="AH1375" s="82" t="s">
        <v>11518</v>
      </c>
      <c r="AI1375" s="77" t="b">
        <v>0</v>
      </c>
      <c r="AJ1375" s="77"/>
      <c r="AK1375" s="77"/>
      <c r="AL1375" s="77"/>
      <c r="AM1375" s="77"/>
      <c r="AN1375" s="77"/>
      <c r="AO1375" s="77"/>
      <c r="AP1375" s="77"/>
      <c r="AQ1375" s="77" t="s">
        <v>14721</v>
      </c>
      <c r="AR1375" s="77">
        <v>8900</v>
      </c>
      <c r="AS1375" s="77"/>
      <c r="AT1375" s="77"/>
      <c r="AU1375" s="77"/>
      <c r="AV1375" s="80" t="str">
        <f>HYPERLINK("https://pbs.twimg.com/ext_tw_video_thumb/1694114251751772160/pu/img/Ee7mdES2L-3snYld.jpg")</f>
        <v>https://pbs.twimg.com/ext_tw_video_thumb/1694114251751772160/pu/img/Ee7mdES2L-3snYld.jpg</v>
      </c>
      <c r="AW1375" s="82" t="s">
        <v>18148</v>
      </c>
      <c r="AX1375" s="82" t="s">
        <v>18148</v>
      </c>
      <c r="AY1375" s="77"/>
      <c r="AZ1375" s="82" t="s">
        <v>20971</v>
      </c>
      <c r="BA1375" s="82" t="s">
        <v>20971</v>
      </c>
      <c r="BB1375" s="82" t="s">
        <v>20971</v>
      </c>
      <c r="BC1375" s="82" t="s">
        <v>18148</v>
      </c>
      <c r="BD1375" s="82" t="s">
        <v>21236</v>
      </c>
      <c r="BE1375" s="77"/>
      <c r="BF1375" s="77"/>
      <c r="BG1375" s="77"/>
      <c r="BH1375" s="77"/>
      <c r="BI1375" s="77"/>
    </row>
    <row r="1376" spans="1:61" x14ac:dyDescent="0.25">
      <c r="A1376" s="62" t="s">
        <v>529</v>
      </c>
      <c r="B1376" s="62" t="s">
        <v>529</v>
      </c>
      <c r="C1376" s="63"/>
      <c r="D1376" s="64"/>
      <c r="E1376" s="65"/>
      <c r="F1376" s="66"/>
      <c r="G1376" s="63"/>
      <c r="H1376" s="67"/>
      <c r="I1376" s="68"/>
      <c r="J1376" s="68"/>
      <c r="K1376" s="32"/>
      <c r="L1376" s="75">
        <v>1376</v>
      </c>
      <c r="M1376" s="75"/>
      <c r="N1376" s="70"/>
      <c r="O1376" s="77" t="s">
        <v>179</v>
      </c>
      <c r="P1376" s="79">
        <v>45007.965277777781</v>
      </c>
      <c r="Q1376" s="77" t="s">
        <v>2620</v>
      </c>
      <c r="R1376" s="77">
        <v>0</v>
      </c>
      <c r="S1376" s="77">
        <v>0</v>
      </c>
      <c r="T1376" s="77">
        <v>0</v>
      </c>
      <c r="U1376" s="77">
        <v>0</v>
      </c>
      <c r="V1376" s="77">
        <v>83</v>
      </c>
      <c r="W1376" s="82" t="s">
        <v>5749</v>
      </c>
      <c r="X1376" s="80" t="str">
        <f>HYPERLINK("https://go.perfectpay.com.br/PPU38CKR257")</f>
        <v>https://go.perfectpay.com.br/PPU38CKR257</v>
      </c>
      <c r="Y1376" s="77" t="s">
        <v>7252</v>
      </c>
      <c r="Z1376" s="77"/>
      <c r="AA1376" s="77" t="s">
        <v>8078</v>
      </c>
      <c r="AB1376" s="77" t="s">
        <v>10130</v>
      </c>
      <c r="AC1376" s="82" t="s">
        <v>10146</v>
      </c>
      <c r="AD1376" s="77" t="s">
        <v>10184</v>
      </c>
      <c r="AE1376" s="80" t="str">
        <f>HYPERLINK("https://twitter.com/matiasmendes2/status/1638679447812579328")</f>
        <v>https://twitter.com/matiasmendes2/status/1638679447812579328</v>
      </c>
      <c r="AF1376" s="79">
        <v>45007.965277777781</v>
      </c>
      <c r="AG1376" s="85">
        <v>45007</v>
      </c>
      <c r="AH1376" s="82" t="s">
        <v>11519</v>
      </c>
      <c r="AI1376" s="77" t="b">
        <v>0</v>
      </c>
      <c r="AJ1376" s="77"/>
      <c r="AK1376" s="77"/>
      <c r="AL1376" s="77"/>
      <c r="AM1376" s="77"/>
      <c r="AN1376" s="77"/>
      <c r="AO1376" s="77"/>
      <c r="AP1376" s="77"/>
      <c r="AQ1376" s="77" t="s">
        <v>14722</v>
      </c>
      <c r="AR1376" s="77"/>
      <c r="AS1376" s="77"/>
      <c r="AT1376" s="77"/>
      <c r="AU1376" s="77"/>
      <c r="AV1376" s="80" t="str">
        <f>HYPERLINK("https://pbs.twimg.com/media/FrmVPWRWcAoRorL.png")</f>
        <v>https://pbs.twimg.com/media/FrmVPWRWcAoRorL.png</v>
      </c>
      <c r="AW1376" s="82" t="s">
        <v>18149</v>
      </c>
      <c r="AX1376" s="82" t="s">
        <v>18149</v>
      </c>
      <c r="AY1376" s="77"/>
      <c r="AZ1376" s="82" t="s">
        <v>20971</v>
      </c>
      <c r="BA1376" s="82" t="s">
        <v>20971</v>
      </c>
      <c r="BB1376" s="82" t="s">
        <v>20971</v>
      </c>
      <c r="BC1376" s="82" t="s">
        <v>18149</v>
      </c>
      <c r="BD1376" s="77">
        <v>479463498</v>
      </c>
      <c r="BE1376" s="77"/>
      <c r="BF1376" s="77"/>
      <c r="BG1376" s="77"/>
      <c r="BH1376" s="77"/>
      <c r="BI1376" s="77"/>
    </row>
    <row r="1377" spans="1:61" x14ac:dyDescent="0.25">
      <c r="A1377" s="62" t="s">
        <v>529</v>
      </c>
      <c r="B1377" s="62" t="s">
        <v>529</v>
      </c>
      <c r="C1377" s="63"/>
      <c r="D1377" s="64"/>
      <c r="E1377" s="65"/>
      <c r="F1377" s="66"/>
      <c r="G1377" s="63"/>
      <c r="H1377" s="67"/>
      <c r="I1377" s="68"/>
      <c r="J1377" s="68"/>
      <c r="K1377" s="32"/>
      <c r="L1377" s="75">
        <v>1377</v>
      </c>
      <c r="M1377" s="75"/>
      <c r="N1377" s="70"/>
      <c r="O1377" s="77" t="s">
        <v>179</v>
      </c>
      <c r="P1377" s="79">
        <v>45006.916666666664</v>
      </c>
      <c r="Q1377" s="77" t="s">
        <v>2621</v>
      </c>
      <c r="R1377" s="77">
        <v>0</v>
      </c>
      <c r="S1377" s="77">
        <v>0</v>
      </c>
      <c r="T1377" s="77">
        <v>0</v>
      </c>
      <c r="U1377" s="77">
        <v>0</v>
      </c>
      <c r="V1377" s="77">
        <v>42</v>
      </c>
      <c r="W1377" s="82" t="s">
        <v>5750</v>
      </c>
      <c r="X1377" s="80" t="str">
        <f>HYPERLINK("https://go.perfectpay.com.br/PPU38CKR257")</f>
        <v>https://go.perfectpay.com.br/PPU38CKR257</v>
      </c>
      <c r="Y1377" s="77" t="s">
        <v>7252</v>
      </c>
      <c r="Z1377" s="77"/>
      <c r="AA1377" s="77" t="s">
        <v>8079</v>
      </c>
      <c r="AB1377" s="77" t="s">
        <v>10130</v>
      </c>
      <c r="AC1377" s="82" t="s">
        <v>10146</v>
      </c>
      <c r="AD1377" s="77" t="s">
        <v>10184</v>
      </c>
      <c r="AE1377" s="80" t="str">
        <f>HYPERLINK("https://twitter.com/matiasmendes2/status/1638299444394303488")</f>
        <v>https://twitter.com/matiasmendes2/status/1638299444394303488</v>
      </c>
      <c r="AF1377" s="79">
        <v>45006.916666666664</v>
      </c>
      <c r="AG1377" s="85">
        <v>45006</v>
      </c>
      <c r="AH1377" s="82" t="s">
        <v>11520</v>
      </c>
      <c r="AI1377" s="77" t="b">
        <v>0</v>
      </c>
      <c r="AJ1377" s="77"/>
      <c r="AK1377" s="77"/>
      <c r="AL1377" s="77"/>
      <c r="AM1377" s="77"/>
      <c r="AN1377" s="77"/>
      <c r="AO1377" s="77"/>
      <c r="AP1377" s="77"/>
      <c r="AQ1377" s="77" t="s">
        <v>14723</v>
      </c>
      <c r="AR1377" s="77"/>
      <c r="AS1377" s="77"/>
      <c r="AT1377" s="77"/>
      <c r="AU1377" s="77"/>
      <c r="AV1377" s="80" t="str">
        <f>HYPERLINK("https://pbs.twimg.com/media/FrmT6PBXgAcwo5B.jpg")</f>
        <v>https://pbs.twimg.com/media/FrmT6PBXgAcwo5B.jpg</v>
      </c>
      <c r="AW1377" s="82" t="s">
        <v>18150</v>
      </c>
      <c r="AX1377" s="82" t="s">
        <v>18150</v>
      </c>
      <c r="AY1377" s="77"/>
      <c r="AZ1377" s="82" t="s">
        <v>20971</v>
      </c>
      <c r="BA1377" s="82" t="s">
        <v>20971</v>
      </c>
      <c r="BB1377" s="82" t="s">
        <v>20971</v>
      </c>
      <c r="BC1377" s="82" t="s">
        <v>18150</v>
      </c>
      <c r="BD1377" s="77">
        <v>479463498</v>
      </c>
      <c r="BE1377" s="77"/>
      <c r="BF1377" s="77"/>
      <c r="BG1377" s="77"/>
      <c r="BH1377" s="77"/>
      <c r="BI1377" s="77"/>
    </row>
    <row r="1378" spans="1:61" x14ac:dyDescent="0.25">
      <c r="A1378" s="62" t="s">
        <v>529</v>
      </c>
      <c r="B1378" s="62" t="s">
        <v>529</v>
      </c>
      <c r="C1378" s="63"/>
      <c r="D1378" s="64"/>
      <c r="E1378" s="65"/>
      <c r="F1378" s="66"/>
      <c r="G1378" s="63"/>
      <c r="H1378" s="67"/>
      <c r="I1378" s="68"/>
      <c r="J1378" s="68"/>
      <c r="K1378" s="32"/>
      <c r="L1378" s="75">
        <v>1378</v>
      </c>
      <c r="M1378" s="75"/>
      <c r="N1378" s="70"/>
      <c r="O1378" s="77" t="s">
        <v>179</v>
      </c>
      <c r="P1378" s="79">
        <v>45005.922222222223</v>
      </c>
      <c r="Q1378" s="77" t="s">
        <v>2622</v>
      </c>
      <c r="R1378" s="77">
        <v>0</v>
      </c>
      <c r="S1378" s="77">
        <v>0</v>
      </c>
      <c r="T1378" s="77">
        <v>0</v>
      </c>
      <c r="U1378" s="77">
        <v>0</v>
      </c>
      <c r="V1378" s="77">
        <v>89</v>
      </c>
      <c r="W1378" s="82" t="s">
        <v>5751</v>
      </c>
      <c r="X1378" s="77"/>
      <c r="Y1378" s="77"/>
      <c r="Z1378" s="77"/>
      <c r="AA1378" s="77" t="s">
        <v>8080</v>
      </c>
      <c r="AB1378" s="77" t="s">
        <v>10130</v>
      </c>
      <c r="AC1378" s="82" t="s">
        <v>10146</v>
      </c>
      <c r="AD1378" s="77" t="s">
        <v>10184</v>
      </c>
      <c r="AE1378" s="80" t="str">
        <f>HYPERLINK("https://twitter.com/matiasmendes2/status/1637939069207580674")</f>
        <v>https://twitter.com/matiasmendes2/status/1637939069207580674</v>
      </c>
      <c r="AF1378" s="79">
        <v>45005.922222222223</v>
      </c>
      <c r="AG1378" s="85">
        <v>45005</v>
      </c>
      <c r="AH1378" s="82" t="s">
        <v>11521</v>
      </c>
      <c r="AI1378" s="77" t="b">
        <v>0</v>
      </c>
      <c r="AJ1378" s="77"/>
      <c r="AK1378" s="77"/>
      <c r="AL1378" s="77"/>
      <c r="AM1378" s="77"/>
      <c r="AN1378" s="77"/>
      <c r="AO1378" s="77"/>
      <c r="AP1378" s="77"/>
      <c r="AQ1378" s="77" t="s">
        <v>14724</v>
      </c>
      <c r="AR1378" s="77"/>
      <c r="AS1378" s="77"/>
      <c r="AT1378" s="77"/>
      <c r="AU1378" s="77"/>
      <c r="AV1378" s="80" t="str">
        <f>HYPERLINK("https://pbs.twimg.com/media/FrmSfzPXgAE4y0d.png")</f>
        <v>https://pbs.twimg.com/media/FrmSfzPXgAE4y0d.png</v>
      </c>
      <c r="AW1378" s="82" t="s">
        <v>18151</v>
      </c>
      <c r="AX1378" s="82" t="s">
        <v>18151</v>
      </c>
      <c r="AY1378" s="77"/>
      <c r="AZ1378" s="82" t="s">
        <v>20971</v>
      </c>
      <c r="BA1378" s="82" t="s">
        <v>20971</v>
      </c>
      <c r="BB1378" s="82" t="s">
        <v>20971</v>
      </c>
      <c r="BC1378" s="82" t="s">
        <v>18151</v>
      </c>
      <c r="BD1378" s="77">
        <v>479463498</v>
      </c>
      <c r="BE1378" s="77"/>
      <c r="BF1378" s="77"/>
      <c r="BG1378" s="77"/>
      <c r="BH1378" s="77"/>
      <c r="BI1378" s="77"/>
    </row>
    <row r="1379" spans="1:61" x14ac:dyDescent="0.25">
      <c r="A1379" s="62" t="s">
        <v>529</v>
      </c>
      <c r="B1379" s="62" t="s">
        <v>529</v>
      </c>
      <c r="C1379" s="63"/>
      <c r="D1379" s="64"/>
      <c r="E1379" s="65"/>
      <c r="F1379" s="66"/>
      <c r="G1379" s="63"/>
      <c r="H1379" s="67"/>
      <c r="I1379" s="68"/>
      <c r="J1379" s="68"/>
      <c r="K1379" s="32"/>
      <c r="L1379" s="75">
        <v>1379</v>
      </c>
      <c r="M1379" s="75"/>
      <c r="N1379" s="70"/>
      <c r="O1379" s="77" t="s">
        <v>179</v>
      </c>
      <c r="P1379" s="79">
        <v>45004.523738425924</v>
      </c>
      <c r="Q1379" s="77" t="s">
        <v>2623</v>
      </c>
      <c r="R1379" s="77">
        <v>0</v>
      </c>
      <c r="S1379" s="77">
        <v>0</v>
      </c>
      <c r="T1379" s="77">
        <v>2</v>
      </c>
      <c r="U1379" s="77">
        <v>0</v>
      </c>
      <c r="V1379" s="77">
        <v>42</v>
      </c>
      <c r="W1379" s="82" t="s">
        <v>5752</v>
      </c>
      <c r="X1379" s="77"/>
      <c r="Y1379" s="77"/>
      <c r="Z1379" s="77"/>
      <c r="AA1379" s="77" t="s">
        <v>8081</v>
      </c>
      <c r="AB1379" s="77" t="s">
        <v>10130</v>
      </c>
      <c r="AC1379" s="82" t="s">
        <v>10146</v>
      </c>
      <c r="AD1379" s="77" t="s">
        <v>10184</v>
      </c>
      <c r="AE1379" s="80" t="str">
        <f>HYPERLINK("https://twitter.com/matiasmendes2/status/1637432277255741441")</f>
        <v>https://twitter.com/matiasmendes2/status/1637432277255741441</v>
      </c>
      <c r="AF1379" s="79">
        <v>45004.523738425924</v>
      </c>
      <c r="AG1379" s="85">
        <v>45004</v>
      </c>
      <c r="AH1379" s="82" t="s">
        <v>11522</v>
      </c>
      <c r="AI1379" s="77" t="b">
        <v>0</v>
      </c>
      <c r="AJ1379" s="77"/>
      <c r="AK1379" s="77"/>
      <c r="AL1379" s="77"/>
      <c r="AM1379" s="77"/>
      <c r="AN1379" s="77"/>
      <c r="AO1379" s="77"/>
      <c r="AP1379" s="77"/>
      <c r="AQ1379" s="77" t="s">
        <v>14725</v>
      </c>
      <c r="AR1379" s="77"/>
      <c r="AS1379" s="77"/>
      <c r="AT1379" s="77"/>
      <c r="AU1379" s="77"/>
      <c r="AV1379" s="80" t="str">
        <f>HYPERLINK("https://pbs.twimg.com/media/FrlTLi0WYAIZqJV.jpg")</f>
        <v>https://pbs.twimg.com/media/FrlTLi0WYAIZqJV.jpg</v>
      </c>
      <c r="AW1379" s="82" t="s">
        <v>18152</v>
      </c>
      <c r="AX1379" s="82" t="s">
        <v>18152</v>
      </c>
      <c r="AY1379" s="77"/>
      <c r="AZ1379" s="82" t="s">
        <v>20971</v>
      </c>
      <c r="BA1379" s="82" t="s">
        <v>20971</v>
      </c>
      <c r="BB1379" s="82" t="s">
        <v>20971</v>
      </c>
      <c r="BC1379" s="82" t="s">
        <v>18152</v>
      </c>
      <c r="BD1379" s="77">
        <v>479463498</v>
      </c>
      <c r="BE1379" s="77"/>
      <c r="BF1379" s="77"/>
      <c r="BG1379" s="77"/>
      <c r="BH1379" s="77"/>
      <c r="BI1379" s="77"/>
    </row>
    <row r="1380" spans="1:61" x14ac:dyDescent="0.25">
      <c r="A1380" s="62" t="s">
        <v>530</v>
      </c>
      <c r="B1380" s="62" t="s">
        <v>530</v>
      </c>
      <c r="C1380" s="63"/>
      <c r="D1380" s="64"/>
      <c r="E1380" s="65"/>
      <c r="F1380" s="66"/>
      <c r="G1380" s="63"/>
      <c r="H1380" s="67"/>
      <c r="I1380" s="68"/>
      <c r="J1380" s="68"/>
      <c r="K1380" s="32"/>
      <c r="L1380" s="75">
        <v>1380</v>
      </c>
      <c r="M1380" s="75"/>
      <c r="N1380" s="70"/>
      <c r="O1380" s="77" t="s">
        <v>179</v>
      </c>
      <c r="P1380" s="79">
        <v>45030.160682870373</v>
      </c>
      <c r="Q1380" s="77" t="s">
        <v>2624</v>
      </c>
      <c r="R1380" s="77">
        <v>0</v>
      </c>
      <c r="S1380" s="77">
        <v>0</v>
      </c>
      <c r="T1380" s="77">
        <v>0</v>
      </c>
      <c r="U1380" s="77">
        <v>0</v>
      </c>
      <c r="V1380" s="77">
        <v>22</v>
      </c>
      <c r="W1380" s="82" t="s">
        <v>5753</v>
      </c>
      <c r="X1380" s="80" t="str">
        <f>HYPERLINK("https://www.xn--visoremota-h5a.com/2023/04/ganhar-dinheiro-produzindo-videos-para.html")</f>
        <v>https://www.xn--visoremota-h5a.com/2023/04/ganhar-dinheiro-produzindo-videos-para.html</v>
      </c>
      <c r="Y1380" s="77" t="s">
        <v>7337</v>
      </c>
      <c r="Z1380" s="77"/>
      <c r="AA1380" s="77"/>
      <c r="AB1380" s="77"/>
      <c r="AC1380" s="82" t="s">
        <v>10146</v>
      </c>
      <c r="AD1380" s="77" t="s">
        <v>10184</v>
      </c>
      <c r="AE1380" s="80" t="str">
        <f>HYPERLINK("https://twitter.com/rafaelg91275867/status/1646722795051646977")</f>
        <v>https://twitter.com/rafaelg91275867/status/1646722795051646977</v>
      </c>
      <c r="AF1380" s="79">
        <v>45030.160682870373</v>
      </c>
      <c r="AG1380" s="85">
        <v>45030</v>
      </c>
      <c r="AH1380" s="82" t="s">
        <v>11523</v>
      </c>
      <c r="AI1380" s="77" t="b">
        <v>0</v>
      </c>
      <c r="AJ1380" s="77"/>
      <c r="AK1380" s="77"/>
      <c r="AL1380" s="77"/>
      <c r="AM1380" s="77"/>
      <c r="AN1380" s="77"/>
      <c r="AO1380" s="77"/>
      <c r="AP1380" s="77"/>
      <c r="AQ1380" s="77"/>
      <c r="AR1380" s="77"/>
      <c r="AS1380" s="77"/>
      <c r="AT1380" s="77"/>
      <c r="AU1380" s="77"/>
      <c r="AV1380" s="80" t="str">
        <f>HYPERLINK("https://pbs.twimg.com/profile_images/1683993119946072067/mwxjyvn-_normal.jpg")</f>
        <v>https://pbs.twimg.com/profile_images/1683993119946072067/mwxjyvn-_normal.jpg</v>
      </c>
      <c r="AW1380" s="82" t="s">
        <v>18153</v>
      </c>
      <c r="AX1380" s="82" t="s">
        <v>18153</v>
      </c>
      <c r="AY1380" s="77"/>
      <c r="AZ1380" s="82" t="s">
        <v>20971</v>
      </c>
      <c r="BA1380" s="82" t="s">
        <v>20971</v>
      </c>
      <c r="BB1380" s="82" t="s">
        <v>20971</v>
      </c>
      <c r="BC1380" s="82" t="s">
        <v>18153</v>
      </c>
      <c r="BD1380" s="82" t="s">
        <v>21237</v>
      </c>
      <c r="BE1380" s="77"/>
      <c r="BF1380" s="77"/>
      <c r="BG1380" s="77"/>
      <c r="BH1380" s="77"/>
      <c r="BI1380" s="77"/>
    </row>
    <row r="1381" spans="1:61" x14ac:dyDescent="0.25">
      <c r="A1381" s="62" t="s">
        <v>530</v>
      </c>
      <c r="B1381" s="62" t="s">
        <v>530</v>
      </c>
      <c r="C1381" s="63"/>
      <c r="D1381" s="64"/>
      <c r="E1381" s="65"/>
      <c r="F1381" s="66"/>
      <c r="G1381" s="63"/>
      <c r="H1381" s="67"/>
      <c r="I1381" s="68"/>
      <c r="J1381" s="68"/>
      <c r="K1381" s="32"/>
      <c r="L1381" s="75">
        <v>1381</v>
      </c>
      <c r="M1381" s="75"/>
      <c r="N1381" s="70"/>
      <c r="O1381" s="77" t="s">
        <v>179</v>
      </c>
      <c r="P1381" s="79">
        <v>45030.160231481481</v>
      </c>
      <c r="Q1381" s="77" t="s">
        <v>2625</v>
      </c>
      <c r="R1381" s="77">
        <v>0</v>
      </c>
      <c r="S1381" s="77">
        <v>0</v>
      </c>
      <c r="T1381" s="77">
        <v>0</v>
      </c>
      <c r="U1381" s="77">
        <v>0</v>
      </c>
      <c r="V1381" s="77">
        <v>23</v>
      </c>
      <c r="W1381" s="82" t="s">
        <v>5753</v>
      </c>
      <c r="X1381" s="80" t="str">
        <f>HYPERLINK("https://www.xn--visoremota-h5a.com/2023/04/como-vender-itens-e-roupas-usadas-na.html")</f>
        <v>https://www.xn--visoremota-h5a.com/2023/04/como-vender-itens-e-roupas-usadas-na.html</v>
      </c>
      <c r="Y1381" s="77" t="s">
        <v>7337</v>
      </c>
      <c r="Z1381" s="77"/>
      <c r="AA1381" s="77"/>
      <c r="AB1381" s="77"/>
      <c r="AC1381" s="82" t="s">
        <v>10146</v>
      </c>
      <c r="AD1381" s="77" t="s">
        <v>10184</v>
      </c>
      <c r="AE1381" s="80" t="str">
        <f>HYPERLINK("https://twitter.com/rafaelg91275867/status/1646722631159230466")</f>
        <v>https://twitter.com/rafaelg91275867/status/1646722631159230466</v>
      </c>
      <c r="AF1381" s="79">
        <v>45030.160231481481</v>
      </c>
      <c r="AG1381" s="85">
        <v>45030</v>
      </c>
      <c r="AH1381" s="82" t="s">
        <v>11524</v>
      </c>
      <c r="AI1381" s="77" t="b">
        <v>0</v>
      </c>
      <c r="AJ1381" s="77"/>
      <c r="AK1381" s="77"/>
      <c r="AL1381" s="77"/>
      <c r="AM1381" s="77"/>
      <c r="AN1381" s="77"/>
      <c r="AO1381" s="77"/>
      <c r="AP1381" s="77"/>
      <c r="AQ1381" s="77"/>
      <c r="AR1381" s="77"/>
      <c r="AS1381" s="77"/>
      <c r="AT1381" s="77"/>
      <c r="AU1381" s="77"/>
      <c r="AV1381" s="80" t="str">
        <f>HYPERLINK("https://pbs.twimg.com/profile_images/1683993119946072067/mwxjyvn-_normal.jpg")</f>
        <v>https://pbs.twimg.com/profile_images/1683993119946072067/mwxjyvn-_normal.jpg</v>
      </c>
      <c r="AW1381" s="82" t="s">
        <v>18154</v>
      </c>
      <c r="AX1381" s="82" t="s">
        <v>18154</v>
      </c>
      <c r="AY1381" s="77"/>
      <c r="AZ1381" s="82" t="s">
        <v>20971</v>
      </c>
      <c r="BA1381" s="82" t="s">
        <v>20971</v>
      </c>
      <c r="BB1381" s="82" t="s">
        <v>20971</v>
      </c>
      <c r="BC1381" s="82" t="s">
        <v>18154</v>
      </c>
      <c r="BD1381" s="82" t="s">
        <v>21237</v>
      </c>
      <c r="BE1381" s="77"/>
      <c r="BF1381" s="77"/>
      <c r="BG1381" s="77"/>
      <c r="BH1381" s="77"/>
      <c r="BI1381" s="77"/>
    </row>
    <row r="1382" spans="1:61" x14ac:dyDescent="0.25">
      <c r="A1382" s="62" t="s">
        <v>530</v>
      </c>
      <c r="B1382" s="62" t="s">
        <v>530</v>
      </c>
      <c r="C1382" s="63"/>
      <c r="D1382" s="64"/>
      <c r="E1382" s="65"/>
      <c r="F1382" s="66"/>
      <c r="G1382" s="63"/>
      <c r="H1382" s="67"/>
      <c r="I1382" s="68"/>
      <c r="J1382" s="68"/>
      <c r="K1382" s="32"/>
      <c r="L1382" s="75">
        <v>1382</v>
      </c>
      <c r="M1382" s="75"/>
      <c r="N1382" s="70"/>
      <c r="O1382" s="77" t="s">
        <v>179</v>
      </c>
      <c r="P1382" s="79">
        <v>45030.159803240742</v>
      </c>
      <c r="Q1382" s="77" t="s">
        <v>2626</v>
      </c>
      <c r="R1382" s="77">
        <v>0</v>
      </c>
      <c r="S1382" s="77">
        <v>0</v>
      </c>
      <c r="T1382" s="77">
        <v>0</v>
      </c>
      <c r="U1382" s="77">
        <v>0</v>
      </c>
      <c r="V1382" s="77">
        <v>19</v>
      </c>
      <c r="W1382" s="82" t="s">
        <v>5753</v>
      </c>
      <c r="X1382" s="80" t="str">
        <f>HYPERLINK("https://www.xn--visoremota-h5a.com/2023/04/faca-renda-extra-como-assistente-virtual.html")</f>
        <v>https://www.xn--visoremota-h5a.com/2023/04/faca-renda-extra-como-assistente-virtual.html</v>
      </c>
      <c r="Y1382" s="77" t="s">
        <v>7337</v>
      </c>
      <c r="Z1382" s="77"/>
      <c r="AA1382" s="77"/>
      <c r="AB1382" s="77"/>
      <c r="AC1382" s="82" t="s">
        <v>10146</v>
      </c>
      <c r="AD1382" s="77" t="s">
        <v>10184</v>
      </c>
      <c r="AE1382" s="80" t="str">
        <f>HYPERLINK("https://twitter.com/rafaelg91275867/status/1646722475202342915")</f>
        <v>https://twitter.com/rafaelg91275867/status/1646722475202342915</v>
      </c>
      <c r="AF1382" s="79">
        <v>45030.159803240742</v>
      </c>
      <c r="AG1382" s="85">
        <v>45030</v>
      </c>
      <c r="AH1382" s="82" t="s">
        <v>11525</v>
      </c>
      <c r="AI1382" s="77" t="b">
        <v>0</v>
      </c>
      <c r="AJ1382" s="77"/>
      <c r="AK1382" s="77"/>
      <c r="AL1382" s="77"/>
      <c r="AM1382" s="77"/>
      <c r="AN1382" s="77"/>
      <c r="AO1382" s="77"/>
      <c r="AP1382" s="77"/>
      <c r="AQ1382" s="77"/>
      <c r="AR1382" s="77"/>
      <c r="AS1382" s="77"/>
      <c r="AT1382" s="77"/>
      <c r="AU1382" s="77"/>
      <c r="AV1382" s="80" t="str">
        <f>HYPERLINK("https://pbs.twimg.com/profile_images/1683993119946072067/mwxjyvn-_normal.jpg")</f>
        <v>https://pbs.twimg.com/profile_images/1683993119946072067/mwxjyvn-_normal.jpg</v>
      </c>
      <c r="AW1382" s="82" t="s">
        <v>18155</v>
      </c>
      <c r="AX1382" s="82" t="s">
        <v>18155</v>
      </c>
      <c r="AY1382" s="77"/>
      <c r="AZ1382" s="82" t="s">
        <v>20971</v>
      </c>
      <c r="BA1382" s="82" t="s">
        <v>20971</v>
      </c>
      <c r="BB1382" s="82" t="s">
        <v>20971</v>
      </c>
      <c r="BC1382" s="82" t="s">
        <v>18155</v>
      </c>
      <c r="BD1382" s="82" t="s">
        <v>21237</v>
      </c>
      <c r="BE1382" s="77"/>
      <c r="BF1382" s="77"/>
      <c r="BG1382" s="77"/>
      <c r="BH1382" s="77"/>
      <c r="BI1382" s="77"/>
    </row>
    <row r="1383" spans="1:61" x14ac:dyDescent="0.25">
      <c r="A1383" s="62" t="s">
        <v>530</v>
      </c>
      <c r="B1383" s="62" t="s">
        <v>530</v>
      </c>
      <c r="C1383" s="63"/>
      <c r="D1383" s="64"/>
      <c r="E1383" s="65"/>
      <c r="F1383" s="66"/>
      <c r="G1383" s="63"/>
      <c r="H1383" s="67"/>
      <c r="I1383" s="68"/>
      <c r="J1383" s="68"/>
      <c r="K1383" s="32"/>
      <c r="L1383" s="75">
        <v>1383</v>
      </c>
      <c r="M1383" s="75"/>
      <c r="N1383" s="70"/>
      <c r="O1383" s="77" t="s">
        <v>179</v>
      </c>
      <c r="P1383" s="79">
        <v>45030.159212962964</v>
      </c>
      <c r="Q1383" s="77" t="s">
        <v>2627</v>
      </c>
      <c r="R1383" s="77">
        <v>0</v>
      </c>
      <c r="S1383" s="77">
        <v>0</v>
      </c>
      <c r="T1383" s="77">
        <v>0</v>
      </c>
      <c r="U1383" s="77">
        <v>0</v>
      </c>
      <c r="V1383" s="77">
        <v>29</v>
      </c>
      <c r="W1383" s="82" t="s">
        <v>5753</v>
      </c>
      <c r="X1383" s="80" t="str">
        <f>HYPERLINK("https://www.xn--visoremota-h5a.com/2023/04/como-ganhar-dinheiro-na-internet-dando.html")</f>
        <v>https://www.xn--visoremota-h5a.com/2023/04/como-ganhar-dinheiro-na-internet-dando.html</v>
      </c>
      <c r="Y1383" s="77" t="s">
        <v>7337</v>
      </c>
      <c r="Z1383" s="77"/>
      <c r="AA1383" s="77"/>
      <c r="AB1383" s="77"/>
      <c r="AC1383" s="82" t="s">
        <v>10146</v>
      </c>
      <c r="AD1383" s="77" t="s">
        <v>10184</v>
      </c>
      <c r="AE1383" s="80" t="str">
        <f>HYPERLINK("https://twitter.com/rafaelg91275867/status/1646722262857310209")</f>
        <v>https://twitter.com/rafaelg91275867/status/1646722262857310209</v>
      </c>
      <c r="AF1383" s="79">
        <v>45030.159212962964</v>
      </c>
      <c r="AG1383" s="85">
        <v>45030</v>
      </c>
      <c r="AH1383" s="82" t="s">
        <v>11526</v>
      </c>
      <c r="AI1383" s="77" t="b">
        <v>0</v>
      </c>
      <c r="AJ1383" s="77"/>
      <c r="AK1383" s="77"/>
      <c r="AL1383" s="77"/>
      <c r="AM1383" s="77"/>
      <c r="AN1383" s="77"/>
      <c r="AO1383" s="77"/>
      <c r="AP1383" s="77"/>
      <c r="AQ1383" s="77"/>
      <c r="AR1383" s="77"/>
      <c r="AS1383" s="77"/>
      <c r="AT1383" s="77"/>
      <c r="AU1383" s="77"/>
      <c r="AV1383" s="80" t="str">
        <f>HYPERLINK("https://pbs.twimg.com/profile_images/1683993119946072067/mwxjyvn-_normal.jpg")</f>
        <v>https://pbs.twimg.com/profile_images/1683993119946072067/mwxjyvn-_normal.jpg</v>
      </c>
      <c r="AW1383" s="82" t="s">
        <v>18156</v>
      </c>
      <c r="AX1383" s="82" t="s">
        <v>18156</v>
      </c>
      <c r="AY1383" s="77"/>
      <c r="AZ1383" s="82" t="s">
        <v>20971</v>
      </c>
      <c r="BA1383" s="82" t="s">
        <v>20971</v>
      </c>
      <c r="BB1383" s="82" t="s">
        <v>20971</v>
      </c>
      <c r="BC1383" s="82" t="s">
        <v>18156</v>
      </c>
      <c r="BD1383" s="82" t="s">
        <v>21237</v>
      </c>
      <c r="BE1383" s="77"/>
      <c r="BF1383" s="77"/>
      <c r="BG1383" s="77"/>
      <c r="BH1383" s="77"/>
      <c r="BI1383" s="77"/>
    </row>
    <row r="1384" spans="1:61" x14ac:dyDescent="0.25">
      <c r="A1384" s="62" t="s">
        <v>530</v>
      </c>
      <c r="B1384" s="62" t="s">
        <v>530</v>
      </c>
      <c r="C1384" s="63"/>
      <c r="D1384" s="64"/>
      <c r="E1384" s="65"/>
      <c r="F1384" s="66"/>
      <c r="G1384" s="63"/>
      <c r="H1384" s="67"/>
      <c r="I1384" s="68"/>
      <c r="J1384" s="68"/>
      <c r="K1384" s="32"/>
      <c r="L1384" s="75">
        <v>1384</v>
      </c>
      <c r="M1384" s="75"/>
      <c r="N1384" s="70"/>
      <c r="O1384" s="77" t="s">
        <v>179</v>
      </c>
      <c r="P1384" s="79">
        <v>45030.158668981479</v>
      </c>
      <c r="Q1384" s="77" t="s">
        <v>2628</v>
      </c>
      <c r="R1384" s="77">
        <v>0</v>
      </c>
      <c r="S1384" s="77">
        <v>0</v>
      </c>
      <c r="T1384" s="77">
        <v>0</v>
      </c>
      <c r="U1384" s="77">
        <v>0</v>
      </c>
      <c r="V1384" s="77">
        <v>33</v>
      </c>
      <c r="W1384" s="82" t="s">
        <v>5753</v>
      </c>
      <c r="X1384" s="80" t="str">
        <f>HYPERLINK("https://www.xn--visoremota-h5a.com/2023/04/como-ganhar-dinheiro-respondendo.html")</f>
        <v>https://www.xn--visoremota-h5a.com/2023/04/como-ganhar-dinheiro-respondendo.html</v>
      </c>
      <c r="Y1384" s="77" t="s">
        <v>7337</v>
      </c>
      <c r="Z1384" s="77"/>
      <c r="AA1384" s="77"/>
      <c r="AB1384" s="77"/>
      <c r="AC1384" s="82" t="s">
        <v>10146</v>
      </c>
      <c r="AD1384" s="77" t="s">
        <v>10184</v>
      </c>
      <c r="AE1384" s="80" t="str">
        <f>HYPERLINK("https://twitter.com/rafaelg91275867/status/1646722065376894977")</f>
        <v>https://twitter.com/rafaelg91275867/status/1646722065376894977</v>
      </c>
      <c r="AF1384" s="79">
        <v>45030.158668981479</v>
      </c>
      <c r="AG1384" s="85">
        <v>45030</v>
      </c>
      <c r="AH1384" s="82" t="s">
        <v>11527</v>
      </c>
      <c r="AI1384" s="77" t="b">
        <v>0</v>
      </c>
      <c r="AJ1384" s="77"/>
      <c r="AK1384" s="77"/>
      <c r="AL1384" s="77"/>
      <c r="AM1384" s="77"/>
      <c r="AN1384" s="77"/>
      <c r="AO1384" s="77"/>
      <c r="AP1384" s="77"/>
      <c r="AQ1384" s="77"/>
      <c r="AR1384" s="77"/>
      <c r="AS1384" s="77"/>
      <c r="AT1384" s="77"/>
      <c r="AU1384" s="77"/>
      <c r="AV1384" s="80" t="str">
        <f>HYPERLINK("https://pbs.twimg.com/profile_images/1683993119946072067/mwxjyvn-_normal.jpg")</f>
        <v>https://pbs.twimg.com/profile_images/1683993119946072067/mwxjyvn-_normal.jpg</v>
      </c>
      <c r="AW1384" s="82" t="s">
        <v>18157</v>
      </c>
      <c r="AX1384" s="82" t="s">
        <v>18157</v>
      </c>
      <c r="AY1384" s="77"/>
      <c r="AZ1384" s="82" t="s">
        <v>20971</v>
      </c>
      <c r="BA1384" s="82" t="s">
        <v>20971</v>
      </c>
      <c r="BB1384" s="82" t="s">
        <v>20971</v>
      </c>
      <c r="BC1384" s="82" t="s">
        <v>18157</v>
      </c>
      <c r="BD1384" s="82" t="s">
        <v>21237</v>
      </c>
      <c r="BE1384" s="77"/>
      <c r="BF1384" s="77"/>
      <c r="BG1384" s="77"/>
      <c r="BH1384" s="77"/>
      <c r="BI1384" s="77"/>
    </row>
    <row r="1385" spans="1:61" x14ac:dyDescent="0.25">
      <c r="A1385" s="62" t="s">
        <v>530</v>
      </c>
      <c r="B1385" s="62" t="s">
        <v>530</v>
      </c>
      <c r="C1385" s="63"/>
      <c r="D1385" s="64"/>
      <c r="E1385" s="65"/>
      <c r="F1385" s="66"/>
      <c r="G1385" s="63"/>
      <c r="H1385" s="67"/>
      <c r="I1385" s="68"/>
      <c r="J1385" s="68"/>
      <c r="K1385" s="32"/>
      <c r="L1385" s="75">
        <v>1385</v>
      </c>
      <c r="M1385" s="75"/>
      <c r="N1385" s="70"/>
      <c r="O1385" s="77" t="s">
        <v>179</v>
      </c>
      <c r="P1385" s="79">
        <v>45030.158217592594</v>
      </c>
      <c r="Q1385" s="77" t="s">
        <v>2629</v>
      </c>
      <c r="R1385" s="77">
        <v>0</v>
      </c>
      <c r="S1385" s="77">
        <v>0</v>
      </c>
      <c r="T1385" s="77">
        <v>0</v>
      </c>
      <c r="U1385" s="77">
        <v>0</v>
      </c>
      <c r="V1385" s="77">
        <v>14</v>
      </c>
      <c r="W1385" s="82" t="s">
        <v>5753</v>
      </c>
      <c r="X1385" s="80" t="str">
        <f>HYPERLINK("https://www.xn--visoremota-h5a.com/2023/04/ganhe-dinheiro-atuando-no-gerenciamento.html")</f>
        <v>https://www.xn--visoremota-h5a.com/2023/04/ganhe-dinheiro-atuando-no-gerenciamento.html</v>
      </c>
      <c r="Y1385" s="77" t="s">
        <v>7337</v>
      </c>
      <c r="Z1385" s="77"/>
      <c r="AA1385" s="77"/>
      <c r="AB1385" s="77"/>
      <c r="AC1385" s="82" t="s">
        <v>10146</v>
      </c>
      <c r="AD1385" s="77" t="s">
        <v>10184</v>
      </c>
      <c r="AE1385" s="80" t="str">
        <f>HYPERLINK("https://twitter.com/rafaelg91275867/status/1646721900742074368")</f>
        <v>https://twitter.com/rafaelg91275867/status/1646721900742074368</v>
      </c>
      <c r="AF1385" s="79">
        <v>45030.158217592594</v>
      </c>
      <c r="AG1385" s="85">
        <v>45030</v>
      </c>
      <c r="AH1385" s="82" t="s">
        <v>11528</v>
      </c>
      <c r="AI1385" s="77" t="b">
        <v>0</v>
      </c>
      <c r="AJ1385" s="77"/>
      <c r="AK1385" s="77"/>
      <c r="AL1385" s="77"/>
      <c r="AM1385" s="77"/>
      <c r="AN1385" s="77"/>
      <c r="AO1385" s="77"/>
      <c r="AP1385" s="77"/>
      <c r="AQ1385" s="77"/>
      <c r="AR1385" s="77"/>
      <c r="AS1385" s="77"/>
      <c r="AT1385" s="77"/>
      <c r="AU1385" s="77"/>
      <c r="AV1385" s="80" t="str">
        <f>HYPERLINK("https://pbs.twimg.com/profile_images/1683993119946072067/mwxjyvn-_normal.jpg")</f>
        <v>https://pbs.twimg.com/profile_images/1683993119946072067/mwxjyvn-_normal.jpg</v>
      </c>
      <c r="AW1385" s="82" t="s">
        <v>18158</v>
      </c>
      <c r="AX1385" s="82" t="s">
        <v>18158</v>
      </c>
      <c r="AY1385" s="77"/>
      <c r="AZ1385" s="82" t="s">
        <v>20971</v>
      </c>
      <c r="BA1385" s="82" t="s">
        <v>20971</v>
      </c>
      <c r="BB1385" s="82" t="s">
        <v>20971</v>
      </c>
      <c r="BC1385" s="82" t="s">
        <v>18158</v>
      </c>
      <c r="BD1385" s="82" t="s">
        <v>21237</v>
      </c>
      <c r="BE1385" s="77"/>
      <c r="BF1385" s="77"/>
      <c r="BG1385" s="77"/>
      <c r="BH1385" s="77"/>
      <c r="BI1385" s="77"/>
    </row>
    <row r="1386" spans="1:61" x14ac:dyDescent="0.25">
      <c r="A1386" s="62" t="s">
        <v>530</v>
      </c>
      <c r="B1386" s="62" t="s">
        <v>530</v>
      </c>
      <c r="C1386" s="63"/>
      <c r="D1386" s="64"/>
      <c r="E1386" s="65"/>
      <c r="F1386" s="66"/>
      <c r="G1386" s="63"/>
      <c r="H1386" s="67"/>
      <c r="I1386" s="68"/>
      <c r="J1386" s="68"/>
      <c r="K1386" s="32"/>
      <c r="L1386" s="75">
        <v>1386</v>
      </c>
      <c r="M1386" s="75"/>
      <c r="N1386" s="70"/>
      <c r="O1386" s="77" t="s">
        <v>179</v>
      </c>
      <c r="P1386" s="79">
        <v>45030.157199074078</v>
      </c>
      <c r="Q1386" s="77" t="s">
        <v>2630</v>
      </c>
      <c r="R1386" s="77">
        <v>0</v>
      </c>
      <c r="S1386" s="77">
        <v>0</v>
      </c>
      <c r="T1386" s="77">
        <v>0</v>
      </c>
      <c r="U1386" s="77">
        <v>0</v>
      </c>
      <c r="V1386" s="77">
        <v>35</v>
      </c>
      <c r="W1386" s="82" t="s">
        <v>5753</v>
      </c>
      <c r="X1386" s="80" t="str">
        <f>HYPERLINK("https://www.xn--visoremota-h5a.com/2023/04/como-ganhar-dinheiro-com-dropshipping.html")</f>
        <v>https://www.xn--visoremota-h5a.com/2023/04/como-ganhar-dinheiro-com-dropshipping.html</v>
      </c>
      <c r="Y1386" s="77" t="s">
        <v>7337</v>
      </c>
      <c r="Z1386" s="77"/>
      <c r="AA1386" s="77"/>
      <c r="AB1386" s="77"/>
      <c r="AC1386" s="82" t="s">
        <v>10146</v>
      </c>
      <c r="AD1386" s="77" t="s">
        <v>10184</v>
      </c>
      <c r="AE1386" s="80" t="str">
        <f>HYPERLINK("https://twitter.com/rafaelg91275867/status/1646721534046744580")</f>
        <v>https://twitter.com/rafaelg91275867/status/1646721534046744580</v>
      </c>
      <c r="AF1386" s="79">
        <v>45030.157199074078</v>
      </c>
      <c r="AG1386" s="85">
        <v>45030</v>
      </c>
      <c r="AH1386" s="82" t="s">
        <v>11529</v>
      </c>
      <c r="AI1386" s="77" t="b">
        <v>0</v>
      </c>
      <c r="AJ1386" s="77"/>
      <c r="AK1386" s="77"/>
      <c r="AL1386" s="77"/>
      <c r="AM1386" s="77"/>
      <c r="AN1386" s="77"/>
      <c r="AO1386" s="77"/>
      <c r="AP1386" s="77"/>
      <c r="AQ1386" s="77"/>
      <c r="AR1386" s="77"/>
      <c r="AS1386" s="77"/>
      <c r="AT1386" s="77"/>
      <c r="AU1386" s="77"/>
      <c r="AV1386" s="80" t="str">
        <f>HYPERLINK("https://pbs.twimg.com/profile_images/1683993119946072067/mwxjyvn-_normal.jpg")</f>
        <v>https://pbs.twimg.com/profile_images/1683993119946072067/mwxjyvn-_normal.jpg</v>
      </c>
      <c r="AW1386" s="82" t="s">
        <v>18159</v>
      </c>
      <c r="AX1386" s="82" t="s">
        <v>18159</v>
      </c>
      <c r="AY1386" s="77"/>
      <c r="AZ1386" s="82" t="s">
        <v>20971</v>
      </c>
      <c r="BA1386" s="82" t="s">
        <v>20971</v>
      </c>
      <c r="BB1386" s="82" t="s">
        <v>20971</v>
      </c>
      <c r="BC1386" s="82" t="s">
        <v>18159</v>
      </c>
      <c r="BD1386" s="82" t="s">
        <v>21237</v>
      </c>
      <c r="BE1386" s="77"/>
      <c r="BF1386" s="77"/>
      <c r="BG1386" s="77"/>
      <c r="BH1386" s="77"/>
      <c r="BI1386" s="77"/>
    </row>
    <row r="1387" spans="1:61" x14ac:dyDescent="0.25">
      <c r="A1387" s="62" t="s">
        <v>530</v>
      </c>
      <c r="B1387" s="62" t="s">
        <v>530</v>
      </c>
      <c r="C1387" s="63"/>
      <c r="D1387" s="64"/>
      <c r="E1387" s="65"/>
      <c r="F1387" s="66"/>
      <c r="G1387" s="63"/>
      <c r="H1387" s="67"/>
      <c r="I1387" s="68"/>
      <c r="J1387" s="68"/>
      <c r="K1387" s="32"/>
      <c r="L1387" s="75">
        <v>1387</v>
      </c>
      <c r="M1387" s="75"/>
      <c r="N1387" s="70"/>
      <c r="O1387" s="77" t="s">
        <v>179</v>
      </c>
      <c r="P1387" s="79">
        <v>45030.1565625</v>
      </c>
      <c r="Q1387" s="77" t="s">
        <v>2631</v>
      </c>
      <c r="R1387" s="77">
        <v>0</v>
      </c>
      <c r="S1387" s="77">
        <v>0</v>
      </c>
      <c r="T1387" s="77">
        <v>0</v>
      </c>
      <c r="U1387" s="77">
        <v>0</v>
      </c>
      <c r="V1387" s="77">
        <v>20</v>
      </c>
      <c r="W1387" s="82" t="s">
        <v>5753</v>
      </c>
      <c r="X1387" s="80" t="str">
        <f>HYPERLINK("https://www.xn--visoremota-h5a.com/2023/04/ganhe-dinheiro-investindo-no-trafego.html")</f>
        <v>https://www.xn--visoremota-h5a.com/2023/04/ganhe-dinheiro-investindo-no-trafego.html</v>
      </c>
      <c r="Y1387" s="77" t="s">
        <v>7337</v>
      </c>
      <c r="Z1387" s="77"/>
      <c r="AA1387" s="77"/>
      <c r="AB1387" s="77"/>
      <c r="AC1387" s="82" t="s">
        <v>10146</v>
      </c>
      <c r="AD1387" s="77" t="s">
        <v>10184</v>
      </c>
      <c r="AE1387" s="80" t="str">
        <f>HYPERLINK("https://twitter.com/rafaelg91275867/status/1646721301283782658")</f>
        <v>https://twitter.com/rafaelg91275867/status/1646721301283782658</v>
      </c>
      <c r="AF1387" s="79">
        <v>45030.1565625</v>
      </c>
      <c r="AG1387" s="85">
        <v>45030</v>
      </c>
      <c r="AH1387" s="82" t="s">
        <v>11530</v>
      </c>
      <c r="AI1387" s="77" t="b">
        <v>0</v>
      </c>
      <c r="AJ1387" s="77"/>
      <c r="AK1387" s="77"/>
      <c r="AL1387" s="77"/>
      <c r="AM1387" s="77"/>
      <c r="AN1387" s="77"/>
      <c r="AO1387" s="77"/>
      <c r="AP1387" s="77"/>
      <c r="AQ1387" s="77"/>
      <c r="AR1387" s="77"/>
      <c r="AS1387" s="77"/>
      <c r="AT1387" s="77"/>
      <c r="AU1387" s="77"/>
      <c r="AV1387" s="80" t="str">
        <f>HYPERLINK("https://pbs.twimg.com/profile_images/1683993119946072067/mwxjyvn-_normal.jpg")</f>
        <v>https://pbs.twimg.com/profile_images/1683993119946072067/mwxjyvn-_normal.jpg</v>
      </c>
      <c r="AW1387" s="82" t="s">
        <v>18160</v>
      </c>
      <c r="AX1387" s="82" t="s">
        <v>18160</v>
      </c>
      <c r="AY1387" s="77"/>
      <c r="AZ1387" s="82" t="s">
        <v>20971</v>
      </c>
      <c r="BA1387" s="82" t="s">
        <v>20971</v>
      </c>
      <c r="BB1387" s="82" t="s">
        <v>20971</v>
      </c>
      <c r="BC1387" s="82" t="s">
        <v>18160</v>
      </c>
      <c r="BD1387" s="82" t="s">
        <v>21237</v>
      </c>
      <c r="BE1387" s="77"/>
      <c r="BF1387" s="77"/>
      <c r="BG1387" s="77"/>
      <c r="BH1387" s="77"/>
      <c r="BI1387" s="77"/>
    </row>
    <row r="1388" spans="1:61" x14ac:dyDescent="0.25">
      <c r="A1388" s="62" t="s">
        <v>530</v>
      </c>
      <c r="B1388" s="62" t="s">
        <v>530</v>
      </c>
      <c r="C1388" s="63"/>
      <c r="D1388" s="64"/>
      <c r="E1388" s="65"/>
      <c r="F1388" s="66"/>
      <c r="G1388" s="63"/>
      <c r="H1388" s="67"/>
      <c r="I1388" s="68"/>
      <c r="J1388" s="68"/>
      <c r="K1388" s="32"/>
      <c r="L1388" s="75">
        <v>1388</v>
      </c>
      <c r="M1388" s="75"/>
      <c r="N1388" s="70"/>
      <c r="O1388" s="77" t="s">
        <v>179</v>
      </c>
      <c r="P1388" s="79">
        <v>45030.15625</v>
      </c>
      <c r="Q1388" s="77" t="s">
        <v>2632</v>
      </c>
      <c r="R1388" s="77">
        <v>0</v>
      </c>
      <c r="S1388" s="77">
        <v>0</v>
      </c>
      <c r="T1388" s="77">
        <v>0</v>
      </c>
      <c r="U1388" s="77">
        <v>0</v>
      </c>
      <c r="V1388" s="77">
        <v>12</v>
      </c>
      <c r="W1388" s="82" t="s">
        <v>5753</v>
      </c>
      <c r="X1388" s="80" t="str">
        <f>HYPERLINK("https://www.xn--visoremota-h5a.com/2023/04/como-ganhar-uma-renda-extra-com-loja.html")</f>
        <v>https://www.xn--visoremota-h5a.com/2023/04/como-ganhar-uma-renda-extra-com-loja.html</v>
      </c>
      <c r="Y1388" s="77" t="s">
        <v>7337</v>
      </c>
      <c r="Z1388" s="77"/>
      <c r="AA1388" s="77"/>
      <c r="AB1388" s="77"/>
      <c r="AC1388" s="82" t="s">
        <v>10146</v>
      </c>
      <c r="AD1388" s="77" t="s">
        <v>10184</v>
      </c>
      <c r="AE1388" s="80" t="str">
        <f>HYPERLINK("https://twitter.com/rafaelg91275867/status/1646721186225700865")</f>
        <v>https://twitter.com/rafaelg91275867/status/1646721186225700865</v>
      </c>
      <c r="AF1388" s="79">
        <v>45030.15625</v>
      </c>
      <c r="AG1388" s="85">
        <v>45030</v>
      </c>
      <c r="AH1388" s="82" t="s">
        <v>11531</v>
      </c>
      <c r="AI1388" s="77" t="b">
        <v>0</v>
      </c>
      <c r="AJ1388" s="77"/>
      <c r="AK1388" s="77"/>
      <c r="AL1388" s="77"/>
      <c r="AM1388" s="77"/>
      <c r="AN1388" s="77"/>
      <c r="AO1388" s="77"/>
      <c r="AP1388" s="77"/>
      <c r="AQ1388" s="77"/>
      <c r="AR1388" s="77"/>
      <c r="AS1388" s="77"/>
      <c r="AT1388" s="77"/>
      <c r="AU1388" s="77"/>
      <c r="AV1388" s="80" t="str">
        <f>HYPERLINK("https://pbs.twimg.com/profile_images/1683993119946072067/mwxjyvn-_normal.jpg")</f>
        <v>https://pbs.twimg.com/profile_images/1683993119946072067/mwxjyvn-_normal.jpg</v>
      </c>
      <c r="AW1388" s="82" t="s">
        <v>18161</v>
      </c>
      <c r="AX1388" s="82" t="s">
        <v>18161</v>
      </c>
      <c r="AY1388" s="77"/>
      <c r="AZ1388" s="82" t="s">
        <v>20971</v>
      </c>
      <c r="BA1388" s="82" t="s">
        <v>20971</v>
      </c>
      <c r="BB1388" s="82" t="s">
        <v>20971</v>
      </c>
      <c r="BC1388" s="82" t="s">
        <v>18161</v>
      </c>
      <c r="BD1388" s="82" t="s">
        <v>21237</v>
      </c>
      <c r="BE1388" s="77"/>
      <c r="BF1388" s="77"/>
      <c r="BG1388" s="77"/>
      <c r="BH1388" s="77"/>
      <c r="BI1388" s="77"/>
    </row>
    <row r="1389" spans="1:61" x14ac:dyDescent="0.25">
      <c r="A1389" s="62" t="s">
        <v>530</v>
      </c>
      <c r="B1389" s="62" t="s">
        <v>530</v>
      </c>
      <c r="C1389" s="63"/>
      <c r="D1389" s="64"/>
      <c r="E1389" s="65"/>
      <c r="F1389" s="66"/>
      <c r="G1389" s="63"/>
      <c r="H1389" s="67"/>
      <c r="I1389" s="68"/>
      <c r="J1389" s="68"/>
      <c r="K1389" s="32"/>
      <c r="L1389" s="75">
        <v>1389</v>
      </c>
      <c r="M1389" s="75"/>
      <c r="N1389" s="70"/>
      <c r="O1389" s="77" t="s">
        <v>179</v>
      </c>
      <c r="P1389" s="79">
        <v>45030.155856481484</v>
      </c>
      <c r="Q1389" s="77" t="s">
        <v>2633</v>
      </c>
      <c r="R1389" s="77">
        <v>0</v>
      </c>
      <c r="S1389" s="77">
        <v>0</v>
      </c>
      <c r="T1389" s="77">
        <v>0</v>
      </c>
      <c r="U1389" s="77">
        <v>0</v>
      </c>
      <c r="V1389" s="77">
        <v>17</v>
      </c>
      <c r="W1389" s="82" t="s">
        <v>5753</v>
      </c>
      <c r="X1389" s="80" t="str">
        <f>HYPERLINK("https://www.xn--visoremota-h5a.com/2023/04/trabalhe-prestando-consultoria-online.html")</f>
        <v>https://www.xn--visoremota-h5a.com/2023/04/trabalhe-prestando-consultoria-online.html</v>
      </c>
      <c r="Y1389" s="77" t="s">
        <v>7337</v>
      </c>
      <c r="Z1389" s="77"/>
      <c r="AA1389" s="77"/>
      <c r="AB1389" s="77"/>
      <c r="AC1389" s="82" t="s">
        <v>10146</v>
      </c>
      <c r="AD1389" s="77" t="s">
        <v>10184</v>
      </c>
      <c r="AE1389" s="80" t="str">
        <f>HYPERLINK("https://twitter.com/rafaelg91275867/status/1646721043535482882")</f>
        <v>https://twitter.com/rafaelg91275867/status/1646721043535482882</v>
      </c>
      <c r="AF1389" s="79">
        <v>45030.155856481484</v>
      </c>
      <c r="AG1389" s="85">
        <v>45030</v>
      </c>
      <c r="AH1389" s="82" t="s">
        <v>11532</v>
      </c>
      <c r="AI1389" s="77" t="b">
        <v>0</v>
      </c>
      <c r="AJ1389" s="77"/>
      <c r="AK1389" s="77"/>
      <c r="AL1389" s="77"/>
      <c r="AM1389" s="77"/>
      <c r="AN1389" s="77"/>
      <c r="AO1389" s="77"/>
      <c r="AP1389" s="77"/>
      <c r="AQ1389" s="77"/>
      <c r="AR1389" s="77"/>
      <c r="AS1389" s="77"/>
      <c r="AT1389" s="77"/>
      <c r="AU1389" s="77"/>
      <c r="AV1389" s="80" t="str">
        <f>HYPERLINK("https://pbs.twimg.com/profile_images/1683993119946072067/mwxjyvn-_normal.jpg")</f>
        <v>https://pbs.twimg.com/profile_images/1683993119946072067/mwxjyvn-_normal.jpg</v>
      </c>
      <c r="AW1389" s="82" t="s">
        <v>18162</v>
      </c>
      <c r="AX1389" s="82" t="s">
        <v>18162</v>
      </c>
      <c r="AY1389" s="77"/>
      <c r="AZ1389" s="82" t="s">
        <v>20971</v>
      </c>
      <c r="BA1389" s="82" t="s">
        <v>20971</v>
      </c>
      <c r="BB1389" s="82" t="s">
        <v>20971</v>
      </c>
      <c r="BC1389" s="82" t="s">
        <v>18162</v>
      </c>
      <c r="BD1389" s="82" t="s">
        <v>21237</v>
      </c>
      <c r="BE1389" s="77"/>
      <c r="BF1389" s="77"/>
      <c r="BG1389" s="77"/>
      <c r="BH1389" s="77"/>
      <c r="BI1389" s="77"/>
    </row>
    <row r="1390" spans="1:61" x14ac:dyDescent="0.25">
      <c r="A1390" s="62" t="s">
        <v>530</v>
      </c>
      <c r="B1390" s="62" t="s">
        <v>530</v>
      </c>
      <c r="C1390" s="63"/>
      <c r="D1390" s="64"/>
      <c r="E1390" s="65"/>
      <c r="F1390" s="66"/>
      <c r="G1390" s="63"/>
      <c r="H1390" s="67"/>
      <c r="I1390" s="68"/>
      <c r="J1390" s="68"/>
      <c r="K1390" s="32"/>
      <c r="L1390" s="75">
        <v>1390</v>
      </c>
      <c r="M1390" s="75"/>
      <c r="N1390" s="70"/>
      <c r="O1390" s="77" t="s">
        <v>179</v>
      </c>
      <c r="P1390" s="79">
        <v>45030.155439814815</v>
      </c>
      <c r="Q1390" s="77" t="s">
        <v>2634</v>
      </c>
      <c r="R1390" s="77">
        <v>0</v>
      </c>
      <c r="S1390" s="77">
        <v>0</v>
      </c>
      <c r="T1390" s="77">
        <v>0</v>
      </c>
      <c r="U1390" s="77">
        <v>0</v>
      </c>
      <c r="V1390" s="77">
        <v>12</v>
      </c>
      <c r="W1390" s="82" t="s">
        <v>5753</v>
      </c>
      <c r="X1390" s="80" t="str">
        <f>HYPERLINK("https://www.xn--visoremota-h5a.com/2023/04/como-atuar-como-freelancer-de-marketing.html")</f>
        <v>https://www.xn--visoremota-h5a.com/2023/04/como-atuar-como-freelancer-de-marketing.html</v>
      </c>
      <c r="Y1390" s="77" t="s">
        <v>7337</v>
      </c>
      <c r="Z1390" s="77"/>
      <c r="AA1390" s="77"/>
      <c r="AB1390" s="77"/>
      <c r="AC1390" s="82" t="s">
        <v>10146</v>
      </c>
      <c r="AD1390" s="77" t="s">
        <v>10184</v>
      </c>
      <c r="AE1390" s="80" t="str">
        <f>HYPERLINK("https://twitter.com/rafaelg91275867/status/1646720894260092929")</f>
        <v>https://twitter.com/rafaelg91275867/status/1646720894260092929</v>
      </c>
      <c r="AF1390" s="79">
        <v>45030.155439814815</v>
      </c>
      <c r="AG1390" s="85">
        <v>45030</v>
      </c>
      <c r="AH1390" s="82" t="s">
        <v>11533</v>
      </c>
      <c r="AI1390" s="77" t="b">
        <v>0</v>
      </c>
      <c r="AJ1390" s="77"/>
      <c r="AK1390" s="77"/>
      <c r="AL1390" s="77"/>
      <c r="AM1390" s="77"/>
      <c r="AN1390" s="77"/>
      <c r="AO1390" s="77"/>
      <c r="AP1390" s="77"/>
      <c r="AQ1390" s="77"/>
      <c r="AR1390" s="77"/>
      <c r="AS1390" s="77"/>
      <c r="AT1390" s="77"/>
      <c r="AU1390" s="77"/>
      <c r="AV1390" s="80" t="str">
        <f>HYPERLINK("https://pbs.twimg.com/profile_images/1683993119946072067/mwxjyvn-_normal.jpg")</f>
        <v>https://pbs.twimg.com/profile_images/1683993119946072067/mwxjyvn-_normal.jpg</v>
      </c>
      <c r="AW1390" s="82" t="s">
        <v>18163</v>
      </c>
      <c r="AX1390" s="82" t="s">
        <v>18163</v>
      </c>
      <c r="AY1390" s="77"/>
      <c r="AZ1390" s="82" t="s">
        <v>20971</v>
      </c>
      <c r="BA1390" s="82" t="s">
        <v>20971</v>
      </c>
      <c r="BB1390" s="82" t="s">
        <v>20971</v>
      </c>
      <c r="BC1390" s="82" t="s">
        <v>18163</v>
      </c>
      <c r="BD1390" s="82" t="s">
        <v>21237</v>
      </c>
      <c r="BE1390" s="77"/>
      <c r="BF1390" s="77"/>
      <c r="BG1390" s="77"/>
      <c r="BH1390" s="77"/>
      <c r="BI1390" s="77"/>
    </row>
    <row r="1391" spans="1:61" x14ac:dyDescent="0.25">
      <c r="A1391" s="62" t="s">
        <v>530</v>
      </c>
      <c r="B1391" s="62" t="s">
        <v>530</v>
      </c>
      <c r="C1391" s="63"/>
      <c r="D1391" s="64"/>
      <c r="E1391" s="65"/>
      <c r="F1391" s="66"/>
      <c r="G1391" s="63"/>
      <c r="H1391" s="67"/>
      <c r="I1391" s="68"/>
      <c r="J1391" s="68"/>
      <c r="K1391" s="32"/>
      <c r="L1391" s="75">
        <v>1391</v>
      </c>
      <c r="M1391" s="75"/>
      <c r="N1391" s="70"/>
      <c r="O1391" s="77" t="s">
        <v>179</v>
      </c>
      <c r="P1391" s="79">
        <v>45030.155173611114</v>
      </c>
      <c r="Q1391" s="77" t="s">
        <v>2635</v>
      </c>
      <c r="R1391" s="77">
        <v>0</v>
      </c>
      <c r="S1391" s="77">
        <v>0</v>
      </c>
      <c r="T1391" s="77">
        <v>0</v>
      </c>
      <c r="U1391" s="77">
        <v>0</v>
      </c>
      <c r="V1391" s="77">
        <v>9</v>
      </c>
      <c r="W1391" s="82" t="s">
        <v>5753</v>
      </c>
      <c r="X1391" s="80" t="str">
        <f>HYPERLINK("https://www.xn--visoremota-h5a.com/2023/04/como-se-tornar-um-afiliado-de-produtos.html")</f>
        <v>https://www.xn--visoremota-h5a.com/2023/04/como-se-tornar-um-afiliado-de-produtos.html</v>
      </c>
      <c r="Y1391" s="77" t="s">
        <v>7337</v>
      </c>
      <c r="Z1391" s="77"/>
      <c r="AA1391" s="77"/>
      <c r="AB1391" s="77"/>
      <c r="AC1391" s="82" t="s">
        <v>10146</v>
      </c>
      <c r="AD1391" s="77" t="s">
        <v>10184</v>
      </c>
      <c r="AE1391" s="80" t="str">
        <f>HYPERLINK("https://twitter.com/rafaelg91275867/status/1646720796457410560")</f>
        <v>https://twitter.com/rafaelg91275867/status/1646720796457410560</v>
      </c>
      <c r="AF1391" s="79">
        <v>45030.155173611114</v>
      </c>
      <c r="AG1391" s="85">
        <v>45030</v>
      </c>
      <c r="AH1391" s="82" t="s">
        <v>11366</v>
      </c>
      <c r="AI1391" s="77" t="b">
        <v>0</v>
      </c>
      <c r="AJ1391" s="77"/>
      <c r="AK1391" s="77"/>
      <c r="AL1391" s="77"/>
      <c r="AM1391" s="77"/>
      <c r="AN1391" s="77"/>
      <c r="AO1391" s="77"/>
      <c r="AP1391" s="77"/>
      <c r="AQ1391" s="77"/>
      <c r="AR1391" s="77"/>
      <c r="AS1391" s="77"/>
      <c r="AT1391" s="77"/>
      <c r="AU1391" s="77"/>
      <c r="AV1391" s="80" t="str">
        <f>HYPERLINK("https://pbs.twimg.com/profile_images/1683993119946072067/mwxjyvn-_normal.jpg")</f>
        <v>https://pbs.twimg.com/profile_images/1683993119946072067/mwxjyvn-_normal.jpg</v>
      </c>
      <c r="AW1391" s="82" t="s">
        <v>18164</v>
      </c>
      <c r="AX1391" s="82" t="s">
        <v>18164</v>
      </c>
      <c r="AY1391" s="77"/>
      <c r="AZ1391" s="82" t="s">
        <v>20971</v>
      </c>
      <c r="BA1391" s="82" t="s">
        <v>20971</v>
      </c>
      <c r="BB1391" s="82" t="s">
        <v>20971</v>
      </c>
      <c r="BC1391" s="82" t="s">
        <v>18164</v>
      </c>
      <c r="BD1391" s="82" t="s">
        <v>21237</v>
      </c>
      <c r="BE1391" s="77"/>
      <c r="BF1391" s="77"/>
      <c r="BG1391" s="77"/>
      <c r="BH1391" s="77"/>
      <c r="BI1391" s="77"/>
    </row>
    <row r="1392" spans="1:61" x14ac:dyDescent="0.25">
      <c r="A1392" s="62" t="s">
        <v>530</v>
      </c>
      <c r="B1392" s="62" t="s">
        <v>530</v>
      </c>
      <c r="C1392" s="63"/>
      <c r="D1392" s="64"/>
      <c r="E1392" s="65"/>
      <c r="F1392" s="66"/>
      <c r="G1392" s="63"/>
      <c r="H1392" s="67"/>
      <c r="I1392" s="68"/>
      <c r="J1392" s="68"/>
      <c r="K1392" s="32"/>
      <c r="L1392" s="75">
        <v>1392</v>
      </c>
      <c r="M1392" s="75"/>
      <c r="N1392" s="70"/>
      <c r="O1392" s="77" t="s">
        <v>179</v>
      </c>
      <c r="P1392" s="79">
        <v>45030.154351851852</v>
      </c>
      <c r="Q1392" s="77" t="s">
        <v>2636</v>
      </c>
      <c r="R1392" s="77">
        <v>0</v>
      </c>
      <c r="S1392" s="77">
        <v>0</v>
      </c>
      <c r="T1392" s="77">
        <v>0</v>
      </c>
      <c r="U1392" s="77">
        <v>0</v>
      </c>
      <c r="V1392" s="77">
        <v>11</v>
      </c>
      <c r="W1392" s="82" t="s">
        <v>5753</v>
      </c>
      <c r="X1392" s="80" t="str">
        <f>HYPERLINK("https://www.xn--visoremota-h5a.com/2023/04/descubra-33-maneiras-de-ganhar-dinheiro.html")</f>
        <v>https://www.xn--visoremota-h5a.com/2023/04/descubra-33-maneiras-de-ganhar-dinheiro.html</v>
      </c>
      <c r="Y1392" s="77" t="s">
        <v>7337</v>
      </c>
      <c r="Z1392" s="77"/>
      <c r="AA1392" s="77"/>
      <c r="AB1392" s="77"/>
      <c r="AC1392" s="82" t="s">
        <v>10146</v>
      </c>
      <c r="AD1392" s="77" t="s">
        <v>10184</v>
      </c>
      <c r="AE1392" s="80" t="str">
        <f>HYPERLINK("https://twitter.com/rafaelg91275867/status/1646720500834480129")</f>
        <v>https://twitter.com/rafaelg91275867/status/1646720500834480129</v>
      </c>
      <c r="AF1392" s="79">
        <v>45030.154351851852</v>
      </c>
      <c r="AG1392" s="85">
        <v>45030</v>
      </c>
      <c r="AH1392" s="82" t="s">
        <v>11534</v>
      </c>
      <c r="AI1392" s="77" t="b">
        <v>0</v>
      </c>
      <c r="AJ1392" s="77"/>
      <c r="AK1392" s="77"/>
      <c r="AL1392" s="77"/>
      <c r="AM1392" s="77"/>
      <c r="AN1392" s="77"/>
      <c r="AO1392" s="77"/>
      <c r="AP1392" s="77"/>
      <c r="AQ1392" s="77"/>
      <c r="AR1392" s="77"/>
      <c r="AS1392" s="77"/>
      <c r="AT1392" s="77"/>
      <c r="AU1392" s="77"/>
      <c r="AV1392" s="80" t="str">
        <f>HYPERLINK("https://pbs.twimg.com/profile_images/1683993119946072067/mwxjyvn-_normal.jpg")</f>
        <v>https://pbs.twimg.com/profile_images/1683993119946072067/mwxjyvn-_normal.jpg</v>
      </c>
      <c r="AW1392" s="82" t="s">
        <v>18165</v>
      </c>
      <c r="AX1392" s="82" t="s">
        <v>18165</v>
      </c>
      <c r="AY1392" s="77"/>
      <c r="AZ1392" s="82" t="s">
        <v>20971</v>
      </c>
      <c r="BA1392" s="82" t="s">
        <v>20971</v>
      </c>
      <c r="BB1392" s="82" t="s">
        <v>20971</v>
      </c>
      <c r="BC1392" s="82" t="s">
        <v>18165</v>
      </c>
      <c r="BD1392" s="82" t="s">
        <v>21237</v>
      </c>
      <c r="BE1392" s="77"/>
      <c r="BF1392" s="77"/>
      <c r="BG1392" s="77"/>
      <c r="BH1392" s="77"/>
      <c r="BI1392" s="77"/>
    </row>
    <row r="1393" spans="1:61" x14ac:dyDescent="0.25">
      <c r="A1393" s="62" t="s">
        <v>530</v>
      </c>
      <c r="B1393" s="62" t="s">
        <v>530</v>
      </c>
      <c r="C1393" s="63"/>
      <c r="D1393" s="64"/>
      <c r="E1393" s="65"/>
      <c r="F1393" s="66"/>
      <c r="G1393" s="63"/>
      <c r="H1393" s="67"/>
      <c r="I1393" s="68"/>
      <c r="J1393" s="68"/>
      <c r="K1393" s="32"/>
      <c r="L1393" s="75">
        <v>1393</v>
      </c>
      <c r="M1393" s="75"/>
      <c r="N1393" s="70"/>
      <c r="O1393" s="77" t="s">
        <v>179</v>
      </c>
      <c r="P1393" s="79">
        <v>45030.153865740744</v>
      </c>
      <c r="Q1393" s="77" t="s">
        <v>2637</v>
      </c>
      <c r="R1393" s="77">
        <v>0</v>
      </c>
      <c r="S1393" s="77">
        <v>0</v>
      </c>
      <c r="T1393" s="77">
        <v>0</v>
      </c>
      <c r="U1393" s="77">
        <v>0</v>
      </c>
      <c r="V1393" s="77">
        <v>22</v>
      </c>
      <c r="W1393" s="82" t="s">
        <v>5753</v>
      </c>
      <c r="X1393" s="80" t="str">
        <f>HYPERLINK("https://www.xn--visoremota-h5a.com/2023/04/8-formas-diferentes-de-ganhar-dinheiro.html")</f>
        <v>https://www.xn--visoremota-h5a.com/2023/04/8-formas-diferentes-de-ganhar-dinheiro.html</v>
      </c>
      <c r="Y1393" s="77" t="s">
        <v>7337</v>
      </c>
      <c r="Z1393" s="77"/>
      <c r="AA1393" s="77"/>
      <c r="AB1393" s="77"/>
      <c r="AC1393" s="82" t="s">
        <v>10146</v>
      </c>
      <c r="AD1393" s="77" t="s">
        <v>10184</v>
      </c>
      <c r="AE1393" s="80" t="str">
        <f>HYPERLINK("https://twitter.com/rafaelg91275867/status/1646720324350738432")</f>
        <v>https://twitter.com/rafaelg91275867/status/1646720324350738432</v>
      </c>
      <c r="AF1393" s="79">
        <v>45030.153865740744</v>
      </c>
      <c r="AG1393" s="85">
        <v>45030</v>
      </c>
      <c r="AH1393" s="82" t="s">
        <v>11535</v>
      </c>
      <c r="AI1393" s="77" t="b">
        <v>0</v>
      </c>
      <c r="AJ1393" s="77"/>
      <c r="AK1393" s="77"/>
      <c r="AL1393" s="77"/>
      <c r="AM1393" s="77"/>
      <c r="AN1393" s="77"/>
      <c r="AO1393" s="77"/>
      <c r="AP1393" s="77"/>
      <c r="AQ1393" s="77"/>
      <c r="AR1393" s="77"/>
      <c r="AS1393" s="77"/>
      <c r="AT1393" s="77"/>
      <c r="AU1393" s="77"/>
      <c r="AV1393" s="80" t="str">
        <f>HYPERLINK("https://pbs.twimg.com/profile_images/1683993119946072067/mwxjyvn-_normal.jpg")</f>
        <v>https://pbs.twimg.com/profile_images/1683993119946072067/mwxjyvn-_normal.jpg</v>
      </c>
      <c r="AW1393" s="82" t="s">
        <v>18166</v>
      </c>
      <c r="AX1393" s="82" t="s">
        <v>18166</v>
      </c>
      <c r="AY1393" s="77"/>
      <c r="AZ1393" s="82" t="s">
        <v>20971</v>
      </c>
      <c r="BA1393" s="82" t="s">
        <v>20971</v>
      </c>
      <c r="BB1393" s="82" t="s">
        <v>20971</v>
      </c>
      <c r="BC1393" s="82" t="s">
        <v>18166</v>
      </c>
      <c r="BD1393" s="82" t="s">
        <v>21237</v>
      </c>
      <c r="BE1393" s="77"/>
      <c r="BF1393" s="77"/>
      <c r="BG1393" s="77"/>
      <c r="BH1393" s="77"/>
      <c r="BI1393" s="77"/>
    </row>
    <row r="1394" spans="1:61" x14ac:dyDescent="0.25">
      <c r="A1394" s="62" t="s">
        <v>530</v>
      </c>
      <c r="B1394" s="62" t="s">
        <v>530</v>
      </c>
      <c r="C1394" s="63"/>
      <c r="D1394" s="64"/>
      <c r="E1394" s="65"/>
      <c r="F1394" s="66"/>
      <c r="G1394" s="63"/>
      <c r="H1394" s="67"/>
      <c r="I1394" s="68"/>
      <c r="J1394" s="68"/>
      <c r="K1394" s="32"/>
      <c r="L1394" s="75">
        <v>1394</v>
      </c>
      <c r="M1394" s="75"/>
      <c r="N1394" s="70"/>
      <c r="O1394" s="77" t="s">
        <v>179</v>
      </c>
      <c r="P1394" s="79">
        <v>45030.153425925928</v>
      </c>
      <c r="Q1394" s="77" t="s">
        <v>2638</v>
      </c>
      <c r="R1394" s="77">
        <v>0</v>
      </c>
      <c r="S1394" s="77">
        <v>0</v>
      </c>
      <c r="T1394" s="77">
        <v>0</v>
      </c>
      <c r="U1394" s="77">
        <v>0</v>
      </c>
      <c r="V1394" s="77">
        <v>26</v>
      </c>
      <c r="W1394" s="82" t="s">
        <v>5754</v>
      </c>
      <c r="X1394" s="80" t="str">
        <f>HYPERLINK("https://www.xn--visoremota-h5a.com/2023/04/como-funciona-hotmart-e-como-vender-seu.html")</f>
        <v>https://www.xn--visoremota-h5a.com/2023/04/como-funciona-hotmart-e-como-vender-seu.html</v>
      </c>
      <c r="Y1394" s="77" t="s">
        <v>7337</v>
      </c>
      <c r="Z1394" s="77"/>
      <c r="AA1394" s="77"/>
      <c r="AB1394" s="77"/>
      <c r="AC1394" s="82" t="s">
        <v>10146</v>
      </c>
      <c r="AD1394" s="77" t="s">
        <v>10184</v>
      </c>
      <c r="AE1394" s="80" t="str">
        <f>HYPERLINK("https://twitter.com/rafaelg91275867/status/1646720163020939266")</f>
        <v>https://twitter.com/rafaelg91275867/status/1646720163020939266</v>
      </c>
      <c r="AF1394" s="79">
        <v>45030.153425925928</v>
      </c>
      <c r="AG1394" s="85">
        <v>45030</v>
      </c>
      <c r="AH1394" s="82" t="s">
        <v>11536</v>
      </c>
      <c r="AI1394" s="77" t="b">
        <v>0</v>
      </c>
      <c r="AJ1394" s="77"/>
      <c r="AK1394" s="77"/>
      <c r="AL1394" s="77"/>
      <c r="AM1394" s="77"/>
      <c r="AN1394" s="77"/>
      <c r="AO1394" s="77"/>
      <c r="AP1394" s="77"/>
      <c r="AQ1394" s="77"/>
      <c r="AR1394" s="77"/>
      <c r="AS1394" s="77"/>
      <c r="AT1394" s="77"/>
      <c r="AU1394" s="77"/>
      <c r="AV1394" s="80" t="str">
        <f>HYPERLINK("https://pbs.twimg.com/profile_images/1683993119946072067/mwxjyvn-_normal.jpg")</f>
        <v>https://pbs.twimg.com/profile_images/1683993119946072067/mwxjyvn-_normal.jpg</v>
      </c>
      <c r="AW1394" s="82" t="s">
        <v>18167</v>
      </c>
      <c r="AX1394" s="82" t="s">
        <v>18167</v>
      </c>
      <c r="AY1394" s="77"/>
      <c r="AZ1394" s="82" t="s">
        <v>20971</v>
      </c>
      <c r="BA1394" s="82" t="s">
        <v>20971</v>
      </c>
      <c r="BB1394" s="82" t="s">
        <v>20971</v>
      </c>
      <c r="BC1394" s="82" t="s">
        <v>18167</v>
      </c>
      <c r="BD1394" s="82" t="s">
        <v>21237</v>
      </c>
      <c r="BE1394" s="77"/>
      <c r="BF1394" s="77"/>
      <c r="BG1394" s="77"/>
      <c r="BH1394" s="77"/>
      <c r="BI1394" s="77"/>
    </row>
    <row r="1395" spans="1:61" x14ac:dyDescent="0.25">
      <c r="A1395" s="62" t="s">
        <v>530</v>
      </c>
      <c r="B1395" s="62" t="s">
        <v>530</v>
      </c>
      <c r="C1395" s="63"/>
      <c r="D1395" s="64"/>
      <c r="E1395" s="65"/>
      <c r="F1395" s="66"/>
      <c r="G1395" s="63"/>
      <c r="H1395" s="67"/>
      <c r="I1395" s="68"/>
      <c r="J1395" s="68"/>
      <c r="K1395" s="32"/>
      <c r="L1395" s="75">
        <v>1395</v>
      </c>
      <c r="M1395" s="75"/>
      <c r="N1395" s="70"/>
      <c r="O1395" s="77" t="s">
        <v>179</v>
      </c>
      <c r="P1395" s="79">
        <v>45030.153032407405</v>
      </c>
      <c r="Q1395" s="77" t="s">
        <v>2639</v>
      </c>
      <c r="R1395" s="77">
        <v>0</v>
      </c>
      <c r="S1395" s="77">
        <v>0</v>
      </c>
      <c r="T1395" s="77">
        <v>0</v>
      </c>
      <c r="U1395" s="77">
        <v>0</v>
      </c>
      <c r="V1395" s="77">
        <v>22</v>
      </c>
      <c r="W1395" s="82" t="s">
        <v>5755</v>
      </c>
      <c r="X1395" s="80" t="str">
        <f>HYPERLINK("https://www.xn--visoremota-h5a.com/2023/04/5-formas-diferentes-de-ganhar-dinheiro.html")</f>
        <v>https://www.xn--visoremota-h5a.com/2023/04/5-formas-diferentes-de-ganhar-dinheiro.html</v>
      </c>
      <c r="Y1395" s="77" t="s">
        <v>7337</v>
      </c>
      <c r="Z1395" s="77"/>
      <c r="AA1395" s="77"/>
      <c r="AB1395" s="77"/>
      <c r="AC1395" s="82" t="s">
        <v>10146</v>
      </c>
      <c r="AD1395" s="77" t="s">
        <v>10184</v>
      </c>
      <c r="AE1395" s="80" t="str">
        <f>HYPERLINK("https://twitter.com/rafaelg91275867/status/1646720022369255426")</f>
        <v>https://twitter.com/rafaelg91275867/status/1646720022369255426</v>
      </c>
      <c r="AF1395" s="79">
        <v>45030.153032407405</v>
      </c>
      <c r="AG1395" s="85">
        <v>45030</v>
      </c>
      <c r="AH1395" s="82" t="s">
        <v>11537</v>
      </c>
      <c r="AI1395" s="77" t="b">
        <v>0</v>
      </c>
      <c r="AJ1395" s="77"/>
      <c r="AK1395" s="77"/>
      <c r="AL1395" s="77"/>
      <c r="AM1395" s="77"/>
      <c r="AN1395" s="77"/>
      <c r="AO1395" s="77"/>
      <c r="AP1395" s="77"/>
      <c r="AQ1395" s="77"/>
      <c r="AR1395" s="77"/>
      <c r="AS1395" s="77"/>
      <c r="AT1395" s="77"/>
      <c r="AU1395" s="77"/>
      <c r="AV1395" s="80" t="str">
        <f>HYPERLINK("https://pbs.twimg.com/profile_images/1683993119946072067/mwxjyvn-_normal.jpg")</f>
        <v>https://pbs.twimg.com/profile_images/1683993119946072067/mwxjyvn-_normal.jpg</v>
      </c>
      <c r="AW1395" s="82" t="s">
        <v>18168</v>
      </c>
      <c r="AX1395" s="82" t="s">
        <v>18168</v>
      </c>
      <c r="AY1395" s="77"/>
      <c r="AZ1395" s="82" t="s">
        <v>20971</v>
      </c>
      <c r="BA1395" s="82" t="s">
        <v>20971</v>
      </c>
      <c r="BB1395" s="82" t="s">
        <v>20971</v>
      </c>
      <c r="BC1395" s="82" t="s">
        <v>18168</v>
      </c>
      <c r="BD1395" s="82" t="s">
        <v>21237</v>
      </c>
      <c r="BE1395" s="77"/>
      <c r="BF1395" s="77"/>
      <c r="BG1395" s="77"/>
      <c r="BH1395" s="77"/>
      <c r="BI1395" s="77"/>
    </row>
    <row r="1396" spans="1:61" x14ac:dyDescent="0.25">
      <c r="A1396" s="62" t="s">
        <v>530</v>
      </c>
      <c r="B1396" s="62" t="s">
        <v>530</v>
      </c>
      <c r="C1396" s="63"/>
      <c r="D1396" s="64"/>
      <c r="E1396" s="65"/>
      <c r="F1396" s="66"/>
      <c r="G1396" s="63"/>
      <c r="H1396" s="67"/>
      <c r="I1396" s="68"/>
      <c r="J1396" s="68"/>
      <c r="K1396" s="32"/>
      <c r="L1396" s="75">
        <v>1396</v>
      </c>
      <c r="M1396" s="75"/>
      <c r="N1396" s="70"/>
      <c r="O1396" s="77" t="s">
        <v>179</v>
      </c>
      <c r="P1396" s="79">
        <v>45030.152581018519</v>
      </c>
      <c r="Q1396" s="77" t="s">
        <v>2640</v>
      </c>
      <c r="R1396" s="77">
        <v>0</v>
      </c>
      <c r="S1396" s="77">
        <v>0</v>
      </c>
      <c r="T1396" s="77">
        <v>0</v>
      </c>
      <c r="U1396" s="77">
        <v>0</v>
      </c>
      <c r="V1396" s="77">
        <v>30</v>
      </c>
      <c r="W1396" s="82" t="s">
        <v>5753</v>
      </c>
      <c r="X1396" s="80" t="str">
        <f>HYPERLINK("https://www.xn--visoremota-h5a.com/2023/04/ja-parou-para-pensar-quantas-tarefas.html")</f>
        <v>https://www.xn--visoremota-h5a.com/2023/04/ja-parou-para-pensar-quantas-tarefas.html</v>
      </c>
      <c r="Y1396" s="77" t="s">
        <v>7337</v>
      </c>
      <c r="Z1396" s="77"/>
      <c r="AA1396" s="77"/>
      <c r="AB1396" s="77"/>
      <c r="AC1396" s="82" t="s">
        <v>10146</v>
      </c>
      <c r="AD1396" s="77" t="s">
        <v>10184</v>
      </c>
      <c r="AE1396" s="80" t="str">
        <f>HYPERLINK("https://twitter.com/rafaelg91275867/status/1646719859412090883")</f>
        <v>https://twitter.com/rafaelg91275867/status/1646719859412090883</v>
      </c>
      <c r="AF1396" s="79">
        <v>45030.152581018519</v>
      </c>
      <c r="AG1396" s="85">
        <v>45030</v>
      </c>
      <c r="AH1396" s="82" t="s">
        <v>11538</v>
      </c>
      <c r="AI1396" s="77" t="b">
        <v>0</v>
      </c>
      <c r="AJ1396" s="77"/>
      <c r="AK1396" s="77"/>
      <c r="AL1396" s="77"/>
      <c r="AM1396" s="77"/>
      <c r="AN1396" s="77"/>
      <c r="AO1396" s="77"/>
      <c r="AP1396" s="77"/>
      <c r="AQ1396" s="77"/>
      <c r="AR1396" s="77"/>
      <c r="AS1396" s="77"/>
      <c r="AT1396" s="77"/>
      <c r="AU1396" s="77"/>
      <c r="AV1396" s="80" t="str">
        <f>HYPERLINK("https://pbs.twimg.com/profile_images/1683993119946072067/mwxjyvn-_normal.jpg")</f>
        <v>https://pbs.twimg.com/profile_images/1683993119946072067/mwxjyvn-_normal.jpg</v>
      </c>
      <c r="AW1396" s="82" t="s">
        <v>18169</v>
      </c>
      <c r="AX1396" s="82" t="s">
        <v>18169</v>
      </c>
      <c r="AY1396" s="77"/>
      <c r="AZ1396" s="82" t="s">
        <v>20971</v>
      </c>
      <c r="BA1396" s="82" t="s">
        <v>20971</v>
      </c>
      <c r="BB1396" s="82" t="s">
        <v>20971</v>
      </c>
      <c r="BC1396" s="82" t="s">
        <v>18169</v>
      </c>
      <c r="BD1396" s="82" t="s">
        <v>21237</v>
      </c>
      <c r="BE1396" s="77"/>
      <c r="BF1396" s="77"/>
      <c r="BG1396" s="77"/>
      <c r="BH1396" s="77"/>
      <c r="BI1396" s="77"/>
    </row>
    <row r="1397" spans="1:61" x14ac:dyDescent="0.25">
      <c r="A1397" s="62" t="s">
        <v>530</v>
      </c>
      <c r="B1397" s="62" t="s">
        <v>530</v>
      </c>
      <c r="C1397" s="63"/>
      <c r="D1397" s="64"/>
      <c r="E1397" s="65"/>
      <c r="F1397" s="66"/>
      <c r="G1397" s="63"/>
      <c r="H1397" s="67"/>
      <c r="I1397" s="68"/>
      <c r="J1397" s="68"/>
      <c r="K1397" s="32"/>
      <c r="L1397" s="75">
        <v>1397</v>
      </c>
      <c r="M1397" s="75"/>
      <c r="N1397" s="70"/>
      <c r="O1397" s="77" t="s">
        <v>179</v>
      </c>
      <c r="P1397" s="79">
        <v>45030.151817129627</v>
      </c>
      <c r="Q1397" s="77" t="s">
        <v>2641</v>
      </c>
      <c r="R1397" s="77">
        <v>0</v>
      </c>
      <c r="S1397" s="77">
        <v>0</v>
      </c>
      <c r="T1397" s="77">
        <v>0</v>
      </c>
      <c r="U1397" s="77">
        <v>0</v>
      </c>
      <c r="V1397" s="77">
        <v>23</v>
      </c>
      <c r="W1397" s="82" t="s">
        <v>5755</v>
      </c>
      <c r="X1397" s="80" t="str">
        <f>HYPERLINK("https://www.xn--visoremota-h5a.com/2023/04/nova-plataforma-de-microtarefas-mais-de.html")</f>
        <v>https://www.xn--visoremota-h5a.com/2023/04/nova-plataforma-de-microtarefas-mais-de.html</v>
      </c>
      <c r="Y1397" s="77" t="s">
        <v>7337</v>
      </c>
      <c r="Z1397" s="77"/>
      <c r="AA1397" s="77"/>
      <c r="AB1397" s="77"/>
      <c r="AC1397" s="82" t="s">
        <v>10146</v>
      </c>
      <c r="AD1397" s="77" t="s">
        <v>10184</v>
      </c>
      <c r="AE1397" s="80" t="str">
        <f>HYPERLINK("https://twitter.com/rafaelg91275867/status/1646719581380018178")</f>
        <v>https://twitter.com/rafaelg91275867/status/1646719581380018178</v>
      </c>
      <c r="AF1397" s="79">
        <v>45030.151817129627</v>
      </c>
      <c r="AG1397" s="85">
        <v>45030</v>
      </c>
      <c r="AH1397" s="82" t="s">
        <v>11539</v>
      </c>
      <c r="AI1397" s="77" t="b">
        <v>0</v>
      </c>
      <c r="AJ1397" s="77"/>
      <c r="AK1397" s="77"/>
      <c r="AL1397" s="77"/>
      <c r="AM1397" s="77"/>
      <c r="AN1397" s="77"/>
      <c r="AO1397" s="77"/>
      <c r="AP1397" s="77"/>
      <c r="AQ1397" s="77"/>
      <c r="AR1397" s="77"/>
      <c r="AS1397" s="77"/>
      <c r="AT1397" s="77"/>
      <c r="AU1397" s="77"/>
      <c r="AV1397" s="80" t="str">
        <f>HYPERLINK("https://pbs.twimg.com/profile_images/1683993119946072067/mwxjyvn-_normal.jpg")</f>
        <v>https://pbs.twimg.com/profile_images/1683993119946072067/mwxjyvn-_normal.jpg</v>
      </c>
      <c r="AW1397" s="82" t="s">
        <v>18170</v>
      </c>
      <c r="AX1397" s="82" t="s">
        <v>18170</v>
      </c>
      <c r="AY1397" s="77"/>
      <c r="AZ1397" s="82" t="s">
        <v>20971</v>
      </c>
      <c r="BA1397" s="82" t="s">
        <v>20971</v>
      </c>
      <c r="BB1397" s="82" t="s">
        <v>20971</v>
      </c>
      <c r="BC1397" s="82" t="s">
        <v>18170</v>
      </c>
      <c r="BD1397" s="82" t="s">
        <v>21237</v>
      </c>
      <c r="BE1397" s="77"/>
      <c r="BF1397" s="77"/>
      <c r="BG1397" s="77"/>
      <c r="BH1397" s="77"/>
      <c r="BI1397" s="77"/>
    </row>
    <row r="1398" spans="1:61" x14ac:dyDescent="0.25">
      <c r="A1398" s="62" t="s">
        <v>531</v>
      </c>
      <c r="B1398" s="62" t="s">
        <v>531</v>
      </c>
      <c r="C1398" s="63"/>
      <c r="D1398" s="64"/>
      <c r="E1398" s="65"/>
      <c r="F1398" s="66"/>
      <c r="G1398" s="63"/>
      <c r="H1398" s="67"/>
      <c r="I1398" s="68"/>
      <c r="J1398" s="68"/>
      <c r="K1398" s="32"/>
      <c r="L1398" s="75">
        <v>1398</v>
      </c>
      <c r="M1398" s="75"/>
      <c r="N1398" s="70"/>
      <c r="O1398" s="77" t="s">
        <v>179</v>
      </c>
      <c r="P1398" s="79">
        <v>45025.828182870369</v>
      </c>
      <c r="Q1398" s="77" t="s">
        <v>2642</v>
      </c>
      <c r="R1398" s="77">
        <v>0</v>
      </c>
      <c r="S1398" s="77">
        <v>0</v>
      </c>
      <c r="T1398" s="77">
        <v>0</v>
      </c>
      <c r="U1398" s="77">
        <v>0</v>
      </c>
      <c r="V1398" s="77">
        <v>27</v>
      </c>
      <c r="W1398" s="82" t="s">
        <v>5756</v>
      </c>
      <c r="X1398" s="80" t="str">
        <f>HYPERLINK("http://a4d26c02978300ffe.awsglobalaccelerator.com/api/register/register_view?userID=12978766")</f>
        <v>http://a4d26c02978300ffe.awsglobalaccelerator.com/api/register/register_view?userID=12978766</v>
      </c>
      <c r="Y1398" s="77" t="s">
        <v>7338</v>
      </c>
      <c r="Z1398" s="77"/>
      <c r="AA1398" s="77" t="s">
        <v>8082</v>
      </c>
      <c r="AB1398" s="77" t="s">
        <v>10129</v>
      </c>
      <c r="AC1398" s="82" t="s">
        <v>10144</v>
      </c>
      <c r="AD1398" s="77" t="s">
        <v>10184</v>
      </c>
      <c r="AE1398" s="80" t="str">
        <f>HYPERLINK("https://twitter.com/suelenm56533946/status/1645152747128344577")</f>
        <v>https://twitter.com/suelenm56533946/status/1645152747128344577</v>
      </c>
      <c r="AF1398" s="79">
        <v>45025.828182870369</v>
      </c>
      <c r="AG1398" s="85">
        <v>45025</v>
      </c>
      <c r="AH1398" s="82" t="s">
        <v>11540</v>
      </c>
      <c r="AI1398" s="77" t="b">
        <v>0</v>
      </c>
      <c r="AJ1398" s="77"/>
      <c r="AK1398" s="77"/>
      <c r="AL1398" s="77"/>
      <c r="AM1398" s="77"/>
      <c r="AN1398" s="77"/>
      <c r="AO1398" s="77"/>
      <c r="AP1398" s="77"/>
      <c r="AQ1398" s="77" t="s">
        <v>14726</v>
      </c>
      <c r="AR1398" s="77">
        <v>44991</v>
      </c>
      <c r="AS1398" s="77"/>
      <c r="AT1398" s="77"/>
      <c r="AU1398" s="77"/>
      <c r="AV1398" s="80" t="str">
        <f>HYPERLINK("https://pbs.twimg.com/ext_tw_video_thumb/1645152649552052224/pu/img/hMx6K6cOXHv7xJgz.jpg")</f>
        <v>https://pbs.twimg.com/ext_tw_video_thumb/1645152649552052224/pu/img/hMx6K6cOXHv7xJgz.jpg</v>
      </c>
      <c r="AW1398" s="82" t="s">
        <v>18171</v>
      </c>
      <c r="AX1398" s="82" t="s">
        <v>18171</v>
      </c>
      <c r="AY1398" s="77"/>
      <c r="AZ1398" s="82" t="s">
        <v>20971</v>
      </c>
      <c r="BA1398" s="82" t="s">
        <v>20971</v>
      </c>
      <c r="BB1398" s="82" t="s">
        <v>20971</v>
      </c>
      <c r="BC1398" s="82" t="s">
        <v>18171</v>
      </c>
      <c r="BD1398" s="82" t="s">
        <v>21238</v>
      </c>
      <c r="BE1398" s="77"/>
      <c r="BF1398" s="77"/>
      <c r="BG1398" s="77"/>
      <c r="BH1398" s="77"/>
      <c r="BI1398" s="77"/>
    </row>
    <row r="1399" spans="1:61" x14ac:dyDescent="0.25">
      <c r="A1399" s="62" t="s">
        <v>532</v>
      </c>
      <c r="B1399" s="62" t="s">
        <v>532</v>
      </c>
      <c r="C1399" s="63"/>
      <c r="D1399" s="64"/>
      <c r="E1399" s="65"/>
      <c r="F1399" s="66"/>
      <c r="G1399" s="63"/>
      <c r="H1399" s="67"/>
      <c r="I1399" s="68"/>
      <c r="J1399" s="68"/>
      <c r="K1399" s="32"/>
      <c r="L1399" s="75">
        <v>1399</v>
      </c>
      <c r="M1399" s="75"/>
      <c r="N1399" s="70"/>
      <c r="O1399" s="77" t="s">
        <v>179</v>
      </c>
      <c r="P1399" s="79">
        <v>45132.153495370374</v>
      </c>
      <c r="Q1399" s="77" t="s">
        <v>2643</v>
      </c>
      <c r="R1399" s="77">
        <v>0</v>
      </c>
      <c r="S1399" s="77">
        <v>1</v>
      </c>
      <c r="T1399" s="77">
        <v>0</v>
      </c>
      <c r="U1399" s="77">
        <v>0</v>
      </c>
      <c r="V1399" s="77">
        <v>297</v>
      </c>
      <c r="W1399" s="82" t="s">
        <v>5757</v>
      </c>
      <c r="X1399" s="77"/>
      <c r="Y1399" s="77"/>
      <c r="Z1399" s="77"/>
      <c r="AA1399" s="77" t="s">
        <v>8083</v>
      </c>
      <c r="AB1399" s="77" t="s">
        <v>10129</v>
      </c>
      <c r="AC1399" s="82" t="s">
        <v>10144</v>
      </c>
      <c r="AD1399" s="77" t="s">
        <v>10184</v>
      </c>
      <c r="AE1399" s="80" t="str">
        <f>HYPERLINK("https://twitter.com/rei_do_money/status/1683683750834479104")</f>
        <v>https://twitter.com/rei_do_money/status/1683683750834479104</v>
      </c>
      <c r="AF1399" s="79">
        <v>45132.153495370374</v>
      </c>
      <c r="AG1399" s="85">
        <v>45132</v>
      </c>
      <c r="AH1399" s="82" t="s">
        <v>11541</v>
      </c>
      <c r="AI1399" s="77" t="b">
        <v>0</v>
      </c>
      <c r="AJ1399" s="77"/>
      <c r="AK1399" s="77"/>
      <c r="AL1399" s="77"/>
      <c r="AM1399" s="77"/>
      <c r="AN1399" s="77"/>
      <c r="AO1399" s="77"/>
      <c r="AP1399" s="77"/>
      <c r="AQ1399" s="77" t="s">
        <v>14727</v>
      </c>
      <c r="AR1399" s="77">
        <v>105366</v>
      </c>
      <c r="AS1399" s="77"/>
      <c r="AT1399" s="77"/>
      <c r="AU1399" s="77"/>
      <c r="AV1399" s="80" t="str">
        <f>HYPERLINK("https://pbs.twimg.com/ext_tw_video_thumb/1683683694593056768/pu/img/bq7M3i9W59fut_sP.jpg")</f>
        <v>https://pbs.twimg.com/ext_tw_video_thumb/1683683694593056768/pu/img/bq7M3i9W59fut_sP.jpg</v>
      </c>
      <c r="AW1399" s="82" t="s">
        <v>18172</v>
      </c>
      <c r="AX1399" s="82" t="s">
        <v>18172</v>
      </c>
      <c r="AY1399" s="77"/>
      <c r="AZ1399" s="82" t="s">
        <v>20971</v>
      </c>
      <c r="BA1399" s="82" t="s">
        <v>20971</v>
      </c>
      <c r="BB1399" s="82" t="s">
        <v>20971</v>
      </c>
      <c r="BC1399" s="82" t="s">
        <v>18172</v>
      </c>
      <c r="BD1399" s="82" t="s">
        <v>21239</v>
      </c>
      <c r="BE1399" s="77"/>
      <c r="BF1399" s="77"/>
      <c r="BG1399" s="77"/>
      <c r="BH1399" s="77"/>
      <c r="BI1399" s="77"/>
    </row>
    <row r="1400" spans="1:61" x14ac:dyDescent="0.25">
      <c r="A1400" s="62" t="s">
        <v>533</v>
      </c>
      <c r="B1400" s="62" t="s">
        <v>533</v>
      </c>
      <c r="C1400" s="63"/>
      <c r="D1400" s="64"/>
      <c r="E1400" s="65"/>
      <c r="F1400" s="66"/>
      <c r="G1400" s="63"/>
      <c r="H1400" s="67"/>
      <c r="I1400" s="68"/>
      <c r="J1400" s="68"/>
      <c r="K1400" s="32"/>
      <c r="L1400" s="75">
        <v>1400</v>
      </c>
      <c r="M1400" s="75"/>
      <c r="N1400" s="70"/>
      <c r="O1400" s="77" t="s">
        <v>179</v>
      </c>
      <c r="P1400" s="79">
        <v>45030.748773148145</v>
      </c>
      <c r="Q1400" s="77" t="s">
        <v>2644</v>
      </c>
      <c r="R1400" s="77">
        <v>0</v>
      </c>
      <c r="S1400" s="77">
        <v>0</v>
      </c>
      <c r="T1400" s="77">
        <v>0</v>
      </c>
      <c r="U1400" s="77">
        <v>0</v>
      </c>
      <c r="V1400" s="77">
        <v>51</v>
      </c>
      <c r="W1400" s="82" t="s">
        <v>5758</v>
      </c>
      <c r="X1400" s="77"/>
      <c r="Y1400" s="77"/>
      <c r="Z1400" s="77"/>
      <c r="AA1400" s="77" t="s">
        <v>8084</v>
      </c>
      <c r="AB1400" s="77" t="s">
        <v>10129</v>
      </c>
      <c r="AC1400" s="82" t="s">
        <v>10146</v>
      </c>
      <c r="AD1400" s="77" t="s">
        <v>10184</v>
      </c>
      <c r="AE1400" s="80" t="str">
        <f>HYPERLINK("https://twitter.com/jhonny_luz/status/1646935909823045632")</f>
        <v>https://twitter.com/jhonny_luz/status/1646935909823045632</v>
      </c>
      <c r="AF1400" s="79">
        <v>45030.748773148145</v>
      </c>
      <c r="AG1400" s="85">
        <v>45030</v>
      </c>
      <c r="AH1400" s="82" t="s">
        <v>11542</v>
      </c>
      <c r="AI1400" s="77" t="b">
        <v>0</v>
      </c>
      <c r="AJ1400" s="77"/>
      <c r="AK1400" s="77"/>
      <c r="AL1400" s="77"/>
      <c r="AM1400" s="77"/>
      <c r="AN1400" s="77"/>
      <c r="AO1400" s="77"/>
      <c r="AP1400" s="77"/>
      <c r="AQ1400" s="77" t="s">
        <v>14728</v>
      </c>
      <c r="AR1400" s="77">
        <v>18111</v>
      </c>
      <c r="AS1400" s="77"/>
      <c r="AT1400" s="77"/>
      <c r="AU1400" s="77"/>
      <c r="AV1400" s="80" t="str">
        <f>HYPERLINK("https://pbs.twimg.com/ext_tw_video_thumb/1646935365180071938/pu/img/UW2tMrIaxE4XG_6t.jpg")</f>
        <v>https://pbs.twimg.com/ext_tw_video_thumb/1646935365180071938/pu/img/UW2tMrIaxE4XG_6t.jpg</v>
      </c>
      <c r="AW1400" s="82" t="s">
        <v>18173</v>
      </c>
      <c r="AX1400" s="82" t="s">
        <v>18173</v>
      </c>
      <c r="AY1400" s="77"/>
      <c r="AZ1400" s="82" t="s">
        <v>20971</v>
      </c>
      <c r="BA1400" s="82" t="s">
        <v>20971</v>
      </c>
      <c r="BB1400" s="82" t="s">
        <v>20971</v>
      </c>
      <c r="BC1400" s="82" t="s">
        <v>18173</v>
      </c>
      <c r="BD1400" s="77">
        <v>66514992</v>
      </c>
      <c r="BE1400" s="77"/>
      <c r="BF1400" s="77"/>
      <c r="BG1400" s="77"/>
      <c r="BH1400" s="77"/>
      <c r="BI1400" s="77"/>
    </row>
    <row r="1401" spans="1:61" x14ac:dyDescent="0.25">
      <c r="A1401" s="62" t="s">
        <v>533</v>
      </c>
      <c r="B1401" s="62" t="s">
        <v>533</v>
      </c>
      <c r="C1401" s="63"/>
      <c r="D1401" s="64"/>
      <c r="E1401" s="65"/>
      <c r="F1401" s="66"/>
      <c r="G1401" s="63"/>
      <c r="H1401" s="67"/>
      <c r="I1401" s="68"/>
      <c r="J1401" s="68"/>
      <c r="K1401" s="32"/>
      <c r="L1401" s="75">
        <v>1401</v>
      </c>
      <c r="M1401" s="75"/>
      <c r="N1401" s="70"/>
      <c r="O1401" s="77" t="s">
        <v>179</v>
      </c>
      <c r="P1401" s="79">
        <v>45051.982314814813</v>
      </c>
      <c r="Q1401" s="77" t="s">
        <v>2645</v>
      </c>
      <c r="R1401" s="77">
        <v>0</v>
      </c>
      <c r="S1401" s="77">
        <v>0</v>
      </c>
      <c r="T1401" s="77">
        <v>0</v>
      </c>
      <c r="U1401" s="77">
        <v>0</v>
      </c>
      <c r="V1401" s="77">
        <v>18</v>
      </c>
      <c r="W1401" s="82" t="s">
        <v>5759</v>
      </c>
      <c r="X1401" s="80" t="str">
        <f>HYPERLINK("https://www.instagram.com/p/CoDlhPEjfUP/")</f>
        <v>https://www.instagram.com/p/CoDlhPEjfUP/</v>
      </c>
      <c r="Y1401" s="77" t="s">
        <v>7250</v>
      </c>
      <c r="Z1401" s="77"/>
      <c r="AA1401" s="77"/>
      <c r="AB1401" s="77"/>
      <c r="AC1401" s="82" t="s">
        <v>10146</v>
      </c>
      <c r="AD1401" s="77" t="s">
        <v>10184</v>
      </c>
      <c r="AE1401" s="80" t="str">
        <f>HYPERLINK("https://twitter.com/jhonny_luz/status/1654630690854412288")</f>
        <v>https://twitter.com/jhonny_luz/status/1654630690854412288</v>
      </c>
      <c r="AF1401" s="79">
        <v>45051.982314814813</v>
      </c>
      <c r="AG1401" s="85">
        <v>45051</v>
      </c>
      <c r="AH1401" s="82" t="s">
        <v>11543</v>
      </c>
      <c r="AI1401" s="77" t="b">
        <v>0</v>
      </c>
      <c r="AJ1401" s="77"/>
      <c r="AK1401" s="77"/>
      <c r="AL1401" s="77"/>
      <c r="AM1401" s="77"/>
      <c r="AN1401" s="77"/>
      <c r="AO1401" s="77"/>
      <c r="AP1401" s="77"/>
      <c r="AQ1401" s="77"/>
      <c r="AR1401" s="77"/>
      <c r="AS1401" s="77"/>
      <c r="AT1401" s="77"/>
      <c r="AU1401" s="77"/>
      <c r="AV1401" s="80" t="str">
        <f>HYPERLINK("https://pbs.twimg.com/profile_images/1671255904015073281/ioFR9VC4_normal.jpg")</f>
        <v>https://pbs.twimg.com/profile_images/1671255904015073281/ioFR9VC4_normal.jpg</v>
      </c>
      <c r="AW1401" s="82" t="s">
        <v>18174</v>
      </c>
      <c r="AX1401" s="82" t="s">
        <v>18174</v>
      </c>
      <c r="AY1401" s="77"/>
      <c r="AZ1401" s="82" t="s">
        <v>20971</v>
      </c>
      <c r="BA1401" s="82" t="s">
        <v>20971</v>
      </c>
      <c r="BB1401" s="82" t="s">
        <v>20971</v>
      </c>
      <c r="BC1401" s="82" t="s">
        <v>18174</v>
      </c>
      <c r="BD1401" s="77">
        <v>66514992</v>
      </c>
      <c r="BE1401" s="77"/>
      <c r="BF1401" s="77"/>
      <c r="BG1401" s="77"/>
      <c r="BH1401" s="77"/>
      <c r="BI1401" s="77"/>
    </row>
    <row r="1402" spans="1:61" x14ac:dyDescent="0.25">
      <c r="A1402" s="62" t="s">
        <v>533</v>
      </c>
      <c r="B1402" s="62" t="s">
        <v>1241</v>
      </c>
      <c r="C1402" s="63"/>
      <c r="D1402" s="64"/>
      <c r="E1402" s="65"/>
      <c r="F1402" s="66"/>
      <c r="G1402" s="63"/>
      <c r="H1402" s="67"/>
      <c r="I1402" s="68"/>
      <c r="J1402" s="68"/>
      <c r="K1402" s="32"/>
      <c r="L1402" s="75">
        <v>1402</v>
      </c>
      <c r="M1402" s="75"/>
      <c r="N1402" s="70"/>
      <c r="O1402" s="77" t="s">
        <v>1285</v>
      </c>
      <c r="P1402" s="79">
        <v>45061.914606481485</v>
      </c>
      <c r="Q1402" s="77" t="s">
        <v>2646</v>
      </c>
      <c r="R1402" s="77">
        <v>0</v>
      </c>
      <c r="S1402" s="77">
        <v>0</v>
      </c>
      <c r="T1402" s="77">
        <v>0</v>
      </c>
      <c r="U1402" s="77">
        <v>0</v>
      </c>
      <c r="V1402" s="77">
        <v>41</v>
      </c>
      <c r="W1402" s="82" t="s">
        <v>5760</v>
      </c>
      <c r="X1402" s="80" t="str">
        <f>HYPERLINK("https://youtu.be/80CkLom4wXs")</f>
        <v>https://youtu.be/80CkLom4wXs</v>
      </c>
      <c r="Y1402" s="77" t="s">
        <v>7248</v>
      </c>
      <c r="Z1402" s="77" t="s">
        <v>1241</v>
      </c>
      <c r="AA1402" s="77"/>
      <c r="AB1402" s="77"/>
      <c r="AC1402" s="82" t="s">
        <v>10146</v>
      </c>
      <c r="AD1402" s="77" t="s">
        <v>10184</v>
      </c>
      <c r="AE1402" s="80" t="str">
        <f>HYPERLINK("https://twitter.com/jhonny_luz/status/1658230030688763911")</f>
        <v>https://twitter.com/jhonny_luz/status/1658230030688763911</v>
      </c>
      <c r="AF1402" s="79">
        <v>45061.914606481485</v>
      </c>
      <c r="AG1402" s="85">
        <v>45061</v>
      </c>
      <c r="AH1402" s="82" t="s">
        <v>11544</v>
      </c>
      <c r="AI1402" s="77" t="b">
        <v>0</v>
      </c>
      <c r="AJ1402" s="77"/>
      <c r="AK1402" s="77"/>
      <c r="AL1402" s="77"/>
      <c r="AM1402" s="77"/>
      <c r="AN1402" s="77"/>
      <c r="AO1402" s="77"/>
      <c r="AP1402" s="77"/>
      <c r="AQ1402" s="77"/>
      <c r="AR1402" s="77"/>
      <c r="AS1402" s="77"/>
      <c r="AT1402" s="77"/>
      <c r="AU1402" s="77"/>
      <c r="AV1402" s="80" t="str">
        <f>HYPERLINK("https://pbs.twimg.com/profile_images/1671255904015073281/ioFR9VC4_normal.jpg")</f>
        <v>https://pbs.twimg.com/profile_images/1671255904015073281/ioFR9VC4_normal.jpg</v>
      </c>
      <c r="AW1402" s="82" t="s">
        <v>18175</v>
      </c>
      <c r="AX1402" s="82" t="s">
        <v>18175</v>
      </c>
      <c r="AY1402" s="77"/>
      <c r="AZ1402" s="82" t="s">
        <v>20971</v>
      </c>
      <c r="BA1402" s="82" t="s">
        <v>20971</v>
      </c>
      <c r="BB1402" s="82" t="s">
        <v>20971</v>
      </c>
      <c r="BC1402" s="82" t="s">
        <v>18175</v>
      </c>
      <c r="BD1402" s="77">
        <v>66514992</v>
      </c>
      <c r="BE1402" s="77"/>
      <c r="BF1402" s="77"/>
      <c r="BG1402" s="77"/>
      <c r="BH1402" s="77"/>
      <c r="BI1402" s="77"/>
    </row>
    <row r="1403" spans="1:61" x14ac:dyDescent="0.25">
      <c r="A1403" s="62" t="s">
        <v>534</v>
      </c>
      <c r="B1403" s="62" t="s">
        <v>534</v>
      </c>
      <c r="C1403" s="63"/>
      <c r="D1403" s="64"/>
      <c r="E1403" s="65"/>
      <c r="F1403" s="66"/>
      <c r="G1403" s="63"/>
      <c r="H1403" s="67"/>
      <c r="I1403" s="68"/>
      <c r="J1403" s="68"/>
      <c r="K1403" s="32"/>
      <c r="L1403" s="75">
        <v>1403</v>
      </c>
      <c r="M1403" s="75"/>
      <c r="N1403" s="70"/>
      <c r="O1403" s="77" t="s">
        <v>179</v>
      </c>
      <c r="P1403" s="79">
        <v>45103.648981481485</v>
      </c>
      <c r="Q1403" s="77" t="s">
        <v>2647</v>
      </c>
      <c r="R1403" s="77">
        <v>0</v>
      </c>
      <c r="S1403" s="77">
        <v>0</v>
      </c>
      <c r="T1403" s="77">
        <v>0</v>
      </c>
      <c r="U1403" s="77">
        <v>0</v>
      </c>
      <c r="V1403" s="77">
        <v>41</v>
      </c>
      <c r="W1403" s="82" t="s">
        <v>5761</v>
      </c>
      <c r="X1403" s="77"/>
      <c r="Y1403" s="77"/>
      <c r="Z1403" s="77"/>
      <c r="AA1403" s="77" t="s">
        <v>8085</v>
      </c>
      <c r="AB1403" s="77" t="s">
        <v>10129</v>
      </c>
      <c r="AC1403" s="82" t="s">
        <v>10145</v>
      </c>
      <c r="AD1403" s="77" t="s">
        <v>10184</v>
      </c>
      <c r="AE1403" s="80" t="str">
        <f>HYPERLINK("https://twitter.com/agathaleeharper/status/1673354063381946370")</f>
        <v>https://twitter.com/agathaleeharper/status/1673354063381946370</v>
      </c>
      <c r="AF1403" s="79">
        <v>45103.648981481485</v>
      </c>
      <c r="AG1403" s="85">
        <v>45103</v>
      </c>
      <c r="AH1403" s="82" t="s">
        <v>11545</v>
      </c>
      <c r="AI1403" s="77" t="b">
        <v>0</v>
      </c>
      <c r="AJ1403" s="77"/>
      <c r="AK1403" s="77"/>
      <c r="AL1403" s="77"/>
      <c r="AM1403" s="77"/>
      <c r="AN1403" s="77"/>
      <c r="AO1403" s="77"/>
      <c r="AP1403" s="77"/>
      <c r="AQ1403" s="77" t="s">
        <v>14729</v>
      </c>
      <c r="AR1403" s="77">
        <v>9533</v>
      </c>
      <c r="AS1403" s="77"/>
      <c r="AT1403" s="77"/>
      <c r="AU1403" s="77"/>
      <c r="AV1403" s="80" t="str">
        <f>HYPERLINK("https://pbs.twimg.com/ext_tw_video_thumb/1673354030205087744/pu/img/4X6PHP-yguq0zY9B.jpg")</f>
        <v>https://pbs.twimg.com/ext_tw_video_thumb/1673354030205087744/pu/img/4X6PHP-yguq0zY9B.jpg</v>
      </c>
      <c r="AW1403" s="82" t="s">
        <v>18176</v>
      </c>
      <c r="AX1403" s="82" t="s">
        <v>18176</v>
      </c>
      <c r="AY1403" s="77"/>
      <c r="AZ1403" s="82" t="s">
        <v>20971</v>
      </c>
      <c r="BA1403" s="82" t="s">
        <v>20971</v>
      </c>
      <c r="BB1403" s="82" t="s">
        <v>20971</v>
      </c>
      <c r="BC1403" s="82" t="s">
        <v>18176</v>
      </c>
      <c r="BD1403" s="77">
        <v>103507690</v>
      </c>
      <c r="BE1403" s="77"/>
      <c r="BF1403" s="77"/>
      <c r="BG1403" s="77"/>
      <c r="BH1403" s="77"/>
      <c r="BI1403" s="77"/>
    </row>
    <row r="1404" spans="1:61" x14ac:dyDescent="0.25">
      <c r="A1404" s="62" t="s">
        <v>535</v>
      </c>
      <c r="B1404" s="62" t="s">
        <v>535</v>
      </c>
      <c r="C1404" s="63"/>
      <c r="D1404" s="64"/>
      <c r="E1404" s="65"/>
      <c r="F1404" s="66"/>
      <c r="G1404" s="63"/>
      <c r="H1404" s="67"/>
      <c r="I1404" s="68"/>
      <c r="J1404" s="68"/>
      <c r="K1404" s="32"/>
      <c r="L1404" s="75">
        <v>1404</v>
      </c>
      <c r="M1404" s="75"/>
      <c r="N1404" s="70"/>
      <c r="O1404" s="77" t="s">
        <v>179</v>
      </c>
      <c r="P1404" s="79">
        <v>45195.827268518522</v>
      </c>
      <c r="Q1404" s="77" t="s">
        <v>2648</v>
      </c>
      <c r="R1404" s="77">
        <v>0</v>
      </c>
      <c r="S1404" s="77">
        <v>0</v>
      </c>
      <c r="T1404" s="77">
        <v>1</v>
      </c>
      <c r="U1404" s="77">
        <v>0</v>
      </c>
      <c r="V1404" s="77">
        <v>23</v>
      </c>
      <c r="W1404" s="82" t="s">
        <v>5762</v>
      </c>
      <c r="X1404" s="77"/>
      <c r="Y1404" s="77"/>
      <c r="Z1404" s="77"/>
      <c r="AA1404" s="77" t="s">
        <v>8086</v>
      </c>
      <c r="AB1404" s="77" t="s">
        <v>10130</v>
      </c>
      <c r="AC1404" s="82" t="s">
        <v>10146</v>
      </c>
      <c r="AD1404" s="77" t="s">
        <v>10184</v>
      </c>
      <c r="AE1404" s="80" t="str">
        <f>HYPERLINK("https://twitter.com/joseguilhermeft/status/1706758353840488875")</f>
        <v>https://twitter.com/joseguilhermeft/status/1706758353840488875</v>
      </c>
      <c r="AF1404" s="79">
        <v>45195.827268518522</v>
      </c>
      <c r="AG1404" s="85">
        <v>45195</v>
      </c>
      <c r="AH1404" s="82" t="s">
        <v>11546</v>
      </c>
      <c r="AI1404" s="77" t="b">
        <v>0</v>
      </c>
      <c r="AJ1404" s="77"/>
      <c r="AK1404" s="77"/>
      <c r="AL1404" s="77"/>
      <c r="AM1404" s="77"/>
      <c r="AN1404" s="77"/>
      <c r="AO1404" s="77"/>
      <c r="AP1404" s="77"/>
      <c r="AQ1404" s="77" t="s">
        <v>14730</v>
      </c>
      <c r="AR1404" s="77"/>
      <c r="AS1404" s="77"/>
      <c r="AT1404" s="77"/>
      <c r="AU1404" s="77"/>
      <c r="AV1404" s="80" t="str">
        <f>HYPERLINK("https://pbs.twimg.com/media/F6-e4E-XEAACeBN.jpg")</f>
        <v>https://pbs.twimg.com/media/F6-e4E-XEAACeBN.jpg</v>
      </c>
      <c r="AW1404" s="82" t="s">
        <v>18177</v>
      </c>
      <c r="AX1404" s="82" t="s">
        <v>18177</v>
      </c>
      <c r="AY1404" s="77"/>
      <c r="AZ1404" s="82" t="s">
        <v>20971</v>
      </c>
      <c r="BA1404" s="82" t="s">
        <v>20971</v>
      </c>
      <c r="BB1404" s="82" t="s">
        <v>20971</v>
      </c>
      <c r="BC1404" s="82" t="s">
        <v>18177</v>
      </c>
      <c r="BD1404" s="82" t="s">
        <v>21240</v>
      </c>
      <c r="BE1404" s="77"/>
      <c r="BF1404" s="77"/>
      <c r="BG1404" s="77"/>
      <c r="BH1404" s="77"/>
      <c r="BI1404" s="77"/>
    </row>
    <row r="1405" spans="1:61" x14ac:dyDescent="0.25">
      <c r="A1405" s="62" t="s">
        <v>536</v>
      </c>
      <c r="B1405" s="62" t="s">
        <v>536</v>
      </c>
      <c r="C1405" s="63"/>
      <c r="D1405" s="64"/>
      <c r="E1405" s="65"/>
      <c r="F1405" s="66"/>
      <c r="G1405" s="63"/>
      <c r="H1405" s="67"/>
      <c r="I1405" s="68"/>
      <c r="J1405" s="68"/>
      <c r="K1405" s="32"/>
      <c r="L1405" s="75">
        <v>1405</v>
      </c>
      <c r="M1405" s="75"/>
      <c r="N1405" s="70"/>
      <c r="O1405" s="77" t="s">
        <v>179</v>
      </c>
      <c r="P1405" s="79">
        <v>45098.933506944442</v>
      </c>
      <c r="Q1405" s="77" t="s">
        <v>2649</v>
      </c>
      <c r="R1405" s="77">
        <v>0</v>
      </c>
      <c r="S1405" s="77">
        <v>0</v>
      </c>
      <c r="T1405" s="77">
        <v>0</v>
      </c>
      <c r="U1405" s="77">
        <v>0</v>
      </c>
      <c r="V1405" s="77">
        <v>187</v>
      </c>
      <c r="W1405" s="82" t="s">
        <v>5763</v>
      </c>
      <c r="X1405" s="77"/>
      <c r="Y1405" s="77"/>
      <c r="Z1405" s="77"/>
      <c r="AA1405" s="77"/>
      <c r="AB1405" s="77"/>
      <c r="AC1405" s="82" t="s">
        <v>10145</v>
      </c>
      <c r="AD1405" s="77" t="s">
        <v>10184</v>
      </c>
      <c r="AE1405" s="80" t="str">
        <f>HYPERLINK("https://twitter.com/carolinabouvie/status/1671645230301364224")</f>
        <v>https://twitter.com/carolinabouvie/status/1671645230301364224</v>
      </c>
      <c r="AF1405" s="79">
        <v>45098.933506944442</v>
      </c>
      <c r="AG1405" s="85">
        <v>45098</v>
      </c>
      <c r="AH1405" s="82" t="s">
        <v>11547</v>
      </c>
      <c r="AI1405" s="77"/>
      <c r="AJ1405" s="77"/>
      <c r="AK1405" s="77"/>
      <c r="AL1405" s="77"/>
      <c r="AM1405" s="77"/>
      <c r="AN1405" s="77"/>
      <c r="AO1405" s="77"/>
      <c r="AP1405" s="77"/>
      <c r="AQ1405" s="77"/>
      <c r="AR1405" s="77"/>
      <c r="AS1405" s="77"/>
      <c r="AT1405" s="77"/>
      <c r="AU1405" s="77"/>
      <c r="AV1405" s="80" t="str">
        <f>HYPERLINK("https://pbs.twimg.com/profile_images/1555610985490272258/dhXe8N1V_normal.jpg")</f>
        <v>https://pbs.twimg.com/profile_images/1555610985490272258/dhXe8N1V_normal.jpg</v>
      </c>
      <c r="AW1405" s="82" t="s">
        <v>18178</v>
      </c>
      <c r="AX1405" s="82" t="s">
        <v>18178</v>
      </c>
      <c r="AY1405" s="77"/>
      <c r="AZ1405" s="82" t="s">
        <v>20971</v>
      </c>
      <c r="BA1405" s="82" t="s">
        <v>20971</v>
      </c>
      <c r="BB1405" s="82" t="s">
        <v>20971</v>
      </c>
      <c r="BC1405" s="82" t="s">
        <v>18178</v>
      </c>
      <c r="BD1405" s="77">
        <v>55594905</v>
      </c>
      <c r="BE1405" s="77"/>
      <c r="BF1405" s="77"/>
      <c r="BG1405" s="77"/>
      <c r="BH1405" s="77"/>
      <c r="BI1405" s="77"/>
    </row>
    <row r="1406" spans="1:61" x14ac:dyDescent="0.25">
      <c r="A1406" s="62" t="s">
        <v>537</v>
      </c>
      <c r="B1406" s="62" t="s">
        <v>537</v>
      </c>
      <c r="C1406" s="63"/>
      <c r="D1406" s="64"/>
      <c r="E1406" s="65"/>
      <c r="F1406" s="66"/>
      <c r="G1406" s="63"/>
      <c r="H1406" s="67"/>
      <c r="I1406" s="68"/>
      <c r="J1406" s="68"/>
      <c r="K1406" s="32"/>
      <c r="L1406" s="75">
        <v>1406</v>
      </c>
      <c r="M1406" s="75"/>
      <c r="N1406" s="70"/>
      <c r="O1406" s="77" t="s">
        <v>179</v>
      </c>
      <c r="P1406" s="79">
        <v>45015.279120370367</v>
      </c>
      <c r="Q1406" s="77" t="s">
        <v>2650</v>
      </c>
      <c r="R1406" s="77">
        <v>0</v>
      </c>
      <c r="S1406" s="77">
        <v>1</v>
      </c>
      <c r="T1406" s="77">
        <v>0</v>
      </c>
      <c r="U1406" s="77">
        <v>0</v>
      </c>
      <c r="V1406" s="77">
        <v>61</v>
      </c>
      <c r="W1406" s="82" t="s">
        <v>5764</v>
      </c>
      <c r="X1406" s="80" t="str">
        <f>HYPERLINK("https://ev.braip.com/ref?pv=pro045r1&amp;af=afiz46o8n")</f>
        <v>https://ev.braip.com/ref?pv=pro045r1&amp;af=afiz46o8n</v>
      </c>
      <c r="Y1406" s="77" t="s">
        <v>7278</v>
      </c>
      <c r="Z1406" s="77"/>
      <c r="AA1406" s="77"/>
      <c r="AB1406" s="77"/>
      <c r="AC1406" s="82" t="s">
        <v>10145</v>
      </c>
      <c r="AD1406" s="77" t="s">
        <v>10184</v>
      </c>
      <c r="AE1406" s="80" t="str">
        <f>HYPERLINK("https://twitter.com/yt_100limits/status/1641329898320023552")</f>
        <v>https://twitter.com/yt_100limits/status/1641329898320023552</v>
      </c>
      <c r="AF1406" s="79">
        <v>45015.279120370367</v>
      </c>
      <c r="AG1406" s="85">
        <v>45015</v>
      </c>
      <c r="AH1406" s="82" t="s">
        <v>11548</v>
      </c>
      <c r="AI1406" s="77" t="b">
        <v>0</v>
      </c>
      <c r="AJ1406" s="77"/>
      <c r="AK1406" s="77"/>
      <c r="AL1406" s="77"/>
      <c r="AM1406" s="77"/>
      <c r="AN1406" s="77"/>
      <c r="AO1406" s="77"/>
      <c r="AP1406" s="77"/>
      <c r="AQ1406" s="77"/>
      <c r="AR1406" s="77"/>
      <c r="AS1406" s="77"/>
      <c r="AT1406" s="77"/>
      <c r="AU1406" s="77"/>
      <c r="AV1406" s="80" t="str">
        <f>HYPERLINK("https://pbs.twimg.com/profile_images/1581769496670490626/kGTRygGn_normal.jpg")</f>
        <v>https://pbs.twimg.com/profile_images/1581769496670490626/kGTRygGn_normal.jpg</v>
      </c>
      <c r="AW1406" s="82" t="s">
        <v>18179</v>
      </c>
      <c r="AX1406" s="82" t="s">
        <v>18179</v>
      </c>
      <c r="AY1406" s="77"/>
      <c r="AZ1406" s="82" t="s">
        <v>20971</v>
      </c>
      <c r="BA1406" s="82" t="s">
        <v>20971</v>
      </c>
      <c r="BB1406" s="82" t="s">
        <v>20971</v>
      </c>
      <c r="BC1406" s="82" t="s">
        <v>18179</v>
      </c>
      <c r="BD1406" s="82" t="s">
        <v>21241</v>
      </c>
      <c r="BE1406" s="77"/>
      <c r="BF1406" s="77"/>
      <c r="BG1406" s="77"/>
      <c r="BH1406" s="77"/>
      <c r="BI1406" s="77"/>
    </row>
    <row r="1407" spans="1:61" x14ac:dyDescent="0.25">
      <c r="A1407" s="62" t="s">
        <v>538</v>
      </c>
      <c r="B1407" s="62" t="s">
        <v>538</v>
      </c>
      <c r="C1407" s="63"/>
      <c r="D1407" s="64"/>
      <c r="E1407" s="65"/>
      <c r="F1407" s="66"/>
      <c r="G1407" s="63"/>
      <c r="H1407" s="67"/>
      <c r="I1407" s="68"/>
      <c r="J1407" s="68"/>
      <c r="K1407" s="32"/>
      <c r="L1407" s="75">
        <v>1407</v>
      </c>
      <c r="M1407" s="75"/>
      <c r="N1407" s="70"/>
      <c r="O1407" s="77" t="s">
        <v>179</v>
      </c>
      <c r="P1407" s="79">
        <v>45098.965104166666</v>
      </c>
      <c r="Q1407" s="77" t="s">
        <v>2651</v>
      </c>
      <c r="R1407" s="77">
        <v>0</v>
      </c>
      <c r="S1407" s="77">
        <v>0</v>
      </c>
      <c r="T1407" s="77">
        <v>0</v>
      </c>
      <c r="U1407" s="77">
        <v>1</v>
      </c>
      <c r="V1407" s="77">
        <v>182</v>
      </c>
      <c r="W1407" s="82" t="s">
        <v>5765</v>
      </c>
      <c r="X1407" s="80" t="str">
        <f>HYPERLINK("https://instagram.com/dsb.negociosecarreira?igshid=MzRlODBiNWFlZA==")</f>
        <v>https://instagram.com/dsb.negociosecarreira?igshid=MzRlODBiNWFlZA==</v>
      </c>
      <c r="Y1407" s="77" t="s">
        <v>7250</v>
      </c>
      <c r="Z1407" s="77"/>
      <c r="AA1407" s="77" t="s">
        <v>8087</v>
      </c>
      <c r="AB1407" s="77" t="s">
        <v>10130</v>
      </c>
      <c r="AC1407" s="82" t="s">
        <v>10144</v>
      </c>
      <c r="AD1407" s="77" t="s">
        <v>10184</v>
      </c>
      <c r="AE1407" s="80" t="str">
        <f>HYPERLINK("https://twitter.com/dsb_negocios/status/1671656680692523009")</f>
        <v>https://twitter.com/dsb_negocios/status/1671656680692523009</v>
      </c>
      <c r="AF1407" s="79">
        <v>45098.965104166666</v>
      </c>
      <c r="AG1407" s="85">
        <v>45098</v>
      </c>
      <c r="AH1407" s="82" t="s">
        <v>11549</v>
      </c>
      <c r="AI1407" s="77" t="b">
        <v>0</v>
      </c>
      <c r="AJ1407" s="77"/>
      <c r="AK1407" s="77"/>
      <c r="AL1407" s="77"/>
      <c r="AM1407" s="77"/>
      <c r="AN1407" s="77"/>
      <c r="AO1407" s="77"/>
      <c r="AP1407" s="77"/>
      <c r="AQ1407" s="77" t="s">
        <v>14731</v>
      </c>
      <c r="AR1407" s="77"/>
      <c r="AS1407" s="77"/>
      <c r="AT1407" s="77"/>
      <c r="AU1407" s="77"/>
      <c r="AV1407" s="80" t="str">
        <f>HYPERLINK("https://pbs.twimg.com/media/FzLq5GHXwAIjH2Z.jpg")</f>
        <v>https://pbs.twimg.com/media/FzLq5GHXwAIjH2Z.jpg</v>
      </c>
      <c r="AW1407" s="82" t="s">
        <v>18180</v>
      </c>
      <c r="AX1407" s="82" t="s">
        <v>18180</v>
      </c>
      <c r="AY1407" s="77"/>
      <c r="AZ1407" s="82" t="s">
        <v>20971</v>
      </c>
      <c r="BA1407" s="82" t="s">
        <v>20971</v>
      </c>
      <c r="BB1407" s="82" t="s">
        <v>20971</v>
      </c>
      <c r="BC1407" s="82" t="s">
        <v>18180</v>
      </c>
      <c r="BD1407" s="82" t="s">
        <v>21242</v>
      </c>
      <c r="BE1407" s="77"/>
      <c r="BF1407" s="77"/>
      <c r="BG1407" s="77"/>
      <c r="BH1407" s="77"/>
      <c r="BI1407" s="77"/>
    </row>
    <row r="1408" spans="1:61" x14ac:dyDescent="0.25">
      <c r="A1408" s="62" t="s">
        <v>539</v>
      </c>
      <c r="B1408" s="62" t="s">
        <v>539</v>
      </c>
      <c r="C1408" s="63"/>
      <c r="D1408" s="64"/>
      <c r="E1408" s="65"/>
      <c r="F1408" s="66"/>
      <c r="G1408" s="63"/>
      <c r="H1408" s="67"/>
      <c r="I1408" s="68"/>
      <c r="J1408" s="68"/>
      <c r="K1408" s="32"/>
      <c r="L1408" s="75">
        <v>1408</v>
      </c>
      <c r="M1408" s="75"/>
      <c r="N1408" s="70"/>
      <c r="O1408" s="77" t="s">
        <v>179</v>
      </c>
      <c r="P1408" s="79">
        <v>45008.653587962966</v>
      </c>
      <c r="Q1408" s="77" t="s">
        <v>2652</v>
      </c>
      <c r="R1408" s="77">
        <v>0</v>
      </c>
      <c r="S1408" s="77">
        <v>0</v>
      </c>
      <c r="T1408" s="77">
        <v>0</v>
      </c>
      <c r="U1408" s="77">
        <v>0</v>
      </c>
      <c r="V1408" s="77">
        <v>17</v>
      </c>
      <c r="W1408" s="82" t="s">
        <v>5766</v>
      </c>
      <c r="X1408" s="77"/>
      <c r="Y1408" s="77"/>
      <c r="Z1408" s="77"/>
      <c r="AA1408" s="77"/>
      <c r="AB1408" s="77"/>
      <c r="AC1408" s="82" t="s">
        <v>10146</v>
      </c>
      <c r="AD1408" s="77" t="s">
        <v>10184</v>
      </c>
      <c r="AE1408" s="80" t="str">
        <f>HYPERLINK("https://twitter.com/phygitalasset/status/1638928883943632899")</f>
        <v>https://twitter.com/phygitalasset/status/1638928883943632899</v>
      </c>
      <c r="AF1408" s="79">
        <v>45008.653587962966</v>
      </c>
      <c r="AG1408" s="85">
        <v>45008</v>
      </c>
      <c r="AH1408" s="82" t="s">
        <v>10960</v>
      </c>
      <c r="AI1408" s="77"/>
      <c r="AJ1408" s="77"/>
      <c r="AK1408" s="77"/>
      <c r="AL1408" s="77"/>
      <c r="AM1408" s="77"/>
      <c r="AN1408" s="77"/>
      <c r="AO1408" s="77"/>
      <c r="AP1408" s="77"/>
      <c r="AQ1408" s="77"/>
      <c r="AR1408" s="77"/>
      <c r="AS1408" s="77"/>
      <c r="AT1408" s="77"/>
      <c r="AU1408" s="77"/>
      <c r="AV1408" s="80" t="str">
        <f>HYPERLINK("https://pbs.twimg.com/profile_images/1636822999515971593/d1RTfW5J_normal.png")</f>
        <v>https://pbs.twimg.com/profile_images/1636822999515971593/d1RTfW5J_normal.png</v>
      </c>
      <c r="AW1408" s="82" t="s">
        <v>18181</v>
      </c>
      <c r="AX1408" s="82" t="s">
        <v>18181</v>
      </c>
      <c r="AY1408" s="77"/>
      <c r="AZ1408" s="82" t="s">
        <v>20971</v>
      </c>
      <c r="BA1408" s="82" t="s">
        <v>20971</v>
      </c>
      <c r="BB1408" s="82" t="s">
        <v>20971</v>
      </c>
      <c r="BC1408" s="82" t="s">
        <v>18181</v>
      </c>
      <c r="BD1408" s="82" t="s">
        <v>21243</v>
      </c>
      <c r="BE1408" s="77"/>
      <c r="BF1408" s="77"/>
      <c r="BG1408" s="77"/>
      <c r="BH1408" s="77"/>
      <c r="BI1408" s="77"/>
    </row>
    <row r="1409" spans="1:61" x14ac:dyDescent="0.25">
      <c r="A1409" s="62" t="s">
        <v>540</v>
      </c>
      <c r="B1409" s="62" t="s">
        <v>540</v>
      </c>
      <c r="C1409" s="63"/>
      <c r="D1409" s="64"/>
      <c r="E1409" s="65"/>
      <c r="F1409" s="66"/>
      <c r="G1409" s="63"/>
      <c r="H1409" s="67"/>
      <c r="I1409" s="68"/>
      <c r="J1409" s="68"/>
      <c r="K1409" s="32"/>
      <c r="L1409" s="75">
        <v>1409</v>
      </c>
      <c r="M1409" s="75"/>
      <c r="N1409" s="70"/>
      <c r="O1409" s="77" t="s">
        <v>179</v>
      </c>
      <c r="P1409" s="79">
        <v>45128.965370370373</v>
      </c>
      <c r="Q1409" s="77" t="s">
        <v>2653</v>
      </c>
      <c r="R1409" s="77">
        <v>0</v>
      </c>
      <c r="S1409" s="77">
        <v>0</v>
      </c>
      <c r="T1409" s="77">
        <v>0</v>
      </c>
      <c r="U1409" s="77">
        <v>0</v>
      </c>
      <c r="V1409" s="77">
        <v>63</v>
      </c>
      <c r="W1409" s="82" t="s">
        <v>5767</v>
      </c>
      <c r="X1409" s="80" t="str">
        <f>HYPERLINK("https://www.pagazani.com/?ref=2082303")</f>
        <v>https://www.pagazani.com/?ref=2082303</v>
      </c>
      <c r="Y1409" s="77" t="s">
        <v>7339</v>
      </c>
      <c r="Z1409" s="77"/>
      <c r="AA1409" s="77" t="s">
        <v>8088</v>
      </c>
      <c r="AB1409" s="77" t="s">
        <v>10130</v>
      </c>
      <c r="AC1409" s="82" t="s">
        <v>10146</v>
      </c>
      <c r="AD1409" s="77" t="s">
        <v>10184</v>
      </c>
      <c r="AE1409" s="80" t="str">
        <f>HYPERLINK("https://twitter.com/joamot30/status/1682528416275234818")</f>
        <v>https://twitter.com/joamot30/status/1682528416275234818</v>
      </c>
      <c r="AF1409" s="79">
        <v>45128.965370370373</v>
      </c>
      <c r="AG1409" s="85">
        <v>45128</v>
      </c>
      <c r="AH1409" s="82" t="s">
        <v>11550</v>
      </c>
      <c r="AI1409" s="77" t="b">
        <v>0</v>
      </c>
      <c r="AJ1409" s="77"/>
      <c r="AK1409" s="77"/>
      <c r="AL1409" s="77"/>
      <c r="AM1409" s="77"/>
      <c r="AN1409" s="77"/>
      <c r="AO1409" s="77"/>
      <c r="AP1409" s="77"/>
      <c r="AQ1409" s="77" t="s">
        <v>14732</v>
      </c>
      <c r="AR1409" s="77"/>
      <c r="AS1409" s="77"/>
      <c r="AT1409" s="77"/>
      <c r="AU1409" s="77"/>
      <c r="AV1409" s="80" t="str">
        <f>HYPERLINK("https://pbs.twimg.com/media/F1mJu5bXoAA5fjT.jpg")</f>
        <v>https://pbs.twimg.com/media/F1mJu5bXoAA5fjT.jpg</v>
      </c>
      <c r="AW1409" s="82" t="s">
        <v>18182</v>
      </c>
      <c r="AX1409" s="82" t="s">
        <v>18182</v>
      </c>
      <c r="AY1409" s="77"/>
      <c r="AZ1409" s="82" t="s">
        <v>20971</v>
      </c>
      <c r="BA1409" s="82" t="s">
        <v>20971</v>
      </c>
      <c r="BB1409" s="82" t="s">
        <v>20971</v>
      </c>
      <c r="BC1409" s="82" t="s">
        <v>18182</v>
      </c>
      <c r="BD1409" s="77">
        <v>16236786</v>
      </c>
      <c r="BE1409" s="77"/>
      <c r="BF1409" s="77"/>
      <c r="BG1409" s="77"/>
      <c r="BH1409" s="77"/>
      <c r="BI1409" s="77"/>
    </row>
    <row r="1410" spans="1:61" x14ac:dyDescent="0.25">
      <c r="A1410" s="62" t="s">
        <v>541</v>
      </c>
      <c r="B1410" s="62" t="s">
        <v>541</v>
      </c>
      <c r="C1410" s="63"/>
      <c r="D1410" s="64"/>
      <c r="E1410" s="65"/>
      <c r="F1410" s="66"/>
      <c r="G1410" s="63"/>
      <c r="H1410" s="67"/>
      <c r="I1410" s="68"/>
      <c r="J1410" s="68"/>
      <c r="K1410" s="32"/>
      <c r="L1410" s="75">
        <v>1410</v>
      </c>
      <c r="M1410" s="75"/>
      <c r="N1410" s="70"/>
      <c r="O1410" s="77" t="s">
        <v>179</v>
      </c>
      <c r="P1410" s="79">
        <v>44958.603483796294</v>
      </c>
      <c r="Q1410" s="77" t="s">
        <v>2654</v>
      </c>
      <c r="R1410" s="77">
        <v>0</v>
      </c>
      <c r="S1410" s="77">
        <v>0</v>
      </c>
      <c r="T1410" s="77">
        <v>0</v>
      </c>
      <c r="U1410" s="77">
        <v>0</v>
      </c>
      <c r="V1410" s="77">
        <v>16</v>
      </c>
      <c r="W1410" s="82" t="s">
        <v>5768</v>
      </c>
      <c r="X1410" s="80" t="str">
        <f>HYPERLINK("https://wa.me/5547999371355")</f>
        <v>https://wa.me/5547999371355</v>
      </c>
      <c r="Y1410" s="77" t="s">
        <v>7279</v>
      </c>
      <c r="Z1410" s="77"/>
      <c r="AA1410" s="77"/>
      <c r="AB1410" s="77"/>
      <c r="AC1410" s="82" t="s">
        <v>10146</v>
      </c>
      <c r="AD1410" s="77" t="s">
        <v>10184</v>
      </c>
      <c r="AE1410" s="80" t="str">
        <f>HYPERLINK("https://twitter.com/vigaraniemanuel/status/1620791332917899264")</f>
        <v>https://twitter.com/vigaraniemanuel/status/1620791332917899264</v>
      </c>
      <c r="AF1410" s="79">
        <v>44958.603483796294</v>
      </c>
      <c r="AG1410" s="85">
        <v>44958</v>
      </c>
      <c r="AH1410" s="82" t="s">
        <v>11551</v>
      </c>
      <c r="AI1410" s="77" t="b">
        <v>0</v>
      </c>
      <c r="AJ1410" s="77"/>
      <c r="AK1410" s="77"/>
      <c r="AL1410" s="77"/>
      <c r="AM1410" s="77"/>
      <c r="AN1410" s="77"/>
      <c r="AO1410" s="77"/>
      <c r="AP1410" s="77"/>
      <c r="AQ1410" s="77"/>
      <c r="AR1410" s="77"/>
      <c r="AS1410" s="77"/>
      <c r="AT1410" s="77"/>
      <c r="AU1410" s="77"/>
      <c r="AV1410" s="80" t="str">
        <f>HYPERLINK("https://pbs.twimg.com/profile_images/1620517658721394699/kqOyhBY2_normal.jpg")</f>
        <v>https://pbs.twimg.com/profile_images/1620517658721394699/kqOyhBY2_normal.jpg</v>
      </c>
      <c r="AW1410" s="82" t="s">
        <v>18183</v>
      </c>
      <c r="AX1410" s="82" t="s">
        <v>18183</v>
      </c>
      <c r="AY1410" s="77"/>
      <c r="AZ1410" s="82" t="s">
        <v>20971</v>
      </c>
      <c r="BA1410" s="82" t="s">
        <v>20971</v>
      </c>
      <c r="BB1410" s="82" t="s">
        <v>20971</v>
      </c>
      <c r="BC1410" s="82" t="s">
        <v>18183</v>
      </c>
      <c r="BD1410" s="82" t="s">
        <v>21244</v>
      </c>
      <c r="BE1410" s="77"/>
      <c r="BF1410" s="77"/>
      <c r="BG1410" s="77"/>
      <c r="BH1410" s="77"/>
      <c r="BI1410" s="77"/>
    </row>
    <row r="1411" spans="1:61" x14ac:dyDescent="0.25">
      <c r="A1411" s="62" t="s">
        <v>542</v>
      </c>
      <c r="B1411" s="62" t="s">
        <v>1251</v>
      </c>
      <c r="C1411" s="63"/>
      <c r="D1411" s="64"/>
      <c r="E1411" s="65"/>
      <c r="F1411" s="66"/>
      <c r="G1411" s="63"/>
      <c r="H1411" s="67"/>
      <c r="I1411" s="68"/>
      <c r="J1411" s="68"/>
      <c r="K1411" s="32"/>
      <c r="L1411" s="75">
        <v>1411</v>
      </c>
      <c r="M1411" s="75"/>
      <c r="N1411" s="70"/>
      <c r="O1411" s="77" t="s">
        <v>1285</v>
      </c>
      <c r="P1411" s="79">
        <v>45027.991979166669</v>
      </c>
      <c r="Q1411" s="77" t="s">
        <v>2655</v>
      </c>
      <c r="R1411" s="77">
        <v>0</v>
      </c>
      <c r="S1411" s="77">
        <v>0</v>
      </c>
      <c r="T1411" s="77">
        <v>0</v>
      </c>
      <c r="U1411" s="77">
        <v>1</v>
      </c>
      <c r="V1411" s="77">
        <v>53</v>
      </c>
      <c r="W1411" s="82" t="s">
        <v>5769</v>
      </c>
      <c r="X1411" s="80" t="str">
        <f>HYPERLINK("https://s.kwai.app/w/pqLURdWk")</f>
        <v>https://s.kwai.app/w/pqLURdWk</v>
      </c>
      <c r="Y1411" s="77" t="s">
        <v>7292</v>
      </c>
      <c r="Z1411" s="77" t="s">
        <v>1251</v>
      </c>
      <c r="AA1411" s="77"/>
      <c r="AB1411" s="77"/>
      <c r="AC1411" s="82" t="s">
        <v>10144</v>
      </c>
      <c r="AD1411" s="77" t="s">
        <v>10184</v>
      </c>
      <c r="AE1411" s="80" t="str">
        <f>HYPERLINK("https://twitter.com/rogeriomottam/status/1645936881257918470")</f>
        <v>https://twitter.com/rogeriomottam/status/1645936881257918470</v>
      </c>
      <c r="AF1411" s="79">
        <v>45027.991979166669</v>
      </c>
      <c r="AG1411" s="85">
        <v>45027</v>
      </c>
      <c r="AH1411" s="82" t="s">
        <v>11552</v>
      </c>
      <c r="AI1411" s="77" t="b">
        <v>0</v>
      </c>
      <c r="AJ1411" s="77"/>
      <c r="AK1411" s="77"/>
      <c r="AL1411" s="77"/>
      <c r="AM1411" s="77"/>
      <c r="AN1411" s="77"/>
      <c r="AO1411" s="77"/>
      <c r="AP1411" s="77"/>
      <c r="AQ1411" s="77"/>
      <c r="AR1411" s="77"/>
      <c r="AS1411" s="77"/>
      <c r="AT1411" s="77"/>
      <c r="AU1411" s="77"/>
      <c r="AV1411" s="80" t="str">
        <f>HYPERLINK("https://pbs.twimg.com/profile_images/1477309571664334849/orisfYaw_normal.jpg")</f>
        <v>https://pbs.twimg.com/profile_images/1477309571664334849/orisfYaw_normal.jpg</v>
      </c>
      <c r="AW1411" s="82" t="s">
        <v>18184</v>
      </c>
      <c r="AX1411" s="82" t="s">
        <v>18184</v>
      </c>
      <c r="AY1411" s="77"/>
      <c r="AZ1411" s="82" t="s">
        <v>20971</v>
      </c>
      <c r="BA1411" s="82" t="s">
        <v>20971</v>
      </c>
      <c r="BB1411" s="82" t="s">
        <v>20971</v>
      </c>
      <c r="BC1411" s="82" t="s">
        <v>18184</v>
      </c>
      <c r="BD1411" s="82" t="s">
        <v>21245</v>
      </c>
      <c r="BE1411" s="77"/>
      <c r="BF1411" s="77"/>
      <c r="BG1411" s="77"/>
      <c r="BH1411" s="77"/>
      <c r="BI1411" s="77"/>
    </row>
    <row r="1412" spans="1:61" x14ac:dyDescent="0.25">
      <c r="A1412" s="62" t="s">
        <v>542</v>
      </c>
      <c r="B1412" s="62" t="s">
        <v>542</v>
      </c>
      <c r="C1412" s="63"/>
      <c r="D1412" s="64"/>
      <c r="E1412" s="65"/>
      <c r="F1412" s="66"/>
      <c r="G1412" s="63"/>
      <c r="H1412" s="67"/>
      <c r="I1412" s="68"/>
      <c r="J1412" s="68"/>
      <c r="K1412" s="32"/>
      <c r="L1412" s="75">
        <v>1412</v>
      </c>
      <c r="M1412" s="75"/>
      <c r="N1412" s="70"/>
      <c r="O1412" s="77" t="s">
        <v>179</v>
      </c>
      <c r="P1412" s="79">
        <v>45162.494953703703</v>
      </c>
      <c r="Q1412" s="77" t="s">
        <v>2656</v>
      </c>
      <c r="R1412" s="77">
        <v>0</v>
      </c>
      <c r="S1412" s="77">
        <v>0</v>
      </c>
      <c r="T1412" s="77">
        <v>0</v>
      </c>
      <c r="U1412" s="77">
        <v>0</v>
      </c>
      <c r="V1412" s="77">
        <v>27</v>
      </c>
      <c r="W1412" s="82" t="s">
        <v>5236</v>
      </c>
      <c r="X1412" s="80" t="str">
        <f>HYPERLINK("https://www.meseems.com.br/Campaign/InvitedRules?link=https://meseems.page.link/ctzEYjEyTbYmDZja7")</f>
        <v>https://www.meseems.com.br/Campaign/InvitedRules?link=https://meseems.page.link/ctzEYjEyTbYmDZja7</v>
      </c>
      <c r="Y1412" s="77" t="s">
        <v>7252</v>
      </c>
      <c r="Z1412" s="77"/>
      <c r="AA1412" s="77"/>
      <c r="AB1412" s="77"/>
      <c r="AC1412" s="82" t="s">
        <v>10144</v>
      </c>
      <c r="AD1412" s="77" t="s">
        <v>10184</v>
      </c>
      <c r="AE1412" s="80" t="str">
        <f>HYPERLINK("https://twitter.com/rogeriomottam/status/1694679129772130314")</f>
        <v>https://twitter.com/rogeriomottam/status/1694679129772130314</v>
      </c>
      <c r="AF1412" s="79">
        <v>45162.494953703703</v>
      </c>
      <c r="AG1412" s="85">
        <v>45162</v>
      </c>
      <c r="AH1412" s="82" t="s">
        <v>11553</v>
      </c>
      <c r="AI1412" s="77" t="b">
        <v>0</v>
      </c>
      <c r="AJ1412" s="77"/>
      <c r="AK1412" s="77"/>
      <c r="AL1412" s="77"/>
      <c r="AM1412" s="77"/>
      <c r="AN1412" s="77"/>
      <c r="AO1412" s="77"/>
      <c r="AP1412" s="77"/>
      <c r="AQ1412" s="77"/>
      <c r="AR1412" s="77"/>
      <c r="AS1412" s="77"/>
      <c r="AT1412" s="77"/>
      <c r="AU1412" s="77"/>
      <c r="AV1412" s="80" t="str">
        <f>HYPERLINK("https://pbs.twimg.com/profile_images/1477309571664334849/orisfYaw_normal.jpg")</f>
        <v>https://pbs.twimg.com/profile_images/1477309571664334849/orisfYaw_normal.jpg</v>
      </c>
      <c r="AW1412" s="82" t="s">
        <v>18185</v>
      </c>
      <c r="AX1412" s="82" t="s">
        <v>18185</v>
      </c>
      <c r="AY1412" s="77"/>
      <c r="AZ1412" s="82" t="s">
        <v>20971</v>
      </c>
      <c r="BA1412" s="82" t="s">
        <v>20971</v>
      </c>
      <c r="BB1412" s="82" t="s">
        <v>20971</v>
      </c>
      <c r="BC1412" s="82" t="s">
        <v>18185</v>
      </c>
      <c r="BD1412" s="82" t="s">
        <v>21245</v>
      </c>
      <c r="BE1412" s="77"/>
      <c r="BF1412" s="77"/>
      <c r="BG1412" s="77"/>
      <c r="BH1412" s="77"/>
      <c r="BI1412" s="77"/>
    </row>
    <row r="1413" spans="1:61" x14ac:dyDescent="0.25">
      <c r="A1413" s="62" t="s">
        <v>543</v>
      </c>
      <c r="B1413" s="62" t="s">
        <v>543</v>
      </c>
      <c r="C1413" s="63"/>
      <c r="D1413" s="64"/>
      <c r="E1413" s="65"/>
      <c r="F1413" s="66"/>
      <c r="G1413" s="63"/>
      <c r="H1413" s="67"/>
      <c r="I1413" s="68"/>
      <c r="J1413" s="68"/>
      <c r="K1413" s="32"/>
      <c r="L1413" s="75">
        <v>1413</v>
      </c>
      <c r="M1413" s="75"/>
      <c r="N1413" s="70"/>
      <c r="O1413" s="77" t="s">
        <v>179</v>
      </c>
      <c r="P1413" s="79">
        <v>45009.55909722222</v>
      </c>
      <c r="Q1413" s="77" t="s">
        <v>2657</v>
      </c>
      <c r="R1413" s="77">
        <v>0</v>
      </c>
      <c r="S1413" s="77">
        <v>1</v>
      </c>
      <c r="T1413" s="77">
        <v>0</v>
      </c>
      <c r="U1413" s="77">
        <v>0</v>
      </c>
      <c r="V1413" s="77">
        <v>26</v>
      </c>
      <c r="W1413" s="82" t="s">
        <v>5770</v>
      </c>
      <c r="X1413" s="77"/>
      <c r="Y1413" s="77"/>
      <c r="Z1413" s="77"/>
      <c r="AA1413" s="77"/>
      <c r="AB1413" s="77"/>
      <c r="AC1413" s="82" t="s">
        <v>10144</v>
      </c>
      <c r="AD1413" s="77" t="s">
        <v>10184</v>
      </c>
      <c r="AE1413" s="80" t="str">
        <f>HYPERLINK("https://twitter.com/edineia_penido/status/1639257028039258113")</f>
        <v>https://twitter.com/edineia_penido/status/1639257028039258113</v>
      </c>
      <c r="AF1413" s="79">
        <v>45009.55909722222</v>
      </c>
      <c r="AG1413" s="85">
        <v>45009</v>
      </c>
      <c r="AH1413" s="82" t="s">
        <v>11554</v>
      </c>
      <c r="AI1413" s="77"/>
      <c r="AJ1413" s="77" t="s">
        <v>14016</v>
      </c>
      <c r="AK1413" s="77" t="s">
        <v>14033</v>
      </c>
      <c r="AL1413" s="77" t="s">
        <v>14035</v>
      </c>
      <c r="AM1413" s="77" t="s">
        <v>14057</v>
      </c>
      <c r="AN1413" s="77" t="s">
        <v>14095</v>
      </c>
      <c r="AO1413" s="77" t="s">
        <v>14132</v>
      </c>
      <c r="AP1413" s="77" t="s">
        <v>14149</v>
      </c>
      <c r="AQ1413" s="77"/>
      <c r="AR1413" s="77"/>
      <c r="AS1413" s="77"/>
      <c r="AT1413" s="77"/>
      <c r="AU1413" s="77"/>
      <c r="AV1413" s="80" t="str">
        <f>HYPERLINK("https://pbs.twimg.com/profile_images/1638855649600700417/aw0tCDgu_normal.jpg")</f>
        <v>https://pbs.twimg.com/profile_images/1638855649600700417/aw0tCDgu_normal.jpg</v>
      </c>
      <c r="AW1413" s="82" t="s">
        <v>18186</v>
      </c>
      <c r="AX1413" s="82" t="s">
        <v>18186</v>
      </c>
      <c r="AY1413" s="77"/>
      <c r="AZ1413" s="82" t="s">
        <v>20971</v>
      </c>
      <c r="BA1413" s="82" t="s">
        <v>20971</v>
      </c>
      <c r="BB1413" s="82" t="s">
        <v>20971</v>
      </c>
      <c r="BC1413" s="82" t="s">
        <v>18186</v>
      </c>
      <c r="BD1413" s="82" t="s">
        <v>21246</v>
      </c>
      <c r="BE1413" s="77"/>
      <c r="BF1413" s="77"/>
      <c r="BG1413" s="77"/>
      <c r="BH1413" s="77"/>
      <c r="BI1413" s="77"/>
    </row>
    <row r="1414" spans="1:61" x14ac:dyDescent="0.25">
      <c r="A1414" s="62" t="s">
        <v>543</v>
      </c>
      <c r="B1414" s="62" t="s">
        <v>543</v>
      </c>
      <c r="C1414" s="63"/>
      <c r="D1414" s="64"/>
      <c r="E1414" s="65"/>
      <c r="F1414" s="66"/>
      <c r="G1414" s="63"/>
      <c r="H1414" s="67"/>
      <c r="I1414" s="68"/>
      <c r="J1414" s="68"/>
      <c r="K1414" s="32"/>
      <c r="L1414" s="75">
        <v>1414</v>
      </c>
      <c r="M1414" s="75"/>
      <c r="N1414" s="70"/>
      <c r="O1414" s="77" t="s">
        <v>179</v>
      </c>
      <c r="P1414" s="79">
        <v>45008.500243055554</v>
      </c>
      <c r="Q1414" s="77" t="s">
        <v>2658</v>
      </c>
      <c r="R1414" s="77">
        <v>0</v>
      </c>
      <c r="S1414" s="77">
        <v>1</v>
      </c>
      <c r="T1414" s="77">
        <v>0</v>
      </c>
      <c r="U1414" s="77">
        <v>0</v>
      </c>
      <c r="V1414" s="77">
        <v>27</v>
      </c>
      <c r="W1414" s="82" t="s">
        <v>5771</v>
      </c>
      <c r="X1414" s="77"/>
      <c r="Y1414" s="77"/>
      <c r="Z1414" s="77"/>
      <c r="AA1414" s="77"/>
      <c r="AB1414" s="77"/>
      <c r="AC1414" s="82" t="s">
        <v>10144</v>
      </c>
      <c r="AD1414" s="77" t="s">
        <v>10184</v>
      </c>
      <c r="AE1414" s="80" t="str">
        <f>HYPERLINK("https://twitter.com/edineia_penido/status/1638873312871825408")</f>
        <v>https://twitter.com/edineia_penido/status/1638873312871825408</v>
      </c>
      <c r="AF1414" s="79">
        <v>45008.500243055554</v>
      </c>
      <c r="AG1414" s="85">
        <v>45008</v>
      </c>
      <c r="AH1414" s="82" t="s">
        <v>11555</v>
      </c>
      <c r="AI1414" s="77"/>
      <c r="AJ1414" s="77"/>
      <c r="AK1414" s="77"/>
      <c r="AL1414" s="77"/>
      <c r="AM1414" s="77"/>
      <c r="AN1414" s="77"/>
      <c r="AO1414" s="77"/>
      <c r="AP1414" s="77"/>
      <c r="AQ1414" s="77"/>
      <c r="AR1414" s="77"/>
      <c r="AS1414" s="77"/>
      <c r="AT1414" s="77"/>
      <c r="AU1414" s="77"/>
      <c r="AV1414" s="80" t="str">
        <f>HYPERLINK("https://pbs.twimg.com/profile_images/1638855649600700417/aw0tCDgu_normal.jpg")</f>
        <v>https://pbs.twimg.com/profile_images/1638855649600700417/aw0tCDgu_normal.jpg</v>
      </c>
      <c r="AW1414" s="82" t="s">
        <v>18187</v>
      </c>
      <c r="AX1414" s="82" t="s">
        <v>18187</v>
      </c>
      <c r="AY1414" s="77"/>
      <c r="AZ1414" s="82" t="s">
        <v>20971</v>
      </c>
      <c r="BA1414" s="82" t="s">
        <v>20971</v>
      </c>
      <c r="BB1414" s="82" t="s">
        <v>20971</v>
      </c>
      <c r="BC1414" s="82" t="s">
        <v>18187</v>
      </c>
      <c r="BD1414" s="82" t="s">
        <v>21246</v>
      </c>
      <c r="BE1414" s="77"/>
      <c r="BF1414" s="77"/>
      <c r="BG1414" s="77"/>
      <c r="BH1414" s="77"/>
      <c r="BI1414" s="77"/>
    </row>
    <row r="1415" spans="1:61" x14ac:dyDescent="0.25">
      <c r="A1415" s="62" t="s">
        <v>543</v>
      </c>
      <c r="B1415" s="62" t="s">
        <v>543</v>
      </c>
      <c r="C1415" s="63"/>
      <c r="D1415" s="64"/>
      <c r="E1415" s="65"/>
      <c r="F1415" s="66"/>
      <c r="G1415" s="63"/>
      <c r="H1415" s="67"/>
      <c r="I1415" s="68"/>
      <c r="J1415" s="68"/>
      <c r="K1415" s="32"/>
      <c r="L1415" s="75">
        <v>1415</v>
      </c>
      <c r="M1415" s="75"/>
      <c r="N1415" s="70"/>
      <c r="O1415" s="77" t="s">
        <v>179</v>
      </c>
      <c r="P1415" s="79">
        <v>45010.661793981482</v>
      </c>
      <c r="Q1415" s="77" t="s">
        <v>2659</v>
      </c>
      <c r="R1415" s="77">
        <v>0</v>
      </c>
      <c r="S1415" s="77">
        <v>1</v>
      </c>
      <c r="T1415" s="77">
        <v>3</v>
      </c>
      <c r="U1415" s="77">
        <v>0</v>
      </c>
      <c r="V1415" s="77">
        <v>30</v>
      </c>
      <c r="W1415" s="82" t="s">
        <v>5772</v>
      </c>
      <c r="X1415" s="77"/>
      <c r="Y1415" s="77"/>
      <c r="Z1415" s="77"/>
      <c r="AA1415" s="77"/>
      <c r="AB1415" s="77"/>
      <c r="AC1415" s="82" t="s">
        <v>10144</v>
      </c>
      <c r="AD1415" s="77" t="s">
        <v>10184</v>
      </c>
      <c r="AE1415" s="80" t="str">
        <f>HYPERLINK("https://twitter.com/edineia_penido/status/1639656635172810753")</f>
        <v>https://twitter.com/edineia_penido/status/1639656635172810753</v>
      </c>
      <c r="AF1415" s="79">
        <v>45010.661793981482</v>
      </c>
      <c r="AG1415" s="85">
        <v>45010</v>
      </c>
      <c r="AH1415" s="82" t="s">
        <v>11556</v>
      </c>
      <c r="AI1415" s="77"/>
      <c r="AJ1415" s="77" t="s">
        <v>14016</v>
      </c>
      <c r="AK1415" s="77" t="s">
        <v>14033</v>
      </c>
      <c r="AL1415" s="77" t="s">
        <v>14035</v>
      </c>
      <c r="AM1415" s="77" t="s">
        <v>14057</v>
      </c>
      <c r="AN1415" s="77" t="s">
        <v>14095</v>
      </c>
      <c r="AO1415" s="77" t="s">
        <v>14132</v>
      </c>
      <c r="AP1415" s="77" t="s">
        <v>14149</v>
      </c>
      <c r="AQ1415" s="77"/>
      <c r="AR1415" s="77"/>
      <c r="AS1415" s="77"/>
      <c r="AT1415" s="77"/>
      <c r="AU1415" s="77"/>
      <c r="AV1415" s="80" t="str">
        <f>HYPERLINK("https://pbs.twimg.com/profile_images/1638855649600700417/aw0tCDgu_normal.jpg")</f>
        <v>https://pbs.twimg.com/profile_images/1638855649600700417/aw0tCDgu_normal.jpg</v>
      </c>
      <c r="AW1415" s="82" t="s">
        <v>18188</v>
      </c>
      <c r="AX1415" s="82" t="s">
        <v>18188</v>
      </c>
      <c r="AY1415" s="77"/>
      <c r="AZ1415" s="82" t="s">
        <v>20971</v>
      </c>
      <c r="BA1415" s="82" t="s">
        <v>20971</v>
      </c>
      <c r="BB1415" s="82" t="s">
        <v>20971</v>
      </c>
      <c r="BC1415" s="82" t="s">
        <v>18188</v>
      </c>
      <c r="BD1415" s="82" t="s">
        <v>21246</v>
      </c>
      <c r="BE1415" s="77"/>
      <c r="BF1415" s="77"/>
      <c r="BG1415" s="77"/>
      <c r="BH1415" s="77"/>
      <c r="BI1415" s="77"/>
    </row>
    <row r="1416" spans="1:61" x14ac:dyDescent="0.25">
      <c r="A1416" s="62" t="s">
        <v>544</v>
      </c>
      <c r="B1416" s="62" t="s">
        <v>544</v>
      </c>
      <c r="C1416" s="63"/>
      <c r="D1416" s="64"/>
      <c r="E1416" s="65"/>
      <c r="F1416" s="66"/>
      <c r="G1416" s="63"/>
      <c r="H1416" s="67"/>
      <c r="I1416" s="68"/>
      <c r="J1416" s="68"/>
      <c r="K1416" s="32"/>
      <c r="L1416" s="75">
        <v>1416</v>
      </c>
      <c r="M1416" s="75"/>
      <c r="N1416" s="70"/>
      <c r="O1416" s="77" t="s">
        <v>179</v>
      </c>
      <c r="P1416" s="79">
        <v>45150.656875000001</v>
      </c>
      <c r="Q1416" s="77" t="s">
        <v>2660</v>
      </c>
      <c r="R1416" s="77">
        <v>0</v>
      </c>
      <c r="S1416" s="77">
        <v>0</v>
      </c>
      <c r="T1416" s="77">
        <v>0</v>
      </c>
      <c r="U1416" s="77">
        <v>0</v>
      </c>
      <c r="V1416" s="77">
        <v>13</v>
      </c>
      <c r="W1416" s="82" t="s">
        <v>5236</v>
      </c>
      <c r="X1416" s="77"/>
      <c r="Y1416" s="77"/>
      <c r="Z1416" s="77"/>
      <c r="AA1416" s="77"/>
      <c r="AB1416" s="77"/>
      <c r="AC1416" s="82" t="s">
        <v>10146</v>
      </c>
      <c r="AD1416" s="77" t="s">
        <v>10184</v>
      </c>
      <c r="AE1416" s="80" t="str">
        <f>HYPERLINK("https://twitter.com/empre_sabedoria/status/1690389151311380480")</f>
        <v>https://twitter.com/empre_sabedoria/status/1690389151311380480</v>
      </c>
      <c r="AF1416" s="79">
        <v>45150.656875000001</v>
      </c>
      <c r="AG1416" s="85">
        <v>45150</v>
      </c>
      <c r="AH1416" s="82" t="s">
        <v>11557</v>
      </c>
      <c r="AI1416" s="77"/>
      <c r="AJ1416" s="77"/>
      <c r="AK1416" s="77"/>
      <c r="AL1416" s="77"/>
      <c r="AM1416" s="77"/>
      <c r="AN1416" s="77"/>
      <c r="AO1416" s="77"/>
      <c r="AP1416" s="77"/>
      <c r="AQ1416" s="77"/>
      <c r="AR1416" s="77"/>
      <c r="AS1416" s="77"/>
      <c r="AT1416" s="77"/>
      <c r="AU1416" s="77"/>
      <c r="AV1416" s="80" t="str">
        <f>HYPERLINK("https://pbs.twimg.com/profile_images/1690232158021988352/BR97Ikr2_normal.png")</f>
        <v>https://pbs.twimg.com/profile_images/1690232158021988352/BR97Ikr2_normal.png</v>
      </c>
      <c r="AW1416" s="82" t="s">
        <v>18189</v>
      </c>
      <c r="AX1416" s="82" t="s">
        <v>18189</v>
      </c>
      <c r="AY1416" s="77"/>
      <c r="AZ1416" s="82" t="s">
        <v>20971</v>
      </c>
      <c r="BA1416" s="82" t="s">
        <v>20971</v>
      </c>
      <c r="BB1416" s="82" t="s">
        <v>20971</v>
      </c>
      <c r="BC1416" s="82" t="s">
        <v>18189</v>
      </c>
      <c r="BD1416" s="82" t="s">
        <v>21247</v>
      </c>
      <c r="BE1416" s="77"/>
      <c r="BF1416" s="77"/>
      <c r="BG1416" s="77"/>
      <c r="BH1416" s="77"/>
      <c r="BI1416" s="77"/>
    </row>
    <row r="1417" spans="1:61" x14ac:dyDescent="0.25">
      <c r="A1417" s="62" t="s">
        <v>545</v>
      </c>
      <c r="B1417" s="62" t="s">
        <v>545</v>
      </c>
      <c r="C1417" s="63"/>
      <c r="D1417" s="64"/>
      <c r="E1417" s="65"/>
      <c r="F1417" s="66"/>
      <c r="G1417" s="63"/>
      <c r="H1417" s="67"/>
      <c r="I1417" s="68"/>
      <c r="J1417" s="68"/>
      <c r="K1417" s="32"/>
      <c r="L1417" s="75">
        <v>1417</v>
      </c>
      <c r="M1417" s="75"/>
      <c r="N1417" s="70"/>
      <c r="O1417" s="77" t="s">
        <v>179</v>
      </c>
      <c r="P1417" s="79">
        <v>45106.827430555553</v>
      </c>
      <c r="Q1417" s="77" t="s">
        <v>2661</v>
      </c>
      <c r="R1417" s="77">
        <v>0</v>
      </c>
      <c r="S1417" s="77">
        <v>0</v>
      </c>
      <c r="T1417" s="77">
        <v>0</v>
      </c>
      <c r="U1417" s="77">
        <v>0</v>
      </c>
      <c r="V1417" s="77">
        <v>36</v>
      </c>
      <c r="W1417" s="82" t="s">
        <v>5236</v>
      </c>
      <c r="X1417" s="80" t="str">
        <f>HYPERLINK("https://www.ysense.com/?rb=59411199")</f>
        <v>https://www.ysense.com/?rb=59411199</v>
      </c>
      <c r="Y1417" s="77" t="s">
        <v>7290</v>
      </c>
      <c r="Z1417" s="77"/>
      <c r="AA1417" s="77" t="s">
        <v>8089</v>
      </c>
      <c r="AB1417" s="77" t="s">
        <v>10130</v>
      </c>
      <c r="AC1417" s="82" t="s">
        <v>10144</v>
      </c>
      <c r="AD1417" s="77" t="s">
        <v>10184</v>
      </c>
      <c r="AE1417" s="80" t="str">
        <f>HYPERLINK("https://twitter.com/adadiz/status/1674505893038157824")</f>
        <v>https://twitter.com/adadiz/status/1674505893038157824</v>
      </c>
      <c r="AF1417" s="79">
        <v>45106.827430555553</v>
      </c>
      <c r="AG1417" s="85">
        <v>45106</v>
      </c>
      <c r="AH1417" s="82" t="s">
        <v>11558</v>
      </c>
      <c r="AI1417" s="77" t="b">
        <v>0</v>
      </c>
      <c r="AJ1417" s="77"/>
      <c r="AK1417" s="77"/>
      <c r="AL1417" s="77"/>
      <c r="AM1417" s="77"/>
      <c r="AN1417" s="77"/>
      <c r="AO1417" s="77"/>
      <c r="AP1417" s="77"/>
      <c r="AQ1417" s="77" t="s">
        <v>14733</v>
      </c>
      <c r="AR1417" s="77"/>
      <c r="AS1417" s="77"/>
      <c r="AT1417" s="77"/>
      <c r="AU1417" s="77"/>
      <c r="AV1417" s="80" t="str">
        <f>HYPERLINK("https://pbs.twimg.com/media/Fz0KO5vWcAIkqn7.jpg")</f>
        <v>https://pbs.twimg.com/media/Fz0KO5vWcAIkqn7.jpg</v>
      </c>
      <c r="AW1417" s="82" t="s">
        <v>18190</v>
      </c>
      <c r="AX1417" s="82" t="s">
        <v>18190</v>
      </c>
      <c r="AY1417" s="77"/>
      <c r="AZ1417" s="82" t="s">
        <v>20971</v>
      </c>
      <c r="BA1417" s="82" t="s">
        <v>20971</v>
      </c>
      <c r="BB1417" s="82" t="s">
        <v>20971</v>
      </c>
      <c r="BC1417" s="82" t="s">
        <v>18190</v>
      </c>
      <c r="BD1417" s="77">
        <v>70015712</v>
      </c>
      <c r="BE1417" s="77"/>
      <c r="BF1417" s="77"/>
      <c r="BG1417" s="77"/>
      <c r="BH1417" s="77"/>
      <c r="BI1417" s="77"/>
    </row>
    <row r="1418" spans="1:61" x14ac:dyDescent="0.25">
      <c r="A1418" s="62" t="s">
        <v>546</v>
      </c>
      <c r="B1418" s="62" t="s">
        <v>546</v>
      </c>
      <c r="C1418" s="63"/>
      <c r="D1418" s="64"/>
      <c r="E1418" s="65"/>
      <c r="F1418" s="66"/>
      <c r="G1418" s="63"/>
      <c r="H1418" s="67"/>
      <c r="I1418" s="68"/>
      <c r="J1418" s="68"/>
      <c r="K1418" s="32"/>
      <c r="L1418" s="75">
        <v>1418</v>
      </c>
      <c r="M1418" s="75"/>
      <c r="N1418" s="70"/>
      <c r="O1418" s="77" t="s">
        <v>179</v>
      </c>
      <c r="P1418" s="79">
        <v>45036.944525462961</v>
      </c>
      <c r="Q1418" s="77" t="s">
        <v>2662</v>
      </c>
      <c r="R1418" s="77">
        <v>0</v>
      </c>
      <c r="S1418" s="77">
        <v>0</v>
      </c>
      <c r="T1418" s="77">
        <v>0</v>
      </c>
      <c r="U1418" s="77">
        <v>0</v>
      </c>
      <c r="V1418" s="77">
        <v>32</v>
      </c>
      <c r="W1418" s="82" t="s">
        <v>5773</v>
      </c>
      <c r="X1418" s="80" t="str">
        <f>HYPERLINK("https://edzz.la/AASAR?a=1259714311")</f>
        <v>https://edzz.la/AASAR?a=1259714311</v>
      </c>
      <c r="Y1418" s="77" t="s">
        <v>7271</v>
      </c>
      <c r="Z1418" s="77"/>
      <c r="AA1418" s="77"/>
      <c r="AB1418" s="77"/>
      <c r="AC1418" s="82" t="s">
        <v>10144</v>
      </c>
      <c r="AD1418" s="77" t="s">
        <v>10184</v>
      </c>
      <c r="AE1418" s="80" t="str">
        <f>HYPERLINK("https://twitter.com/roseane33499832/status/1649181176270127105")</f>
        <v>https://twitter.com/roseane33499832/status/1649181176270127105</v>
      </c>
      <c r="AF1418" s="79">
        <v>45036.944525462961</v>
      </c>
      <c r="AG1418" s="85">
        <v>45036</v>
      </c>
      <c r="AH1418" s="82" t="s">
        <v>11559</v>
      </c>
      <c r="AI1418" s="77" t="b">
        <v>0</v>
      </c>
      <c r="AJ1418" s="77"/>
      <c r="AK1418" s="77"/>
      <c r="AL1418" s="77"/>
      <c r="AM1418" s="77"/>
      <c r="AN1418" s="77"/>
      <c r="AO1418" s="77"/>
      <c r="AP1418" s="77"/>
      <c r="AQ1418" s="77"/>
      <c r="AR1418" s="77"/>
      <c r="AS1418" s="77"/>
      <c r="AT1418" s="77"/>
      <c r="AU1418" s="77"/>
      <c r="AV1418" s="80" t="str">
        <f>HYPERLINK("https://pbs.twimg.com/profile_images/1610625380322349056/UERUQaTu_normal.jpg")</f>
        <v>https://pbs.twimg.com/profile_images/1610625380322349056/UERUQaTu_normal.jpg</v>
      </c>
      <c r="AW1418" s="82" t="s">
        <v>18191</v>
      </c>
      <c r="AX1418" s="82" t="s">
        <v>18191</v>
      </c>
      <c r="AY1418" s="77"/>
      <c r="AZ1418" s="82" t="s">
        <v>20971</v>
      </c>
      <c r="BA1418" s="82" t="s">
        <v>20971</v>
      </c>
      <c r="BB1418" s="82" t="s">
        <v>20971</v>
      </c>
      <c r="BC1418" s="82" t="s">
        <v>18191</v>
      </c>
      <c r="BD1418" s="82" t="s">
        <v>21248</v>
      </c>
      <c r="BE1418" s="77"/>
      <c r="BF1418" s="77"/>
      <c r="BG1418" s="77"/>
      <c r="BH1418" s="77"/>
      <c r="BI1418" s="77"/>
    </row>
    <row r="1419" spans="1:61" x14ac:dyDescent="0.25">
      <c r="A1419" s="62" t="s">
        <v>547</v>
      </c>
      <c r="B1419" s="62" t="s">
        <v>547</v>
      </c>
      <c r="C1419" s="63"/>
      <c r="D1419" s="64"/>
      <c r="E1419" s="65"/>
      <c r="F1419" s="66"/>
      <c r="G1419" s="63"/>
      <c r="H1419" s="67"/>
      <c r="I1419" s="68"/>
      <c r="J1419" s="68"/>
      <c r="K1419" s="32"/>
      <c r="L1419" s="75">
        <v>1419</v>
      </c>
      <c r="M1419" s="75"/>
      <c r="N1419" s="70"/>
      <c r="O1419" s="77" t="s">
        <v>179</v>
      </c>
      <c r="P1419" s="79">
        <v>45170.911817129629</v>
      </c>
      <c r="Q1419" s="77" t="s">
        <v>2663</v>
      </c>
      <c r="R1419" s="77">
        <v>0</v>
      </c>
      <c r="S1419" s="77">
        <v>0</v>
      </c>
      <c r="T1419" s="77">
        <v>0</v>
      </c>
      <c r="U1419" s="77">
        <v>0</v>
      </c>
      <c r="V1419" s="77">
        <v>131</v>
      </c>
      <c r="W1419" s="82" t="s">
        <v>5774</v>
      </c>
      <c r="X1419" s="77"/>
      <c r="Y1419" s="77"/>
      <c r="Z1419" s="77"/>
      <c r="AA1419" s="77" t="s">
        <v>8090</v>
      </c>
      <c r="AB1419" s="77" t="s">
        <v>10130</v>
      </c>
      <c r="AC1419" s="82" t="s">
        <v>10144</v>
      </c>
      <c r="AD1419" s="77" t="s">
        <v>10183</v>
      </c>
      <c r="AE1419" s="80" t="str">
        <f>HYPERLINK("https://twitter.com/raymarasousa17/status/1697729297778176432")</f>
        <v>https://twitter.com/raymarasousa17/status/1697729297778176432</v>
      </c>
      <c r="AF1419" s="79">
        <v>45170.911817129629</v>
      </c>
      <c r="AG1419" s="85">
        <v>45170</v>
      </c>
      <c r="AH1419" s="82" t="s">
        <v>11560</v>
      </c>
      <c r="AI1419" s="77" t="b">
        <v>0</v>
      </c>
      <c r="AJ1419" s="77"/>
      <c r="AK1419" s="77"/>
      <c r="AL1419" s="77"/>
      <c r="AM1419" s="77"/>
      <c r="AN1419" s="77"/>
      <c r="AO1419" s="77"/>
      <c r="AP1419" s="77"/>
      <c r="AQ1419" s="77" t="s">
        <v>14734</v>
      </c>
      <c r="AR1419" s="77"/>
      <c r="AS1419" s="77"/>
      <c r="AT1419" s="77"/>
      <c r="AU1419" s="77"/>
      <c r="AV1419" s="80" t="str">
        <f>HYPERLINK("https://pbs.twimg.com/media/F4-LzGbXYAAPt5w.jpg")</f>
        <v>https://pbs.twimg.com/media/F4-LzGbXYAAPt5w.jpg</v>
      </c>
      <c r="AW1419" s="82" t="s">
        <v>18192</v>
      </c>
      <c r="AX1419" s="82" t="s">
        <v>18192</v>
      </c>
      <c r="AY1419" s="77"/>
      <c r="AZ1419" s="82" t="s">
        <v>20971</v>
      </c>
      <c r="BA1419" s="82" t="s">
        <v>20971</v>
      </c>
      <c r="BB1419" s="82" t="s">
        <v>20971</v>
      </c>
      <c r="BC1419" s="82" t="s">
        <v>18192</v>
      </c>
      <c r="BD1419" s="82" t="s">
        <v>21249</v>
      </c>
      <c r="BE1419" s="77"/>
      <c r="BF1419" s="77"/>
      <c r="BG1419" s="77"/>
      <c r="BH1419" s="77"/>
      <c r="BI1419" s="77"/>
    </row>
    <row r="1420" spans="1:61" x14ac:dyDescent="0.25">
      <c r="A1420" s="62" t="s">
        <v>547</v>
      </c>
      <c r="B1420" s="62" t="s">
        <v>547</v>
      </c>
      <c r="C1420" s="63"/>
      <c r="D1420" s="64"/>
      <c r="E1420" s="65"/>
      <c r="F1420" s="66"/>
      <c r="G1420" s="63"/>
      <c r="H1420" s="67"/>
      <c r="I1420" s="68"/>
      <c r="J1420" s="68"/>
      <c r="K1420" s="32"/>
      <c r="L1420" s="75">
        <v>1420</v>
      </c>
      <c r="M1420" s="75"/>
      <c r="N1420" s="70"/>
      <c r="O1420" s="77" t="s">
        <v>179</v>
      </c>
      <c r="P1420" s="79">
        <v>45168.566307870373</v>
      </c>
      <c r="Q1420" s="77" t="s">
        <v>2664</v>
      </c>
      <c r="R1420" s="77">
        <v>0</v>
      </c>
      <c r="S1420" s="77">
        <v>1</v>
      </c>
      <c r="T1420" s="77">
        <v>0</v>
      </c>
      <c r="U1420" s="77">
        <v>0</v>
      </c>
      <c r="V1420" s="77">
        <v>1073</v>
      </c>
      <c r="W1420" s="82" t="s">
        <v>5775</v>
      </c>
      <c r="X1420" s="80" t="str">
        <f>HYPERLINK("https://sun.eduzz.com/1031082?a=94181431")</f>
        <v>https://sun.eduzz.com/1031082?a=94181431</v>
      </c>
      <c r="Y1420" s="77" t="s">
        <v>7245</v>
      </c>
      <c r="Z1420" s="77"/>
      <c r="AA1420" s="77" t="s">
        <v>8091</v>
      </c>
      <c r="AB1420" s="77" t="s">
        <v>10130</v>
      </c>
      <c r="AC1420" s="82" t="s">
        <v>10144</v>
      </c>
      <c r="AD1420" s="77" t="s">
        <v>10183</v>
      </c>
      <c r="AE1420" s="80" t="str">
        <f>HYPERLINK("https://twitter.com/raymarasousa17/status/1696879314841538844")</f>
        <v>https://twitter.com/raymarasousa17/status/1696879314841538844</v>
      </c>
      <c r="AF1420" s="79">
        <v>45168.566307870373</v>
      </c>
      <c r="AG1420" s="85">
        <v>45168</v>
      </c>
      <c r="AH1420" s="82" t="s">
        <v>11561</v>
      </c>
      <c r="AI1420" s="77" t="b">
        <v>0</v>
      </c>
      <c r="AJ1420" s="77"/>
      <c r="AK1420" s="77"/>
      <c r="AL1420" s="77"/>
      <c r="AM1420" s="77"/>
      <c r="AN1420" s="77"/>
      <c r="AO1420" s="77"/>
      <c r="AP1420" s="77"/>
      <c r="AQ1420" s="77" t="s">
        <v>14735</v>
      </c>
      <c r="AR1420" s="77"/>
      <c r="AS1420" s="77"/>
      <c r="AT1420" s="77"/>
      <c r="AU1420" s="77"/>
      <c r="AV1420" s="80" t="str">
        <f>HYPERLINK("https://pbs.twimg.com/media/F4yGvkXXUAE7vyb.jpg")</f>
        <v>https://pbs.twimg.com/media/F4yGvkXXUAE7vyb.jpg</v>
      </c>
      <c r="AW1420" s="82" t="s">
        <v>18193</v>
      </c>
      <c r="AX1420" s="82" t="s">
        <v>18193</v>
      </c>
      <c r="AY1420" s="77"/>
      <c r="AZ1420" s="82" t="s">
        <v>20971</v>
      </c>
      <c r="BA1420" s="82" t="s">
        <v>20971</v>
      </c>
      <c r="BB1420" s="82" t="s">
        <v>20971</v>
      </c>
      <c r="BC1420" s="82" t="s">
        <v>18193</v>
      </c>
      <c r="BD1420" s="82" t="s">
        <v>21249</v>
      </c>
      <c r="BE1420" s="77"/>
      <c r="BF1420" s="77"/>
      <c r="BG1420" s="77"/>
      <c r="BH1420" s="77"/>
      <c r="BI1420" s="77"/>
    </row>
    <row r="1421" spans="1:61" x14ac:dyDescent="0.25">
      <c r="A1421" s="62" t="s">
        <v>547</v>
      </c>
      <c r="B1421" s="62" t="s">
        <v>547</v>
      </c>
      <c r="C1421" s="63"/>
      <c r="D1421" s="64"/>
      <c r="E1421" s="65"/>
      <c r="F1421" s="66"/>
      <c r="G1421" s="63"/>
      <c r="H1421" s="67"/>
      <c r="I1421" s="68"/>
      <c r="J1421" s="68"/>
      <c r="K1421" s="32"/>
      <c r="L1421" s="75">
        <v>1421</v>
      </c>
      <c r="M1421" s="75"/>
      <c r="N1421" s="70"/>
      <c r="O1421" s="77" t="s">
        <v>179</v>
      </c>
      <c r="P1421" s="79">
        <v>45170.671180555553</v>
      </c>
      <c r="Q1421" s="77" t="s">
        <v>2665</v>
      </c>
      <c r="R1421" s="77">
        <v>1</v>
      </c>
      <c r="S1421" s="77">
        <v>0</v>
      </c>
      <c r="T1421" s="77">
        <v>0</v>
      </c>
      <c r="U1421" s="77">
        <v>0</v>
      </c>
      <c r="V1421" s="77">
        <v>339</v>
      </c>
      <c r="W1421" s="82" t="s">
        <v>5776</v>
      </c>
      <c r="X1421" s="77"/>
      <c r="Y1421" s="77"/>
      <c r="Z1421" s="77"/>
      <c r="AA1421" s="77" t="s">
        <v>8092</v>
      </c>
      <c r="AB1421" s="77" t="s">
        <v>10130</v>
      </c>
      <c r="AC1421" s="82" t="s">
        <v>10144</v>
      </c>
      <c r="AD1421" s="77" t="s">
        <v>10183</v>
      </c>
      <c r="AE1421" s="80" t="str">
        <f>HYPERLINK("https://twitter.com/raymarasousa17/status/1697642092137177426")</f>
        <v>https://twitter.com/raymarasousa17/status/1697642092137177426</v>
      </c>
      <c r="AF1421" s="79">
        <v>45170.671180555553</v>
      </c>
      <c r="AG1421" s="85">
        <v>45170</v>
      </c>
      <c r="AH1421" s="82" t="s">
        <v>11562</v>
      </c>
      <c r="AI1421" s="77" t="b">
        <v>0</v>
      </c>
      <c r="AJ1421" s="77"/>
      <c r="AK1421" s="77"/>
      <c r="AL1421" s="77"/>
      <c r="AM1421" s="77"/>
      <c r="AN1421" s="77"/>
      <c r="AO1421" s="77"/>
      <c r="AP1421" s="77"/>
      <c r="AQ1421" s="77" t="s">
        <v>14736</v>
      </c>
      <c r="AR1421" s="77"/>
      <c r="AS1421" s="77"/>
      <c r="AT1421" s="77"/>
      <c r="AU1421" s="77"/>
      <c r="AV1421" s="80" t="str">
        <f>HYPERLINK("https://pbs.twimg.com/media/F488fD6WoAAmdCM.jpg")</f>
        <v>https://pbs.twimg.com/media/F488fD6WoAAmdCM.jpg</v>
      </c>
      <c r="AW1421" s="82" t="s">
        <v>18194</v>
      </c>
      <c r="AX1421" s="82" t="s">
        <v>18194</v>
      </c>
      <c r="AY1421" s="77"/>
      <c r="AZ1421" s="82" t="s">
        <v>20971</v>
      </c>
      <c r="BA1421" s="82" t="s">
        <v>20971</v>
      </c>
      <c r="BB1421" s="82" t="s">
        <v>20971</v>
      </c>
      <c r="BC1421" s="82" t="s">
        <v>18194</v>
      </c>
      <c r="BD1421" s="82" t="s">
        <v>21249</v>
      </c>
      <c r="BE1421" s="77"/>
      <c r="BF1421" s="77"/>
      <c r="BG1421" s="77"/>
      <c r="BH1421" s="77"/>
      <c r="BI1421" s="77"/>
    </row>
    <row r="1422" spans="1:61" x14ac:dyDescent="0.25">
      <c r="A1422" s="62" t="s">
        <v>547</v>
      </c>
      <c r="B1422" s="62" t="s">
        <v>547</v>
      </c>
      <c r="C1422" s="63"/>
      <c r="D1422" s="64"/>
      <c r="E1422" s="65"/>
      <c r="F1422" s="66"/>
      <c r="G1422" s="63"/>
      <c r="H1422" s="67"/>
      <c r="I1422" s="68"/>
      <c r="J1422" s="68"/>
      <c r="K1422" s="32"/>
      <c r="L1422" s="75">
        <v>1422</v>
      </c>
      <c r="M1422" s="75"/>
      <c r="N1422" s="70"/>
      <c r="O1422" s="77" t="s">
        <v>179</v>
      </c>
      <c r="P1422" s="79">
        <v>45170.617627314816</v>
      </c>
      <c r="Q1422" s="77" t="s">
        <v>2666</v>
      </c>
      <c r="R1422" s="77">
        <v>0</v>
      </c>
      <c r="S1422" s="77">
        <v>0</v>
      </c>
      <c r="T1422" s="77">
        <v>0</v>
      </c>
      <c r="U1422" s="77">
        <v>0</v>
      </c>
      <c r="V1422" s="77">
        <v>369</v>
      </c>
      <c r="W1422" s="82" t="s">
        <v>5777</v>
      </c>
      <c r="X1422" s="80" t="str">
        <f>HYPERLINK("https://p.eduzz.com/723654?a=94181431")</f>
        <v>https://p.eduzz.com/723654?a=94181431</v>
      </c>
      <c r="Y1422" s="77" t="s">
        <v>7245</v>
      </c>
      <c r="Z1422" s="77"/>
      <c r="AA1422" s="77" t="s">
        <v>8093</v>
      </c>
      <c r="AB1422" s="77" t="s">
        <v>10129</v>
      </c>
      <c r="AC1422" s="82" t="s">
        <v>10144</v>
      </c>
      <c r="AD1422" s="77" t="s">
        <v>10183</v>
      </c>
      <c r="AE1422" s="80" t="str">
        <f>HYPERLINK("https://twitter.com/raymarasousa17/status/1697622686233493907")</f>
        <v>https://twitter.com/raymarasousa17/status/1697622686233493907</v>
      </c>
      <c r="AF1422" s="79">
        <v>45170.617627314816</v>
      </c>
      <c r="AG1422" s="85">
        <v>45170</v>
      </c>
      <c r="AH1422" s="82" t="s">
        <v>11563</v>
      </c>
      <c r="AI1422" s="77" t="b">
        <v>0</v>
      </c>
      <c r="AJ1422" s="77"/>
      <c r="AK1422" s="77"/>
      <c r="AL1422" s="77"/>
      <c r="AM1422" s="77"/>
      <c r="AN1422" s="77"/>
      <c r="AO1422" s="77"/>
      <c r="AP1422" s="77"/>
      <c r="AQ1422" s="77" t="s">
        <v>14737</v>
      </c>
      <c r="AR1422" s="77">
        <v>44948</v>
      </c>
      <c r="AS1422" s="77"/>
      <c r="AT1422" s="77"/>
      <c r="AU1422" s="77"/>
      <c r="AV1422" s="80" t="str">
        <f>HYPERLINK("https://pbs.twimg.com/ext_tw_video_thumb/1697622582546010112/pu/img/NcZEBXGC2YTYTxdj.jpg")</f>
        <v>https://pbs.twimg.com/ext_tw_video_thumb/1697622582546010112/pu/img/NcZEBXGC2YTYTxdj.jpg</v>
      </c>
      <c r="AW1422" s="82" t="s">
        <v>18195</v>
      </c>
      <c r="AX1422" s="82" t="s">
        <v>18195</v>
      </c>
      <c r="AY1422" s="77"/>
      <c r="AZ1422" s="82" t="s">
        <v>20971</v>
      </c>
      <c r="BA1422" s="82" t="s">
        <v>20971</v>
      </c>
      <c r="BB1422" s="82" t="s">
        <v>20971</v>
      </c>
      <c r="BC1422" s="82" t="s">
        <v>18195</v>
      </c>
      <c r="BD1422" s="82" t="s">
        <v>21249</v>
      </c>
      <c r="BE1422" s="77"/>
      <c r="BF1422" s="77"/>
      <c r="BG1422" s="77"/>
      <c r="BH1422" s="77"/>
      <c r="BI1422" s="77"/>
    </row>
    <row r="1423" spans="1:61" x14ac:dyDescent="0.25">
      <c r="A1423" s="62" t="s">
        <v>547</v>
      </c>
      <c r="B1423" s="62" t="s">
        <v>547</v>
      </c>
      <c r="C1423" s="63"/>
      <c r="D1423" s="64"/>
      <c r="E1423" s="65"/>
      <c r="F1423" s="66"/>
      <c r="G1423" s="63"/>
      <c r="H1423" s="67"/>
      <c r="I1423" s="68"/>
      <c r="J1423" s="68"/>
      <c r="K1423" s="32"/>
      <c r="L1423" s="75">
        <v>1423</v>
      </c>
      <c r="M1423" s="75"/>
      <c r="N1423" s="70"/>
      <c r="O1423" s="77" t="s">
        <v>179</v>
      </c>
      <c r="P1423" s="79">
        <v>45168.572916666664</v>
      </c>
      <c r="Q1423" s="77" t="s">
        <v>2667</v>
      </c>
      <c r="R1423" s="77">
        <v>0</v>
      </c>
      <c r="S1423" s="77">
        <v>0</v>
      </c>
      <c r="T1423" s="77">
        <v>0</v>
      </c>
      <c r="U1423" s="77">
        <v>0</v>
      </c>
      <c r="V1423" s="77">
        <v>405</v>
      </c>
      <c r="W1423" s="82" t="s">
        <v>5778</v>
      </c>
      <c r="X1423" s="80" t="str">
        <f>HYPERLINK("https://sun.eduzz.com/1031082?a=94181431")</f>
        <v>https://sun.eduzz.com/1031082?a=94181431</v>
      </c>
      <c r="Y1423" s="77" t="s">
        <v>7245</v>
      </c>
      <c r="Z1423" s="77"/>
      <c r="AA1423" s="77"/>
      <c r="AB1423" s="77"/>
      <c r="AC1423" s="82" t="s">
        <v>10144</v>
      </c>
      <c r="AD1423" s="77" t="s">
        <v>10183</v>
      </c>
      <c r="AE1423" s="80" t="str">
        <f>HYPERLINK("https://twitter.com/raymarasousa17/status/1696881708426051814")</f>
        <v>https://twitter.com/raymarasousa17/status/1696881708426051814</v>
      </c>
      <c r="AF1423" s="79">
        <v>45168.572916666664</v>
      </c>
      <c r="AG1423" s="85">
        <v>45168</v>
      </c>
      <c r="AH1423" s="82" t="s">
        <v>11564</v>
      </c>
      <c r="AI1423" s="77" t="b">
        <v>0</v>
      </c>
      <c r="AJ1423" s="77"/>
      <c r="AK1423" s="77"/>
      <c r="AL1423" s="77"/>
      <c r="AM1423" s="77"/>
      <c r="AN1423" s="77"/>
      <c r="AO1423" s="77"/>
      <c r="AP1423" s="77"/>
      <c r="AQ1423" s="77"/>
      <c r="AR1423" s="77"/>
      <c r="AS1423" s="77"/>
      <c r="AT1423" s="77"/>
      <c r="AU1423" s="77"/>
      <c r="AV1423" s="80" t="str">
        <f>HYPERLINK("https://pbs.twimg.com/profile_images/1594683198717542402/3RoB-PQL_normal.jpg")</f>
        <v>https://pbs.twimg.com/profile_images/1594683198717542402/3RoB-PQL_normal.jpg</v>
      </c>
      <c r="AW1423" s="82" t="s">
        <v>18196</v>
      </c>
      <c r="AX1423" s="82" t="s">
        <v>18196</v>
      </c>
      <c r="AY1423" s="77"/>
      <c r="AZ1423" s="82" t="s">
        <v>20971</v>
      </c>
      <c r="BA1423" s="82" t="s">
        <v>20971</v>
      </c>
      <c r="BB1423" s="82" t="s">
        <v>20971</v>
      </c>
      <c r="BC1423" s="82" t="s">
        <v>18196</v>
      </c>
      <c r="BD1423" s="82" t="s">
        <v>21249</v>
      </c>
      <c r="BE1423" s="77"/>
      <c r="BF1423" s="77"/>
      <c r="BG1423" s="77"/>
      <c r="BH1423" s="77"/>
      <c r="BI1423" s="77"/>
    </row>
    <row r="1424" spans="1:61" x14ac:dyDescent="0.25">
      <c r="A1424" s="62" t="s">
        <v>548</v>
      </c>
      <c r="B1424" s="62" t="s">
        <v>548</v>
      </c>
      <c r="C1424" s="63"/>
      <c r="D1424" s="64"/>
      <c r="E1424" s="65"/>
      <c r="F1424" s="66"/>
      <c r="G1424" s="63"/>
      <c r="H1424" s="67"/>
      <c r="I1424" s="68"/>
      <c r="J1424" s="68"/>
      <c r="K1424" s="32"/>
      <c r="L1424" s="75">
        <v>1424</v>
      </c>
      <c r="M1424" s="75"/>
      <c r="N1424" s="70"/>
      <c r="O1424" s="77" t="s">
        <v>179</v>
      </c>
      <c r="P1424" s="79">
        <v>45063.827638888892</v>
      </c>
      <c r="Q1424" s="77" t="s">
        <v>2668</v>
      </c>
      <c r="R1424" s="77">
        <v>0</v>
      </c>
      <c r="S1424" s="77">
        <v>0</v>
      </c>
      <c r="T1424" s="77">
        <v>0</v>
      </c>
      <c r="U1424" s="77">
        <v>0</v>
      </c>
      <c r="V1424" s="77">
        <v>6</v>
      </c>
      <c r="W1424" s="82" t="s">
        <v>5779</v>
      </c>
      <c r="X1424" s="80" t="str">
        <f>HYPERLINK("https://pay.hotmart.com/A82972549Y?checkoutMode=10")</f>
        <v>https://pay.hotmart.com/A82972549Y?checkoutMode=10</v>
      </c>
      <c r="Y1424" s="77" t="s">
        <v>7251</v>
      </c>
      <c r="Z1424" s="77"/>
      <c r="AA1424" s="77"/>
      <c r="AB1424" s="77"/>
      <c r="AC1424" s="82" t="s">
        <v>10146</v>
      </c>
      <c r="AD1424" s="77" t="s">
        <v>10184</v>
      </c>
      <c r="AE1424" s="80" t="str">
        <f>HYPERLINK("https://twitter.com/alissonrodney02/status/1658923290788806657")</f>
        <v>https://twitter.com/alissonrodney02/status/1658923290788806657</v>
      </c>
      <c r="AF1424" s="79">
        <v>45063.827638888892</v>
      </c>
      <c r="AG1424" s="85">
        <v>45063</v>
      </c>
      <c r="AH1424" s="82" t="s">
        <v>11565</v>
      </c>
      <c r="AI1424" s="77" t="b">
        <v>0</v>
      </c>
      <c r="AJ1424" s="77"/>
      <c r="AK1424" s="77"/>
      <c r="AL1424" s="77"/>
      <c r="AM1424" s="77"/>
      <c r="AN1424" s="77"/>
      <c r="AO1424" s="77"/>
      <c r="AP1424" s="77"/>
      <c r="AQ1424" s="77"/>
      <c r="AR1424" s="77"/>
      <c r="AS1424" s="77"/>
      <c r="AT1424" s="77"/>
      <c r="AU1424" s="77"/>
      <c r="AV1424" s="80" t="str">
        <f>HYPERLINK("https://pbs.twimg.com/profile_images/1630621561119031336/spE__tMM_normal.jpg")</f>
        <v>https://pbs.twimg.com/profile_images/1630621561119031336/spE__tMM_normal.jpg</v>
      </c>
      <c r="AW1424" s="82" t="s">
        <v>18197</v>
      </c>
      <c r="AX1424" s="82" t="s">
        <v>18197</v>
      </c>
      <c r="AY1424" s="77"/>
      <c r="AZ1424" s="82" t="s">
        <v>20971</v>
      </c>
      <c r="BA1424" s="82" t="s">
        <v>20971</v>
      </c>
      <c r="BB1424" s="82" t="s">
        <v>20971</v>
      </c>
      <c r="BC1424" s="82" t="s">
        <v>18197</v>
      </c>
      <c r="BD1424" s="82" t="s">
        <v>21250</v>
      </c>
      <c r="BE1424" s="77"/>
      <c r="BF1424" s="77"/>
      <c r="BG1424" s="77"/>
      <c r="BH1424" s="77"/>
      <c r="BI1424" s="77"/>
    </row>
    <row r="1425" spans="1:61" x14ac:dyDescent="0.25">
      <c r="A1425" s="62" t="s">
        <v>549</v>
      </c>
      <c r="B1425" s="62" t="s">
        <v>549</v>
      </c>
      <c r="C1425" s="63"/>
      <c r="D1425" s="64"/>
      <c r="E1425" s="65"/>
      <c r="F1425" s="66"/>
      <c r="G1425" s="63"/>
      <c r="H1425" s="67"/>
      <c r="I1425" s="68"/>
      <c r="J1425" s="68"/>
      <c r="K1425" s="32"/>
      <c r="L1425" s="75">
        <v>1425</v>
      </c>
      <c r="M1425" s="75"/>
      <c r="N1425" s="70"/>
      <c r="O1425" s="77" t="s">
        <v>179</v>
      </c>
      <c r="P1425" s="79">
        <v>44961.07130787037</v>
      </c>
      <c r="Q1425" s="77" t="s">
        <v>2669</v>
      </c>
      <c r="R1425" s="77">
        <v>0</v>
      </c>
      <c r="S1425" s="77">
        <v>1</v>
      </c>
      <c r="T1425" s="77">
        <v>0</v>
      </c>
      <c r="U1425" s="77">
        <v>0</v>
      </c>
      <c r="V1425" s="77">
        <v>150</v>
      </c>
      <c r="W1425" s="82" t="s">
        <v>5780</v>
      </c>
      <c r="X1425" s="77"/>
      <c r="Y1425" s="77"/>
      <c r="Z1425" s="77"/>
      <c r="AA1425" s="77" t="s">
        <v>8094</v>
      </c>
      <c r="AB1425" s="77" t="s">
        <v>10130</v>
      </c>
      <c r="AC1425" s="82" t="s">
        <v>10146</v>
      </c>
      <c r="AD1425" s="77" t="s">
        <v>10184</v>
      </c>
      <c r="AE1425" s="80" t="str">
        <f>HYPERLINK("https://twitter.com/mypixbr/status/1621685642987020291")</f>
        <v>https://twitter.com/mypixbr/status/1621685642987020291</v>
      </c>
      <c r="AF1425" s="79">
        <v>44961.07130787037</v>
      </c>
      <c r="AG1425" s="85">
        <v>44961</v>
      </c>
      <c r="AH1425" s="82" t="s">
        <v>11566</v>
      </c>
      <c r="AI1425" s="77" t="b">
        <v>0</v>
      </c>
      <c r="AJ1425" s="77"/>
      <c r="AK1425" s="77"/>
      <c r="AL1425" s="77"/>
      <c r="AM1425" s="77"/>
      <c r="AN1425" s="77"/>
      <c r="AO1425" s="77"/>
      <c r="AP1425" s="77"/>
      <c r="AQ1425" s="77" t="s">
        <v>14738</v>
      </c>
      <c r="AR1425" s="77"/>
      <c r="AS1425" s="77"/>
      <c r="AT1425" s="77"/>
      <c r="AU1425" s="77"/>
      <c r="AV1425" s="80" t="str">
        <f>HYPERLINK("https://pbs.twimg.com/media/FoFiTb8XkAAa322.jpg")</f>
        <v>https://pbs.twimg.com/media/FoFiTb8XkAAa322.jpg</v>
      </c>
      <c r="AW1425" s="82" t="s">
        <v>18198</v>
      </c>
      <c r="AX1425" s="82" t="s">
        <v>18198</v>
      </c>
      <c r="AY1425" s="77"/>
      <c r="AZ1425" s="82" t="s">
        <v>20971</v>
      </c>
      <c r="BA1425" s="82" t="s">
        <v>20971</v>
      </c>
      <c r="BB1425" s="82" t="s">
        <v>20971</v>
      </c>
      <c r="BC1425" s="82" t="s">
        <v>18198</v>
      </c>
      <c r="BD1425" s="82" t="s">
        <v>21251</v>
      </c>
      <c r="BE1425" s="77"/>
      <c r="BF1425" s="77"/>
      <c r="BG1425" s="77"/>
      <c r="BH1425" s="77"/>
      <c r="BI1425" s="77"/>
    </row>
    <row r="1426" spans="1:61" x14ac:dyDescent="0.25">
      <c r="A1426" s="62" t="s">
        <v>549</v>
      </c>
      <c r="B1426" s="62" t="s">
        <v>549</v>
      </c>
      <c r="C1426" s="63"/>
      <c r="D1426" s="64"/>
      <c r="E1426" s="65"/>
      <c r="F1426" s="66"/>
      <c r="G1426" s="63"/>
      <c r="H1426" s="67"/>
      <c r="I1426" s="68"/>
      <c r="J1426" s="68"/>
      <c r="K1426" s="32"/>
      <c r="L1426" s="75">
        <v>1426</v>
      </c>
      <c r="M1426" s="75"/>
      <c r="N1426" s="70"/>
      <c r="O1426" s="77" t="s">
        <v>179</v>
      </c>
      <c r="P1426" s="79">
        <v>44959.744803240741</v>
      </c>
      <c r="Q1426" s="77" t="s">
        <v>2670</v>
      </c>
      <c r="R1426" s="77">
        <v>0</v>
      </c>
      <c r="S1426" s="77">
        <v>1</v>
      </c>
      <c r="T1426" s="77">
        <v>0</v>
      </c>
      <c r="U1426" s="77">
        <v>0</v>
      </c>
      <c r="V1426" s="77">
        <v>94</v>
      </c>
      <c r="W1426" s="82" t="s">
        <v>5781</v>
      </c>
      <c r="X1426" s="77"/>
      <c r="Y1426" s="77"/>
      <c r="Z1426" s="77"/>
      <c r="AA1426" s="77" t="s">
        <v>8095</v>
      </c>
      <c r="AB1426" s="77" t="s">
        <v>10130</v>
      </c>
      <c r="AC1426" s="82" t="s">
        <v>10146</v>
      </c>
      <c r="AD1426" s="77" t="s">
        <v>10184</v>
      </c>
      <c r="AE1426" s="80" t="str">
        <f>HYPERLINK("https://twitter.com/mypixbr/status/1621204935378436098")</f>
        <v>https://twitter.com/mypixbr/status/1621204935378436098</v>
      </c>
      <c r="AF1426" s="79">
        <v>44959.744803240741</v>
      </c>
      <c r="AG1426" s="85">
        <v>44959</v>
      </c>
      <c r="AH1426" s="82" t="s">
        <v>11567</v>
      </c>
      <c r="AI1426" s="77" t="b">
        <v>0</v>
      </c>
      <c r="AJ1426" s="77"/>
      <c r="AK1426" s="77"/>
      <c r="AL1426" s="77"/>
      <c r="AM1426" s="77"/>
      <c r="AN1426" s="77"/>
      <c r="AO1426" s="77"/>
      <c r="AP1426" s="77"/>
      <c r="AQ1426" s="77" t="s">
        <v>14739</v>
      </c>
      <c r="AR1426" s="77"/>
      <c r="AS1426" s="77"/>
      <c r="AT1426" s="77"/>
      <c r="AU1426" s="77"/>
      <c r="AV1426" s="80" t="str">
        <f>HYPERLINK("https://pbs.twimg.com/media/Fn-swaoXkAAxEbx.jpg")</f>
        <v>https://pbs.twimg.com/media/Fn-swaoXkAAxEbx.jpg</v>
      </c>
      <c r="AW1426" s="82" t="s">
        <v>18199</v>
      </c>
      <c r="AX1426" s="82" t="s">
        <v>18199</v>
      </c>
      <c r="AY1426" s="77"/>
      <c r="AZ1426" s="82" t="s">
        <v>20971</v>
      </c>
      <c r="BA1426" s="82" t="s">
        <v>20971</v>
      </c>
      <c r="BB1426" s="82" t="s">
        <v>20971</v>
      </c>
      <c r="BC1426" s="82" t="s">
        <v>18199</v>
      </c>
      <c r="BD1426" s="82" t="s">
        <v>21251</v>
      </c>
      <c r="BE1426" s="77"/>
      <c r="BF1426" s="77"/>
      <c r="BG1426" s="77"/>
      <c r="BH1426" s="77"/>
      <c r="BI1426" s="77"/>
    </row>
    <row r="1427" spans="1:61" x14ac:dyDescent="0.25">
      <c r="A1427" s="62" t="s">
        <v>550</v>
      </c>
      <c r="B1427" s="62" t="s">
        <v>550</v>
      </c>
      <c r="C1427" s="63"/>
      <c r="D1427" s="64"/>
      <c r="E1427" s="65"/>
      <c r="F1427" s="66"/>
      <c r="G1427" s="63"/>
      <c r="H1427" s="67"/>
      <c r="I1427" s="68"/>
      <c r="J1427" s="68"/>
      <c r="K1427" s="32"/>
      <c r="L1427" s="75">
        <v>1427</v>
      </c>
      <c r="M1427" s="75"/>
      <c r="N1427" s="70"/>
      <c r="O1427" s="77" t="s">
        <v>179</v>
      </c>
      <c r="P1427" s="79">
        <v>45155.826874999999</v>
      </c>
      <c r="Q1427" s="77" t="s">
        <v>2671</v>
      </c>
      <c r="R1427" s="77">
        <v>0</v>
      </c>
      <c r="S1427" s="77">
        <v>0</v>
      </c>
      <c r="T1427" s="77">
        <v>0</v>
      </c>
      <c r="U1427" s="77">
        <v>0</v>
      </c>
      <c r="V1427" s="77">
        <v>6</v>
      </c>
      <c r="W1427" s="82" t="s">
        <v>5782</v>
      </c>
      <c r="X1427" s="80" t="str">
        <f>HYPERLINK("https://kiwify.app/UdtaffM?afid=5t1Dlejv")</f>
        <v>https://kiwify.app/UdtaffM?afid=5t1Dlejv</v>
      </c>
      <c r="Y1427" s="77" t="s">
        <v>7269</v>
      </c>
      <c r="Z1427" s="77"/>
      <c r="AA1427" s="77" t="s">
        <v>8096</v>
      </c>
      <c r="AB1427" s="77" t="s">
        <v>10129</v>
      </c>
      <c r="AC1427" s="82" t="s">
        <v>10146</v>
      </c>
      <c r="AD1427" s="77" t="s">
        <v>10183</v>
      </c>
      <c r="AE1427" s="80" t="str">
        <f>HYPERLINK("https://twitter.com/beatrizvahl/status/1692262699227402402")</f>
        <v>https://twitter.com/beatrizvahl/status/1692262699227402402</v>
      </c>
      <c r="AF1427" s="79">
        <v>45155.826874999999</v>
      </c>
      <c r="AG1427" s="85">
        <v>45155</v>
      </c>
      <c r="AH1427" s="82" t="s">
        <v>11568</v>
      </c>
      <c r="AI1427" s="77" t="b">
        <v>0</v>
      </c>
      <c r="AJ1427" s="77"/>
      <c r="AK1427" s="77"/>
      <c r="AL1427" s="77"/>
      <c r="AM1427" s="77"/>
      <c r="AN1427" s="77"/>
      <c r="AO1427" s="77"/>
      <c r="AP1427" s="77"/>
      <c r="AQ1427" s="77" t="s">
        <v>14740</v>
      </c>
      <c r="AR1427" s="77">
        <v>21403</v>
      </c>
      <c r="AS1427" s="77"/>
      <c r="AT1427" s="77"/>
      <c r="AU1427" s="77"/>
      <c r="AV1427" s="80" t="str">
        <f>HYPERLINK("https://pbs.twimg.com/ext_tw_video_thumb/1692262308645400577/pu/img/05qg9SKyeECT4P-A.jpg")</f>
        <v>https://pbs.twimg.com/ext_tw_video_thumb/1692262308645400577/pu/img/05qg9SKyeECT4P-A.jpg</v>
      </c>
      <c r="AW1427" s="82" t="s">
        <v>18200</v>
      </c>
      <c r="AX1427" s="82" t="s">
        <v>18200</v>
      </c>
      <c r="AY1427" s="77"/>
      <c r="AZ1427" s="82" t="s">
        <v>20971</v>
      </c>
      <c r="BA1427" s="82" t="s">
        <v>20971</v>
      </c>
      <c r="BB1427" s="82" t="s">
        <v>20971</v>
      </c>
      <c r="BC1427" s="82" t="s">
        <v>18200</v>
      </c>
      <c r="BD1427" s="82" t="s">
        <v>21252</v>
      </c>
      <c r="BE1427" s="77"/>
      <c r="BF1427" s="77"/>
      <c r="BG1427" s="77"/>
      <c r="BH1427" s="77"/>
      <c r="BI1427" s="77"/>
    </row>
    <row r="1428" spans="1:61" x14ac:dyDescent="0.25">
      <c r="A1428" s="62" t="s">
        <v>551</v>
      </c>
      <c r="B1428" s="62" t="s">
        <v>551</v>
      </c>
      <c r="C1428" s="63"/>
      <c r="D1428" s="64"/>
      <c r="E1428" s="65"/>
      <c r="F1428" s="66"/>
      <c r="G1428" s="63"/>
      <c r="H1428" s="67"/>
      <c r="I1428" s="68"/>
      <c r="J1428" s="68"/>
      <c r="K1428" s="32"/>
      <c r="L1428" s="75">
        <v>1428</v>
      </c>
      <c r="M1428" s="75"/>
      <c r="N1428" s="70"/>
      <c r="O1428" s="77" t="s">
        <v>179</v>
      </c>
      <c r="P1428" s="79">
        <v>45113.201226851852</v>
      </c>
      <c r="Q1428" s="77" t="s">
        <v>2672</v>
      </c>
      <c r="R1428" s="77">
        <v>0</v>
      </c>
      <c r="S1428" s="77">
        <v>0</v>
      </c>
      <c r="T1428" s="77">
        <v>1</v>
      </c>
      <c r="U1428" s="77">
        <v>0</v>
      </c>
      <c r="V1428" s="77">
        <v>127</v>
      </c>
      <c r="W1428" s="82" t="s">
        <v>5783</v>
      </c>
      <c r="X1428" s="77"/>
      <c r="Y1428" s="77"/>
      <c r="Z1428" s="77"/>
      <c r="AA1428" s="77" t="s">
        <v>8097</v>
      </c>
      <c r="AB1428" s="77" t="s">
        <v>10129</v>
      </c>
      <c r="AC1428" s="82" t="s">
        <v>10145</v>
      </c>
      <c r="AD1428" s="77" t="s">
        <v>10184</v>
      </c>
      <c r="AE1428" s="80" t="str">
        <f>HYPERLINK("https://twitter.com/shelby_hype_/status/1676815678274252800")</f>
        <v>https://twitter.com/shelby_hype_/status/1676815678274252800</v>
      </c>
      <c r="AF1428" s="79">
        <v>45113.201226851852</v>
      </c>
      <c r="AG1428" s="85">
        <v>45113</v>
      </c>
      <c r="AH1428" s="82" t="s">
        <v>11569</v>
      </c>
      <c r="AI1428" s="77" t="b">
        <v>0</v>
      </c>
      <c r="AJ1428" s="77"/>
      <c r="AK1428" s="77"/>
      <c r="AL1428" s="77"/>
      <c r="AM1428" s="77"/>
      <c r="AN1428" s="77"/>
      <c r="AO1428" s="77"/>
      <c r="AP1428" s="77"/>
      <c r="AQ1428" s="77" t="s">
        <v>14741</v>
      </c>
      <c r="AR1428" s="77">
        <v>10951</v>
      </c>
      <c r="AS1428" s="77"/>
      <c r="AT1428" s="77"/>
      <c r="AU1428" s="77"/>
      <c r="AV1428" s="80" t="str">
        <f>HYPERLINK("https://pbs.twimg.com/ext_tw_video_thumb/1676815608673869824/pu/img/kT09SP26KGImY7wS.jpg")</f>
        <v>https://pbs.twimg.com/ext_tw_video_thumb/1676815608673869824/pu/img/kT09SP26KGImY7wS.jpg</v>
      </c>
      <c r="AW1428" s="82" t="s">
        <v>18201</v>
      </c>
      <c r="AX1428" s="82" t="s">
        <v>18201</v>
      </c>
      <c r="AY1428" s="77"/>
      <c r="AZ1428" s="82" t="s">
        <v>20971</v>
      </c>
      <c r="BA1428" s="82" t="s">
        <v>20971</v>
      </c>
      <c r="BB1428" s="82" t="s">
        <v>20971</v>
      </c>
      <c r="BC1428" s="82" t="s">
        <v>18201</v>
      </c>
      <c r="BD1428" s="82" t="s">
        <v>21253</v>
      </c>
      <c r="BE1428" s="77"/>
      <c r="BF1428" s="77"/>
      <c r="BG1428" s="77"/>
      <c r="BH1428" s="77"/>
      <c r="BI1428" s="77"/>
    </row>
    <row r="1429" spans="1:61" x14ac:dyDescent="0.25">
      <c r="A1429" s="62" t="s">
        <v>552</v>
      </c>
      <c r="B1429" s="62" t="s">
        <v>552</v>
      </c>
      <c r="C1429" s="63"/>
      <c r="D1429" s="64"/>
      <c r="E1429" s="65"/>
      <c r="F1429" s="66"/>
      <c r="G1429" s="63"/>
      <c r="H1429" s="67"/>
      <c r="I1429" s="68"/>
      <c r="J1429" s="68"/>
      <c r="K1429" s="32"/>
      <c r="L1429" s="75">
        <v>1429</v>
      </c>
      <c r="M1429" s="75"/>
      <c r="N1429" s="70"/>
      <c r="O1429" s="77" t="s">
        <v>179</v>
      </c>
      <c r="P1429" s="79">
        <v>45170.048020833332</v>
      </c>
      <c r="Q1429" s="77" t="s">
        <v>2673</v>
      </c>
      <c r="R1429" s="77">
        <v>0</v>
      </c>
      <c r="S1429" s="77">
        <v>1</v>
      </c>
      <c r="T1429" s="77">
        <v>0</v>
      </c>
      <c r="U1429" s="77">
        <v>0</v>
      </c>
      <c r="V1429" s="77">
        <v>78</v>
      </c>
      <c r="W1429" s="82" t="s">
        <v>5784</v>
      </c>
      <c r="X1429" s="77"/>
      <c r="Y1429" s="77"/>
      <c r="Z1429" s="77"/>
      <c r="AA1429" s="77" t="s">
        <v>8098</v>
      </c>
      <c r="AB1429" s="77" t="s">
        <v>10130</v>
      </c>
      <c r="AC1429" s="82" t="s">
        <v>10146</v>
      </c>
      <c r="AD1429" s="77" t="s">
        <v>10185</v>
      </c>
      <c r="AE1429" s="80" t="str">
        <f>HYPERLINK("https://twitter.com/alamin42213/status/1697416268457058620")</f>
        <v>https://twitter.com/alamin42213/status/1697416268457058620</v>
      </c>
      <c r="AF1429" s="79">
        <v>45170.048020833332</v>
      </c>
      <c r="AG1429" s="85">
        <v>45170</v>
      </c>
      <c r="AH1429" s="82" t="s">
        <v>11570</v>
      </c>
      <c r="AI1429" s="77" t="b">
        <v>0</v>
      </c>
      <c r="AJ1429" s="77"/>
      <c r="AK1429" s="77"/>
      <c r="AL1429" s="77"/>
      <c r="AM1429" s="77"/>
      <c r="AN1429" s="77"/>
      <c r="AO1429" s="77"/>
      <c r="AP1429" s="77"/>
      <c r="AQ1429" s="77" t="s">
        <v>14742</v>
      </c>
      <c r="AR1429" s="77"/>
      <c r="AS1429" s="77"/>
      <c r="AT1429" s="77"/>
      <c r="AU1429" s="77"/>
      <c r="AV1429" s="80" t="str">
        <f>HYPERLINK("https://pbs.twimg.com/media/F45vDx4bEAACGxJ.jpg")</f>
        <v>https://pbs.twimg.com/media/F45vDx4bEAACGxJ.jpg</v>
      </c>
      <c r="AW1429" s="82" t="s">
        <v>18202</v>
      </c>
      <c r="AX1429" s="82" t="s">
        <v>18202</v>
      </c>
      <c r="AY1429" s="77"/>
      <c r="AZ1429" s="82" t="s">
        <v>20971</v>
      </c>
      <c r="BA1429" s="82" t="s">
        <v>20971</v>
      </c>
      <c r="BB1429" s="82" t="s">
        <v>20971</v>
      </c>
      <c r="BC1429" s="82" t="s">
        <v>18202</v>
      </c>
      <c r="BD1429" s="82" t="s">
        <v>21254</v>
      </c>
      <c r="BE1429" s="77"/>
      <c r="BF1429" s="77"/>
      <c r="BG1429" s="77"/>
      <c r="BH1429" s="77"/>
      <c r="BI1429" s="77"/>
    </row>
    <row r="1430" spans="1:61" x14ac:dyDescent="0.25">
      <c r="A1430" s="62" t="s">
        <v>553</v>
      </c>
      <c r="B1430" s="62" t="s">
        <v>553</v>
      </c>
      <c r="C1430" s="63"/>
      <c r="D1430" s="64"/>
      <c r="E1430" s="65"/>
      <c r="F1430" s="66"/>
      <c r="G1430" s="63"/>
      <c r="H1430" s="67"/>
      <c r="I1430" s="68"/>
      <c r="J1430" s="68"/>
      <c r="K1430" s="32"/>
      <c r="L1430" s="75">
        <v>1430</v>
      </c>
      <c r="M1430" s="75"/>
      <c r="N1430" s="70"/>
      <c r="O1430" s="77" t="s">
        <v>179</v>
      </c>
      <c r="P1430" s="79">
        <v>45027.50240740741</v>
      </c>
      <c r="Q1430" s="77" t="s">
        <v>2674</v>
      </c>
      <c r="R1430" s="77">
        <v>0</v>
      </c>
      <c r="S1430" s="77">
        <v>0</v>
      </c>
      <c r="T1430" s="77">
        <v>0</v>
      </c>
      <c r="U1430" s="77">
        <v>0</v>
      </c>
      <c r="V1430" s="77">
        <v>13</v>
      </c>
      <c r="W1430" s="82" t="s">
        <v>5785</v>
      </c>
      <c r="X1430" s="80" t="str">
        <f>HYPERLINK("https://s.kwai.app/w/7x2jpLuF")</f>
        <v>https://s.kwai.app/w/7x2jpLuF</v>
      </c>
      <c r="Y1430" s="77" t="s">
        <v>7292</v>
      </c>
      <c r="Z1430" s="77"/>
      <c r="AA1430" s="77"/>
      <c r="AB1430" s="77"/>
      <c r="AC1430" s="82" t="s">
        <v>10144</v>
      </c>
      <c r="AD1430" s="77" t="s">
        <v>10183</v>
      </c>
      <c r="AE1430" s="80" t="str">
        <f>HYPERLINK("https://twitter.com/val_salmeida/status/1645759466342678530")</f>
        <v>https://twitter.com/val_salmeida/status/1645759466342678530</v>
      </c>
      <c r="AF1430" s="79">
        <v>45027.50240740741</v>
      </c>
      <c r="AG1430" s="85">
        <v>45027</v>
      </c>
      <c r="AH1430" s="82" t="s">
        <v>11571</v>
      </c>
      <c r="AI1430" s="77" t="b">
        <v>0</v>
      </c>
      <c r="AJ1430" s="77"/>
      <c r="AK1430" s="77"/>
      <c r="AL1430" s="77"/>
      <c r="AM1430" s="77"/>
      <c r="AN1430" s="77"/>
      <c r="AO1430" s="77"/>
      <c r="AP1430" s="77"/>
      <c r="AQ1430" s="77"/>
      <c r="AR1430" s="77"/>
      <c r="AS1430" s="77"/>
      <c r="AT1430" s="77"/>
      <c r="AU1430" s="77"/>
      <c r="AV1430" s="80" t="str">
        <f>HYPERLINK("https://pbs.twimg.com/profile_images/1434822863803060225/BbL-bZUi_normal.jpg")</f>
        <v>https://pbs.twimg.com/profile_images/1434822863803060225/BbL-bZUi_normal.jpg</v>
      </c>
      <c r="AW1430" s="82" t="s">
        <v>18203</v>
      </c>
      <c r="AX1430" s="82" t="s">
        <v>18203</v>
      </c>
      <c r="AY1430" s="77"/>
      <c r="AZ1430" s="82" t="s">
        <v>20971</v>
      </c>
      <c r="BA1430" s="82" t="s">
        <v>20971</v>
      </c>
      <c r="BB1430" s="82" t="s">
        <v>20971</v>
      </c>
      <c r="BC1430" s="82" t="s">
        <v>18203</v>
      </c>
      <c r="BD1430" s="82" t="s">
        <v>21255</v>
      </c>
      <c r="BE1430" s="77"/>
      <c r="BF1430" s="77"/>
      <c r="BG1430" s="77"/>
      <c r="BH1430" s="77"/>
      <c r="BI1430" s="77"/>
    </row>
    <row r="1431" spans="1:61" x14ac:dyDescent="0.25">
      <c r="A1431" s="62" t="s">
        <v>553</v>
      </c>
      <c r="B1431" s="62" t="s">
        <v>553</v>
      </c>
      <c r="C1431" s="63"/>
      <c r="D1431" s="64"/>
      <c r="E1431" s="65"/>
      <c r="F1431" s="66"/>
      <c r="G1431" s="63"/>
      <c r="H1431" s="67"/>
      <c r="I1431" s="68"/>
      <c r="J1431" s="68"/>
      <c r="K1431" s="32"/>
      <c r="L1431" s="75">
        <v>1431</v>
      </c>
      <c r="M1431" s="75"/>
      <c r="N1431" s="70"/>
      <c r="O1431" s="77" t="s">
        <v>179</v>
      </c>
      <c r="P1431" s="79">
        <v>45055.689826388887</v>
      </c>
      <c r="Q1431" s="77" t="s">
        <v>2675</v>
      </c>
      <c r="R1431" s="77">
        <v>0</v>
      </c>
      <c r="S1431" s="77">
        <v>0</v>
      </c>
      <c r="T1431" s="77">
        <v>0</v>
      </c>
      <c r="U1431" s="77">
        <v>0</v>
      </c>
      <c r="V1431" s="77">
        <v>8</v>
      </c>
      <c r="W1431" s="82" t="s">
        <v>5786</v>
      </c>
      <c r="X1431" s="80" t="str">
        <f>HYPERLINK("https://h5-global.v.show/inviteNew/share?link_id=2092211")</f>
        <v>https://h5-global.v.show/inviteNew/share?link_id=2092211</v>
      </c>
      <c r="Y1431" s="77" t="s">
        <v>7340</v>
      </c>
      <c r="Z1431" s="77"/>
      <c r="AA1431" s="77"/>
      <c r="AB1431" s="77"/>
      <c r="AC1431" s="82" t="s">
        <v>10144</v>
      </c>
      <c r="AD1431" s="77" t="s">
        <v>10184</v>
      </c>
      <c r="AE1431" s="80" t="str">
        <f>HYPERLINK("https://twitter.com/val_salmeida/status/1655974246089121792")</f>
        <v>https://twitter.com/val_salmeida/status/1655974246089121792</v>
      </c>
      <c r="AF1431" s="79">
        <v>45055.689826388887</v>
      </c>
      <c r="AG1431" s="85">
        <v>45055</v>
      </c>
      <c r="AH1431" s="82" t="s">
        <v>11572</v>
      </c>
      <c r="AI1431" s="77" t="b">
        <v>0</v>
      </c>
      <c r="AJ1431" s="77"/>
      <c r="AK1431" s="77"/>
      <c r="AL1431" s="77"/>
      <c r="AM1431" s="77"/>
      <c r="AN1431" s="77"/>
      <c r="AO1431" s="77"/>
      <c r="AP1431" s="77"/>
      <c r="AQ1431" s="77"/>
      <c r="AR1431" s="77"/>
      <c r="AS1431" s="77"/>
      <c r="AT1431" s="77"/>
      <c r="AU1431" s="77"/>
      <c r="AV1431" s="80" t="str">
        <f>HYPERLINK("https://pbs.twimg.com/profile_images/1434822863803060225/BbL-bZUi_normal.jpg")</f>
        <v>https://pbs.twimg.com/profile_images/1434822863803060225/BbL-bZUi_normal.jpg</v>
      </c>
      <c r="AW1431" s="82" t="s">
        <v>18204</v>
      </c>
      <c r="AX1431" s="82" t="s">
        <v>18204</v>
      </c>
      <c r="AY1431" s="77"/>
      <c r="AZ1431" s="82" t="s">
        <v>20971</v>
      </c>
      <c r="BA1431" s="82" t="s">
        <v>20971</v>
      </c>
      <c r="BB1431" s="82" t="s">
        <v>20971</v>
      </c>
      <c r="BC1431" s="82" t="s">
        <v>18204</v>
      </c>
      <c r="BD1431" s="82" t="s">
        <v>21255</v>
      </c>
      <c r="BE1431" s="77"/>
      <c r="BF1431" s="77"/>
      <c r="BG1431" s="77"/>
      <c r="BH1431" s="77"/>
      <c r="BI1431" s="77"/>
    </row>
    <row r="1432" spans="1:61" x14ac:dyDescent="0.25">
      <c r="A1432" s="62" t="s">
        <v>554</v>
      </c>
      <c r="B1432" s="62" t="s">
        <v>554</v>
      </c>
      <c r="C1432" s="63"/>
      <c r="D1432" s="64"/>
      <c r="E1432" s="65"/>
      <c r="F1432" s="66"/>
      <c r="G1432" s="63"/>
      <c r="H1432" s="67"/>
      <c r="I1432" s="68"/>
      <c r="J1432" s="68"/>
      <c r="K1432" s="32"/>
      <c r="L1432" s="75">
        <v>1432</v>
      </c>
      <c r="M1432" s="75"/>
      <c r="N1432" s="70"/>
      <c r="O1432" s="77" t="s">
        <v>179</v>
      </c>
      <c r="P1432" s="79">
        <v>44990.5003125</v>
      </c>
      <c r="Q1432" s="77" t="s">
        <v>2676</v>
      </c>
      <c r="R1432" s="77">
        <v>0</v>
      </c>
      <c r="S1432" s="77">
        <v>0</v>
      </c>
      <c r="T1432" s="77">
        <v>0</v>
      </c>
      <c r="U1432" s="77">
        <v>0</v>
      </c>
      <c r="V1432" s="77">
        <v>29</v>
      </c>
      <c r="W1432" s="82" t="s">
        <v>5787</v>
      </c>
      <c r="X1432" s="77"/>
      <c r="Y1432" s="77"/>
      <c r="Z1432" s="77"/>
      <c r="AA1432" s="77" t="s">
        <v>8099</v>
      </c>
      <c r="AB1432" s="77" t="s">
        <v>10130</v>
      </c>
      <c r="AC1432" s="82" t="s">
        <v>10147</v>
      </c>
      <c r="AD1432" s="77" t="s">
        <v>10185</v>
      </c>
      <c r="AE1432" s="80" t="str">
        <f>HYPERLINK("https://twitter.com/folheadosana/status/1632350357467590656")</f>
        <v>https://twitter.com/folheadosana/status/1632350357467590656</v>
      </c>
      <c r="AF1432" s="79">
        <v>44990.5003125</v>
      </c>
      <c r="AG1432" s="85">
        <v>44990</v>
      </c>
      <c r="AH1432" s="82" t="s">
        <v>10542</v>
      </c>
      <c r="AI1432" s="77" t="b">
        <v>0</v>
      </c>
      <c r="AJ1432" s="77"/>
      <c r="AK1432" s="77"/>
      <c r="AL1432" s="77"/>
      <c r="AM1432" s="77"/>
      <c r="AN1432" s="77"/>
      <c r="AO1432" s="77"/>
      <c r="AP1432" s="77"/>
      <c r="AQ1432" s="77" t="s">
        <v>14743</v>
      </c>
      <c r="AR1432" s="77"/>
      <c r="AS1432" s="77"/>
      <c r="AT1432" s="77"/>
      <c r="AU1432" s="77"/>
      <c r="AV1432" s="80" t="str">
        <f>HYPERLINK("https://pbs.twimg.com/media/FqdF_9-XoAMvNGi.jpg")</f>
        <v>https://pbs.twimg.com/media/FqdF_9-XoAMvNGi.jpg</v>
      </c>
      <c r="AW1432" s="82" t="s">
        <v>18205</v>
      </c>
      <c r="AX1432" s="82" t="s">
        <v>18205</v>
      </c>
      <c r="AY1432" s="77"/>
      <c r="AZ1432" s="82" t="s">
        <v>20971</v>
      </c>
      <c r="BA1432" s="82" t="s">
        <v>20971</v>
      </c>
      <c r="BB1432" s="82" t="s">
        <v>20971</v>
      </c>
      <c r="BC1432" s="82" t="s">
        <v>18205</v>
      </c>
      <c r="BD1432" s="82" t="s">
        <v>21256</v>
      </c>
      <c r="BE1432" s="77"/>
      <c r="BF1432" s="77"/>
      <c r="BG1432" s="77"/>
      <c r="BH1432" s="77"/>
      <c r="BI1432" s="77"/>
    </row>
    <row r="1433" spans="1:61" x14ac:dyDescent="0.25">
      <c r="A1433" s="62" t="s">
        <v>554</v>
      </c>
      <c r="B1433" s="62" t="s">
        <v>554</v>
      </c>
      <c r="C1433" s="63"/>
      <c r="D1433" s="64"/>
      <c r="E1433" s="65"/>
      <c r="F1433" s="66"/>
      <c r="G1433" s="63"/>
      <c r="H1433" s="67"/>
      <c r="I1433" s="68"/>
      <c r="J1433" s="68"/>
      <c r="K1433" s="32"/>
      <c r="L1433" s="75">
        <v>1433</v>
      </c>
      <c r="M1433" s="75"/>
      <c r="N1433" s="70"/>
      <c r="O1433" s="77" t="s">
        <v>179</v>
      </c>
      <c r="P1433" s="79">
        <v>44987.500358796293</v>
      </c>
      <c r="Q1433" s="77" t="s">
        <v>2677</v>
      </c>
      <c r="R1433" s="77">
        <v>0</v>
      </c>
      <c r="S1433" s="77">
        <v>0</v>
      </c>
      <c r="T1433" s="77">
        <v>0</v>
      </c>
      <c r="U1433" s="77">
        <v>0</v>
      </c>
      <c r="V1433" s="77">
        <v>9</v>
      </c>
      <c r="W1433" s="82" t="s">
        <v>5788</v>
      </c>
      <c r="X1433" s="77"/>
      <c r="Y1433" s="77"/>
      <c r="Z1433" s="77"/>
      <c r="AA1433" s="77" t="s">
        <v>8100</v>
      </c>
      <c r="AB1433" s="77" t="s">
        <v>10130</v>
      </c>
      <c r="AC1433" s="82" t="s">
        <v>10147</v>
      </c>
      <c r="AD1433" s="77" t="s">
        <v>10184</v>
      </c>
      <c r="AE1433" s="80" t="str">
        <f>HYPERLINK("https://twitter.com/folheadosana/status/1631263210543235077")</f>
        <v>https://twitter.com/folheadosana/status/1631263210543235077</v>
      </c>
      <c r="AF1433" s="79">
        <v>44987.500358796293</v>
      </c>
      <c r="AG1433" s="85">
        <v>44987</v>
      </c>
      <c r="AH1433" s="82" t="s">
        <v>11573</v>
      </c>
      <c r="AI1433" s="77" t="b">
        <v>0</v>
      </c>
      <c r="AJ1433" s="77"/>
      <c r="AK1433" s="77"/>
      <c r="AL1433" s="77"/>
      <c r="AM1433" s="77"/>
      <c r="AN1433" s="77"/>
      <c r="AO1433" s="77"/>
      <c r="AP1433" s="77"/>
      <c r="AQ1433" s="77" t="s">
        <v>14744</v>
      </c>
      <c r="AR1433" s="77"/>
      <c r="AS1433" s="77"/>
      <c r="AT1433" s="77"/>
      <c r="AU1433" s="77"/>
      <c r="AV1433" s="80" t="str">
        <f>HYPERLINK("https://pbs.twimg.com/media/FqNpPn7XwAEK12D.jpg")</f>
        <v>https://pbs.twimg.com/media/FqNpPn7XwAEK12D.jpg</v>
      </c>
      <c r="AW1433" s="82" t="s">
        <v>18206</v>
      </c>
      <c r="AX1433" s="82" t="s">
        <v>18206</v>
      </c>
      <c r="AY1433" s="77"/>
      <c r="AZ1433" s="82" t="s">
        <v>20971</v>
      </c>
      <c r="BA1433" s="82" t="s">
        <v>20971</v>
      </c>
      <c r="BB1433" s="82" t="s">
        <v>20971</v>
      </c>
      <c r="BC1433" s="82" t="s">
        <v>18206</v>
      </c>
      <c r="BD1433" s="82" t="s">
        <v>21256</v>
      </c>
      <c r="BE1433" s="77"/>
      <c r="BF1433" s="77"/>
      <c r="BG1433" s="77"/>
      <c r="BH1433" s="77"/>
      <c r="BI1433" s="77"/>
    </row>
    <row r="1434" spans="1:61" x14ac:dyDescent="0.25">
      <c r="A1434" s="62" t="s">
        <v>554</v>
      </c>
      <c r="B1434" s="62" t="s">
        <v>554</v>
      </c>
      <c r="C1434" s="63"/>
      <c r="D1434" s="64"/>
      <c r="E1434" s="65"/>
      <c r="F1434" s="66"/>
      <c r="G1434" s="63"/>
      <c r="H1434" s="67"/>
      <c r="I1434" s="68"/>
      <c r="J1434" s="68"/>
      <c r="K1434" s="32"/>
      <c r="L1434" s="75">
        <v>1434</v>
      </c>
      <c r="M1434" s="75"/>
      <c r="N1434" s="70"/>
      <c r="O1434" s="77" t="s">
        <v>179</v>
      </c>
      <c r="P1434" s="79">
        <v>44982.750439814816</v>
      </c>
      <c r="Q1434" s="77" t="s">
        <v>2678</v>
      </c>
      <c r="R1434" s="77">
        <v>0</v>
      </c>
      <c r="S1434" s="77">
        <v>0</v>
      </c>
      <c r="T1434" s="77">
        <v>0</v>
      </c>
      <c r="U1434" s="77">
        <v>0</v>
      </c>
      <c r="V1434" s="77">
        <v>27</v>
      </c>
      <c r="W1434" s="82" t="s">
        <v>5787</v>
      </c>
      <c r="X1434" s="77"/>
      <c r="Y1434" s="77"/>
      <c r="Z1434" s="77"/>
      <c r="AA1434" s="77" t="s">
        <v>8101</v>
      </c>
      <c r="AB1434" s="77" t="s">
        <v>10130</v>
      </c>
      <c r="AC1434" s="82" t="s">
        <v>10147</v>
      </c>
      <c r="AD1434" s="77" t="s">
        <v>10184</v>
      </c>
      <c r="AE1434" s="80" t="str">
        <f>HYPERLINK("https://twitter.com/folheadosana/status/1629541899378860035")</f>
        <v>https://twitter.com/folheadosana/status/1629541899378860035</v>
      </c>
      <c r="AF1434" s="79">
        <v>44982.750439814816</v>
      </c>
      <c r="AG1434" s="85">
        <v>44982</v>
      </c>
      <c r="AH1434" s="82" t="s">
        <v>11574</v>
      </c>
      <c r="AI1434" s="77" t="b">
        <v>0</v>
      </c>
      <c r="AJ1434" s="77"/>
      <c r="AK1434" s="77"/>
      <c r="AL1434" s="77"/>
      <c r="AM1434" s="77"/>
      <c r="AN1434" s="77"/>
      <c r="AO1434" s="77"/>
      <c r="AP1434" s="77"/>
      <c r="AQ1434" s="77" t="s">
        <v>14745</v>
      </c>
      <c r="AR1434" s="77"/>
      <c r="AS1434" s="77"/>
      <c r="AT1434" s="77"/>
      <c r="AU1434" s="77"/>
      <c r="AV1434" s="80" t="str">
        <f>HYPERLINK("https://pbs.twimg.com/media/Fp1LuH2WYAQjcPb.jpg")</f>
        <v>https://pbs.twimg.com/media/Fp1LuH2WYAQjcPb.jpg</v>
      </c>
      <c r="AW1434" s="82" t="s">
        <v>18207</v>
      </c>
      <c r="AX1434" s="82" t="s">
        <v>18207</v>
      </c>
      <c r="AY1434" s="77"/>
      <c r="AZ1434" s="82" t="s">
        <v>20971</v>
      </c>
      <c r="BA1434" s="82" t="s">
        <v>20971</v>
      </c>
      <c r="BB1434" s="82" t="s">
        <v>20971</v>
      </c>
      <c r="BC1434" s="82" t="s">
        <v>18207</v>
      </c>
      <c r="BD1434" s="82" t="s">
        <v>21256</v>
      </c>
      <c r="BE1434" s="77"/>
      <c r="BF1434" s="77"/>
      <c r="BG1434" s="77"/>
      <c r="BH1434" s="77"/>
      <c r="BI1434" s="77"/>
    </row>
    <row r="1435" spans="1:61" x14ac:dyDescent="0.25">
      <c r="A1435" s="62" t="s">
        <v>554</v>
      </c>
      <c r="B1435" s="62" t="s">
        <v>554</v>
      </c>
      <c r="C1435" s="63"/>
      <c r="D1435" s="64"/>
      <c r="E1435" s="65"/>
      <c r="F1435" s="66"/>
      <c r="G1435" s="63"/>
      <c r="H1435" s="67"/>
      <c r="I1435" s="68"/>
      <c r="J1435" s="68"/>
      <c r="K1435" s="32"/>
      <c r="L1435" s="75">
        <v>1435</v>
      </c>
      <c r="M1435" s="75"/>
      <c r="N1435" s="70"/>
      <c r="O1435" s="77" t="s">
        <v>179</v>
      </c>
      <c r="P1435" s="79">
        <v>44982.500416666669</v>
      </c>
      <c r="Q1435" s="77" t="s">
        <v>2679</v>
      </c>
      <c r="R1435" s="77">
        <v>0</v>
      </c>
      <c r="S1435" s="77">
        <v>1</v>
      </c>
      <c r="T1435" s="77">
        <v>0</v>
      </c>
      <c r="U1435" s="77">
        <v>0</v>
      </c>
      <c r="V1435" s="77">
        <v>20</v>
      </c>
      <c r="W1435" s="82" t="s">
        <v>5789</v>
      </c>
      <c r="X1435" s="77"/>
      <c r="Y1435" s="77"/>
      <c r="Z1435" s="77"/>
      <c r="AA1435" s="77" t="s">
        <v>8102</v>
      </c>
      <c r="AB1435" s="77" t="s">
        <v>10130</v>
      </c>
      <c r="AC1435" s="82" t="s">
        <v>10147</v>
      </c>
      <c r="AD1435" s="77" t="s">
        <v>10184</v>
      </c>
      <c r="AE1435" s="80" t="str">
        <f>HYPERLINK("https://twitter.com/folheadosana/status/1629451290416668673")</f>
        <v>https://twitter.com/folheadosana/status/1629451290416668673</v>
      </c>
      <c r="AF1435" s="79">
        <v>44982.500416666669</v>
      </c>
      <c r="AG1435" s="85">
        <v>44982</v>
      </c>
      <c r="AH1435" s="82" t="s">
        <v>11575</v>
      </c>
      <c r="AI1435" s="77" t="b">
        <v>0</v>
      </c>
      <c r="AJ1435" s="77"/>
      <c r="AK1435" s="77"/>
      <c r="AL1435" s="77"/>
      <c r="AM1435" s="77"/>
      <c r="AN1435" s="77"/>
      <c r="AO1435" s="77"/>
      <c r="AP1435" s="77"/>
      <c r="AQ1435" s="77" t="s">
        <v>14746</v>
      </c>
      <c r="AR1435" s="77"/>
      <c r="AS1435" s="77"/>
      <c r="AT1435" s="77"/>
      <c r="AU1435" s="77"/>
      <c r="AV1435" s="80" t="str">
        <f>HYPERLINK("https://pbs.twimg.com/media/Fpz5T7iWIAEGfrB.jpg")</f>
        <v>https://pbs.twimg.com/media/Fpz5T7iWIAEGfrB.jpg</v>
      </c>
      <c r="AW1435" s="82" t="s">
        <v>18208</v>
      </c>
      <c r="AX1435" s="82" t="s">
        <v>18208</v>
      </c>
      <c r="AY1435" s="77"/>
      <c r="AZ1435" s="82" t="s">
        <v>20971</v>
      </c>
      <c r="BA1435" s="82" t="s">
        <v>20971</v>
      </c>
      <c r="BB1435" s="82" t="s">
        <v>20971</v>
      </c>
      <c r="BC1435" s="82" t="s">
        <v>18208</v>
      </c>
      <c r="BD1435" s="82" t="s">
        <v>21256</v>
      </c>
      <c r="BE1435" s="77"/>
      <c r="BF1435" s="77"/>
      <c r="BG1435" s="77"/>
      <c r="BH1435" s="77"/>
      <c r="BI1435" s="77"/>
    </row>
    <row r="1436" spans="1:61" x14ac:dyDescent="0.25">
      <c r="A1436" s="62" t="s">
        <v>554</v>
      </c>
      <c r="B1436" s="62" t="s">
        <v>554</v>
      </c>
      <c r="C1436" s="63"/>
      <c r="D1436" s="64"/>
      <c r="E1436" s="65"/>
      <c r="F1436" s="66"/>
      <c r="G1436" s="63"/>
      <c r="H1436" s="67"/>
      <c r="I1436" s="68"/>
      <c r="J1436" s="68"/>
      <c r="K1436" s="32"/>
      <c r="L1436" s="75">
        <v>1436</v>
      </c>
      <c r="M1436" s="75"/>
      <c r="N1436" s="70"/>
      <c r="O1436" s="77" t="s">
        <v>179</v>
      </c>
      <c r="P1436" s="79">
        <v>44981.792025462964</v>
      </c>
      <c r="Q1436" s="77" t="s">
        <v>2680</v>
      </c>
      <c r="R1436" s="77">
        <v>0</v>
      </c>
      <c r="S1436" s="77">
        <v>0</v>
      </c>
      <c r="T1436" s="77">
        <v>0</v>
      </c>
      <c r="U1436" s="77">
        <v>0</v>
      </c>
      <c r="V1436" s="77">
        <v>23</v>
      </c>
      <c r="W1436" s="82" t="s">
        <v>5787</v>
      </c>
      <c r="X1436" s="77"/>
      <c r="Y1436" s="77"/>
      <c r="Z1436" s="77"/>
      <c r="AA1436" s="77" t="s">
        <v>8103</v>
      </c>
      <c r="AB1436" s="77" t="s">
        <v>10130</v>
      </c>
      <c r="AC1436" s="82" t="s">
        <v>10147</v>
      </c>
      <c r="AD1436" s="77" t="s">
        <v>10184</v>
      </c>
      <c r="AE1436" s="80" t="str">
        <f>HYPERLINK("https://twitter.com/folheadosana/status/1629194581966290954")</f>
        <v>https://twitter.com/folheadosana/status/1629194581966290954</v>
      </c>
      <c r="AF1436" s="79">
        <v>44981.792025462964</v>
      </c>
      <c r="AG1436" s="85">
        <v>44981</v>
      </c>
      <c r="AH1436" s="82" t="s">
        <v>11576</v>
      </c>
      <c r="AI1436" s="77" t="b">
        <v>0</v>
      </c>
      <c r="AJ1436" s="77"/>
      <c r="AK1436" s="77"/>
      <c r="AL1436" s="77"/>
      <c r="AM1436" s="77"/>
      <c r="AN1436" s="77"/>
      <c r="AO1436" s="77"/>
      <c r="AP1436" s="77"/>
      <c r="AQ1436" s="77" t="s">
        <v>14747</v>
      </c>
      <c r="AR1436" s="77"/>
      <c r="AS1436" s="77"/>
      <c r="AT1436" s="77"/>
      <c r="AU1436" s="77"/>
      <c r="AV1436" s="80" t="str">
        <f>HYPERLINK("https://pbs.twimg.com/media/FpwP1nuXwAAIfPg.jpg")</f>
        <v>https://pbs.twimg.com/media/FpwP1nuXwAAIfPg.jpg</v>
      </c>
      <c r="AW1436" s="82" t="s">
        <v>18209</v>
      </c>
      <c r="AX1436" s="82" t="s">
        <v>18209</v>
      </c>
      <c r="AY1436" s="77"/>
      <c r="AZ1436" s="82" t="s">
        <v>20971</v>
      </c>
      <c r="BA1436" s="82" t="s">
        <v>20971</v>
      </c>
      <c r="BB1436" s="82" t="s">
        <v>20971</v>
      </c>
      <c r="BC1436" s="82" t="s">
        <v>18209</v>
      </c>
      <c r="BD1436" s="82" t="s">
        <v>21256</v>
      </c>
      <c r="BE1436" s="77"/>
      <c r="BF1436" s="77"/>
      <c r="BG1436" s="77"/>
      <c r="BH1436" s="77"/>
      <c r="BI1436" s="77"/>
    </row>
    <row r="1437" spans="1:61" x14ac:dyDescent="0.25">
      <c r="A1437" s="62" t="s">
        <v>554</v>
      </c>
      <c r="B1437" s="62" t="s">
        <v>554</v>
      </c>
      <c r="C1437" s="63"/>
      <c r="D1437" s="64"/>
      <c r="E1437" s="65"/>
      <c r="F1437" s="66"/>
      <c r="G1437" s="63"/>
      <c r="H1437" s="67"/>
      <c r="I1437" s="68"/>
      <c r="J1437" s="68"/>
      <c r="K1437" s="32"/>
      <c r="L1437" s="75">
        <v>1437</v>
      </c>
      <c r="M1437" s="75"/>
      <c r="N1437" s="70"/>
      <c r="O1437" s="77" t="s">
        <v>179</v>
      </c>
      <c r="P1437" s="79">
        <v>44981.500347222223</v>
      </c>
      <c r="Q1437" s="77" t="s">
        <v>2681</v>
      </c>
      <c r="R1437" s="77">
        <v>0</v>
      </c>
      <c r="S1437" s="77">
        <v>0</v>
      </c>
      <c r="T1437" s="77">
        <v>0</v>
      </c>
      <c r="U1437" s="77">
        <v>0</v>
      </c>
      <c r="V1437" s="77">
        <v>16</v>
      </c>
      <c r="W1437" s="82" t="s">
        <v>5787</v>
      </c>
      <c r="X1437" s="77"/>
      <c r="Y1437" s="77"/>
      <c r="Z1437" s="77"/>
      <c r="AA1437" s="77" t="s">
        <v>8104</v>
      </c>
      <c r="AB1437" s="77" t="s">
        <v>10130</v>
      </c>
      <c r="AC1437" s="82" t="s">
        <v>10147</v>
      </c>
      <c r="AD1437" s="77" t="s">
        <v>10184</v>
      </c>
      <c r="AE1437" s="80" t="str">
        <f>HYPERLINK("https://twitter.com/folheadosana/status/1629088879981604864")</f>
        <v>https://twitter.com/folheadosana/status/1629088879981604864</v>
      </c>
      <c r="AF1437" s="79">
        <v>44981.500347222223</v>
      </c>
      <c r="AG1437" s="85">
        <v>44981</v>
      </c>
      <c r="AH1437" s="82" t="s">
        <v>11577</v>
      </c>
      <c r="AI1437" s="77" t="b">
        <v>0</v>
      </c>
      <c r="AJ1437" s="77"/>
      <c r="AK1437" s="77"/>
      <c r="AL1437" s="77"/>
      <c r="AM1437" s="77"/>
      <c r="AN1437" s="77"/>
      <c r="AO1437" s="77"/>
      <c r="AP1437" s="77"/>
      <c r="AQ1437" s="77" t="s">
        <v>14748</v>
      </c>
      <c r="AR1437" s="77"/>
      <c r="AS1437" s="77"/>
      <c r="AT1437" s="77"/>
      <c r="AU1437" s="77"/>
      <c r="AV1437" s="80" t="str">
        <f>HYPERLINK("https://pbs.twimg.com/media/Fpuvs_cWYAEMDh7.jpg")</f>
        <v>https://pbs.twimg.com/media/Fpuvs_cWYAEMDh7.jpg</v>
      </c>
      <c r="AW1437" s="82" t="s">
        <v>18210</v>
      </c>
      <c r="AX1437" s="82" t="s">
        <v>18210</v>
      </c>
      <c r="AY1437" s="77"/>
      <c r="AZ1437" s="82" t="s">
        <v>20971</v>
      </c>
      <c r="BA1437" s="82" t="s">
        <v>20971</v>
      </c>
      <c r="BB1437" s="82" t="s">
        <v>20971</v>
      </c>
      <c r="BC1437" s="82" t="s">
        <v>18210</v>
      </c>
      <c r="BD1437" s="82" t="s">
        <v>21256</v>
      </c>
      <c r="BE1437" s="77"/>
      <c r="BF1437" s="77"/>
      <c r="BG1437" s="77"/>
      <c r="BH1437" s="77"/>
      <c r="BI1437" s="77"/>
    </row>
    <row r="1438" spans="1:61" x14ac:dyDescent="0.25">
      <c r="A1438" s="62" t="s">
        <v>554</v>
      </c>
      <c r="B1438" s="62" t="s">
        <v>554</v>
      </c>
      <c r="C1438" s="63"/>
      <c r="D1438" s="64"/>
      <c r="E1438" s="65"/>
      <c r="F1438" s="66"/>
      <c r="G1438" s="63"/>
      <c r="H1438" s="67"/>
      <c r="I1438" s="68"/>
      <c r="J1438" s="68"/>
      <c r="K1438" s="32"/>
      <c r="L1438" s="75">
        <v>1438</v>
      </c>
      <c r="M1438" s="75"/>
      <c r="N1438" s="70"/>
      <c r="O1438" s="77" t="s">
        <v>179</v>
      </c>
      <c r="P1438" s="79">
        <v>44974.97928240741</v>
      </c>
      <c r="Q1438" s="77" t="s">
        <v>2682</v>
      </c>
      <c r="R1438" s="77">
        <v>0</v>
      </c>
      <c r="S1438" s="77">
        <v>0</v>
      </c>
      <c r="T1438" s="77">
        <v>0</v>
      </c>
      <c r="U1438" s="77">
        <v>0</v>
      </c>
      <c r="V1438" s="77">
        <v>25</v>
      </c>
      <c r="W1438" s="82" t="s">
        <v>5787</v>
      </c>
      <c r="X1438" s="77"/>
      <c r="Y1438" s="77"/>
      <c r="Z1438" s="77"/>
      <c r="AA1438" s="77" t="s">
        <v>8105</v>
      </c>
      <c r="AB1438" s="77" t="s">
        <v>10130</v>
      </c>
      <c r="AC1438" s="82" t="s">
        <v>10147</v>
      </c>
      <c r="AD1438" s="77" t="s">
        <v>10184</v>
      </c>
      <c r="AE1438" s="80" t="str">
        <f>HYPERLINK("https://twitter.com/folheadosana/status/1626725724068478976")</f>
        <v>https://twitter.com/folheadosana/status/1626725724068478976</v>
      </c>
      <c r="AF1438" s="79">
        <v>44974.97928240741</v>
      </c>
      <c r="AG1438" s="85">
        <v>44974</v>
      </c>
      <c r="AH1438" s="82" t="s">
        <v>11578</v>
      </c>
      <c r="AI1438" s="77" t="b">
        <v>0</v>
      </c>
      <c r="AJ1438" s="77"/>
      <c r="AK1438" s="77"/>
      <c r="AL1438" s="77"/>
      <c r="AM1438" s="77"/>
      <c r="AN1438" s="77"/>
      <c r="AO1438" s="77"/>
      <c r="AP1438" s="77"/>
      <c r="AQ1438" s="77" t="s">
        <v>14749</v>
      </c>
      <c r="AR1438" s="77"/>
      <c r="AS1438" s="77"/>
      <c r="AT1438" s="77"/>
      <c r="AU1438" s="77"/>
      <c r="AV1438" s="80" t="str">
        <f>HYPERLINK("https://pbs.twimg.com/media/FpNKbLjXEAEjC0B.jpg")</f>
        <v>https://pbs.twimg.com/media/FpNKbLjXEAEjC0B.jpg</v>
      </c>
      <c r="AW1438" s="82" t="s">
        <v>18211</v>
      </c>
      <c r="AX1438" s="82" t="s">
        <v>18211</v>
      </c>
      <c r="AY1438" s="77"/>
      <c r="AZ1438" s="82" t="s">
        <v>20971</v>
      </c>
      <c r="BA1438" s="82" t="s">
        <v>20971</v>
      </c>
      <c r="BB1438" s="82" t="s">
        <v>20971</v>
      </c>
      <c r="BC1438" s="82" t="s">
        <v>18211</v>
      </c>
      <c r="BD1438" s="82" t="s">
        <v>21256</v>
      </c>
      <c r="BE1438" s="77"/>
      <c r="BF1438" s="77"/>
      <c r="BG1438" s="77"/>
      <c r="BH1438" s="77"/>
      <c r="BI1438" s="77"/>
    </row>
    <row r="1439" spans="1:61" x14ac:dyDescent="0.25">
      <c r="A1439" s="62" t="s">
        <v>554</v>
      </c>
      <c r="B1439" s="62" t="s">
        <v>554</v>
      </c>
      <c r="C1439" s="63"/>
      <c r="D1439" s="64"/>
      <c r="E1439" s="65"/>
      <c r="F1439" s="66"/>
      <c r="G1439" s="63"/>
      <c r="H1439" s="67"/>
      <c r="I1439" s="68"/>
      <c r="J1439" s="68"/>
      <c r="K1439" s="32"/>
      <c r="L1439" s="75">
        <v>1439</v>
      </c>
      <c r="M1439" s="75"/>
      <c r="N1439" s="70"/>
      <c r="O1439" s="77" t="s">
        <v>179</v>
      </c>
      <c r="P1439" s="79">
        <v>44974.771180555559</v>
      </c>
      <c r="Q1439" s="77" t="s">
        <v>2683</v>
      </c>
      <c r="R1439" s="77">
        <v>0</v>
      </c>
      <c r="S1439" s="77">
        <v>0</v>
      </c>
      <c r="T1439" s="77">
        <v>0</v>
      </c>
      <c r="U1439" s="77">
        <v>0</v>
      </c>
      <c r="V1439" s="77">
        <v>20</v>
      </c>
      <c r="W1439" s="82" t="s">
        <v>5787</v>
      </c>
      <c r="X1439" s="77"/>
      <c r="Y1439" s="77"/>
      <c r="Z1439" s="77"/>
      <c r="AA1439" s="77" t="s">
        <v>8106</v>
      </c>
      <c r="AB1439" s="77" t="s">
        <v>10130</v>
      </c>
      <c r="AC1439" s="82" t="s">
        <v>10147</v>
      </c>
      <c r="AD1439" s="77" t="s">
        <v>10184</v>
      </c>
      <c r="AE1439" s="80" t="str">
        <f>HYPERLINK("https://twitter.com/folheadosana/status/1626650311178784769")</f>
        <v>https://twitter.com/folheadosana/status/1626650311178784769</v>
      </c>
      <c r="AF1439" s="79">
        <v>44974.771180555559</v>
      </c>
      <c r="AG1439" s="85">
        <v>44974</v>
      </c>
      <c r="AH1439" s="82" t="s">
        <v>11579</v>
      </c>
      <c r="AI1439" s="77" t="b">
        <v>0</v>
      </c>
      <c r="AJ1439" s="77"/>
      <c r="AK1439" s="77"/>
      <c r="AL1439" s="77"/>
      <c r="AM1439" s="77"/>
      <c r="AN1439" s="77"/>
      <c r="AO1439" s="77"/>
      <c r="AP1439" s="77"/>
      <c r="AQ1439" s="77" t="s">
        <v>14750</v>
      </c>
      <c r="AR1439" s="77"/>
      <c r="AS1439" s="77"/>
      <c r="AT1439" s="77"/>
      <c r="AU1439" s="77"/>
      <c r="AV1439" s="80" t="str">
        <f>HYPERLINK("https://pbs.twimg.com/media/FpMF1nDXEAAwfQw.jpg")</f>
        <v>https://pbs.twimg.com/media/FpMF1nDXEAAwfQw.jpg</v>
      </c>
      <c r="AW1439" s="82" t="s">
        <v>18212</v>
      </c>
      <c r="AX1439" s="82" t="s">
        <v>18212</v>
      </c>
      <c r="AY1439" s="77"/>
      <c r="AZ1439" s="82" t="s">
        <v>20971</v>
      </c>
      <c r="BA1439" s="82" t="s">
        <v>20971</v>
      </c>
      <c r="BB1439" s="82" t="s">
        <v>20971</v>
      </c>
      <c r="BC1439" s="82" t="s">
        <v>18212</v>
      </c>
      <c r="BD1439" s="82" t="s">
        <v>21256</v>
      </c>
      <c r="BE1439" s="77"/>
      <c r="BF1439" s="77"/>
      <c r="BG1439" s="77"/>
      <c r="BH1439" s="77"/>
      <c r="BI1439" s="77"/>
    </row>
    <row r="1440" spans="1:61" x14ac:dyDescent="0.25">
      <c r="A1440" s="62" t="s">
        <v>554</v>
      </c>
      <c r="B1440" s="62" t="s">
        <v>554</v>
      </c>
      <c r="C1440" s="63"/>
      <c r="D1440" s="64"/>
      <c r="E1440" s="65"/>
      <c r="F1440" s="66"/>
      <c r="G1440" s="63"/>
      <c r="H1440" s="67"/>
      <c r="I1440" s="68"/>
      <c r="J1440" s="68"/>
      <c r="K1440" s="32"/>
      <c r="L1440" s="75">
        <v>1440</v>
      </c>
      <c r="M1440" s="75"/>
      <c r="N1440" s="70"/>
      <c r="O1440" s="77" t="s">
        <v>179</v>
      </c>
      <c r="P1440" s="79">
        <v>44974.500347222223</v>
      </c>
      <c r="Q1440" s="77" t="s">
        <v>2684</v>
      </c>
      <c r="R1440" s="77">
        <v>0</v>
      </c>
      <c r="S1440" s="77">
        <v>0</v>
      </c>
      <c r="T1440" s="77">
        <v>0</v>
      </c>
      <c r="U1440" s="77">
        <v>0</v>
      </c>
      <c r="V1440" s="77">
        <v>21</v>
      </c>
      <c r="W1440" s="82" t="s">
        <v>5787</v>
      </c>
      <c r="X1440" s="77"/>
      <c r="Y1440" s="77"/>
      <c r="Z1440" s="77"/>
      <c r="AA1440" s="77" t="s">
        <v>8107</v>
      </c>
      <c r="AB1440" s="77" t="s">
        <v>10130</v>
      </c>
      <c r="AC1440" s="82" t="s">
        <v>10147</v>
      </c>
      <c r="AD1440" s="77" t="s">
        <v>10184</v>
      </c>
      <c r="AE1440" s="80" t="str">
        <f>HYPERLINK("https://twitter.com/folheadosana/status/1626552162229657602")</f>
        <v>https://twitter.com/folheadosana/status/1626552162229657602</v>
      </c>
      <c r="AF1440" s="79">
        <v>44974.500347222223</v>
      </c>
      <c r="AG1440" s="85">
        <v>44974</v>
      </c>
      <c r="AH1440" s="82" t="s">
        <v>11577</v>
      </c>
      <c r="AI1440" s="77" t="b">
        <v>0</v>
      </c>
      <c r="AJ1440" s="77"/>
      <c r="AK1440" s="77"/>
      <c r="AL1440" s="77"/>
      <c r="AM1440" s="77"/>
      <c r="AN1440" s="77"/>
      <c r="AO1440" s="77"/>
      <c r="AP1440" s="77"/>
      <c r="AQ1440" s="77" t="s">
        <v>14751</v>
      </c>
      <c r="AR1440" s="77"/>
      <c r="AS1440" s="77"/>
      <c r="AT1440" s="77"/>
      <c r="AU1440" s="77"/>
      <c r="AV1440" s="80" t="str">
        <f>HYPERLINK("https://pbs.twimg.com/media/FpKskmjX0AEbJFg.jpg")</f>
        <v>https://pbs.twimg.com/media/FpKskmjX0AEbJFg.jpg</v>
      </c>
      <c r="AW1440" s="82" t="s">
        <v>18213</v>
      </c>
      <c r="AX1440" s="82" t="s">
        <v>18213</v>
      </c>
      <c r="AY1440" s="77"/>
      <c r="AZ1440" s="82" t="s">
        <v>20971</v>
      </c>
      <c r="BA1440" s="82" t="s">
        <v>20971</v>
      </c>
      <c r="BB1440" s="82" t="s">
        <v>20971</v>
      </c>
      <c r="BC1440" s="82" t="s">
        <v>18213</v>
      </c>
      <c r="BD1440" s="82" t="s">
        <v>21256</v>
      </c>
      <c r="BE1440" s="77"/>
      <c r="BF1440" s="77"/>
      <c r="BG1440" s="77"/>
      <c r="BH1440" s="77"/>
      <c r="BI1440" s="77"/>
    </row>
    <row r="1441" spans="1:61" x14ac:dyDescent="0.25">
      <c r="A1441" s="62" t="s">
        <v>554</v>
      </c>
      <c r="B1441" s="62" t="s">
        <v>554</v>
      </c>
      <c r="C1441" s="63"/>
      <c r="D1441" s="64"/>
      <c r="E1441" s="65"/>
      <c r="F1441" s="66"/>
      <c r="G1441" s="63"/>
      <c r="H1441" s="67"/>
      <c r="I1441" s="68"/>
      <c r="J1441" s="68"/>
      <c r="K1441" s="32"/>
      <c r="L1441" s="75">
        <v>1441</v>
      </c>
      <c r="M1441" s="75"/>
      <c r="N1441" s="70"/>
      <c r="O1441" s="77" t="s">
        <v>179</v>
      </c>
      <c r="P1441" s="79">
        <v>44973.896053240744</v>
      </c>
      <c r="Q1441" s="77" t="s">
        <v>2685</v>
      </c>
      <c r="R1441" s="77">
        <v>0</v>
      </c>
      <c r="S1441" s="77">
        <v>0</v>
      </c>
      <c r="T1441" s="77">
        <v>0</v>
      </c>
      <c r="U1441" s="77">
        <v>0</v>
      </c>
      <c r="V1441" s="77">
        <v>22</v>
      </c>
      <c r="W1441" s="82" t="s">
        <v>5787</v>
      </c>
      <c r="X1441" s="77"/>
      <c r="Y1441" s="77"/>
      <c r="Z1441" s="77"/>
      <c r="AA1441" s="77" t="s">
        <v>8108</v>
      </c>
      <c r="AB1441" s="77" t="s">
        <v>10132</v>
      </c>
      <c r="AC1441" s="82" t="s">
        <v>10147</v>
      </c>
      <c r="AD1441" s="77" t="s">
        <v>10184</v>
      </c>
      <c r="AE1441" s="80" t="str">
        <f>HYPERLINK("https://twitter.com/folheadosana/status/1626333173926793217")</f>
        <v>https://twitter.com/folheadosana/status/1626333173926793217</v>
      </c>
      <c r="AF1441" s="79">
        <v>44973.896053240744</v>
      </c>
      <c r="AG1441" s="85">
        <v>44973</v>
      </c>
      <c r="AH1441" s="82" t="s">
        <v>11580</v>
      </c>
      <c r="AI1441" s="77" t="b">
        <v>0</v>
      </c>
      <c r="AJ1441" s="77"/>
      <c r="AK1441" s="77"/>
      <c r="AL1441" s="77"/>
      <c r="AM1441" s="77"/>
      <c r="AN1441" s="77"/>
      <c r="AO1441" s="77"/>
      <c r="AP1441" s="77"/>
      <c r="AQ1441" s="77" t="s">
        <v>14752</v>
      </c>
      <c r="AR1441" s="77"/>
      <c r="AS1441" s="77"/>
      <c r="AT1441" s="77"/>
      <c r="AU1441" s="77"/>
      <c r="AV1441" s="80" t="str">
        <f>HYPERLINK("https://pbs.twimg.com/media/FpHlZuEWIAArpAk.jpg")</f>
        <v>https://pbs.twimg.com/media/FpHlZuEWIAArpAk.jpg</v>
      </c>
      <c r="AW1441" s="82" t="s">
        <v>18214</v>
      </c>
      <c r="AX1441" s="82" t="s">
        <v>18214</v>
      </c>
      <c r="AY1441" s="77"/>
      <c r="AZ1441" s="82" t="s">
        <v>20971</v>
      </c>
      <c r="BA1441" s="82" t="s">
        <v>20971</v>
      </c>
      <c r="BB1441" s="82" t="s">
        <v>20971</v>
      </c>
      <c r="BC1441" s="82" t="s">
        <v>18214</v>
      </c>
      <c r="BD1441" s="82" t="s">
        <v>21256</v>
      </c>
      <c r="BE1441" s="77"/>
      <c r="BF1441" s="77"/>
      <c r="BG1441" s="77"/>
      <c r="BH1441" s="77"/>
      <c r="BI1441" s="77"/>
    </row>
    <row r="1442" spans="1:61" x14ac:dyDescent="0.25">
      <c r="A1442" s="62" t="s">
        <v>554</v>
      </c>
      <c r="B1442" s="62" t="s">
        <v>554</v>
      </c>
      <c r="C1442" s="63"/>
      <c r="D1442" s="64"/>
      <c r="E1442" s="65"/>
      <c r="F1442" s="66"/>
      <c r="G1442" s="63"/>
      <c r="H1442" s="67"/>
      <c r="I1442" s="68"/>
      <c r="J1442" s="68"/>
      <c r="K1442" s="32"/>
      <c r="L1442" s="75">
        <v>1442</v>
      </c>
      <c r="M1442" s="75"/>
      <c r="N1442" s="70"/>
      <c r="O1442" s="77" t="s">
        <v>179</v>
      </c>
      <c r="P1442" s="79">
        <v>44973.667002314818</v>
      </c>
      <c r="Q1442" s="77" t="s">
        <v>2686</v>
      </c>
      <c r="R1442" s="77">
        <v>0</v>
      </c>
      <c r="S1442" s="77">
        <v>0</v>
      </c>
      <c r="T1442" s="77">
        <v>0</v>
      </c>
      <c r="U1442" s="77">
        <v>0</v>
      </c>
      <c r="V1442" s="77">
        <v>18</v>
      </c>
      <c r="W1442" s="82" t="s">
        <v>5787</v>
      </c>
      <c r="X1442" s="77"/>
      <c r="Y1442" s="77"/>
      <c r="Z1442" s="77"/>
      <c r="AA1442" s="77" t="s">
        <v>8109</v>
      </c>
      <c r="AB1442" s="77" t="s">
        <v>10130</v>
      </c>
      <c r="AC1442" s="82" t="s">
        <v>10147</v>
      </c>
      <c r="AD1442" s="77" t="s">
        <v>10184</v>
      </c>
      <c r="AE1442" s="80" t="str">
        <f>HYPERLINK("https://twitter.com/folheadosana/status/1626250171133616135")</f>
        <v>https://twitter.com/folheadosana/status/1626250171133616135</v>
      </c>
      <c r="AF1442" s="79">
        <v>44973.667002314818</v>
      </c>
      <c r="AG1442" s="85">
        <v>44973</v>
      </c>
      <c r="AH1442" s="82" t="s">
        <v>10627</v>
      </c>
      <c r="AI1442" s="77" t="b">
        <v>0</v>
      </c>
      <c r="AJ1442" s="77"/>
      <c r="AK1442" s="77"/>
      <c r="AL1442" s="77"/>
      <c r="AM1442" s="77"/>
      <c r="AN1442" s="77"/>
      <c r="AO1442" s="77"/>
      <c r="AP1442" s="77"/>
      <c r="AQ1442" s="77" t="s">
        <v>14753</v>
      </c>
      <c r="AR1442" s="77"/>
      <c r="AS1442" s="77"/>
      <c r="AT1442" s="77"/>
      <c r="AU1442" s="77"/>
      <c r="AV1442" s="80" t="str">
        <f>HYPERLINK("https://pbs.twimg.com/media/FpGZ6OUaAAE9bR0.jpg")</f>
        <v>https://pbs.twimg.com/media/FpGZ6OUaAAE9bR0.jpg</v>
      </c>
      <c r="AW1442" s="82" t="s">
        <v>18215</v>
      </c>
      <c r="AX1442" s="82" t="s">
        <v>18215</v>
      </c>
      <c r="AY1442" s="77"/>
      <c r="AZ1442" s="82" t="s">
        <v>20971</v>
      </c>
      <c r="BA1442" s="82" t="s">
        <v>20971</v>
      </c>
      <c r="BB1442" s="82" t="s">
        <v>20971</v>
      </c>
      <c r="BC1442" s="82" t="s">
        <v>18215</v>
      </c>
      <c r="BD1442" s="82" t="s">
        <v>21256</v>
      </c>
      <c r="BE1442" s="77"/>
      <c r="BF1442" s="77"/>
      <c r="BG1442" s="77"/>
      <c r="BH1442" s="77"/>
      <c r="BI1442" s="77"/>
    </row>
    <row r="1443" spans="1:61" x14ac:dyDescent="0.25">
      <c r="A1443" s="62" t="s">
        <v>554</v>
      </c>
      <c r="B1443" s="62" t="s">
        <v>554</v>
      </c>
      <c r="C1443" s="63"/>
      <c r="D1443" s="64"/>
      <c r="E1443" s="65"/>
      <c r="F1443" s="66"/>
      <c r="G1443" s="63"/>
      <c r="H1443" s="67"/>
      <c r="I1443" s="68"/>
      <c r="J1443" s="68"/>
      <c r="K1443" s="32"/>
      <c r="L1443" s="75">
        <v>1443</v>
      </c>
      <c r="M1443" s="75"/>
      <c r="N1443" s="70"/>
      <c r="O1443" s="77" t="s">
        <v>179</v>
      </c>
      <c r="P1443" s="79">
        <v>44973.625405092593</v>
      </c>
      <c r="Q1443" s="77" t="s">
        <v>2687</v>
      </c>
      <c r="R1443" s="77">
        <v>0</v>
      </c>
      <c r="S1443" s="77">
        <v>0</v>
      </c>
      <c r="T1443" s="77">
        <v>0</v>
      </c>
      <c r="U1443" s="77">
        <v>0</v>
      </c>
      <c r="V1443" s="77">
        <v>15</v>
      </c>
      <c r="W1443" s="82" t="s">
        <v>5787</v>
      </c>
      <c r="X1443" s="77"/>
      <c r="Y1443" s="77"/>
      <c r="Z1443" s="77"/>
      <c r="AA1443" s="77" t="s">
        <v>8110</v>
      </c>
      <c r="AB1443" s="77" t="s">
        <v>10130</v>
      </c>
      <c r="AC1443" s="82" t="s">
        <v>10147</v>
      </c>
      <c r="AD1443" s="77" t="s">
        <v>10184</v>
      </c>
      <c r="AE1443" s="80" t="str">
        <f>HYPERLINK("https://twitter.com/folheadosana/status/1626235096075476997")</f>
        <v>https://twitter.com/folheadosana/status/1626235096075476997</v>
      </c>
      <c r="AF1443" s="79">
        <v>44973.625405092593</v>
      </c>
      <c r="AG1443" s="85">
        <v>44973</v>
      </c>
      <c r="AH1443" s="82" t="s">
        <v>11581</v>
      </c>
      <c r="AI1443" s="77" t="b">
        <v>0</v>
      </c>
      <c r="AJ1443" s="77"/>
      <c r="AK1443" s="77"/>
      <c r="AL1443" s="77"/>
      <c r="AM1443" s="77"/>
      <c r="AN1443" s="77"/>
      <c r="AO1443" s="77"/>
      <c r="AP1443" s="77"/>
      <c r="AQ1443" s="77" t="s">
        <v>14754</v>
      </c>
      <c r="AR1443" s="77"/>
      <c r="AS1443" s="77"/>
      <c r="AT1443" s="77"/>
      <c r="AU1443" s="77"/>
      <c r="AV1443" s="80" t="str">
        <f>HYPERLINK("https://pbs.twimg.com/media/FpGMMsMacAIEQLN.jpg")</f>
        <v>https://pbs.twimg.com/media/FpGMMsMacAIEQLN.jpg</v>
      </c>
      <c r="AW1443" s="82" t="s">
        <v>18216</v>
      </c>
      <c r="AX1443" s="82" t="s">
        <v>18216</v>
      </c>
      <c r="AY1443" s="77"/>
      <c r="AZ1443" s="82" t="s">
        <v>20971</v>
      </c>
      <c r="BA1443" s="82" t="s">
        <v>20971</v>
      </c>
      <c r="BB1443" s="82" t="s">
        <v>20971</v>
      </c>
      <c r="BC1443" s="82" t="s">
        <v>18216</v>
      </c>
      <c r="BD1443" s="82" t="s">
        <v>21256</v>
      </c>
      <c r="BE1443" s="77"/>
      <c r="BF1443" s="77"/>
      <c r="BG1443" s="77"/>
      <c r="BH1443" s="77"/>
      <c r="BI1443" s="77"/>
    </row>
    <row r="1444" spans="1:61" x14ac:dyDescent="0.25">
      <c r="A1444" s="62" t="s">
        <v>554</v>
      </c>
      <c r="B1444" s="62" t="s">
        <v>554</v>
      </c>
      <c r="C1444" s="63"/>
      <c r="D1444" s="64"/>
      <c r="E1444" s="65"/>
      <c r="F1444" s="66"/>
      <c r="G1444" s="63"/>
      <c r="H1444" s="67"/>
      <c r="I1444" s="68"/>
      <c r="J1444" s="68"/>
      <c r="K1444" s="32"/>
      <c r="L1444" s="75">
        <v>1444</v>
      </c>
      <c r="M1444" s="75"/>
      <c r="N1444" s="70"/>
      <c r="O1444" s="77" t="s">
        <v>179</v>
      </c>
      <c r="P1444" s="79">
        <v>44972.771620370368</v>
      </c>
      <c r="Q1444" s="77" t="s">
        <v>2688</v>
      </c>
      <c r="R1444" s="77">
        <v>0</v>
      </c>
      <c r="S1444" s="77">
        <v>0</v>
      </c>
      <c r="T1444" s="77">
        <v>0</v>
      </c>
      <c r="U1444" s="77">
        <v>0</v>
      </c>
      <c r="V1444" s="77">
        <v>14</v>
      </c>
      <c r="W1444" s="82" t="s">
        <v>5790</v>
      </c>
      <c r="X1444" s="77"/>
      <c r="Y1444" s="77"/>
      <c r="Z1444" s="77"/>
      <c r="AA1444" s="77" t="s">
        <v>8111</v>
      </c>
      <c r="AB1444" s="77" t="s">
        <v>10130</v>
      </c>
      <c r="AC1444" s="82" t="s">
        <v>10147</v>
      </c>
      <c r="AD1444" s="77" t="s">
        <v>10185</v>
      </c>
      <c r="AE1444" s="80" t="str">
        <f>HYPERLINK("https://twitter.com/folheadosana/status/1625925696609480704")</f>
        <v>https://twitter.com/folheadosana/status/1625925696609480704</v>
      </c>
      <c r="AF1444" s="79">
        <v>44972.771620370368</v>
      </c>
      <c r="AG1444" s="85">
        <v>44972</v>
      </c>
      <c r="AH1444" s="82" t="s">
        <v>11582</v>
      </c>
      <c r="AI1444" s="77" t="b">
        <v>0</v>
      </c>
      <c r="AJ1444" s="77"/>
      <c r="AK1444" s="77"/>
      <c r="AL1444" s="77"/>
      <c r="AM1444" s="77"/>
      <c r="AN1444" s="77"/>
      <c r="AO1444" s="77"/>
      <c r="AP1444" s="77"/>
      <c r="AQ1444" s="77" t="s">
        <v>14755</v>
      </c>
      <c r="AR1444" s="77"/>
      <c r="AS1444" s="77"/>
      <c r="AT1444" s="77"/>
      <c r="AU1444" s="77"/>
      <c r="AV1444" s="80" t="str">
        <f>HYPERLINK("https://pbs.twimg.com/media/FpByze1WAAUqgFv.jpg")</f>
        <v>https://pbs.twimg.com/media/FpByze1WAAUqgFv.jpg</v>
      </c>
      <c r="AW1444" s="82" t="s">
        <v>18217</v>
      </c>
      <c r="AX1444" s="82" t="s">
        <v>18217</v>
      </c>
      <c r="AY1444" s="77"/>
      <c r="AZ1444" s="82" t="s">
        <v>20971</v>
      </c>
      <c r="BA1444" s="82" t="s">
        <v>20971</v>
      </c>
      <c r="BB1444" s="82" t="s">
        <v>20971</v>
      </c>
      <c r="BC1444" s="82" t="s">
        <v>18217</v>
      </c>
      <c r="BD1444" s="82" t="s">
        <v>21256</v>
      </c>
      <c r="BE1444" s="77"/>
      <c r="BF1444" s="77"/>
      <c r="BG1444" s="77"/>
      <c r="BH1444" s="77"/>
      <c r="BI1444" s="77"/>
    </row>
    <row r="1445" spans="1:61" x14ac:dyDescent="0.25">
      <c r="A1445" s="62" t="s">
        <v>554</v>
      </c>
      <c r="B1445" s="62" t="s">
        <v>554</v>
      </c>
      <c r="C1445" s="63"/>
      <c r="D1445" s="64"/>
      <c r="E1445" s="65"/>
      <c r="F1445" s="66"/>
      <c r="G1445" s="63"/>
      <c r="H1445" s="67"/>
      <c r="I1445" s="68"/>
      <c r="J1445" s="68"/>
      <c r="K1445" s="32"/>
      <c r="L1445" s="75">
        <v>1445</v>
      </c>
      <c r="M1445" s="75"/>
      <c r="N1445" s="70"/>
      <c r="O1445" s="77" t="s">
        <v>179</v>
      </c>
      <c r="P1445" s="79">
        <v>44970.89634259259</v>
      </c>
      <c r="Q1445" s="77" t="s">
        <v>2689</v>
      </c>
      <c r="R1445" s="77">
        <v>0</v>
      </c>
      <c r="S1445" s="77">
        <v>0</v>
      </c>
      <c r="T1445" s="77">
        <v>0</v>
      </c>
      <c r="U1445" s="77">
        <v>0</v>
      </c>
      <c r="V1445" s="77">
        <v>33</v>
      </c>
      <c r="W1445" s="82" t="s">
        <v>5791</v>
      </c>
      <c r="X1445" s="77"/>
      <c r="Y1445" s="77"/>
      <c r="Z1445" s="77"/>
      <c r="AA1445" s="77" t="s">
        <v>8112</v>
      </c>
      <c r="AB1445" s="77" t="s">
        <v>10130</v>
      </c>
      <c r="AC1445" s="82" t="s">
        <v>10147</v>
      </c>
      <c r="AD1445" s="77" t="s">
        <v>10185</v>
      </c>
      <c r="AE1445" s="80" t="str">
        <f>HYPERLINK("https://twitter.com/folheadosana/status/1625246118714961922")</f>
        <v>https://twitter.com/folheadosana/status/1625246118714961922</v>
      </c>
      <c r="AF1445" s="79">
        <v>44970.89634259259</v>
      </c>
      <c r="AG1445" s="85">
        <v>44970</v>
      </c>
      <c r="AH1445" s="82" t="s">
        <v>11583</v>
      </c>
      <c r="AI1445" s="77" t="b">
        <v>0</v>
      </c>
      <c r="AJ1445" s="77"/>
      <c r="AK1445" s="77"/>
      <c r="AL1445" s="77"/>
      <c r="AM1445" s="77"/>
      <c r="AN1445" s="77"/>
      <c r="AO1445" s="77"/>
      <c r="AP1445" s="77"/>
      <c r="AQ1445" s="77" t="s">
        <v>14756</v>
      </c>
      <c r="AR1445" s="77"/>
      <c r="AS1445" s="77"/>
      <c r="AT1445" s="77"/>
      <c r="AU1445" s="77"/>
      <c r="AV1445" s="80" t="str">
        <f>HYPERLINK("https://pbs.twimg.com/media/Fo4Iu2OWYAApba_.jpg")</f>
        <v>https://pbs.twimg.com/media/Fo4Iu2OWYAApba_.jpg</v>
      </c>
      <c r="AW1445" s="82" t="s">
        <v>18218</v>
      </c>
      <c r="AX1445" s="82" t="s">
        <v>18218</v>
      </c>
      <c r="AY1445" s="77"/>
      <c r="AZ1445" s="82" t="s">
        <v>20971</v>
      </c>
      <c r="BA1445" s="82" t="s">
        <v>20971</v>
      </c>
      <c r="BB1445" s="82" t="s">
        <v>20971</v>
      </c>
      <c r="BC1445" s="82" t="s">
        <v>18218</v>
      </c>
      <c r="BD1445" s="82" t="s">
        <v>21256</v>
      </c>
      <c r="BE1445" s="77"/>
      <c r="BF1445" s="77"/>
      <c r="BG1445" s="77"/>
      <c r="BH1445" s="77"/>
      <c r="BI1445" s="77"/>
    </row>
    <row r="1446" spans="1:61" x14ac:dyDescent="0.25">
      <c r="A1446" s="62" t="s">
        <v>554</v>
      </c>
      <c r="B1446" s="62" t="s">
        <v>554</v>
      </c>
      <c r="C1446" s="63"/>
      <c r="D1446" s="64"/>
      <c r="E1446" s="65"/>
      <c r="F1446" s="66"/>
      <c r="G1446" s="63"/>
      <c r="H1446" s="67"/>
      <c r="I1446" s="68"/>
      <c r="J1446" s="68"/>
      <c r="K1446" s="32"/>
      <c r="L1446" s="75">
        <v>1446</v>
      </c>
      <c r="M1446" s="75"/>
      <c r="N1446" s="70"/>
      <c r="O1446" s="77" t="s">
        <v>179</v>
      </c>
      <c r="P1446" s="79">
        <v>44970.812974537039</v>
      </c>
      <c r="Q1446" s="77" t="s">
        <v>2690</v>
      </c>
      <c r="R1446" s="77">
        <v>0</v>
      </c>
      <c r="S1446" s="77">
        <v>0</v>
      </c>
      <c r="T1446" s="77">
        <v>0</v>
      </c>
      <c r="U1446" s="77">
        <v>0</v>
      </c>
      <c r="V1446" s="77">
        <v>49</v>
      </c>
      <c r="W1446" s="82" t="s">
        <v>5790</v>
      </c>
      <c r="X1446" s="77"/>
      <c r="Y1446" s="77"/>
      <c r="Z1446" s="77"/>
      <c r="AA1446" s="77" t="s">
        <v>8113</v>
      </c>
      <c r="AB1446" s="77" t="s">
        <v>10130</v>
      </c>
      <c r="AC1446" s="82" t="s">
        <v>10147</v>
      </c>
      <c r="AD1446" s="77" t="s">
        <v>10185</v>
      </c>
      <c r="AE1446" s="80" t="str">
        <f>HYPERLINK("https://twitter.com/folheadosana/status/1625215903548710923")</f>
        <v>https://twitter.com/folheadosana/status/1625215903548710923</v>
      </c>
      <c r="AF1446" s="79">
        <v>44970.812974537039</v>
      </c>
      <c r="AG1446" s="85">
        <v>44970</v>
      </c>
      <c r="AH1446" s="82" t="s">
        <v>11584</v>
      </c>
      <c r="AI1446" s="77" t="b">
        <v>0</v>
      </c>
      <c r="AJ1446" s="77"/>
      <c r="AK1446" s="77"/>
      <c r="AL1446" s="77"/>
      <c r="AM1446" s="77"/>
      <c r="AN1446" s="77"/>
      <c r="AO1446" s="77"/>
      <c r="AP1446" s="77"/>
      <c r="AQ1446" s="77" t="s">
        <v>14757</v>
      </c>
      <c r="AR1446" s="77"/>
      <c r="AS1446" s="77"/>
      <c r="AT1446" s="77"/>
      <c r="AU1446" s="77"/>
      <c r="AV1446" s="80" t="str">
        <f>HYPERLINK("https://pbs.twimg.com/media/Fo3tQGYXgAARDSb.jpg")</f>
        <v>https://pbs.twimg.com/media/Fo3tQGYXgAARDSb.jpg</v>
      </c>
      <c r="AW1446" s="82" t="s">
        <v>18219</v>
      </c>
      <c r="AX1446" s="82" t="s">
        <v>18219</v>
      </c>
      <c r="AY1446" s="77"/>
      <c r="AZ1446" s="82" t="s">
        <v>20971</v>
      </c>
      <c r="BA1446" s="82" t="s">
        <v>20971</v>
      </c>
      <c r="BB1446" s="82" t="s">
        <v>20971</v>
      </c>
      <c r="BC1446" s="82" t="s">
        <v>18219</v>
      </c>
      <c r="BD1446" s="82" t="s">
        <v>21256</v>
      </c>
      <c r="BE1446" s="77"/>
      <c r="BF1446" s="77"/>
      <c r="BG1446" s="77"/>
      <c r="BH1446" s="77"/>
      <c r="BI1446" s="77"/>
    </row>
    <row r="1447" spans="1:61" x14ac:dyDescent="0.25">
      <c r="A1447" s="62" t="s">
        <v>554</v>
      </c>
      <c r="B1447" s="62" t="s">
        <v>554</v>
      </c>
      <c r="C1447" s="63"/>
      <c r="D1447" s="64"/>
      <c r="E1447" s="65"/>
      <c r="F1447" s="66"/>
      <c r="G1447" s="63"/>
      <c r="H1447" s="67"/>
      <c r="I1447" s="68"/>
      <c r="J1447" s="68"/>
      <c r="K1447" s="32"/>
      <c r="L1447" s="75">
        <v>1447</v>
      </c>
      <c r="M1447" s="75"/>
      <c r="N1447" s="70"/>
      <c r="O1447" s="77" t="s">
        <v>179</v>
      </c>
      <c r="P1447" s="79">
        <v>44970.75037037037</v>
      </c>
      <c r="Q1447" s="77" t="s">
        <v>2691</v>
      </c>
      <c r="R1447" s="77">
        <v>0</v>
      </c>
      <c r="S1447" s="77">
        <v>0</v>
      </c>
      <c r="T1447" s="77">
        <v>0</v>
      </c>
      <c r="U1447" s="77">
        <v>0</v>
      </c>
      <c r="V1447" s="77">
        <v>29</v>
      </c>
      <c r="W1447" s="82" t="s">
        <v>5792</v>
      </c>
      <c r="X1447" s="77"/>
      <c r="Y1447" s="77"/>
      <c r="Z1447" s="77"/>
      <c r="AA1447" s="77" t="s">
        <v>8114</v>
      </c>
      <c r="AB1447" s="77" t="s">
        <v>10130</v>
      </c>
      <c r="AC1447" s="82" t="s">
        <v>10147</v>
      </c>
      <c r="AD1447" s="77" t="s">
        <v>10185</v>
      </c>
      <c r="AE1447" s="80" t="str">
        <f>HYPERLINK("https://twitter.com/folheadosana/status/1625193216415784962")</f>
        <v>https://twitter.com/folheadosana/status/1625193216415784962</v>
      </c>
      <c r="AF1447" s="79">
        <v>44970.75037037037</v>
      </c>
      <c r="AG1447" s="85">
        <v>44970</v>
      </c>
      <c r="AH1447" s="82" t="s">
        <v>11585</v>
      </c>
      <c r="AI1447" s="77" t="b">
        <v>0</v>
      </c>
      <c r="AJ1447" s="77"/>
      <c r="AK1447" s="77"/>
      <c r="AL1447" s="77"/>
      <c r="AM1447" s="77"/>
      <c r="AN1447" s="77"/>
      <c r="AO1447" s="77"/>
      <c r="AP1447" s="77"/>
      <c r="AQ1447" s="77" t="s">
        <v>14758</v>
      </c>
      <c r="AR1447" s="77"/>
      <c r="AS1447" s="77"/>
      <c r="AT1447" s="77"/>
      <c r="AU1447" s="77"/>
      <c r="AV1447" s="80" t="str">
        <f>HYPERLINK("https://pbs.twimg.com/media/Fo3YnfzXEAEpTtK.jpg")</f>
        <v>https://pbs.twimg.com/media/Fo3YnfzXEAEpTtK.jpg</v>
      </c>
      <c r="AW1447" s="82" t="s">
        <v>18220</v>
      </c>
      <c r="AX1447" s="82" t="s">
        <v>18220</v>
      </c>
      <c r="AY1447" s="77"/>
      <c r="AZ1447" s="82" t="s">
        <v>20971</v>
      </c>
      <c r="BA1447" s="82" t="s">
        <v>20971</v>
      </c>
      <c r="BB1447" s="82" t="s">
        <v>20971</v>
      </c>
      <c r="BC1447" s="82" t="s">
        <v>18220</v>
      </c>
      <c r="BD1447" s="82" t="s">
        <v>21256</v>
      </c>
      <c r="BE1447" s="77"/>
      <c r="BF1447" s="77"/>
      <c r="BG1447" s="77"/>
      <c r="BH1447" s="77"/>
      <c r="BI1447" s="77"/>
    </row>
    <row r="1448" spans="1:61" x14ac:dyDescent="0.25">
      <c r="A1448" s="62" t="s">
        <v>555</v>
      </c>
      <c r="B1448" s="62" t="s">
        <v>555</v>
      </c>
      <c r="C1448" s="63"/>
      <c r="D1448" s="64"/>
      <c r="E1448" s="65"/>
      <c r="F1448" s="66"/>
      <c r="G1448" s="63"/>
      <c r="H1448" s="67"/>
      <c r="I1448" s="68"/>
      <c r="J1448" s="68"/>
      <c r="K1448" s="32"/>
      <c r="L1448" s="75">
        <v>1448</v>
      </c>
      <c r="M1448" s="75"/>
      <c r="N1448" s="70"/>
      <c r="O1448" s="77" t="s">
        <v>179</v>
      </c>
      <c r="P1448" s="79">
        <v>45000.097592592596</v>
      </c>
      <c r="Q1448" s="77" t="s">
        <v>2692</v>
      </c>
      <c r="R1448" s="77">
        <v>0</v>
      </c>
      <c r="S1448" s="77">
        <v>0</v>
      </c>
      <c r="T1448" s="77">
        <v>0</v>
      </c>
      <c r="U1448" s="77">
        <v>0</v>
      </c>
      <c r="V1448" s="77">
        <v>14</v>
      </c>
      <c r="W1448" s="82" t="s">
        <v>5793</v>
      </c>
      <c r="X1448" s="77"/>
      <c r="Y1448" s="77"/>
      <c r="Z1448" s="77"/>
      <c r="AA1448" s="77"/>
      <c r="AB1448" s="77"/>
      <c r="AC1448" s="82" t="s">
        <v>10144</v>
      </c>
      <c r="AD1448" s="77" t="s">
        <v>10184</v>
      </c>
      <c r="AE1448" s="80" t="str">
        <f>HYPERLINK("https://twitter.com/poulannaguima22/status/1635828296016359425")</f>
        <v>https://twitter.com/poulannaguima22/status/1635828296016359425</v>
      </c>
      <c r="AF1448" s="79">
        <v>45000.097592592596</v>
      </c>
      <c r="AG1448" s="85">
        <v>45000</v>
      </c>
      <c r="AH1448" s="82" t="s">
        <v>11586</v>
      </c>
      <c r="AI1448" s="77"/>
      <c r="AJ1448" s="77"/>
      <c r="AK1448" s="77"/>
      <c r="AL1448" s="77"/>
      <c r="AM1448" s="77"/>
      <c r="AN1448" s="77"/>
      <c r="AO1448" s="77"/>
      <c r="AP1448" s="77"/>
      <c r="AQ1448" s="77"/>
      <c r="AR1448" s="77"/>
      <c r="AS1448" s="77"/>
      <c r="AT1448" s="77"/>
      <c r="AU1448" s="77"/>
      <c r="AV1448" s="80" t="str">
        <f>HYPERLINK("https://pbs.twimg.com/profile_images/1615853815223181313/L1xtwwFy_normal.jpg")</f>
        <v>https://pbs.twimg.com/profile_images/1615853815223181313/L1xtwwFy_normal.jpg</v>
      </c>
      <c r="AW1448" s="82" t="s">
        <v>18221</v>
      </c>
      <c r="AX1448" s="82" t="s">
        <v>18221</v>
      </c>
      <c r="AY1448" s="77"/>
      <c r="AZ1448" s="82" t="s">
        <v>20971</v>
      </c>
      <c r="BA1448" s="82" t="s">
        <v>20971</v>
      </c>
      <c r="BB1448" s="82" t="s">
        <v>20971</v>
      </c>
      <c r="BC1448" s="82" t="s">
        <v>18221</v>
      </c>
      <c r="BD1448" s="82" t="s">
        <v>21257</v>
      </c>
      <c r="BE1448" s="77"/>
      <c r="BF1448" s="77"/>
      <c r="BG1448" s="77"/>
      <c r="BH1448" s="77"/>
      <c r="BI1448" s="77"/>
    </row>
    <row r="1449" spans="1:61" x14ac:dyDescent="0.25">
      <c r="A1449" s="62" t="s">
        <v>556</v>
      </c>
      <c r="B1449" s="62" t="s">
        <v>556</v>
      </c>
      <c r="C1449" s="63"/>
      <c r="D1449" s="64"/>
      <c r="E1449" s="65"/>
      <c r="F1449" s="66"/>
      <c r="G1449" s="63"/>
      <c r="H1449" s="67"/>
      <c r="I1449" s="68"/>
      <c r="J1449" s="68"/>
      <c r="K1449" s="32"/>
      <c r="L1449" s="75">
        <v>1449</v>
      </c>
      <c r="M1449" s="75"/>
      <c r="N1449" s="70"/>
      <c r="O1449" s="77" t="s">
        <v>179</v>
      </c>
      <c r="P1449" s="79">
        <v>45069.057962962965</v>
      </c>
      <c r="Q1449" s="77" t="s">
        <v>2693</v>
      </c>
      <c r="R1449" s="77">
        <v>0</v>
      </c>
      <c r="S1449" s="77">
        <v>2</v>
      </c>
      <c r="T1449" s="77">
        <v>2</v>
      </c>
      <c r="U1449" s="77">
        <v>0</v>
      </c>
      <c r="V1449" s="77">
        <v>42</v>
      </c>
      <c r="W1449" s="82" t="s">
        <v>5794</v>
      </c>
      <c r="X1449" s="77" t="s">
        <v>7196</v>
      </c>
      <c r="Y1449" s="77" t="s">
        <v>7341</v>
      </c>
      <c r="Z1449" s="77"/>
      <c r="AA1449" s="77" t="s">
        <v>8115</v>
      </c>
      <c r="AB1449" s="77" t="s">
        <v>10128</v>
      </c>
      <c r="AC1449" s="82" t="s">
        <v>10144</v>
      </c>
      <c r="AD1449" s="77" t="s">
        <v>10184</v>
      </c>
      <c r="AE1449" s="80" t="str">
        <f>HYPERLINK("https://twitter.com/official_gtex/status/1660818697890725888")</f>
        <v>https://twitter.com/official_gtex/status/1660818697890725888</v>
      </c>
      <c r="AF1449" s="79">
        <v>45069.057962962965</v>
      </c>
      <c r="AG1449" s="85">
        <v>45069</v>
      </c>
      <c r="AH1449" s="82" t="s">
        <v>11587</v>
      </c>
      <c r="AI1449" s="77" t="b">
        <v>0</v>
      </c>
      <c r="AJ1449" s="77"/>
      <c r="AK1449" s="77"/>
      <c r="AL1449" s="77"/>
      <c r="AM1449" s="77"/>
      <c r="AN1449" s="77"/>
      <c r="AO1449" s="77"/>
      <c r="AP1449" s="77"/>
      <c r="AQ1449" s="77" t="s">
        <v>14759</v>
      </c>
      <c r="AR1449" s="77"/>
      <c r="AS1449" s="77"/>
      <c r="AT1449" s="77"/>
      <c r="AU1449" s="77"/>
      <c r="AV1449" s="80" t="str">
        <f>HYPERLINK("https://pbs.twimg.com/media/FwxpzB_XwAAKMgG.jpg")</f>
        <v>https://pbs.twimg.com/media/FwxpzB_XwAAKMgG.jpg</v>
      </c>
      <c r="AW1449" s="82" t="s">
        <v>18222</v>
      </c>
      <c r="AX1449" s="82" t="s">
        <v>18222</v>
      </c>
      <c r="AY1449" s="77"/>
      <c r="AZ1449" s="82" t="s">
        <v>20971</v>
      </c>
      <c r="BA1449" s="82" t="s">
        <v>20971</v>
      </c>
      <c r="BB1449" s="82" t="s">
        <v>20971</v>
      </c>
      <c r="BC1449" s="82" t="s">
        <v>18222</v>
      </c>
      <c r="BD1449" s="82" t="s">
        <v>21258</v>
      </c>
      <c r="BE1449" s="77"/>
      <c r="BF1449" s="77"/>
      <c r="BG1449" s="77"/>
      <c r="BH1449" s="77"/>
      <c r="BI1449" s="77"/>
    </row>
    <row r="1450" spans="1:61" x14ac:dyDescent="0.25">
      <c r="A1450" s="62" t="s">
        <v>556</v>
      </c>
      <c r="B1450" s="62" t="s">
        <v>556</v>
      </c>
      <c r="C1450" s="63"/>
      <c r="D1450" s="64"/>
      <c r="E1450" s="65"/>
      <c r="F1450" s="66"/>
      <c r="G1450" s="63"/>
      <c r="H1450" s="67"/>
      <c r="I1450" s="68"/>
      <c r="J1450" s="68"/>
      <c r="K1450" s="32"/>
      <c r="L1450" s="75">
        <v>1450</v>
      </c>
      <c r="M1450" s="75"/>
      <c r="N1450" s="70"/>
      <c r="O1450" s="77" t="s">
        <v>179</v>
      </c>
      <c r="P1450" s="79">
        <v>45083.04965277778</v>
      </c>
      <c r="Q1450" s="77" t="s">
        <v>2694</v>
      </c>
      <c r="R1450" s="77">
        <v>0</v>
      </c>
      <c r="S1450" s="77">
        <v>1</v>
      </c>
      <c r="T1450" s="77">
        <v>0</v>
      </c>
      <c r="U1450" s="77">
        <v>0</v>
      </c>
      <c r="V1450" s="77">
        <v>36</v>
      </c>
      <c r="W1450" s="82" t="s">
        <v>5795</v>
      </c>
      <c r="X1450" s="77"/>
      <c r="Y1450" s="77"/>
      <c r="Z1450" s="77"/>
      <c r="AA1450" s="77" t="s">
        <v>8116</v>
      </c>
      <c r="AB1450" s="77" t="s">
        <v>10130</v>
      </c>
      <c r="AC1450" s="82" t="s">
        <v>10144</v>
      </c>
      <c r="AD1450" s="77" t="s">
        <v>10184</v>
      </c>
      <c r="AE1450" s="80" t="str">
        <f>HYPERLINK("https://twitter.com/official_gtex/status/1665889115471216640")</f>
        <v>https://twitter.com/official_gtex/status/1665889115471216640</v>
      </c>
      <c r="AF1450" s="79">
        <v>45083.04965277778</v>
      </c>
      <c r="AG1450" s="85">
        <v>45083</v>
      </c>
      <c r="AH1450" s="82" t="s">
        <v>11588</v>
      </c>
      <c r="AI1450" s="77" t="b">
        <v>0</v>
      </c>
      <c r="AJ1450" s="77"/>
      <c r="AK1450" s="77"/>
      <c r="AL1450" s="77"/>
      <c r="AM1450" s="77"/>
      <c r="AN1450" s="77"/>
      <c r="AO1450" s="77"/>
      <c r="AP1450" s="77"/>
      <c r="AQ1450" s="77" t="s">
        <v>14760</v>
      </c>
      <c r="AR1450" s="77"/>
      <c r="AS1450" s="77"/>
      <c r="AT1450" s="77"/>
      <c r="AU1450" s="77"/>
      <c r="AV1450" s="80" t="str">
        <f>HYPERLINK("https://pbs.twimg.com/media/Fx5tUnIaAAIyIs7.jpg")</f>
        <v>https://pbs.twimg.com/media/Fx5tUnIaAAIyIs7.jpg</v>
      </c>
      <c r="AW1450" s="82" t="s">
        <v>18223</v>
      </c>
      <c r="AX1450" s="82" t="s">
        <v>18223</v>
      </c>
      <c r="AY1450" s="77"/>
      <c r="AZ1450" s="82" t="s">
        <v>20971</v>
      </c>
      <c r="BA1450" s="82" t="s">
        <v>20971</v>
      </c>
      <c r="BB1450" s="82" t="s">
        <v>20971</v>
      </c>
      <c r="BC1450" s="82" t="s">
        <v>18223</v>
      </c>
      <c r="BD1450" s="82" t="s">
        <v>21258</v>
      </c>
      <c r="BE1450" s="77"/>
      <c r="BF1450" s="77"/>
      <c r="BG1450" s="77"/>
      <c r="BH1450" s="77"/>
      <c r="BI1450" s="77"/>
    </row>
    <row r="1451" spans="1:61" x14ac:dyDescent="0.25">
      <c r="A1451" s="62" t="s">
        <v>556</v>
      </c>
      <c r="B1451" s="62" t="s">
        <v>556</v>
      </c>
      <c r="C1451" s="63"/>
      <c r="D1451" s="64"/>
      <c r="E1451" s="65"/>
      <c r="F1451" s="66"/>
      <c r="G1451" s="63"/>
      <c r="H1451" s="67"/>
      <c r="I1451" s="68"/>
      <c r="J1451" s="68"/>
      <c r="K1451" s="32"/>
      <c r="L1451" s="75">
        <v>1451</v>
      </c>
      <c r="M1451" s="75"/>
      <c r="N1451" s="70"/>
      <c r="O1451" s="77" t="s">
        <v>179</v>
      </c>
      <c r="P1451" s="79">
        <v>45189.066319444442</v>
      </c>
      <c r="Q1451" s="77" t="s">
        <v>2695</v>
      </c>
      <c r="R1451" s="77">
        <v>0</v>
      </c>
      <c r="S1451" s="77">
        <v>0</v>
      </c>
      <c r="T1451" s="77">
        <v>0</v>
      </c>
      <c r="U1451" s="77">
        <v>0</v>
      </c>
      <c r="V1451" s="77">
        <v>4</v>
      </c>
      <c r="W1451" s="82" t="s">
        <v>5796</v>
      </c>
      <c r="X1451" s="80" t="str">
        <f>HYPERLINK("https://mpzdi.app.link/beefund")</f>
        <v>https://mpzdi.app.link/beefund</v>
      </c>
      <c r="Y1451" s="77" t="s">
        <v>7342</v>
      </c>
      <c r="Z1451" s="77"/>
      <c r="AA1451" s="77" t="s">
        <v>8117</v>
      </c>
      <c r="AB1451" s="77" t="s">
        <v>10130</v>
      </c>
      <c r="AC1451" s="82" t="s">
        <v>10146</v>
      </c>
      <c r="AD1451" s="77" t="s">
        <v>10184</v>
      </c>
      <c r="AE1451" s="80" t="str">
        <f>HYPERLINK("https://twitter.com/official_gtex/status/1704308269810847838")</f>
        <v>https://twitter.com/official_gtex/status/1704308269810847838</v>
      </c>
      <c r="AF1451" s="79">
        <v>45189.066319444442</v>
      </c>
      <c r="AG1451" s="85">
        <v>45189</v>
      </c>
      <c r="AH1451" s="82" t="s">
        <v>11589</v>
      </c>
      <c r="AI1451" s="77" t="b">
        <v>0</v>
      </c>
      <c r="AJ1451" s="77"/>
      <c r="AK1451" s="77"/>
      <c r="AL1451" s="77"/>
      <c r="AM1451" s="77"/>
      <c r="AN1451" s="77"/>
      <c r="AO1451" s="77"/>
      <c r="AP1451" s="77"/>
      <c r="AQ1451" s="77" t="s">
        <v>14761</v>
      </c>
      <c r="AR1451" s="77"/>
      <c r="AS1451" s="77"/>
      <c r="AT1451" s="77"/>
      <c r="AU1451" s="77"/>
      <c r="AV1451" s="80" t="str">
        <f>HYPERLINK("https://pbs.twimg.com/media/F6bq7yWXIAAlfQw.jpg")</f>
        <v>https://pbs.twimg.com/media/F6bq7yWXIAAlfQw.jpg</v>
      </c>
      <c r="AW1451" s="82" t="s">
        <v>18224</v>
      </c>
      <c r="AX1451" s="82" t="s">
        <v>18224</v>
      </c>
      <c r="AY1451" s="77"/>
      <c r="AZ1451" s="82" t="s">
        <v>20971</v>
      </c>
      <c r="BA1451" s="82" t="s">
        <v>20971</v>
      </c>
      <c r="BB1451" s="82" t="s">
        <v>20971</v>
      </c>
      <c r="BC1451" s="82" t="s">
        <v>18224</v>
      </c>
      <c r="BD1451" s="82" t="s">
        <v>21258</v>
      </c>
      <c r="BE1451" s="77"/>
      <c r="BF1451" s="77"/>
      <c r="BG1451" s="77"/>
      <c r="BH1451" s="77"/>
      <c r="BI1451" s="77"/>
    </row>
    <row r="1452" spans="1:61" x14ac:dyDescent="0.25">
      <c r="A1452" s="62" t="s">
        <v>556</v>
      </c>
      <c r="B1452" s="62" t="s">
        <v>556</v>
      </c>
      <c r="C1452" s="63"/>
      <c r="D1452" s="64"/>
      <c r="E1452" s="65"/>
      <c r="F1452" s="66"/>
      <c r="G1452" s="63"/>
      <c r="H1452" s="67"/>
      <c r="I1452" s="68"/>
      <c r="J1452" s="68"/>
      <c r="K1452" s="32"/>
      <c r="L1452" s="75">
        <v>1452</v>
      </c>
      <c r="M1452" s="75"/>
      <c r="N1452" s="70"/>
      <c r="O1452" s="77" t="s">
        <v>179</v>
      </c>
      <c r="P1452" s="79">
        <v>45179.072997685187</v>
      </c>
      <c r="Q1452" s="77" t="s">
        <v>2696</v>
      </c>
      <c r="R1452" s="77">
        <v>0</v>
      </c>
      <c r="S1452" s="77">
        <v>0</v>
      </c>
      <c r="T1452" s="77">
        <v>0</v>
      </c>
      <c r="U1452" s="77">
        <v>0</v>
      </c>
      <c r="V1452" s="77">
        <v>8</v>
      </c>
      <c r="W1452" s="82" t="s">
        <v>5797</v>
      </c>
      <c r="X1452" s="80" t="str">
        <f>HYPERLINK("https://mpzdi.app.link/beefund")</f>
        <v>https://mpzdi.app.link/beefund</v>
      </c>
      <c r="Y1452" s="77" t="s">
        <v>7342</v>
      </c>
      <c r="Z1452" s="77"/>
      <c r="AA1452" s="77" t="s">
        <v>8118</v>
      </c>
      <c r="AB1452" s="77" t="s">
        <v>10130</v>
      </c>
      <c r="AC1452" s="82" t="s">
        <v>10146</v>
      </c>
      <c r="AD1452" s="77" t="s">
        <v>10184</v>
      </c>
      <c r="AE1452" s="80" t="str">
        <f>HYPERLINK("https://twitter.com/official_gtex/status/1700686810333274518")</f>
        <v>https://twitter.com/official_gtex/status/1700686810333274518</v>
      </c>
      <c r="AF1452" s="79">
        <v>45179.072997685187</v>
      </c>
      <c r="AG1452" s="85">
        <v>45179</v>
      </c>
      <c r="AH1452" s="82" t="s">
        <v>11590</v>
      </c>
      <c r="AI1452" s="77" t="b">
        <v>0</v>
      </c>
      <c r="AJ1452" s="77"/>
      <c r="AK1452" s="77"/>
      <c r="AL1452" s="77"/>
      <c r="AM1452" s="77"/>
      <c r="AN1452" s="77"/>
      <c r="AO1452" s="77"/>
      <c r="AP1452" s="77"/>
      <c r="AQ1452" s="77" t="s">
        <v>14762</v>
      </c>
      <c r="AR1452" s="77"/>
      <c r="AS1452" s="77"/>
      <c r="AT1452" s="77"/>
      <c r="AU1452" s="77"/>
      <c r="AV1452" s="80" t="str">
        <f>HYPERLINK("https://pbs.twimg.com/media/F5oNFE1bgAAFTGu.jpg")</f>
        <v>https://pbs.twimg.com/media/F5oNFE1bgAAFTGu.jpg</v>
      </c>
      <c r="AW1452" s="82" t="s">
        <v>18225</v>
      </c>
      <c r="AX1452" s="82" t="s">
        <v>18225</v>
      </c>
      <c r="AY1452" s="77"/>
      <c r="AZ1452" s="82" t="s">
        <v>20971</v>
      </c>
      <c r="BA1452" s="82" t="s">
        <v>20971</v>
      </c>
      <c r="BB1452" s="82" t="s">
        <v>20971</v>
      </c>
      <c r="BC1452" s="82" t="s">
        <v>18225</v>
      </c>
      <c r="BD1452" s="82" t="s">
        <v>21258</v>
      </c>
      <c r="BE1452" s="77"/>
      <c r="BF1452" s="77"/>
      <c r="BG1452" s="77"/>
      <c r="BH1452" s="77"/>
      <c r="BI1452" s="77"/>
    </row>
    <row r="1453" spans="1:61" x14ac:dyDescent="0.25">
      <c r="A1453" s="62" t="s">
        <v>556</v>
      </c>
      <c r="B1453" s="62" t="s">
        <v>556</v>
      </c>
      <c r="C1453" s="63"/>
      <c r="D1453" s="64"/>
      <c r="E1453" s="65"/>
      <c r="F1453" s="66"/>
      <c r="G1453" s="63"/>
      <c r="H1453" s="67"/>
      <c r="I1453" s="68"/>
      <c r="J1453" s="68"/>
      <c r="K1453" s="32"/>
      <c r="L1453" s="75">
        <v>1453</v>
      </c>
      <c r="M1453" s="75"/>
      <c r="N1453" s="70"/>
      <c r="O1453" s="77" t="s">
        <v>179</v>
      </c>
      <c r="P1453" s="79">
        <v>45187.075300925928</v>
      </c>
      <c r="Q1453" s="77" t="s">
        <v>2697</v>
      </c>
      <c r="R1453" s="77">
        <v>0</v>
      </c>
      <c r="S1453" s="77">
        <v>0</v>
      </c>
      <c r="T1453" s="77">
        <v>0</v>
      </c>
      <c r="U1453" s="77">
        <v>0</v>
      </c>
      <c r="V1453" s="77">
        <v>5</v>
      </c>
      <c r="W1453" s="82" t="s">
        <v>5798</v>
      </c>
      <c r="X1453" s="80" t="str">
        <f>HYPERLINK("https://mpzdi.app.link/beefund")</f>
        <v>https://mpzdi.app.link/beefund</v>
      </c>
      <c r="Y1453" s="77" t="s">
        <v>7342</v>
      </c>
      <c r="Z1453" s="77"/>
      <c r="AA1453" s="77" t="s">
        <v>8119</v>
      </c>
      <c r="AB1453" s="77" t="s">
        <v>10130</v>
      </c>
      <c r="AC1453" s="82" t="s">
        <v>10146</v>
      </c>
      <c r="AD1453" s="77" t="s">
        <v>10184</v>
      </c>
      <c r="AE1453" s="80" t="str">
        <f>HYPERLINK("https://twitter.com/official_gtex/status/1703586749950390378")</f>
        <v>https://twitter.com/official_gtex/status/1703586749950390378</v>
      </c>
      <c r="AF1453" s="79">
        <v>45187.075300925928</v>
      </c>
      <c r="AG1453" s="85">
        <v>45187</v>
      </c>
      <c r="AH1453" s="82" t="s">
        <v>11591</v>
      </c>
      <c r="AI1453" s="77" t="b">
        <v>0</v>
      </c>
      <c r="AJ1453" s="77"/>
      <c r="AK1453" s="77"/>
      <c r="AL1453" s="77"/>
      <c r="AM1453" s="77"/>
      <c r="AN1453" s="77"/>
      <c r="AO1453" s="77"/>
      <c r="AP1453" s="77"/>
      <c r="AQ1453" s="77" t="s">
        <v>14763</v>
      </c>
      <c r="AR1453" s="77"/>
      <c r="AS1453" s="77"/>
      <c r="AT1453" s="77"/>
      <c r="AU1453" s="77"/>
      <c r="AV1453" s="80" t="str">
        <f>HYPERLINK("https://pbs.twimg.com/media/F6RasCdbUAAMY6t.jpg")</f>
        <v>https://pbs.twimg.com/media/F6RasCdbUAAMY6t.jpg</v>
      </c>
      <c r="AW1453" s="82" t="s">
        <v>18226</v>
      </c>
      <c r="AX1453" s="82" t="s">
        <v>18226</v>
      </c>
      <c r="AY1453" s="77"/>
      <c r="AZ1453" s="82" t="s">
        <v>20971</v>
      </c>
      <c r="BA1453" s="82" t="s">
        <v>20971</v>
      </c>
      <c r="BB1453" s="82" t="s">
        <v>20971</v>
      </c>
      <c r="BC1453" s="82" t="s">
        <v>18226</v>
      </c>
      <c r="BD1453" s="82" t="s">
        <v>21258</v>
      </c>
      <c r="BE1453" s="77"/>
      <c r="BF1453" s="77"/>
      <c r="BG1453" s="77"/>
      <c r="BH1453" s="77"/>
      <c r="BI1453" s="77"/>
    </row>
    <row r="1454" spans="1:61" x14ac:dyDescent="0.25">
      <c r="A1454" s="62" t="s">
        <v>557</v>
      </c>
      <c r="B1454" s="62" t="s">
        <v>557</v>
      </c>
      <c r="C1454" s="63"/>
      <c r="D1454" s="64"/>
      <c r="E1454" s="65"/>
      <c r="F1454" s="66"/>
      <c r="G1454" s="63"/>
      <c r="H1454" s="67"/>
      <c r="I1454" s="68"/>
      <c r="J1454" s="68"/>
      <c r="K1454" s="32"/>
      <c r="L1454" s="75">
        <v>1454</v>
      </c>
      <c r="M1454" s="75"/>
      <c r="N1454" s="70"/>
      <c r="O1454" s="77" t="s">
        <v>179</v>
      </c>
      <c r="P1454" s="79">
        <v>45093.58965277778</v>
      </c>
      <c r="Q1454" s="77" t="s">
        <v>2698</v>
      </c>
      <c r="R1454" s="77">
        <v>0</v>
      </c>
      <c r="S1454" s="77">
        <v>0</v>
      </c>
      <c r="T1454" s="77">
        <v>0</v>
      </c>
      <c r="U1454" s="77">
        <v>0</v>
      </c>
      <c r="V1454" s="77">
        <v>44</v>
      </c>
      <c r="W1454" s="82" t="s">
        <v>5799</v>
      </c>
      <c r="X1454" s="80" t="str">
        <f>HYPERLINK("https://s.kwai.app/w/rdyZmV3T")</f>
        <v>https://s.kwai.app/w/rdyZmV3T</v>
      </c>
      <c r="Y1454" s="77" t="s">
        <v>7292</v>
      </c>
      <c r="Z1454" s="77"/>
      <c r="AA1454" s="77"/>
      <c r="AB1454" s="77"/>
      <c r="AC1454" s="82" t="s">
        <v>10144</v>
      </c>
      <c r="AD1454" s="77" t="s">
        <v>10184</v>
      </c>
      <c r="AE1454" s="80" t="str">
        <f>HYPERLINK("https://twitter.com/compras_black/status/1669708685394735104")</f>
        <v>https://twitter.com/compras_black/status/1669708685394735104</v>
      </c>
      <c r="AF1454" s="79">
        <v>45093.58965277778</v>
      </c>
      <c r="AG1454" s="85">
        <v>45093</v>
      </c>
      <c r="AH1454" s="82" t="s">
        <v>11592</v>
      </c>
      <c r="AI1454" s="77" t="b">
        <v>0</v>
      </c>
      <c r="AJ1454" s="77"/>
      <c r="AK1454" s="77"/>
      <c r="AL1454" s="77"/>
      <c r="AM1454" s="77"/>
      <c r="AN1454" s="77"/>
      <c r="AO1454" s="77"/>
      <c r="AP1454" s="77"/>
      <c r="AQ1454" s="77"/>
      <c r="AR1454" s="77"/>
      <c r="AS1454" s="77"/>
      <c r="AT1454" s="77"/>
      <c r="AU1454" s="77"/>
      <c r="AV1454" s="80" t="str">
        <f>HYPERLINK("https://pbs.twimg.com/profile_images/1617487653066137601/8zXqbt8Q_normal.jpg")</f>
        <v>https://pbs.twimg.com/profile_images/1617487653066137601/8zXqbt8Q_normal.jpg</v>
      </c>
      <c r="AW1454" s="82" t="s">
        <v>18227</v>
      </c>
      <c r="AX1454" s="82" t="s">
        <v>18227</v>
      </c>
      <c r="AY1454" s="77"/>
      <c r="AZ1454" s="82" t="s">
        <v>20971</v>
      </c>
      <c r="BA1454" s="82" t="s">
        <v>20971</v>
      </c>
      <c r="BB1454" s="82" t="s">
        <v>20971</v>
      </c>
      <c r="BC1454" s="82" t="s">
        <v>18227</v>
      </c>
      <c r="BD1454" s="82" t="s">
        <v>21259</v>
      </c>
      <c r="BE1454" s="77"/>
      <c r="BF1454" s="77"/>
      <c r="BG1454" s="77"/>
      <c r="BH1454" s="77"/>
      <c r="BI1454" s="77"/>
    </row>
    <row r="1455" spans="1:61" x14ac:dyDescent="0.25">
      <c r="A1455" s="62" t="s">
        <v>558</v>
      </c>
      <c r="B1455" s="62" t="s">
        <v>1241</v>
      </c>
      <c r="C1455" s="63"/>
      <c r="D1455" s="64"/>
      <c r="E1455" s="65"/>
      <c r="F1455" s="66"/>
      <c r="G1455" s="63"/>
      <c r="H1455" s="67"/>
      <c r="I1455" s="68"/>
      <c r="J1455" s="68"/>
      <c r="K1455" s="32"/>
      <c r="L1455" s="75">
        <v>1455</v>
      </c>
      <c r="M1455" s="75"/>
      <c r="N1455" s="70"/>
      <c r="O1455" s="77" t="s">
        <v>1285</v>
      </c>
      <c r="P1455" s="79">
        <v>45032.008344907408</v>
      </c>
      <c r="Q1455" s="77" t="s">
        <v>2699</v>
      </c>
      <c r="R1455" s="77">
        <v>0</v>
      </c>
      <c r="S1455" s="77">
        <v>1</v>
      </c>
      <c r="T1455" s="77">
        <v>0</v>
      </c>
      <c r="U1455" s="77">
        <v>0</v>
      </c>
      <c r="V1455" s="77">
        <v>18</v>
      </c>
      <c r="W1455" s="82" t="s">
        <v>5800</v>
      </c>
      <c r="X1455" s="80" t="str">
        <f>HYPERLINK("https://youtube.com/shorts/C6x3KCF0dZU?feature=share")</f>
        <v>https://youtube.com/shorts/C6x3KCF0dZU?feature=share</v>
      </c>
      <c r="Y1455" s="77" t="s">
        <v>7303</v>
      </c>
      <c r="Z1455" s="77" t="s">
        <v>1241</v>
      </c>
      <c r="AA1455" s="77"/>
      <c r="AB1455" s="77"/>
      <c r="AC1455" s="82" t="s">
        <v>10146</v>
      </c>
      <c r="AD1455" s="77" t="s">
        <v>10184</v>
      </c>
      <c r="AE1455" s="80" t="str">
        <f>HYPERLINK("https://twitter.com/seushopnaweb/status/1647392363784929282")</f>
        <v>https://twitter.com/seushopnaweb/status/1647392363784929282</v>
      </c>
      <c r="AF1455" s="79">
        <v>45032.008344907408</v>
      </c>
      <c r="AG1455" s="85">
        <v>45032</v>
      </c>
      <c r="AH1455" s="82" t="s">
        <v>11593</v>
      </c>
      <c r="AI1455" s="77" t="b">
        <v>0</v>
      </c>
      <c r="AJ1455" s="77"/>
      <c r="AK1455" s="77"/>
      <c r="AL1455" s="77"/>
      <c r="AM1455" s="77"/>
      <c r="AN1455" s="77"/>
      <c r="AO1455" s="77"/>
      <c r="AP1455" s="77"/>
      <c r="AQ1455" s="77"/>
      <c r="AR1455" s="77"/>
      <c r="AS1455" s="77"/>
      <c r="AT1455" s="77"/>
      <c r="AU1455" s="77"/>
      <c r="AV1455" s="80" t="str">
        <f>HYPERLINK("https://pbs.twimg.com/profile_images/1546141319076233217/RRV5MAqr_normal.jpg")</f>
        <v>https://pbs.twimg.com/profile_images/1546141319076233217/RRV5MAqr_normal.jpg</v>
      </c>
      <c r="AW1455" s="82" t="s">
        <v>18228</v>
      </c>
      <c r="AX1455" s="82" t="s">
        <v>18228</v>
      </c>
      <c r="AY1455" s="77"/>
      <c r="AZ1455" s="82" t="s">
        <v>20971</v>
      </c>
      <c r="BA1455" s="82" t="s">
        <v>20971</v>
      </c>
      <c r="BB1455" s="82" t="s">
        <v>20971</v>
      </c>
      <c r="BC1455" s="82" t="s">
        <v>18228</v>
      </c>
      <c r="BD1455" s="82" t="s">
        <v>21260</v>
      </c>
      <c r="BE1455" s="77"/>
      <c r="BF1455" s="77"/>
      <c r="BG1455" s="77"/>
      <c r="BH1455" s="77"/>
      <c r="BI1455" s="77"/>
    </row>
    <row r="1456" spans="1:61" x14ac:dyDescent="0.25">
      <c r="A1456" s="62" t="s">
        <v>559</v>
      </c>
      <c r="B1456" s="62" t="s">
        <v>559</v>
      </c>
      <c r="C1456" s="63"/>
      <c r="D1456" s="64"/>
      <c r="E1456" s="65"/>
      <c r="F1456" s="66"/>
      <c r="G1456" s="63"/>
      <c r="H1456" s="67"/>
      <c r="I1456" s="68"/>
      <c r="J1456" s="68"/>
      <c r="K1456" s="32"/>
      <c r="L1456" s="75">
        <v>1456</v>
      </c>
      <c r="M1456" s="75"/>
      <c r="N1456" s="70"/>
      <c r="O1456" s="77" t="s">
        <v>179</v>
      </c>
      <c r="P1456" s="79">
        <v>45171.582349537035</v>
      </c>
      <c r="Q1456" s="77" t="s">
        <v>2700</v>
      </c>
      <c r="R1456" s="77">
        <v>0</v>
      </c>
      <c r="S1456" s="77">
        <v>0</v>
      </c>
      <c r="T1456" s="77">
        <v>0</v>
      </c>
      <c r="U1456" s="77">
        <v>0</v>
      </c>
      <c r="V1456" s="77">
        <v>30</v>
      </c>
      <c r="W1456" s="82" t="s">
        <v>5801</v>
      </c>
      <c r="X1456" s="77"/>
      <c r="Y1456" s="77"/>
      <c r="Z1456" s="77"/>
      <c r="AA1456" s="77" t="s">
        <v>8120</v>
      </c>
      <c r="AB1456" s="77" t="s">
        <v>10129</v>
      </c>
      <c r="AC1456" s="82" t="s">
        <v>10144</v>
      </c>
      <c r="AD1456" s="77" t="s">
        <v>10184</v>
      </c>
      <c r="AE1456" s="80" t="str">
        <f>HYPERLINK("https://twitter.com/rendaextra_duda/status/1697972288417624471")</f>
        <v>https://twitter.com/rendaextra_duda/status/1697972288417624471</v>
      </c>
      <c r="AF1456" s="79">
        <v>45171.582349537035</v>
      </c>
      <c r="AG1456" s="85">
        <v>45171</v>
      </c>
      <c r="AH1456" s="82" t="s">
        <v>11594</v>
      </c>
      <c r="AI1456" s="77" t="b">
        <v>0</v>
      </c>
      <c r="AJ1456" s="77"/>
      <c r="AK1456" s="77"/>
      <c r="AL1456" s="77"/>
      <c r="AM1456" s="77"/>
      <c r="AN1456" s="77"/>
      <c r="AO1456" s="77"/>
      <c r="AP1456" s="77"/>
      <c r="AQ1456" s="77" t="s">
        <v>14764</v>
      </c>
      <c r="AR1456" s="77">
        <v>16485</v>
      </c>
      <c r="AS1456" s="77"/>
      <c r="AT1456" s="77"/>
      <c r="AU1456" s="77"/>
      <c r="AV1456" s="80" t="str">
        <f>HYPERLINK("https://pbs.twimg.com/ext_tw_video_thumb/1697972259346878464/pu/img/sOetOYlGdpqLXNc7.jpg")</f>
        <v>https://pbs.twimg.com/ext_tw_video_thumb/1697972259346878464/pu/img/sOetOYlGdpqLXNc7.jpg</v>
      </c>
      <c r="AW1456" s="82" t="s">
        <v>18229</v>
      </c>
      <c r="AX1456" s="82" t="s">
        <v>18229</v>
      </c>
      <c r="AY1456" s="77"/>
      <c r="AZ1456" s="82" t="s">
        <v>20971</v>
      </c>
      <c r="BA1456" s="82" t="s">
        <v>20971</v>
      </c>
      <c r="BB1456" s="82" t="s">
        <v>20971</v>
      </c>
      <c r="BC1456" s="82" t="s">
        <v>18229</v>
      </c>
      <c r="BD1456" s="82" t="s">
        <v>21261</v>
      </c>
      <c r="BE1456" s="77"/>
      <c r="BF1456" s="77"/>
      <c r="BG1456" s="77"/>
      <c r="BH1456" s="77"/>
      <c r="BI1456" s="77"/>
    </row>
    <row r="1457" spans="1:61" x14ac:dyDescent="0.25">
      <c r="A1457" s="62" t="s">
        <v>560</v>
      </c>
      <c r="B1457" s="62" t="s">
        <v>560</v>
      </c>
      <c r="C1457" s="63"/>
      <c r="D1457" s="64"/>
      <c r="E1457" s="65"/>
      <c r="F1457" s="66"/>
      <c r="G1457" s="63"/>
      <c r="H1457" s="67"/>
      <c r="I1457" s="68"/>
      <c r="J1457" s="68"/>
      <c r="K1457" s="32"/>
      <c r="L1457" s="75">
        <v>1457</v>
      </c>
      <c r="M1457" s="75"/>
      <c r="N1457" s="70"/>
      <c r="O1457" s="77" t="s">
        <v>179</v>
      </c>
      <c r="P1457" s="79">
        <v>45026.459120370368</v>
      </c>
      <c r="Q1457" s="77" t="s">
        <v>2701</v>
      </c>
      <c r="R1457" s="77">
        <v>0</v>
      </c>
      <c r="S1457" s="77">
        <v>0</v>
      </c>
      <c r="T1457" s="77">
        <v>0</v>
      </c>
      <c r="U1457" s="77">
        <v>0</v>
      </c>
      <c r="V1457" s="77">
        <v>36</v>
      </c>
      <c r="W1457" s="82" t="s">
        <v>5802</v>
      </c>
      <c r="X1457" s="80" t="str">
        <f>HYPERLINK("https://chat.whatsapp.com/DeukwV6TZAP4SAKSYrv5gK")</f>
        <v>https://chat.whatsapp.com/DeukwV6TZAP4SAKSYrv5gK</v>
      </c>
      <c r="Y1457" s="77" t="s">
        <v>7343</v>
      </c>
      <c r="Z1457" s="77"/>
      <c r="AA1457" s="77" t="s">
        <v>8121</v>
      </c>
      <c r="AB1457" s="77" t="s">
        <v>10129</v>
      </c>
      <c r="AC1457" s="82" t="s">
        <v>10144</v>
      </c>
      <c r="AD1457" s="77" t="s">
        <v>10184</v>
      </c>
      <c r="AE1457" s="80" t="str">
        <f>HYPERLINK("https://twitter.com/cammilatorres91/status/1645381391700336640")</f>
        <v>https://twitter.com/cammilatorres91/status/1645381391700336640</v>
      </c>
      <c r="AF1457" s="79">
        <v>45026.459120370368</v>
      </c>
      <c r="AG1457" s="85">
        <v>45026</v>
      </c>
      <c r="AH1457" s="82" t="s">
        <v>11595</v>
      </c>
      <c r="AI1457" s="77" t="b">
        <v>1</v>
      </c>
      <c r="AJ1457" s="77"/>
      <c r="AK1457" s="77"/>
      <c r="AL1457" s="77"/>
      <c r="AM1457" s="77"/>
      <c r="AN1457" s="77"/>
      <c r="AO1457" s="77"/>
      <c r="AP1457" s="77"/>
      <c r="AQ1457" s="77" t="s">
        <v>14765</v>
      </c>
      <c r="AR1457" s="77">
        <v>59022</v>
      </c>
      <c r="AS1457" s="77"/>
      <c r="AT1457" s="77"/>
      <c r="AU1457" s="77"/>
      <c r="AV1457" s="80" t="str">
        <f>HYPERLINK("https://pbs.twimg.com/ext_tw_video_thumb/1645381352689213442/pu/img/OZpFdfRLZi9pgpw2.jpg")</f>
        <v>https://pbs.twimg.com/ext_tw_video_thumb/1645381352689213442/pu/img/OZpFdfRLZi9pgpw2.jpg</v>
      </c>
      <c r="AW1457" s="82" t="s">
        <v>18230</v>
      </c>
      <c r="AX1457" s="82" t="s">
        <v>18230</v>
      </c>
      <c r="AY1457" s="77"/>
      <c r="AZ1457" s="82" t="s">
        <v>20971</v>
      </c>
      <c r="BA1457" s="82" t="s">
        <v>20971</v>
      </c>
      <c r="BB1457" s="82" t="s">
        <v>20971</v>
      </c>
      <c r="BC1457" s="82" t="s">
        <v>18230</v>
      </c>
      <c r="BD1457" s="82" t="s">
        <v>21262</v>
      </c>
      <c r="BE1457" s="77"/>
      <c r="BF1457" s="77"/>
      <c r="BG1457" s="77"/>
      <c r="BH1457" s="77"/>
      <c r="BI1457" s="77"/>
    </row>
    <row r="1458" spans="1:61" x14ac:dyDescent="0.25">
      <c r="A1458" s="62" t="s">
        <v>560</v>
      </c>
      <c r="B1458" s="62" t="s">
        <v>560</v>
      </c>
      <c r="C1458" s="63"/>
      <c r="D1458" s="64"/>
      <c r="E1458" s="65"/>
      <c r="F1458" s="66"/>
      <c r="G1458" s="63"/>
      <c r="H1458" s="67"/>
      <c r="I1458" s="68"/>
      <c r="J1458" s="68"/>
      <c r="K1458" s="32"/>
      <c r="L1458" s="75">
        <v>1458</v>
      </c>
      <c r="M1458" s="75"/>
      <c r="N1458" s="70"/>
      <c r="O1458" s="77" t="s">
        <v>179</v>
      </c>
      <c r="P1458" s="79">
        <v>45016.570925925924</v>
      </c>
      <c r="Q1458" s="77" t="s">
        <v>2702</v>
      </c>
      <c r="R1458" s="77">
        <v>0</v>
      </c>
      <c r="S1458" s="77">
        <v>0</v>
      </c>
      <c r="T1458" s="77">
        <v>1</v>
      </c>
      <c r="U1458" s="77">
        <v>0</v>
      </c>
      <c r="V1458" s="77">
        <v>31</v>
      </c>
      <c r="W1458" s="82" t="s">
        <v>5803</v>
      </c>
      <c r="X1458" s="77" t="s">
        <v>7197</v>
      </c>
      <c r="Y1458" s="77" t="s">
        <v>7344</v>
      </c>
      <c r="Z1458" s="77"/>
      <c r="AA1458" s="77" t="s">
        <v>8122</v>
      </c>
      <c r="AB1458" s="77" t="s">
        <v>10130</v>
      </c>
      <c r="AC1458" s="82" t="s">
        <v>10144</v>
      </c>
      <c r="AD1458" s="77" t="s">
        <v>10184</v>
      </c>
      <c r="AE1458" s="80" t="str">
        <f>HYPERLINK("https://twitter.com/cammilatorres91/status/1641798032671797251")</f>
        <v>https://twitter.com/cammilatorres91/status/1641798032671797251</v>
      </c>
      <c r="AF1458" s="79">
        <v>45016.570925925924</v>
      </c>
      <c r="AG1458" s="85">
        <v>45016</v>
      </c>
      <c r="AH1458" s="82" t="s">
        <v>11596</v>
      </c>
      <c r="AI1458" s="77" t="b">
        <v>1</v>
      </c>
      <c r="AJ1458" s="77"/>
      <c r="AK1458" s="77"/>
      <c r="AL1458" s="77"/>
      <c r="AM1458" s="77"/>
      <c r="AN1458" s="77"/>
      <c r="AO1458" s="77"/>
      <c r="AP1458" s="77"/>
      <c r="AQ1458" s="77" t="s">
        <v>14766</v>
      </c>
      <c r="AR1458" s="77"/>
      <c r="AS1458" s="77"/>
      <c r="AT1458" s="77"/>
      <c r="AU1458" s="77"/>
      <c r="AV1458" s="80" t="str">
        <f>HYPERLINK("https://pbs.twimg.com/media/FsjWmp6XgAEJ5J4.jpg")</f>
        <v>https://pbs.twimg.com/media/FsjWmp6XgAEJ5J4.jpg</v>
      </c>
      <c r="AW1458" s="82" t="s">
        <v>18231</v>
      </c>
      <c r="AX1458" s="82" t="s">
        <v>18231</v>
      </c>
      <c r="AY1458" s="77"/>
      <c r="AZ1458" s="82" t="s">
        <v>20971</v>
      </c>
      <c r="BA1458" s="82" t="s">
        <v>20971</v>
      </c>
      <c r="BB1458" s="82" t="s">
        <v>20971</v>
      </c>
      <c r="BC1458" s="82" t="s">
        <v>18231</v>
      </c>
      <c r="BD1458" s="82" t="s">
        <v>21262</v>
      </c>
      <c r="BE1458" s="77"/>
      <c r="BF1458" s="77"/>
      <c r="BG1458" s="77"/>
      <c r="BH1458" s="77"/>
      <c r="BI1458" s="77"/>
    </row>
    <row r="1459" spans="1:61" x14ac:dyDescent="0.25">
      <c r="A1459" s="62" t="s">
        <v>561</v>
      </c>
      <c r="B1459" s="62" t="s">
        <v>561</v>
      </c>
      <c r="C1459" s="63"/>
      <c r="D1459" s="64"/>
      <c r="E1459" s="65"/>
      <c r="F1459" s="66"/>
      <c r="G1459" s="63"/>
      <c r="H1459" s="67"/>
      <c r="I1459" s="68"/>
      <c r="J1459" s="68"/>
      <c r="K1459" s="32"/>
      <c r="L1459" s="75">
        <v>1459</v>
      </c>
      <c r="M1459" s="75"/>
      <c r="N1459" s="70"/>
      <c r="O1459" s="77" t="s">
        <v>179</v>
      </c>
      <c r="P1459" s="79">
        <v>45064.049062500002</v>
      </c>
      <c r="Q1459" s="77" t="s">
        <v>2703</v>
      </c>
      <c r="R1459" s="77">
        <v>0</v>
      </c>
      <c r="S1459" s="77">
        <v>0</v>
      </c>
      <c r="T1459" s="77">
        <v>0</v>
      </c>
      <c r="U1459" s="77">
        <v>0</v>
      </c>
      <c r="V1459" s="77">
        <v>58</v>
      </c>
      <c r="W1459" s="82" t="s">
        <v>5804</v>
      </c>
      <c r="X1459" s="77"/>
      <c r="Y1459" s="77"/>
      <c r="Z1459" s="77"/>
      <c r="AA1459" s="77" t="s">
        <v>8123</v>
      </c>
      <c r="AB1459" s="77" t="s">
        <v>10129</v>
      </c>
      <c r="AC1459" s="82" t="s">
        <v>10144</v>
      </c>
      <c r="AD1459" s="77" t="s">
        <v>10184</v>
      </c>
      <c r="AE1459" s="80" t="str">
        <f>HYPERLINK("https://twitter.com/papodemilhao022/status/1659003532807110657")</f>
        <v>https://twitter.com/papodemilhao022/status/1659003532807110657</v>
      </c>
      <c r="AF1459" s="79">
        <v>45064.049062500002</v>
      </c>
      <c r="AG1459" s="85">
        <v>45064</v>
      </c>
      <c r="AH1459" s="82" t="s">
        <v>11597</v>
      </c>
      <c r="AI1459" s="77" t="b">
        <v>0</v>
      </c>
      <c r="AJ1459" s="77"/>
      <c r="AK1459" s="77"/>
      <c r="AL1459" s="77"/>
      <c r="AM1459" s="77"/>
      <c r="AN1459" s="77"/>
      <c r="AO1459" s="77"/>
      <c r="AP1459" s="77"/>
      <c r="AQ1459" s="77" t="s">
        <v>14767</v>
      </c>
      <c r="AR1459" s="77">
        <v>44937</v>
      </c>
      <c r="AS1459" s="77"/>
      <c r="AT1459" s="77"/>
      <c r="AU1459" s="77"/>
      <c r="AV1459" s="80" t="str">
        <f>HYPERLINK("https://pbs.twimg.com/ext_tw_video_thumb/1659003493095550976/pu/img/I_8MWRjDSggOKeuh.jpg")</f>
        <v>https://pbs.twimg.com/ext_tw_video_thumb/1659003493095550976/pu/img/I_8MWRjDSggOKeuh.jpg</v>
      </c>
      <c r="AW1459" s="82" t="s">
        <v>18232</v>
      </c>
      <c r="AX1459" s="82" t="s">
        <v>18232</v>
      </c>
      <c r="AY1459" s="77"/>
      <c r="AZ1459" s="82" t="s">
        <v>20971</v>
      </c>
      <c r="BA1459" s="82" t="s">
        <v>20971</v>
      </c>
      <c r="BB1459" s="82" t="s">
        <v>20971</v>
      </c>
      <c r="BC1459" s="82" t="s">
        <v>18232</v>
      </c>
      <c r="BD1459" s="82" t="s">
        <v>21263</v>
      </c>
      <c r="BE1459" s="77"/>
      <c r="BF1459" s="77"/>
      <c r="BG1459" s="77"/>
      <c r="BH1459" s="77"/>
      <c r="BI1459" s="77"/>
    </row>
    <row r="1460" spans="1:61" x14ac:dyDescent="0.25">
      <c r="A1460" s="62" t="s">
        <v>561</v>
      </c>
      <c r="B1460" s="62" t="s">
        <v>561</v>
      </c>
      <c r="C1460" s="63"/>
      <c r="D1460" s="64"/>
      <c r="E1460" s="65"/>
      <c r="F1460" s="66"/>
      <c r="G1460" s="63"/>
      <c r="H1460" s="67"/>
      <c r="I1460" s="68"/>
      <c r="J1460" s="68"/>
      <c r="K1460" s="32"/>
      <c r="L1460" s="75">
        <v>1460</v>
      </c>
      <c r="M1460" s="75"/>
      <c r="N1460" s="70"/>
      <c r="O1460" s="77" t="s">
        <v>179</v>
      </c>
      <c r="P1460" s="79">
        <v>45063.026666666665</v>
      </c>
      <c r="Q1460" s="77" t="s">
        <v>2704</v>
      </c>
      <c r="R1460" s="77">
        <v>0</v>
      </c>
      <c r="S1460" s="77">
        <v>0</v>
      </c>
      <c r="T1460" s="77">
        <v>1</v>
      </c>
      <c r="U1460" s="77">
        <v>0</v>
      </c>
      <c r="V1460" s="77">
        <v>62</v>
      </c>
      <c r="W1460" s="82" t="s">
        <v>5805</v>
      </c>
      <c r="X1460" s="77"/>
      <c r="Y1460" s="77"/>
      <c r="Z1460" s="77"/>
      <c r="AA1460" s="77" t="s">
        <v>8124</v>
      </c>
      <c r="AB1460" s="77" t="s">
        <v>10129</v>
      </c>
      <c r="AC1460" s="82" t="s">
        <v>10144</v>
      </c>
      <c r="AD1460" s="77" t="s">
        <v>10184</v>
      </c>
      <c r="AE1460" s="80" t="str">
        <f>HYPERLINK("https://twitter.com/papodemilhao022/status/1658633029907087363")</f>
        <v>https://twitter.com/papodemilhao022/status/1658633029907087363</v>
      </c>
      <c r="AF1460" s="79">
        <v>45063.026666666665</v>
      </c>
      <c r="AG1460" s="85">
        <v>45063</v>
      </c>
      <c r="AH1460" s="82" t="s">
        <v>11598</v>
      </c>
      <c r="AI1460" s="77" t="b">
        <v>0</v>
      </c>
      <c r="AJ1460" s="77" t="s">
        <v>13999</v>
      </c>
      <c r="AK1460" s="77" t="s">
        <v>14033</v>
      </c>
      <c r="AL1460" s="77" t="s">
        <v>14035</v>
      </c>
      <c r="AM1460" s="77" t="s">
        <v>14041</v>
      </c>
      <c r="AN1460" s="77" t="s">
        <v>14078</v>
      </c>
      <c r="AO1460" s="77" t="s">
        <v>14116</v>
      </c>
      <c r="AP1460" s="77" t="s">
        <v>14149</v>
      </c>
      <c r="AQ1460" s="77" t="s">
        <v>14768</v>
      </c>
      <c r="AR1460" s="77">
        <v>44937</v>
      </c>
      <c r="AS1460" s="77"/>
      <c r="AT1460" s="77"/>
      <c r="AU1460" s="77"/>
      <c r="AV1460" s="80" t="str">
        <f>HYPERLINK("https://pbs.twimg.com/ext_tw_video_thumb/1658632959237279744/pu/img/2OrfoqsNlMO0Kmsq.jpg")</f>
        <v>https://pbs.twimg.com/ext_tw_video_thumb/1658632959237279744/pu/img/2OrfoqsNlMO0Kmsq.jpg</v>
      </c>
      <c r="AW1460" s="82" t="s">
        <v>18233</v>
      </c>
      <c r="AX1460" s="82" t="s">
        <v>18233</v>
      </c>
      <c r="AY1460" s="77"/>
      <c r="AZ1460" s="82" t="s">
        <v>20971</v>
      </c>
      <c r="BA1460" s="82" t="s">
        <v>20971</v>
      </c>
      <c r="BB1460" s="82" t="s">
        <v>20971</v>
      </c>
      <c r="BC1460" s="82" t="s">
        <v>18233</v>
      </c>
      <c r="BD1460" s="82" t="s">
        <v>21263</v>
      </c>
      <c r="BE1460" s="77"/>
      <c r="BF1460" s="77"/>
      <c r="BG1460" s="77"/>
      <c r="BH1460" s="77"/>
      <c r="BI1460" s="77"/>
    </row>
    <row r="1461" spans="1:61" x14ac:dyDescent="0.25">
      <c r="A1461" s="62" t="s">
        <v>562</v>
      </c>
      <c r="B1461" s="62" t="s">
        <v>562</v>
      </c>
      <c r="C1461" s="63"/>
      <c r="D1461" s="64"/>
      <c r="E1461" s="65"/>
      <c r="F1461" s="66"/>
      <c r="G1461" s="63"/>
      <c r="H1461" s="67"/>
      <c r="I1461" s="68"/>
      <c r="J1461" s="68"/>
      <c r="K1461" s="32"/>
      <c r="L1461" s="75">
        <v>1461</v>
      </c>
      <c r="M1461" s="75"/>
      <c r="N1461" s="70"/>
      <c r="O1461" s="77" t="s">
        <v>179</v>
      </c>
      <c r="P1461" s="79">
        <v>44956.724895833337</v>
      </c>
      <c r="Q1461" s="77" t="s">
        <v>2705</v>
      </c>
      <c r="R1461" s="77">
        <v>0</v>
      </c>
      <c r="S1461" s="77">
        <v>2</v>
      </c>
      <c r="T1461" s="77">
        <v>0</v>
      </c>
      <c r="U1461" s="77">
        <v>0</v>
      </c>
      <c r="V1461" s="77">
        <v>15</v>
      </c>
      <c r="W1461" s="82" t="s">
        <v>5806</v>
      </c>
      <c r="X1461" s="80" t="str">
        <f>HYPERLINK("https://www.supermundo.com.br/mundo/como-ganhar-dinheiro-online-em-2023/")</f>
        <v>https://www.supermundo.com.br/mundo/como-ganhar-dinheiro-online-em-2023/</v>
      </c>
      <c r="Y1461" s="77" t="s">
        <v>7252</v>
      </c>
      <c r="Z1461" s="77"/>
      <c r="AA1461" s="77"/>
      <c r="AB1461" s="77"/>
      <c r="AC1461" s="82" t="s">
        <v>10144</v>
      </c>
      <c r="AD1461" s="77" t="s">
        <v>10183</v>
      </c>
      <c r="AE1461" s="80" t="str">
        <f>HYPERLINK("https://twitter.com/supermundo5/status/1620110556769439744")</f>
        <v>https://twitter.com/supermundo5/status/1620110556769439744</v>
      </c>
      <c r="AF1461" s="79">
        <v>44956.724895833337</v>
      </c>
      <c r="AG1461" s="85">
        <v>44956</v>
      </c>
      <c r="AH1461" s="82" t="s">
        <v>11599</v>
      </c>
      <c r="AI1461" s="77" t="b">
        <v>0</v>
      </c>
      <c r="AJ1461" s="77"/>
      <c r="AK1461" s="77"/>
      <c r="AL1461" s="77"/>
      <c r="AM1461" s="77"/>
      <c r="AN1461" s="77"/>
      <c r="AO1461" s="77"/>
      <c r="AP1461" s="77"/>
      <c r="AQ1461" s="77"/>
      <c r="AR1461" s="77"/>
      <c r="AS1461" s="77"/>
      <c r="AT1461" s="77"/>
      <c r="AU1461" s="77"/>
      <c r="AV1461" s="80" t="str">
        <f>HYPERLINK("https://pbs.twimg.com/profile_images/1391133988056674304/V5y3M3VI_normal.jpg")</f>
        <v>https://pbs.twimg.com/profile_images/1391133988056674304/V5y3M3VI_normal.jpg</v>
      </c>
      <c r="AW1461" s="82" t="s">
        <v>18234</v>
      </c>
      <c r="AX1461" s="82" t="s">
        <v>18234</v>
      </c>
      <c r="AY1461" s="77"/>
      <c r="AZ1461" s="82" t="s">
        <v>20971</v>
      </c>
      <c r="BA1461" s="82" t="s">
        <v>20971</v>
      </c>
      <c r="BB1461" s="82" t="s">
        <v>20971</v>
      </c>
      <c r="BC1461" s="82" t="s">
        <v>18234</v>
      </c>
      <c r="BD1461" s="82" t="s">
        <v>21264</v>
      </c>
      <c r="BE1461" s="77"/>
      <c r="BF1461" s="77"/>
      <c r="BG1461" s="77"/>
      <c r="BH1461" s="77"/>
      <c r="BI1461" s="77"/>
    </row>
    <row r="1462" spans="1:61" x14ac:dyDescent="0.25">
      <c r="A1462" s="62" t="s">
        <v>563</v>
      </c>
      <c r="B1462" s="62" t="s">
        <v>563</v>
      </c>
      <c r="C1462" s="63"/>
      <c r="D1462" s="64"/>
      <c r="E1462" s="65"/>
      <c r="F1462" s="66"/>
      <c r="G1462" s="63"/>
      <c r="H1462" s="67"/>
      <c r="I1462" s="68"/>
      <c r="J1462" s="68"/>
      <c r="K1462" s="32"/>
      <c r="L1462" s="75">
        <v>1462</v>
      </c>
      <c r="M1462" s="75"/>
      <c r="N1462" s="70"/>
      <c r="O1462" s="77" t="s">
        <v>179</v>
      </c>
      <c r="P1462" s="79">
        <v>44988.625648148147</v>
      </c>
      <c r="Q1462" s="77" t="s">
        <v>2706</v>
      </c>
      <c r="R1462" s="77">
        <v>0</v>
      </c>
      <c r="S1462" s="77">
        <v>0</v>
      </c>
      <c r="T1462" s="77">
        <v>0</v>
      </c>
      <c r="U1462" s="77">
        <v>0</v>
      </c>
      <c r="V1462" s="77">
        <v>307</v>
      </c>
      <c r="W1462" s="82" t="s">
        <v>5807</v>
      </c>
      <c r="X1462" s="77"/>
      <c r="Y1462" s="77"/>
      <c r="Z1462" s="77"/>
      <c r="AA1462" s="77" t="s">
        <v>8125</v>
      </c>
      <c r="AB1462" s="77" t="s">
        <v>10129</v>
      </c>
      <c r="AC1462" s="82" t="s">
        <v>10147</v>
      </c>
      <c r="AD1462" s="77" t="s">
        <v>10184</v>
      </c>
      <c r="AE1462" s="80" t="str">
        <f>HYPERLINK("https://twitter.com/lendasbet/status/1631671002718511106")</f>
        <v>https://twitter.com/lendasbet/status/1631671002718511106</v>
      </c>
      <c r="AF1462" s="79">
        <v>44988.625648148147</v>
      </c>
      <c r="AG1462" s="85">
        <v>44988</v>
      </c>
      <c r="AH1462" s="82" t="s">
        <v>10964</v>
      </c>
      <c r="AI1462" s="77" t="b">
        <v>0</v>
      </c>
      <c r="AJ1462" s="77"/>
      <c r="AK1462" s="77"/>
      <c r="AL1462" s="77"/>
      <c r="AM1462" s="77"/>
      <c r="AN1462" s="77"/>
      <c r="AO1462" s="77"/>
      <c r="AP1462" s="77"/>
      <c r="AQ1462" s="77" t="s">
        <v>14769</v>
      </c>
      <c r="AR1462" s="77">
        <v>25358</v>
      </c>
      <c r="AS1462" s="77"/>
      <c r="AT1462" s="77"/>
      <c r="AU1462" s="77"/>
      <c r="AV1462" s="80" t="str">
        <f>HYPERLINK("https://pbs.twimg.com/ext_tw_video_thumb/1631670922334674953/pu/img/STr3ScYu6KI-t14X.jpg")</f>
        <v>https://pbs.twimg.com/ext_tw_video_thumb/1631670922334674953/pu/img/STr3ScYu6KI-t14X.jpg</v>
      </c>
      <c r="AW1462" s="82" t="s">
        <v>18235</v>
      </c>
      <c r="AX1462" s="82" t="s">
        <v>18235</v>
      </c>
      <c r="AY1462" s="77"/>
      <c r="AZ1462" s="82" t="s">
        <v>20971</v>
      </c>
      <c r="BA1462" s="82" t="s">
        <v>20971</v>
      </c>
      <c r="BB1462" s="82" t="s">
        <v>20971</v>
      </c>
      <c r="BC1462" s="82" t="s">
        <v>18235</v>
      </c>
      <c r="BD1462" s="82" t="s">
        <v>21265</v>
      </c>
      <c r="BE1462" s="77"/>
      <c r="BF1462" s="77"/>
      <c r="BG1462" s="77"/>
      <c r="BH1462" s="77"/>
      <c r="BI1462" s="77"/>
    </row>
    <row r="1463" spans="1:61" x14ac:dyDescent="0.25">
      <c r="A1463" s="62" t="s">
        <v>564</v>
      </c>
      <c r="B1463" s="62" t="s">
        <v>1241</v>
      </c>
      <c r="C1463" s="63"/>
      <c r="D1463" s="64"/>
      <c r="E1463" s="65"/>
      <c r="F1463" s="66"/>
      <c r="G1463" s="63"/>
      <c r="H1463" s="67"/>
      <c r="I1463" s="68"/>
      <c r="J1463" s="68"/>
      <c r="K1463" s="32"/>
      <c r="L1463" s="75">
        <v>1463</v>
      </c>
      <c r="M1463" s="75"/>
      <c r="N1463" s="70"/>
      <c r="O1463" s="77" t="s">
        <v>1285</v>
      </c>
      <c r="P1463" s="79">
        <v>45101.680324074077</v>
      </c>
      <c r="Q1463" s="77" t="s">
        <v>2707</v>
      </c>
      <c r="R1463" s="77">
        <v>0</v>
      </c>
      <c r="S1463" s="77">
        <v>0</v>
      </c>
      <c r="T1463" s="77">
        <v>0</v>
      </c>
      <c r="U1463" s="77">
        <v>0</v>
      </c>
      <c r="V1463" s="77">
        <v>179</v>
      </c>
      <c r="W1463" s="82" t="s">
        <v>5808</v>
      </c>
      <c r="X1463" s="80" t="str">
        <f>HYPERLINK("https://youtu.be/UoJAtgZ0Cj0")</f>
        <v>https://youtu.be/UoJAtgZ0Cj0</v>
      </c>
      <c r="Y1463" s="77" t="s">
        <v>7248</v>
      </c>
      <c r="Z1463" s="77" t="s">
        <v>1241</v>
      </c>
      <c r="AA1463" s="77"/>
      <c r="AB1463" s="77"/>
      <c r="AC1463" s="82" t="s">
        <v>10146</v>
      </c>
      <c r="AD1463" s="77" t="s">
        <v>10184</v>
      </c>
      <c r="AE1463" s="80" t="str">
        <f>HYPERLINK("https://twitter.com/jpasabrina/status/1672640643162669057")</f>
        <v>https://twitter.com/jpasabrina/status/1672640643162669057</v>
      </c>
      <c r="AF1463" s="79">
        <v>45101.680324074077</v>
      </c>
      <c r="AG1463" s="85">
        <v>45101</v>
      </c>
      <c r="AH1463" s="82" t="s">
        <v>11600</v>
      </c>
      <c r="AI1463" s="77" t="b">
        <v>0</v>
      </c>
      <c r="AJ1463" s="77"/>
      <c r="AK1463" s="77"/>
      <c r="AL1463" s="77"/>
      <c r="AM1463" s="77"/>
      <c r="AN1463" s="77"/>
      <c r="AO1463" s="77"/>
      <c r="AP1463" s="77"/>
      <c r="AQ1463" s="77"/>
      <c r="AR1463" s="77"/>
      <c r="AS1463" s="77"/>
      <c r="AT1463" s="77"/>
      <c r="AU1463" s="77"/>
      <c r="AV1463" s="80" t="str">
        <f>HYPERLINK("https://pbs.twimg.com/profile_images/1665795005041057794/GwFbJe_M_normal.jpg")</f>
        <v>https://pbs.twimg.com/profile_images/1665795005041057794/GwFbJe_M_normal.jpg</v>
      </c>
      <c r="AW1463" s="82" t="s">
        <v>18236</v>
      </c>
      <c r="AX1463" s="82" t="s">
        <v>18236</v>
      </c>
      <c r="AY1463" s="77"/>
      <c r="AZ1463" s="82" t="s">
        <v>20971</v>
      </c>
      <c r="BA1463" s="82" t="s">
        <v>20971</v>
      </c>
      <c r="BB1463" s="82" t="s">
        <v>20971</v>
      </c>
      <c r="BC1463" s="82" t="s">
        <v>18236</v>
      </c>
      <c r="BD1463" s="82" t="s">
        <v>21266</v>
      </c>
      <c r="BE1463" s="77"/>
      <c r="BF1463" s="77"/>
      <c r="BG1463" s="77"/>
      <c r="BH1463" s="77"/>
      <c r="BI1463" s="77"/>
    </row>
    <row r="1464" spans="1:61" x14ac:dyDescent="0.25">
      <c r="A1464" s="62" t="s">
        <v>565</v>
      </c>
      <c r="B1464" s="62" t="s">
        <v>565</v>
      </c>
      <c r="C1464" s="63"/>
      <c r="D1464" s="64"/>
      <c r="E1464" s="65"/>
      <c r="F1464" s="66"/>
      <c r="G1464" s="63"/>
      <c r="H1464" s="67"/>
      <c r="I1464" s="68"/>
      <c r="J1464" s="68"/>
      <c r="K1464" s="32"/>
      <c r="L1464" s="75">
        <v>1464</v>
      </c>
      <c r="M1464" s="75"/>
      <c r="N1464" s="70"/>
      <c r="O1464" s="77" t="s">
        <v>1284</v>
      </c>
      <c r="P1464" s="79">
        <v>44968.091226851851</v>
      </c>
      <c r="Q1464" s="77" t="s">
        <v>2708</v>
      </c>
      <c r="R1464" s="77">
        <v>0</v>
      </c>
      <c r="S1464" s="77">
        <v>0</v>
      </c>
      <c r="T1464" s="77">
        <v>0</v>
      </c>
      <c r="U1464" s="77">
        <v>0</v>
      </c>
      <c r="V1464" s="77">
        <v>177</v>
      </c>
      <c r="W1464" s="82" t="s">
        <v>5809</v>
      </c>
      <c r="X1464" s="77"/>
      <c r="Y1464" s="77"/>
      <c r="Z1464" s="77"/>
      <c r="AA1464" s="77"/>
      <c r="AB1464" s="77"/>
      <c r="AC1464" s="82" t="s">
        <v>10146</v>
      </c>
      <c r="AD1464" s="77" t="s">
        <v>10186</v>
      </c>
      <c r="AE1464" s="80" t="str">
        <f>HYPERLINK("https://twitter.com/laizdocarmosou1/status/1624229577735254018")</f>
        <v>https://twitter.com/laizdocarmosou1/status/1624229577735254018</v>
      </c>
      <c r="AF1464" s="79">
        <v>44968.091226851851</v>
      </c>
      <c r="AG1464" s="85">
        <v>44968</v>
      </c>
      <c r="AH1464" s="82" t="s">
        <v>11601</v>
      </c>
      <c r="AI1464" s="77"/>
      <c r="AJ1464" s="77"/>
      <c r="AK1464" s="77"/>
      <c r="AL1464" s="77"/>
      <c r="AM1464" s="77"/>
      <c r="AN1464" s="77"/>
      <c r="AO1464" s="77"/>
      <c r="AP1464" s="77"/>
      <c r="AQ1464" s="77"/>
      <c r="AR1464" s="77"/>
      <c r="AS1464" s="77"/>
      <c r="AT1464" s="77"/>
      <c r="AU1464" s="77"/>
      <c r="AV1464" s="80" t="str">
        <f>HYPERLINK("https://pbs.twimg.com/profile_images/1649023719933722626/kGal6RrE_normal.jpg")</f>
        <v>https://pbs.twimg.com/profile_images/1649023719933722626/kGal6RrE_normal.jpg</v>
      </c>
      <c r="AW1464" s="82" t="s">
        <v>18237</v>
      </c>
      <c r="AX1464" s="82" t="s">
        <v>20815</v>
      </c>
      <c r="AY1464" s="82" t="s">
        <v>20920</v>
      </c>
      <c r="AZ1464" s="82" t="s">
        <v>20815</v>
      </c>
      <c r="BA1464" s="82" t="s">
        <v>20971</v>
      </c>
      <c r="BB1464" s="82" t="s">
        <v>20971</v>
      </c>
      <c r="BC1464" s="82" t="s">
        <v>20815</v>
      </c>
      <c r="BD1464" s="82" t="s">
        <v>20920</v>
      </c>
      <c r="BE1464" s="77"/>
      <c r="BF1464" s="77"/>
      <c r="BG1464" s="77"/>
      <c r="BH1464" s="77"/>
      <c r="BI1464" s="77"/>
    </row>
    <row r="1465" spans="1:61" x14ac:dyDescent="0.25">
      <c r="A1465" s="62" t="s">
        <v>566</v>
      </c>
      <c r="B1465" s="62" t="s">
        <v>566</v>
      </c>
      <c r="C1465" s="63"/>
      <c r="D1465" s="64"/>
      <c r="E1465" s="65"/>
      <c r="F1465" s="66"/>
      <c r="G1465" s="63"/>
      <c r="H1465" s="67"/>
      <c r="I1465" s="68"/>
      <c r="J1465" s="68"/>
      <c r="K1465" s="32"/>
      <c r="L1465" s="75">
        <v>1465</v>
      </c>
      <c r="M1465" s="75"/>
      <c r="N1465" s="70"/>
      <c r="O1465" s="77" t="s">
        <v>179</v>
      </c>
      <c r="P1465" s="79">
        <v>45158.513252314813</v>
      </c>
      <c r="Q1465" s="77" t="s">
        <v>2709</v>
      </c>
      <c r="R1465" s="77">
        <v>0</v>
      </c>
      <c r="S1465" s="77">
        <v>0</v>
      </c>
      <c r="T1465" s="77">
        <v>0</v>
      </c>
      <c r="U1465" s="77">
        <v>0</v>
      </c>
      <c r="V1465" s="77">
        <v>47</v>
      </c>
      <c r="W1465" s="82" t="s">
        <v>5810</v>
      </c>
      <c r="X1465" s="77"/>
      <c r="Y1465" s="77"/>
      <c r="Z1465" s="77"/>
      <c r="AA1465" s="77" t="s">
        <v>8126</v>
      </c>
      <c r="AB1465" s="77" t="s">
        <v>10129</v>
      </c>
      <c r="AC1465" s="82" t="s">
        <v>10144</v>
      </c>
      <c r="AD1465" s="77" t="s">
        <v>10184</v>
      </c>
      <c r="AE1465" s="80" t="str">
        <f>HYPERLINK("https://twitter.com/cartianuel1725/status/1693236207050723810")</f>
        <v>https://twitter.com/cartianuel1725/status/1693236207050723810</v>
      </c>
      <c r="AF1465" s="79">
        <v>45158.513252314813</v>
      </c>
      <c r="AG1465" s="85">
        <v>45158</v>
      </c>
      <c r="AH1465" s="82" t="s">
        <v>11602</v>
      </c>
      <c r="AI1465" s="77" t="b">
        <v>0</v>
      </c>
      <c r="AJ1465" s="77"/>
      <c r="AK1465" s="77"/>
      <c r="AL1465" s="77"/>
      <c r="AM1465" s="77"/>
      <c r="AN1465" s="77"/>
      <c r="AO1465" s="77"/>
      <c r="AP1465" s="77"/>
      <c r="AQ1465" s="77" t="s">
        <v>14770</v>
      </c>
      <c r="AR1465" s="77">
        <v>44975</v>
      </c>
      <c r="AS1465" s="77"/>
      <c r="AT1465" s="77"/>
      <c r="AU1465" s="77"/>
      <c r="AV1465" s="80" t="str">
        <f>HYPERLINK("https://pbs.twimg.com/ext_tw_video_thumb/1693236107918397440/pu/img/KYTUSU2Wym-IZUh4.jpg")</f>
        <v>https://pbs.twimg.com/ext_tw_video_thumb/1693236107918397440/pu/img/KYTUSU2Wym-IZUh4.jpg</v>
      </c>
      <c r="AW1465" s="82" t="s">
        <v>18238</v>
      </c>
      <c r="AX1465" s="82" t="s">
        <v>18238</v>
      </c>
      <c r="AY1465" s="77"/>
      <c r="AZ1465" s="82" t="s">
        <v>20971</v>
      </c>
      <c r="BA1465" s="82" t="s">
        <v>20971</v>
      </c>
      <c r="BB1465" s="82" t="s">
        <v>20971</v>
      </c>
      <c r="BC1465" s="82" t="s">
        <v>18238</v>
      </c>
      <c r="BD1465" s="82" t="s">
        <v>21267</v>
      </c>
      <c r="BE1465" s="77"/>
      <c r="BF1465" s="77"/>
      <c r="BG1465" s="77"/>
      <c r="BH1465" s="77"/>
      <c r="BI1465" s="77"/>
    </row>
    <row r="1466" spans="1:61" x14ac:dyDescent="0.25">
      <c r="A1466" s="62" t="s">
        <v>567</v>
      </c>
      <c r="B1466" s="62" t="s">
        <v>567</v>
      </c>
      <c r="C1466" s="63"/>
      <c r="D1466" s="64"/>
      <c r="E1466" s="65"/>
      <c r="F1466" s="66"/>
      <c r="G1466" s="63"/>
      <c r="H1466" s="67"/>
      <c r="I1466" s="68"/>
      <c r="J1466" s="68"/>
      <c r="K1466" s="32"/>
      <c r="L1466" s="75">
        <v>1466</v>
      </c>
      <c r="M1466" s="75"/>
      <c r="N1466" s="70"/>
      <c r="O1466" s="77" t="s">
        <v>179</v>
      </c>
      <c r="P1466" s="79">
        <v>45061.588564814818</v>
      </c>
      <c r="Q1466" s="77" t="s">
        <v>2710</v>
      </c>
      <c r="R1466" s="77">
        <v>0</v>
      </c>
      <c r="S1466" s="77">
        <v>1</v>
      </c>
      <c r="T1466" s="77">
        <v>0</v>
      </c>
      <c r="U1466" s="77">
        <v>0</v>
      </c>
      <c r="V1466" s="77">
        <v>58</v>
      </c>
      <c r="W1466" s="82" t="s">
        <v>5811</v>
      </c>
      <c r="X1466" s="77"/>
      <c r="Y1466" s="77"/>
      <c r="Z1466" s="77"/>
      <c r="AA1466" s="77" t="s">
        <v>8127</v>
      </c>
      <c r="AB1466" s="77" t="s">
        <v>10129</v>
      </c>
      <c r="AC1466" s="82" t="s">
        <v>10145</v>
      </c>
      <c r="AD1466" s="77" t="s">
        <v>10184</v>
      </c>
      <c r="AE1466" s="80" t="str">
        <f>HYPERLINK("https://twitter.com/lifegoldroyal/status/1658111876432121857")</f>
        <v>https://twitter.com/lifegoldroyal/status/1658111876432121857</v>
      </c>
      <c r="AF1466" s="79">
        <v>45061.588564814818</v>
      </c>
      <c r="AG1466" s="85">
        <v>45061</v>
      </c>
      <c r="AH1466" s="82" t="s">
        <v>11603</v>
      </c>
      <c r="AI1466" s="77" t="b">
        <v>0</v>
      </c>
      <c r="AJ1466" s="77"/>
      <c r="AK1466" s="77"/>
      <c r="AL1466" s="77"/>
      <c r="AM1466" s="77"/>
      <c r="AN1466" s="77"/>
      <c r="AO1466" s="77"/>
      <c r="AP1466" s="77"/>
      <c r="AQ1466" s="77" t="s">
        <v>14771</v>
      </c>
      <c r="AR1466" s="77">
        <v>13000</v>
      </c>
      <c r="AS1466" s="77"/>
      <c r="AT1466" s="77"/>
      <c r="AU1466" s="77"/>
      <c r="AV1466" s="80" t="str">
        <f>HYPERLINK("https://pbs.twimg.com/ext_tw_video_thumb/1658111830395437058/pu/img/7JkHBeICBzCF-r0B.jpg")</f>
        <v>https://pbs.twimg.com/ext_tw_video_thumb/1658111830395437058/pu/img/7JkHBeICBzCF-r0B.jpg</v>
      </c>
      <c r="AW1466" s="82" t="s">
        <v>18239</v>
      </c>
      <c r="AX1466" s="82" t="s">
        <v>18239</v>
      </c>
      <c r="AY1466" s="77"/>
      <c r="AZ1466" s="82" t="s">
        <v>20971</v>
      </c>
      <c r="BA1466" s="82" t="s">
        <v>20971</v>
      </c>
      <c r="BB1466" s="82" t="s">
        <v>20971</v>
      </c>
      <c r="BC1466" s="82" t="s">
        <v>18239</v>
      </c>
      <c r="BD1466" s="82" t="s">
        <v>21268</v>
      </c>
      <c r="BE1466" s="77"/>
      <c r="BF1466" s="77"/>
      <c r="BG1466" s="77"/>
      <c r="BH1466" s="77"/>
      <c r="BI1466" s="77"/>
    </row>
    <row r="1467" spans="1:61" x14ac:dyDescent="0.25">
      <c r="A1467" s="62" t="s">
        <v>567</v>
      </c>
      <c r="B1467" s="62" t="s">
        <v>567</v>
      </c>
      <c r="C1467" s="63"/>
      <c r="D1467" s="64"/>
      <c r="E1467" s="65"/>
      <c r="F1467" s="66"/>
      <c r="G1467" s="63"/>
      <c r="H1467" s="67"/>
      <c r="I1467" s="68"/>
      <c r="J1467" s="68"/>
      <c r="K1467" s="32"/>
      <c r="L1467" s="75">
        <v>1467</v>
      </c>
      <c r="M1467" s="75"/>
      <c r="N1467" s="70"/>
      <c r="O1467" s="77" t="s">
        <v>179</v>
      </c>
      <c r="P1467" s="79">
        <v>45061.588425925926</v>
      </c>
      <c r="Q1467" s="77" t="s">
        <v>2711</v>
      </c>
      <c r="R1467" s="77">
        <v>0</v>
      </c>
      <c r="S1467" s="77">
        <v>1</v>
      </c>
      <c r="T1467" s="77">
        <v>0</v>
      </c>
      <c r="U1467" s="77">
        <v>0</v>
      </c>
      <c r="V1467" s="77">
        <v>52</v>
      </c>
      <c r="W1467" s="82" t="s">
        <v>5811</v>
      </c>
      <c r="X1467" s="77"/>
      <c r="Y1467" s="77"/>
      <c r="Z1467" s="77"/>
      <c r="AA1467" s="77" t="s">
        <v>8128</v>
      </c>
      <c r="AB1467" s="77" t="s">
        <v>10129</v>
      </c>
      <c r="AC1467" s="82" t="s">
        <v>10145</v>
      </c>
      <c r="AD1467" s="77" t="s">
        <v>10184</v>
      </c>
      <c r="AE1467" s="80" t="str">
        <f>HYPERLINK("https://twitter.com/lifegoldroyal/status/1658111826599575558")</f>
        <v>https://twitter.com/lifegoldroyal/status/1658111826599575558</v>
      </c>
      <c r="AF1467" s="79">
        <v>45061.588425925926</v>
      </c>
      <c r="AG1467" s="85">
        <v>45061</v>
      </c>
      <c r="AH1467" s="82" t="s">
        <v>11604</v>
      </c>
      <c r="AI1467" s="77" t="b">
        <v>0</v>
      </c>
      <c r="AJ1467" s="77"/>
      <c r="AK1467" s="77"/>
      <c r="AL1467" s="77"/>
      <c r="AM1467" s="77"/>
      <c r="AN1467" s="77"/>
      <c r="AO1467" s="77"/>
      <c r="AP1467" s="77"/>
      <c r="AQ1467" s="77" t="s">
        <v>14772</v>
      </c>
      <c r="AR1467" s="77">
        <v>13833</v>
      </c>
      <c r="AS1467" s="77"/>
      <c r="AT1467" s="77"/>
      <c r="AU1467" s="77"/>
      <c r="AV1467" s="80" t="str">
        <f>HYPERLINK("https://pbs.twimg.com/ext_tw_video_thumb/1658111767095005193/pu/img/YDJujknBp7Z469w0.jpg")</f>
        <v>https://pbs.twimg.com/ext_tw_video_thumb/1658111767095005193/pu/img/YDJujknBp7Z469w0.jpg</v>
      </c>
      <c r="AW1467" s="82" t="s">
        <v>18240</v>
      </c>
      <c r="AX1467" s="82" t="s">
        <v>18240</v>
      </c>
      <c r="AY1467" s="77"/>
      <c r="AZ1467" s="82" t="s">
        <v>20971</v>
      </c>
      <c r="BA1467" s="82" t="s">
        <v>20971</v>
      </c>
      <c r="BB1467" s="82" t="s">
        <v>20971</v>
      </c>
      <c r="BC1467" s="82" t="s">
        <v>18240</v>
      </c>
      <c r="BD1467" s="82" t="s">
        <v>21268</v>
      </c>
      <c r="BE1467" s="77"/>
      <c r="BF1467" s="77"/>
      <c r="BG1467" s="77"/>
      <c r="BH1467" s="77"/>
      <c r="BI1467" s="77"/>
    </row>
    <row r="1468" spans="1:61" x14ac:dyDescent="0.25">
      <c r="A1468" s="62" t="s">
        <v>567</v>
      </c>
      <c r="B1468" s="62" t="s">
        <v>567</v>
      </c>
      <c r="C1468" s="63"/>
      <c r="D1468" s="64"/>
      <c r="E1468" s="65"/>
      <c r="F1468" s="66"/>
      <c r="G1468" s="63"/>
      <c r="H1468" s="67"/>
      <c r="I1468" s="68"/>
      <c r="J1468" s="68"/>
      <c r="K1468" s="32"/>
      <c r="L1468" s="75">
        <v>1468</v>
      </c>
      <c r="M1468" s="75"/>
      <c r="N1468" s="70"/>
      <c r="O1468" s="77" t="s">
        <v>179</v>
      </c>
      <c r="P1468" s="79">
        <v>45061.587951388887</v>
      </c>
      <c r="Q1468" s="77" t="s">
        <v>2712</v>
      </c>
      <c r="R1468" s="77">
        <v>0</v>
      </c>
      <c r="S1468" s="77">
        <v>1</v>
      </c>
      <c r="T1468" s="77">
        <v>0</v>
      </c>
      <c r="U1468" s="77">
        <v>0</v>
      </c>
      <c r="V1468" s="77">
        <v>59</v>
      </c>
      <c r="W1468" s="82" t="s">
        <v>5811</v>
      </c>
      <c r="X1468" s="77"/>
      <c r="Y1468" s="77"/>
      <c r="Z1468" s="77"/>
      <c r="AA1468" s="77" t="s">
        <v>8129</v>
      </c>
      <c r="AB1468" s="77" t="s">
        <v>10129</v>
      </c>
      <c r="AC1468" s="82" t="s">
        <v>10145</v>
      </c>
      <c r="AD1468" s="77" t="s">
        <v>10184</v>
      </c>
      <c r="AE1468" s="80" t="str">
        <f>HYPERLINK("https://twitter.com/lifegoldroyal/status/1658111656566616064")</f>
        <v>https://twitter.com/lifegoldroyal/status/1658111656566616064</v>
      </c>
      <c r="AF1468" s="79">
        <v>45061.587951388887</v>
      </c>
      <c r="AG1468" s="85">
        <v>45061</v>
      </c>
      <c r="AH1468" s="82" t="s">
        <v>11605</v>
      </c>
      <c r="AI1468" s="77" t="b">
        <v>0</v>
      </c>
      <c r="AJ1468" s="77"/>
      <c r="AK1468" s="77"/>
      <c r="AL1468" s="77"/>
      <c r="AM1468" s="77"/>
      <c r="AN1468" s="77"/>
      <c r="AO1468" s="77"/>
      <c r="AP1468" s="77"/>
      <c r="AQ1468" s="77" t="s">
        <v>14773</v>
      </c>
      <c r="AR1468" s="77">
        <v>14800</v>
      </c>
      <c r="AS1468" s="77"/>
      <c r="AT1468" s="77"/>
      <c r="AU1468" s="77"/>
      <c r="AV1468" s="80" t="str">
        <f>HYPERLINK("https://pbs.twimg.com/ext_tw_video_thumb/1658111597133299713/pu/img/BOz-Jqz1i6Dz4Dv_.jpg")</f>
        <v>https://pbs.twimg.com/ext_tw_video_thumb/1658111597133299713/pu/img/BOz-Jqz1i6Dz4Dv_.jpg</v>
      </c>
      <c r="AW1468" s="82" t="s">
        <v>18241</v>
      </c>
      <c r="AX1468" s="82" t="s">
        <v>18241</v>
      </c>
      <c r="AY1468" s="77"/>
      <c r="AZ1468" s="82" t="s">
        <v>20971</v>
      </c>
      <c r="BA1468" s="82" t="s">
        <v>20971</v>
      </c>
      <c r="BB1468" s="82" t="s">
        <v>20971</v>
      </c>
      <c r="BC1468" s="82" t="s">
        <v>18241</v>
      </c>
      <c r="BD1468" s="82" t="s">
        <v>21268</v>
      </c>
      <c r="BE1468" s="77"/>
      <c r="BF1468" s="77"/>
      <c r="BG1468" s="77"/>
      <c r="BH1468" s="77"/>
      <c r="BI1468" s="77"/>
    </row>
    <row r="1469" spans="1:61" x14ac:dyDescent="0.25">
      <c r="A1469" s="62" t="s">
        <v>568</v>
      </c>
      <c r="B1469" s="62" t="s">
        <v>568</v>
      </c>
      <c r="C1469" s="63"/>
      <c r="D1469" s="64"/>
      <c r="E1469" s="65"/>
      <c r="F1469" s="66"/>
      <c r="G1469" s="63"/>
      <c r="H1469" s="67"/>
      <c r="I1469" s="68"/>
      <c r="J1469" s="68"/>
      <c r="K1469" s="32"/>
      <c r="L1469" s="75">
        <v>1469</v>
      </c>
      <c r="M1469" s="75"/>
      <c r="N1469" s="70"/>
      <c r="O1469" s="77" t="s">
        <v>179</v>
      </c>
      <c r="P1469" s="79">
        <v>45084.528148148151</v>
      </c>
      <c r="Q1469" s="77" t="s">
        <v>2713</v>
      </c>
      <c r="R1469" s="77">
        <v>0</v>
      </c>
      <c r="S1469" s="77">
        <v>0</v>
      </c>
      <c r="T1469" s="77">
        <v>0</v>
      </c>
      <c r="U1469" s="77">
        <v>0</v>
      </c>
      <c r="V1469" s="77">
        <v>9</v>
      </c>
      <c r="W1469" s="82" t="s">
        <v>5812</v>
      </c>
      <c r="X1469" s="80" t="str">
        <f>HYPERLINK("https://edzz.la/AASAR?a=96814921")</f>
        <v>https://edzz.la/AASAR?a=96814921</v>
      </c>
      <c r="Y1469" s="77" t="s">
        <v>7271</v>
      </c>
      <c r="Z1469" s="77"/>
      <c r="AA1469" s="77"/>
      <c r="AB1469" s="77"/>
      <c r="AC1469" s="82" t="s">
        <v>10146</v>
      </c>
      <c r="AD1469" s="77" t="s">
        <v>10184</v>
      </c>
      <c r="AE1469" s="80" t="str">
        <f>HYPERLINK("https://twitter.com/jaineddalmeida/status/1666424902633521153")</f>
        <v>https://twitter.com/jaineddalmeida/status/1666424902633521153</v>
      </c>
      <c r="AF1469" s="79">
        <v>45084.528148148151</v>
      </c>
      <c r="AG1469" s="85">
        <v>45084</v>
      </c>
      <c r="AH1469" s="82" t="s">
        <v>11606</v>
      </c>
      <c r="AI1469" s="77" t="b">
        <v>0</v>
      </c>
      <c r="AJ1469" s="77"/>
      <c r="AK1469" s="77"/>
      <c r="AL1469" s="77"/>
      <c r="AM1469" s="77"/>
      <c r="AN1469" s="77"/>
      <c r="AO1469" s="77"/>
      <c r="AP1469" s="77"/>
      <c r="AQ1469" s="77"/>
      <c r="AR1469" s="77"/>
      <c r="AS1469" s="77"/>
      <c r="AT1469" s="77"/>
      <c r="AU1469" s="77"/>
      <c r="AV1469" s="80" t="str">
        <f>HYPERLINK("https://pbs.twimg.com/profile_images/1658153539326099457/dXAptvZy_normal.jpg")</f>
        <v>https://pbs.twimg.com/profile_images/1658153539326099457/dXAptvZy_normal.jpg</v>
      </c>
      <c r="AW1469" s="82" t="s">
        <v>18242</v>
      </c>
      <c r="AX1469" s="82" t="s">
        <v>18242</v>
      </c>
      <c r="AY1469" s="77"/>
      <c r="AZ1469" s="82" t="s">
        <v>20971</v>
      </c>
      <c r="BA1469" s="82" t="s">
        <v>20971</v>
      </c>
      <c r="BB1469" s="82" t="s">
        <v>20971</v>
      </c>
      <c r="BC1469" s="82" t="s">
        <v>18242</v>
      </c>
      <c r="BD1469" s="82" t="s">
        <v>21269</v>
      </c>
      <c r="BE1469" s="77"/>
      <c r="BF1469" s="77"/>
      <c r="BG1469" s="77"/>
      <c r="BH1469" s="77"/>
      <c r="BI1469" s="77"/>
    </row>
    <row r="1470" spans="1:61" x14ac:dyDescent="0.25">
      <c r="A1470" s="62" t="s">
        <v>568</v>
      </c>
      <c r="B1470" s="62" t="s">
        <v>568</v>
      </c>
      <c r="C1470" s="63"/>
      <c r="D1470" s="64"/>
      <c r="E1470" s="65"/>
      <c r="F1470" s="66"/>
      <c r="G1470" s="63"/>
      <c r="H1470" s="67"/>
      <c r="I1470" s="68"/>
      <c r="J1470" s="68"/>
      <c r="K1470" s="32"/>
      <c r="L1470" s="75">
        <v>1470</v>
      </c>
      <c r="M1470" s="75"/>
      <c r="N1470" s="70"/>
      <c r="O1470" s="77" t="s">
        <v>179</v>
      </c>
      <c r="P1470" s="79">
        <v>45083.815821759257</v>
      </c>
      <c r="Q1470" s="77" t="s">
        <v>2714</v>
      </c>
      <c r="R1470" s="77">
        <v>0</v>
      </c>
      <c r="S1470" s="77">
        <v>0</v>
      </c>
      <c r="T1470" s="77">
        <v>0</v>
      </c>
      <c r="U1470" s="77">
        <v>0</v>
      </c>
      <c r="V1470" s="77">
        <v>17</v>
      </c>
      <c r="W1470" s="82" t="s">
        <v>5812</v>
      </c>
      <c r="X1470" s="77"/>
      <c r="Y1470" s="77"/>
      <c r="Z1470" s="77"/>
      <c r="AA1470" s="77"/>
      <c r="AB1470" s="77"/>
      <c r="AC1470" s="82" t="s">
        <v>10146</v>
      </c>
      <c r="AD1470" s="77" t="s">
        <v>10184</v>
      </c>
      <c r="AE1470" s="80" t="str">
        <f>HYPERLINK("https://twitter.com/jaineddalmeida/status/1666166765469024258")</f>
        <v>https://twitter.com/jaineddalmeida/status/1666166765469024258</v>
      </c>
      <c r="AF1470" s="79">
        <v>45083.815821759257</v>
      </c>
      <c r="AG1470" s="85">
        <v>45083</v>
      </c>
      <c r="AH1470" s="82" t="s">
        <v>11607</v>
      </c>
      <c r="AI1470" s="77"/>
      <c r="AJ1470" s="77"/>
      <c r="AK1470" s="77"/>
      <c r="AL1470" s="77"/>
      <c r="AM1470" s="77"/>
      <c r="AN1470" s="77"/>
      <c r="AO1470" s="77"/>
      <c r="AP1470" s="77"/>
      <c r="AQ1470" s="77"/>
      <c r="AR1470" s="77"/>
      <c r="AS1470" s="77"/>
      <c r="AT1470" s="77"/>
      <c r="AU1470" s="77"/>
      <c r="AV1470" s="80" t="str">
        <f>HYPERLINK("https://pbs.twimg.com/profile_images/1658153539326099457/dXAptvZy_normal.jpg")</f>
        <v>https://pbs.twimg.com/profile_images/1658153539326099457/dXAptvZy_normal.jpg</v>
      </c>
      <c r="AW1470" s="82" t="s">
        <v>18243</v>
      </c>
      <c r="AX1470" s="82" t="s">
        <v>18243</v>
      </c>
      <c r="AY1470" s="77"/>
      <c r="AZ1470" s="82" t="s">
        <v>20971</v>
      </c>
      <c r="BA1470" s="82" t="s">
        <v>20971</v>
      </c>
      <c r="BB1470" s="82" t="s">
        <v>20971</v>
      </c>
      <c r="BC1470" s="82" t="s">
        <v>18243</v>
      </c>
      <c r="BD1470" s="82" t="s">
        <v>21269</v>
      </c>
      <c r="BE1470" s="77"/>
      <c r="BF1470" s="77"/>
      <c r="BG1470" s="77"/>
      <c r="BH1470" s="77"/>
      <c r="BI1470" s="77"/>
    </row>
    <row r="1471" spans="1:61" x14ac:dyDescent="0.25">
      <c r="A1471" s="62" t="s">
        <v>568</v>
      </c>
      <c r="B1471" s="62" t="s">
        <v>568</v>
      </c>
      <c r="C1471" s="63"/>
      <c r="D1471" s="64"/>
      <c r="E1471" s="65"/>
      <c r="F1471" s="66"/>
      <c r="G1471" s="63"/>
      <c r="H1471" s="67"/>
      <c r="I1471" s="68"/>
      <c r="J1471" s="68"/>
      <c r="K1471" s="32"/>
      <c r="L1471" s="75">
        <v>1471</v>
      </c>
      <c r="M1471" s="75"/>
      <c r="N1471" s="70"/>
      <c r="O1471" s="77" t="s">
        <v>179</v>
      </c>
      <c r="P1471" s="79">
        <v>45083.811724537038</v>
      </c>
      <c r="Q1471" s="77" t="s">
        <v>2715</v>
      </c>
      <c r="R1471" s="77">
        <v>0</v>
      </c>
      <c r="S1471" s="77">
        <v>0</v>
      </c>
      <c r="T1471" s="77">
        <v>0</v>
      </c>
      <c r="U1471" s="77">
        <v>0</v>
      </c>
      <c r="V1471" s="77">
        <v>16</v>
      </c>
      <c r="W1471" s="82" t="s">
        <v>5813</v>
      </c>
      <c r="X1471" s="80" t="str">
        <f>HYPERLINK("https://edzz.la/AASAR?a=96814921")</f>
        <v>https://edzz.la/AASAR?a=96814921</v>
      </c>
      <c r="Y1471" s="77" t="s">
        <v>7271</v>
      </c>
      <c r="Z1471" s="77"/>
      <c r="AA1471" s="77"/>
      <c r="AB1471" s="77"/>
      <c r="AC1471" s="82" t="s">
        <v>10146</v>
      </c>
      <c r="AD1471" s="77" t="s">
        <v>10184</v>
      </c>
      <c r="AE1471" s="80" t="str">
        <f>HYPERLINK("https://twitter.com/jaineddalmeida/status/1666165279494230019")</f>
        <v>https://twitter.com/jaineddalmeida/status/1666165279494230019</v>
      </c>
      <c r="AF1471" s="79">
        <v>45083.811724537038</v>
      </c>
      <c r="AG1471" s="85">
        <v>45083</v>
      </c>
      <c r="AH1471" s="82" t="s">
        <v>11608</v>
      </c>
      <c r="AI1471" s="77" t="b">
        <v>0</v>
      </c>
      <c r="AJ1471" s="77"/>
      <c r="AK1471" s="77"/>
      <c r="AL1471" s="77"/>
      <c r="AM1471" s="77"/>
      <c r="AN1471" s="77"/>
      <c r="AO1471" s="77"/>
      <c r="AP1471" s="77"/>
      <c r="AQ1471" s="77"/>
      <c r="AR1471" s="77"/>
      <c r="AS1471" s="77"/>
      <c r="AT1471" s="77"/>
      <c r="AU1471" s="77"/>
      <c r="AV1471" s="80" t="str">
        <f>HYPERLINK("https://pbs.twimg.com/profile_images/1658153539326099457/dXAptvZy_normal.jpg")</f>
        <v>https://pbs.twimg.com/profile_images/1658153539326099457/dXAptvZy_normal.jpg</v>
      </c>
      <c r="AW1471" s="82" t="s">
        <v>18244</v>
      </c>
      <c r="AX1471" s="82" t="s">
        <v>18244</v>
      </c>
      <c r="AY1471" s="77"/>
      <c r="AZ1471" s="82" t="s">
        <v>20971</v>
      </c>
      <c r="BA1471" s="82" t="s">
        <v>20971</v>
      </c>
      <c r="BB1471" s="82" t="s">
        <v>20971</v>
      </c>
      <c r="BC1471" s="82" t="s">
        <v>18244</v>
      </c>
      <c r="BD1471" s="82" t="s">
        <v>21269</v>
      </c>
      <c r="BE1471" s="77"/>
      <c r="BF1471" s="77"/>
      <c r="BG1471" s="77"/>
      <c r="BH1471" s="77"/>
      <c r="BI1471" s="77"/>
    </row>
    <row r="1472" spans="1:61" x14ac:dyDescent="0.25">
      <c r="A1472" s="62" t="s">
        <v>568</v>
      </c>
      <c r="B1472" s="62" t="s">
        <v>568</v>
      </c>
      <c r="C1472" s="63"/>
      <c r="D1472" s="64"/>
      <c r="E1472" s="65"/>
      <c r="F1472" s="66"/>
      <c r="G1472" s="63"/>
      <c r="H1472" s="67"/>
      <c r="I1472" s="68"/>
      <c r="J1472" s="68"/>
      <c r="K1472" s="32"/>
      <c r="L1472" s="75">
        <v>1472</v>
      </c>
      <c r="M1472" s="75"/>
      <c r="N1472" s="70"/>
      <c r="O1472" s="77" t="s">
        <v>179</v>
      </c>
      <c r="P1472" s="79">
        <v>45098.521458333336</v>
      </c>
      <c r="Q1472" s="77" t="s">
        <v>2716</v>
      </c>
      <c r="R1472" s="77">
        <v>0</v>
      </c>
      <c r="S1472" s="77">
        <v>0</v>
      </c>
      <c r="T1472" s="77">
        <v>0</v>
      </c>
      <c r="U1472" s="77">
        <v>0</v>
      </c>
      <c r="V1472" s="77">
        <v>27</v>
      </c>
      <c r="W1472" s="82" t="s">
        <v>5814</v>
      </c>
      <c r="X1472" s="77"/>
      <c r="Y1472" s="77"/>
      <c r="Z1472" s="77"/>
      <c r="AA1472" s="77" t="s">
        <v>8130</v>
      </c>
      <c r="AB1472" s="77" t="s">
        <v>10130</v>
      </c>
      <c r="AC1472" s="82" t="s">
        <v>10146</v>
      </c>
      <c r="AD1472" s="77" t="s">
        <v>10184</v>
      </c>
      <c r="AE1472" s="80" t="str">
        <f>HYPERLINK("https://twitter.com/jaineddalmeida/status/1671495911673942020")</f>
        <v>https://twitter.com/jaineddalmeida/status/1671495911673942020</v>
      </c>
      <c r="AF1472" s="79">
        <v>45098.521458333336</v>
      </c>
      <c r="AG1472" s="85">
        <v>45098</v>
      </c>
      <c r="AH1472" s="82" t="s">
        <v>11609</v>
      </c>
      <c r="AI1472" s="77" t="b">
        <v>0</v>
      </c>
      <c r="AJ1472" s="77"/>
      <c r="AK1472" s="77"/>
      <c r="AL1472" s="77"/>
      <c r="AM1472" s="77"/>
      <c r="AN1472" s="77"/>
      <c r="AO1472" s="77"/>
      <c r="AP1472" s="77"/>
      <c r="AQ1472" s="77" t="s">
        <v>14774</v>
      </c>
      <c r="AR1472" s="77"/>
      <c r="AS1472" s="77"/>
      <c r="AT1472" s="77"/>
      <c r="AU1472" s="77"/>
      <c r="AV1472" s="80" t="str">
        <f>HYPERLINK("https://pbs.twimg.com/media/FzJYHO7WAAEDS7l.jpg")</f>
        <v>https://pbs.twimg.com/media/FzJYHO7WAAEDS7l.jpg</v>
      </c>
      <c r="AW1472" s="82" t="s">
        <v>18245</v>
      </c>
      <c r="AX1472" s="82" t="s">
        <v>18245</v>
      </c>
      <c r="AY1472" s="77"/>
      <c r="AZ1472" s="82" t="s">
        <v>20971</v>
      </c>
      <c r="BA1472" s="82" t="s">
        <v>20971</v>
      </c>
      <c r="BB1472" s="82" t="s">
        <v>20971</v>
      </c>
      <c r="BC1472" s="82" t="s">
        <v>18245</v>
      </c>
      <c r="BD1472" s="82" t="s">
        <v>21269</v>
      </c>
      <c r="BE1472" s="77"/>
      <c r="BF1472" s="77"/>
      <c r="BG1472" s="77"/>
      <c r="BH1472" s="77"/>
      <c r="BI1472" s="77"/>
    </row>
    <row r="1473" spans="1:61" x14ac:dyDescent="0.25">
      <c r="A1473" s="62" t="s">
        <v>569</v>
      </c>
      <c r="B1473" s="62" t="s">
        <v>569</v>
      </c>
      <c r="C1473" s="63"/>
      <c r="D1473" s="64"/>
      <c r="E1473" s="65"/>
      <c r="F1473" s="66"/>
      <c r="G1473" s="63"/>
      <c r="H1473" s="67"/>
      <c r="I1473" s="68"/>
      <c r="J1473" s="68"/>
      <c r="K1473" s="32"/>
      <c r="L1473" s="75">
        <v>1473</v>
      </c>
      <c r="M1473" s="75"/>
      <c r="N1473" s="70"/>
      <c r="O1473" s="77" t="s">
        <v>179</v>
      </c>
      <c r="P1473" s="79">
        <v>45042.060266203705</v>
      </c>
      <c r="Q1473" s="77" t="s">
        <v>2717</v>
      </c>
      <c r="R1473" s="77">
        <v>0</v>
      </c>
      <c r="S1473" s="77">
        <v>1</v>
      </c>
      <c r="T1473" s="77">
        <v>0</v>
      </c>
      <c r="U1473" s="77">
        <v>0</v>
      </c>
      <c r="V1473" s="77">
        <v>30</v>
      </c>
      <c r="W1473" s="82" t="s">
        <v>5815</v>
      </c>
      <c r="X1473" s="80" t="str">
        <f>HYPERLINK("https://www.youtube.com/live/9JALicWbRGo?feature=share")</f>
        <v>https://www.youtube.com/live/9JALicWbRGo?feature=share</v>
      </c>
      <c r="Y1473" s="77" t="s">
        <v>7303</v>
      </c>
      <c r="Z1473" s="77"/>
      <c r="AA1473" s="77" t="s">
        <v>8131</v>
      </c>
      <c r="AB1473" s="77" t="s">
        <v>10130</v>
      </c>
      <c r="AC1473" s="82" t="s">
        <v>10145</v>
      </c>
      <c r="AD1473" s="77" t="s">
        <v>10184</v>
      </c>
      <c r="AE1473" s="80" t="str">
        <f>HYPERLINK("https://twitter.com/sowercrypto/status/1651035059300777984")</f>
        <v>https://twitter.com/sowercrypto/status/1651035059300777984</v>
      </c>
      <c r="AF1473" s="79">
        <v>45042.060266203705</v>
      </c>
      <c r="AG1473" s="85">
        <v>45042</v>
      </c>
      <c r="AH1473" s="82" t="s">
        <v>11610</v>
      </c>
      <c r="AI1473" s="77" t="b">
        <v>0</v>
      </c>
      <c r="AJ1473" s="77"/>
      <c r="AK1473" s="77"/>
      <c r="AL1473" s="77"/>
      <c r="AM1473" s="77"/>
      <c r="AN1473" s="77"/>
      <c r="AO1473" s="77"/>
      <c r="AP1473" s="77"/>
      <c r="AQ1473" s="77" t="s">
        <v>14775</v>
      </c>
      <c r="AR1473" s="77"/>
      <c r="AS1473" s="77"/>
      <c r="AT1473" s="77"/>
      <c r="AU1473" s="77"/>
      <c r="AV1473" s="80" t="str">
        <f>HYPERLINK("https://pbs.twimg.com/media/FumnoUrWYAESwlz.jpg")</f>
        <v>https://pbs.twimg.com/media/FumnoUrWYAESwlz.jpg</v>
      </c>
      <c r="AW1473" s="82" t="s">
        <v>18246</v>
      </c>
      <c r="AX1473" s="82" t="s">
        <v>18246</v>
      </c>
      <c r="AY1473" s="77"/>
      <c r="AZ1473" s="82" t="s">
        <v>20971</v>
      </c>
      <c r="BA1473" s="82" t="s">
        <v>20971</v>
      </c>
      <c r="BB1473" s="82" t="s">
        <v>20971</v>
      </c>
      <c r="BC1473" s="82" t="s">
        <v>18246</v>
      </c>
      <c r="BD1473" s="82" t="s">
        <v>21270</v>
      </c>
      <c r="BE1473" s="77"/>
      <c r="BF1473" s="77"/>
      <c r="BG1473" s="77"/>
      <c r="BH1473" s="77"/>
      <c r="BI1473" s="77"/>
    </row>
    <row r="1474" spans="1:61" x14ac:dyDescent="0.25">
      <c r="A1474" s="62" t="s">
        <v>570</v>
      </c>
      <c r="B1474" s="62" t="s">
        <v>570</v>
      </c>
      <c r="C1474" s="63"/>
      <c r="D1474" s="64"/>
      <c r="E1474" s="65"/>
      <c r="F1474" s="66"/>
      <c r="G1474" s="63"/>
      <c r="H1474" s="67"/>
      <c r="I1474" s="68"/>
      <c r="J1474" s="68"/>
      <c r="K1474" s="32"/>
      <c r="L1474" s="75">
        <v>1474</v>
      </c>
      <c r="M1474" s="75"/>
      <c r="N1474" s="70"/>
      <c r="O1474" s="77" t="s">
        <v>1284</v>
      </c>
      <c r="P1474" s="79">
        <v>45077.755960648145</v>
      </c>
      <c r="Q1474" s="77" t="s">
        <v>2718</v>
      </c>
      <c r="R1474" s="77">
        <v>0</v>
      </c>
      <c r="S1474" s="77">
        <v>0</v>
      </c>
      <c r="T1474" s="77">
        <v>0</v>
      </c>
      <c r="U1474" s="77">
        <v>0</v>
      </c>
      <c r="V1474" s="77">
        <v>77</v>
      </c>
      <c r="W1474" s="82" t="s">
        <v>5816</v>
      </c>
      <c r="X1474" s="77"/>
      <c r="Y1474" s="77"/>
      <c r="Z1474" s="77"/>
      <c r="AA1474" s="77" t="s">
        <v>8132</v>
      </c>
      <c r="AB1474" s="77" t="s">
        <v>10130</v>
      </c>
      <c r="AC1474" s="82" t="s">
        <v>10144</v>
      </c>
      <c r="AD1474" s="77" t="s">
        <v>10187</v>
      </c>
      <c r="AE1474" s="80" t="str">
        <f>HYPERLINK("https://twitter.com/millye131/status/1663970747566501888")</f>
        <v>https://twitter.com/millye131/status/1663970747566501888</v>
      </c>
      <c r="AF1474" s="79">
        <v>45077.755960648145</v>
      </c>
      <c r="AG1474" s="85">
        <v>45077</v>
      </c>
      <c r="AH1474" s="82" t="s">
        <v>11611</v>
      </c>
      <c r="AI1474" s="77" t="b">
        <v>0</v>
      </c>
      <c r="AJ1474" s="77"/>
      <c r="AK1474" s="77"/>
      <c r="AL1474" s="77"/>
      <c r="AM1474" s="77"/>
      <c r="AN1474" s="77"/>
      <c r="AO1474" s="77"/>
      <c r="AP1474" s="77"/>
      <c r="AQ1474" s="77" t="s">
        <v>14776</v>
      </c>
      <c r="AR1474" s="77"/>
      <c r="AS1474" s="77"/>
      <c r="AT1474" s="77"/>
      <c r="AU1474" s="77"/>
      <c r="AV1474" s="80" t="str">
        <f>HYPERLINK("https://pbs.twimg.com/media/Fxeck4TWcAEpQSK.jpg")</f>
        <v>https://pbs.twimg.com/media/Fxeck4TWcAEpQSK.jpg</v>
      </c>
      <c r="AW1474" s="82" t="s">
        <v>18247</v>
      </c>
      <c r="AX1474" s="82" t="s">
        <v>20816</v>
      </c>
      <c r="AY1474" s="82" t="s">
        <v>20921</v>
      </c>
      <c r="AZ1474" s="82" t="s">
        <v>20976</v>
      </c>
      <c r="BA1474" s="82" t="s">
        <v>20971</v>
      </c>
      <c r="BB1474" s="82" t="s">
        <v>20971</v>
      </c>
      <c r="BC1474" s="82" t="s">
        <v>20976</v>
      </c>
      <c r="BD1474" s="82" t="s">
        <v>20921</v>
      </c>
      <c r="BE1474" s="77"/>
      <c r="BF1474" s="77"/>
      <c r="BG1474" s="77"/>
      <c r="BH1474" s="77"/>
      <c r="BI1474" s="77"/>
    </row>
    <row r="1475" spans="1:61" x14ac:dyDescent="0.25">
      <c r="A1475" s="62" t="s">
        <v>571</v>
      </c>
      <c r="B1475" s="62" t="s">
        <v>571</v>
      </c>
      <c r="C1475" s="63"/>
      <c r="D1475" s="64"/>
      <c r="E1475" s="65"/>
      <c r="F1475" s="66"/>
      <c r="G1475" s="63"/>
      <c r="H1475" s="67"/>
      <c r="I1475" s="68"/>
      <c r="J1475" s="68"/>
      <c r="K1475" s="32"/>
      <c r="L1475" s="75">
        <v>1475</v>
      </c>
      <c r="M1475" s="75"/>
      <c r="N1475" s="70"/>
      <c r="O1475" s="77" t="s">
        <v>1284</v>
      </c>
      <c r="P1475" s="79">
        <v>45019.716238425928</v>
      </c>
      <c r="Q1475" s="77" t="s">
        <v>2719</v>
      </c>
      <c r="R1475" s="77">
        <v>0</v>
      </c>
      <c r="S1475" s="77">
        <v>0</v>
      </c>
      <c r="T1475" s="77">
        <v>0</v>
      </c>
      <c r="U1475" s="77">
        <v>0</v>
      </c>
      <c r="V1475" s="77">
        <v>19</v>
      </c>
      <c r="W1475" s="82" t="s">
        <v>5817</v>
      </c>
      <c r="X1475" s="77"/>
      <c r="Y1475" s="77"/>
      <c r="Z1475" s="77"/>
      <c r="AA1475" s="77"/>
      <c r="AB1475" s="77"/>
      <c r="AC1475" s="82" t="s">
        <v>10144</v>
      </c>
      <c r="AD1475" s="77" t="s">
        <v>10186</v>
      </c>
      <c r="AE1475" s="80" t="str">
        <f>HYPERLINK("https://twitter.com/eggertcamila/status/1642937852811001870")</f>
        <v>https://twitter.com/eggertcamila/status/1642937852811001870</v>
      </c>
      <c r="AF1475" s="79">
        <v>45019.716238425928</v>
      </c>
      <c r="AG1475" s="85">
        <v>45019</v>
      </c>
      <c r="AH1475" s="82" t="s">
        <v>11612</v>
      </c>
      <c r="AI1475" s="77"/>
      <c r="AJ1475" s="77"/>
      <c r="AK1475" s="77"/>
      <c r="AL1475" s="77"/>
      <c r="AM1475" s="77"/>
      <c r="AN1475" s="77"/>
      <c r="AO1475" s="77"/>
      <c r="AP1475" s="77"/>
      <c r="AQ1475" s="77"/>
      <c r="AR1475" s="77"/>
      <c r="AS1475" s="77"/>
      <c r="AT1475" s="77"/>
      <c r="AU1475" s="77"/>
      <c r="AV1475" s="80" t="str">
        <f>HYPERLINK("https://pbs.twimg.com/profile_images/1593096027514494976/dDzhaTgf_normal.jpg")</f>
        <v>https://pbs.twimg.com/profile_images/1593096027514494976/dDzhaTgf_normal.jpg</v>
      </c>
      <c r="AW1475" s="82" t="s">
        <v>18248</v>
      </c>
      <c r="AX1475" s="82" t="s">
        <v>20817</v>
      </c>
      <c r="AY1475" s="82" t="s">
        <v>20922</v>
      </c>
      <c r="AZ1475" s="82" t="s">
        <v>20817</v>
      </c>
      <c r="BA1475" s="82" t="s">
        <v>20971</v>
      </c>
      <c r="BB1475" s="82" t="s">
        <v>20971</v>
      </c>
      <c r="BC1475" s="82" t="s">
        <v>20817</v>
      </c>
      <c r="BD1475" s="82" t="s">
        <v>20922</v>
      </c>
      <c r="BE1475" s="77"/>
      <c r="BF1475" s="77"/>
      <c r="BG1475" s="77"/>
      <c r="BH1475" s="77"/>
      <c r="BI1475" s="77"/>
    </row>
    <row r="1476" spans="1:61" x14ac:dyDescent="0.25">
      <c r="A1476" s="62" t="s">
        <v>572</v>
      </c>
      <c r="B1476" s="62" t="s">
        <v>572</v>
      </c>
      <c r="C1476" s="63"/>
      <c r="D1476" s="64"/>
      <c r="E1476" s="65"/>
      <c r="F1476" s="66"/>
      <c r="G1476" s="63"/>
      <c r="H1476" s="67"/>
      <c r="I1476" s="68"/>
      <c r="J1476" s="68"/>
      <c r="K1476" s="32"/>
      <c r="L1476" s="75">
        <v>1476</v>
      </c>
      <c r="M1476" s="75"/>
      <c r="N1476" s="70"/>
      <c r="O1476" s="77" t="s">
        <v>179</v>
      </c>
      <c r="P1476" s="79">
        <v>45008.790254629632</v>
      </c>
      <c r="Q1476" s="77" t="s">
        <v>2720</v>
      </c>
      <c r="R1476" s="77">
        <v>0</v>
      </c>
      <c r="S1476" s="77">
        <v>0</v>
      </c>
      <c r="T1476" s="77">
        <v>0</v>
      </c>
      <c r="U1476" s="77">
        <v>0</v>
      </c>
      <c r="V1476" s="77">
        <v>39</v>
      </c>
      <c r="W1476" s="82" t="s">
        <v>5818</v>
      </c>
      <c r="X1476" s="80" t="str">
        <f>HYPERLINK("https://amigosleft.com.br/")</f>
        <v>https://amigosleft.com.br/</v>
      </c>
      <c r="Y1476" s="77" t="s">
        <v>7252</v>
      </c>
      <c r="Z1476" s="77"/>
      <c r="AA1476" s="77" t="s">
        <v>8133</v>
      </c>
      <c r="AB1476" s="77" t="s">
        <v>10130</v>
      </c>
      <c r="AC1476" s="82" t="s">
        <v>10146</v>
      </c>
      <c r="AD1476" s="77" t="s">
        <v>10184</v>
      </c>
      <c r="AE1476" s="80" t="str">
        <f>HYPERLINK("https://twitter.com/leftbankbrasil/status/1638978409349935105")</f>
        <v>https://twitter.com/leftbankbrasil/status/1638978409349935105</v>
      </c>
      <c r="AF1476" s="79">
        <v>45008.790254629632</v>
      </c>
      <c r="AG1476" s="85">
        <v>45008</v>
      </c>
      <c r="AH1476" s="82" t="s">
        <v>11613</v>
      </c>
      <c r="AI1476" s="77" t="b">
        <v>0</v>
      </c>
      <c r="AJ1476" s="77"/>
      <c r="AK1476" s="77"/>
      <c r="AL1476" s="77"/>
      <c r="AM1476" s="77"/>
      <c r="AN1476" s="77"/>
      <c r="AO1476" s="77"/>
      <c r="AP1476" s="77"/>
      <c r="AQ1476" s="77" t="s">
        <v>14777</v>
      </c>
      <c r="AR1476" s="77"/>
      <c r="AS1476" s="77"/>
      <c r="AT1476" s="77"/>
      <c r="AU1476" s="77"/>
      <c r="AV1476" s="80" t="str">
        <f>HYPERLINK("https://pbs.twimg.com/media/Fr7SK5sWcBU1M8S.jpg")</f>
        <v>https://pbs.twimg.com/media/Fr7SK5sWcBU1M8S.jpg</v>
      </c>
      <c r="AW1476" s="82" t="s">
        <v>18249</v>
      </c>
      <c r="AX1476" s="82" t="s">
        <v>18249</v>
      </c>
      <c r="AY1476" s="77"/>
      <c r="AZ1476" s="82" t="s">
        <v>20971</v>
      </c>
      <c r="BA1476" s="82" t="s">
        <v>20971</v>
      </c>
      <c r="BB1476" s="82" t="s">
        <v>20971</v>
      </c>
      <c r="BC1476" s="82" t="s">
        <v>18249</v>
      </c>
      <c r="BD1476" s="82" t="s">
        <v>21271</v>
      </c>
      <c r="BE1476" s="77"/>
      <c r="BF1476" s="77"/>
      <c r="BG1476" s="77"/>
      <c r="BH1476" s="77"/>
      <c r="BI1476" s="77"/>
    </row>
    <row r="1477" spans="1:61" x14ac:dyDescent="0.25">
      <c r="A1477" s="62" t="s">
        <v>573</v>
      </c>
      <c r="B1477" s="62" t="s">
        <v>573</v>
      </c>
      <c r="C1477" s="63"/>
      <c r="D1477" s="64"/>
      <c r="E1477" s="65"/>
      <c r="F1477" s="66"/>
      <c r="G1477" s="63"/>
      <c r="H1477" s="67"/>
      <c r="I1477" s="68"/>
      <c r="J1477" s="68"/>
      <c r="K1477" s="32"/>
      <c r="L1477" s="75">
        <v>1477</v>
      </c>
      <c r="M1477" s="75"/>
      <c r="N1477" s="70"/>
      <c r="O1477" s="77" t="s">
        <v>179</v>
      </c>
      <c r="P1477" s="79">
        <v>45043.788935185185</v>
      </c>
      <c r="Q1477" s="77" t="s">
        <v>2721</v>
      </c>
      <c r="R1477" s="77">
        <v>0</v>
      </c>
      <c r="S1477" s="77">
        <v>0</v>
      </c>
      <c r="T1477" s="77">
        <v>0</v>
      </c>
      <c r="U1477" s="77">
        <v>0</v>
      </c>
      <c r="V1477" s="77">
        <v>50</v>
      </c>
      <c r="W1477" s="82" t="s">
        <v>5236</v>
      </c>
      <c r="X1477" s="80" t="str">
        <f>HYPERLINK("https://www.ganharnasredes.com/?ref=1577592")</f>
        <v>https://www.ganharnasredes.com/?ref=1577592</v>
      </c>
      <c r="Y1477" s="77" t="s">
        <v>7345</v>
      </c>
      <c r="Z1477" s="77"/>
      <c r="AA1477" s="77"/>
      <c r="AB1477" s="77"/>
      <c r="AC1477" s="82" t="s">
        <v>10144</v>
      </c>
      <c r="AD1477" s="77" t="s">
        <v>10184</v>
      </c>
      <c r="AE1477" s="80" t="str">
        <f>HYPERLINK("https://twitter.com/gatinhosinceroz/status/1651661509431271464")</f>
        <v>https://twitter.com/gatinhosinceroz/status/1651661509431271464</v>
      </c>
      <c r="AF1477" s="79">
        <v>45043.788935185185</v>
      </c>
      <c r="AG1477" s="85">
        <v>45043</v>
      </c>
      <c r="AH1477" s="82" t="s">
        <v>11614</v>
      </c>
      <c r="AI1477" s="77" t="b">
        <v>0</v>
      </c>
      <c r="AJ1477" s="77"/>
      <c r="AK1477" s="77"/>
      <c r="AL1477" s="77"/>
      <c r="AM1477" s="77"/>
      <c r="AN1477" s="77"/>
      <c r="AO1477" s="77"/>
      <c r="AP1477" s="77"/>
      <c r="AQ1477" s="77"/>
      <c r="AR1477" s="77"/>
      <c r="AS1477" s="77"/>
      <c r="AT1477" s="77"/>
      <c r="AU1477" s="77"/>
      <c r="AV1477" s="80" t="str">
        <f>HYPERLINK("https://pbs.twimg.com/profile_images/674337494079578113/TpRKPAV9_normal.png")</f>
        <v>https://pbs.twimg.com/profile_images/674337494079578113/TpRKPAV9_normal.png</v>
      </c>
      <c r="AW1477" s="82" t="s">
        <v>18250</v>
      </c>
      <c r="AX1477" s="82" t="s">
        <v>18250</v>
      </c>
      <c r="AY1477" s="77"/>
      <c r="AZ1477" s="82" t="s">
        <v>20971</v>
      </c>
      <c r="BA1477" s="82" t="s">
        <v>20971</v>
      </c>
      <c r="BB1477" s="82" t="s">
        <v>20971</v>
      </c>
      <c r="BC1477" s="82" t="s">
        <v>18250</v>
      </c>
      <c r="BD1477" s="77">
        <v>4419618137</v>
      </c>
      <c r="BE1477" s="77"/>
      <c r="BF1477" s="77"/>
      <c r="BG1477" s="77"/>
      <c r="BH1477" s="77"/>
      <c r="BI1477" s="77"/>
    </row>
    <row r="1478" spans="1:61" x14ac:dyDescent="0.25">
      <c r="A1478" s="62" t="s">
        <v>573</v>
      </c>
      <c r="B1478" s="62" t="s">
        <v>573</v>
      </c>
      <c r="C1478" s="63"/>
      <c r="D1478" s="64"/>
      <c r="E1478" s="65"/>
      <c r="F1478" s="66"/>
      <c r="G1478" s="63"/>
      <c r="H1478" s="67"/>
      <c r="I1478" s="68"/>
      <c r="J1478" s="68"/>
      <c r="K1478" s="32"/>
      <c r="L1478" s="75">
        <v>1478</v>
      </c>
      <c r="M1478" s="75"/>
      <c r="N1478" s="70"/>
      <c r="O1478" s="77" t="s">
        <v>179</v>
      </c>
      <c r="P1478" s="79">
        <v>45043.473460648151</v>
      </c>
      <c r="Q1478" s="77" t="s">
        <v>2722</v>
      </c>
      <c r="R1478" s="77">
        <v>0</v>
      </c>
      <c r="S1478" s="77">
        <v>0</v>
      </c>
      <c r="T1478" s="77">
        <v>0</v>
      </c>
      <c r="U1478" s="77">
        <v>0</v>
      </c>
      <c r="V1478" s="77">
        <v>45</v>
      </c>
      <c r="W1478" s="82" t="s">
        <v>5819</v>
      </c>
      <c r="X1478" s="80" t="str">
        <f>HYPERLINK("http://ganharnasredes.com/?ref=1577592")</f>
        <v>http://ganharnasredes.com/?ref=1577592</v>
      </c>
      <c r="Y1478" s="77" t="s">
        <v>7345</v>
      </c>
      <c r="Z1478" s="77"/>
      <c r="AA1478" s="77"/>
      <c r="AB1478" s="77"/>
      <c r="AC1478" s="82" t="s">
        <v>10144</v>
      </c>
      <c r="AD1478" s="77" t="s">
        <v>10184</v>
      </c>
      <c r="AE1478" s="80" t="str">
        <f>HYPERLINK("https://twitter.com/gatinhosinceroz/status/1651547181868888065")</f>
        <v>https://twitter.com/gatinhosinceroz/status/1651547181868888065</v>
      </c>
      <c r="AF1478" s="79">
        <v>45043.473460648151</v>
      </c>
      <c r="AG1478" s="85">
        <v>45043</v>
      </c>
      <c r="AH1478" s="82" t="s">
        <v>11615</v>
      </c>
      <c r="AI1478" s="77" t="b">
        <v>0</v>
      </c>
      <c r="AJ1478" s="77"/>
      <c r="AK1478" s="77"/>
      <c r="AL1478" s="77"/>
      <c r="AM1478" s="77"/>
      <c r="AN1478" s="77"/>
      <c r="AO1478" s="77"/>
      <c r="AP1478" s="77"/>
      <c r="AQ1478" s="77"/>
      <c r="AR1478" s="77"/>
      <c r="AS1478" s="77"/>
      <c r="AT1478" s="77"/>
      <c r="AU1478" s="77"/>
      <c r="AV1478" s="80" t="str">
        <f>HYPERLINK("https://pbs.twimg.com/profile_images/674337494079578113/TpRKPAV9_normal.png")</f>
        <v>https://pbs.twimg.com/profile_images/674337494079578113/TpRKPAV9_normal.png</v>
      </c>
      <c r="AW1478" s="82" t="s">
        <v>18251</v>
      </c>
      <c r="AX1478" s="82" t="s">
        <v>18251</v>
      </c>
      <c r="AY1478" s="77"/>
      <c r="AZ1478" s="82" t="s">
        <v>20971</v>
      </c>
      <c r="BA1478" s="82" t="s">
        <v>20971</v>
      </c>
      <c r="BB1478" s="82" t="s">
        <v>20971</v>
      </c>
      <c r="BC1478" s="82" t="s">
        <v>18251</v>
      </c>
      <c r="BD1478" s="77">
        <v>4419618137</v>
      </c>
      <c r="BE1478" s="77"/>
      <c r="BF1478" s="77"/>
      <c r="BG1478" s="77"/>
      <c r="BH1478" s="77"/>
      <c r="BI1478" s="77"/>
    </row>
    <row r="1479" spans="1:61" x14ac:dyDescent="0.25">
      <c r="A1479" s="62" t="s">
        <v>573</v>
      </c>
      <c r="B1479" s="62" t="s">
        <v>573</v>
      </c>
      <c r="C1479" s="63"/>
      <c r="D1479" s="64"/>
      <c r="E1479" s="65"/>
      <c r="F1479" s="66"/>
      <c r="G1479" s="63"/>
      <c r="H1479" s="67"/>
      <c r="I1479" s="68"/>
      <c r="J1479" s="68"/>
      <c r="K1479" s="32"/>
      <c r="L1479" s="75">
        <v>1479</v>
      </c>
      <c r="M1479" s="75"/>
      <c r="N1479" s="70"/>
      <c r="O1479" s="77" t="s">
        <v>179</v>
      </c>
      <c r="P1479" s="79">
        <v>45169.680335648147</v>
      </c>
      <c r="Q1479" s="77" t="s">
        <v>2723</v>
      </c>
      <c r="R1479" s="77">
        <v>0</v>
      </c>
      <c r="S1479" s="77">
        <v>0</v>
      </c>
      <c r="T1479" s="77">
        <v>0</v>
      </c>
      <c r="U1479" s="77">
        <v>0</v>
      </c>
      <c r="V1479" s="77">
        <v>14</v>
      </c>
      <c r="W1479" s="82" t="s">
        <v>5820</v>
      </c>
      <c r="X1479" s="80" t="str">
        <f>HYPERLINK("https://www.instagram.com/reel/CwnVg6brHex/?igshid=MTc4MmM1YmI2Ng==")</f>
        <v>https://www.instagram.com/reel/CwnVg6brHex/?igshid=MTc4MmM1YmI2Ng==</v>
      </c>
      <c r="Y1479" s="77" t="s">
        <v>7250</v>
      </c>
      <c r="Z1479" s="77"/>
      <c r="AA1479" s="77"/>
      <c r="AB1479" s="77"/>
      <c r="AC1479" s="82" t="s">
        <v>10144</v>
      </c>
      <c r="AD1479" s="77" t="s">
        <v>10184</v>
      </c>
      <c r="AE1479" s="80" t="str">
        <f>HYPERLINK("https://twitter.com/gatinhosinceroz/status/1697283025317269951")</f>
        <v>https://twitter.com/gatinhosinceroz/status/1697283025317269951</v>
      </c>
      <c r="AF1479" s="79">
        <v>45169.680335648147</v>
      </c>
      <c r="AG1479" s="85">
        <v>45169</v>
      </c>
      <c r="AH1479" s="82" t="s">
        <v>11616</v>
      </c>
      <c r="AI1479" s="77" t="b">
        <v>0</v>
      </c>
      <c r="AJ1479" s="77"/>
      <c r="AK1479" s="77"/>
      <c r="AL1479" s="77"/>
      <c r="AM1479" s="77"/>
      <c r="AN1479" s="77"/>
      <c r="AO1479" s="77"/>
      <c r="AP1479" s="77"/>
      <c r="AQ1479" s="77"/>
      <c r="AR1479" s="77"/>
      <c r="AS1479" s="77"/>
      <c r="AT1479" s="77"/>
      <c r="AU1479" s="77"/>
      <c r="AV1479" s="80" t="str">
        <f>HYPERLINK("https://pbs.twimg.com/profile_images/674337494079578113/TpRKPAV9_normal.png")</f>
        <v>https://pbs.twimg.com/profile_images/674337494079578113/TpRKPAV9_normal.png</v>
      </c>
      <c r="AW1479" s="82" t="s">
        <v>18252</v>
      </c>
      <c r="AX1479" s="82" t="s">
        <v>18252</v>
      </c>
      <c r="AY1479" s="77"/>
      <c r="AZ1479" s="82" t="s">
        <v>20971</v>
      </c>
      <c r="BA1479" s="82" t="s">
        <v>20971</v>
      </c>
      <c r="BB1479" s="82" t="s">
        <v>20971</v>
      </c>
      <c r="BC1479" s="82" t="s">
        <v>18252</v>
      </c>
      <c r="BD1479" s="77">
        <v>4419618137</v>
      </c>
      <c r="BE1479" s="77"/>
      <c r="BF1479" s="77"/>
      <c r="BG1479" s="77"/>
      <c r="BH1479" s="77"/>
      <c r="BI1479" s="77"/>
    </row>
    <row r="1480" spans="1:61" x14ac:dyDescent="0.25">
      <c r="A1480" s="62" t="s">
        <v>574</v>
      </c>
      <c r="B1480" s="62" t="s">
        <v>574</v>
      </c>
      <c r="C1480" s="63"/>
      <c r="D1480" s="64"/>
      <c r="E1480" s="65"/>
      <c r="F1480" s="66"/>
      <c r="G1480" s="63"/>
      <c r="H1480" s="67"/>
      <c r="I1480" s="68"/>
      <c r="J1480" s="68"/>
      <c r="K1480" s="32"/>
      <c r="L1480" s="75">
        <v>1480</v>
      </c>
      <c r="M1480" s="75"/>
      <c r="N1480" s="70"/>
      <c r="O1480" s="77" t="s">
        <v>179</v>
      </c>
      <c r="P1480" s="79">
        <v>45137.890150462961</v>
      </c>
      <c r="Q1480" s="77" t="s">
        <v>2724</v>
      </c>
      <c r="R1480" s="77">
        <v>0</v>
      </c>
      <c r="S1480" s="77">
        <v>0</v>
      </c>
      <c r="T1480" s="77">
        <v>0</v>
      </c>
      <c r="U1480" s="77">
        <v>0</v>
      </c>
      <c r="V1480" s="77">
        <v>86</v>
      </c>
      <c r="W1480" s="82" t="s">
        <v>5821</v>
      </c>
      <c r="X1480" s="77"/>
      <c r="Y1480" s="77"/>
      <c r="Z1480" s="77"/>
      <c r="AA1480" s="77" t="s">
        <v>8134</v>
      </c>
      <c r="AB1480" s="77" t="s">
        <v>10132</v>
      </c>
      <c r="AC1480" s="82" t="s">
        <v>10144</v>
      </c>
      <c r="AD1480" s="77" t="s">
        <v>10184</v>
      </c>
      <c r="AE1480" s="80" t="str">
        <f>HYPERLINK("https://twitter.com/ruyter_poebel/status/1685762645436035072")</f>
        <v>https://twitter.com/ruyter_poebel/status/1685762645436035072</v>
      </c>
      <c r="AF1480" s="79">
        <v>45137.890150462961</v>
      </c>
      <c r="AG1480" s="85">
        <v>45137</v>
      </c>
      <c r="AH1480" s="82" t="s">
        <v>11617</v>
      </c>
      <c r="AI1480" s="77" t="b">
        <v>0</v>
      </c>
      <c r="AJ1480" s="77"/>
      <c r="AK1480" s="77"/>
      <c r="AL1480" s="77"/>
      <c r="AM1480" s="77"/>
      <c r="AN1480" s="77"/>
      <c r="AO1480" s="77"/>
      <c r="AP1480" s="77"/>
      <c r="AQ1480" s="77" t="s">
        <v>14778</v>
      </c>
      <c r="AR1480" s="77"/>
      <c r="AS1480" s="77"/>
      <c r="AT1480" s="77"/>
      <c r="AU1480" s="77"/>
      <c r="AV1480" s="80" t="str">
        <f>HYPERLINK("https://pbs.twimg.com/media/F2UILy2WUAQiwSQ.jpg")</f>
        <v>https://pbs.twimg.com/media/F2UILy2WUAQiwSQ.jpg</v>
      </c>
      <c r="AW1480" s="82" t="s">
        <v>18253</v>
      </c>
      <c r="AX1480" s="82" t="s">
        <v>18253</v>
      </c>
      <c r="AY1480" s="77"/>
      <c r="AZ1480" s="82" t="s">
        <v>20971</v>
      </c>
      <c r="BA1480" s="82" t="s">
        <v>20971</v>
      </c>
      <c r="BB1480" s="82" t="s">
        <v>20971</v>
      </c>
      <c r="BC1480" s="82" t="s">
        <v>18253</v>
      </c>
      <c r="BD1480" s="82" t="s">
        <v>21272</v>
      </c>
      <c r="BE1480" s="77"/>
      <c r="BF1480" s="77"/>
      <c r="BG1480" s="77"/>
      <c r="BH1480" s="77"/>
      <c r="BI1480" s="77"/>
    </row>
    <row r="1481" spans="1:61" x14ac:dyDescent="0.25">
      <c r="A1481" s="62" t="s">
        <v>575</v>
      </c>
      <c r="B1481" s="62" t="s">
        <v>575</v>
      </c>
      <c r="C1481" s="63"/>
      <c r="D1481" s="64"/>
      <c r="E1481" s="65"/>
      <c r="F1481" s="66"/>
      <c r="G1481" s="63"/>
      <c r="H1481" s="67"/>
      <c r="I1481" s="68"/>
      <c r="J1481" s="68"/>
      <c r="K1481" s="32"/>
      <c r="L1481" s="75">
        <v>1481</v>
      </c>
      <c r="M1481" s="75"/>
      <c r="N1481" s="70"/>
      <c r="O1481" s="77" t="s">
        <v>1284</v>
      </c>
      <c r="P1481" s="79">
        <v>45001.902442129627</v>
      </c>
      <c r="Q1481" s="77" t="s">
        <v>2725</v>
      </c>
      <c r="R1481" s="77">
        <v>0</v>
      </c>
      <c r="S1481" s="77">
        <v>0</v>
      </c>
      <c r="T1481" s="77">
        <v>1</v>
      </c>
      <c r="U1481" s="77">
        <v>0</v>
      </c>
      <c r="V1481" s="77">
        <v>43</v>
      </c>
      <c r="W1481" s="82" t="s">
        <v>5822</v>
      </c>
      <c r="X1481" s="77"/>
      <c r="Y1481" s="77"/>
      <c r="Z1481" s="77"/>
      <c r="AA1481" s="77" t="s">
        <v>8135</v>
      </c>
      <c r="AB1481" s="77" t="s">
        <v>10130</v>
      </c>
      <c r="AC1481" s="82" t="s">
        <v>10145</v>
      </c>
      <c r="AD1481" s="77" t="s">
        <v>10184</v>
      </c>
      <c r="AE1481" s="80" t="str">
        <f>HYPERLINK("https://twitter.com/eusougiuseppe/status/1636482352565166082")</f>
        <v>https://twitter.com/eusougiuseppe/status/1636482352565166082</v>
      </c>
      <c r="AF1481" s="79">
        <v>45001.902442129627</v>
      </c>
      <c r="AG1481" s="85">
        <v>45001</v>
      </c>
      <c r="AH1481" s="82" t="s">
        <v>11618</v>
      </c>
      <c r="AI1481" s="77" t="b">
        <v>0</v>
      </c>
      <c r="AJ1481" s="77"/>
      <c r="AK1481" s="77"/>
      <c r="AL1481" s="77"/>
      <c r="AM1481" s="77"/>
      <c r="AN1481" s="77"/>
      <c r="AO1481" s="77"/>
      <c r="AP1481" s="77"/>
      <c r="AQ1481" s="77" t="s">
        <v>14779</v>
      </c>
      <c r="AR1481" s="77"/>
      <c r="AS1481" s="77"/>
      <c r="AT1481" s="77"/>
      <c r="AU1481" s="77"/>
      <c r="AV1481" s="80" t="str">
        <f>HYPERLINK("https://pbs.twimg.com/media/FrX0BpMWAAQNGJS.jpg")</f>
        <v>https://pbs.twimg.com/media/FrX0BpMWAAQNGJS.jpg</v>
      </c>
      <c r="AW1481" s="82" t="s">
        <v>18254</v>
      </c>
      <c r="AX1481" s="82" t="s">
        <v>20818</v>
      </c>
      <c r="AY1481" s="82" t="s">
        <v>20923</v>
      </c>
      <c r="AZ1481" s="82" t="s">
        <v>20977</v>
      </c>
      <c r="BA1481" s="82" t="s">
        <v>20971</v>
      </c>
      <c r="BB1481" s="82" t="s">
        <v>20971</v>
      </c>
      <c r="BC1481" s="82" t="s">
        <v>20977</v>
      </c>
      <c r="BD1481" s="82" t="s">
        <v>20923</v>
      </c>
      <c r="BE1481" s="77"/>
      <c r="BF1481" s="77"/>
      <c r="BG1481" s="77"/>
      <c r="BH1481" s="77"/>
      <c r="BI1481" s="77"/>
    </row>
    <row r="1482" spans="1:61" x14ac:dyDescent="0.25">
      <c r="A1482" s="62" t="s">
        <v>575</v>
      </c>
      <c r="B1482" s="62" t="s">
        <v>575</v>
      </c>
      <c r="C1482" s="63"/>
      <c r="D1482" s="64"/>
      <c r="E1482" s="65"/>
      <c r="F1482" s="66"/>
      <c r="G1482" s="63"/>
      <c r="H1482" s="67"/>
      <c r="I1482" s="68"/>
      <c r="J1482" s="68"/>
      <c r="K1482" s="32"/>
      <c r="L1482" s="75">
        <v>1482</v>
      </c>
      <c r="M1482" s="75"/>
      <c r="N1482" s="70"/>
      <c r="O1482" s="77" t="s">
        <v>1284</v>
      </c>
      <c r="P1482" s="79">
        <v>45001.876574074071</v>
      </c>
      <c r="Q1482" s="77" t="s">
        <v>2726</v>
      </c>
      <c r="R1482" s="77">
        <v>0</v>
      </c>
      <c r="S1482" s="77">
        <v>0</v>
      </c>
      <c r="T1482" s="77">
        <v>1</v>
      </c>
      <c r="U1482" s="77">
        <v>0</v>
      </c>
      <c r="V1482" s="77">
        <v>5</v>
      </c>
      <c r="W1482" s="82" t="s">
        <v>5823</v>
      </c>
      <c r="X1482" s="77"/>
      <c r="Y1482" s="77"/>
      <c r="Z1482" s="77"/>
      <c r="AA1482" s="77" t="s">
        <v>8136</v>
      </c>
      <c r="AB1482" s="77" t="s">
        <v>10130</v>
      </c>
      <c r="AC1482" s="82" t="s">
        <v>10145</v>
      </c>
      <c r="AD1482" s="77" t="s">
        <v>10184</v>
      </c>
      <c r="AE1482" s="80" t="str">
        <f>HYPERLINK("https://twitter.com/eusougiuseppe/status/1636472975485435910")</f>
        <v>https://twitter.com/eusougiuseppe/status/1636472975485435910</v>
      </c>
      <c r="AF1482" s="79">
        <v>45001.876574074071</v>
      </c>
      <c r="AG1482" s="85">
        <v>45001</v>
      </c>
      <c r="AH1482" s="82" t="s">
        <v>11619</v>
      </c>
      <c r="AI1482" s="77" t="b">
        <v>0</v>
      </c>
      <c r="AJ1482" s="77"/>
      <c r="AK1482" s="77"/>
      <c r="AL1482" s="77"/>
      <c r="AM1482" s="77"/>
      <c r="AN1482" s="77"/>
      <c r="AO1482" s="77"/>
      <c r="AP1482" s="77"/>
      <c r="AQ1482" s="77" t="s">
        <v>14780</v>
      </c>
      <c r="AR1482" s="77"/>
      <c r="AS1482" s="77"/>
      <c r="AT1482" s="77"/>
      <c r="AU1482" s="77"/>
      <c r="AV1482" s="80" t="str">
        <f>HYPERLINK("https://pbs.twimg.com/media/FrXrf0qWcAAzxoB.jpg")</f>
        <v>https://pbs.twimg.com/media/FrXrf0qWcAAzxoB.jpg</v>
      </c>
      <c r="AW1482" s="82" t="s">
        <v>18255</v>
      </c>
      <c r="AX1482" s="82" t="s">
        <v>18256</v>
      </c>
      <c r="AY1482" s="82" t="s">
        <v>20923</v>
      </c>
      <c r="AZ1482" s="82" t="s">
        <v>18256</v>
      </c>
      <c r="BA1482" s="82" t="s">
        <v>20971</v>
      </c>
      <c r="BB1482" s="82" t="s">
        <v>20971</v>
      </c>
      <c r="BC1482" s="82" t="s">
        <v>18256</v>
      </c>
      <c r="BD1482" s="82" t="s">
        <v>20923</v>
      </c>
      <c r="BE1482" s="77"/>
      <c r="BF1482" s="77"/>
      <c r="BG1482" s="77"/>
      <c r="BH1482" s="77"/>
      <c r="BI1482" s="77"/>
    </row>
    <row r="1483" spans="1:61" x14ac:dyDescent="0.25">
      <c r="A1483" s="62" t="s">
        <v>575</v>
      </c>
      <c r="B1483" s="62" t="s">
        <v>575</v>
      </c>
      <c r="C1483" s="63"/>
      <c r="D1483" s="64"/>
      <c r="E1483" s="65"/>
      <c r="F1483" s="66"/>
      <c r="G1483" s="63"/>
      <c r="H1483" s="67"/>
      <c r="I1483" s="68"/>
      <c r="J1483" s="68"/>
      <c r="K1483" s="32"/>
      <c r="L1483" s="75">
        <v>1483</v>
      </c>
      <c r="M1483" s="75"/>
      <c r="N1483" s="70"/>
      <c r="O1483" s="77" t="s">
        <v>179</v>
      </c>
      <c r="P1483" s="79">
        <v>45001.876550925925</v>
      </c>
      <c r="Q1483" s="77" t="s">
        <v>2727</v>
      </c>
      <c r="R1483" s="77">
        <v>0</v>
      </c>
      <c r="S1483" s="77">
        <v>0</v>
      </c>
      <c r="T1483" s="77">
        <v>2</v>
      </c>
      <c r="U1483" s="77">
        <v>0</v>
      </c>
      <c r="V1483" s="77">
        <v>58</v>
      </c>
      <c r="W1483" s="82" t="s">
        <v>5824</v>
      </c>
      <c r="X1483" s="77"/>
      <c r="Y1483" s="77"/>
      <c r="Z1483" s="77"/>
      <c r="AA1483" s="77" t="s">
        <v>8137</v>
      </c>
      <c r="AB1483" s="77" t="s">
        <v>10130</v>
      </c>
      <c r="AC1483" s="82" t="s">
        <v>10145</v>
      </c>
      <c r="AD1483" s="77" t="s">
        <v>10184</v>
      </c>
      <c r="AE1483" s="80" t="str">
        <f>HYPERLINK("https://twitter.com/eusougiuseppe/status/1636472969059860481")</f>
        <v>https://twitter.com/eusougiuseppe/status/1636472969059860481</v>
      </c>
      <c r="AF1483" s="79">
        <v>45001.876550925925</v>
      </c>
      <c r="AG1483" s="85">
        <v>45001</v>
      </c>
      <c r="AH1483" s="82" t="s">
        <v>11620</v>
      </c>
      <c r="AI1483" s="77" t="b">
        <v>0</v>
      </c>
      <c r="AJ1483" s="77"/>
      <c r="AK1483" s="77"/>
      <c r="AL1483" s="77"/>
      <c r="AM1483" s="77"/>
      <c r="AN1483" s="77"/>
      <c r="AO1483" s="77"/>
      <c r="AP1483" s="77"/>
      <c r="AQ1483" s="77" t="s">
        <v>14781</v>
      </c>
      <c r="AR1483" s="77"/>
      <c r="AS1483" s="77"/>
      <c r="AT1483" s="77"/>
      <c r="AU1483" s="77"/>
      <c r="AV1483" s="80" t="str">
        <f>HYPERLINK("https://pbs.twimg.com/media/FrXrfZrXgAY5Qxu.jpg")</f>
        <v>https://pbs.twimg.com/media/FrXrfZrXgAY5Qxu.jpg</v>
      </c>
      <c r="AW1483" s="82" t="s">
        <v>18256</v>
      </c>
      <c r="AX1483" s="82" t="s">
        <v>18256</v>
      </c>
      <c r="AY1483" s="77"/>
      <c r="AZ1483" s="82" t="s">
        <v>20971</v>
      </c>
      <c r="BA1483" s="82" t="s">
        <v>20971</v>
      </c>
      <c r="BB1483" s="82" t="s">
        <v>20971</v>
      </c>
      <c r="BC1483" s="82" t="s">
        <v>18256</v>
      </c>
      <c r="BD1483" s="82" t="s">
        <v>20923</v>
      </c>
      <c r="BE1483" s="77"/>
      <c r="BF1483" s="77"/>
      <c r="BG1483" s="77"/>
      <c r="BH1483" s="77"/>
      <c r="BI1483" s="77"/>
    </row>
    <row r="1484" spans="1:61" x14ac:dyDescent="0.25">
      <c r="A1484" s="62" t="s">
        <v>575</v>
      </c>
      <c r="B1484" s="62" t="s">
        <v>575</v>
      </c>
      <c r="C1484" s="63"/>
      <c r="D1484" s="64"/>
      <c r="E1484" s="65"/>
      <c r="F1484" s="66"/>
      <c r="G1484" s="63"/>
      <c r="H1484" s="67"/>
      <c r="I1484" s="68"/>
      <c r="J1484" s="68"/>
      <c r="K1484" s="32"/>
      <c r="L1484" s="75">
        <v>1484</v>
      </c>
      <c r="M1484" s="75"/>
      <c r="N1484" s="70"/>
      <c r="O1484" s="77" t="s">
        <v>179</v>
      </c>
      <c r="P1484" s="79">
        <v>45007.103541666664</v>
      </c>
      <c r="Q1484" s="77" t="s">
        <v>2728</v>
      </c>
      <c r="R1484" s="77">
        <v>0</v>
      </c>
      <c r="S1484" s="77">
        <v>0</v>
      </c>
      <c r="T1484" s="77">
        <v>1</v>
      </c>
      <c r="U1484" s="77">
        <v>0</v>
      </c>
      <c r="V1484" s="77">
        <v>46</v>
      </c>
      <c r="W1484" s="82" t="s">
        <v>5825</v>
      </c>
      <c r="X1484" s="77"/>
      <c r="Y1484" s="77"/>
      <c r="Z1484" s="77"/>
      <c r="AA1484" s="77" t="s">
        <v>8138</v>
      </c>
      <c r="AB1484" s="77" t="s">
        <v>10130</v>
      </c>
      <c r="AC1484" s="82" t="s">
        <v>10145</v>
      </c>
      <c r="AD1484" s="77" t="s">
        <v>10184</v>
      </c>
      <c r="AE1484" s="80" t="str">
        <f>HYPERLINK("https://twitter.com/eusougiuseppe/status/1638367168063590401")</f>
        <v>https://twitter.com/eusougiuseppe/status/1638367168063590401</v>
      </c>
      <c r="AF1484" s="79">
        <v>45007.103541666664</v>
      </c>
      <c r="AG1484" s="85">
        <v>45007</v>
      </c>
      <c r="AH1484" s="82" t="s">
        <v>11621</v>
      </c>
      <c r="AI1484" s="77" t="b">
        <v>0</v>
      </c>
      <c r="AJ1484" s="77"/>
      <c r="AK1484" s="77"/>
      <c r="AL1484" s="77"/>
      <c r="AM1484" s="77"/>
      <c r="AN1484" s="77"/>
      <c r="AO1484" s="77"/>
      <c r="AP1484" s="77"/>
      <c r="AQ1484" s="77" t="s">
        <v>14782</v>
      </c>
      <c r="AR1484" s="77"/>
      <c r="AS1484" s="77"/>
      <c r="AT1484" s="77"/>
      <c r="AU1484" s="77"/>
      <c r="AV1484" s="80" t="str">
        <f>HYPERLINK("https://pbs.twimg.com/media/FrymQTIWYAAozCc.jpg")</f>
        <v>https://pbs.twimg.com/media/FrymQTIWYAAozCc.jpg</v>
      </c>
      <c r="AW1484" s="82" t="s">
        <v>18257</v>
      </c>
      <c r="AX1484" s="82" t="s">
        <v>18257</v>
      </c>
      <c r="AY1484" s="77"/>
      <c r="AZ1484" s="82" t="s">
        <v>20971</v>
      </c>
      <c r="BA1484" s="82" t="s">
        <v>20971</v>
      </c>
      <c r="BB1484" s="82" t="s">
        <v>20971</v>
      </c>
      <c r="BC1484" s="82" t="s">
        <v>18257</v>
      </c>
      <c r="BD1484" s="82" t="s">
        <v>20923</v>
      </c>
      <c r="BE1484" s="77"/>
      <c r="BF1484" s="77"/>
      <c r="BG1484" s="77"/>
      <c r="BH1484" s="77"/>
      <c r="BI1484" s="77"/>
    </row>
    <row r="1485" spans="1:61" x14ac:dyDescent="0.25">
      <c r="A1485" s="62" t="s">
        <v>575</v>
      </c>
      <c r="B1485" s="62" t="s">
        <v>575</v>
      </c>
      <c r="C1485" s="63"/>
      <c r="D1485" s="64"/>
      <c r="E1485" s="65"/>
      <c r="F1485" s="66"/>
      <c r="G1485" s="63"/>
      <c r="H1485" s="67"/>
      <c r="I1485" s="68"/>
      <c r="J1485" s="68"/>
      <c r="K1485" s="32"/>
      <c r="L1485" s="75">
        <v>1485</v>
      </c>
      <c r="M1485" s="75"/>
      <c r="N1485" s="70"/>
      <c r="O1485" s="77" t="s">
        <v>179</v>
      </c>
      <c r="P1485" s="79">
        <v>45006.722060185188</v>
      </c>
      <c r="Q1485" s="77" t="s">
        <v>2729</v>
      </c>
      <c r="R1485" s="77">
        <v>0</v>
      </c>
      <c r="S1485" s="77">
        <v>0</v>
      </c>
      <c r="T1485" s="77">
        <v>1</v>
      </c>
      <c r="U1485" s="77">
        <v>0</v>
      </c>
      <c r="V1485" s="77">
        <v>164</v>
      </c>
      <c r="W1485" s="82" t="s">
        <v>5826</v>
      </c>
      <c r="X1485" s="77"/>
      <c r="Y1485" s="77"/>
      <c r="Z1485" s="77"/>
      <c r="AA1485" s="77" t="s">
        <v>8139</v>
      </c>
      <c r="AB1485" s="77" t="s">
        <v>10130</v>
      </c>
      <c r="AC1485" s="82" t="s">
        <v>10145</v>
      </c>
      <c r="AD1485" s="77" t="s">
        <v>10184</v>
      </c>
      <c r="AE1485" s="80" t="str">
        <f>HYPERLINK("https://twitter.com/eusougiuseppe/status/1638228922813784065")</f>
        <v>https://twitter.com/eusougiuseppe/status/1638228922813784065</v>
      </c>
      <c r="AF1485" s="79">
        <v>45006.722060185188</v>
      </c>
      <c r="AG1485" s="85">
        <v>45006</v>
      </c>
      <c r="AH1485" s="82" t="s">
        <v>11622</v>
      </c>
      <c r="AI1485" s="77" t="b">
        <v>0</v>
      </c>
      <c r="AJ1485" s="77"/>
      <c r="AK1485" s="77"/>
      <c r="AL1485" s="77"/>
      <c r="AM1485" s="77"/>
      <c r="AN1485" s="77"/>
      <c r="AO1485" s="77"/>
      <c r="AP1485" s="77"/>
      <c r="AQ1485" s="77" t="s">
        <v>14783</v>
      </c>
      <c r="AR1485" s="77"/>
      <c r="AS1485" s="77"/>
      <c r="AT1485" s="77"/>
      <c r="AU1485" s="77"/>
      <c r="AV1485" s="80" t="str">
        <f>HYPERLINK("https://pbs.twimg.com/media/FrwohXsWIA4WxBK.jpg")</f>
        <v>https://pbs.twimg.com/media/FrwohXsWIA4WxBK.jpg</v>
      </c>
      <c r="AW1485" s="82" t="s">
        <v>18258</v>
      </c>
      <c r="AX1485" s="82" t="s">
        <v>18258</v>
      </c>
      <c r="AY1485" s="77"/>
      <c r="AZ1485" s="82" t="s">
        <v>20971</v>
      </c>
      <c r="BA1485" s="82" t="s">
        <v>20971</v>
      </c>
      <c r="BB1485" s="82" t="s">
        <v>20971</v>
      </c>
      <c r="BC1485" s="82" t="s">
        <v>18258</v>
      </c>
      <c r="BD1485" s="82" t="s">
        <v>20923</v>
      </c>
      <c r="BE1485" s="77"/>
      <c r="BF1485" s="77"/>
      <c r="BG1485" s="77"/>
      <c r="BH1485" s="77"/>
      <c r="BI1485" s="77"/>
    </row>
    <row r="1486" spans="1:61" x14ac:dyDescent="0.25">
      <c r="A1486" s="62" t="s">
        <v>575</v>
      </c>
      <c r="B1486" s="62" t="s">
        <v>575</v>
      </c>
      <c r="C1486" s="63"/>
      <c r="D1486" s="64"/>
      <c r="E1486" s="65"/>
      <c r="F1486" s="66"/>
      <c r="G1486" s="63"/>
      <c r="H1486" s="67"/>
      <c r="I1486" s="68"/>
      <c r="J1486" s="68"/>
      <c r="K1486" s="32"/>
      <c r="L1486" s="75">
        <v>1486</v>
      </c>
      <c r="M1486" s="75"/>
      <c r="N1486" s="70"/>
      <c r="O1486" s="77" t="s">
        <v>179</v>
      </c>
      <c r="P1486" s="79">
        <v>44998.886840277781</v>
      </c>
      <c r="Q1486" s="77" t="s">
        <v>2730</v>
      </c>
      <c r="R1486" s="77">
        <v>0</v>
      </c>
      <c r="S1486" s="77">
        <v>0</v>
      </c>
      <c r="T1486" s="77">
        <v>0</v>
      </c>
      <c r="U1486" s="77">
        <v>0</v>
      </c>
      <c r="V1486" s="77">
        <v>45</v>
      </c>
      <c r="W1486" s="82" t="s">
        <v>5827</v>
      </c>
      <c r="X1486" s="77"/>
      <c r="Y1486" s="77"/>
      <c r="Z1486" s="77"/>
      <c r="AA1486" s="77" t="s">
        <v>8140</v>
      </c>
      <c r="AB1486" s="77" t="s">
        <v>10130</v>
      </c>
      <c r="AC1486" s="82" t="s">
        <v>10145</v>
      </c>
      <c r="AD1486" s="77" t="s">
        <v>10184</v>
      </c>
      <c r="AE1486" s="80" t="str">
        <f>HYPERLINK("https://twitter.com/eusougiuseppe/status/1635389532379156480")</f>
        <v>https://twitter.com/eusougiuseppe/status/1635389532379156480</v>
      </c>
      <c r="AF1486" s="79">
        <v>44998.886840277781</v>
      </c>
      <c r="AG1486" s="85">
        <v>44998</v>
      </c>
      <c r="AH1486" s="82" t="s">
        <v>11623</v>
      </c>
      <c r="AI1486" s="77" t="b">
        <v>0</v>
      </c>
      <c r="AJ1486" s="77"/>
      <c r="AK1486" s="77"/>
      <c r="AL1486" s="77"/>
      <c r="AM1486" s="77"/>
      <c r="AN1486" s="77"/>
      <c r="AO1486" s="77"/>
      <c r="AP1486" s="77"/>
      <c r="AQ1486" s="77" t="s">
        <v>14784</v>
      </c>
      <c r="AR1486" s="77"/>
      <c r="AS1486" s="77"/>
      <c r="AT1486" s="77"/>
      <c r="AU1486" s="77"/>
      <c r="AV1486" s="80" t="str">
        <f>HYPERLINK("https://pbs.twimg.com/media/FrISHGwWwAAhGNv.jpg")</f>
        <v>https://pbs.twimg.com/media/FrISHGwWwAAhGNv.jpg</v>
      </c>
      <c r="AW1486" s="82" t="s">
        <v>18259</v>
      </c>
      <c r="AX1486" s="82" t="s">
        <v>18259</v>
      </c>
      <c r="AY1486" s="77"/>
      <c r="AZ1486" s="82" t="s">
        <v>20971</v>
      </c>
      <c r="BA1486" s="82" t="s">
        <v>20971</v>
      </c>
      <c r="BB1486" s="82" t="s">
        <v>20971</v>
      </c>
      <c r="BC1486" s="82" t="s">
        <v>18259</v>
      </c>
      <c r="BD1486" s="82" t="s">
        <v>20923</v>
      </c>
      <c r="BE1486" s="77"/>
      <c r="BF1486" s="77"/>
      <c r="BG1486" s="77"/>
      <c r="BH1486" s="77"/>
      <c r="BI1486" s="77"/>
    </row>
    <row r="1487" spans="1:61" x14ac:dyDescent="0.25">
      <c r="A1487" s="62" t="s">
        <v>575</v>
      </c>
      <c r="B1487" s="62" t="s">
        <v>575</v>
      </c>
      <c r="C1487" s="63"/>
      <c r="D1487" s="64"/>
      <c r="E1487" s="65"/>
      <c r="F1487" s="66"/>
      <c r="G1487" s="63"/>
      <c r="H1487" s="67"/>
      <c r="I1487" s="68"/>
      <c r="J1487" s="68"/>
      <c r="K1487" s="32"/>
      <c r="L1487" s="75">
        <v>1487</v>
      </c>
      <c r="M1487" s="75"/>
      <c r="N1487" s="70"/>
      <c r="O1487" s="77" t="s">
        <v>179</v>
      </c>
      <c r="P1487" s="79">
        <v>44998.863680555558</v>
      </c>
      <c r="Q1487" s="77" t="s">
        <v>2731</v>
      </c>
      <c r="R1487" s="77">
        <v>0</v>
      </c>
      <c r="S1487" s="77">
        <v>0</v>
      </c>
      <c r="T1487" s="77">
        <v>0</v>
      </c>
      <c r="U1487" s="77">
        <v>0</v>
      </c>
      <c r="V1487" s="77">
        <v>75</v>
      </c>
      <c r="W1487" s="82" t="s">
        <v>5828</v>
      </c>
      <c r="X1487" s="77"/>
      <c r="Y1487" s="77"/>
      <c r="Z1487" s="77"/>
      <c r="AA1487" s="77" t="s">
        <v>8141</v>
      </c>
      <c r="AB1487" s="77" t="s">
        <v>10130</v>
      </c>
      <c r="AC1487" s="82" t="s">
        <v>10145</v>
      </c>
      <c r="AD1487" s="77" t="s">
        <v>10184</v>
      </c>
      <c r="AE1487" s="80" t="str">
        <f>HYPERLINK("https://twitter.com/eusougiuseppe/status/1635381139136471048")</f>
        <v>https://twitter.com/eusougiuseppe/status/1635381139136471048</v>
      </c>
      <c r="AF1487" s="79">
        <v>44998.863680555558</v>
      </c>
      <c r="AG1487" s="85">
        <v>44998</v>
      </c>
      <c r="AH1487" s="82" t="s">
        <v>11624</v>
      </c>
      <c r="AI1487" s="77" t="b">
        <v>0</v>
      </c>
      <c r="AJ1487" s="77"/>
      <c r="AK1487" s="77"/>
      <c r="AL1487" s="77"/>
      <c r="AM1487" s="77"/>
      <c r="AN1487" s="77"/>
      <c r="AO1487" s="77"/>
      <c r="AP1487" s="77"/>
      <c r="AQ1487" s="77" t="s">
        <v>14785</v>
      </c>
      <c r="AR1487" s="77"/>
      <c r="AS1487" s="77"/>
      <c r="AT1487" s="77"/>
      <c r="AU1487" s="77"/>
      <c r="AV1487" s="80" t="str">
        <f>HYPERLINK("https://pbs.twimg.com/media/FrIKeh4XwAEdEDD.jpg")</f>
        <v>https://pbs.twimg.com/media/FrIKeh4XwAEdEDD.jpg</v>
      </c>
      <c r="AW1487" s="82" t="s">
        <v>18260</v>
      </c>
      <c r="AX1487" s="82" t="s">
        <v>18260</v>
      </c>
      <c r="AY1487" s="77"/>
      <c r="AZ1487" s="82" t="s">
        <v>20971</v>
      </c>
      <c r="BA1487" s="82" t="s">
        <v>20971</v>
      </c>
      <c r="BB1487" s="82" t="s">
        <v>20971</v>
      </c>
      <c r="BC1487" s="82" t="s">
        <v>18260</v>
      </c>
      <c r="BD1487" s="82" t="s">
        <v>20923</v>
      </c>
      <c r="BE1487" s="77"/>
      <c r="BF1487" s="77"/>
      <c r="BG1487" s="77"/>
      <c r="BH1487" s="77"/>
      <c r="BI1487" s="77"/>
    </row>
    <row r="1488" spans="1:61" x14ac:dyDescent="0.25">
      <c r="A1488" s="62" t="s">
        <v>575</v>
      </c>
      <c r="B1488" s="62" t="s">
        <v>575</v>
      </c>
      <c r="C1488" s="63"/>
      <c r="D1488" s="64"/>
      <c r="E1488" s="65"/>
      <c r="F1488" s="66"/>
      <c r="G1488" s="63"/>
      <c r="H1488" s="67"/>
      <c r="I1488" s="68"/>
      <c r="J1488" s="68"/>
      <c r="K1488" s="32"/>
      <c r="L1488" s="75">
        <v>1488</v>
      </c>
      <c r="M1488" s="75"/>
      <c r="N1488" s="70"/>
      <c r="O1488" s="77" t="s">
        <v>179</v>
      </c>
      <c r="P1488" s="79">
        <v>44998.859375</v>
      </c>
      <c r="Q1488" s="77" t="s">
        <v>2732</v>
      </c>
      <c r="R1488" s="77">
        <v>0</v>
      </c>
      <c r="S1488" s="77">
        <v>0</v>
      </c>
      <c r="T1488" s="77">
        <v>0</v>
      </c>
      <c r="U1488" s="77">
        <v>0</v>
      </c>
      <c r="V1488" s="77">
        <v>65</v>
      </c>
      <c r="W1488" s="82" t="s">
        <v>5829</v>
      </c>
      <c r="X1488" s="77"/>
      <c r="Y1488" s="77"/>
      <c r="Z1488" s="77"/>
      <c r="AA1488" s="77" t="s">
        <v>8142</v>
      </c>
      <c r="AB1488" s="77" t="s">
        <v>10130</v>
      </c>
      <c r="AC1488" s="82" t="s">
        <v>10145</v>
      </c>
      <c r="AD1488" s="77" t="s">
        <v>10184</v>
      </c>
      <c r="AE1488" s="80" t="str">
        <f>HYPERLINK("https://twitter.com/eusougiuseppe/status/1635379580101091335")</f>
        <v>https://twitter.com/eusougiuseppe/status/1635379580101091335</v>
      </c>
      <c r="AF1488" s="79">
        <v>44998.859375</v>
      </c>
      <c r="AG1488" s="85">
        <v>44998</v>
      </c>
      <c r="AH1488" s="82" t="s">
        <v>11625</v>
      </c>
      <c r="AI1488" s="77" t="b">
        <v>0</v>
      </c>
      <c r="AJ1488" s="77"/>
      <c r="AK1488" s="77"/>
      <c r="AL1488" s="77"/>
      <c r="AM1488" s="77"/>
      <c r="AN1488" s="77"/>
      <c r="AO1488" s="77"/>
      <c r="AP1488" s="77"/>
      <c r="AQ1488" s="77" t="s">
        <v>14786</v>
      </c>
      <c r="AR1488" s="77"/>
      <c r="AS1488" s="77"/>
      <c r="AT1488" s="77"/>
      <c r="AU1488" s="77"/>
      <c r="AV1488" s="80" t="str">
        <f>HYPERLINK("https://pbs.twimg.com/media/FrIJDzcXgAE7KkF.jpg")</f>
        <v>https://pbs.twimg.com/media/FrIJDzcXgAE7KkF.jpg</v>
      </c>
      <c r="AW1488" s="82" t="s">
        <v>18261</v>
      </c>
      <c r="AX1488" s="82" t="s">
        <v>18261</v>
      </c>
      <c r="AY1488" s="77"/>
      <c r="AZ1488" s="82" t="s">
        <v>20971</v>
      </c>
      <c r="BA1488" s="82" t="s">
        <v>20971</v>
      </c>
      <c r="BB1488" s="82" t="s">
        <v>20971</v>
      </c>
      <c r="BC1488" s="82" t="s">
        <v>18261</v>
      </c>
      <c r="BD1488" s="82" t="s">
        <v>20923</v>
      </c>
      <c r="BE1488" s="77"/>
      <c r="BF1488" s="77"/>
      <c r="BG1488" s="77"/>
      <c r="BH1488" s="77"/>
      <c r="BI1488" s="77"/>
    </row>
    <row r="1489" spans="1:61" x14ac:dyDescent="0.25">
      <c r="A1489" s="62" t="s">
        <v>575</v>
      </c>
      <c r="B1489" s="62" t="s">
        <v>575</v>
      </c>
      <c r="C1489" s="63"/>
      <c r="D1489" s="64"/>
      <c r="E1489" s="65"/>
      <c r="F1489" s="66"/>
      <c r="G1489" s="63"/>
      <c r="H1489" s="67"/>
      <c r="I1489" s="68"/>
      <c r="J1489" s="68"/>
      <c r="K1489" s="32"/>
      <c r="L1489" s="75">
        <v>1489</v>
      </c>
      <c r="M1489" s="75"/>
      <c r="N1489" s="70"/>
      <c r="O1489" s="77" t="s">
        <v>179</v>
      </c>
      <c r="P1489" s="79">
        <v>44998.857164351852</v>
      </c>
      <c r="Q1489" s="77" t="s">
        <v>2733</v>
      </c>
      <c r="R1489" s="77">
        <v>0</v>
      </c>
      <c r="S1489" s="77">
        <v>0</v>
      </c>
      <c r="T1489" s="77">
        <v>0</v>
      </c>
      <c r="U1489" s="77">
        <v>0</v>
      </c>
      <c r="V1489" s="77">
        <v>32</v>
      </c>
      <c r="W1489" s="82" t="s">
        <v>5830</v>
      </c>
      <c r="X1489" s="77"/>
      <c r="Y1489" s="77"/>
      <c r="Z1489" s="77"/>
      <c r="AA1489" s="77"/>
      <c r="AB1489" s="77"/>
      <c r="AC1489" s="82" t="s">
        <v>10145</v>
      </c>
      <c r="AD1489" s="77" t="s">
        <v>10184</v>
      </c>
      <c r="AE1489" s="80" t="str">
        <f>HYPERLINK("https://twitter.com/eusougiuseppe/status/1635378779865636872")</f>
        <v>https://twitter.com/eusougiuseppe/status/1635378779865636872</v>
      </c>
      <c r="AF1489" s="79">
        <v>44998.857164351852</v>
      </c>
      <c r="AG1489" s="85">
        <v>44998</v>
      </c>
      <c r="AH1489" s="82" t="s">
        <v>11626</v>
      </c>
      <c r="AI1489" s="77"/>
      <c r="AJ1489" s="77"/>
      <c r="AK1489" s="77"/>
      <c r="AL1489" s="77"/>
      <c r="AM1489" s="77"/>
      <c r="AN1489" s="77"/>
      <c r="AO1489" s="77"/>
      <c r="AP1489" s="77"/>
      <c r="AQ1489" s="77"/>
      <c r="AR1489" s="77"/>
      <c r="AS1489" s="77"/>
      <c r="AT1489" s="77"/>
      <c r="AU1489" s="77"/>
      <c r="AV1489" s="80" t="str">
        <f>HYPERLINK("https://pbs.twimg.com/profile_images/1636477032598056961/vn0lyQWA_normal.jpg")</f>
        <v>https://pbs.twimg.com/profile_images/1636477032598056961/vn0lyQWA_normal.jpg</v>
      </c>
      <c r="AW1489" s="82" t="s">
        <v>18262</v>
      </c>
      <c r="AX1489" s="82" t="s">
        <v>18262</v>
      </c>
      <c r="AY1489" s="77"/>
      <c r="AZ1489" s="82" t="s">
        <v>20971</v>
      </c>
      <c r="BA1489" s="82" t="s">
        <v>20971</v>
      </c>
      <c r="BB1489" s="82" t="s">
        <v>20971</v>
      </c>
      <c r="BC1489" s="82" t="s">
        <v>18262</v>
      </c>
      <c r="BD1489" s="82" t="s">
        <v>20923</v>
      </c>
      <c r="BE1489" s="77"/>
      <c r="BF1489" s="77"/>
      <c r="BG1489" s="77"/>
      <c r="BH1489" s="77"/>
      <c r="BI1489" s="77"/>
    </row>
    <row r="1490" spans="1:61" x14ac:dyDescent="0.25">
      <c r="A1490" s="62" t="s">
        <v>575</v>
      </c>
      <c r="B1490" s="62" t="s">
        <v>575</v>
      </c>
      <c r="C1490" s="63"/>
      <c r="D1490" s="64"/>
      <c r="E1490" s="65"/>
      <c r="F1490" s="66"/>
      <c r="G1490" s="63"/>
      <c r="H1490" s="67"/>
      <c r="I1490" s="68"/>
      <c r="J1490" s="68"/>
      <c r="K1490" s="32"/>
      <c r="L1490" s="75">
        <v>1490</v>
      </c>
      <c r="M1490" s="75"/>
      <c r="N1490" s="70"/>
      <c r="O1490" s="77" t="s">
        <v>179</v>
      </c>
      <c r="P1490" s="79">
        <v>45019.957627314812</v>
      </c>
      <c r="Q1490" s="77" t="s">
        <v>2734</v>
      </c>
      <c r="R1490" s="77">
        <v>0</v>
      </c>
      <c r="S1490" s="77">
        <v>0</v>
      </c>
      <c r="T1490" s="77">
        <v>0</v>
      </c>
      <c r="U1490" s="77">
        <v>0</v>
      </c>
      <c r="V1490" s="77">
        <v>36</v>
      </c>
      <c r="W1490" s="82" t="s">
        <v>5831</v>
      </c>
      <c r="X1490" s="77"/>
      <c r="Y1490" s="77"/>
      <c r="Z1490" s="77"/>
      <c r="AA1490" s="77" t="s">
        <v>8143</v>
      </c>
      <c r="AB1490" s="77" t="s">
        <v>10130</v>
      </c>
      <c r="AC1490" s="82" t="s">
        <v>10145</v>
      </c>
      <c r="AD1490" s="77" t="s">
        <v>10184</v>
      </c>
      <c r="AE1490" s="80" t="str">
        <f>HYPERLINK("https://twitter.com/eusougiuseppe/status/1643025331878518787")</f>
        <v>https://twitter.com/eusougiuseppe/status/1643025331878518787</v>
      </c>
      <c r="AF1490" s="79">
        <v>45019.957627314812</v>
      </c>
      <c r="AG1490" s="85">
        <v>45019</v>
      </c>
      <c r="AH1490" s="82" t="s">
        <v>11627</v>
      </c>
      <c r="AI1490" s="77" t="b">
        <v>0</v>
      </c>
      <c r="AJ1490" s="77"/>
      <c r="AK1490" s="77"/>
      <c r="AL1490" s="77"/>
      <c r="AM1490" s="77"/>
      <c r="AN1490" s="77"/>
      <c r="AO1490" s="77"/>
      <c r="AP1490" s="77"/>
      <c r="AQ1490" s="77" t="s">
        <v>14787</v>
      </c>
      <c r="AR1490" s="77"/>
      <c r="AS1490" s="77"/>
      <c r="AT1490" s="77"/>
      <c r="AU1490" s="77"/>
      <c r="AV1490" s="80" t="str">
        <f>HYPERLINK("https://pbs.twimg.com/media/Fs0y1EzXsAE88RF.jpg")</f>
        <v>https://pbs.twimg.com/media/Fs0y1EzXsAE88RF.jpg</v>
      </c>
      <c r="AW1490" s="82" t="s">
        <v>18263</v>
      </c>
      <c r="AX1490" s="82" t="s">
        <v>18263</v>
      </c>
      <c r="AY1490" s="77"/>
      <c r="AZ1490" s="82" t="s">
        <v>20971</v>
      </c>
      <c r="BA1490" s="82" t="s">
        <v>20971</v>
      </c>
      <c r="BB1490" s="82" t="s">
        <v>20971</v>
      </c>
      <c r="BC1490" s="82" t="s">
        <v>18263</v>
      </c>
      <c r="BD1490" s="82" t="s">
        <v>20923</v>
      </c>
      <c r="BE1490" s="77"/>
      <c r="BF1490" s="77"/>
      <c r="BG1490" s="77"/>
      <c r="BH1490" s="77"/>
      <c r="BI1490" s="77"/>
    </row>
    <row r="1491" spans="1:61" x14ac:dyDescent="0.25">
      <c r="A1491" s="62" t="s">
        <v>575</v>
      </c>
      <c r="B1491" s="62" t="s">
        <v>575</v>
      </c>
      <c r="C1491" s="63"/>
      <c r="D1491" s="64"/>
      <c r="E1491" s="65"/>
      <c r="F1491" s="66"/>
      <c r="G1491" s="63"/>
      <c r="H1491" s="67"/>
      <c r="I1491" s="68"/>
      <c r="J1491" s="68"/>
      <c r="K1491" s="32"/>
      <c r="L1491" s="75">
        <v>1491</v>
      </c>
      <c r="M1491" s="75"/>
      <c r="N1491" s="70"/>
      <c r="O1491" s="77" t="s">
        <v>179</v>
      </c>
      <c r="P1491" s="79">
        <v>45014.894513888888</v>
      </c>
      <c r="Q1491" s="77" t="s">
        <v>2735</v>
      </c>
      <c r="R1491" s="77">
        <v>0</v>
      </c>
      <c r="S1491" s="77">
        <v>1</v>
      </c>
      <c r="T1491" s="77">
        <v>1</v>
      </c>
      <c r="U1491" s="77">
        <v>0</v>
      </c>
      <c r="V1491" s="77">
        <v>203</v>
      </c>
      <c r="W1491" s="82" t="s">
        <v>5832</v>
      </c>
      <c r="X1491" s="77"/>
      <c r="Y1491" s="77"/>
      <c r="Z1491" s="77"/>
      <c r="AA1491" s="77" t="s">
        <v>8144</v>
      </c>
      <c r="AB1491" s="77" t="s">
        <v>10130</v>
      </c>
      <c r="AC1491" s="82" t="s">
        <v>10145</v>
      </c>
      <c r="AD1491" s="77" t="s">
        <v>10184</v>
      </c>
      <c r="AE1491" s="80" t="str">
        <f>HYPERLINK("https://twitter.com/eusougiuseppe/status/1641190519400198150")</f>
        <v>https://twitter.com/eusougiuseppe/status/1641190519400198150</v>
      </c>
      <c r="AF1491" s="79">
        <v>45014.894513888888</v>
      </c>
      <c r="AG1491" s="85">
        <v>45014</v>
      </c>
      <c r="AH1491" s="82" t="s">
        <v>11628</v>
      </c>
      <c r="AI1491" s="77" t="b">
        <v>0</v>
      </c>
      <c r="AJ1491" s="77"/>
      <c r="AK1491" s="77"/>
      <c r="AL1491" s="77"/>
      <c r="AM1491" s="77"/>
      <c r="AN1491" s="77"/>
      <c r="AO1491" s="77"/>
      <c r="AP1491" s="77"/>
      <c r="AQ1491" s="77" t="s">
        <v>14788</v>
      </c>
      <c r="AR1491" s="77"/>
      <c r="AS1491" s="77"/>
      <c r="AT1491" s="77"/>
      <c r="AU1491" s="77"/>
      <c r="AV1491" s="80" t="str">
        <f>HYPERLINK("https://pbs.twimg.com/media/FsauFAtWwAAiiGJ.jpg")</f>
        <v>https://pbs.twimg.com/media/FsauFAtWwAAiiGJ.jpg</v>
      </c>
      <c r="AW1491" s="82" t="s">
        <v>18264</v>
      </c>
      <c r="AX1491" s="82" t="s">
        <v>18264</v>
      </c>
      <c r="AY1491" s="77"/>
      <c r="AZ1491" s="82" t="s">
        <v>20971</v>
      </c>
      <c r="BA1491" s="82" t="s">
        <v>20971</v>
      </c>
      <c r="BB1491" s="82" t="s">
        <v>20971</v>
      </c>
      <c r="BC1491" s="82" t="s">
        <v>18264</v>
      </c>
      <c r="BD1491" s="82" t="s">
        <v>20923</v>
      </c>
      <c r="BE1491" s="77"/>
      <c r="BF1491" s="77"/>
      <c r="BG1491" s="77"/>
      <c r="BH1491" s="77"/>
      <c r="BI1491" s="77"/>
    </row>
    <row r="1492" spans="1:61" x14ac:dyDescent="0.25">
      <c r="A1492" s="62" t="s">
        <v>575</v>
      </c>
      <c r="B1492" s="62" t="s">
        <v>575</v>
      </c>
      <c r="C1492" s="63"/>
      <c r="D1492" s="64"/>
      <c r="E1492" s="65"/>
      <c r="F1492" s="66"/>
      <c r="G1492" s="63"/>
      <c r="H1492" s="67"/>
      <c r="I1492" s="68"/>
      <c r="J1492" s="68"/>
      <c r="K1492" s="32"/>
      <c r="L1492" s="75">
        <v>1492</v>
      </c>
      <c r="M1492" s="75"/>
      <c r="N1492" s="70"/>
      <c r="O1492" s="77" t="s">
        <v>179</v>
      </c>
      <c r="P1492" s="79">
        <v>45014.041979166665</v>
      </c>
      <c r="Q1492" s="77" t="s">
        <v>2736</v>
      </c>
      <c r="R1492" s="77">
        <v>0</v>
      </c>
      <c r="S1492" s="77">
        <v>0</v>
      </c>
      <c r="T1492" s="77">
        <v>1</v>
      </c>
      <c r="U1492" s="77">
        <v>0</v>
      </c>
      <c r="V1492" s="77">
        <v>73</v>
      </c>
      <c r="W1492" s="82" t="s">
        <v>5833</v>
      </c>
      <c r="X1492" s="77"/>
      <c r="Y1492" s="77"/>
      <c r="Z1492" s="77"/>
      <c r="AA1492" s="77" t="s">
        <v>8145</v>
      </c>
      <c r="AB1492" s="77" t="s">
        <v>10130</v>
      </c>
      <c r="AC1492" s="82" t="s">
        <v>10145</v>
      </c>
      <c r="AD1492" s="77" t="s">
        <v>10184</v>
      </c>
      <c r="AE1492" s="80" t="str">
        <f>HYPERLINK("https://twitter.com/eusougiuseppe/status/1640881572063633408")</f>
        <v>https://twitter.com/eusougiuseppe/status/1640881572063633408</v>
      </c>
      <c r="AF1492" s="79">
        <v>45014.041979166665</v>
      </c>
      <c r="AG1492" s="85">
        <v>45014</v>
      </c>
      <c r="AH1492" s="82" t="s">
        <v>11629</v>
      </c>
      <c r="AI1492" s="77" t="b">
        <v>0</v>
      </c>
      <c r="AJ1492" s="77"/>
      <c r="AK1492" s="77"/>
      <c r="AL1492" s="77"/>
      <c r="AM1492" s="77"/>
      <c r="AN1492" s="77"/>
      <c r="AO1492" s="77"/>
      <c r="AP1492" s="77"/>
      <c r="AQ1492" s="77" t="s">
        <v>14789</v>
      </c>
      <c r="AR1492" s="77"/>
      <c r="AS1492" s="77"/>
      <c r="AT1492" s="77"/>
      <c r="AU1492" s="77"/>
      <c r="AV1492" s="80" t="str">
        <f>HYPERLINK("https://pbs.twimg.com/media/FsWVFyqXoAIXbhC.jpg")</f>
        <v>https://pbs.twimg.com/media/FsWVFyqXoAIXbhC.jpg</v>
      </c>
      <c r="AW1492" s="82" t="s">
        <v>18265</v>
      </c>
      <c r="AX1492" s="82" t="s">
        <v>18265</v>
      </c>
      <c r="AY1492" s="77"/>
      <c r="AZ1492" s="82" t="s">
        <v>20971</v>
      </c>
      <c r="BA1492" s="82" t="s">
        <v>20971</v>
      </c>
      <c r="BB1492" s="82" t="s">
        <v>20971</v>
      </c>
      <c r="BC1492" s="82" t="s">
        <v>18265</v>
      </c>
      <c r="BD1492" s="82" t="s">
        <v>20923</v>
      </c>
      <c r="BE1492" s="77"/>
      <c r="BF1492" s="77"/>
      <c r="BG1492" s="77"/>
      <c r="BH1492" s="77"/>
      <c r="BI1492" s="77"/>
    </row>
    <row r="1493" spans="1:61" x14ac:dyDescent="0.25">
      <c r="A1493" s="62" t="s">
        <v>575</v>
      </c>
      <c r="B1493" s="62" t="s">
        <v>575</v>
      </c>
      <c r="C1493" s="63"/>
      <c r="D1493" s="64"/>
      <c r="E1493" s="65"/>
      <c r="F1493" s="66"/>
      <c r="G1493" s="63"/>
      <c r="H1493" s="67"/>
      <c r="I1493" s="68"/>
      <c r="J1493" s="68"/>
      <c r="K1493" s="32"/>
      <c r="L1493" s="75">
        <v>1493</v>
      </c>
      <c r="M1493" s="75"/>
      <c r="N1493" s="70"/>
      <c r="O1493" s="77" t="s">
        <v>179</v>
      </c>
      <c r="P1493" s="79">
        <v>45012.557696759257</v>
      </c>
      <c r="Q1493" s="77" t="s">
        <v>2737</v>
      </c>
      <c r="R1493" s="77">
        <v>0</v>
      </c>
      <c r="S1493" s="77">
        <v>0</v>
      </c>
      <c r="T1493" s="77">
        <v>1</v>
      </c>
      <c r="U1493" s="77">
        <v>0</v>
      </c>
      <c r="V1493" s="77">
        <v>89</v>
      </c>
      <c r="W1493" s="82" t="s">
        <v>5834</v>
      </c>
      <c r="X1493" s="77"/>
      <c r="Y1493" s="77"/>
      <c r="Z1493" s="77"/>
      <c r="AA1493" s="77" t="s">
        <v>8146</v>
      </c>
      <c r="AB1493" s="77" t="s">
        <v>10130</v>
      </c>
      <c r="AC1493" s="82" t="s">
        <v>10145</v>
      </c>
      <c r="AD1493" s="77" t="s">
        <v>10184</v>
      </c>
      <c r="AE1493" s="80" t="str">
        <f>HYPERLINK("https://twitter.com/eusougiuseppe/status/1640343684599128065")</f>
        <v>https://twitter.com/eusougiuseppe/status/1640343684599128065</v>
      </c>
      <c r="AF1493" s="79">
        <v>45012.557696759257</v>
      </c>
      <c r="AG1493" s="85">
        <v>45012</v>
      </c>
      <c r="AH1493" s="82" t="s">
        <v>11630</v>
      </c>
      <c r="AI1493" s="77" t="b">
        <v>0</v>
      </c>
      <c r="AJ1493" s="77"/>
      <c r="AK1493" s="77"/>
      <c r="AL1493" s="77"/>
      <c r="AM1493" s="77"/>
      <c r="AN1493" s="77"/>
      <c r="AO1493" s="77"/>
      <c r="AP1493" s="77"/>
      <c r="AQ1493" s="77" t="s">
        <v>14790</v>
      </c>
      <c r="AR1493" s="77"/>
      <c r="AS1493" s="77"/>
      <c r="AT1493" s="77"/>
      <c r="AU1493" s="77"/>
      <c r="AV1493" s="80" t="str">
        <f>HYPERLINK("https://pbs.twimg.com/media/FsOr4tlXsAEA93i.jpg")</f>
        <v>https://pbs.twimg.com/media/FsOr4tlXsAEA93i.jpg</v>
      </c>
      <c r="AW1493" s="82" t="s">
        <v>18266</v>
      </c>
      <c r="AX1493" s="82" t="s">
        <v>18266</v>
      </c>
      <c r="AY1493" s="77"/>
      <c r="AZ1493" s="82" t="s">
        <v>20971</v>
      </c>
      <c r="BA1493" s="82" t="s">
        <v>20971</v>
      </c>
      <c r="BB1493" s="82" t="s">
        <v>20971</v>
      </c>
      <c r="BC1493" s="82" t="s">
        <v>18266</v>
      </c>
      <c r="BD1493" s="82" t="s">
        <v>20923</v>
      </c>
      <c r="BE1493" s="77"/>
      <c r="BF1493" s="77"/>
      <c r="BG1493" s="77"/>
      <c r="BH1493" s="77"/>
      <c r="BI1493" s="77"/>
    </row>
    <row r="1494" spans="1:61" x14ac:dyDescent="0.25">
      <c r="A1494" s="62" t="s">
        <v>575</v>
      </c>
      <c r="B1494" s="62" t="s">
        <v>575</v>
      </c>
      <c r="C1494" s="63"/>
      <c r="D1494" s="64"/>
      <c r="E1494" s="65"/>
      <c r="F1494" s="66"/>
      <c r="G1494" s="63"/>
      <c r="H1494" s="67"/>
      <c r="I1494" s="68"/>
      <c r="J1494" s="68"/>
      <c r="K1494" s="32"/>
      <c r="L1494" s="75">
        <v>1494</v>
      </c>
      <c r="M1494" s="75"/>
      <c r="N1494" s="70"/>
      <c r="O1494" s="77" t="s">
        <v>179</v>
      </c>
      <c r="P1494" s="79">
        <v>45010.902453703704</v>
      </c>
      <c r="Q1494" s="77" t="s">
        <v>2738</v>
      </c>
      <c r="R1494" s="77">
        <v>0</v>
      </c>
      <c r="S1494" s="77">
        <v>0</v>
      </c>
      <c r="T1494" s="77">
        <v>1</v>
      </c>
      <c r="U1494" s="77">
        <v>0</v>
      </c>
      <c r="V1494" s="77">
        <v>48</v>
      </c>
      <c r="W1494" s="82" t="s">
        <v>5835</v>
      </c>
      <c r="X1494" s="77"/>
      <c r="Y1494" s="77"/>
      <c r="Z1494" s="77"/>
      <c r="AA1494" s="77" t="s">
        <v>8147</v>
      </c>
      <c r="AB1494" s="77" t="s">
        <v>10130</v>
      </c>
      <c r="AC1494" s="82" t="s">
        <v>10145</v>
      </c>
      <c r="AD1494" s="77" t="s">
        <v>10184</v>
      </c>
      <c r="AE1494" s="80" t="str">
        <f>HYPERLINK("https://twitter.com/eusougiuseppe/status/1639743845913993217")</f>
        <v>https://twitter.com/eusougiuseppe/status/1639743845913993217</v>
      </c>
      <c r="AF1494" s="79">
        <v>45010.902453703704</v>
      </c>
      <c r="AG1494" s="85">
        <v>45010</v>
      </c>
      <c r="AH1494" s="82" t="s">
        <v>11631</v>
      </c>
      <c r="AI1494" s="77" t="b">
        <v>0</v>
      </c>
      <c r="AJ1494" s="77"/>
      <c r="AK1494" s="77"/>
      <c r="AL1494" s="77"/>
      <c r="AM1494" s="77"/>
      <c r="AN1494" s="77"/>
      <c r="AO1494" s="77"/>
      <c r="AP1494" s="77"/>
      <c r="AQ1494" s="77" t="s">
        <v>14791</v>
      </c>
      <c r="AR1494" s="77"/>
      <c r="AS1494" s="77"/>
      <c r="AT1494" s="77"/>
      <c r="AU1494" s="77"/>
      <c r="AV1494" s="80" t="str">
        <f>HYPERLINK("https://pbs.twimg.com/media/FsGKViXXoAAhf76.jpg")</f>
        <v>https://pbs.twimg.com/media/FsGKViXXoAAhf76.jpg</v>
      </c>
      <c r="AW1494" s="82" t="s">
        <v>18267</v>
      </c>
      <c r="AX1494" s="82" t="s">
        <v>18267</v>
      </c>
      <c r="AY1494" s="77"/>
      <c r="AZ1494" s="82" t="s">
        <v>20971</v>
      </c>
      <c r="BA1494" s="82" t="s">
        <v>20971</v>
      </c>
      <c r="BB1494" s="82" t="s">
        <v>20971</v>
      </c>
      <c r="BC1494" s="82" t="s">
        <v>18267</v>
      </c>
      <c r="BD1494" s="82" t="s">
        <v>20923</v>
      </c>
      <c r="BE1494" s="77"/>
      <c r="BF1494" s="77"/>
      <c r="BG1494" s="77"/>
      <c r="BH1494" s="77"/>
      <c r="BI1494" s="77"/>
    </row>
    <row r="1495" spans="1:61" x14ac:dyDescent="0.25">
      <c r="A1495" s="62" t="s">
        <v>575</v>
      </c>
      <c r="B1495" s="62" t="s">
        <v>575</v>
      </c>
      <c r="C1495" s="63"/>
      <c r="D1495" s="64"/>
      <c r="E1495" s="65"/>
      <c r="F1495" s="66"/>
      <c r="G1495" s="63"/>
      <c r="H1495" s="67"/>
      <c r="I1495" s="68"/>
      <c r="J1495" s="68"/>
      <c r="K1495" s="32"/>
      <c r="L1495" s="75">
        <v>1495</v>
      </c>
      <c r="M1495" s="75"/>
      <c r="N1495" s="70"/>
      <c r="O1495" s="77" t="s">
        <v>179</v>
      </c>
      <c r="P1495" s="79">
        <v>45028.73128472222</v>
      </c>
      <c r="Q1495" s="77" t="s">
        <v>2739</v>
      </c>
      <c r="R1495" s="77">
        <v>0</v>
      </c>
      <c r="S1495" s="77">
        <v>0</v>
      </c>
      <c r="T1495" s="77">
        <v>1</v>
      </c>
      <c r="U1495" s="77">
        <v>0</v>
      </c>
      <c r="V1495" s="77">
        <v>52</v>
      </c>
      <c r="W1495" s="82" t="s">
        <v>5836</v>
      </c>
      <c r="X1495" s="77"/>
      <c r="Y1495" s="77"/>
      <c r="Z1495" s="77"/>
      <c r="AA1495" s="77" t="s">
        <v>8148</v>
      </c>
      <c r="AB1495" s="77" t="s">
        <v>10130</v>
      </c>
      <c r="AC1495" s="82" t="s">
        <v>10145</v>
      </c>
      <c r="AD1495" s="77" t="s">
        <v>10184</v>
      </c>
      <c r="AE1495" s="80" t="str">
        <f>HYPERLINK("https://twitter.com/eusougiuseppe/status/1646204799216500782")</f>
        <v>https://twitter.com/eusougiuseppe/status/1646204799216500782</v>
      </c>
      <c r="AF1495" s="79">
        <v>45028.73128472222</v>
      </c>
      <c r="AG1495" s="85">
        <v>45028</v>
      </c>
      <c r="AH1495" s="82" t="s">
        <v>11632</v>
      </c>
      <c r="AI1495" s="77" t="b">
        <v>0</v>
      </c>
      <c r="AJ1495" s="77"/>
      <c r="AK1495" s="77"/>
      <c r="AL1495" s="77"/>
      <c r="AM1495" s="77"/>
      <c r="AN1495" s="77"/>
      <c r="AO1495" s="77"/>
      <c r="AP1495" s="77"/>
      <c r="AQ1495" s="77" t="s">
        <v>14792</v>
      </c>
      <c r="AR1495" s="77"/>
      <c r="AS1495" s="77"/>
      <c r="AT1495" s="77"/>
      <c r="AU1495" s="77"/>
      <c r="AV1495" s="80" t="str">
        <f>HYPERLINK("https://pbs.twimg.com/media/Fth-ieZXwCESB7c.jpg")</f>
        <v>https://pbs.twimg.com/media/Fth-ieZXwCESB7c.jpg</v>
      </c>
      <c r="AW1495" s="82" t="s">
        <v>18268</v>
      </c>
      <c r="AX1495" s="82" t="s">
        <v>18268</v>
      </c>
      <c r="AY1495" s="77"/>
      <c r="AZ1495" s="82" t="s">
        <v>20971</v>
      </c>
      <c r="BA1495" s="82" t="s">
        <v>20971</v>
      </c>
      <c r="BB1495" s="82" t="s">
        <v>20971</v>
      </c>
      <c r="BC1495" s="82" t="s">
        <v>18268</v>
      </c>
      <c r="BD1495" s="82" t="s">
        <v>20923</v>
      </c>
      <c r="BE1495" s="77"/>
      <c r="BF1495" s="77"/>
      <c r="BG1495" s="77"/>
      <c r="BH1495" s="77"/>
      <c r="BI1495" s="77"/>
    </row>
    <row r="1496" spans="1:61" x14ac:dyDescent="0.25">
      <c r="A1496" s="62" t="s">
        <v>575</v>
      </c>
      <c r="B1496" s="62" t="s">
        <v>1241</v>
      </c>
      <c r="C1496" s="63"/>
      <c r="D1496" s="64"/>
      <c r="E1496" s="65"/>
      <c r="F1496" s="66"/>
      <c r="G1496" s="63"/>
      <c r="H1496" s="67"/>
      <c r="I1496" s="68"/>
      <c r="J1496" s="68"/>
      <c r="K1496" s="32"/>
      <c r="L1496" s="75">
        <v>1496</v>
      </c>
      <c r="M1496" s="75"/>
      <c r="N1496" s="70"/>
      <c r="O1496" s="77" t="s">
        <v>1285</v>
      </c>
      <c r="P1496" s="79">
        <v>45043.969039351854</v>
      </c>
      <c r="Q1496" s="77" t="s">
        <v>2740</v>
      </c>
      <c r="R1496" s="77">
        <v>0</v>
      </c>
      <c r="S1496" s="77">
        <v>0</v>
      </c>
      <c r="T1496" s="77">
        <v>0</v>
      </c>
      <c r="U1496" s="77">
        <v>0</v>
      </c>
      <c r="V1496" s="77">
        <v>27</v>
      </c>
      <c r="W1496" s="82" t="s">
        <v>5837</v>
      </c>
      <c r="X1496" s="80" t="str">
        <f>HYPERLINK("https://youtu.be/MtynJRQJRnk")</f>
        <v>https://youtu.be/MtynJRQJRnk</v>
      </c>
      <c r="Y1496" s="77" t="s">
        <v>7248</v>
      </c>
      <c r="Z1496" s="77" t="s">
        <v>1241</v>
      </c>
      <c r="AA1496" s="77"/>
      <c r="AB1496" s="77"/>
      <c r="AC1496" s="82" t="s">
        <v>10145</v>
      </c>
      <c r="AD1496" s="77" t="s">
        <v>10184</v>
      </c>
      <c r="AE1496" s="80" t="str">
        <f>HYPERLINK("https://twitter.com/eusougiuseppe/status/1651726773841805317")</f>
        <v>https://twitter.com/eusougiuseppe/status/1651726773841805317</v>
      </c>
      <c r="AF1496" s="79">
        <v>45043.969039351854</v>
      </c>
      <c r="AG1496" s="85">
        <v>45043</v>
      </c>
      <c r="AH1496" s="82" t="s">
        <v>11633</v>
      </c>
      <c r="AI1496" s="77" t="b">
        <v>0</v>
      </c>
      <c r="AJ1496" s="77"/>
      <c r="AK1496" s="77"/>
      <c r="AL1496" s="77"/>
      <c r="AM1496" s="77"/>
      <c r="AN1496" s="77"/>
      <c r="AO1496" s="77"/>
      <c r="AP1496" s="77"/>
      <c r="AQ1496" s="77"/>
      <c r="AR1496" s="77"/>
      <c r="AS1496" s="77"/>
      <c r="AT1496" s="77"/>
      <c r="AU1496" s="77"/>
      <c r="AV1496" s="80" t="str">
        <f>HYPERLINK("https://pbs.twimg.com/profile_images/1636477032598056961/vn0lyQWA_normal.jpg")</f>
        <v>https://pbs.twimg.com/profile_images/1636477032598056961/vn0lyQWA_normal.jpg</v>
      </c>
      <c r="AW1496" s="82" t="s">
        <v>18269</v>
      </c>
      <c r="AX1496" s="82" t="s">
        <v>18269</v>
      </c>
      <c r="AY1496" s="77"/>
      <c r="AZ1496" s="82" t="s">
        <v>20971</v>
      </c>
      <c r="BA1496" s="82" t="s">
        <v>20971</v>
      </c>
      <c r="BB1496" s="82" t="s">
        <v>20971</v>
      </c>
      <c r="BC1496" s="82" t="s">
        <v>18269</v>
      </c>
      <c r="BD1496" s="82" t="s">
        <v>20923</v>
      </c>
      <c r="BE1496" s="77"/>
      <c r="BF1496" s="77"/>
      <c r="BG1496" s="77"/>
      <c r="BH1496" s="77"/>
      <c r="BI1496" s="77"/>
    </row>
    <row r="1497" spans="1:61" x14ac:dyDescent="0.25">
      <c r="A1497" s="62" t="s">
        <v>575</v>
      </c>
      <c r="B1497" s="62" t="s">
        <v>1241</v>
      </c>
      <c r="C1497" s="63"/>
      <c r="D1497" s="64"/>
      <c r="E1497" s="65"/>
      <c r="F1497" s="66"/>
      <c r="G1497" s="63"/>
      <c r="H1497" s="67"/>
      <c r="I1497" s="68"/>
      <c r="J1497" s="68"/>
      <c r="K1497" s="32"/>
      <c r="L1497" s="75">
        <v>1497</v>
      </c>
      <c r="M1497" s="75"/>
      <c r="N1497" s="70"/>
      <c r="O1497" s="77" t="s">
        <v>1285</v>
      </c>
      <c r="P1497" s="79">
        <v>45041.923113425924</v>
      </c>
      <c r="Q1497" s="77" t="s">
        <v>2741</v>
      </c>
      <c r="R1497" s="77">
        <v>0</v>
      </c>
      <c r="S1497" s="77">
        <v>0</v>
      </c>
      <c r="T1497" s="77">
        <v>0</v>
      </c>
      <c r="U1497" s="77">
        <v>0</v>
      </c>
      <c r="V1497" s="77">
        <v>23</v>
      </c>
      <c r="W1497" s="82" t="s">
        <v>5838</v>
      </c>
      <c r="X1497" s="80" t="str">
        <f>HYPERLINK("https://youtu.be/F8bfF3rj9L8")</f>
        <v>https://youtu.be/F8bfF3rj9L8</v>
      </c>
      <c r="Y1497" s="77" t="s">
        <v>7248</v>
      </c>
      <c r="Z1497" s="77" t="s">
        <v>1241</v>
      </c>
      <c r="AA1497" s="77"/>
      <c r="AB1497" s="77"/>
      <c r="AC1497" s="82" t="s">
        <v>10145</v>
      </c>
      <c r="AD1497" s="77" t="s">
        <v>10184</v>
      </c>
      <c r="AE1497" s="80" t="str">
        <f>HYPERLINK("https://twitter.com/eusougiuseppe/status/1650985354868998144")</f>
        <v>https://twitter.com/eusougiuseppe/status/1650985354868998144</v>
      </c>
      <c r="AF1497" s="79">
        <v>45041.923113425924</v>
      </c>
      <c r="AG1497" s="85">
        <v>45041</v>
      </c>
      <c r="AH1497" s="82" t="s">
        <v>11634</v>
      </c>
      <c r="AI1497" s="77" t="b">
        <v>0</v>
      </c>
      <c r="AJ1497" s="77"/>
      <c r="AK1497" s="77"/>
      <c r="AL1497" s="77"/>
      <c r="AM1497" s="77"/>
      <c r="AN1497" s="77"/>
      <c r="AO1497" s="77"/>
      <c r="AP1497" s="77"/>
      <c r="AQ1497" s="77"/>
      <c r="AR1497" s="77"/>
      <c r="AS1497" s="77"/>
      <c r="AT1497" s="77"/>
      <c r="AU1497" s="77"/>
      <c r="AV1497" s="80" t="str">
        <f>HYPERLINK("https://pbs.twimg.com/profile_images/1636477032598056961/vn0lyQWA_normal.jpg")</f>
        <v>https://pbs.twimg.com/profile_images/1636477032598056961/vn0lyQWA_normal.jpg</v>
      </c>
      <c r="AW1497" s="82" t="s">
        <v>18270</v>
      </c>
      <c r="AX1497" s="82" t="s">
        <v>18270</v>
      </c>
      <c r="AY1497" s="77"/>
      <c r="AZ1497" s="82" t="s">
        <v>20971</v>
      </c>
      <c r="BA1497" s="82" t="s">
        <v>20971</v>
      </c>
      <c r="BB1497" s="82" t="s">
        <v>20971</v>
      </c>
      <c r="BC1497" s="82" t="s">
        <v>18270</v>
      </c>
      <c r="BD1497" s="82" t="s">
        <v>20923</v>
      </c>
      <c r="BE1497" s="77"/>
      <c r="BF1497" s="77"/>
      <c r="BG1497" s="77"/>
      <c r="BH1497" s="77"/>
      <c r="BI1497" s="77"/>
    </row>
    <row r="1498" spans="1:61" x14ac:dyDescent="0.25">
      <c r="A1498" s="62" t="s">
        <v>576</v>
      </c>
      <c r="B1498" s="62" t="s">
        <v>576</v>
      </c>
      <c r="C1498" s="63"/>
      <c r="D1498" s="64"/>
      <c r="E1498" s="65"/>
      <c r="F1498" s="66"/>
      <c r="G1498" s="63"/>
      <c r="H1498" s="67"/>
      <c r="I1498" s="68"/>
      <c r="J1498" s="68"/>
      <c r="K1498" s="32"/>
      <c r="L1498" s="75">
        <v>1498</v>
      </c>
      <c r="M1498" s="75"/>
      <c r="N1498" s="70"/>
      <c r="O1498" s="77" t="s">
        <v>179</v>
      </c>
      <c r="P1498" s="79">
        <v>45169.717349537037</v>
      </c>
      <c r="Q1498" s="77" t="s">
        <v>2742</v>
      </c>
      <c r="R1498" s="77">
        <v>0</v>
      </c>
      <c r="S1498" s="77">
        <v>0</v>
      </c>
      <c r="T1498" s="77">
        <v>1</v>
      </c>
      <c r="U1498" s="77">
        <v>0</v>
      </c>
      <c r="V1498" s="77">
        <v>93</v>
      </c>
      <c r="W1498" s="82" t="s">
        <v>5839</v>
      </c>
      <c r="X1498" s="77" t="s">
        <v>7198</v>
      </c>
      <c r="Y1498" s="77" t="s">
        <v>7346</v>
      </c>
      <c r="Z1498" s="77"/>
      <c r="AA1498" s="77" t="s">
        <v>8149</v>
      </c>
      <c r="AB1498" s="77" t="s">
        <v>10129</v>
      </c>
      <c r="AC1498" s="82" t="s">
        <v>10144</v>
      </c>
      <c r="AD1498" s="77" t="s">
        <v>10184</v>
      </c>
      <c r="AE1498" s="80" t="str">
        <f>HYPERLINK("https://twitter.com/plimbetparana/status/1697296435857731684")</f>
        <v>https://twitter.com/plimbetparana/status/1697296435857731684</v>
      </c>
      <c r="AF1498" s="79">
        <v>45169.717349537037</v>
      </c>
      <c r="AG1498" s="85">
        <v>45169</v>
      </c>
      <c r="AH1498" s="82" t="s">
        <v>11635</v>
      </c>
      <c r="AI1498" s="77" t="b">
        <v>0</v>
      </c>
      <c r="AJ1498" s="77"/>
      <c r="AK1498" s="77"/>
      <c r="AL1498" s="77"/>
      <c r="AM1498" s="77"/>
      <c r="AN1498" s="77"/>
      <c r="AO1498" s="77"/>
      <c r="AP1498" s="77"/>
      <c r="AQ1498" s="77" t="s">
        <v>14793</v>
      </c>
      <c r="AR1498" s="77">
        <v>140010</v>
      </c>
      <c r="AS1498" s="77"/>
      <c r="AT1498" s="77"/>
      <c r="AU1498" s="77"/>
      <c r="AV1498" s="80" t="str">
        <f>HYPERLINK("https://pbs.twimg.com/ext_tw_video_thumb/1697296393126154240/pu/img/X328WdcYitwFkrKQ.jpg")</f>
        <v>https://pbs.twimg.com/ext_tw_video_thumb/1697296393126154240/pu/img/X328WdcYitwFkrKQ.jpg</v>
      </c>
      <c r="AW1498" s="82" t="s">
        <v>18271</v>
      </c>
      <c r="AX1498" s="82" t="s">
        <v>18271</v>
      </c>
      <c r="AY1498" s="77"/>
      <c r="AZ1498" s="82" t="s">
        <v>20971</v>
      </c>
      <c r="BA1498" s="82" t="s">
        <v>20971</v>
      </c>
      <c r="BB1498" s="82" t="s">
        <v>20971</v>
      </c>
      <c r="BC1498" s="82" t="s">
        <v>18271</v>
      </c>
      <c r="BD1498" s="82" t="s">
        <v>20924</v>
      </c>
      <c r="BE1498" s="77"/>
      <c r="BF1498" s="77"/>
      <c r="BG1498" s="77"/>
      <c r="BH1498" s="77"/>
      <c r="BI1498" s="77"/>
    </row>
    <row r="1499" spans="1:61" x14ac:dyDescent="0.25">
      <c r="A1499" s="62" t="s">
        <v>576</v>
      </c>
      <c r="B1499" s="62" t="s">
        <v>576</v>
      </c>
      <c r="C1499" s="63"/>
      <c r="D1499" s="64"/>
      <c r="E1499" s="65"/>
      <c r="F1499" s="66"/>
      <c r="G1499" s="63"/>
      <c r="H1499" s="67"/>
      <c r="I1499" s="68"/>
      <c r="J1499" s="68"/>
      <c r="K1499" s="32"/>
      <c r="L1499" s="75">
        <v>1499</v>
      </c>
      <c r="M1499" s="75"/>
      <c r="N1499" s="70"/>
      <c r="O1499" s="77" t="s">
        <v>179</v>
      </c>
      <c r="P1499" s="79">
        <v>45169.688356481478</v>
      </c>
      <c r="Q1499" s="77" t="s">
        <v>2743</v>
      </c>
      <c r="R1499" s="77">
        <v>0</v>
      </c>
      <c r="S1499" s="77">
        <v>0</v>
      </c>
      <c r="T1499" s="77">
        <v>1</v>
      </c>
      <c r="U1499" s="77">
        <v>0</v>
      </c>
      <c r="V1499" s="77">
        <v>49</v>
      </c>
      <c r="W1499" s="82" t="s">
        <v>5840</v>
      </c>
      <c r="X1499" s="77" t="s">
        <v>7198</v>
      </c>
      <c r="Y1499" s="77" t="s">
        <v>7346</v>
      </c>
      <c r="Z1499" s="77"/>
      <c r="AA1499" s="77" t="s">
        <v>8150</v>
      </c>
      <c r="AB1499" s="77" t="s">
        <v>10129</v>
      </c>
      <c r="AC1499" s="82" t="s">
        <v>10144</v>
      </c>
      <c r="AD1499" s="77" t="s">
        <v>10184</v>
      </c>
      <c r="AE1499" s="80" t="str">
        <f>HYPERLINK("https://twitter.com/plimbetparana/status/1697285929298190497")</f>
        <v>https://twitter.com/plimbetparana/status/1697285929298190497</v>
      </c>
      <c r="AF1499" s="79">
        <v>45169.688356481478</v>
      </c>
      <c r="AG1499" s="85">
        <v>45169</v>
      </c>
      <c r="AH1499" s="82" t="s">
        <v>11636</v>
      </c>
      <c r="AI1499" s="77" t="b">
        <v>0</v>
      </c>
      <c r="AJ1499" s="77"/>
      <c r="AK1499" s="77"/>
      <c r="AL1499" s="77"/>
      <c r="AM1499" s="77"/>
      <c r="AN1499" s="77"/>
      <c r="AO1499" s="77"/>
      <c r="AP1499" s="77"/>
      <c r="AQ1499" s="77" t="s">
        <v>14794</v>
      </c>
      <c r="AR1499" s="77">
        <v>49363</v>
      </c>
      <c r="AS1499" s="77"/>
      <c r="AT1499" s="77"/>
      <c r="AU1499" s="77"/>
      <c r="AV1499" s="80" t="str">
        <f>HYPERLINK("https://pbs.twimg.com/ext_tw_video_thumb/1697285886482718720/pu/img/aphZjTv5aKZtceZe.jpg")</f>
        <v>https://pbs.twimg.com/ext_tw_video_thumb/1697285886482718720/pu/img/aphZjTv5aKZtceZe.jpg</v>
      </c>
      <c r="AW1499" s="82" t="s">
        <v>18272</v>
      </c>
      <c r="AX1499" s="82" t="s">
        <v>18272</v>
      </c>
      <c r="AY1499" s="77"/>
      <c r="AZ1499" s="82" t="s">
        <v>20971</v>
      </c>
      <c r="BA1499" s="82" t="s">
        <v>20971</v>
      </c>
      <c r="BB1499" s="82" t="s">
        <v>20971</v>
      </c>
      <c r="BC1499" s="82" t="s">
        <v>18272</v>
      </c>
      <c r="BD1499" s="82" t="s">
        <v>20924</v>
      </c>
      <c r="BE1499" s="77"/>
      <c r="BF1499" s="77"/>
      <c r="BG1499" s="77"/>
      <c r="BH1499" s="77"/>
      <c r="BI1499" s="77"/>
    </row>
    <row r="1500" spans="1:61" x14ac:dyDescent="0.25">
      <c r="A1500" s="62" t="s">
        <v>576</v>
      </c>
      <c r="B1500" s="62" t="s">
        <v>576</v>
      </c>
      <c r="C1500" s="63"/>
      <c r="D1500" s="64"/>
      <c r="E1500" s="65"/>
      <c r="F1500" s="66"/>
      <c r="G1500" s="63"/>
      <c r="H1500" s="67"/>
      <c r="I1500" s="68"/>
      <c r="J1500" s="68"/>
      <c r="K1500" s="32"/>
      <c r="L1500" s="75">
        <v>1500</v>
      </c>
      <c r="M1500" s="75"/>
      <c r="N1500" s="70"/>
      <c r="O1500" s="77" t="s">
        <v>179</v>
      </c>
      <c r="P1500" s="79">
        <v>45169.525636574072</v>
      </c>
      <c r="Q1500" s="77" t="s">
        <v>2744</v>
      </c>
      <c r="R1500" s="77">
        <v>0</v>
      </c>
      <c r="S1500" s="77">
        <v>0</v>
      </c>
      <c r="T1500" s="77">
        <v>0</v>
      </c>
      <c r="U1500" s="77">
        <v>0</v>
      </c>
      <c r="V1500" s="77">
        <v>96</v>
      </c>
      <c r="W1500" s="82" t="s">
        <v>5841</v>
      </c>
      <c r="X1500" s="77" t="s">
        <v>7198</v>
      </c>
      <c r="Y1500" s="77" t="s">
        <v>7346</v>
      </c>
      <c r="Z1500" s="77"/>
      <c r="AA1500" s="77" t="s">
        <v>8151</v>
      </c>
      <c r="AB1500" s="77" t="s">
        <v>10129</v>
      </c>
      <c r="AC1500" s="82" t="s">
        <v>10144</v>
      </c>
      <c r="AD1500" s="77" t="s">
        <v>10184</v>
      </c>
      <c r="AE1500" s="80" t="str">
        <f>HYPERLINK("https://twitter.com/plimbetparana/status/1697226963209818400")</f>
        <v>https://twitter.com/plimbetparana/status/1697226963209818400</v>
      </c>
      <c r="AF1500" s="79">
        <v>45169.525636574072</v>
      </c>
      <c r="AG1500" s="85">
        <v>45169</v>
      </c>
      <c r="AH1500" s="82" t="s">
        <v>11637</v>
      </c>
      <c r="AI1500" s="77" t="b">
        <v>0</v>
      </c>
      <c r="AJ1500" s="77"/>
      <c r="AK1500" s="77"/>
      <c r="AL1500" s="77"/>
      <c r="AM1500" s="77"/>
      <c r="AN1500" s="77"/>
      <c r="AO1500" s="77"/>
      <c r="AP1500" s="77"/>
      <c r="AQ1500" s="77" t="s">
        <v>14795</v>
      </c>
      <c r="AR1500" s="77">
        <v>40006</v>
      </c>
      <c r="AS1500" s="77"/>
      <c r="AT1500" s="77"/>
      <c r="AU1500" s="77"/>
      <c r="AV1500" s="80" t="str">
        <f>HYPERLINK("https://pbs.twimg.com/ext_tw_video_thumb/1697226924420947968/pu/img/Ef0i0ibRkGD5sObd.jpg")</f>
        <v>https://pbs.twimg.com/ext_tw_video_thumb/1697226924420947968/pu/img/Ef0i0ibRkGD5sObd.jpg</v>
      </c>
      <c r="AW1500" s="82" t="s">
        <v>18273</v>
      </c>
      <c r="AX1500" s="82" t="s">
        <v>18273</v>
      </c>
      <c r="AY1500" s="77"/>
      <c r="AZ1500" s="82" t="s">
        <v>20971</v>
      </c>
      <c r="BA1500" s="82" t="s">
        <v>20971</v>
      </c>
      <c r="BB1500" s="82" t="s">
        <v>20971</v>
      </c>
      <c r="BC1500" s="82" t="s">
        <v>18273</v>
      </c>
      <c r="BD1500" s="82" t="s">
        <v>20924</v>
      </c>
      <c r="BE1500" s="77"/>
      <c r="BF1500" s="77"/>
      <c r="BG1500" s="77"/>
      <c r="BH1500" s="77"/>
      <c r="BI1500" s="77"/>
    </row>
    <row r="1501" spans="1:61" x14ac:dyDescent="0.25">
      <c r="A1501" s="62" t="s">
        <v>576</v>
      </c>
      <c r="B1501" s="62" t="s">
        <v>576</v>
      </c>
      <c r="C1501" s="63"/>
      <c r="D1501" s="64"/>
      <c r="E1501" s="65"/>
      <c r="F1501" s="66"/>
      <c r="G1501" s="63"/>
      <c r="H1501" s="67"/>
      <c r="I1501" s="68"/>
      <c r="J1501" s="68"/>
      <c r="K1501" s="32"/>
      <c r="L1501" s="75">
        <v>1501</v>
      </c>
      <c r="M1501" s="75"/>
      <c r="N1501" s="70"/>
      <c r="O1501" s="77" t="s">
        <v>1284</v>
      </c>
      <c r="P1501" s="79">
        <v>45183.784687500003</v>
      </c>
      <c r="Q1501" s="77" t="s">
        <v>2745</v>
      </c>
      <c r="R1501" s="77">
        <v>0</v>
      </c>
      <c r="S1501" s="77">
        <v>0</v>
      </c>
      <c r="T1501" s="77">
        <v>0</v>
      </c>
      <c r="U1501" s="77">
        <v>0</v>
      </c>
      <c r="V1501" s="77">
        <v>16</v>
      </c>
      <c r="W1501" s="82" t="s">
        <v>5842</v>
      </c>
      <c r="X1501" s="77"/>
      <c r="Y1501" s="77"/>
      <c r="Z1501" s="77"/>
      <c r="AA1501" s="77" t="s">
        <v>8152</v>
      </c>
      <c r="AB1501" s="77" t="s">
        <v>10129</v>
      </c>
      <c r="AC1501" s="82" t="s">
        <v>10144</v>
      </c>
      <c r="AD1501" s="77" t="s">
        <v>10183</v>
      </c>
      <c r="AE1501" s="80" t="str">
        <f>HYPERLINK("https://twitter.com/plimbetparana/status/1702394269397369165")</f>
        <v>https://twitter.com/plimbetparana/status/1702394269397369165</v>
      </c>
      <c r="AF1501" s="79">
        <v>45183.784687500003</v>
      </c>
      <c r="AG1501" s="85">
        <v>45183</v>
      </c>
      <c r="AH1501" s="82" t="s">
        <v>11638</v>
      </c>
      <c r="AI1501" s="77" t="b">
        <v>0</v>
      </c>
      <c r="AJ1501" s="77"/>
      <c r="AK1501" s="77"/>
      <c r="AL1501" s="77"/>
      <c r="AM1501" s="77"/>
      <c r="AN1501" s="77"/>
      <c r="AO1501" s="77"/>
      <c r="AP1501" s="77"/>
      <c r="AQ1501" s="77" t="s">
        <v>14796</v>
      </c>
      <c r="AR1501" s="77">
        <v>140010</v>
      </c>
      <c r="AS1501" s="77"/>
      <c r="AT1501" s="77"/>
      <c r="AU1501" s="77"/>
      <c r="AV1501" s="80" t="str">
        <f>HYPERLINK("https://pbs.twimg.com/ext_tw_video_thumb/1702394205274824704/pu/img/BNAe0-zVwIZfxhqZ.jpg")</f>
        <v>https://pbs.twimg.com/ext_tw_video_thumb/1702394205274824704/pu/img/BNAe0-zVwIZfxhqZ.jpg</v>
      </c>
      <c r="AW1501" s="82" t="s">
        <v>18274</v>
      </c>
      <c r="AX1501" s="82" t="s">
        <v>20819</v>
      </c>
      <c r="AY1501" s="82" t="s">
        <v>20924</v>
      </c>
      <c r="AZ1501" s="82" t="s">
        <v>18275</v>
      </c>
      <c r="BA1501" s="82" t="s">
        <v>20971</v>
      </c>
      <c r="BB1501" s="82" t="s">
        <v>20971</v>
      </c>
      <c r="BC1501" s="82" t="s">
        <v>18275</v>
      </c>
      <c r="BD1501" s="82" t="s">
        <v>20924</v>
      </c>
      <c r="BE1501" s="77"/>
      <c r="BF1501" s="77"/>
      <c r="BG1501" s="77"/>
      <c r="BH1501" s="77"/>
      <c r="BI1501" s="77"/>
    </row>
    <row r="1502" spans="1:61" x14ac:dyDescent="0.25">
      <c r="A1502" s="62" t="s">
        <v>576</v>
      </c>
      <c r="B1502" s="62" t="s">
        <v>576</v>
      </c>
      <c r="C1502" s="63"/>
      <c r="D1502" s="64"/>
      <c r="E1502" s="65"/>
      <c r="F1502" s="66"/>
      <c r="G1502" s="63"/>
      <c r="H1502" s="67"/>
      <c r="I1502" s="68"/>
      <c r="J1502" s="68"/>
      <c r="K1502" s="32"/>
      <c r="L1502" s="75">
        <v>1502</v>
      </c>
      <c r="M1502" s="75"/>
      <c r="N1502" s="70"/>
      <c r="O1502" s="77" t="s">
        <v>1284</v>
      </c>
      <c r="P1502" s="79">
        <v>45183.766747685186</v>
      </c>
      <c r="Q1502" s="77" t="s">
        <v>2746</v>
      </c>
      <c r="R1502" s="77">
        <v>0</v>
      </c>
      <c r="S1502" s="77">
        <v>0</v>
      </c>
      <c r="T1502" s="77">
        <v>1</v>
      </c>
      <c r="U1502" s="77">
        <v>0</v>
      </c>
      <c r="V1502" s="77">
        <v>17</v>
      </c>
      <c r="W1502" s="82" t="s">
        <v>5842</v>
      </c>
      <c r="X1502" s="77"/>
      <c r="Y1502" s="77"/>
      <c r="Z1502" s="77"/>
      <c r="AA1502" s="77" t="s">
        <v>8153</v>
      </c>
      <c r="AB1502" s="77" t="s">
        <v>10129</v>
      </c>
      <c r="AC1502" s="82" t="s">
        <v>10144</v>
      </c>
      <c r="AD1502" s="77" t="s">
        <v>10183</v>
      </c>
      <c r="AE1502" s="80" t="str">
        <f>HYPERLINK("https://twitter.com/plimbetparana/status/1702387767039135873")</f>
        <v>https://twitter.com/plimbetparana/status/1702387767039135873</v>
      </c>
      <c r="AF1502" s="79">
        <v>45183.766747685186</v>
      </c>
      <c r="AG1502" s="85">
        <v>45183</v>
      </c>
      <c r="AH1502" s="82" t="s">
        <v>11639</v>
      </c>
      <c r="AI1502" s="77" t="b">
        <v>0</v>
      </c>
      <c r="AJ1502" s="77"/>
      <c r="AK1502" s="77"/>
      <c r="AL1502" s="77"/>
      <c r="AM1502" s="77"/>
      <c r="AN1502" s="77"/>
      <c r="AO1502" s="77"/>
      <c r="AP1502" s="77"/>
      <c r="AQ1502" s="77" t="s">
        <v>14797</v>
      </c>
      <c r="AR1502" s="77">
        <v>140010</v>
      </c>
      <c r="AS1502" s="77"/>
      <c r="AT1502" s="77"/>
      <c r="AU1502" s="77"/>
      <c r="AV1502" s="80" t="str">
        <f>HYPERLINK("https://pbs.twimg.com/ext_tw_video_thumb/1702387699070455808/pu/img/s0KFZrFk7cxa6kcM.jpg")</f>
        <v>https://pbs.twimg.com/ext_tw_video_thumb/1702387699070455808/pu/img/s0KFZrFk7cxa6kcM.jpg</v>
      </c>
      <c r="AW1502" s="82" t="s">
        <v>18275</v>
      </c>
      <c r="AX1502" s="82" t="s">
        <v>20819</v>
      </c>
      <c r="AY1502" s="82" t="s">
        <v>20924</v>
      </c>
      <c r="AZ1502" s="82" t="s">
        <v>20819</v>
      </c>
      <c r="BA1502" s="82" t="s">
        <v>20971</v>
      </c>
      <c r="BB1502" s="82" t="s">
        <v>20971</v>
      </c>
      <c r="BC1502" s="82" t="s">
        <v>20819</v>
      </c>
      <c r="BD1502" s="82" t="s">
        <v>20924</v>
      </c>
      <c r="BE1502" s="77"/>
      <c r="BF1502" s="77"/>
      <c r="BG1502" s="77"/>
      <c r="BH1502" s="77"/>
      <c r="BI1502" s="77"/>
    </row>
    <row r="1503" spans="1:61" x14ac:dyDescent="0.25">
      <c r="A1503" s="62" t="s">
        <v>576</v>
      </c>
      <c r="B1503" s="62" t="s">
        <v>576</v>
      </c>
      <c r="C1503" s="63"/>
      <c r="D1503" s="64"/>
      <c r="E1503" s="65"/>
      <c r="F1503" s="66"/>
      <c r="G1503" s="63"/>
      <c r="H1503" s="67"/>
      <c r="I1503" s="68"/>
      <c r="J1503" s="68"/>
      <c r="K1503" s="32"/>
      <c r="L1503" s="75">
        <v>1503</v>
      </c>
      <c r="M1503" s="75"/>
      <c r="N1503" s="70"/>
      <c r="O1503" s="77" t="s">
        <v>179</v>
      </c>
      <c r="P1503" s="79">
        <v>45183.692002314812</v>
      </c>
      <c r="Q1503" s="77" t="s">
        <v>2747</v>
      </c>
      <c r="R1503" s="77">
        <v>0</v>
      </c>
      <c r="S1503" s="77">
        <v>0</v>
      </c>
      <c r="T1503" s="77">
        <v>0</v>
      </c>
      <c r="U1503" s="77">
        <v>0</v>
      </c>
      <c r="V1503" s="77">
        <v>18</v>
      </c>
      <c r="W1503" s="82" t="s">
        <v>5843</v>
      </c>
      <c r="X1503" s="77" t="s">
        <v>7199</v>
      </c>
      <c r="Y1503" s="77" t="s">
        <v>7347</v>
      </c>
      <c r="Z1503" s="77"/>
      <c r="AA1503" s="77" t="s">
        <v>8154</v>
      </c>
      <c r="AB1503" s="77" t="s">
        <v>10130</v>
      </c>
      <c r="AC1503" s="82" t="s">
        <v>10144</v>
      </c>
      <c r="AD1503" s="77" t="s">
        <v>10184</v>
      </c>
      <c r="AE1503" s="80" t="str">
        <f>HYPERLINK("https://twitter.com/plimbetparana/status/1702360682446946412")</f>
        <v>https://twitter.com/plimbetparana/status/1702360682446946412</v>
      </c>
      <c r="AF1503" s="79">
        <v>45183.692002314812</v>
      </c>
      <c r="AG1503" s="85">
        <v>45183</v>
      </c>
      <c r="AH1503" s="82" t="s">
        <v>11640</v>
      </c>
      <c r="AI1503" s="77" t="b">
        <v>0</v>
      </c>
      <c r="AJ1503" s="77"/>
      <c r="AK1503" s="77"/>
      <c r="AL1503" s="77"/>
      <c r="AM1503" s="77"/>
      <c r="AN1503" s="77"/>
      <c r="AO1503" s="77"/>
      <c r="AP1503" s="77"/>
      <c r="AQ1503" s="77" t="s">
        <v>14798</v>
      </c>
      <c r="AR1503" s="77"/>
      <c r="AS1503" s="77"/>
      <c r="AT1503" s="77"/>
      <c r="AU1503" s="77"/>
      <c r="AV1503" s="80" t="str">
        <f>HYPERLINK("https://pbs.twimg.com/media/F6AABPDWkAA472k.jpg")</f>
        <v>https://pbs.twimg.com/media/F6AABPDWkAA472k.jpg</v>
      </c>
      <c r="AW1503" s="82" t="s">
        <v>18276</v>
      </c>
      <c r="AX1503" s="82" t="s">
        <v>18276</v>
      </c>
      <c r="AY1503" s="77"/>
      <c r="AZ1503" s="82" t="s">
        <v>20971</v>
      </c>
      <c r="BA1503" s="82" t="s">
        <v>20971</v>
      </c>
      <c r="BB1503" s="82" t="s">
        <v>20971</v>
      </c>
      <c r="BC1503" s="82" t="s">
        <v>18276</v>
      </c>
      <c r="BD1503" s="82" t="s">
        <v>20924</v>
      </c>
      <c r="BE1503" s="77"/>
      <c r="BF1503" s="77"/>
      <c r="BG1503" s="77"/>
      <c r="BH1503" s="77"/>
      <c r="BI1503" s="77"/>
    </row>
    <row r="1504" spans="1:61" x14ac:dyDescent="0.25">
      <c r="A1504" s="62" t="s">
        <v>576</v>
      </c>
      <c r="B1504" s="62" t="s">
        <v>576</v>
      </c>
      <c r="C1504" s="63"/>
      <c r="D1504" s="64"/>
      <c r="E1504" s="65"/>
      <c r="F1504" s="66"/>
      <c r="G1504" s="63"/>
      <c r="H1504" s="67"/>
      <c r="I1504" s="68"/>
      <c r="J1504" s="68"/>
      <c r="K1504" s="32"/>
      <c r="L1504" s="75">
        <v>1504</v>
      </c>
      <c r="M1504" s="75"/>
      <c r="N1504" s="70"/>
      <c r="O1504" s="77" t="s">
        <v>179</v>
      </c>
      <c r="P1504" s="79">
        <v>45182.208194444444</v>
      </c>
      <c r="Q1504" s="77" t="s">
        <v>2748</v>
      </c>
      <c r="R1504" s="77">
        <v>0</v>
      </c>
      <c r="S1504" s="77">
        <v>0</v>
      </c>
      <c r="T1504" s="77">
        <v>0</v>
      </c>
      <c r="U1504" s="77">
        <v>0</v>
      </c>
      <c r="V1504" s="77">
        <v>59</v>
      </c>
      <c r="W1504" s="82" t="s">
        <v>5844</v>
      </c>
      <c r="X1504" s="77"/>
      <c r="Y1504" s="77"/>
      <c r="Z1504" s="77"/>
      <c r="AA1504" s="77" t="s">
        <v>8155</v>
      </c>
      <c r="AB1504" s="77" t="s">
        <v>10130</v>
      </c>
      <c r="AC1504" s="82" t="s">
        <v>10144</v>
      </c>
      <c r="AD1504" s="77" t="s">
        <v>10184</v>
      </c>
      <c r="AE1504" s="80" t="str">
        <f>HYPERLINK("https://twitter.com/plimbetparana/status/1701822966768587144")</f>
        <v>https://twitter.com/plimbetparana/status/1701822966768587144</v>
      </c>
      <c r="AF1504" s="79">
        <v>45182.208194444444</v>
      </c>
      <c r="AG1504" s="85">
        <v>45182</v>
      </c>
      <c r="AH1504" s="82" t="s">
        <v>11641</v>
      </c>
      <c r="AI1504" s="77" t="b">
        <v>0</v>
      </c>
      <c r="AJ1504" s="77"/>
      <c r="AK1504" s="77"/>
      <c r="AL1504" s="77"/>
      <c r="AM1504" s="77"/>
      <c r="AN1504" s="77"/>
      <c r="AO1504" s="77"/>
      <c r="AP1504" s="77"/>
      <c r="AQ1504" s="77" t="s">
        <v>14799</v>
      </c>
      <c r="AR1504" s="77"/>
      <c r="AS1504" s="77"/>
      <c r="AT1504" s="77"/>
      <c r="AU1504" s="77"/>
      <c r="AV1504" s="80" t="str">
        <f>HYPERLINK("https://pbs.twimg.com/media/F54W-DXWEAA4xNg.jpg")</f>
        <v>https://pbs.twimg.com/media/F54W-DXWEAA4xNg.jpg</v>
      </c>
      <c r="AW1504" s="82" t="s">
        <v>18277</v>
      </c>
      <c r="AX1504" s="82" t="s">
        <v>18277</v>
      </c>
      <c r="AY1504" s="77"/>
      <c r="AZ1504" s="82" t="s">
        <v>20971</v>
      </c>
      <c r="BA1504" s="82" t="s">
        <v>20971</v>
      </c>
      <c r="BB1504" s="82" t="s">
        <v>20971</v>
      </c>
      <c r="BC1504" s="82" t="s">
        <v>18277</v>
      </c>
      <c r="BD1504" s="82" t="s">
        <v>20924</v>
      </c>
      <c r="BE1504" s="77"/>
      <c r="BF1504" s="77"/>
      <c r="BG1504" s="77"/>
      <c r="BH1504" s="77"/>
      <c r="BI1504" s="77"/>
    </row>
    <row r="1505" spans="1:61" x14ac:dyDescent="0.25">
      <c r="A1505" s="62" t="s">
        <v>577</v>
      </c>
      <c r="B1505" s="62" t="s">
        <v>577</v>
      </c>
      <c r="C1505" s="63"/>
      <c r="D1505" s="64"/>
      <c r="E1505" s="65"/>
      <c r="F1505" s="66"/>
      <c r="G1505" s="63"/>
      <c r="H1505" s="67"/>
      <c r="I1505" s="68"/>
      <c r="J1505" s="68"/>
      <c r="K1505" s="32"/>
      <c r="L1505" s="75">
        <v>1505</v>
      </c>
      <c r="M1505" s="75"/>
      <c r="N1505" s="70"/>
      <c r="O1505" s="77" t="s">
        <v>179</v>
      </c>
      <c r="P1505" s="79">
        <v>45164.870324074072</v>
      </c>
      <c r="Q1505" s="77" t="s">
        <v>2749</v>
      </c>
      <c r="R1505" s="77">
        <v>0</v>
      </c>
      <c r="S1505" s="77">
        <v>1</v>
      </c>
      <c r="T1505" s="77">
        <v>0</v>
      </c>
      <c r="U1505" s="77">
        <v>0</v>
      </c>
      <c r="V1505" s="77">
        <v>1878</v>
      </c>
      <c r="W1505" s="82" t="s">
        <v>5845</v>
      </c>
      <c r="X1505" s="80" t="str">
        <f>HYPERLINK("https://wa.me/qr/EHHVJC47BMJEK")</f>
        <v>https://wa.me/qr/EHHVJC47BMJEK</v>
      </c>
      <c r="Y1505" s="77" t="s">
        <v>7279</v>
      </c>
      <c r="Z1505" s="77"/>
      <c r="AA1505" s="77" t="s">
        <v>8156</v>
      </c>
      <c r="AB1505" s="77" t="s">
        <v>10130</v>
      </c>
      <c r="AC1505" s="82" t="s">
        <v>10144</v>
      </c>
      <c r="AD1505" s="77" t="s">
        <v>10184</v>
      </c>
      <c r="AE1505" s="80" t="str">
        <f>HYPERLINK("https://twitter.com/flynnorfinn/status/1695539931811057896")</f>
        <v>https://twitter.com/flynnorfinn/status/1695539931811057896</v>
      </c>
      <c r="AF1505" s="79">
        <v>45164.870324074072</v>
      </c>
      <c r="AG1505" s="85">
        <v>45164</v>
      </c>
      <c r="AH1505" s="82" t="s">
        <v>11642</v>
      </c>
      <c r="AI1505" s="77" t="b">
        <v>0</v>
      </c>
      <c r="AJ1505" s="77"/>
      <c r="AK1505" s="77"/>
      <c r="AL1505" s="77"/>
      <c r="AM1505" s="77"/>
      <c r="AN1505" s="77"/>
      <c r="AO1505" s="77"/>
      <c r="AP1505" s="77"/>
      <c r="AQ1505" s="77" t="s">
        <v>14800</v>
      </c>
      <c r="AR1505" s="77"/>
      <c r="AS1505" s="77"/>
      <c r="AT1505" s="77"/>
      <c r="AU1505" s="77"/>
      <c r="AV1505" s="80" t="str">
        <f>HYPERLINK("https://pbs.twimg.com/media/F4fElUNXgAAKfiR.jpg")</f>
        <v>https://pbs.twimg.com/media/F4fElUNXgAAKfiR.jpg</v>
      </c>
      <c r="AW1505" s="82" t="s">
        <v>18278</v>
      </c>
      <c r="AX1505" s="82" t="s">
        <v>18278</v>
      </c>
      <c r="AY1505" s="77"/>
      <c r="AZ1505" s="82" t="s">
        <v>20971</v>
      </c>
      <c r="BA1505" s="82" t="s">
        <v>20971</v>
      </c>
      <c r="BB1505" s="82" t="s">
        <v>20971</v>
      </c>
      <c r="BC1505" s="82" t="s">
        <v>18278</v>
      </c>
      <c r="BD1505" s="82" t="s">
        <v>21273</v>
      </c>
      <c r="BE1505" s="77"/>
      <c r="BF1505" s="77"/>
      <c r="BG1505" s="77"/>
      <c r="BH1505" s="77"/>
      <c r="BI1505" s="77"/>
    </row>
    <row r="1506" spans="1:61" x14ac:dyDescent="0.25">
      <c r="A1506" s="62" t="s">
        <v>578</v>
      </c>
      <c r="B1506" s="62" t="s">
        <v>1252</v>
      </c>
      <c r="C1506" s="63"/>
      <c r="D1506" s="64"/>
      <c r="E1506" s="65"/>
      <c r="F1506" s="66"/>
      <c r="G1506" s="63"/>
      <c r="H1506" s="67"/>
      <c r="I1506" s="68"/>
      <c r="J1506" s="68"/>
      <c r="K1506" s="32"/>
      <c r="L1506" s="75">
        <v>1506</v>
      </c>
      <c r="M1506" s="75"/>
      <c r="N1506" s="70"/>
      <c r="O1506" s="77" t="s">
        <v>1285</v>
      </c>
      <c r="P1506" s="79">
        <v>45098.578055555554</v>
      </c>
      <c r="Q1506" s="77" t="s">
        <v>2750</v>
      </c>
      <c r="R1506" s="77">
        <v>0</v>
      </c>
      <c r="S1506" s="77">
        <v>0</v>
      </c>
      <c r="T1506" s="77">
        <v>0</v>
      </c>
      <c r="U1506" s="77">
        <v>0</v>
      </c>
      <c r="V1506" s="77">
        <v>47</v>
      </c>
      <c r="W1506" s="82" t="s">
        <v>5846</v>
      </c>
      <c r="X1506" s="77"/>
      <c r="Y1506" s="77"/>
      <c r="Z1506" s="77" t="s">
        <v>7499</v>
      </c>
      <c r="AA1506" s="77" t="s">
        <v>8157</v>
      </c>
      <c r="AB1506" s="77" t="s">
        <v>10130</v>
      </c>
      <c r="AC1506" s="82" t="s">
        <v>10144</v>
      </c>
      <c r="AD1506" s="77" t="s">
        <v>10184</v>
      </c>
      <c r="AE1506" s="80" t="str">
        <f>HYPERLINK("https://twitter.com/workshopdantas/status/1671516419391889408")</f>
        <v>https://twitter.com/workshopdantas/status/1671516419391889408</v>
      </c>
      <c r="AF1506" s="79">
        <v>45098.578055555554</v>
      </c>
      <c r="AG1506" s="85">
        <v>45098</v>
      </c>
      <c r="AH1506" s="82" t="s">
        <v>11643</v>
      </c>
      <c r="AI1506" s="77" t="b">
        <v>0</v>
      </c>
      <c r="AJ1506" s="77"/>
      <c r="AK1506" s="77"/>
      <c r="AL1506" s="77"/>
      <c r="AM1506" s="77"/>
      <c r="AN1506" s="77"/>
      <c r="AO1506" s="77"/>
      <c r="AP1506" s="77"/>
      <c r="AQ1506" s="77" t="s">
        <v>14801</v>
      </c>
      <c r="AR1506" s="77"/>
      <c r="AS1506" s="77"/>
      <c r="AT1506" s="77"/>
      <c r="AU1506" s="77"/>
      <c r="AV1506" s="80" t="str">
        <f>HYPERLINK("https://pbs.twimg.com/media/FzJrUt3WwAMaeyJ.jpg")</f>
        <v>https://pbs.twimg.com/media/FzJrUt3WwAMaeyJ.jpg</v>
      </c>
      <c r="AW1506" s="82" t="s">
        <v>18279</v>
      </c>
      <c r="AX1506" s="82" t="s">
        <v>18279</v>
      </c>
      <c r="AY1506" s="77"/>
      <c r="AZ1506" s="82" t="s">
        <v>20971</v>
      </c>
      <c r="BA1506" s="82" t="s">
        <v>20971</v>
      </c>
      <c r="BB1506" s="82" t="s">
        <v>20971</v>
      </c>
      <c r="BC1506" s="82" t="s">
        <v>18279</v>
      </c>
      <c r="BD1506" s="82" t="s">
        <v>21274</v>
      </c>
      <c r="BE1506" s="77"/>
      <c r="BF1506" s="77"/>
      <c r="BG1506" s="77"/>
      <c r="BH1506" s="77"/>
      <c r="BI1506" s="77"/>
    </row>
    <row r="1507" spans="1:61" x14ac:dyDescent="0.25">
      <c r="A1507" s="62" t="s">
        <v>578</v>
      </c>
      <c r="B1507" s="62" t="s">
        <v>1253</v>
      </c>
      <c r="C1507" s="63"/>
      <c r="D1507" s="64"/>
      <c r="E1507" s="65"/>
      <c r="F1507" s="66"/>
      <c r="G1507" s="63"/>
      <c r="H1507" s="67"/>
      <c r="I1507" s="68"/>
      <c r="J1507" s="68"/>
      <c r="K1507" s="32"/>
      <c r="L1507" s="75">
        <v>1507</v>
      </c>
      <c r="M1507" s="75"/>
      <c r="N1507" s="70"/>
      <c r="O1507" s="77" t="s">
        <v>1285</v>
      </c>
      <c r="P1507" s="79">
        <v>45130.933113425926</v>
      </c>
      <c r="Q1507" s="77" t="s">
        <v>2751</v>
      </c>
      <c r="R1507" s="77">
        <v>0</v>
      </c>
      <c r="S1507" s="77">
        <v>0</v>
      </c>
      <c r="T1507" s="77">
        <v>2</v>
      </c>
      <c r="U1507" s="77">
        <v>0</v>
      </c>
      <c r="V1507" s="77">
        <v>181</v>
      </c>
      <c r="W1507" s="82" t="s">
        <v>5847</v>
      </c>
      <c r="X1507" s="77"/>
      <c r="Y1507" s="77"/>
      <c r="Z1507" s="77" t="s">
        <v>7500</v>
      </c>
      <c r="AA1507" s="77" t="s">
        <v>8158</v>
      </c>
      <c r="AB1507" s="77" t="s">
        <v>10130</v>
      </c>
      <c r="AC1507" s="82" t="s">
        <v>10144</v>
      </c>
      <c r="AD1507" s="77" t="s">
        <v>10184</v>
      </c>
      <c r="AE1507" s="80" t="str">
        <f>HYPERLINK("https://twitter.com/workshopdantas/status/1683241500468019200")</f>
        <v>https://twitter.com/workshopdantas/status/1683241500468019200</v>
      </c>
      <c r="AF1507" s="79">
        <v>45130.933113425926</v>
      </c>
      <c r="AG1507" s="85">
        <v>45130</v>
      </c>
      <c r="AH1507" s="82" t="s">
        <v>11644</v>
      </c>
      <c r="AI1507" s="77" t="b">
        <v>0</v>
      </c>
      <c r="AJ1507" s="77"/>
      <c r="AK1507" s="77"/>
      <c r="AL1507" s="77"/>
      <c r="AM1507" s="77"/>
      <c r="AN1507" s="77"/>
      <c r="AO1507" s="77"/>
      <c r="AP1507" s="77"/>
      <c r="AQ1507" s="77" t="s">
        <v>14802</v>
      </c>
      <c r="AR1507" s="77"/>
      <c r="AS1507" s="77"/>
      <c r="AT1507" s="77"/>
      <c r="AU1507" s="77"/>
      <c r="AV1507" s="80" t="str">
        <f>HYPERLINK("https://pbs.twimg.com/media/F1wTODlXgAMFYga.jpg")</f>
        <v>https://pbs.twimg.com/media/F1wTODlXgAMFYga.jpg</v>
      </c>
      <c r="AW1507" s="82" t="s">
        <v>18280</v>
      </c>
      <c r="AX1507" s="82" t="s">
        <v>18280</v>
      </c>
      <c r="AY1507" s="77"/>
      <c r="AZ1507" s="82" t="s">
        <v>20971</v>
      </c>
      <c r="BA1507" s="82" t="s">
        <v>20971</v>
      </c>
      <c r="BB1507" s="82" t="s">
        <v>20971</v>
      </c>
      <c r="BC1507" s="82" t="s">
        <v>18280</v>
      </c>
      <c r="BD1507" s="82" t="s">
        <v>21274</v>
      </c>
      <c r="BE1507" s="77"/>
      <c r="BF1507" s="77"/>
      <c r="BG1507" s="77"/>
      <c r="BH1507" s="77"/>
      <c r="BI1507" s="77"/>
    </row>
    <row r="1508" spans="1:61" x14ac:dyDescent="0.25">
      <c r="A1508" s="62" t="s">
        <v>578</v>
      </c>
      <c r="B1508" s="62" t="s">
        <v>1254</v>
      </c>
      <c r="C1508" s="63"/>
      <c r="D1508" s="64"/>
      <c r="E1508" s="65"/>
      <c r="F1508" s="66"/>
      <c r="G1508" s="63"/>
      <c r="H1508" s="67"/>
      <c r="I1508" s="68"/>
      <c r="J1508" s="68"/>
      <c r="K1508" s="32"/>
      <c r="L1508" s="75">
        <v>1508</v>
      </c>
      <c r="M1508" s="75"/>
      <c r="N1508" s="70"/>
      <c r="O1508" s="77" t="s">
        <v>1285</v>
      </c>
      <c r="P1508" s="79">
        <v>45135.456828703704</v>
      </c>
      <c r="Q1508" s="77" t="s">
        <v>2752</v>
      </c>
      <c r="R1508" s="77">
        <v>0</v>
      </c>
      <c r="S1508" s="77">
        <v>0</v>
      </c>
      <c r="T1508" s="77">
        <v>0</v>
      </c>
      <c r="U1508" s="77">
        <v>0</v>
      </c>
      <c r="V1508" s="77">
        <v>52</v>
      </c>
      <c r="W1508" s="82" t="s">
        <v>5848</v>
      </c>
      <c r="X1508" s="77"/>
      <c r="Y1508" s="77"/>
      <c r="Z1508" s="77" t="s">
        <v>7501</v>
      </c>
      <c r="AA1508" s="77" t="s">
        <v>8159</v>
      </c>
      <c r="AB1508" s="77" t="s">
        <v>10130</v>
      </c>
      <c r="AC1508" s="82" t="s">
        <v>10144</v>
      </c>
      <c r="AD1508" s="77" t="s">
        <v>10184</v>
      </c>
      <c r="AE1508" s="80" t="str">
        <f>HYPERLINK("https://twitter.com/workshopdantas/status/1684880840432721920")</f>
        <v>https://twitter.com/workshopdantas/status/1684880840432721920</v>
      </c>
      <c r="AF1508" s="79">
        <v>45135.456828703704</v>
      </c>
      <c r="AG1508" s="85">
        <v>45135</v>
      </c>
      <c r="AH1508" s="82" t="s">
        <v>11645</v>
      </c>
      <c r="AI1508" s="77" t="b">
        <v>0</v>
      </c>
      <c r="AJ1508" s="77"/>
      <c r="AK1508" s="77"/>
      <c r="AL1508" s="77"/>
      <c r="AM1508" s="77"/>
      <c r="AN1508" s="77"/>
      <c r="AO1508" s="77"/>
      <c r="AP1508" s="77"/>
      <c r="AQ1508" s="77" t="s">
        <v>14803</v>
      </c>
      <c r="AR1508" s="77"/>
      <c r="AS1508" s="77"/>
      <c r="AT1508" s="77"/>
      <c r="AU1508" s="77"/>
      <c r="AV1508" s="80" t="str">
        <f>HYPERLINK("https://pbs.twimg.com/media/F2HmMekbcAAuTpe.jpg")</f>
        <v>https://pbs.twimg.com/media/F2HmMekbcAAuTpe.jpg</v>
      </c>
      <c r="AW1508" s="82" t="s">
        <v>18281</v>
      </c>
      <c r="AX1508" s="82" t="s">
        <v>18281</v>
      </c>
      <c r="AY1508" s="77"/>
      <c r="AZ1508" s="82" t="s">
        <v>20971</v>
      </c>
      <c r="BA1508" s="82" t="s">
        <v>20971</v>
      </c>
      <c r="BB1508" s="82" t="s">
        <v>20971</v>
      </c>
      <c r="BC1508" s="82" t="s">
        <v>18281</v>
      </c>
      <c r="BD1508" s="82" t="s">
        <v>21274</v>
      </c>
      <c r="BE1508" s="77"/>
      <c r="BF1508" s="77"/>
      <c r="BG1508" s="77"/>
      <c r="BH1508" s="77"/>
      <c r="BI1508" s="77"/>
    </row>
    <row r="1509" spans="1:61" x14ac:dyDescent="0.25">
      <c r="A1509" s="62" t="s">
        <v>578</v>
      </c>
      <c r="B1509" s="62" t="s">
        <v>1255</v>
      </c>
      <c r="C1509" s="63"/>
      <c r="D1509" s="64"/>
      <c r="E1509" s="65"/>
      <c r="F1509" s="66"/>
      <c r="G1509" s="63"/>
      <c r="H1509" s="67"/>
      <c r="I1509" s="68"/>
      <c r="J1509" s="68"/>
      <c r="K1509" s="32"/>
      <c r="L1509" s="75">
        <v>1509</v>
      </c>
      <c r="M1509" s="75"/>
      <c r="N1509" s="70"/>
      <c r="O1509" s="77" t="s">
        <v>1285</v>
      </c>
      <c r="P1509" s="79">
        <v>45119.478668981479</v>
      </c>
      <c r="Q1509" s="77" t="s">
        <v>2753</v>
      </c>
      <c r="R1509" s="77">
        <v>0</v>
      </c>
      <c r="S1509" s="77">
        <v>2</v>
      </c>
      <c r="T1509" s="77">
        <v>1</v>
      </c>
      <c r="U1509" s="77">
        <v>0</v>
      </c>
      <c r="V1509" s="77">
        <v>47</v>
      </c>
      <c r="W1509" s="82" t="s">
        <v>5848</v>
      </c>
      <c r="X1509" s="77"/>
      <c r="Y1509" s="77"/>
      <c r="Z1509" s="77" t="s">
        <v>7502</v>
      </c>
      <c r="AA1509" s="77" t="s">
        <v>8160</v>
      </c>
      <c r="AB1509" s="77" t="s">
        <v>10130</v>
      </c>
      <c r="AC1509" s="82" t="s">
        <v>10144</v>
      </c>
      <c r="AD1509" s="77" t="s">
        <v>10184</v>
      </c>
      <c r="AE1509" s="80" t="str">
        <f>HYPERLINK("https://twitter.com/workshopdantas/status/1679090549804900352")</f>
        <v>https://twitter.com/workshopdantas/status/1679090549804900352</v>
      </c>
      <c r="AF1509" s="79">
        <v>45119.478668981479</v>
      </c>
      <c r="AG1509" s="85">
        <v>45119</v>
      </c>
      <c r="AH1509" s="82" t="s">
        <v>11646</v>
      </c>
      <c r="AI1509" s="77" t="b">
        <v>0</v>
      </c>
      <c r="AJ1509" s="77"/>
      <c r="AK1509" s="77"/>
      <c r="AL1509" s="77"/>
      <c r="AM1509" s="77"/>
      <c r="AN1509" s="77"/>
      <c r="AO1509" s="77"/>
      <c r="AP1509" s="77"/>
      <c r="AQ1509" s="77" t="s">
        <v>14804</v>
      </c>
      <c r="AR1509" s="77"/>
      <c r="AS1509" s="77"/>
      <c r="AT1509" s="77"/>
      <c r="AU1509" s="77"/>
      <c r="AV1509" s="80" t="str">
        <f>HYPERLINK("https://pbs.twimg.com/media/F01T9MnWYAAqxnf.jpg")</f>
        <v>https://pbs.twimg.com/media/F01T9MnWYAAqxnf.jpg</v>
      </c>
      <c r="AW1509" s="82" t="s">
        <v>18282</v>
      </c>
      <c r="AX1509" s="82" t="s">
        <v>18282</v>
      </c>
      <c r="AY1509" s="77"/>
      <c r="AZ1509" s="82" t="s">
        <v>20971</v>
      </c>
      <c r="BA1509" s="82" t="s">
        <v>20971</v>
      </c>
      <c r="BB1509" s="82" t="s">
        <v>20971</v>
      </c>
      <c r="BC1509" s="82" t="s">
        <v>18282</v>
      </c>
      <c r="BD1509" s="82" t="s">
        <v>21274</v>
      </c>
      <c r="BE1509" s="77"/>
      <c r="BF1509" s="77"/>
      <c r="BG1509" s="77"/>
      <c r="BH1509" s="77"/>
      <c r="BI1509" s="77"/>
    </row>
    <row r="1510" spans="1:61" x14ac:dyDescent="0.25">
      <c r="A1510" s="62" t="s">
        <v>578</v>
      </c>
      <c r="B1510" s="62" t="s">
        <v>578</v>
      </c>
      <c r="C1510" s="63"/>
      <c r="D1510" s="64"/>
      <c r="E1510" s="65"/>
      <c r="F1510" s="66"/>
      <c r="G1510" s="63"/>
      <c r="H1510" s="67"/>
      <c r="I1510" s="68"/>
      <c r="J1510" s="68"/>
      <c r="K1510" s="32"/>
      <c r="L1510" s="75">
        <v>1510</v>
      </c>
      <c r="M1510" s="75"/>
      <c r="N1510" s="70"/>
      <c r="O1510" s="77" t="s">
        <v>1285</v>
      </c>
      <c r="P1510" s="79">
        <v>45102.657141203701</v>
      </c>
      <c r="Q1510" s="77" t="s">
        <v>2754</v>
      </c>
      <c r="R1510" s="77">
        <v>0</v>
      </c>
      <c r="S1510" s="77">
        <v>0</v>
      </c>
      <c r="T1510" s="77">
        <v>0</v>
      </c>
      <c r="U1510" s="77">
        <v>0</v>
      </c>
      <c r="V1510" s="77">
        <v>66</v>
      </c>
      <c r="W1510" s="82" t="s">
        <v>5849</v>
      </c>
      <c r="X1510" s="77"/>
      <c r="Y1510" s="77"/>
      <c r="Z1510" s="77" t="s">
        <v>578</v>
      </c>
      <c r="AA1510" s="77" t="s">
        <v>8161</v>
      </c>
      <c r="AB1510" s="77" t="s">
        <v>10130</v>
      </c>
      <c r="AC1510" s="82" t="s">
        <v>10144</v>
      </c>
      <c r="AD1510" s="77" t="s">
        <v>10184</v>
      </c>
      <c r="AE1510" s="80" t="str">
        <f>HYPERLINK("https://twitter.com/workshopdantas/status/1672994633058582528")</f>
        <v>https://twitter.com/workshopdantas/status/1672994633058582528</v>
      </c>
      <c r="AF1510" s="79">
        <v>45102.657141203701</v>
      </c>
      <c r="AG1510" s="85">
        <v>45102</v>
      </c>
      <c r="AH1510" s="82" t="s">
        <v>11647</v>
      </c>
      <c r="AI1510" s="77" t="b">
        <v>0</v>
      </c>
      <c r="AJ1510" s="77"/>
      <c r="AK1510" s="77"/>
      <c r="AL1510" s="77"/>
      <c r="AM1510" s="77"/>
      <c r="AN1510" s="77"/>
      <c r="AO1510" s="77"/>
      <c r="AP1510" s="77"/>
      <c r="AQ1510" s="77" t="s">
        <v>14805</v>
      </c>
      <c r="AR1510" s="77"/>
      <c r="AS1510" s="77"/>
      <c r="AT1510" s="77"/>
      <c r="AU1510" s="77"/>
      <c r="AV1510" s="80" t="str">
        <f>HYPERLINK("https://pbs.twimg.com/media/FzerwLJWcAApsxs.jpg")</f>
        <v>https://pbs.twimg.com/media/FzerwLJWcAApsxs.jpg</v>
      </c>
      <c r="AW1510" s="82" t="s">
        <v>18283</v>
      </c>
      <c r="AX1510" s="82" t="s">
        <v>18283</v>
      </c>
      <c r="AY1510" s="77"/>
      <c r="AZ1510" s="82" t="s">
        <v>20971</v>
      </c>
      <c r="BA1510" s="82" t="s">
        <v>20971</v>
      </c>
      <c r="BB1510" s="82" t="s">
        <v>20971</v>
      </c>
      <c r="BC1510" s="82" t="s">
        <v>18283</v>
      </c>
      <c r="BD1510" s="82" t="s">
        <v>21274</v>
      </c>
      <c r="BE1510" s="77"/>
      <c r="BF1510" s="77"/>
      <c r="BG1510" s="77"/>
      <c r="BH1510" s="77"/>
      <c r="BI1510" s="77"/>
    </row>
    <row r="1511" spans="1:61" x14ac:dyDescent="0.25">
      <c r="A1511" s="62" t="s">
        <v>578</v>
      </c>
      <c r="B1511" s="62" t="s">
        <v>578</v>
      </c>
      <c r="C1511" s="63"/>
      <c r="D1511" s="64"/>
      <c r="E1511" s="65"/>
      <c r="F1511" s="66"/>
      <c r="G1511" s="63"/>
      <c r="H1511" s="67"/>
      <c r="I1511" s="68"/>
      <c r="J1511" s="68"/>
      <c r="K1511" s="32"/>
      <c r="L1511" s="75">
        <v>1511</v>
      </c>
      <c r="M1511" s="75"/>
      <c r="N1511" s="70"/>
      <c r="O1511" s="77" t="s">
        <v>1285</v>
      </c>
      <c r="P1511" s="79">
        <v>45097.46806712963</v>
      </c>
      <c r="Q1511" s="77" t="s">
        <v>2755</v>
      </c>
      <c r="R1511" s="77">
        <v>0</v>
      </c>
      <c r="S1511" s="77">
        <v>0</v>
      </c>
      <c r="T1511" s="77">
        <v>0</v>
      </c>
      <c r="U1511" s="77">
        <v>0</v>
      </c>
      <c r="V1511" s="77">
        <v>34</v>
      </c>
      <c r="W1511" s="82" t="s">
        <v>5850</v>
      </c>
      <c r="X1511" s="77"/>
      <c r="Y1511" s="77"/>
      <c r="Z1511" s="77" t="s">
        <v>578</v>
      </c>
      <c r="AA1511" s="77" t="s">
        <v>8162</v>
      </c>
      <c r="AB1511" s="77" t="s">
        <v>10130</v>
      </c>
      <c r="AC1511" s="82" t="s">
        <v>10144</v>
      </c>
      <c r="AD1511" s="77" t="s">
        <v>10184</v>
      </c>
      <c r="AE1511" s="80" t="str">
        <f>HYPERLINK("https://twitter.com/workshopdantas/status/1671114175689400320")</f>
        <v>https://twitter.com/workshopdantas/status/1671114175689400320</v>
      </c>
      <c r="AF1511" s="79">
        <v>45097.46806712963</v>
      </c>
      <c r="AG1511" s="85">
        <v>45097</v>
      </c>
      <c r="AH1511" s="82" t="s">
        <v>11648</v>
      </c>
      <c r="AI1511" s="77" t="b">
        <v>0</v>
      </c>
      <c r="AJ1511" s="77"/>
      <c r="AK1511" s="77"/>
      <c r="AL1511" s="77"/>
      <c r="AM1511" s="77"/>
      <c r="AN1511" s="77"/>
      <c r="AO1511" s="77"/>
      <c r="AP1511" s="77"/>
      <c r="AQ1511" s="77" t="s">
        <v>14806</v>
      </c>
      <c r="AR1511" s="77"/>
      <c r="AS1511" s="77"/>
      <c r="AT1511" s="77"/>
      <c r="AU1511" s="77"/>
      <c r="AV1511" s="80" t="str">
        <f>HYPERLINK("https://pbs.twimg.com/media/FzD9fIBXsAAwroE.jpg")</f>
        <v>https://pbs.twimg.com/media/FzD9fIBXsAAwroE.jpg</v>
      </c>
      <c r="AW1511" s="82" t="s">
        <v>18284</v>
      </c>
      <c r="AX1511" s="82" t="s">
        <v>18284</v>
      </c>
      <c r="AY1511" s="77"/>
      <c r="AZ1511" s="82" t="s">
        <v>20971</v>
      </c>
      <c r="BA1511" s="82" t="s">
        <v>20971</v>
      </c>
      <c r="BB1511" s="82" t="s">
        <v>20971</v>
      </c>
      <c r="BC1511" s="82" t="s">
        <v>18284</v>
      </c>
      <c r="BD1511" s="82" t="s">
        <v>21274</v>
      </c>
      <c r="BE1511" s="77"/>
      <c r="BF1511" s="77"/>
      <c r="BG1511" s="77"/>
      <c r="BH1511" s="77"/>
      <c r="BI1511" s="77"/>
    </row>
    <row r="1512" spans="1:61" x14ac:dyDescent="0.25">
      <c r="A1512" s="62" t="s">
        <v>578</v>
      </c>
      <c r="B1512" s="62" t="s">
        <v>578</v>
      </c>
      <c r="C1512" s="63"/>
      <c r="D1512" s="64"/>
      <c r="E1512" s="65"/>
      <c r="F1512" s="66"/>
      <c r="G1512" s="63"/>
      <c r="H1512" s="67"/>
      <c r="I1512" s="68"/>
      <c r="J1512" s="68"/>
      <c r="K1512" s="32"/>
      <c r="L1512" s="75">
        <v>1512</v>
      </c>
      <c r="M1512" s="75"/>
      <c r="N1512" s="70"/>
      <c r="O1512" s="77" t="s">
        <v>1285</v>
      </c>
      <c r="P1512" s="79">
        <v>45142.405381944445</v>
      </c>
      <c r="Q1512" s="77" t="s">
        <v>2756</v>
      </c>
      <c r="R1512" s="77">
        <v>0</v>
      </c>
      <c r="S1512" s="77">
        <v>1</v>
      </c>
      <c r="T1512" s="77">
        <v>0</v>
      </c>
      <c r="U1512" s="77">
        <v>0</v>
      </c>
      <c r="V1512" s="77">
        <v>49</v>
      </c>
      <c r="W1512" s="82" t="s">
        <v>5851</v>
      </c>
      <c r="X1512" s="77"/>
      <c r="Y1512" s="77"/>
      <c r="Z1512" s="77" t="s">
        <v>578</v>
      </c>
      <c r="AA1512" s="77" t="s">
        <v>8163</v>
      </c>
      <c r="AB1512" s="77" t="s">
        <v>10130</v>
      </c>
      <c r="AC1512" s="82" t="s">
        <v>10144</v>
      </c>
      <c r="AD1512" s="77" t="s">
        <v>10184</v>
      </c>
      <c r="AE1512" s="80" t="str">
        <f>HYPERLINK("https://twitter.com/workshopdantas/status/1687398910950547456")</f>
        <v>https://twitter.com/workshopdantas/status/1687398910950547456</v>
      </c>
      <c r="AF1512" s="79">
        <v>45142.405381944445</v>
      </c>
      <c r="AG1512" s="85">
        <v>45142</v>
      </c>
      <c r="AH1512" s="82" t="s">
        <v>11649</v>
      </c>
      <c r="AI1512" s="77" t="b">
        <v>0</v>
      </c>
      <c r="AJ1512" s="77"/>
      <c r="AK1512" s="77"/>
      <c r="AL1512" s="77"/>
      <c r="AM1512" s="77"/>
      <c r="AN1512" s="77"/>
      <c r="AO1512" s="77"/>
      <c r="AP1512" s="77"/>
      <c r="AQ1512" s="77" t="s">
        <v>14807</v>
      </c>
      <c r="AR1512" s="77"/>
      <c r="AS1512" s="77"/>
      <c r="AT1512" s="77"/>
      <c r="AU1512" s="77"/>
      <c r="AV1512" s="80" t="str">
        <f>HYPERLINK("https://pbs.twimg.com/media/F2rYXgNX0AATnXw.jpg")</f>
        <v>https://pbs.twimg.com/media/F2rYXgNX0AATnXw.jpg</v>
      </c>
      <c r="AW1512" s="82" t="s">
        <v>18285</v>
      </c>
      <c r="AX1512" s="82" t="s">
        <v>18285</v>
      </c>
      <c r="AY1512" s="77"/>
      <c r="AZ1512" s="82" t="s">
        <v>20971</v>
      </c>
      <c r="BA1512" s="82" t="s">
        <v>20971</v>
      </c>
      <c r="BB1512" s="82" t="s">
        <v>20971</v>
      </c>
      <c r="BC1512" s="82" t="s">
        <v>18285</v>
      </c>
      <c r="BD1512" s="82" t="s">
        <v>21274</v>
      </c>
      <c r="BE1512" s="77"/>
      <c r="BF1512" s="77"/>
      <c r="BG1512" s="77"/>
      <c r="BH1512" s="77"/>
      <c r="BI1512" s="77"/>
    </row>
    <row r="1513" spans="1:61" x14ac:dyDescent="0.25">
      <c r="A1513" s="62" t="s">
        <v>578</v>
      </c>
      <c r="B1513" s="62" t="s">
        <v>578</v>
      </c>
      <c r="C1513" s="63"/>
      <c r="D1513" s="64"/>
      <c r="E1513" s="65"/>
      <c r="F1513" s="66"/>
      <c r="G1513" s="63"/>
      <c r="H1513" s="67"/>
      <c r="I1513" s="68"/>
      <c r="J1513" s="68"/>
      <c r="K1513" s="32"/>
      <c r="L1513" s="75">
        <v>1513</v>
      </c>
      <c r="M1513" s="75"/>
      <c r="N1513" s="70"/>
      <c r="O1513" s="77" t="s">
        <v>1285</v>
      </c>
      <c r="P1513" s="79">
        <v>45134.741898148146</v>
      </c>
      <c r="Q1513" s="77" t="s">
        <v>2757</v>
      </c>
      <c r="R1513" s="77">
        <v>0</v>
      </c>
      <c r="S1513" s="77">
        <v>0</v>
      </c>
      <c r="T1513" s="77">
        <v>1</v>
      </c>
      <c r="U1513" s="77">
        <v>1</v>
      </c>
      <c r="V1513" s="77">
        <v>233</v>
      </c>
      <c r="W1513" s="82" t="s">
        <v>5852</v>
      </c>
      <c r="X1513" s="77"/>
      <c r="Y1513" s="77"/>
      <c r="Z1513" s="77" t="s">
        <v>578</v>
      </c>
      <c r="AA1513" s="77" t="s">
        <v>8164</v>
      </c>
      <c r="AB1513" s="77" t="s">
        <v>10129</v>
      </c>
      <c r="AC1513" s="82" t="s">
        <v>10144</v>
      </c>
      <c r="AD1513" s="77" t="s">
        <v>10184</v>
      </c>
      <c r="AE1513" s="80" t="str">
        <f>HYPERLINK("https://twitter.com/workshopdantas/status/1684621756609236992")</f>
        <v>https://twitter.com/workshopdantas/status/1684621756609236992</v>
      </c>
      <c r="AF1513" s="79">
        <v>45134.741898148146</v>
      </c>
      <c r="AG1513" s="85">
        <v>45134</v>
      </c>
      <c r="AH1513" s="82" t="s">
        <v>11650</v>
      </c>
      <c r="AI1513" s="77" t="b">
        <v>0</v>
      </c>
      <c r="AJ1513" s="77"/>
      <c r="AK1513" s="77"/>
      <c r="AL1513" s="77"/>
      <c r="AM1513" s="77"/>
      <c r="AN1513" s="77"/>
      <c r="AO1513" s="77"/>
      <c r="AP1513" s="77"/>
      <c r="AQ1513" s="77" t="s">
        <v>14808</v>
      </c>
      <c r="AR1513" s="77">
        <v>40517</v>
      </c>
      <c r="AS1513" s="77"/>
      <c r="AT1513" s="77"/>
      <c r="AU1513" s="77"/>
      <c r="AV1513" s="80" t="str">
        <f>HYPERLINK("https://pbs.twimg.com/ext_tw_video_thumb/1684621704830586880/pu/img/9DW4swX3XfeDqdNM.jpg")</f>
        <v>https://pbs.twimg.com/ext_tw_video_thumb/1684621704830586880/pu/img/9DW4swX3XfeDqdNM.jpg</v>
      </c>
      <c r="AW1513" s="82" t="s">
        <v>18286</v>
      </c>
      <c r="AX1513" s="82" t="s">
        <v>18286</v>
      </c>
      <c r="AY1513" s="77"/>
      <c r="AZ1513" s="82" t="s">
        <v>20971</v>
      </c>
      <c r="BA1513" s="82" t="s">
        <v>20971</v>
      </c>
      <c r="BB1513" s="82" t="s">
        <v>20971</v>
      </c>
      <c r="BC1513" s="82" t="s">
        <v>18286</v>
      </c>
      <c r="BD1513" s="82" t="s">
        <v>21274</v>
      </c>
      <c r="BE1513" s="77"/>
      <c r="BF1513" s="77"/>
      <c r="BG1513" s="77"/>
      <c r="BH1513" s="77"/>
      <c r="BI1513" s="77"/>
    </row>
    <row r="1514" spans="1:61" x14ac:dyDescent="0.25">
      <c r="A1514" s="62" t="s">
        <v>578</v>
      </c>
      <c r="B1514" s="62" t="s">
        <v>578</v>
      </c>
      <c r="C1514" s="63"/>
      <c r="D1514" s="64"/>
      <c r="E1514" s="65"/>
      <c r="F1514" s="66"/>
      <c r="G1514" s="63"/>
      <c r="H1514" s="67"/>
      <c r="I1514" s="68"/>
      <c r="J1514" s="68"/>
      <c r="K1514" s="32"/>
      <c r="L1514" s="75">
        <v>1514</v>
      </c>
      <c r="M1514" s="75"/>
      <c r="N1514" s="70"/>
      <c r="O1514" s="77" t="s">
        <v>1285</v>
      </c>
      <c r="P1514" s="79">
        <v>45128.512986111113</v>
      </c>
      <c r="Q1514" s="77" t="s">
        <v>2758</v>
      </c>
      <c r="R1514" s="77">
        <v>0</v>
      </c>
      <c r="S1514" s="77">
        <v>0</v>
      </c>
      <c r="T1514" s="77">
        <v>0</v>
      </c>
      <c r="U1514" s="77">
        <v>0</v>
      </c>
      <c r="V1514" s="77">
        <v>42</v>
      </c>
      <c r="W1514" s="82" t="s">
        <v>5853</v>
      </c>
      <c r="X1514" s="77"/>
      <c r="Y1514" s="77"/>
      <c r="Z1514" s="77" t="s">
        <v>578</v>
      </c>
      <c r="AA1514" s="77" t="s">
        <v>8165</v>
      </c>
      <c r="AB1514" s="77" t="s">
        <v>10130</v>
      </c>
      <c r="AC1514" s="82" t="s">
        <v>10144</v>
      </c>
      <c r="AD1514" s="77" t="s">
        <v>10184</v>
      </c>
      <c r="AE1514" s="80" t="str">
        <f>HYPERLINK("https://twitter.com/workshopdantas/status/1682364474139844612")</f>
        <v>https://twitter.com/workshopdantas/status/1682364474139844612</v>
      </c>
      <c r="AF1514" s="79">
        <v>45128.512986111113</v>
      </c>
      <c r="AG1514" s="85">
        <v>45128</v>
      </c>
      <c r="AH1514" s="82" t="s">
        <v>11651</v>
      </c>
      <c r="AI1514" s="77" t="b">
        <v>0</v>
      </c>
      <c r="AJ1514" s="77"/>
      <c r="AK1514" s="77"/>
      <c r="AL1514" s="77"/>
      <c r="AM1514" s="77"/>
      <c r="AN1514" s="77"/>
      <c r="AO1514" s="77"/>
      <c r="AP1514" s="77"/>
      <c r="AQ1514" s="77" t="s">
        <v>14809</v>
      </c>
      <c r="AR1514" s="77"/>
      <c r="AS1514" s="77"/>
      <c r="AT1514" s="77"/>
      <c r="AU1514" s="77"/>
      <c r="AV1514" s="80" t="str">
        <f>HYPERLINK("https://pbs.twimg.com/media/F1j1kr7XgAAPksI.jpg")</f>
        <v>https://pbs.twimg.com/media/F1j1kr7XgAAPksI.jpg</v>
      </c>
      <c r="AW1514" s="82" t="s">
        <v>18287</v>
      </c>
      <c r="AX1514" s="82" t="s">
        <v>18287</v>
      </c>
      <c r="AY1514" s="77"/>
      <c r="AZ1514" s="82" t="s">
        <v>20971</v>
      </c>
      <c r="BA1514" s="82" t="s">
        <v>20971</v>
      </c>
      <c r="BB1514" s="82" t="s">
        <v>20971</v>
      </c>
      <c r="BC1514" s="82" t="s">
        <v>18287</v>
      </c>
      <c r="BD1514" s="82" t="s">
        <v>21274</v>
      </c>
      <c r="BE1514" s="77"/>
      <c r="BF1514" s="77"/>
      <c r="BG1514" s="77"/>
      <c r="BH1514" s="77"/>
      <c r="BI1514" s="77"/>
    </row>
    <row r="1515" spans="1:61" x14ac:dyDescent="0.25">
      <c r="A1515" s="62" t="s">
        <v>578</v>
      </c>
      <c r="B1515" s="62" t="s">
        <v>578</v>
      </c>
      <c r="C1515" s="63"/>
      <c r="D1515" s="64"/>
      <c r="E1515" s="65"/>
      <c r="F1515" s="66"/>
      <c r="G1515" s="63"/>
      <c r="H1515" s="67"/>
      <c r="I1515" s="68"/>
      <c r="J1515" s="68"/>
      <c r="K1515" s="32"/>
      <c r="L1515" s="75">
        <v>1515</v>
      </c>
      <c r="M1515" s="75"/>
      <c r="N1515" s="70"/>
      <c r="O1515" s="77" t="s">
        <v>1285</v>
      </c>
      <c r="P1515" s="79">
        <v>45125.134826388887</v>
      </c>
      <c r="Q1515" s="77" t="s">
        <v>2759</v>
      </c>
      <c r="R1515" s="77">
        <v>0</v>
      </c>
      <c r="S1515" s="77">
        <v>0</v>
      </c>
      <c r="T1515" s="77">
        <v>0</v>
      </c>
      <c r="U1515" s="77">
        <v>0</v>
      </c>
      <c r="V1515" s="77">
        <v>32</v>
      </c>
      <c r="W1515" s="82" t="s">
        <v>5854</v>
      </c>
      <c r="X1515" s="77"/>
      <c r="Y1515" s="77"/>
      <c r="Z1515" s="77" t="s">
        <v>578</v>
      </c>
      <c r="AA1515" s="77" t="s">
        <v>8166</v>
      </c>
      <c r="AB1515" s="77" t="s">
        <v>10130</v>
      </c>
      <c r="AC1515" s="82" t="s">
        <v>10144</v>
      </c>
      <c r="AD1515" s="77" t="s">
        <v>10184</v>
      </c>
      <c r="AE1515" s="80" t="str">
        <f>HYPERLINK("https://twitter.com/workshopdantas/status/1681140271373754370")</f>
        <v>https://twitter.com/workshopdantas/status/1681140271373754370</v>
      </c>
      <c r="AF1515" s="79">
        <v>45125.134826388887</v>
      </c>
      <c r="AG1515" s="85">
        <v>45125</v>
      </c>
      <c r="AH1515" s="82" t="s">
        <v>11652</v>
      </c>
      <c r="AI1515" s="77" t="b">
        <v>0</v>
      </c>
      <c r="AJ1515" s="77"/>
      <c r="AK1515" s="77"/>
      <c r="AL1515" s="77"/>
      <c r="AM1515" s="77"/>
      <c r="AN1515" s="77"/>
      <c r="AO1515" s="77"/>
      <c r="AP1515" s="77"/>
      <c r="AQ1515" s="77" t="s">
        <v>14810</v>
      </c>
      <c r="AR1515" s="77"/>
      <c r="AS1515" s="77"/>
      <c r="AT1515" s="77"/>
      <c r="AU1515" s="77"/>
      <c r="AV1515" s="80" t="str">
        <f>HYPERLINK("https://pbs.twimg.com/media/F1ScKvvWAAArolX.jpg")</f>
        <v>https://pbs.twimg.com/media/F1ScKvvWAAArolX.jpg</v>
      </c>
      <c r="AW1515" s="82" t="s">
        <v>18288</v>
      </c>
      <c r="AX1515" s="82" t="s">
        <v>18288</v>
      </c>
      <c r="AY1515" s="77"/>
      <c r="AZ1515" s="82" t="s">
        <v>20971</v>
      </c>
      <c r="BA1515" s="82" t="s">
        <v>20971</v>
      </c>
      <c r="BB1515" s="82" t="s">
        <v>20971</v>
      </c>
      <c r="BC1515" s="82" t="s">
        <v>18288</v>
      </c>
      <c r="BD1515" s="82" t="s">
        <v>21274</v>
      </c>
      <c r="BE1515" s="77"/>
      <c r="BF1515" s="77"/>
      <c r="BG1515" s="77"/>
      <c r="BH1515" s="77"/>
      <c r="BI1515" s="77"/>
    </row>
    <row r="1516" spans="1:61" x14ac:dyDescent="0.25">
      <c r="A1516" s="62" t="s">
        <v>578</v>
      </c>
      <c r="B1516" s="62" t="s">
        <v>578</v>
      </c>
      <c r="C1516" s="63"/>
      <c r="D1516" s="64"/>
      <c r="E1516" s="65"/>
      <c r="F1516" s="66"/>
      <c r="G1516" s="63"/>
      <c r="H1516" s="67"/>
      <c r="I1516" s="68"/>
      <c r="J1516" s="68"/>
      <c r="K1516" s="32"/>
      <c r="L1516" s="75">
        <v>1516</v>
      </c>
      <c r="M1516" s="75"/>
      <c r="N1516" s="70"/>
      <c r="O1516" s="77" t="s">
        <v>1285</v>
      </c>
      <c r="P1516" s="79">
        <v>45124.491261574076</v>
      </c>
      <c r="Q1516" s="77" t="s">
        <v>2760</v>
      </c>
      <c r="R1516" s="77">
        <v>0</v>
      </c>
      <c r="S1516" s="77">
        <v>1</v>
      </c>
      <c r="T1516" s="77">
        <v>0</v>
      </c>
      <c r="U1516" s="77">
        <v>0</v>
      </c>
      <c r="V1516" s="77">
        <v>51</v>
      </c>
      <c r="W1516" s="82" t="s">
        <v>5855</v>
      </c>
      <c r="X1516" s="77"/>
      <c r="Y1516" s="77"/>
      <c r="Z1516" s="77" t="s">
        <v>578</v>
      </c>
      <c r="AA1516" s="77" t="s">
        <v>8167</v>
      </c>
      <c r="AB1516" s="77" t="s">
        <v>10130</v>
      </c>
      <c r="AC1516" s="82" t="s">
        <v>10144</v>
      </c>
      <c r="AD1516" s="77" t="s">
        <v>10184</v>
      </c>
      <c r="AE1516" s="80" t="str">
        <f>HYPERLINK("https://twitter.com/workshopdantas/status/1680907050107252739")</f>
        <v>https://twitter.com/workshopdantas/status/1680907050107252739</v>
      </c>
      <c r="AF1516" s="79">
        <v>45124.491261574076</v>
      </c>
      <c r="AG1516" s="85">
        <v>45124</v>
      </c>
      <c r="AH1516" s="82" t="s">
        <v>11653</v>
      </c>
      <c r="AI1516" s="77" t="b">
        <v>0</v>
      </c>
      <c r="AJ1516" s="77"/>
      <c r="AK1516" s="77"/>
      <c r="AL1516" s="77"/>
      <c r="AM1516" s="77"/>
      <c r="AN1516" s="77"/>
      <c r="AO1516" s="77"/>
      <c r="AP1516" s="77"/>
      <c r="AQ1516" s="77" t="s">
        <v>14811</v>
      </c>
      <c r="AR1516" s="77"/>
      <c r="AS1516" s="77"/>
      <c r="AT1516" s="77"/>
      <c r="AU1516" s="77"/>
      <c r="AV1516" s="80" t="str">
        <f>HYPERLINK("https://pbs.twimg.com/media/F1PIDcPXwAAgzmT.jpg")</f>
        <v>https://pbs.twimg.com/media/F1PIDcPXwAAgzmT.jpg</v>
      </c>
      <c r="AW1516" s="82" t="s">
        <v>18289</v>
      </c>
      <c r="AX1516" s="82" t="s">
        <v>18289</v>
      </c>
      <c r="AY1516" s="77"/>
      <c r="AZ1516" s="82" t="s">
        <v>20971</v>
      </c>
      <c r="BA1516" s="82" t="s">
        <v>20971</v>
      </c>
      <c r="BB1516" s="82" t="s">
        <v>20971</v>
      </c>
      <c r="BC1516" s="82" t="s">
        <v>18289</v>
      </c>
      <c r="BD1516" s="82" t="s">
        <v>21274</v>
      </c>
      <c r="BE1516" s="77"/>
      <c r="BF1516" s="77"/>
      <c r="BG1516" s="77"/>
      <c r="BH1516" s="77"/>
      <c r="BI1516" s="77"/>
    </row>
    <row r="1517" spans="1:61" x14ac:dyDescent="0.25">
      <c r="A1517" s="62" t="s">
        <v>578</v>
      </c>
      <c r="B1517" s="62" t="s">
        <v>578</v>
      </c>
      <c r="C1517" s="63"/>
      <c r="D1517" s="64"/>
      <c r="E1517" s="65"/>
      <c r="F1517" s="66"/>
      <c r="G1517" s="63"/>
      <c r="H1517" s="67"/>
      <c r="I1517" s="68"/>
      <c r="J1517" s="68"/>
      <c r="K1517" s="32"/>
      <c r="L1517" s="75">
        <v>1517</v>
      </c>
      <c r="M1517" s="75"/>
      <c r="N1517" s="70"/>
      <c r="O1517" s="77" t="s">
        <v>1285</v>
      </c>
      <c r="P1517" s="79">
        <v>45123.955347222225</v>
      </c>
      <c r="Q1517" s="77" t="s">
        <v>2761</v>
      </c>
      <c r="R1517" s="77">
        <v>0</v>
      </c>
      <c r="S1517" s="77">
        <v>0</v>
      </c>
      <c r="T1517" s="77">
        <v>0</v>
      </c>
      <c r="U1517" s="77">
        <v>0</v>
      </c>
      <c r="V1517" s="77">
        <v>72</v>
      </c>
      <c r="W1517" s="82" t="s">
        <v>5856</v>
      </c>
      <c r="X1517" s="77"/>
      <c r="Y1517" s="77"/>
      <c r="Z1517" s="77" t="s">
        <v>578</v>
      </c>
      <c r="AA1517" s="77" t="s">
        <v>8168</v>
      </c>
      <c r="AB1517" s="77" t="s">
        <v>10130</v>
      </c>
      <c r="AC1517" s="82" t="s">
        <v>10144</v>
      </c>
      <c r="AD1517" s="77" t="s">
        <v>10184</v>
      </c>
      <c r="AE1517" s="80" t="str">
        <f>HYPERLINK("https://twitter.com/workshopdantas/status/1680712842121494528")</f>
        <v>https://twitter.com/workshopdantas/status/1680712842121494528</v>
      </c>
      <c r="AF1517" s="79">
        <v>45123.955347222225</v>
      </c>
      <c r="AG1517" s="85">
        <v>45123</v>
      </c>
      <c r="AH1517" s="82" t="s">
        <v>11654</v>
      </c>
      <c r="AI1517" s="77" t="b">
        <v>0</v>
      </c>
      <c r="AJ1517" s="77"/>
      <c r="AK1517" s="77"/>
      <c r="AL1517" s="77"/>
      <c r="AM1517" s="77"/>
      <c r="AN1517" s="77"/>
      <c r="AO1517" s="77"/>
      <c r="AP1517" s="77"/>
      <c r="AQ1517" s="77" t="s">
        <v>14812</v>
      </c>
      <c r="AR1517" s="77"/>
      <c r="AS1517" s="77"/>
      <c r="AT1517" s="77"/>
      <c r="AU1517" s="77"/>
      <c r="AV1517" s="80" t="str">
        <f>HYPERLINK("https://pbs.twimg.com/media/F1MXbF0XsAEWAGV.jpg")</f>
        <v>https://pbs.twimg.com/media/F1MXbF0XsAEWAGV.jpg</v>
      </c>
      <c r="AW1517" s="82" t="s">
        <v>18290</v>
      </c>
      <c r="AX1517" s="82" t="s">
        <v>18290</v>
      </c>
      <c r="AY1517" s="77"/>
      <c r="AZ1517" s="82" t="s">
        <v>20971</v>
      </c>
      <c r="BA1517" s="82" t="s">
        <v>20971</v>
      </c>
      <c r="BB1517" s="82" t="s">
        <v>20971</v>
      </c>
      <c r="BC1517" s="82" t="s">
        <v>18290</v>
      </c>
      <c r="BD1517" s="82" t="s">
        <v>21274</v>
      </c>
      <c r="BE1517" s="77"/>
      <c r="BF1517" s="77"/>
      <c r="BG1517" s="77"/>
      <c r="BH1517" s="77"/>
      <c r="BI1517" s="77"/>
    </row>
    <row r="1518" spans="1:61" x14ac:dyDescent="0.25">
      <c r="A1518" s="62" t="s">
        <v>578</v>
      </c>
      <c r="B1518" s="62" t="s">
        <v>578</v>
      </c>
      <c r="C1518" s="63"/>
      <c r="D1518" s="64"/>
      <c r="E1518" s="65"/>
      <c r="F1518" s="66"/>
      <c r="G1518" s="63"/>
      <c r="H1518" s="67"/>
      <c r="I1518" s="68"/>
      <c r="J1518" s="68"/>
      <c r="K1518" s="32"/>
      <c r="L1518" s="75">
        <v>1518</v>
      </c>
      <c r="M1518" s="75"/>
      <c r="N1518" s="70"/>
      <c r="O1518" s="77" t="s">
        <v>1285</v>
      </c>
      <c r="P1518" s="79">
        <v>45123.434953703705</v>
      </c>
      <c r="Q1518" s="77" t="s">
        <v>2762</v>
      </c>
      <c r="R1518" s="77">
        <v>0</v>
      </c>
      <c r="S1518" s="77">
        <v>0</v>
      </c>
      <c r="T1518" s="77">
        <v>0</v>
      </c>
      <c r="U1518" s="77">
        <v>0</v>
      </c>
      <c r="V1518" s="77">
        <v>78</v>
      </c>
      <c r="W1518" s="82" t="s">
        <v>5857</v>
      </c>
      <c r="X1518" s="77"/>
      <c r="Y1518" s="77"/>
      <c r="Z1518" s="77" t="s">
        <v>578</v>
      </c>
      <c r="AA1518" s="77" t="s">
        <v>8169</v>
      </c>
      <c r="AB1518" s="77" t="s">
        <v>10130</v>
      </c>
      <c r="AC1518" s="82" t="s">
        <v>10144</v>
      </c>
      <c r="AD1518" s="77" t="s">
        <v>10184</v>
      </c>
      <c r="AE1518" s="80" t="str">
        <f>HYPERLINK("https://twitter.com/workshopdantas/status/1680524257506336768")</f>
        <v>https://twitter.com/workshopdantas/status/1680524257506336768</v>
      </c>
      <c r="AF1518" s="79">
        <v>45123.434953703705</v>
      </c>
      <c r="AG1518" s="85">
        <v>45123</v>
      </c>
      <c r="AH1518" s="82" t="s">
        <v>11655</v>
      </c>
      <c r="AI1518" s="77" t="b">
        <v>0</v>
      </c>
      <c r="AJ1518" s="77"/>
      <c r="AK1518" s="77"/>
      <c r="AL1518" s="77"/>
      <c r="AM1518" s="77"/>
      <c r="AN1518" s="77"/>
      <c r="AO1518" s="77"/>
      <c r="AP1518" s="77"/>
      <c r="AQ1518" s="77" t="s">
        <v>14813</v>
      </c>
      <c r="AR1518" s="77"/>
      <c r="AS1518" s="77"/>
      <c r="AT1518" s="77"/>
      <c r="AU1518" s="77"/>
      <c r="AV1518" s="80" t="str">
        <f>HYPERLINK("https://pbs.twimg.com/media/F1Jr5-1XsAESfrn.jpg")</f>
        <v>https://pbs.twimg.com/media/F1Jr5-1XsAESfrn.jpg</v>
      </c>
      <c r="AW1518" s="82" t="s">
        <v>18291</v>
      </c>
      <c r="AX1518" s="82" t="s">
        <v>18291</v>
      </c>
      <c r="AY1518" s="77"/>
      <c r="AZ1518" s="82" t="s">
        <v>20971</v>
      </c>
      <c r="BA1518" s="82" t="s">
        <v>20971</v>
      </c>
      <c r="BB1518" s="82" t="s">
        <v>20971</v>
      </c>
      <c r="BC1518" s="82" t="s">
        <v>18291</v>
      </c>
      <c r="BD1518" s="82" t="s">
        <v>21274</v>
      </c>
      <c r="BE1518" s="77"/>
      <c r="BF1518" s="77"/>
      <c r="BG1518" s="77"/>
      <c r="BH1518" s="77"/>
      <c r="BI1518" s="77"/>
    </row>
    <row r="1519" spans="1:61" x14ac:dyDescent="0.25">
      <c r="A1519" s="62" t="s">
        <v>578</v>
      </c>
      <c r="B1519" s="62" t="s">
        <v>578</v>
      </c>
      <c r="C1519" s="63"/>
      <c r="D1519" s="64"/>
      <c r="E1519" s="65"/>
      <c r="F1519" s="66"/>
      <c r="G1519" s="63"/>
      <c r="H1519" s="67"/>
      <c r="I1519" s="68"/>
      <c r="J1519" s="68"/>
      <c r="K1519" s="32"/>
      <c r="L1519" s="75">
        <v>1519</v>
      </c>
      <c r="M1519" s="75"/>
      <c r="N1519" s="70"/>
      <c r="O1519" s="77" t="s">
        <v>1285</v>
      </c>
      <c r="P1519" s="79">
        <v>45107.410300925927</v>
      </c>
      <c r="Q1519" s="77" t="s">
        <v>2763</v>
      </c>
      <c r="R1519" s="77">
        <v>0</v>
      </c>
      <c r="S1519" s="77">
        <v>0</v>
      </c>
      <c r="T1519" s="77">
        <v>0</v>
      </c>
      <c r="U1519" s="77">
        <v>0</v>
      </c>
      <c r="V1519" s="77">
        <v>34</v>
      </c>
      <c r="W1519" s="82" t="s">
        <v>5858</v>
      </c>
      <c r="X1519" s="77"/>
      <c r="Y1519" s="77"/>
      <c r="Z1519" s="77" t="s">
        <v>578</v>
      </c>
      <c r="AA1519" s="77" t="s">
        <v>8170</v>
      </c>
      <c r="AB1519" s="77" t="s">
        <v>10130</v>
      </c>
      <c r="AC1519" s="82" t="s">
        <v>10144</v>
      </c>
      <c r="AD1519" s="77" t="s">
        <v>10184</v>
      </c>
      <c r="AE1519" s="80" t="str">
        <f>HYPERLINK("https://twitter.com/workshopdantas/status/1674717119257227264")</f>
        <v>https://twitter.com/workshopdantas/status/1674717119257227264</v>
      </c>
      <c r="AF1519" s="79">
        <v>45107.410300925927</v>
      </c>
      <c r="AG1519" s="85">
        <v>45107</v>
      </c>
      <c r="AH1519" s="82" t="s">
        <v>11656</v>
      </c>
      <c r="AI1519" s="77" t="b">
        <v>0</v>
      </c>
      <c r="AJ1519" s="77"/>
      <c r="AK1519" s="77"/>
      <c r="AL1519" s="77"/>
      <c r="AM1519" s="77"/>
      <c r="AN1519" s="77"/>
      <c r="AO1519" s="77"/>
      <c r="AP1519" s="77"/>
      <c r="AQ1519" s="77" t="s">
        <v>14814</v>
      </c>
      <c r="AR1519" s="77"/>
      <c r="AS1519" s="77"/>
      <c r="AT1519" s="77"/>
      <c r="AU1519" s="77"/>
      <c r="AV1519" s="80" t="str">
        <f>HYPERLINK("https://pbs.twimg.com/media/Fz3KWAtXoAArD1O.jpg")</f>
        <v>https://pbs.twimg.com/media/Fz3KWAtXoAArD1O.jpg</v>
      </c>
      <c r="AW1519" s="82" t="s">
        <v>18292</v>
      </c>
      <c r="AX1519" s="82" t="s">
        <v>18292</v>
      </c>
      <c r="AY1519" s="77"/>
      <c r="AZ1519" s="82" t="s">
        <v>20971</v>
      </c>
      <c r="BA1519" s="82" t="s">
        <v>20971</v>
      </c>
      <c r="BB1519" s="82" t="s">
        <v>20971</v>
      </c>
      <c r="BC1519" s="82" t="s">
        <v>18292</v>
      </c>
      <c r="BD1519" s="82" t="s">
        <v>21274</v>
      </c>
      <c r="BE1519" s="77"/>
      <c r="BF1519" s="77"/>
      <c r="BG1519" s="77"/>
      <c r="BH1519" s="77"/>
      <c r="BI1519" s="77"/>
    </row>
    <row r="1520" spans="1:61" x14ac:dyDescent="0.25">
      <c r="A1520" s="62" t="s">
        <v>578</v>
      </c>
      <c r="B1520" s="62" t="s">
        <v>578</v>
      </c>
      <c r="C1520" s="63"/>
      <c r="D1520" s="64"/>
      <c r="E1520" s="65"/>
      <c r="F1520" s="66"/>
      <c r="G1520" s="63"/>
      <c r="H1520" s="67"/>
      <c r="I1520" s="68"/>
      <c r="J1520" s="68"/>
      <c r="K1520" s="32"/>
      <c r="L1520" s="75">
        <v>1520</v>
      </c>
      <c r="M1520" s="75"/>
      <c r="N1520" s="70"/>
      <c r="O1520" s="77" t="s">
        <v>1285</v>
      </c>
      <c r="P1520" s="79">
        <v>45099.715011574073</v>
      </c>
      <c r="Q1520" s="77" t="s">
        <v>2764</v>
      </c>
      <c r="R1520" s="77">
        <v>0</v>
      </c>
      <c r="S1520" s="77">
        <v>0</v>
      </c>
      <c r="T1520" s="77">
        <v>0</v>
      </c>
      <c r="U1520" s="77">
        <v>0</v>
      </c>
      <c r="V1520" s="77">
        <v>31</v>
      </c>
      <c r="W1520" s="82" t="s">
        <v>5859</v>
      </c>
      <c r="X1520" s="77"/>
      <c r="Y1520" s="77"/>
      <c r="Z1520" s="77" t="s">
        <v>578</v>
      </c>
      <c r="AA1520" s="77" t="s">
        <v>8171</v>
      </c>
      <c r="AB1520" s="77" t="s">
        <v>10130</v>
      </c>
      <c r="AC1520" s="82" t="s">
        <v>10144</v>
      </c>
      <c r="AD1520" s="77" t="s">
        <v>10184</v>
      </c>
      <c r="AE1520" s="80" t="str">
        <f>HYPERLINK("https://twitter.com/workshopdantas/status/1671928440008720395")</f>
        <v>https://twitter.com/workshopdantas/status/1671928440008720395</v>
      </c>
      <c r="AF1520" s="79">
        <v>45099.715011574073</v>
      </c>
      <c r="AG1520" s="85">
        <v>45099</v>
      </c>
      <c r="AH1520" s="82" t="s">
        <v>11657</v>
      </c>
      <c r="AI1520" s="77" t="b">
        <v>0</v>
      </c>
      <c r="AJ1520" s="77"/>
      <c r="AK1520" s="77"/>
      <c r="AL1520" s="77"/>
      <c r="AM1520" s="77"/>
      <c r="AN1520" s="77"/>
      <c r="AO1520" s="77"/>
      <c r="AP1520" s="77"/>
      <c r="AQ1520" s="77" t="s">
        <v>14815</v>
      </c>
      <c r="AR1520" s="77"/>
      <c r="AS1520" s="77"/>
      <c r="AT1520" s="77"/>
      <c r="AU1520" s="77"/>
      <c r="AV1520" s="80" t="str">
        <f>HYPERLINK("https://pbs.twimg.com/media/FzPiDMeXwBsPfbe.jpg")</f>
        <v>https://pbs.twimg.com/media/FzPiDMeXwBsPfbe.jpg</v>
      </c>
      <c r="AW1520" s="82" t="s">
        <v>18293</v>
      </c>
      <c r="AX1520" s="82" t="s">
        <v>18293</v>
      </c>
      <c r="AY1520" s="77"/>
      <c r="AZ1520" s="82" t="s">
        <v>20971</v>
      </c>
      <c r="BA1520" s="82" t="s">
        <v>20971</v>
      </c>
      <c r="BB1520" s="82" t="s">
        <v>20971</v>
      </c>
      <c r="BC1520" s="82" t="s">
        <v>18293</v>
      </c>
      <c r="BD1520" s="82" t="s">
        <v>21274</v>
      </c>
      <c r="BE1520" s="77"/>
      <c r="BF1520" s="77"/>
      <c r="BG1520" s="77"/>
      <c r="BH1520" s="77"/>
      <c r="BI1520" s="77"/>
    </row>
    <row r="1521" spans="1:61" x14ac:dyDescent="0.25">
      <c r="A1521" s="62" t="s">
        <v>578</v>
      </c>
      <c r="B1521" s="62" t="s">
        <v>578</v>
      </c>
      <c r="C1521" s="63"/>
      <c r="D1521" s="64"/>
      <c r="E1521" s="65"/>
      <c r="F1521" s="66"/>
      <c r="G1521" s="63"/>
      <c r="H1521" s="67"/>
      <c r="I1521" s="68"/>
      <c r="J1521" s="68"/>
      <c r="K1521" s="32"/>
      <c r="L1521" s="75">
        <v>1521</v>
      </c>
      <c r="M1521" s="75"/>
      <c r="N1521" s="70"/>
      <c r="O1521" s="77" t="s">
        <v>1285</v>
      </c>
      <c r="P1521" s="79">
        <v>45098.578055555554</v>
      </c>
      <c r="Q1521" s="77" t="s">
        <v>2750</v>
      </c>
      <c r="R1521" s="77">
        <v>0</v>
      </c>
      <c r="S1521" s="77">
        <v>0</v>
      </c>
      <c r="T1521" s="77">
        <v>0</v>
      </c>
      <c r="U1521" s="77">
        <v>0</v>
      </c>
      <c r="V1521" s="77">
        <v>47</v>
      </c>
      <c r="W1521" s="82" t="s">
        <v>5846</v>
      </c>
      <c r="X1521" s="77"/>
      <c r="Y1521" s="77"/>
      <c r="Z1521" s="77" t="s">
        <v>7499</v>
      </c>
      <c r="AA1521" s="77" t="s">
        <v>8157</v>
      </c>
      <c r="AB1521" s="77" t="s">
        <v>10130</v>
      </c>
      <c r="AC1521" s="82" t="s">
        <v>10144</v>
      </c>
      <c r="AD1521" s="77" t="s">
        <v>10184</v>
      </c>
      <c r="AE1521" s="80" t="str">
        <f>HYPERLINK("https://twitter.com/workshopdantas/status/1671516419391889408")</f>
        <v>https://twitter.com/workshopdantas/status/1671516419391889408</v>
      </c>
      <c r="AF1521" s="79">
        <v>45098.578055555554</v>
      </c>
      <c r="AG1521" s="85">
        <v>45098</v>
      </c>
      <c r="AH1521" s="82" t="s">
        <v>11643</v>
      </c>
      <c r="AI1521" s="77" t="b">
        <v>0</v>
      </c>
      <c r="AJ1521" s="77"/>
      <c r="AK1521" s="77"/>
      <c r="AL1521" s="77"/>
      <c r="AM1521" s="77"/>
      <c r="AN1521" s="77"/>
      <c r="AO1521" s="77"/>
      <c r="AP1521" s="77"/>
      <c r="AQ1521" s="77" t="s">
        <v>14801</v>
      </c>
      <c r="AR1521" s="77"/>
      <c r="AS1521" s="77"/>
      <c r="AT1521" s="77"/>
      <c r="AU1521" s="77"/>
      <c r="AV1521" s="80" t="str">
        <f>HYPERLINK("https://pbs.twimg.com/media/FzJrUt3WwAMaeyJ.jpg")</f>
        <v>https://pbs.twimg.com/media/FzJrUt3WwAMaeyJ.jpg</v>
      </c>
      <c r="AW1521" s="82" t="s">
        <v>18279</v>
      </c>
      <c r="AX1521" s="82" t="s">
        <v>18279</v>
      </c>
      <c r="AY1521" s="77"/>
      <c r="AZ1521" s="82" t="s">
        <v>20971</v>
      </c>
      <c r="BA1521" s="82" t="s">
        <v>20971</v>
      </c>
      <c r="BB1521" s="82" t="s">
        <v>20971</v>
      </c>
      <c r="BC1521" s="82" t="s">
        <v>18279</v>
      </c>
      <c r="BD1521" s="82" t="s">
        <v>21274</v>
      </c>
      <c r="BE1521" s="77"/>
      <c r="BF1521" s="77"/>
      <c r="BG1521" s="77"/>
      <c r="BH1521" s="77"/>
      <c r="BI1521" s="77"/>
    </row>
    <row r="1522" spans="1:61" x14ac:dyDescent="0.25">
      <c r="A1522" s="62" t="s">
        <v>578</v>
      </c>
      <c r="B1522" s="62" t="s">
        <v>578</v>
      </c>
      <c r="C1522" s="63"/>
      <c r="D1522" s="64"/>
      <c r="E1522" s="65"/>
      <c r="F1522" s="66"/>
      <c r="G1522" s="63"/>
      <c r="H1522" s="67"/>
      <c r="I1522" s="68"/>
      <c r="J1522" s="68"/>
      <c r="K1522" s="32"/>
      <c r="L1522" s="75">
        <v>1522</v>
      </c>
      <c r="M1522" s="75"/>
      <c r="N1522" s="70"/>
      <c r="O1522" s="77" t="s">
        <v>1285</v>
      </c>
      <c r="P1522" s="79">
        <v>45142.426249999997</v>
      </c>
      <c r="Q1522" s="77" t="s">
        <v>2765</v>
      </c>
      <c r="R1522" s="77">
        <v>0</v>
      </c>
      <c r="S1522" s="77">
        <v>0</v>
      </c>
      <c r="T1522" s="77">
        <v>0</v>
      </c>
      <c r="U1522" s="77">
        <v>0</v>
      </c>
      <c r="V1522" s="77">
        <v>152</v>
      </c>
      <c r="W1522" s="82" t="s">
        <v>5860</v>
      </c>
      <c r="X1522" s="77"/>
      <c r="Y1522" s="77"/>
      <c r="Z1522" s="77" t="s">
        <v>578</v>
      </c>
      <c r="AA1522" s="77" t="s">
        <v>8172</v>
      </c>
      <c r="AB1522" s="77" t="s">
        <v>10129</v>
      </c>
      <c r="AC1522" s="82" t="s">
        <v>10144</v>
      </c>
      <c r="AD1522" s="77" t="s">
        <v>10184</v>
      </c>
      <c r="AE1522" s="80" t="str">
        <f>HYPERLINK("https://twitter.com/workshopdantas/status/1687406474832588800")</f>
        <v>https://twitter.com/workshopdantas/status/1687406474832588800</v>
      </c>
      <c r="AF1522" s="79">
        <v>45142.426249999997</v>
      </c>
      <c r="AG1522" s="85">
        <v>45142</v>
      </c>
      <c r="AH1522" s="82" t="s">
        <v>11658</v>
      </c>
      <c r="AI1522" s="77" t="b">
        <v>0</v>
      </c>
      <c r="AJ1522" s="77"/>
      <c r="AK1522" s="77"/>
      <c r="AL1522" s="77"/>
      <c r="AM1522" s="77"/>
      <c r="AN1522" s="77"/>
      <c r="AO1522" s="77"/>
      <c r="AP1522" s="77"/>
      <c r="AQ1522" s="77" t="s">
        <v>14816</v>
      </c>
      <c r="AR1522" s="77">
        <v>119069</v>
      </c>
      <c r="AS1522" s="77"/>
      <c r="AT1522" s="77"/>
      <c r="AU1522" s="77"/>
      <c r="AV1522" s="80" t="str">
        <f>HYPERLINK("https://pbs.twimg.com/ext_tw_video_thumb/1687406431551537152/pu/img/9DRrA9kzcJOfw7Wy.jpg")</f>
        <v>https://pbs.twimg.com/ext_tw_video_thumb/1687406431551537152/pu/img/9DRrA9kzcJOfw7Wy.jpg</v>
      </c>
      <c r="AW1522" s="82" t="s">
        <v>18294</v>
      </c>
      <c r="AX1522" s="82" t="s">
        <v>18294</v>
      </c>
      <c r="AY1522" s="77"/>
      <c r="AZ1522" s="82" t="s">
        <v>20971</v>
      </c>
      <c r="BA1522" s="82" t="s">
        <v>20971</v>
      </c>
      <c r="BB1522" s="82" t="s">
        <v>20971</v>
      </c>
      <c r="BC1522" s="82" t="s">
        <v>18294</v>
      </c>
      <c r="BD1522" s="82" t="s">
        <v>21274</v>
      </c>
      <c r="BE1522" s="77"/>
      <c r="BF1522" s="77"/>
      <c r="BG1522" s="77"/>
      <c r="BH1522" s="77"/>
      <c r="BI1522" s="77"/>
    </row>
    <row r="1523" spans="1:61" x14ac:dyDescent="0.25">
      <c r="A1523" s="62" t="s">
        <v>578</v>
      </c>
      <c r="B1523" s="62" t="s">
        <v>578</v>
      </c>
      <c r="C1523" s="63"/>
      <c r="D1523" s="64"/>
      <c r="E1523" s="65"/>
      <c r="F1523" s="66"/>
      <c r="G1523" s="63"/>
      <c r="H1523" s="67"/>
      <c r="I1523" s="68"/>
      <c r="J1523" s="68"/>
      <c r="K1523" s="32"/>
      <c r="L1523" s="75">
        <v>1523</v>
      </c>
      <c r="M1523" s="75"/>
      <c r="N1523" s="70"/>
      <c r="O1523" s="77" t="s">
        <v>1285</v>
      </c>
      <c r="P1523" s="79">
        <v>45139.490671296298</v>
      </c>
      <c r="Q1523" s="77" t="s">
        <v>2766</v>
      </c>
      <c r="R1523" s="77">
        <v>0</v>
      </c>
      <c r="S1523" s="77">
        <v>2</v>
      </c>
      <c r="T1523" s="77">
        <v>0</v>
      </c>
      <c r="U1523" s="77">
        <v>0</v>
      </c>
      <c r="V1523" s="77">
        <v>77</v>
      </c>
      <c r="W1523" s="82" t="s">
        <v>5861</v>
      </c>
      <c r="X1523" s="77"/>
      <c r="Y1523" s="77"/>
      <c r="Z1523" s="77" t="s">
        <v>578</v>
      </c>
      <c r="AA1523" s="77" t="s">
        <v>8173</v>
      </c>
      <c r="AB1523" s="77" t="s">
        <v>10130</v>
      </c>
      <c r="AC1523" s="82" t="s">
        <v>10144</v>
      </c>
      <c r="AD1523" s="77" t="s">
        <v>10184</v>
      </c>
      <c r="AE1523" s="80" t="str">
        <f>HYPERLINK("https://twitter.com/workshopdantas/status/1686342654907334656")</f>
        <v>https://twitter.com/workshopdantas/status/1686342654907334656</v>
      </c>
      <c r="AF1523" s="79">
        <v>45139.490671296298</v>
      </c>
      <c r="AG1523" s="85">
        <v>45139</v>
      </c>
      <c r="AH1523" s="82" t="s">
        <v>11659</v>
      </c>
      <c r="AI1523" s="77" t="b">
        <v>0</v>
      </c>
      <c r="AJ1523" s="77"/>
      <c r="AK1523" s="77"/>
      <c r="AL1523" s="77"/>
      <c r="AM1523" s="77"/>
      <c r="AN1523" s="77"/>
      <c r="AO1523" s="77"/>
      <c r="AP1523" s="77"/>
      <c r="AQ1523" s="77" t="s">
        <v>14817</v>
      </c>
      <c r="AR1523" s="77"/>
      <c r="AS1523" s="77"/>
      <c r="AT1523" s="77"/>
      <c r="AU1523" s="77"/>
      <c r="AV1523" s="80" t="str">
        <f>HYPERLINK("https://pbs.twimg.com/media/F2cXtRaWUAAhdOr.jpg")</f>
        <v>https://pbs.twimg.com/media/F2cXtRaWUAAhdOr.jpg</v>
      </c>
      <c r="AW1523" s="82" t="s">
        <v>18295</v>
      </c>
      <c r="AX1523" s="82" t="s">
        <v>18295</v>
      </c>
      <c r="AY1523" s="77"/>
      <c r="AZ1523" s="82" t="s">
        <v>20971</v>
      </c>
      <c r="BA1523" s="82" t="s">
        <v>20971</v>
      </c>
      <c r="BB1523" s="82" t="s">
        <v>20971</v>
      </c>
      <c r="BC1523" s="82" t="s">
        <v>18295</v>
      </c>
      <c r="BD1523" s="82" t="s">
        <v>21274</v>
      </c>
      <c r="BE1523" s="77"/>
      <c r="BF1523" s="77"/>
      <c r="BG1523" s="77"/>
      <c r="BH1523" s="77"/>
      <c r="BI1523" s="77"/>
    </row>
    <row r="1524" spans="1:61" x14ac:dyDescent="0.25">
      <c r="A1524" s="62" t="s">
        <v>578</v>
      </c>
      <c r="B1524" s="62" t="s">
        <v>578</v>
      </c>
      <c r="C1524" s="63"/>
      <c r="D1524" s="64"/>
      <c r="E1524" s="65"/>
      <c r="F1524" s="66"/>
      <c r="G1524" s="63"/>
      <c r="H1524" s="67"/>
      <c r="I1524" s="68"/>
      <c r="J1524" s="68"/>
      <c r="K1524" s="32"/>
      <c r="L1524" s="75">
        <v>1524</v>
      </c>
      <c r="M1524" s="75"/>
      <c r="N1524" s="70"/>
      <c r="O1524" s="77" t="s">
        <v>1285</v>
      </c>
      <c r="P1524" s="79">
        <v>45127.475925925923</v>
      </c>
      <c r="Q1524" s="77" t="s">
        <v>2767</v>
      </c>
      <c r="R1524" s="77">
        <v>0</v>
      </c>
      <c r="S1524" s="77">
        <v>1</v>
      </c>
      <c r="T1524" s="77">
        <v>0</v>
      </c>
      <c r="U1524" s="77">
        <v>0</v>
      </c>
      <c r="V1524" s="77">
        <v>64</v>
      </c>
      <c r="W1524" s="82" t="s">
        <v>5862</v>
      </c>
      <c r="X1524" s="77"/>
      <c r="Y1524" s="77"/>
      <c r="Z1524" s="77" t="s">
        <v>578</v>
      </c>
      <c r="AA1524" s="77" t="s">
        <v>8174</v>
      </c>
      <c r="AB1524" s="77" t="s">
        <v>10130</v>
      </c>
      <c r="AC1524" s="82" t="s">
        <v>10144</v>
      </c>
      <c r="AD1524" s="77" t="s">
        <v>10184</v>
      </c>
      <c r="AE1524" s="80" t="str">
        <f>HYPERLINK("https://twitter.com/workshopdantas/status/1681988659334004736")</f>
        <v>https://twitter.com/workshopdantas/status/1681988659334004736</v>
      </c>
      <c r="AF1524" s="79">
        <v>45127.475925925923</v>
      </c>
      <c r="AG1524" s="85">
        <v>45127</v>
      </c>
      <c r="AH1524" s="82" t="s">
        <v>11660</v>
      </c>
      <c r="AI1524" s="77" t="b">
        <v>0</v>
      </c>
      <c r="AJ1524" s="77"/>
      <c r="AK1524" s="77"/>
      <c r="AL1524" s="77"/>
      <c r="AM1524" s="77"/>
      <c r="AN1524" s="77"/>
      <c r="AO1524" s="77"/>
      <c r="AP1524" s="77"/>
      <c r="AQ1524" s="77" t="s">
        <v>14818</v>
      </c>
      <c r="AR1524" s="77"/>
      <c r="AS1524" s="77"/>
      <c r="AT1524" s="77"/>
      <c r="AU1524" s="77"/>
      <c r="AV1524" s="80" t="str">
        <f>HYPERLINK("https://pbs.twimg.com/media/F1efxZDXoAErfdA.jpg")</f>
        <v>https://pbs.twimg.com/media/F1efxZDXoAErfdA.jpg</v>
      </c>
      <c r="AW1524" s="82" t="s">
        <v>18296</v>
      </c>
      <c r="AX1524" s="82" t="s">
        <v>18296</v>
      </c>
      <c r="AY1524" s="77"/>
      <c r="AZ1524" s="82" t="s">
        <v>20971</v>
      </c>
      <c r="BA1524" s="82" t="s">
        <v>20971</v>
      </c>
      <c r="BB1524" s="82" t="s">
        <v>20971</v>
      </c>
      <c r="BC1524" s="82" t="s">
        <v>18296</v>
      </c>
      <c r="BD1524" s="82" t="s">
        <v>21274</v>
      </c>
      <c r="BE1524" s="77"/>
      <c r="BF1524" s="77"/>
      <c r="BG1524" s="77"/>
      <c r="BH1524" s="77"/>
      <c r="BI1524" s="77"/>
    </row>
    <row r="1525" spans="1:61" x14ac:dyDescent="0.25">
      <c r="A1525" s="62" t="s">
        <v>578</v>
      </c>
      <c r="B1525" s="62" t="s">
        <v>578</v>
      </c>
      <c r="C1525" s="63"/>
      <c r="D1525" s="64"/>
      <c r="E1525" s="65"/>
      <c r="F1525" s="66"/>
      <c r="G1525" s="63"/>
      <c r="H1525" s="67"/>
      <c r="I1525" s="68"/>
      <c r="J1525" s="68"/>
      <c r="K1525" s="32"/>
      <c r="L1525" s="75">
        <v>1525</v>
      </c>
      <c r="M1525" s="75"/>
      <c r="N1525" s="70"/>
      <c r="O1525" s="77" t="s">
        <v>1285</v>
      </c>
      <c r="P1525" s="79">
        <v>45127.426018518519</v>
      </c>
      <c r="Q1525" s="77" t="s">
        <v>2768</v>
      </c>
      <c r="R1525" s="77">
        <v>0</v>
      </c>
      <c r="S1525" s="77">
        <v>2</v>
      </c>
      <c r="T1525" s="77">
        <v>1</v>
      </c>
      <c r="U1525" s="77">
        <v>0</v>
      </c>
      <c r="V1525" s="77">
        <v>76</v>
      </c>
      <c r="W1525" s="82" t="s">
        <v>5863</v>
      </c>
      <c r="X1525" s="77"/>
      <c r="Y1525" s="77"/>
      <c r="Z1525" s="77" t="s">
        <v>578</v>
      </c>
      <c r="AA1525" s="77" t="s">
        <v>8175</v>
      </c>
      <c r="AB1525" s="77" t="s">
        <v>10130</v>
      </c>
      <c r="AC1525" s="82" t="s">
        <v>10144</v>
      </c>
      <c r="AD1525" s="77" t="s">
        <v>10184</v>
      </c>
      <c r="AE1525" s="80" t="str">
        <f>HYPERLINK("https://twitter.com/workshopdantas/status/1681970572429803520")</f>
        <v>https://twitter.com/workshopdantas/status/1681970572429803520</v>
      </c>
      <c r="AF1525" s="79">
        <v>45127.426018518519</v>
      </c>
      <c r="AG1525" s="85">
        <v>45127</v>
      </c>
      <c r="AH1525" s="82" t="s">
        <v>11661</v>
      </c>
      <c r="AI1525" s="77" t="b">
        <v>0</v>
      </c>
      <c r="AJ1525" s="77"/>
      <c r="AK1525" s="77"/>
      <c r="AL1525" s="77"/>
      <c r="AM1525" s="77"/>
      <c r="AN1525" s="77"/>
      <c r="AO1525" s="77"/>
      <c r="AP1525" s="77"/>
      <c r="AQ1525" s="77" t="s">
        <v>14819</v>
      </c>
      <c r="AR1525" s="77"/>
      <c r="AS1525" s="77"/>
      <c r="AT1525" s="77"/>
      <c r="AU1525" s="77"/>
      <c r="AV1525" s="80" t="str">
        <f>HYPERLINK("https://pbs.twimg.com/media/F1ePUiIXgAANAOY.jpg")</f>
        <v>https://pbs.twimg.com/media/F1ePUiIXgAANAOY.jpg</v>
      </c>
      <c r="AW1525" s="82" t="s">
        <v>18297</v>
      </c>
      <c r="AX1525" s="82" t="s">
        <v>18297</v>
      </c>
      <c r="AY1525" s="77"/>
      <c r="AZ1525" s="82" t="s">
        <v>20971</v>
      </c>
      <c r="BA1525" s="82" t="s">
        <v>20971</v>
      </c>
      <c r="BB1525" s="82" t="s">
        <v>20971</v>
      </c>
      <c r="BC1525" s="82" t="s">
        <v>18297</v>
      </c>
      <c r="BD1525" s="82" t="s">
        <v>21274</v>
      </c>
      <c r="BE1525" s="77"/>
      <c r="BF1525" s="77"/>
      <c r="BG1525" s="77"/>
      <c r="BH1525" s="77"/>
      <c r="BI1525" s="77"/>
    </row>
    <row r="1526" spans="1:61" x14ac:dyDescent="0.25">
      <c r="A1526" s="62" t="s">
        <v>578</v>
      </c>
      <c r="B1526" s="62" t="s">
        <v>578</v>
      </c>
      <c r="C1526" s="63"/>
      <c r="D1526" s="64"/>
      <c r="E1526" s="65"/>
      <c r="F1526" s="66"/>
      <c r="G1526" s="63"/>
      <c r="H1526" s="67"/>
      <c r="I1526" s="68"/>
      <c r="J1526" s="68"/>
      <c r="K1526" s="32"/>
      <c r="L1526" s="75">
        <v>1526</v>
      </c>
      <c r="M1526" s="75"/>
      <c r="N1526" s="70"/>
      <c r="O1526" s="77" t="s">
        <v>1285</v>
      </c>
      <c r="P1526" s="79">
        <v>45125.447685185187</v>
      </c>
      <c r="Q1526" s="77" t="s">
        <v>2769</v>
      </c>
      <c r="R1526" s="77">
        <v>0</v>
      </c>
      <c r="S1526" s="77">
        <v>0</v>
      </c>
      <c r="T1526" s="77">
        <v>1</v>
      </c>
      <c r="U1526" s="77">
        <v>0</v>
      </c>
      <c r="V1526" s="77">
        <v>42</v>
      </c>
      <c r="W1526" s="82" t="s">
        <v>5864</v>
      </c>
      <c r="X1526" s="77"/>
      <c r="Y1526" s="77"/>
      <c r="Z1526" s="77" t="s">
        <v>578</v>
      </c>
      <c r="AA1526" s="77" t="s">
        <v>8176</v>
      </c>
      <c r="AB1526" s="77" t="s">
        <v>10130</v>
      </c>
      <c r="AC1526" s="82" t="s">
        <v>10144</v>
      </c>
      <c r="AD1526" s="77" t="s">
        <v>10184</v>
      </c>
      <c r="AE1526" s="80" t="str">
        <f>HYPERLINK("https://twitter.com/workshopdantas/status/1681253645877145600")</f>
        <v>https://twitter.com/workshopdantas/status/1681253645877145600</v>
      </c>
      <c r="AF1526" s="79">
        <v>45125.447685185187</v>
      </c>
      <c r="AG1526" s="85">
        <v>45125</v>
      </c>
      <c r="AH1526" s="82" t="s">
        <v>11662</v>
      </c>
      <c r="AI1526" s="77" t="b">
        <v>0</v>
      </c>
      <c r="AJ1526" s="77"/>
      <c r="AK1526" s="77"/>
      <c r="AL1526" s="77"/>
      <c r="AM1526" s="77"/>
      <c r="AN1526" s="77"/>
      <c r="AO1526" s="77"/>
      <c r="AP1526" s="77"/>
      <c r="AQ1526" s="77" t="s">
        <v>14820</v>
      </c>
      <c r="AR1526" s="77"/>
      <c r="AS1526" s="77"/>
      <c r="AT1526" s="77"/>
      <c r="AU1526" s="77"/>
      <c r="AV1526" s="80" t="str">
        <f>HYPERLINK("https://pbs.twimg.com/media/F1UDR-MXsAA3UbA.jpg")</f>
        <v>https://pbs.twimg.com/media/F1UDR-MXsAA3UbA.jpg</v>
      </c>
      <c r="AW1526" s="82" t="s">
        <v>18298</v>
      </c>
      <c r="AX1526" s="82" t="s">
        <v>18298</v>
      </c>
      <c r="AY1526" s="77"/>
      <c r="AZ1526" s="82" t="s">
        <v>20971</v>
      </c>
      <c r="BA1526" s="82" t="s">
        <v>20971</v>
      </c>
      <c r="BB1526" s="82" t="s">
        <v>20971</v>
      </c>
      <c r="BC1526" s="82" t="s">
        <v>18298</v>
      </c>
      <c r="BD1526" s="82" t="s">
        <v>21274</v>
      </c>
      <c r="BE1526" s="77"/>
      <c r="BF1526" s="77"/>
      <c r="BG1526" s="77"/>
      <c r="BH1526" s="77"/>
      <c r="BI1526" s="77"/>
    </row>
    <row r="1527" spans="1:61" x14ac:dyDescent="0.25">
      <c r="A1527" s="62" t="s">
        <v>578</v>
      </c>
      <c r="B1527" s="62" t="s">
        <v>578</v>
      </c>
      <c r="C1527" s="63"/>
      <c r="D1527" s="64"/>
      <c r="E1527" s="65"/>
      <c r="F1527" s="66"/>
      <c r="G1527" s="63"/>
      <c r="H1527" s="67"/>
      <c r="I1527" s="68"/>
      <c r="J1527" s="68"/>
      <c r="K1527" s="32"/>
      <c r="L1527" s="75">
        <v>1527</v>
      </c>
      <c r="M1527" s="75"/>
      <c r="N1527" s="70"/>
      <c r="O1527" s="77" t="s">
        <v>1285</v>
      </c>
      <c r="P1527" s="79">
        <v>45122.379606481481</v>
      </c>
      <c r="Q1527" s="77" t="s">
        <v>2770</v>
      </c>
      <c r="R1527" s="77">
        <v>0</v>
      </c>
      <c r="S1527" s="77">
        <v>0</v>
      </c>
      <c r="T1527" s="77">
        <v>0</v>
      </c>
      <c r="U1527" s="77">
        <v>0</v>
      </c>
      <c r="V1527" s="77">
        <v>180</v>
      </c>
      <c r="W1527" s="82" t="s">
        <v>5865</v>
      </c>
      <c r="X1527" s="77"/>
      <c r="Y1527" s="77"/>
      <c r="Z1527" s="77" t="s">
        <v>578</v>
      </c>
      <c r="AA1527" s="77" t="s">
        <v>8177</v>
      </c>
      <c r="AB1527" s="77" t="s">
        <v>10130</v>
      </c>
      <c r="AC1527" s="82" t="s">
        <v>10144</v>
      </c>
      <c r="AD1527" s="77" t="s">
        <v>10184</v>
      </c>
      <c r="AE1527" s="80" t="str">
        <f>HYPERLINK("https://twitter.com/workshopdantas/status/1680141813133213697")</f>
        <v>https://twitter.com/workshopdantas/status/1680141813133213697</v>
      </c>
      <c r="AF1527" s="79">
        <v>45122.379606481481</v>
      </c>
      <c r="AG1527" s="85">
        <v>45122</v>
      </c>
      <c r="AH1527" s="82" t="s">
        <v>11663</v>
      </c>
      <c r="AI1527" s="77" t="b">
        <v>0</v>
      </c>
      <c r="AJ1527" s="77"/>
      <c r="AK1527" s="77"/>
      <c r="AL1527" s="77"/>
      <c r="AM1527" s="77"/>
      <c r="AN1527" s="77"/>
      <c r="AO1527" s="77"/>
      <c r="AP1527" s="77"/>
      <c r="AQ1527" s="77" t="s">
        <v>14821</v>
      </c>
      <c r="AR1527" s="77"/>
      <c r="AS1527" s="77"/>
      <c r="AT1527" s="77"/>
      <c r="AU1527" s="77"/>
      <c r="AV1527" s="80" t="str">
        <f>HYPERLINK("https://pbs.twimg.com/media/F1EQExvX0AAVqQo.jpg")</f>
        <v>https://pbs.twimg.com/media/F1EQExvX0AAVqQo.jpg</v>
      </c>
      <c r="AW1527" s="82" t="s">
        <v>18299</v>
      </c>
      <c r="AX1527" s="82" t="s">
        <v>18299</v>
      </c>
      <c r="AY1527" s="77"/>
      <c r="AZ1527" s="82" t="s">
        <v>20971</v>
      </c>
      <c r="BA1527" s="82" t="s">
        <v>20971</v>
      </c>
      <c r="BB1527" s="82" t="s">
        <v>20971</v>
      </c>
      <c r="BC1527" s="82" t="s">
        <v>18299</v>
      </c>
      <c r="BD1527" s="82" t="s">
        <v>21274</v>
      </c>
      <c r="BE1527" s="77"/>
      <c r="BF1527" s="77"/>
      <c r="BG1527" s="77"/>
      <c r="BH1527" s="77"/>
      <c r="BI1527" s="77"/>
    </row>
    <row r="1528" spans="1:61" x14ac:dyDescent="0.25">
      <c r="A1528" s="62" t="s">
        <v>578</v>
      </c>
      <c r="B1528" s="62" t="s">
        <v>578</v>
      </c>
      <c r="C1528" s="63"/>
      <c r="D1528" s="64"/>
      <c r="E1528" s="65"/>
      <c r="F1528" s="66"/>
      <c r="G1528" s="63"/>
      <c r="H1528" s="67"/>
      <c r="I1528" s="68"/>
      <c r="J1528" s="68"/>
      <c r="K1528" s="32"/>
      <c r="L1528" s="75">
        <v>1528</v>
      </c>
      <c r="M1528" s="75"/>
      <c r="N1528" s="70"/>
      <c r="O1528" s="77" t="s">
        <v>1285</v>
      </c>
      <c r="P1528" s="79">
        <v>45114.673032407409</v>
      </c>
      <c r="Q1528" s="77" t="s">
        <v>2771</v>
      </c>
      <c r="R1528" s="77">
        <v>0</v>
      </c>
      <c r="S1528" s="77">
        <v>2</v>
      </c>
      <c r="T1528" s="77">
        <v>0</v>
      </c>
      <c r="U1528" s="77">
        <v>0</v>
      </c>
      <c r="V1528" s="77">
        <v>46</v>
      </c>
      <c r="W1528" s="82" t="s">
        <v>5866</v>
      </c>
      <c r="X1528" s="77"/>
      <c r="Y1528" s="77"/>
      <c r="Z1528" s="77" t="s">
        <v>578</v>
      </c>
      <c r="AA1528" s="77" t="s">
        <v>8178</v>
      </c>
      <c r="AB1528" s="77" t="s">
        <v>10130</v>
      </c>
      <c r="AC1528" s="82" t="s">
        <v>10144</v>
      </c>
      <c r="AD1528" s="77" t="s">
        <v>10184</v>
      </c>
      <c r="AE1528" s="80" t="str">
        <f>HYPERLINK("https://twitter.com/workshopdantas/status/1677349043318472705")</f>
        <v>https://twitter.com/workshopdantas/status/1677349043318472705</v>
      </c>
      <c r="AF1528" s="79">
        <v>45114.673032407409</v>
      </c>
      <c r="AG1528" s="85">
        <v>45114</v>
      </c>
      <c r="AH1528" s="82" t="s">
        <v>11664</v>
      </c>
      <c r="AI1528" s="77" t="b">
        <v>0</v>
      </c>
      <c r="AJ1528" s="77"/>
      <c r="AK1528" s="77"/>
      <c r="AL1528" s="77"/>
      <c r="AM1528" s="77"/>
      <c r="AN1528" s="77"/>
      <c r="AO1528" s="77"/>
      <c r="AP1528" s="77"/>
      <c r="AQ1528" s="77" t="s">
        <v>14822</v>
      </c>
      <c r="AR1528" s="77"/>
      <c r="AS1528" s="77"/>
      <c r="AT1528" s="77"/>
      <c r="AU1528" s="77"/>
      <c r="AV1528" s="80" t="str">
        <f>HYPERLINK("https://pbs.twimg.com/media/F0ckDzjWYAIpJEN.jpg")</f>
        <v>https://pbs.twimg.com/media/F0ckDzjWYAIpJEN.jpg</v>
      </c>
      <c r="AW1528" s="82" t="s">
        <v>18300</v>
      </c>
      <c r="AX1528" s="82" t="s">
        <v>18300</v>
      </c>
      <c r="AY1528" s="77"/>
      <c r="AZ1528" s="82" t="s">
        <v>20971</v>
      </c>
      <c r="BA1528" s="82" t="s">
        <v>20971</v>
      </c>
      <c r="BB1528" s="82" t="s">
        <v>20971</v>
      </c>
      <c r="BC1528" s="82" t="s">
        <v>18300</v>
      </c>
      <c r="BD1528" s="82" t="s">
        <v>21274</v>
      </c>
      <c r="BE1528" s="77"/>
      <c r="BF1528" s="77"/>
      <c r="BG1528" s="77"/>
      <c r="BH1528" s="77"/>
      <c r="BI1528" s="77"/>
    </row>
    <row r="1529" spans="1:61" x14ac:dyDescent="0.25">
      <c r="A1529" s="62" t="s">
        <v>578</v>
      </c>
      <c r="B1529" s="62" t="s">
        <v>578</v>
      </c>
      <c r="C1529" s="63"/>
      <c r="D1529" s="64"/>
      <c r="E1529" s="65"/>
      <c r="F1529" s="66"/>
      <c r="G1529" s="63"/>
      <c r="H1529" s="67"/>
      <c r="I1529" s="68"/>
      <c r="J1529" s="68"/>
      <c r="K1529" s="32"/>
      <c r="L1529" s="75">
        <v>1529</v>
      </c>
      <c r="M1529" s="75"/>
      <c r="N1529" s="70"/>
      <c r="O1529" s="77" t="s">
        <v>1285</v>
      </c>
      <c r="P1529" s="79">
        <v>45101.567719907405</v>
      </c>
      <c r="Q1529" s="77" t="s">
        <v>2772</v>
      </c>
      <c r="R1529" s="77">
        <v>0</v>
      </c>
      <c r="S1529" s="77">
        <v>0</v>
      </c>
      <c r="T1529" s="77">
        <v>0</v>
      </c>
      <c r="U1529" s="77">
        <v>0</v>
      </c>
      <c r="V1529" s="77">
        <v>58</v>
      </c>
      <c r="W1529" s="82" t="s">
        <v>5867</v>
      </c>
      <c r="X1529" s="77"/>
      <c r="Y1529" s="77"/>
      <c r="Z1529" s="77" t="s">
        <v>578</v>
      </c>
      <c r="AA1529" s="77" t="s">
        <v>8179</v>
      </c>
      <c r="AB1529" s="77" t="s">
        <v>10130</v>
      </c>
      <c r="AC1529" s="82" t="s">
        <v>10144</v>
      </c>
      <c r="AD1529" s="77" t="s">
        <v>10184</v>
      </c>
      <c r="AE1529" s="80" t="str">
        <f>HYPERLINK("https://twitter.com/workshopdantas/status/1672599837085249539")</f>
        <v>https://twitter.com/workshopdantas/status/1672599837085249539</v>
      </c>
      <c r="AF1529" s="79">
        <v>45101.567719907405</v>
      </c>
      <c r="AG1529" s="85">
        <v>45101</v>
      </c>
      <c r="AH1529" s="82" t="s">
        <v>11665</v>
      </c>
      <c r="AI1529" s="77" t="b">
        <v>0</v>
      </c>
      <c r="AJ1529" s="77"/>
      <c r="AK1529" s="77"/>
      <c r="AL1529" s="77"/>
      <c r="AM1529" s="77"/>
      <c r="AN1529" s="77"/>
      <c r="AO1529" s="77"/>
      <c r="AP1529" s="77"/>
      <c r="AQ1529" s="77" t="s">
        <v>14823</v>
      </c>
      <c r="AR1529" s="77"/>
      <c r="AS1529" s="77"/>
      <c r="AT1529" s="77"/>
      <c r="AU1529" s="77"/>
      <c r="AV1529" s="80" t="str">
        <f>HYPERLINK("https://pbs.twimg.com/media/FzZEsBZWwAcBJoJ.jpg")</f>
        <v>https://pbs.twimg.com/media/FzZEsBZWwAcBJoJ.jpg</v>
      </c>
      <c r="AW1529" s="82" t="s">
        <v>18301</v>
      </c>
      <c r="AX1529" s="82" t="s">
        <v>18301</v>
      </c>
      <c r="AY1529" s="77"/>
      <c r="AZ1529" s="82" t="s">
        <v>20971</v>
      </c>
      <c r="BA1529" s="82" t="s">
        <v>20971</v>
      </c>
      <c r="BB1529" s="82" t="s">
        <v>20971</v>
      </c>
      <c r="BC1529" s="82" t="s">
        <v>18301</v>
      </c>
      <c r="BD1529" s="82" t="s">
        <v>21274</v>
      </c>
      <c r="BE1529" s="77"/>
      <c r="BF1529" s="77"/>
      <c r="BG1529" s="77"/>
      <c r="BH1529" s="77"/>
      <c r="BI1529" s="77"/>
    </row>
    <row r="1530" spans="1:61" x14ac:dyDescent="0.25">
      <c r="A1530" s="62" t="s">
        <v>578</v>
      </c>
      <c r="B1530" s="62" t="s">
        <v>578</v>
      </c>
      <c r="C1530" s="63"/>
      <c r="D1530" s="64"/>
      <c r="E1530" s="65"/>
      <c r="F1530" s="66"/>
      <c r="G1530" s="63"/>
      <c r="H1530" s="67"/>
      <c r="I1530" s="68"/>
      <c r="J1530" s="68"/>
      <c r="K1530" s="32"/>
      <c r="L1530" s="75">
        <v>1530</v>
      </c>
      <c r="M1530" s="75"/>
      <c r="N1530" s="70"/>
      <c r="O1530" s="77" t="s">
        <v>1285</v>
      </c>
      <c r="P1530" s="79">
        <v>45153.462916666664</v>
      </c>
      <c r="Q1530" s="77" t="s">
        <v>2773</v>
      </c>
      <c r="R1530" s="77">
        <v>0</v>
      </c>
      <c r="S1530" s="77">
        <v>0</v>
      </c>
      <c r="T1530" s="77">
        <v>0</v>
      </c>
      <c r="U1530" s="77">
        <v>0</v>
      </c>
      <c r="V1530" s="77">
        <v>68</v>
      </c>
      <c r="W1530" s="82" t="s">
        <v>5868</v>
      </c>
      <c r="X1530" s="77"/>
      <c r="Y1530" s="77"/>
      <c r="Z1530" s="77" t="s">
        <v>578</v>
      </c>
      <c r="AA1530" s="77" t="s">
        <v>8180</v>
      </c>
      <c r="AB1530" s="77" t="s">
        <v>10130</v>
      </c>
      <c r="AC1530" s="82" t="s">
        <v>10144</v>
      </c>
      <c r="AD1530" s="77" t="s">
        <v>10184</v>
      </c>
      <c r="AE1530" s="80" t="str">
        <f>HYPERLINK("https://twitter.com/workshopdantas/status/1691406026443046912")</f>
        <v>https://twitter.com/workshopdantas/status/1691406026443046912</v>
      </c>
      <c r="AF1530" s="79">
        <v>45153.462916666664</v>
      </c>
      <c r="AG1530" s="85">
        <v>45153</v>
      </c>
      <c r="AH1530" s="82" t="s">
        <v>11666</v>
      </c>
      <c r="AI1530" s="77" t="b">
        <v>0</v>
      </c>
      <c r="AJ1530" s="77"/>
      <c r="AK1530" s="77"/>
      <c r="AL1530" s="77"/>
      <c r="AM1530" s="77"/>
      <c r="AN1530" s="77"/>
      <c r="AO1530" s="77"/>
      <c r="AP1530" s="77"/>
      <c r="AQ1530" s="77" t="s">
        <v>14824</v>
      </c>
      <c r="AR1530" s="77"/>
      <c r="AS1530" s="77"/>
      <c r="AT1530" s="77"/>
      <c r="AU1530" s="77"/>
      <c r="AV1530" s="80" t="str">
        <f>HYPERLINK("https://pbs.twimg.com/media/F3kU0VWWUAA5nDy.jpg")</f>
        <v>https://pbs.twimg.com/media/F3kU0VWWUAA5nDy.jpg</v>
      </c>
      <c r="AW1530" s="82" t="s">
        <v>18302</v>
      </c>
      <c r="AX1530" s="82" t="s">
        <v>18302</v>
      </c>
      <c r="AY1530" s="77"/>
      <c r="AZ1530" s="82" t="s">
        <v>20971</v>
      </c>
      <c r="BA1530" s="82" t="s">
        <v>20971</v>
      </c>
      <c r="BB1530" s="82" t="s">
        <v>20971</v>
      </c>
      <c r="BC1530" s="82" t="s">
        <v>18302</v>
      </c>
      <c r="BD1530" s="82" t="s">
        <v>21274</v>
      </c>
      <c r="BE1530" s="77"/>
      <c r="BF1530" s="77"/>
      <c r="BG1530" s="77"/>
      <c r="BH1530" s="77"/>
      <c r="BI1530" s="77"/>
    </row>
    <row r="1531" spans="1:61" x14ac:dyDescent="0.25">
      <c r="A1531" s="62" t="s">
        <v>578</v>
      </c>
      <c r="B1531" s="62" t="s">
        <v>578</v>
      </c>
      <c r="C1531" s="63"/>
      <c r="D1531" s="64"/>
      <c r="E1531" s="65"/>
      <c r="F1531" s="66"/>
      <c r="G1531" s="63"/>
      <c r="H1531" s="67"/>
      <c r="I1531" s="68"/>
      <c r="J1531" s="68"/>
      <c r="K1531" s="32"/>
      <c r="L1531" s="75">
        <v>1531</v>
      </c>
      <c r="M1531" s="75"/>
      <c r="N1531" s="70"/>
      <c r="O1531" s="77" t="s">
        <v>1285</v>
      </c>
      <c r="P1531" s="79">
        <v>45152.88616898148</v>
      </c>
      <c r="Q1531" s="77" t="s">
        <v>2774</v>
      </c>
      <c r="R1531" s="77">
        <v>1</v>
      </c>
      <c r="S1531" s="77">
        <v>3</v>
      </c>
      <c r="T1531" s="77">
        <v>0</v>
      </c>
      <c r="U1531" s="77">
        <v>1</v>
      </c>
      <c r="V1531" s="77">
        <v>114</v>
      </c>
      <c r="W1531" s="82" t="s">
        <v>5869</v>
      </c>
      <c r="X1531" s="77"/>
      <c r="Y1531" s="77"/>
      <c r="Z1531" s="77" t="s">
        <v>578</v>
      </c>
      <c r="AA1531" s="77" t="s">
        <v>8181</v>
      </c>
      <c r="AB1531" s="77" t="s">
        <v>10130</v>
      </c>
      <c r="AC1531" s="82" t="s">
        <v>10144</v>
      </c>
      <c r="AD1531" s="77" t="s">
        <v>10184</v>
      </c>
      <c r="AE1531" s="80" t="str">
        <f>HYPERLINK("https://twitter.com/workshopdantas/status/1691197020650795009")</f>
        <v>https://twitter.com/workshopdantas/status/1691197020650795009</v>
      </c>
      <c r="AF1531" s="79">
        <v>45152.88616898148</v>
      </c>
      <c r="AG1531" s="85">
        <v>45152</v>
      </c>
      <c r="AH1531" s="82" t="s">
        <v>11667</v>
      </c>
      <c r="AI1531" s="77" t="b">
        <v>0</v>
      </c>
      <c r="AJ1531" s="77"/>
      <c r="AK1531" s="77"/>
      <c r="AL1531" s="77"/>
      <c r="AM1531" s="77"/>
      <c r="AN1531" s="77"/>
      <c r="AO1531" s="77"/>
      <c r="AP1531" s="77"/>
      <c r="AQ1531" s="77" t="s">
        <v>14825</v>
      </c>
      <c r="AR1531" s="77"/>
      <c r="AS1531" s="77"/>
      <c r="AT1531" s="77"/>
      <c r="AU1531" s="77"/>
      <c r="AV1531" s="80" t="str">
        <f>HYPERLINK("https://pbs.twimg.com/media/F3hWuRAXUAE7LuQ.jpg")</f>
        <v>https://pbs.twimg.com/media/F3hWuRAXUAE7LuQ.jpg</v>
      </c>
      <c r="AW1531" s="82" t="s">
        <v>18303</v>
      </c>
      <c r="AX1531" s="82" t="s">
        <v>18303</v>
      </c>
      <c r="AY1531" s="77"/>
      <c r="AZ1531" s="82" t="s">
        <v>20971</v>
      </c>
      <c r="BA1531" s="82" t="s">
        <v>20971</v>
      </c>
      <c r="BB1531" s="82" t="s">
        <v>20971</v>
      </c>
      <c r="BC1531" s="82" t="s">
        <v>18303</v>
      </c>
      <c r="BD1531" s="82" t="s">
        <v>21274</v>
      </c>
      <c r="BE1531" s="77"/>
      <c r="BF1531" s="77"/>
      <c r="BG1531" s="77"/>
      <c r="BH1531" s="77"/>
      <c r="BI1531" s="77"/>
    </row>
    <row r="1532" spans="1:61" x14ac:dyDescent="0.25">
      <c r="A1532" s="62" t="s">
        <v>578</v>
      </c>
      <c r="B1532" s="62" t="s">
        <v>578</v>
      </c>
      <c r="C1532" s="63"/>
      <c r="D1532" s="64"/>
      <c r="E1532" s="65"/>
      <c r="F1532" s="66"/>
      <c r="G1532" s="63"/>
      <c r="H1532" s="67"/>
      <c r="I1532" s="68"/>
      <c r="J1532" s="68"/>
      <c r="K1532" s="32"/>
      <c r="L1532" s="75">
        <v>1532</v>
      </c>
      <c r="M1532" s="75"/>
      <c r="N1532" s="70"/>
      <c r="O1532" s="77" t="s">
        <v>1285</v>
      </c>
      <c r="P1532" s="79">
        <v>45146.423935185187</v>
      </c>
      <c r="Q1532" s="77" t="s">
        <v>2775</v>
      </c>
      <c r="R1532" s="77">
        <v>0</v>
      </c>
      <c r="S1532" s="77">
        <v>1</v>
      </c>
      <c r="T1532" s="77">
        <v>0</v>
      </c>
      <c r="U1532" s="77">
        <v>0</v>
      </c>
      <c r="V1532" s="77">
        <v>47</v>
      </c>
      <c r="W1532" s="82" t="s">
        <v>5870</v>
      </c>
      <c r="X1532" s="77"/>
      <c r="Y1532" s="77"/>
      <c r="Z1532" s="77" t="s">
        <v>578</v>
      </c>
      <c r="AA1532" s="77" t="s">
        <v>8182</v>
      </c>
      <c r="AB1532" s="77" t="s">
        <v>10130</v>
      </c>
      <c r="AC1532" s="82" t="s">
        <v>10144</v>
      </c>
      <c r="AD1532" s="77" t="s">
        <v>10184</v>
      </c>
      <c r="AE1532" s="80" t="str">
        <f>HYPERLINK("https://twitter.com/workshopdantas/status/1688855184489771009")</f>
        <v>https://twitter.com/workshopdantas/status/1688855184489771009</v>
      </c>
      <c r="AF1532" s="79">
        <v>45146.423935185187</v>
      </c>
      <c r="AG1532" s="85">
        <v>45146</v>
      </c>
      <c r="AH1532" s="82" t="s">
        <v>11668</v>
      </c>
      <c r="AI1532" s="77" t="b">
        <v>0</v>
      </c>
      <c r="AJ1532" s="77"/>
      <c r="AK1532" s="77"/>
      <c r="AL1532" s="77"/>
      <c r="AM1532" s="77"/>
      <c r="AN1532" s="77"/>
      <c r="AO1532" s="77"/>
      <c r="AP1532" s="77"/>
      <c r="AQ1532" s="77" t="s">
        <v>14826</v>
      </c>
      <c r="AR1532" s="77"/>
      <c r="AS1532" s="77"/>
      <c r="AT1532" s="77"/>
      <c r="AU1532" s="77"/>
      <c r="AV1532" s="80" t="str">
        <f>HYPERLINK("https://pbs.twimg.com/media/F3AE1xHXYAE8eQv.jpg")</f>
        <v>https://pbs.twimg.com/media/F3AE1xHXYAE8eQv.jpg</v>
      </c>
      <c r="AW1532" s="82" t="s">
        <v>18304</v>
      </c>
      <c r="AX1532" s="82" t="s">
        <v>18304</v>
      </c>
      <c r="AY1532" s="77"/>
      <c r="AZ1532" s="82" t="s">
        <v>20971</v>
      </c>
      <c r="BA1532" s="82" t="s">
        <v>20971</v>
      </c>
      <c r="BB1532" s="82" t="s">
        <v>20971</v>
      </c>
      <c r="BC1532" s="82" t="s">
        <v>18304</v>
      </c>
      <c r="BD1532" s="82" t="s">
        <v>21274</v>
      </c>
      <c r="BE1532" s="77"/>
      <c r="BF1532" s="77"/>
      <c r="BG1532" s="77"/>
      <c r="BH1532" s="77"/>
      <c r="BI1532" s="77"/>
    </row>
    <row r="1533" spans="1:61" x14ac:dyDescent="0.25">
      <c r="A1533" s="62" t="s">
        <v>578</v>
      </c>
      <c r="B1533" s="62" t="s">
        <v>578</v>
      </c>
      <c r="C1533" s="63"/>
      <c r="D1533" s="64"/>
      <c r="E1533" s="65"/>
      <c r="F1533" s="66"/>
      <c r="G1533" s="63"/>
      <c r="H1533" s="67"/>
      <c r="I1533" s="68"/>
      <c r="J1533" s="68"/>
      <c r="K1533" s="32"/>
      <c r="L1533" s="75">
        <v>1533</v>
      </c>
      <c r="M1533" s="75"/>
      <c r="N1533" s="70"/>
      <c r="O1533" s="77" t="s">
        <v>1285</v>
      </c>
      <c r="P1533" s="79">
        <v>45145.499143518522</v>
      </c>
      <c r="Q1533" s="77" t="s">
        <v>2776</v>
      </c>
      <c r="R1533" s="77">
        <v>0</v>
      </c>
      <c r="S1533" s="77">
        <v>1</v>
      </c>
      <c r="T1533" s="77">
        <v>0</v>
      </c>
      <c r="U1533" s="77">
        <v>0</v>
      </c>
      <c r="V1533" s="77">
        <v>43</v>
      </c>
      <c r="W1533" s="82" t="s">
        <v>5871</v>
      </c>
      <c r="X1533" s="77"/>
      <c r="Y1533" s="77"/>
      <c r="Z1533" s="77" t="s">
        <v>578</v>
      </c>
      <c r="AA1533" s="77" t="s">
        <v>8183</v>
      </c>
      <c r="AB1533" s="77" t="s">
        <v>10130</v>
      </c>
      <c r="AC1533" s="82" t="s">
        <v>10144</v>
      </c>
      <c r="AD1533" s="77" t="s">
        <v>10184</v>
      </c>
      <c r="AE1533" s="80" t="str">
        <f>HYPERLINK("https://twitter.com/workshopdantas/status/1688520053862326272")</f>
        <v>https://twitter.com/workshopdantas/status/1688520053862326272</v>
      </c>
      <c r="AF1533" s="79">
        <v>45145.499143518522</v>
      </c>
      <c r="AG1533" s="85">
        <v>45145</v>
      </c>
      <c r="AH1533" s="82" t="s">
        <v>11669</v>
      </c>
      <c r="AI1533" s="77" t="b">
        <v>0</v>
      </c>
      <c r="AJ1533" s="77"/>
      <c r="AK1533" s="77"/>
      <c r="AL1533" s="77"/>
      <c r="AM1533" s="77"/>
      <c r="AN1533" s="77"/>
      <c r="AO1533" s="77"/>
      <c r="AP1533" s="77"/>
      <c r="AQ1533" s="77" t="s">
        <v>14827</v>
      </c>
      <c r="AR1533" s="77"/>
      <c r="AS1533" s="77"/>
      <c r="AT1533" s="77"/>
      <c r="AU1533" s="77"/>
      <c r="AV1533" s="80" t="str">
        <f>HYPERLINK("https://pbs.twimg.com/media/F27UCmLXsAAGT9W.jpg")</f>
        <v>https://pbs.twimg.com/media/F27UCmLXsAAGT9W.jpg</v>
      </c>
      <c r="AW1533" s="82" t="s">
        <v>18305</v>
      </c>
      <c r="AX1533" s="82" t="s">
        <v>18305</v>
      </c>
      <c r="AY1533" s="77"/>
      <c r="AZ1533" s="82" t="s">
        <v>20971</v>
      </c>
      <c r="BA1533" s="82" t="s">
        <v>20971</v>
      </c>
      <c r="BB1533" s="82" t="s">
        <v>20971</v>
      </c>
      <c r="BC1533" s="82" t="s">
        <v>18305</v>
      </c>
      <c r="BD1533" s="82" t="s">
        <v>21274</v>
      </c>
      <c r="BE1533" s="77"/>
      <c r="BF1533" s="77"/>
      <c r="BG1533" s="77"/>
      <c r="BH1533" s="77"/>
      <c r="BI1533" s="77"/>
    </row>
    <row r="1534" spans="1:61" x14ac:dyDescent="0.25">
      <c r="A1534" s="62" t="s">
        <v>578</v>
      </c>
      <c r="B1534" s="62" t="s">
        <v>578</v>
      </c>
      <c r="C1534" s="63"/>
      <c r="D1534" s="64"/>
      <c r="E1534" s="65"/>
      <c r="F1534" s="66"/>
      <c r="G1534" s="63"/>
      <c r="H1534" s="67"/>
      <c r="I1534" s="68"/>
      <c r="J1534" s="68"/>
      <c r="K1534" s="32"/>
      <c r="L1534" s="75">
        <v>1534</v>
      </c>
      <c r="M1534" s="75"/>
      <c r="N1534" s="70"/>
      <c r="O1534" s="77" t="s">
        <v>1285</v>
      </c>
      <c r="P1534" s="79">
        <v>45144.644108796296</v>
      </c>
      <c r="Q1534" s="77" t="s">
        <v>2777</v>
      </c>
      <c r="R1534" s="77">
        <v>0</v>
      </c>
      <c r="S1534" s="77">
        <v>0</v>
      </c>
      <c r="T1534" s="77">
        <v>1</v>
      </c>
      <c r="U1534" s="77">
        <v>0</v>
      </c>
      <c r="V1534" s="77">
        <v>57</v>
      </c>
      <c r="W1534" s="82" t="s">
        <v>5872</v>
      </c>
      <c r="X1534" s="77"/>
      <c r="Y1534" s="77"/>
      <c r="Z1534" s="77" t="s">
        <v>578</v>
      </c>
      <c r="AA1534" s="77" t="s">
        <v>8184</v>
      </c>
      <c r="AB1534" s="77" t="s">
        <v>10130</v>
      </c>
      <c r="AC1534" s="82" t="s">
        <v>10144</v>
      </c>
      <c r="AD1534" s="77" t="s">
        <v>10184</v>
      </c>
      <c r="AE1534" s="80" t="str">
        <f>HYPERLINK("https://twitter.com/workshopdantas/status/1688210199658602497")</f>
        <v>https://twitter.com/workshopdantas/status/1688210199658602497</v>
      </c>
      <c r="AF1534" s="79">
        <v>45144.644108796296</v>
      </c>
      <c r="AG1534" s="85">
        <v>45144</v>
      </c>
      <c r="AH1534" s="82" t="s">
        <v>11670</v>
      </c>
      <c r="AI1534" s="77" t="b">
        <v>0</v>
      </c>
      <c r="AJ1534" s="77"/>
      <c r="AK1534" s="77"/>
      <c r="AL1534" s="77"/>
      <c r="AM1534" s="77"/>
      <c r="AN1534" s="77"/>
      <c r="AO1534" s="77"/>
      <c r="AP1534" s="77"/>
      <c r="AQ1534" s="77" t="s">
        <v>14828</v>
      </c>
      <c r="AR1534" s="77"/>
      <c r="AS1534" s="77"/>
      <c r="AT1534" s="77"/>
      <c r="AU1534" s="77"/>
      <c r="AV1534" s="80" t="str">
        <f>HYPERLINK("https://pbs.twimg.com/media/F226OYvWoAEWj6j.jpg")</f>
        <v>https://pbs.twimg.com/media/F226OYvWoAEWj6j.jpg</v>
      </c>
      <c r="AW1534" s="82" t="s">
        <v>18306</v>
      </c>
      <c r="AX1534" s="82" t="s">
        <v>18306</v>
      </c>
      <c r="AY1534" s="77"/>
      <c r="AZ1534" s="82" t="s">
        <v>20971</v>
      </c>
      <c r="BA1534" s="82" t="s">
        <v>20971</v>
      </c>
      <c r="BB1534" s="82" t="s">
        <v>20971</v>
      </c>
      <c r="BC1534" s="82" t="s">
        <v>18306</v>
      </c>
      <c r="BD1534" s="82" t="s">
        <v>21274</v>
      </c>
      <c r="BE1534" s="77"/>
      <c r="BF1534" s="77"/>
      <c r="BG1534" s="77"/>
      <c r="BH1534" s="77"/>
      <c r="BI1534" s="77"/>
    </row>
    <row r="1535" spans="1:61" x14ac:dyDescent="0.25">
      <c r="A1535" s="62" t="s">
        <v>578</v>
      </c>
      <c r="B1535" s="62" t="s">
        <v>578</v>
      </c>
      <c r="C1535" s="63"/>
      <c r="D1535" s="64"/>
      <c r="E1535" s="65"/>
      <c r="F1535" s="66"/>
      <c r="G1535" s="63"/>
      <c r="H1535" s="67"/>
      <c r="I1535" s="68"/>
      <c r="J1535" s="68"/>
      <c r="K1535" s="32"/>
      <c r="L1535" s="75">
        <v>1535</v>
      </c>
      <c r="M1535" s="75"/>
      <c r="N1535" s="70"/>
      <c r="O1535" s="77" t="s">
        <v>1285</v>
      </c>
      <c r="P1535" s="79">
        <v>45132.024594907409</v>
      </c>
      <c r="Q1535" s="77" t="s">
        <v>2778</v>
      </c>
      <c r="R1535" s="77">
        <v>0</v>
      </c>
      <c r="S1535" s="77">
        <v>0</v>
      </c>
      <c r="T1535" s="77">
        <v>0</v>
      </c>
      <c r="U1535" s="77">
        <v>0</v>
      </c>
      <c r="V1535" s="77">
        <v>48</v>
      </c>
      <c r="W1535" s="82" t="s">
        <v>5873</v>
      </c>
      <c r="X1535" s="77"/>
      <c r="Y1535" s="77"/>
      <c r="Z1535" s="77" t="s">
        <v>578</v>
      </c>
      <c r="AA1535" s="77" t="s">
        <v>8185</v>
      </c>
      <c r="AB1535" s="77" t="s">
        <v>10130</v>
      </c>
      <c r="AC1535" s="82" t="s">
        <v>10144</v>
      </c>
      <c r="AD1535" s="77" t="s">
        <v>10184</v>
      </c>
      <c r="AE1535" s="80" t="str">
        <f>HYPERLINK("https://twitter.com/workshopdantas/status/1683637039810457603")</f>
        <v>https://twitter.com/workshopdantas/status/1683637039810457603</v>
      </c>
      <c r="AF1535" s="79">
        <v>45132.024594907409</v>
      </c>
      <c r="AG1535" s="85">
        <v>45132</v>
      </c>
      <c r="AH1535" s="82" t="s">
        <v>11671</v>
      </c>
      <c r="AI1535" s="77" t="b">
        <v>0</v>
      </c>
      <c r="AJ1535" s="77"/>
      <c r="AK1535" s="77"/>
      <c r="AL1535" s="77"/>
      <c r="AM1535" s="77"/>
      <c r="AN1535" s="77"/>
      <c r="AO1535" s="77"/>
      <c r="AP1535" s="77"/>
      <c r="AQ1535" s="77" t="s">
        <v>14829</v>
      </c>
      <c r="AR1535" s="77"/>
      <c r="AS1535" s="77"/>
      <c r="AT1535" s="77"/>
      <c r="AU1535" s="77"/>
      <c r="AV1535" s="80" t="str">
        <f>HYPERLINK("https://pbs.twimg.com/media/F1169YDXgAAyuwc.jpg")</f>
        <v>https://pbs.twimg.com/media/F1169YDXgAAyuwc.jpg</v>
      </c>
      <c r="AW1535" s="82" t="s">
        <v>18307</v>
      </c>
      <c r="AX1535" s="82" t="s">
        <v>18307</v>
      </c>
      <c r="AY1535" s="77"/>
      <c r="AZ1535" s="82" t="s">
        <v>20971</v>
      </c>
      <c r="BA1535" s="82" t="s">
        <v>20971</v>
      </c>
      <c r="BB1535" s="82" t="s">
        <v>20971</v>
      </c>
      <c r="BC1535" s="82" t="s">
        <v>18307</v>
      </c>
      <c r="BD1535" s="82" t="s">
        <v>21274</v>
      </c>
      <c r="BE1535" s="77"/>
      <c r="BF1535" s="77"/>
      <c r="BG1535" s="77"/>
      <c r="BH1535" s="77"/>
      <c r="BI1535" s="77"/>
    </row>
    <row r="1536" spans="1:61" x14ac:dyDescent="0.25">
      <c r="A1536" s="62" t="s">
        <v>578</v>
      </c>
      <c r="B1536" s="62" t="s">
        <v>578</v>
      </c>
      <c r="C1536" s="63"/>
      <c r="D1536" s="64"/>
      <c r="E1536" s="65"/>
      <c r="F1536" s="66"/>
      <c r="G1536" s="63"/>
      <c r="H1536" s="67"/>
      <c r="I1536" s="68"/>
      <c r="J1536" s="68"/>
      <c r="K1536" s="32"/>
      <c r="L1536" s="75">
        <v>1536</v>
      </c>
      <c r="M1536" s="75"/>
      <c r="N1536" s="70"/>
      <c r="O1536" s="77" t="s">
        <v>1285</v>
      </c>
      <c r="P1536" s="79">
        <v>45130.992407407408</v>
      </c>
      <c r="Q1536" s="77" t="s">
        <v>2779</v>
      </c>
      <c r="R1536" s="77">
        <v>0</v>
      </c>
      <c r="S1536" s="77">
        <v>0</v>
      </c>
      <c r="T1536" s="77">
        <v>0</v>
      </c>
      <c r="U1536" s="77">
        <v>0</v>
      </c>
      <c r="V1536" s="77">
        <v>93</v>
      </c>
      <c r="W1536" s="82" t="s">
        <v>5874</v>
      </c>
      <c r="X1536" s="77"/>
      <c r="Y1536" s="77"/>
      <c r="Z1536" s="77" t="s">
        <v>578</v>
      </c>
      <c r="AA1536" s="77" t="s">
        <v>8186</v>
      </c>
      <c r="AB1536" s="77" t="s">
        <v>10130</v>
      </c>
      <c r="AC1536" s="82" t="s">
        <v>10144</v>
      </c>
      <c r="AD1536" s="77" t="s">
        <v>10184</v>
      </c>
      <c r="AE1536" s="80" t="str">
        <f>HYPERLINK("https://twitter.com/workshopdantas/status/1683262989791526914")</f>
        <v>https://twitter.com/workshopdantas/status/1683262989791526914</v>
      </c>
      <c r="AF1536" s="79">
        <v>45130.992407407408</v>
      </c>
      <c r="AG1536" s="85">
        <v>45130</v>
      </c>
      <c r="AH1536" s="82" t="s">
        <v>11672</v>
      </c>
      <c r="AI1536" s="77" t="b">
        <v>0</v>
      </c>
      <c r="AJ1536" s="77"/>
      <c r="AK1536" s="77"/>
      <c r="AL1536" s="77"/>
      <c r="AM1536" s="77"/>
      <c r="AN1536" s="77"/>
      <c r="AO1536" s="77"/>
      <c r="AP1536" s="77"/>
      <c r="AQ1536" s="77" t="s">
        <v>14830</v>
      </c>
      <c r="AR1536" s="77"/>
      <c r="AS1536" s="77"/>
      <c r="AT1536" s="77"/>
      <c r="AU1536" s="77"/>
      <c r="AV1536" s="80" t="str">
        <f>HYPERLINK("https://pbs.twimg.com/media/F1wmw3dWwAAjpDX.jpg")</f>
        <v>https://pbs.twimg.com/media/F1wmw3dWwAAjpDX.jpg</v>
      </c>
      <c r="AW1536" s="82" t="s">
        <v>18308</v>
      </c>
      <c r="AX1536" s="82" t="s">
        <v>18308</v>
      </c>
      <c r="AY1536" s="77"/>
      <c r="AZ1536" s="82" t="s">
        <v>20971</v>
      </c>
      <c r="BA1536" s="82" t="s">
        <v>20971</v>
      </c>
      <c r="BB1536" s="82" t="s">
        <v>20971</v>
      </c>
      <c r="BC1536" s="82" t="s">
        <v>18308</v>
      </c>
      <c r="BD1536" s="82" t="s">
        <v>21274</v>
      </c>
      <c r="BE1536" s="77"/>
      <c r="BF1536" s="77"/>
      <c r="BG1536" s="77"/>
      <c r="BH1536" s="77"/>
      <c r="BI1536" s="77"/>
    </row>
    <row r="1537" spans="1:61" x14ac:dyDescent="0.25">
      <c r="A1537" s="62" t="s">
        <v>578</v>
      </c>
      <c r="B1537" s="62" t="s">
        <v>578</v>
      </c>
      <c r="C1537" s="63"/>
      <c r="D1537" s="64"/>
      <c r="E1537" s="65"/>
      <c r="F1537" s="66"/>
      <c r="G1537" s="63"/>
      <c r="H1537" s="67"/>
      <c r="I1537" s="68"/>
      <c r="J1537" s="68"/>
      <c r="K1537" s="32"/>
      <c r="L1537" s="75">
        <v>1537</v>
      </c>
      <c r="M1537" s="75"/>
      <c r="N1537" s="70"/>
      <c r="O1537" s="77" t="s">
        <v>1285</v>
      </c>
      <c r="P1537" s="79">
        <v>45130.960763888892</v>
      </c>
      <c r="Q1537" s="77" t="s">
        <v>2780</v>
      </c>
      <c r="R1537" s="77">
        <v>0</v>
      </c>
      <c r="S1537" s="77">
        <v>0</v>
      </c>
      <c r="T1537" s="77">
        <v>0</v>
      </c>
      <c r="U1537" s="77">
        <v>0</v>
      </c>
      <c r="V1537" s="77">
        <v>42</v>
      </c>
      <c r="W1537" s="82" t="s">
        <v>5875</v>
      </c>
      <c r="X1537" s="77"/>
      <c r="Y1537" s="77"/>
      <c r="Z1537" s="77" t="s">
        <v>578</v>
      </c>
      <c r="AA1537" s="77" t="s">
        <v>8187</v>
      </c>
      <c r="AB1537" s="77" t="s">
        <v>10130</v>
      </c>
      <c r="AC1537" s="82" t="s">
        <v>10144</v>
      </c>
      <c r="AD1537" s="77" t="s">
        <v>10184</v>
      </c>
      <c r="AE1537" s="80" t="str">
        <f>HYPERLINK("https://twitter.com/workshopdantas/status/1683251521600000001")</f>
        <v>https://twitter.com/workshopdantas/status/1683251521600000001</v>
      </c>
      <c r="AF1537" s="79">
        <v>45130.960763888892</v>
      </c>
      <c r="AG1537" s="85">
        <v>45130</v>
      </c>
      <c r="AH1537" s="82" t="s">
        <v>11673</v>
      </c>
      <c r="AI1537" s="77" t="b">
        <v>0</v>
      </c>
      <c r="AJ1537" s="77"/>
      <c r="AK1537" s="77"/>
      <c r="AL1537" s="77"/>
      <c r="AM1537" s="77"/>
      <c r="AN1537" s="77"/>
      <c r="AO1537" s="77"/>
      <c r="AP1537" s="77"/>
      <c r="AQ1537" s="77" t="s">
        <v>14831</v>
      </c>
      <c r="AR1537" s="77"/>
      <c r="AS1537" s="77"/>
      <c r="AT1537" s="77"/>
      <c r="AU1537" s="77"/>
      <c r="AV1537" s="80" t="str">
        <f>HYPERLINK("https://pbs.twimg.com/media/F1wcVU5XsAI1OnQ.jpg")</f>
        <v>https://pbs.twimg.com/media/F1wcVU5XsAI1OnQ.jpg</v>
      </c>
      <c r="AW1537" s="82" t="s">
        <v>18309</v>
      </c>
      <c r="AX1537" s="82" t="s">
        <v>18309</v>
      </c>
      <c r="AY1537" s="77"/>
      <c r="AZ1537" s="82" t="s">
        <v>20971</v>
      </c>
      <c r="BA1537" s="82" t="s">
        <v>20971</v>
      </c>
      <c r="BB1537" s="82" t="s">
        <v>20971</v>
      </c>
      <c r="BC1537" s="82" t="s">
        <v>18309</v>
      </c>
      <c r="BD1537" s="82" t="s">
        <v>21274</v>
      </c>
      <c r="BE1537" s="77"/>
      <c r="BF1537" s="77"/>
      <c r="BG1537" s="77"/>
      <c r="BH1537" s="77"/>
      <c r="BI1537" s="77"/>
    </row>
    <row r="1538" spans="1:61" x14ac:dyDescent="0.25">
      <c r="A1538" s="62" t="s">
        <v>578</v>
      </c>
      <c r="B1538" s="62" t="s">
        <v>578</v>
      </c>
      <c r="C1538" s="63"/>
      <c r="D1538" s="64"/>
      <c r="E1538" s="65"/>
      <c r="F1538" s="66"/>
      <c r="G1538" s="63"/>
      <c r="H1538" s="67"/>
      <c r="I1538" s="68"/>
      <c r="J1538" s="68"/>
      <c r="K1538" s="32"/>
      <c r="L1538" s="75">
        <v>1538</v>
      </c>
      <c r="M1538" s="75"/>
      <c r="N1538" s="70"/>
      <c r="O1538" s="77" t="s">
        <v>1285</v>
      </c>
      <c r="P1538" s="79">
        <v>45130.933113425926</v>
      </c>
      <c r="Q1538" s="77" t="s">
        <v>2751</v>
      </c>
      <c r="R1538" s="77">
        <v>0</v>
      </c>
      <c r="S1538" s="77">
        <v>0</v>
      </c>
      <c r="T1538" s="77">
        <v>2</v>
      </c>
      <c r="U1538" s="77">
        <v>0</v>
      </c>
      <c r="V1538" s="77">
        <v>181</v>
      </c>
      <c r="W1538" s="82" t="s">
        <v>5847</v>
      </c>
      <c r="X1538" s="77"/>
      <c r="Y1538" s="77"/>
      <c r="Z1538" s="77" t="s">
        <v>7500</v>
      </c>
      <c r="AA1538" s="77" t="s">
        <v>8158</v>
      </c>
      <c r="AB1538" s="77" t="s">
        <v>10130</v>
      </c>
      <c r="AC1538" s="82" t="s">
        <v>10144</v>
      </c>
      <c r="AD1538" s="77" t="s">
        <v>10184</v>
      </c>
      <c r="AE1538" s="80" t="str">
        <f>HYPERLINK("https://twitter.com/workshopdantas/status/1683241500468019200")</f>
        <v>https://twitter.com/workshopdantas/status/1683241500468019200</v>
      </c>
      <c r="AF1538" s="79">
        <v>45130.933113425926</v>
      </c>
      <c r="AG1538" s="85">
        <v>45130</v>
      </c>
      <c r="AH1538" s="82" t="s">
        <v>11644</v>
      </c>
      <c r="AI1538" s="77" t="b">
        <v>0</v>
      </c>
      <c r="AJ1538" s="77"/>
      <c r="AK1538" s="77"/>
      <c r="AL1538" s="77"/>
      <c r="AM1538" s="77"/>
      <c r="AN1538" s="77"/>
      <c r="AO1538" s="77"/>
      <c r="AP1538" s="77"/>
      <c r="AQ1538" s="77" t="s">
        <v>14802</v>
      </c>
      <c r="AR1538" s="77"/>
      <c r="AS1538" s="77"/>
      <c r="AT1538" s="77"/>
      <c r="AU1538" s="77"/>
      <c r="AV1538" s="80" t="str">
        <f>HYPERLINK("https://pbs.twimg.com/media/F1wTODlXgAMFYga.jpg")</f>
        <v>https://pbs.twimg.com/media/F1wTODlXgAMFYga.jpg</v>
      </c>
      <c r="AW1538" s="82" t="s">
        <v>18280</v>
      </c>
      <c r="AX1538" s="82" t="s">
        <v>18280</v>
      </c>
      <c r="AY1538" s="77"/>
      <c r="AZ1538" s="82" t="s">
        <v>20971</v>
      </c>
      <c r="BA1538" s="82" t="s">
        <v>20971</v>
      </c>
      <c r="BB1538" s="82" t="s">
        <v>20971</v>
      </c>
      <c r="BC1538" s="82" t="s">
        <v>18280</v>
      </c>
      <c r="BD1538" s="82" t="s">
        <v>21274</v>
      </c>
      <c r="BE1538" s="77"/>
      <c r="BF1538" s="77"/>
      <c r="BG1538" s="77"/>
      <c r="BH1538" s="77"/>
      <c r="BI1538" s="77"/>
    </row>
    <row r="1539" spans="1:61" x14ac:dyDescent="0.25">
      <c r="A1539" s="62" t="s">
        <v>578</v>
      </c>
      <c r="B1539" s="62" t="s">
        <v>578</v>
      </c>
      <c r="C1539" s="63"/>
      <c r="D1539" s="64"/>
      <c r="E1539" s="65"/>
      <c r="F1539" s="66"/>
      <c r="G1539" s="63"/>
      <c r="H1539" s="67"/>
      <c r="I1539" s="68"/>
      <c r="J1539" s="68"/>
      <c r="K1539" s="32"/>
      <c r="L1539" s="75">
        <v>1539</v>
      </c>
      <c r="M1539" s="75"/>
      <c r="N1539" s="70"/>
      <c r="O1539" s="77" t="s">
        <v>1285</v>
      </c>
      <c r="P1539" s="79">
        <v>45130.803900462961</v>
      </c>
      <c r="Q1539" s="77" t="s">
        <v>2781</v>
      </c>
      <c r="R1539" s="77">
        <v>0</v>
      </c>
      <c r="S1539" s="77">
        <v>0</v>
      </c>
      <c r="T1539" s="77">
        <v>1</v>
      </c>
      <c r="U1539" s="77">
        <v>0</v>
      </c>
      <c r="V1539" s="77">
        <v>87</v>
      </c>
      <c r="W1539" s="82" t="s">
        <v>5876</v>
      </c>
      <c r="X1539" s="77"/>
      <c r="Y1539" s="77"/>
      <c r="Z1539" s="77" t="s">
        <v>578</v>
      </c>
      <c r="AA1539" s="77" t="s">
        <v>8188</v>
      </c>
      <c r="AB1539" s="77" t="s">
        <v>10130</v>
      </c>
      <c r="AC1539" s="82" t="s">
        <v>10144</v>
      </c>
      <c r="AD1539" s="77" t="s">
        <v>10184</v>
      </c>
      <c r="AE1539" s="80" t="str">
        <f>HYPERLINK("https://twitter.com/workshopdantas/status/1683194675224625152")</f>
        <v>https://twitter.com/workshopdantas/status/1683194675224625152</v>
      </c>
      <c r="AF1539" s="79">
        <v>45130.803900462961</v>
      </c>
      <c r="AG1539" s="85">
        <v>45130</v>
      </c>
      <c r="AH1539" s="82" t="s">
        <v>11674</v>
      </c>
      <c r="AI1539" s="77" t="b">
        <v>0</v>
      </c>
      <c r="AJ1539" s="77"/>
      <c r="AK1539" s="77"/>
      <c r="AL1539" s="77"/>
      <c r="AM1539" s="77"/>
      <c r="AN1539" s="77"/>
      <c r="AO1539" s="77"/>
      <c r="AP1539" s="77"/>
      <c r="AQ1539" s="77" t="s">
        <v>14832</v>
      </c>
      <c r="AR1539" s="77"/>
      <c r="AS1539" s="77"/>
      <c r="AT1539" s="77"/>
      <c r="AU1539" s="77"/>
      <c r="AV1539" s="80" t="str">
        <f>HYPERLINK("https://pbs.twimg.com/media/F1vomguWIAkOUZW.jpg")</f>
        <v>https://pbs.twimg.com/media/F1vomguWIAkOUZW.jpg</v>
      </c>
      <c r="AW1539" s="82" t="s">
        <v>18310</v>
      </c>
      <c r="AX1539" s="82" t="s">
        <v>18310</v>
      </c>
      <c r="AY1539" s="77"/>
      <c r="AZ1539" s="82" t="s">
        <v>20971</v>
      </c>
      <c r="BA1539" s="82" t="s">
        <v>20971</v>
      </c>
      <c r="BB1539" s="82" t="s">
        <v>20971</v>
      </c>
      <c r="BC1539" s="82" t="s">
        <v>18310</v>
      </c>
      <c r="BD1539" s="82" t="s">
        <v>21274</v>
      </c>
      <c r="BE1539" s="77"/>
      <c r="BF1539" s="77"/>
      <c r="BG1539" s="77"/>
      <c r="BH1539" s="77"/>
      <c r="BI1539" s="77"/>
    </row>
    <row r="1540" spans="1:61" x14ac:dyDescent="0.25">
      <c r="A1540" s="62" t="s">
        <v>578</v>
      </c>
      <c r="B1540" s="62" t="s">
        <v>578</v>
      </c>
      <c r="C1540" s="63"/>
      <c r="D1540" s="64"/>
      <c r="E1540" s="65"/>
      <c r="F1540" s="66"/>
      <c r="G1540" s="63"/>
      <c r="H1540" s="67"/>
      <c r="I1540" s="68"/>
      <c r="J1540" s="68"/>
      <c r="K1540" s="32"/>
      <c r="L1540" s="75">
        <v>1540</v>
      </c>
      <c r="M1540" s="75"/>
      <c r="N1540" s="70"/>
      <c r="O1540" s="77" t="s">
        <v>1285</v>
      </c>
      <c r="P1540" s="79">
        <v>45130.479224537034</v>
      </c>
      <c r="Q1540" s="77" t="s">
        <v>2782</v>
      </c>
      <c r="R1540" s="77">
        <v>0</v>
      </c>
      <c r="S1540" s="77">
        <v>1</v>
      </c>
      <c r="T1540" s="77">
        <v>1</v>
      </c>
      <c r="U1540" s="77">
        <v>0</v>
      </c>
      <c r="V1540" s="77">
        <v>57</v>
      </c>
      <c r="W1540" s="82" t="s">
        <v>5877</v>
      </c>
      <c r="X1540" s="77"/>
      <c r="Y1540" s="77"/>
      <c r="Z1540" s="77" t="s">
        <v>578</v>
      </c>
      <c r="AA1540" s="77" t="s">
        <v>8189</v>
      </c>
      <c r="AB1540" s="77" t="s">
        <v>10130</v>
      </c>
      <c r="AC1540" s="82" t="s">
        <v>10144</v>
      </c>
      <c r="AD1540" s="77" t="s">
        <v>10184</v>
      </c>
      <c r="AE1540" s="80" t="str">
        <f>HYPERLINK("https://twitter.com/workshopdantas/status/1683077017497919488")</f>
        <v>https://twitter.com/workshopdantas/status/1683077017497919488</v>
      </c>
      <c r="AF1540" s="79">
        <v>45130.479224537034</v>
      </c>
      <c r="AG1540" s="85">
        <v>45130</v>
      </c>
      <c r="AH1540" s="82" t="s">
        <v>11675</v>
      </c>
      <c r="AI1540" s="77" t="b">
        <v>0</v>
      </c>
      <c r="AJ1540" s="77"/>
      <c r="AK1540" s="77"/>
      <c r="AL1540" s="77"/>
      <c r="AM1540" s="77"/>
      <c r="AN1540" s="77"/>
      <c r="AO1540" s="77"/>
      <c r="AP1540" s="77"/>
      <c r="AQ1540" s="77" t="s">
        <v>14833</v>
      </c>
      <c r="AR1540" s="77"/>
      <c r="AS1540" s="77"/>
      <c r="AT1540" s="77"/>
      <c r="AU1540" s="77"/>
      <c r="AV1540" s="80" t="str">
        <f>HYPERLINK("https://pbs.twimg.com/media/F1t9oKRX0AE6DHn.jpg")</f>
        <v>https://pbs.twimg.com/media/F1t9oKRX0AE6DHn.jpg</v>
      </c>
      <c r="AW1540" s="82" t="s">
        <v>18311</v>
      </c>
      <c r="AX1540" s="82" t="s">
        <v>18311</v>
      </c>
      <c r="AY1540" s="77"/>
      <c r="AZ1540" s="82" t="s">
        <v>20971</v>
      </c>
      <c r="BA1540" s="82" t="s">
        <v>20971</v>
      </c>
      <c r="BB1540" s="82" t="s">
        <v>20971</v>
      </c>
      <c r="BC1540" s="82" t="s">
        <v>18311</v>
      </c>
      <c r="BD1540" s="82" t="s">
        <v>21274</v>
      </c>
      <c r="BE1540" s="77"/>
      <c r="BF1540" s="77"/>
      <c r="BG1540" s="77"/>
      <c r="BH1540" s="77"/>
      <c r="BI1540" s="77"/>
    </row>
    <row r="1541" spans="1:61" x14ac:dyDescent="0.25">
      <c r="A1541" s="62" t="s">
        <v>578</v>
      </c>
      <c r="B1541" s="62" t="s">
        <v>578</v>
      </c>
      <c r="C1541" s="63"/>
      <c r="D1541" s="64"/>
      <c r="E1541" s="65"/>
      <c r="F1541" s="66"/>
      <c r="G1541" s="63"/>
      <c r="H1541" s="67"/>
      <c r="I1541" s="68"/>
      <c r="J1541" s="68"/>
      <c r="K1541" s="32"/>
      <c r="L1541" s="75">
        <v>1541</v>
      </c>
      <c r="M1541" s="75"/>
      <c r="N1541" s="70"/>
      <c r="O1541" s="77" t="s">
        <v>1285</v>
      </c>
      <c r="P1541" s="79">
        <v>45096.53334490741</v>
      </c>
      <c r="Q1541" s="77" t="s">
        <v>2783</v>
      </c>
      <c r="R1541" s="77">
        <v>0</v>
      </c>
      <c r="S1541" s="77">
        <v>0</v>
      </c>
      <c r="T1541" s="77">
        <v>0</v>
      </c>
      <c r="U1541" s="77">
        <v>0</v>
      </c>
      <c r="V1541" s="77">
        <v>641</v>
      </c>
      <c r="W1541" s="82" t="s">
        <v>5878</v>
      </c>
      <c r="X1541" s="77"/>
      <c r="Y1541" s="77"/>
      <c r="Z1541" s="77" t="s">
        <v>578</v>
      </c>
      <c r="AA1541" s="77" t="s">
        <v>8190</v>
      </c>
      <c r="AB1541" s="77" t="s">
        <v>10130</v>
      </c>
      <c r="AC1541" s="82" t="s">
        <v>10144</v>
      </c>
      <c r="AD1541" s="77" t="s">
        <v>10184</v>
      </c>
      <c r="AE1541" s="80" t="str">
        <f>HYPERLINK("https://twitter.com/workshopdantas/status/1670775441102184449")</f>
        <v>https://twitter.com/workshopdantas/status/1670775441102184449</v>
      </c>
      <c r="AF1541" s="79">
        <v>45096.53334490741</v>
      </c>
      <c r="AG1541" s="85">
        <v>45096</v>
      </c>
      <c r="AH1541" s="82" t="s">
        <v>11676</v>
      </c>
      <c r="AI1541" s="77" t="b">
        <v>0</v>
      </c>
      <c r="AJ1541" s="77"/>
      <c r="AK1541" s="77"/>
      <c r="AL1541" s="77"/>
      <c r="AM1541" s="77"/>
      <c r="AN1541" s="77"/>
      <c r="AO1541" s="77"/>
      <c r="AP1541" s="77"/>
      <c r="AQ1541" s="77" t="s">
        <v>14834</v>
      </c>
      <c r="AR1541" s="77"/>
      <c r="AS1541" s="77"/>
      <c r="AT1541" s="77"/>
      <c r="AU1541" s="77"/>
      <c r="AV1541" s="80" t="str">
        <f>HYPERLINK("https://pbs.twimg.com/media/Fy_JaLFWcAAWGjX.jpg")</f>
        <v>https://pbs.twimg.com/media/Fy_JaLFWcAAWGjX.jpg</v>
      </c>
      <c r="AW1541" s="82" t="s">
        <v>18312</v>
      </c>
      <c r="AX1541" s="82" t="s">
        <v>18312</v>
      </c>
      <c r="AY1541" s="77"/>
      <c r="AZ1541" s="82" t="s">
        <v>20971</v>
      </c>
      <c r="BA1541" s="82" t="s">
        <v>20971</v>
      </c>
      <c r="BB1541" s="82" t="s">
        <v>20971</v>
      </c>
      <c r="BC1541" s="82" t="s">
        <v>18312</v>
      </c>
      <c r="BD1541" s="82" t="s">
        <v>21274</v>
      </c>
      <c r="BE1541" s="77"/>
      <c r="BF1541" s="77"/>
      <c r="BG1541" s="77"/>
      <c r="BH1541" s="77"/>
      <c r="BI1541" s="77"/>
    </row>
    <row r="1542" spans="1:61" x14ac:dyDescent="0.25">
      <c r="A1542" s="62" t="s">
        <v>578</v>
      </c>
      <c r="B1542" s="62" t="s">
        <v>578</v>
      </c>
      <c r="C1542" s="63"/>
      <c r="D1542" s="64"/>
      <c r="E1542" s="65"/>
      <c r="F1542" s="66"/>
      <c r="G1542" s="63"/>
      <c r="H1542" s="67"/>
      <c r="I1542" s="68"/>
      <c r="J1542" s="68"/>
      <c r="K1542" s="32"/>
      <c r="L1542" s="75">
        <v>1542</v>
      </c>
      <c r="M1542" s="75"/>
      <c r="N1542" s="70"/>
      <c r="O1542" s="77" t="s">
        <v>1285</v>
      </c>
      <c r="P1542" s="79">
        <v>45095.434756944444</v>
      </c>
      <c r="Q1542" s="77" t="s">
        <v>2784</v>
      </c>
      <c r="R1542" s="77">
        <v>0</v>
      </c>
      <c r="S1542" s="77">
        <v>0</v>
      </c>
      <c r="T1542" s="77">
        <v>0</v>
      </c>
      <c r="U1542" s="77">
        <v>0</v>
      </c>
      <c r="V1542" s="77">
        <v>48</v>
      </c>
      <c r="W1542" s="82" t="s">
        <v>5879</v>
      </c>
      <c r="X1542" s="77"/>
      <c r="Y1542" s="77"/>
      <c r="Z1542" s="77" t="s">
        <v>578</v>
      </c>
      <c r="AA1542" s="77" t="s">
        <v>8191</v>
      </c>
      <c r="AB1542" s="77" t="s">
        <v>10130</v>
      </c>
      <c r="AC1542" s="82" t="s">
        <v>10144</v>
      </c>
      <c r="AD1542" s="77" t="s">
        <v>10184</v>
      </c>
      <c r="AE1542" s="80" t="str">
        <f>HYPERLINK("https://twitter.com/workshopdantas/status/1670377326977388546")</f>
        <v>https://twitter.com/workshopdantas/status/1670377326977388546</v>
      </c>
      <c r="AF1542" s="79">
        <v>45095.434756944444</v>
      </c>
      <c r="AG1542" s="85">
        <v>45095</v>
      </c>
      <c r="AH1542" s="82" t="s">
        <v>11677</v>
      </c>
      <c r="AI1542" s="77" t="b">
        <v>0</v>
      </c>
      <c r="AJ1542" s="77"/>
      <c r="AK1542" s="77"/>
      <c r="AL1542" s="77"/>
      <c r="AM1542" s="77"/>
      <c r="AN1542" s="77"/>
      <c r="AO1542" s="77"/>
      <c r="AP1542" s="77"/>
      <c r="AQ1542" s="77" t="s">
        <v>14835</v>
      </c>
      <c r="AR1542" s="77"/>
      <c r="AS1542" s="77"/>
      <c r="AT1542" s="77"/>
      <c r="AU1542" s="77"/>
      <c r="AV1542" s="80" t="str">
        <f>HYPERLINK("https://pbs.twimg.com/media/Fy5fU4nXwAIEtjP.jpg")</f>
        <v>https://pbs.twimg.com/media/Fy5fU4nXwAIEtjP.jpg</v>
      </c>
      <c r="AW1542" s="82" t="s">
        <v>18313</v>
      </c>
      <c r="AX1542" s="82" t="s">
        <v>18313</v>
      </c>
      <c r="AY1542" s="77"/>
      <c r="AZ1542" s="82" t="s">
        <v>20971</v>
      </c>
      <c r="BA1542" s="82" t="s">
        <v>20971</v>
      </c>
      <c r="BB1542" s="82" t="s">
        <v>20971</v>
      </c>
      <c r="BC1542" s="82" t="s">
        <v>18313</v>
      </c>
      <c r="BD1542" s="82" t="s">
        <v>21274</v>
      </c>
      <c r="BE1542" s="77"/>
      <c r="BF1542" s="77"/>
      <c r="BG1542" s="77"/>
      <c r="BH1542" s="77"/>
      <c r="BI1542" s="77"/>
    </row>
    <row r="1543" spans="1:61" x14ac:dyDescent="0.25">
      <c r="A1543" s="62" t="s">
        <v>578</v>
      </c>
      <c r="B1543" s="62" t="s">
        <v>578</v>
      </c>
      <c r="C1543" s="63"/>
      <c r="D1543" s="64"/>
      <c r="E1543" s="65"/>
      <c r="F1543" s="66"/>
      <c r="G1543" s="63"/>
      <c r="H1543" s="67"/>
      <c r="I1543" s="68"/>
      <c r="J1543" s="68"/>
      <c r="K1543" s="32"/>
      <c r="L1543" s="75">
        <v>1543</v>
      </c>
      <c r="M1543" s="75"/>
      <c r="N1543" s="70"/>
      <c r="O1543" s="77" t="s">
        <v>1285</v>
      </c>
      <c r="P1543" s="79">
        <v>45094.748749999999</v>
      </c>
      <c r="Q1543" s="77" t="s">
        <v>2785</v>
      </c>
      <c r="R1543" s="77">
        <v>0</v>
      </c>
      <c r="S1543" s="77">
        <v>0</v>
      </c>
      <c r="T1543" s="77">
        <v>0</v>
      </c>
      <c r="U1543" s="77">
        <v>0</v>
      </c>
      <c r="V1543" s="77">
        <v>55</v>
      </c>
      <c r="W1543" s="82" t="s">
        <v>5880</v>
      </c>
      <c r="X1543" s="77"/>
      <c r="Y1543" s="77"/>
      <c r="Z1543" s="77" t="s">
        <v>578</v>
      </c>
      <c r="AA1543" s="77" t="s">
        <v>8192</v>
      </c>
      <c r="AB1543" s="77" t="s">
        <v>10130</v>
      </c>
      <c r="AC1543" s="82" t="s">
        <v>10144</v>
      </c>
      <c r="AD1543" s="77" t="s">
        <v>10184</v>
      </c>
      <c r="AE1543" s="80" t="str">
        <f>HYPERLINK("https://twitter.com/workshopdantas/status/1670128727974346754")</f>
        <v>https://twitter.com/workshopdantas/status/1670128727974346754</v>
      </c>
      <c r="AF1543" s="79">
        <v>45094.748749999999</v>
      </c>
      <c r="AG1543" s="85">
        <v>45094</v>
      </c>
      <c r="AH1543" s="82" t="s">
        <v>11678</v>
      </c>
      <c r="AI1543" s="77" t="b">
        <v>0</v>
      </c>
      <c r="AJ1543" s="77"/>
      <c r="AK1543" s="77"/>
      <c r="AL1543" s="77"/>
      <c r="AM1543" s="77"/>
      <c r="AN1543" s="77"/>
      <c r="AO1543" s="77"/>
      <c r="AP1543" s="77"/>
      <c r="AQ1543" s="77" t="s">
        <v>14836</v>
      </c>
      <c r="AR1543" s="77"/>
      <c r="AS1543" s="77"/>
      <c r="AT1543" s="77"/>
      <c r="AU1543" s="77"/>
      <c r="AV1543" s="80" t="str">
        <f>HYPERLINK("https://pbs.twimg.com/media/Fy19Oh0XwAEUNxz.jpg")</f>
        <v>https://pbs.twimg.com/media/Fy19Oh0XwAEUNxz.jpg</v>
      </c>
      <c r="AW1543" s="82" t="s">
        <v>18314</v>
      </c>
      <c r="AX1543" s="82" t="s">
        <v>18314</v>
      </c>
      <c r="AY1543" s="77"/>
      <c r="AZ1543" s="82" t="s">
        <v>20971</v>
      </c>
      <c r="BA1543" s="82" t="s">
        <v>20971</v>
      </c>
      <c r="BB1543" s="82" t="s">
        <v>20971</v>
      </c>
      <c r="BC1543" s="82" t="s">
        <v>18314</v>
      </c>
      <c r="BD1543" s="82" t="s">
        <v>21274</v>
      </c>
      <c r="BE1543" s="77"/>
      <c r="BF1543" s="77"/>
      <c r="BG1543" s="77"/>
      <c r="BH1543" s="77"/>
      <c r="BI1543" s="77"/>
    </row>
    <row r="1544" spans="1:61" x14ac:dyDescent="0.25">
      <c r="A1544" s="62" t="s">
        <v>578</v>
      </c>
      <c r="B1544" s="62" t="s">
        <v>578</v>
      </c>
      <c r="C1544" s="63"/>
      <c r="D1544" s="64"/>
      <c r="E1544" s="65"/>
      <c r="F1544" s="66"/>
      <c r="G1544" s="63"/>
      <c r="H1544" s="67"/>
      <c r="I1544" s="68"/>
      <c r="J1544" s="68"/>
      <c r="K1544" s="32"/>
      <c r="L1544" s="75">
        <v>1544</v>
      </c>
      <c r="M1544" s="75"/>
      <c r="N1544" s="70"/>
      <c r="O1544" s="77" t="s">
        <v>1285</v>
      </c>
      <c r="P1544" s="79">
        <v>45150.439062500001</v>
      </c>
      <c r="Q1544" s="77" t="s">
        <v>2786</v>
      </c>
      <c r="R1544" s="77">
        <v>1</v>
      </c>
      <c r="S1544" s="77">
        <v>1</v>
      </c>
      <c r="T1544" s="77">
        <v>0</v>
      </c>
      <c r="U1544" s="77">
        <v>0</v>
      </c>
      <c r="V1544" s="77">
        <v>61</v>
      </c>
      <c r="W1544" s="82" t="s">
        <v>5881</v>
      </c>
      <c r="X1544" s="77"/>
      <c r="Y1544" s="77"/>
      <c r="Z1544" s="77" t="s">
        <v>578</v>
      </c>
      <c r="AA1544" s="77" t="s">
        <v>8193</v>
      </c>
      <c r="AB1544" s="77" t="s">
        <v>10130</v>
      </c>
      <c r="AC1544" s="82" t="s">
        <v>10144</v>
      </c>
      <c r="AD1544" s="77" t="s">
        <v>10184</v>
      </c>
      <c r="AE1544" s="80" t="str">
        <f>HYPERLINK("https://twitter.com/workshopdantas/status/1690310218633060352")</f>
        <v>https://twitter.com/workshopdantas/status/1690310218633060352</v>
      </c>
      <c r="AF1544" s="79">
        <v>45150.439062500001</v>
      </c>
      <c r="AG1544" s="85">
        <v>45150</v>
      </c>
      <c r="AH1544" s="82" t="s">
        <v>11679</v>
      </c>
      <c r="AI1544" s="77" t="b">
        <v>0</v>
      </c>
      <c r="AJ1544" s="77"/>
      <c r="AK1544" s="77"/>
      <c r="AL1544" s="77"/>
      <c r="AM1544" s="77"/>
      <c r="AN1544" s="77"/>
      <c r="AO1544" s="77"/>
      <c r="AP1544" s="77"/>
      <c r="AQ1544" s="77" t="s">
        <v>14837</v>
      </c>
      <c r="AR1544" s="77"/>
      <c r="AS1544" s="77"/>
      <c r="AT1544" s="77"/>
      <c r="AU1544" s="77"/>
      <c r="AV1544" s="80" t="str">
        <f>HYPERLINK("https://pbs.twimg.com/media/F3UwL6kWgAAAQYg.jpg")</f>
        <v>https://pbs.twimg.com/media/F3UwL6kWgAAAQYg.jpg</v>
      </c>
      <c r="AW1544" s="82" t="s">
        <v>18315</v>
      </c>
      <c r="AX1544" s="82" t="s">
        <v>18315</v>
      </c>
      <c r="AY1544" s="77"/>
      <c r="AZ1544" s="82" t="s">
        <v>20971</v>
      </c>
      <c r="BA1544" s="82" t="s">
        <v>20971</v>
      </c>
      <c r="BB1544" s="82" t="s">
        <v>20971</v>
      </c>
      <c r="BC1544" s="82" t="s">
        <v>18315</v>
      </c>
      <c r="BD1544" s="82" t="s">
        <v>21274</v>
      </c>
      <c r="BE1544" s="77"/>
      <c r="BF1544" s="77"/>
      <c r="BG1544" s="77"/>
      <c r="BH1544" s="77"/>
      <c r="BI1544" s="77"/>
    </row>
    <row r="1545" spans="1:61" x14ac:dyDescent="0.25">
      <c r="A1545" s="62" t="s">
        <v>578</v>
      </c>
      <c r="B1545" s="62" t="s">
        <v>578</v>
      </c>
      <c r="C1545" s="63"/>
      <c r="D1545" s="64"/>
      <c r="E1545" s="65"/>
      <c r="F1545" s="66"/>
      <c r="G1545" s="63"/>
      <c r="H1545" s="67"/>
      <c r="I1545" s="68"/>
      <c r="J1545" s="68"/>
      <c r="K1545" s="32"/>
      <c r="L1545" s="75">
        <v>1545</v>
      </c>
      <c r="M1545" s="75"/>
      <c r="N1545" s="70"/>
      <c r="O1545" s="77" t="s">
        <v>1285</v>
      </c>
      <c r="P1545" s="79">
        <v>45149.447430555556</v>
      </c>
      <c r="Q1545" s="77" t="s">
        <v>2787</v>
      </c>
      <c r="R1545" s="77">
        <v>0</v>
      </c>
      <c r="S1545" s="77">
        <v>0</v>
      </c>
      <c r="T1545" s="77">
        <v>0</v>
      </c>
      <c r="U1545" s="77">
        <v>0</v>
      </c>
      <c r="V1545" s="77">
        <v>48</v>
      </c>
      <c r="W1545" s="82" t="s">
        <v>5848</v>
      </c>
      <c r="X1545" s="77"/>
      <c r="Y1545" s="77"/>
      <c r="Z1545" s="77" t="s">
        <v>578</v>
      </c>
      <c r="AA1545" s="77" t="s">
        <v>8194</v>
      </c>
      <c r="AB1545" s="77" t="s">
        <v>10130</v>
      </c>
      <c r="AC1545" s="82" t="s">
        <v>10144</v>
      </c>
      <c r="AD1545" s="77" t="s">
        <v>10184</v>
      </c>
      <c r="AE1545" s="80" t="str">
        <f>HYPERLINK("https://twitter.com/workshopdantas/status/1689950864725692416")</f>
        <v>https://twitter.com/workshopdantas/status/1689950864725692416</v>
      </c>
      <c r="AF1545" s="79">
        <v>45149.447430555556</v>
      </c>
      <c r="AG1545" s="85">
        <v>45149</v>
      </c>
      <c r="AH1545" s="82" t="s">
        <v>11680</v>
      </c>
      <c r="AI1545" s="77" t="b">
        <v>0</v>
      </c>
      <c r="AJ1545" s="77"/>
      <c r="AK1545" s="77"/>
      <c r="AL1545" s="77"/>
      <c r="AM1545" s="77"/>
      <c r="AN1545" s="77"/>
      <c r="AO1545" s="77"/>
      <c r="AP1545" s="77"/>
      <c r="AQ1545" s="77" t="s">
        <v>14838</v>
      </c>
      <c r="AR1545" s="77"/>
      <c r="AS1545" s="77"/>
      <c r="AT1545" s="77"/>
      <c r="AU1545" s="77"/>
      <c r="AV1545" s="80" t="str">
        <f>HYPERLINK("https://pbs.twimg.com/media/F3PpWvdW4AAeNNE.jpg")</f>
        <v>https://pbs.twimg.com/media/F3PpWvdW4AAeNNE.jpg</v>
      </c>
      <c r="AW1545" s="82" t="s">
        <v>18316</v>
      </c>
      <c r="AX1545" s="82" t="s">
        <v>18316</v>
      </c>
      <c r="AY1545" s="77"/>
      <c r="AZ1545" s="82" t="s">
        <v>20971</v>
      </c>
      <c r="BA1545" s="82" t="s">
        <v>20971</v>
      </c>
      <c r="BB1545" s="82" t="s">
        <v>20971</v>
      </c>
      <c r="BC1545" s="82" t="s">
        <v>18316</v>
      </c>
      <c r="BD1545" s="82" t="s">
        <v>21274</v>
      </c>
      <c r="BE1545" s="77"/>
      <c r="BF1545" s="77"/>
      <c r="BG1545" s="77"/>
      <c r="BH1545" s="77"/>
      <c r="BI1545" s="77"/>
    </row>
    <row r="1546" spans="1:61" x14ac:dyDescent="0.25">
      <c r="A1546" s="62" t="s">
        <v>578</v>
      </c>
      <c r="B1546" s="62" t="s">
        <v>578</v>
      </c>
      <c r="C1546" s="63"/>
      <c r="D1546" s="64"/>
      <c r="E1546" s="65"/>
      <c r="F1546" s="66"/>
      <c r="G1546" s="63"/>
      <c r="H1546" s="67"/>
      <c r="I1546" s="68"/>
      <c r="J1546" s="68"/>
      <c r="K1546" s="32"/>
      <c r="L1546" s="75">
        <v>1546</v>
      </c>
      <c r="M1546" s="75"/>
      <c r="N1546" s="70"/>
      <c r="O1546" s="77" t="s">
        <v>1285</v>
      </c>
      <c r="P1546" s="79">
        <v>45140.621574074074</v>
      </c>
      <c r="Q1546" s="77" t="s">
        <v>2788</v>
      </c>
      <c r="R1546" s="77">
        <v>0</v>
      </c>
      <c r="S1546" s="77">
        <v>0</v>
      </c>
      <c r="T1546" s="77">
        <v>0</v>
      </c>
      <c r="U1546" s="77">
        <v>0</v>
      </c>
      <c r="V1546" s="77">
        <v>55</v>
      </c>
      <c r="W1546" s="82" t="s">
        <v>5882</v>
      </c>
      <c r="X1546" s="77"/>
      <c r="Y1546" s="77"/>
      <c r="Z1546" s="77" t="s">
        <v>578</v>
      </c>
      <c r="AA1546" s="77" t="s">
        <v>8195</v>
      </c>
      <c r="AB1546" s="77" t="s">
        <v>10130</v>
      </c>
      <c r="AC1546" s="82" t="s">
        <v>10144</v>
      </c>
      <c r="AD1546" s="77" t="s">
        <v>10184</v>
      </c>
      <c r="AE1546" s="80" t="str">
        <f>HYPERLINK("https://twitter.com/workshopdantas/status/1686752481793994752")</f>
        <v>https://twitter.com/workshopdantas/status/1686752481793994752</v>
      </c>
      <c r="AF1546" s="79">
        <v>45140.621574074074</v>
      </c>
      <c r="AG1546" s="85">
        <v>45140</v>
      </c>
      <c r="AH1546" s="82" t="s">
        <v>11681</v>
      </c>
      <c r="AI1546" s="77" t="b">
        <v>0</v>
      </c>
      <c r="AJ1546" s="77"/>
      <c r="AK1546" s="77"/>
      <c r="AL1546" s="77"/>
      <c r="AM1546" s="77"/>
      <c r="AN1546" s="77"/>
      <c r="AO1546" s="77"/>
      <c r="AP1546" s="77"/>
      <c r="AQ1546" s="77" t="s">
        <v>14839</v>
      </c>
      <c r="AR1546" s="77"/>
      <c r="AS1546" s="77"/>
      <c r="AT1546" s="77"/>
      <c r="AU1546" s="77"/>
      <c r="AV1546" s="80" t="str">
        <f>HYPERLINK("https://pbs.twimg.com/media/F2iMcENW4AE12lX.jpg")</f>
        <v>https://pbs.twimg.com/media/F2iMcENW4AE12lX.jpg</v>
      </c>
      <c r="AW1546" s="82" t="s">
        <v>18317</v>
      </c>
      <c r="AX1546" s="82" t="s">
        <v>18317</v>
      </c>
      <c r="AY1546" s="77"/>
      <c r="AZ1546" s="82" t="s">
        <v>20971</v>
      </c>
      <c r="BA1546" s="82" t="s">
        <v>20971</v>
      </c>
      <c r="BB1546" s="82" t="s">
        <v>20971</v>
      </c>
      <c r="BC1546" s="82" t="s">
        <v>18317</v>
      </c>
      <c r="BD1546" s="82" t="s">
        <v>21274</v>
      </c>
      <c r="BE1546" s="77"/>
      <c r="BF1546" s="77"/>
      <c r="BG1546" s="77"/>
      <c r="BH1546" s="77"/>
      <c r="BI1546" s="77"/>
    </row>
    <row r="1547" spans="1:61" x14ac:dyDescent="0.25">
      <c r="A1547" s="62" t="s">
        <v>578</v>
      </c>
      <c r="B1547" s="62" t="s">
        <v>578</v>
      </c>
      <c r="C1547" s="63"/>
      <c r="D1547" s="64"/>
      <c r="E1547" s="65"/>
      <c r="F1547" s="66"/>
      <c r="G1547" s="63"/>
      <c r="H1547" s="67"/>
      <c r="I1547" s="68"/>
      <c r="J1547" s="68"/>
      <c r="K1547" s="32"/>
      <c r="L1547" s="75">
        <v>1547</v>
      </c>
      <c r="M1547" s="75"/>
      <c r="N1547" s="70"/>
      <c r="O1547" s="77" t="s">
        <v>1285</v>
      </c>
      <c r="P1547" s="79">
        <v>45140.39130787037</v>
      </c>
      <c r="Q1547" s="77" t="s">
        <v>2789</v>
      </c>
      <c r="R1547" s="77">
        <v>0</v>
      </c>
      <c r="S1547" s="77">
        <v>0</v>
      </c>
      <c r="T1547" s="77">
        <v>0</v>
      </c>
      <c r="U1547" s="77">
        <v>0</v>
      </c>
      <c r="V1547" s="77">
        <v>43</v>
      </c>
      <c r="W1547" s="82" t="s">
        <v>5883</v>
      </c>
      <c r="X1547" s="77"/>
      <c r="Y1547" s="77"/>
      <c r="Z1547" s="77" t="s">
        <v>578</v>
      </c>
      <c r="AA1547" s="77" t="s">
        <v>8196</v>
      </c>
      <c r="AB1547" s="77" t="s">
        <v>10130</v>
      </c>
      <c r="AC1547" s="82" t="s">
        <v>10144</v>
      </c>
      <c r="AD1547" s="77" t="s">
        <v>10184</v>
      </c>
      <c r="AE1547" s="80" t="str">
        <f>HYPERLINK("https://twitter.com/workshopdantas/status/1686669033364418560")</f>
        <v>https://twitter.com/workshopdantas/status/1686669033364418560</v>
      </c>
      <c r="AF1547" s="79">
        <v>45140.39130787037</v>
      </c>
      <c r="AG1547" s="85">
        <v>45140</v>
      </c>
      <c r="AH1547" s="82" t="s">
        <v>11682</v>
      </c>
      <c r="AI1547" s="77" t="b">
        <v>0</v>
      </c>
      <c r="AJ1547" s="77"/>
      <c r="AK1547" s="77"/>
      <c r="AL1547" s="77"/>
      <c r="AM1547" s="77"/>
      <c r="AN1547" s="77"/>
      <c r="AO1547" s="77"/>
      <c r="AP1547" s="77"/>
      <c r="AQ1547" s="77" t="s">
        <v>14840</v>
      </c>
      <c r="AR1547" s="77"/>
      <c r="AS1547" s="77"/>
      <c r="AT1547" s="77"/>
      <c r="AU1547" s="77"/>
      <c r="AV1547" s="80" t="str">
        <f>HYPERLINK("https://pbs.twimg.com/media/F2hAjCnXwAAM6pR.jpg")</f>
        <v>https://pbs.twimg.com/media/F2hAjCnXwAAM6pR.jpg</v>
      </c>
      <c r="AW1547" s="82" t="s">
        <v>18318</v>
      </c>
      <c r="AX1547" s="82" t="s">
        <v>18318</v>
      </c>
      <c r="AY1547" s="77"/>
      <c r="AZ1547" s="82" t="s">
        <v>20971</v>
      </c>
      <c r="BA1547" s="82" t="s">
        <v>20971</v>
      </c>
      <c r="BB1547" s="82" t="s">
        <v>20971</v>
      </c>
      <c r="BC1547" s="82" t="s">
        <v>18318</v>
      </c>
      <c r="BD1547" s="82" t="s">
        <v>21274</v>
      </c>
      <c r="BE1547" s="77"/>
      <c r="BF1547" s="77"/>
      <c r="BG1547" s="77"/>
      <c r="BH1547" s="77"/>
      <c r="BI1547" s="77"/>
    </row>
    <row r="1548" spans="1:61" x14ac:dyDescent="0.25">
      <c r="A1548" s="62" t="s">
        <v>578</v>
      </c>
      <c r="B1548" s="62" t="s">
        <v>578</v>
      </c>
      <c r="C1548" s="63"/>
      <c r="D1548" s="64"/>
      <c r="E1548" s="65"/>
      <c r="F1548" s="66"/>
      <c r="G1548" s="63"/>
      <c r="H1548" s="67"/>
      <c r="I1548" s="68"/>
      <c r="J1548" s="68"/>
      <c r="K1548" s="32"/>
      <c r="L1548" s="75">
        <v>1548</v>
      </c>
      <c r="M1548" s="75"/>
      <c r="N1548" s="70"/>
      <c r="O1548" s="77" t="s">
        <v>1285</v>
      </c>
      <c r="P1548" s="79">
        <v>45126.485706018517</v>
      </c>
      <c r="Q1548" s="77" t="s">
        <v>2790</v>
      </c>
      <c r="R1548" s="77">
        <v>0</v>
      </c>
      <c r="S1548" s="77">
        <v>1</v>
      </c>
      <c r="T1548" s="77">
        <v>0</v>
      </c>
      <c r="U1548" s="77">
        <v>0</v>
      </c>
      <c r="V1548" s="77">
        <v>58</v>
      </c>
      <c r="W1548" s="82" t="s">
        <v>5884</v>
      </c>
      <c r="X1548" s="77"/>
      <c r="Y1548" s="77"/>
      <c r="Z1548" s="77" t="s">
        <v>578</v>
      </c>
      <c r="AA1548" s="77" t="s">
        <v>8197</v>
      </c>
      <c r="AB1548" s="77" t="s">
        <v>10130</v>
      </c>
      <c r="AC1548" s="82" t="s">
        <v>10144</v>
      </c>
      <c r="AD1548" s="77" t="s">
        <v>10184</v>
      </c>
      <c r="AE1548" s="80" t="str">
        <f>HYPERLINK("https://twitter.com/workshopdantas/status/1681629814459883520")</f>
        <v>https://twitter.com/workshopdantas/status/1681629814459883520</v>
      </c>
      <c r="AF1548" s="79">
        <v>45126.485706018517</v>
      </c>
      <c r="AG1548" s="85">
        <v>45126</v>
      </c>
      <c r="AH1548" s="82" t="s">
        <v>11683</v>
      </c>
      <c r="AI1548" s="77" t="b">
        <v>0</v>
      </c>
      <c r="AJ1548" s="77"/>
      <c r="AK1548" s="77"/>
      <c r="AL1548" s="77"/>
      <c r="AM1548" s="77"/>
      <c r="AN1548" s="77"/>
      <c r="AO1548" s="77"/>
      <c r="AP1548" s="77"/>
      <c r="AQ1548" s="77" t="s">
        <v>14841</v>
      </c>
      <c r="AR1548" s="77"/>
      <c r="AS1548" s="77"/>
      <c r="AT1548" s="77"/>
      <c r="AU1548" s="77"/>
      <c r="AV1548" s="80" t="str">
        <f>HYPERLINK("https://pbs.twimg.com/media/F1ZZZ27WAAA_Nxe.jpg")</f>
        <v>https://pbs.twimg.com/media/F1ZZZ27WAAA_Nxe.jpg</v>
      </c>
      <c r="AW1548" s="82" t="s">
        <v>18319</v>
      </c>
      <c r="AX1548" s="82" t="s">
        <v>18319</v>
      </c>
      <c r="AY1548" s="77"/>
      <c r="AZ1548" s="82" t="s">
        <v>20971</v>
      </c>
      <c r="BA1548" s="82" t="s">
        <v>20971</v>
      </c>
      <c r="BB1548" s="82" t="s">
        <v>20971</v>
      </c>
      <c r="BC1548" s="82" t="s">
        <v>18319</v>
      </c>
      <c r="BD1548" s="82" t="s">
        <v>21274</v>
      </c>
      <c r="BE1548" s="77"/>
      <c r="BF1548" s="77"/>
      <c r="BG1548" s="77"/>
      <c r="BH1548" s="77"/>
      <c r="BI1548" s="77"/>
    </row>
    <row r="1549" spans="1:61" x14ac:dyDescent="0.25">
      <c r="A1549" s="62" t="s">
        <v>578</v>
      </c>
      <c r="B1549" s="62" t="s">
        <v>578</v>
      </c>
      <c r="C1549" s="63"/>
      <c r="D1549" s="64"/>
      <c r="E1549" s="65"/>
      <c r="F1549" s="66"/>
      <c r="G1549" s="63"/>
      <c r="H1549" s="67"/>
      <c r="I1549" s="68"/>
      <c r="J1549" s="68"/>
      <c r="K1549" s="32"/>
      <c r="L1549" s="75">
        <v>1549</v>
      </c>
      <c r="M1549" s="75"/>
      <c r="N1549" s="70"/>
      <c r="O1549" s="77" t="s">
        <v>1285</v>
      </c>
      <c r="P1549" s="79">
        <v>45121.408101851855</v>
      </c>
      <c r="Q1549" s="77" t="s">
        <v>2791</v>
      </c>
      <c r="R1549" s="77">
        <v>1</v>
      </c>
      <c r="S1549" s="77">
        <v>3</v>
      </c>
      <c r="T1549" s="77">
        <v>1</v>
      </c>
      <c r="U1549" s="77">
        <v>1</v>
      </c>
      <c r="V1549" s="77">
        <v>289</v>
      </c>
      <c r="W1549" s="82" t="s">
        <v>5885</v>
      </c>
      <c r="X1549" s="77"/>
      <c r="Y1549" s="77"/>
      <c r="Z1549" s="77" t="s">
        <v>578</v>
      </c>
      <c r="AA1549" s="77" t="s">
        <v>8198</v>
      </c>
      <c r="AB1549" s="77" t="s">
        <v>10130</v>
      </c>
      <c r="AC1549" s="82" t="s">
        <v>10144</v>
      </c>
      <c r="AD1549" s="77" t="s">
        <v>10184</v>
      </c>
      <c r="AE1549" s="80" t="str">
        <f>HYPERLINK("https://twitter.com/workshopdantas/status/1679789753762193410")</f>
        <v>https://twitter.com/workshopdantas/status/1679789753762193410</v>
      </c>
      <c r="AF1549" s="79">
        <v>45121.408101851855</v>
      </c>
      <c r="AG1549" s="85">
        <v>45121</v>
      </c>
      <c r="AH1549" s="82" t="s">
        <v>11684</v>
      </c>
      <c r="AI1549" s="77" t="b">
        <v>0</v>
      </c>
      <c r="AJ1549" s="77"/>
      <c r="AK1549" s="77"/>
      <c r="AL1549" s="77"/>
      <c r="AM1549" s="77"/>
      <c r="AN1549" s="77"/>
      <c r="AO1549" s="77"/>
      <c r="AP1549" s="77"/>
      <c r="AQ1549" s="77" t="s">
        <v>14842</v>
      </c>
      <c r="AR1549" s="77"/>
      <c r="AS1549" s="77"/>
      <c r="AT1549" s="77"/>
      <c r="AU1549" s="77"/>
      <c r="AV1549" s="80" t="str">
        <f>HYPERLINK("https://pbs.twimg.com/media/F0_P4OVXsAQbkoE.jpg")</f>
        <v>https://pbs.twimg.com/media/F0_P4OVXsAQbkoE.jpg</v>
      </c>
      <c r="AW1549" s="82" t="s">
        <v>18320</v>
      </c>
      <c r="AX1549" s="82" t="s">
        <v>18320</v>
      </c>
      <c r="AY1549" s="77"/>
      <c r="AZ1549" s="82" t="s">
        <v>20971</v>
      </c>
      <c r="BA1549" s="82" t="s">
        <v>20971</v>
      </c>
      <c r="BB1549" s="82" t="s">
        <v>20971</v>
      </c>
      <c r="BC1549" s="82" t="s">
        <v>18320</v>
      </c>
      <c r="BD1549" s="82" t="s">
        <v>21274</v>
      </c>
      <c r="BE1549" s="77"/>
      <c r="BF1549" s="77"/>
      <c r="BG1549" s="77"/>
      <c r="BH1549" s="77"/>
      <c r="BI1549" s="77"/>
    </row>
    <row r="1550" spans="1:61" x14ac:dyDescent="0.25">
      <c r="A1550" s="62" t="s">
        <v>578</v>
      </c>
      <c r="B1550" s="62" t="s">
        <v>578</v>
      </c>
      <c r="C1550" s="63"/>
      <c r="D1550" s="64"/>
      <c r="E1550" s="65"/>
      <c r="F1550" s="66"/>
      <c r="G1550" s="63"/>
      <c r="H1550" s="67"/>
      <c r="I1550" s="68"/>
      <c r="J1550" s="68"/>
      <c r="K1550" s="32"/>
      <c r="L1550" s="75">
        <v>1550</v>
      </c>
      <c r="M1550" s="75"/>
      <c r="N1550" s="70"/>
      <c r="O1550" s="77" t="s">
        <v>1285</v>
      </c>
      <c r="P1550" s="79">
        <v>45106.501655092594</v>
      </c>
      <c r="Q1550" s="77" t="s">
        <v>2792</v>
      </c>
      <c r="R1550" s="77">
        <v>0</v>
      </c>
      <c r="S1550" s="77">
        <v>1</v>
      </c>
      <c r="T1550" s="77">
        <v>0</v>
      </c>
      <c r="U1550" s="77">
        <v>0</v>
      </c>
      <c r="V1550" s="77">
        <v>31</v>
      </c>
      <c r="W1550" s="82" t="s">
        <v>5886</v>
      </c>
      <c r="X1550" s="77"/>
      <c r="Y1550" s="77"/>
      <c r="Z1550" s="77" t="s">
        <v>578</v>
      </c>
      <c r="AA1550" s="77" t="s">
        <v>8199</v>
      </c>
      <c r="AB1550" s="77" t="s">
        <v>10130</v>
      </c>
      <c r="AC1550" s="82" t="s">
        <v>10144</v>
      </c>
      <c r="AD1550" s="77" t="s">
        <v>10184</v>
      </c>
      <c r="AE1550" s="80" t="str">
        <f>HYPERLINK("https://twitter.com/workshopdantas/status/1674387837980999686")</f>
        <v>https://twitter.com/workshopdantas/status/1674387837980999686</v>
      </c>
      <c r="AF1550" s="79">
        <v>45106.501655092594</v>
      </c>
      <c r="AG1550" s="85">
        <v>45106</v>
      </c>
      <c r="AH1550" s="82" t="s">
        <v>11685</v>
      </c>
      <c r="AI1550" s="77" t="b">
        <v>0</v>
      </c>
      <c r="AJ1550" s="77"/>
      <c r="AK1550" s="77"/>
      <c r="AL1550" s="77"/>
      <c r="AM1550" s="77"/>
      <c r="AN1550" s="77"/>
      <c r="AO1550" s="77"/>
      <c r="AP1550" s="77"/>
      <c r="AQ1550" s="77" t="s">
        <v>14843</v>
      </c>
      <c r="AR1550" s="77"/>
      <c r="AS1550" s="77"/>
      <c r="AT1550" s="77"/>
      <c r="AU1550" s="77"/>
      <c r="AV1550" s="80" t="str">
        <f>HYPERLINK("https://pbs.twimg.com/media/Fzye3WCX0AE_wN-.jpg")</f>
        <v>https://pbs.twimg.com/media/Fzye3WCX0AE_wN-.jpg</v>
      </c>
      <c r="AW1550" s="82" t="s">
        <v>18321</v>
      </c>
      <c r="AX1550" s="82" t="s">
        <v>18321</v>
      </c>
      <c r="AY1550" s="77"/>
      <c r="AZ1550" s="82" t="s">
        <v>20971</v>
      </c>
      <c r="BA1550" s="82" t="s">
        <v>20971</v>
      </c>
      <c r="BB1550" s="82" t="s">
        <v>20971</v>
      </c>
      <c r="BC1550" s="82" t="s">
        <v>18321</v>
      </c>
      <c r="BD1550" s="82" t="s">
        <v>21274</v>
      </c>
      <c r="BE1550" s="77"/>
      <c r="BF1550" s="77"/>
      <c r="BG1550" s="77"/>
      <c r="BH1550" s="77"/>
      <c r="BI1550" s="77"/>
    </row>
    <row r="1551" spans="1:61" x14ac:dyDescent="0.25">
      <c r="A1551" s="62" t="s">
        <v>578</v>
      </c>
      <c r="B1551" s="62" t="s">
        <v>578</v>
      </c>
      <c r="C1551" s="63"/>
      <c r="D1551" s="64"/>
      <c r="E1551" s="65"/>
      <c r="F1551" s="66"/>
      <c r="G1551" s="63"/>
      <c r="H1551" s="67"/>
      <c r="I1551" s="68"/>
      <c r="J1551" s="68"/>
      <c r="K1551" s="32"/>
      <c r="L1551" s="75">
        <v>1551</v>
      </c>
      <c r="M1551" s="75"/>
      <c r="N1551" s="70"/>
      <c r="O1551" s="77" t="s">
        <v>1285</v>
      </c>
      <c r="P1551" s="79">
        <v>45105.856134259258</v>
      </c>
      <c r="Q1551" s="77" t="s">
        <v>2793</v>
      </c>
      <c r="R1551" s="77">
        <v>0</v>
      </c>
      <c r="S1551" s="77">
        <v>0</v>
      </c>
      <c r="T1551" s="77">
        <v>0</v>
      </c>
      <c r="U1551" s="77">
        <v>0</v>
      </c>
      <c r="V1551" s="77">
        <v>56</v>
      </c>
      <c r="W1551" s="82" t="s">
        <v>5887</v>
      </c>
      <c r="X1551" s="77"/>
      <c r="Y1551" s="77"/>
      <c r="Z1551" s="77" t="s">
        <v>578</v>
      </c>
      <c r="AA1551" s="77" t="s">
        <v>8200</v>
      </c>
      <c r="AB1551" s="77" t="s">
        <v>10129</v>
      </c>
      <c r="AC1551" s="82" t="s">
        <v>10144</v>
      </c>
      <c r="AD1551" s="77" t="s">
        <v>10184</v>
      </c>
      <c r="AE1551" s="80" t="str">
        <f>HYPERLINK("https://twitter.com/workshopdantas/status/1674153907747008512")</f>
        <v>https://twitter.com/workshopdantas/status/1674153907747008512</v>
      </c>
      <c r="AF1551" s="79">
        <v>45105.856134259258</v>
      </c>
      <c r="AG1551" s="85">
        <v>45105</v>
      </c>
      <c r="AH1551" s="82" t="s">
        <v>11686</v>
      </c>
      <c r="AI1551" s="77" t="b">
        <v>0</v>
      </c>
      <c r="AJ1551" s="77"/>
      <c r="AK1551" s="77"/>
      <c r="AL1551" s="77"/>
      <c r="AM1551" s="77"/>
      <c r="AN1551" s="77"/>
      <c r="AO1551" s="77"/>
      <c r="AP1551" s="77"/>
      <c r="AQ1551" s="77" t="s">
        <v>14844</v>
      </c>
      <c r="AR1551" s="77">
        <v>9833</v>
      </c>
      <c r="AS1551" s="77"/>
      <c r="AT1551" s="77"/>
      <c r="AU1551" s="77"/>
      <c r="AV1551" s="80" t="str">
        <f>HYPERLINK("https://pbs.twimg.com/ext_tw_video_thumb/1674153873194229760/pu/img/JblQkNM2jhDEjpFw.jpg")</f>
        <v>https://pbs.twimg.com/ext_tw_video_thumb/1674153873194229760/pu/img/JblQkNM2jhDEjpFw.jpg</v>
      </c>
      <c r="AW1551" s="82" t="s">
        <v>18322</v>
      </c>
      <c r="AX1551" s="82" t="s">
        <v>18322</v>
      </c>
      <c r="AY1551" s="77"/>
      <c r="AZ1551" s="82" t="s">
        <v>20971</v>
      </c>
      <c r="BA1551" s="82" t="s">
        <v>20971</v>
      </c>
      <c r="BB1551" s="82" t="s">
        <v>20971</v>
      </c>
      <c r="BC1551" s="82" t="s">
        <v>18322</v>
      </c>
      <c r="BD1551" s="82" t="s">
        <v>21274</v>
      </c>
      <c r="BE1551" s="77"/>
      <c r="BF1551" s="77"/>
      <c r="BG1551" s="77"/>
      <c r="BH1551" s="77"/>
      <c r="BI1551" s="77"/>
    </row>
    <row r="1552" spans="1:61" x14ac:dyDescent="0.25">
      <c r="A1552" s="62" t="s">
        <v>578</v>
      </c>
      <c r="B1552" s="62" t="s">
        <v>578</v>
      </c>
      <c r="C1552" s="63"/>
      <c r="D1552" s="64"/>
      <c r="E1552" s="65"/>
      <c r="F1552" s="66"/>
      <c r="G1552" s="63"/>
      <c r="H1552" s="67"/>
      <c r="I1552" s="68"/>
      <c r="J1552" s="68"/>
      <c r="K1552" s="32"/>
      <c r="L1552" s="75">
        <v>1552</v>
      </c>
      <c r="M1552" s="75"/>
      <c r="N1552" s="70"/>
      <c r="O1552" s="77" t="s">
        <v>1285</v>
      </c>
      <c r="P1552" s="79">
        <v>45105.473946759259</v>
      </c>
      <c r="Q1552" s="77" t="s">
        <v>2794</v>
      </c>
      <c r="R1552" s="77">
        <v>0</v>
      </c>
      <c r="S1552" s="77">
        <v>0</v>
      </c>
      <c r="T1552" s="77">
        <v>0</v>
      </c>
      <c r="U1552" s="77">
        <v>0</v>
      </c>
      <c r="V1552" s="77">
        <v>71</v>
      </c>
      <c r="W1552" s="82" t="s">
        <v>5888</v>
      </c>
      <c r="X1552" s="77"/>
      <c r="Y1552" s="77"/>
      <c r="Z1552" s="77" t="s">
        <v>578</v>
      </c>
      <c r="AA1552" s="77" t="s">
        <v>8201</v>
      </c>
      <c r="AB1552" s="77" t="s">
        <v>10130</v>
      </c>
      <c r="AC1552" s="82" t="s">
        <v>10144</v>
      </c>
      <c r="AD1552" s="77" t="s">
        <v>10184</v>
      </c>
      <c r="AE1552" s="80" t="str">
        <f>HYPERLINK("https://twitter.com/workshopdantas/status/1674015405969473537")</f>
        <v>https://twitter.com/workshopdantas/status/1674015405969473537</v>
      </c>
      <c r="AF1552" s="79">
        <v>45105.473946759259</v>
      </c>
      <c r="AG1552" s="85">
        <v>45105</v>
      </c>
      <c r="AH1552" s="82" t="s">
        <v>11687</v>
      </c>
      <c r="AI1552" s="77" t="b">
        <v>0</v>
      </c>
      <c r="AJ1552" s="77"/>
      <c r="AK1552" s="77"/>
      <c r="AL1552" s="77"/>
      <c r="AM1552" s="77"/>
      <c r="AN1552" s="77"/>
      <c r="AO1552" s="77"/>
      <c r="AP1552" s="77"/>
      <c r="AQ1552" s="77" t="s">
        <v>14845</v>
      </c>
      <c r="AR1552" s="77"/>
      <c r="AS1552" s="77"/>
      <c r="AT1552" s="77"/>
      <c r="AU1552" s="77"/>
      <c r="AV1552" s="80" t="str">
        <f>HYPERLINK("https://pbs.twimg.com/media/FztMI9aXoAU9pde.jpg")</f>
        <v>https://pbs.twimg.com/media/FztMI9aXoAU9pde.jpg</v>
      </c>
      <c r="AW1552" s="82" t="s">
        <v>18323</v>
      </c>
      <c r="AX1552" s="82" t="s">
        <v>18323</v>
      </c>
      <c r="AY1552" s="77"/>
      <c r="AZ1552" s="82" t="s">
        <v>20971</v>
      </c>
      <c r="BA1552" s="82" t="s">
        <v>20971</v>
      </c>
      <c r="BB1552" s="82" t="s">
        <v>20971</v>
      </c>
      <c r="BC1552" s="82" t="s">
        <v>18323</v>
      </c>
      <c r="BD1552" s="82" t="s">
        <v>21274</v>
      </c>
      <c r="BE1552" s="77"/>
      <c r="BF1552" s="77"/>
      <c r="BG1552" s="77"/>
      <c r="BH1552" s="77"/>
      <c r="BI1552" s="77"/>
    </row>
    <row r="1553" spans="1:61" x14ac:dyDescent="0.25">
      <c r="A1553" s="62" t="s">
        <v>578</v>
      </c>
      <c r="B1553" s="62" t="s">
        <v>578</v>
      </c>
      <c r="C1553" s="63"/>
      <c r="D1553" s="64"/>
      <c r="E1553" s="65"/>
      <c r="F1553" s="66"/>
      <c r="G1553" s="63"/>
      <c r="H1553" s="67"/>
      <c r="I1553" s="68"/>
      <c r="J1553" s="68"/>
      <c r="K1553" s="32"/>
      <c r="L1553" s="75">
        <v>1553</v>
      </c>
      <c r="M1553" s="75"/>
      <c r="N1553" s="70"/>
      <c r="O1553" s="77" t="s">
        <v>1285</v>
      </c>
      <c r="P1553" s="79">
        <v>45104.499259259261</v>
      </c>
      <c r="Q1553" s="77" t="s">
        <v>2795</v>
      </c>
      <c r="R1553" s="77">
        <v>1</v>
      </c>
      <c r="S1553" s="77">
        <v>2</v>
      </c>
      <c r="T1553" s="77">
        <v>0</v>
      </c>
      <c r="U1553" s="77">
        <v>0</v>
      </c>
      <c r="V1553" s="77">
        <v>47</v>
      </c>
      <c r="W1553" s="82" t="s">
        <v>5889</v>
      </c>
      <c r="X1553" s="77"/>
      <c r="Y1553" s="77"/>
      <c r="Z1553" s="77" t="s">
        <v>578</v>
      </c>
      <c r="AA1553" s="77" t="s">
        <v>8202</v>
      </c>
      <c r="AB1553" s="77" t="s">
        <v>10130</v>
      </c>
      <c r="AC1553" s="82" t="s">
        <v>10144</v>
      </c>
      <c r="AD1553" s="77" t="s">
        <v>10184</v>
      </c>
      <c r="AE1553" s="80" t="str">
        <f>HYPERLINK("https://twitter.com/workshopdantas/status/1673662190556000261")</f>
        <v>https://twitter.com/workshopdantas/status/1673662190556000261</v>
      </c>
      <c r="AF1553" s="79">
        <v>45104.499259259261</v>
      </c>
      <c r="AG1553" s="85">
        <v>45104</v>
      </c>
      <c r="AH1553" s="82" t="s">
        <v>11688</v>
      </c>
      <c r="AI1553" s="77" t="b">
        <v>0</v>
      </c>
      <c r="AJ1553" s="77"/>
      <c r="AK1553" s="77"/>
      <c r="AL1553" s="77"/>
      <c r="AM1553" s="77"/>
      <c r="AN1553" s="77"/>
      <c r="AO1553" s="77"/>
      <c r="AP1553" s="77"/>
      <c r="AQ1553" s="77" t="s">
        <v>14846</v>
      </c>
      <c r="AR1553" s="77"/>
      <c r="AS1553" s="77"/>
      <c r="AT1553" s="77"/>
      <c r="AU1553" s="77"/>
      <c r="AV1553" s="80" t="str">
        <f>HYPERLINK("https://pbs.twimg.com/media/FzoK5EgXwAI7Q1A.jpg")</f>
        <v>https://pbs.twimg.com/media/FzoK5EgXwAI7Q1A.jpg</v>
      </c>
      <c r="AW1553" s="82" t="s">
        <v>18324</v>
      </c>
      <c r="AX1553" s="82" t="s">
        <v>18324</v>
      </c>
      <c r="AY1553" s="77"/>
      <c r="AZ1553" s="82" t="s">
        <v>20971</v>
      </c>
      <c r="BA1553" s="82" t="s">
        <v>20971</v>
      </c>
      <c r="BB1553" s="82" t="s">
        <v>20971</v>
      </c>
      <c r="BC1553" s="82" t="s">
        <v>18324</v>
      </c>
      <c r="BD1553" s="82" t="s">
        <v>21274</v>
      </c>
      <c r="BE1553" s="77"/>
      <c r="BF1553" s="77"/>
      <c r="BG1553" s="77"/>
      <c r="BH1553" s="77"/>
      <c r="BI1553" s="77"/>
    </row>
    <row r="1554" spans="1:61" x14ac:dyDescent="0.25">
      <c r="A1554" s="62" t="s">
        <v>578</v>
      </c>
      <c r="B1554" s="62" t="s">
        <v>578</v>
      </c>
      <c r="C1554" s="63"/>
      <c r="D1554" s="64"/>
      <c r="E1554" s="65"/>
      <c r="F1554" s="66"/>
      <c r="G1554" s="63"/>
      <c r="H1554" s="67"/>
      <c r="I1554" s="68"/>
      <c r="J1554" s="68"/>
      <c r="K1554" s="32"/>
      <c r="L1554" s="75">
        <v>1554</v>
      </c>
      <c r="M1554" s="75"/>
      <c r="N1554" s="70"/>
      <c r="O1554" s="77" t="s">
        <v>1285</v>
      </c>
      <c r="P1554" s="79">
        <v>45104.062638888892</v>
      </c>
      <c r="Q1554" s="77" t="s">
        <v>2796</v>
      </c>
      <c r="R1554" s="77">
        <v>0</v>
      </c>
      <c r="S1554" s="77">
        <v>2</v>
      </c>
      <c r="T1554" s="77">
        <v>0</v>
      </c>
      <c r="U1554" s="77">
        <v>1</v>
      </c>
      <c r="V1554" s="77">
        <v>1192</v>
      </c>
      <c r="W1554" s="82" t="s">
        <v>5890</v>
      </c>
      <c r="X1554" s="77"/>
      <c r="Y1554" s="77"/>
      <c r="Z1554" s="77" t="s">
        <v>578</v>
      </c>
      <c r="AA1554" s="77" t="s">
        <v>8203</v>
      </c>
      <c r="AB1554" s="77" t="s">
        <v>10130</v>
      </c>
      <c r="AC1554" s="82" t="s">
        <v>10144</v>
      </c>
      <c r="AD1554" s="77" t="s">
        <v>10184</v>
      </c>
      <c r="AE1554" s="80" t="str">
        <f>HYPERLINK("https://twitter.com/workshopdantas/status/1673503966548619264")</f>
        <v>https://twitter.com/workshopdantas/status/1673503966548619264</v>
      </c>
      <c r="AF1554" s="79">
        <v>45104.062638888892</v>
      </c>
      <c r="AG1554" s="85">
        <v>45104</v>
      </c>
      <c r="AH1554" s="82" t="s">
        <v>11689</v>
      </c>
      <c r="AI1554" s="77" t="b">
        <v>0</v>
      </c>
      <c r="AJ1554" s="77"/>
      <c r="AK1554" s="77"/>
      <c r="AL1554" s="77"/>
      <c r="AM1554" s="77"/>
      <c r="AN1554" s="77"/>
      <c r="AO1554" s="77"/>
      <c r="AP1554" s="77"/>
      <c r="AQ1554" s="77" t="s">
        <v>14847</v>
      </c>
      <c r="AR1554" s="77"/>
      <c r="AS1554" s="77"/>
      <c r="AT1554" s="77"/>
      <c r="AU1554" s="77"/>
      <c r="AV1554" s="80" t="str">
        <f>HYPERLINK("https://pbs.twimg.com/media/Fzl6-4UWcAAWWqo.jpg")</f>
        <v>https://pbs.twimg.com/media/Fzl6-4UWcAAWWqo.jpg</v>
      </c>
      <c r="AW1554" s="82" t="s">
        <v>18325</v>
      </c>
      <c r="AX1554" s="82" t="s">
        <v>18325</v>
      </c>
      <c r="AY1554" s="77"/>
      <c r="AZ1554" s="82" t="s">
        <v>20971</v>
      </c>
      <c r="BA1554" s="82" t="s">
        <v>20971</v>
      </c>
      <c r="BB1554" s="82" t="s">
        <v>20971</v>
      </c>
      <c r="BC1554" s="82" t="s">
        <v>18325</v>
      </c>
      <c r="BD1554" s="82" t="s">
        <v>21274</v>
      </c>
      <c r="BE1554" s="77"/>
      <c r="BF1554" s="77"/>
      <c r="BG1554" s="77"/>
      <c r="BH1554" s="77"/>
      <c r="BI1554" s="77"/>
    </row>
    <row r="1555" spans="1:61" x14ac:dyDescent="0.25">
      <c r="A1555" s="62" t="s">
        <v>578</v>
      </c>
      <c r="B1555" s="62" t="s">
        <v>578</v>
      </c>
      <c r="C1555" s="63"/>
      <c r="D1555" s="64"/>
      <c r="E1555" s="65"/>
      <c r="F1555" s="66"/>
      <c r="G1555" s="63"/>
      <c r="H1555" s="67"/>
      <c r="I1555" s="68"/>
      <c r="J1555" s="68"/>
      <c r="K1555" s="32"/>
      <c r="L1555" s="75">
        <v>1555</v>
      </c>
      <c r="M1555" s="75"/>
      <c r="N1555" s="70"/>
      <c r="O1555" s="77" t="s">
        <v>1285</v>
      </c>
      <c r="P1555" s="79">
        <v>45103.489027777781</v>
      </c>
      <c r="Q1555" s="77" t="s">
        <v>2797</v>
      </c>
      <c r="R1555" s="77">
        <v>0</v>
      </c>
      <c r="S1555" s="77">
        <v>0</v>
      </c>
      <c r="T1555" s="77">
        <v>0</v>
      </c>
      <c r="U1555" s="77">
        <v>0</v>
      </c>
      <c r="V1555" s="77">
        <v>96</v>
      </c>
      <c r="W1555" s="82" t="s">
        <v>5891</v>
      </c>
      <c r="X1555" s="77"/>
      <c r="Y1555" s="77"/>
      <c r="Z1555" s="77" t="s">
        <v>578</v>
      </c>
      <c r="AA1555" s="77" t="s">
        <v>8204</v>
      </c>
      <c r="AB1555" s="77" t="s">
        <v>10130</v>
      </c>
      <c r="AC1555" s="82" t="s">
        <v>10144</v>
      </c>
      <c r="AD1555" s="77" t="s">
        <v>10184</v>
      </c>
      <c r="AE1555" s="80" t="str">
        <f>HYPERLINK("https://twitter.com/workshopdantas/status/1673296097576361989")</f>
        <v>https://twitter.com/workshopdantas/status/1673296097576361989</v>
      </c>
      <c r="AF1555" s="79">
        <v>45103.489027777781</v>
      </c>
      <c r="AG1555" s="85">
        <v>45103</v>
      </c>
      <c r="AH1555" s="82" t="s">
        <v>11690</v>
      </c>
      <c r="AI1555" s="77" t="b">
        <v>0</v>
      </c>
      <c r="AJ1555" s="77"/>
      <c r="AK1555" s="77"/>
      <c r="AL1555" s="77"/>
      <c r="AM1555" s="77"/>
      <c r="AN1555" s="77"/>
      <c r="AO1555" s="77"/>
      <c r="AP1555" s="77"/>
      <c r="AQ1555" s="77" t="s">
        <v>14848</v>
      </c>
      <c r="AR1555" s="77"/>
      <c r="AS1555" s="77"/>
      <c r="AT1555" s="77"/>
      <c r="AU1555" s="77"/>
      <c r="AV1555" s="80" t="str">
        <f>HYPERLINK("https://pbs.twimg.com/media/Fzi97ssXoAExEo1.jpg")</f>
        <v>https://pbs.twimg.com/media/Fzi97ssXoAExEo1.jpg</v>
      </c>
      <c r="AW1555" s="82" t="s">
        <v>18326</v>
      </c>
      <c r="AX1555" s="82" t="s">
        <v>18326</v>
      </c>
      <c r="AY1555" s="77"/>
      <c r="AZ1555" s="82" t="s">
        <v>20971</v>
      </c>
      <c r="BA1555" s="82" t="s">
        <v>20971</v>
      </c>
      <c r="BB1555" s="82" t="s">
        <v>20971</v>
      </c>
      <c r="BC1555" s="82" t="s">
        <v>18326</v>
      </c>
      <c r="BD1555" s="82" t="s">
        <v>21274</v>
      </c>
      <c r="BE1555" s="77"/>
      <c r="BF1555" s="77"/>
      <c r="BG1555" s="77"/>
      <c r="BH1555" s="77"/>
      <c r="BI1555" s="77"/>
    </row>
    <row r="1556" spans="1:61" x14ac:dyDescent="0.25">
      <c r="A1556" s="62" t="s">
        <v>578</v>
      </c>
      <c r="B1556" s="62" t="s">
        <v>578</v>
      </c>
      <c r="C1556" s="63"/>
      <c r="D1556" s="64"/>
      <c r="E1556" s="65"/>
      <c r="F1556" s="66"/>
      <c r="G1556" s="63"/>
      <c r="H1556" s="67"/>
      <c r="I1556" s="68"/>
      <c r="J1556" s="68"/>
      <c r="K1556" s="32"/>
      <c r="L1556" s="75">
        <v>1556</v>
      </c>
      <c r="M1556" s="75"/>
      <c r="N1556" s="70"/>
      <c r="O1556" s="77" t="s">
        <v>1285</v>
      </c>
      <c r="P1556" s="79">
        <v>45155.472708333335</v>
      </c>
      <c r="Q1556" s="77" t="s">
        <v>2798</v>
      </c>
      <c r="R1556" s="77">
        <v>0</v>
      </c>
      <c r="S1556" s="77">
        <v>0</v>
      </c>
      <c r="T1556" s="77">
        <v>0</v>
      </c>
      <c r="U1556" s="77">
        <v>0</v>
      </c>
      <c r="V1556" s="77">
        <v>118</v>
      </c>
      <c r="W1556" s="82" t="s">
        <v>5892</v>
      </c>
      <c r="X1556" s="77"/>
      <c r="Y1556" s="77"/>
      <c r="Z1556" s="77" t="s">
        <v>578</v>
      </c>
      <c r="AA1556" s="77" t="s">
        <v>8205</v>
      </c>
      <c r="AB1556" s="77" t="s">
        <v>10130</v>
      </c>
      <c r="AC1556" s="82" t="s">
        <v>10144</v>
      </c>
      <c r="AD1556" s="77" t="s">
        <v>10184</v>
      </c>
      <c r="AE1556" s="80" t="str">
        <f>HYPERLINK("https://twitter.com/workshopdantas/status/1692134352119894211")</f>
        <v>https://twitter.com/workshopdantas/status/1692134352119894211</v>
      </c>
      <c r="AF1556" s="79">
        <v>45155.472708333335</v>
      </c>
      <c r="AG1556" s="85">
        <v>45155</v>
      </c>
      <c r="AH1556" s="82" t="s">
        <v>11691</v>
      </c>
      <c r="AI1556" s="77" t="b">
        <v>0</v>
      </c>
      <c r="AJ1556" s="77"/>
      <c r="AK1556" s="77"/>
      <c r="AL1556" s="77"/>
      <c r="AM1556" s="77"/>
      <c r="AN1556" s="77"/>
      <c r="AO1556" s="77"/>
      <c r="AP1556" s="77"/>
      <c r="AQ1556" s="77" t="s">
        <v>14849</v>
      </c>
      <c r="AR1556" s="77"/>
      <c r="AS1556" s="77"/>
      <c r="AT1556" s="77"/>
      <c r="AU1556" s="77"/>
      <c r="AV1556" s="80" t="str">
        <f>HYPERLINK("https://pbs.twimg.com/media/F3urOcmW8AAv6ne.jpg")</f>
        <v>https://pbs.twimg.com/media/F3urOcmW8AAv6ne.jpg</v>
      </c>
      <c r="AW1556" s="82" t="s">
        <v>18327</v>
      </c>
      <c r="AX1556" s="82" t="s">
        <v>18327</v>
      </c>
      <c r="AY1556" s="77"/>
      <c r="AZ1556" s="82" t="s">
        <v>20971</v>
      </c>
      <c r="BA1556" s="82" t="s">
        <v>20971</v>
      </c>
      <c r="BB1556" s="82" t="s">
        <v>20971</v>
      </c>
      <c r="BC1556" s="82" t="s">
        <v>18327</v>
      </c>
      <c r="BD1556" s="82" t="s">
        <v>21274</v>
      </c>
      <c r="BE1556" s="77"/>
      <c r="BF1556" s="77"/>
      <c r="BG1556" s="77"/>
      <c r="BH1556" s="77"/>
      <c r="BI1556" s="77"/>
    </row>
    <row r="1557" spans="1:61" x14ac:dyDescent="0.25">
      <c r="A1557" s="62" t="s">
        <v>578</v>
      </c>
      <c r="B1557" s="62" t="s">
        <v>578</v>
      </c>
      <c r="C1557" s="63"/>
      <c r="D1557" s="64"/>
      <c r="E1557" s="65"/>
      <c r="F1557" s="66"/>
      <c r="G1557" s="63"/>
      <c r="H1557" s="67"/>
      <c r="I1557" s="68"/>
      <c r="J1557" s="68"/>
      <c r="K1557" s="32"/>
      <c r="L1557" s="75">
        <v>1557</v>
      </c>
      <c r="M1557" s="75"/>
      <c r="N1557" s="70"/>
      <c r="O1557" s="77" t="s">
        <v>1285</v>
      </c>
      <c r="P1557" s="79">
        <v>45153.883263888885</v>
      </c>
      <c r="Q1557" s="77" t="s">
        <v>2799</v>
      </c>
      <c r="R1557" s="77">
        <v>0</v>
      </c>
      <c r="S1557" s="77">
        <v>0</v>
      </c>
      <c r="T1557" s="77">
        <v>1</v>
      </c>
      <c r="U1557" s="77">
        <v>0</v>
      </c>
      <c r="V1557" s="77">
        <v>72</v>
      </c>
      <c r="W1557" s="82" t="s">
        <v>5893</v>
      </c>
      <c r="X1557" s="77"/>
      <c r="Y1557" s="77"/>
      <c r="Z1557" s="77" t="s">
        <v>578</v>
      </c>
      <c r="AA1557" s="77" t="s">
        <v>8206</v>
      </c>
      <c r="AB1557" s="77" t="s">
        <v>10130</v>
      </c>
      <c r="AC1557" s="82" t="s">
        <v>10144</v>
      </c>
      <c r="AD1557" s="77" t="s">
        <v>10184</v>
      </c>
      <c r="AE1557" s="80" t="str">
        <f>HYPERLINK("https://twitter.com/workshopdantas/status/1691558358115865079")</f>
        <v>https://twitter.com/workshopdantas/status/1691558358115865079</v>
      </c>
      <c r="AF1557" s="79">
        <v>45153.883263888885</v>
      </c>
      <c r="AG1557" s="85">
        <v>45153</v>
      </c>
      <c r="AH1557" s="82" t="s">
        <v>11692</v>
      </c>
      <c r="AI1557" s="77" t="b">
        <v>0</v>
      </c>
      <c r="AJ1557" s="77"/>
      <c r="AK1557" s="77"/>
      <c r="AL1557" s="77"/>
      <c r="AM1557" s="77"/>
      <c r="AN1557" s="77"/>
      <c r="AO1557" s="77"/>
      <c r="AP1557" s="77"/>
      <c r="AQ1557" s="77" t="s">
        <v>14850</v>
      </c>
      <c r="AR1557" s="77"/>
      <c r="AS1557" s="77"/>
      <c r="AT1557" s="77"/>
      <c r="AU1557" s="77"/>
      <c r="AV1557" s="80" t="str">
        <f>HYPERLINK("https://pbs.twimg.com/media/F3mfXLPXsAEEL6x.jpg")</f>
        <v>https://pbs.twimg.com/media/F3mfXLPXsAEEL6x.jpg</v>
      </c>
      <c r="AW1557" s="82" t="s">
        <v>18328</v>
      </c>
      <c r="AX1557" s="82" t="s">
        <v>18328</v>
      </c>
      <c r="AY1557" s="77"/>
      <c r="AZ1557" s="82" t="s">
        <v>20971</v>
      </c>
      <c r="BA1557" s="82" t="s">
        <v>20971</v>
      </c>
      <c r="BB1557" s="82" t="s">
        <v>20971</v>
      </c>
      <c r="BC1557" s="82" t="s">
        <v>18328</v>
      </c>
      <c r="BD1557" s="82" t="s">
        <v>21274</v>
      </c>
      <c r="BE1557" s="77"/>
      <c r="BF1557" s="77"/>
      <c r="BG1557" s="77"/>
      <c r="BH1557" s="77"/>
      <c r="BI1557" s="77"/>
    </row>
    <row r="1558" spans="1:61" x14ac:dyDescent="0.25">
      <c r="A1558" s="62" t="s">
        <v>578</v>
      </c>
      <c r="B1558" s="62" t="s">
        <v>578</v>
      </c>
      <c r="C1558" s="63"/>
      <c r="D1558" s="64"/>
      <c r="E1558" s="65"/>
      <c r="F1558" s="66"/>
      <c r="G1558" s="63"/>
      <c r="H1558" s="67"/>
      <c r="I1558" s="68"/>
      <c r="J1558" s="68"/>
      <c r="K1558" s="32"/>
      <c r="L1558" s="75">
        <v>1558</v>
      </c>
      <c r="M1558" s="75"/>
      <c r="N1558" s="70"/>
      <c r="O1558" s="77" t="s">
        <v>1285</v>
      </c>
      <c r="P1558" s="79">
        <v>45148.500833333332</v>
      </c>
      <c r="Q1558" s="77" t="s">
        <v>2800</v>
      </c>
      <c r="R1558" s="77">
        <v>0</v>
      </c>
      <c r="S1558" s="77">
        <v>0</v>
      </c>
      <c r="T1558" s="77">
        <v>0</v>
      </c>
      <c r="U1558" s="77">
        <v>0</v>
      </c>
      <c r="V1558" s="77">
        <v>43</v>
      </c>
      <c r="W1558" s="82" t="s">
        <v>5848</v>
      </c>
      <c r="X1558" s="77"/>
      <c r="Y1558" s="77"/>
      <c r="Z1558" s="77" t="s">
        <v>578</v>
      </c>
      <c r="AA1558" s="77" t="s">
        <v>8207</v>
      </c>
      <c r="AB1558" s="77" t="s">
        <v>10130</v>
      </c>
      <c r="AC1558" s="82" t="s">
        <v>10144</v>
      </c>
      <c r="AD1558" s="77" t="s">
        <v>10184</v>
      </c>
      <c r="AE1558" s="80" t="str">
        <f>HYPERLINK("https://twitter.com/workshopdantas/status/1689607828128792576")</f>
        <v>https://twitter.com/workshopdantas/status/1689607828128792576</v>
      </c>
      <c r="AF1558" s="79">
        <v>45148.500833333332</v>
      </c>
      <c r="AG1558" s="85">
        <v>45148</v>
      </c>
      <c r="AH1558" s="82" t="s">
        <v>11693</v>
      </c>
      <c r="AI1558" s="77" t="b">
        <v>0</v>
      </c>
      <c r="AJ1558" s="77"/>
      <c r="AK1558" s="77"/>
      <c r="AL1558" s="77"/>
      <c r="AM1558" s="77"/>
      <c r="AN1558" s="77"/>
      <c r="AO1558" s="77"/>
      <c r="AP1558" s="77"/>
      <c r="AQ1558" s="77" t="s">
        <v>14851</v>
      </c>
      <c r="AR1558" s="77"/>
      <c r="AS1558" s="77"/>
      <c r="AT1558" s="77"/>
      <c r="AU1558" s="77"/>
      <c r="AV1558" s="80" t="str">
        <f>HYPERLINK("https://pbs.twimg.com/media/F3KxXYuWYAEAa0A.jpg")</f>
        <v>https://pbs.twimg.com/media/F3KxXYuWYAEAa0A.jpg</v>
      </c>
      <c r="AW1558" s="82" t="s">
        <v>18329</v>
      </c>
      <c r="AX1558" s="82" t="s">
        <v>18329</v>
      </c>
      <c r="AY1558" s="77"/>
      <c r="AZ1558" s="82" t="s">
        <v>20971</v>
      </c>
      <c r="BA1558" s="82" t="s">
        <v>20971</v>
      </c>
      <c r="BB1558" s="82" t="s">
        <v>20971</v>
      </c>
      <c r="BC1558" s="82" t="s">
        <v>18329</v>
      </c>
      <c r="BD1558" s="82" t="s">
        <v>21274</v>
      </c>
      <c r="BE1558" s="77"/>
      <c r="BF1558" s="77"/>
      <c r="BG1558" s="77"/>
      <c r="BH1558" s="77"/>
      <c r="BI1558" s="77"/>
    </row>
    <row r="1559" spans="1:61" x14ac:dyDescent="0.25">
      <c r="A1559" s="62" t="s">
        <v>578</v>
      </c>
      <c r="B1559" s="62" t="s">
        <v>578</v>
      </c>
      <c r="C1559" s="63"/>
      <c r="D1559" s="64"/>
      <c r="E1559" s="65"/>
      <c r="F1559" s="66"/>
      <c r="G1559" s="63"/>
      <c r="H1559" s="67"/>
      <c r="I1559" s="68"/>
      <c r="J1559" s="68"/>
      <c r="K1559" s="32"/>
      <c r="L1559" s="75">
        <v>1559</v>
      </c>
      <c r="M1559" s="75"/>
      <c r="N1559" s="70"/>
      <c r="O1559" s="77" t="s">
        <v>1285</v>
      </c>
      <c r="P1559" s="79">
        <v>45147.673136574071</v>
      </c>
      <c r="Q1559" s="77" t="s">
        <v>2801</v>
      </c>
      <c r="R1559" s="77">
        <v>0</v>
      </c>
      <c r="S1559" s="77">
        <v>0</v>
      </c>
      <c r="T1559" s="77">
        <v>0</v>
      </c>
      <c r="U1559" s="77">
        <v>0</v>
      </c>
      <c r="V1559" s="77">
        <v>38</v>
      </c>
      <c r="W1559" s="82" t="s">
        <v>5848</v>
      </c>
      <c r="X1559" s="77"/>
      <c r="Y1559" s="77"/>
      <c r="Z1559" s="77" t="s">
        <v>578</v>
      </c>
      <c r="AA1559" s="77" t="s">
        <v>8208</v>
      </c>
      <c r="AB1559" s="77" t="s">
        <v>10130</v>
      </c>
      <c r="AC1559" s="82" t="s">
        <v>10144</v>
      </c>
      <c r="AD1559" s="77" t="s">
        <v>10184</v>
      </c>
      <c r="AE1559" s="80" t="str">
        <f>HYPERLINK("https://twitter.com/workshopdantas/status/1689307883454820353")</f>
        <v>https://twitter.com/workshopdantas/status/1689307883454820353</v>
      </c>
      <c r="AF1559" s="79">
        <v>45147.673136574071</v>
      </c>
      <c r="AG1559" s="85">
        <v>45147</v>
      </c>
      <c r="AH1559" s="82" t="s">
        <v>11694</v>
      </c>
      <c r="AI1559" s="77" t="b">
        <v>0</v>
      </c>
      <c r="AJ1559" s="77"/>
      <c r="AK1559" s="77"/>
      <c r="AL1559" s="77"/>
      <c r="AM1559" s="77"/>
      <c r="AN1559" s="77"/>
      <c r="AO1559" s="77"/>
      <c r="AP1559" s="77"/>
      <c r="AQ1559" s="77" t="s">
        <v>14852</v>
      </c>
      <c r="AR1559" s="77"/>
      <c r="AS1559" s="77"/>
      <c r="AT1559" s="77"/>
      <c r="AU1559" s="77"/>
      <c r="AV1559" s="80" t="str">
        <f>HYPERLINK("https://pbs.twimg.com/media/F3GgkWGXQAAI-1T.jpg")</f>
        <v>https://pbs.twimg.com/media/F3GgkWGXQAAI-1T.jpg</v>
      </c>
      <c r="AW1559" s="82" t="s">
        <v>18330</v>
      </c>
      <c r="AX1559" s="82" t="s">
        <v>18330</v>
      </c>
      <c r="AY1559" s="77"/>
      <c r="AZ1559" s="82" t="s">
        <v>20971</v>
      </c>
      <c r="BA1559" s="82" t="s">
        <v>20971</v>
      </c>
      <c r="BB1559" s="82" t="s">
        <v>20971</v>
      </c>
      <c r="BC1559" s="82" t="s">
        <v>18330</v>
      </c>
      <c r="BD1559" s="82" t="s">
        <v>21274</v>
      </c>
      <c r="BE1559" s="77"/>
      <c r="BF1559" s="77"/>
      <c r="BG1559" s="77"/>
      <c r="BH1559" s="77"/>
      <c r="BI1559" s="77"/>
    </row>
    <row r="1560" spans="1:61" x14ac:dyDescent="0.25">
      <c r="A1560" s="62" t="s">
        <v>578</v>
      </c>
      <c r="B1560" s="62" t="s">
        <v>578</v>
      </c>
      <c r="C1560" s="63"/>
      <c r="D1560" s="64"/>
      <c r="E1560" s="65"/>
      <c r="F1560" s="66"/>
      <c r="G1560" s="63"/>
      <c r="H1560" s="67"/>
      <c r="I1560" s="68"/>
      <c r="J1560" s="68"/>
      <c r="K1560" s="32"/>
      <c r="L1560" s="75">
        <v>1560</v>
      </c>
      <c r="M1560" s="75"/>
      <c r="N1560" s="70"/>
      <c r="O1560" s="77" t="s">
        <v>1285</v>
      </c>
      <c r="P1560" s="79">
        <v>45146.495069444441</v>
      </c>
      <c r="Q1560" s="77" t="s">
        <v>2802</v>
      </c>
      <c r="R1560" s="77">
        <v>1</v>
      </c>
      <c r="S1560" s="77">
        <v>0</v>
      </c>
      <c r="T1560" s="77">
        <v>1</v>
      </c>
      <c r="U1560" s="77">
        <v>0</v>
      </c>
      <c r="V1560" s="77">
        <v>87</v>
      </c>
      <c r="W1560" s="82" t="s">
        <v>5894</v>
      </c>
      <c r="X1560" s="77"/>
      <c r="Y1560" s="77"/>
      <c r="Z1560" s="77" t="s">
        <v>578</v>
      </c>
      <c r="AA1560" s="77" t="s">
        <v>8209</v>
      </c>
      <c r="AB1560" s="77" t="s">
        <v>10130</v>
      </c>
      <c r="AC1560" s="82" t="s">
        <v>10144</v>
      </c>
      <c r="AD1560" s="77" t="s">
        <v>10184</v>
      </c>
      <c r="AE1560" s="80" t="str">
        <f>HYPERLINK("https://twitter.com/workshopdantas/status/1688880965605572610")</f>
        <v>https://twitter.com/workshopdantas/status/1688880965605572610</v>
      </c>
      <c r="AF1560" s="79">
        <v>45146.495069444441</v>
      </c>
      <c r="AG1560" s="85">
        <v>45146</v>
      </c>
      <c r="AH1560" s="82" t="s">
        <v>11695</v>
      </c>
      <c r="AI1560" s="77" t="b">
        <v>0</v>
      </c>
      <c r="AJ1560" s="77"/>
      <c r="AK1560" s="77"/>
      <c r="AL1560" s="77"/>
      <c r="AM1560" s="77"/>
      <c r="AN1560" s="77"/>
      <c r="AO1560" s="77"/>
      <c r="AP1560" s="77"/>
      <c r="AQ1560" s="77" t="s">
        <v>14853</v>
      </c>
      <c r="AR1560" s="77"/>
      <c r="AS1560" s="77"/>
      <c r="AT1560" s="77"/>
      <c r="AU1560" s="77"/>
      <c r="AV1560" s="80" t="str">
        <f>HYPERLINK("https://pbs.twimg.com/media/F3AcSdrXEAAZwWO.jpg")</f>
        <v>https://pbs.twimg.com/media/F3AcSdrXEAAZwWO.jpg</v>
      </c>
      <c r="AW1560" s="82" t="s">
        <v>18331</v>
      </c>
      <c r="AX1560" s="82" t="s">
        <v>18331</v>
      </c>
      <c r="AY1560" s="77"/>
      <c r="AZ1560" s="82" t="s">
        <v>20971</v>
      </c>
      <c r="BA1560" s="82" t="s">
        <v>20971</v>
      </c>
      <c r="BB1560" s="82" t="s">
        <v>20971</v>
      </c>
      <c r="BC1560" s="82" t="s">
        <v>18331</v>
      </c>
      <c r="BD1560" s="82" t="s">
        <v>21274</v>
      </c>
      <c r="BE1560" s="77"/>
      <c r="BF1560" s="77"/>
      <c r="BG1560" s="77"/>
      <c r="BH1560" s="77"/>
      <c r="BI1560" s="77"/>
    </row>
    <row r="1561" spans="1:61" x14ac:dyDescent="0.25">
      <c r="A1561" s="62" t="s">
        <v>578</v>
      </c>
      <c r="B1561" s="62" t="s">
        <v>578</v>
      </c>
      <c r="C1561" s="63"/>
      <c r="D1561" s="64"/>
      <c r="E1561" s="65"/>
      <c r="F1561" s="66"/>
      <c r="G1561" s="63"/>
      <c r="H1561" s="67"/>
      <c r="I1561" s="68"/>
      <c r="J1561" s="68"/>
      <c r="K1561" s="32"/>
      <c r="L1561" s="75">
        <v>1561</v>
      </c>
      <c r="M1561" s="75"/>
      <c r="N1561" s="70"/>
      <c r="O1561" s="77" t="s">
        <v>1285</v>
      </c>
      <c r="P1561" s="79">
        <v>45134.490868055553</v>
      </c>
      <c r="Q1561" s="77" t="s">
        <v>2803</v>
      </c>
      <c r="R1561" s="77">
        <v>0</v>
      </c>
      <c r="S1561" s="77">
        <v>0</v>
      </c>
      <c r="T1561" s="77">
        <v>1</v>
      </c>
      <c r="U1561" s="77">
        <v>0</v>
      </c>
      <c r="V1561" s="77">
        <v>90</v>
      </c>
      <c r="W1561" s="82" t="s">
        <v>5895</v>
      </c>
      <c r="X1561" s="77"/>
      <c r="Y1561" s="77"/>
      <c r="Z1561" s="77" t="s">
        <v>578</v>
      </c>
      <c r="AA1561" s="77" t="s">
        <v>8210</v>
      </c>
      <c r="AB1561" s="77" t="s">
        <v>10130</v>
      </c>
      <c r="AC1561" s="82" t="s">
        <v>10144</v>
      </c>
      <c r="AD1561" s="77" t="s">
        <v>10184</v>
      </c>
      <c r="AE1561" s="80" t="str">
        <f>HYPERLINK("https://twitter.com/workshopdantas/status/1684530788589600769")</f>
        <v>https://twitter.com/workshopdantas/status/1684530788589600769</v>
      </c>
      <c r="AF1561" s="79">
        <v>45134.490868055553</v>
      </c>
      <c r="AG1561" s="85">
        <v>45134</v>
      </c>
      <c r="AH1561" s="82" t="s">
        <v>11696</v>
      </c>
      <c r="AI1561" s="77" t="b">
        <v>0</v>
      </c>
      <c r="AJ1561" s="77"/>
      <c r="AK1561" s="77"/>
      <c r="AL1561" s="77"/>
      <c r="AM1561" s="77"/>
      <c r="AN1561" s="77"/>
      <c r="AO1561" s="77"/>
      <c r="AP1561" s="77"/>
      <c r="AQ1561" s="77" t="s">
        <v>14854</v>
      </c>
      <c r="AR1561" s="77"/>
      <c r="AS1561" s="77"/>
      <c r="AT1561" s="77"/>
      <c r="AU1561" s="77"/>
      <c r="AV1561" s="80" t="str">
        <f>HYPERLINK("https://pbs.twimg.com/media/F2Cn0h_WIAAxorE.jpg")</f>
        <v>https://pbs.twimg.com/media/F2Cn0h_WIAAxorE.jpg</v>
      </c>
      <c r="AW1561" s="82" t="s">
        <v>18332</v>
      </c>
      <c r="AX1561" s="82" t="s">
        <v>18332</v>
      </c>
      <c r="AY1561" s="77"/>
      <c r="AZ1561" s="82" t="s">
        <v>20971</v>
      </c>
      <c r="BA1561" s="82" t="s">
        <v>20971</v>
      </c>
      <c r="BB1561" s="82" t="s">
        <v>20971</v>
      </c>
      <c r="BC1561" s="82" t="s">
        <v>18332</v>
      </c>
      <c r="BD1561" s="82" t="s">
        <v>21274</v>
      </c>
      <c r="BE1561" s="77"/>
      <c r="BF1561" s="77"/>
      <c r="BG1561" s="77"/>
      <c r="BH1561" s="77"/>
      <c r="BI1561" s="77"/>
    </row>
    <row r="1562" spans="1:61" x14ac:dyDescent="0.25">
      <c r="A1562" s="62" t="s">
        <v>578</v>
      </c>
      <c r="B1562" s="62" t="s">
        <v>578</v>
      </c>
      <c r="C1562" s="63"/>
      <c r="D1562" s="64"/>
      <c r="E1562" s="65"/>
      <c r="F1562" s="66"/>
      <c r="G1562" s="63"/>
      <c r="H1562" s="67"/>
      <c r="I1562" s="68"/>
      <c r="J1562" s="68"/>
      <c r="K1562" s="32"/>
      <c r="L1562" s="75">
        <v>1562</v>
      </c>
      <c r="M1562" s="75"/>
      <c r="N1562" s="70"/>
      <c r="O1562" s="77" t="s">
        <v>1285</v>
      </c>
      <c r="P1562" s="79">
        <v>45133.740057870367</v>
      </c>
      <c r="Q1562" s="77" t="s">
        <v>2804</v>
      </c>
      <c r="R1562" s="77">
        <v>0</v>
      </c>
      <c r="S1562" s="77">
        <v>1</v>
      </c>
      <c r="T1562" s="77">
        <v>0</v>
      </c>
      <c r="U1562" s="77">
        <v>0</v>
      </c>
      <c r="V1562" s="77">
        <v>110</v>
      </c>
      <c r="W1562" s="82" t="s">
        <v>5896</v>
      </c>
      <c r="X1562" s="77"/>
      <c r="Y1562" s="77"/>
      <c r="Z1562" s="77" t="s">
        <v>578</v>
      </c>
      <c r="AA1562" s="77" t="s">
        <v>8211</v>
      </c>
      <c r="AB1562" s="77" t="s">
        <v>10130</v>
      </c>
      <c r="AC1562" s="82" t="s">
        <v>10144</v>
      </c>
      <c r="AD1562" s="77" t="s">
        <v>10184</v>
      </c>
      <c r="AE1562" s="80" t="str">
        <f>HYPERLINK("https://twitter.com/workshopdantas/status/1684258703216611328")</f>
        <v>https://twitter.com/workshopdantas/status/1684258703216611328</v>
      </c>
      <c r="AF1562" s="79">
        <v>45133.740057870367</v>
      </c>
      <c r="AG1562" s="85">
        <v>45133</v>
      </c>
      <c r="AH1562" s="82" t="s">
        <v>11697</v>
      </c>
      <c r="AI1562" s="77" t="b">
        <v>0</v>
      </c>
      <c r="AJ1562" s="77"/>
      <c r="AK1562" s="77"/>
      <c r="AL1562" s="77"/>
      <c r="AM1562" s="77"/>
      <c r="AN1562" s="77"/>
      <c r="AO1562" s="77"/>
      <c r="AP1562" s="77"/>
      <c r="AQ1562" s="77" t="s">
        <v>14855</v>
      </c>
      <c r="AR1562" s="77"/>
      <c r="AS1562" s="77"/>
      <c r="AT1562" s="77"/>
      <c r="AU1562" s="77"/>
      <c r="AV1562" s="80" t="str">
        <f>HYPERLINK("https://pbs.twimg.com/media/F1-wXV2XoAUNk18.jpg")</f>
        <v>https://pbs.twimg.com/media/F1-wXV2XoAUNk18.jpg</v>
      </c>
      <c r="AW1562" s="82" t="s">
        <v>18333</v>
      </c>
      <c r="AX1562" s="82" t="s">
        <v>18333</v>
      </c>
      <c r="AY1562" s="77"/>
      <c r="AZ1562" s="82" t="s">
        <v>20971</v>
      </c>
      <c r="BA1562" s="82" t="s">
        <v>20971</v>
      </c>
      <c r="BB1562" s="82" t="s">
        <v>20971</v>
      </c>
      <c r="BC1562" s="82" t="s">
        <v>18333</v>
      </c>
      <c r="BD1562" s="82" t="s">
        <v>21274</v>
      </c>
      <c r="BE1562" s="77"/>
      <c r="BF1562" s="77"/>
      <c r="BG1562" s="77"/>
      <c r="BH1562" s="77"/>
      <c r="BI1562" s="77"/>
    </row>
    <row r="1563" spans="1:61" x14ac:dyDescent="0.25">
      <c r="A1563" s="62" t="s">
        <v>578</v>
      </c>
      <c r="B1563" s="62" t="s">
        <v>578</v>
      </c>
      <c r="C1563" s="63"/>
      <c r="D1563" s="64"/>
      <c r="E1563" s="65"/>
      <c r="F1563" s="66"/>
      <c r="G1563" s="63"/>
      <c r="H1563" s="67"/>
      <c r="I1563" s="68"/>
      <c r="J1563" s="68"/>
      <c r="K1563" s="32"/>
      <c r="L1563" s="75">
        <v>1563</v>
      </c>
      <c r="M1563" s="75"/>
      <c r="N1563" s="70"/>
      <c r="O1563" s="77" t="s">
        <v>1285</v>
      </c>
      <c r="P1563" s="79">
        <v>45132.958472222221</v>
      </c>
      <c r="Q1563" s="77" t="s">
        <v>2805</v>
      </c>
      <c r="R1563" s="77">
        <v>0</v>
      </c>
      <c r="S1563" s="77">
        <v>1</v>
      </c>
      <c r="T1563" s="77">
        <v>0</v>
      </c>
      <c r="U1563" s="77">
        <v>0</v>
      </c>
      <c r="V1563" s="77">
        <v>106</v>
      </c>
      <c r="W1563" s="82" t="s">
        <v>5897</v>
      </c>
      <c r="X1563" s="77"/>
      <c r="Y1563" s="77"/>
      <c r="Z1563" s="77" t="s">
        <v>578</v>
      </c>
      <c r="AA1563" s="77" t="s">
        <v>8212</v>
      </c>
      <c r="AB1563" s="77" t="s">
        <v>10130</v>
      </c>
      <c r="AC1563" s="82" t="s">
        <v>10144</v>
      </c>
      <c r="AD1563" s="77" t="s">
        <v>10184</v>
      </c>
      <c r="AE1563" s="80" t="str">
        <f>HYPERLINK("https://twitter.com/workshopdantas/status/1683975467299217410")</f>
        <v>https://twitter.com/workshopdantas/status/1683975467299217410</v>
      </c>
      <c r="AF1563" s="79">
        <v>45132.958472222221</v>
      </c>
      <c r="AG1563" s="85">
        <v>45132</v>
      </c>
      <c r="AH1563" s="82" t="s">
        <v>11698</v>
      </c>
      <c r="AI1563" s="77" t="b">
        <v>0</v>
      </c>
      <c r="AJ1563" s="77"/>
      <c r="AK1563" s="77"/>
      <c r="AL1563" s="77"/>
      <c r="AM1563" s="77"/>
      <c r="AN1563" s="77"/>
      <c r="AO1563" s="77"/>
      <c r="AP1563" s="77"/>
      <c r="AQ1563" s="77" t="s">
        <v>14856</v>
      </c>
      <c r="AR1563" s="77"/>
      <c r="AS1563" s="77"/>
      <c r="AT1563" s="77"/>
      <c r="AU1563" s="77"/>
      <c r="AV1563" s="80" t="str">
        <f>HYPERLINK("https://pbs.twimg.com/media/F16uwbPWAAA4hfA.jpg")</f>
        <v>https://pbs.twimg.com/media/F16uwbPWAAA4hfA.jpg</v>
      </c>
      <c r="AW1563" s="82" t="s">
        <v>18334</v>
      </c>
      <c r="AX1563" s="82" t="s">
        <v>18334</v>
      </c>
      <c r="AY1563" s="77"/>
      <c r="AZ1563" s="82" t="s">
        <v>20971</v>
      </c>
      <c r="BA1563" s="82" t="s">
        <v>20971</v>
      </c>
      <c r="BB1563" s="82" t="s">
        <v>20971</v>
      </c>
      <c r="BC1563" s="82" t="s">
        <v>18334</v>
      </c>
      <c r="BD1563" s="82" t="s">
        <v>21274</v>
      </c>
      <c r="BE1563" s="77"/>
      <c r="BF1563" s="77"/>
      <c r="BG1563" s="77"/>
      <c r="BH1563" s="77"/>
      <c r="BI1563" s="77"/>
    </row>
    <row r="1564" spans="1:61" x14ac:dyDescent="0.25">
      <c r="A1564" s="62" t="s">
        <v>578</v>
      </c>
      <c r="B1564" s="62" t="s">
        <v>578</v>
      </c>
      <c r="C1564" s="63"/>
      <c r="D1564" s="64"/>
      <c r="E1564" s="65"/>
      <c r="F1564" s="66"/>
      <c r="G1564" s="63"/>
      <c r="H1564" s="67"/>
      <c r="I1564" s="68"/>
      <c r="J1564" s="68"/>
      <c r="K1564" s="32"/>
      <c r="L1564" s="75">
        <v>1564</v>
      </c>
      <c r="M1564" s="75"/>
      <c r="N1564" s="70"/>
      <c r="O1564" s="77" t="s">
        <v>1285</v>
      </c>
      <c r="P1564" s="79">
        <v>45132.576354166667</v>
      </c>
      <c r="Q1564" s="77" t="s">
        <v>2806</v>
      </c>
      <c r="R1564" s="77">
        <v>0</v>
      </c>
      <c r="S1564" s="77">
        <v>1</v>
      </c>
      <c r="T1564" s="77">
        <v>0</v>
      </c>
      <c r="U1564" s="77">
        <v>0</v>
      </c>
      <c r="V1564" s="77">
        <v>54</v>
      </c>
      <c r="W1564" s="82" t="s">
        <v>5898</v>
      </c>
      <c r="X1564" s="77"/>
      <c r="Y1564" s="77"/>
      <c r="Z1564" s="77" t="s">
        <v>578</v>
      </c>
      <c r="AA1564" s="77" t="s">
        <v>8213</v>
      </c>
      <c r="AB1564" s="77" t="s">
        <v>10130</v>
      </c>
      <c r="AC1564" s="82" t="s">
        <v>10144</v>
      </c>
      <c r="AD1564" s="77" t="s">
        <v>10184</v>
      </c>
      <c r="AE1564" s="80" t="str">
        <f>HYPERLINK("https://twitter.com/workshopdantas/status/1683836991111307266")</f>
        <v>https://twitter.com/workshopdantas/status/1683836991111307266</v>
      </c>
      <c r="AF1564" s="79">
        <v>45132.576354166667</v>
      </c>
      <c r="AG1564" s="85">
        <v>45132</v>
      </c>
      <c r="AH1564" s="82" t="s">
        <v>11699</v>
      </c>
      <c r="AI1564" s="77" t="b">
        <v>0</v>
      </c>
      <c r="AJ1564" s="77"/>
      <c r="AK1564" s="77"/>
      <c r="AL1564" s="77"/>
      <c r="AM1564" s="77"/>
      <c r="AN1564" s="77"/>
      <c r="AO1564" s="77"/>
      <c r="AP1564" s="77"/>
      <c r="AQ1564" s="77" t="s">
        <v>14857</v>
      </c>
      <c r="AR1564" s="77"/>
      <c r="AS1564" s="77"/>
      <c r="AT1564" s="77"/>
      <c r="AU1564" s="77"/>
      <c r="AV1564" s="80" t="str">
        <f>HYPERLINK("https://pbs.twimg.com/media/F14w0dgaMAANj2-.jpg")</f>
        <v>https://pbs.twimg.com/media/F14w0dgaMAANj2-.jpg</v>
      </c>
      <c r="AW1564" s="82" t="s">
        <v>18335</v>
      </c>
      <c r="AX1564" s="82" t="s">
        <v>18335</v>
      </c>
      <c r="AY1564" s="77"/>
      <c r="AZ1564" s="82" t="s">
        <v>20971</v>
      </c>
      <c r="BA1564" s="82" t="s">
        <v>20971</v>
      </c>
      <c r="BB1564" s="82" t="s">
        <v>20971</v>
      </c>
      <c r="BC1564" s="82" t="s">
        <v>18335</v>
      </c>
      <c r="BD1564" s="82" t="s">
        <v>21274</v>
      </c>
      <c r="BE1564" s="77"/>
      <c r="BF1564" s="77"/>
      <c r="BG1564" s="77"/>
      <c r="BH1564" s="77"/>
      <c r="BI1564" s="77"/>
    </row>
    <row r="1565" spans="1:61" x14ac:dyDescent="0.25">
      <c r="A1565" s="62" t="s">
        <v>578</v>
      </c>
      <c r="B1565" s="62" t="s">
        <v>578</v>
      </c>
      <c r="C1565" s="63"/>
      <c r="D1565" s="64"/>
      <c r="E1565" s="65"/>
      <c r="F1565" s="66"/>
      <c r="G1565" s="63"/>
      <c r="H1565" s="67"/>
      <c r="I1565" s="68"/>
      <c r="J1565" s="68"/>
      <c r="K1565" s="32"/>
      <c r="L1565" s="75">
        <v>1565</v>
      </c>
      <c r="M1565" s="75"/>
      <c r="N1565" s="70"/>
      <c r="O1565" s="77" t="s">
        <v>1285</v>
      </c>
      <c r="P1565" s="79">
        <v>45113.495937500003</v>
      </c>
      <c r="Q1565" s="77" t="s">
        <v>2807</v>
      </c>
      <c r="R1565" s="77">
        <v>0</v>
      </c>
      <c r="S1565" s="77">
        <v>0</v>
      </c>
      <c r="T1565" s="77">
        <v>0</v>
      </c>
      <c r="U1565" s="77">
        <v>0</v>
      </c>
      <c r="V1565" s="77">
        <v>53</v>
      </c>
      <c r="W1565" s="82" t="s">
        <v>5899</v>
      </c>
      <c r="X1565" s="77"/>
      <c r="Y1565" s="77"/>
      <c r="Z1565" s="77" t="s">
        <v>578</v>
      </c>
      <c r="AA1565" s="77" t="s">
        <v>8214</v>
      </c>
      <c r="AB1565" s="77" t="s">
        <v>10130</v>
      </c>
      <c r="AC1565" s="82" t="s">
        <v>10144</v>
      </c>
      <c r="AD1565" s="77" t="s">
        <v>10184</v>
      </c>
      <c r="AE1565" s="80" t="str">
        <f>HYPERLINK("https://twitter.com/workshopdantas/status/1676922480592666626")</f>
        <v>https://twitter.com/workshopdantas/status/1676922480592666626</v>
      </c>
      <c r="AF1565" s="79">
        <v>45113.495937500003</v>
      </c>
      <c r="AG1565" s="85">
        <v>45113</v>
      </c>
      <c r="AH1565" s="82" t="s">
        <v>11700</v>
      </c>
      <c r="AI1565" s="77" t="b">
        <v>0</v>
      </c>
      <c r="AJ1565" s="77"/>
      <c r="AK1565" s="77"/>
      <c r="AL1565" s="77"/>
      <c r="AM1565" s="77"/>
      <c r="AN1565" s="77"/>
      <c r="AO1565" s="77"/>
      <c r="AP1565" s="77"/>
      <c r="AQ1565" s="77" t="s">
        <v>14858</v>
      </c>
      <c r="AR1565" s="77"/>
      <c r="AS1565" s="77"/>
      <c r="AT1565" s="77"/>
      <c r="AU1565" s="77"/>
      <c r="AV1565" s="80" t="str">
        <f>HYPERLINK("https://pbs.twimg.com/media/F0WgG-YX0AApQpp.jpg")</f>
        <v>https://pbs.twimg.com/media/F0WgG-YX0AApQpp.jpg</v>
      </c>
      <c r="AW1565" s="82" t="s">
        <v>18336</v>
      </c>
      <c r="AX1565" s="82" t="s">
        <v>18336</v>
      </c>
      <c r="AY1565" s="77"/>
      <c r="AZ1565" s="82" t="s">
        <v>20971</v>
      </c>
      <c r="BA1565" s="82" t="s">
        <v>20971</v>
      </c>
      <c r="BB1565" s="82" t="s">
        <v>20971</v>
      </c>
      <c r="BC1565" s="82" t="s">
        <v>18336</v>
      </c>
      <c r="BD1565" s="82" t="s">
        <v>21274</v>
      </c>
      <c r="BE1565" s="77"/>
      <c r="BF1565" s="77"/>
      <c r="BG1565" s="77"/>
      <c r="BH1565" s="77"/>
      <c r="BI1565" s="77"/>
    </row>
    <row r="1566" spans="1:61" x14ac:dyDescent="0.25">
      <c r="A1566" s="62" t="s">
        <v>578</v>
      </c>
      <c r="B1566" s="62" t="s">
        <v>578</v>
      </c>
      <c r="C1566" s="63"/>
      <c r="D1566" s="64"/>
      <c r="E1566" s="65"/>
      <c r="F1566" s="66"/>
      <c r="G1566" s="63"/>
      <c r="H1566" s="67"/>
      <c r="I1566" s="68"/>
      <c r="J1566" s="68"/>
      <c r="K1566" s="32"/>
      <c r="L1566" s="75">
        <v>1566</v>
      </c>
      <c r="M1566" s="75"/>
      <c r="N1566" s="70"/>
      <c r="O1566" s="77" t="s">
        <v>1285</v>
      </c>
      <c r="P1566" s="79">
        <v>45112.477175925924</v>
      </c>
      <c r="Q1566" s="77" t="s">
        <v>2808</v>
      </c>
      <c r="R1566" s="77">
        <v>0</v>
      </c>
      <c r="S1566" s="77">
        <v>0</v>
      </c>
      <c r="T1566" s="77">
        <v>0</v>
      </c>
      <c r="U1566" s="77">
        <v>0</v>
      </c>
      <c r="V1566" s="77">
        <v>59</v>
      </c>
      <c r="W1566" s="82" t="s">
        <v>5900</v>
      </c>
      <c r="X1566" s="77"/>
      <c r="Y1566" s="77"/>
      <c r="Z1566" s="77" t="s">
        <v>578</v>
      </c>
      <c r="AA1566" s="77" t="s">
        <v>8215</v>
      </c>
      <c r="AB1566" s="77" t="s">
        <v>10130</v>
      </c>
      <c r="AC1566" s="82" t="s">
        <v>10144</v>
      </c>
      <c r="AD1566" s="77" t="s">
        <v>10184</v>
      </c>
      <c r="AE1566" s="80" t="str">
        <f>HYPERLINK("https://twitter.com/workshopdantas/status/1676553292044705794")</f>
        <v>https://twitter.com/workshopdantas/status/1676553292044705794</v>
      </c>
      <c r="AF1566" s="79">
        <v>45112.477175925924</v>
      </c>
      <c r="AG1566" s="85">
        <v>45112</v>
      </c>
      <c r="AH1566" s="82" t="s">
        <v>11701</v>
      </c>
      <c r="AI1566" s="77" t="b">
        <v>0</v>
      </c>
      <c r="AJ1566" s="77"/>
      <c r="AK1566" s="77"/>
      <c r="AL1566" s="77"/>
      <c r="AM1566" s="77"/>
      <c r="AN1566" s="77"/>
      <c r="AO1566" s="77"/>
      <c r="AP1566" s="77"/>
      <c r="AQ1566" s="77" t="s">
        <v>14859</v>
      </c>
      <c r="AR1566" s="77"/>
      <c r="AS1566" s="77"/>
      <c r="AT1566" s="77"/>
      <c r="AU1566" s="77"/>
      <c r="AV1566" s="80" t="str">
        <f>HYPERLINK("https://pbs.twimg.com/media/F0RQVXnWcAIZOSy.jpg")</f>
        <v>https://pbs.twimg.com/media/F0RQVXnWcAIZOSy.jpg</v>
      </c>
      <c r="AW1566" s="82" t="s">
        <v>18337</v>
      </c>
      <c r="AX1566" s="82" t="s">
        <v>18337</v>
      </c>
      <c r="AY1566" s="77"/>
      <c r="AZ1566" s="82" t="s">
        <v>20971</v>
      </c>
      <c r="BA1566" s="82" t="s">
        <v>20971</v>
      </c>
      <c r="BB1566" s="82" t="s">
        <v>20971</v>
      </c>
      <c r="BC1566" s="82" t="s">
        <v>18337</v>
      </c>
      <c r="BD1566" s="82" t="s">
        <v>21274</v>
      </c>
      <c r="BE1566" s="77"/>
      <c r="BF1566" s="77"/>
      <c r="BG1566" s="77"/>
      <c r="BH1566" s="77"/>
      <c r="BI1566" s="77"/>
    </row>
    <row r="1567" spans="1:61" x14ac:dyDescent="0.25">
      <c r="A1567" s="62" t="s">
        <v>578</v>
      </c>
      <c r="B1567" s="62" t="s">
        <v>578</v>
      </c>
      <c r="C1567" s="63"/>
      <c r="D1567" s="64"/>
      <c r="E1567" s="65"/>
      <c r="F1567" s="66"/>
      <c r="G1567" s="63"/>
      <c r="H1567" s="67"/>
      <c r="I1567" s="68"/>
      <c r="J1567" s="68"/>
      <c r="K1567" s="32"/>
      <c r="L1567" s="75">
        <v>1567</v>
      </c>
      <c r="M1567" s="75"/>
      <c r="N1567" s="70"/>
      <c r="O1567" s="77" t="s">
        <v>1285</v>
      </c>
      <c r="P1567" s="79">
        <v>45162.543738425928</v>
      </c>
      <c r="Q1567" s="77" t="s">
        <v>2809</v>
      </c>
      <c r="R1567" s="77">
        <v>0</v>
      </c>
      <c r="S1567" s="77">
        <v>0</v>
      </c>
      <c r="T1567" s="77">
        <v>0</v>
      </c>
      <c r="U1567" s="77">
        <v>0</v>
      </c>
      <c r="V1567" s="77">
        <v>195</v>
      </c>
      <c r="W1567" s="82" t="s">
        <v>5901</v>
      </c>
      <c r="X1567" s="77"/>
      <c r="Y1567" s="77"/>
      <c r="Z1567" s="77" t="s">
        <v>578</v>
      </c>
      <c r="AA1567" s="77" t="s">
        <v>8216</v>
      </c>
      <c r="AB1567" s="77" t="s">
        <v>10130</v>
      </c>
      <c r="AC1567" s="82" t="s">
        <v>10144</v>
      </c>
      <c r="AD1567" s="77" t="s">
        <v>10184</v>
      </c>
      <c r="AE1567" s="80" t="str">
        <f>HYPERLINK("https://twitter.com/workshopdantas/status/1694696806636999058")</f>
        <v>https://twitter.com/workshopdantas/status/1694696806636999058</v>
      </c>
      <c r="AF1567" s="79">
        <v>45162.543738425928</v>
      </c>
      <c r="AG1567" s="85">
        <v>45162</v>
      </c>
      <c r="AH1567" s="82" t="s">
        <v>11702</v>
      </c>
      <c r="AI1567" s="77" t="b">
        <v>0</v>
      </c>
      <c r="AJ1567" s="77"/>
      <c r="AK1567" s="77"/>
      <c r="AL1567" s="77"/>
      <c r="AM1567" s="77"/>
      <c r="AN1567" s="77"/>
      <c r="AO1567" s="77"/>
      <c r="AP1567" s="77"/>
      <c r="AQ1567" s="77" t="s">
        <v>14860</v>
      </c>
      <c r="AR1567" s="77"/>
      <c r="AS1567" s="77"/>
      <c r="AT1567" s="77"/>
      <c r="AU1567" s="77"/>
      <c r="AV1567" s="80" t="str">
        <f>HYPERLINK("https://pbs.twimg.com/media/F4TFw6BWcAAhAvN.jpg")</f>
        <v>https://pbs.twimg.com/media/F4TFw6BWcAAhAvN.jpg</v>
      </c>
      <c r="AW1567" s="82" t="s">
        <v>18338</v>
      </c>
      <c r="AX1567" s="82" t="s">
        <v>18338</v>
      </c>
      <c r="AY1567" s="77"/>
      <c r="AZ1567" s="82" t="s">
        <v>20971</v>
      </c>
      <c r="BA1567" s="82" t="s">
        <v>20971</v>
      </c>
      <c r="BB1567" s="82" t="s">
        <v>20971</v>
      </c>
      <c r="BC1567" s="82" t="s">
        <v>18338</v>
      </c>
      <c r="BD1567" s="82" t="s">
        <v>21274</v>
      </c>
      <c r="BE1567" s="77"/>
      <c r="BF1567" s="77"/>
      <c r="BG1567" s="77"/>
      <c r="BH1567" s="77"/>
      <c r="BI1567" s="77"/>
    </row>
    <row r="1568" spans="1:61" x14ac:dyDescent="0.25">
      <c r="A1568" s="62" t="s">
        <v>578</v>
      </c>
      <c r="B1568" s="62" t="s">
        <v>578</v>
      </c>
      <c r="C1568" s="63"/>
      <c r="D1568" s="64"/>
      <c r="E1568" s="65"/>
      <c r="F1568" s="66"/>
      <c r="G1568" s="63"/>
      <c r="H1568" s="67"/>
      <c r="I1568" s="68"/>
      <c r="J1568" s="68"/>
      <c r="K1568" s="32"/>
      <c r="L1568" s="75">
        <v>1568</v>
      </c>
      <c r="M1568" s="75"/>
      <c r="N1568" s="70"/>
      <c r="O1568" s="77" t="s">
        <v>1285</v>
      </c>
      <c r="P1568" s="79">
        <v>45151.892476851855</v>
      </c>
      <c r="Q1568" s="77" t="s">
        <v>2810</v>
      </c>
      <c r="R1568" s="77">
        <v>0</v>
      </c>
      <c r="S1568" s="77">
        <v>1</v>
      </c>
      <c r="T1568" s="77">
        <v>1</v>
      </c>
      <c r="U1568" s="77">
        <v>0</v>
      </c>
      <c r="V1568" s="77">
        <v>20</v>
      </c>
      <c r="W1568" s="82" t="s">
        <v>5848</v>
      </c>
      <c r="X1568" s="77"/>
      <c r="Y1568" s="77"/>
      <c r="Z1568" s="77" t="s">
        <v>578</v>
      </c>
      <c r="AA1568" s="77" t="s">
        <v>8217</v>
      </c>
      <c r="AB1568" s="77" t="s">
        <v>10130</v>
      </c>
      <c r="AC1568" s="82" t="s">
        <v>10144</v>
      </c>
      <c r="AD1568" s="77" t="s">
        <v>10184</v>
      </c>
      <c r="AE1568" s="80" t="str">
        <f>HYPERLINK("https://twitter.com/workshopdantas/status/1690836920203403264")</f>
        <v>https://twitter.com/workshopdantas/status/1690836920203403264</v>
      </c>
      <c r="AF1568" s="79">
        <v>45151.892476851855</v>
      </c>
      <c r="AG1568" s="85">
        <v>45151</v>
      </c>
      <c r="AH1568" s="82" t="s">
        <v>11703</v>
      </c>
      <c r="AI1568" s="77" t="b">
        <v>0</v>
      </c>
      <c r="AJ1568" s="77"/>
      <c r="AK1568" s="77"/>
      <c r="AL1568" s="77"/>
      <c r="AM1568" s="77"/>
      <c r="AN1568" s="77"/>
      <c r="AO1568" s="77"/>
      <c r="AP1568" s="77"/>
      <c r="AQ1568" s="77" t="s">
        <v>14861</v>
      </c>
      <c r="AR1568" s="77"/>
      <c r="AS1568" s="77"/>
      <c r="AT1568" s="77"/>
      <c r="AU1568" s="77"/>
      <c r="AV1568" s="80" t="str">
        <f>HYPERLINK("https://pbs.twimg.com/media/F3cPNk_WcAIp2Sm.jpg")</f>
        <v>https://pbs.twimg.com/media/F3cPNk_WcAIp2Sm.jpg</v>
      </c>
      <c r="AW1568" s="82" t="s">
        <v>18339</v>
      </c>
      <c r="AX1568" s="82" t="s">
        <v>18339</v>
      </c>
      <c r="AY1568" s="77"/>
      <c r="AZ1568" s="82" t="s">
        <v>20971</v>
      </c>
      <c r="BA1568" s="82" t="s">
        <v>20971</v>
      </c>
      <c r="BB1568" s="82" t="s">
        <v>20971</v>
      </c>
      <c r="BC1568" s="82" t="s">
        <v>18339</v>
      </c>
      <c r="BD1568" s="82" t="s">
        <v>21274</v>
      </c>
      <c r="BE1568" s="77"/>
      <c r="BF1568" s="77"/>
      <c r="BG1568" s="77"/>
      <c r="BH1568" s="77"/>
      <c r="BI1568" s="77"/>
    </row>
    <row r="1569" spans="1:61" x14ac:dyDescent="0.25">
      <c r="A1569" s="62" t="s">
        <v>578</v>
      </c>
      <c r="B1569" s="62" t="s">
        <v>578</v>
      </c>
      <c r="C1569" s="63"/>
      <c r="D1569" s="64"/>
      <c r="E1569" s="65"/>
      <c r="F1569" s="66"/>
      <c r="G1569" s="63"/>
      <c r="H1569" s="67"/>
      <c r="I1569" s="68"/>
      <c r="J1569" s="68"/>
      <c r="K1569" s="32"/>
      <c r="L1569" s="75">
        <v>1569</v>
      </c>
      <c r="M1569" s="75"/>
      <c r="N1569" s="70"/>
      <c r="O1569" s="77" t="s">
        <v>1285</v>
      </c>
      <c r="P1569" s="79">
        <v>45143.416828703703</v>
      </c>
      <c r="Q1569" s="77" t="s">
        <v>2811</v>
      </c>
      <c r="R1569" s="77">
        <v>0</v>
      </c>
      <c r="S1569" s="77">
        <v>0</v>
      </c>
      <c r="T1569" s="77">
        <v>0</v>
      </c>
      <c r="U1569" s="77">
        <v>0</v>
      </c>
      <c r="V1569" s="77">
        <v>67</v>
      </c>
      <c r="W1569" s="82" t="s">
        <v>5902</v>
      </c>
      <c r="X1569" s="77"/>
      <c r="Y1569" s="77"/>
      <c r="Z1569" s="77" t="s">
        <v>578</v>
      </c>
      <c r="AA1569" s="77" t="s">
        <v>8218</v>
      </c>
      <c r="AB1569" s="77" t="s">
        <v>10130</v>
      </c>
      <c r="AC1569" s="82" t="s">
        <v>10144</v>
      </c>
      <c r="AD1569" s="77" t="s">
        <v>10184</v>
      </c>
      <c r="AE1569" s="80" t="str">
        <f>HYPERLINK("https://twitter.com/workshopdantas/status/1687765448933113856")</f>
        <v>https://twitter.com/workshopdantas/status/1687765448933113856</v>
      </c>
      <c r="AF1569" s="79">
        <v>45143.416828703703</v>
      </c>
      <c r="AG1569" s="85">
        <v>45143</v>
      </c>
      <c r="AH1569" s="82" t="s">
        <v>11704</v>
      </c>
      <c r="AI1569" s="77" t="b">
        <v>0</v>
      </c>
      <c r="AJ1569" s="77"/>
      <c r="AK1569" s="77"/>
      <c r="AL1569" s="77"/>
      <c r="AM1569" s="77"/>
      <c r="AN1569" s="77"/>
      <c r="AO1569" s="77"/>
      <c r="AP1569" s="77"/>
      <c r="AQ1569" s="77" t="s">
        <v>14862</v>
      </c>
      <c r="AR1569" s="77"/>
      <c r="AS1569" s="77"/>
      <c r="AT1569" s="77"/>
      <c r="AU1569" s="77"/>
      <c r="AV1569" s="80" t="str">
        <f>HYPERLINK("https://pbs.twimg.com/media/F2wluzZWEAEWi3e.jpg")</f>
        <v>https://pbs.twimg.com/media/F2wluzZWEAEWi3e.jpg</v>
      </c>
      <c r="AW1569" s="82" t="s">
        <v>18340</v>
      </c>
      <c r="AX1569" s="82" t="s">
        <v>18340</v>
      </c>
      <c r="AY1569" s="77"/>
      <c r="AZ1569" s="82" t="s">
        <v>20971</v>
      </c>
      <c r="BA1569" s="82" t="s">
        <v>20971</v>
      </c>
      <c r="BB1569" s="82" t="s">
        <v>20971</v>
      </c>
      <c r="BC1569" s="82" t="s">
        <v>18340</v>
      </c>
      <c r="BD1569" s="82" t="s">
        <v>21274</v>
      </c>
      <c r="BE1569" s="77"/>
      <c r="BF1569" s="77"/>
      <c r="BG1569" s="77"/>
      <c r="BH1569" s="77"/>
      <c r="BI1569" s="77"/>
    </row>
    <row r="1570" spans="1:61" x14ac:dyDescent="0.25">
      <c r="A1570" s="62" t="s">
        <v>578</v>
      </c>
      <c r="B1570" s="62" t="s">
        <v>578</v>
      </c>
      <c r="C1570" s="63"/>
      <c r="D1570" s="64"/>
      <c r="E1570" s="65"/>
      <c r="F1570" s="66"/>
      <c r="G1570" s="63"/>
      <c r="H1570" s="67"/>
      <c r="I1570" s="68"/>
      <c r="J1570" s="68"/>
      <c r="K1570" s="32"/>
      <c r="L1570" s="75">
        <v>1570</v>
      </c>
      <c r="M1570" s="75"/>
      <c r="N1570" s="70"/>
      <c r="O1570" s="77" t="s">
        <v>1285</v>
      </c>
      <c r="P1570" s="79">
        <v>45129.51189814815</v>
      </c>
      <c r="Q1570" s="77" t="s">
        <v>2812</v>
      </c>
      <c r="R1570" s="77">
        <v>0</v>
      </c>
      <c r="S1570" s="77">
        <v>1</v>
      </c>
      <c r="T1570" s="77">
        <v>0</v>
      </c>
      <c r="U1570" s="77">
        <v>0</v>
      </c>
      <c r="V1570" s="77">
        <v>62</v>
      </c>
      <c r="W1570" s="82" t="s">
        <v>5903</v>
      </c>
      <c r="X1570" s="77"/>
      <c r="Y1570" s="77"/>
      <c r="Z1570" s="77" t="s">
        <v>578</v>
      </c>
      <c r="AA1570" s="77" t="s">
        <v>8219</v>
      </c>
      <c r="AB1570" s="77" t="s">
        <v>10130</v>
      </c>
      <c r="AC1570" s="82" t="s">
        <v>10144</v>
      </c>
      <c r="AD1570" s="77" t="s">
        <v>10184</v>
      </c>
      <c r="AE1570" s="80" t="str">
        <f>HYPERLINK("https://twitter.com/workshopdantas/status/1682726469099745280")</f>
        <v>https://twitter.com/workshopdantas/status/1682726469099745280</v>
      </c>
      <c r="AF1570" s="79">
        <v>45129.51189814815</v>
      </c>
      <c r="AG1570" s="85">
        <v>45129</v>
      </c>
      <c r="AH1570" s="82" t="s">
        <v>11705</v>
      </c>
      <c r="AI1570" s="77" t="b">
        <v>0</v>
      </c>
      <c r="AJ1570" s="77"/>
      <c r="AK1570" s="77"/>
      <c r="AL1570" s="77"/>
      <c r="AM1570" s="77"/>
      <c r="AN1570" s="77"/>
      <c r="AO1570" s="77"/>
      <c r="AP1570" s="77"/>
      <c r="AQ1570" s="77" t="s">
        <v>14863</v>
      </c>
      <c r="AR1570" s="77"/>
      <c r="AS1570" s="77"/>
      <c r="AT1570" s="77"/>
      <c r="AU1570" s="77"/>
      <c r="AV1570" s="80" t="str">
        <f>HYPERLINK("https://pbs.twimg.com/media/F1o-zhCWcAAz-7f.jpg")</f>
        <v>https://pbs.twimg.com/media/F1o-zhCWcAAz-7f.jpg</v>
      </c>
      <c r="AW1570" s="82" t="s">
        <v>18341</v>
      </c>
      <c r="AX1570" s="82" t="s">
        <v>18341</v>
      </c>
      <c r="AY1570" s="77"/>
      <c r="AZ1570" s="82" t="s">
        <v>20971</v>
      </c>
      <c r="BA1570" s="82" t="s">
        <v>20971</v>
      </c>
      <c r="BB1570" s="82" t="s">
        <v>20971</v>
      </c>
      <c r="BC1570" s="82" t="s">
        <v>18341</v>
      </c>
      <c r="BD1570" s="82" t="s">
        <v>21274</v>
      </c>
      <c r="BE1570" s="77"/>
      <c r="BF1570" s="77"/>
      <c r="BG1570" s="77"/>
      <c r="BH1570" s="77"/>
      <c r="BI1570" s="77"/>
    </row>
    <row r="1571" spans="1:61" x14ac:dyDescent="0.25">
      <c r="A1571" s="62" t="s">
        <v>578</v>
      </c>
      <c r="B1571" s="62" t="s">
        <v>578</v>
      </c>
      <c r="C1571" s="63"/>
      <c r="D1571" s="64"/>
      <c r="E1571" s="65"/>
      <c r="F1571" s="66"/>
      <c r="G1571" s="63"/>
      <c r="H1571" s="67"/>
      <c r="I1571" s="68"/>
      <c r="J1571" s="68"/>
      <c r="K1571" s="32"/>
      <c r="L1571" s="75">
        <v>1571</v>
      </c>
      <c r="M1571" s="75"/>
      <c r="N1571" s="70"/>
      <c r="O1571" s="77" t="s">
        <v>1285</v>
      </c>
      <c r="P1571" s="79">
        <v>45110.439976851849</v>
      </c>
      <c r="Q1571" s="77" t="s">
        <v>2813</v>
      </c>
      <c r="R1571" s="77">
        <v>0</v>
      </c>
      <c r="S1571" s="77">
        <v>1</v>
      </c>
      <c r="T1571" s="77">
        <v>0</v>
      </c>
      <c r="U1571" s="77">
        <v>0</v>
      </c>
      <c r="V1571" s="77">
        <v>63</v>
      </c>
      <c r="W1571" s="82" t="s">
        <v>5904</v>
      </c>
      <c r="X1571" s="77"/>
      <c r="Y1571" s="77"/>
      <c r="Z1571" s="77" t="s">
        <v>578</v>
      </c>
      <c r="AA1571" s="77" t="s">
        <v>8220</v>
      </c>
      <c r="AB1571" s="77" t="s">
        <v>10130</v>
      </c>
      <c r="AC1571" s="82" t="s">
        <v>10144</v>
      </c>
      <c r="AD1571" s="77" t="s">
        <v>10184</v>
      </c>
      <c r="AE1571" s="80" t="str">
        <f>HYPERLINK("https://twitter.com/workshopdantas/status/1675815035933786113")</f>
        <v>https://twitter.com/workshopdantas/status/1675815035933786113</v>
      </c>
      <c r="AF1571" s="79">
        <v>45110.439976851849</v>
      </c>
      <c r="AG1571" s="85">
        <v>45110</v>
      </c>
      <c r="AH1571" s="82" t="s">
        <v>11706</v>
      </c>
      <c r="AI1571" s="77" t="b">
        <v>0</v>
      </c>
      <c r="AJ1571" s="77"/>
      <c r="AK1571" s="77"/>
      <c r="AL1571" s="77"/>
      <c r="AM1571" s="77"/>
      <c r="AN1571" s="77"/>
      <c r="AO1571" s="77"/>
      <c r="AP1571" s="77"/>
      <c r="AQ1571" s="77" t="s">
        <v>14864</v>
      </c>
      <c r="AR1571" s="77"/>
      <c r="AS1571" s="77"/>
      <c r="AT1571" s="77"/>
      <c r="AU1571" s="77"/>
      <c r="AV1571" s="80" t="str">
        <f>HYPERLINK("https://pbs.twimg.com/media/F0Gw5NjX0AAk8vG.jpg")</f>
        <v>https://pbs.twimg.com/media/F0Gw5NjX0AAk8vG.jpg</v>
      </c>
      <c r="AW1571" s="82" t="s">
        <v>18342</v>
      </c>
      <c r="AX1571" s="82" t="s">
        <v>18342</v>
      </c>
      <c r="AY1571" s="77"/>
      <c r="AZ1571" s="82" t="s">
        <v>20971</v>
      </c>
      <c r="BA1571" s="82" t="s">
        <v>20971</v>
      </c>
      <c r="BB1571" s="82" t="s">
        <v>20971</v>
      </c>
      <c r="BC1571" s="82" t="s">
        <v>18342</v>
      </c>
      <c r="BD1571" s="82" t="s">
        <v>21274</v>
      </c>
      <c r="BE1571" s="77"/>
      <c r="BF1571" s="77"/>
      <c r="BG1571" s="77"/>
      <c r="BH1571" s="77"/>
      <c r="BI1571" s="77"/>
    </row>
    <row r="1572" spans="1:61" x14ac:dyDescent="0.25">
      <c r="A1572" s="62" t="s">
        <v>578</v>
      </c>
      <c r="B1572" s="62" t="s">
        <v>578</v>
      </c>
      <c r="C1572" s="63"/>
      <c r="D1572" s="64"/>
      <c r="E1572" s="65"/>
      <c r="F1572" s="66"/>
      <c r="G1572" s="63"/>
      <c r="H1572" s="67"/>
      <c r="I1572" s="68"/>
      <c r="J1572" s="68"/>
      <c r="K1572" s="32"/>
      <c r="L1572" s="75">
        <v>1572</v>
      </c>
      <c r="M1572" s="75"/>
      <c r="N1572" s="70"/>
      <c r="O1572" s="77" t="s">
        <v>1285</v>
      </c>
      <c r="P1572" s="79">
        <v>45185.464525462965</v>
      </c>
      <c r="Q1572" s="77" t="s">
        <v>2814</v>
      </c>
      <c r="R1572" s="77">
        <v>0</v>
      </c>
      <c r="S1572" s="77">
        <v>0</v>
      </c>
      <c r="T1572" s="77">
        <v>0</v>
      </c>
      <c r="U1572" s="77">
        <v>0</v>
      </c>
      <c r="V1572" s="77">
        <v>103</v>
      </c>
      <c r="W1572" s="82" t="s">
        <v>5875</v>
      </c>
      <c r="X1572" s="77"/>
      <c r="Y1572" s="77"/>
      <c r="Z1572" s="77" t="s">
        <v>578</v>
      </c>
      <c r="AA1572" s="77" t="s">
        <v>8221</v>
      </c>
      <c r="AB1572" s="77" t="s">
        <v>10130</v>
      </c>
      <c r="AC1572" s="82" t="s">
        <v>10144</v>
      </c>
      <c r="AD1572" s="77" t="s">
        <v>10184</v>
      </c>
      <c r="AE1572" s="80" t="str">
        <f>HYPERLINK("https://twitter.com/workshopdantas/status/1703003023012675630")</f>
        <v>https://twitter.com/workshopdantas/status/1703003023012675630</v>
      </c>
      <c r="AF1572" s="79">
        <v>45185.464525462965</v>
      </c>
      <c r="AG1572" s="85">
        <v>45185</v>
      </c>
      <c r="AH1572" s="82" t="s">
        <v>11707</v>
      </c>
      <c r="AI1572" s="77" t="b">
        <v>0</v>
      </c>
      <c r="AJ1572" s="77"/>
      <c r="AK1572" s="77"/>
      <c r="AL1572" s="77"/>
      <c r="AM1572" s="77"/>
      <c r="AN1572" s="77"/>
      <c r="AO1572" s="77"/>
      <c r="AP1572" s="77"/>
      <c r="AQ1572" s="77" t="s">
        <v>14865</v>
      </c>
      <c r="AR1572" s="77"/>
      <c r="AS1572" s="77"/>
      <c r="AT1572" s="77"/>
      <c r="AU1572" s="77"/>
      <c r="AV1572" s="80" t="str">
        <f>HYPERLINK("https://pbs.twimg.com/media/F6JIOWGXYAAngAy.jpg")</f>
        <v>https://pbs.twimg.com/media/F6JIOWGXYAAngAy.jpg</v>
      </c>
      <c r="AW1572" s="82" t="s">
        <v>18343</v>
      </c>
      <c r="AX1572" s="82" t="s">
        <v>18343</v>
      </c>
      <c r="AY1572" s="77"/>
      <c r="AZ1572" s="82" t="s">
        <v>20971</v>
      </c>
      <c r="BA1572" s="82" t="s">
        <v>20971</v>
      </c>
      <c r="BB1572" s="82" t="s">
        <v>20971</v>
      </c>
      <c r="BC1572" s="82" t="s">
        <v>18343</v>
      </c>
      <c r="BD1572" s="82" t="s">
        <v>21274</v>
      </c>
      <c r="BE1572" s="77"/>
      <c r="BF1572" s="77"/>
      <c r="BG1572" s="77"/>
      <c r="BH1572" s="77"/>
      <c r="BI1572" s="77"/>
    </row>
    <row r="1573" spans="1:61" x14ac:dyDescent="0.25">
      <c r="A1573" s="62" t="s">
        <v>578</v>
      </c>
      <c r="B1573" s="62" t="s">
        <v>578</v>
      </c>
      <c r="C1573" s="63"/>
      <c r="D1573" s="64"/>
      <c r="E1573" s="65"/>
      <c r="F1573" s="66"/>
      <c r="G1573" s="63"/>
      <c r="H1573" s="67"/>
      <c r="I1573" s="68"/>
      <c r="J1573" s="68"/>
      <c r="K1573" s="32"/>
      <c r="L1573" s="75">
        <v>1573</v>
      </c>
      <c r="M1573" s="75"/>
      <c r="N1573" s="70"/>
      <c r="O1573" s="77" t="s">
        <v>179</v>
      </c>
      <c r="P1573" s="79">
        <v>45183.726840277777</v>
      </c>
      <c r="Q1573" s="77" t="s">
        <v>2815</v>
      </c>
      <c r="R1573" s="77">
        <v>0</v>
      </c>
      <c r="S1573" s="77">
        <v>1</v>
      </c>
      <c r="T1573" s="77">
        <v>0</v>
      </c>
      <c r="U1573" s="77">
        <v>0</v>
      </c>
      <c r="V1573" s="77">
        <v>71</v>
      </c>
      <c r="W1573" s="82" t="s">
        <v>5905</v>
      </c>
      <c r="X1573" s="77"/>
      <c r="Y1573" s="77"/>
      <c r="Z1573" s="77"/>
      <c r="AA1573" s="77" t="s">
        <v>8222</v>
      </c>
      <c r="AB1573" s="77" t="s">
        <v>10130</v>
      </c>
      <c r="AC1573" s="82" t="s">
        <v>10144</v>
      </c>
      <c r="AD1573" s="77" t="s">
        <v>10184</v>
      </c>
      <c r="AE1573" s="80" t="str">
        <f>HYPERLINK("https://twitter.com/workshopdantas/status/1702373305867555185")</f>
        <v>https://twitter.com/workshopdantas/status/1702373305867555185</v>
      </c>
      <c r="AF1573" s="79">
        <v>45183.726840277777</v>
      </c>
      <c r="AG1573" s="85">
        <v>45183</v>
      </c>
      <c r="AH1573" s="82" t="s">
        <v>11708</v>
      </c>
      <c r="AI1573" s="77" t="b">
        <v>0</v>
      </c>
      <c r="AJ1573" s="77"/>
      <c r="AK1573" s="77"/>
      <c r="AL1573" s="77"/>
      <c r="AM1573" s="77"/>
      <c r="AN1573" s="77"/>
      <c r="AO1573" s="77"/>
      <c r="AP1573" s="77"/>
      <c r="AQ1573" s="77" t="s">
        <v>14866</v>
      </c>
      <c r="AR1573" s="77"/>
      <c r="AS1573" s="77"/>
      <c r="AT1573" s="77"/>
      <c r="AU1573" s="77"/>
      <c r="AV1573" s="80" t="str">
        <f>HYPERLINK("https://pbs.twimg.com/media/F6ALf-tXQAArhe7.jpg")</f>
        <v>https://pbs.twimg.com/media/F6ALf-tXQAArhe7.jpg</v>
      </c>
      <c r="AW1573" s="82" t="s">
        <v>18344</v>
      </c>
      <c r="AX1573" s="82" t="s">
        <v>18344</v>
      </c>
      <c r="AY1573" s="77"/>
      <c r="AZ1573" s="82" t="s">
        <v>20971</v>
      </c>
      <c r="BA1573" s="82" t="s">
        <v>20971</v>
      </c>
      <c r="BB1573" s="82" t="s">
        <v>20971</v>
      </c>
      <c r="BC1573" s="82" t="s">
        <v>18344</v>
      </c>
      <c r="BD1573" s="82" t="s">
        <v>21274</v>
      </c>
      <c r="BE1573" s="77"/>
      <c r="BF1573" s="77"/>
      <c r="BG1573" s="77"/>
      <c r="BH1573" s="77"/>
      <c r="BI1573" s="77"/>
    </row>
    <row r="1574" spans="1:61" x14ac:dyDescent="0.25">
      <c r="A1574" s="62" t="s">
        <v>578</v>
      </c>
      <c r="B1574" s="62" t="s">
        <v>578</v>
      </c>
      <c r="C1574" s="63"/>
      <c r="D1574" s="64"/>
      <c r="E1574" s="65"/>
      <c r="F1574" s="66"/>
      <c r="G1574" s="63"/>
      <c r="H1574" s="67"/>
      <c r="I1574" s="68"/>
      <c r="J1574" s="68"/>
      <c r="K1574" s="32"/>
      <c r="L1574" s="75">
        <v>1574</v>
      </c>
      <c r="M1574" s="75"/>
      <c r="N1574" s="70"/>
      <c r="O1574" s="77" t="s">
        <v>1285</v>
      </c>
      <c r="P1574" s="79">
        <v>45182.934374999997</v>
      </c>
      <c r="Q1574" s="77" t="s">
        <v>2816</v>
      </c>
      <c r="R1574" s="77">
        <v>0</v>
      </c>
      <c r="S1574" s="77">
        <v>0</v>
      </c>
      <c r="T1574" s="77">
        <v>0</v>
      </c>
      <c r="U1574" s="77">
        <v>0</v>
      </c>
      <c r="V1574" s="77">
        <v>42</v>
      </c>
      <c r="W1574" s="82" t="s">
        <v>5906</v>
      </c>
      <c r="X1574" s="77"/>
      <c r="Y1574" s="77"/>
      <c r="Z1574" s="77" t="s">
        <v>578</v>
      </c>
      <c r="AA1574" s="77" t="s">
        <v>8223</v>
      </c>
      <c r="AB1574" s="77" t="s">
        <v>10130</v>
      </c>
      <c r="AC1574" s="82" t="s">
        <v>10144</v>
      </c>
      <c r="AD1574" s="77" t="s">
        <v>10184</v>
      </c>
      <c r="AE1574" s="80" t="str">
        <f>HYPERLINK("https://twitter.com/workshopdantas/status/1702086128239624319")</f>
        <v>https://twitter.com/workshopdantas/status/1702086128239624319</v>
      </c>
      <c r="AF1574" s="79">
        <v>45182.934374999997</v>
      </c>
      <c r="AG1574" s="85">
        <v>45182</v>
      </c>
      <c r="AH1574" s="82" t="s">
        <v>11709</v>
      </c>
      <c r="AI1574" s="77" t="b">
        <v>0</v>
      </c>
      <c r="AJ1574" s="77"/>
      <c r="AK1574" s="77"/>
      <c r="AL1574" s="77"/>
      <c r="AM1574" s="77"/>
      <c r="AN1574" s="77"/>
      <c r="AO1574" s="77"/>
      <c r="AP1574" s="77"/>
      <c r="AQ1574" s="77" t="s">
        <v>14867</v>
      </c>
      <c r="AR1574" s="77"/>
      <c r="AS1574" s="77"/>
      <c r="AT1574" s="77"/>
      <c r="AU1574" s="77"/>
      <c r="AV1574" s="80" t="str">
        <f>HYPERLINK("https://pbs.twimg.com/media/F58GUDVXAAAMXaK.jpg")</f>
        <v>https://pbs.twimg.com/media/F58GUDVXAAAMXaK.jpg</v>
      </c>
      <c r="AW1574" s="82" t="s">
        <v>18345</v>
      </c>
      <c r="AX1574" s="82" t="s">
        <v>18345</v>
      </c>
      <c r="AY1574" s="77"/>
      <c r="AZ1574" s="82" t="s">
        <v>20971</v>
      </c>
      <c r="BA1574" s="82" t="s">
        <v>20971</v>
      </c>
      <c r="BB1574" s="82" t="s">
        <v>20971</v>
      </c>
      <c r="BC1574" s="82" t="s">
        <v>18345</v>
      </c>
      <c r="BD1574" s="82" t="s">
        <v>21274</v>
      </c>
      <c r="BE1574" s="77"/>
      <c r="BF1574" s="77"/>
      <c r="BG1574" s="77"/>
      <c r="BH1574" s="77"/>
      <c r="BI1574" s="77"/>
    </row>
    <row r="1575" spans="1:61" x14ac:dyDescent="0.25">
      <c r="A1575" s="62" t="s">
        <v>578</v>
      </c>
      <c r="B1575" s="62" t="s">
        <v>578</v>
      </c>
      <c r="C1575" s="63"/>
      <c r="D1575" s="64"/>
      <c r="E1575" s="65"/>
      <c r="F1575" s="66"/>
      <c r="G1575" s="63"/>
      <c r="H1575" s="67"/>
      <c r="I1575" s="68"/>
      <c r="J1575" s="68"/>
      <c r="K1575" s="32"/>
      <c r="L1575" s="75">
        <v>1575</v>
      </c>
      <c r="M1575" s="75"/>
      <c r="N1575" s="70"/>
      <c r="O1575" s="77" t="s">
        <v>1285</v>
      </c>
      <c r="P1575" s="79">
        <v>45180.637766203705</v>
      </c>
      <c r="Q1575" s="77" t="s">
        <v>2817</v>
      </c>
      <c r="R1575" s="77">
        <v>0</v>
      </c>
      <c r="S1575" s="77">
        <v>0</v>
      </c>
      <c r="T1575" s="77">
        <v>0</v>
      </c>
      <c r="U1575" s="77">
        <v>0</v>
      </c>
      <c r="V1575" s="77">
        <v>77</v>
      </c>
      <c r="W1575" s="82" t="s">
        <v>5907</v>
      </c>
      <c r="X1575" s="77"/>
      <c r="Y1575" s="77"/>
      <c r="Z1575" s="77" t="s">
        <v>578</v>
      </c>
      <c r="AA1575" s="77" t="s">
        <v>8224</v>
      </c>
      <c r="AB1575" s="77" t="s">
        <v>10130</v>
      </c>
      <c r="AC1575" s="82" t="s">
        <v>10144</v>
      </c>
      <c r="AD1575" s="77" t="s">
        <v>10184</v>
      </c>
      <c r="AE1575" s="80" t="str">
        <f>HYPERLINK("https://twitter.com/workshopdantas/status/1701253862164681160")</f>
        <v>https://twitter.com/workshopdantas/status/1701253862164681160</v>
      </c>
      <c r="AF1575" s="79">
        <v>45180.637766203705</v>
      </c>
      <c r="AG1575" s="85">
        <v>45180</v>
      </c>
      <c r="AH1575" s="82" t="s">
        <v>11710</v>
      </c>
      <c r="AI1575" s="77" t="b">
        <v>0</v>
      </c>
      <c r="AJ1575" s="77"/>
      <c r="AK1575" s="77"/>
      <c r="AL1575" s="77"/>
      <c r="AM1575" s="77"/>
      <c r="AN1575" s="77"/>
      <c r="AO1575" s="77"/>
      <c r="AP1575" s="77"/>
      <c r="AQ1575" s="77" t="s">
        <v>14868</v>
      </c>
      <c r="AR1575" s="77"/>
      <c r="AS1575" s="77"/>
      <c r="AT1575" s="77"/>
      <c r="AU1575" s="77"/>
      <c r="AV1575" s="80" t="str">
        <f>HYPERLINK("https://pbs.twimg.com/media/F5wRX0UWUAAzjhO.jpg")</f>
        <v>https://pbs.twimg.com/media/F5wRX0UWUAAzjhO.jpg</v>
      </c>
      <c r="AW1575" s="82" t="s">
        <v>18346</v>
      </c>
      <c r="AX1575" s="82" t="s">
        <v>18346</v>
      </c>
      <c r="AY1575" s="77"/>
      <c r="AZ1575" s="82" t="s">
        <v>20971</v>
      </c>
      <c r="BA1575" s="82" t="s">
        <v>20971</v>
      </c>
      <c r="BB1575" s="82" t="s">
        <v>20971</v>
      </c>
      <c r="BC1575" s="82" t="s">
        <v>18346</v>
      </c>
      <c r="BD1575" s="82" t="s">
        <v>21274</v>
      </c>
      <c r="BE1575" s="77"/>
      <c r="BF1575" s="77"/>
      <c r="BG1575" s="77"/>
      <c r="BH1575" s="77"/>
      <c r="BI1575" s="77"/>
    </row>
    <row r="1576" spans="1:61" x14ac:dyDescent="0.25">
      <c r="A1576" s="62" t="s">
        <v>578</v>
      </c>
      <c r="B1576" s="62" t="s">
        <v>578</v>
      </c>
      <c r="C1576" s="63"/>
      <c r="D1576" s="64"/>
      <c r="E1576" s="65"/>
      <c r="F1576" s="66"/>
      <c r="G1576" s="63"/>
      <c r="H1576" s="67"/>
      <c r="I1576" s="68"/>
      <c r="J1576" s="68"/>
      <c r="K1576" s="32"/>
      <c r="L1576" s="75">
        <v>1576</v>
      </c>
      <c r="M1576" s="75"/>
      <c r="N1576" s="70"/>
      <c r="O1576" s="77" t="s">
        <v>1285</v>
      </c>
      <c r="P1576" s="79">
        <v>45138.456770833334</v>
      </c>
      <c r="Q1576" s="77" t="s">
        <v>2818</v>
      </c>
      <c r="R1576" s="77">
        <v>0</v>
      </c>
      <c r="S1576" s="77">
        <v>0</v>
      </c>
      <c r="T1576" s="77">
        <v>0</v>
      </c>
      <c r="U1576" s="77">
        <v>0</v>
      </c>
      <c r="V1576" s="77">
        <v>47</v>
      </c>
      <c r="W1576" s="82" t="s">
        <v>5848</v>
      </c>
      <c r="X1576" s="77"/>
      <c r="Y1576" s="77"/>
      <c r="Z1576" s="77" t="s">
        <v>578</v>
      </c>
      <c r="AA1576" s="77" t="s">
        <v>8225</v>
      </c>
      <c r="AB1576" s="77" t="s">
        <v>10130</v>
      </c>
      <c r="AC1576" s="82" t="s">
        <v>10144</v>
      </c>
      <c r="AD1576" s="77" t="s">
        <v>10184</v>
      </c>
      <c r="AE1576" s="80" t="str">
        <f>HYPERLINK("https://twitter.com/workshopdantas/status/1685967981170327552")</f>
        <v>https://twitter.com/workshopdantas/status/1685967981170327552</v>
      </c>
      <c r="AF1576" s="79">
        <v>45138.456770833334</v>
      </c>
      <c r="AG1576" s="85">
        <v>45138</v>
      </c>
      <c r="AH1576" s="82" t="s">
        <v>11711</v>
      </c>
      <c r="AI1576" s="77" t="b">
        <v>0</v>
      </c>
      <c r="AJ1576" s="77"/>
      <c r="AK1576" s="77"/>
      <c r="AL1576" s="77"/>
      <c r="AM1576" s="77"/>
      <c r="AN1576" s="77"/>
      <c r="AO1576" s="77"/>
      <c r="AP1576" s="77"/>
      <c r="AQ1576" s="77" t="s">
        <v>14869</v>
      </c>
      <c r="AR1576" s="77"/>
      <c r="AS1576" s="77"/>
      <c r="AT1576" s="77"/>
      <c r="AU1576" s="77"/>
      <c r="AV1576" s="80" t="str">
        <f>HYPERLINK("https://pbs.twimg.com/media/F2XC8X8XsAAy_l4.jpg")</f>
        <v>https://pbs.twimg.com/media/F2XC8X8XsAAy_l4.jpg</v>
      </c>
      <c r="AW1576" s="82" t="s">
        <v>18347</v>
      </c>
      <c r="AX1576" s="82" t="s">
        <v>18347</v>
      </c>
      <c r="AY1576" s="77"/>
      <c r="AZ1576" s="82" t="s">
        <v>20971</v>
      </c>
      <c r="BA1576" s="82" t="s">
        <v>20971</v>
      </c>
      <c r="BB1576" s="82" t="s">
        <v>20971</v>
      </c>
      <c r="BC1576" s="82" t="s">
        <v>18347</v>
      </c>
      <c r="BD1576" s="82" t="s">
        <v>21274</v>
      </c>
      <c r="BE1576" s="77"/>
      <c r="BF1576" s="77"/>
      <c r="BG1576" s="77"/>
      <c r="BH1576" s="77"/>
      <c r="BI1576" s="77"/>
    </row>
    <row r="1577" spans="1:61" x14ac:dyDescent="0.25">
      <c r="A1577" s="62" t="s">
        <v>578</v>
      </c>
      <c r="B1577" s="62" t="s">
        <v>578</v>
      </c>
      <c r="C1577" s="63"/>
      <c r="D1577" s="64"/>
      <c r="E1577" s="65"/>
      <c r="F1577" s="66"/>
      <c r="G1577" s="63"/>
      <c r="H1577" s="67"/>
      <c r="I1577" s="68"/>
      <c r="J1577" s="68"/>
      <c r="K1577" s="32"/>
      <c r="L1577" s="75">
        <v>1577</v>
      </c>
      <c r="M1577" s="75"/>
      <c r="N1577" s="70"/>
      <c r="O1577" s="77" t="s">
        <v>1285</v>
      </c>
      <c r="P1577" s="79">
        <v>45137.432233796295</v>
      </c>
      <c r="Q1577" s="77" t="s">
        <v>2819</v>
      </c>
      <c r="R1577" s="77">
        <v>0</v>
      </c>
      <c r="S1577" s="77">
        <v>0</v>
      </c>
      <c r="T1577" s="77">
        <v>0</v>
      </c>
      <c r="U1577" s="77">
        <v>0</v>
      </c>
      <c r="V1577" s="77">
        <v>50</v>
      </c>
      <c r="W1577" s="82" t="s">
        <v>5908</v>
      </c>
      <c r="X1577" s="77"/>
      <c r="Y1577" s="77"/>
      <c r="Z1577" s="77" t="s">
        <v>578</v>
      </c>
      <c r="AA1577" s="77" t="s">
        <v>8226</v>
      </c>
      <c r="AB1577" s="77" t="s">
        <v>10130</v>
      </c>
      <c r="AC1577" s="82" t="s">
        <v>10144</v>
      </c>
      <c r="AD1577" s="77" t="s">
        <v>10184</v>
      </c>
      <c r="AE1577" s="80" t="str">
        <f>HYPERLINK("https://twitter.com/workshopdantas/status/1685596701896105985")</f>
        <v>https://twitter.com/workshopdantas/status/1685596701896105985</v>
      </c>
      <c r="AF1577" s="79">
        <v>45137.432233796295</v>
      </c>
      <c r="AG1577" s="85">
        <v>45137</v>
      </c>
      <c r="AH1577" s="82" t="s">
        <v>10246</v>
      </c>
      <c r="AI1577" s="77" t="b">
        <v>0</v>
      </c>
      <c r="AJ1577" s="77"/>
      <c r="AK1577" s="77"/>
      <c r="AL1577" s="77"/>
      <c r="AM1577" s="77"/>
      <c r="AN1577" s="77"/>
      <c r="AO1577" s="77"/>
      <c r="AP1577" s="77"/>
      <c r="AQ1577" s="77" t="s">
        <v>14870</v>
      </c>
      <c r="AR1577" s="77"/>
      <c r="AS1577" s="77"/>
      <c r="AT1577" s="77"/>
      <c r="AU1577" s="77"/>
      <c r="AV1577" s="80" t="str">
        <f>HYPERLINK("https://pbs.twimg.com/media/F2RxRFJXEAAV5Yx.jpg")</f>
        <v>https://pbs.twimg.com/media/F2RxRFJXEAAV5Yx.jpg</v>
      </c>
      <c r="AW1577" s="82" t="s">
        <v>18348</v>
      </c>
      <c r="AX1577" s="82" t="s">
        <v>18348</v>
      </c>
      <c r="AY1577" s="77"/>
      <c r="AZ1577" s="82" t="s">
        <v>20971</v>
      </c>
      <c r="BA1577" s="82" t="s">
        <v>20971</v>
      </c>
      <c r="BB1577" s="82" t="s">
        <v>20971</v>
      </c>
      <c r="BC1577" s="82" t="s">
        <v>18348</v>
      </c>
      <c r="BD1577" s="82" t="s">
        <v>21274</v>
      </c>
      <c r="BE1577" s="77"/>
      <c r="BF1577" s="77"/>
      <c r="BG1577" s="77"/>
      <c r="BH1577" s="77"/>
      <c r="BI1577" s="77"/>
    </row>
    <row r="1578" spans="1:61" x14ac:dyDescent="0.25">
      <c r="A1578" s="62" t="s">
        <v>578</v>
      </c>
      <c r="B1578" s="62" t="s">
        <v>578</v>
      </c>
      <c r="C1578" s="63"/>
      <c r="D1578" s="64"/>
      <c r="E1578" s="65"/>
      <c r="F1578" s="66"/>
      <c r="G1578" s="63"/>
      <c r="H1578" s="67"/>
      <c r="I1578" s="68"/>
      <c r="J1578" s="68"/>
      <c r="K1578" s="32"/>
      <c r="L1578" s="75">
        <v>1578</v>
      </c>
      <c r="M1578" s="75"/>
      <c r="N1578" s="70"/>
      <c r="O1578" s="77" t="s">
        <v>1285</v>
      </c>
      <c r="P1578" s="79">
        <v>45136.471944444442</v>
      </c>
      <c r="Q1578" s="77" t="s">
        <v>2820</v>
      </c>
      <c r="R1578" s="77">
        <v>0</v>
      </c>
      <c r="S1578" s="77">
        <v>0</v>
      </c>
      <c r="T1578" s="77">
        <v>1</v>
      </c>
      <c r="U1578" s="77">
        <v>0</v>
      </c>
      <c r="V1578" s="77">
        <v>81</v>
      </c>
      <c r="W1578" s="82" t="s">
        <v>5909</v>
      </c>
      <c r="X1578" s="77"/>
      <c r="Y1578" s="77"/>
      <c r="Z1578" s="77" t="s">
        <v>578</v>
      </c>
      <c r="AA1578" s="77" t="s">
        <v>8227</v>
      </c>
      <c r="AB1578" s="77" t="s">
        <v>10130</v>
      </c>
      <c r="AC1578" s="82" t="s">
        <v>10144</v>
      </c>
      <c r="AD1578" s="77" t="s">
        <v>10184</v>
      </c>
      <c r="AE1578" s="80" t="str">
        <f>HYPERLINK("https://twitter.com/workshopdantas/status/1685248705039904769")</f>
        <v>https://twitter.com/workshopdantas/status/1685248705039904769</v>
      </c>
      <c r="AF1578" s="79">
        <v>45136.471944444442</v>
      </c>
      <c r="AG1578" s="85">
        <v>45136</v>
      </c>
      <c r="AH1578" s="82" t="s">
        <v>11712</v>
      </c>
      <c r="AI1578" s="77" t="b">
        <v>0</v>
      </c>
      <c r="AJ1578" s="77"/>
      <c r="AK1578" s="77"/>
      <c r="AL1578" s="77"/>
      <c r="AM1578" s="77"/>
      <c r="AN1578" s="77"/>
      <c r="AO1578" s="77"/>
      <c r="AP1578" s="77"/>
      <c r="AQ1578" s="77" t="s">
        <v>14871</v>
      </c>
      <c r="AR1578" s="77"/>
      <c r="AS1578" s="77"/>
      <c r="AT1578" s="77"/>
      <c r="AU1578" s="77"/>
      <c r="AV1578" s="80" t="str">
        <f>HYPERLINK("https://pbs.twimg.com/media/F2M0xBNW4AAMNrh.jpg")</f>
        <v>https://pbs.twimg.com/media/F2M0xBNW4AAMNrh.jpg</v>
      </c>
      <c r="AW1578" s="82" t="s">
        <v>18349</v>
      </c>
      <c r="AX1578" s="82" t="s">
        <v>18349</v>
      </c>
      <c r="AY1578" s="77"/>
      <c r="AZ1578" s="82" t="s">
        <v>20971</v>
      </c>
      <c r="BA1578" s="82" t="s">
        <v>20971</v>
      </c>
      <c r="BB1578" s="82" t="s">
        <v>20971</v>
      </c>
      <c r="BC1578" s="82" t="s">
        <v>18349</v>
      </c>
      <c r="BD1578" s="82" t="s">
        <v>21274</v>
      </c>
      <c r="BE1578" s="77"/>
      <c r="BF1578" s="77"/>
      <c r="BG1578" s="77"/>
      <c r="BH1578" s="77"/>
      <c r="BI1578" s="77"/>
    </row>
    <row r="1579" spans="1:61" x14ac:dyDescent="0.25">
      <c r="A1579" s="62" t="s">
        <v>578</v>
      </c>
      <c r="B1579" s="62" t="s">
        <v>578</v>
      </c>
      <c r="C1579" s="63"/>
      <c r="D1579" s="64"/>
      <c r="E1579" s="65"/>
      <c r="F1579" s="66"/>
      <c r="G1579" s="63"/>
      <c r="H1579" s="67"/>
      <c r="I1579" s="68"/>
      <c r="J1579" s="68"/>
      <c r="K1579" s="32"/>
      <c r="L1579" s="75">
        <v>1579</v>
      </c>
      <c r="M1579" s="75"/>
      <c r="N1579" s="70"/>
      <c r="O1579" s="77" t="s">
        <v>1285</v>
      </c>
      <c r="P1579" s="79">
        <v>45136.110717592594</v>
      </c>
      <c r="Q1579" s="77" t="s">
        <v>2821</v>
      </c>
      <c r="R1579" s="77">
        <v>0</v>
      </c>
      <c r="S1579" s="77">
        <v>0</v>
      </c>
      <c r="T1579" s="77">
        <v>0</v>
      </c>
      <c r="U1579" s="77">
        <v>0</v>
      </c>
      <c r="V1579" s="77">
        <v>60</v>
      </c>
      <c r="W1579" s="82" t="s">
        <v>5910</v>
      </c>
      <c r="X1579" s="77"/>
      <c r="Y1579" s="77"/>
      <c r="Z1579" s="77" t="s">
        <v>578</v>
      </c>
      <c r="AA1579" s="77" t="s">
        <v>8228</v>
      </c>
      <c r="AB1579" s="77" t="s">
        <v>10129</v>
      </c>
      <c r="AC1579" s="82" t="s">
        <v>10144</v>
      </c>
      <c r="AD1579" s="77" t="s">
        <v>10184</v>
      </c>
      <c r="AE1579" s="80" t="str">
        <f>HYPERLINK("https://twitter.com/workshopdantas/status/1685117801311162369")</f>
        <v>https://twitter.com/workshopdantas/status/1685117801311162369</v>
      </c>
      <c r="AF1579" s="79">
        <v>45136.110717592594</v>
      </c>
      <c r="AG1579" s="85">
        <v>45136</v>
      </c>
      <c r="AH1579" s="82" t="s">
        <v>11713</v>
      </c>
      <c r="AI1579" s="77" t="b">
        <v>0</v>
      </c>
      <c r="AJ1579" s="77"/>
      <c r="AK1579" s="77"/>
      <c r="AL1579" s="77"/>
      <c r="AM1579" s="77"/>
      <c r="AN1579" s="77"/>
      <c r="AO1579" s="77"/>
      <c r="AP1579" s="77"/>
      <c r="AQ1579" s="77" t="s">
        <v>14872</v>
      </c>
      <c r="AR1579" s="77">
        <v>25912</v>
      </c>
      <c r="AS1579" s="77"/>
      <c r="AT1579" s="77"/>
      <c r="AU1579" s="77"/>
      <c r="AV1579" s="80" t="str">
        <f>HYPERLINK("https://pbs.twimg.com/ext_tw_video_thumb/1685117722953179136/pu/img/XBpb-CvjoiirR5pg.jpg")</f>
        <v>https://pbs.twimg.com/ext_tw_video_thumb/1685117722953179136/pu/img/XBpb-CvjoiirR5pg.jpg</v>
      </c>
      <c r="AW1579" s="82" t="s">
        <v>18350</v>
      </c>
      <c r="AX1579" s="82" t="s">
        <v>18350</v>
      </c>
      <c r="AY1579" s="77"/>
      <c r="AZ1579" s="82" t="s">
        <v>20971</v>
      </c>
      <c r="BA1579" s="82" t="s">
        <v>20971</v>
      </c>
      <c r="BB1579" s="82" t="s">
        <v>20971</v>
      </c>
      <c r="BC1579" s="82" t="s">
        <v>18350</v>
      </c>
      <c r="BD1579" s="82" t="s">
        <v>21274</v>
      </c>
      <c r="BE1579" s="77"/>
      <c r="BF1579" s="77"/>
      <c r="BG1579" s="77"/>
      <c r="BH1579" s="77"/>
      <c r="BI1579" s="77"/>
    </row>
    <row r="1580" spans="1:61" x14ac:dyDescent="0.25">
      <c r="A1580" s="62" t="s">
        <v>578</v>
      </c>
      <c r="B1580" s="62" t="s">
        <v>578</v>
      </c>
      <c r="C1580" s="63"/>
      <c r="D1580" s="64"/>
      <c r="E1580" s="65"/>
      <c r="F1580" s="66"/>
      <c r="G1580" s="63"/>
      <c r="H1580" s="67"/>
      <c r="I1580" s="68"/>
      <c r="J1580" s="68"/>
      <c r="K1580" s="32"/>
      <c r="L1580" s="75">
        <v>1580</v>
      </c>
      <c r="M1580" s="75"/>
      <c r="N1580" s="70"/>
      <c r="O1580" s="77" t="s">
        <v>1285</v>
      </c>
      <c r="P1580" s="79">
        <v>45135.683229166665</v>
      </c>
      <c r="Q1580" s="77" t="s">
        <v>2822</v>
      </c>
      <c r="R1580" s="77">
        <v>0</v>
      </c>
      <c r="S1580" s="77">
        <v>0</v>
      </c>
      <c r="T1580" s="77">
        <v>0</v>
      </c>
      <c r="U1580" s="77">
        <v>0</v>
      </c>
      <c r="V1580" s="77">
        <v>51</v>
      </c>
      <c r="W1580" s="82" t="s">
        <v>5889</v>
      </c>
      <c r="X1580" s="77"/>
      <c r="Y1580" s="77"/>
      <c r="Z1580" s="77" t="s">
        <v>578</v>
      </c>
      <c r="AA1580" s="77" t="s">
        <v>8229</v>
      </c>
      <c r="AB1580" s="77" t="s">
        <v>10130</v>
      </c>
      <c r="AC1580" s="82" t="s">
        <v>10144</v>
      </c>
      <c r="AD1580" s="77" t="s">
        <v>10184</v>
      </c>
      <c r="AE1580" s="80" t="str">
        <f>HYPERLINK("https://twitter.com/workshopdantas/status/1684962886668492814")</f>
        <v>https://twitter.com/workshopdantas/status/1684962886668492814</v>
      </c>
      <c r="AF1580" s="79">
        <v>45135.683229166665</v>
      </c>
      <c r="AG1580" s="85">
        <v>45135</v>
      </c>
      <c r="AH1580" s="82" t="s">
        <v>11714</v>
      </c>
      <c r="AI1580" s="77" t="b">
        <v>0</v>
      </c>
      <c r="AJ1580" s="77"/>
      <c r="AK1580" s="77"/>
      <c r="AL1580" s="77"/>
      <c r="AM1580" s="77"/>
      <c r="AN1580" s="77"/>
      <c r="AO1580" s="77"/>
      <c r="AP1580" s="77"/>
      <c r="AQ1580" s="77" t="s">
        <v>14873</v>
      </c>
      <c r="AR1580" s="77"/>
      <c r="AS1580" s="77"/>
      <c r="AT1580" s="77"/>
      <c r="AU1580" s="77"/>
      <c r="AV1580" s="80" t="str">
        <f>HYPERLINK("https://pbs.twimg.com/media/F2Iwz7cXoAkzpzv.jpg")</f>
        <v>https://pbs.twimg.com/media/F2Iwz7cXoAkzpzv.jpg</v>
      </c>
      <c r="AW1580" s="82" t="s">
        <v>18351</v>
      </c>
      <c r="AX1580" s="82" t="s">
        <v>18351</v>
      </c>
      <c r="AY1580" s="77"/>
      <c r="AZ1580" s="82" t="s">
        <v>20971</v>
      </c>
      <c r="BA1580" s="82" t="s">
        <v>20971</v>
      </c>
      <c r="BB1580" s="82" t="s">
        <v>20971</v>
      </c>
      <c r="BC1580" s="82" t="s">
        <v>18351</v>
      </c>
      <c r="BD1580" s="82" t="s">
        <v>21274</v>
      </c>
      <c r="BE1580" s="77"/>
      <c r="BF1580" s="77"/>
      <c r="BG1580" s="77"/>
      <c r="BH1580" s="77"/>
      <c r="BI1580" s="77"/>
    </row>
    <row r="1581" spans="1:61" x14ac:dyDescent="0.25">
      <c r="A1581" s="62" t="s">
        <v>578</v>
      </c>
      <c r="B1581" s="62" t="s">
        <v>578</v>
      </c>
      <c r="C1581" s="63"/>
      <c r="D1581" s="64"/>
      <c r="E1581" s="65"/>
      <c r="F1581" s="66"/>
      <c r="G1581" s="63"/>
      <c r="H1581" s="67"/>
      <c r="I1581" s="68"/>
      <c r="J1581" s="68"/>
      <c r="K1581" s="32"/>
      <c r="L1581" s="75">
        <v>1581</v>
      </c>
      <c r="M1581" s="75"/>
      <c r="N1581" s="70"/>
      <c r="O1581" s="77" t="s">
        <v>1285</v>
      </c>
      <c r="P1581" s="79">
        <v>45135.456828703704</v>
      </c>
      <c r="Q1581" s="77" t="s">
        <v>2752</v>
      </c>
      <c r="R1581" s="77">
        <v>0</v>
      </c>
      <c r="S1581" s="77">
        <v>0</v>
      </c>
      <c r="T1581" s="77">
        <v>0</v>
      </c>
      <c r="U1581" s="77">
        <v>0</v>
      </c>
      <c r="V1581" s="77">
        <v>52</v>
      </c>
      <c r="W1581" s="82" t="s">
        <v>5848</v>
      </c>
      <c r="X1581" s="77"/>
      <c r="Y1581" s="77"/>
      <c r="Z1581" s="77" t="s">
        <v>7501</v>
      </c>
      <c r="AA1581" s="77" t="s">
        <v>8159</v>
      </c>
      <c r="AB1581" s="77" t="s">
        <v>10130</v>
      </c>
      <c r="AC1581" s="82" t="s">
        <v>10144</v>
      </c>
      <c r="AD1581" s="77" t="s">
        <v>10184</v>
      </c>
      <c r="AE1581" s="80" t="str">
        <f>HYPERLINK("https://twitter.com/workshopdantas/status/1684880840432721920")</f>
        <v>https://twitter.com/workshopdantas/status/1684880840432721920</v>
      </c>
      <c r="AF1581" s="79">
        <v>45135.456828703704</v>
      </c>
      <c r="AG1581" s="85">
        <v>45135</v>
      </c>
      <c r="AH1581" s="82" t="s">
        <v>11645</v>
      </c>
      <c r="AI1581" s="77" t="b">
        <v>0</v>
      </c>
      <c r="AJ1581" s="77"/>
      <c r="AK1581" s="77"/>
      <c r="AL1581" s="77"/>
      <c r="AM1581" s="77"/>
      <c r="AN1581" s="77"/>
      <c r="AO1581" s="77"/>
      <c r="AP1581" s="77"/>
      <c r="AQ1581" s="77" t="s">
        <v>14803</v>
      </c>
      <c r="AR1581" s="77"/>
      <c r="AS1581" s="77"/>
      <c r="AT1581" s="77"/>
      <c r="AU1581" s="77"/>
      <c r="AV1581" s="80" t="str">
        <f>HYPERLINK("https://pbs.twimg.com/media/F2HmMekbcAAuTpe.jpg")</f>
        <v>https://pbs.twimg.com/media/F2HmMekbcAAuTpe.jpg</v>
      </c>
      <c r="AW1581" s="82" t="s">
        <v>18281</v>
      </c>
      <c r="AX1581" s="82" t="s">
        <v>18281</v>
      </c>
      <c r="AY1581" s="77"/>
      <c r="AZ1581" s="82" t="s">
        <v>20971</v>
      </c>
      <c r="BA1581" s="82" t="s">
        <v>20971</v>
      </c>
      <c r="BB1581" s="82" t="s">
        <v>20971</v>
      </c>
      <c r="BC1581" s="82" t="s">
        <v>18281</v>
      </c>
      <c r="BD1581" s="82" t="s">
        <v>21274</v>
      </c>
      <c r="BE1581" s="77"/>
      <c r="BF1581" s="77"/>
      <c r="BG1581" s="77"/>
      <c r="BH1581" s="77"/>
      <c r="BI1581" s="77"/>
    </row>
    <row r="1582" spans="1:61" x14ac:dyDescent="0.25">
      <c r="A1582" s="62" t="s">
        <v>578</v>
      </c>
      <c r="B1582" s="62" t="s">
        <v>578</v>
      </c>
      <c r="C1582" s="63"/>
      <c r="D1582" s="64"/>
      <c r="E1582" s="65"/>
      <c r="F1582" s="66"/>
      <c r="G1582" s="63"/>
      <c r="H1582" s="67"/>
      <c r="I1582" s="68"/>
      <c r="J1582" s="68"/>
      <c r="K1582" s="32"/>
      <c r="L1582" s="75">
        <v>1582</v>
      </c>
      <c r="M1582" s="75"/>
      <c r="N1582" s="70"/>
      <c r="O1582" s="77" t="s">
        <v>1285</v>
      </c>
      <c r="P1582" s="79">
        <v>45120.403506944444</v>
      </c>
      <c r="Q1582" s="77" t="s">
        <v>2823</v>
      </c>
      <c r="R1582" s="77">
        <v>0</v>
      </c>
      <c r="S1582" s="77">
        <v>0</v>
      </c>
      <c r="T1582" s="77">
        <v>0</v>
      </c>
      <c r="U1582" s="77">
        <v>0</v>
      </c>
      <c r="V1582" s="77">
        <v>47</v>
      </c>
      <c r="W1582" s="82" t="s">
        <v>5911</v>
      </c>
      <c r="X1582" s="77"/>
      <c r="Y1582" s="77"/>
      <c r="Z1582" s="77" t="s">
        <v>578</v>
      </c>
      <c r="AA1582" s="77" t="s">
        <v>8230</v>
      </c>
      <c r="AB1582" s="77" t="s">
        <v>10130</v>
      </c>
      <c r="AC1582" s="82" t="s">
        <v>10144</v>
      </c>
      <c r="AD1582" s="77" t="s">
        <v>10184</v>
      </c>
      <c r="AE1582" s="80" t="str">
        <f>HYPERLINK("https://twitter.com/workshopdantas/status/1679425699512287236")</f>
        <v>https://twitter.com/workshopdantas/status/1679425699512287236</v>
      </c>
      <c r="AF1582" s="79">
        <v>45120.403506944444</v>
      </c>
      <c r="AG1582" s="85">
        <v>45120</v>
      </c>
      <c r="AH1582" s="82" t="s">
        <v>11715</v>
      </c>
      <c r="AI1582" s="77" t="b">
        <v>0</v>
      </c>
      <c r="AJ1582" s="77"/>
      <c r="AK1582" s="77"/>
      <c r="AL1582" s="77"/>
      <c r="AM1582" s="77"/>
      <c r="AN1582" s="77"/>
      <c r="AO1582" s="77"/>
      <c r="AP1582" s="77"/>
      <c r="AQ1582" s="77" t="s">
        <v>14874</v>
      </c>
      <c r="AR1582" s="77"/>
      <c r="AS1582" s="77"/>
      <c r="AT1582" s="77"/>
      <c r="AU1582" s="77"/>
      <c r="AV1582" s="80" t="str">
        <f>HYPERLINK("https://pbs.twimg.com/media/F06ExcgX0AAz6sS.jpg")</f>
        <v>https://pbs.twimg.com/media/F06ExcgX0AAz6sS.jpg</v>
      </c>
      <c r="AW1582" s="82" t="s">
        <v>18352</v>
      </c>
      <c r="AX1582" s="82" t="s">
        <v>18352</v>
      </c>
      <c r="AY1582" s="77"/>
      <c r="AZ1582" s="82" t="s">
        <v>20971</v>
      </c>
      <c r="BA1582" s="82" t="s">
        <v>20971</v>
      </c>
      <c r="BB1582" s="82" t="s">
        <v>20971</v>
      </c>
      <c r="BC1582" s="82" t="s">
        <v>18352</v>
      </c>
      <c r="BD1582" s="82" t="s">
        <v>21274</v>
      </c>
      <c r="BE1582" s="77"/>
      <c r="BF1582" s="77"/>
      <c r="BG1582" s="77"/>
      <c r="BH1582" s="77"/>
      <c r="BI1582" s="77"/>
    </row>
    <row r="1583" spans="1:61" x14ac:dyDescent="0.25">
      <c r="A1583" s="62" t="s">
        <v>578</v>
      </c>
      <c r="B1583" s="62" t="s">
        <v>578</v>
      </c>
      <c r="C1583" s="63"/>
      <c r="D1583" s="64"/>
      <c r="E1583" s="65"/>
      <c r="F1583" s="66"/>
      <c r="G1583" s="63"/>
      <c r="H1583" s="67"/>
      <c r="I1583" s="68"/>
      <c r="J1583" s="68"/>
      <c r="K1583" s="32"/>
      <c r="L1583" s="75">
        <v>1583</v>
      </c>
      <c r="M1583" s="75"/>
      <c r="N1583" s="70"/>
      <c r="O1583" s="77" t="s">
        <v>1285</v>
      </c>
      <c r="P1583" s="79">
        <v>45120.012754629628</v>
      </c>
      <c r="Q1583" s="77" t="s">
        <v>2824</v>
      </c>
      <c r="R1583" s="77">
        <v>0</v>
      </c>
      <c r="S1583" s="77">
        <v>0</v>
      </c>
      <c r="T1583" s="77">
        <v>1</v>
      </c>
      <c r="U1583" s="77">
        <v>0</v>
      </c>
      <c r="V1583" s="77">
        <v>45</v>
      </c>
      <c r="W1583" s="82" t="s">
        <v>5848</v>
      </c>
      <c r="X1583" s="77"/>
      <c r="Y1583" s="77"/>
      <c r="Z1583" s="77" t="s">
        <v>578</v>
      </c>
      <c r="AA1583" s="77" t="s">
        <v>8231</v>
      </c>
      <c r="AB1583" s="77" t="s">
        <v>10130</v>
      </c>
      <c r="AC1583" s="82" t="s">
        <v>10144</v>
      </c>
      <c r="AD1583" s="77" t="s">
        <v>10184</v>
      </c>
      <c r="AE1583" s="80" t="str">
        <f>HYPERLINK("https://twitter.com/workshopdantas/status/1679284094331416579")</f>
        <v>https://twitter.com/workshopdantas/status/1679284094331416579</v>
      </c>
      <c r="AF1583" s="79">
        <v>45120.012754629628</v>
      </c>
      <c r="AG1583" s="85">
        <v>45120</v>
      </c>
      <c r="AH1583" s="82" t="s">
        <v>11716</v>
      </c>
      <c r="AI1583" s="77" t="b">
        <v>0</v>
      </c>
      <c r="AJ1583" s="77"/>
      <c r="AK1583" s="77"/>
      <c r="AL1583" s="77"/>
      <c r="AM1583" s="77"/>
      <c r="AN1583" s="77"/>
      <c r="AO1583" s="77"/>
      <c r="AP1583" s="77"/>
      <c r="AQ1583" s="77" t="s">
        <v>14875</v>
      </c>
      <c r="AR1583" s="77"/>
      <c r="AS1583" s="77"/>
      <c r="AT1583" s="77"/>
      <c r="AU1583" s="77"/>
      <c r="AV1583" s="80" t="str">
        <f>HYPERLINK("https://pbs.twimg.com/media/F04D-mEX0AEh8IS.jpg")</f>
        <v>https://pbs.twimg.com/media/F04D-mEX0AEh8IS.jpg</v>
      </c>
      <c r="AW1583" s="82" t="s">
        <v>18353</v>
      </c>
      <c r="AX1583" s="82" t="s">
        <v>18353</v>
      </c>
      <c r="AY1583" s="77"/>
      <c r="AZ1583" s="82" t="s">
        <v>20971</v>
      </c>
      <c r="BA1583" s="82" t="s">
        <v>20971</v>
      </c>
      <c r="BB1583" s="82" t="s">
        <v>20971</v>
      </c>
      <c r="BC1583" s="82" t="s">
        <v>18353</v>
      </c>
      <c r="BD1583" s="82" t="s">
        <v>21274</v>
      </c>
      <c r="BE1583" s="77"/>
      <c r="BF1583" s="77"/>
      <c r="BG1583" s="77"/>
      <c r="BH1583" s="77"/>
      <c r="BI1583" s="77"/>
    </row>
    <row r="1584" spans="1:61" x14ac:dyDescent="0.25">
      <c r="A1584" s="62" t="s">
        <v>578</v>
      </c>
      <c r="B1584" s="62" t="s">
        <v>578</v>
      </c>
      <c r="C1584" s="63"/>
      <c r="D1584" s="64"/>
      <c r="E1584" s="65"/>
      <c r="F1584" s="66"/>
      <c r="G1584" s="63"/>
      <c r="H1584" s="67"/>
      <c r="I1584" s="68"/>
      <c r="J1584" s="68"/>
      <c r="K1584" s="32"/>
      <c r="L1584" s="75">
        <v>1584</v>
      </c>
      <c r="M1584" s="75"/>
      <c r="N1584" s="70"/>
      <c r="O1584" s="77" t="s">
        <v>1285</v>
      </c>
      <c r="P1584" s="79">
        <v>45119.478668981479</v>
      </c>
      <c r="Q1584" s="77" t="s">
        <v>2753</v>
      </c>
      <c r="R1584" s="77">
        <v>0</v>
      </c>
      <c r="S1584" s="77">
        <v>2</v>
      </c>
      <c r="T1584" s="77">
        <v>1</v>
      </c>
      <c r="U1584" s="77">
        <v>0</v>
      </c>
      <c r="V1584" s="77">
        <v>47</v>
      </c>
      <c r="W1584" s="82" t="s">
        <v>5848</v>
      </c>
      <c r="X1584" s="77"/>
      <c r="Y1584" s="77"/>
      <c r="Z1584" s="77" t="s">
        <v>7502</v>
      </c>
      <c r="AA1584" s="77" t="s">
        <v>8160</v>
      </c>
      <c r="AB1584" s="77" t="s">
        <v>10130</v>
      </c>
      <c r="AC1584" s="82" t="s">
        <v>10144</v>
      </c>
      <c r="AD1584" s="77" t="s">
        <v>10184</v>
      </c>
      <c r="AE1584" s="80" t="str">
        <f>HYPERLINK("https://twitter.com/workshopdantas/status/1679090549804900352")</f>
        <v>https://twitter.com/workshopdantas/status/1679090549804900352</v>
      </c>
      <c r="AF1584" s="79">
        <v>45119.478668981479</v>
      </c>
      <c r="AG1584" s="85">
        <v>45119</v>
      </c>
      <c r="AH1584" s="82" t="s">
        <v>11646</v>
      </c>
      <c r="AI1584" s="77" t="b">
        <v>0</v>
      </c>
      <c r="AJ1584" s="77"/>
      <c r="AK1584" s="77"/>
      <c r="AL1584" s="77"/>
      <c r="AM1584" s="77"/>
      <c r="AN1584" s="77"/>
      <c r="AO1584" s="77"/>
      <c r="AP1584" s="77"/>
      <c r="AQ1584" s="77" t="s">
        <v>14804</v>
      </c>
      <c r="AR1584" s="77"/>
      <c r="AS1584" s="77"/>
      <c r="AT1584" s="77"/>
      <c r="AU1584" s="77"/>
      <c r="AV1584" s="80" t="str">
        <f>HYPERLINK("https://pbs.twimg.com/media/F01T9MnWYAAqxnf.jpg")</f>
        <v>https://pbs.twimg.com/media/F01T9MnWYAAqxnf.jpg</v>
      </c>
      <c r="AW1584" s="82" t="s">
        <v>18282</v>
      </c>
      <c r="AX1584" s="82" t="s">
        <v>18282</v>
      </c>
      <c r="AY1584" s="77"/>
      <c r="AZ1584" s="82" t="s">
        <v>20971</v>
      </c>
      <c r="BA1584" s="82" t="s">
        <v>20971</v>
      </c>
      <c r="BB1584" s="82" t="s">
        <v>20971</v>
      </c>
      <c r="BC1584" s="82" t="s">
        <v>18282</v>
      </c>
      <c r="BD1584" s="82" t="s">
        <v>21274</v>
      </c>
      <c r="BE1584" s="77"/>
      <c r="BF1584" s="77"/>
      <c r="BG1584" s="77"/>
      <c r="BH1584" s="77"/>
      <c r="BI1584" s="77"/>
    </row>
    <row r="1585" spans="1:61" x14ac:dyDescent="0.25">
      <c r="A1585" s="62" t="s">
        <v>578</v>
      </c>
      <c r="B1585" s="62" t="s">
        <v>578</v>
      </c>
      <c r="C1585" s="63"/>
      <c r="D1585" s="64"/>
      <c r="E1585" s="65"/>
      <c r="F1585" s="66"/>
      <c r="G1585" s="63"/>
      <c r="H1585" s="67"/>
      <c r="I1585" s="68"/>
      <c r="J1585" s="68"/>
      <c r="K1585" s="32"/>
      <c r="L1585" s="75">
        <v>1585</v>
      </c>
      <c r="M1585" s="75"/>
      <c r="N1585" s="70"/>
      <c r="O1585" s="77" t="s">
        <v>1285</v>
      </c>
      <c r="P1585" s="79">
        <v>45118.489050925928</v>
      </c>
      <c r="Q1585" s="77" t="s">
        <v>2825</v>
      </c>
      <c r="R1585" s="77">
        <v>0</v>
      </c>
      <c r="S1585" s="77">
        <v>0</v>
      </c>
      <c r="T1585" s="77">
        <v>0</v>
      </c>
      <c r="U1585" s="77">
        <v>0</v>
      </c>
      <c r="V1585" s="77">
        <v>40</v>
      </c>
      <c r="W1585" s="82" t="s">
        <v>5912</v>
      </c>
      <c r="X1585" s="77"/>
      <c r="Y1585" s="77"/>
      <c r="Z1585" s="77" t="s">
        <v>578</v>
      </c>
      <c r="AA1585" s="77" t="s">
        <v>8232</v>
      </c>
      <c r="AB1585" s="77" t="s">
        <v>10130</v>
      </c>
      <c r="AC1585" s="82" t="s">
        <v>10144</v>
      </c>
      <c r="AD1585" s="77" t="s">
        <v>10184</v>
      </c>
      <c r="AE1585" s="80" t="str">
        <f>HYPERLINK("https://twitter.com/workshopdantas/status/1678731922816499713")</f>
        <v>https://twitter.com/workshopdantas/status/1678731922816499713</v>
      </c>
      <c r="AF1585" s="79">
        <v>45118.489050925928</v>
      </c>
      <c r="AG1585" s="85">
        <v>45118</v>
      </c>
      <c r="AH1585" s="82" t="s">
        <v>11717</v>
      </c>
      <c r="AI1585" s="77" t="b">
        <v>0</v>
      </c>
      <c r="AJ1585" s="77"/>
      <c r="AK1585" s="77"/>
      <c r="AL1585" s="77"/>
      <c r="AM1585" s="77"/>
      <c r="AN1585" s="77"/>
      <c r="AO1585" s="77"/>
      <c r="AP1585" s="77"/>
      <c r="AQ1585" s="77" t="s">
        <v>14876</v>
      </c>
      <c r="AR1585" s="77"/>
      <c r="AS1585" s="77"/>
      <c r="AT1585" s="77"/>
      <c r="AU1585" s="77"/>
      <c r="AV1585" s="80" t="str">
        <f>HYPERLINK("https://pbs.twimg.com/media/F0wNyURXsAEjUmQ.jpg")</f>
        <v>https://pbs.twimg.com/media/F0wNyURXsAEjUmQ.jpg</v>
      </c>
      <c r="AW1585" s="82" t="s">
        <v>18354</v>
      </c>
      <c r="AX1585" s="82" t="s">
        <v>18354</v>
      </c>
      <c r="AY1585" s="77"/>
      <c r="AZ1585" s="82" t="s">
        <v>20971</v>
      </c>
      <c r="BA1585" s="82" t="s">
        <v>20971</v>
      </c>
      <c r="BB1585" s="82" t="s">
        <v>20971</v>
      </c>
      <c r="BC1585" s="82" t="s">
        <v>18354</v>
      </c>
      <c r="BD1585" s="82" t="s">
        <v>21274</v>
      </c>
      <c r="BE1585" s="77"/>
      <c r="BF1585" s="77"/>
      <c r="BG1585" s="77"/>
      <c r="BH1585" s="77"/>
      <c r="BI1585" s="77"/>
    </row>
    <row r="1586" spans="1:61" x14ac:dyDescent="0.25">
      <c r="A1586" s="62" t="s">
        <v>578</v>
      </c>
      <c r="B1586" s="62" t="s">
        <v>578</v>
      </c>
      <c r="C1586" s="63"/>
      <c r="D1586" s="64"/>
      <c r="E1586" s="65"/>
      <c r="F1586" s="66"/>
      <c r="G1586" s="63"/>
      <c r="H1586" s="67"/>
      <c r="I1586" s="68"/>
      <c r="J1586" s="68"/>
      <c r="K1586" s="32"/>
      <c r="L1586" s="75">
        <v>1586</v>
      </c>
      <c r="M1586" s="75"/>
      <c r="N1586" s="70"/>
      <c r="O1586" s="77" t="s">
        <v>1285</v>
      </c>
      <c r="P1586" s="79">
        <v>45117.702488425923</v>
      </c>
      <c r="Q1586" s="77" t="s">
        <v>2826</v>
      </c>
      <c r="R1586" s="77">
        <v>1</v>
      </c>
      <c r="S1586" s="77">
        <v>4</v>
      </c>
      <c r="T1586" s="77">
        <v>2</v>
      </c>
      <c r="U1586" s="77">
        <v>0</v>
      </c>
      <c r="V1586" s="77">
        <v>735</v>
      </c>
      <c r="W1586" s="82" t="s">
        <v>5913</v>
      </c>
      <c r="X1586" s="77"/>
      <c r="Y1586" s="77"/>
      <c r="Z1586" s="77" t="s">
        <v>578</v>
      </c>
      <c r="AA1586" s="77" t="s">
        <v>8233</v>
      </c>
      <c r="AB1586" s="77" t="s">
        <v>10130</v>
      </c>
      <c r="AC1586" s="82" t="s">
        <v>10144</v>
      </c>
      <c r="AD1586" s="77" t="s">
        <v>10184</v>
      </c>
      <c r="AE1586" s="80" t="str">
        <f>HYPERLINK("https://twitter.com/workshopdantas/status/1678446881465147429")</f>
        <v>https://twitter.com/workshopdantas/status/1678446881465147429</v>
      </c>
      <c r="AF1586" s="79">
        <v>45117.702488425923</v>
      </c>
      <c r="AG1586" s="85">
        <v>45117</v>
      </c>
      <c r="AH1586" s="82" t="s">
        <v>11718</v>
      </c>
      <c r="AI1586" s="77" t="b">
        <v>0</v>
      </c>
      <c r="AJ1586" s="77"/>
      <c r="AK1586" s="77"/>
      <c r="AL1586" s="77"/>
      <c r="AM1586" s="77"/>
      <c r="AN1586" s="77"/>
      <c r="AO1586" s="77"/>
      <c r="AP1586" s="77"/>
      <c r="AQ1586" s="77" t="s">
        <v>14877</v>
      </c>
      <c r="AR1586" s="77"/>
      <c r="AS1586" s="77"/>
      <c r="AT1586" s="77"/>
      <c r="AU1586" s="77"/>
      <c r="AV1586" s="80" t="str">
        <f>HYPERLINK("https://pbs.twimg.com/media/F0sKijNXoAATLUe.jpg")</f>
        <v>https://pbs.twimg.com/media/F0sKijNXoAATLUe.jpg</v>
      </c>
      <c r="AW1586" s="82" t="s">
        <v>18355</v>
      </c>
      <c r="AX1586" s="82" t="s">
        <v>18355</v>
      </c>
      <c r="AY1586" s="77"/>
      <c r="AZ1586" s="82" t="s">
        <v>20971</v>
      </c>
      <c r="BA1586" s="82" t="s">
        <v>20971</v>
      </c>
      <c r="BB1586" s="82" t="s">
        <v>20971</v>
      </c>
      <c r="BC1586" s="82" t="s">
        <v>18355</v>
      </c>
      <c r="BD1586" s="82" t="s">
        <v>21274</v>
      </c>
      <c r="BE1586" s="77"/>
      <c r="BF1586" s="77"/>
      <c r="BG1586" s="77"/>
      <c r="BH1586" s="77"/>
      <c r="BI1586" s="77"/>
    </row>
    <row r="1587" spans="1:61" x14ac:dyDescent="0.25">
      <c r="A1587" s="62" t="s">
        <v>579</v>
      </c>
      <c r="B1587" s="62" t="s">
        <v>579</v>
      </c>
      <c r="C1587" s="63"/>
      <c r="D1587" s="64"/>
      <c r="E1587" s="65"/>
      <c r="F1587" s="66"/>
      <c r="G1587" s="63"/>
      <c r="H1587" s="67"/>
      <c r="I1587" s="68"/>
      <c r="J1587" s="68"/>
      <c r="K1587" s="32"/>
      <c r="L1587" s="75">
        <v>1587</v>
      </c>
      <c r="M1587" s="75"/>
      <c r="N1587" s="70"/>
      <c r="O1587" s="77" t="s">
        <v>179</v>
      </c>
      <c r="P1587" s="79">
        <v>45167.517696759256</v>
      </c>
      <c r="Q1587" s="77" t="s">
        <v>2827</v>
      </c>
      <c r="R1587" s="77">
        <v>0</v>
      </c>
      <c r="S1587" s="77">
        <v>7</v>
      </c>
      <c r="T1587" s="77">
        <v>0</v>
      </c>
      <c r="U1587" s="77">
        <v>0</v>
      </c>
      <c r="V1587" s="77">
        <v>620</v>
      </c>
      <c r="W1587" s="82" t="s">
        <v>5253</v>
      </c>
      <c r="X1587" s="80" t="str">
        <f>HYPERLINK("https://cultura.uol.com.br/noticias/60975_quase-um-terco-dos-brasileiros-precisam-complementar-a-renda-diz-pesquisa.html")</f>
        <v>https://cultura.uol.com.br/noticias/60975_quase-um-terco-dos-brasileiros-precisam-complementar-a-renda-diz-pesquisa.html</v>
      </c>
      <c r="Y1587" s="77" t="s">
        <v>7252</v>
      </c>
      <c r="Z1587" s="77"/>
      <c r="AA1587" s="77"/>
      <c r="AB1587" s="77"/>
      <c r="AC1587" s="82" t="s">
        <v>10146</v>
      </c>
      <c r="AD1587" s="77" t="s">
        <v>10184</v>
      </c>
      <c r="AE1587" s="80" t="str">
        <f>HYPERLINK("https://twitter.com/jornal_cultura/status/1696499310148362636")</f>
        <v>https://twitter.com/jornal_cultura/status/1696499310148362636</v>
      </c>
      <c r="AF1587" s="79">
        <v>45167.517696759256</v>
      </c>
      <c r="AG1587" s="85">
        <v>45167</v>
      </c>
      <c r="AH1587" s="82" t="s">
        <v>11719</v>
      </c>
      <c r="AI1587" s="77" t="b">
        <v>0</v>
      </c>
      <c r="AJ1587" s="77"/>
      <c r="AK1587" s="77"/>
      <c r="AL1587" s="77"/>
      <c r="AM1587" s="77"/>
      <c r="AN1587" s="77"/>
      <c r="AO1587" s="77"/>
      <c r="AP1587" s="77"/>
      <c r="AQ1587" s="77"/>
      <c r="AR1587" s="77"/>
      <c r="AS1587" s="77"/>
      <c r="AT1587" s="77"/>
      <c r="AU1587" s="77"/>
      <c r="AV1587" s="80" t="str">
        <f>HYPERLINK("https://pbs.twimg.com/profile_images/1252333649548148737/tsuJ5rGh_normal.jpg")</f>
        <v>https://pbs.twimg.com/profile_images/1252333649548148737/tsuJ5rGh_normal.jpg</v>
      </c>
      <c r="AW1587" s="82" t="s">
        <v>18356</v>
      </c>
      <c r="AX1587" s="82" t="s">
        <v>18356</v>
      </c>
      <c r="AY1587" s="77"/>
      <c r="AZ1587" s="82" t="s">
        <v>20971</v>
      </c>
      <c r="BA1587" s="82" t="s">
        <v>20971</v>
      </c>
      <c r="BB1587" s="82" t="s">
        <v>20971</v>
      </c>
      <c r="BC1587" s="82" t="s">
        <v>18356</v>
      </c>
      <c r="BD1587" s="77">
        <v>126750296</v>
      </c>
      <c r="BE1587" s="77"/>
      <c r="BF1587" s="77"/>
      <c r="BG1587" s="77"/>
      <c r="BH1587" s="77"/>
      <c r="BI1587" s="77"/>
    </row>
    <row r="1588" spans="1:61" x14ac:dyDescent="0.25">
      <c r="A1588" s="62" t="s">
        <v>580</v>
      </c>
      <c r="B1588" s="62" t="s">
        <v>580</v>
      </c>
      <c r="C1588" s="63"/>
      <c r="D1588" s="64"/>
      <c r="E1588" s="65"/>
      <c r="F1588" s="66"/>
      <c r="G1588" s="63"/>
      <c r="H1588" s="67"/>
      <c r="I1588" s="68"/>
      <c r="J1588" s="68"/>
      <c r="K1588" s="32"/>
      <c r="L1588" s="75">
        <v>1588</v>
      </c>
      <c r="M1588" s="75"/>
      <c r="N1588" s="70"/>
      <c r="O1588" s="77" t="s">
        <v>179</v>
      </c>
      <c r="P1588" s="79">
        <v>45126.035729166666</v>
      </c>
      <c r="Q1588" s="77" t="s">
        <v>2828</v>
      </c>
      <c r="R1588" s="77">
        <v>0</v>
      </c>
      <c r="S1588" s="77">
        <v>0</v>
      </c>
      <c r="T1588" s="77">
        <v>0</v>
      </c>
      <c r="U1588" s="77">
        <v>0</v>
      </c>
      <c r="V1588" s="77">
        <v>26</v>
      </c>
      <c r="W1588" s="82" t="s">
        <v>5914</v>
      </c>
      <c r="X1588" s="80" t="str">
        <f>HYPERLINK("https://hotm.art/EZqi5K")</f>
        <v>https://hotm.art/EZqi5K</v>
      </c>
      <c r="Y1588" s="77" t="s">
        <v>7260</v>
      </c>
      <c r="Z1588" s="77"/>
      <c r="AA1588" s="77" t="s">
        <v>8234</v>
      </c>
      <c r="AB1588" s="77" t="s">
        <v>10130</v>
      </c>
      <c r="AC1588" s="82" t="s">
        <v>10146</v>
      </c>
      <c r="AD1588" s="77" t="s">
        <v>10184</v>
      </c>
      <c r="AE1588" s="80" t="str">
        <f>HYPERLINK("https://twitter.com/cs_gameplayyt/status/1681466746429906947")</f>
        <v>https://twitter.com/cs_gameplayyt/status/1681466746429906947</v>
      </c>
      <c r="AF1588" s="79">
        <v>45126.035729166666</v>
      </c>
      <c r="AG1588" s="85">
        <v>45126</v>
      </c>
      <c r="AH1588" s="82" t="s">
        <v>11433</v>
      </c>
      <c r="AI1588" s="77" t="b">
        <v>0</v>
      </c>
      <c r="AJ1588" s="77"/>
      <c r="AK1588" s="77"/>
      <c r="AL1588" s="77"/>
      <c r="AM1588" s="77"/>
      <c r="AN1588" s="77"/>
      <c r="AO1588" s="77"/>
      <c r="AP1588" s="77"/>
      <c r="AQ1588" s="77" t="s">
        <v>14878</v>
      </c>
      <c r="AR1588" s="77"/>
      <c r="AS1588" s="77"/>
      <c r="AT1588" s="77"/>
      <c r="AU1588" s="77"/>
      <c r="AV1588" s="80" t="str">
        <f>HYPERLINK("https://pbs.twimg.com/media/F1XE4FXWcAUf7XB.jpg")</f>
        <v>https://pbs.twimg.com/media/F1XE4FXWcAUf7XB.jpg</v>
      </c>
      <c r="AW1588" s="82" t="s">
        <v>18357</v>
      </c>
      <c r="AX1588" s="82" t="s">
        <v>18357</v>
      </c>
      <c r="AY1588" s="77"/>
      <c r="AZ1588" s="82" t="s">
        <v>20971</v>
      </c>
      <c r="BA1588" s="82" t="s">
        <v>20971</v>
      </c>
      <c r="BB1588" s="82" t="s">
        <v>20971</v>
      </c>
      <c r="BC1588" s="82" t="s">
        <v>18357</v>
      </c>
      <c r="BD1588" s="82" t="s">
        <v>21275</v>
      </c>
      <c r="BE1588" s="77"/>
      <c r="BF1588" s="77"/>
      <c r="BG1588" s="77"/>
      <c r="BH1588" s="77"/>
      <c r="BI1588" s="77"/>
    </row>
    <row r="1589" spans="1:61" x14ac:dyDescent="0.25">
      <c r="A1589" s="62" t="s">
        <v>581</v>
      </c>
      <c r="B1589" s="62" t="s">
        <v>581</v>
      </c>
      <c r="C1589" s="63"/>
      <c r="D1589" s="64"/>
      <c r="E1589" s="65"/>
      <c r="F1589" s="66"/>
      <c r="G1589" s="63"/>
      <c r="H1589" s="67"/>
      <c r="I1589" s="68"/>
      <c r="J1589" s="68"/>
      <c r="K1589" s="32"/>
      <c r="L1589" s="75">
        <v>1589</v>
      </c>
      <c r="M1589" s="75"/>
      <c r="N1589" s="70"/>
      <c r="O1589" s="77" t="s">
        <v>179</v>
      </c>
      <c r="P1589" s="79">
        <v>45115.77685185185</v>
      </c>
      <c r="Q1589" s="77" t="s">
        <v>2829</v>
      </c>
      <c r="R1589" s="77">
        <v>0</v>
      </c>
      <c r="S1589" s="77">
        <v>0</v>
      </c>
      <c r="T1589" s="77">
        <v>0</v>
      </c>
      <c r="U1589" s="77">
        <v>0</v>
      </c>
      <c r="V1589" s="77">
        <v>83</v>
      </c>
      <c r="W1589" s="82" t="s">
        <v>5915</v>
      </c>
      <c r="X1589" s="77"/>
      <c r="Y1589" s="77"/>
      <c r="Z1589" s="77"/>
      <c r="AA1589" s="77" t="s">
        <v>8235</v>
      </c>
      <c r="AB1589" s="77" t="s">
        <v>10130</v>
      </c>
      <c r="AC1589" s="82" t="s">
        <v>10146</v>
      </c>
      <c r="AD1589" s="77" t="s">
        <v>10184</v>
      </c>
      <c r="AE1589" s="80" t="str">
        <f>HYPERLINK("https://twitter.com/gustavo08303601/status/1677749056100024320")</f>
        <v>https://twitter.com/gustavo08303601/status/1677749056100024320</v>
      </c>
      <c r="AF1589" s="79">
        <v>45115.77685185185</v>
      </c>
      <c r="AG1589" s="85">
        <v>45115</v>
      </c>
      <c r="AH1589" s="82" t="s">
        <v>11720</v>
      </c>
      <c r="AI1589" s="77" t="b">
        <v>0</v>
      </c>
      <c r="AJ1589" s="77"/>
      <c r="AK1589" s="77"/>
      <c r="AL1589" s="77"/>
      <c r="AM1589" s="77"/>
      <c r="AN1589" s="77"/>
      <c r="AO1589" s="77"/>
      <c r="AP1589" s="77"/>
      <c r="AQ1589" s="77" t="s">
        <v>14879</v>
      </c>
      <c r="AR1589" s="77"/>
      <c r="AS1589" s="77"/>
      <c r="AT1589" s="77"/>
      <c r="AU1589" s="77"/>
      <c r="AV1589" s="80" t="str">
        <f>HYPERLINK("https://pbs.twimg.com/media/F0iPgHoWIAIn6bm.jpg")</f>
        <v>https://pbs.twimg.com/media/F0iPgHoWIAIn6bm.jpg</v>
      </c>
      <c r="AW1589" s="82" t="s">
        <v>18358</v>
      </c>
      <c r="AX1589" s="82" t="s">
        <v>18358</v>
      </c>
      <c r="AY1589" s="77"/>
      <c r="AZ1589" s="82" t="s">
        <v>20971</v>
      </c>
      <c r="BA1589" s="82" t="s">
        <v>20971</v>
      </c>
      <c r="BB1589" s="82" t="s">
        <v>20971</v>
      </c>
      <c r="BC1589" s="82" t="s">
        <v>18358</v>
      </c>
      <c r="BD1589" s="82" t="s">
        <v>21276</v>
      </c>
      <c r="BE1589" s="77"/>
      <c r="BF1589" s="77"/>
      <c r="BG1589" s="77"/>
      <c r="BH1589" s="77"/>
      <c r="BI1589" s="77"/>
    </row>
    <row r="1590" spans="1:61" x14ac:dyDescent="0.25">
      <c r="A1590" s="62" t="s">
        <v>582</v>
      </c>
      <c r="B1590" s="62" t="s">
        <v>582</v>
      </c>
      <c r="C1590" s="63"/>
      <c r="D1590" s="64"/>
      <c r="E1590" s="65"/>
      <c r="F1590" s="66"/>
      <c r="G1590" s="63"/>
      <c r="H1590" s="67"/>
      <c r="I1590" s="68"/>
      <c r="J1590" s="68"/>
      <c r="K1590" s="32"/>
      <c r="L1590" s="75">
        <v>1590</v>
      </c>
      <c r="M1590" s="75"/>
      <c r="N1590" s="70"/>
      <c r="O1590" s="77" t="s">
        <v>179</v>
      </c>
      <c r="P1590" s="79">
        <v>44986.733113425929</v>
      </c>
      <c r="Q1590" s="77" t="s">
        <v>2830</v>
      </c>
      <c r="R1590" s="77">
        <v>0</v>
      </c>
      <c r="S1590" s="77">
        <v>0</v>
      </c>
      <c r="T1590" s="77">
        <v>0</v>
      </c>
      <c r="U1590" s="77">
        <v>0</v>
      </c>
      <c r="V1590" s="77">
        <v>54</v>
      </c>
      <c r="W1590" s="82" t="s">
        <v>5916</v>
      </c>
      <c r="X1590" s="77"/>
      <c r="Y1590" s="77"/>
      <c r="Z1590" s="77"/>
      <c r="AA1590" s="77" t="s">
        <v>8236</v>
      </c>
      <c r="AB1590" s="77" t="s">
        <v>10129</v>
      </c>
      <c r="AC1590" s="82" t="s">
        <v>10144</v>
      </c>
      <c r="AD1590" s="77" t="s">
        <v>10184</v>
      </c>
      <c r="AE1590" s="80" t="str">
        <f>HYPERLINK("https://twitter.com/leandromunizmkt/status/1630985168704995349")</f>
        <v>https://twitter.com/leandromunizmkt/status/1630985168704995349</v>
      </c>
      <c r="AF1590" s="79">
        <v>44986.733113425929</v>
      </c>
      <c r="AG1590" s="85">
        <v>44986</v>
      </c>
      <c r="AH1590" s="82" t="s">
        <v>11721</v>
      </c>
      <c r="AI1590" s="77" t="b">
        <v>0</v>
      </c>
      <c r="AJ1590" s="77"/>
      <c r="AK1590" s="77"/>
      <c r="AL1590" s="77"/>
      <c r="AM1590" s="77"/>
      <c r="AN1590" s="77"/>
      <c r="AO1590" s="77"/>
      <c r="AP1590" s="77"/>
      <c r="AQ1590" s="77" t="s">
        <v>14880</v>
      </c>
      <c r="AR1590" s="77">
        <v>57545</v>
      </c>
      <c r="AS1590" s="77"/>
      <c r="AT1590" s="77"/>
      <c r="AU1590" s="77"/>
      <c r="AV1590" s="80" t="str">
        <f>HYPERLINK("https://pbs.twimg.com/ext_tw_video_thumb/1630985074207326225/pu/img/zqKXLSajSd2qJ4bT.jpg")</f>
        <v>https://pbs.twimg.com/ext_tw_video_thumb/1630985074207326225/pu/img/zqKXLSajSd2qJ4bT.jpg</v>
      </c>
      <c r="AW1590" s="82" t="s">
        <v>18359</v>
      </c>
      <c r="AX1590" s="82" t="s">
        <v>18359</v>
      </c>
      <c r="AY1590" s="77"/>
      <c r="AZ1590" s="82" t="s">
        <v>20971</v>
      </c>
      <c r="BA1590" s="82" t="s">
        <v>20971</v>
      </c>
      <c r="BB1590" s="82" t="s">
        <v>20971</v>
      </c>
      <c r="BC1590" s="82" t="s">
        <v>18359</v>
      </c>
      <c r="BD1590" s="82" t="s">
        <v>21277</v>
      </c>
      <c r="BE1590" s="77"/>
      <c r="BF1590" s="77"/>
      <c r="BG1590" s="77"/>
      <c r="BH1590" s="77"/>
      <c r="BI1590" s="77"/>
    </row>
    <row r="1591" spans="1:61" x14ac:dyDescent="0.25">
      <c r="A1591" s="62" t="s">
        <v>582</v>
      </c>
      <c r="B1591" s="62" t="s">
        <v>582</v>
      </c>
      <c r="C1591" s="63"/>
      <c r="D1591" s="64"/>
      <c r="E1591" s="65"/>
      <c r="F1591" s="66"/>
      <c r="G1591" s="63"/>
      <c r="H1591" s="67"/>
      <c r="I1591" s="68"/>
      <c r="J1591" s="68"/>
      <c r="K1591" s="32"/>
      <c r="L1591" s="75">
        <v>1591</v>
      </c>
      <c r="M1591" s="75"/>
      <c r="N1591" s="70"/>
      <c r="O1591" s="77" t="s">
        <v>179</v>
      </c>
      <c r="P1591" s="79">
        <v>45042.905081018522</v>
      </c>
      <c r="Q1591" s="77" t="s">
        <v>2831</v>
      </c>
      <c r="R1591" s="77">
        <v>0</v>
      </c>
      <c r="S1591" s="77">
        <v>0</v>
      </c>
      <c r="T1591" s="77">
        <v>0</v>
      </c>
      <c r="U1591" s="77">
        <v>0</v>
      </c>
      <c r="V1591" s="77">
        <v>92</v>
      </c>
      <c r="W1591" s="82" t="s">
        <v>5917</v>
      </c>
      <c r="X1591" s="77"/>
      <c r="Y1591" s="77"/>
      <c r="Z1591" s="77"/>
      <c r="AA1591" s="77" t="s">
        <v>8237</v>
      </c>
      <c r="AB1591" s="77" t="s">
        <v>10129</v>
      </c>
      <c r="AC1591" s="82" t="s">
        <v>10144</v>
      </c>
      <c r="AD1591" s="77" t="s">
        <v>10184</v>
      </c>
      <c r="AE1591" s="80" t="str">
        <f>HYPERLINK("https://twitter.com/leandromunizmkt/status/1651341210433339392")</f>
        <v>https://twitter.com/leandromunizmkt/status/1651341210433339392</v>
      </c>
      <c r="AF1591" s="79">
        <v>45042.905081018522</v>
      </c>
      <c r="AG1591" s="85">
        <v>45042</v>
      </c>
      <c r="AH1591" s="82" t="s">
        <v>11722</v>
      </c>
      <c r="AI1591" s="77" t="b">
        <v>0</v>
      </c>
      <c r="AJ1591" s="77"/>
      <c r="AK1591" s="77"/>
      <c r="AL1591" s="77"/>
      <c r="AM1591" s="77"/>
      <c r="AN1591" s="77"/>
      <c r="AO1591" s="77"/>
      <c r="AP1591" s="77"/>
      <c r="AQ1591" s="77" t="s">
        <v>14881</v>
      </c>
      <c r="AR1591" s="77">
        <v>59833</v>
      </c>
      <c r="AS1591" s="77"/>
      <c r="AT1591" s="77"/>
      <c r="AU1591" s="77"/>
      <c r="AV1591" s="80" t="str">
        <f>HYPERLINK("https://pbs.twimg.com/ext_tw_video_thumb/1651341140346404871/pu/img/Y7mo3HJNqzNJGsaG.jpg")</f>
        <v>https://pbs.twimg.com/ext_tw_video_thumb/1651341140346404871/pu/img/Y7mo3HJNqzNJGsaG.jpg</v>
      </c>
      <c r="AW1591" s="82" t="s">
        <v>18360</v>
      </c>
      <c r="AX1591" s="82" t="s">
        <v>18360</v>
      </c>
      <c r="AY1591" s="77"/>
      <c r="AZ1591" s="82" t="s">
        <v>20971</v>
      </c>
      <c r="BA1591" s="82" t="s">
        <v>20971</v>
      </c>
      <c r="BB1591" s="82" t="s">
        <v>20971</v>
      </c>
      <c r="BC1591" s="82" t="s">
        <v>18360</v>
      </c>
      <c r="BD1591" s="82" t="s">
        <v>21277</v>
      </c>
      <c r="BE1591" s="77"/>
      <c r="BF1591" s="77"/>
      <c r="BG1591" s="77"/>
      <c r="BH1591" s="77"/>
      <c r="BI1591" s="77"/>
    </row>
    <row r="1592" spans="1:61" x14ac:dyDescent="0.25">
      <c r="A1592" s="62" t="s">
        <v>582</v>
      </c>
      <c r="B1592" s="62" t="s">
        <v>582</v>
      </c>
      <c r="C1592" s="63"/>
      <c r="D1592" s="64"/>
      <c r="E1592" s="65"/>
      <c r="F1592" s="66"/>
      <c r="G1592" s="63"/>
      <c r="H1592" s="67"/>
      <c r="I1592" s="68"/>
      <c r="J1592" s="68"/>
      <c r="K1592" s="32"/>
      <c r="L1592" s="75">
        <v>1592</v>
      </c>
      <c r="M1592" s="75"/>
      <c r="N1592" s="70"/>
      <c r="O1592" s="77" t="s">
        <v>179</v>
      </c>
      <c r="P1592" s="79">
        <v>45049.948506944442</v>
      </c>
      <c r="Q1592" s="77" t="s">
        <v>2832</v>
      </c>
      <c r="R1592" s="77">
        <v>0</v>
      </c>
      <c r="S1592" s="77">
        <v>0</v>
      </c>
      <c r="T1592" s="77">
        <v>1</v>
      </c>
      <c r="U1592" s="77">
        <v>0</v>
      </c>
      <c r="V1592" s="77">
        <v>75</v>
      </c>
      <c r="W1592" s="82" t="s">
        <v>5918</v>
      </c>
      <c r="X1592" s="77"/>
      <c r="Y1592" s="77"/>
      <c r="Z1592" s="77"/>
      <c r="AA1592" s="77" t="s">
        <v>8238</v>
      </c>
      <c r="AB1592" s="77" t="s">
        <v>10129</v>
      </c>
      <c r="AC1592" s="82" t="s">
        <v>10144</v>
      </c>
      <c r="AD1592" s="77" t="s">
        <v>10184</v>
      </c>
      <c r="AE1592" s="80" t="str">
        <f>HYPERLINK("https://twitter.com/leandromunizmkt/status/1653893660537245696")</f>
        <v>https://twitter.com/leandromunizmkt/status/1653893660537245696</v>
      </c>
      <c r="AF1592" s="79">
        <v>45049.948506944442</v>
      </c>
      <c r="AG1592" s="85">
        <v>45049</v>
      </c>
      <c r="AH1592" s="82" t="s">
        <v>11723</v>
      </c>
      <c r="AI1592" s="77" t="b">
        <v>0</v>
      </c>
      <c r="AJ1592" s="77"/>
      <c r="AK1592" s="77"/>
      <c r="AL1592" s="77"/>
      <c r="AM1592" s="77"/>
      <c r="AN1592" s="77"/>
      <c r="AO1592" s="77"/>
      <c r="AP1592" s="77"/>
      <c r="AQ1592" s="77" t="s">
        <v>14882</v>
      </c>
      <c r="AR1592" s="77">
        <v>34400</v>
      </c>
      <c r="AS1592" s="77"/>
      <c r="AT1592" s="77"/>
      <c r="AU1592" s="77"/>
      <c r="AV1592" s="80" t="str">
        <f>HYPERLINK("https://pbs.twimg.com/ext_tw_video_thumb/1653893581306732545/pu/img/NKtXDtNMWcsYf88G.jpg")</f>
        <v>https://pbs.twimg.com/ext_tw_video_thumb/1653893581306732545/pu/img/NKtXDtNMWcsYf88G.jpg</v>
      </c>
      <c r="AW1592" s="82" t="s">
        <v>18361</v>
      </c>
      <c r="AX1592" s="82" t="s">
        <v>18361</v>
      </c>
      <c r="AY1592" s="77"/>
      <c r="AZ1592" s="82" t="s">
        <v>20971</v>
      </c>
      <c r="BA1592" s="82" t="s">
        <v>20971</v>
      </c>
      <c r="BB1592" s="82" t="s">
        <v>20971</v>
      </c>
      <c r="BC1592" s="82" t="s">
        <v>18361</v>
      </c>
      <c r="BD1592" s="82" t="s">
        <v>21277</v>
      </c>
      <c r="BE1592" s="77"/>
      <c r="BF1592" s="77"/>
      <c r="BG1592" s="77"/>
      <c r="BH1592" s="77"/>
      <c r="BI1592" s="77"/>
    </row>
    <row r="1593" spans="1:61" x14ac:dyDescent="0.25">
      <c r="A1593" s="62" t="s">
        <v>582</v>
      </c>
      <c r="B1593" s="62" t="s">
        <v>582</v>
      </c>
      <c r="C1593" s="63"/>
      <c r="D1593" s="64"/>
      <c r="E1593" s="65"/>
      <c r="F1593" s="66"/>
      <c r="G1593" s="63"/>
      <c r="H1593" s="67"/>
      <c r="I1593" s="68"/>
      <c r="J1593" s="68"/>
      <c r="K1593" s="32"/>
      <c r="L1593" s="75">
        <v>1593</v>
      </c>
      <c r="M1593" s="75"/>
      <c r="N1593" s="70"/>
      <c r="O1593" s="77" t="s">
        <v>179</v>
      </c>
      <c r="P1593" s="79">
        <v>45020.670312499999</v>
      </c>
      <c r="Q1593" s="77" t="s">
        <v>2833</v>
      </c>
      <c r="R1593" s="77">
        <v>0</v>
      </c>
      <c r="S1593" s="77">
        <v>0</v>
      </c>
      <c r="T1593" s="77">
        <v>0</v>
      </c>
      <c r="U1593" s="77">
        <v>0</v>
      </c>
      <c r="V1593" s="77">
        <v>96</v>
      </c>
      <c r="W1593" s="82" t="s">
        <v>5919</v>
      </c>
      <c r="X1593" s="80" t="str">
        <f>HYPERLINK("https://bit.ly/Metodo-simples-e_unico")</f>
        <v>https://bit.ly/Metodo-simples-e_unico</v>
      </c>
      <c r="Y1593" s="77" t="s">
        <v>7268</v>
      </c>
      <c r="Z1593" s="77"/>
      <c r="AA1593" s="77" t="s">
        <v>8239</v>
      </c>
      <c r="AB1593" s="77" t="s">
        <v>10129</v>
      </c>
      <c r="AC1593" s="82" t="s">
        <v>10144</v>
      </c>
      <c r="AD1593" s="77" t="s">
        <v>10184</v>
      </c>
      <c r="AE1593" s="80" t="str">
        <f>HYPERLINK("https://twitter.com/leandromunizmkt/status/1643283598349303809")</f>
        <v>https://twitter.com/leandromunizmkt/status/1643283598349303809</v>
      </c>
      <c r="AF1593" s="79">
        <v>45020.670312499999</v>
      </c>
      <c r="AG1593" s="85">
        <v>45020</v>
      </c>
      <c r="AH1593" s="82" t="s">
        <v>11724</v>
      </c>
      <c r="AI1593" s="77" t="b">
        <v>0</v>
      </c>
      <c r="AJ1593" s="77"/>
      <c r="AK1593" s="77"/>
      <c r="AL1593" s="77"/>
      <c r="AM1593" s="77"/>
      <c r="AN1593" s="77"/>
      <c r="AO1593" s="77"/>
      <c r="AP1593" s="77"/>
      <c r="AQ1593" s="77" t="s">
        <v>14883</v>
      </c>
      <c r="AR1593" s="77">
        <v>61880</v>
      </c>
      <c r="AS1593" s="77"/>
      <c r="AT1593" s="77"/>
      <c r="AU1593" s="77"/>
      <c r="AV1593" s="80" t="str">
        <f>HYPERLINK("https://pbs.twimg.com/ext_tw_video_thumb/1643283493537939456/pu/img/Lq0f71duYgExlO1V.jpg")</f>
        <v>https://pbs.twimg.com/ext_tw_video_thumb/1643283493537939456/pu/img/Lq0f71duYgExlO1V.jpg</v>
      </c>
      <c r="AW1593" s="82" t="s">
        <v>18362</v>
      </c>
      <c r="AX1593" s="82" t="s">
        <v>18362</v>
      </c>
      <c r="AY1593" s="77"/>
      <c r="AZ1593" s="82" t="s">
        <v>20971</v>
      </c>
      <c r="BA1593" s="82" t="s">
        <v>20971</v>
      </c>
      <c r="BB1593" s="82" t="s">
        <v>20971</v>
      </c>
      <c r="BC1593" s="82" t="s">
        <v>18362</v>
      </c>
      <c r="BD1593" s="82" t="s">
        <v>21277</v>
      </c>
      <c r="BE1593" s="77"/>
      <c r="BF1593" s="77"/>
      <c r="BG1593" s="77"/>
      <c r="BH1593" s="77"/>
      <c r="BI1593" s="77"/>
    </row>
    <row r="1594" spans="1:61" x14ac:dyDescent="0.25">
      <c r="A1594" s="62" t="s">
        <v>582</v>
      </c>
      <c r="B1594" s="62" t="s">
        <v>582</v>
      </c>
      <c r="C1594" s="63"/>
      <c r="D1594" s="64"/>
      <c r="E1594" s="65"/>
      <c r="F1594" s="66"/>
      <c r="G1594" s="63"/>
      <c r="H1594" s="67"/>
      <c r="I1594" s="68"/>
      <c r="J1594" s="68"/>
      <c r="K1594" s="32"/>
      <c r="L1594" s="75">
        <v>1594</v>
      </c>
      <c r="M1594" s="75"/>
      <c r="N1594" s="70"/>
      <c r="O1594" s="77" t="s">
        <v>179</v>
      </c>
      <c r="P1594" s="79">
        <v>45057.050208333334</v>
      </c>
      <c r="Q1594" s="77" t="s">
        <v>2834</v>
      </c>
      <c r="R1594" s="77">
        <v>0</v>
      </c>
      <c r="S1594" s="77">
        <v>0</v>
      </c>
      <c r="T1594" s="77">
        <v>1</v>
      </c>
      <c r="U1594" s="77">
        <v>0</v>
      </c>
      <c r="V1594" s="77">
        <v>94</v>
      </c>
      <c r="W1594" s="82" t="s">
        <v>5920</v>
      </c>
      <c r="X1594" s="77"/>
      <c r="Y1594" s="77"/>
      <c r="Z1594" s="77"/>
      <c r="AA1594" s="77" t="s">
        <v>8240</v>
      </c>
      <c r="AB1594" s="77" t="s">
        <v>10129</v>
      </c>
      <c r="AC1594" s="82" t="s">
        <v>10144</v>
      </c>
      <c r="AD1594" s="77" t="s">
        <v>10184</v>
      </c>
      <c r="AE1594" s="80" t="str">
        <f>HYPERLINK("https://twitter.com/leandromunizmkt/status/1656467230425481219")</f>
        <v>https://twitter.com/leandromunizmkt/status/1656467230425481219</v>
      </c>
      <c r="AF1594" s="79">
        <v>45057.050208333334</v>
      </c>
      <c r="AG1594" s="85">
        <v>45057</v>
      </c>
      <c r="AH1594" s="82" t="s">
        <v>11725</v>
      </c>
      <c r="AI1594" s="77" t="b">
        <v>0</v>
      </c>
      <c r="AJ1594" s="77"/>
      <c r="AK1594" s="77"/>
      <c r="AL1594" s="77"/>
      <c r="AM1594" s="77"/>
      <c r="AN1594" s="77"/>
      <c r="AO1594" s="77"/>
      <c r="AP1594" s="77"/>
      <c r="AQ1594" s="77" t="s">
        <v>14884</v>
      </c>
      <c r="AR1594" s="77">
        <v>59066</v>
      </c>
      <c r="AS1594" s="77"/>
      <c r="AT1594" s="77"/>
      <c r="AU1594" s="77"/>
      <c r="AV1594" s="80" t="str">
        <f>HYPERLINK("https://pbs.twimg.com/ext_tw_video_thumb/1656467170652454913/pu/img/i_pmbkhtOV3tX1fy.jpg")</f>
        <v>https://pbs.twimg.com/ext_tw_video_thumb/1656467170652454913/pu/img/i_pmbkhtOV3tX1fy.jpg</v>
      </c>
      <c r="AW1594" s="82" t="s">
        <v>18363</v>
      </c>
      <c r="AX1594" s="82" t="s">
        <v>18363</v>
      </c>
      <c r="AY1594" s="77"/>
      <c r="AZ1594" s="82" t="s">
        <v>20971</v>
      </c>
      <c r="BA1594" s="82" t="s">
        <v>20971</v>
      </c>
      <c r="BB1594" s="82" t="s">
        <v>20971</v>
      </c>
      <c r="BC1594" s="82" t="s">
        <v>18363</v>
      </c>
      <c r="BD1594" s="82" t="s">
        <v>21277</v>
      </c>
      <c r="BE1594" s="77"/>
      <c r="BF1594" s="77"/>
      <c r="BG1594" s="77"/>
      <c r="BH1594" s="77"/>
      <c r="BI1594" s="77"/>
    </row>
    <row r="1595" spans="1:61" x14ac:dyDescent="0.25">
      <c r="A1595" s="62" t="s">
        <v>583</v>
      </c>
      <c r="B1595" s="62" t="s">
        <v>583</v>
      </c>
      <c r="C1595" s="63"/>
      <c r="D1595" s="64"/>
      <c r="E1595" s="65"/>
      <c r="F1595" s="66"/>
      <c r="G1595" s="63"/>
      <c r="H1595" s="67"/>
      <c r="I1595" s="68"/>
      <c r="J1595" s="68"/>
      <c r="K1595" s="32"/>
      <c r="L1595" s="75">
        <v>1595</v>
      </c>
      <c r="M1595" s="75"/>
      <c r="N1595" s="70"/>
      <c r="O1595" s="77" t="s">
        <v>1284</v>
      </c>
      <c r="P1595" s="79">
        <v>45121.051307870373</v>
      </c>
      <c r="Q1595" s="77" t="s">
        <v>2835</v>
      </c>
      <c r="R1595" s="77">
        <v>0</v>
      </c>
      <c r="S1595" s="77">
        <v>3</v>
      </c>
      <c r="T1595" s="77">
        <v>1</v>
      </c>
      <c r="U1595" s="77">
        <v>0</v>
      </c>
      <c r="V1595" s="77">
        <v>1587</v>
      </c>
      <c r="W1595" s="82" t="s">
        <v>5921</v>
      </c>
      <c r="X1595" s="77"/>
      <c r="Y1595" s="77"/>
      <c r="Z1595" s="77"/>
      <c r="AA1595" s="77"/>
      <c r="AB1595" s="77"/>
      <c r="AC1595" s="82" t="s">
        <v>10144</v>
      </c>
      <c r="AD1595" s="77" t="s">
        <v>10184</v>
      </c>
      <c r="AE1595" s="80" t="str">
        <f>HYPERLINK("https://twitter.com/booksirs/status/1679660455931912192")</f>
        <v>https://twitter.com/booksirs/status/1679660455931912192</v>
      </c>
      <c r="AF1595" s="79">
        <v>45121.051307870373</v>
      </c>
      <c r="AG1595" s="85">
        <v>45121</v>
      </c>
      <c r="AH1595" s="82" t="s">
        <v>11726</v>
      </c>
      <c r="AI1595" s="77"/>
      <c r="AJ1595" s="77"/>
      <c r="AK1595" s="77"/>
      <c r="AL1595" s="77"/>
      <c r="AM1595" s="77"/>
      <c r="AN1595" s="77"/>
      <c r="AO1595" s="77"/>
      <c r="AP1595" s="77"/>
      <c r="AQ1595" s="77"/>
      <c r="AR1595" s="77"/>
      <c r="AS1595" s="77"/>
      <c r="AT1595" s="77"/>
      <c r="AU1595" s="77"/>
      <c r="AV1595" s="80" t="str">
        <f>HYPERLINK("https://pbs.twimg.com/profile_images/1668406553425190916/cmsgXnwk_normal.jpg")</f>
        <v>https://pbs.twimg.com/profile_images/1668406553425190916/cmsgXnwk_normal.jpg</v>
      </c>
      <c r="AW1595" s="82" t="s">
        <v>18364</v>
      </c>
      <c r="AX1595" s="82" t="s">
        <v>20820</v>
      </c>
      <c r="AY1595" s="82" t="s">
        <v>20925</v>
      </c>
      <c r="AZ1595" s="82" t="s">
        <v>20978</v>
      </c>
      <c r="BA1595" s="82" t="s">
        <v>20971</v>
      </c>
      <c r="BB1595" s="82" t="s">
        <v>20971</v>
      </c>
      <c r="BC1595" s="82" t="s">
        <v>20978</v>
      </c>
      <c r="BD1595" s="82" t="s">
        <v>20925</v>
      </c>
      <c r="BE1595" s="77"/>
      <c r="BF1595" s="77"/>
      <c r="BG1595" s="77"/>
      <c r="BH1595" s="77"/>
      <c r="BI1595" s="77"/>
    </row>
    <row r="1596" spans="1:61" x14ac:dyDescent="0.25">
      <c r="A1596" s="62" t="s">
        <v>584</v>
      </c>
      <c r="B1596" s="62" t="s">
        <v>584</v>
      </c>
      <c r="C1596" s="63"/>
      <c r="D1596" s="64"/>
      <c r="E1596" s="65"/>
      <c r="F1596" s="66"/>
      <c r="G1596" s="63"/>
      <c r="H1596" s="67"/>
      <c r="I1596" s="68"/>
      <c r="J1596" s="68"/>
      <c r="K1596" s="32"/>
      <c r="L1596" s="75">
        <v>1596</v>
      </c>
      <c r="M1596" s="75"/>
      <c r="N1596" s="70"/>
      <c r="O1596" s="77" t="s">
        <v>179</v>
      </c>
      <c r="P1596" s="79">
        <v>45174.909768518519</v>
      </c>
      <c r="Q1596" s="77" t="s">
        <v>2836</v>
      </c>
      <c r="R1596" s="77">
        <v>0</v>
      </c>
      <c r="S1596" s="77">
        <v>0</v>
      </c>
      <c r="T1596" s="77">
        <v>0</v>
      </c>
      <c r="U1596" s="77">
        <v>0</v>
      </c>
      <c r="V1596" s="77">
        <v>26</v>
      </c>
      <c r="W1596" s="82" t="s">
        <v>5922</v>
      </c>
      <c r="X1596" s="80" t="str">
        <f>HYPERLINK("https://bit.ly/Pg-vendasP24h")</f>
        <v>https://bit.ly/Pg-vendasP24h</v>
      </c>
      <c r="Y1596" s="77" t="s">
        <v>7268</v>
      </c>
      <c r="Z1596" s="77"/>
      <c r="AA1596" s="77" t="s">
        <v>8241</v>
      </c>
      <c r="AB1596" s="77" t="s">
        <v>10130</v>
      </c>
      <c r="AC1596" s="82" t="s">
        <v>10144</v>
      </c>
      <c r="AD1596" s="77" t="s">
        <v>10184</v>
      </c>
      <c r="AE1596" s="80" t="str">
        <f>HYPERLINK("https://twitter.com/carlosvicenti7/status/1699178108346130451")</f>
        <v>https://twitter.com/carlosvicenti7/status/1699178108346130451</v>
      </c>
      <c r="AF1596" s="79">
        <v>45174.909768518519</v>
      </c>
      <c r="AG1596" s="85">
        <v>45174</v>
      </c>
      <c r="AH1596" s="82" t="s">
        <v>11727</v>
      </c>
      <c r="AI1596" s="77" t="b">
        <v>0</v>
      </c>
      <c r="AJ1596" s="77"/>
      <c r="AK1596" s="77"/>
      <c r="AL1596" s="77"/>
      <c r="AM1596" s="77"/>
      <c r="AN1596" s="77"/>
      <c r="AO1596" s="77"/>
      <c r="AP1596" s="77"/>
      <c r="AQ1596" s="77" t="s">
        <v>14885</v>
      </c>
      <c r="AR1596" s="77"/>
      <c r="AS1596" s="77"/>
      <c r="AT1596" s="77"/>
      <c r="AU1596" s="77"/>
      <c r="AV1596" s="80" t="str">
        <f>HYPERLINK("https://pbs.twimg.com/media/F5Sxe_rXQAACXkQ.jpg")</f>
        <v>https://pbs.twimg.com/media/F5Sxe_rXQAACXkQ.jpg</v>
      </c>
      <c r="AW1596" s="82" t="s">
        <v>18365</v>
      </c>
      <c r="AX1596" s="82" t="s">
        <v>18365</v>
      </c>
      <c r="AY1596" s="77"/>
      <c r="AZ1596" s="82" t="s">
        <v>20971</v>
      </c>
      <c r="BA1596" s="82" t="s">
        <v>20971</v>
      </c>
      <c r="BB1596" s="82" t="s">
        <v>20971</v>
      </c>
      <c r="BC1596" s="82" t="s">
        <v>18365</v>
      </c>
      <c r="BD1596" s="82" t="s">
        <v>21278</v>
      </c>
      <c r="BE1596" s="77"/>
      <c r="BF1596" s="77"/>
      <c r="BG1596" s="77"/>
      <c r="BH1596" s="77"/>
      <c r="BI1596" s="77"/>
    </row>
    <row r="1597" spans="1:61" x14ac:dyDescent="0.25">
      <c r="A1597" s="62" t="s">
        <v>584</v>
      </c>
      <c r="B1597" s="62" t="s">
        <v>584</v>
      </c>
      <c r="C1597" s="63"/>
      <c r="D1597" s="64"/>
      <c r="E1597" s="65"/>
      <c r="F1597" s="66"/>
      <c r="G1597" s="63"/>
      <c r="H1597" s="67"/>
      <c r="I1597" s="68"/>
      <c r="J1597" s="68"/>
      <c r="K1597" s="32"/>
      <c r="L1597" s="75">
        <v>1597</v>
      </c>
      <c r="M1597" s="75"/>
      <c r="N1597" s="70"/>
      <c r="O1597" s="77" t="s">
        <v>179</v>
      </c>
      <c r="P1597" s="79">
        <v>45174.790555555555</v>
      </c>
      <c r="Q1597" s="77" t="s">
        <v>2837</v>
      </c>
      <c r="R1597" s="77">
        <v>0</v>
      </c>
      <c r="S1597" s="77">
        <v>0</v>
      </c>
      <c r="T1597" s="77">
        <v>0</v>
      </c>
      <c r="U1597" s="77">
        <v>0</v>
      </c>
      <c r="V1597" s="77">
        <v>10</v>
      </c>
      <c r="W1597" s="82" t="s">
        <v>5923</v>
      </c>
      <c r="X1597" s="77"/>
      <c r="Y1597" s="77"/>
      <c r="Z1597" s="77"/>
      <c r="AA1597" s="77" t="s">
        <v>8242</v>
      </c>
      <c r="AB1597" s="77" t="s">
        <v>10130</v>
      </c>
      <c r="AC1597" s="82" t="s">
        <v>10144</v>
      </c>
      <c r="AD1597" s="77" t="s">
        <v>10184</v>
      </c>
      <c r="AE1597" s="80" t="str">
        <f>HYPERLINK("https://twitter.com/carlosvicenti7/status/1699134904498323681")</f>
        <v>https://twitter.com/carlosvicenti7/status/1699134904498323681</v>
      </c>
      <c r="AF1597" s="79">
        <v>45174.790555555555</v>
      </c>
      <c r="AG1597" s="85">
        <v>45174</v>
      </c>
      <c r="AH1597" s="82" t="s">
        <v>11728</v>
      </c>
      <c r="AI1597" s="77" t="b">
        <v>0</v>
      </c>
      <c r="AJ1597" s="77"/>
      <c r="AK1597" s="77"/>
      <c r="AL1597" s="77"/>
      <c r="AM1597" s="77"/>
      <c r="AN1597" s="77"/>
      <c r="AO1597" s="77"/>
      <c r="AP1597" s="77"/>
      <c r="AQ1597" s="77" t="s">
        <v>14886</v>
      </c>
      <c r="AR1597" s="77"/>
      <c r="AS1597" s="77"/>
      <c r="AT1597" s="77"/>
      <c r="AU1597" s="77"/>
      <c r="AV1597" s="80" t="str">
        <f>HYPERLINK("https://pbs.twimg.com/media/F5SKMOFWgAACO_z.jpg")</f>
        <v>https://pbs.twimg.com/media/F5SKMOFWgAACO_z.jpg</v>
      </c>
      <c r="AW1597" s="82" t="s">
        <v>18366</v>
      </c>
      <c r="AX1597" s="82" t="s">
        <v>18366</v>
      </c>
      <c r="AY1597" s="77"/>
      <c r="AZ1597" s="82" t="s">
        <v>20971</v>
      </c>
      <c r="BA1597" s="82" t="s">
        <v>20971</v>
      </c>
      <c r="BB1597" s="82" t="s">
        <v>20971</v>
      </c>
      <c r="BC1597" s="82" t="s">
        <v>18366</v>
      </c>
      <c r="BD1597" s="82" t="s">
        <v>21278</v>
      </c>
      <c r="BE1597" s="77"/>
      <c r="BF1597" s="77"/>
      <c r="BG1597" s="77"/>
      <c r="BH1597" s="77"/>
      <c r="BI1597" s="77"/>
    </row>
    <row r="1598" spans="1:61" x14ac:dyDescent="0.25">
      <c r="A1598" s="62" t="s">
        <v>585</v>
      </c>
      <c r="B1598" s="62" t="s">
        <v>585</v>
      </c>
      <c r="C1598" s="63"/>
      <c r="D1598" s="64"/>
      <c r="E1598" s="65"/>
      <c r="F1598" s="66"/>
      <c r="G1598" s="63"/>
      <c r="H1598" s="67"/>
      <c r="I1598" s="68"/>
      <c r="J1598" s="68"/>
      <c r="K1598" s="32"/>
      <c r="L1598" s="75">
        <v>1598</v>
      </c>
      <c r="M1598" s="75"/>
      <c r="N1598" s="70"/>
      <c r="O1598" s="77" t="s">
        <v>179</v>
      </c>
      <c r="P1598" s="79">
        <v>45081.17628472222</v>
      </c>
      <c r="Q1598" s="77" t="s">
        <v>2838</v>
      </c>
      <c r="R1598" s="77">
        <v>0</v>
      </c>
      <c r="S1598" s="77">
        <v>0</v>
      </c>
      <c r="T1598" s="77">
        <v>0</v>
      </c>
      <c r="U1598" s="77">
        <v>0</v>
      </c>
      <c r="V1598" s="77">
        <v>11</v>
      </c>
      <c r="W1598" s="82" t="s">
        <v>5924</v>
      </c>
      <c r="X1598" s="80" t="str">
        <f>HYPERLINK("https://www.amazon.com.br/dp/B0C68MKGHV")</f>
        <v>https://www.amazon.com.br/dp/B0C68MKGHV</v>
      </c>
      <c r="Y1598" s="77" t="s">
        <v>7252</v>
      </c>
      <c r="Z1598" s="77"/>
      <c r="AA1598" s="77"/>
      <c r="AB1598" s="77"/>
      <c r="AC1598" s="82" t="s">
        <v>10146</v>
      </c>
      <c r="AD1598" s="77" t="s">
        <v>10184</v>
      </c>
      <c r="AE1598" s="80" t="str">
        <f>HYPERLINK("https://twitter.com/wellingtonc4280/status/1665210229078781954")</f>
        <v>https://twitter.com/wellingtonc4280/status/1665210229078781954</v>
      </c>
      <c r="AF1598" s="79">
        <v>45081.17628472222</v>
      </c>
      <c r="AG1598" s="85">
        <v>45081</v>
      </c>
      <c r="AH1598" s="82" t="s">
        <v>11729</v>
      </c>
      <c r="AI1598" s="77" t="b">
        <v>0</v>
      </c>
      <c r="AJ1598" s="77"/>
      <c r="AK1598" s="77"/>
      <c r="AL1598" s="77"/>
      <c r="AM1598" s="77"/>
      <c r="AN1598" s="77"/>
      <c r="AO1598" s="77"/>
      <c r="AP1598" s="77"/>
      <c r="AQ1598" s="77"/>
      <c r="AR1598" s="77"/>
      <c r="AS1598" s="77"/>
      <c r="AT1598" s="77"/>
      <c r="AU1598" s="77"/>
      <c r="AV1598" s="80" t="str">
        <f>HYPERLINK("https://pbs.twimg.com/profile_images/1522802290217955329/nuwUC8AF_normal.jpg")</f>
        <v>https://pbs.twimg.com/profile_images/1522802290217955329/nuwUC8AF_normal.jpg</v>
      </c>
      <c r="AW1598" s="82" t="s">
        <v>18367</v>
      </c>
      <c r="AX1598" s="82" t="s">
        <v>18367</v>
      </c>
      <c r="AY1598" s="77"/>
      <c r="AZ1598" s="82" t="s">
        <v>20971</v>
      </c>
      <c r="BA1598" s="82" t="s">
        <v>20971</v>
      </c>
      <c r="BB1598" s="82" t="s">
        <v>20971</v>
      </c>
      <c r="BC1598" s="82" t="s">
        <v>18367</v>
      </c>
      <c r="BD1598" s="82" t="s">
        <v>21279</v>
      </c>
      <c r="BE1598" s="77"/>
      <c r="BF1598" s="77"/>
      <c r="BG1598" s="77"/>
      <c r="BH1598" s="77"/>
      <c r="BI1598" s="77"/>
    </row>
    <row r="1599" spans="1:61" x14ac:dyDescent="0.25">
      <c r="A1599" s="62" t="s">
        <v>586</v>
      </c>
      <c r="B1599" s="62" t="s">
        <v>586</v>
      </c>
      <c r="C1599" s="63"/>
      <c r="D1599" s="64"/>
      <c r="E1599" s="65"/>
      <c r="F1599" s="66"/>
      <c r="G1599" s="63"/>
      <c r="H1599" s="67"/>
      <c r="I1599" s="68"/>
      <c r="J1599" s="68"/>
      <c r="K1599" s="32"/>
      <c r="L1599" s="75">
        <v>1599</v>
      </c>
      <c r="M1599" s="75"/>
      <c r="N1599" s="70"/>
      <c r="O1599" s="77" t="s">
        <v>179</v>
      </c>
      <c r="P1599" s="79">
        <v>44986.540879629632</v>
      </c>
      <c r="Q1599" s="77" t="s">
        <v>2839</v>
      </c>
      <c r="R1599" s="77">
        <v>0</v>
      </c>
      <c r="S1599" s="77">
        <v>0</v>
      </c>
      <c r="T1599" s="77">
        <v>0</v>
      </c>
      <c r="U1599" s="77">
        <v>0</v>
      </c>
      <c r="V1599" s="77">
        <v>39</v>
      </c>
      <c r="W1599" s="82" t="s">
        <v>5925</v>
      </c>
      <c r="X1599" s="80" t="str">
        <f>HYPERLINK("https://youtu.be/GgU7uO2LwSY")</f>
        <v>https://youtu.be/GgU7uO2LwSY</v>
      </c>
      <c r="Y1599" s="77" t="s">
        <v>7248</v>
      </c>
      <c r="Z1599" s="77"/>
      <c r="AA1599" s="77"/>
      <c r="AB1599" s="77"/>
      <c r="AC1599" s="82" t="s">
        <v>10144</v>
      </c>
      <c r="AD1599" s="77" t="s">
        <v>10185</v>
      </c>
      <c r="AE1599" s="80" t="str">
        <f>HYPERLINK("https://twitter.com/dicas_tay/status/1630915505593761794")</f>
        <v>https://twitter.com/dicas_tay/status/1630915505593761794</v>
      </c>
      <c r="AF1599" s="79">
        <v>44986.540879629632</v>
      </c>
      <c r="AG1599" s="85">
        <v>44986</v>
      </c>
      <c r="AH1599" s="82" t="s">
        <v>11730</v>
      </c>
      <c r="AI1599" s="77" t="b">
        <v>0</v>
      </c>
      <c r="AJ1599" s="77"/>
      <c r="AK1599" s="77"/>
      <c r="AL1599" s="77"/>
      <c r="AM1599" s="77"/>
      <c r="AN1599" s="77"/>
      <c r="AO1599" s="77"/>
      <c r="AP1599" s="77"/>
      <c r="AQ1599" s="77"/>
      <c r="AR1599" s="77"/>
      <c r="AS1599" s="77"/>
      <c r="AT1599" s="77"/>
      <c r="AU1599" s="77"/>
      <c r="AV1599" s="80" t="str">
        <f>HYPERLINK("https://pbs.twimg.com/profile_images/1630914127169216514/leeuK4rk_normal.jpg")</f>
        <v>https://pbs.twimg.com/profile_images/1630914127169216514/leeuK4rk_normal.jpg</v>
      </c>
      <c r="AW1599" s="82" t="s">
        <v>18368</v>
      </c>
      <c r="AX1599" s="82" t="s">
        <v>18368</v>
      </c>
      <c r="AY1599" s="77"/>
      <c r="AZ1599" s="82" t="s">
        <v>20971</v>
      </c>
      <c r="BA1599" s="82" t="s">
        <v>20971</v>
      </c>
      <c r="BB1599" s="82" t="s">
        <v>20971</v>
      </c>
      <c r="BC1599" s="82" t="s">
        <v>18368</v>
      </c>
      <c r="BD1599" s="82" t="s">
        <v>21280</v>
      </c>
      <c r="BE1599" s="77"/>
      <c r="BF1599" s="77"/>
      <c r="BG1599" s="77"/>
      <c r="BH1599" s="77"/>
      <c r="BI1599" s="77"/>
    </row>
    <row r="1600" spans="1:61" x14ac:dyDescent="0.25">
      <c r="A1600" s="62" t="s">
        <v>587</v>
      </c>
      <c r="B1600" s="62" t="s">
        <v>587</v>
      </c>
      <c r="C1600" s="63"/>
      <c r="D1600" s="64"/>
      <c r="E1600" s="65"/>
      <c r="F1600" s="66"/>
      <c r="G1600" s="63"/>
      <c r="H1600" s="67"/>
      <c r="I1600" s="68"/>
      <c r="J1600" s="68"/>
      <c r="K1600" s="32"/>
      <c r="L1600" s="75">
        <v>1600</v>
      </c>
      <c r="M1600" s="75"/>
      <c r="N1600" s="70"/>
      <c r="O1600" s="77" t="s">
        <v>179</v>
      </c>
      <c r="P1600" s="79">
        <v>45071.076898148145</v>
      </c>
      <c r="Q1600" s="77" t="s">
        <v>2840</v>
      </c>
      <c r="R1600" s="77">
        <v>0</v>
      </c>
      <c r="S1600" s="77">
        <v>1</v>
      </c>
      <c r="T1600" s="77">
        <v>3</v>
      </c>
      <c r="U1600" s="77">
        <v>0</v>
      </c>
      <c r="V1600" s="77">
        <v>41</v>
      </c>
      <c r="W1600" s="82" t="s">
        <v>5926</v>
      </c>
      <c r="X1600" s="77"/>
      <c r="Y1600" s="77"/>
      <c r="Z1600" s="77"/>
      <c r="AA1600" s="77"/>
      <c r="AB1600" s="77"/>
      <c r="AC1600" s="82" t="s">
        <v>10144</v>
      </c>
      <c r="AD1600" s="77" t="s">
        <v>10184</v>
      </c>
      <c r="AE1600" s="80" t="str">
        <f>HYPERLINK("https://twitter.com/dinheiro2023_/status/1661550335939182594")</f>
        <v>https://twitter.com/dinheiro2023_/status/1661550335939182594</v>
      </c>
      <c r="AF1600" s="79">
        <v>45071.076898148145</v>
      </c>
      <c r="AG1600" s="85">
        <v>45071</v>
      </c>
      <c r="AH1600" s="82" t="s">
        <v>11731</v>
      </c>
      <c r="AI1600" s="77"/>
      <c r="AJ1600" s="77"/>
      <c r="AK1600" s="77"/>
      <c r="AL1600" s="77"/>
      <c r="AM1600" s="77"/>
      <c r="AN1600" s="77"/>
      <c r="AO1600" s="77"/>
      <c r="AP1600" s="77"/>
      <c r="AQ1600" s="77"/>
      <c r="AR1600" s="77"/>
      <c r="AS1600" s="77"/>
      <c r="AT1600" s="77"/>
      <c r="AU1600" s="77"/>
      <c r="AV1600" s="80" t="str">
        <f>HYPERLINK("https://pbs.twimg.com/profile_images/1661547470428536834/WtOfhEgY_normal.jpg")</f>
        <v>https://pbs.twimg.com/profile_images/1661547470428536834/WtOfhEgY_normal.jpg</v>
      </c>
      <c r="AW1600" s="82" t="s">
        <v>18369</v>
      </c>
      <c r="AX1600" s="82" t="s">
        <v>18369</v>
      </c>
      <c r="AY1600" s="77"/>
      <c r="AZ1600" s="82" t="s">
        <v>20971</v>
      </c>
      <c r="BA1600" s="82" t="s">
        <v>20971</v>
      </c>
      <c r="BB1600" s="82" t="s">
        <v>20971</v>
      </c>
      <c r="BC1600" s="82" t="s">
        <v>18369</v>
      </c>
      <c r="BD1600" s="82" t="s">
        <v>21281</v>
      </c>
      <c r="BE1600" s="77"/>
      <c r="BF1600" s="77"/>
      <c r="BG1600" s="77"/>
      <c r="BH1600" s="77"/>
      <c r="BI1600" s="77"/>
    </row>
    <row r="1601" spans="1:61" x14ac:dyDescent="0.25">
      <c r="A1601" s="62" t="s">
        <v>587</v>
      </c>
      <c r="B1601" s="62" t="s">
        <v>587</v>
      </c>
      <c r="C1601" s="63"/>
      <c r="D1601" s="64"/>
      <c r="E1601" s="65"/>
      <c r="F1601" s="66"/>
      <c r="G1601" s="63"/>
      <c r="H1601" s="67"/>
      <c r="I1601" s="68"/>
      <c r="J1601" s="68"/>
      <c r="K1601" s="32"/>
      <c r="L1601" s="75">
        <v>1601</v>
      </c>
      <c r="M1601" s="75"/>
      <c r="N1601" s="70"/>
      <c r="O1601" s="77" t="s">
        <v>179</v>
      </c>
      <c r="P1601" s="79">
        <v>45071.068645833337</v>
      </c>
      <c r="Q1601" s="77" t="s">
        <v>2841</v>
      </c>
      <c r="R1601" s="77">
        <v>0</v>
      </c>
      <c r="S1601" s="77">
        <v>0</v>
      </c>
      <c r="T1601" s="77">
        <v>0</v>
      </c>
      <c r="U1601" s="77">
        <v>0</v>
      </c>
      <c r="V1601" s="77">
        <v>27</v>
      </c>
      <c r="W1601" s="82" t="s">
        <v>5927</v>
      </c>
      <c r="X1601" s="77"/>
      <c r="Y1601" s="77"/>
      <c r="Z1601" s="77"/>
      <c r="AA1601" s="77"/>
      <c r="AB1601" s="77"/>
      <c r="AC1601" s="82" t="s">
        <v>10144</v>
      </c>
      <c r="AD1601" s="77" t="s">
        <v>10184</v>
      </c>
      <c r="AE1601" s="80" t="str">
        <f>HYPERLINK("https://twitter.com/dinheiro2023_/status/1661547343353618433")</f>
        <v>https://twitter.com/dinheiro2023_/status/1661547343353618433</v>
      </c>
      <c r="AF1601" s="79">
        <v>45071.068645833337</v>
      </c>
      <c r="AG1601" s="85">
        <v>45071</v>
      </c>
      <c r="AH1601" s="82" t="s">
        <v>11732</v>
      </c>
      <c r="AI1601" s="77"/>
      <c r="AJ1601" s="77"/>
      <c r="AK1601" s="77"/>
      <c r="AL1601" s="77"/>
      <c r="AM1601" s="77"/>
      <c r="AN1601" s="77"/>
      <c r="AO1601" s="77"/>
      <c r="AP1601" s="77"/>
      <c r="AQ1601" s="77"/>
      <c r="AR1601" s="77"/>
      <c r="AS1601" s="77"/>
      <c r="AT1601" s="77"/>
      <c r="AU1601" s="77"/>
      <c r="AV1601" s="80" t="str">
        <f>HYPERLINK("https://pbs.twimg.com/profile_images/1661547470428536834/WtOfhEgY_normal.jpg")</f>
        <v>https://pbs.twimg.com/profile_images/1661547470428536834/WtOfhEgY_normal.jpg</v>
      </c>
      <c r="AW1601" s="82" t="s">
        <v>18370</v>
      </c>
      <c r="AX1601" s="82" t="s">
        <v>18370</v>
      </c>
      <c r="AY1601" s="77"/>
      <c r="AZ1601" s="82" t="s">
        <v>20971</v>
      </c>
      <c r="BA1601" s="82" t="s">
        <v>20971</v>
      </c>
      <c r="BB1601" s="82" t="s">
        <v>20971</v>
      </c>
      <c r="BC1601" s="82" t="s">
        <v>18370</v>
      </c>
      <c r="BD1601" s="82" t="s">
        <v>21281</v>
      </c>
      <c r="BE1601" s="77"/>
      <c r="BF1601" s="77"/>
      <c r="BG1601" s="77"/>
      <c r="BH1601" s="77"/>
      <c r="BI1601" s="77"/>
    </row>
    <row r="1602" spans="1:61" x14ac:dyDescent="0.25">
      <c r="A1602" s="62" t="s">
        <v>588</v>
      </c>
      <c r="B1602" s="62" t="s">
        <v>588</v>
      </c>
      <c r="C1602" s="63"/>
      <c r="D1602" s="64"/>
      <c r="E1602" s="65"/>
      <c r="F1602" s="66"/>
      <c r="G1602" s="63"/>
      <c r="H1602" s="67"/>
      <c r="I1602" s="68"/>
      <c r="J1602" s="68"/>
      <c r="K1602" s="32"/>
      <c r="L1602" s="75">
        <v>1602</v>
      </c>
      <c r="M1602" s="75"/>
      <c r="N1602" s="70"/>
      <c r="O1602" s="77" t="s">
        <v>179</v>
      </c>
      <c r="P1602" s="79">
        <v>45186.207384259258</v>
      </c>
      <c r="Q1602" s="77" t="s">
        <v>2842</v>
      </c>
      <c r="R1602" s="77">
        <v>0</v>
      </c>
      <c r="S1602" s="77">
        <v>0</v>
      </c>
      <c r="T1602" s="77">
        <v>0</v>
      </c>
      <c r="U1602" s="77">
        <v>0</v>
      </c>
      <c r="V1602" s="77">
        <v>7</v>
      </c>
      <c r="W1602" s="82" t="s">
        <v>5928</v>
      </c>
      <c r="X1602" s="80" t="str">
        <f>HYPERLINK("https://vm.tiktok.com/ZMjBPKTGh/")</f>
        <v>https://vm.tiktok.com/ZMjBPKTGh/</v>
      </c>
      <c r="Y1602" s="77" t="s">
        <v>7306</v>
      </c>
      <c r="Z1602" s="77"/>
      <c r="AA1602" s="77"/>
      <c r="AB1602" s="77"/>
      <c r="AC1602" s="82" t="s">
        <v>10144</v>
      </c>
      <c r="AD1602" s="77" t="s">
        <v>10184</v>
      </c>
      <c r="AE1602" s="80" t="str">
        <f>HYPERLINK("https://twitter.com/sofiasth41/status/1703272225112043574")</f>
        <v>https://twitter.com/sofiasth41/status/1703272225112043574</v>
      </c>
      <c r="AF1602" s="79">
        <v>45186.207384259258</v>
      </c>
      <c r="AG1602" s="85">
        <v>45186</v>
      </c>
      <c r="AH1602" s="82" t="s">
        <v>11733</v>
      </c>
      <c r="AI1602" s="77" t="b">
        <v>0</v>
      </c>
      <c r="AJ1602" s="77"/>
      <c r="AK1602" s="77"/>
      <c r="AL1602" s="77"/>
      <c r="AM1602" s="77"/>
      <c r="AN1602" s="77"/>
      <c r="AO1602" s="77"/>
      <c r="AP1602" s="77"/>
      <c r="AQ1602" s="77"/>
      <c r="AR1602" s="77"/>
      <c r="AS1602" s="77"/>
      <c r="AT1602" s="77"/>
      <c r="AU1602" s="77"/>
      <c r="AV1602" s="80" t="str">
        <f>HYPERLINK("https://pbs.twimg.com/profile_images/1700260193295097856/B_EzPCPt_normal.jpg")</f>
        <v>https://pbs.twimg.com/profile_images/1700260193295097856/B_EzPCPt_normal.jpg</v>
      </c>
      <c r="AW1602" s="82" t="s">
        <v>18371</v>
      </c>
      <c r="AX1602" s="82" t="s">
        <v>18371</v>
      </c>
      <c r="AY1602" s="77"/>
      <c r="AZ1602" s="82" t="s">
        <v>20971</v>
      </c>
      <c r="BA1602" s="82" t="s">
        <v>20971</v>
      </c>
      <c r="BB1602" s="82" t="s">
        <v>20971</v>
      </c>
      <c r="BC1602" s="82" t="s">
        <v>18371</v>
      </c>
      <c r="BD1602" s="82" t="s">
        <v>21282</v>
      </c>
      <c r="BE1602" s="77"/>
      <c r="BF1602" s="77"/>
      <c r="BG1602" s="77"/>
      <c r="BH1602" s="77"/>
      <c r="BI1602" s="77"/>
    </row>
    <row r="1603" spans="1:61" x14ac:dyDescent="0.25">
      <c r="A1603" s="62" t="s">
        <v>589</v>
      </c>
      <c r="B1603" s="62" t="s">
        <v>589</v>
      </c>
      <c r="C1603" s="63"/>
      <c r="D1603" s="64"/>
      <c r="E1603" s="65"/>
      <c r="F1603" s="66"/>
      <c r="G1603" s="63"/>
      <c r="H1603" s="67"/>
      <c r="I1603" s="68"/>
      <c r="J1603" s="68"/>
      <c r="K1603" s="32"/>
      <c r="L1603" s="75">
        <v>1603</v>
      </c>
      <c r="M1603" s="75"/>
      <c r="N1603" s="70"/>
      <c r="O1603" s="77" t="s">
        <v>1284</v>
      </c>
      <c r="P1603" s="79">
        <v>45089.533668981479</v>
      </c>
      <c r="Q1603" s="77" t="s">
        <v>2843</v>
      </c>
      <c r="R1603" s="77">
        <v>0</v>
      </c>
      <c r="S1603" s="77">
        <v>2</v>
      </c>
      <c r="T1603" s="77">
        <v>0</v>
      </c>
      <c r="U1603" s="77">
        <v>0</v>
      </c>
      <c r="V1603" s="77">
        <v>230</v>
      </c>
      <c r="W1603" s="82" t="s">
        <v>5929</v>
      </c>
      <c r="X1603" s="77"/>
      <c r="Y1603" s="77"/>
      <c r="Z1603" s="77" t="s">
        <v>1240</v>
      </c>
      <c r="AA1603" s="77"/>
      <c r="AB1603" s="77"/>
      <c r="AC1603" s="82" t="s">
        <v>10146</v>
      </c>
      <c r="AD1603" s="77" t="s">
        <v>10184</v>
      </c>
      <c r="AE1603" s="80" t="str">
        <f>HYPERLINK("https://twitter.com/linomgomes/status/1668238842174873605")</f>
        <v>https://twitter.com/linomgomes/status/1668238842174873605</v>
      </c>
      <c r="AF1603" s="79">
        <v>45089.533668981479</v>
      </c>
      <c r="AG1603" s="85">
        <v>45089</v>
      </c>
      <c r="AH1603" s="82" t="s">
        <v>11734</v>
      </c>
      <c r="AI1603" s="77"/>
      <c r="AJ1603" s="77"/>
      <c r="AK1603" s="77"/>
      <c r="AL1603" s="77"/>
      <c r="AM1603" s="77"/>
      <c r="AN1603" s="77"/>
      <c r="AO1603" s="77"/>
      <c r="AP1603" s="77"/>
      <c r="AQ1603" s="77"/>
      <c r="AR1603" s="77"/>
      <c r="AS1603" s="77"/>
      <c r="AT1603" s="77"/>
      <c r="AU1603" s="77"/>
      <c r="AV1603" s="80" t="str">
        <f>HYPERLINK("https://pbs.twimg.com/profile_images/1687134128397807617/4doLv83g_normal.jpg")</f>
        <v>https://pbs.twimg.com/profile_images/1687134128397807617/4doLv83g_normal.jpg</v>
      </c>
      <c r="AW1603" s="82" t="s">
        <v>18372</v>
      </c>
      <c r="AX1603" s="82" t="s">
        <v>20821</v>
      </c>
      <c r="AY1603" s="82" t="s">
        <v>20926</v>
      </c>
      <c r="AZ1603" s="82" t="s">
        <v>20979</v>
      </c>
      <c r="BA1603" s="82" t="s">
        <v>20971</v>
      </c>
      <c r="BB1603" s="82" t="s">
        <v>20971</v>
      </c>
      <c r="BC1603" s="82" t="s">
        <v>20979</v>
      </c>
      <c r="BD1603" s="77">
        <v>233531860</v>
      </c>
      <c r="BE1603" s="77"/>
      <c r="BF1603" s="77"/>
      <c r="BG1603" s="77"/>
      <c r="BH1603" s="77"/>
      <c r="BI1603" s="77"/>
    </row>
    <row r="1604" spans="1:61" x14ac:dyDescent="0.25">
      <c r="A1604" s="62" t="s">
        <v>589</v>
      </c>
      <c r="B1604" s="62" t="s">
        <v>589</v>
      </c>
      <c r="C1604" s="63"/>
      <c r="D1604" s="64"/>
      <c r="E1604" s="65"/>
      <c r="F1604" s="66"/>
      <c r="G1604" s="63"/>
      <c r="H1604" s="67"/>
      <c r="I1604" s="68"/>
      <c r="J1604" s="68"/>
      <c r="K1604" s="32"/>
      <c r="L1604" s="75">
        <v>1604</v>
      </c>
      <c r="M1604" s="75"/>
      <c r="N1604" s="70"/>
      <c r="O1604" s="77" t="s">
        <v>179</v>
      </c>
      <c r="P1604" s="79">
        <v>45094.972326388888</v>
      </c>
      <c r="Q1604" s="77" t="s">
        <v>2844</v>
      </c>
      <c r="R1604" s="77">
        <v>0</v>
      </c>
      <c r="S1604" s="77">
        <v>3</v>
      </c>
      <c r="T1604" s="77">
        <v>0</v>
      </c>
      <c r="U1604" s="77">
        <v>0</v>
      </c>
      <c r="V1604" s="77">
        <v>172</v>
      </c>
      <c r="W1604" s="82" t="s">
        <v>5930</v>
      </c>
      <c r="X1604" s="77"/>
      <c r="Y1604" s="77"/>
      <c r="Z1604" s="77"/>
      <c r="AA1604" s="77" t="s">
        <v>8243</v>
      </c>
      <c r="AB1604" s="77" t="s">
        <v>10130</v>
      </c>
      <c r="AC1604" s="82" t="s">
        <v>10145</v>
      </c>
      <c r="AD1604" s="77" t="s">
        <v>10184</v>
      </c>
      <c r="AE1604" s="80" t="str">
        <f>HYPERLINK("https://twitter.com/linomgomes/status/1670209747386073092")</f>
        <v>https://twitter.com/linomgomes/status/1670209747386073092</v>
      </c>
      <c r="AF1604" s="79">
        <v>45094.972326388888</v>
      </c>
      <c r="AG1604" s="85">
        <v>45094</v>
      </c>
      <c r="AH1604" s="82" t="s">
        <v>11735</v>
      </c>
      <c r="AI1604" s="77" t="b">
        <v>0</v>
      </c>
      <c r="AJ1604" s="77"/>
      <c r="AK1604" s="77"/>
      <c r="AL1604" s="77"/>
      <c r="AM1604" s="77"/>
      <c r="AN1604" s="77"/>
      <c r="AO1604" s="77"/>
      <c r="AP1604" s="77"/>
      <c r="AQ1604" s="77" t="s">
        <v>14887</v>
      </c>
      <c r="AR1604" s="77"/>
      <c r="AS1604" s="77"/>
      <c r="AT1604" s="77"/>
      <c r="AU1604" s="77"/>
      <c r="AV1604" s="80" t="str">
        <f>HYPERLINK("https://pbs.twimg.com/media/Fy3G6T0WYAEXCZF.jpg")</f>
        <v>https://pbs.twimg.com/media/Fy3G6T0WYAEXCZF.jpg</v>
      </c>
      <c r="AW1604" s="82" t="s">
        <v>18373</v>
      </c>
      <c r="AX1604" s="82" t="s">
        <v>18373</v>
      </c>
      <c r="AY1604" s="77"/>
      <c r="AZ1604" s="82" t="s">
        <v>20971</v>
      </c>
      <c r="BA1604" s="82" t="s">
        <v>20971</v>
      </c>
      <c r="BB1604" s="82" t="s">
        <v>20971</v>
      </c>
      <c r="BC1604" s="82" t="s">
        <v>18373</v>
      </c>
      <c r="BD1604" s="77">
        <v>233531860</v>
      </c>
      <c r="BE1604" s="77"/>
      <c r="BF1604" s="77"/>
      <c r="BG1604" s="77"/>
      <c r="BH1604" s="77"/>
      <c r="BI1604" s="77"/>
    </row>
    <row r="1605" spans="1:61" x14ac:dyDescent="0.25">
      <c r="A1605" s="62" t="s">
        <v>590</v>
      </c>
      <c r="B1605" s="62" t="s">
        <v>590</v>
      </c>
      <c r="C1605" s="63"/>
      <c r="D1605" s="64"/>
      <c r="E1605" s="65"/>
      <c r="F1605" s="66"/>
      <c r="G1605" s="63"/>
      <c r="H1605" s="67"/>
      <c r="I1605" s="68"/>
      <c r="J1605" s="68"/>
      <c r="K1605" s="32"/>
      <c r="L1605" s="75">
        <v>1605</v>
      </c>
      <c r="M1605" s="75"/>
      <c r="N1605" s="70"/>
      <c r="O1605" s="77" t="s">
        <v>179</v>
      </c>
      <c r="P1605" s="79">
        <v>45105.39135416667</v>
      </c>
      <c r="Q1605" s="77" t="s">
        <v>2845</v>
      </c>
      <c r="R1605" s="77">
        <v>0</v>
      </c>
      <c r="S1605" s="77">
        <v>0</v>
      </c>
      <c r="T1605" s="77">
        <v>0</v>
      </c>
      <c r="U1605" s="77">
        <v>0</v>
      </c>
      <c r="V1605" s="77">
        <v>12</v>
      </c>
      <c r="W1605" s="82" t="s">
        <v>5931</v>
      </c>
      <c r="X1605" s="77"/>
      <c r="Y1605" s="77"/>
      <c r="Z1605" s="77"/>
      <c r="AA1605" s="77" t="s">
        <v>8244</v>
      </c>
      <c r="AB1605" s="77" t="s">
        <v>10130</v>
      </c>
      <c r="AC1605" s="82" t="s">
        <v>10144</v>
      </c>
      <c r="AD1605" s="77" t="s">
        <v>10184</v>
      </c>
      <c r="AE1605" s="80" t="str">
        <f>HYPERLINK("https://twitter.com/o_mundo_filiado/status/1673985478888923139")</f>
        <v>https://twitter.com/o_mundo_filiado/status/1673985478888923139</v>
      </c>
      <c r="AF1605" s="79">
        <v>45105.39135416667</v>
      </c>
      <c r="AG1605" s="85">
        <v>45105</v>
      </c>
      <c r="AH1605" s="82" t="s">
        <v>11736</v>
      </c>
      <c r="AI1605" s="77" t="b">
        <v>0</v>
      </c>
      <c r="AJ1605" s="77"/>
      <c r="AK1605" s="77"/>
      <c r="AL1605" s="77"/>
      <c r="AM1605" s="77"/>
      <c r="AN1605" s="77"/>
      <c r="AO1605" s="77"/>
      <c r="AP1605" s="77"/>
      <c r="AQ1605" s="77" t="s">
        <v>14888</v>
      </c>
      <c r="AR1605" s="77"/>
      <c r="AS1605" s="77"/>
      <c r="AT1605" s="77"/>
      <c r="AU1605" s="77"/>
      <c r="AV1605" s="80" t="str">
        <f>HYPERLINK("https://pbs.twimg.com/media/Fzsw7AbX0AA_a6v.jpg")</f>
        <v>https://pbs.twimg.com/media/Fzsw7AbX0AA_a6v.jpg</v>
      </c>
      <c r="AW1605" s="82" t="s">
        <v>18374</v>
      </c>
      <c r="AX1605" s="82" t="s">
        <v>18374</v>
      </c>
      <c r="AY1605" s="77"/>
      <c r="AZ1605" s="82" t="s">
        <v>20971</v>
      </c>
      <c r="BA1605" s="82" t="s">
        <v>20971</v>
      </c>
      <c r="BB1605" s="82" t="s">
        <v>20971</v>
      </c>
      <c r="BC1605" s="82" t="s">
        <v>18374</v>
      </c>
      <c r="BD1605" s="82" t="s">
        <v>21283</v>
      </c>
      <c r="BE1605" s="77"/>
      <c r="BF1605" s="77"/>
      <c r="BG1605" s="77"/>
      <c r="BH1605" s="77"/>
      <c r="BI1605" s="77"/>
    </row>
    <row r="1606" spans="1:61" x14ac:dyDescent="0.25">
      <c r="A1606" s="62" t="s">
        <v>591</v>
      </c>
      <c r="B1606" s="62" t="s">
        <v>591</v>
      </c>
      <c r="C1606" s="63"/>
      <c r="D1606" s="64"/>
      <c r="E1606" s="65"/>
      <c r="F1606" s="66"/>
      <c r="G1606" s="63"/>
      <c r="H1606" s="67"/>
      <c r="I1606" s="68"/>
      <c r="J1606" s="68"/>
      <c r="K1606" s="32"/>
      <c r="L1606" s="75">
        <v>1606</v>
      </c>
      <c r="M1606" s="75"/>
      <c r="N1606" s="70"/>
      <c r="O1606" s="77" t="s">
        <v>179</v>
      </c>
      <c r="P1606" s="79">
        <v>45028.947962962964</v>
      </c>
      <c r="Q1606" s="77" t="s">
        <v>2846</v>
      </c>
      <c r="R1606" s="77">
        <v>0</v>
      </c>
      <c r="S1606" s="77">
        <v>1</v>
      </c>
      <c r="T1606" s="77">
        <v>0</v>
      </c>
      <c r="U1606" s="77">
        <v>0</v>
      </c>
      <c r="V1606" s="77">
        <v>92</v>
      </c>
      <c r="W1606" s="82" t="s">
        <v>5932</v>
      </c>
      <c r="X1606" s="80" t="str">
        <f>HYPERLINK("https://r.honeygain.me/EDMIL4A3FD")</f>
        <v>https://r.honeygain.me/EDMIL4A3FD</v>
      </c>
      <c r="Y1606" s="77" t="s">
        <v>7262</v>
      </c>
      <c r="Z1606" s="77"/>
      <c r="AA1606" s="77" t="s">
        <v>8245</v>
      </c>
      <c r="AB1606" s="77" t="s">
        <v>10130</v>
      </c>
      <c r="AC1606" s="82" t="s">
        <v>10144</v>
      </c>
      <c r="AD1606" s="77" t="s">
        <v>10184</v>
      </c>
      <c r="AE1606" s="80" t="str">
        <f>HYPERLINK("https://twitter.com/edmilso19739527/status/1646283319909179392")</f>
        <v>https://twitter.com/edmilso19739527/status/1646283319909179392</v>
      </c>
      <c r="AF1606" s="79">
        <v>45028.947962962964</v>
      </c>
      <c r="AG1606" s="85">
        <v>45028</v>
      </c>
      <c r="AH1606" s="82" t="s">
        <v>11737</v>
      </c>
      <c r="AI1606" s="77" t="b">
        <v>0</v>
      </c>
      <c r="AJ1606" s="77"/>
      <c r="AK1606" s="77"/>
      <c r="AL1606" s="77"/>
      <c r="AM1606" s="77"/>
      <c r="AN1606" s="77"/>
      <c r="AO1606" s="77"/>
      <c r="AP1606" s="77"/>
      <c r="AQ1606" s="77" t="s">
        <v>14889</v>
      </c>
      <c r="AR1606" s="77"/>
      <c r="AS1606" s="77"/>
      <c r="AT1606" s="77"/>
      <c r="AU1606" s="77"/>
      <c r="AV1606" s="80" t="str">
        <f>HYPERLINK("https://pbs.twimg.com/media/FtjF9DpWYAAFYUO.png")</f>
        <v>https://pbs.twimg.com/media/FtjF9DpWYAAFYUO.png</v>
      </c>
      <c r="AW1606" s="82" t="s">
        <v>18375</v>
      </c>
      <c r="AX1606" s="82" t="s">
        <v>18375</v>
      </c>
      <c r="AY1606" s="77"/>
      <c r="AZ1606" s="82" t="s">
        <v>20971</v>
      </c>
      <c r="BA1606" s="82" t="s">
        <v>20971</v>
      </c>
      <c r="BB1606" s="82" t="s">
        <v>20971</v>
      </c>
      <c r="BC1606" s="82" t="s">
        <v>18375</v>
      </c>
      <c r="BD1606" s="82" t="s">
        <v>21284</v>
      </c>
      <c r="BE1606" s="77"/>
      <c r="BF1606" s="77"/>
      <c r="BG1606" s="77"/>
      <c r="BH1606" s="77"/>
      <c r="BI1606" s="77"/>
    </row>
    <row r="1607" spans="1:61" x14ac:dyDescent="0.25">
      <c r="A1607" s="62" t="s">
        <v>592</v>
      </c>
      <c r="B1607" s="62" t="s">
        <v>592</v>
      </c>
      <c r="C1607" s="63"/>
      <c r="D1607" s="64"/>
      <c r="E1607" s="65"/>
      <c r="F1607" s="66"/>
      <c r="G1607" s="63"/>
      <c r="H1607" s="67"/>
      <c r="I1607" s="68"/>
      <c r="J1607" s="68"/>
      <c r="K1607" s="32"/>
      <c r="L1607" s="75">
        <v>1607</v>
      </c>
      <c r="M1607" s="75"/>
      <c r="N1607" s="70"/>
      <c r="O1607" s="77" t="s">
        <v>1285</v>
      </c>
      <c r="P1607" s="79">
        <v>45028.543645833335</v>
      </c>
      <c r="Q1607" s="77" t="s">
        <v>2847</v>
      </c>
      <c r="R1607" s="77">
        <v>0</v>
      </c>
      <c r="S1607" s="77">
        <v>0</v>
      </c>
      <c r="T1607" s="77">
        <v>0</v>
      </c>
      <c r="U1607" s="77">
        <v>0</v>
      </c>
      <c r="V1607" s="77">
        <v>24</v>
      </c>
      <c r="W1607" s="82" t="s">
        <v>5933</v>
      </c>
      <c r="X1607" s="77" t="s">
        <v>7200</v>
      </c>
      <c r="Y1607" s="77" t="s">
        <v>7348</v>
      </c>
      <c r="Z1607" s="77" t="s">
        <v>592</v>
      </c>
      <c r="AA1607" s="77" t="s">
        <v>8246</v>
      </c>
      <c r="AB1607" s="77" t="s">
        <v>10130</v>
      </c>
      <c r="AC1607" s="82" t="s">
        <v>10146</v>
      </c>
      <c r="AD1607" s="77" t="s">
        <v>10184</v>
      </c>
      <c r="AE1607" s="80" t="str">
        <f>HYPERLINK("https://twitter.com/nascadarkyt/status/1646136800182763523")</f>
        <v>https://twitter.com/nascadarkyt/status/1646136800182763523</v>
      </c>
      <c r="AF1607" s="79">
        <v>45028.543645833335</v>
      </c>
      <c r="AG1607" s="85">
        <v>45028</v>
      </c>
      <c r="AH1607" s="82" t="s">
        <v>11738</v>
      </c>
      <c r="AI1607" s="77" t="b">
        <v>0</v>
      </c>
      <c r="AJ1607" s="77"/>
      <c r="AK1607" s="77"/>
      <c r="AL1607" s="77"/>
      <c r="AM1607" s="77"/>
      <c r="AN1607" s="77"/>
      <c r="AO1607" s="77"/>
      <c r="AP1607" s="77"/>
      <c r="AQ1607" s="77" t="s">
        <v>14890</v>
      </c>
      <c r="AR1607" s="77"/>
      <c r="AS1607" s="77"/>
      <c r="AT1607" s="77"/>
      <c r="AU1607" s="77"/>
      <c r="AV1607" s="80" t="str">
        <f>HYPERLINK("https://pbs.twimg.com/media/Ftg_lpGWwAEaduB.jpg")</f>
        <v>https://pbs.twimg.com/media/Ftg_lpGWwAEaduB.jpg</v>
      </c>
      <c r="AW1607" s="82" t="s">
        <v>18376</v>
      </c>
      <c r="AX1607" s="82" t="s">
        <v>18376</v>
      </c>
      <c r="AY1607" s="77"/>
      <c r="AZ1607" s="82" t="s">
        <v>20971</v>
      </c>
      <c r="BA1607" s="82" t="s">
        <v>20971</v>
      </c>
      <c r="BB1607" s="82" t="s">
        <v>20971</v>
      </c>
      <c r="BC1607" s="82" t="s">
        <v>18376</v>
      </c>
      <c r="BD1607" s="82" t="s">
        <v>21285</v>
      </c>
      <c r="BE1607" s="77"/>
      <c r="BF1607" s="77"/>
      <c r="BG1607" s="77"/>
      <c r="BH1607" s="77"/>
      <c r="BI1607" s="77"/>
    </row>
    <row r="1608" spans="1:61" x14ac:dyDescent="0.25">
      <c r="A1608" s="62" t="s">
        <v>592</v>
      </c>
      <c r="B1608" s="62" t="s">
        <v>592</v>
      </c>
      <c r="C1608" s="63"/>
      <c r="D1608" s="64"/>
      <c r="E1608" s="65"/>
      <c r="F1608" s="66"/>
      <c r="G1608" s="63"/>
      <c r="H1608" s="67"/>
      <c r="I1608" s="68"/>
      <c r="J1608" s="68"/>
      <c r="K1608" s="32"/>
      <c r="L1608" s="75">
        <v>1608</v>
      </c>
      <c r="M1608" s="75"/>
      <c r="N1608" s="70"/>
      <c r="O1608" s="77" t="s">
        <v>179</v>
      </c>
      <c r="P1608" s="79">
        <v>45034.456736111111</v>
      </c>
      <c r="Q1608" s="77" t="s">
        <v>2848</v>
      </c>
      <c r="R1608" s="77">
        <v>0</v>
      </c>
      <c r="S1608" s="77">
        <v>1</v>
      </c>
      <c r="T1608" s="77">
        <v>1</v>
      </c>
      <c r="U1608" s="77">
        <v>0</v>
      </c>
      <c r="V1608" s="77">
        <v>51</v>
      </c>
      <c r="W1608" s="82" t="s">
        <v>5934</v>
      </c>
      <c r="X1608" s="80" t="str">
        <f>HYPERLINK("https://coinpayz.xyz/?r=534627")</f>
        <v>https://coinpayz.xyz/?r=534627</v>
      </c>
      <c r="Y1608" s="77" t="s">
        <v>7349</v>
      </c>
      <c r="Z1608" s="77"/>
      <c r="AA1608" s="77" t="s">
        <v>8247</v>
      </c>
      <c r="AB1608" s="77" t="s">
        <v>10129</v>
      </c>
      <c r="AC1608" s="82" t="s">
        <v>10144</v>
      </c>
      <c r="AD1608" s="77" t="s">
        <v>10184</v>
      </c>
      <c r="AE1608" s="80" t="str">
        <f>HYPERLINK("https://twitter.com/nascadarkyt/status/1648279630665662464")</f>
        <v>https://twitter.com/nascadarkyt/status/1648279630665662464</v>
      </c>
      <c r="AF1608" s="79">
        <v>45034.456736111111</v>
      </c>
      <c r="AG1608" s="85">
        <v>45034</v>
      </c>
      <c r="AH1608" s="82" t="s">
        <v>11739</v>
      </c>
      <c r="AI1608" s="77" t="b">
        <v>0</v>
      </c>
      <c r="AJ1608" s="77"/>
      <c r="AK1608" s="77"/>
      <c r="AL1608" s="77"/>
      <c r="AM1608" s="77"/>
      <c r="AN1608" s="77"/>
      <c r="AO1608" s="77"/>
      <c r="AP1608" s="77"/>
      <c r="AQ1608" s="77" t="s">
        <v>14891</v>
      </c>
      <c r="AR1608" s="77">
        <v>45022</v>
      </c>
      <c r="AS1608" s="77"/>
      <c r="AT1608" s="77"/>
      <c r="AU1608" s="77"/>
      <c r="AV1608" s="80" t="str">
        <f>HYPERLINK("https://pbs.twimg.com/ext_tw_video_thumb/1648279577708441604/pu/img/YYfkn8NsxbAlg8di.jpg")</f>
        <v>https://pbs.twimg.com/ext_tw_video_thumb/1648279577708441604/pu/img/YYfkn8NsxbAlg8di.jpg</v>
      </c>
      <c r="AW1608" s="82" t="s">
        <v>18377</v>
      </c>
      <c r="AX1608" s="82" t="s">
        <v>18377</v>
      </c>
      <c r="AY1608" s="77"/>
      <c r="AZ1608" s="82" t="s">
        <v>20971</v>
      </c>
      <c r="BA1608" s="82" t="s">
        <v>20971</v>
      </c>
      <c r="BB1608" s="82" t="s">
        <v>20971</v>
      </c>
      <c r="BC1608" s="82" t="s">
        <v>18377</v>
      </c>
      <c r="BD1608" s="82" t="s">
        <v>21285</v>
      </c>
      <c r="BE1608" s="77"/>
      <c r="BF1608" s="77"/>
      <c r="BG1608" s="77"/>
      <c r="BH1608" s="77"/>
      <c r="BI1608" s="77"/>
    </row>
    <row r="1609" spans="1:61" x14ac:dyDescent="0.25">
      <c r="A1609" s="62" t="s">
        <v>593</v>
      </c>
      <c r="B1609" s="62" t="s">
        <v>593</v>
      </c>
      <c r="C1609" s="63"/>
      <c r="D1609" s="64"/>
      <c r="E1609" s="65"/>
      <c r="F1609" s="66"/>
      <c r="G1609" s="63"/>
      <c r="H1609" s="67"/>
      <c r="I1609" s="68"/>
      <c r="J1609" s="68"/>
      <c r="K1609" s="32"/>
      <c r="L1609" s="75">
        <v>1609</v>
      </c>
      <c r="M1609" s="75"/>
      <c r="N1609" s="70"/>
      <c r="O1609" s="77" t="s">
        <v>179</v>
      </c>
      <c r="P1609" s="79">
        <v>44984.593923611108</v>
      </c>
      <c r="Q1609" s="77" t="s">
        <v>2849</v>
      </c>
      <c r="R1609" s="77">
        <v>0</v>
      </c>
      <c r="S1609" s="77">
        <v>0</v>
      </c>
      <c r="T1609" s="77">
        <v>0</v>
      </c>
      <c r="U1609" s="77">
        <v>0</v>
      </c>
      <c r="V1609" s="77">
        <v>106</v>
      </c>
      <c r="W1609" s="82" t="s">
        <v>5935</v>
      </c>
      <c r="X1609" s="80" t="str">
        <f>HYPERLINK("https://links.agclarion.com/Pulse-iptv-teste")</f>
        <v>https://links.agclarion.com/Pulse-iptv-teste</v>
      </c>
      <c r="Y1609" s="77" t="s">
        <v>7350</v>
      </c>
      <c r="Z1609" s="77"/>
      <c r="AA1609" s="77" t="s">
        <v>8248</v>
      </c>
      <c r="AB1609" s="77" t="s">
        <v>10130</v>
      </c>
      <c r="AC1609" s="82" t="s">
        <v>10146</v>
      </c>
      <c r="AD1609" s="77" t="s">
        <v>10184</v>
      </c>
      <c r="AE1609" s="80" t="str">
        <f>HYPERLINK("https://twitter.com/pulseplaytv/status/1630209952265502729")</f>
        <v>https://twitter.com/pulseplaytv/status/1630209952265502729</v>
      </c>
      <c r="AF1609" s="79">
        <v>44984.593923611108</v>
      </c>
      <c r="AG1609" s="85">
        <v>44984</v>
      </c>
      <c r="AH1609" s="82" t="s">
        <v>11740</v>
      </c>
      <c r="AI1609" s="77" t="b">
        <v>0</v>
      </c>
      <c r="AJ1609" s="77"/>
      <c r="AK1609" s="77"/>
      <c r="AL1609" s="77"/>
      <c r="AM1609" s="77"/>
      <c r="AN1609" s="77"/>
      <c r="AO1609" s="77"/>
      <c r="AP1609" s="77"/>
      <c r="AQ1609" s="77" t="s">
        <v>14892</v>
      </c>
      <c r="AR1609" s="77"/>
      <c r="AS1609" s="77"/>
      <c r="AT1609" s="77"/>
      <c r="AU1609" s="77"/>
      <c r="AV1609" s="80" t="str">
        <f>HYPERLINK("https://pbs.twimg.com/media/Fp-rKSLWAAEFJ8a.jpg")</f>
        <v>https://pbs.twimg.com/media/Fp-rKSLWAAEFJ8a.jpg</v>
      </c>
      <c r="AW1609" s="82" t="s">
        <v>18378</v>
      </c>
      <c r="AX1609" s="82" t="s">
        <v>18378</v>
      </c>
      <c r="AY1609" s="77"/>
      <c r="AZ1609" s="82" t="s">
        <v>20971</v>
      </c>
      <c r="BA1609" s="82" t="s">
        <v>20971</v>
      </c>
      <c r="BB1609" s="82" t="s">
        <v>20971</v>
      </c>
      <c r="BC1609" s="82" t="s">
        <v>18378</v>
      </c>
      <c r="BD1609" s="82" t="s">
        <v>21286</v>
      </c>
      <c r="BE1609" s="77"/>
      <c r="BF1609" s="77"/>
      <c r="BG1609" s="77"/>
      <c r="BH1609" s="77"/>
      <c r="BI1609" s="77"/>
    </row>
    <row r="1610" spans="1:61" x14ac:dyDescent="0.25">
      <c r="A1610" s="62" t="s">
        <v>594</v>
      </c>
      <c r="B1610" s="62" t="s">
        <v>594</v>
      </c>
      <c r="C1610" s="63"/>
      <c r="D1610" s="64"/>
      <c r="E1610" s="65"/>
      <c r="F1610" s="66"/>
      <c r="G1610" s="63"/>
      <c r="H1610" s="67"/>
      <c r="I1610" s="68"/>
      <c r="J1610" s="68"/>
      <c r="K1610" s="32"/>
      <c r="L1610" s="75">
        <v>1610</v>
      </c>
      <c r="M1610" s="75"/>
      <c r="N1610" s="70"/>
      <c r="O1610" s="77" t="s">
        <v>179</v>
      </c>
      <c r="P1610" s="79">
        <v>44964.862083333333</v>
      </c>
      <c r="Q1610" s="77" t="s">
        <v>2850</v>
      </c>
      <c r="R1610" s="77">
        <v>0</v>
      </c>
      <c r="S1610" s="77">
        <v>0</v>
      </c>
      <c r="T1610" s="77">
        <v>0</v>
      </c>
      <c r="U1610" s="77">
        <v>0</v>
      </c>
      <c r="V1610" s="77">
        <v>543</v>
      </c>
      <c r="W1610" s="82" t="s">
        <v>5936</v>
      </c>
      <c r="X1610" s="77" t="s">
        <v>7201</v>
      </c>
      <c r="Y1610" s="77" t="s">
        <v>7351</v>
      </c>
      <c r="Z1610" s="77"/>
      <c r="AA1610" s="77" t="s">
        <v>8249</v>
      </c>
      <c r="AB1610" s="77" t="s">
        <v>10129</v>
      </c>
      <c r="AC1610" s="82" t="s">
        <v>10144</v>
      </c>
      <c r="AD1610" s="77" t="s">
        <v>10184</v>
      </c>
      <c r="AE1610" s="80" t="str">
        <f>HYPERLINK("https://twitter.com/arianad08683588/status/1623059372770471938")</f>
        <v>https://twitter.com/arianad08683588/status/1623059372770471938</v>
      </c>
      <c r="AF1610" s="79">
        <v>44964.862083333333</v>
      </c>
      <c r="AG1610" s="85">
        <v>44964</v>
      </c>
      <c r="AH1610" s="82" t="s">
        <v>11741</v>
      </c>
      <c r="AI1610" s="77" t="b">
        <v>0</v>
      </c>
      <c r="AJ1610" s="77" t="s">
        <v>14017</v>
      </c>
      <c r="AK1610" s="77" t="s">
        <v>14033</v>
      </c>
      <c r="AL1610" s="77" t="s">
        <v>14035</v>
      </c>
      <c r="AM1610" s="77" t="s">
        <v>14058</v>
      </c>
      <c r="AN1610" s="77" t="s">
        <v>14096</v>
      </c>
      <c r="AO1610" s="77" t="s">
        <v>14133</v>
      </c>
      <c r="AP1610" s="77" t="s">
        <v>14149</v>
      </c>
      <c r="AQ1610" s="77" t="s">
        <v>14893</v>
      </c>
      <c r="AR1610" s="77">
        <v>12515</v>
      </c>
      <c r="AS1610" s="77"/>
      <c r="AT1610" s="77"/>
      <c r="AU1610" s="77"/>
      <c r="AV1610" s="80" t="str">
        <f>HYPERLINK("https://pbs.twimg.com/ext_tw_video_thumb/1623059339908116480/pu/img/H0Sqp_WJZQP3wC2N.jpg")</f>
        <v>https://pbs.twimg.com/ext_tw_video_thumb/1623059339908116480/pu/img/H0Sqp_WJZQP3wC2N.jpg</v>
      </c>
      <c r="AW1610" s="82" t="s">
        <v>18379</v>
      </c>
      <c r="AX1610" s="82" t="s">
        <v>18379</v>
      </c>
      <c r="AY1610" s="77"/>
      <c r="AZ1610" s="82" t="s">
        <v>20971</v>
      </c>
      <c r="BA1610" s="82" t="s">
        <v>20971</v>
      </c>
      <c r="BB1610" s="82" t="s">
        <v>20971</v>
      </c>
      <c r="BC1610" s="82" t="s">
        <v>18379</v>
      </c>
      <c r="BD1610" s="82" t="s">
        <v>21287</v>
      </c>
      <c r="BE1610" s="77"/>
      <c r="BF1610" s="77"/>
      <c r="BG1610" s="77"/>
      <c r="BH1610" s="77"/>
      <c r="BI1610" s="77"/>
    </row>
    <row r="1611" spans="1:61" x14ac:dyDescent="0.25">
      <c r="A1611" s="62" t="s">
        <v>594</v>
      </c>
      <c r="B1611" s="62" t="s">
        <v>594</v>
      </c>
      <c r="C1611" s="63"/>
      <c r="D1611" s="64"/>
      <c r="E1611" s="65"/>
      <c r="F1611" s="66"/>
      <c r="G1611" s="63"/>
      <c r="H1611" s="67"/>
      <c r="I1611" s="68"/>
      <c r="J1611" s="68"/>
      <c r="K1611" s="32"/>
      <c r="L1611" s="75">
        <v>1611</v>
      </c>
      <c r="M1611" s="75"/>
      <c r="N1611" s="70"/>
      <c r="O1611" s="77" t="s">
        <v>179</v>
      </c>
      <c r="P1611" s="79">
        <v>44963.772835648146</v>
      </c>
      <c r="Q1611" s="77" t="s">
        <v>2851</v>
      </c>
      <c r="R1611" s="77">
        <v>0</v>
      </c>
      <c r="S1611" s="77">
        <v>0</v>
      </c>
      <c r="T1611" s="77">
        <v>0</v>
      </c>
      <c r="U1611" s="77">
        <v>1</v>
      </c>
      <c r="V1611" s="77">
        <v>231</v>
      </c>
      <c r="W1611" s="77"/>
      <c r="X1611" s="77" t="s">
        <v>7201</v>
      </c>
      <c r="Y1611" s="77" t="s">
        <v>7351</v>
      </c>
      <c r="Z1611" s="77"/>
      <c r="AA1611" s="77" t="s">
        <v>8250</v>
      </c>
      <c r="AB1611" s="77" t="s">
        <v>10130</v>
      </c>
      <c r="AC1611" s="82" t="s">
        <v>10144</v>
      </c>
      <c r="AD1611" s="77" t="s">
        <v>10184</v>
      </c>
      <c r="AE1611" s="80" t="str">
        <f>HYPERLINK("https://twitter.com/arianad08683588/status/1622664644505608196")</f>
        <v>https://twitter.com/arianad08683588/status/1622664644505608196</v>
      </c>
      <c r="AF1611" s="79">
        <v>44963.772835648146</v>
      </c>
      <c r="AG1611" s="85">
        <v>44963</v>
      </c>
      <c r="AH1611" s="82" t="s">
        <v>11742</v>
      </c>
      <c r="AI1611" s="77" t="b">
        <v>0</v>
      </c>
      <c r="AJ1611" s="77"/>
      <c r="AK1611" s="77"/>
      <c r="AL1611" s="77"/>
      <c r="AM1611" s="77"/>
      <c r="AN1611" s="77"/>
      <c r="AO1611" s="77"/>
      <c r="AP1611" s="77"/>
      <c r="AQ1611" s="77" t="s">
        <v>14894</v>
      </c>
      <c r="AR1611" s="77"/>
      <c r="AS1611" s="77"/>
      <c r="AT1611" s="77"/>
      <c r="AU1611" s="77"/>
      <c r="AV1611" s="80" t="str">
        <f>HYPERLINK("https://pbs.twimg.com/media/FoTc5PpXoCg7C5v.jpg")</f>
        <v>https://pbs.twimg.com/media/FoTc5PpXoCg7C5v.jpg</v>
      </c>
      <c r="AW1611" s="82" t="s">
        <v>18380</v>
      </c>
      <c r="AX1611" s="82" t="s">
        <v>18380</v>
      </c>
      <c r="AY1611" s="77"/>
      <c r="AZ1611" s="82" t="s">
        <v>20971</v>
      </c>
      <c r="BA1611" s="82" t="s">
        <v>20971</v>
      </c>
      <c r="BB1611" s="82" t="s">
        <v>20971</v>
      </c>
      <c r="BC1611" s="82" t="s">
        <v>18380</v>
      </c>
      <c r="BD1611" s="82" t="s">
        <v>21287</v>
      </c>
      <c r="BE1611" s="77"/>
      <c r="BF1611" s="77"/>
      <c r="BG1611" s="77"/>
      <c r="BH1611" s="77"/>
      <c r="BI1611" s="77"/>
    </row>
    <row r="1612" spans="1:61" x14ac:dyDescent="0.25">
      <c r="A1612" s="62" t="s">
        <v>594</v>
      </c>
      <c r="B1612" s="62" t="s">
        <v>594</v>
      </c>
      <c r="C1612" s="63"/>
      <c r="D1612" s="64"/>
      <c r="E1612" s="65"/>
      <c r="F1612" s="66"/>
      <c r="G1612" s="63"/>
      <c r="H1612" s="67"/>
      <c r="I1612" s="68"/>
      <c r="J1612" s="68"/>
      <c r="K1612" s="32"/>
      <c r="L1612" s="75">
        <v>1612</v>
      </c>
      <c r="M1612" s="75"/>
      <c r="N1612" s="70"/>
      <c r="O1612" s="77" t="s">
        <v>1286</v>
      </c>
      <c r="P1612" s="79">
        <v>44963.774687500001</v>
      </c>
      <c r="Q1612" s="77" t="s">
        <v>2852</v>
      </c>
      <c r="R1612" s="77">
        <v>0</v>
      </c>
      <c r="S1612" s="77">
        <v>0</v>
      </c>
      <c r="T1612" s="77">
        <v>0</v>
      </c>
      <c r="U1612" s="77">
        <v>0</v>
      </c>
      <c r="V1612" s="77">
        <v>154</v>
      </c>
      <c r="W1612" s="82" t="s">
        <v>5936</v>
      </c>
      <c r="X1612" s="77"/>
      <c r="Y1612" s="77"/>
      <c r="Z1612" s="77"/>
      <c r="AA1612" s="77"/>
      <c r="AB1612" s="77"/>
      <c r="AC1612" s="82" t="s">
        <v>10144</v>
      </c>
      <c r="AD1612" s="77" t="s">
        <v>10184</v>
      </c>
      <c r="AE1612" s="80" t="str">
        <f>HYPERLINK("https://twitter.com/arianad08683588/status/1622665315959152646")</f>
        <v>https://twitter.com/arianad08683588/status/1622665315959152646</v>
      </c>
      <c r="AF1612" s="79">
        <v>44963.774687500001</v>
      </c>
      <c r="AG1612" s="85">
        <v>44963</v>
      </c>
      <c r="AH1612" s="82" t="s">
        <v>11743</v>
      </c>
      <c r="AI1612" s="77"/>
      <c r="AJ1612" s="77" t="s">
        <v>14017</v>
      </c>
      <c r="AK1612" s="77" t="s">
        <v>14033</v>
      </c>
      <c r="AL1612" s="77" t="s">
        <v>14035</v>
      </c>
      <c r="AM1612" s="77" t="s">
        <v>14058</v>
      </c>
      <c r="AN1612" s="77" t="s">
        <v>14096</v>
      </c>
      <c r="AO1612" s="77" t="s">
        <v>14133</v>
      </c>
      <c r="AP1612" s="77" t="s">
        <v>14149</v>
      </c>
      <c r="AQ1612" s="77"/>
      <c r="AR1612" s="77"/>
      <c r="AS1612" s="77"/>
      <c r="AT1612" s="77"/>
      <c r="AU1612" s="77"/>
      <c r="AV1612" s="80" t="str">
        <f>HYPERLINK("https://pbs.twimg.com/profile_images/1586732559169372161/K1HvV8B7_normal.jpg")</f>
        <v>https://pbs.twimg.com/profile_images/1586732559169372161/K1HvV8B7_normal.jpg</v>
      </c>
      <c r="AW1612" s="82" t="s">
        <v>18381</v>
      </c>
      <c r="AX1612" s="82" t="s">
        <v>18381</v>
      </c>
      <c r="AY1612" s="77"/>
      <c r="AZ1612" s="82" t="s">
        <v>20971</v>
      </c>
      <c r="BA1612" s="82" t="s">
        <v>18380</v>
      </c>
      <c r="BB1612" s="82" t="s">
        <v>20971</v>
      </c>
      <c r="BC1612" s="82" t="s">
        <v>18380</v>
      </c>
      <c r="BD1612" s="82" t="s">
        <v>21287</v>
      </c>
      <c r="BE1612" s="77"/>
      <c r="BF1612" s="77"/>
      <c r="BG1612" s="77"/>
      <c r="BH1612" s="77"/>
      <c r="BI1612" s="77"/>
    </row>
    <row r="1613" spans="1:61" x14ac:dyDescent="0.25">
      <c r="A1613" s="62" t="s">
        <v>595</v>
      </c>
      <c r="B1613" s="62" t="s">
        <v>595</v>
      </c>
      <c r="C1613" s="63"/>
      <c r="D1613" s="64"/>
      <c r="E1613" s="65"/>
      <c r="F1613" s="66"/>
      <c r="G1613" s="63"/>
      <c r="H1613" s="67"/>
      <c r="I1613" s="68"/>
      <c r="J1613" s="68"/>
      <c r="K1613" s="32"/>
      <c r="L1613" s="75">
        <v>1613</v>
      </c>
      <c r="M1613" s="75"/>
      <c r="N1613" s="70"/>
      <c r="O1613" s="77" t="s">
        <v>179</v>
      </c>
      <c r="P1613" s="79">
        <v>45054.819479166668</v>
      </c>
      <c r="Q1613" s="77" t="s">
        <v>2853</v>
      </c>
      <c r="R1613" s="77">
        <v>0</v>
      </c>
      <c r="S1613" s="77">
        <v>0</v>
      </c>
      <c r="T1613" s="77">
        <v>2</v>
      </c>
      <c r="U1613" s="77">
        <v>0</v>
      </c>
      <c r="V1613" s="77">
        <v>151</v>
      </c>
      <c r="W1613" s="82" t="s">
        <v>5937</v>
      </c>
      <c r="X1613" s="77"/>
      <c r="Y1613" s="77"/>
      <c r="Z1613" s="77"/>
      <c r="AA1613" s="77" t="s">
        <v>8251</v>
      </c>
      <c r="AB1613" s="77" t="s">
        <v>10129</v>
      </c>
      <c r="AC1613" s="82" t="s">
        <v>10144</v>
      </c>
      <c r="AD1613" s="77" t="s">
        <v>10184</v>
      </c>
      <c r="AE1613" s="80" t="str">
        <f>HYPERLINK("https://twitter.com/leryvaldor/status/1655658842183589888")</f>
        <v>https://twitter.com/leryvaldor/status/1655658842183589888</v>
      </c>
      <c r="AF1613" s="79">
        <v>45054.819479166668</v>
      </c>
      <c r="AG1613" s="85">
        <v>45054</v>
      </c>
      <c r="AH1613" s="82" t="s">
        <v>11744</v>
      </c>
      <c r="AI1613" s="77" t="b">
        <v>0</v>
      </c>
      <c r="AJ1613" s="77"/>
      <c r="AK1613" s="77"/>
      <c r="AL1613" s="77"/>
      <c r="AM1613" s="77"/>
      <c r="AN1613" s="77"/>
      <c r="AO1613" s="77"/>
      <c r="AP1613" s="77"/>
      <c r="AQ1613" s="77" t="s">
        <v>14895</v>
      </c>
      <c r="AR1613" s="77">
        <v>15000</v>
      </c>
      <c r="AS1613" s="77"/>
      <c r="AT1613" s="77"/>
      <c r="AU1613" s="77"/>
      <c r="AV1613" s="80" t="str">
        <f>HYPERLINK("https://pbs.twimg.com/ext_tw_video_thumb/1655658780443418633/pu/img/uNCAZ6EotIaj-umB.jpg")</f>
        <v>https://pbs.twimg.com/ext_tw_video_thumb/1655658780443418633/pu/img/uNCAZ6EotIaj-umB.jpg</v>
      </c>
      <c r="AW1613" s="82" t="s">
        <v>18382</v>
      </c>
      <c r="AX1613" s="82" t="s">
        <v>18382</v>
      </c>
      <c r="AY1613" s="77"/>
      <c r="AZ1613" s="82" t="s">
        <v>20971</v>
      </c>
      <c r="BA1613" s="82" t="s">
        <v>20971</v>
      </c>
      <c r="BB1613" s="82" t="s">
        <v>20971</v>
      </c>
      <c r="BC1613" s="82" t="s">
        <v>18382</v>
      </c>
      <c r="BD1613" s="82" t="s">
        <v>21288</v>
      </c>
      <c r="BE1613" s="77"/>
      <c r="BF1613" s="77"/>
      <c r="BG1613" s="77"/>
      <c r="BH1613" s="77"/>
      <c r="BI1613" s="77"/>
    </row>
    <row r="1614" spans="1:61" x14ac:dyDescent="0.25">
      <c r="A1614" s="62" t="s">
        <v>596</v>
      </c>
      <c r="B1614" s="62" t="s">
        <v>596</v>
      </c>
      <c r="C1614" s="63"/>
      <c r="D1614" s="64"/>
      <c r="E1614" s="65"/>
      <c r="F1614" s="66"/>
      <c r="G1614" s="63"/>
      <c r="H1614" s="67"/>
      <c r="I1614" s="68"/>
      <c r="J1614" s="68"/>
      <c r="K1614" s="32"/>
      <c r="L1614" s="75">
        <v>1614</v>
      </c>
      <c r="M1614" s="75"/>
      <c r="N1614" s="70"/>
      <c r="O1614" s="77" t="s">
        <v>179</v>
      </c>
      <c r="P1614" s="79">
        <v>45150.536423611113</v>
      </c>
      <c r="Q1614" s="77" t="s">
        <v>2854</v>
      </c>
      <c r="R1614" s="77">
        <v>0</v>
      </c>
      <c r="S1614" s="77">
        <v>0</v>
      </c>
      <c r="T1614" s="77">
        <v>0</v>
      </c>
      <c r="U1614" s="77">
        <v>0</v>
      </c>
      <c r="V1614" s="77">
        <v>28</v>
      </c>
      <c r="W1614" s="82" t="s">
        <v>5938</v>
      </c>
      <c r="X1614" s="80" t="str">
        <f>HYPERLINK("https://www.brabet.com/?agentid=148864193")</f>
        <v>https://www.brabet.com/?agentid=148864193</v>
      </c>
      <c r="Y1614" s="77" t="s">
        <v>7331</v>
      </c>
      <c r="Z1614" s="77"/>
      <c r="AA1614" s="77" t="s">
        <v>8252</v>
      </c>
      <c r="AB1614" s="77" t="s">
        <v>10129</v>
      </c>
      <c r="AC1614" s="82" t="s">
        <v>10144</v>
      </c>
      <c r="AD1614" s="77" t="s">
        <v>10183</v>
      </c>
      <c r="AE1614" s="80" t="str">
        <f>HYPERLINK("https://twitter.com/andrjunior57678/status/1690345502024335361")</f>
        <v>https://twitter.com/andrjunior57678/status/1690345502024335361</v>
      </c>
      <c r="AF1614" s="79">
        <v>45150.536423611113</v>
      </c>
      <c r="AG1614" s="85">
        <v>45150</v>
      </c>
      <c r="AH1614" s="82" t="s">
        <v>11745</v>
      </c>
      <c r="AI1614" s="77" t="b">
        <v>0</v>
      </c>
      <c r="AJ1614" s="77"/>
      <c r="AK1614" s="77"/>
      <c r="AL1614" s="77"/>
      <c r="AM1614" s="77"/>
      <c r="AN1614" s="77"/>
      <c r="AO1614" s="77"/>
      <c r="AP1614" s="77"/>
      <c r="AQ1614" s="77" t="s">
        <v>14896</v>
      </c>
      <c r="AR1614" s="77">
        <v>6267</v>
      </c>
      <c r="AS1614" s="77"/>
      <c r="AT1614" s="77"/>
      <c r="AU1614" s="77"/>
      <c r="AV1614" s="80" t="str">
        <f>HYPERLINK("https://pbs.twimg.com/ext_tw_video_thumb/1690345480364900352/pu/img/Gqw6ivc76C_xhaA-.jpg")</f>
        <v>https://pbs.twimg.com/ext_tw_video_thumb/1690345480364900352/pu/img/Gqw6ivc76C_xhaA-.jpg</v>
      </c>
      <c r="AW1614" s="82" t="s">
        <v>18383</v>
      </c>
      <c r="AX1614" s="82" t="s">
        <v>18383</v>
      </c>
      <c r="AY1614" s="77"/>
      <c r="AZ1614" s="82" t="s">
        <v>20971</v>
      </c>
      <c r="BA1614" s="82" t="s">
        <v>20971</v>
      </c>
      <c r="BB1614" s="82" t="s">
        <v>20971</v>
      </c>
      <c r="BC1614" s="82" t="s">
        <v>18383</v>
      </c>
      <c r="BD1614" s="82" t="s">
        <v>21289</v>
      </c>
      <c r="BE1614" s="77"/>
      <c r="BF1614" s="77"/>
      <c r="BG1614" s="77"/>
      <c r="BH1614" s="77"/>
      <c r="BI1614" s="77"/>
    </row>
    <row r="1615" spans="1:61" x14ac:dyDescent="0.25">
      <c r="A1615" s="62" t="s">
        <v>597</v>
      </c>
      <c r="B1615" s="62" t="s">
        <v>597</v>
      </c>
      <c r="C1615" s="63"/>
      <c r="D1615" s="64"/>
      <c r="E1615" s="65"/>
      <c r="F1615" s="66"/>
      <c r="G1615" s="63"/>
      <c r="H1615" s="67"/>
      <c r="I1615" s="68"/>
      <c r="J1615" s="68"/>
      <c r="K1615" s="32"/>
      <c r="L1615" s="75">
        <v>1615</v>
      </c>
      <c r="M1615" s="75"/>
      <c r="N1615" s="70"/>
      <c r="O1615" s="77" t="s">
        <v>179</v>
      </c>
      <c r="P1615" s="79">
        <v>45084.733958333331</v>
      </c>
      <c r="Q1615" s="77" t="s">
        <v>2855</v>
      </c>
      <c r="R1615" s="77">
        <v>0</v>
      </c>
      <c r="S1615" s="77">
        <v>0</v>
      </c>
      <c r="T1615" s="77">
        <v>0</v>
      </c>
      <c r="U1615" s="77">
        <v>0</v>
      </c>
      <c r="V1615" s="77">
        <v>9</v>
      </c>
      <c r="W1615" s="82" t="s">
        <v>5939</v>
      </c>
      <c r="X1615" s="80" t="str">
        <f>HYPERLINK("https://app.monetizze.com.br/r/ANM22690056")</f>
        <v>https://app.monetizze.com.br/r/ANM22690056</v>
      </c>
      <c r="Y1615" s="77" t="s">
        <v>7252</v>
      </c>
      <c r="Z1615" s="77"/>
      <c r="AA1615" s="77" t="s">
        <v>8253</v>
      </c>
      <c r="AB1615" s="77" t="s">
        <v>10130</v>
      </c>
      <c r="AC1615" s="82" t="s">
        <v>10146</v>
      </c>
      <c r="AD1615" s="77" t="s">
        <v>10184</v>
      </c>
      <c r="AE1615" s="80" t="str">
        <f>HYPERLINK("https://twitter.com/sandrinnis38247/status/1666499487387230216")</f>
        <v>https://twitter.com/sandrinnis38247/status/1666499487387230216</v>
      </c>
      <c r="AF1615" s="79">
        <v>45084.733958333331</v>
      </c>
      <c r="AG1615" s="85">
        <v>45084</v>
      </c>
      <c r="AH1615" s="82" t="s">
        <v>11746</v>
      </c>
      <c r="AI1615" s="77" t="b">
        <v>0</v>
      </c>
      <c r="AJ1615" s="77"/>
      <c r="AK1615" s="77"/>
      <c r="AL1615" s="77"/>
      <c r="AM1615" s="77"/>
      <c r="AN1615" s="77"/>
      <c r="AO1615" s="77"/>
      <c r="AP1615" s="77"/>
      <c r="AQ1615" s="77" t="s">
        <v>14897</v>
      </c>
      <c r="AR1615" s="77"/>
      <c r="AS1615" s="77"/>
      <c r="AT1615" s="77"/>
      <c r="AU1615" s="77"/>
      <c r="AV1615" s="80" t="str">
        <f>HYPERLINK("https://pbs.twimg.com/media/FyCUzPsWYC8FMlc.jpg")</f>
        <v>https://pbs.twimg.com/media/FyCUzPsWYC8FMlc.jpg</v>
      </c>
      <c r="AW1615" s="82" t="s">
        <v>18384</v>
      </c>
      <c r="AX1615" s="82" t="s">
        <v>18384</v>
      </c>
      <c r="AY1615" s="77"/>
      <c r="AZ1615" s="82" t="s">
        <v>20971</v>
      </c>
      <c r="BA1615" s="82" t="s">
        <v>20971</v>
      </c>
      <c r="BB1615" s="82" t="s">
        <v>20971</v>
      </c>
      <c r="BC1615" s="82" t="s">
        <v>18384</v>
      </c>
      <c r="BD1615" s="82" t="s">
        <v>21290</v>
      </c>
      <c r="BE1615" s="77"/>
      <c r="BF1615" s="77"/>
      <c r="BG1615" s="77"/>
      <c r="BH1615" s="77"/>
      <c r="BI1615" s="77"/>
    </row>
    <row r="1616" spans="1:61" x14ac:dyDescent="0.25">
      <c r="A1616" s="62" t="s">
        <v>598</v>
      </c>
      <c r="B1616" s="62" t="s">
        <v>1256</v>
      </c>
      <c r="C1616" s="63"/>
      <c r="D1616" s="64"/>
      <c r="E1616" s="65"/>
      <c r="F1616" s="66"/>
      <c r="G1616" s="63"/>
      <c r="H1616" s="67"/>
      <c r="I1616" s="68"/>
      <c r="J1616" s="68"/>
      <c r="K1616" s="32"/>
      <c r="L1616" s="75">
        <v>1616</v>
      </c>
      <c r="M1616" s="75"/>
      <c r="N1616" s="70"/>
      <c r="O1616" s="77" t="s">
        <v>1288</v>
      </c>
      <c r="P1616" s="79">
        <v>45145.88890046296</v>
      </c>
      <c r="Q1616" s="77" t="s">
        <v>2856</v>
      </c>
      <c r="R1616" s="77">
        <v>0</v>
      </c>
      <c r="S1616" s="77">
        <v>1</v>
      </c>
      <c r="T1616" s="77">
        <v>0</v>
      </c>
      <c r="U1616" s="77">
        <v>0</v>
      </c>
      <c r="V1616" s="77">
        <v>26</v>
      </c>
      <c r="W1616" s="82" t="s">
        <v>5236</v>
      </c>
      <c r="X1616" s="77"/>
      <c r="Y1616" s="77"/>
      <c r="Z1616" s="77" t="s">
        <v>7503</v>
      </c>
      <c r="AA1616" s="77"/>
      <c r="AB1616" s="77"/>
      <c r="AC1616" s="82" t="s">
        <v>10144</v>
      </c>
      <c r="AD1616" s="77" t="s">
        <v>10184</v>
      </c>
      <c r="AE1616" s="80" t="str">
        <f>HYPERLINK("https://twitter.com/karemdias/status/1688661297192136704")</f>
        <v>https://twitter.com/karemdias/status/1688661297192136704</v>
      </c>
      <c r="AF1616" s="79">
        <v>45145.88890046296</v>
      </c>
      <c r="AG1616" s="85">
        <v>45145</v>
      </c>
      <c r="AH1616" s="82" t="s">
        <v>11747</v>
      </c>
      <c r="AI1616" s="77"/>
      <c r="AJ1616" s="77"/>
      <c r="AK1616" s="77"/>
      <c r="AL1616" s="77"/>
      <c r="AM1616" s="77"/>
      <c r="AN1616" s="77"/>
      <c r="AO1616" s="77"/>
      <c r="AP1616" s="77"/>
      <c r="AQ1616" s="77"/>
      <c r="AR1616" s="77"/>
      <c r="AS1616" s="77"/>
      <c r="AT1616" s="77"/>
      <c r="AU1616" s="77"/>
      <c r="AV1616" s="80" t="str">
        <f>HYPERLINK("https://pbs.twimg.com/profile_images/1699859335763881984/h9OOMS1H_normal.jpg")</f>
        <v>https://pbs.twimg.com/profile_images/1699859335763881984/h9OOMS1H_normal.jpg</v>
      </c>
      <c r="AW1616" s="82" t="s">
        <v>18385</v>
      </c>
      <c r="AX1616" s="82" t="s">
        <v>20822</v>
      </c>
      <c r="AY1616" s="82" t="s">
        <v>20927</v>
      </c>
      <c r="AZ1616" s="82" t="s">
        <v>20980</v>
      </c>
      <c r="BA1616" s="82" t="s">
        <v>20971</v>
      </c>
      <c r="BB1616" s="82" t="s">
        <v>20971</v>
      </c>
      <c r="BC1616" s="82" t="s">
        <v>20980</v>
      </c>
      <c r="BD1616" s="77">
        <v>86575669</v>
      </c>
      <c r="BE1616" s="77"/>
      <c r="BF1616" s="77"/>
      <c r="BG1616" s="77"/>
      <c r="BH1616" s="77"/>
      <c r="BI1616" s="77"/>
    </row>
    <row r="1617" spans="1:61" x14ac:dyDescent="0.25">
      <c r="A1617" s="62" t="s">
        <v>598</v>
      </c>
      <c r="B1617" s="62" t="s">
        <v>1257</v>
      </c>
      <c r="C1617" s="63"/>
      <c r="D1617" s="64"/>
      <c r="E1617" s="65"/>
      <c r="F1617" s="66"/>
      <c r="G1617" s="63"/>
      <c r="H1617" s="67"/>
      <c r="I1617" s="68"/>
      <c r="J1617" s="68"/>
      <c r="K1617" s="32"/>
      <c r="L1617" s="75">
        <v>1617</v>
      </c>
      <c r="M1617" s="75"/>
      <c r="N1617" s="70"/>
      <c r="O1617" s="77" t="s">
        <v>1284</v>
      </c>
      <c r="P1617" s="79">
        <v>45145.88890046296</v>
      </c>
      <c r="Q1617" s="77" t="s">
        <v>2856</v>
      </c>
      <c r="R1617" s="77">
        <v>0</v>
      </c>
      <c r="S1617" s="77">
        <v>1</v>
      </c>
      <c r="T1617" s="77">
        <v>0</v>
      </c>
      <c r="U1617" s="77">
        <v>0</v>
      </c>
      <c r="V1617" s="77">
        <v>26</v>
      </c>
      <c r="W1617" s="82" t="s">
        <v>5236</v>
      </c>
      <c r="X1617" s="77"/>
      <c r="Y1617" s="77"/>
      <c r="Z1617" s="77" t="s">
        <v>7503</v>
      </c>
      <c r="AA1617" s="77"/>
      <c r="AB1617" s="77"/>
      <c r="AC1617" s="82" t="s">
        <v>10144</v>
      </c>
      <c r="AD1617" s="77" t="s">
        <v>10184</v>
      </c>
      <c r="AE1617" s="80" t="str">
        <f>HYPERLINK("https://twitter.com/karemdias/status/1688661297192136704")</f>
        <v>https://twitter.com/karemdias/status/1688661297192136704</v>
      </c>
      <c r="AF1617" s="79">
        <v>45145.88890046296</v>
      </c>
      <c r="AG1617" s="85">
        <v>45145</v>
      </c>
      <c r="AH1617" s="82" t="s">
        <v>11747</v>
      </c>
      <c r="AI1617" s="77"/>
      <c r="AJ1617" s="77"/>
      <c r="AK1617" s="77"/>
      <c r="AL1617" s="77"/>
      <c r="AM1617" s="77"/>
      <c r="AN1617" s="77"/>
      <c r="AO1617" s="77"/>
      <c r="AP1617" s="77"/>
      <c r="AQ1617" s="77"/>
      <c r="AR1617" s="77"/>
      <c r="AS1617" s="77"/>
      <c r="AT1617" s="77"/>
      <c r="AU1617" s="77"/>
      <c r="AV1617" s="80" t="str">
        <f>HYPERLINK("https://pbs.twimg.com/profile_images/1699859335763881984/h9OOMS1H_normal.jpg")</f>
        <v>https://pbs.twimg.com/profile_images/1699859335763881984/h9OOMS1H_normal.jpg</v>
      </c>
      <c r="AW1617" s="82" t="s">
        <v>18385</v>
      </c>
      <c r="AX1617" s="82" t="s">
        <v>20822</v>
      </c>
      <c r="AY1617" s="82" t="s">
        <v>20927</v>
      </c>
      <c r="AZ1617" s="82" t="s">
        <v>20980</v>
      </c>
      <c r="BA1617" s="82" t="s">
        <v>20971</v>
      </c>
      <c r="BB1617" s="82" t="s">
        <v>20971</v>
      </c>
      <c r="BC1617" s="82" t="s">
        <v>20980</v>
      </c>
      <c r="BD1617" s="77">
        <v>86575669</v>
      </c>
      <c r="BE1617" s="77"/>
      <c r="BF1617" s="77"/>
      <c r="BG1617" s="77"/>
      <c r="BH1617" s="77"/>
      <c r="BI1617" s="77"/>
    </row>
    <row r="1618" spans="1:61" x14ac:dyDescent="0.25">
      <c r="A1618" s="62" t="s">
        <v>599</v>
      </c>
      <c r="B1618" s="62" t="s">
        <v>599</v>
      </c>
      <c r="C1618" s="63"/>
      <c r="D1618" s="64"/>
      <c r="E1618" s="65"/>
      <c r="F1618" s="66"/>
      <c r="G1618" s="63"/>
      <c r="H1618" s="67"/>
      <c r="I1618" s="68"/>
      <c r="J1618" s="68"/>
      <c r="K1618" s="32"/>
      <c r="L1618" s="75">
        <v>1618</v>
      </c>
      <c r="M1618" s="75"/>
      <c r="N1618" s="70"/>
      <c r="O1618" s="77" t="s">
        <v>179</v>
      </c>
      <c r="P1618" s="79">
        <v>44992.904247685183</v>
      </c>
      <c r="Q1618" s="77" t="s">
        <v>2857</v>
      </c>
      <c r="R1618" s="77">
        <v>0</v>
      </c>
      <c r="S1618" s="77">
        <v>0</v>
      </c>
      <c r="T1618" s="77">
        <v>0</v>
      </c>
      <c r="U1618" s="77">
        <v>0</v>
      </c>
      <c r="V1618" s="77">
        <v>84</v>
      </c>
      <c r="W1618" s="82" t="s">
        <v>5940</v>
      </c>
      <c r="X1618" s="77"/>
      <c r="Y1618" s="77"/>
      <c r="Z1618" s="77"/>
      <c r="AA1618" s="77" t="s">
        <v>8254</v>
      </c>
      <c r="AB1618" s="77" t="s">
        <v>10130</v>
      </c>
      <c r="AC1618" s="82" t="s">
        <v>10147</v>
      </c>
      <c r="AD1618" s="77" t="s">
        <v>10184</v>
      </c>
      <c r="AE1618" s="80" t="str">
        <f>HYPERLINK("https://twitter.com/valdilene_psic/status/1633221514123431938")</f>
        <v>https://twitter.com/valdilene_psic/status/1633221514123431938</v>
      </c>
      <c r="AF1618" s="79">
        <v>44992.904247685183</v>
      </c>
      <c r="AG1618" s="85">
        <v>44992</v>
      </c>
      <c r="AH1618" s="82" t="s">
        <v>11748</v>
      </c>
      <c r="AI1618" s="77" t="b">
        <v>0</v>
      </c>
      <c r="AJ1618" s="77"/>
      <c r="AK1618" s="77"/>
      <c r="AL1618" s="77"/>
      <c r="AM1618" s="77"/>
      <c r="AN1618" s="77"/>
      <c r="AO1618" s="77"/>
      <c r="AP1618" s="77"/>
      <c r="AQ1618" s="77" t="s">
        <v>14898</v>
      </c>
      <c r="AR1618" s="77"/>
      <c r="AS1618" s="77"/>
      <c r="AT1618" s="77"/>
      <c r="AU1618" s="77"/>
      <c r="AV1618" s="80" t="str">
        <f>HYPERLINK("https://pbs.twimg.com/media/FqpeT_1WwAAO7jx.jpg")</f>
        <v>https://pbs.twimg.com/media/FqpeT_1WwAAO7jx.jpg</v>
      </c>
      <c r="AW1618" s="82" t="s">
        <v>18386</v>
      </c>
      <c r="AX1618" s="82" t="s">
        <v>18386</v>
      </c>
      <c r="AY1618" s="77"/>
      <c r="AZ1618" s="82" t="s">
        <v>20971</v>
      </c>
      <c r="BA1618" s="82" t="s">
        <v>20971</v>
      </c>
      <c r="BB1618" s="82" t="s">
        <v>20971</v>
      </c>
      <c r="BC1618" s="82" t="s">
        <v>18386</v>
      </c>
      <c r="BD1618" s="77">
        <v>2244665997</v>
      </c>
      <c r="BE1618" s="77"/>
      <c r="BF1618" s="77"/>
      <c r="BG1618" s="77"/>
      <c r="BH1618" s="77"/>
      <c r="BI1618" s="77"/>
    </row>
    <row r="1619" spans="1:61" x14ac:dyDescent="0.25">
      <c r="A1619" s="62" t="s">
        <v>600</v>
      </c>
      <c r="B1619" s="62" t="s">
        <v>600</v>
      </c>
      <c r="C1619" s="63"/>
      <c r="D1619" s="64"/>
      <c r="E1619" s="65"/>
      <c r="F1619" s="66"/>
      <c r="G1619" s="63"/>
      <c r="H1619" s="67"/>
      <c r="I1619" s="68"/>
      <c r="J1619" s="68"/>
      <c r="K1619" s="32"/>
      <c r="L1619" s="75">
        <v>1619</v>
      </c>
      <c r="M1619" s="75"/>
      <c r="N1619" s="70"/>
      <c r="O1619" s="77" t="s">
        <v>179</v>
      </c>
      <c r="P1619" s="79">
        <v>45066.952916666669</v>
      </c>
      <c r="Q1619" s="77" t="s">
        <v>2858</v>
      </c>
      <c r="R1619" s="77">
        <v>0</v>
      </c>
      <c r="S1619" s="77">
        <v>0</v>
      </c>
      <c r="T1619" s="77">
        <v>0</v>
      </c>
      <c r="U1619" s="77">
        <v>0</v>
      </c>
      <c r="V1619" s="77">
        <v>28</v>
      </c>
      <c r="W1619" s="82" t="s">
        <v>5236</v>
      </c>
      <c r="X1619" s="80" t="str">
        <f>HYPERLINK("https://sun.eduzz.com/717102?a=78627717")</f>
        <v>https://sun.eduzz.com/717102?a=78627717</v>
      </c>
      <c r="Y1619" s="77" t="s">
        <v>7245</v>
      </c>
      <c r="Z1619" s="77"/>
      <c r="AA1619" s="77"/>
      <c r="AB1619" s="77"/>
      <c r="AC1619" s="82" t="s">
        <v>10144</v>
      </c>
      <c r="AD1619" s="77" t="s">
        <v>10184</v>
      </c>
      <c r="AE1619" s="80" t="str">
        <f>HYPERLINK("https://twitter.com/amandheihen13/status/1660055852886179847")</f>
        <v>https://twitter.com/amandheihen13/status/1660055852886179847</v>
      </c>
      <c r="AF1619" s="79">
        <v>45066.952916666669</v>
      </c>
      <c r="AG1619" s="85">
        <v>45066</v>
      </c>
      <c r="AH1619" s="82" t="s">
        <v>11749</v>
      </c>
      <c r="AI1619" s="77" t="b">
        <v>0</v>
      </c>
      <c r="AJ1619" s="77"/>
      <c r="AK1619" s="77"/>
      <c r="AL1619" s="77"/>
      <c r="AM1619" s="77"/>
      <c r="AN1619" s="77"/>
      <c r="AO1619" s="77"/>
      <c r="AP1619" s="77"/>
      <c r="AQ1619" s="77"/>
      <c r="AR1619" s="77"/>
      <c r="AS1619" s="77"/>
      <c r="AT1619" s="77"/>
      <c r="AU1619" s="77"/>
      <c r="AV1619" s="80" t="str">
        <f>HYPERLINK("https://pbs.twimg.com/profile_images/1596097581339271168/yV8Owa12_normal.jpg")</f>
        <v>https://pbs.twimg.com/profile_images/1596097581339271168/yV8Owa12_normal.jpg</v>
      </c>
      <c r="AW1619" s="82" t="s">
        <v>18387</v>
      </c>
      <c r="AX1619" s="82" t="s">
        <v>18387</v>
      </c>
      <c r="AY1619" s="77"/>
      <c r="AZ1619" s="82" t="s">
        <v>20971</v>
      </c>
      <c r="BA1619" s="82" t="s">
        <v>20971</v>
      </c>
      <c r="BB1619" s="82" t="s">
        <v>20971</v>
      </c>
      <c r="BC1619" s="82" t="s">
        <v>18387</v>
      </c>
      <c r="BD1619" s="82" t="s">
        <v>21291</v>
      </c>
      <c r="BE1619" s="77"/>
      <c r="BF1619" s="77"/>
      <c r="BG1619" s="77"/>
      <c r="BH1619" s="77"/>
      <c r="BI1619" s="77"/>
    </row>
    <row r="1620" spans="1:61" x14ac:dyDescent="0.25">
      <c r="A1620" s="62" t="s">
        <v>601</v>
      </c>
      <c r="B1620" s="62" t="s">
        <v>601</v>
      </c>
      <c r="C1620" s="63"/>
      <c r="D1620" s="64"/>
      <c r="E1620" s="65"/>
      <c r="F1620" s="66"/>
      <c r="G1620" s="63"/>
      <c r="H1620" s="67"/>
      <c r="I1620" s="68"/>
      <c r="J1620" s="68"/>
      <c r="K1620" s="32"/>
      <c r="L1620" s="75">
        <v>1620</v>
      </c>
      <c r="M1620" s="75"/>
      <c r="N1620" s="70"/>
      <c r="O1620" s="77" t="s">
        <v>179</v>
      </c>
      <c r="P1620" s="79">
        <v>45056.250925925924</v>
      </c>
      <c r="Q1620" s="77" t="s">
        <v>2859</v>
      </c>
      <c r="R1620" s="77">
        <v>1</v>
      </c>
      <c r="S1620" s="77">
        <v>0</v>
      </c>
      <c r="T1620" s="77">
        <v>0</v>
      </c>
      <c r="U1620" s="77">
        <v>0</v>
      </c>
      <c r="V1620" s="77">
        <v>315</v>
      </c>
      <c r="W1620" s="82" t="s">
        <v>5941</v>
      </c>
      <c r="X1620" s="80" t="str">
        <f>HYPERLINK("https://neofund-br.com/download?code=rsWR7E")</f>
        <v>https://neofund-br.com/download?code=rsWR7E</v>
      </c>
      <c r="Y1620" s="77" t="s">
        <v>7336</v>
      </c>
      <c r="Z1620" s="77"/>
      <c r="AA1620" s="77"/>
      <c r="AB1620" s="77"/>
      <c r="AC1620" s="82" t="s">
        <v>10144</v>
      </c>
      <c r="AD1620" s="77" t="s">
        <v>10187</v>
      </c>
      <c r="AE1620" s="80" t="str">
        <f>HYPERLINK("https://twitter.com/cruchseu_/status/1656177582067384321")</f>
        <v>https://twitter.com/cruchseu_/status/1656177582067384321</v>
      </c>
      <c r="AF1620" s="79">
        <v>45056.250925925924</v>
      </c>
      <c r="AG1620" s="85">
        <v>45056</v>
      </c>
      <c r="AH1620" s="82" t="s">
        <v>11750</v>
      </c>
      <c r="AI1620" s="77" t="b">
        <v>0</v>
      </c>
      <c r="AJ1620" s="77"/>
      <c r="AK1620" s="77"/>
      <c r="AL1620" s="77"/>
      <c r="AM1620" s="77"/>
      <c r="AN1620" s="77"/>
      <c r="AO1620" s="77"/>
      <c r="AP1620" s="77"/>
      <c r="AQ1620" s="77"/>
      <c r="AR1620" s="77"/>
      <c r="AS1620" s="77"/>
      <c r="AT1620" s="77"/>
      <c r="AU1620" s="77"/>
      <c r="AV1620" s="80" t="str">
        <f>HYPERLINK("https://pbs.twimg.com/profile_images/1601954365572612098/VE7xhfq0_normal.jpg")</f>
        <v>https://pbs.twimg.com/profile_images/1601954365572612098/VE7xhfq0_normal.jpg</v>
      </c>
      <c r="AW1620" s="82" t="s">
        <v>18388</v>
      </c>
      <c r="AX1620" s="82" t="s">
        <v>18388</v>
      </c>
      <c r="AY1620" s="77"/>
      <c r="AZ1620" s="82" t="s">
        <v>20971</v>
      </c>
      <c r="BA1620" s="82" t="s">
        <v>20971</v>
      </c>
      <c r="BB1620" s="82" t="s">
        <v>20971</v>
      </c>
      <c r="BC1620" s="82" t="s">
        <v>18388</v>
      </c>
      <c r="BD1620" s="82" t="s">
        <v>21292</v>
      </c>
      <c r="BE1620" s="77"/>
      <c r="BF1620" s="77"/>
      <c r="BG1620" s="77"/>
      <c r="BH1620" s="77"/>
      <c r="BI1620" s="77"/>
    </row>
    <row r="1621" spans="1:61" x14ac:dyDescent="0.25">
      <c r="A1621" s="62" t="s">
        <v>602</v>
      </c>
      <c r="B1621" s="62" t="s">
        <v>602</v>
      </c>
      <c r="C1621" s="63"/>
      <c r="D1621" s="64"/>
      <c r="E1621" s="65"/>
      <c r="F1621" s="66"/>
      <c r="G1621" s="63"/>
      <c r="H1621" s="67"/>
      <c r="I1621" s="68"/>
      <c r="J1621" s="68"/>
      <c r="K1621" s="32"/>
      <c r="L1621" s="75">
        <v>1621</v>
      </c>
      <c r="M1621" s="75"/>
      <c r="N1621" s="70"/>
      <c r="O1621" s="77" t="s">
        <v>179</v>
      </c>
      <c r="P1621" s="79">
        <v>45128.910034722219</v>
      </c>
      <c r="Q1621" s="77" t="s">
        <v>2860</v>
      </c>
      <c r="R1621" s="77">
        <v>0</v>
      </c>
      <c r="S1621" s="77">
        <v>0</v>
      </c>
      <c r="T1621" s="77">
        <v>1</v>
      </c>
      <c r="U1621" s="77">
        <v>0</v>
      </c>
      <c r="V1621" s="77">
        <v>11</v>
      </c>
      <c r="W1621" s="82" t="s">
        <v>5236</v>
      </c>
      <c r="X1621" s="77"/>
      <c r="Y1621" s="77"/>
      <c r="Z1621" s="77"/>
      <c r="AA1621" s="77"/>
      <c r="AB1621" s="77"/>
      <c r="AC1621" s="82" t="s">
        <v>10144</v>
      </c>
      <c r="AD1621" s="77" t="s">
        <v>10184</v>
      </c>
      <c r="AE1621" s="80" t="str">
        <f>HYPERLINK("https://twitter.com/tailinemariav/status/1682508361168834561")</f>
        <v>https://twitter.com/tailinemariav/status/1682508361168834561</v>
      </c>
      <c r="AF1621" s="79">
        <v>45128.910034722219</v>
      </c>
      <c r="AG1621" s="85">
        <v>45128</v>
      </c>
      <c r="AH1621" s="82" t="s">
        <v>11751</v>
      </c>
      <c r="AI1621" s="77"/>
      <c r="AJ1621" s="77"/>
      <c r="AK1621" s="77"/>
      <c r="AL1621" s="77"/>
      <c r="AM1621" s="77"/>
      <c r="AN1621" s="77"/>
      <c r="AO1621" s="77"/>
      <c r="AP1621" s="77"/>
      <c r="AQ1621" s="77"/>
      <c r="AR1621" s="77"/>
      <c r="AS1621" s="77"/>
      <c r="AT1621" s="77"/>
      <c r="AU1621" s="77"/>
      <c r="AV1621" s="80" t="str">
        <f>HYPERLINK("https://pbs.twimg.com/profile_images/1666412842994499585/qy5tFaXz_normal.png")</f>
        <v>https://pbs.twimg.com/profile_images/1666412842994499585/qy5tFaXz_normal.png</v>
      </c>
      <c r="AW1621" s="82" t="s">
        <v>18389</v>
      </c>
      <c r="AX1621" s="82" t="s">
        <v>18389</v>
      </c>
      <c r="AY1621" s="77"/>
      <c r="AZ1621" s="82" t="s">
        <v>20971</v>
      </c>
      <c r="BA1621" s="82" t="s">
        <v>20971</v>
      </c>
      <c r="BB1621" s="82" t="s">
        <v>20971</v>
      </c>
      <c r="BC1621" s="82" t="s">
        <v>18389</v>
      </c>
      <c r="BD1621" s="82" t="s">
        <v>21293</v>
      </c>
      <c r="BE1621" s="77"/>
      <c r="BF1621" s="77"/>
      <c r="BG1621" s="77"/>
      <c r="BH1621" s="77"/>
      <c r="BI1621" s="77"/>
    </row>
    <row r="1622" spans="1:61" x14ac:dyDescent="0.25">
      <c r="A1622" s="62" t="s">
        <v>603</v>
      </c>
      <c r="B1622" s="62" t="s">
        <v>603</v>
      </c>
      <c r="C1622" s="63"/>
      <c r="D1622" s="64"/>
      <c r="E1622" s="65"/>
      <c r="F1622" s="66"/>
      <c r="G1622" s="63"/>
      <c r="H1622" s="67"/>
      <c r="I1622" s="68"/>
      <c r="J1622" s="68"/>
      <c r="K1622" s="32"/>
      <c r="L1622" s="75">
        <v>1622</v>
      </c>
      <c r="M1622" s="75"/>
      <c r="N1622" s="70"/>
      <c r="O1622" s="77" t="s">
        <v>179</v>
      </c>
      <c r="P1622" s="79">
        <v>45127.206817129627</v>
      </c>
      <c r="Q1622" s="77" t="s">
        <v>2861</v>
      </c>
      <c r="R1622" s="77">
        <v>0</v>
      </c>
      <c r="S1622" s="77">
        <v>0</v>
      </c>
      <c r="T1622" s="77">
        <v>0</v>
      </c>
      <c r="U1622" s="77">
        <v>0</v>
      </c>
      <c r="V1622" s="77">
        <v>24</v>
      </c>
      <c r="W1622" s="82" t="s">
        <v>5942</v>
      </c>
      <c r="X1622" s="77"/>
      <c r="Y1622" s="77"/>
      <c r="Z1622" s="77"/>
      <c r="AA1622" s="77" t="s">
        <v>8255</v>
      </c>
      <c r="AB1622" s="77" t="s">
        <v>10130</v>
      </c>
      <c r="AC1622" s="82" t="s">
        <v>10146</v>
      </c>
      <c r="AD1622" s="77" t="s">
        <v>10184</v>
      </c>
      <c r="AE1622" s="80" t="str">
        <f>HYPERLINK("https://twitter.com/gustavod22980/status/1681891134874828800")</f>
        <v>https://twitter.com/gustavod22980/status/1681891134874828800</v>
      </c>
      <c r="AF1622" s="79">
        <v>45127.206817129627</v>
      </c>
      <c r="AG1622" s="85">
        <v>45127</v>
      </c>
      <c r="AH1622" s="82" t="s">
        <v>11752</v>
      </c>
      <c r="AI1622" s="77" t="b">
        <v>0</v>
      </c>
      <c r="AJ1622" s="77"/>
      <c r="AK1622" s="77"/>
      <c r="AL1622" s="77"/>
      <c r="AM1622" s="77"/>
      <c r="AN1622" s="77"/>
      <c r="AO1622" s="77"/>
      <c r="AP1622" s="77"/>
      <c r="AQ1622" s="77" t="s">
        <v>14899</v>
      </c>
      <c r="AR1622" s="77"/>
      <c r="AS1622" s="77"/>
      <c r="AT1622" s="77"/>
      <c r="AU1622" s="77"/>
      <c r="AV1622" s="80" t="str">
        <f>HYPERLINK("https://pbs.twimg.com/media/F1dGxn8X0AA0L8S.jpg")</f>
        <v>https://pbs.twimg.com/media/F1dGxn8X0AA0L8S.jpg</v>
      </c>
      <c r="AW1622" s="82" t="s">
        <v>18390</v>
      </c>
      <c r="AX1622" s="82" t="s">
        <v>18390</v>
      </c>
      <c r="AY1622" s="77"/>
      <c r="AZ1622" s="82" t="s">
        <v>20971</v>
      </c>
      <c r="BA1622" s="82" t="s">
        <v>20971</v>
      </c>
      <c r="BB1622" s="82" t="s">
        <v>20971</v>
      </c>
      <c r="BC1622" s="82" t="s">
        <v>18390</v>
      </c>
      <c r="BD1622" s="82" t="s">
        <v>21294</v>
      </c>
      <c r="BE1622" s="77"/>
      <c r="BF1622" s="77"/>
      <c r="BG1622" s="77"/>
      <c r="BH1622" s="77"/>
      <c r="BI1622" s="77"/>
    </row>
    <row r="1623" spans="1:61" x14ac:dyDescent="0.25">
      <c r="A1623" s="62" t="s">
        <v>604</v>
      </c>
      <c r="B1623" s="62" t="s">
        <v>604</v>
      </c>
      <c r="C1623" s="63"/>
      <c r="D1623" s="64"/>
      <c r="E1623" s="65"/>
      <c r="F1623" s="66"/>
      <c r="G1623" s="63"/>
      <c r="H1623" s="67"/>
      <c r="I1623" s="68"/>
      <c r="J1623" s="68"/>
      <c r="K1623" s="32"/>
      <c r="L1623" s="75">
        <v>1623</v>
      </c>
      <c r="M1623" s="75"/>
      <c r="N1623" s="70"/>
      <c r="O1623" s="77" t="s">
        <v>179</v>
      </c>
      <c r="P1623" s="79">
        <v>45022.119212962964</v>
      </c>
      <c r="Q1623" s="77" t="s">
        <v>2862</v>
      </c>
      <c r="R1623" s="77">
        <v>0</v>
      </c>
      <c r="S1623" s="77">
        <v>1</v>
      </c>
      <c r="T1623" s="77">
        <v>0</v>
      </c>
      <c r="U1623" s="77">
        <v>0</v>
      </c>
      <c r="V1623" s="77">
        <v>15</v>
      </c>
      <c r="W1623" s="82" t="s">
        <v>5943</v>
      </c>
      <c r="X1623" s="77"/>
      <c r="Y1623" s="77"/>
      <c r="Z1623" s="77"/>
      <c r="AA1623" s="77"/>
      <c r="AB1623" s="77"/>
      <c r="AC1623" s="82" t="s">
        <v>10144</v>
      </c>
      <c r="AD1623" s="77" t="s">
        <v>10184</v>
      </c>
      <c r="AE1623" s="80" t="str">
        <f>HYPERLINK("https://twitter.com/pablo_da_empada/status/1643808663813881857")</f>
        <v>https://twitter.com/pablo_da_empada/status/1643808663813881857</v>
      </c>
      <c r="AF1623" s="79">
        <v>45022.119212962964</v>
      </c>
      <c r="AG1623" s="85">
        <v>45022</v>
      </c>
      <c r="AH1623" s="82" t="s">
        <v>11753</v>
      </c>
      <c r="AI1623" s="77"/>
      <c r="AJ1623" s="77"/>
      <c r="AK1623" s="77"/>
      <c r="AL1623" s="77"/>
      <c r="AM1623" s="77"/>
      <c r="AN1623" s="77"/>
      <c r="AO1623" s="77"/>
      <c r="AP1623" s="77"/>
      <c r="AQ1623" s="77"/>
      <c r="AR1623" s="77"/>
      <c r="AS1623" s="77"/>
      <c r="AT1623" s="77"/>
      <c r="AU1623" s="77"/>
      <c r="AV1623" s="80" t="str">
        <f>HYPERLINK("https://pbs.twimg.com/profile_images/1644887391180562433/zKn-6JA6_normal.jpg")</f>
        <v>https://pbs.twimg.com/profile_images/1644887391180562433/zKn-6JA6_normal.jpg</v>
      </c>
      <c r="AW1623" s="82" t="s">
        <v>18391</v>
      </c>
      <c r="AX1623" s="82" t="s">
        <v>18391</v>
      </c>
      <c r="AY1623" s="77"/>
      <c r="AZ1623" s="82" t="s">
        <v>20971</v>
      </c>
      <c r="BA1623" s="82" t="s">
        <v>20971</v>
      </c>
      <c r="BB1623" s="82" t="s">
        <v>20971</v>
      </c>
      <c r="BC1623" s="82" t="s">
        <v>18391</v>
      </c>
      <c r="BD1623" s="82" t="s">
        <v>21295</v>
      </c>
      <c r="BE1623" s="77"/>
      <c r="BF1623" s="77"/>
      <c r="BG1623" s="77"/>
      <c r="BH1623" s="77"/>
      <c r="BI1623" s="77"/>
    </row>
    <row r="1624" spans="1:61" x14ac:dyDescent="0.25">
      <c r="A1624" s="62" t="s">
        <v>604</v>
      </c>
      <c r="B1624" s="62" t="s">
        <v>604</v>
      </c>
      <c r="C1624" s="63"/>
      <c r="D1624" s="64"/>
      <c r="E1624" s="65"/>
      <c r="F1624" s="66"/>
      <c r="G1624" s="63"/>
      <c r="H1624" s="67"/>
      <c r="I1624" s="68"/>
      <c r="J1624" s="68"/>
      <c r="K1624" s="32"/>
      <c r="L1624" s="75">
        <v>1624</v>
      </c>
      <c r="M1624" s="75"/>
      <c r="N1624" s="70"/>
      <c r="O1624" s="77" t="s">
        <v>179</v>
      </c>
      <c r="P1624" s="79">
        <v>45008.534803240742</v>
      </c>
      <c r="Q1624" s="77" t="s">
        <v>2863</v>
      </c>
      <c r="R1624" s="77">
        <v>0</v>
      </c>
      <c r="S1624" s="77">
        <v>1</v>
      </c>
      <c r="T1624" s="77">
        <v>0</v>
      </c>
      <c r="U1624" s="77">
        <v>0</v>
      </c>
      <c r="V1624" s="77">
        <v>28</v>
      </c>
      <c r="W1624" s="82" t="s">
        <v>5944</v>
      </c>
      <c r="X1624" s="77"/>
      <c r="Y1624" s="77"/>
      <c r="Z1624" s="77"/>
      <c r="AA1624" s="77"/>
      <c r="AB1624" s="77"/>
      <c r="AC1624" s="82" t="s">
        <v>10144</v>
      </c>
      <c r="AD1624" s="77" t="s">
        <v>10184</v>
      </c>
      <c r="AE1624" s="80" t="str">
        <f>HYPERLINK("https://twitter.com/pablo_da_empada/status/1638885839433342977")</f>
        <v>https://twitter.com/pablo_da_empada/status/1638885839433342977</v>
      </c>
      <c r="AF1624" s="79">
        <v>45008.534803240742</v>
      </c>
      <c r="AG1624" s="85">
        <v>45008</v>
      </c>
      <c r="AH1624" s="82" t="s">
        <v>11754</v>
      </c>
      <c r="AI1624" s="77"/>
      <c r="AJ1624" s="77" t="s">
        <v>14018</v>
      </c>
      <c r="AK1624" s="77" t="s">
        <v>14033</v>
      </c>
      <c r="AL1624" s="77" t="s">
        <v>14035</v>
      </c>
      <c r="AM1624" s="77" t="s">
        <v>14059</v>
      </c>
      <c r="AN1624" s="77" t="s">
        <v>14097</v>
      </c>
      <c r="AO1624" s="77" t="s">
        <v>14134</v>
      </c>
      <c r="AP1624" s="77" t="s">
        <v>14149</v>
      </c>
      <c r="AQ1624" s="77"/>
      <c r="AR1624" s="77"/>
      <c r="AS1624" s="77"/>
      <c r="AT1624" s="77"/>
      <c r="AU1624" s="77"/>
      <c r="AV1624" s="80" t="str">
        <f>HYPERLINK("https://pbs.twimg.com/profile_images/1644887391180562433/zKn-6JA6_normal.jpg")</f>
        <v>https://pbs.twimg.com/profile_images/1644887391180562433/zKn-6JA6_normal.jpg</v>
      </c>
      <c r="AW1624" s="82" t="s">
        <v>18392</v>
      </c>
      <c r="AX1624" s="82" t="s">
        <v>18392</v>
      </c>
      <c r="AY1624" s="77"/>
      <c r="AZ1624" s="82" t="s">
        <v>20971</v>
      </c>
      <c r="BA1624" s="82" t="s">
        <v>20971</v>
      </c>
      <c r="BB1624" s="82" t="s">
        <v>20971</v>
      </c>
      <c r="BC1624" s="82" t="s">
        <v>18392</v>
      </c>
      <c r="BD1624" s="82" t="s">
        <v>21295</v>
      </c>
      <c r="BE1624" s="77"/>
      <c r="BF1624" s="77"/>
      <c r="BG1624" s="77"/>
      <c r="BH1624" s="77"/>
      <c r="BI1624" s="77"/>
    </row>
    <row r="1625" spans="1:61" x14ac:dyDescent="0.25">
      <c r="A1625" s="62" t="s">
        <v>604</v>
      </c>
      <c r="B1625" s="62" t="s">
        <v>604</v>
      </c>
      <c r="C1625" s="63"/>
      <c r="D1625" s="64"/>
      <c r="E1625" s="65"/>
      <c r="F1625" s="66"/>
      <c r="G1625" s="63"/>
      <c r="H1625" s="67"/>
      <c r="I1625" s="68"/>
      <c r="J1625" s="68"/>
      <c r="K1625" s="32"/>
      <c r="L1625" s="75">
        <v>1625</v>
      </c>
      <c r="M1625" s="75"/>
      <c r="N1625" s="70"/>
      <c r="O1625" s="77" t="s">
        <v>179</v>
      </c>
      <c r="P1625" s="79">
        <v>45020.126643518517</v>
      </c>
      <c r="Q1625" s="77" t="s">
        <v>2864</v>
      </c>
      <c r="R1625" s="77">
        <v>0</v>
      </c>
      <c r="S1625" s="77">
        <v>1</v>
      </c>
      <c r="T1625" s="77">
        <v>0</v>
      </c>
      <c r="U1625" s="77">
        <v>0</v>
      </c>
      <c r="V1625" s="77">
        <v>23</v>
      </c>
      <c r="W1625" s="82" t="s">
        <v>5945</v>
      </c>
      <c r="X1625" s="77"/>
      <c r="Y1625" s="77"/>
      <c r="Z1625" s="77"/>
      <c r="AA1625" s="77"/>
      <c r="AB1625" s="77"/>
      <c r="AC1625" s="82" t="s">
        <v>10144</v>
      </c>
      <c r="AD1625" s="77" t="s">
        <v>10184</v>
      </c>
      <c r="AE1625" s="80" t="str">
        <f>HYPERLINK("https://twitter.com/pablo_da_empada/status/1643086580729495555")</f>
        <v>https://twitter.com/pablo_da_empada/status/1643086580729495555</v>
      </c>
      <c r="AF1625" s="79">
        <v>45020.126643518517</v>
      </c>
      <c r="AG1625" s="85">
        <v>45020</v>
      </c>
      <c r="AH1625" s="82" t="s">
        <v>11755</v>
      </c>
      <c r="AI1625" s="77"/>
      <c r="AJ1625" s="77"/>
      <c r="AK1625" s="77"/>
      <c r="AL1625" s="77"/>
      <c r="AM1625" s="77"/>
      <c r="AN1625" s="77"/>
      <c r="AO1625" s="77"/>
      <c r="AP1625" s="77"/>
      <c r="AQ1625" s="77"/>
      <c r="AR1625" s="77"/>
      <c r="AS1625" s="77"/>
      <c r="AT1625" s="77"/>
      <c r="AU1625" s="77"/>
      <c r="AV1625" s="80" t="str">
        <f>HYPERLINK("https://pbs.twimg.com/profile_images/1644887391180562433/zKn-6JA6_normal.jpg")</f>
        <v>https://pbs.twimg.com/profile_images/1644887391180562433/zKn-6JA6_normal.jpg</v>
      </c>
      <c r="AW1625" s="82" t="s">
        <v>18393</v>
      </c>
      <c r="AX1625" s="82" t="s">
        <v>18393</v>
      </c>
      <c r="AY1625" s="77"/>
      <c r="AZ1625" s="82" t="s">
        <v>20971</v>
      </c>
      <c r="BA1625" s="82" t="s">
        <v>20971</v>
      </c>
      <c r="BB1625" s="82" t="s">
        <v>20971</v>
      </c>
      <c r="BC1625" s="82" t="s">
        <v>18393</v>
      </c>
      <c r="BD1625" s="82" t="s">
        <v>21295</v>
      </c>
      <c r="BE1625" s="77"/>
      <c r="BF1625" s="77"/>
      <c r="BG1625" s="77"/>
      <c r="BH1625" s="77"/>
      <c r="BI1625" s="77"/>
    </row>
    <row r="1626" spans="1:61" x14ac:dyDescent="0.25">
      <c r="A1626" s="62" t="s">
        <v>605</v>
      </c>
      <c r="B1626" s="62" t="s">
        <v>605</v>
      </c>
      <c r="C1626" s="63"/>
      <c r="D1626" s="64"/>
      <c r="E1626" s="65"/>
      <c r="F1626" s="66"/>
      <c r="G1626" s="63"/>
      <c r="H1626" s="67"/>
      <c r="I1626" s="68"/>
      <c r="J1626" s="68"/>
      <c r="K1626" s="32"/>
      <c r="L1626" s="75">
        <v>1626</v>
      </c>
      <c r="M1626" s="75"/>
      <c r="N1626" s="70"/>
      <c r="O1626" s="77" t="s">
        <v>179</v>
      </c>
      <c r="P1626" s="79">
        <v>45189.900937500002</v>
      </c>
      <c r="Q1626" s="77" t="s">
        <v>2865</v>
      </c>
      <c r="R1626" s="77">
        <v>0</v>
      </c>
      <c r="S1626" s="77">
        <v>0</v>
      </c>
      <c r="T1626" s="77">
        <v>0</v>
      </c>
      <c r="U1626" s="77">
        <v>0</v>
      </c>
      <c r="V1626" s="77">
        <v>39</v>
      </c>
      <c r="W1626" s="82" t="s">
        <v>5946</v>
      </c>
      <c r="X1626" s="77"/>
      <c r="Y1626" s="77"/>
      <c r="Z1626" s="77"/>
      <c r="AA1626" s="77" t="s">
        <v>8256</v>
      </c>
      <c r="AB1626" s="77" t="s">
        <v>10129</v>
      </c>
      <c r="AC1626" s="82" t="s">
        <v>10144</v>
      </c>
      <c r="AD1626" s="77" t="s">
        <v>10184</v>
      </c>
      <c r="AE1626" s="80" t="str">
        <f>HYPERLINK("https://twitter.com/infinitgo/status/1704610722653655419")</f>
        <v>https://twitter.com/infinitgo/status/1704610722653655419</v>
      </c>
      <c r="AF1626" s="79">
        <v>45189.900937500002</v>
      </c>
      <c r="AG1626" s="85">
        <v>45189</v>
      </c>
      <c r="AH1626" s="82" t="s">
        <v>11756</v>
      </c>
      <c r="AI1626" s="77" t="b">
        <v>0</v>
      </c>
      <c r="AJ1626" s="77"/>
      <c r="AK1626" s="77"/>
      <c r="AL1626" s="77"/>
      <c r="AM1626" s="77"/>
      <c r="AN1626" s="77"/>
      <c r="AO1626" s="77"/>
      <c r="AP1626" s="77"/>
      <c r="AQ1626" s="77" t="s">
        <v>14900</v>
      </c>
      <c r="AR1626" s="77">
        <v>76200</v>
      </c>
      <c r="AS1626" s="77"/>
      <c r="AT1626" s="77"/>
      <c r="AU1626" s="77"/>
      <c r="AV1626" s="80" t="str">
        <f>HYPERLINK("https://pbs.twimg.com/ext_tw_video_thumb/1704610673785806848/pu/img/Ch9YIbrQqwPw5rTy.jpg")</f>
        <v>https://pbs.twimg.com/ext_tw_video_thumb/1704610673785806848/pu/img/Ch9YIbrQqwPw5rTy.jpg</v>
      </c>
      <c r="AW1626" s="82" t="s">
        <v>18394</v>
      </c>
      <c r="AX1626" s="82" t="s">
        <v>18394</v>
      </c>
      <c r="AY1626" s="77"/>
      <c r="AZ1626" s="82" t="s">
        <v>20971</v>
      </c>
      <c r="BA1626" s="82" t="s">
        <v>20971</v>
      </c>
      <c r="BB1626" s="82" t="s">
        <v>20971</v>
      </c>
      <c r="BC1626" s="82" t="s">
        <v>18394</v>
      </c>
      <c r="BD1626" s="82" t="s">
        <v>21296</v>
      </c>
      <c r="BE1626" s="77"/>
      <c r="BF1626" s="77"/>
      <c r="BG1626" s="77"/>
      <c r="BH1626" s="77"/>
      <c r="BI1626" s="77"/>
    </row>
    <row r="1627" spans="1:61" x14ac:dyDescent="0.25">
      <c r="A1627" s="62" t="s">
        <v>606</v>
      </c>
      <c r="B1627" s="62" t="s">
        <v>606</v>
      </c>
      <c r="C1627" s="63"/>
      <c r="D1627" s="64"/>
      <c r="E1627" s="65"/>
      <c r="F1627" s="66"/>
      <c r="G1627" s="63"/>
      <c r="H1627" s="67"/>
      <c r="I1627" s="68"/>
      <c r="J1627" s="68"/>
      <c r="K1627" s="32"/>
      <c r="L1627" s="75">
        <v>1627</v>
      </c>
      <c r="M1627" s="75"/>
      <c r="N1627" s="70"/>
      <c r="O1627" s="77" t="s">
        <v>179</v>
      </c>
      <c r="P1627" s="79">
        <v>45007.102384259262</v>
      </c>
      <c r="Q1627" s="77" t="s">
        <v>2866</v>
      </c>
      <c r="R1627" s="77">
        <v>0</v>
      </c>
      <c r="S1627" s="77">
        <v>1</v>
      </c>
      <c r="T1627" s="77">
        <v>0</v>
      </c>
      <c r="U1627" s="77">
        <v>0</v>
      </c>
      <c r="V1627" s="77">
        <v>70</v>
      </c>
      <c r="W1627" s="82" t="s">
        <v>5236</v>
      </c>
      <c r="X1627" s="80" t="str">
        <f>HYPERLINK("https://e2a.app/?ref=1716281")</f>
        <v>https://e2a.app/?ref=1716281</v>
      </c>
      <c r="Y1627" s="77" t="s">
        <v>7352</v>
      </c>
      <c r="Z1627" s="77"/>
      <c r="AA1627" s="77"/>
      <c r="AB1627" s="77"/>
      <c r="AC1627" s="82" t="s">
        <v>10144</v>
      </c>
      <c r="AD1627" s="77" t="s">
        <v>10187</v>
      </c>
      <c r="AE1627" s="80" t="str">
        <f>HYPERLINK("https://twitter.com/pandapinck/status/1638366745869025288")</f>
        <v>https://twitter.com/pandapinck/status/1638366745869025288</v>
      </c>
      <c r="AF1627" s="79">
        <v>45007.102384259262</v>
      </c>
      <c r="AG1627" s="85">
        <v>45007</v>
      </c>
      <c r="AH1627" s="82" t="s">
        <v>11757</v>
      </c>
      <c r="AI1627" s="77" t="b">
        <v>0</v>
      </c>
      <c r="AJ1627" s="77"/>
      <c r="AK1627" s="77"/>
      <c r="AL1627" s="77"/>
      <c r="AM1627" s="77"/>
      <c r="AN1627" s="77"/>
      <c r="AO1627" s="77"/>
      <c r="AP1627" s="77"/>
      <c r="AQ1627" s="77"/>
      <c r="AR1627" s="77"/>
      <c r="AS1627" s="77"/>
      <c r="AT1627" s="77"/>
      <c r="AU1627" s="77"/>
      <c r="AV1627" s="80" t="str">
        <f>HYPERLINK("https://pbs.twimg.com/profile_images/1429571961244508163/nz3d1-65_normal.jpg")</f>
        <v>https://pbs.twimg.com/profile_images/1429571961244508163/nz3d1-65_normal.jpg</v>
      </c>
      <c r="AW1627" s="82" t="s">
        <v>18395</v>
      </c>
      <c r="AX1627" s="82" t="s">
        <v>18395</v>
      </c>
      <c r="AY1627" s="77"/>
      <c r="AZ1627" s="82" t="s">
        <v>20971</v>
      </c>
      <c r="BA1627" s="82" t="s">
        <v>20971</v>
      </c>
      <c r="BB1627" s="82" t="s">
        <v>20971</v>
      </c>
      <c r="BC1627" s="82" t="s">
        <v>18395</v>
      </c>
      <c r="BD1627" s="82" t="s">
        <v>21297</v>
      </c>
      <c r="BE1627" s="77"/>
      <c r="BF1627" s="77"/>
      <c r="BG1627" s="77"/>
      <c r="BH1627" s="77"/>
      <c r="BI1627" s="77"/>
    </row>
    <row r="1628" spans="1:61" x14ac:dyDescent="0.25">
      <c r="A1628" s="62" t="s">
        <v>606</v>
      </c>
      <c r="B1628" s="62" t="s">
        <v>606</v>
      </c>
      <c r="C1628" s="63"/>
      <c r="D1628" s="64"/>
      <c r="E1628" s="65"/>
      <c r="F1628" s="66"/>
      <c r="G1628" s="63"/>
      <c r="H1628" s="67"/>
      <c r="I1628" s="68"/>
      <c r="J1628" s="68"/>
      <c r="K1628" s="32"/>
      <c r="L1628" s="75">
        <v>1628</v>
      </c>
      <c r="M1628" s="75"/>
      <c r="N1628" s="70"/>
      <c r="O1628" s="77" t="s">
        <v>179</v>
      </c>
      <c r="P1628" s="79">
        <v>44985.649247685185</v>
      </c>
      <c r="Q1628" s="77" t="s">
        <v>2867</v>
      </c>
      <c r="R1628" s="77">
        <v>0</v>
      </c>
      <c r="S1628" s="77">
        <v>1</v>
      </c>
      <c r="T1628" s="77">
        <v>0</v>
      </c>
      <c r="U1628" s="77">
        <v>0</v>
      </c>
      <c r="V1628" s="77">
        <v>134</v>
      </c>
      <c r="W1628" s="82" t="s">
        <v>5236</v>
      </c>
      <c r="X1628" s="80" t="str">
        <f>HYPERLINK("https://bc.ai/i-brlbjrcwbg3-n/?p=https://raf.bc.ai/")</f>
        <v>https://bc.ai/i-brlbjrcwbg3-n/?p=https://raf.bc.ai/</v>
      </c>
      <c r="Y1628" s="77" t="s">
        <v>7277</v>
      </c>
      <c r="Z1628" s="77"/>
      <c r="AA1628" s="77"/>
      <c r="AB1628" s="77"/>
      <c r="AC1628" s="82" t="s">
        <v>10144</v>
      </c>
      <c r="AD1628" s="77" t="s">
        <v>10187</v>
      </c>
      <c r="AE1628" s="80" t="str">
        <f>HYPERLINK("https://twitter.com/pandapinck/status/1630592392041582593")</f>
        <v>https://twitter.com/pandapinck/status/1630592392041582593</v>
      </c>
      <c r="AF1628" s="79">
        <v>44985.649247685185</v>
      </c>
      <c r="AG1628" s="85">
        <v>44985</v>
      </c>
      <c r="AH1628" s="82" t="s">
        <v>11758</v>
      </c>
      <c r="AI1628" s="77" t="b">
        <v>0</v>
      </c>
      <c r="AJ1628" s="77"/>
      <c r="AK1628" s="77"/>
      <c r="AL1628" s="77"/>
      <c r="AM1628" s="77"/>
      <c r="AN1628" s="77"/>
      <c r="AO1628" s="77"/>
      <c r="AP1628" s="77"/>
      <c r="AQ1628" s="77"/>
      <c r="AR1628" s="77"/>
      <c r="AS1628" s="77"/>
      <c r="AT1628" s="77"/>
      <c r="AU1628" s="77"/>
      <c r="AV1628" s="80" t="str">
        <f>HYPERLINK("https://pbs.twimg.com/profile_images/1429571961244508163/nz3d1-65_normal.jpg")</f>
        <v>https://pbs.twimg.com/profile_images/1429571961244508163/nz3d1-65_normal.jpg</v>
      </c>
      <c r="AW1628" s="82" t="s">
        <v>18396</v>
      </c>
      <c r="AX1628" s="82" t="s">
        <v>18396</v>
      </c>
      <c r="AY1628" s="77"/>
      <c r="AZ1628" s="82" t="s">
        <v>20971</v>
      </c>
      <c r="BA1628" s="82" t="s">
        <v>20971</v>
      </c>
      <c r="BB1628" s="82" t="s">
        <v>20971</v>
      </c>
      <c r="BC1628" s="82" t="s">
        <v>18396</v>
      </c>
      <c r="BD1628" s="82" t="s">
        <v>21297</v>
      </c>
      <c r="BE1628" s="77"/>
      <c r="BF1628" s="77"/>
      <c r="BG1628" s="77"/>
      <c r="BH1628" s="77"/>
      <c r="BI1628" s="77"/>
    </row>
    <row r="1629" spans="1:61" x14ac:dyDescent="0.25">
      <c r="A1629" s="62" t="s">
        <v>606</v>
      </c>
      <c r="B1629" s="62" t="s">
        <v>606</v>
      </c>
      <c r="C1629" s="63"/>
      <c r="D1629" s="64"/>
      <c r="E1629" s="65"/>
      <c r="F1629" s="66"/>
      <c r="G1629" s="63"/>
      <c r="H1629" s="67"/>
      <c r="I1629" s="68"/>
      <c r="J1629" s="68"/>
      <c r="K1629" s="32"/>
      <c r="L1629" s="75">
        <v>1629</v>
      </c>
      <c r="M1629" s="75"/>
      <c r="N1629" s="70"/>
      <c r="O1629" s="77" t="s">
        <v>179</v>
      </c>
      <c r="P1629" s="79">
        <v>44981.625451388885</v>
      </c>
      <c r="Q1629" s="77" t="s">
        <v>2868</v>
      </c>
      <c r="R1629" s="77">
        <v>0</v>
      </c>
      <c r="S1629" s="77">
        <v>0</v>
      </c>
      <c r="T1629" s="77">
        <v>0</v>
      </c>
      <c r="U1629" s="77">
        <v>0</v>
      </c>
      <c r="V1629" s="77">
        <v>108</v>
      </c>
      <c r="W1629" s="82" t="s">
        <v>5236</v>
      </c>
      <c r="X1629" s="80" t="str">
        <f>HYPERLINK("https://bc.ai/i-brlbjrcwbg3-n/?p=https://raf.bc.ai/")</f>
        <v>https://bc.ai/i-brlbjrcwbg3-n/?p=https://raf.bc.ai/</v>
      </c>
      <c r="Y1629" s="77" t="s">
        <v>7277</v>
      </c>
      <c r="Z1629" s="77"/>
      <c r="AA1629" s="77"/>
      <c r="AB1629" s="77"/>
      <c r="AC1629" s="82" t="s">
        <v>10144</v>
      </c>
      <c r="AD1629" s="77" t="s">
        <v>10184</v>
      </c>
      <c r="AE1629" s="80" t="str">
        <f>HYPERLINK("https://twitter.com/pandapinck/status/1629134217056604160")</f>
        <v>https://twitter.com/pandapinck/status/1629134217056604160</v>
      </c>
      <c r="AF1629" s="79">
        <v>44981.625451388885</v>
      </c>
      <c r="AG1629" s="85">
        <v>44981</v>
      </c>
      <c r="AH1629" s="82" t="s">
        <v>11759</v>
      </c>
      <c r="AI1629" s="77" t="b">
        <v>0</v>
      </c>
      <c r="AJ1629" s="77"/>
      <c r="AK1629" s="77"/>
      <c r="AL1629" s="77"/>
      <c r="AM1629" s="77"/>
      <c r="AN1629" s="77"/>
      <c r="AO1629" s="77"/>
      <c r="AP1629" s="77"/>
      <c r="AQ1629" s="77"/>
      <c r="AR1629" s="77"/>
      <c r="AS1629" s="77"/>
      <c r="AT1629" s="77"/>
      <c r="AU1629" s="77"/>
      <c r="AV1629" s="80" t="str">
        <f>HYPERLINK("https://pbs.twimg.com/profile_images/1429571961244508163/nz3d1-65_normal.jpg")</f>
        <v>https://pbs.twimg.com/profile_images/1429571961244508163/nz3d1-65_normal.jpg</v>
      </c>
      <c r="AW1629" s="82" t="s">
        <v>18397</v>
      </c>
      <c r="AX1629" s="82" t="s">
        <v>18397</v>
      </c>
      <c r="AY1629" s="77"/>
      <c r="AZ1629" s="82" t="s">
        <v>20971</v>
      </c>
      <c r="BA1629" s="82" t="s">
        <v>20971</v>
      </c>
      <c r="BB1629" s="82" t="s">
        <v>20971</v>
      </c>
      <c r="BC1629" s="82" t="s">
        <v>18397</v>
      </c>
      <c r="BD1629" s="82" t="s">
        <v>21297</v>
      </c>
      <c r="BE1629" s="77"/>
      <c r="BF1629" s="77"/>
      <c r="BG1629" s="77"/>
      <c r="BH1629" s="77"/>
      <c r="BI1629" s="77"/>
    </row>
    <row r="1630" spans="1:61" x14ac:dyDescent="0.25">
      <c r="A1630" s="62" t="s">
        <v>607</v>
      </c>
      <c r="B1630" s="62" t="s">
        <v>1258</v>
      </c>
      <c r="C1630" s="63"/>
      <c r="D1630" s="64"/>
      <c r="E1630" s="65"/>
      <c r="F1630" s="66"/>
      <c r="G1630" s="63"/>
      <c r="H1630" s="67"/>
      <c r="I1630" s="68"/>
      <c r="J1630" s="68"/>
      <c r="K1630" s="32"/>
      <c r="L1630" s="75">
        <v>1630</v>
      </c>
      <c r="M1630" s="75"/>
      <c r="N1630" s="70"/>
      <c r="O1630" s="77" t="s">
        <v>1284</v>
      </c>
      <c r="P1630" s="79">
        <v>45159.065069444441</v>
      </c>
      <c r="Q1630" s="77" t="s">
        <v>2869</v>
      </c>
      <c r="R1630" s="77">
        <v>0</v>
      </c>
      <c r="S1630" s="77">
        <v>0</v>
      </c>
      <c r="T1630" s="77">
        <v>0</v>
      </c>
      <c r="U1630" s="77">
        <v>0</v>
      </c>
      <c r="V1630" s="77">
        <v>123</v>
      </c>
      <c r="W1630" s="82" t="s">
        <v>5236</v>
      </c>
      <c r="X1630" s="77"/>
      <c r="Y1630" s="77"/>
      <c r="Z1630" s="77"/>
      <c r="AA1630" s="77"/>
      <c r="AB1630" s="77"/>
      <c r="AC1630" s="82" t="s">
        <v>10144</v>
      </c>
      <c r="AD1630" s="77" t="s">
        <v>10184</v>
      </c>
      <c r="AE1630" s="80" t="str">
        <f>HYPERLINK("https://twitter.com/valinotejoao/status/1693436179864031725")</f>
        <v>https://twitter.com/valinotejoao/status/1693436179864031725</v>
      </c>
      <c r="AF1630" s="79">
        <v>45159.065069444441</v>
      </c>
      <c r="AG1630" s="85">
        <v>45159</v>
      </c>
      <c r="AH1630" s="82" t="s">
        <v>11760</v>
      </c>
      <c r="AI1630" s="77"/>
      <c r="AJ1630" s="77"/>
      <c r="AK1630" s="77"/>
      <c r="AL1630" s="77"/>
      <c r="AM1630" s="77"/>
      <c r="AN1630" s="77"/>
      <c r="AO1630" s="77"/>
      <c r="AP1630" s="77"/>
      <c r="AQ1630" s="77"/>
      <c r="AR1630" s="77"/>
      <c r="AS1630" s="77"/>
      <c r="AT1630" s="77"/>
      <c r="AU1630" s="77"/>
      <c r="AV1630" s="80" t="str">
        <f>HYPERLINK("https://pbs.twimg.com/profile_images/1620843740033056777/c6vE_QhG_normal.jpg")</f>
        <v>https://pbs.twimg.com/profile_images/1620843740033056777/c6vE_QhG_normal.jpg</v>
      </c>
      <c r="AW1630" s="82" t="s">
        <v>18398</v>
      </c>
      <c r="AX1630" s="82" t="s">
        <v>20823</v>
      </c>
      <c r="AY1630" s="82" t="s">
        <v>20928</v>
      </c>
      <c r="AZ1630" s="82" t="s">
        <v>20823</v>
      </c>
      <c r="BA1630" s="82" t="s">
        <v>20971</v>
      </c>
      <c r="BB1630" s="82" t="s">
        <v>20971</v>
      </c>
      <c r="BC1630" s="82" t="s">
        <v>20823</v>
      </c>
      <c r="BD1630" s="77">
        <v>4410033855</v>
      </c>
      <c r="BE1630" s="77"/>
      <c r="BF1630" s="77"/>
      <c r="BG1630" s="77"/>
      <c r="BH1630" s="77"/>
      <c r="BI1630" s="77"/>
    </row>
    <row r="1631" spans="1:61" x14ac:dyDescent="0.25">
      <c r="A1631" s="62" t="s">
        <v>607</v>
      </c>
      <c r="B1631" s="62" t="s">
        <v>1079</v>
      </c>
      <c r="C1631" s="63"/>
      <c r="D1631" s="64"/>
      <c r="E1631" s="65"/>
      <c r="F1631" s="66"/>
      <c r="G1631" s="63"/>
      <c r="H1631" s="67"/>
      <c r="I1631" s="68"/>
      <c r="J1631" s="68"/>
      <c r="K1631" s="32"/>
      <c r="L1631" s="75">
        <v>1631</v>
      </c>
      <c r="M1631" s="75"/>
      <c r="N1631" s="70"/>
      <c r="O1631" s="77" t="s">
        <v>1286</v>
      </c>
      <c r="P1631" s="79">
        <v>45180.60701388889</v>
      </c>
      <c r="Q1631" s="77" t="s">
        <v>2870</v>
      </c>
      <c r="R1631" s="77">
        <v>0</v>
      </c>
      <c r="S1631" s="77">
        <v>0</v>
      </c>
      <c r="T1631" s="77">
        <v>0</v>
      </c>
      <c r="U1631" s="77">
        <v>0</v>
      </c>
      <c r="V1631" s="77">
        <v>18</v>
      </c>
      <c r="W1631" s="82" t="s">
        <v>5947</v>
      </c>
      <c r="X1631" s="77"/>
      <c r="Y1631" s="77"/>
      <c r="Z1631" s="77"/>
      <c r="AA1631" s="77"/>
      <c r="AB1631" s="77"/>
      <c r="AC1631" s="82" t="s">
        <v>10144</v>
      </c>
      <c r="AD1631" s="77" t="s">
        <v>10186</v>
      </c>
      <c r="AE1631" s="80" t="str">
        <f>HYPERLINK("https://twitter.com/valinotejoao/status/1701242717236294048")</f>
        <v>https://twitter.com/valinotejoao/status/1701242717236294048</v>
      </c>
      <c r="AF1631" s="79">
        <v>45180.60701388889</v>
      </c>
      <c r="AG1631" s="85">
        <v>45180</v>
      </c>
      <c r="AH1631" s="82" t="s">
        <v>11761</v>
      </c>
      <c r="AI1631" s="77"/>
      <c r="AJ1631" s="77"/>
      <c r="AK1631" s="77"/>
      <c r="AL1631" s="77"/>
      <c r="AM1631" s="77"/>
      <c r="AN1631" s="77"/>
      <c r="AO1631" s="77"/>
      <c r="AP1631" s="77"/>
      <c r="AQ1631" s="77"/>
      <c r="AR1631" s="77"/>
      <c r="AS1631" s="77"/>
      <c r="AT1631" s="77"/>
      <c r="AU1631" s="77"/>
      <c r="AV1631" s="80" t="str">
        <f>HYPERLINK("https://pbs.twimg.com/profile_images/1620843740033056777/c6vE_QhG_normal.jpg")</f>
        <v>https://pbs.twimg.com/profile_images/1620843740033056777/c6vE_QhG_normal.jpg</v>
      </c>
      <c r="AW1631" s="82" t="s">
        <v>18399</v>
      </c>
      <c r="AX1631" s="82" t="s">
        <v>18399</v>
      </c>
      <c r="AY1631" s="77"/>
      <c r="AZ1631" s="82" t="s">
        <v>20971</v>
      </c>
      <c r="BA1631" s="82" t="s">
        <v>20405</v>
      </c>
      <c r="BB1631" s="82" t="s">
        <v>20971</v>
      </c>
      <c r="BC1631" s="82" t="s">
        <v>20405</v>
      </c>
      <c r="BD1631" s="77">
        <v>4410033855</v>
      </c>
      <c r="BE1631" s="77"/>
      <c r="BF1631" s="77"/>
      <c r="BG1631" s="77"/>
      <c r="BH1631" s="77"/>
      <c r="BI1631" s="77"/>
    </row>
    <row r="1632" spans="1:61" x14ac:dyDescent="0.25">
      <c r="A1632" s="62" t="s">
        <v>608</v>
      </c>
      <c r="B1632" s="62" t="s">
        <v>608</v>
      </c>
      <c r="C1632" s="63"/>
      <c r="D1632" s="64"/>
      <c r="E1632" s="65"/>
      <c r="F1632" s="66"/>
      <c r="G1632" s="63"/>
      <c r="H1632" s="67"/>
      <c r="I1632" s="68"/>
      <c r="J1632" s="68"/>
      <c r="K1632" s="32"/>
      <c r="L1632" s="75">
        <v>1632</v>
      </c>
      <c r="M1632" s="75"/>
      <c r="N1632" s="70"/>
      <c r="O1632" s="77" t="s">
        <v>179</v>
      </c>
      <c r="P1632" s="79">
        <v>45055.110289351855</v>
      </c>
      <c r="Q1632" s="77" t="s">
        <v>2871</v>
      </c>
      <c r="R1632" s="77">
        <v>0</v>
      </c>
      <c r="S1632" s="77">
        <v>0</v>
      </c>
      <c r="T1632" s="77">
        <v>0</v>
      </c>
      <c r="U1632" s="77">
        <v>0</v>
      </c>
      <c r="V1632" s="77">
        <v>33</v>
      </c>
      <c r="W1632" s="82" t="s">
        <v>5948</v>
      </c>
      <c r="X1632" s="77"/>
      <c r="Y1632" s="77"/>
      <c r="Z1632" s="77"/>
      <c r="AA1632" s="77" t="s">
        <v>8257</v>
      </c>
      <c r="AB1632" s="77" t="s">
        <v>10130</v>
      </c>
      <c r="AC1632" s="82" t="s">
        <v>10144</v>
      </c>
      <c r="AD1632" s="77" t="s">
        <v>10184</v>
      </c>
      <c r="AE1632" s="80" t="str">
        <f>HYPERLINK("https://twitter.com/eduardo53980987/status/1655764227120934913")</f>
        <v>https://twitter.com/eduardo53980987/status/1655764227120934913</v>
      </c>
      <c r="AF1632" s="79">
        <v>45055.110289351855</v>
      </c>
      <c r="AG1632" s="85">
        <v>45055</v>
      </c>
      <c r="AH1632" s="82" t="s">
        <v>11762</v>
      </c>
      <c r="AI1632" s="77" t="b">
        <v>0</v>
      </c>
      <c r="AJ1632" s="77" t="s">
        <v>14011</v>
      </c>
      <c r="AK1632" s="77" t="s">
        <v>14033</v>
      </c>
      <c r="AL1632" s="77" t="s">
        <v>14035</v>
      </c>
      <c r="AM1632" s="77" t="s">
        <v>14033</v>
      </c>
      <c r="AN1632" s="77" t="s">
        <v>14090</v>
      </c>
      <c r="AO1632" s="77" t="s">
        <v>14033</v>
      </c>
      <c r="AP1632" s="77" t="s">
        <v>14151</v>
      </c>
      <c r="AQ1632" s="77" t="s">
        <v>14901</v>
      </c>
      <c r="AR1632" s="77"/>
      <c r="AS1632" s="77"/>
      <c r="AT1632" s="77"/>
      <c r="AU1632" s="77"/>
      <c r="AV1632" s="80" t="str">
        <f>HYPERLINK("https://pbs.twimg.com/media/Fvp0ydfXwAAeZBS.jpg")</f>
        <v>https://pbs.twimg.com/media/Fvp0ydfXwAAeZBS.jpg</v>
      </c>
      <c r="AW1632" s="82" t="s">
        <v>18400</v>
      </c>
      <c r="AX1632" s="82" t="s">
        <v>18400</v>
      </c>
      <c r="AY1632" s="77"/>
      <c r="AZ1632" s="82" t="s">
        <v>20971</v>
      </c>
      <c r="BA1632" s="82" t="s">
        <v>20971</v>
      </c>
      <c r="BB1632" s="82" t="s">
        <v>20971</v>
      </c>
      <c r="BC1632" s="82" t="s">
        <v>18400</v>
      </c>
      <c r="BD1632" s="82" t="s">
        <v>21298</v>
      </c>
      <c r="BE1632" s="77"/>
      <c r="BF1632" s="77"/>
      <c r="BG1632" s="77"/>
      <c r="BH1632" s="77"/>
      <c r="BI1632" s="77"/>
    </row>
    <row r="1633" spans="1:61" x14ac:dyDescent="0.25">
      <c r="A1633" s="62" t="s">
        <v>609</v>
      </c>
      <c r="B1633" s="62" t="s">
        <v>609</v>
      </c>
      <c r="C1633" s="63"/>
      <c r="D1633" s="64"/>
      <c r="E1633" s="65"/>
      <c r="F1633" s="66"/>
      <c r="G1633" s="63"/>
      <c r="H1633" s="67"/>
      <c r="I1633" s="68"/>
      <c r="J1633" s="68"/>
      <c r="K1633" s="32"/>
      <c r="L1633" s="75">
        <v>1633</v>
      </c>
      <c r="M1633" s="75"/>
      <c r="N1633" s="70"/>
      <c r="O1633" s="77" t="s">
        <v>179</v>
      </c>
      <c r="P1633" s="79">
        <v>45133.053217592591</v>
      </c>
      <c r="Q1633" s="77" t="s">
        <v>2872</v>
      </c>
      <c r="R1633" s="77">
        <v>0</v>
      </c>
      <c r="S1633" s="77">
        <v>0</v>
      </c>
      <c r="T1633" s="77">
        <v>0</v>
      </c>
      <c r="U1633" s="77">
        <v>0</v>
      </c>
      <c r="V1633" s="77">
        <v>3</v>
      </c>
      <c r="W1633" s="82" t="s">
        <v>5949</v>
      </c>
      <c r="X1633" s="77"/>
      <c r="Y1633" s="77"/>
      <c r="Z1633" s="77"/>
      <c r="AA1633" s="77" t="s">
        <v>8258</v>
      </c>
      <c r="AB1633" s="77" t="s">
        <v>10130</v>
      </c>
      <c r="AC1633" s="82" t="s">
        <v>10146</v>
      </c>
      <c r="AD1633" s="77" t="s">
        <v>10184</v>
      </c>
      <c r="AE1633" s="80" t="str">
        <f>HYPERLINK("https://twitter.com/87dieguinho/status/1684009799971745792")</f>
        <v>https://twitter.com/87dieguinho/status/1684009799971745792</v>
      </c>
      <c r="AF1633" s="79">
        <v>45133.053217592591</v>
      </c>
      <c r="AG1633" s="85">
        <v>45133</v>
      </c>
      <c r="AH1633" s="82" t="s">
        <v>11763</v>
      </c>
      <c r="AI1633" s="77" t="b">
        <v>0</v>
      </c>
      <c r="AJ1633" s="77"/>
      <c r="AK1633" s="77"/>
      <c r="AL1633" s="77"/>
      <c r="AM1633" s="77"/>
      <c r="AN1633" s="77"/>
      <c r="AO1633" s="77"/>
      <c r="AP1633" s="77"/>
      <c r="AQ1633" s="77" t="s">
        <v>14902</v>
      </c>
      <c r="AR1633" s="77"/>
      <c r="AS1633" s="77"/>
      <c r="AT1633" s="77"/>
      <c r="AU1633" s="77"/>
      <c r="AV1633" s="80" t="str">
        <f>HYPERLINK("https://pbs.twimg.com/media/F17NXZZWYAAd9Yv.jpg")</f>
        <v>https://pbs.twimg.com/media/F17NXZZWYAAd9Yv.jpg</v>
      </c>
      <c r="AW1633" s="82" t="s">
        <v>18401</v>
      </c>
      <c r="AX1633" s="82" t="s">
        <v>18401</v>
      </c>
      <c r="AY1633" s="77"/>
      <c r="AZ1633" s="82" t="s">
        <v>20971</v>
      </c>
      <c r="BA1633" s="82" t="s">
        <v>20971</v>
      </c>
      <c r="BB1633" s="82" t="s">
        <v>20971</v>
      </c>
      <c r="BC1633" s="82" t="s">
        <v>18401</v>
      </c>
      <c r="BD1633" s="77">
        <v>334072979</v>
      </c>
      <c r="BE1633" s="77"/>
      <c r="BF1633" s="77"/>
      <c r="BG1633" s="77"/>
      <c r="BH1633" s="77"/>
      <c r="BI1633" s="77"/>
    </row>
    <row r="1634" spans="1:61" x14ac:dyDescent="0.25">
      <c r="A1634" s="62" t="s">
        <v>609</v>
      </c>
      <c r="B1634" s="62" t="s">
        <v>609</v>
      </c>
      <c r="C1634" s="63"/>
      <c r="D1634" s="64"/>
      <c r="E1634" s="65"/>
      <c r="F1634" s="66"/>
      <c r="G1634" s="63"/>
      <c r="H1634" s="67"/>
      <c r="I1634" s="68"/>
      <c r="J1634" s="68"/>
      <c r="K1634" s="32"/>
      <c r="L1634" s="75">
        <v>1634</v>
      </c>
      <c r="M1634" s="75"/>
      <c r="N1634" s="70"/>
      <c r="O1634" s="77" t="s">
        <v>179</v>
      </c>
      <c r="P1634" s="79">
        <v>45129.098194444443</v>
      </c>
      <c r="Q1634" s="77" t="s">
        <v>2873</v>
      </c>
      <c r="R1634" s="77">
        <v>0</v>
      </c>
      <c r="S1634" s="77">
        <v>0</v>
      </c>
      <c r="T1634" s="77">
        <v>0</v>
      </c>
      <c r="U1634" s="77">
        <v>0</v>
      </c>
      <c r="V1634" s="77">
        <v>14</v>
      </c>
      <c r="W1634" s="82" t="s">
        <v>5950</v>
      </c>
      <c r="X1634" s="77"/>
      <c r="Y1634" s="77"/>
      <c r="Z1634" s="77"/>
      <c r="AA1634" s="77" t="s">
        <v>8259</v>
      </c>
      <c r="AB1634" s="77" t="s">
        <v>10129</v>
      </c>
      <c r="AC1634" s="82" t="s">
        <v>10144</v>
      </c>
      <c r="AD1634" s="77" t="s">
        <v>10184</v>
      </c>
      <c r="AE1634" s="80" t="str">
        <f>HYPERLINK("https://twitter.com/87dieguinho/status/1682576548392579077")</f>
        <v>https://twitter.com/87dieguinho/status/1682576548392579077</v>
      </c>
      <c r="AF1634" s="79">
        <v>45129.098194444443</v>
      </c>
      <c r="AG1634" s="85">
        <v>45129</v>
      </c>
      <c r="AH1634" s="82" t="s">
        <v>11764</v>
      </c>
      <c r="AI1634" s="77" t="b">
        <v>0</v>
      </c>
      <c r="AJ1634" s="77"/>
      <c r="AK1634" s="77"/>
      <c r="AL1634" s="77"/>
      <c r="AM1634" s="77"/>
      <c r="AN1634" s="77"/>
      <c r="AO1634" s="77"/>
      <c r="AP1634" s="77"/>
      <c r="AQ1634" s="77" t="s">
        <v>14903</v>
      </c>
      <c r="AR1634" s="77">
        <v>14814</v>
      </c>
      <c r="AS1634" s="77"/>
      <c r="AT1634" s="77"/>
      <c r="AU1634" s="77"/>
      <c r="AV1634" s="80" t="str">
        <f>HYPERLINK("https://pbs.twimg.com/ext_tw_video_thumb/1682576505870729216/pu/img/LhOEfP-oNDusDJ6S.jpg")</f>
        <v>https://pbs.twimg.com/ext_tw_video_thumb/1682576505870729216/pu/img/LhOEfP-oNDusDJ6S.jpg</v>
      </c>
      <c r="AW1634" s="82" t="s">
        <v>18402</v>
      </c>
      <c r="AX1634" s="82" t="s">
        <v>18402</v>
      </c>
      <c r="AY1634" s="77"/>
      <c r="AZ1634" s="82" t="s">
        <v>20971</v>
      </c>
      <c r="BA1634" s="82" t="s">
        <v>20971</v>
      </c>
      <c r="BB1634" s="82" t="s">
        <v>20971</v>
      </c>
      <c r="BC1634" s="82" t="s">
        <v>18402</v>
      </c>
      <c r="BD1634" s="77">
        <v>334072979</v>
      </c>
      <c r="BE1634" s="77"/>
      <c r="BF1634" s="77"/>
      <c r="BG1634" s="77"/>
      <c r="BH1634" s="77"/>
      <c r="BI1634" s="77"/>
    </row>
    <row r="1635" spans="1:61" x14ac:dyDescent="0.25">
      <c r="A1635" s="62" t="s">
        <v>610</v>
      </c>
      <c r="B1635" s="62" t="s">
        <v>610</v>
      </c>
      <c r="C1635" s="63"/>
      <c r="D1635" s="64"/>
      <c r="E1635" s="65"/>
      <c r="F1635" s="66"/>
      <c r="G1635" s="63"/>
      <c r="H1635" s="67"/>
      <c r="I1635" s="68"/>
      <c r="J1635" s="68"/>
      <c r="K1635" s="32"/>
      <c r="L1635" s="75">
        <v>1635</v>
      </c>
      <c r="M1635" s="75"/>
      <c r="N1635" s="70"/>
      <c r="O1635" s="77" t="s">
        <v>179</v>
      </c>
      <c r="P1635" s="79">
        <v>45189.110821759263</v>
      </c>
      <c r="Q1635" s="77" t="s">
        <v>2874</v>
      </c>
      <c r="R1635" s="77">
        <v>0</v>
      </c>
      <c r="S1635" s="77">
        <v>1</v>
      </c>
      <c r="T1635" s="77">
        <v>0</v>
      </c>
      <c r="U1635" s="77">
        <v>0</v>
      </c>
      <c r="V1635" s="77">
        <v>42</v>
      </c>
      <c r="W1635" s="82" t="s">
        <v>5951</v>
      </c>
      <c r="X1635" s="77"/>
      <c r="Y1635" s="77"/>
      <c r="Z1635" s="77"/>
      <c r="AA1635" s="77" t="s">
        <v>8260</v>
      </c>
      <c r="AB1635" s="77" t="s">
        <v>10130</v>
      </c>
      <c r="AC1635" s="82" t="s">
        <v>10144</v>
      </c>
      <c r="AD1635" s="77" t="s">
        <v>10184</v>
      </c>
      <c r="AE1635" s="80" t="str">
        <f>HYPERLINK("https://twitter.com/tradespaces1/status/1704324397744455788")</f>
        <v>https://twitter.com/tradespaces1/status/1704324397744455788</v>
      </c>
      <c r="AF1635" s="79">
        <v>45189.110821759263</v>
      </c>
      <c r="AG1635" s="85">
        <v>45189</v>
      </c>
      <c r="AH1635" s="82" t="s">
        <v>11765</v>
      </c>
      <c r="AI1635" s="77" t="b">
        <v>0</v>
      </c>
      <c r="AJ1635" s="77"/>
      <c r="AK1635" s="77"/>
      <c r="AL1635" s="77"/>
      <c r="AM1635" s="77"/>
      <c r="AN1635" s="77"/>
      <c r="AO1635" s="77"/>
      <c r="AP1635" s="77"/>
      <c r="AQ1635" s="77" t="s">
        <v>14904</v>
      </c>
      <c r="AR1635" s="77"/>
      <c r="AS1635" s="77"/>
      <c r="AT1635" s="77"/>
      <c r="AU1635" s="77"/>
      <c r="AV1635" s="80" t="str">
        <f>HYPERLINK("https://pbs.twimg.com/media/F6b5_xQWkAIJZyn.jpg")</f>
        <v>https://pbs.twimg.com/media/F6b5_xQWkAIJZyn.jpg</v>
      </c>
      <c r="AW1635" s="82" t="s">
        <v>18403</v>
      </c>
      <c r="AX1635" s="82" t="s">
        <v>18403</v>
      </c>
      <c r="AY1635" s="77"/>
      <c r="AZ1635" s="82" t="s">
        <v>20971</v>
      </c>
      <c r="BA1635" s="82" t="s">
        <v>20971</v>
      </c>
      <c r="BB1635" s="82" t="s">
        <v>20971</v>
      </c>
      <c r="BC1635" s="82" t="s">
        <v>18403</v>
      </c>
      <c r="BD1635" s="82" t="s">
        <v>21299</v>
      </c>
      <c r="BE1635" s="77"/>
      <c r="BF1635" s="77"/>
      <c r="BG1635" s="77"/>
      <c r="BH1635" s="77"/>
      <c r="BI1635" s="77"/>
    </row>
    <row r="1636" spans="1:61" x14ac:dyDescent="0.25">
      <c r="A1636" s="62" t="s">
        <v>611</v>
      </c>
      <c r="B1636" s="62" t="s">
        <v>611</v>
      </c>
      <c r="C1636" s="63"/>
      <c r="D1636" s="64"/>
      <c r="E1636" s="65"/>
      <c r="F1636" s="66"/>
      <c r="G1636" s="63"/>
      <c r="H1636" s="67"/>
      <c r="I1636" s="68"/>
      <c r="J1636" s="68"/>
      <c r="K1636" s="32"/>
      <c r="L1636" s="75">
        <v>1636</v>
      </c>
      <c r="M1636" s="75"/>
      <c r="N1636" s="70"/>
      <c r="O1636" s="77" t="s">
        <v>179</v>
      </c>
      <c r="P1636" s="79">
        <v>45040.640451388892</v>
      </c>
      <c r="Q1636" s="77" t="s">
        <v>2875</v>
      </c>
      <c r="R1636" s="77">
        <v>0</v>
      </c>
      <c r="S1636" s="77">
        <v>0</v>
      </c>
      <c r="T1636" s="77">
        <v>0</v>
      </c>
      <c r="U1636" s="77">
        <v>0</v>
      </c>
      <c r="V1636" s="77">
        <v>56</v>
      </c>
      <c r="W1636" s="82" t="s">
        <v>5952</v>
      </c>
      <c r="X1636" s="80" t="str">
        <f>HYPERLINK("https://t.me/nestfibrazil")</f>
        <v>https://t.me/nestfibrazil</v>
      </c>
      <c r="Y1636" s="77" t="s">
        <v>7312</v>
      </c>
      <c r="Z1636" s="77"/>
      <c r="AA1636" s="77" t="s">
        <v>8261</v>
      </c>
      <c r="AB1636" s="77" t="s">
        <v>10129</v>
      </c>
      <c r="AC1636" s="82" t="s">
        <v>10145</v>
      </c>
      <c r="AD1636" s="77" t="s">
        <v>10184</v>
      </c>
      <c r="AE1636" s="80" t="str">
        <f>HYPERLINK("https://twitter.com/nandascriptos/status/1650520535703355393")</f>
        <v>https://twitter.com/nandascriptos/status/1650520535703355393</v>
      </c>
      <c r="AF1636" s="79">
        <v>45040.640451388892</v>
      </c>
      <c r="AG1636" s="85">
        <v>45040</v>
      </c>
      <c r="AH1636" s="82" t="s">
        <v>11766</v>
      </c>
      <c r="AI1636" s="77" t="b">
        <v>0</v>
      </c>
      <c r="AJ1636" s="77"/>
      <c r="AK1636" s="77"/>
      <c r="AL1636" s="77"/>
      <c r="AM1636" s="77"/>
      <c r="AN1636" s="77"/>
      <c r="AO1636" s="77"/>
      <c r="AP1636" s="77"/>
      <c r="AQ1636" s="77" t="s">
        <v>14905</v>
      </c>
      <c r="AR1636" s="77">
        <v>36600</v>
      </c>
      <c r="AS1636" s="77"/>
      <c r="AT1636" s="77"/>
      <c r="AU1636" s="77"/>
      <c r="AV1636" s="80" t="str">
        <f>HYPERLINK("https://pbs.twimg.com/amplify_video_thumb/1650520411845668865/img/Q-ubM3ybgfmhtBjH.jpg")</f>
        <v>https://pbs.twimg.com/amplify_video_thumb/1650520411845668865/img/Q-ubM3ybgfmhtBjH.jpg</v>
      </c>
      <c r="AW1636" s="82" t="s">
        <v>18404</v>
      </c>
      <c r="AX1636" s="82" t="s">
        <v>18404</v>
      </c>
      <c r="AY1636" s="77"/>
      <c r="AZ1636" s="82" t="s">
        <v>20971</v>
      </c>
      <c r="BA1636" s="82" t="s">
        <v>20971</v>
      </c>
      <c r="BB1636" s="82" t="s">
        <v>20971</v>
      </c>
      <c r="BC1636" s="82" t="s">
        <v>18404</v>
      </c>
      <c r="BD1636" s="82" t="s">
        <v>21300</v>
      </c>
      <c r="BE1636" s="77"/>
      <c r="BF1636" s="77"/>
      <c r="BG1636" s="77"/>
      <c r="BH1636" s="77"/>
      <c r="BI1636" s="77"/>
    </row>
    <row r="1637" spans="1:61" x14ac:dyDescent="0.25">
      <c r="A1637" s="62" t="s">
        <v>612</v>
      </c>
      <c r="B1637" s="62" t="s">
        <v>612</v>
      </c>
      <c r="C1637" s="63"/>
      <c r="D1637" s="64"/>
      <c r="E1637" s="65"/>
      <c r="F1637" s="66"/>
      <c r="G1637" s="63"/>
      <c r="H1637" s="67"/>
      <c r="I1637" s="68"/>
      <c r="J1637" s="68"/>
      <c r="K1637" s="32"/>
      <c r="L1637" s="75">
        <v>1637</v>
      </c>
      <c r="M1637" s="75"/>
      <c r="N1637" s="70"/>
      <c r="O1637" s="77" t="s">
        <v>179</v>
      </c>
      <c r="P1637" s="79">
        <v>45135.670266203706</v>
      </c>
      <c r="Q1637" s="77" t="s">
        <v>2876</v>
      </c>
      <c r="R1637" s="77">
        <v>0</v>
      </c>
      <c r="S1637" s="77">
        <v>0</v>
      </c>
      <c r="T1637" s="77">
        <v>0</v>
      </c>
      <c r="U1637" s="77">
        <v>0</v>
      </c>
      <c r="V1637" s="77">
        <v>16</v>
      </c>
      <c r="W1637" s="82" t="s">
        <v>5953</v>
      </c>
      <c r="X1637" s="80" t="str">
        <f>HYPERLINK("https://www.folhageral.com/?p=20039")</f>
        <v>https://www.folhageral.com/?p=20039</v>
      </c>
      <c r="Y1637" s="77" t="s">
        <v>7353</v>
      </c>
      <c r="Z1637" s="77"/>
      <c r="AA1637" s="77" t="s">
        <v>8262</v>
      </c>
      <c r="AB1637" s="77" t="s">
        <v>10130</v>
      </c>
      <c r="AC1637" s="82" t="s">
        <v>10146</v>
      </c>
      <c r="AD1637" s="77" t="s">
        <v>10184</v>
      </c>
      <c r="AE1637" s="80" t="str">
        <f>HYPERLINK("https://twitter.com/folhageral/status/1684958186787282944")</f>
        <v>https://twitter.com/folhageral/status/1684958186787282944</v>
      </c>
      <c r="AF1637" s="79">
        <v>45135.670266203706</v>
      </c>
      <c r="AG1637" s="85">
        <v>45135</v>
      </c>
      <c r="AH1637" s="82" t="s">
        <v>11767</v>
      </c>
      <c r="AI1637" s="77" t="b">
        <v>0</v>
      </c>
      <c r="AJ1637" s="77"/>
      <c r="AK1637" s="77"/>
      <c r="AL1637" s="77"/>
      <c r="AM1637" s="77"/>
      <c r="AN1637" s="77"/>
      <c r="AO1637" s="77"/>
      <c r="AP1637" s="77"/>
      <c r="AQ1637" s="77" t="s">
        <v>14906</v>
      </c>
      <c r="AR1637" s="77"/>
      <c r="AS1637" s="77"/>
      <c r="AT1637" s="77"/>
      <c r="AU1637" s="77"/>
      <c r="AV1637" s="80" t="str">
        <f>HYPERLINK("https://pbs.twimg.com/media/F2Ish6jW8AAXzYe.jpg")</f>
        <v>https://pbs.twimg.com/media/F2Ish6jW8AAXzYe.jpg</v>
      </c>
      <c r="AW1637" s="82" t="s">
        <v>18405</v>
      </c>
      <c r="AX1637" s="82" t="s">
        <v>18405</v>
      </c>
      <c r="AY1637" s="77"/>
      <c r="AZ1637" s="82" t="s">
        <v>20971</v>
      </c>
      <c r="BA1637" s="82" t="s">
        <v>20971</v>
      </c>
      <c r="BB1637" s="82" t="s">
        <v>20971</v>
      </c>
      <c r="BC1637" s="82" t="s">
        <v>18405</v>
      </c>
      <c r="BD1637" s="77">
        <v>1599687301</v>
      </c>
      <c r="BE1637" s="77"/>
      <c r="BF1637" s="77"/>
      <c r="BG1637" s="77"/>
      <c r="BH1637" s="77"/>
      <c r="BI1637" s="77"/>
    </row>
    <row r="1638" spans="1:61" x14ac:dyDescent="0.25">
      <c r="A1638" s="62" t="s">
        <v>613</v>
      </c>
      <c r="B1638" s="62" t="s">
        <v>613</v>
      </c>
      <c r="C1638" s="63"/>
      <c r="D1638" s="64"/>
      <c r="E1638" s="65"/>
      <c r="F1638" s="66"/>
      <c r="G1638" s="63"/>
      <c r="H1638" s="67"/>
      <c r="I1638" s="68"/>
      <c r="J1638" s="68"/>
      <c r="K1638" s="32"/>
      <c r="L1638" s="75">
        <v>1638</v>
      </c>
      <c r="M1638" s="75"/>
      <c r="N1638" s="70"/>
      <c r="O1638" s="77" t="s">
        <v>179</v>
      </c>
      <c r="P1638" s="79">
        <v>44984.132094907407</v>
      </c>
      <c r="Q1638" s="77" t="s">
        <v>2877</v>
      </c>
      <c r="R1638" s="77">
        <v>0</v>
      </c>
      <c r="S1638" s="77">
        <v>0</v>
      </c>
      <c r="T1638" s="77">
        <v>0</v>
      </c>
      <c r="U1638" s="77">
        <v>0</v>
      </c>
      <c r="V1638" s="77">
        <v>5</v>
      </c>
      <c r="W1638" s="82" t="s">
        <v>5236</v>
      </c>
      <c r="X1638" s="80" t="str">
        <f>HYPERLINK("https://go.hotmart.com/B77468619P")</f>
        <v>https://go.hotmart.com/B77468619P</v>
      </c>
      <c r="Y1638" s="77" t="s">
        <v>7251</v>
      </c>
      <c r="Z1638" s="77"/>
      <c r="AA1638" s="77" t="s">
        <v>8263</v>
      </c>
      <c r="AB1638" s="77" t="s">
        <v>10130</v>
      </c>
      <c r="AC1638" s="82" t="s">
        <v>10159</v>
      </c>
      <c r="AD1638" s="77" t="s">
        <v>10184</v>
      </c>
      <c r="AE1638" s="80" t="str">
        <f>HYPERLINK("https://twitter.com/fazer_aprenda/status/1630042592283881473")</f>
        <v>https://twitter.com/fazer_aprenda/status/1630042592283881473</v>
      </c>
      <c r="AF1638" s="79">
        <v>44984.132094907407</v>
      </c>
      <c r="AG1638" s="85">
        <v>44984</v>
      </c>
      <c r="AH1638" s="82" t="s">
        <v>11768</v>
      </c>
      <c r="AI1638" s="77" t="b">
        <v>0</v>
      </c>
      <c r="AJ1638" s="77"/>
      <c r="AK1638" s="77"/>
      <c r="AL1638" s="77"/>
      <c r="AM1638" s="77"/>
      <c r="AN1638" s="77"/>
      <c r="AO1638" s="77"/>
      <c r="AP1638" s="77"/>
      <c r="AQ1638" s="77" t="s">
        <v>14907</v>
      </c>
      <c r="AR1638" s="77"/>
      <c r="AS1638" s="77"/>
      <c r="AT1638" s="77"/>
      <c r="AU1638" s="77"/>
      <c r="AV1638" s="80" t="str">
        <f>HYPERLINK("https://pbs.twimg.com/media/Fp8TCTHXsAIcsAB.jpg")</f>
        <v>https://pbs.twimg.com/media/Fp8TCTHXsAIcsAB.jpg</v>
      </c>
      <c r="AW1638" s="82" t="s">
        <v>18406</v>
      </c>
      <c r="AX1638" s="82" t="s">
        <v>18406</v>
      </c>
      <c r="AY1638" s="77"/>
      <c r="AZ1638" s="82" t="s">
        <v>20971</v>
      </c>
      <c r="BA1638" s="82" t="s">
        <v>20971</v>
      </c>
      <c r="BB1638" s="82" t="s">
        <v>20971</v>
      </c>
      <c r="BC1638" s="82" t="s">
        <v>18406</v>
      </c>
      <c r="BD1638" s="82" t="s">
        <v>21301</v>
      </c>
      <c r="BE1638" s="77"/>
      <c r="BF1638" s="77"/>
      <c r="BG1638" s="77"/>
      <c r="BH1638" s="77"/>
      <c r="BI1638" s="77"/>
    </row>
    <row r="1639" spans="1:61" x14ac:dyDescent="0.25">
      <c r="A1639" s="62" t="s">
        <v>613</v>
      </c>
      <c r="B1639" s="62" t="s">
        <v>613</v>
      </c>
      <c r="C1639" s="63"/>
      <c r="D1639" s="64"/>
      <c r="E1639" s="65"/>
      <c r="F1639" s="66"/>
      <c r="G1639" s="63"/>
      <c r="H1639" s="67"/>
      <c r="I1639" s="68"/>
      <c r="J1639" s="68"/>
      <c r="K1639" s="32"/>
      <c r="L1639" s="75">
        <v>1639</v>
      </c>
      <c r="M1639" s="75"/>
      <c r="N1639" s="70"/>
      <c r="O1639" s="77" t="s">
        <v>179</v>
      </c>
      <c r="P1639" s="79">
        <v>44981.281099537038</v>
      </c>
      <c r="Q1639" s="77" t="s">
        <v>2878</v>
      </c>
      <c r="R1639" s="77">
        <v>0</v>
      </c>
      <c r="S1639" s="77">
        <v>0</v>
      </c>
      <c r="T1639" s="77">
        <v>0</v>
      </c>
      <c r="U1639" s="77">
        <v>0</v>
      </c>
      <c r="V1639" s="77">
        <v>4</v>
      </c>
      <c r="W1639" s="82" t="s">
        <v>5236</v>
      </c>
      <c r="X1639" s="80" t="str">
        <f>HYPERLINK("https://go.hotmart.com/B77468619P")</f>
        <v>https://go.hotmart.com/B77468619P</v>
      </c>
      <c r="Y1639" s="77" t="s">
        <v>7251</v>
      </c>
      <c r="Z1639" s="77"/>
      <c r="AA1639" s="77" t="s">
        <v>8264</v>
      </c>
      <c r="AB1639" s="77" t="s">
        <v>10130</v>
      </c>
      <c r="AC1639" s="82" t="s">
        <v>10159</v>
      </c>
      <c r="AD1639" s="77" t="s">
        <v>10184</v>
      </c>
      <c r="AE1639" s="80" t="str">
        <f>HYPERLINK("https://twitter.com/fazer_aprenda/status/1629009425594781696")</f>
        <v>https://twitter.com/fazer_aprenda/status/1629009425594781696</v>
      </c>
      <c r="AF1639" s="79">
        <v>44981.281099537038</v>
      </c>
      <c r="AG1639" s="85">
        <v>44981</v>
      </c>
      <c r="AH1639" s="82" t="s">
        <v>11769</v>
      </c>
      <c r="AI1639" s="77" t="b">
        <v>0</v>
      </c>
      <c r="AJ1639" s="77"/>
      <c r="AK1639" s="77"/>
      <c r="AL1639" s="77"/>
      <c r="AM1639" s="77"/>
      <c r="AN1639" s="77"/>
      <c r="AO1639" s="77"/>
      <c r="AP1639" s="77"/>
      <c r="AQ1639" s="77" t="s">
        <v>14908</v>
      </c>
      <c r="AR1639" s="77"/>
      <c r="AS1639" s="77"/>
      <c r="AT1639" s="77"/>
      <c r="AU1639" s="77"/>
      <c r="AV1639" s="80" t="str">
        <f>HYPERLINK("https://pbs.twimg.com/media/FptnZ-JWcAAIJC4.jpg")</f>
        <v>https://pbs.twimg.com/media/FptnZ-JWcAAIJC4.jpg</v>
      </c>
      <c r="AW1639" s="82" t="s">
        <v>18407</v>
      </c>
      <c r="AX1639" s="82" t="s">
        <v>18407</v>
      </c>
      <c r="AY1639" s="77"/>
      <c r="AZ1639" s="82" t="s">
        <v>20971</v>
      </c>
      <c r="BA1639" s="82" t="s">
        <v>20971</v>
      </c>
      <c r="BB1639" s="82" t="s">
        <v>20971</v>
      </c>
      <c r="BC1639" s="82" t="s">
        <v>18407</v>
      </c>
      <c r="BD1639" s="82" t="s">
        <v>21301</v>
      </c>
      <c r="BE1639" s="77"/>
      <c r="BF1639" s="77"/>
      <c r="BG1639" s="77"/>
      <c r="BH1639" s="77"/>
      <c r="BI1639" s="77"/>
    </row>
    <row r="1640" spans="1:61" x14ac:dyDescent="0.25">
      <c r="A1640" s="62" t="s">
        <v>613</v>
      </c>
      <c r="B1640" s="62" t="s">
        <v>613</v>
      </c>
      <c r="C1640" s="63"/>
      <c r="D1640" s="64"/>
      <c r="E1640" s="65"/>
      <c r="F1640" s="66"/>
      <c r="G1640" s="63"/>
      <c r="H1640" s="67"/>
      <c r="I1640" s="68"/>
      <c r="J1640" s="68"/>
      <c r="K1640" s="32"/>
      <c r="L1640" s="75">
        <v>1640</v>
      </c>
      <c r="M1640" s="75"/>
      <c r="N1640" s="70"/>
      <c r="O1640" s="77" t="s">
        <v>179</v>
      </c>
      <c r="P1640" s="79">
        <v>44979.857025462959</v>
      </c>
      <c r="Q1640" s="77" t="s">
        <v>2879</v>
      </c>
      <c r="R1640" s="77">
        <v>0</v>
      </c>
      <c r="S1640" s="77">
        <v>0</v>
      </c>
      <c r="T1640" s="77">
        <v>0</v>
      </c>
      <c r="U1640" s="77">
        <v>0</v>
      </c>
      <c r="V1640" s="77">
        <v>9</v>
      </c>
      <c r="W1640" s="82" t="s">
        <v>5236</v>
      </c>
      <c r="X1640" s="80" t="str">
        <f>HYPERLINK("https://go.hotmart.com/B77468619P")</f>
        <v>https://go.hotmart.com/B77468619P</v>
      </c>
      <c r="Y1640" s="77" t="s">
        <v>7251</v>
      </c>
      <c r="Z1640" s="77"/>
      <c r="AA1640" s="77" t="s">
        <v>8265</v>
      </c>
      <c r="AB1640" s="77" t="s">
        <v>10130</v>
      </c>
      <c r="AC1640" s="82" t="s">
        <v>10159</v>
      </c>
      <c r="AD1640" s="77" t="s">
        <v>10184</v>
      </c>
      <c r="AE1640" s="80" t="str">
        <f>HYPERLINK("https://twitter.com/fazer_aprenda/status/1628493360292831237")</f>
        <v>https://twitter.com/fazer_aprenda/status/1628493360292831237</v>
      </c>
      <c r="AF1640" s="79">
        <v>44979.857025462959</v>
      </c>
      <c r="AG1640" s="85">
        <v>44979</v>
      </c>
      <c r="AH1640" s="82" t="s">
        <v>11770</v>
      </c>
      <c r="AI1640" s="77" t="b">
        <v>0</v>
      </c>
      <c r="AJ1640" s="77"/>
      <c r="AK1640" s="77"/>
      <c r="AL1640" s="77"/>
      <c r="AM1640" s="77"/>
      <c r="AN1640" s="77"/>
      <c r="AO1640" s="77"/>
      <c r="AP1640" s="77"/>
      <c r="AQ1640" s="77" t="s">
        <v>14909</v>
      </c>
      <c r="AR1640" s="77"/>
      <c r="AS1640" s="77"/>
      <c r="AT1640" s="77"/>
      <c r="AU1640" s="77"/>
      <c r="AV1640" s="80" t="str">
        <f>HYPERLINK("https://pbs.twimg.com/media/FpmSDFbXEAMKDCR.jpg")</f>
        <v>https://pbs.twimg.com/media/FpmSDFbXEAMKDCR.jpg</v>
      </c>
      <c r="AW1640" s="82" t="s">
        <v>18408</v>
      </c>
      <c r="AX1640" s="82" t="s">
        <v>18408</v>
      </c>
      <c r="AY1640" s="77"/>
      <c r="AZ1640" s="82" t="s">
        <v>20971</v>
      </c>
      <c r="BA1640" s="82" t="s">
        <v>20971</v>
      </c>
      <c r="BB1640" s="82" t="s">
        <v>20971</v>
      </c>
      <c r="BC1640" s="82" t="s">
        <v>18408</v>
      </c>
      <c r="BD1640" s="82" t="s">
        <v>21301</v>
      </c>
      <c r="BE1640" s="77"/>
      <c r="BF1640" s="77"/>
      <c r="BG1640" s="77"/>
      <c r="BH1640" s="77"/>
      <c r="BI1640" s="77"/>
    </row>
    <row r="1641" spans="1:61" x14ac:dyDescent="0.25">
      <c r="A1641" s="62" t="s">
        <v>613</v>
      </c>
      <c r="B1641" s="62" t="s">
        <v>613</v>
      </c>
      <c r="C1641" s="63"/>
      <c r="D1641" s="64"/>
      <c r="E1641" s="65"/>
      <c r="F1641" s="66"/>
      <c r="G1641" s="63"/>
      <c r="H1641" s="67"/>
      <c r="I1641" s="68"/>
      <c r="J1641" s="68"/>
      <c r="K1641" s="32"/>
      <c r="L1641" s="75">
        <v>1641</v>
      </c>
      <c r="M1641" s="75"/>
      <c r="N1641" s="70"/>
      <c r="O1641" s="77" t="s">
        <v>179</v>
      </c>
      <c r="P1641" s="79">
        <v>44978.432511574072</v>
      </c>
      <c r="Q1641" s="77" t="s">
        <v>2880</v>
      </c>
      <c r="R1641" s="77">
        <v>0</v>
      </c>
      <c r="S1641" s="77">
        <v>0</v>
      </c>
      <c r="T1641" s="77">
        <v>0</v>
      </c>
      <c r="U1641" s="77">
        <v>0</v>
      </c>
      <c r="V1641" s="77">
        <v>7</v>
      </c>
      <c r="W1641" s="82" t="s">
        <v>5236</v>
      </c>
      <c r="X1641" s="80" t="str">
        <f>HYPERLINK("https://go.hotmart.com/B77468619P")</f>
        <v>https://go.hotmart.com/B77468619P</v>
      </c>
      <c r="Y1641" s="77" t="s">
        <v>7251</v>
      </c>
      <c r="Z1641" s="77"/>
      <c r="AA1641" s="77" t="s">
        <v>8266</v>
      </c>
      <c r="AB1641" s="77" t="s">
        <v>10130</v>
      </c>
      <c r="AC1641" s="82" t="s">
        <v>10159</v>
      </c>
      <c r="AD1641" s="77" t="s">
        <v>10184</v>
      </c>
      <c r="AE1641" s="80" t="str">
        <f>HYPERLINK("https://twitter.com/fazer_aprenda/status/1627977132885307392")</f>
        <v>https://twitter.com/fazer_aprenda/status/1627977132885307392</v>
      </c>
      <c r="AF1641" s="79">
        <v>44978.432511574072</v>
      </c>
      <c r="AG1641" s="85">
        <v>44978</v>
      </c>
      <c r="AH1641" s="82" t="s">
        <v>11771</v>
      </c>
      <c r="AI1641" s="77" t="b">
        <v>0</v>
      </c>
      <c r="AJ1641" s="77"/>
      <c r="AK1641" s="77"/>
      <c r="AL1641" s="77"/>
      <c r="AM1641" s="77"/>
      <c r="AN1641" s="77"/>
      <c r="AO1641" s="77"/>
      <c r="AP1641" s="77"/>
      <c r="AQ1641" s="77" t="s">
        <v>14910</v>
      </c>
      <c r="AR1641" s="77"/>
      <c r="AS1641" s="77"/>
      <c r="AT1641" s="77"/>
      <c r="AU1641" s="77"/>
      <c r="AV1641" s="80" t="str">
        <f>HYPERLINK("https://pbs.twimg.com/media/Fpe8iTOWAAANbqh.jpg")</f>
        <v>https://pbs.twimg.com/media/Fpe8iTOWAAANbqh.jpg</v>
      </c>
      <c r="AW1641" s="82" t="s">
        <v>18409</v>
      </c>
      <c r="AX1641" s="82" t="s">
        <v>18409</v>
      </c>
      <c r="AY1641" s="77"/>
      <c r="AZ1641" s="82" t="s">
        <v>20971</v>
      </c>
      <c r="BA1641" s="82" t="s">
        <v>20971</v>
      </c>
      <c r="BB1641" s="82" t="s">
        <v>20971</v>
      </c>
      <c r="BC1641" s="82" t="s">
        <v>18409</v>
      </c>
      <c r="BD1641" s="82" t="s">
        <v>21301</v>
      </c>
      <c r="BE1641" s="77"/>
      <c r="BF1641" s="77"/>
      <c r="BG1641" s="77"/>
      <c r="BH1641" s="77"/>
      <c r="BI1641" s="77"/>
    </row>
    <row r="1642" spans="1:61" x14ac:dyDescent="0.25">
      <c r="A1642" s="62" t="s">
        <v>613</v>
      </c>
      <c r="B1642" s="62" t="s">
        <v>613</v>
      </c>
      <c r="C1642" s="63"/>
      <c r="D1642" s="64"/>
      <c r="E1642" s="65"/>
      <c r="F1642" s="66"/>
      <c r="G1642" s="63"/>
      <c r="H1642" s="67"/>
      <c r="I1642" s="68"/>
      <c r="J1642" s="68"/>
      <c r="K1642" s="32"/>
      <c r="L1642" s="75">
        <v>1642</v>
      </c>
      <c r="M1642" s="75"/>
      <c r="N1642" s="70"/>
      <c r="O1642" s="77" t="s">
        <v>179</v>
      </c>
      <c r="P1642" s="79">
        <v>45003.465995370374</v>
      </c>
      <c r="Q1642" s="77" t="s">
        <v>2881</v>
      </c>
      <c r="R1642" s="77">
        <v>0</v>
      </c>
      <c r="S1642" s="77">
        <v>0</v>
      </c>
      <c r="T1642" s="77">
        <v>0</v>
      </c>
      <c r="U1642" s="77">
        <v>0</v>
      </c>
      <c r="V1642" s="77">
        <v>1</v>
      </c>
      <c r="W1642" s="82" t="s">
        <v>5236</v>
      </c>
      <c r="X1642" s="80" t="str">
        <f>HYPERLINK("https://go.hotmart.com/B77468619P")</f>
        <v>https://go.hotmart.com/B77468619P</v>
      </c>
      <c r="Y1642" s="77" t="s">
        <v>7251</v>
      </c>
      <c r="Z1642" s="77"/>
      <c r="AA1642" s="77" t="s">
        <v>8267</v>
      </c>
      <c r="AB1642" s="77" t="s">
        <v>10130</v>
      </c>
      <c r="AC1642" s="82" t="s">
        <v>10159</v>
      </c>
      <c r="AD1642" s="77" t="s">
        <v>10184</v>
      </c>
      <c r="AE1642" s="80" t="str">
        <f>HYPERLINK("https://twitter.com/fazer_aprenda/status/1637048965739827202")</f>
        <v>https://twitter.com/fazer_aprenda/status/1637048965739827202</v>
      </c>
      <c r="AF1642" s="79">
        <v>45003.465995370374</v>
      </c>
      <c r="AG1642" s="85">
        <v>45003</v>
      </c>
      <c r="AH1642" s="82" t="s">
        <v>11772</v>
      </c>
      <c r="AI1642" s="77" t="b">
        <v>0</v>
      </c>
      <c r="AJ1642" s="77"/>
      <c r="AK1642" s="77"/>
      <c r="AL1642" s="77"/>
      <c r="AM1642" s="77"/>
      <c r="AN1642" s="77"/>
      <c r="AO1642" s="77"/>
      <c r="AP1642" s="77"/>
      <c r="AQ1642" s="77" t="s">
        <v>14911</v>
      </c>
      <c r="AR1642" s="77"/>
      <c r="AS1642" s="77"/>
      <c r="AT1642" s="77"/>
      <c r="AU1642" s="77"/>
      <c r="AV1642" s="80" t="str">
        <f>HYPERLINK("https://pbs.twimg.com/media/Frf3PU_WAAIUYm9.jpg")</f>
        <v>https://pbs.twimg.com/media/Frf3PU_WAAIUYm9.jpg</v>
      </c>
      <c r="AW1642" s="82" t="s">
        <v>18410</v>
      </c>
      <c r="AX1642" s="82" t="s">
        <v>18410</v>
      </c>
      <c r="AY1642" s="77"/>
      <c r="AZ1642" s="82" t="s">
        <v>20971</v>
      </c>
      <c r="BA1642" s="82" t="s">
        <v>20971</v>
      </c>
      <c r="BB1642" s="82" t="s">
        <v>20971</v>
      </c>
      <c r="BC1642" s="82" t="s">
        <v>18410</v>
      </c>
      <c r="BD1642" s="82" t="s">
        <v>21301</v>
      </c>
      <c r="BE1642" s="77"/>
      <c r="BF1642" s="77"/>
      <c r="BG1642" s="77"/>
      <c r="BH1642" s="77"/>
      <c r="BI1642" s="77"/>
    </row>
    <row r="1643" spans="1:61" x14ac:dyDescent="0.25">
      <c r="A1643" s="62" t="s">
        <v>613</v>
      </c>
      <c r="B1643" s="62" t="s">
        <v>613</v>
      </c>
      <c r="C1643" s="63"/>
      <c r="D1643" s="64"/>
      <c r="E1643" s="65"/>
      <c r="F1643" s="66"/>
      <c r="G1643" s="63"/>
      <c r="H1643" s="67"/>
      <c r="I1643" s="68"/>
      <c r="J1643" s="68"/>
      <c r="K1643" s="32"/>
      <c r="L1643" s="75">
        <v>1643</v>
      </c>
      <c r="M1643" s="75"/>
      <c r="N1643" s="70"/>
      <c r="O1643" s="77" t="s">
        <v>179</v>
      </c>
      <c r="P1643" s="79">
        <v>44971.681215277778</v>
      </c>
      <c r="Q1643" s="77" t="s">
        <v>2882</v>
      </c>
      <c r="R1643" s="77">
        <v>0</v>
      </c>
      <c r="S1643" s="77">
        <v>0</v>
      </c>
      <c r="T1643" s="77">
        <v>0</v>
      </c>
      <c r="U1643" s="77">
        <v>0</v>
      </c>
      <c r="V1643" s="77">
        <v>4</v>
      </c>
      <c r="W1643" s="82" t="s">
        <v>5236</v>
      </c>
      <c r="X1643" s="80" t="str">
        <f>HYPERLINK("https://go.hotmart.com/B77468619P")</f>
        <v>https://go.hotmart.com/B77468619P</v>
      </c>
      <c r="Y1643" s="77" t="s">
        <v>7251</v>
      </c>
      <c r="Z1643" s="77"/>
      <c r="AA1643" s="77" t="s">
        <v>8268</v>
      </c>
      <c r="AB1643" s="77" t="s">
        <v>10130</v>
      </c>
      <c r="AC1643" s="82" t="s">
        <v>10159</v>
      </c>
      <c r="AD1643" s="77" t="s">
        <v>10184</v>
      </c>
      <c r="AE1643" s="80" t="str">
        <f>HYPERLINK("https://twitter.com/fazer_aprenda/status/1625530544325787650")</f>
        <v>https://twitter.com/fazer_aprenda/status/1625530544325787650</v>
      </c>
      <c r="AF1643" s="79">
        <v>44971.681215277778</v>
      </c>
      <c r="AG1643" s="85">
        <v>44971</v>
      </c>
      <c r="AH1643" s="82" t="s">
        <v>11773</v>
      </c>
      <c r="AI1643" s="77" t="b">
        <v>0</v>
      </c>
      <c r="AJ1643" s="77"/>
      <c r="AK1643" s="77"/>
      <c r="AL1643" s="77"/>
      <c r="AM1643" s="77"/>
      <c r="AN1643" s="77"/>
      <c r="AO1643" s="77"/>
      <c r="AP1643" s="77"/>
      <c r="AQ1643" s="77" t="s">
        <v>14912</v>
      </c>
      <c r="AR1643" s="77"/>
      <c r="AS1643" s="77"/>
      <c r="AT1643" s="77"/>
      <c r="AU1643" s="77"/>
      <c r="AV1643" s="80" t="str">
        <f>HYPERLINK("https://pbs.twimg.com/media/Fo8LZnSXsAAn1VO.jpg")</f>
        <v>https://pbs.twimg.com/media/Fo8LZnSXsAAn1VO.jpg</v>
      </c>
      <c r="AW1643" s="82" t="s">
        <v>18411</v>
      </c>
      <c r="AX1643" s="82" t="s">
        <v>18411</v>
      </c>
      <c r="AY1643" s="77"/>
      <c r="AZ1643" s="82" t="s">
        <v>20971</v>
      </c>
      <c r="BA1643" s="82" t="s">
        <v>20971</v>
      </c>
      <c r="BB1643" s="82" t="s">
        <v>20971</v>
      </c>
      <c r="BC1643" s="82" t="s">
        <v>18411</v>
      </c>
      <c r="BD1643" s="82" t="s">
        <v>21301</v>
      </c>
      <c r="BE1643" s="77"/>
      <c r="BF1643" s="77"/>
      <c r="BG1643" s="77"/>
      <c r="BH1643" s="77"/>
      <c r="BI1643" s="77"/>
    </row>
    <row r="1644" spans="1:61" x14ac:dyDescent="0.25">
      <c r="A1644" s="62" t="s">
        <v>613</v>
      </c>
      <c r="B1644" s="62" t="s">
        <v>613</v>
      </c>
      <c r="C1644" s="63"/>
      <c r="D1644" s="64"/>
      <c r="E1644" s="65"/>
      <c r="F1644" s="66"/>
      <c r="G1644" s="63"/>
      <c r="H1644" s="67"/>
      <c r="I1644" s="68"/>
      <c r="J1644" s="68"/>
      <c r="K1644" s="32"/>
      <c r="L1644" s="75">
        <v>1644</v>
      </c>
      <c r="M1644" s="75"/>
      <c r="N1644" s="70"/>
      <c r="O1644" s="77" t="s">
        <v>179</v>
      </c>
      <c r="P1644" s="79">
        <v>44968.990497685183</v>
      </c>
      <c r="Q1644" s="77" t="s">
        <v>2883</v>
      </c>
      <c r="R1644" s="77">
        <v>0</v>
      </c>
      <c r="S1644" s="77">
        <v>0</v>
      </c>
      <c r="T1644" s="77">
        <v>0</v>
      </c>
      <c r="U1644" s="77">
        <v>0</v>
      </c>
      <c r="V1644" s="77">
        <v>2</v>
      </c>
      <c r="W1644" s="82" t="s">
        <v>5236</v>
      </c>
      <c r="X1644" s="80" t="str">
        <f>HYPERLINK("https://go.hotmart.com/B77468619P")</f>
        <v>https://go.hotmart.com/B77468619P</v>
      </c>
      <c r="Y1644" s="77" t="s">
        <v>7251</v>
      </c>
      <c r="Z1644" s="77"/>
      <c r="AA1644" s="77" t="s">
        <v>8269</v>
      </c>
      <c r="AB1644" s="77" t="s">
        <v>10130</v>
      </c>
      <c r="AC1644" s="82" t="s">
        <v>10159</v>
      </c>
      <c r="AD1644" s="77" t="s">
        <v>10184</v>
      </c>
      <c r="AE1644" s="80" t="str">
        <f>HYPERLINK("https://twitter.com/fazer_aprenda/status/1624555462799630336")</f>
        <v>https://twitter.com/fazer_aprenda/status/1624555462799630336</v>
      </c>
      <c r="AF1644" s="79">
        <v>44968.990497685183</v>
      </c>
      <c r="AG1644" s="85">
        <v>44968</v>
      </c>
      <c r="AH1644" s="82" t="s">
        <v>11319</v>
      </c>
      <c r="AI1644" s="77" t="b">
        <v>0</v>
      </c>
      <c r="AJ1644" s="77"/>
      <c r="AK1644" s="77"/>
      <c r="AL1644" s="77"/>
      <c r="AM1644" s="77"/>
      <c r="AN1644" s="77"/>
      <c r="AO1644" s="77"/>
      <c r="AP1644" s="77"/>
      <c r="AQ1644" s="77" t="s">
        <v>14913</v>
      </c>
      <c r="AR1644" s="77"/>
      <c r="AS1644" s="77"/>
      <c r="AT1644" s="77"/>
      <c r="AU1644" s="77"/>
      <c r="AV1644" s="80" t="str">
        <f>HYPERLINK("https://pbs.twimg.com/media/FouUjcEXsAIC5eM.jpg")</f>
        <v>https://pbs.twimg.com/media/FouUjcEXsAIC5eM.jpg</v>
      </c>
      <c r="AW1644" s="82" t="s">
        <v>18412</v>
      </c>
      <c r="AX1644" s="82" t="s">
        <v>18412</v>
      </c>
      <c r="AY1644" s="77"/>
      <c r="AZ1644" s="82" t="s">
        <v>20971</v>
      </c>
      <c r="BA1644" s="82" t="s">
        <v>20971</v>
      </c>
      <c r="BB1644" s="82" t="s">
        <v>20971</v>
      </c>
      <c r="BC1644" s="82" t="s">
        <v>18412</v>
      </c>
      <c r="BD1644" s="82" t="s">
        <v>21301</v>
      </c>
      <c r="BE1644" s="77"/>
      <c r="BF1644" s="77"/>
      <c r="BG1644" s="77"/>
      <c r="BH1644" s="77"/>
      <c r="BI1644" s="77"/>
    </row>
    <row r="1645" spans="1:61" x14ac:dyDescent="0.25">
      <c r="A1645" s="62" t="s">
        <v>613</v>
      </c>
      <c r="B1645" s="62" t="s">
        <v>613</v>
      </c>
      <c r="C1645" s="63"/>
      <c r="D1645" s="64"/>
      <c r="E1645" s="65"/>
      <c r="F1645" s="66"/>
      <c r="G1645" s="63"/>
      <c r="H1645" s="67"/>
      <c r="I1645" s="68"/>
      <c r="J1645" s="68"/>
      <c r="K1645" s="32"/>
      <c r="L1645" s="75">
        <v>1645</v>
      </c>
      <c r="M1645" s="75"/>
      <c r="N1645" s="70"/>
      <c r="O1645" s="77" t="s">
        <v>179</v>
      </c>
      <c r="P1645" s="79">
        <v>45011.097430555557</v>
      </c>
      <c r="Q1645" s="77" t="s">
        <v>2884</v>
      </c>
      <c r="R1645" s="77">
        <v>0</v>
      </c>
      <c r="S1645" s="77">
        <v>0</v>
      </c>
      <c r="T1645" s="77">
        <v>0</v>
      </c>
      <c r="U1645" s="77">
        <v>0</v>
      </c>
      <c r="V1645" s="77">
        <v>2</v>
      </c>
      <c r="W1645" s="82" t="s">
        <v>5236</v>
      </c>
      <c r="X1645" s="80" t="str">
        <f>HYPERLINK("https://go.hotmart.com/B77468619P")</f>
        <v>https://go.hotmart.com/B77468619P</v>
      </c>
      <c r="Y1645" s="77" t="s">
        <v>7251</v>
      </c>
      <c r="Z1645" s="77"/>
      <c r="AA1645" s="77" t="s">
        <v>8270</v>
      </c>
      <c r="AB1645" s="77" t="s">
        <v>10130</v>
      </c>
      <c r="AC1645" s="82" t="s">
        <v>10159</v>
      </c>
      <c r="AD1645" s="77" t="s">
        <v>10184</v>
      </c>
      <c r="AE1645" s="80" t="str">
        <f>HYPERLINK("https://twitter.com/fazer_aprenda/status/1639814501867438080")</f>
        <v>https://twitter.com/fazer_aprenda/status/1639814501867438080</v>
      </c>
      <c r="AF1645" s="79">
        <v>45011.097430555557</v>
      </c>
      <c r="AG1645" s="85">
        <v>45011</v>
      </c>
      <c r="AH1645" s="82" t="s">
        <v>11774</v>
      </c>
      <c r="AI1645" s="77" t="b">
        <v>0</v>
      </c>
      <c r="AJ1645" s="77"/>
      <c r="AK1645" s="77"/>
      <c r="AL1645" s="77"/>
      <c r="AM1645" s="77"/>
      <c r="AN1645" s="77"/>
      <c r="AO1645" s="77"/>
      <c r="AP1645" s="77"/>
      <c r="AQ1645" s="77" t="s">
        <v>14914</v>
      </c>
      <c r="AR1645" s="77"/>
      <c r="AS1645" s="77"/>
      <c r="AT1645" s="77"/>
      <c r="AU1645" s="77"/>
      <c r="AV1645" s="80" t="str">
        <f>HYPERLINK("https://pbs.twimg.com/media/FsHKjr_X0AEpxsi.jpg")</f>
        <v>https://pbs.twimg.com/media/FsHKjr_X0AEpxsi.jpg</v>
      </c>
      <c r="AW1645" s="82" t="s">
        <v>18413</v>
      </c>
      <c r="AX1645" s="82" t="s">
        <v>18413</v>
      </c>
      <c r="AY1645" s="77"/>
      <c r="AZ1645" s="82" t="s">
        <v>20971</v>
      </c>
      <c r="BA1645" s="82" t="s">
        <v>20971</v>
      </c>
      <c r="BB1645" s="82" t="s">
        <v>20971</v>
      </c>
      <c r="BC1645" s="82" t="s">
        <v>18413</v>
      </c>
      <c r="BD1645" s="82" t="s">
        <v>21301</v>
      </c>
      <c r="BE1645" s="77"/>
      <c r="BF1645" s="77"/>
      <c r="BG1645" s="77"/>
      <c r="BH1645" s="77"/>
      <c r="BI1645" s="77"/>
    </row>
    <row r="1646" spans="1:61" x14ac:dyDescent="0.25">
      <c r="A1646" s="62" t="s">
        <v>613</v>
      </c>
      <c r="B1646" s="62" t="s">
        <v>613</v>
      </c>
      <c r="C1646" s="63"/>
      <c r="D1646" s="64"/>
      <c r="E1646" s="65"/>
      <c r="F1646" s="66"/>
      <c r="G1646" s="63"/>
      <c r="H1646" s="67"/>
      <c r="I1646" s="68"/>
      <c r="J1646" s="68"/>
      <c r="K1646" s="32"/>
      <c r="L1646" s="75">
        <v>1646</v>
      </c>
      <c r="M1646" s="75"/>
      <c r="N1646" s="70"/>
      <c r="O1646" s="77" t="s">
        <v>179</v>
      </c>
      <c r="P1646" s="79">
        <v>44977.008206018516</v>
      </c>
      <c r="Q1646" s="77" t="s">
        <v>2885</v>
      </c>
      <c r="R1646" s="77">
        <v>0</v>
      </c>
      <c r="S1646" s="77">
        <v>0</v>
      </c>
      <c r="T1646" s="77">
        <v>0</v>
      </c>
      <c r="U1646" s="77">
        <v>0</v>
      </c>
      <c r="V1646" s="77">
        <v>9</v>
      </c>
      <c r="W1646" s="82" t="s">
        <v>5236</v>
      </c>
      <c r="X1646" s="80" t="str">
        <f>HYPERLINK("https://go.hotmart.com/B77468619P")</f>
        <v>https://go.hotmart.com/B77468619P</v>
      </c>
      <c r="Y1646" s="77" t="s">
        <v>7251</v>
      </c>
      <c r="Z1646" s="77"/>
      <c r="AA1646" s="77" t="s">
        <v>8271</v>
      </c>
      <c r="AB1646" s="77" t="s">
        <v>10130</v>
      </c>
      <c r="AC1646" s="82" t="s">
        <v>10159</v>
      </c>
      <c r="AD1646" s="77" t="s">
        <v>10184</v>
      </c>
      <c r="AE1646" s="80" t="str">
        <f>HYPERLINK("https://twitter.com/fazer_aprenda/status/1627460982757785600")</f>
        <v>https://twitter.com/fazer_aprenda/status/1627460982757785600</v>
      </c>
      <c r="AF1646" s="79">
        <v>44977.008206018516</v>
      </c>
      <c r="AG1646" s="85">
        <v>44977</v>
      </c>
      <c r="AH1646" s="82" t="s">
        <v>11775</v>
      </c>
      <c r="AI1646" s="77" t="b">
        <v>0</v>
      </c>
      <c r="AJ1646" s="77"/>
      <c r="AK1646" s="77"/>
      <c r="AL1646" s="77"/>
      <c r="AM1646" s="77"/>
      <c r="AN1646" s="77"/>
      <c r="AO1646" s="77"/>
      <c r="AP1646" s="77"/>
      <c r="AQ1646" s="77" t="s">
        <v>14915</v>
      </c>
      <c r="AR1646" s="77"/>
      <c r="AS1646" s="77"/>
      <c r="AT1646" s="77"/>
      <c r="AU1646" s="77"/>
      <c r="AV1646" s="80" t="str">
        <f>HYPERLINK("https://pbs.twimg.com/media/FpXnGy8WcAQ9Mou.jpg")</f>
        <v>https://pbs.twimg.com/media/FpXnGy8WcAQ9Mou.jpg</v>
      </c>
      <c r="AW1646" s="82" t="s">
        <v>18414</v>
      </c>
      <c r="AX1646" s="82" t="s">
        <v>18414</v>
      </c>
      <c r="AY1646" s="77"/>
      <c r="AZ1646" s="82" t="s">
        <v>20971</v>
      </c>
      <c r="BA1646" s="82" t="s">
        <v>20971</v>
      </c>
      <c r="BB1646" s="82" t="s">
        <v>20971</v>
      </c>
      <c r="BC1646" s="82" t="s">
        <v>18414</v>
      </c>
      <c r="BD1646" s="82" t="s">
        <v>21301</v>
      </c>
      <c r="BE1646" s="77"/>
      <c r="BF1646" s="77"/>
      <c r="BG1646" s="77"/>
      <c r="BH1646" s="77"/>
      <c r="BI1646" s="77"/>
    </row>
    <row r="1647" spans="1:61" x14ac:dyDescent="0.25">
      <c r="A1647" s="62" t="s">
        <v>613</v>
      </c>
      <c r="B1647" s="62" t="s">
        <v>613</v>
      </c>
      <c r="C1647" s="63"/>
      <c r="D1647" s="64"/>
      <c r="E1647" s="65"/>
      <c r="F1647" s="66"/>
      <c r="G1647" s="63"/>
      <c r="H1647" s="67"/>
      <c r="I1647" s="68"/>
      <c r="J1647" s="68"/>
      <c r="K1647" s="32"/>
      <c r="L1647" s="75">
        <v>1647</v>
      </c>
      <c r="M1647" s="75"/>
      <c r="N1647" s="70"/>
      <c r="O1647" s="77" t="s">
        <v>179</v>
      </c>
      <c r="P1647" s="79">
        <v>45014.959768518522</v>
      </c>
      <c r="Q1647" s="77" t="s">
        <v>2886</v>
      </c>
      <c r="R1647" s="77">
        <v>0</v>
      </c>
      <c r="S1647" s="77">
        <v>0</v>
      </c>
      <c r="T1647" s="77">
        <v>0</v>
      </c>
      <c r="U1647" s="77">
        <v>0</v>
      </c>
      <c r="V1647" s="77">
        <v>5</v>
      </c>
      <c r="W1647" s="82" t="s">
        <v>5236</v>
      </c>
      <c r="X1647" s="80" t="str">
        <f>HYPERLINK("https://go.hotmart.com/B77468619P")</f>
        <v>https://go.hotmart.com/B77468619P</v>
      </c>
      <c r="Y1647" s="77" t="s">
        <v>7251</v>
      </c>
      <c r="Z1647" s="77"/>
      <c r="AA1647" s="77" t="s">
        <v>8272</v>
      </c>
      <c r="AB1647" s="77" t="s">
        <v>10130</v>
      </c>
      <c r="AC1647" s="82" t="s">
        <v>10159</v>
      </c>
      <c r="AD1647" s="77" t="s">
        <v>10184</v>
      </c>
      <c r="AE1647" s="80" t="str">
        <f>HYPERLINK("https://twitter.com/fazer_aprenda/status/1641214166617735169")</f>
        <v>https://twitter.com/fazer_aprenda/status/1641214166617735169</v>
      </c>
      <c r="AF1647" s="79">
        <v>45014.959768518522</v>
      </c>
      <c r="AG1647" s="85">
        <v>45014</v>
      </c>
      <c r="AH1647" s="82" t="s">
        <v>11776</v>
      </c>
      <c r="AI1647" s="77" t="b">
        <v>0</v>
      </c>
      <c r="AJ1647" s="77"/>
      <c r="AK1647" s="77"/>
      <c r="AL1647" s="77"/>
      <c r="AM1647" s="77"/>
      <c r="AN1647" s="77"/>
      <c r="AO1647" s="77"/>
      <c r="AP1647" s="77"/>
      <c r="AQ1647" s="77" t="s">
        <v>14916</v>
      </c>
      <c r="AR1647" s="77"/>
      <c r="AS1647" s="77"/>
      <c r="AT1647" s="77"/>
      <c r="AU1647" s="77"/>
      <c r="AV1647" s="80" t="str">
        <f>HYPERLINK("https://pbs.twimg.com/media/FsbDjM3XwAQ23Gc.jpg")</f>
        <v>https://pbs.twimg.com/media/FsbDjM3XwAQ23Gc.jpg</v>
      </c>
      <c r="AW1647" s="82" t="s">
        <v>18415</v>
      </c>
      <c r="AX1647" s="82" t="s">
        <v>18415</v>
      </c>
      <c r="AY1647" s="77"/>
      <c r="AZ1647" s="82" t="s">
        <v>20971</v>
      </c>
      <c r="BA1647" s="82" t="s">
        <v>20971</v>
      </c>
      <c r="BB1647" s="82" t="s">
        <v>20971</v>
      </c>
      <c r="BC1647" s="82" t="s">
        <v>18415</v>
      </c>
      <c r="BD1647" s="82" t="s">
        <v>21301</v>
      </c>
      <c r="BE1647" s="77"/>
      <c r="BF1647" s="77"/>
      <c r="BG1647" s="77"/>
      <c r="BH1647" s="77"/>
      <c r="BI1647" s="77"/>
    </row>
    <row r="1648" spans="1:61" x14ac:dyDescent="0.25">
      <c r="A1648" s="62" t="s">
        <v>613</v>
      </c>
      <c r="B1648" s="62" t="s">
        <v>613</v>
      </c>
      <c r="C1648" s="63"/>
      <c r="D1648" s="64"/>
      <c r="E1648" s="65"/>
      <c r="F1648" s="66"/>
      <c r="G1648" s="63"/>
      <c r="H1648" s="67"/>
      <c r="I1648" s="68"/>
      <c r="J1648" s="68"/>
      <c r="K1648" s="32"/>
      <c r="L1648" s="75">
        <v>1648</v>
      </c>
      <c r="M1648" s="75"/>
      <c r="N1648" s="70"/>
      <c r="O1648" s="77" t="s">
        <v>179</v>
      </c>
      <c r="P1648" s="79">
        <v>45028.119421296295</v>
      </c>
      <c r="Q1648" s="77" t="s">
        <v>2887</v>
      </c>
      <c r="R1648" s="77">
        <v>0</v>
      </c>
      <c r="S1648" s="77">
        <v>0</v>
      </c>
      <c r="T1648" s="77">
        <v>0</v>
      </c>
      <c r="U1648" s="77">
        <v>0</v>
      </c>
      <c r="V1648" s="77">
        <v>4</v>
      </c>
      <c r="W1648" s="82" t="s">
        <v>5236</v>
      </c>
      <c r="X1648" s="80" t="str">
        <f>HYPERLINK("https://go.hotmart.com/B77468619P")</f>
        <v>https://go.hotmart.com/B77468619P</v>
      </c>
      <c r="Y1648" s="77" t="s">
        <v>7251</v>
      </c>
      <c r="Z1648" s="77"/>
      <c r="AA1648" s="77" t="s">
        <v>8273</v>
      </c>
      <c r="AB1648" s="77" t="s">
        <v>10130</v>
      </c>
      <c r="AC1648" s="82" t="s">
        <v>10159</v>
      </c>
      <c r="AD1648" s="77" t="s">
        <v>10184</v>
      </c>
      <c r="AE1648" s="80" t="str">
        <f>HYPERLINK("https://twitter.com/fazer_aprenda/status/1645983065255161857")</f>
        <v>https://twitter.com/fazer_aprenda/status/1645983065255161857</v>
      </c>
      <c r="AF1648" s="79">
        <v>45028.119421296295</v>
      </c>
      <c r="AG1648" s="85">
        <v>45028</v>
      </c>
      <c r="AH1648" s="82" t="s">
        <v>11777</v>
      </c>
      <c r="AI1648" s="77" t="b">
        <v>0</v>
      </c>
      <c r="AJ1648" s="77"/>
      <c r="AK1648" s="77"/>
      <c r="AL1648" s="77"/>
      <c r="AM1648" s="77"/>
      <c r="AN1648" s="77"/>
      <c r="AO1648" s="77"/>
      <c r="AP1648" s="77"/>
      <c r="AQ1648" s="77" t="s">
        <v>14917</v>
      </c>
      <c r="AR1648" s="77"/>
      <c r="AS1648" s="77"/>
      <c r="AT1648" s="77"/>
      <c r="AU1648" s="77"/>
      <c r="AV1648" s="80" t="str">
        <f>HYPERLINK("https://pbs.twimg.com/media/Fte02BaXoAINvzg.jpg")</f>
        <v>https://pbs.twimg.com/media/Fte02BaXoAINvzg.jpg</v>
      </c>
      <c r="AW1648" s="82" t="s">
        <v>18416</v>
      </c>
      <c r="AX1648" s="82" t="s">
        <v>18416</v>
      </c>
      <c r="AY1648" s="77"/>
      <c r="AZ1648" s="82" t="s">
        <v>20971</v>
      </c>
      <c r="BA1648" s="82" t="s">
        <v>20971</v>
      </c>
      <c r="BB1648" s="82" t="s">
        <v>20971</v>
      </c>
      <c r="BC1648" s="82" t="s">
        <v>18416</v>
      </c>
      <c r="BD1648" s="82" t="s">
        <v>21301</v>
      </c>
      <c r="BE1648" s="77"/>
      <c r="BF1648" s="77"/>
      <c r="BG1648" s="77"/>
      <c r="BH1648" s="77"/>
      <c r="BI1648" s="77"/>
    </row>
    <row r="1649" spans="1:61" x14ac:dyDescent="0.25">
      <c r="A1649" s="62" t="s">
        <v>613</v>
      </c>
      <c r="B1649" s="62" t="s">
        <v>613</v>
      </c>
      <c r="C1649" s="63"/>
      <c r="D1649" s="64"/>
      <c r="E1649" s="65"/>
      <c r="F1649" s="66"/>
      <c r="G1649" s="63"/>
      <c r="H1649" s="67"/>
      <c r="I1649" s="68"/>
      <c r="J1649" s="68"/>
      <c r="K1649" s="32"/>
      <c r="L1649" s="75">
        <v>1649</v>
      </c>
      <c r="M1649" s="75"/>
      <c r="N1649" s="70"/>
      <c r="O1649" s="77" t="s">
        <v>179</v>
      </c>
      <c r="P1649" s="79">
        <v>45023.855428240742</v>
      </c>
      <c r="Q1649" s="77" t="s">
        <v>2888</v>
      </c>
      <c r="R1649" s="77">
        <v>0</v>
      </c>
      <c r="S1649" s="77">
        <v>0</v>
      </c>
      <c r="T1649" s="77">
        <v>0</v>
      </c>
      <c r="U1649" s="77">
        <v>0</v>
      </c>
      <c r="V1649" s="77">
        <v>7</v>
      </c>
      <c r="W1649" s="82" t="s">
        <v>5236</v>
      </c>
      <c r="X1649" s="80" t="str">
        <f>HYPERLINK("https://go.hotmart.com/B77468619P")</f>
        <v>https://go.hotmart.com/B77468619P</v>
      </c>
      <c r="Y1649" s="77" t="s">
        <v>7251</v>
      </c>
      <c r="Z1649" s="77"/>
      <c r="AA1649" s="77" t="s">
        <v>8274</v>
      </c>
      <c r="AB1649" s="77" t="s">
        <v>10130</v>
      </c>
      <c r="AC1649" s="82" t="s">
        <v>10159</v>
      </c>
      <c r="AD1649" s="77" t="s">
        <v>10184</v>
      </c>
      <c r="AE1649" s="80" t="str">
        <f>HYPERLINK("https://twitter.com/fazer_aprenda/status/1644437845963075600")</f>
        <v>https://twitter.com/fazer_aprenda/status/1644437845963075600</v>
      </c>
      <c r="AF1649" s="79">
        <v>45023.855428240742</v>
      </c>
      <c r="AG1649" s="85">
        <v>45023</v>
      </c>
      <c r="AH1649" s="82" t="s">
        <v>11778</v>
      </c>
      <c r="AI1649" s="77" t="b">
        <v>0</v>
      </c>
      <c r="AJ1649" s="77"/>
      <c r="AK1649" s="77"/>
      <c r="AL1649" s="77"/>
      <c r="AM1649" s="77"/>
      <c r="AN1649" s="77"/>
      <c r="AO1649" s="77"/>
      <c r="AP1649" s="77"/>
      <c r="AQ1649" s="77" t="s">
        <v>14918</v>
      </c>
      <c r="AR1649" s="77"/>
      <c r="AS1649" s="77"/>
      <c r="AT1649" s="77"/>
      <c r="AU1649" s="77"/>
      <c r="AV1649" s="80" t="str">
        <f>HYPERLINK("https://pbs.twimg.com/media/FtI3fYNWcB81jJJ.jpg")</f>
        <v>https://pbs.twimg.com/media/FtI3fYNWcB81jJJ.jpg</v>
      </c>
      <c r="AW1649" s="82" t="s">
        <v>18417</v>
      </c>
      <c r="AX1649" s="82" t="s">
        <v>18417</v>
      </c>
      <c r="AY1649" s="77"/>
      <c r="AZ1649" s="82" t="s">
        <v>20971</v>
      </c>
      <c r="BA1649" s="82" t="s">
        <v>20971</v>
      </c>
      <c r="BB1649" s="82" t="s">
        <v>20971</v>
      </c>
      <c r="BC1649" s="82" t="s">
        <v>18417</v>
      </c>
      <c r="BD1649" s="82" t="s">
        <v>21301</v>
      </c>
      <c r="BE1649" s="77"/>
      <c r="BF1649" s="77"/>
      <c r="BG1649" s="77"/>
      <c r="BH1649" s="77"/>
      <c r="BI1649" s="77"/>
    </row>
    <row r="1650" spans="1:61" x14ac:dyDescent="0.25">
      <c r="A1650" s="62" t="s">
        <v>613</v>
      </c>
      <c r="B1650" s="62" t="s">
        <v>613</v>
      </c>
      <c r="C1650" s="63"/>
      <c r="D1650" s="64"/>
      <c r="E1650" s="65"/>
      <c r="F1650" s="66"/>
      <c r="G1650" s="63"/>
      <c r="H1650" s="67"/>
      <c r="I1650" s="68"/>
      <c r="J1650" s="68"/>
      <c r="K1650" s="32"/>
      <c r="L1650" s="75">
        <v>1650</v>
      </c>
      <c r="M1650" s="75"/>
      <c r="N1650" s="70"/>
      <c r="O1650" s="77" t="s">
        <v>179</v>
      </c>
      <c r="P1650" s="79">
        <v>44967.809039351851</v>
      </c>
      <c r="Q1650" s="77" t="s">
        <v>2889</v>
      </c>
      <c r="R1650" s="77">
        <v>0</v>
      </c>
      <c r="S1650" s="77">
        <v>0</v>
      </c>
      <c r="T1650" s="77">
        <v>0</v>
      </c>
      <c r="U1650" s="77">
        <v>0</v>
      </c>
      <c r="V1650" s="77">
        <v>5</v>
      </c>
      <c r="W1650" s="82" t="s">
        <v>5236</v>
      </c>
      <c r="X1650" s="80" t="str">
        <f>HYPERLINK("https://go.hotmart.com/B77468619P")</f>
        <v>https://go.hotmart.com/B77468619P</v>
      </c>
      <c r="Y1650" s="77" t="s">
        <v>7251</v>
      </c>
      <c r="Z1650" s="77"/>
      <c r="AA1650" s="77" t="s">
        <v>8275</v>
      </c>
      <c r="AB1650" s="77" t="s">
        <v>10130</v>
      </c>
      <c r="AC1650" s="82" t="s">
        <v>10159</v>
      </c>
      <c r="AD1650" s="77" t="s">
        <v>10184</v>
      </c>
      <c r="AE1650" s="80" t="str">
        <f>HYPERLINK("https://twitter.com/fazer_aprenda/status/1624127313917931521")</f>
        <v>https://twitter.com/fazer_aprenda/status/1624127313917931521</v>
      </c>
      <c r="AF1650" s="79">
        <v>44967.809039351851</v>
      </c>
      <c r="AG1650" s="85">
        <v>44967</v>
      </c>
      <c r="AH1650" s="82" t="s">
        <v>11779</v>
      </c>
      <c r="AI1650" s="77" t="b">
        <v>0</v>
      </c>
      <c r="AJ1650" s="77"/>
      <c r="AK1650" s="77"/>
      <c r="AL1650" s="77"/>
      <c r="AM1650" s="77"/>
      <c r="AN1650" s="77"/>
      <c r="AO1650" s="77"/>
      <c r="AP1650" s="77"/>
      <c r="AQ1650" s="77" t="s">
        <v>14919</v>
      </c>
      <c r="AR1650" s="77"/>
      <c r="AS1650" s="77"/>
      <c r="AT1650" s="77"/>
      <c r="AU1650" s="77"/>
      <c r="AV1650" s="80" t="str">
        <f>HYPERLINK("https://pbs.twimg.com/media/FooPHGxXEBMote0.jpg")</f>
        <v>https://pbs.twimg.com/media/FooPHGxXEBMote0.jpg</v>
      </c>
      <c r="AW1650" s="82" t="s">
        <v>18418</v>
      </c>
      <c r="AX1650" s="82" t="s">
        <v>18418</v>
      </c>
      <c r="AY1650" s="77"/>
      <c r="AZ1650" s="82" t="s">
        <v>20971</v>
      </c>
      <c r="BA1650" s="82" t="s">
        <v>20971</v>
      </c>
      <c r="BB1650" s="82" t="s">
        <v>20971</v>
      </c>
      <c r="BC1650" s="82" t="s">
        <v>18418</v>
      </c>
      <c r="BD1650" s="82" t="s">
        <v>21301</v>
      </c>
      <c r="BE1650" s="77"/>
      <c r="BF1650" s="77"/>
      <c r="BG1650" s="77"/>
      <c r="BH1650" s="77"/>
      <c r="BI1650" s="77"/>
    </row>
    <row r="1651" spans="1:61" x14ac:dyDescent="0.25">
      <c r="A1651" s="62" t="s">
        <v>613</v>
      </c>
      <c r="B1651" s="62" t="s">
        <v>613</v>
      </c>
      <c r="C1651" s="63"/>
      <c r="D1651" s="64"/>
      <c r="E1651" s="65"/>
      <c r="F1651" s="66"/>
      <c r="G1651" s="63"/>
      <c r="H1651" s="67"/>
      <c r="I1651" s="68"/>
      <c r="J1651" s="68"/>
      <c r="K1651" s="32"/>
      <c r="L1651" s="75">
        <v>1651</v>
      </c>
      <c r="M1651" s="75"/>
      <c r="N1651" s="70"/>
      <c r="O1651" s="77" t="s">
        <v>179</v>
      </c>
      <c r="P1651" s="79">
        <v>44967.11886574074</v>
      </c>
      <c r="Q1651" s="77" t="s">
        <v>2890</v>
      </c>
      <c r="R1651" s="77">
        <v>0</v>
      </c>
      <c r="S1651" s="77">
        <v>0</v>
      </c>
      <c r="T1651" s="77">
        <v>0</v>
      </c>
      <c r="U1651" s="77">
        <v>0</v>
      </c>
      <c r="V1651" s="77">
        <v>3</v>
      </c>
      <c r="W1651" s="82" t="s">
        <v>5236</v>
      </c>
      <c r="X1651" s="80" t="str">
        <f>HYPERLINK("https://go.hotmart.com/B77468619P")</f>
        <v>https://go.hotmart.com/B77468619P</v>
      </c>
      <c r="Y1651" s="77" t="s">
        <v>7251</v>
      </c>
      <c r="Z1651" s="77"/>
      <c r="AA1651" s="77" t="s">
        <v>8276</v>
      </c>
      <c r="AB1651" s="77" t="s">
        <v>10130</v>
      </c>
      <c r="AC1651" s="82" t="s">
        <v>10159</v>
      </c>
      <c r="AD1651" s="77" t="s">
        <v>10184</v>
      </c>
      <c r="AE1651" s="80" t="str">
        <f>HYPERLINK("https://twitter.com/fazer_aprenda/status/1623877205624336391")</f>
        <v>https://twitter.com/fazer_aprenda/status/1623877205624336391</v>
      </c>
      <c r="AF1651" s="79">
        <v>44967.11886574074</v>
      </c>
      <c r="AG1651" s="85">
        <v>44967</v>
      </c>
      <c r="AH1651" s="82" t="s">
        <v>11780</v>
      </c>
      <c r="AI1651" s="77" t="b">
        <v>0</v>
      </c>
      <c r="AJ1651" s="77"/>
      <c r="AK1651" s="77"/>
      <c r="AL1651" s="77"/>
      <c r="AM1651" s="77"/>
      <c r="AN1651" s="77"/>
      <c r="AO1651" s="77"/>
      <c r="AP1651" s="77"/>
      <c r="AQ1651" s="77" t="s">
        <v>14920</v>
      </c>
      <c r="AR1651" s="77"/>
      <c r="AS1651" s="77"/>
      <c r="AT1651" s="77"/>
      <c r="AU1651" s="77"/>
      <c r="AV1651" s="80" t="str">
        <f>HYPERLINK("https://pbs.twimg.com/media/FokrrjwWcAA2Cfi.jpg")</f>
        <v>https://pbs.twimg.com/media/FokrrjwWcAA2Cfi.jpg</v>
      </c>
      <c r="AW1651" s="82" t="s">
        <v>18419</v>
      </c>
      <c r="AX1651" s="82" t="s">
        <v>18419</v>
      </c>
      <c r="AY1651" s="77"/>
      <c r="AZ1651" s="82" t="s">
        <v>20971</v>
      </c>
      <c r="BA1651" s="82" t="s">
        <v>20971</v>
      </c>
      <c r="BB1651" s="82" t="s">
        <v>20971</v>
      </c>
      <c r="BC1651" s="82" t="s">
        <v>18419</v>
      </c>
      <c r="BD1651" s="82" t="s">
        <v>21301</v>
      </c>
      <c r="BE1651" s="77"/>
      <c r="BF1651" s="77"/>
      <c r="BG1651" s="77"/>
      <c r="BH1651" s="77"/>
      <c r="BI1651" s="77"/>
    </row>
    <row r="1652" spans="1:61" x14ac:dyDescent="0.25">
      <c r="A1652" s="62" t="s">
        <v>613</v>
      </c>
      <c r="B1652" s="62" t="s">
        <v>613</v>
      </c>
      <c r="C1652" s="63"/>
      <c r="D1652" s="64"/>
      <c r="E1652" s="65"/>
      <c r="F1652" s="66"/>
      <c r="G1652" s="63"/>
      <c r="H1652" s="67"/>
      <c r="I1652" s="68"/>
      <c r="J1652" s="68"/>
      <c r="K1652" s="32"/>
      <c r="L1652" s="75">
        <v>1652</v>
      </c>
      <c r="M1652" s="75"/>
      <c r="N1652" s="70"/>
      <c r="O1652" s="77" t="s">
        <v>179</v>
      </c>
      <c r="P1652" s="79">
        <v>45019.22452546296</v>
      </c>
      <c r="Q1652" s="77" t="s">
        <v>2891</v>
      </c>
      <c r="R1652" s="77">
        <v>0</v>
      </c>
      <c r="S1652" s="77">
        <v>0</v>
      </c>
      <c r="T1652" s="77">
        <v>0</v>
      </c>
      <c r="U1652" s="77">
        <v>0</v>
      </c>
      <c r="V1652" s="77">
        <v>6</v>
      </c>
      <c r="W1652" s="82" t="s">
        <v>5236</v>
      </c>
      <c r="X1652" s="80" t="str">
        <f>HYPERLINK("https://go.hotmart.com/B77468619P")</f>
        <v>https://go.hotmart.com/B77468619P</v>
      </c>
      <c r="Y1652" s="77" t="s">
        <v>7251</v>
      </c>
      <c r="Z1652" s="77"/>
      <c r="AA1652" s="77" t="s">
        <v>8277</v>
      </c>
      <c r="AB1652" s="77" t="s">
        <v>10130</v>
      </c>
      <c r="AC1652" s="82" t="s">
        <v>10159</v>
      </c>
      <c r="AD1652" s="77" t="s">
        <v>10184</v>
      </c>
      <c r="AE1652" s="80" t="str">
        <f>HYPERLINK("https://twitter.com/fazer_aprenda/status/1642759662322827265")</f>
        <v>https://twitter.com/fazer_aprenda/status/1642759662322827265</v>
      </c>
      <c r="AF1652" s="79">
        <v>45019.22452546296</v>
      </c>
      <c r="AG1652" s="85">
        <v>45019</v>
      </c>
      <c r="AH1652" s="82" t="s">
        <v>11781</v>
      </c>
      <c r="AI1652" s="77" t="b">
        <v>0</v>
      </c>
      <c r="AJ1652" s="77"/>
      <c r="AK1652" s="77"/>
      <c r="AL1652" s="77"/>
      <c r="AM1652" s="77"/>
      <c r="AN1652" s="77"/>
      <c r="AO1652" s="77"/>
      <c r="AP1652" s="77"/>
      <c r="AQ1652" s="77" t="s">
        <v>14921</v>
      </c>
      <c r="AR1652" s="77"/>
      <c r="AS1652" s="77"/>
      <c r="AT1652" s="77"/>
      <c r="AU1652" s="77"/>
      <c r="AV1652" s="80" t="str">
        <f>HYPERLINK("https://pbs.twimg.com/media/FsxBLG4WAAA9kcK.jpg")</f>
        <v>https://pbs.twimg.com/media/FsxBLG4WAAA9kcK.jpg</v>
      </c>
      <c r="AW1652" s="82" t="s">
        <v>18420</v>
      </c>
      <c r="AX1652" s="82" t="s">
        <v>18420</v>
      </c>
      <c r="AY1652" s="77"/>
      <c r="AZ1652" s="82" t="s">
        <v>20971</v>
      </c>
      <c r="BA1652" s="82" t="s">
        <v>20971</v>
      </c>
      <c r="BB1652" s="82" t="s">
        <v>20971</v>
      </c>
      <c r="BC1652" s="82" t="s">
        <v>18420</v>
      </c>
      <c r="BD1652" s="82" t="s">
        <v>21301</v>
      </c>
      <c r="BE1652" s="77"/>
      <c r="BF1652" s="77"/>
      <c r="BG1652" s="77"/>
      <c r="BH1652" s="77"/>
      <c r="BI1652" s="77"/>
    </row>
    <row r="1653" spans="1:61" x14ac:dyDescent="0.25">
      <c r="A1653" s="62" t="s">
        <v>613</v>
      </c>
      <c r="B1653" s="62" t="s">
        <v>613</v>
      </c>
      <c r="C1653" s="63"/>
      <c r="D1653" s="64"/>
      <c r="E1653" s="65"/>
      <c r="F1653" s="66"/>
      <c r="G1653" s="63"/>
      <c r="H1653" s="67"/>
      <c r="I1653" s="68"/>
      <c r="J1653" s="68"/>
      <c r="K1653" s="32"/>
      <c r="L1653" s="75">
        <v>1653</v>
      </c>
      <c r="M1653" s="75"/>
      <c r="N1653" s="70"/>
      <c r="O1653" s="77" t="s">
        <v>179</v>
      </c>
      <c r="P1653" s="79">
        <v>44997.439525462964</v>
      </c>
      <c r="Q1653" s="77" t="s">
        <v>2892</v>
      </c>
      <c r="R1653" s="77">
        <v>0</v>
      </c>
      <c r="S1653" s="77">
        <v>0</v>
      </c>
      <c r="T1653" s="77">
        <v>0</v>
      </c>
      <c r="U1653" s="77">
        <v>0</v>
      </c>
      <c r="V1653" s="77">
        <v>7</v>
      </c>
      <c r="W1653" s="82" t="s">
        <v>5236</v>
      </c>
      <c r="X1653" s="80" t="str">
        <f>HYPERLINK("https://go.hotmart.com/B77468619P")</f>
        <v>https://go.hotmart.com/B77468619P</v>
      </c>
      <c r="Y1653" s="77" t="s">
        <v>7251</v>
      </c>
      <c r="Z1653" s="77"/>
      <c r="AA1653" s="77" t="s">
        <v>8278</v>
      </c>
      <c r="AB1653" s="77" t="s">
        <v>10130</v>
      </c>
      <c r="AC1653" s="82" t="s">
        <v>10159</v>
      </c>
      <c r="AD1653" s="77" t="s">
        <v>10184</v>
      </c>
      <c r="AE1653" s="80" t="str">
        <f>HYPERLINK("https://twitter.com/fazer_aprenda/status/1634865045606739968")</f>
        <v>https://twitter.com/fazer_aprenda/status/1634865045606739968</v>
      </c>
      <c r="AF1653" s="79">
        <v>44997.439525462964</v>
      </c>
      <c r="AG1653" s="85">
        <v>44997</v>
      </c>
      <c r="AH1653" s="82" t="s">
        <v>11782</v>
      </c>
      <c r="AI1653" s="77" t="b">
        <v>0</v>
      </c>
      <c r="AJ1653" s="77"/>
      <c r="AK1653" s="77"/>
      <c r="AL1653" s="77"/>
      <c r="AM1653" s="77"/>
      <c r="AN1653" s="77"/>
      <c r="AO1653" s="77"/>
      <c r="AP1653" s="77"/>
      <c r="AQ1653" s="77" t="s">
        <v>14922</v>
      </c>
      <c r="AR1653" s="77"/>
      <c r="AS1653" s="77"/>
      <c r="AT1653" s="77"/>
      <c r="AU1653" s="77"/>
      <c r="AV1653" s="80" t="str">
        <f>HYPERLINK("https://pbs.twimg.com/media/FrA1BsLXoAMRSlu.jpg")</f>
        <v>https://pbs.twimg.com/media/FrA1BsLXoAMRSlu.jpg</v>
      </c>
      <c r="AW1653" s="82" t="s">
        <v>18421</v>
      </c>
      <c r="AX1653" s="82" t="s">
        <v>18421</v>
      </c>
      <c r="AY1653" s="77"/>
      <c r="AZ1653" s="82" t="s">
        <v>20971</v>
      </c>
      <c r="BA1653" s="82" t="s">
        <v>20971</v>
      </c>
      <c r="BB1653" s="82" t="s">
        <v>20971</v>
      </c>
      <c r="BC1653" s="82" t="s">
        <v>18421</v>
      </c>
      <c r="BD1653" s="82" t="s">
        <v>21301</v>
      </c>
      <c r="BE1653" s="77"/>
      <c r="BF1653" s="77"/>
      <c r="BG1653" s="77"/>
      <c r="BH1653" s="77"/>
      <c r="BI1653" s="77"/>
    </row>
    <row r="1654" spans="1:61" x14ac:dyDescent="0.25">
      <c r="A1654" s="62" t="s">
        <v>613</v>
      </c>
      <c r="B1654" s="62" t="s">
        <v>613</v>
      </c>
      <c r="C1654" s="63"/>
      <c r="D1654" s="64"/>
      <c r="E1654" s="65"/>
      <c r="F1654" s="66"/>
      <c r="G1654" s="63"/>
      <c r="H1654" s="67"/>
      <c r="I1654" s="68"/>
      <c r="J1654" s="68"/>
      <c r="K1654" s="32"/>
      <c r="L1654" s="75">
        <v>1654</v>
      </c>
      <c r="M1654" s="75"/>
      <c r="N1654" s="70"/>
      <c r="O1654" s="77" t="s">
        <v>179</v>
      </c>
      <c r="P1654" s="79">
        <v>44997.228680555556</v>
      </c>
      <c r="Q1654" s="77" t="s">
        <v>2893</v>
      </c>
      <c r="R1654" s="77">
        <v>0</v>
      </c>
      <c r="S1654" s="77">
        <v>0</v>
      </c>
      <c r="T1654" s="77">
        <v>0</v>
      </c>
      <c r="U1654" s="77">
        <v>0</v>
      </c>
      <c r="V1654" s="77">
        <v>5</v>
      </c>
      <c r="W1654" s="82" t="s">
        <v>5236</v>
      </c>
      <c r="X1654" s="80" t="str">
        <f>HYPERLINK("https://go.hotmart.com/B77468619P")</f>
        <v>https://go.hotmart.com/B77468619P</v>
      </c>
      <c r="Y1654" s="77" t="s">
        <v>7251</v>
      </c>
      <c r="Z1654" s="77"/>
      <c r="AA1654" s="77" t="s">
        <v>8279</v>
      </c>
      <c r="AB1654" s="77" t="s">
        <v>10130</v>
      </c>
      <c r="AC1654" s="82" t="s">
        <v>10159</v>
      </c>
      <c r="AD1654" s="77" t="s">
        <v>10184</v>
      </c>
      <c r="AE1654" s="80" t="str">
        <f>HYPERLINK("https://twitter.com/fazer_aprenda/status/1634788637005971457")</f>
        <v>https://twitter.com/fazer_aprenda/status/1634788637005971457</v>
      </c>
      <c r="AF1654" s="79">
        <v>44997.228680555556</v>
      </c>
      <c r="AG1654" s="85">
        <v>44997</v>
      </c>
      <c r="AH1654" s="82" t="s">
        <v>11783</v>
      </c>
      <c r="AI1654" s="77" t="b">
        <v>0</v>
      </c>
      <c r="AJ1654" s="77"/>
      <c r="AK1654" s="77"/>
      <c r="AL1654" s="77"/>
      <c r="AM1654" s="77"/>
      <c r="AN1654" s="77"/>
      <c r="AO1654" s="77"/>
      <c r="AP1654" s="77"/>
      <c r="AQ1654" s="77" t="s">
        <v>14923</v>
      </c>
      <c r="AR1654" s="77"/>
      <c r="AS1654" s="77"/>
      <c r="AT1654" s="77"/>
      <c r="AU1654" s="77"/>
      <c r="AV1654" s="80" t="str">
        <f>HYPERLINK("https://pbs.twimg.com/media/Fq_vkimWcAAbslO.jpg")</f>
        <v>https://pbs.twimg.com/media/Fq_vkimWcAAbslO.jpg</v>
      </c>
      <c r="AW1654" s="82" t="s">
        <v>18422</v>
      </c>
      <c r="AX1654" s="82" t="s">
        <v>18422</v>
      </c>
      <c r="AY1654" s="77"/>
      <c r="AZ1654" s="82" t="s">
        <v>20971</v>
      </c>
      <c r="BA1654" s="82" t="s">
        <v>20971</v>
      </c>
      <c r="BB1654" s="82" t="s">
        <v>20971</v>
      </c>
      <c r="BC1654" s="82" t="s">
        <v>18422</v>
      </c>
      <c r="BD1654" s="82" t="s">
        <v>21301</v>
      </c>
      <c r="BE1654" s="77"/>
      <c r="BF1654" s="77"/>
      <c r="BG1654" s="77"/>
      <c r="BH1654" s="77"/>
      <c r="BI1654" s="77"/>
    </row>
    <row r="1655" spans="1:61" x14ac:dyDescent="0.25">
      <c r="A1655" s="62" t="s">
        <v>613</v>
      </c>
      <c r="B1655" s="62" t="s">
        <v>613</v>
      </c>
      <c r="C1655" s="63"/>
      <c r="D1655" s="64"/>
      <c r="E1655" s="65"/>
      <c r="F1655" s="66"/>
      <c r="G1655" s="63"/>
      <c r="H1655" s="67"/>
      <c r="I1655" s="68"/>
      <c r="J1655" s="68"/>
      <c r="K1655" s="32"/>
      <c r="L1655" s="75">
        <v>1655</v>
      </c>
      <c r="M1655" s="75"/>
      <c r="N1655" s="70"/>
      <c r="O1655" s="77" t="s">
        <v>179</v>
      </c>
      <c r="P1655" s="79">
        <v>44997.018738425926</v>
      </c>
      <c r="Q1655" s="77" t="s">
        <v>2894</v>
      </c>
      <c r="R1655" s="77">
        <v>0</v>
      </c>
      <c r="S1655" s="77">
        <v>0</v>
      </c>
      <c r="T1655" s="77">
        <v>0</v>
      </c>
      <c r="U1655" s="77">
        <v>0</v>
      </c>
      <c r="V1655" s="77">
        <v>7</v>
      </c>
      <c r="W1655" s="82" t="s">
        <v>5236</v>
      </c>
      <c r="X1655" s="80" t="str">
        <f>HYPERLINK("https://go.hotmart.com/B77468619P")</f>
        <v>https://go.hotmart.com/B77468619P</v>
      </c>
      <c r="Y1655" s="77" t="s">
        <v>7251</v>
      </c>
      <c r="Z1655" s="77"/>
      <c r="AA1655" s="77" t="s">
        <v>8280</v>
      </c>
      <c r="AB1655" s="77" t="s">
        <v>10130</v>
      </c>
      <c r="AC1655" s="82" t="s">
        <v>10159</v>
      </c>
      <c r="AD1655" s="77" t="s">
        <v>10184</v>
      </c>
      <c r="AE1655" s="80" t="str">
        <f>HYPERLINK("https://twitter.com/fazer_aprenda/status/1634712554885849088")</f>
        <v>https://twitter.com/fazer_aprenda/status/1634712554885849088</v>
      </c>
      <c r="AF1655" s="79">
        <v>44997.018738425926</v>
      </c>
      <c r="AG1655" s="85">
        <v>44997</v>
      </c>
      <c r="AH1655" s="82" t="s">
        <v>11784</v>
      </c>
      <c r="AI1655" s="77" t="b">
        <v>0</v>
      </c>
      <c r="AJ1655" s="77"/>
      <c r="AK1655" s="77"/>
      <c r="AL1655" s="77"/>
      <c r="AM1655" s="77"/>
      <c r="AN1655" s="77"/>
      <c r="AO1655" s="77"/>
      <c r="AP1655" s="77"/>
      <c r="AQ1655" s="77" t="s">
        <v>14924</v>
      </c>
      <c r="AR1655" s="77"/>
      <c r="AS1655" s="77"/>
      <c r="AT1655" s="77"/>
      <c r="AU1655" s="77"/>
      <c r="AV1655" s="80" t="str">
        <f>HYPERLINK("https://pbs.twimg.com/media/Fq-qX18WcAI-H6j.jpg")</f>
        <v>https://pbs.twimg.com/media/Fq-qX18WcAI-H6j.jpg</v>
      </c>
      <c r="AW1655" s="82" t="s">
        <v>18423</v>
      </c>
      <c r="AX1655" s="82" t="s">
        <v>18423</v>
      </c>
      <c r="AY1655" s="77"/>
      <c r="AZ1655" s="82" t="s">
        <v>20971</v>
      </c>
      <c r="BA1655" s="82" t="s">
        <v>20971</v>
      </c>
      <c r="BB1655" s="82" t="s">
        <v>20971</v>
      </c>
      <c r="BC1655" s="82" t="s">
        <v>18423</v>
      </c>
      <c r="BD1655" s="82" t="s">
        <v>21301</v>
      </c>
      <c r="BE1655" s="77"/>
      <c r="BF1655" s="77"/>
      <c r="BG1655" s="77"/>
      <c r="BH1655" s="77"/>
      <c r="BI1655" s="77"/>
    </row>
    <row r="1656" spans="1:61" x14ac:dyDescent="0.25">
      <c r="A1656" s="62" t="s">
        <v>613</v>
      </c>
      <c r="B1656" s="62" t="s">
        <v>613</v>
      </c>
      <c r="C1656" s="63"/>
      <c r="D1656" s="64"/>
      <c r="E1656" s="65"/>
      <c r="F1656" s="66"/>
      <c r="G1656" s="63"/>
      <c r="H1656" s="67"/>
      <c r="I1656" s="68"/>
      <c r="J1656" s="68"/>
      <c r="K1656" s="32"/>
      <c r="L1656" s="75">
        <v>1656</v>
      </c>
      <c r="M1656" s="75"/>
      <c r="N1656" s="70"/>
      <c r="O1656" s="77" t="s">
        <v>179</v>
      </c>
      <c r="P1656" s="79">
        <v>44996.807650462964</v>
      </c>
      <c r="Q1656" s="77" t="s">
        <v>2895</v>
      </c>
      <c r="R1656" s="77">
        <v>0</v>
      </c>
      <c r="S1656" s="77">
        <v>0</v>
      </c>
      <c r="T1656" s="77">
        <v>0</v>
      </c>
      <c r="U1656" s="77">
        <v>0</v>
      </c>
      <c r="V1656" s="77">
        <v>2</v>
      </c>
      <c r="W1656" s="82" t="s">
        <v>5236</v>
      </c>
      <c r="X1656" s="80" t="str">
        <f>HYPERLINK("https://go.hotmart.com/B77468619P")</f>
        <v>https://go.hotmart.com/B77468619P</v>
      </c>
      <c r="Y1656" s="77" t="s">
        <v>7251</v>
      </c>
      <c r="Z1656" s="77"/>
      <c r="AA1656" s="77" t="s">
        <v>8281</v>
      </c>
      <c r="AB1656" s="77" t="s">
        <v>10130</v>
      </c>
      <c r="AC1656" s="82" t="s">
        <v>10159</v>
      </c>
      <c r="AD1656" s="77" t="s">
        <v>10184</v>
      </c>
      <c r="AE1656" s="80" t="str">
        <f>HYPERLINK("https://twitter.com/fazer_aprenda/status/1634636058980655104")</f>
        <v>https://twitter.com/fazer_aprenda/status/1634636058980655104</v>
      </c>
      <c r="AF1656" s="79">
        <v>44996.807650462964</v>
      </c>
      <c r="AG1656" s="85">
        <v>44996</v>
      </c>
      <c r="AH1656" s="82" t="s">
        <v>11785</v>
      </c>
      <c r="AI1656" s="77" t="b">
        <v>0</v>
      </c>
      <c r="AJ1656" s="77"/>
      <c r="AK1656" s="77"/>
      <c r="AL1656" s="77"/>
      <c r="AM1656" s="77"/>
      <c r="AN1656" s="77"/>
      <c r="AO1656" s="77"/>
      <c r="AP1656" s="77"/>
      <c r="AQ1656" s="77" t="s">
        <v>14925</v>
      </c>
      <c r="AR1656" s="77"/>
      <c r="AS1656" s="77"/>
      <c r="AT1656" s="77"/>
      <c r="AU1656" s="77"/>
      <c r="AV1656" s="80" t="str">
        <f>HYPERLINK("https://pbs.twimg.com/media/Fq9kuVQXwAIqqBk.jpg")</f>
        <v>https://pbs.twimg.com/media/Fq9kuVQXwAIqqBk.jpg</v>
      </c>
      <c r="AW1656" s="82" t="s">
        <v>18424</v>
      </c>
      <c r="AX1656" s="82" t="s">
        <v>18424</v>
      </c>
      <c r="AY1656" s="77"/>
      <c r="AZ1656" s="82" t="s">
        <v>20971</v>
      </c>
      <c r="BA1656" s="82" t="s">
        <v>20971</v>
      </c>
      <c r="BB1656" s="82" t="s">
        <v>20971</v>
      </c>
      <c r="BC1656" s="82" t="s">
        <v>18424</v>
      </c>
      <c r="BD1656" s="82" t="s">
        <v>21301</v>
      </c>
      <c r="BE1656" s="77"/>
      <c r="BF1656" s="77"/>
      <c r="BG1656" s="77"/>
      <c r="BH1656" s="77"/>
      <c r="BI1656" s="77"/>
    </row>
    <row r="1657" spans="1:61" x14ac:dyDescent="0.25">
      <c r="A1657" s="62" t="s">
        <v>613</v>
      </c>
      <c r="B1657" s="62" t="s">
        <v>613</v>
      </c>
      <c r="C1657" s="63"/>
      <c r="D1657" s="64"/>
      <c r="E1657" s="65"/>
      <c r="F1657" s="66"/>
      <c r="G1657" s="63"/>
      <c r="H1657" s="67"/>
      <c r="I1657" s="68"/>
      <c r="J1657" s="68"/>
      <c r="K1657" s="32"/>
      <c r="L1657" s="75">
        <v>1657</v>
      </c>
      <c r="M1657" s="75"/>
      <c r="N1657" s="70"/>
      <c r="O1657" s="77" t="s">
        <v>179</v>
      </c>
      <c r="P1657" s="79">
        <v>44996.172986111109</v>
      </c>
      <c r="Q1657" s="77" t="s">
        <v>2896</v>
      </c>
      <c r="R1657" s="77">
        <v>0</v>
      </c>
      <c r="S1657" s="77">
        <v>0</v>
      </c>
      <c r="T1657" s="77">
        <v>0</v>
      </c>
      <c r="U1657" s="77">
        <v>0</v>
      </c>
      <c r="V1657" s="77">
        <v>2</v>
      </c>
      <c r="W1657" s="82" t="s">
        <v>5236</v>
      </c>
      <c r="X1657" s="80" t="str">
        <f>HYPERLINK("https://go.hotmart.com/B77468619P")</f>
        <v>https://go.hotmart.com/B77468619P</v>
      </c>
      <c r="Y1657" s="77" t="s">
        <v>7251</v>
      </c>
      <c r="Z1657" s="77"/>
      <c r="AA1657" s="77" t="s">
        <v>8282</v>
      </c>
      <c r="AB1657" s="77" t="s">
        <v>10130</v>
      </c>
      <c r="AC1657" s="82" t="s">
        <v>10159</v>
      </c>
      <c r="AD1657" s="77" t="s">
        <v>10184</v>
      </c>
      <c r="AE1657" s="80" t="str">
        <f>HYPERLINK("https://twitter.com/fazer_aprenda/status/1634406065335943170")</f>
        <v>https://twitter.com/fazer_aprenda/status/1634406065335943170</v>
      </c>
      <c r="AF1657" s="79">
        <v>44996.172986111109</v>
      </c>
      <c r="AG1657" s="85">
        <v>44996</v>
      </c>
      <c r="AH1657" s="82" t="s">
        <v>11786</v>
      </c>
      <c r="AI1657" s="77" t="b">
        <v>0</v>
      </c>
      <c r="AJ1657" s="77"/>
      <c r="AK1657" s="77"/>
      <c r="AL1657" s="77"/>
      <c r="AM1657" s="77"/>
      <c r="AN1657" s="77"/>
      <c r="AO1657" s="77"/>
      <c r="AP1657" s="77"/>
      <c r="AQ1657" s="77" t="s">
        <v>14926</v>
      </c>
      <c r="AR1657" s="77"/>
      <c r="AS1657" s="77"/>
      <c r="AT1657" s="77"/>
      <c r="AU1657" s="77"/>
      <c r="AV1657" s="80" t="str">
        <f>HYPERLINK("https://pbs.twimg.com/media/Fq6TlvFXsAEy4mG.jpg")</f>
        <v>https://pbs.twimg.com/media/Fq6TlvFXsAEy4mG.jpg</v>
      </c>
      <c r="AW1657" s="82" t="s">
        <v>18425</v>
      </c>
      <c r="AX1657" s="82" t="s">
        <v>18425</v>
      </c>
      <c r="AY1657" s="77"/>
      <c r="AZ1657" s="82" t="s">
        <v>20971</v>
      </c>
      <c r="BA1657" s="82" t="s">
        <v>20971</v>
      </c>
      <c r="BB1657" s="82" t="s">
        <v>20971</v>
      </c>
      <c r="BC1657" s="82" t="s">
        <v>18425</v>
      </c>
      <c r="BD1657" s="82" t="s">
        <v>21301</v>
      </c>
      <c r="BE1657" s="77"/>
      <c r="BF1657" s="77"/>
      <c r="BG1657" s="77"/>
      <c r="BH1657" s="77"/>
      <c r="BI1657" s="77"/>
    </row>
    <row r="1658" spans="1:61" x14ac:dyDescent="0.25">
      <c r="A1658" s="62" t="s">
        <v>613</v>
      </c>
      <c r="B1658" s="62" t="s">
        <v>613</v>
      </c>
      <c r="C1658" s="63"/>
      <c r="D1658" s="64"/>
      <c r="E1658" s="65"/>
      <c r="F1658" s="66"/>
      <c r="G1658" s="63"/>
      <c r="H1658" s="67"/>
      <c r="I1658" s="68"/>
      <c r="J1658" s="68"/>
      <c r="K1658" s="32"/>
      <c r="L1658" s="75">
        <v>1658</v>
      </c>
      <c r="M1658" s="75"/>
      <c r="N1658" s="70"/>
      <c r="O1658" s="77" t="s">
        <v>179</v>
      </c>
      <c r="P1658" s="79">
        <v>44995.961643518516</v>
      </c>
      <c r="Q1658" s="77" t="s">
        <v>2897</v>
      </c>
      <c r="R1658" s="77">
        <v>0</v>
      </c>
      <c r="S1658" s="77">
        <v>0</v>
      </c>
      <c r="T1658" s="77">
        <v>0</v>
      </c>
      <c r="U1658" s="77">
        <v>0</v>
      </c>
      <c r="V1658" s="77">
        <v>3</v>
      </c>
      <c r="W1658" s="82" t="s">
        <v>5236</v>
      </c>
      <c r="X1658" s="80" t="str">
        <f>HYPERLINK("https://go.hotmart.com/B77468619P")</f>
        <v>https://go.hotmart.com/B77468619P</v>
      </c>
      <c r="Y1658" s="77" t="s">
        <v>7251</v>
      </c>
      <c r="Z1658" s="77"/>
      <c r="AA1658" s="77" t="s">
        <v>8283</v>
      </c>
      <c r="AB1658" s="77" t="s">
        <v>10130</v>
      </c>
      <c r="AC1658" s="82" t="s">
        <v>10159</v>
      </c>
      <c r="AD1658" s="77" t="s">
        <v>10184</v>
      </c>
      <c r="AE1658" s="80" t="str">
        <f>HYPERLINK("https://twitter.com/fazer_aprenda/status/1634329479366471682")</f>
        <v>https://twitter.com/fazer_aprenda/status/1634329479366471682</v>
      </c>
      <c r="AF1658" s="79">
        <v>44995.961643518516</v>
      </c>
      <c r="AG1658" s="85">
        <v>44995</v>
      </c>
      <c r="AH1658" s="82" t="s">
        <v>11787</v>
      </c>
      <c r="AI1658" s="77" t="b">
        <v>0</v>
      </c>
      <c r="AJ1658" s="77"/>
      <c r="AK1658" s="77"/>
      <c r="AL1658" s="77"/>
      <c r="AM1658" s="77"/>
      <c r="AN1658" s="77"/>
      <c r="AO1658" s="77"/>
      <c r="AP1658" s="77"/>
      <c r="AQ1658" s="77" t="s">
        <v>14927</v>
      </c>
      <c r="AR1658" s="77"/>
      <c r="AS1658" s="77"/>
      <c r="AT1658" s="77"/>
      <c r="AU1658" s="77"/>
      <c r="AV1658" s="80" t="str">
        <f>HYPERLINK("https://pbs.twimg.com/media/Fq5N91HXsAA39pF.jpg")</f>
        <v>https://pbs.twimg.com/media/Fq5N91HXsAA39pF.jpg</v>
      </c>
      <c r="AW1658" s="82" t="s">
        <v>18426</v>
      </c>
      <c r="AX1658" s="82" t="s">
        <v>18426</v>
      </c>
      <c r="AY1658" s="77"/>
      <c r="AZ1658" s="82" t="s">
        <v>20971</v>
      </c>
      <c r="BA1658" s="82" t="s">
        <v>20971</v>
      </c>
      <c r="BB1658" s="82" t="s">
        <v>20971</v>
      </c>
      <c r="BC1658" s="82" t="s">
        <v>18426</v>
      </c>
      <c r="BD1658" s="82" t="s">
        <v>21301</v>
      </c>
      <c r="BE1658" s="77"/>
      <c r="BF1658" s="77"/>
      <c r="BG1658" s="77"/>
      <c r="BH1658" s="77"/>
      <c r="BI1658" s="77"/>
    </row>
    <row r="1659" spans="1:61" x14ac:dyDescent="0.25">
      <c r="A1659" s="62" t="s">
        <v>613</v>
      </c>
      <c r="B1659" s="62" t="s">
        <v>613</v>
      </c>
      <c r="C1659" s="63"/>
      <c r="D1659" s="64"/>
      <c r="E1659" s="65"/>
      <c r="F1659" s="66"/>
      <c r="G1659" s="63"/>
      <c r="H1659" s="67"/>
      <c r="I1659" s="68"/>
      <c r="J1659" s="68"/>
      <c r="K1659" s="32"/>
      <c r="L1659" s="75">
        <v>1659</v>
      </c>
      <c r="M1659" s="75"/>
      <c r="N1659" s="70"/>
      <c r="O1659" s="77" t="s">
        <v>179</v>
      </c>
      <c r="P1659" s="79">
        <v>44995.749895833331</v>
      </c>
      <c r="Q1659" s="77" t="s">
        <v>2898</v>
      </c>
      <c r="R1659" s="77">
        <v>0</v>
      </c>
      <c r="S1659" s="77">
        <v>0</v>
      </c>
      <c r="T1659" s="77">
        <v>0</v>
      </c>
      <c r="U1659" s="77">
        <v>0</v>
      </c>
      <c r="V1659" s="77">
        <v>2</v>
      </c>
      <c r="W1659" s="82" t="s">
        <v>5236</v>
      </c>
      <c r="X1659" s="80" t="str">
        <f>HYPERLINK("https://go.hotmart.com/B77468619P")</f>
        <v>https://go.hotmart.com/B77468619P</v>
      </c>
      <c r="Y1659" s="77" t="s">
        <v>7251</v>
      </c>
      <c r="Z1659" s="77"/>
      <c r="AA1659" s="77" t="s">
        <v>8284</v>
      </c>
      <c r="AB1659" s="77" t="s">
        <v>10130</v>
      </c>
      <c r="AC1659" s="82" t="s">
        <v>10159</v>
      </c>
      <c r="AD1659" s="77" t="s">
        <v>10184</v>
      </c>
      <c r="AE1659" s="80" t="str">
        <f>HYPERLINK("https://twitter.com/fazer_aprenda/status/1634252743131930647")</f>
        <v>https://twitter.com/fazer_aprenda/status/1634252743131930647</v>
      </c>
      <c r="AF1659" s="79">
        <v>44995.749895833331</v>
      </c>
      <c r="AG1659" s="85">
        <v>44995</v>
      </c>
      <c r="AH1659" s="82" t="s">
        <v>11788</v>
      </c>
      <c r="AI1659" s="77" t="b">
        <v>0</v>
      </c>
      <c r="AJ1659" s="77"/>
      <c r="AK1659" s="77"/>
      <c r="AL1659" s="77"/>
      <c r="AM1659" s="77"/>
      <c r="AN1659" s="77"/>
      <c r="AO1659" s="77"/>
      <c r="AP1659" s="77"/>
      <c r="AQ1659" s="77" t="s">
        <v>14928</v>
      </c>
      <c r="AR1659" s="77"/>
      <c r="AS1659" s="77"/>
      <c r="AT1659" s="77"/>
      <c r="AU1659" s="77"/>
      <c r="AV1659" s="80" t="str">
        <f>HYPERLINK("https://pbs.twimg.com/media/Fq4ILWBWIBEW8wd.jpg")</f>
        <v>https://pbs.twimg.com/media/Fq4ILWBWIBEW8wd.jpg</v>
      </c>
      <c r="AW1659" s="82" t="s">
        <v>18427</v>
      </c>
      <c r="AX1659" s="82" t="s">
        <v>18427</v>
      </c>
      <c r="AY1659" s="77"/>
      <c r="AZ1659" s="82" t="s">
        <v>20971</v>
      </c>
      <c r="BA1659" s="82" t="s">
        <v>20971</v>
      </c>
      <c r="BB1659" s="82" t="s">
        <v>20971</v>
      </c>
      <c r="BC1659" s="82" t="s">
        <v>18427</v>
      </c>
      <c r="BD1659" s="82" t="s">
        <v>21301</v>
      </c>
      <c r="BE1659" s="77"/>
      <c r="BF1659" s="77"/>
      <c r="BG1659" s="77"/>
      <c r="BH1659" s="77"/>
      <c r="BI1659" s="77"/>
    </row>
    <row r="1660" spans="1:61" x14ac:dyDescent="0.25">
      <c r="A1660" s="62" t="s">
        <v>613</v>
      </c>
      <c r="B1660" s="62" t="s">
        <v>613</v>
      </c>
      <c r="C1660" s="63"/>
      <c r="D1660" s="64"/>
      <c r="E1660" s="65"/>
      <c r="F1660" s="66"/>
      <c r="G1660" s="63"/>
      <c r="H1660" s="67"/>
      <c r="I1660" s="68"/>
      <c r="J1660" s="68"/>
      <c r="K1660" s="32"/>
      <c r="L1660" s="75">
        <v>1660</v>
      </c>
      <c r="M1660" s="75"/>
      <c r="N1660" s="70"/>
      <c r="O1660" s="77" t="s">
        <v>179</v>
      </c>
      <c r="P1660" s="79">
        <v>44995.537499999999</v>
      </c>
      <c r="Q1660" s="77" t="s">
        <v>2899</v>
      </c>
      <c r="R1660" s="77">
        <v>0</v>
      </c>
      <c r="S1660" s="77">
        <v>0</v>
      </c>
      <c r="T1660" s="77">
        <v>0</v>
      </c>
      <c r="U1660" s="77">
        <v>0</v>
      </c>
      <c r="V1660" s="77">
        <v>1</v>
      </c>
      <c r="W1660" s="82" t="s">
        <v>5236</v>
      </c>
      <c r="X1660" s="80" t="str">
        <f>HYPERLINK("https://go.hotmart.com/B77468619P")</f>
        <v>https://go.hotmart.com/B77468619P</v>
      </c>
      <c r="Y1660" s="77" t="s">
        <v>7251</v>
      </c>
      <c r="Z1660" s="77"/>
      <c r="AA1660" s="77" t="s">
        <v>8285</v>
      </c>
      <c r="AB1660" s="77" t="s">
        <v>10130</v>
      </c>
      <c r="AC1660" s="82" t="s">
        <v>10159</v>
      </c>
      <c r="AD1660" s="77" t="s">
        <v>10184</v>
      </c>
      <c r="AE1660" s="80" t="str">
        <f>HYPERLINK("https://twitter.com/fazer_aprenda/status/1634175773459243017")</f>
        <v>https://twitter.com/fazer_aprenda/status/1634175773459243017</v>
      </c>
      <c r="AF1660" s="79">
        <v>44995.537499999999</v>
      </c>
      <c r="AG1660" s="85">
        <v>44995</v>
      </c>
      <c r="AH1660" s="82" t="s">
        <v>11789</v>
      </c>
      <c r="AI1660" s="77" t="b">
        <v>0</v>
      </c>
      <c r="AJ1660" s="77"/>
      <c r="AK1660" s="77"/>
      <c r="AL1660" s="77"/>
      <c r="AM1660" s="77"/>
      <c r="AN1660" s="77"/>
      <c r="AO1660" s="77"/>
      <c r="AP1660" s="77"/>
      <c r="AQ1660" s="77" t="s">
        <v>14929</v>
      </c>
      <c r="AR1660" s="77"/>
      <c r="AS1660" s="77"/>
      <c r="AT1660" s="77"/>
      <c r="AU1660" s="77"/>
      <c r="AV1660" s="80" t="str">
        <f>HYPERLINK("https://pbs.twimg.com/media/Fq3CDh9WcAAobbm.jpg")</f>
        <v>https://pbs.twimg.com/media/Fq3CDh9WcAAobbm.jpg</v>
      </c>
      <c r="AW1660" s="82" t="s">
        <v>18428</v>
      </c>
      <c r="AX1660" s="82" t="s">
        <v>18428</v>
      </c>
      <c r="AY1660" s="77"/>
      <c r="AZ1660" s="82" t="s">
        <v>20971</v>
      </c>
      <c r="BA1660" s="82" t="s">
        <v>20971</v>
      </c>
      <c r="BB1660" s="82" t="s">
        <v>20971</v>
      </c>
      <c r="BC1660" s="82" t="s">
        <v>18428</v>
      </c>
      <c r="BD1660" s="82" t="s">
        <v>21301</v>
      </c>
      <c r="BE1660" s="77"/>
      <c r="BF1660" s="77"/>
      <c r="BG1660" s="77"/>
      <c r="BH1660" s="77"/>
      <c r="BI1660" s="77"/>
    </row>
    <row r="1661" spans="1:61" x14ac:dyDescent="0.25">
      <c r="A1661" s="62" t="s">
        <v>613</v>
      </c>
      <c r="B1661" s="62" t="s">
        <v>613</v>
      </c>
      <c r="C1661" s="63"/>
      <c r="D1661" s="64"/>
      <c r="E1661" s="65"/>
      <c r="F1661" s="66"/>
      <c r="G1661" s="63"/>
      <c r="H1661" s="67"/>
      <c r="I1661" s="68"/>
      <c r="J1661" s="68"/>
      <c r="K1661" s="32"/>
      <c r="L1661" s="75">
        <v>1661</v>
      </c>
      <c r="M1661" s="75"/>
      <c r="N1661" s="70"/>
      <c r="O1661" s="77" t="s">
        <v>179</v>
      </c>
      <c r="P1661" s="79">
        <v>44995.325624999998</v>
      </c>
      <c r="Q1661" s="77" t="s">
        <v>2900</v>
      </c>
      <c r="R1661" s="77">
        <v>0</v>
      </c>
      <c r="S1661" s="77">
        <v>0</v>
      </c>
      <c r="T1661" s="77">
        <v>0</v>
      </c>
      <c r="U1661" s="77">
        <v>0</v>
      </c>
      <c r="V1661" s="77">
        <v>3</v>
      </c>
      <c r="W1661" s="82" t="s">
        <v>5236</v>
      </c>
      <c r="X1661" s="80" t="str">
        <f>HYPERLINK("https://go.hotmart.com/B77468619P")</f>
        <v>https://go.hotmart.com/B77468619P</v>
      </c>
      <c r="Y1661" s="77" t="s">
        <v>7251</v>
      </c>
      <c r="Z1661" s="77"/>
      <c r="AA1661" s="77" t="s">
        <v>8286</v>
      </c>
      <c r="AB1661" s="77" t="s">
        <v>10130</v>
      </c>
      <c r="AC1661" s="82" t="s">
        <v>10159</v>
      </c>
      <c r="AD1661" s="77" t="s">
        <v>10184</v>
      </c>
      <c r="AE1661" s="80" t="str">
        <f>HYPERLINK("https://twitter.com/fazer_aprenda/status/1634098993759236096")</f>
        <v>https://twitter.com/fazer_aprenda/status/1634098993759236096</v>
      </c>
      <c r="AF1661" s="79">
        <v>44995.325624999998</v>
      </c>
      <c r="AG1661" s="85">
        <v>44995</v>
      </c>
      <c r="AH1661" s="82" t="s">
        <v>11790</v>
      </c>
      <c r="AI1661" s="77" t="b">
        <v>0</v>
      </c>
      <c r="AJ1661" s="77"/>
      <c r="AK1661" s="77"/>
      <c r="AL1661" s="77"/>
      <c r="AM1661" s="77"/>
      <c r="AN1661" s="77"/>
      <c r="AO1661" s="77"/>
      <c r="AP1661" s="77"/>
      <c r="AQ1661" s="77" t="s">
        <v>14930</v>
      </c>
      <c r="AR1661" s="77"/>
      <c r="AS1661" s="77"/>
      <c r="AT1661" s="77"/>
      <c r="AU1661" s="77"/>
      <c r="AV1661" s="80" t="str">
        <f>HYPERLINK("https://pbs.twimg.com/media/Fq18VNSWIAAtgEO.jpg")</f>
        <v>https://pbs.twimg.com/media/Fq18VNSWIAAtgEO.jpg</v>
      </c>
      <c r="AW1661" s="82" t="s">
        <v>18429</v>
      </c>
      <c r="AX1661" s="82" t="s">
        <v>18429</v>
      </c>
      <c r="AY1661" s="77"/>
      <c r="AZ1661" s="82" t="s">
        <v>20971</v>
      </c>
      <c r="BA1661" s="82" t="s">
        <v>20971</v>
      </c>
      <c r="BB1661" s="82" t="s">
        <v>20971</v>
      </c>
      <c r="BC1661" s="82" t="s">
        <v>18429</v>
      </c>
      <c r="BD1661" s="82" t="s">
        <v>21301</v>
      </c>
      <c r="BE1661" s="77"/>
      <c r="BF1661" s="77"/>
      <c r="BG1661" s="77"/>
      <c r="BH1661" s="77"/>
      <c r="BI1661" s="77"/>
    </row>
    <row r="1662" spans="1:61" x14ac:dyDescent="0.25">
      <c r="A1662" s="62" t="s">
        <v>613</v>
      </c>
      <c r="B1662" s="62" t="s">
        <v>613</v>
      </c>
      <c r="C1662" s="63"/>
      <c r="D1662" s="64"/>
      <c r="E1662" s="65"/>
      <c r="F1662" s="66"/>
      <c r="G1662" s="63"/>
      <c r="H1662" s="67"/>
      <c r="I1662" s="68"/>
      <c r="J1662" s="68"/>
      <c r="K1662" s="32"/>
      <c r="L1662" s="75">
        <v>1662</v>
      </c>
      <c r="M1662" s="75"/>
      <c r="N1662" s="70"/>
      <c r="O1662" s="77" t="s">
        <v>179</v>
      </c>
      <c r="P1662" s="79">
        <v>44995.115312499998</v>
      </c>
      <c r="Q1662" s="77" t="s">
        <v>2901</v>
      </c>
      <c r="R1662" s="77">
        <v>0</v>
      </c>
      <c r="S1662" s="77">
        <v>0</v>
      </c>
      <c r="T1662" s="77">
        <v>0</v>
      </c>
      <c r="U1662" s="77">
        <v>0</v>
      </c>
      <c r="V1662" s="77">
        <v>4</v>
      </c>
      <c r="W1662" s="82" t="s">
        <v>5236</v>
      </c>
      <c r="X1662" s="80" t="str">
        <f>HYPERLINK("https://go.hotmart.com/B77468619P")</f>
        <v>https://go.hotmart.com/B77468619P</v>
      </c>
      <c r="Y1662" s="77" t="s">
        <v>7251</v>
      </c>
      <c r="Z1662" s="77"/>
      <c r="AA1662" s="77" t="s">
        <v>8287</v>
      </c>
      <c r="AB1662" s="77" t="s">
        <v>10130</v>
      </c>
      <c r="AC1662" s="82" t="s">
        <v>10159</v>
      </c>
      <c r="AD1662" s="77" t="s">
        <v>10184</v>
      </c>
      <c r="AE1662" s="80" t="str">
        <f>HYPERLINK("https://twitter.com/fazer_aprenda/status/1634022778239164416")</f>
        <v>https://twitter.com/fazer_aprenda/status/1634022778239164416</v>
      </c>
      <c r="AF1662" s="79">
        <v>44995.115312499998</v>
      </c>
      <c r="AG1662" s="85">
        <v>44995</v>
      </c>
      <c r="AH1662" s="82" t="s">
        <v>11791</v>
      </c>
      <c r="AI1662" s="77" t="b">
        <v>0</v>
      </c>
      <c r="AJ1662" s="77"/>
      <c r="AK1662" s="77"/>
      <c r="AL1662" s="77"/>
      <c r="AM1662" s="77"/>
      <c r="AN1662" s="77"/>
      <c r="AO1662" s="77"/>
      <c r="AP1662" s="77"/>
      <c r="AQ1662" s="77" t="s">
        <v>14931</v>
      </c>
      <c r="AR1662" s="77"/>
      <c r="AS1662" s="77"/>
      <c r="AT1662" s="77"/>
      <c r="AU1662" s="77"/>
      <c r="AV1662" s="80" t="str">
        <f>HYPERLINK("https://pbs.twimg.com/media/Fq03BkPXsAEddE1.jpg")</f>
        <v>https://pbs.twimg.com/media/Fq03BkPXsAEddE1.jpg</v>
      </c>
      <c r="AW1662" s="82" t="s">
        <v>18430</v>
      </c>
      <c r="AX1662" s="82" t="s">
        <v>18430</v>
      </c>
      <c r="AY1662" s="77"/>
      <c r="AZ1662" s="82" t="s">
        <v>20971</v>
      </c>
      <c r="BA1662" s="82" t="s">
        <v>20971</v>
      </c>
      <c r="BB1662" s="82" t="s">
        <v>20971</v>
      </c>
      <c r="BC1662" s="82" t="s">
        <v>18430</v>
      </c>
      <c r="BD1662" s="82" t="s">
        <v>21301</v>
      </c>
      <c r="BE1662" s="77"/>
      <c r="BF1662" s="77"/>
      <c r="BG1662" s="77"/>
      <c r="BH1662" s="77"/>
      <c r="BI1662" s="77"/>
    </row>
    <row r="1663" spans="1:61" x14ac:dyDescent="0.25">
      <c r="A1663" s="62" t="s">
        <v>613</v>
      </c>
      <c r="B1663" s="62" t="s">
        <v>613</v>
      </c>
      <c r="C1663" s="63"/>
      <c r="D1663" s="64"/>
      <c r="E1663" s="65"/>
      <c r="F1663" s="66"/>
      <c r="G1663" s="63"/>
      <c r="H1663" s="67"/>
      <c r="I1663" s="68"/>
      <c r="J1663" s="68"/>
      <c r="K1663" s="32"/>
      <c r="L1663" s="75">
        <v>1663</v>
      </c>
      <c r="M1663" s="75"/>
      <c r="N1663" s="70"/>
      <c r="O1663" s="77" t="s">
        <v>179</v>
      </c>
      <c r="P1663" s="79">
        <v>44994.902986111112</v>
      </c>
      <c r="Q1663" s="77" t="s">
        <v>2902</v>
      </c>
      <c r="R1663" s="77">
        <v>0</v>
      </c>
      <c r="S1663" s="77">
        <v>0</v>
      </c>
      <c r="T1663" s="77">
        <v>0</v>
      </c>
      <c r="U1663" s="77">
        <v>0</v>
      </c>
      <c r="V1663" s="77">
        <v>5</v>
      </c>
      <c r="W1663" s="82" t="s">
        <v>5236</v>
      </c>
      <c r="X1663" s="80" t="str">
        <f>HYPERLINK("https://go.hotmart.com/B77468619P")</f>
        <v>https://go.hotmart.com/B77468619P</v>
      </c>
      <c r="Y1663" s="77" t="s">
        <v>7251</v>
      </c>
      <c r="Z1663" s="77"/>
      <c r="AA1663" s="77" t="s">
        <v>8288</v>
      </c>
      <c r="AB1663" s="77" t="s">
        <v>10130</v>
      </c>
      <c r="AC1663" s="82" t="s">
        <v>10159</v>
      </c>
      <c r="AD1663" s="77" t="s">
        <v>10184</v>
      </c>
      <c r="AE1663" s="80" t="str">
        <f>HYPERLINK("https://twitter.com/fazer_aprenda/status/1633945832058912768")</f>
        <v>https://twitter.com/fazer_aprenda/status/1633945832058912768</v>
      </c>
      <c r="AF1663" s="79">
        <v>44994.902986111112</v>
      </c>
      <c r="AG1663" s="85">
        <v>44994</v>
      </c>
      <c r="AH1663" s="82" t="s">
        <v>11792</v>
      </c>
      <c r="AI1663" s="77" t="b">
        <v>0</v>
      </c>
      <c r="AJ1663" s="77"/>
      <c r="AK1663" s="77"/>
      <c r="AL1663" s="77"/>
      <c r="AM1663" s="77"/>
      <c r="AN1663" s="77"/>
      <c r="AO1663" s="77"/>
      <c r="AP1663" s="77"/>
      <c r="AQ1663" s="77" t="s">
        <v>14932</v>
      </c>
      <c r="AR1663" s="77"/>
      <c r="AS1663" s="77"/>
      <c r="AT1663" s="77"/>
      <c r="AU1663" s="77"/>
      <c r="AV1663" s="80" t="str">
        <f>HYPERLINK("https://pbs.twimg.com/media/FqzxBOxXsAcuY0t.jpg")</f>
        <v>https://pbs.twimg.com/media/FqzxBOxXsAcuY0t.jpg</v>
      </c>
      <c r="AW1663" s="82" t="s">
        <v>18431</v>
      </c>
      <c r="AX1663" s="82" t="s">
        <v>18431</v>
      </c>
      <c r="AY1663" s="77"/>
      <c r="AZ1663" s="82" t="s">
        <v>20971</v>
      </c>
      <c r="BA1663" s="82" t="s">
        <v>20971</v>
      </c>
      <c r="BB1663" s="82" t="s">
        <v>20971</v>
      </c>
      <c r="BC1663" s="82" t="s">
        <v>18431</v>
      </c>
      <c r="BD1663" s="82" t="s">
        <v>21301</v>
      </c>
      <c r="BE1663" s="77"/>
      <c r="BF1663" s="77"/>
      <c r="BG1663" s="77"/>
      <c r="BH1663" s="77"/>
      <c r="BI1663" s="77"/>
    </row>
    <row r="1664" spans="1:61" x14ac:dyDescent="0.25">
      <c r="A1664" s="62" t="s">
        <v>613</v>
      </c>
      <c r="B1664" s="62" t="s">
        <v>613</v>
      </c>
      <c r="C1664" s="63"/>
      <c r="D1664" s="64"/>
      <c r="E1664" s="65"/>
      <c r="F1664" s="66"/>
      <c r="G1664" s="63"/>
      <c r="H1664" s="67"/>
      <c r="I1664" s="68"/>
      <c r="J1664" s="68"/>
      <c r="K1664" s="32"/>
      <c r="L1664" s="75">
        <v>1664</v>
      </c>
      <c r="M1664" s="75"/>
      <c r="N1664" s="70"/>
      <c r="O1664" s="77" t="s">
        <v>179</v>
      </c>
      <c r="P1664" s="79">
        <v>44994.692314814813</v>
      </c>
      <c r="Q1664" s="77" t="s">
        <v>2903</v>
      </c>
      <c r="R1664" s="77">
        <v>0</v>
      </c>
      <c r="S1664" s="77">
        <v>0</v>
      </c>
      <c r="T1664" s="77">
        <v>0</v>
      </c>
      <c r="U1664" s="77">
        <v>0</v>
      </c>
      <c r="V1664" s="77">
        <v>7</v>
      </c>
      <c r="W1664" s="82" t="s">
        <v>5236</v>
      </c>
      <c r="X1664" s="80" t="str">
        <f>HYPERLINK("https://go.hotmart.com/B77468619P")</f>
        <v>https://go.hotmart.com/B77468619P</v>
      </c>
      <c r="Y1664" s="77" t="s">
        <v>7251</v>
      </c>
      <c r="Z1664" s="77"/>
      <c r="AA1664" s="77" t="s">
        <v>8289</v>
      </c>
      <c r="AB1664" s="77" t="s">
        <v>10130</v>
      </c>
      <c r="AC1664" s="82" t="s">
        <v>10159</v>
      </c>
      <c r="AD1664" s="77" t="s">
        <v>10184</v>
      </c>
      <c r="AE1664" s="80" t="str">
        <f>HYPERLINK("https://twitter.com/fazer_aprenda/status/1633869486263783425")</f>
        <v>https://twitter.com/fazer_aprenda/status/1633869486263783425</v>
      </c>
      <c r="AF1664" s="79">
        <v>44994.692314814813</v>
      </c>
      <c r="AG1664" s="85">
        <v>44994</v>
      </c>
      <c r="AH1664" s="82" t="s">
        <v>11793</v>
      </c>
      <c r="AI1664" s="77" t="b">
        <v>0</v>
      </c>
      <c r="AJ1664" s="77"/>
      <c r="AK1664" s="77"/>
      <c r="AL1664" s="77"/>
      <c r="AM1664" s="77"/>
      <c r="AN1664" s="77"/>
      <c r="AO1664" s="77"/>
      <c r="AP1664" s="77"/>
      <c r="AQ1664" s="77" t="s">
        <v>14933</v>
      </c>
      <c r="AR1664" s="77"/>
      <c r="AS1664" s="77"/>
      <c r="AT1664" s="77"/>
      <c r="AU1664" s="77"/>
      <c r="AV1664" s="80" t="str">
        <f>HYPERLINK("https://pbs.twimg.com/media/Fqyrmy0XgAAwr5q.jpg")</f>
        <v>https://pbs.twimg.com/media/Fqyrmy0XgAAwr5q.jpg</v>
      </c>
      <c r="AW1664" s="82" t="s">
        <v>18432</v>
      </c>
      <c r="AX1664" s="82" t="s">
        <v>18432</v>
      </c>
      <c r="AY1664" s="77"/>
      <c r="AZ1664" s="82" t="s">
        <v>20971</v>
      </c>
      <c r="BA1664" s="82" t="s">
        <v>20971</v>
      </c>
      <c r="BB1664" s="82" t="s">
        <v>20971</v>
      </c>
      <c r="BC1664" s="82" t="s">
        <v>18432</v>
      </c>
      <c r="BD1664" s="82" t="s">
        <v>21301</v>
      </c>
      <c r="BE1664" s="77"/>
      <c r="BF1664" s="77"/>
      <c r="BG1664" s="77"/>
      <c r="BH1664" s="77"/>
      <c r="BI1664" s="77"/>
    </row>
    <row r="1665" spans="1:61" x14ac:dyDescent="0.25">
      <c r="A1665" s="62" t="s">
        <v>613</v>
      </c>
      <c r="B1665" s="62" t="s">
        <v>613</v>
      </c>
      <c r="C1665" s="63"/>
      <c r="D1665" s="64"/>
      <c r="E1665" s="65"/>
      <c r="F1665" s="66"/>
      <c r="G1665" s="63"/>
      <c r="H1665" s="67"/>
      <c r="I1665" s="68"/>
      <c r="J1665" s="68"/>
      <c r="K1665" s="32"/>
      <c r="L1665" s="75">
        <v>1665</v>
      </c>
      <c r="M1665" s="75"/>
      <c r="N1665" s="70"/>
      <c r="O1665" s="77" t="s">
        <v>179</v>
      </c>
      <c r="P1665" s="79">
        <v>44994.480844907404</v>
      </c>
      <c r="Q1665" s="77" t="s">
        <v>2904</v>
      </c>
      <c r="R1665" s="77">
        <v>0</v>
      </c>
      <c r="S1665" s="77">
        <v>0</v>
      </c>
      <c r="T1665" s="77">
        <v>0</v>
      </c>
      <c r="U1665" s="77">
        <v>0</v>
      </c>
      <c r="V1665" s="77">
        <v>7</v>
      </c>
      <c r="W1665" s="82" t="s">
        <v>5236</v>
      </c>
      <c r="X1665" s="80" t="str">
        <f>HYPERLINK("https://go.hotmart.com/B77468619P")</f>
        <v>https://go.hotmart.com/B77468619P</v>
      </c>
      <c r="Y1665" s="77" t="s">
        <v>7251</v>
      </c>
      <c r="Z1665" s="77"/>
      <c r="AA1665" s="77" t="s">
        <v>8290</v>
      </c>
      <c r="AB1665" s="77" t="s">
        <v>10130</v>
      </c>
      <c r="AC1665" s="82" t="s">
        <v>10159</v>
      </c>
      <c r="AD1665" s="77" t="s">
        <v>10184</v>
      </c>
      <c r="AE1665" s="80" t="str">
        <f>HYPERLINK("https://twitter.com/fazer_aprenda/status/1633792852353245187")</f>
        <v>https://twitter.com/fazer_aprenda/status/1633792852353245187</v>
      </c>
      <c r="AF1665" s="79">
        <v>44994.480844907404</v>
      </c>
      <c r="AG1665" s="85">
        <v>44994</v>
      </c>
      <c r="AH1665" s="82" t="s">
        <v>11794</v>
      </c>
      <c r="AI1665" s="77" t="b">
        <v>0</v>
      </c>
      <c r="AJ1665" s="77"/>
      <c r="AK1665" s="77"/>
      <c r="AL1665" s="77"/>
      <c r="AM1665" s="77"/>
      <c r="AN1665" s="77"/>
      <c r="AO1665" s="77"/>
      <c r="AP1665" s="77"/>
      <c r="AQ1665" s="77" t="s">
        <v>14934</v>
      </c>
      <c r="AR1665" s="77"/>
      <c r="AS1665" s="77"/>
      <c r="AT1665" s="77"/>
      <c r="AU1665" s="77"/>
      <c r="AV1665" s="80" t="str">
        <f>HYPERLINK("https://pbs.twimg.com/media/Fqxl7RxX0AEXeV5.jpg")</f>
        <v>https://pbs.twimg.com/media/Fqxl7RxX0AEXeV5.jpg</v>
      </c>
      <c r="AW1665" s="82" t="s">
        <v>18433</v>
      </c>
      <c r="AX1665" s="82" t="s">
        <v>18433</v>
      </c>
      <c r="AY1665" s="77"/>
      <c r="AZ1665" s="82" t="s">
        <v>20971</v>
      </c>
      <c r="BA1665" s="82" t="s">
        <v>20971</v>
      </c>
      <c r="BB1665" s="82" t="s">
        <v>20971</v>
      </c>
      <c r="BC1665" s="82" t="s">
        <v>18433</v>
      </c>
      <c r="BD1665" s="82" t="s">
        <v>21301</v>
      </c>
      <c r="BE1665" s="77"/>
      <c r="BF1665" s="77"/>
      <c r="BG1665" s="77"/>
      <c r="BH1665" s="77"/>
      <c r="BI1665" s="77"/>
    </row>
    <row r="1666" spans="1:61" x14ac:dyDescent="0.25">
      <c r="A1666" s="62" t="s">
        <v>613</v>
      </c>
      <c r="B1666" s="62" t="s">
        <v>613</v>
      </c>
      <c r="C1666" s="63"/>
      <c r="D1666" s="64"/>
      <c r="E1666" s="65"/>
      <c r="F1666" s="66"/>
      <c r="G1666" s="63"/>
      <c r="H1666" s="67"/>
      <c r="I1666" s="68"/>
      <c r="J1666" s="68"/>
      <c r="K1666" s="32"/>
      <c r="L1666" s="75">
        <v>1666</v>
      </c>
      <c r="M1666" s="75"/>
      <c r="N1666" s="70"/>
      <c r="O1666" s="77" t="s">
        <v>179</v>
      </c>
      <c r="P1666" s="79">
        <v>44994.268495370372</v>
      </c>
      <c r="Q1666" s="77" t="s">
        <v>2905</v>
      </c>
      <c r="R1666" s="77">
        <v>0</v>
      </c>
      <c r="S1666" s="77">
        <v>0</v>
      </c>
      <c r="T1666" s="77">
        <v>0</v>
      </c>
      <c r="U1666" s="77">
        <v>0</v>
      </c>
      <c r="V1666" s="77">
        <v>7</v>
      </c>
      <c r="W1666" s="82" t="s">
        <v>5236</v>
      </c>
      <c r="X1666" s="80" t="str">
        <f>HYPERLINK("https://go.hotmart.com/B77468619P")</f>
        <v>https://go.hotmart.com/B77468619P</v>
      </c>
      <c r="Y1666" s="77" t="s">
        <v>7251</v>
      </c>
      <c r="Z1666" s="77"/>
      <c r="AA1666" s="77" t="s">
        <v>8291</v>
      </c>
      <c r="AB1666" s="77" t="s">
        <v>10130</v>
      </c>
      <c r="AC1666" s="82" t="s">
        <v>10159</v>
      </c>
      <c r="AD1666" s="77" t="s">
        <v>10184</v>
      </c>
      <c r="AE1666" s="80" t="str">
        <f>HYPERLINK("https://twitter.com/fazer_aprenda/status/1633715900753797125")</f>
        <v>https://twitter.com/fazer_aprenda/status/1633715900753797125</v>
      </c>
      <c r="AF1666" s="79">
        <v>44994.268495370372</v>
      </c>
      <c r="AG1666" s="85">
        <v>44994</v>
      </c>
      <c r="AH1666" s="82" t="s">
        <v>11795</v>
      </c>
      <c r="AI1666" s="77" t="b">
        <v>0</v>
      </c>
      <c r="AJ1666" s="77"/>
      <c r="AK1666" s="77"/>
      <c r="AL1666" s="77"/>
      <c r="AM1666" s="77"/>
      <c r="AN1666" s="77"/>
      <c r="AO1666" s="77"/>
      <c r="AP1666" s="77"/>
      <c r="AQ1666" s="77" t="s">
        <v>14935</v>
      </c>
      <c r="AR1666" s="77"/>
      <c r="AS1666" s="77"/>
      <c r="AT1666" s="77"/>
      <c r="AU1666" s="77"/>
      <c r="AV1666" s="80" t="str">
        <f>HYPERLINK("https://pbs.twimg.com/media/Fqwf1FUX0AE45zj.jpg")</f>
        <v>https://pbs.twimg.com/media/Fqwf1FUX0AE45zj.jpg</v>
      </c>
      <c r="AW1666" s="82" t="s">
        <v>18434</v>
      </c>
      <c r="AX1666" s="82" t="s">
        <v>18434</v>
      </c>
      <c r="AY1666" s="77"/>
      <c r="AZ1666" s="82" t="s">
        <v>20971</v>
      </c>
      <c r="BA1666" s="82" t="s">
        <v>20971</v>
      </c>
      <c r="BB1666" s="82" t="s">
        <v>20971</v>
      </c>
      <c r="BC1666" s="82" t="s">
        <v>18434</v>
      </c>
      <c r="BD1666" s="82" t="s">
        <v>21301</v>
      </c>
      <c r="BE1666" s="77"/>
      <c r="BF1666" s="77"/>
      <c r="BG1666" s="77"/>
      <c r="BH1666" s="77"/>
      <c r="BI1666" s="77"/>
    </row>
    <row r="1667" spans="1:61" x14ac:dyDescent="0.25">
      <c r="A1667" s="62" t="s">
        <v>613</v>
      </c>
      <c r="B1667" s="62" t="s">
        <v>613</v>
      </c>
      <c r="C1667" s="63"/>
      <c r="D1667" s="64"/>
      <c r="E1667" s="65"/>
      <c r="F1667" s="66"/>
      <c r="G1667" s="63"/>
      <c r="H1667" s="67"/>
      <c r="I1667" s="68"/>
      <c r="J1667" s="68"/>
      <c r="K1667" s="32"/>
      <c r="L1667" s="75">
        <v>1667</v>
      </c>
      <c r="M1667" s="75"/>
      <c r="N1667" s="70"/>
      <c r="O1667" s="77" t="s">
        <v>179</v>
      </c>
      <c r="P1667" s="79">
        <v>44994.057256944441</v>
      </c>
      <c r="Q1667" s="77" t="s">
        <v>2906</v>
      </c>
      <c r="R1667" s="77">
        <v>0</v>
      </c>
      <c r="S1667" s="77">
        <v>0</v>
      </c>
      <c r="T1667" s="77">
        <v>0</v>
      </c>
      <c r="U1667" s="77">
        <v>0</v>
      </c>
      <c r="V1667" s="77">
        <v>13</v>
      </c>
      <c r="W1667" s="82" t="s">
        <v>5236</v>
      </c>
      <c r="X1667" s="80" t="str">
        <f>HYPERLINK("https://go.hotmart.com/B77468619P")</f>
        <v>https://go.hotmart.com/B77468619P</v>
      </c>
      <c r="Y1667" s="77" t="s">
        <v>7251</v>
      </c>
      <c r="Z1667" s="77"/>
      <c r="AA1667" s="77" t="s">
        <v>8292</v>
      </c>
      <c r="AB1667" s="77" t="s">
        <v>10130</v>
      </c>
      <c r="AC1667" s="82" t="s">
        <v>10159</v>
      </c>
      <c r="AD1667" s="77" t="s">
        <v>10184</v>
      </c>
      <c r="AE1667" s="80" t="str">
        <f>HYPERLINK("https://twitter.com/fazer_aprenda/status/1633639350067138561")</f>
        <v>https://twitter.com/fazer_aprenda/status/1633639350067138561</v>
      </c>
      <c r="AF1667" s="79">
        <v>44994.057256944441</v>
      </c>
      <c r="AG1667" s="85">
        <v>44994</v>
      </c>
      <c r="AH1667" s="82" t="s">
        <v>11796</v>
      </c>
      <c r="AI1667" s="77" t="b">
        <v>0</v>
      </c>
      <c r="AJ1667" s="77"/>
      <c r="AK1667" s="77"/>
      <c r="AL1667" s="77"/>
      <c r="AM1667" s="77"/>
      <c r="AN1667" s="77"/>
      <c r="AO1667" s="77"/>
      <c r="AP1667" s="77"/>
      <c r="AQ1667" s="77" t="s">
        <v>14936</v>
      </c>
      <c r="AR1667" s="77"/>
      <c r="AS1667" s="77"/>
      <c r="AT1667" s="77"/>
      <c r="AU1667" s="77"/>
      <c r="AV1667" s="80" t="str">
        <f>HYPERLINK("https://pbs.twimg.com/media/FqvaNAYXgAEoBPF.jpg")</f>
        <v>https://pbs.twimg.com/media/FqvaNAYXgAEoBPF.jpg</v>
      </c>
      <c r="AW1667" s="82" t="s">
        <v>18435</v>
      </c>
      <c r="AX1667" s="82" t="s">
        <v>18435</v>
      </c>
      <c r="AY1667" s="77"/>
      <c r="AZ1667" s="82" t="s">
        <v>20971</v>
      </c>
      <c r="BA1667" s="82" t="s">
        <v>20971</v>
      </c>
      <c r="BB1667" s="82" t="s">
        <v>20971</v>
      </c>
      <c r="BC1667" s="82" t="s">
        <v>18435</v>
      </c>
      <c r="BD1667" s="82" t="s">
        <v>21301</v>
      </c>
      <c r="BE1667" s="77"/>
      <c r="BF1667" s="77"/>
      <c r="BG1667" s="77"/>
      <c r="BH1667" s="77"/>
      <c r="BI1667" s="77"/>
    </row>
    <row r="1668" spans="1:61" x14ac:dyDescent="0.25">
      <c r="A1668" s="62" t="s">
        <v>613</v>
      </c>
      <c r="B1668" s="62" t="s">
        <v>613</v>
      </c>
      <c r="C1668" s="63"/>
      <c r="D1668" s="64"/>
      <c r="E1668" s="65"/>
      <c r="F1668" s="66"/>
      <c r="G1668" s="63"/>
      <c r="H1668" s="67"/>
      <c r="I1668" s="68"/>
      <c r="J1668" s="68"/>
      <c r="K1668" s="32"/>
      <c r="L1668" s="75">
        <v>1668</v>
      </c>
      <c r="M1668" s="75"/>
      <c r="N1668" s="70"/>
      <c r="O1668" s="77" t="s">
        <v>179</v>
      </c>
      <c r="P1668" s="79">
        <v>44993.844131944446</v>
      </c>
      <c r="Q1668" s="77" t="s">
        <v>2907</v>
      </c>
      <c r="R1668" s="77">
        <v>0</v>
      </c>
      <c r="S1668" s="77">
        <v>0</v>
      </c>
      <c r="T1668" s="77">
        <v>0</v>
      </c>
      <c r="U1668" s="77">
        <v>0</v>
      </c>
      <c r="V1668" s="77">
        <v>22</v>
      </c>
      <c r="W1668" s="82" t="s">
        <v>5236</v>
      </c>
      <c r="X1668" s="80" t="str">
        <f>HYPERLINK("https://go.hotmart.com/B77468619P")</f>
        <v>https://go.hotmart.com/B77468619P</v>
      </c>
      <c r="Y1668" s="77" t="s">
        <v>7251</v>
      </c>
      <c r="Z1668" s="77"/>
      <c r="AA1668" s="77" t="s">
        <v>8293</v>
      </c>
      <c r="AB1668" s="77" t="s">
        <v>10130</v>
      </c>
      <c r="AC1668" s="82" t="s">
        <v>10159</v>
      </c>
      <c r="AD1668" s="77" t="s">
        <v>10184</v>
      </c>
      <c r="AE1668" s="80" t="str">
        <f>HYPERLINK("https://twitter.com/fazer_aprenda/status/1633562119118659584")</f>
        <v>https://twitter.com/fazer_aprenda/status/1633562119118659584</v>
      </c>
      <c r="AF1668" s="79">
        <v>44993.844131944446</v>
      </c>
      <c r="AG1668" s="85">
        <v>44993</v>
      </c>
      <c r="AH1668" s="82" t="s">
        <v>11797</v>
      </c>
      <c r="AI1668" s="77" t="b">
        <v>0</v>
      </c>
      <c r="AJ1668" s="77"/>
      <c r="AK1668" s="77"/>
      <c r="AL1668" s="77"/>
      <c r="AM1668" s="77"/>
      <c r="AN1668" s="77"/>
      <c r="AO1668" s="77"/>
      <c r="AP1668" s="77"/>
      <c r="AQ1668" s="77" t="s">
        <v>14937</v>
      </c>
      <c r="AR1668" s="77"/>
      <c r="AS1668" s="77"/>
      <c r="AT1668" s="77"/>
      <c r="AU1668" s="77"/>
      <c r="AV1668" s="80" t="str">
        <f>HYPERLINK("https://pbs.twimg.com/media/FquT9sAXoAMCUlU.jpg")</f>
        <v>https://pbs.twimg.com/media/FquT9sAXoAMCUlU.jpg</v>
      </c>
      <c r="AW1668" s="82" t="s">
        <v>18436</v>
      </c>
      <c r="AX1668" s="82" t="s">
        <v>18436</v>
      </c>
      <c r="AY1668" s="77"/>
      <c r="AZ1668" s="82" t="s">
        <v>20971</v>
      </c>
      <c r="BA1668" s="82" t="s">
        <v>20971</v>
      </c>
      <c r="BB1668" s="82" t="s">
        <v>20971</v>
      </c>
      <c r="BC1668" s="82" t="s">
        <v>18436</v>
      </c>
      <c r="BD1668" s="82" t="s">
        <v>21301</v>
      </c>
      <c r="BE1668" s="77"/>
      <c r="BF1668" s="77"/>
      <c r="BG1668" s="77"/>
      <c r="BH1668" s="77"/>
      <c r="BI1668" s="77"/>
    </row>
    <row r="1669" spans="1:61" x14ac:dyDescent="0.25">
      <c r="A1669" s="62" t="s">
        <v>613</v>
      </c>
      <c r="B1669" s="62" t="s">
        <v>613</v>
      </c>
      <c r="C1669" s="63"/>
      <c r="D1669" s="64"/>
      <c r="E1669" s="65"/>
      <c r="F1669" s="66"/>
      <c r="G1669" s="63"/>
      <c r="H1669" s="67"/>
      <c r="I1669" s="68"/>
      <c r="J1669" s="68"/>
      <c r="K1669" s="32"/>
      <c r="L1669" s="75">
        <v>1669</v>
      </c>
      <c r="M1669" s="75"/>
      <c r="N1669" s="70"/>
      <c r="O1669" s="77" t="s">
        <v>179</v>
      </c>
      <c r="P1669" s="79">
        <v>44966.444884259261</v>
      </c>
      <c r="Q1669" s="77" t="s">
        <v>2908</v>
      </c>
      <c r="R1669" s="77">
        <v>0</v>
      </c>
      <c r="S1669" s="77">
        <v>0</v>
      </c>
      <c r="T1669" s="77">
        <v>0</v>
      </c>
      <c r="U1669" s="77">
        <v>0</v>
      </c>
      <c r="V1669" s="77">
        <v>12</v>
      </c>
      <c r="W1669" s="82" t="s">
        <v>5236</v>
      </c>
      <c r="X1669" s="80" t="str">
        <f>HYPERLINK("https://go.hotmart.com/B77468619P")</f>
        <v>https://go.hotmart.com/B77468619P</v>
      </c>
      <c r="Y1669" s="77" t="s">
        <v>7251</v>
      </c>
      <c r="Z1669" s="77"/>
      <c r="AA1669" s="77" t="s">
        <v>8294</v>
      </c>
      <c r="AB1669" s="77" t="s">
        <v>10130</v>
      </c>
      <c r="AC1669" s="82" t="s">
        <v>10159</v>
      </c>
      <c r="AD1669" s="77" t="s">
        <v>10184</v>
      </c>
      <c r="AE1669" s="80" t="str">
        <f>HYPERLINK("https://twitter.com/fazer_aprenda/status/1623632962473394176")</f>
        <v>https://twitter.com/fazer_aprenda/status/1623632962473394176</v>
      </c>
      <c r="AF1669" s="79">
        <v>44966.444884259261</v>
      </c>
      <c r="AG1669" s="85">
        <v>44966</v>
      </c>
      <c r="AH1669" s="82" t="s">
        <v>11798</v>
      </c>
      <c r="AI1669" s="77" t="b">
        <v>0</v>
      </c>
      <c r="AJ1669" s="77"/>
      <c r="AK1669" s="77"/>
      <c r="AL1669" s="77"/>
      <c r="AM1669" s="77"/>
      <c r="AN1669" s="77"/>
      <c r="AO1669" s="77"/>
      <c r="AP1669" s="77"/>
      <c r="AQ1669" s="77" t="s">
        <v>14938</v>
      </c>
      <c r="AR1669" s="77"/>
      <c r="AS1669" s="77"/>
      <c r="AT1669" s="77"/>
      <c r="AU1669" s="77"/>
      <c r="AV1669" s="80" t="str">
        <f>HYPERLINK("https://pbs.twimg.com/media/FohNj4AXwAE4hWN.jpg")</f>
        <v>https://pbs.twimg.com/media/FohNj4AXwAE4hWN.jpg</v>
      </c>
      <c r="AW1669" s="82" t="s">
        <v>18437</v>
      </c>
      <c r="AX1669" s="82" t="s">
        <v>18437</v>
      </c>
      <c r="AY1669" s="77"/>
      <c r="AZ1669" s="82" t="s">
        <v>20971</v>
      </c>
      <c r="BA1669" s="82" t="s">
        <v>20971</v>
      </c>
      <c r="BB1669" s="82" t="s">
        <v>20971</v>
      </c>
      <c r="BC1669" s="82" t="s">
        <v>18437</v>
      </c>
      <c r="BD1669" s="82" t="s">
        <v>21301</v>
      </c>
      <c r="BE1669" s="77"/>
      <c r="BF1669" s="77"/>
      <c r="BG1669" s="77"/>
      <c r="BH1669" s="77"/>
      <c r="BI1669" s="77"/>
    </row>
    <row r="1670" spans="1:61" x14ac:dyDescent="0.25">
      <c r="A1670" s="62" t="s">
        <v>613</v>
      </c>
      <c r="B1670" s="62" t="s">
        <v>613</v>
      </c>
      <c r="C1670" s="63"/>
      <c r="D1670" s="64"/>
      <c r="E1670" s="65"/>
      <c r="F1670" s="66"/>
      <c r="G1670" s="63"/>
      <c r="H1670" s="67"/>
      <c r="I1670" s="68"/>
      <c r="J1670" s="68"/>
      <c r="K1670" s="32"/>
      <c r="L1670" s="75">
        <v>1670</v>
      </c>
      <c r="M1670" s="75"/>
      <c r="N1670" s="70"/>
      <c r="O1670" s="77" t="s">
        <v>179</v>
      </c>
      <c r="P1670" s="79">
        <v>44965.770740740743</v>
      </c>
      <c r="Q1670" s="77" t="s">
        <v>2909</v>
      </c>
      <c r="R1670" s="77">
        <v>0</v>
      </c>
      <c r="S1670" s="77">
        <v>0</v>
      </c>
      <c r="T1670" s="77">
        <v>0</v>
      </c>
      <c r="U1670" s="77">
        <v>0</v>
      </c>
      <c r="V1670" s="77">
        <v>4</v>
      </c>
      <c r="W1670" s="82" t="s">
        <v>5236</v>
      </c>
      <c r="X1670" s="80" t="str">
        <f>HYPERLINK("https://go.hotmart.com/B77468619P")</f>
        <v>https://go.hotmart.com/B77468619P</v>
      </c>
      <c r="Y1670" s="77" t="s">
        <v>7251</v>
      </c>
      <c r="Z1670" s="77"/>
      <c r="AA1670" s="77" t="s">
        <v>8295</v>
      </c>
      <c r="AB1670" s="77" t="s">
        <v>10130</v>
      </c>
      <c r="AC1670" s="82" t="s">
        <v>10159</v>
      </c>
      <c r="AD1670" s="77" t="s">
        <v>10184</v>
      </c>
      <c r="AE1670" s="80" t="str">
        <f>HYPERLINK("https://twitter.com/fazer_aprenda/status/1623388659046129665")</f>
        <v>https://twitter.com/fazer_aprenda/status/1623388659046129665</v>
      </c>
      <c r="AF1670" s="79">
        <v>44965.770740740743</v>
      </c>
      <c r="AG1670" s="85">
        <v>44965</v>
      </c>
      <c r="AH1670" s="82" t="s">
        <v>11799</v>
      </c>
      <c r="AI1670" s="77" t="b">
        <v>0</v>
      </c>
      <c r="AJ1670" s="77"/>
      <c r="AK1670" s="77"/>
      <c r="AL1670" s="77"/>
      <c r="AM1670" s="77"/>
      <c r="AN1670" s="77"/>
      <c r="AO1670" s="77"/>
      <c r="AP1670" s="77"/>
      <c r="AQ1670" s="77" t="s">
        <v>14939</v>
      </c>
      <c r="AR1670" s="77"/>
      <c r="AS1670" s="77"/>
      <c r="AT1670" s="77"/>
      <c r="AU1670" s="77"/>
      <c r="AV1670" s="80" t="str">
        <f>HYPERLINK("https://pbs.twimg.com/media/FodvWcFWIAUQobH.jpg")</f>
        <v>https://pbs.twimg.com/media/FodvWcFWIAUQobH.jpg</v>
      </c>
      <c r="AW1670" s="82" t="s">
        <v>18438</v>
      </c>
      <c r="AX1670" s="82" t="s">
        <v>18438</v>
      </c>
      <c r="AY1670" s="77"/>
      <c r="AZ1670" s="82" t="s">
        <v>20971</v>
      </c>
      <c r="BA1670" s="82" t="s">
        <v>20971</v>
      </c>
      <c r="BB1670" s="82" t="s">
        <v>20971</v>
      </c>
      <c r="BC1670" s="82" t="s">
        <v>18438</v>
      </c>
      <c r="BD1670" s="82" t="s">
        <v>21301</v>
      </c>
      <c r="BE1670" s="77"/>
      <c r="BF1670" s="77"/>
      <c r="BG1670" s="77"/>
      <c r="BH1670" s="77"/>
      <c r="BI1670" s="77"/>
    </row>
    <row r="1671" spans="1:61" x14ac:dyDescent="0.25">
      <c r="A1671" s="62" t="s">
        <v>613</v>
      </c>
      <c r="B1671" s="62" t="s">
        <v>613</v>
      </c>
      <c r="C1671" s="63"/>
      <c r="D1671" s="64"/>
      <c r="E1671" s="65"/>
      <c r="F1671" s="66"/>
      <c r="G1671" s="63"/>
      <c r="H1671" s="67"/>
      <c r="I1671" s="68"/>
      <c r="J1671" s="68"/>
      <c r="K1671" s="32"/>
      <c r="L1671" s="75">
        <v>1671</v>
      </c>
      <c r="M1671" s="75"/>
      <c r="N1671" s="70"/>
      <c r="O1671" s="77" t="s">
        <v>179</v>
      </c>
      <c r="P1671" s="79">
        <v>44965.097962962966</v>
      </c>
      <c r="Q1671" s="77" t="s">
        <v>2910</v>
      </c>
      <c r="R1671" s="77">
        <v>0</v>
      </c>
      <c r="S1671" s="77">
        <v>0</v>
      </c>
      <c r="T1671" s="77">
        <v>0</v>
      </c>
      <c r="U1671" s="77">
        <v>0</v>
      </c>
      <c r="V1671" s="77">
        <v>3</v>
      </c>
      <c r="W1671" s="82" t="s">
        <v>5236</v>
      </c>
      <c r="X1671" s="80" t="str">
        <f>HYPERLINK("https://go.hotmart.com/B77468619P")</f>
        <v>https://go.hotmart.com/B77468619P</v>
      </c>
      <c r="Y1671" s="77" t="s">
        <v>7251</v>
      </c>
      <c r="Z1671" s="77"/>
      <c r="AA1671" s="77" t="s">
        <v>8296</v>
      </c>
      <c r="AB1671" s="77" t="s">
        <v>10130</v>
      </c>
      <c r="AC1671" s="82" t="s">
        <v>10159</v>
      </c>
      <c r="AD1671" s="77" t="s">
        <v>10184</v>
      </c>
      <c r="AE1671" s="80" t="str">
        <f>HYPERLINK("https://twitter.com/fazer_aprenda/status/1623144853394673666")</f>
        <v>https://twitter.com/fazer_aprenda/status/1623144853394673666</v>
      </c>
      <c r="AF1671" s="79">
        <v>44965.097962962966</v>
      </c>
      <c r="AG1671" s="85">
        <v>44965</v>
      </c>
      <c r="AH1671" s="82" t="s">
        <v>11800</v>
      </c>
      <c r="AI1671" s="77" t="b">
        <v>0</v>
      </c>
      <c r="AJ1671" s="77"/>
      <c r="AK1671" s="77"/>
      <c r="AL1671" s="77"/>
      <c r="AM1671" s="77"/>
      <c r="AN1671" s="77"/>
      <c r="AO1671" s="77"/>
      <c r="AP1671" s="77"/>
      <c r="AQ1671" s="77" t="s">
        <v>14940</v>
      </c>
      <c r="AR1671" s="77"/>
      <c r="AS1671" s="77"/>
      <c r="AT1671" s="77"/>
      <c r="AU1671" s="77"/>
      <c r="AV1671" s="80" t="str">
        <f>HYPERLINK("https://pbs.twimg.com/media/FoaRnBvXoAMXqnD.jpg")</f>
        <v>https://pbs.twimg.com/media/FoaRnBvXoAMXqnD.jpg</v>
      </c>
      <c r="AW1671" s="82" t="s">
        <v>18439</v>
      </c>
      <c r="AX1671" s="82" t="s">
        <v>18439</v>
      </c>
      <c r="AY1671" s="77"/>
      <c r="AZ1671" s="82" t="s">
        <v>20971</v>
      </c>
      <c r="BA1671" s="82" t="s">
        <v>20971</v>
      </c>
      <c r="BB1671" s="82" t="s">
        <v>20971</v>
      </c>
      <c r="BC1671" s="82" t="s">
        <v>18439</v>
      </c>
      <c r="BD1671" s="82" t="s">
        <v>21301</v>
      </c>
      <c r="BE1671" s="77"/>
      <c r="BF1671" s="77"/>
      <c r="BG1671" s="77"/>
      <c r="BH1671" s="77"/>
      <c r="BI1671" s="77"/>
    </row>
    <row r="1672" spans="1:61" x14ac:dyDescent="0.25">
      <c r="A1672" s="62" t="s">
        <v>613</v>
      </c>
      <c r="B1672" s="62" t="s">
        <v>613</v>
      </c>
      <c r="C1672" s="63"/>
      <c r="D1672" s="64"/>
      <c r="E1672" s="65"/>
      <c r="F1672" s="66"/>
      <c r="G1672" s="63"/>
      <c r="H1672" s="67"/>
      <c r="I1672" s="68"/>
      <c r="J1672" s="68"/>
      <c r="K1672" s="32"/>
      <c r="L1672" s="75">
        <v>1672</v>
      </c>
      <c r="M1672" s="75"/>
      <c r="N1672" s="70"/>
      <c r="O1672" s="77" t="s">
        <v>179</v>
      </c>
      <c r="P1672" s="79">
        <v>45032.379212962966</v>
      </c>
      <c r="Q1672" s="77" t="s">
        <v>2911</v>
      </c>
      <c r="R1672" s="77">
        <v>0</v>
      </c>
      <c r="S1672" s="77">
        <v>0</v>
      </c>
      <c r="T1672" s="77">
        <v>0</v>
      </c>
      <c r="U1672" s="77">
        <v>0</v>
      </c>
      <c r="V1672" s="77">
        <v>4</v>
      </c>
      <c r="W1672" s="82" t="s">
        <v>5236</v>
      </c>
      <c r="X1672" s="80" t="str">
        <f>HYPERLINK("https://go.hotmart.com/B77468619P")</f>
        <v>https://go.hotmart.com/B77468619P</v>
      </c>
      <c r="Y1672" s="77" t="s">
        <v>7251</v>
      </c>
      <c r="Z1672" s="77"/>
      <c r="AA1672" s="77" t="s">
        <v>8297</v>
      </c>
      <c r="AB1672" s="77" t="s">
        <v>10130</v>
      </c>
      <c r="AC1672" s="82" t="s">
        <v>10159</v>
      </c>
      <c r="AD1672" s="77" t="s">
        <v>10184</v>
      </c>
      <c r="AE1672" s="80" t="str">
        <f>HYPERLINK("https://twitter.com/fazer_aprenda/status/1647526761897361408")</f>
        <v>https://twitter.com/fazer_aprenda/status/1647526761897361408</v>
      </c>
      <c r="AF1672" s="79">
        <v>45032.379212962966</v>
      </c>
      <c r="AG1672" s="85">
        <v>45032</v>
      </c>
      <c r="AH1672" s="82" t="s">
        <v>11801</v>
      </c>
      <c r="AI1672" s="77" t="b">
        <v>0</v>
      </c>
      <c r="AJ1672" s="77"/>
      <c r="AK1672" s="77"/>
      <c r="AL1672" s="77"/>
      <c r="AM1672" s="77"/>
      <c r="AN1672" s="77"/>
      <c r="AO1672" s="77"/>
      <c r="AP1672" s="77"/>
      <c r="AQ1672" s="77" t="s">
        <v>14941</v>
      </c>
      <c r="AR1672" s="77"/>
      <c r="AS1672" s="77"/>
      <c r="AT1672" s="77"/>
      <c r="AU1672" s="77"/>
      <c r="AV1672" s="80" t="str">
        <f>HYPERLINK("https://pbs.twimg.com/media/Ft0w1EvWcAAhKeO.jpg")</f>
        <v>https://pbs.twimg.com/media/Ft0w1EvWcAAhKeO.jpg</v>
      </c>
      <c r="AW1672" s="82" t="s">
        <v>18440</v>
      </c>
      <c r="AX1672" s="82" t="s">
        <v>18440</v>
      </c>
      <c r="AY1672" s="77"/>
      <c r="AZ1672" s="82" t="s">
        <v>20971</v>
      </c>
      <c r="BA1672" s="82" t="s">
        <v>20971</v>
      </c>
      <c r="BB1672" s="82" t="s">
        <v>20971</v>
      </c>
      <c r="BC1672" s="82" t="s">
        <v>18440</v>
      </c>
      <c r="BD1672" s="82" t="s">
        <v>21301</v>
      </c>
      <c r="BE1672" s="77"/>
      <c r="BF1672" s="77"/>
      <c r="BG1672" s="77"/>
      <c r="BH1672" s="77"/>
      <c r="BI1672" s="77"/>
    </row>
    <row r="1673" spans="1:61" x14ac:dyDescent="0.25">
      <c r="A1673" s="62" t="s">
        <v>613</v>
      </c>
      <c r="B1673" s="62" t="s">
        <v>613</v>
      </c>
      <c r="C1673" s="63"/>
      <c r="D1673" s="64"/>
      <c r="E1673" s="65"/>
      <c r="F1673" s="66"/>
      <c r="G1673" s="63"/>
      <c r="H1673" s="67"/>
      <c r="I1673" s="68"/>
      <c r="J1673" s="68"/>
      <c r="K1673" s="32"/>
      <c r="L1673" s="75">
        <v>1673</v>
      </c>
      <c r="M1673" s="75"/>
      <c r="N1673" s="70"/>
      <c r="O1673" s="77" t="s">
        <v>179</v>
      </c>
      <c r="P1673" s="79">
        <v>45006.98646990741</v>
      </c>
      <c r="Q1673" s="77" t="s">
        <v>2912</v>
      </c>
      <c r="R1673" s="77">
        <v>0</v>
      </c>
      <c r="S1673" s="77">
        <v>0</v>
      </c>
      <c r="T1673" s="77">
        <v>0</v>
      </c>
      <c r="U1673" s="77">
        <v>0</v>
      </c>
      <c r="V1673" s="77">
        <v>6</v>
      </c>
      <c r="W1673" s="82" t="s">
        <v>5236</v>
      </c>
      <c r="X1673" s="80" t="str">
        <f>HYPERLINK("https://go.hotmart.com/B77468619P")</f>
        <v>https://go.hotmart.com/B77468619P</v>
      </c>
      <c r="Y1673" s="77" t="s">
        <v>7251</v>
      </c>
      <c r="Z1673" s="77"/>
      <c r="AA1673" s="77" t="s">
        <v>8298</v>
      </c>
      <c r="AB1673" s="77" t="s">
        <v>10130</v>
      </c>
      <c r="AC1673" s="82" t="s">
        <v>10159</v>
      </c>
      <c r="AD1673" s="77" t="s">
        <v>10184</v>
      </c>
      <c r="AE1673" s="80" t="str">
        <f>HYPERLINK("https://twitter.com/fazer_aprenda/status/1638324741994864641")</f>
        <v>https://twitter.com/fazer_aprenda/status/1638324741994864641</v>
      </c>
      <c r="AF1673" s="79">
        <v>45006.98646990741</v>
      </c>
      <c r="AG1673" s="85">
        <v>45006</v>
      </c>
      <c r="AH1673" s="82" t="s">
        <v>11802</v>
      </c>
      <c r="AI1673" s="77" t="b">
        <v>0</v>
      </c>
      <c r="AJ1673" s="77"/>
      <c r="AK1673" s="77"/>
      <c r="AL1673" s="77"/>
      <c r="AM1673" s="77"/>
      <c r="AN1673" s="77"/>
      <c r="AO1673" s="77"/>
      <c r="AP1673" s="77"/>
      <c r="AQ1673" s="77" t="s">
        <v>14942</v>
      </c>
      <c r="AR1673" s="77"/>
      <c r="AS1673" s="77"/>
      <c r="AT1673" s="77"/>
      <c r="AU1673" s="77"/>
      <c r="AV1673" s="80" t="str">
        <f>HYPERLINK("https://pbs.twimg.com/media/Frx_o2WXsAIbCxs.jpg")</f>
        <v>https://pbs.twimg.com/media/Frx_o2WXsAIbCxs.jpg</v>
      </c>
      <c r="AW1673" s="82" t="s">
        <v>18441</v>
      </c>
      <c r="AX1673" s="82" t="s">
        <v>18441</v>
      </c>
      <c r="AY1673" s="77"/>
      <c r="AZ1673" s="82" t="s">
        <v>20971</v>
      </c>
      <c r="BA1673" s="82" t="s">
        <v>20971</v>
      </c>
      <c r="BB1673" s="82" t="s">
        <v>20971</v>
      </c>
      <c r="BC1673" s="82" t="s">
        <v>18441</v>
      </c>
      <c r="BD1673" s="82" t="s">
        <v>21301</v>
      </c>
      <c r="BE1673" s="77"/>
      <c r="BF1673" s="77"/>
      <c r="BG1673" s="77"/>
      <c r="BH1673" s="77"/>
      <c r="BI1673" s="77"/>
    </row>
    <row r="1674" spans="1:61" x14ac:dyDescent="0.25">
      <c r="A1674" s="62" t="s">
        <v>614</v>
      </c>
      <c r="B1674" s="62" t="s">
        <v>614</v>
      </c>
      <c r="C1674" s="63"/>
      <c r="D1674" s="64"/>
      <c r="E1674" s="65"/>
      <c r="F1674" s="66"/>
      <c r="G1674" s="63"/>
      <c r="H1674" s="67"/>
      <c r="I1674" s="68"/>
      <c r="J1674" s="68"/>
      <c r="K1674" s="32"/>
      <c r="L1674" s="75">
        <v>1674</v>
      </c>
      <c r="M1674" s="75"/>
      <c r="N1674" s="70"/>
      <c r="O1674" s="77" t="s">
        <v>179</v>
      </c>
      <c r="P1674" s="79">
        <v>45037.755069444444</v>
      </c>
      <c r="Q1674" s="77" t="s">
        <v>2913</v>
      </c>
      <c r="R1674" s="77">
        <v>0</v>
      </c>
      <c r="S1674" s="77">
        <v>1</v>
      </c>
      <c r="T1674" s="77">
        <v>0</v>
      </c>
      <c r="U1674" s="77">
        <v>0</v>
      </c>
      <c r="V1674" s="77">
        <v>56</v>
      </c>
      <c r="W1674" s="82" t="s">
        <v>5954</v>
      </c>
      <c r="X1674" s="77"/>
      <c r="Y1674" s="77"/>
      <c r="Z1674" s="77"/>
      <c r="AA1674" s="77" t="s">
        <v>8299</v>
      </c>
      <c r="AB1674" s="77" t="s">
        <v>10130</v>
      </c>
      <c r="AC1674" s="82" t="s">
        <v>10145</v>
      </c>
      <c r="AD1674" s="77" t="s">
        <v>10184</v>
      </c>
      <c r="AE1674" s="80" t="str">
        <f>HYPERLINK("https://twitter.com/kellycristhinee/status/1649474909595115534")</f>
        <v>https://twitter.com/kellycristhinee/status/1649474909595115534</v>
      </c>
      <c r="AF1674" s="79">
        <v>45037.755069444444</v>
      </c>
      <c r="AG1674" s="85">
        <v>45037</v>
      </c>
      <c r="AH1674" s="82" t="s">
        <v>11803</v>
      </c>
      <c r="AI1674" s="77" t="b">
        <v>0</v>
      </c>
      <c r="AJ1674" s="77"/>
      <c r="AK1674" s="77"/>
      <c r="AL1674" s="77"/>
      <c r="AM1674" s="77"/>
      <c r="AN1674" s="77"/>
      <c r="AO1674" s="77"/>
      <c r="AP1674" s="77"/>
      <c r="AQ1674" s="77" t="s">
        <v>14943</v>
      </c>
      <c r="AR1674" s="77"/>
      <c r="AS1674" s="77"/>
      <c r="AT1674" s="77"/>
      <c r="AU1674" s="77"/>
      <c r="AV1674" s="80" t="str">
        <f>HYPERLINK("https://pbs.twimg.com/media/FuQcr5AWcAA1Xss.jpg")</f>
        <v>https://pbs.twimg.com/media/FuQcr5AWcAA1Xss.jpg</v>
      </c>
      <c r="AW1674" s="82" t="s">
        <v>18442</v>
      </c>
      <c r="AX1674" s="82" t="s">
        <v>18442</v>
      </c>
      <c r="AY1674" s="77"/>
      <c r="AZ1674" s="82" t="s">
        <v>20971</v>
      </c>
      <c r="BA1674" s="82" t="s">
        <v>20971</v>
      </c>
      <c r="BB1674" s="82" t="s">
        <v>20971</v>
      </c>
      <c r="BC1674" s="82" t="s">
        <v>18442</v>
      </c>
      <c r="BD1674" s="82" t="s">
        <v>21302</v>
      </c>
      <c r="BE1674" s="77"/>
      <c r="BF1674" s="77"/>
      <c r="BG1674" s="77"/>
      <c r="BH1674" s="77"/>
      <c r="BI1674" s="77"/>
    </row>
    <row r="1675" spans="1:61" x14ac:dyDescent="0.25">
      <c r="A1675" s="62" t="s">
        <v>615</v>
      </c>
      <c r="B1675" s="62" t="s">
        <v>615</v>
      </c>
      <c r="C1675" s="63"/>
      <c r="D1675" s="64"/>
      <c r="E1675" s="65"/>
      <c r="F1675" s="66"/>
      <c r="G1675" s="63"/>
      <c r="H1675" s="67"/>
      <c r="I1675" s="68"/>
      <c r="J1675" s="68"/>
      <c r="K1675" s="32"/>
      <c r="L1675" s="75">
        <v>1675</v>
      </c>
      <c r="M1675" s="75"/>
      <c r="N1675" s="70"/>
      <c r="O1675" s="77" t="s">
        <v>179</v>
      </c>
      <c r="P1675" s="79">
        <v>45164.552256944444</v>
      </c>
      <c r="Q1675" s="77" t="s">
        <v>2914</v>
      </c>
      <c r="R1675" s="77">
        <v>0</v>
      </c>
      <c r="S1675" s="77">
        <v>0</v>
      </c>
      <c r="T1675" s="77">
        <v>0</v>
      </c>
      <c r="U1675" s="77">
        <v>0</v>
      </c>
      <c r="V1675" s="77">
        <v>46</v>
      </c>
      <c r="W1675" s="82" t="s">
        <v>5955</v>
      </c>
      <c r="X1675" s="80" t="str">
        <f>HYPERLINK("https://i3d.me/DomineoDropshipping")</f>
        <v>https://i3d.me/DomineoDropshipping</v>
      </c>
      <c r="Y1675" s="77" t="s">
        <v>7243</v>
      </c>
      <c r="Z1675" s="77"/>
      <c r="AA1675" s="77"/>
      <c r="AB1675" s="77"/>
      <c r="AC1675" s="82" t="s">
        <v>10144</v>
      </c>
      <c r="AD1675" s="77" t="s">
        <v>10184</v>
      </c>
      <c r="AE1675" s="80" t="str">
        <f>HYPERLINK("https://twitter.com/wendgsilva/status/1695424671758287017")</f>
        <v>https://twitter.com/wendgsilva/status/1695424671758287017</v>
      </c>
      <c r="AF1675" s="79">
        <v>45164.552256944444</v>
      </c>
      <c r="AG1675" s="85">
        <v>45164</v>
      </c>
      <c r="AH1675" s="82" t="s">
        <v>11804</v>
      </c>
      <c r="AI1675" s="77" t="b">
        <v>0</v>
      </c>
      <c r="AJ1675" s="77"/>
      <c r="AK1675" s="77"/>
      <c r="AL1675" s="77"/>
      <c r="AM1675" s="77"/>
      <c r="AN1675" s="77"/>
      <c r="AO1675" s="77"/>
      <c r="AP1675" s="77"/>
      <c r="AQ1675" s="77"/>
      <c r="AR1675" s="77"/>
      <c r="AS1675" s="77"/>
      <c r="AT1675" s="77"/>
      <c r="AU1675" s="77"/>
      <c r="AV1675" s="80" t="str">
        <f>HYPERLINK("https://pbs.twimg.com/profile_images/1652287895019872256/uO-acQJu_normal.jpg")</f>
        <v>https://pbs.twimg.com/profile_images/1652287895019872256/uO-acQJu_normal.jpg</v>
      </c>
      <c r="AW1675" s="82" t="s">
        <v>18443</v>
      </c>
      <c r="AX1675" s="82" t="s">
        <v>18443</v>
      </c>
      <c r="AY1675" s="77"/>
      <c r="AZ1675" s="82" t="s">
        <v>20971</v>
      </c>
      <c r="BA1675" s="82" t="s">
        <v>20971</v>
      </c>
      <c r="BB1675" s="82" t="s">
        <v>20971</v>
      </c>
      <c r="BC1675" s="82" t="s">
        <v>18443</v>
      </c>
      <c r="BD1675" s="82" t="s">
        <v>21303</v>
      </c>
      <c r="BE1675" s="77"/>
      <c r="BF1675" s="77"/>
      <c r="BG1675" s="77"/>
      <c r="BH1675" s="77"/>
      <c r="BI1675" s="77"/>
    </row>
    <row r="1676" spans="1:61" x14ac:dyDescent="0.25">
      <c r="A1676" s="62" t="s">
        <v>616</v>
      </c>
      <c r="B1676" s="62" t="s">
        <v>616</v>
      </c>
      <c r="C1676" s="63"/>
      <c r="D1676" s="64"/>
      <c r="E1676" s="65"/>
      <c r="F1676" s="66"/>
      <c r="G1676" s="63"/>
      <c r="H1676" s="67"/>
      <c r="I1676" s="68"/>
      <c r="J1676" s="68"/>
      <c r="K1676" s="32"/>
      <c r="L1676" s="75">
        <v>1676</v>
      </c>
      <c r="M1676" s="75"/>
      <c r="N1676" s="70"/>
      <c r="O1676" s="77" t="s">
        <v>179</v>
      </c>
      <c r="P1676" s="79">
        <v>44970.482673611114</v>
      </c>
      <c r="Q1676" s="77" t="s">
        <v>2915</v>
      </c>
      <c r="R1676" s="77">
        <v>0</v>
      </c>
      <c r="S1676" s="77">
        <v>0</v>
      </c>
      <c r="T1676" s="77">
        <v>0</v>
      </c>
      <c r="U1676" s="77">
        <v>0</v>
      </c>
      <c r="V1676" s="77">
        <v>237</v>
      </c>
      <c r="W1676" s="82" t="s">
        <v>5956</v>
      </c>
      <c r="X1676" s="80" t="str">
        <f>HYPERLINK("https://carlamicaela.com/rendaextra")</f>
        <v>https://carlamicaela.com/rendaextra</v>
      </c>
      <c r="Y1676" s="77" t="s">
        <v>7354</v>
      </c>
      <c r="Z1676" s="77"/>
      <c r="AA1676" s="77"/>
      <c r="AB1676" s="77"/>
      <c r="AC1676" s="82" t="s">
        <v>10146</v>
      </c>
      <c r="AD1676" s="77" t="s">
        <v>10184</v>
      </c>
      <c r="AE1676" s="80" t="str">
        <f>HYPERLINK("https://twitter.com/carlamiccaela/status/1625096208615190530")</f>
        <v>https://twitter.com/carlamiccaela/status/1625096208615190530</v>
      </c>
      <c r="AF1676" s="79">
        <v>44970.482673611114</v>
      </c>
      <c r="AG1676" s="85">
        <v>44970</v>
      </c>
      <c r="AH1676" s="82" t="s">
        <v>11805</v>
      </c>
      <c r="AI1676" s="77" t="b">
        <v>0</v>
      </c>
      <c r="AJ1676" s="77"/>
      <c r="AK1676" s="77"/>
      <c r="AL1676" s="77"/>
      <c r="AM1676" s="77"/>
      <c r="AN1676" s="77"/>
      <c r="AO1676" s="77"/>
      <c r="AP1676" s="77"/>
      <c r="AQ1676" s="77"/>
      <c r="AR1676" s="77"/>
      <c r="AS1676" s="77"/>
      <c r="AT1676" s="77"/>
      <c r="AU1676" s="77"/>
      <c r="AV1676" s="80" t="str">
        <f>HYPERLINK("https://pbs.twimg.com/profile_images/732192945047228416/51jXCHSy_normal.jpg")</f>
        <v>https://pbs.twimg.com/profile_images/732192945047228416/51jXCHSy_normal.jpg</v>
      </c>
      <c r="AW1676" s="82" t="s">
        <v>18444</v>
      </c>
      <c r="AX1676" s="82" t="s">
        <v>18444</v>
      </c>
      <c r="AY1676" s="77"/>
      <c r="AZ1676" s="82" t="s">
        <v>20971</v>
      </c>
      <c r="BA1676" s="82" t="s">
        <v>20971</v>
      </c>
      <c r="BB1676" s="82" t="s">
        <v>20971</v>
      </c>
      <c r="BC1676" s="82" t="s">
        <v>18444</v>
      </c>
      <c r="BD1676" s="77">
        <v>1474469406</v>
      </c>
      <c r="BE1676" s="77"/>
      <c r="BF1676" s="77"/>
      <c r="BG1676" s="77"/>
      <c r="BH1676" s="77"/>
      <c r="BI1676" s="77"/>
    </row>
    <row r="1677" spans="1:61" x14ac:dyDescent="0.25">
      <c r="A1677" s="62" t="s">
        <v>617</v>
      </c>
      <c r="B1677" s="62" t="s">
        <v>617</v>
      </c>
      <c r="C1677" s="63"/>
      <c r="D1677" s="64"/>
      <c r="E1677" s="65"/>
      <c r="F1677" s="66"/>
      <c r="G1677" s="63"/>
      <c r="H1677" s="67"/>
      <c r="I1677" s="68"/>
      <c r="J1677" s="68"/>
      <c r="K1677" s="32"/>
      <c r="L1677" s="75">
        <v>1677</v>
      </c>
      <c r="M1677" s="75"/>
      <c r="N1677" s="70"/>
      <c r="O1677" s="77" t="s">
        <v>179</v>
      </c>
      <c r="P1677" s="79">
        <v>45054.851400462961</v>
      </c>
      <c r="Q1677" s="77" t="s">
        <v>2916</v>
      </c>
      <c r="R1677" s="77">
        <v>0</v>
      </c>
      <c r="S1677" s="77">
        <v>0</v>
      </c>
      <c r="T1677" s="77">
        <v>0</v>
      </c>
      <c r="U1677" s="77">
        <v>0</v>
      </c>
      <c r="V1677" s="77">
        <v>17</v>
      </c>
      <c r="W1677" s="82" t="s">
        <v>5957</v>
      </c>
      <c r="X1677" s="80" t="str">
        <f>HYPERLINK("https://www.instagram.com/p/Cr8ao-Ztq6Q/")</f>
        <v>https://www.instagram.com/p/Cr8ao-Ztq6Q/</v>
      </c>
      <c r="Y1677" s="77" t="s">
        <v>7250</v>
      </c>
      <c r="Z1677" s="77"/>
      <c r="AA1677" s="77"/>
      <c r="AB1677" s="77"/>
      <c r="AC1677" s="82" t="s">
        <v>10146</v>
      </c>
      <c r="AD1677" s="77" t="s">
        <v>10184</v>
      </c>
      <c r="AE1677" s="80" t="str">
        <f>HYPERLINK("https://twitter.com/ramonbarros/status/1655670410627653636")</f>
        <v>https://twitter.com/ramonbarros/status/1655670410627653636</v>
      </c>
      <c r="AF1677" s="79">
        <v>45054.851400462961</v>
      </c>
      <c r="AG1677" s="85">
        <v>45054</v>
      </c>
      <c r="AH1677" s="82" t="s">
        <v>11806</v>
      </c>
      <c r="AI1677" s="77" t="b">
        <v>0</v>
      </c>
      <c r="AJ1677" s="77"/>
      <c r="AK1677" s="77"/>
      <c r="AL1677" s="77"/>
      <c r="AM1677" s="77"/>
      <c r="AN1677" s="77"/>
      <c r="AO1677" s="77"/>
      <c r="AP1677" s="77"/>
      <c r="AQ1677" s="77"/>
      <c r="AR1677" s="77"/>
      <c r="AS1677" s="77"/>
      <c r="AT1677" s="77"/>
      <c r="AU1677" s="77"/>
      <c r="AV1677" s="80" t="str">
        <f>HYPERLINK("https://pbs.twimg.com/profile_images/1029712569697816576/RO2aM6u0_normal.jpg")</f>
        <v>https://pbs.twimg.com/profile_images/1029712569697816576/RO2aM6u0_normal.jpg</v>
      </c>
      <c r="AW1677" s="82" t="s">
        <v>18445</v>
      </c>
      <c r="AX1677" s="82" t="s">
        <v>18445</v>
      </c>
      <c r="AY1677" s="77"/>
      <c r="AZ1677" s="82" t="s">
        <v>20971</v>
      </c>
      <c r="BA1677" s="82" t="s">
        <v>20971</v>
      </c>
      <c r="BB1677" s="82" t="s">
        <v>20971</v>
      </c>
      <c r="BC1677" s="82" t="s">
        <v>18445</v>
      </c>
      <c r="BD1677" s="77">
        <v>35237516</v>
      </c>
      <c r="BE1677" s="77"/>
      <c r="BF1677" s="77"/>
      <c r="BG1677" s="77"/>
      <c r="BH1677" s="77"/>
      <c r="BI1677" s="77"/>
    </row>
    <row r="1678" spans="1:61" x14ac:dyDescent="0.25">
      <c r="A1678" s="62" t="s">
        <v>618</v>
      </c>
      <c r="B1678" s="62" t="s">
        <v>618</v>
      </c>
      <c r="C1678" s="63"/>
      <c r="D1678" s="64"/>
      <c r="E1678" s="65"/>
      <c r="F1678" s="66"/>
      <c r="G1678" s="63"/>
      <c r="H1678" s="67"/>
      <c r="I1678" s="68"/>
      <c r="J1678" s="68"/>
      <c r="K1678" s="32"/>
      <c r="L1678" s="75">
        <v>1678</v>
      </c>
      <c r="M1678" s="75"/>
      <c r="N1678" s="70"/>
      <c r="O1678" s="77" t="s">
        <v>1284</v>
      </c>
      <c r="P1678" s="79">
        <v>45185.009560185186</v>
      </c>
      <c r="Q1678" s="77" t="s">
        <v>2917</v>
      </c>
      <c r="R1678" s="77">
        <v>0</v>
      </c>
      <c r="S1678" s="77">
        <v>0</v>
      </c>
      <c r="T1678" s="77">
        <v>0</v>
      </c>
      <c r="U1678" s="77">
        <v>0</v>
      </c>
      <c r="V1678" s="77">
        <v>57</v>
      </c>
      <c r="W1678" s="82" t="s">
        <v>5958</v>
      </c>
      <c r="X1678" s="77"/>
      <c r="Y1678" s="77"/>
      <c r="Z1678" s="77"/>
      <c r="AA1678" s="77"/>
      <c r="AB1678" s="77"/>
      <c r="AC1678" s="82" t="s">
        <v>10146</v>
      </c>
      <c r="AD1678" s="77" t="s">
        <v>10184</v>
      </c>
      <c r="AE1678" s="80" t="str">
        <f>HYPERLINK("https://twitter.com/afiliadolisboa/status/1702838150236692505")</f>
        <v>https://twitter.com/afiliadolisboa/status/1702838150236692505</v>
      </c>
      <c r="AF1678" s="79">
        <v>45185.009560185186</v>
      </c>
      <c r="AG1678" s="85">
        <v>45185</v>
      </c>
      <c r="AH1678" s="82" t="s">
        <v>11807</v>
      </c>
      <c r="AI1678" s="77"/>
      <c r="AJ1678" s="77"/>
      <c r="AK1678" s="77"/>
      <c r="AL1678" s="77"/>
      <c r="AM1678" s="77"/>
      <c r="AN1678" s="77"/>
      <c r="AO1678" s="77"/>
      <c r="AP1678" s="77"/>
      <c r="AQ1678" s="77"/>
      <c r="AR1678" s="77"/>
      <c r="AS1678" s="77"/>
      <c r="AT1678" s="77"/>
      <c r="AU1678" s="77"/>
      <c r="AV1678" s="80" t="str">
        <f>HYPERLINK("https://pbs.twimg.com/profile_images/1699197784014893056/mP-6hcDM_normal.jpg")</f>
        <v>https://pbs.twimg.com/profile_images/1699197784014893056/mP-6hcDM_normal.jpg</v>
      </c>
      <c r="AW1678" s="82" t="s">
        <v>18446</v>
      </c>
      <c r="AX1678" s="82" t="s">
        <v>20824</v>
      </c>
      <c r="AY1678" s="82" t="s">
        <v>20929</v>
      </c>
      <c r="AZ1678" s="82" t="s">
        <v>20824</v>
      </c>
      <c r="BA1678" s="82" t="s">
        <v>20971</v>
      </c>
      <c r="BB1678" s="82" t="s">
        <v>20971</v>
      </c>
      <c r="BC1678" s="82" t="s">
        <v>20824</v>
      </c>
      <c r="BD1678" s="82" t="s">
        <v>20929</v>
      </c>
      <c r="BE1678" s="77"/>
      <c r="BF1678" s="77"/>
      <c r="BG1678" s="77"/>
      <c r="BH1678" s="77"/>
      <c r="BI1678" s="77"/>
    </row>
    <row r="1679" spans="1:61" x14ac:dyDescent="0.25">
      <c r="A1679" s="62" t="s">
        <v>619</v>
      </c>
      <c r="B1679" s="62" t="s">
        <v>619</v>
      </c>
      <c r="C1679" s="63"/>
      <c r="D1679" s="64"/>
      <c r="E1679" s="65"/>
      <c r="F1679" s="66"/>
      <c r="G1679" s="63"/>
      <c r="H1679" s="67"/>
      <c r="I1679" s="68"/>
      <c r="J1679" s="68"/>
      <c r="K1679" s="32"/>
      <c r="L1679" s="75">
        <v>1679</v>
      </c>
      <c r="M1679" s="75"/>
      <c r="N1679" s="70"/>
      <c r="O1679" s="77" t="s">
        <v>179</v>
      </c>
      <c r="P1679" s="79">
        <v>45005.973634259259</v>
      </c>
      <c r="Q1679" s="77" t="s">
        <v>2918</v>
      </c>
      <c r="R1679" s="77">
        <v>0</v>
      </c>
      <c r="S1679" s="77">
        <v>0</v>
      </c>
      <c r="T1679" s="77">
        <v>0</v>
      </c>
      <c r="U1679" s="77">
        <v>0</v>
      </c>
      <c r="V1679" s="77">
        <v>32</v>
      </c>
      <c r="W1679" s="82" t="s">
        <v>5959</v>
      </c>
      <c r="X1679" s="80" t="str">
        <f>HYPERLINK("http://encurtador.com.br/bB125")</f>
        <v>http://encurtador.com.br/bB125</v>
      </c>
      <c r="Y1679" s="77" t="s">
        <v>7252</v>
      </c>
      <c r="Z1679" s="77"/>
      <c r="AA1679" s="77" t="s">
        <v>8300</v>
      </c>
      <c r="AB1679" s="77" t="s">
        <v>10130</v>
      </c>
      <c r="AC1679" s="82" t="s">
        <v>10146</v>
      </c>
      <c r="AD1679" s="77" t="s">
        <v>10183</v>
      </c>
      <c r="AE1679" s="80" t="str">
        <f>HYPERLINK("https://twitter.com/ysmael_gomesz/status/1637957700314079232")</f>
        <v>https://twitter.com/ysmael_gomesz/status/1637957700314079232</v>
      </c>
      <c r="AF1679" s="79">
        <v>45005.973634259259</v>
      </c>
      <c r="AG1679" s="85">
        <v>45005</v>
      </c>
      <c r="AH1679" s="82" t="s">
        <v>11808</v>
      </c>
      <c r="AI1679" s="77" t="b">
        <v>0</v>
      </c>
      <c r="AJ1679" s="77"/>
      <c r="AK1679" s="77"/>
      <c r="AL1679" s="77"/>
      <c r="AM1679" s="77"/>
      <c r="AN1679" s="77"/>
      <c r="AO1679" s="77"/>
      <c r="AP1679" s="77"/>
      <c r="AQ1679" s="77" t="s">
        <v>14944</v>
      </c>
      <c r="AR1679" s="77"/>
      <c r="AS1679" s="77"/>
      <c r="AT1679" s="77"/>
      <c r="AU1679" s="77"/>
      <c r="AV1679" s="80" t="str">
        <f>HYPERLINK("https://pbs.twimg.com/media/Frsw1hCXwAEmDRF.jpg")</f>
        <v>https://pbs.twimg.com/media/Frsw1hCXwAEmDRF.jpg</v>
      </c>
      <c r="AW1679" s="82" t="s">
        <v>18447</v>
      </c>
      <c r="AX1679" s="82" t="s">
        <v>18447</v>
      </c>
      <c r="AY1679" s="77"/>
      <c r="AZ1679" s="82" t="s">
        <v>20971</v>
      </c>
      <c r="BA1679" s="82" t="s">
        <v>20971</v>
      </c>
      <c r="BB1679" s="82" t="s">
        <v>20971</v>
      </c>
      <c r="BC1679" s="82" t="s">
        <v>18447</v>
      </c>
      <c r="BD1679" s="82" t="s">
        <v>21304</v>
      </c>
      <c r="BE1679" s="77"/>
      <c r="BF1679" s="77"/>
      <c r="BG1679" s="77"/>
      <c r="BH1679" s="77"/>
      <c r="BI1679" s="77"/>
    </row>
    <row r="1680" spans="1:61" x14ac:dyDescent="0.25">
      <c r="A1680" s="62" t="s">
        <v>620</v>
      </c>
      <c r="B1680" s="62" t="s">
        <v>620</v>
      </c>
      <c r="C1680" s="63"/>
      <c r="D1680" s="64"/>
      <c r="E1680" s="65"/>
      <c r="F1680" s="66"/>
      <c r="G1680" s="63"/>
      <c r="H1680" s="67"/>
      <c r="I1680" s="68"/>
      <c r="J1680" s="68"/>
      <c r="K1680" s="32"/>
      <c r="L1680" s="75">
        <v>1680</v>
      </c>
      <c r="M1680" s="75"/>
      <c r="N1680" s="70"/>
      <c r="O1680" s="77" t="s">
        <v>179</v>
      </c>
      <c r="P1680" s="79">
        <v>45046.626840277779</v>
      </c>
      <c r="Q1680" s="77" t="s">
        <v>2919</v>
      </c>
      <c r="R1680" s="77">
        <v>0</v>
      </c>
      <c r="S1680" s="77">
        <v>0</v>
      </c>
      <c r="T1680" s="77">
        <v>0</v>
      </c>
      <c r="U1680" s="77">
        <v>0</v>
      </c>
      <c r="V1680" s="77">
        <v>92</v>
      </c>
      <c r="W1680" s="82" t="s">
        <v>5960</v>
      </c>
      <c r="X1680" s="77"/>
      <c r="Y1680" s="77"/>
      <c r="Z1680" s="77"/>
      <c r="AA1680" s="77" t="s">
        <v>8301</v>
      </c>
      <c r="AB1680" s="77" t="s">
        <v>10130</v>
      </c>
      <c r="AC1680" s="82" t="s">
        <v>10144</v>
      </c>
      <c r="AD1680" s="77" t="s">
        <v>10184</v>
      </c>
      <c r="AE1680" s="80" t="str">
        <f>HYPERLINK("https://twitter.com/leormoraess/status/1652689931397996546")</f>
        <v>https://twitter.com/leormoraess/status/1652689931397996546</v>
      </c>
      <c r="AF1680" s="79">
        <v>45046.626840277779</v>
      </c>
      <c r="AG1680" s="85">
        <v>45046</v>
      </c>
      <c r="AH1680" s="82" t="s">
        <v>11809</v>
      </c>
      <c r="AI1680" s="77" t="b">
        <v>0</v>
      </c>
      <c r="AJ1680" s="77"/>
      <c r="AK1680" s="77"/>
      <c r="AL1680" s="77"/>
      <c r="AM1680" s="77"/>
      <c r="AN1680" s="77"/>
      <c r="AO1680" s="77"/>
      <c r="AP1680" s="77"/>
      <c r="AQ1680" s="77" t="s">
        <v>14945</v>
      </c>
      <c r="AR1680" s="77"/>
      <c r="AS1680" s="77"/>
      <c r="AT1680" s="77"/>
      <c r="AU1680" s="77"/>
      <c r="AV1680" s="80" t="str">
        <f>HYPERLINK("https://pbs.twimg.com/media/Fu-Iu8cWAAMY5jd.jpg")</f>
        <v>https://pbs.twimg.com/media/Fu-Iu8cWAAMY5jd.jpg</v>
      </c>
      <c r="AW1680" s="82" t="s">
        <v>18448</v>
      </c>
      <c r="AX1680" s="82" t="s">
        <v>18448</v>
      </c>
      <c r="AY1680" s="77"/>
      <c r="AZ1680" s="82" t="s">
        <v>20971</v>
      </c>
      <c r="BA1680" s="82" t="s">
        <v>20971</v>
      </c>
      <c r="BB1680" s="82" t="s">
        <v>20971</v>
      </c>
      <c r="BC1680" s="82" t="s">
        <v>18448</v>
      </c>
      <c r="BD1680" s="82" t="s">
        <v>21305</v>
      </c>
      <c r="BE1680" s="77"/>
      <c r="BF1680" s="77"/>
      <c r="BG1680" s="77"/>
      <c r="BH1680" s="77"/>
      <c r="BI1680" s="77"/>
    </row>
    <row r="1681" spans="1:61" x14ac:dyDescent="0.25">
      <c r="A1681" s="62" t="s">
        <v>621</v>
      </c>
      <c r="B1681" s="62" t="s">
        <v>621</v>
      </c>
      <c r="C1681" s="63"/>
      <c r="D1681" s="64"/>
      <c r="E1681" s="65"/>
      <c r="F1681" s="66"/>
      <c r="G1681" s="63"/>
      <c r="H1681" s="67"/>
      <c r="I1681" s="68"/>
      <c r="J1681" s="68"/>
      <c r="K1681" s="32"/>
      <c r="L1681" s="75">
        <v>1681</v>
      </c>
      <c r="M1681" s="75"/>
      <c r="N1681" s="70"/>
      <c r="O1681" s="77" t="s">
        <v>179</v>
      </c>
      <c r="P1681" s="79">
        <v>45073.378888888888</v>
      </c>
      <c r="Q1681" s="77" t="s">
        <v>2920</v>
      </c>
      <c r="R1681" s="77">
        <v>0</v>
      </c>
      <c r="S1681" s="77">
        <v>1</v>
      </c>
      <c r="T1681" s="77">
        <v>0</v>
      </c>
      <c r="U1681" s="77">
        <v>0</v>
      </c>
      <c r="V1681" s="77">
        <v>32</v>
      </c>
      <c r="W1681" s="82" t="s">
        <v>5961</v>
      </c>
      <c r="X1681" s="80" t="str">
        <f>HYPERLINK("https://vm.tiktok.com/ZM2FbejER/")</f>
        <v>https://vm.tiktok.com/ZM2FbejER/</v>
      </c>
      <c r="Y1681" s="77" t="s">
        <v>7306</v>
      </c>
      <c r="Z1681" s="77"/>
      <c r="AA1681" s="77"/>
      <c r="AB1681" s="77"/>
      <c r="AC1681" s="82" t="s">
        <v>10146</v>
      </c>
      <c r="AD1681" s="77" t="s">
        <v>10184</v>
      </c>
      <c r="AE1681" s="80" t="str">
        <f>HYPERLINK("https://twitter.com/emersonguerrei7/status/1662384546279485442")</f>
        <v>https://twitter.com/emersonguerrei7/status/1662384546279485442</v>
      </c>
      <c r="AF1681" s="79">
        <v>45073.378888888888</v>
      </c>
      <c r="AG1681" s="85">
        <v>45073</v>
      </c>
      <c r="AH1681" s="82" t="s">
        <v>11810</v>
      </c>
      <c r="AI1681" s="77" t="b">
        <v>0</v>
      </c>
      <c r="AJ1681" s="77"/>
      <c r="AK1681" s="77"/>
      <c r="AL1681" s="77"/>
      <c r="AM1681" s="77"/>
      <c r="AN1681" s="77"/>
      <c r="AO1681" s="77"/>
      <c r="AP1681" s="77"/>
      <c r="AQ1681" s="77"/>
      <c r="AR1681" s="77"/>
      <c r="AS1681" s="77"/>
      <c r="AT1681" s="77"/>
      <c r="AU1681" s="77"/>
      <c r="AV1681" s="80" t="str">
        <f>HYPERLINK("https://pbs.twimg.com/profile_images/1008465601348751360/75PlTqWQ_normal.jpg")</f>
        <v>https://pbs.twimg.com/profile_images/1008465601348751360/75PlTqWQ_normal.jpg</v>
      </c>
      <c r="AW1681" s="82" t="s">
        <v>18449</v>
      </c>
      <c r="AX1681" s="82" t="s">
        <v>18449</v>
      </c>
      <c r="AY1681" s="77"/>
      <c r="AZ1681" s="82" t="s">
        <v>20971</v>
      </c>
      <c r="BA1681" s="82" t="s">
        <v>20971</v>
      </c>
      <c r="BB1681" s="82" t="s">
        <v>20971</v>
      </c>
      <c r="BC1681" s="82" t="s">
        <v>18449</v>
      </c>
      <c r="BD1681" s="82" t="s">
        <v>21306</v>
      </c>
      <c r="BE1681" s="77"/>
      <c r="BF1681" s="77"/>
      <c r="BG1681" s="77"/>
      <c r="BH1681" s="77"/>
      <c r="BI1681" s="77"/>
    </row>
    <row r="1682" spans="1:61" x14ac:dyDescent="0.25">
      <c r="A1682" s="62" t="s">
        <v>621</v>
      </c>
      <c r="B1682" s="62" t="s">
        <v>621</v>
      </c>
      <c r="C1682" s="63"/>
      <c r="D1682" s="64"/>
      <c r="E1682" s="65"/>
      <c r="F1682" s="66"/>
      <c r="G1682" s="63"/>
      <c r="H1682" s="67"/>
      <c r="I1682" s="68"/>
      <c r="J1682" s="68"/>
      <c r="K1682" s="32"/>
      <c r="L1682" s="75">
        <v>1682</v>
      </c>
      <c r="M1682" s="75"/>
      <c r="N1682" s="70"/>
      <c r="O1682" s="77" t="s">
        <v>179</v>
      </c>
      <c r="P1682" s="79">
        <v>45068.703969907408</v>
      </c>
      <c r="Q1682" s="77" t="s">
        <v>2921</v>
      </c>
      <c r="R1682" s="77">
        <v>0</v>
      </c>
      <c r="S1682" s="77">
        <v>1</v>
      </c>
      <c r="T1682" s="77">
        <v>4</v>
      </c>
      <c r="U1682" s="77">
        <v>0</v>
      </c>
      <c r="V1682" s="77">
        <v>53</v>
      </c>
      <c r="W1682" s="82" t="s">
        <v>5962</v>
      </c>
      <c r="X1682" s="80" t="str">
        <f>HYPERLINK("https://s.kwai.app/f/85RjEL3h")</f>
        <v>https://s.kwai.app/f/85RjEL3h</v>
      </c>
      <c r="Y1682" s="77" t="s">
        <v>7292</v>
      </c>
      <c r="Z1682" s="77"/>
      <c r="AA1682" s="77"/>
      <c r="AB1682" s="77"/>
      <c r="AC1682" s="82" t="s">
        <v>10146</v>
      </c>
      <c r="AD1682" s="77" t="s">
        <v>10184</v>
      </c>
      <c r="AE1682" s="80" t="str">
        <f>HYPERLINK("https://twitter.com/emersonguerrei7/status/1660690415916285953")</f>
        <v>https://twitter.com/emersonguerrei7/status/1660690415916285953</v>
      </c>
      <c r="AF1682" s="79">
        <v>45068.703969907408</v>
      </c>
      <c r="AG1682" s="85">
        <v>45068</v>
      </c>
      <c r="AH1682" s="82" t="s">
        <v>11811</v>
      </c>
      <c r="AI1682" s="77" t="b">
        <v>0</v>
      </c>
      <c r="AJ1682" s="77"/>
      <c r="AK1682" s="77"/>
      <c r="AL1682" s="77"/>
      <c r="AM1682" s="77"/>
      <c r="AN1682" s="77"/>
      <c r="AO1682" s="77"/>
      <c r="AP1682" s="77"/>
      <c r="AQ1682" s="77"/>
      <c r="AR1682" s="77"/>
      <c r="AS1682" s="77"/>
      <c r="AT1682" s="77"/>
      <c r="AU1682" s="77"/>
      <c r="AV1682" s="80" t="str">
        <f>HYPERLINK("https://pbs.twimg.com/profile_images/1008465601348751360/75PlTqWQ_normal.jpg")</f>
        <v>https://pbs.twimg.com/profile_images/1008465601348751360/75PlTqWQ_normal.jpg</v>
      </c>
      <c r="AW1682" s="82" t="s">
        <v>18450</v>
      </c>
      <c r="AX1682" s="82" t="s">
        <v>18450</v>
      </c>
      <c r="AY1682" s="77"/>
      <c r="AZ1682" s="82" t="s">
        <v>20971</v>
      </c>
      <c r="BA1682" s="82" t="s">
        <v>20971</v>
      </c>
      <c r="BB1682" s="82" t="s">
        <v>20971</v>
      </c>
      <c r="BC1682" s="82" t="s">
        <v>18450</v>
      </c>
      <c r="BD1682" s="82" t="s">
        <v>21306</v>
      </c>
      <c r="BE1682" s="77"/>
      <c r="BF1682" s="77"/>
      <c r="BG1682" s="77"/>
      <c r="BH1682" s="77"/>
      <c r="BI1682" s="77"/>
    </row>
    <row r="1683" spans="1:61" x14ac:dyDescent="0.25">
      <c r="A1683" s="62" t="s">
        <v>621</v>
      </c>
      <c r="B1683" s="62" t="s">
        <v>621</v>
      </c>
      <c r="C1683" s="63"/>
      <c r="D1683" s="64"/>
      <c r="E1683" s="65"/>
      <c r="F1683" s="66"/>
      <c r="G1683" s="63"/>
      <c r="H1683" s="67"/>
      <c r="I1683" s="68"/>
      <c r="J1683" s="68"/>
      <c r="K1683" s="32"/>
      <c r="L1683" s="75">
        <v>1683</v>
      </c>
      <c r="M1683" s="75"/>
      <c r="N1683" s="70"/>
      <c r="O1683" s="77" t="s">
        <v>179</v>
      </c>
      <c r="P1683" s="79">
        <v>45066.954722222225</v>
      </c>
      <c r="Q1683" s="77" t="s">
        <v>2922</v>
      </c>
      <c r="R1683" s="77">
        <v>0</v>
      </c>
      <c r="S1683" s="77">
        <v>1</v>
      </c>
      <c r="T1683" s="77">
        <v>0</v>
      </c>
      <c r="U1683" s="77">
        <v>0</v>
      </c>
      <c r="V1683" s="77">
        <v>24</v>
      </c>
      <c r="W1683" s="82" t="s">
        <v>5963</v>
      </c>
      <c r="X1683" s="80" t="str">
        <f>HYPERLINK("https://vm.tiktok.com/ZM28SBxaC/")</f>
        <v>https://vm.tiktok.com/ZM28SBxaC/</v>
      </c>
      <c r="Y1683" s="77" t="s">
        <v>7306</v>
      </c>
      <c r="Z1683" s="77"/>
      <c r="AA1683" s="77"/>
      <c r="AB1683" s="77"/>
      <c r="AC1683" s="82" t="s">
        <v>10146</v>
      </c>
      <c r="AD1683" s="77" t="s">
        <v>10184</v>
      </c>
      <c r="AE1683" s="80" t="str">
        <f>HYPERLINK("https://twitter.com/emersonguerrei7/status/1660056506337751047")</f>
        <v>https://twitter.com/emersonguerrei7/status/1660056506337751047</v>
      </c>
      <c r="AF1683" s="79">
        <v>45066.954722222225</v>
      </c>
      <c r="AG1683" s="85">
        <v>45066</v>
      </c>
      <c r="AH1683" s="82" t="s">
        <v>10772</v>
      </c>
      <c r="AI1683" s="77" t="b">
        <v>0</v>
      </c>
      <c r="AJ1683" s="77"/>
      <c r="AK1683" s="77"/>
      <c r="AL1683" s="77"/>
      <c r="AM1683" s="77"/>
      <c r="AN1683" s="77"/>
      <c r="AO1683" s="77"/>
      <c r="AP1683" s="77"/>
      <c r="AQ1683" s="77"/>
      <c r="AR1683" s="77"/>
      <c r="AS1683" s="77"/>
      <c r="AT1683" s="77"/>
      <c r="AU1683" s="77"/>
      <c r="AV1683" s="80" t="str">
        <f>HYPERLINK("https://pbs.twimg.com/profile_images/1008465601348751360/75PlTqWQ_normal.jpg")</f>
        <v>https://pbs.twimg.com/profile_images/1008465601348751360/75PlTqWQ_normal.jpg</v>
      </c>
      <c r="AW1683" s="82" t="s">
        <v>18451</v>
      </c>
      <c r="AX1683" s="82" t="s">
        <v>18451</v>
      </c>
      <c r="AY1683" s="77"/>
      <c r="AZ1683" s="82" t="s">
        <v>20971</v>
      </c>
      <c r="BA1683" s="82" t="s">
        <v>20971</v>
      </c>
      <c r="BB1683" s="82" t="s">
        <v>20971</v>
      </c>
      <c r="BC1683" s="82" t="s">
        <v>18451</v>
      </c>
      <c r="BD1683" s="82" t="s">
        <v>21306</v>
      </c>
      <c r="BE1683" s="77"/>
      <c r="BF1683" s="77"/>
      <c r="BG1683" s="77"/>
      <c r="BH1683" s="77"/>
      <c r="BI1683" s="77"/>
    </row>
    <row r="1684" spans="1:61" x14ac:dyDescent="0.25">
      <c r="A1684" s="62" t="s">
        <v>621</v>
      </c>
      <c r="B1684" s="62" t="s">
        <v>621</v>
      </c>
      <c r="C1684" s="63"/>
      <c r="D1684" s="64"/>
      <c r="E1684" s="65"/>
      <c r="F1684" s="66"/>
      <c r="G1684" s="63"/>
      <c r="H1684" s="67"/>
      <c r="I1684" s="68"/>
      <c r="J1684" s="68"/>
      <c r="K1684" s="32"/>
      <c r="L1684" s="75">
        <v>1684</v>
      </c>
      <c r="M1684" s="75"/>
      <c r="N1684" s="70"/>
      <c r="O1684" s="77" t="s">
        <v>179</v>
      </c>
      <c r="P1684" s="79">
        <v>45078.955393518518</v>
      </c>
      <c r="Q1684" s="77" t="s">
        <v>2923</v>
      </c>
      <c r="R1684" s="77">
        <v>0</v>
      </c>
      <c r="S1684" s="77">
        <v>0</v>
      </c>
      <c r="T1684" s="77">
        <v>0</v>
      </c>
      <c r="U1684" s="77">
        <v>0</v>
      </c>
      <c r="V1684" s="77">
        <v>8</v>
      </c>
      <c r="W1684" s="82" t="s">
        <v>5964</v>
      </c>
      <c r="X1684" s="80" t="str">
        <f>HYPERLINK("https://app.wooeen.com/u/rec/200003")</f>
        <v>https://app.wooeen.com/u/rec/200003</v>
      </c>
      <c r="Y1684" s="77" t="s">
        <v>7355</v>
      </c>
      <c r="Z1684" s="77"/>
      <c r="AA1684" s="77"/>
      <c r="AB1684" s="77"/>
      <c r="AC1684" s="82" t="s">
        <v>10146</v>
      </c>
      <c r="AD1684" s="77" t="s">
        <v>10184</v>
      </c>
      <c r="AE1684" s="80" t="str">
        <f>HYPERLINK("https://twitter.com/emersonguerrei7/status/1664405406892929031")</f>
        <v>https://twitter.com/emersonguerrei7/status/1664405406892929031</v>
      </c>
      <c r="AF1684" s="79">
        <v>45078.955393518518</v>
      </c>
      <c r="AG1684" s="85">
        <v>45078</v>
      </c>
      <c r="AH1684" s="82" t="s">
        <v>11812</v>
      </c>
      <c r="AI1684" s="77" t="b">
        <v>0</v>
      </c>
      <c r="AJ1684" s="77"/>
      <c r="AK1684" s="77"/>
      <c r="AL1684" s="77"/>
      <c r="AM1684" s="77"/>
      <c r="AN1684" s="77"/>
      <c r="AO1684" s="77"/>
      <c r="AP1684" s="77"/>
      <c r="AQ1684" s="77"/>
      <c r="AR1684" s="77"/>
      <c r="AS1684" s="77"/>
      <c r="AT1684" s="77"/>
      <c r="AU1684" s="77"/>
      <c r="AV1684" s="80" t="str">
        <f>HYPERLINK("https://pbs.twimg.com/profile_images/1008465601348751360/75PlTqWQ_normal.jpg")</f>
        <v>https://pbs.twimg.com/profile_images/1008465601348751360/75PlTqWQ_normal.jpg</v>
      </c>
      <c r="AW1684" s="82" t="s">
        <v>18452</v>
      </c>
      <c r="AX1684" s="82" t="s">
        <v>18452</v>
      </c>
      <c r="AY1684" s="77"/>
      <c r="AZ1684" s="82" t="s">
        <v>20971</v>
      </c>
      <c r="BA1684" s="82" t="s">
        <v>20971</v>
      </c>
      <c r="BB1684" s="82" t="s">
        <v>20971</v>
      </c>
      <c r="BC1684" s="82" t="s">
        <v>18452</v>
      </c>
      <c r="BD1684" s="82" t="s">
        <v>21306</v>
      </c>
      <c r="BE1684" s="77"/>
      <c r="BF1684" s="77"/>
      <c r="BG1684" s="77"/>
      <c r="BH1684" s="77"/>
      <c r="BI1684" s="77"/>
    </row>
    <row r="1685" spans="1:61" x14ac:dyDescent="0.25">
      <c r="A1685" s="62" t="s">
        <v>621</v>
      </c>
      <c r="B1685" s="62" t="s">
        <v>621</v>
      </c>
      <c r="C1685" s="63"/>
      <c r="D1685" s="64"/>
      <c r="E1685" s="65"/>
      <c r="F1685" s="66"/>
      <c r="G1685" s="63"/>
      <c r="H1685" s="67"/>
      <c r="I1685" s="68"/>
      <c r="J1685" s="68"/>
      <c r="K1685" s="32"/>
      <c r="L1685" s="75">
        <v>1685</v>
      </c>
      <c r="M1685" s="75"/>
      <c r="N1685" s="70"/>
      <c r="O1685" s="77" t="s">
        <v>179</v>
      </c>
      <c r="P1685" s="79">
        <v>45135.420335648145</v>
      </c>
      <c r="Q1685" s="77" t="s">
        <v>2924</v>
      </c>
      <c r="R1685" s="77">
        <v>0</v>
      </c>
      <c r="S1685" s="77">
        <v>0</v>
      </c>
      <c r="T1685" s="77">
        <v>0</v>
      </c>
      <c r="U1685" s="77">
        <v>0</v>
      </c>
      <c r="V1685" s="77">
        <v>9</v>
      </c>
      <c r="W1685" s="82" t="s">
        <v>5965</v>
      </c>
      <c r="X1685" s="80" t="str">
        <f>HYPERLINK("https://vm.tiktok.com/ZM2srsscC/")</f>
        <v>https://vm.tiktok.com/ZM2srsscC/</v>
      </c>
      <c r="Y1685" s="77" t="s">
        <v>7306</v>
      </c>
      <c r="Z1685" s="77"/>
      <c r="AA1685" s="77"/>
      <c r="AB1685" s="77"/>
      <c r="AC1685" s="82" t="s">
        <v>10146</v>
      </c>
      <c r="AD1685" s="77" t="s">
        <v>10184</v>
      </c>
      <c r="AE1685" s="80" t="str">
        <f>HYPERLINK("https://twitter.com/emersonguerrei7/status/1684867614084857856")</f>
        <v>https://twitter.com/emersonguerrei7/status/1684867614084857856</v>
      </c>
      <c r="AF1685" s="79">
        <v>45135.420335648145</v>
      </c>
      <c r="AG1685" s="85">
        <v>45135</v>
      </c>
      <c r="AH1685" s="82" t="s">
        <v>11813</v>
      </c>
      <c r="AI1685" s="77" t="b">
        <v>0</v>
      </c>
      <c r="AJ1685" s="77"/>
      <c r="AK1685" s="77"/>
      <c r="AL1685" s="77"/>
      <c r="AM1685" s="77"/>
      <c r="AN1685" s="77"/>
      <c r="AO1685" s="77"/>
      <c r="AP1685" s="77"/>
      <c r="AQ1685" s="77"/>
      <c r="AR1685" s="77"/>
      <c r="AS1685" s="77"/>
      <c r="AT1685" s="77"/>
      <c r="AU1685" s="77"/>
      <c r="AV1685" s="80" t="str">
        <f>HYPERLINK("https://pbs.twimg.com/profile_images/1008465601348751360/75PlTqWQ_normal.jpg")</f>
        <v>https://pbs.twimg.com/profile_images/1008465601348751360/75PlTqWQ_normal.jpg</v>
      </c>
      <c r="AW1685" s="82" t="s">
        <v>18453</v>
      </c>
      <c r="AX1685" s="82" t="s">
        <v>18453</v>
      </c>
      <c r="AY1685" s="77"/>
      <c r="AZ1685" s="82" t="s">
        <v>20971</v>
      </c>
      <c r="BA1685" s="82" t="s">
        <v>20971</v>
      </c>
      <c r="BB1685" s="82" t="s">
        <v>20971</v>
      </c>
      <c r="BC1685" s="82" t="s">
        <v>18453</v>
      </c>
      <c r="BD1685" s="82" t="s">
        <v>21306</v>
      </c>
      <c r="BE1685" s="77"/>
      <c r="BF1685" s="77"/>
      <c r="BG1685" s="77"/>
      <c r="BH1685" s="77"/>
      <c r="BI1685" s="77"/>
    </row>
    <row r="1686" spans="1:61" x14ac:dyDescent="0.25">
      <c r="A1686" s="62" t="s">
        <v>622</v>
      </c>
      <c r="B1686" s="62" t="s">
        <v>622</v>
      </c>
      <c r="C1686" s="63"/>
      <c r="D1686" s="64"/>
      <c r="E1686" s="65"/>
      <c r="F1686" s="66"/>
      <c r="G1686" s="63"/>
      <c r="H1686" s="67"/>
      <c r="I1686" s="68"/>
      <c r="J1686" s="68"/>
      <c r="K1686" s="32"/>
      <c r="L1686" s="75">
        <v>1686</v>
      </c>
      <c r="M1686" s="75"/>
      <c r="N1686" s="70"/>
      <c r="O1686" s="77" t="s">
        <v>179</v>
      </c>
      <c r="P1686" s="79">
        <v>44990.045162037037</v>
      </c>
      <c r="Q1686" s="77" t="s">
        <v>2925</v>
      </c>
      <c r="R1686" s="77">
        <v>0</v>
      </c>
      <c r="S1686" s="77">
        <v>0</v>
      </c>
      <c r="T1686" s="77">
        <v>0</v>
      </c>
      <c r="U1686" s="77">
        <v>0</v>
      </c>
      <c r="V1686" s="77">
        <v>17</v>
      </c>
      <c r="W1686" s="82" t="s">
        <v>5966</v>
      </c>
      <c r="X1686" s="80" t="str">
        <f>HYPERLINK("https://www.instagram.com/p/CpY12lZtH65/?igshid=YTgzYjQ4ZTY=")</f>
        <v>https://www.instagram.com/p/CpY12lZtH65/?igshid=YTgzYjQ4ZTY=</v>
      </c>
      <c r="Y1686" s="77" t="s">
        <v>7250</v>
      </c>
      <c r="Z1686" s="77"/>
      <c r="AA1686" s="77"/>
      <c r="AB1686" s="77"/>
      <c r="AC1686" s="82" t="s">
        <v>10148</v>
      </c>
      <c r="AD1686" s="77" t="s">
        <v>10184</v>
      </c>
      <c r="AE1686" s="80" t="str">
        <f>HYPERLINK("https://twitter.com/lenkelma/status/1632185415905210368")</f>
        <v>https://twitter.com/lenkelma/status/1632185415905210368</v>
      </c>
      <c r="AF1686" s="79">
        <v>44990.045162037037</v>
      </c>
      <c r="AG1686" s="85">
        <v>44990</v>
      </c>
      <c r="AH1686" s="82" t="s">
        <v>11814</v>
      </c>
      <c r="AI1686" s="77" t="b">
        <v>0</v>
      </c>
      <c r="AJ1686" s="77"/>
      <c r="AK1686" s="77"/>
      <c r="AL1686" s="77"/>
      <c r="AM1686" s="77"/>
      <c r="AN1686" s="77"/>
      <c r="AO1686" s="77"/>
      <c r="AP1686" s="77"/>
      <c r="AQ1686" s="77"/>
      <c r="AR1686" s="77"/>
      <c r="AS1686" s="77"/>
      <c r="AT1686" s="77"/>
      <c r="AU1686" s="77"/>
      <c r="AV1686" s="80" t="str">
        <f>HYPERLINK("https://pbs.twimg.com/profile_images/1619366909505306625/p8mUjyIJ_normal.jpg")</f>
        <v>https://pbs.twimg.com/profile_images/1619366909505306625/p8mUjyIJ_normal.jpg</v>
      </c>
      <c r="AW1686" s="82" t="s">
        <v>18454</v>
      </c>
      <c r="AX1686" s="82" t="s">
        <v>18454</v>
      </c>
      <c r="AY1686" s="77"/>
      <c r="AZ1686" s="82" t="s">
        <v>20971</v>
      </c>
      <c r="BA1686" s="82" t="s">
        <v>20971</v>
      </c>
      <c r="BB1686" s="82" t="s">
        <v>20971</v>
      </c>
      <c r="BC1686" s="82" t="s">
        <v>18454</v>
      </c>
      <c r="BD1686" s="82" t="s">
        <v>21307</v>
      </c>
      <c r="BE1686" s="77"/>
      <c r="BF1686" s="77"/>
      <c r="BG1686" s="77"/>
      <c r="BH1686" s="77"/>
      <c r="BI1686" s="77"/>
    </row>
    <row r="1687" spans="1:61" x14ac:dyDescent="0.25">
      <c r="A1687" s="62" t="s">
        <v>622</v>
      </c>
      <c r="B1687" s="62" t="s">
        <v>622</v>
      </c>
      <c r="C1687" s="63"/>
      <c r="D1687" s="64"/>
      <c r="E1687" s="65"/>
      <c r="F1687" s="66"/>
      <c r="G1687" s="63"/>
      <c r="H1687" s="67"/>
      <c r="I1687" s="68"/>
      <c r="J1687" s="68"/>
      <c r="K1687" s="32"/>
      <c r="L1687" s="75">
        <v>1687</v>
      </c>
      <c r="M1687" s="75"/>
      <c r="N1687" s="70"/>
      <c r="O1687" s="77" t="s">
        <v>179</v>
      </c>
      <c r="P1687" s="79">
        <v>44986.614722222221</v>
      </c>
      <c r="Q1687" s="77" t="s">
        <v>2926</v>
      </c>
      <c r="R1687" s="77">
        <v>0</v>
      </c>
      <c r="S1687" s="77">
        <v>0</v>
      </c>
      <c r="T1687" s="77">
        <v>0</v>
      </c>
      <c r="U1687" s="77">
        <v>0</v>
      </c>
      <c r="V1687" s="77">
        <v>8</v>
      </c>
      <c r="W1687" s="82" t="s">
        <v>5967</v>
      </c>
      <c r="X1687" s="80" t="str">
        <f>HYPERLINK("https://www.instagram.com/p/CpQAiEPuk6v/?igshid=YTgzYjQ4ZTY=")</f>
        <v>https://www.instagram.com/p/CpQAiEPuk6v/?igshid=YTgzYjQ4ZTY=</v>
      </c>
      <c r="Y1687" s="77" t="s">
        <v>7250</v>
      </c>
      <c r="Z1687" s="77"/>
      <c r="AA1687" s="77"/>
      <c r="AB1687" s="77"/>
      <c r="AC1687" s="82" t="s">
        <v>10148</v>
      </c>
      <c r="AD1687" s="77" t="s">
        <v>10184</v>
      </c>
      <c r="AE1687" s="80" t="str">
        <f>HYPERLINK("https://twitter.com/lenkelma/status/1630942265219719168")</f>
        <v>https://twitter.com/lenkelma/status/1630942265219719168</v>
      </c>
      <c r="AF1687" s="79">
        <v>44986.614722222221</v>
      </c>
      <c r="AG1687" s="85">
        <v>44986</v>
      </c>
      <c r="AH1687" s="82" t="s">
        <v>11815</v>
      </c>
      <c r="AI1687" s="77" t="b">
        <v>0</v>
      </c>
      <c r="AJ1687" s="77"/>
      <c r="AK1687" s="77"/>
      <c r="AL1687" s="77"/>
      <c r="AM1687" s="77"/>
      <c r="AN1687" s="77"/>
      <c r="AO1687" s="77"/>
      <c r="AP1687" s="77"/>
      <c r="AQ1687" s="77"/>
      <c r="AR1687" s="77"/>
      <c r="AS1687" s="77"/>
      <c r="AT1687" s="77"/>
      <c r="AU1687" s="77"/>
      <c r="AV1687" s="80" t="str">
        <f>HYPERLINK("https://pbs.twimg.com/profile_images/1619366909505306625/p8mUjyIJ_normal.jpg")</f>
        <v>https://pbs.twimg.com/profile_images/1619366909505306625/p8mUjyIJ_normal.jpg</v>
      </c>
      <c r="AW1687" s="82" t="s">
        <v>18455</v>
      </c>
      <c r="AX1687" s="82" t="s">
        <v>18455</v>
      </c>
      <c r="AY1687" s="77"/>
      <c r="AZ1687" s="82" t="s">
        <v>20971</v>
      </c>
      <c r="BA1687" s="82" t="s">
        <v>20971</v>
      </c>
      <c r="BB1687" s="82" t="s">
        <v>20971</v>
      </c>
      <c r="BC1687" s="82" t="s">
        <v>18455</v>
      </c>
      <c r="BD1687" s="82" t="s">
        <v>21307</v>
      </c>
      <c r="BE1687" s="77"/>
      <c r="BF1687" s="77"/>
      <c r="BG1687" s="77"/>
      <c r="BH1687" s="77"/>
      <c r="BI1687" s="77"/>
    </row>
    <row r="1688" spans="1:61" x14ac:dyDescent="0.25">
      <c r="A1688" s="62" t="s">
        <v>623</v>
      </c>
      <c r="B1688" s="62" t="s">
        <v>623</v>
      </c>
      <c r="C1688" s="63"/>
      <c r="D1688" s="64"/>
      <c r="E1688" s="65"/>
      <c r="F1688" s="66"/>
      <c r="G1688" s="63"/>
      <c r="H1688" s="67"/>
      <c r="I1688" s="68"/>
      <c r="J1688" s="68"/>
      <c r="K1688" s="32"/>
      <c r="L1688" s="75">
        <v>1688</v>
      </c>
      <c r="M1688" s="75"/>
      <c r="N1688" s="70"/>
      <c r="O1688" s="77" t="s">
        <v>179</v>
      </c>
      <c r="P1688" s="79">
        <v>44982.875104166669</v>
      </c>
      <c r="Q1688" s="77" t="s">
        <v>2927</v>
      </c>
      <c r="R1688" s="77">
        <v>0</v>
      </c>
      <c r="S1688" s="77">
        <v>0</v>
      </c>
      <c r="T1688" s="77">
        <v>0</v>
      </c>
      <c r="U1688" s="77">
        <v>0</v>
      </c>
      <c r="V1688" s="77">
        <v>36</v>
      </c>
      <c r="W1688" s="82" t="s">
        <v>5968</v>
      </c>
      <c r="X1688" s="77"/>
      <c r="Y1688" s="77"/>
      <c r="Z1688" s="77"/>
      <c r="AA1688" s="77" t="s">
        <v>8302</v>
      </c>
      <c r="AB1688" s="77" t="s">
        <v>10130</v>
      </c>
      <c r="AC1688" s="82" t="s">
        <v>10144</v>
      </c>
      <c r="AD1688" s="77" t="s">
        <v>10184</v>
      </c>
      <c r="AE1688" s="80" t="str">
        <f>HYPERLINK("https://twitter.com/lena_patty/status/1629587074402623489")</f>
        <v>https://twitter.com/lena_patty/status/1629587074402623489</v>
      </c>
      <c r="AF1688" s="79">
        <v>44982.875104166669</v>
      </c>
      <c r="AG1688" s="85">
        <v>44982</v>
      </c>
      <c r="AH1688" s="82" t="s">
        <v>11816</v>
      </c>
      <c r="AI1688" s="77" t="b">
        <v>0</v>
      </c>
      <c r="AJ1688" s="77"/>
      <c r="AK1688" s="77"/>
      <c r="AL1688" s="77"/>
      <c r="AM1688" s="77"/>
      <c r="AN1688" s="77"/>
      <c r="AO1688" s="77"/>
      <c r="AP1688" s="77"/>
      <c r="AQ1688" s="77" t="s">
        <v>14946</v>
      </c>
      <c r="AR1688" s="77"/>
      <c r="AS1688" s="77"/>
      <c r="AT1688" s="77"/>
      <c r="AU1688" s="77"/>
      <c r="AV1688" s="80" t="str">
        <f>HYPERLINK("https://pbs.twimg.com/media/Fp10zuuXoAMX93b.jpg")</f>
        <v>https://pbs.twimg.com/media/Fp10zuuXoAMX93b.jpg</v>
      </c>
      <c r="AW1688" s="82" t="s">
        <v>18456</v>
      </c>
      <c r="AX1688" s="82" t="s">
        <v>18456</v>
      </c>
      <c r="AY1688" s="77"/>
      <c r="AZ1688" s="82" t="s">
        <v>20971</v>
      </c>
      <c r="BA1688" s="82" t="s">
        <v>20971</v>
      </c>
      <c r="BB1688" s="82" t="s">
        <v>20971</v>
      </c>
      <c r="BC1688" s="82" t="s">
        <v>18456</v>
      </c>
      <c r="BD1688" s="77">
        <v>1264784546</v>
      </c>
      <c r="BE1688" s="77"/>
      <c r="BF1688" s="77"/>
      <c r="BG1688" s="77"/>
      <c r="BH1688" s="77"/>
      <c r="BI1688" s="77"/>
    </row>
    <row r="1689" spans="1:61" x14ac:dyDescent="0.25">
      <c r="A1689" s="62" t="s">
        <v>624</v>
      </c>
      <c r="B1689" s="62" t="s">
        <v>624</v>
      </c>
      <c r="C1689" s="63"/>
      <c r="D1689" s="64"/>
      <c r="E1689" s="65"/>
      <c r="F1689" s="66"/>
      <c r="G1689" s="63"/>
      <c r="H1689" s="67"/>
      <c r="I1689" s="68"/>
      <c r="J1689" s="68"/>
      <c r="K1689" s="32"/>
      <c r="L1689" s="75">
        <v>1689</v>
      </c>
      <c r="M1689" s="75"/>
      <c r="N1689" s="70"/>
      <c r="O1689" s="77" t="s">
        <v>179</v>
      </c>
      <c r="P1689" s="79">
        <v>45015.385254629633</v>
      </c>
      <c r="Q1689" s="77" t="s">
        <v>2928</v>
      </c>
      <c r="R1689" s="77">
        <v>0</v>
      </c>
      <c r="S1689" s="77">
        <v>0</v>
      </c>
      <c r="T1689" s="77">
        <v>0</v>
      </c>
      <c r="U1689" s="77">
        <v>0</v>
      </c>
      <c r="V1689" s="77">
        <v>11</v>
      </c>
      <c r="W1689" s="82" t="s">
        <v>5969</v>
      </c>
      <c r="X1689" s="80" t="str">
        <f>HYPERLINK("https://bit.ly/LucreAssistindoVideosNoCelularAqui")</f>
        <v>https://bit.ly/LucreAssistindoVideosNoCelularAqui</v>
      </c>
      <c r="Y1689" s="77" t="s">
        <v>7268</v>
      </c>
      <c r="Z1689" s="77"/>
      <c r="AA1689" s="77" t="s">
        <v>8303</v>
      </c>
      <c r="AB1689" s="77" t="s">
        <v>10130</v>
      </c>
      <c r="AC1689" s="82" t="s">
        <v>10144</v>
      </c>
      <c r="AD1689" s="77" t="s">
        <v>10184</v>
      </c>
      <c r="AE1689" s="80" t="str">
        <f>HYPERLINK("https://twitter.com/assistindo_vid/status/1641368359873683458")</f>
        <v>https://twitter.com/assistindo_vid/status/1641368359873683458</v>
      </c>
      <c r="AF1689" s="79">
        <v>45015.385254629633</v>
      </c>
      <c r="AG1689" s="85">
        <v>45015</v>
      </c>
      <c r="AH1689" s="82" t="s">
        <v>11817</v>
      </c>
      <c r="AI1689" s="77" t="b">
        <v>0</v>
      </c>
      <c r="AJ1689" s="77"/>
      <c r="AK1689" s="77"/>
      <c r="AL1689" s="77"/>
      <c r="AM1689" s="77"/>
      <c r="AN1689" s="77"/>
      <c r="AO1689" s="77"/>
      <c r="AP1689" s="77"/>
      <c r="AQ1689" s="77" t="s">
        <v>14947</v>
      </c>
      <c r="AR1689" s="77"/>
      <c r="AS1689" s="77"/>
      <c r="AT1689" s="77"/>
      <c r="AU1689" s="77"/>
      <c r="AV1689" s="80" t="str">
        <f>HYPERLINK("https://pbs.twimg.com/media/FsdP0zTXgAAT_XC.jpg")</f>
        <v>https://pbs.twimg.com/media/FsdP0zTXgAAT_XC.jpg</v>
      </c>
      <c r="AW1689" s="82" t="s">
        <v>18457</v>
      </c>
      <c r="AX1689" s="82" t="s">
        <v>18457</v>
      </c>
      <c r="AY1689" s="77"/>
      <c r="AZ1689" s="82" t="s">
        <v>20971</v>
      </c>
      <c r="BA1689" s="82" t="s">
        <v>20971</v>
      </c>
      <c r="BB1689" s="82" t="s">
        <v>20971</v>
      </c>
      <c r="BC1689" s="82" t="s">
        <v>18457</v>
      </c>
      <c r="BD1689" s="82" t="s">
        <v>21308</v>
      </c>
      <c r="BE1689" s="77"/>
      <c r="BF1689" s="77"/>
      <c r="BG1689" s="77"/>
      <c r="BH1689" s="77"/>
      <c r="BI1689" s="77"/>
    </row>
    <row r="1690" spans="1:61" x14ac:dyDescent="0.25">
      <c r="A1690" s="62" t="s">
        <v>624</v>
      </c>
      <c r="B1690" s="62" t="s">
        <v>624</v>
      </c>
      <c r="C1690" s="63"/>
      <c r="D1690" s="64"/>
      <c r="E1690" s="65"/>
      <c r="F1690" s="66"/>
      <c r="G1690" s="63"/>
      <c r="H1690" s="67"/>
      <c r="I1690" s="68"/>
      <c r="J1690" s="68"/>
      <c r="K1690" s="32"/>
      <c r="L1690" s="75">
        <v>1690</v>
      </c>
      <c r="M1690" s="75"/>
      <c r="N1690" s="70"/>
      <c r="O1690" s="77" t="s">
        <v>179</v>
      </c>
      <c r="P1690" s="79">
        <v>45015.109502314815</v>
      </c>
      <c r="Q1690" s="77" t="s">
        <v>2929</v>
      </c>
      <c r="R1690" s="77">
        <v>0</v>
      </c>
      <c r="S1690" s="77">
        <v>0</v>
      </c>
      <c r="T1690" s="77">
        <v>0</v>
      </c>
      <c r="U1690" s="77">
        <v>0</v>
      </c>
      <c r="V1690" s="77">
        <v>25</v>
      </c>
      <c r="W1690" s="82" t="s">
        <v>5969</v>
      </c>
      <c r="X1690" s="80" t="str">
        <f>HYPERLINK("http://bit.ly/LucrandoAssist")</f>
        <v>http://bit.ly/LucrandoAssist</v>
      </c>
      <c r="Y1690" s="77" t="s">
        <v>7268</v>
      </c>
      <c r="Z1690" s="77"/>
      <c r="AA1690" s="77" t="s">
        <v>8304</v>
      </c>
      <c r="AB1690" s="77" t="s">
        <v>10129</v>
      </c>
      <c r="AC1690" s="82" t="s">
        <v>10144</v>
      </c>
      <c r="AD1690" s="77" t="s">
        <v>10184</v>
      </c>
      <c r="AE1690" s="80" t="str">
        <f>HYPERLINK("https://twitter.com/assistindo_vid/status/1641268427883966466")</f>
        <v>https://twitter.com/assistindo_vid/status/1641268427883966466</v>
      </c>
      <c r="AF1690" s="79">
        <v>45015.109502314815</v>
      </c>
      <c r="AG1690" s="85">
        <v>45015</v>
      </c>
      <c r="AH1690" s="82" t="s">
        <v>11818</v>
      </c>
      <c r="AI1690" s="77" t="b">
        <v>0</v>
      </c>
      <c r="AJ1690" s="77"/>
      <c r="AK1690" s="77"/>
      <c r="AL1690" s="77"/>
      <c r="AM1690" s="77"/>
      <c r="AN1690" s="77"/>
      <c r="AO1690" s="77"/>
      <c r="AP1690" s="77"/>
      <c r="AQ1690" s="77" t="s">
        <v>14948</v>
      </c>
      <c r="AR1690" s="77">
        <v>44927</v>
      </c>
      <c r="AS1690" s="77"/>
      <c r="AT1690" s="77"/>
      <c r="AU1690" s="77"/>
      <c r="AV1690" s="80" t="str">
        <f>HYPERLINK("https://pbs.twimg.com/ext_tw_video_thumb/1641268319180275715/pu/img/3XKs-RROxgnxCaL2.jpg")</f>
        <v>https://pbs.twimg.com/ext_tw_video_thumb/1641268319180275715/pu/img/3XKs-RROxgnxCaL2.jpg</v>
      </c>
      <c r="AW1690" s="82" t="s">
        <v>18458</v>
      </c>
      <c r="AX1690" s="82" t="s">
        <v>18458</v>
      </c>
      <c r="AY1690" s="77"/>
      <c r="AZ1690" s="82" t="s">
        <v>20971</v>
      </c>
      <c r="BA1690" s="82" t="s">
        <v>20971</v>
      </c>
      <c r="BB1690" s="82" t="s">
        <v>20971</v>
      </c>
      <c r="BC1690" s="82" t="s">
        <v>18458</v>
      </c>
      <c r="BD1690" s="82" t="s">
        <v>21308</v>
      </c>
      <c r="BE1690" s="77"/>
      <c r="BF1690" s="77"/>
      <c r="BG1690" s="77"/>
      <c r="BH1690" s="77"/>
      <c r="BI1690" s="77"/>
    </row>
    <row r="1691" spans="1:61" x14ac:dyDescent="0.25">
      <c r="A1691" s="62" t="s">
        <v>624</v>
      </c>
      <c r="B1691" s="62" t="s">
        <v>624</v>
      </c>
      <c r="C1691" s="63"/>
      <c r="D1691" s="64"/>
      <c r="E1691" s="65"/>
      <c r="F1691" s="66"/>
      <c r="G1691" s="63"/>
      <c r="H1691" s="67"/>
      <c r="I1691" s="68"/>
      <c r="J1691" s="68"/>
      <c r="K1691" s="32"/>
      <c r="L1691" s="75">
        <v>1691</v>
      </c>
      <c r="M1691" s="75"/>
      <c r="N1691" s="70"/>
      <c r="O1691" s="77" t="s">
        <v>179</v>
      </c>
      <c r="P1691" s="79">
        <v>45015.108877314815</v>
      </c>
      <c r="Q1691" s="77" t="s">
        <v>2930</v>
      </c>
      <c r="R1691" s="77">
        <v>0</v>
      </c>
      <c r="S1691" s="77">
        <v>0</v>
      </c>
      <c r="T1691" s="77">
        <v>0</v>
      </c>
      <c r="U1691" s="77">
        <v>0</v>
      </c>
      <c r="V1691" s="77">
        <v>18</v>
      </c>
      <c r="W1691" s="82" t="s">
        <v>5969</v>
      </c>
      <c r="X1691" s="80" t="str">
        <f>HYPERLINK("http://bit.ly/LucrandoAssist")</f>
        <v>http://bit.ly/LucrandoAssist</v>
      </c>
      <c r="Y1691" s="77" t="s">
        <v>7268</v>
      </c>
      <c r="Z1691" s="77"/>
      <c r="AA1691" s="77" t="s">
        <v>8305</v>
      </c>
      <c r="AB1691" s="77" t="s">
        <v>10129</v>
      </c>
      <c r="AC1691" s="82" t="s">
        <v>10144</v>
      </c>
      <c r="AD1691" s="77" t="s">
        <v>10184</v>
      </c>
      <c r="AE1691" s="80" t="str">
        <f>HYPERLINK("https://twitter.com/assistindo_vid/status/1641268200963731457")</f>
        <v>https://twitter.com/assistindo_vid/status/1641268200963731457</v>
      </c>
      <c r="AF1691" s="79">
        <v>45015.108877314815</v>
      </c>
      <c r="AG1691" s="85">
        <v>45015</v>
      </c>
      <c r="AH1691" s="82" t="s">
        <v>11819</v>
      </c>
      <c r="AI1691" s="77" t="b">
        <v>0</v>
      </c>
      <c r="AJ1691" s="77"/>
      <c r="AK1691" s="77"/>
      <c r="AL1691" s="77"/>
      <c r="AM1691" s="77"/>
      <c r="AN1691" s="77"/>
      <c r="AO1691" s="77"/>
      <c r="AP1691" s="77"/>
      <c r="AQ1691" s="77" t="s">
        <v>14949</v>
      </c>
      <c r="AR1691" s="77">
        <v>41215</v>
      </c>
      <c r="AS1691" s="77"/>
      <c r="AT1691" s="77"/>
      <c r="AU1691" s="77"/>
      <c r="AV1691" s="80" t="str">
        <f>HYPERLINK("https://pbs.twimg.com/ext_tw_video_thumb/1641268166172065793/pu/img/_UekR7uRwUMVSXsI.jpg")</f>
        <v>https://pbs.twimg.com/ext_tw_video_thumb/1641268166172065793/pu/img/_UekR7uRwUMVSXsI.jpg</v>
      </c>
      <c r="AW1691" s="82" t="s">
        <v>18459</v>
      </c>
      <c r="AX1691" s="82" t="s">
        <v>18459</v>
      </c>
      <c r="AY1691" s="77"/>
      <c r="AZ1691" s="82" t="s">
        <v>20971</v>
      </c>
      <c r="BA1691" s="82" t="s">
        <v>20971</v>
      </c>
      <c r="BB1691" s="82" t="s">
        <v>20971</v>
      </c>
      <c r="BC1691" s="82" t="s">
        <v>18459</v>
      </c>
      <c r="BD1691" s="82" t="s">
        <v>21308</v>
      </c>
      <c r="BE1691" s="77"/>
      <c r="BF1691" s="77"/>
      <c r="BG1691" s="77"/>
      <c r="BH1691" s="77"/>
      <c r="BI1691" s="77"/>
    </row>
    <row r="1692" spans="1:61" x14ac:dyDescent="0.25">
      <c r="A1692" s="62" t="s">
        <v>624</v>
      </c>
      <c r="B1692" s="62" t="s">
        <v>624</v>
      </c>
      <c r="C1692" s="63"/>
      <c r="D1692" s="64"/>
      <c r="E1692" s="65"/>
      <c r="F1692" s="66"/>
      <c r="G1692" s="63"/>
      <c r="H1692" s="67"/>
      <c r="I1692" s="68"/>
      <c r="J1692" s="68"/>
      <c r="K1692" s="32"/>
      <c r="L1692" s="75">
        <v>1692</v>
      </c>
      <c r="M1692" s="75"/>
      <c r="N1692" s="70"/>
      <c r="O1692" s="77" t="s">
        <v>179</v>
      </c>
      <c r="P1692" s="79">
        <v>45015.108865740738</v>
      </c>
      <c r="Q1692" s="77" t="s">
        <v>2931</v>
      </c>
      <c r="R1692" s="77">
        <v>0</v>
      </c>
      <c r="S1692" s="77">
        <v>0</v>
      </c>
      <c r="T1692" s="77">
        <v>0</v>
      </c>
      <c r="U1692" s="77">
        <v>0</v>
      </c>
      <c r="V1692" s="77">
        <v>15</v>
      </c>
      <c r="W1692" s="82" t="s">
        <v>5969</v>
      </c>
      <c r="X1692" s="80" t="str">
        <f>HYPERLINK("http://bit.ly/LucrandoAssist")</f>
        <v>http://bit.ly/LucrandoAssist</v>
      </c>
      <c r="Y1692" s="77" t="s">
        <v>7268</v>
      </c>
      <c r="Z1692" s="77"/>
      <c r="AA1692" s="77" t="s">
        <v>8306</v>
      </c>
      <c r="AB1692" s="77" t="s">
        <v>10130</v>
      </c>
      <c r="AC1692" s="82" t="s">
        <v>10144</v>
      </c>
      <c r="AD1692" s="77" t="s">
        <v>10184</v>
      </c>
      <c r="AE1692" s="80" t="str">
        <f>HYPERLINK("https://twitter.com/assistindo_vid/status/1641268200229810176")</f>
        <v>https://twitter.com/assistindo_vid/status/1641268200229810176</v>
      </c>
      <c r="AF1692" s="79">
        <v>45015.108865740738</v>
      </c>
      <c r="AG1692" s="85">
        <v>45015</v>
      </c>
      <c r="AH1692" s="82" t="s">
        <v>11820</v>
      </c>
      <c r="AI1692" s="77" t="b">
        <v>0</v>
      </c>
      <c r="AJ1692" s="77"/>
      <c r="AK1692" s="77"/>
      <c r="AL1692" s="77"/>
      <c r="AM1692" s="77"/>
      <c r="AN1692" s="77"/>
      <c r="AO1692" s="77"/>
      <c r="AP1692" s="77"/>
      <c r="AQ1692" s="77" t="s">
        <v>14950</v>
      </c>
      <c r="AR1692" s="77"/>
      <c r="AS1692" s="77"/>
      <c r="AT1692" s="77"/>
      <c r="AU1692" s="77"/>
      <c r="AV1692" s="80" t="str">
        <f>HYPERLINK("https://pbs.twimg.com/media/Fsb0uvkWIAILeG9.jpg")</f>
        <v>https://pbs.twimg.com/media/Fsb0uvkWIAILeG9.jpg</v>
      </c>
      <c r="AW1692" s="82" t="s">
        <v>18460</v>
      </c>
      <c r="AX1692" s="82" t="s">
        <v>18460</v>
      </c>
      <c r="AY1692" s="77"/>
      <c r="AZ1692" s="82" t="s">
        <v>20971</v>
      </c>
      <c r="BA1692" s="82" t="s">
        <v>20971</v>
      </c>
      <c r="BB1692" s="82" t="s">
        <v>20971</v>
      </c>
      <c r="BC1692" s="82" t="s">
        <v>18460</v>
      </c>
      <c r="BD1692" s="82" t="s">
        <v>21308</v>
      </c>
      <c r="BE1692" s="77"/>
      <c r="BF1692" s="77"/>
      <c r="BG1692" s="77"/>
      <c r="BH1692" s="77"/>
      <c r="BI1692" s="77"/>
    </row>
    <row r="1693" spans="1:61" x14ac:dyDescent="0.25">
      <c r="A1693" s="62" t="s">
        <v>624</v>
      </c>
      <c r="B1693" s="62" t="s">
        <v>624</v>
      </c>
      <c r="C1693" s="63"/>
      <c r="D1693" s="64"/>
      <c r="E1693" s="65"/>
      <c r="F1693" s="66"/>
      <c r="G1693" s="63"/>
      <c r="H1693" s="67"/>
      <c r="I1693" s="68"/>
      <c r="J1693" s="68"/>
      <c r="K1693" s="32"/>
      <c r="L1693" s="75">
        <v>1693</v>
      </c>
      <c r="M1693" s="75"/>
      <c r="N1693" s="70"/>
      <c r="O1693" s="77" t="s">
        <v>179</v>
      </c>
      <c r="P1693" s="79">
        <v>45014.540729166663</v>
      </c>
      <c r="Q1693" s="77" t="s">
        <v>2932</v>
      </c>
      <c r="R1693" s="77">
        <v>0</v>
      </c>
      <c r="S1693" s="77">
        <v>0</v>
      </c>
      <c r="T1693" s="77">
        <v>0</v>
      </c>
      <c r="U1693" s="77">
        <v>0</v>
      </c>
      <c r="V1693" s="77">
        <v>19</v>
      </c>
      <c r="W1693" s="82" t="s">
        <v>5969</v>
      </c>
      <c r="X1693" s="80" t="str">
        <f>HYPERLINK("https://bit.ly/LucrandoAssistindoVideosNoCelularJa")</f>
        <v>https://bit.ly/LucrandoAssistindoVideosNoCelularJa</v>
      </c>
      <c r="Y1693" s="77" t="s">
        <v>7268</v>
      </c>
      <c r="Z1693" s="77"/>
      <c r="AA1693" s="77" t="s">
        <v>8307</v>
      </c>
      <c r="AB1693" s="77" t="s">
        <v>10129</v>
      </c>
      <c r="AC1693" s="82" t="s">
        <v>10144</v>
      </c>
      <c r="AD1693" s="77" t="s">
        <v>10184</v>
      </c>
      <c r="AE1693" s="80" t="str">
        <f>HYPERLINK("https://twitter.com/assistindo_vid/status/1641062312999022594")</f>
        <v>https://twitter.com/assistindo_vid/status/1641062312999022594</v>
      </c>
      <c r="AF1693" s="79">
        <v>45014.540729166663</v>
      </c>
      <c r="AG1693" s="85">
        <v>45014</v>
      </c>
      <c r="AH1693" s="82" t="s">
        <v>11821</v>
      </c>
      <c r="AI1693" s="77" t="b">
        <v>0</v>
      </c>
      <c r="AJ1693" s="77"/>
      <c r="AK1693" s="77"/>
      <c r="AL1693" s="77"/>
      <c r="AM1693" s="77"/>
      <c r="AN1693" s="77"/>
      <c r="AO1693" s="77"/>
      <c r="AP1693" s="77"/>
      <c r="AQ1693" s="77" t="s">
        <v>14951</v>
      </c>
      <c r="AR1693" s="77">
        <v>48250</v>
      </c>
      <c r="AS1693" s="77"/>
      <c r="AT1693" s="77"/>
      <c r="AU1693" s="77"/>
      <c r="AV1693" s="80" t="str">
        <f>HYPERLINK("https://pbs.twimg.com/ext_tw_video_thumb/1641062280333864961/pu/img/_vPiatJ4c4VZahiC.jpg")</f>
        <v>https://pbs.twimg.com/ext_tw_video_thumb/1641062280333864961/pu/img/_vPiatJ4c4VZahiC.jpg</v>
      </c>
      <c r="AW1693" s="82" t="s">
        <v>18461</v>
      </c>
      <c r="AX1693" s="82" t="s">
        <v>18461</v>
      </c>
      <c r="AY1693" s="77"/>
      <c r="AZ1693" s="82" t="s">
        <v>20971</v>
      </c>
      <c r="BA1693" s="82" t="s">
        <v>20971</v>
      </c>
      <c r="BB1693" s="82" t="s">
        <v>20971</v>
      </c>
      <c r="BC1693" s="82" t="s">
        <v>18461</v>
      </c>
      <c r="BD1693" s="82" t="s">
        <v>21308</v>
      </c>
      <c r="BE1693" s="77"/>
      <c r="BF1693" s="77"/>
      <c r="BG1693" s="77"/>
      <c r="BH1693" s="77"/>
      <c r="BI1693" s="77"/>
    </row>
    <row r="1694" spans="1:61" x14ac:dyDescent="0.25">
      <c r="A1694" s="62" t="s">
        <v>624</v>
      </c>
      <c r="B1694" s="62" t="s">
        <v>624</v>
      </c>
      <c r="C1694" s="63"/>
      <c r="D1694" s="64"/>
      <c r="E1694" s="65"/>
      <c r="F1694" s="66"/>
      <c r="G1694" s="63"/>
      <c r="H1694" s="67"/>
      <c r="I1694" s="68"/>
      <c r="J1694" s="68"/>
      <c r="K1694" s="32"/>
      <c r="L1694" s="75">
        <v>1694</v>
      </c>
      <c r="M1694" s="75"/>
      <c r="N1694" s="70"/>
      <c r="O1694" s="77" t="s">
        <v>179</v>
      </c>
      <c r="P1694" s="79">
        <v>45014.540370370371</v>
      </c>
      <c r="Q1694" s="77" t="s">
        <v>2933</v>
      </c>
      <c r="R1694" s="77">
        <v>0</v>
      </c>
      <c r="S1694" s="77">
        <v>0</v>
      </c>
      <c r="T1694" s="77">
        <v>0</v>
      </c>
      <c r="U1694" s="77">
        <v>0</v>
      </c>
      <c r="V1694" s="77">
        <v>15</v>
      </c>
      <c r="W1694" s="82" t="s">
        <v>5969</v>
      </c>
      <c r="X1694" s="80" t="str">
        <f>HYPERLINK("https://bit.ly/LucrandoAssistindoVideosNoCelularJa")</f>
        <v>https://bit.ly/LucrandoAssistindoVideosNoCelularJa</v>
      </c>
      <c r="Y1694" s="77" t="s">
        <v>7268</v>
      </c>
      <c r="Z1694" s="77"/>
      <c r="AA1694" s="77" t="s">
        <v>8308</v>
      </c>
      <c r="AB1694" s="77" t="s">
        <v>10130</v>
      </c>
      <c r="AC1694" s="82" t="s">
        <v>10144</v>
      </c>
      <c r="AD1694" s="77" t="s">
        <v>10184</v>
      </c>
      <c r="AE1694" s="80" t="str">
        <f>HYPERLINK("https://twitter.com/assistindo_vid/status/1641062180802949125")</f>
        <v>https://twitter.com/assistindo_vid/status/1641062180802949125</v>
      </c>
      <c r="AF1694" s="79">
        <v>45014.540370370371</v>
      </c>
      <c r="AG1694" s="85">
        <v>45014</v>
      </c>
      <c r="AH1694" s="82" t="s">
        <v>11822</v>
      </c>
      <c r="AI1694" s="77" t="b">
        <v>0</v>
      </c>
      <c r="AJ1694" s="77"/>
      <c r="AK1694" s="77"/>
      <c r="AL1694" s="77"/>
      <c r="AM1694" s="77"/>
      <c r="AN1694" s="77"/>
      <c r="AO1694" s="77"/>
      <c r="AP1694" s="77"/>
      <c r="AQ1694" s="77" t="s">
        <v>14952</v>
      </c>
      <c r="AR1694" s="77"/>
      <c r="AS1694" s="77"/>
      <c r="AT1694" s="77"/>
      <c r="AU1694" s="77"/>
      <c r="AV1694" s="80" t="str">
        <f>HYPERLINK("https://pbs.twimg.com/media/FsY5W2VWIAEjkYX.jpg")</f>
        <v>https://pbs.twimg.com/media/FsY5W2VWIAEjkYX.jpg</v>
      </c>
      <c r="AW1694" s="82" t="s">
        <v>18462</v>
      </c>
      <c r="AX1694" s="82" t="s">
        <v>18462</v>
      </c>
      <c r="AY1694" s="77"/>
      <c r="AZ1694" s="82" t="s">
        <v>20971</v>
      </c>
      <c r="BA1694" s="82" t="s">
        <v>20971</v>
      </c>
      <c r="BB1694" s="82" t="s">
        <v>20971</v>
      </c>
      <c r="BC1694" s="82" t="s">
        <v>18462</v>
      </c>
      <c r="BD1694" s="82" t="s">
        <v>21308</v>
      </c>
      <c r="BE1694" s="77"/>
      <c r="BF1694" s="77"/>
      <c r="BG1694" s="77"/>
      <c r="BH1694" s="77"/>
      <c r="BI1694" s="77"/>
    </row>
    <row r="1695" spans="1:61" x14ac:dyDescent="0.25">
      <c r="A1695" s="62" t="s">
        <v>624</v>
      </c>
      <c r="B1695" s="62" t="s">
        <v>624</v>
      </c>
      <c r="C1695" s="63"/>
      <c r="D1695" s="64"/>
      <c r="E1695" s="65"/>
      <c r="F1695" s="66"/>
      <c r="G1695" s="63"/>
      <c r="H1695" s="67"/>
      <c r="I1695" s="68"/>
      <c r="J1695" s="68"/>
      <c r="K1695" s="32"/>
      <c r="L1695" s="75">
        <v>1695</v>
      </c>
      <c r="M1695" s="75"/>
      <c r="N1695" s="70"/>
      <c r="O1695" s="77" t="s">
        <v>179</v>
      </c>
      <c r="P1695" s="79">
        <v>45014.540300925924</v>
      </c>
      <c r="Q1695" s="77" t="s">
        <v>2934</v>
      </c>
      <c r="R1695" s="77">
        <v>0</v>
      </c>
      <c r="S1695" s="77">
        <v>0</v>
      </c>
      <c r="T1695" s="77">
        <v>0</v>
      </c>
      <c r="U1695" s="77">
        <v>0</v>
      </c>
      <c r="V1695" s="77">
        <v>17</v>
      </c>
      <c r="W1695" s="82" t="s">
        <v>5969</v>
      </c>
      <c r="X1695" s="80" t="str">
        <f>HYPERLINK("https://bit.ly/LucrandoAssistindoVideosNoCelularJa")</f>
        <v>https://bit.ly/LucrandoAssistindoVideosNoCelularJa</v>
      </c>
      <c r="Y1695" s="77" t="s">
        <v>7268</v>
      </c>
      <c r="Z1695" s="77"/>
      <c r="AA1695" s="77" t="s">
        <v>8309</v>
      </c>
      <c r="AB1695" s="77" t="s">
        <v>10129</v>
      </c>
      <c r="AC1695" s="82" t="s">
        <v>10144</v>
      </c>
      <c r="AD1695" s="77" t="s">
        <v>10184</v>
      </c>
      <c r="AE1695" s="80" t="str">
        <f>HYPERLINK("https://twitter.com/assistindo_vid/status/1641062157843410944")</f>
        <v>https://twitter.com/assistindo_vid/status/1641062157843410944</v>
      </c>
      <c r="AF1695" s="79">
        <v>45014.540300925924</v>
      </c>
      <c r="AG1695" s="85">
        <v>45014</v>
      </c>
      <c r="AH1695" s="82" t="s">
        <v>11823</v>
      </c>
      <c r="AI1695" s="77" t="b">
        <v>0</v>
      </c>
      <c r="AJ1695" s="77"/>
      <c r="AK1695" s="77"/>
      <c r="AL1695" s="77"/>
      <c r="AM1695" s="77"/>
      <c r="AN1695" s="77"/>
      <c r="AO1695" s="77"/>
      <c r="AP1695" s="77"/>
      <c r="AQ1695" s="77" t="s">
        <v>14953</v>
      </c>
      <c r="AR1695" s="77">
        <v>20433</v>
      </c>
      <c r="AS1695" s="77"/>
      <c r="AT1695" s="77"/>
      <c r="AU1695" s="77"/>
      <c r="AV1695" s="80" t="str">
        <f>HYPERLINK("https://pbs.twimg.com/ext_tw_video_thumb/1641062130744020995/pu/img/SOEunkm7IvzUiEch.jpg")</f>
        <v>https://pbs.twimg.com/ext_tw_video_thumb/1641062130744020995/pu/img/SOEunkm7IvzUiEch.jpg</v>
      </c>
      <c r="AW1695" s="82" t="s">
        <v>18463</v>
      </c>
      <c r="AX1695" s="82" t="s">
        <v>18463</v>
      </c>
      <c r="AY1695" s="77"/>
      <c r="AZ1695" s="82" t="s">
        <v>20971</v>
      </c>
      <c r="BA1695" s="82" t="s">
        <v>20971</v>
      </c>
      <c r="BB1695" s="82" t="s">
        <v>20971</v>
      </c>
      <c r="BC1695" s="82" t="s">
        <v>18463</v>
      </c>
      <c r="BD1695" s="82" t="s">
        <v>21308</v>
      </c>
      <c r="BE1695" s="77"/>
      <c r="BF1695" s="77"/>
      <c r="BG1695" s="77"/>
      <c r="BH1695" s="77"/>
      <c r="BI1695" s="77"/>
    </row>
    <row r="1696" spans="1:61" x14ac:dyDescent="0.25">
      <c r="A1696" s="62" t="s">
        <v>624</v>
      </c>
      <c r="B1696" s="62" t="s">
        <v>624</v>
      </c>
      <c r="C1696" s="63"/>
      <c r="D1696" s="64"/>
      <c r="E1696" s="65"/>
      <c r="F1696" s="66"/>
      <c r="G1696" s="63"/>
      <c r="H1696" s="67"/>
      <c r="I1696" s="68"/>
      <c r="J1696" s="68"/>
      <c r="K1696" s="32"/>
      <c r="L1696" s="75">
        <v>1696</v>
      </c>
      <c r="M1696" s="75"/>
      <c r="N1696" s="70"/>
      <c r="O1696" s="77" t="s">
        <v>179</v>
      </c>
      <c r="P1696" s="79">
        <v>45014.539976851855</v>
      </c>
      <c r="Q1696" s="77" t="s">
        <v>2935</v>
      </c>
      <c r="R1696" s="77">
        <v>0</v>
      </c>
      <c r="S1696" s="77">
        <v>0</v>
      </c>
      <c r="T1696" s="77">
        <v>0</v>
      </c>
      <c r="U1696" s="77">
        <v>0</v>
      </c>
      <c r="V1696" s="77">
        <v>12</v>
      </c>
      <c r="W1696" s="82" t="s">
        <v>5969</v>
      </c>
      <c r="X1696" s="80" t="str">
        <f>HYPERLINK("https://bit.ly/LucrandoAssistindoVideosNoCelularJa")</f>
        <v>https://bit.ly/LucrandoAssistindoVideosNoCelularJa</v>
      </c>
      <c r="Y1696" s="77" t="s">
        <v>7268</v>
      </c>
      <c r="Z1696" s="77"/>
      <c r="AA1696" s="77" t="s">
        <v>8310</v>
      </c>
      <c r="AB1696" s="77" t="s">
        <v>10130</v>
      </c>
      <c r="AC1696" s="82" t="s">
        <v>10144</v>
      </c>
      <c r="AD1696" s="77" t="s">
        <v>10184</v>
      </c>
      <c r="AE1696" s="80" t="str">
        <f>HYPERLINK("https://twitter.com/assistindo_vid/status/1641062039585005570")</f>
        <v>https://twitter.com/assistindo_vid/status/1641062039585005570</v>
      </c>
      <c r="AF1696" s="79">
        <v>45014.539976851855</v>
      </c>
      <c r="AG1696" s="85">
        <v>45014</v>
      </c>
      <c r="AH1696" s="82" t="s">
        <v>11824</v>
      </c>
      <c r="AI1696" s="77" t="b">
        <v>0</v>
      </c>
      <c r="AJ1696" s="77"/>
      <c r="AK1696" s="77"/>
      <c r="AL1696" s="77"/>
      <c r="AM1696" s="77"/>
      <c r="AN1696" s="77"/>
      <c r="AO1696" s="77"/>
      <c r="AP1696" s="77"/>
      <c r="AQ1696" s="77" t="s">
        <v>14954</v>
      </c>
      <c r="AR1696" s="77"/>
      <c r="AS1696" s="77"/>
      <c r="AT1696" s="77"/>
      <c r="AU1696" s="77"/>
      <c r="AV1696" s="80" t="str">
        <f>HYPERLINK("https://pbs.twimg.com/media/FsY5OnwXoAEFvle.jpg")</f>
        <v>https://pbs.twimg.com/media/FsY5OnwXoAEFvle.jpg</v>
      </c>
      <c r="AW1696" s="82" t="s">
        <v>18464</v>
      </c>
      <c r="AX1696" s="82" t="s">
        <v>18464</v>
      </c>
      <c r="AY1696" s="77"/>
      <c r="AZ1696" s="82" t="s">
        <v>20971</v>
      </c>
      <c r="BA1696" s="82" t="s">
        <v>20971</v>
      </c>
      <c r="BB1696" s="82" t="s">
        <v>20971</v>
      </c>
      <c r="BC1696" s="82" t="s">
        <v>18464</v>
      </c>
      <c r="BD1696" s="82" t="s">
        <v>21308</v>
      </c>
      <c r="BE1696" s="77"/>
      <c r="BF1696" s="77"/>
      <c r="BG1696" s="77"/>
      <c r="BH1696" s="77"/>
      <c r="BI1696" s="77"/>
    </row>
    <row r="1697" spans="1:61" x14ac:dyDescent="0.25">
      <c r="A1697" s="62" t="s">
        <v>624</v>
      </c>
      <c r="B1697" s="62" t="s">
        <v>624</v>
      </c>
      <c r="C1697" s="63"/>
      <c r="D1697" s="64"/>
      <c r="E1697" s="65"/>
      <c r="F1697" s="66"/>
      <c r="G1697" s="63"/>
      <c r="H1697" s="67"/>
      <c r="I1697" s="68"/>
      <c r="J1697" s="68"/>
      <c r="K1697" s="32"/>
      <c r="L1697" s="75">
        <v>1697</v>
      </c>
      <c r="M1697" s="75"/>
      <c r="N1697" s="70"/>
      <c r="O1697" s="77" t="s">
        <v>179</v>
      </c>
      <c r="P1697" s="79">
        <v>45051.427847222221</v>
      </c>
      <c r="Q1697" s="77" t="s">
        <v>2936</v>
      </c>
      <c r="R1697" s="77">
        <v>0</v>
      </c>
      <c r="S1697" s="77">
        <v>0</v>
      </c>
      <c r="T1697" s="77">
        <v>0</v>
      </c>
      <c r="U1697" s="77">
        <v>0</v>
      </c>
      <c r="V1697" s="77">
        <v>22</v>
      </c>
      <c r="W1697" s="82" t="s">
        <v>5969</v>
      </c>
      <c r="X1697" s="80" t="str">
        <f>HYPERLINK("https://bit.ly/GanheDinheiroAssistindoVideosNoCelular")</f>
        <v>https://bit.ly/GanheDinheiroAssistindoVideosNoCelular</v>
      </c>
      <c r="Y1697" s="77" t="s">
        <v>7268</v>
      </c>
      <c r="Z1697" s="77"/>
      <c r="AA1697" s="77" t="s">
        <v>8311</v>
      </c>
      <c r="AB1697" s="77" t="s">
        <v>10130</v>
      </c>
      <c r="AC1697" s="82" t="s">
        <v>10144</v>
      </c>
      <c r="AD1697" s="77" t="s">
        <v>10184</v>
      </c>
      <c r="AE1697" s="80" t="str">
        <f>HYPERLINK("https://twitter.com/assistindo_vid/status/1654429756887126017")</f>
        <v>https://twitter.com/assistindo_vid/status/1654429756887126017</v>
      </c>
      <c r="AF1697" s="79">
        <v>45051.427847222221</v>
      </c>
      <c r="AG1697" s="85">
        <v>45051</v>
      </c>
      <c r="AH1697" s="82" t="s">
        <v>11825</v>
      </c>
      <c r="AI1697" s="77" t="b">
        <v>0</v>
      </c>
      <c r="AJ1697" s="77"/>
      <c r="AK1697" s="77"/>
      <c r="AL1697" s="77"/>
      <c r="AM1697" s="77"/>
      <c r="AN1697" s="77"/>
      <c r="AO1697" s="77"/>
      <c r="AP1697" s="77"/>
      <c r="AQ1697" s="77" t="s">
        <v>14955</v>
      </c>
      <c r="AR1697" s="77"/>
      <c r="AS1697" s="77"/>
      <c r="AT1697" s="77"/>
      <c r="AU1697" s="77"/>
      <c r="AV1697" s="80" t="str">
        <f>HYPERLINK("https://pbs.twimg.com/media/FvW3GKlWAAM_GvB.jpg")</f>
        <v>https://pbs.twimg.com/media/FvW3GKlWAAM_GvB.jpg</v>
      </c>
      <c r="AW1697" s="82" t="s">
        <v>18465</v>
      </c>
      <c r="AX1697" s="82" t="s">
        <v>18465</v>
      </c>
      <c r="AY1697" s="77"/>
      <c r="AZ1697" s="82" t="s">
        <v>20971</v>
      </c>
      <c r="BA1697" s="82" t="s">
        <v>20971</v>
      </c>
      <c r="BB1697" s="82" t="s">
        <v>20971</v>
      </c>
      <c r="BC1697" s="82" t="s">
        <v>18465</v>
      </c>
      <c r="BD1697" s="82" t="s">
        <v>21308</v>
      </c>
      <c r="BE1697" s="77"/>
      <c r="BF1697" s="77"/>
      <c r="BG1697" s="77"/>
      <c r="BH1697" s="77"/>
      <c r="BI1697" s="77"/>
    </row>
    <row r="1698" spans="1:61" x14ac:dyDescent="0.25">
      <c r="A1698" s="62" t="s">
        <v>624</v>
      </c>
      <c r="B1698" s="62" t="s">
        <v>624</v>
      </c>
      <c r="C1698" s="63"/>
      <c r="D1698" s="64"/>
      <c r="E1698" s="65"/>
      <c r="F1698" s="66"/>
      <c r="G1698" s="63"/>
      <c r="H1698" s="67"/>
      <c r="I1698" s="68"/>
      <c r="J1698" s="68"/>
      <c r="K1698" s="32"/>
      <c r="L1698" s="75">
        <v>1698</v>
      </c>
      <c r="M1698" s="75"/>
      <c r="N1698" s="70"/>
      <c r="O1698" s="77" t="s">
        <v>179</v>
      </c>
      <c r="P1698" s="79">
        <v>45051.05164351852</v>
      </c>
      <c r="Q1698" s="77" t="s">
        <v>2937</v>
      </c>
      <c r="R1698" s="77">
        <v>0</v>
      </c>
      <c r="S1698" s="77">
        <v>0</v>
      </c>
      <c r="T1698" s="77">
        <v>0</v>
      </c>
      <c r="U1698" s="77">
        <v>0</v>
      </c>
      <c r="V1698" s="77">
        <v>19</v>
      </c>
      <c r="W1698" s="82" t="s">
        <v>5969</v>
      </c>
      <c r="X1698" s="80" t="str">
        <f>HYPERLINK("https://bit.ly/GanheDinheiroAssistindoVideosNoCelular")</f>
        <v>https://bit.ly/GanheDinheiroAssistindoVideosNoCelular</v>
      </c>
      <c r="Y1698" s="77" t="s">
        <v>7268</v>
      </c>
      <c r="Z1698" s="77"/>
      <c r="AA1698" s="77" t="s">
        <v>8312</v>
      </c>
      <c r="AB1698" s="77" t="s">
        <v>10129</v>
      </c>
      <c r="AC1698" s="82" t="s">
        <v>10144</v>
      </c>
      <c r="AD1698" s="77" t="s">
        <v>10184</v>
      </c>
      <c r="AE1698" s="80" t="str">
        <f>HYPERLINK("https://twitter.com/assistindo_vid/status/1654293425515114498")</f>
        <v>https://twitter.com/assistindo_vid/status/1654293425515114498</v>
      </c>
      <c r="AF1698" s="79">
        <v>45051.05164351852</v>
      </c>
      <c r="AG1698" s="85">
        <v>45051</v>
      </c>
      <c r="AH1698" s="82" t="s">
        <v>11826</v>
      </c>
      <c r="AI1698" s="77" t="b">
        <v>0</v>
      </c>
      <c r="AJ1698" s="77"/>
      <c r="AK1698" s="77"/>
      <c r="AL1698" s="77"/>
      <c r="AM1698" s="77"/>
      <c r="AN1698" s="77"/>
      <c r="AO1698" s="77"/>
      <c r="AP1698" s="77"/>
      <c r="AQ1698" s="77" t="s">
        <v>14956</v>
      </c>
      <c r="AR1698" s="77">
        <v>43513</v>
      </c>
      <c r="AS1698" s="77"/>
      <c r="AT1698" s="77"/>
      <c r="AU1698" s="77"/>
      <c r="AV1698" s="80" t="str">
        <f>HYPERLINK("https://pbs.twimg.com/ext_tw_video_thumb/1654293383735656448/pu/img/Qo7YVT0EQZf5VYxc.jpg")</f>
        <v>https://pbs.twimg.com/ext_tw_video_thumb/1654293383735656448/pu/img/Qo7YVT0EQZf5VYxc.jpg</v>
      </c>
      <c r="AW1698" s="82" t="s">
        <v>18466</v>
      </c>
      <c r="AX1698" s="82" t="s">
        <v>18466</v>
      </c>
      <c r="AY1698" s="77"/>
      <c r="AZ1698" s="82" t="s">
        <v>20971</v>
      </c>
      <c r="BA1698" s="82" t="s">
        <v>20971</v>
      </c>
      <c r="BB1698" s="82" t="s">
        <v>20971</v>
      </c>
      <c r="BC1698" s="82" t="s">
        <v>18466</v>
      </c>
      <c r="BD1698" s="82" t="s">
        <v>21308</v>
      </c>
      <c r="BE1698" s="77"/>
      <c r="BF1698" s="77"/>
      <c r="BG1698" s="77"/>
      <c r="BH1698" s="77"/>
      <c r="BI1698" s="77"/>
    </row>
    <row r="1699" spans="1:61" x14ac:dyDescent="0.25">
      <c r="A1699" s="62" t="s">
        <v>624</v>
      </c>
      <c r="B1699" s="62" t="s">
        <v>624</v>
      </c>
      <c r="C1699" s="63"/>
      <c r="D1699" s="64"/>
      <c r="E1699" s="65"/>
      <c r="F1699" s="66"/>
      <c r="G1699" s="63"/>
      <c r="H1699" s="67"/>
      <c r="I1699" s="68"/>
      <c r="J1699" s="68"/>
      <c r="K1699" s="32"/>
      <c r="L1699" s="75">
        <v>1699</v>
      </c>
      <c r="M1699" s="75"/>
      <c r="N1699" s="70"/>
      <c r="O1699" s="77" t="s">
        <v>179</v>
      </c>
      <c r="P1699" s="79">
        <v>45051.051574074074</v>
      </c>
      <c r="Q1699" s="77" t="s">
        <v>2938</v>
      </c>
      <c r="R1699" s="77">
        <v>0</v>
      </c>
      <c r="S1699" s="77">
        <v>0</v>
      </c>
      <c r="T1699" s="77">
        <v>0</v>
      </c>
      <c r="U1699" s="77">
        <v>0</v>
      </c>
      <c r="V1699" s="77">
        <v>14</v>
      </c>
      <c r="W1699" s="82" t="s">
        <v>5969</v>
      </c>
      <c r="X1699" s="80" t="str">
        <f>HYPERLINK("https://bit.ly/GanheDinheiroAssistindoVideosNoCelular")</f>
        <v>https://bit.ly/GanheDinheiroAssistindoVideosNoCelular</v>
      </c>
      <c r="Y1699" s="77" t="s">
        <v>7268</v>
      </c>
      <c r="Z1699" s="77"/>
      <c r="AA1699" s="77" t="s">
        <v>8313</v>
      </c>
      <c r="AB1699" s="77" t="s">
        <v>10130</v>
      </c>
      <c r="AC1699" s="82" t="s">
        <v>10144</v>
      </c>
      <c r="AD1699" s="77" t="s">
        <v>10184</v>
      </c>
      <c r="AE1699" s="80" t="str">
        <f>HYPERLINK("https://twitter.com/assistindo_vid/status/1654293399002836992")</f>
        <v>https://twitter.com/assistindo_vid/status/1654293399002836992</v>
      </c>
      <c r="AF1699" s="79">
        <v>45051.051574074074</v>
      </c>
      <c r="AG1699" s="85">
        <v>45051</v>
      </c>
      <c r="AH1699" s="82" t="s">
        <v>11827</v>
      </c>
      <c r="AI1699" s="77" t="b">
        <v>0</v>
      </c>
      <c r="AJ1699" s="77"/>
      <c r="AK1699" s="77"/>
      <c r="AL1699" s="77"/>
      <c r="AM1699" s="77"/>
      <c r="AN1699" s="77"/>
      <c r="AO1699" s="77"/>
      <c r="AP1699" s="77"/>
      <c r="AQ1699" s="77" t="s">
        <v>14957</v>
      </c>
      <c r="AR1699" s="77"/>
      <c r="AS1699" s="77"/>
      <c r="AT1699" s="77"/>
      <c r="AU1699" s="77"/>
      <c r="AV1699" s="80" t="str">
        <f>HYPERLINK("https://pbs.twimg.com/media/FvU7FGvWIAACZBx.jpg")</f>
        <v>https://pbs.twimg.com/media/FvU7FGvWIAACZBx.jpg</v>
      </c>
      <c r="AW1699" s="82" t="s">
        <v>18467</v>
      </c>
      <c r="AX1699" s="82" t="s">
        <v>18467</v>
      </c>
      <c r="AY1699" s="77"/>
      <c r="AZ1699" s="82" t="s">
        <v>20971</v>
      </c>
      <c r="BA1699" s="82" t="s">
        <v>20971</v>
      </c>
      <c r="BB1699" s="82" t="s">
        <v>20971</v>
      </c>
      <c r="BC1699" s="82" t="s">
        <v>18467</v>
      </c>
      <c r="BD1699" s="82" t="s">
        <v>21308</v>
      </c>
      <c r="BE1699" s="77"/>
      <c r="BF1699" s="77"/>
      <c r="BG1699" s="77"/>
      <c r="BH1699" s="77"/>
      <c r="BI1699" s="77"/>
    </row>
    <row r="1700" spans="1:61" x14ac:dyDescent="0.25">
      <c r="A1700" s="62" t="s">
        <v>624</v>
      </c>
      <c r="B1700" s="62" t="s">
        <v>624</v>
      </c>
      <c r="C1700" s="63"/>
      <c r="D1700" s="64"/>
      <c r="E1700" s="65"/>
      <c r="F1700" s="66"/>
      <c r="G1700" s="63"/>
      <c r="H1700" s="67"/>
      <c r="I1700" s="68"/>
      <c r="J1700" s="68"/>
      <c r="K1700" s="32"/>
      <c r="L1700" s="75">
        <v>1700</v>
      </c>
      <c r="M1700" s="75"/>
      <c r="N1700" s="70"/>
      <c r="O1700" s="77" t="s">
        <v>179</v>
      </c>
      <c r="P1700" s="79">
        <v>45051.051342592589</v>
      </c>
      <c r="Q1700" s="77" t="s">
        <v>2939</v>
      </c>
      <c r="R1700" s="77">
        <v>0</v>
      </c>
      <c r="S1700" s="77">
        <v>0</v>
      </c>
      <c r="T1700" s="77">
        <v>0</v>
      </c>
      <c r="U1700" s="77">
        <v>0</v>
      </c>
      <c r="V1700" s="77">
        <v>24</v>
      </c>
      <c r="W1700" s="82" t="s">
        <v>5969</v>
      </c>
      <c r="X1700" s="80" t="str">
        <f>HYPERLINK("https://bit.ly/GanheDinheiroAssistindoVideosNoCelular")</f>
        <v>https://bit.ly/GanheDinheiroAssistindoVideosNoCelular</v>
      </c>
      <c r="Y1700" s="77" t="s">
        <v>7268</v>
      </c>
      <c r="Z1700" s="77"/>
      <c r="AA1700" s="77" t="s">
        <v>8314</v>
      </c>
      <c r="AB1700" s="77" t="s">
        <v>10129</v>
      </c>
      <c r="AC1700" s="82" t="s">
        <v>10144</v>
      </c>
      <c r="AD1700" s="77" t="s">
        <v>10184</v>
      </c>
      <c r="AE1700" s="80" t="str">
        <f>HYPERLINK("https://twitter.com/assistindo_vid/status/1654293316970725376")</f>
        <v>https://twitter.com/assistindo_vid/status/1654293316970725376</v>
      </c>
      <c r="AF1700" s="79">
        <v>45051.051342592589</v>
      </c>
      <c r="AG1700" s="85">
        <v>45051</v>
      </c>
      <c r="AH1700" s="82" t="s">
        <v>11828</v>
      </c>
      <c r="AI1700" s="77" t="b">
        <v>0</v>
      </c>
      <c r="AJ1700" s="77"/>
      <c r="AK1700" s="77"/>
      <c r="AL1700" s="77"/>
      <c r="AM1700" s="77"/>
      <c r="AN1700" s="77"/>
      <c r="AO1700" s="77"/>
      <c r="AP1700" s="77"/>
      <c r="AQ1700" s="77" t="s">
        <v>14958</v>
      </c>
      <c r="AR1700" s="77">
        <v>30556</v>
      </c>
      <c r="AS1700" s="77"/>
      <c r="AT1700" s="77"/>
      <c r="AU1700" s="77"/>
      <c r="AV1700" s="80" t="str">
        <f>HYPERLINK("https://pbs.twimg.com/ext_tw_video_thumb/1654293282837475329/pu/img/NVi9LmMW7yHSay2r.jpg")</f>
        <v>https://pbs.twimg.com/ext_tw_video_thumb/1654293282837475329/pu/img/NVi9LmMW7yHSay2r.jpg</v>
      </c>
      <c r="AW1700" s="82" t="s">
        <v>18468</v>
      </c>
      <c r="AX1700" s="82" t="s">
        <v>18468</v>
      </c>
      <c r="AY1700" s="77"/>
      <c r="AZ1700" s="82" t="s">
        <v>20971</v>
      </c>
      <c r="BA1700" s="82" t="s">
        <v>20971</v>
      </c>
      <c r="BB1700" s="82" t="s">
        <v>20971</v>
      </c>
      <c r="BC1700" s="82" t="s">
        <v>18468</v>
      </c>
      <c r="BD1700" s="82" t="s">
        <v>21308</v>
      </c>
      <c r="BE1700" s="77"/>
      <c r="BF1700" s="77"/>
      <c r="BG1700" s="77"/>
      <c r="BH1700" s="77"/>
      <c r="BI1700" s="77"/>
    </row>
    <row r="1701" spans="1:61" x14ac:dyDescent="0.25">
      <c r="A1701" s="62" t="s">
        <v>624</v>
      </c>
      <c r="B1701" s="62" t="s">
        <v>624</v>
      </c>
      <c r="C1701" s="63"/>
      <c r="D1701" s="64"/>
      <c r="E1701" s="65"/>
      <c r="F1701" s="66"/>
      <c r="G1701" s="63"/>
      <c r="H1701" s="67"/>
      <c r="I1701" s="68"/>
      <c r="J1701" s="68"/>
      <c r="K1701" s="32"/>
      <c r="L1701" s="75">
        <v>1701</v>
      </c>
      <c r="M1701" s="75"/>
      <c r="N1701" s="70"/>
      <c r="O1701" s="77" t="s">
        <v>179</v>
      </c>
      <c r="P1701" s="79">
        <v>45049.652685185189</v>
      </c>
      <c r="Q1701" s="77" t="s">
        <v>2940</v>
      </c>
      <c r="R1701" s="77">
        <v>0</v>
      </c>
      <c r="S1701" s="77">
        <v>0</v>
      </c>
      <c r="T1701" s="77">
        <v>0</v>
      </c>
      <c r="U1701" s="77">
        <v>0</v>
      </c>
      <c r="V1701" s="77">
        <v>17</v>
      </c>
      <c r="W1701" s="82" t="s">
        <v>5969</v>
      </c>
      <c r="X1701" s="80" t="str">
        <f>HYPERLINK("https://bit.ly/GanheDinheiroAssistindoVideosNoCelular")</f>
        <v>https://bit.ly/GanheDinheiroAssistindoVideosNoCelular</v>
      </c>
      <c r="Y1701" s="77" t="s">
        <v>7268</v>
      </c>
      <c r="Z1701" s="77"/>
      <c r="AA1701" s="77" t="s">
        <v>8315</v>
      </c>
      <c r="AB1701" s="77" t="s">
        <v>10130</v>
      </c>
      <c r="AC1701" s="82" t="s">
        <v>10144</v>
      </c>
      <c r="AD1701" s="77" t="s">
        <v>10184</v>
      </c>
      <c r="AE1701" s="80" t="str">
        <f>HYPERLINK("https://twitter.com/assistindo_vid/status/1653786461122985985")</f>
        <v>https://twitter.com/assistindo_vid/status/1653786461122985985</v>
      </c>
      <c r="AF1701" s="79">
        <v>45049.652685185189</v>
      </c>
      <c r="AG1701" s="85">
        <v>45049</v>
      </c>
      <c r="AH1701" s="82" t="s">
        <v>11829</v>
      </c>
      <c r="AI1701" s="77" t="b">
        <v>0</v>
      </c>
      <c r="AJ1701" s="77"/>
      <c r="AK1701" s="77"/>
      <c r="AL1701" s="77"/>
      <c r="AM1701" s="77"/>
      <c r="AN1701" s="77"/>
      <c r="AO1701" s="77"/>
      <c r="AP1701" s="77"/>
      <c r="AQ1701" s="77" t="s">
        <v>14959</v>
      </c>
      <c r="AR1701" s="77"/>
      <c r="AS1701" s="77"/>
      <c r="AT1701" s="77"/>
      <c r="AU1701" s="77"/>
      <c r="AV1701" s="80" t="str">
        <f>HYPERLINK("https://pbs.twimg.com/media/FvNuBa6WcAAF3Q7.jpg")</f>
        <v>https://pbs.twimg.com/media/FvNuBa6WcAAF3Q7.jpg</v>
      </c>
      <c r="AW1701" s="82" t="s">
        <v>18469</v>
      </c>
      <c r="AX1701" s="82" t="s">
        <v>18469</v>
      </c>
      <c r="AY1701" s="77"/>
      <c r="AZ1701" s="82" t="s">
        <v>20971</v>
      </c>
      <c r="BA1701" s="82" t="s">
        <v>20971</v>
      </c>
      <c r="BB1701" s="82" t="s">
        <v>20971</v>
      </c>
      <c r="BC1701" s="82" t="s">
        <v>18469</v>
      </c>
      <c r="BD1701" s="82" t="s">
        <v>21308</v>
      </c>
      <c r="BE1701" s="77"/>
      <c r="BF1701" s="77"/>
      <c r="BG1701" s="77"/>
      <c r="BH1701" s="77"/>
      <c r="BI1701" s="77"/>
    </row>
    <row r="1702" spans="1:61" x14ac:dyDescent="0.25">
      <c r="A1702" s="62" t="s">
        <v>624</v>
      </c>
      <c r="B1702" s="62" t="s">
        <v>624</v>
      </c>
      <c r="C1702" s="63"/>
      <c r="D1702" s="64"/>
      <c r="E1702" s="65"/>
      <c r="F1702" s="66"/>
      <c r="G1702" s="63"/>
      <c r="H1702" s="67"/>
      <c r="I1702" s="68"/>
      <c r="J1702" s="68"/>
      <c r="K1702" s="32"/>
      <c r="L1702" s="75">
        <v>1702</v>
      </c>
      <c r="M1702" s="75"/>
      <c r="N1702" s="70"/>
      <c r="O1702" s="77" t="s">
        <v>179</v>
      </c>
      <c r="P1702" s="79">
        <v>45016.97583333333</v>
      </c>
      <c r="Q1702" s="77" t="s">
        <v>2941</v>
      </c>
      <c r="R1702" s="77">
        <v>0</v>
      </c>
      <c r="S1702" s="77">
        <v>0</v>
      </c>
      <c r="T1702" s="77">
        <v>0</v>
      </c>
      <c r="U1702" s="77">
        <v>0</v>
      </c>
      <c r="V1702" s="77">
        <v>18</v>
      </c>
      <c r="W1702" s="82" t="s">
        <v>5969</v>
      </c>
      <c r="X1702" s="80" t="str">
        <f>HYPERLINK("http://lnk.bio/LucrandoAssist")</f>
        <v>http://lnk.bio/LucrandoAssist</v>
      </c>
      <c r="Y1702" s="77" t="s">
        <v>7356</v>
      </c>
      <c r="Z1702" s="77"/>
      <c r="AA1702" s="77" t="s">
        <v>8316</v>
      </c>
      <c r="AB1702" s="77" t="s">
        <v>10130</v>
      </c>
      <c r="AC1702" s="82" t="s">
        <v>10144</v>
      </c>
      <c r="AD1702" s="77" t="s">
        <v>10184</v>
      </c>
      <c r="AE1702" s="80" t="str">
        <f>HYPERLINK("https://twitter.com/assistindo_vid/status/1641944766567923712")</f>
        <v>https://twitter.com/assistindo_vid/status/1641944766567923712</v>
      </c>
      <c r="AF1702" s="79">
        <v>45016.97583333333</v>
      </c>
      <c r="AG1702" s="85">
        <v>45016</v>
      </c>
      <c r="AH1702" s="82" t="s">
        <v>11830</v>
      </c>
      <c r="AI1702" s="77" t="b">
        <v>0</v>
      </c>
      <c r="AJ1702" s="77"/>
      <c r="AK1702" s="77"/>
      <c r="AL1702" s="77"/>
      <c r="AM1702" s="77"/>
      <c r="AN1702" s="77"/>
      <c r="AO1702" s="77"/>
      <c r="AP1702" s="77"/>
      <c r="AQ1702" s="77" t="s">
        <v>14960</v>
      </c>
      <c r="AR1702" s="77"/>
      <c r="AS1702" s="77"/>
      <c r="AT1702" s="77"/>
      <c r="AU1702" s="77"/>
      <c r="AV1702" s="80" t="str">
        <f>HYPERLINK("https://pbs.twimg.com/media/FslcECRWAAAXTMU.jpg")</f>
        <v>https://pbs.twimg.com/media/FslcECRWAAAXTMU.jpg</v>
      </c>
      <c r="AW1702" s="82" t="s">
        <v>18470</v>
      </c>
      <c r="AX1702" s="82" t="s">
        <v>18470</v>
      </c>
      <c r="AY1702" s="77"/>
      <c r="AZ1702" s="82" t="s">
        <v>20971</v>
      </c>
      <c r="BA1702" s="82" t="s">
        <v>20971</v>
      </c>
      <c r="BB1702" s="82" t="s">
        <v>20971</v>
      </c>
      <c r="BC1702" s="82" t="s">
        <v>18470</v>
      </c>
      <c r="BD1702" s="82" t="s">
        <v>21308</v>
      </c>
      <c r="BE1702" s="77"/>
      <c r="BF1702" s="77"/>
      <c r="BG1702" s="77"/>
      <c r="BH1702" s="77"/>
      <c r="BI1702" s="77"/>
    </row>
    <row r="1703" spans="1:61" x14ac:dyDescent="0.25">
      <c r="A1703" s="62" t="s">
        <v>624</v>
      </c>
      <c r="B1703" s="62" t="s">
        <v>624</v>
      </c>
      <c r="C1703" s="63"/>
      <c r="D1703" s="64"/>
      <c r="E1703" s="65"/>
      <c r="F1703" s="66"/>
      <c r="G1703" s="63"/>
      <c r="H1703" s="67"/>
      <c r="I1703" s="68"/>
      <c r="J1703" s="68"/>
      <c r="K1703" s="32"/>
      <c r="L1703" s="75">
        <v>1703</v>
      </c>
      <c r="M1703" s="75"/>
      <c r="N1703" s="70"/>
      <c r="O1703" s="77" t="s">
        <v>179</v>
      </c>
      <c r="P1703" s="79">
        <v>44965.083287037036</v>
      </c>
      <c r="Q1703" s="77" t="s">
        <v>2942</v>
      </c>
      <c r="R1703" s="77">
        <v>0</v>
      </c>
      <c r="S1703" s="77">
        <v>0</v>
      </c>
      <c r="T1703" s="77">
        <v>0</v>
      </c>
      <c r="U1703" s="77">
        <v>0</v>
      </c>
      <c r="V1703" s="77">
        <v>7</v>
      </c>
      <c r="W1703" s="82" t="s">
        <v>5970</v>
      </c>
      <c r="X1703" s="80" t="str">
        <f>HYPERLINK("http://app.monetizze.com.br/r/ABE21013512/")</f>
        <v>http://app.monetizze.com.br/r/ABE21013512/</v>
      </c>
      <c r="Y1703" s="77" t="s">
        <v>7252</v>
      </c>
      <c r="Z1703" s="77"/>
      <c r="AA1703" s="77" t="s">
        <v>8317</v>
      </c>
      <c r="AB1703" s="77" t="s">
        <v>10130</v>
      </c>
      <c r="AC1703" s="82" t="s">
        <v>10144</v>
      </c>
      <c r="AD1703" s="77" t="s">
        <v>10184</v>
      </c>
      <c r="AE1703" s="80" t="str">
        <f>HYPERLINK("https://twitter.com/assistindo_vid/status/1623139537089175554")</f>
        <v>https://twitter.com/assistindo_vid/status/1623139537089175554</v>
      </c>
      <c r="AF1703" s="79">
        <v>44965.083287037036</v>
      </c>
      <c r="AG1703" s="85">
        <v>44965</v>
      </c>
      <c r="AH1703" s="82" t="s">
        <v>11831</v>
      </c>
      <c r="AI1703" s="77" t="b">
        <v>0</v>
      </c>
      <c r="AJ1703" s="77"/>
      <c r="AK1703" s="77"/>
      <c r="AL1703" s="77"/>
      <c r="AM1703" s="77"/>
      <c r="AN1703" s="77"/>
      <c r="AO1703" s="77"/>
      <c r="AP1703" s="77"/>
      <c r="AQ1703" s="77" t="s">
        <v>14961</v>
      </c>
      <c r="AR1703" s="77"/>
      <c r="AS1703" s="77"/>
      <c r="AT1703" s="77"/>
      <c r="AU1703" s="77"/>
      <c r="AV1703" s="80" t="str">
        <f>HYPERLINK("https://pbs.twimg.com/media/FoaMzmdXoAAKPOj.jpg")</f>
        <v>https://pbs.twimg.com/media/FoaMzmdXoAAKPOj.jpg</v>
      </c>
      <c r="AW1703" s="82" t="s">
        <v>18471</v>
      </c>
      <c r="AX1703" s="82" t="s">
        <v>18471</v>
      </c>
      <c r="AY1703" s="77"/>
      <c r="AZ1703" s="82" t="s">
        <v>20971</v>
      </c>
      <c r="BA1703" s="82" t="s">
        <v>20971</v>
      </c>
      <c r="BB1703" s="82" t="s">
        <v>20971</v>
      </c>
      <c r="BC1703" s="82" t="s">
        <v>18471</v>
      </c>
      <c r="BD1703" s="82" t="s">
        <v>21308</v>
      </c>
      <c r="BE1703" s="77"/>
      <c r="BF1703" s="77"/>
      <c r="BG1703" s="77"/>
      <c r="BH1703" s="77"/>
      <c r="BI1703" s="77"/>
    </row>
    <row r="1704" spans="1:61" x14ac:dyDescent="0.25">
      <c r="A1704" s="62" t="s">
        <v>624</v>
      </c>
      <c r="B1704" s="62" t="s">
        <v>624</v>
      </c>
      <c r="C1704" s="63"/>
      <c r="D1704" s="64"/>
      <c r="E1704" s="65"/>
      <c r="F1704" s="66"/>
      <c r="G1704" s="63"/>
      <c r="H1704" s="67"/>
      <c r="I1704" s="68"/>
      <c r="J1704" s="68"/>
      <c r="K1704" s="32"/>
      <c r="L1704" s="75">
        <v>1704</v>
      </c>
      <c r="M1704" s="75"/>
      <c r="N1704" s="70"/>
      <c r="O1704" s="77" t="s">
        <v>179</v>
      </c>
      <c r="P1704" s="79">
        <v>44964.517048611109</v>
      </c>
      <c r="Q1704" s="77" t="s">
        <v>2943</v>
      </c>
      <c r="R1704" s="77">
        <v>0</v>
      </c>
      <c r="S1704" s="77">
        <v>0</v>
      </c>
      <c r="T1704" s="77">
        <v>0</v>
      </c>
      <c r="U1704" s="77">
        <v>0</v>
      </c>
      <c r="V1704" s="77">
        <v>5</v>
      </c>
      <c r="W1704" s="82" t="s">
        <v>5970</v>
      </c>
      <c r="X1704" s="80" t="str">
        <f>HYPERLINK("http://app.monetizze.com.br/r/ABE21013512/")</f>
        <v>http://app.monetizze.com.br/r/ABE21013512/</v>
      </c>
      <c r="Y1704" s="77" t="s">
        <v>7252</v>
      </c>
      <c r="Z1704" s="77"/>
      <c r="AA1704" s="77" t="s">
        <v>8318</v>
      </c>
      <c r="AB1704" s="77" t="s">
        <v>10130</v>
      </c>
      <c r="AC1704" s="82" t="s">
        <v>10144</v>
      </c>
      <c r="AD1704" s="77" t="s">
        <v>10184</v>
      </c>
      <c r="AE1704" s="80" t="str">
        <f>HYPERLINK("https://twitter.com/assistindo_vid/status/1622934335983697920")</f>
        <v>https://twitter.com/assistindo_vid/status/1622934335983697920</v>
      </c>
      <c r="AF1704" s="79">
        <v>44964.517048611109</v>
      </c>
      <c r="AG1704" s="85">
        <v>44964</v>
      </c>
      <c r="AH1704" s="82" t="s">
        <v>11832</v>
      </c>
      <c r="AI1704" s="77" t="b">
        <v>0</v>
      </c>
      <c r="AJ1704" s="77"/>
      <c r="AK1704" s="77"/>
      <c r="AL1704" s="77"/>
      <c r="AM1704" s="77"/>
      <c r="AN1704" s="77"/>
      <c r="AO1704" s="77"/>
      <c r="AP1704" s="77"/>
      <c r="AQ1704" s="77" t="s">
        <v>14962</v>
      </c>
      <c r="AR1704" s="77"/>
      <c r="AS1704" s="77"/>
      <c r="AT1704" s="77"/>
      <c r="AU1704" s="77"/>
      <c r="AV1704" s="80" t="str">
        <f>HYPERLINK("https://pbs.twimg.com/media/FoXSLVdX0AAtaQN.jpg")</f>
        <v>https://pbs.twimg.com/media/FoXSLVdX0AAtaQN.jpg</v>
      </c>
      <c r="AW1704" s="82" t="s">
        <v>18472</v>
      </c>
      <c r="AX1704" s="82" t="s">
        <v>18472</v>
      </c>
      <c r="AY1704" s="77"/>
      <c r="AZ1704" s="82" t="s">
        <v>20971</v>
      </c>
      <c r="BA1704" s="82" t="s">
        <v>20971</v>
      </c>
      <c r="BB1704" s="82" t="s">
        <v>20971</v>
      </c>
      <c r="BC1704" s="82" t="s">
        <v>18472</v>
      </c>
      <c r="BD1704" s="82" t="s">
        <v>21308</v>
      </c>
      <c r="BE1704" s="77"/>
      <c r="BF1704" s="77"/>
      <c r="BG1704" s="77"/>
      <c r="BH1704" s="77"/>
      <c r="BI1704" s="77"/>
    </row>
    <row r="1705" spans="1:61" x14ac:dyDescent="0.25">
      <c r="A1705" s="62" t="s">
        <v>624</v>
      </c>
      <c r="B1705" s="62" t="s">
        <v>624</v>
      </c>
      <c r="C1705" s="63"/>
      <c r="D1705" s="64"/>
      <c r="E1705" s="65"/>
      <c r="F1705" s="66"/>
      <c r="G1705" s="63"/>
      <c r="H1705" s="67"/>
      <c r="I1705" s="68"/>
      <c r="J1705" s="68"/>
      <c r="K1705" s="32"/>
      <c r="L1705" s="75">
        <v>1705</v>
      </c>
      <c r="M1705" s="75"/>
      <c r="N1705" s="70"/>
      <c r="O1705" s="77" t="s">
        <v>179</v>
      </c>
      <c r="P1705" s="79">
        <v>44964.516608796293</v>
      </c>
      <c r="Q1705" s="77" t="s">
        <v>2944</v>
      </c>
      <c r="R1705" s="77">
        <v>0</v>
      </c>
      <c r="S1705" s="77">
        <v>0</v>
      </c>
      <c r="T1705" s="77">
        <v>0</v>
      </c>
      <c r="U1705" s="77">
        <v>0</v>
      </c>
      <c r="V1705" s="77">
        <v>7</v>
      </c>
      <c r="W1705" s="82" t="s">
        <v>5970</v>
      </c>
      <c r="X1705" s="80" t="str">
        <f>HYPERLINK("http://app.monetizze.com.br/r/ABE21013512/")</f>
        <v>http://app.monetizze.com.br/r/ABE21013512/</v>
      </c>
      <c r="Y1705" s="77" t="s">
        <v>7252</v>
      </c>
      <c r="Z1705" s="77"/>
      <c r="AA1705" s="77" t="s">
        <v>8319</v>
      </c>
      <c r="AB1705" s="77" t="s">
        <v>10129</v>
      </c>
      <c r="AC1705" s="82" t="s">
        <v>10144</v>
      </c>
      <c r="AD1705" s="77" t="s">
        <v>10184</v>
      </c>
      <c r="AE1705" s="80" t="str">
        <f>HYPERLINK("https://twitter.com/assistindo_vid/status/1622934178013536256")</f>
        <v>https://twitter.com/assistindo_vid/status/1622934178013536256</v>
      </c>
      <c r="AF1705" s="79">
        <v>44964.516608796293</v>
      </c>
      <c r="AG1705" s="85">
        <v>44964</v>
      </c>
      <c r="AH1705" s="82" t="s">
        <v>11833</v>
      </c>
      <c r="AI1705" s="77" t="b">
        <v>0</v>
      </c>
      <c r="AJ1705" s="77"/>
      <c r="AK1705" s="77"/>
      <c r="AL1705" s="77"/>
      <c r="AM1705" s="77"/>
      <c r="AN1705" s="77"/>
      <c r="AO1705" s="77"/>
      <c r="AP1705" s="77"/>
      <c r="AQ1705" s="77" t="s">
        <v>14963</v>
      </c>
      <c r="AR1705" s="77">
        <v>43465</v>
      </c>
      <c r="AS1705" s="77"/>
      <c r="AT1705" s="77"/>
      <c r="AU1705" s="77"/>
      <c r="AV1705" s="80" t="str">
        <f>HYPERLINK("https://pbs.twimg.com/ext_tw_video_thumb/1622934092042973184/pu/img/d2JEMG7yxPaw02dS.jpg")</f>
        <v>https://pbs.twimg.com/ext_tw_video_thumb/1622934092042973184/pu/img/d2JEMG7yxPaw02dS.jpg</v>
      </c>
      <c r="AW1705" s="82" t="s">
        <v>18473</v>
      </c>
      <c r="AX1705" s="82" t="s">
        <v>18473</v>
      </c>
      <c r="AY1705" s="77"/>
      <c r="AZ1705" s="82" t="s">
        <v>20971</v>
      </c>
      <c r="BA1705" s="82" t="s">
        <v>20971</v>
      </c>
      <c r="BB1705" s="82" t="s">
        <v>20971</v>
      </c>
      <c r="BC1705" s="82" t="s">
        <v>18473</v>
      </c>
      <c r="BD1705" s="82" t="s">
        <v>21308</v>
      </c>
      <c r="BE1705" s="77"/>
      <c r="BF1705" s="77"/>
      <c r="BG1705" s="77"/>
      <c r="BH1705" s="77"/>
      <c r="BI1705" s="77"/>
    </row>
    <row r="1706" spans="1:61" x14ac:dyDescent="0.25">
      <c r="A1706" s="62" t="s">
        <v>624</v>
      </c>
      <c r="B1706" s="62" t="s">
        <v>624</v>
      </c>
      <c r="C1706" s="63"/>
      <c r="D1706" s="64"/>
      <c r="E1706" s="65"/>
      <c r="F1706" s="66"/>
      <c r="G1706" s="63"/>
      <c r="H1706" s="67"/>
      <c r="I1706" s="68"/>
      <c r="J1706" s="68"/>
      <c r="K1706" s="32"/>
      <c r="L1706" s="75">
        <v>1706</v>
      </c>
      <c r="M1706" s="75"/>
      <c r="N1706" s="70"/>
      <c r="O1706" s="77" t="s">
        <v>179</v>
      </c>
      <c r="P1706" s="79">
        <v>45051.051296296297</v>
      </c>
      <c r="Q1706" s="77" t="s">
        <v>2945</v>
      </c>
      <c r="R1706" s="77">
        <v>0</v>
      </c>
      <c r="S1706" s="77">
        <v>0</v>
      </c>
      <c r="T1706" s="77">
        <v>0</v>
      </c>
      <c r="U1706" s="77">
        <v>0</v>
      </c>
      <c r="V1706" s="77">
        <v>14</v>
      </c>
      <c r="W1706" s="82" t="s">
        <v>5969</v>
      </c>
      <c r="X1706" s="80" t="str">
        <f>HYPERLINK("https://bit.ly/GanheDinheiroAssistindoVideosNoCelular")</f>
        <v>https://bit.ly/GanheDinheiroAssistindoVideosNoCelular</v>
      </c>
      <c r="Y1706" s="77" t="s">
        <v>7268</v>
      </c>
      <c r="Z1706" s="77"/>
      <c r="AA1706" s="77" t="s">
        <v>8320</v>
      </c>
      <c r="AB1706" s="77" t="s">
        <v>10130</v>
      </c>
      <c r="AC1706" s="82" t="s">
        <v>10144</v>
      </c>
      <c r="AD1706" s="77" t="s">
        <v>10184</v>
      </c>
      <c r="AE1706" s="80" t="str">
        <f>HYPERLINK("https://twitter.com/assistindo_vid/status/1654293299090391041")</f>
        <v>https://twitter.com/assistindo_vid/status/1654293299090391041</v>
      </c>
      <c r="AF1706" s="79">
        <v>45051.051296296297</v>
      </c>
      <c r="AG1706" s="85">
        <v>45051</v>
      </c>
      <c r="AH1706" s="82" t="s">
        <v>11834</v>
      </c>
      <c r="AI1706" s="77" t="b">
        <v>0</v>
      </c>
      <c r="AJ1706" s="77"/>
      <c r="AK1706" s="77"/>
      <c r="AL1706" s="77"/>
      <c r="AM1706" s="77"/>
      <c r="AN1706" s="77"/>
      <c r="AO1706" s="77"/>
      <c r="AP1706" s="77"/>
      <c r="AQ1706" s="77" t="s">
        <v>14964</v>
      </c>
      <c r="AR1706" s="77"/>
      <c r="AS1706" s="77"/>
      <c r="AT1706" s="77"/>
      <c r="AU1706" s="77"/>
      <c r="AV1706" s="80" t="str">
        <f>HYPERLINK("https://pbs.twimg.com/media/FvU6_PCWYAkQYzQ.jpg")</f>
        <v>https://pbs.twimg.com/media/FvU6_PCWYAkQYzQ.jpg</v>
      </c>
      <c r="AW1706" s="82" t="s">
        <v>18474</v>
      </c>
      <c r="AX1706" s="82" t="s">
        <v>18474</v>
      </c>
      <c r="AY1706" s="77"/>
      <c r="AZ1706" s="82" t="s">
        <v>20971</v>
      </c>
      <c r="BA1706" s="82" t="s">
        <v>20971</v>
      </c>
      <c r="BB1706" s="82" t="s">
        <v>20971</v>
      </c>
      <c r="BC1706" s="82" t="s">
        <v>18474</v>
      </c>
      <c r="BD1706" s="82" t="s">
        <v>21308</v>
      </c>
      <c r="BE1706" s="77"/>
      <c r="BF1706" s="77"/>
      <c r="BG1706" s="77"/>
      <c r="BH1706" s="77"/>
      <c r="BI1706" s="77"/>
    </row>
    <row r="1707" spans="1:61" x14ac:dyDescent="0.25">
      <c r="A1707" s="62" t="s">
        <v>624</v>
      </c>
      <c r="B1707" s="62" t="s">
        <v>624</v>
      </c>
      <c r="C1707" s="63"/>
      <c r="D1707" s="64"/>
      <c r="E1707" s="65"/>
      <c r="F1707" s="66"/>
      <c r="G1707" s="63"/>
      <c r="H1707" s="67"/>
      <c r="I1707" s="68"/>
      <c r="J1707" s="68"/>
      <c r="K1707" s="32"/>
      <c r="L1707" s="75">
        <v>1707</v>
      </c>
      <c r="M1707" s="75"/>
      <c r="N1707" s="70"/>
      <c r="O1707" s="77" t="s">
        <v>179</v>
      </c>
      <c r="P1707" s="79">
        <v>45050.510208333333</v>
      </c>
      <c r="Q1707" s="77" t="s">
        <v>2946</v>
      </c>
      <c r="R1707" s="77">
        <v>0</v>
      </c>
      <c r="S1707" s="77">
        <v>0</v>
      </c>
      <c r="T1707" s="77">
        <v>0</v>
      </c>
      <c r="U1707" s="77">
        <v>0</v>
      </c>
      <c r="V1707" s="77">
        <v>25</v>
      </c>
      <c r="W1707" s="82" t="s">
        <v>5969</v>
      </c>
      <c r="X1707" s="80" t="str">
        <f>HYPERLINK("https://bit.ly/GanheDinheiroAssistindoVideosNoCelular")</f>
        <v>https://bit.ly/GanheDinheiroAssistindoVideosNoCelular</v>
      </c>
      <c r="Y1707" s="77" t="s">
        <v>7268</v>
      </c>
      <c r="Z1707" s="77"/>
      <c r="AA1707" s="77" t="s">
        <v>8321</v>
      </c>
      <c r="AB1707" s="77" t="s">
        <v>10129</v>
      </c>
      <c r="AC1707" s="82" t="s">
        <v>10144</v>
      </c>
      <c r="AD1707" s="77" t="s">
        <v>10184</v>
      </c>
      <c r="AE1707" s="80" t="str">
        <f>HYPERLINK("https://twitter.com/assistindo_vid/status/1654097213721567240")</f>
        <v>https://twitter.com/assistindo_vid/status/1654097213721567240</v>
      </c>
      <c r="AF1707" s="79">
        <v>45050.510208333333</v>
      </c>
      <c r="AG1707" s="85">
        <v>45050</v>
      </c>
      <c r="AH1707" s="82" t="s">
        <v>11835</v>
      </c>
      <c r="AI1707" s="77" t="b">
        <v>0</v>
      </c>
      <c r="AJ1707" s="77"/>
      <c r="AK1707" s="77"/>
      <c r="AL1707" s="77"/>
      <c r="AM1707" s="77"/>
      <c r="AN1707" s="77"/>
      <c r="AO1707" s="77"/>
      <c r="AP1707" s="77"/>
      <c r="AQ1707" s="77" t="s">
        <v>14965</v>
      </c>
      <c r="AR1707" s="77">
        <v>35966</v>
      </c>
      <c r="AS1707" s="77"/>
      <c r="AT1707" s="77"/>
      <c r="AU1707" s="77"/>
      <c r="AV1707" s="80" t="str">
        <f>HYPERLINK("https://pbs.twimg.com/ext_tw_video_thumb/1654097149871661056/pu/img/aJcShWoexH3nHOE-.jpg")</f>
        <v>https://pbs.twimg.com/ext_tw_video_thumb/1654097149871661056/pu/img/aJcShWoexH3nHOE-.jpg</v>
      </c>
      <c r="AW1707" s="82" t="s">
        <v>18475</v>
      </c>
      <c r="AX1707" s="82" t="s">
        <v>18475</v>
      </c>
      <c r="AY1707" s="77"/>
      <c r="AZ1707" s="82" t="s">
        <v>20971</v>
      </c>
      <c r="BA1707" s="82" t="s">
        <v>20971</v>
      </c>
      <c r="BB1707" s="82" t="s">
        <v>20971</v>
      </c>
      <c r="BC1707" s="82" t="s">
        <v>18475</v>
      </c>
      <c r="BD1707" s="82" t="s">
        <v>21308</v>
      </c>
      <c r="BE1707" s="77"/>
      <c r="BF1707" s="77"/>
      <c r="BG1707" s="77"/>
      <c r="BH1707" s="77"/>
      <c r="BI1707" s="77"/>
    </row>
    <row r="1708" spans="1:61" x14ac:dyDescent="0.25">
      <c r="A1708" s="62" t="s">
        <v>624</v>
      </c>
      <c r="B1708" s="62" t="s">
        <v>624</v>
      </c>
      <c r="C1708" s="63"/>
      <c r="D1708" s="64"/>
      <c r="E1708" s="65"/>
      <c r="F1708" s="66"/>
      <c r="G1708" s="63"/>
      <c r="H1708" s="67"/>
      <c r="I1708" s="68"/>
      <c r="J1708" s="68"/>
      <c r="K1708" s="32"/>
      <c r="L1708" s="75">
        <v>1708</v>
      </c>
      <c r="M1708" s="75"/>
      <c r="N1708" s="70"/>
      <c r="O1708" s="77" t="s">
        <v>179</v>
      </c>
      <c r="P1708" s="79">
        <v>45050.509733796294</v>
      </c>
      <c r="Q1708" s="77" t="s">
        <v>2947</v>
      </c>
      <c r="R1708" s="77">
        <v>0</v>
      </c>
      <c r="S1708" s="77">
        <v>0</v>
      </c>
      <c r="T1708" s="77">
        <v>0</v>
      </c>
      <c r="U1708" s="77">
        <v>0</v>
      </c>
      <c r="V1708" s="77">
        <v>24</v>
      </c>
      <c r="W1708" s="82" t="s">
        <v>5969</v>
      </c>
      <c r="X1708" s="80" t="str">
        <f>HYPERLINK("https://bit.ly/GanheDinheiroAssistindoVideosNoCelular")</f>
        <v>https://bit.ly/GanheDinheiroAssistindoVideosNoCelular</v>
      </c>
      <c r="Y1708" s="77" t="s">
        <v>7268</v>
      </c>
      <c r="Z1708" s="77"/>
      <c r="AA1708" s="77" t="s">
        <v>8322</v>
      </c>
      <c r="AB1708" s="77" t="s">
        <v>10129</v>
      </c>
      <c r="AC1708" s="82" t="s">
        <v>10144</v>
      </c>
      <c r="AD1708" s="77" t="s">
        <v>10184</v>
      </c>
      <c r="AE1708" s="80" t="str">
        <f>HYPERLINK("https://twitter.com/assistindo_vid/status/1654097045081169924")</f>
        <v>https://twitter.com/assistindo_vid/status/1654097045081169924</v>
      </c>
      <c r="AF1708" s="79">
        <v>45050.509733796294</v>
      </c>
      <c r="AG1708" s="85">
        <v>45050</v>
      </c>
      <c r="AH1708" s="82" t="s">
        <v>11836</v>
      </c>
      <c r="AI1708" s="77" t="b">
        <v>0</v>
      </c>
      <c r="AJ1708" s="77"/>
      <c r="AK1708" s="77"/>
      <c r="AL1708" s="77"/>
      <c r="AM1708" s="77"/>
      <c r="AN1708" s="77"/>
      <c r="AO1708" s="77"/>
      <c r="AP1708" s="77"/>
      <c r="AQ1708" s="77" t="s">
        <v>14966</v>
      </c>
      <c r="AR1708" s="77">
        <v>27732</v>
      </c>
      <c r="AS1708" s="77"/>
      <c r="AT1708" s="77"/>
      <c r="AU1708" s="77"/>
      <c r="AV1708" s="80" t="str">
        <f>HYPERLINK("https://pbs.twimg.com/ext_tw_video_thumb/1654097009098235909/pu/img/v914mzcrw3FxFsnG.jpg")</f>
        <v>https://pbs.twimg.com/ext_tw_video_thumb/1654097009098235909/pu/img/v914mzcrw3FxFsnG.jpg</v>
      </c>
      <c r="AW1708" s="82" t="s">
        <v>18476</v>
      </c>
      <c r="AX1708" s="82" t="s">
        <v>18476</v>
      </c>
      <c r="AY1708" s="77"/>
      <c r="AZ1708" s="82" t="s">
        <v>20971</v>
      </c>
      <c r="BA1708" s="82" t="s">
        <v>20971</v>
      </c>
      <c r="BB1708" s="82" t="s">
        <v>20971</v>
      </c>
      <c r="BC1708" s="82" t="s">
        <v>18476</v>
      </c>
      <c r="BD1708" s="82" t="s">
        <v>21308</v>
      </c>
      <c r="BE1708" s="77"/>
      <c r="BF1708" s="77"/>
      <c r="BG1708" s="77"/>
      <c r="BH1708" s="77"/>
      <c r="BI1708" s="77"/>
    </row>
    <row r="1709" spans="1:61" x14ac:dyDescent="0.25">
      <c r="A1709" s="62" t="s">
        <v>624</v>
      </c>
      <c r="B1709" s="62" t="s">
        <v>624</v>
      </c>
      <c r="C1709" s="63"/>
      <c r="D1709" s="64"/>
      <c r="E1709" s="65"/>
      <c r="F1709" s="66"/>
      <c r="G1709" s="63"/>
      <c r="H1709" s="67"/>
      <c r="I1709" s="68"/>
      <c r="J1709" s="68"/>
      <c r="K1709" s="32"/>
      <c r="L1709" s="75">
        <v>1709</v>
      </c>
      <c r="M1709" s="75"/>
      <c r="N1709" s="70"/>
      <c r="O1709" s="77" t="s">
        <v>179</v>
      </c>
      <c r="P1709" s="79">
        <v>45050.509699074071</v>
      </c>
      <c r="Q1709" s="77" t="s">
        <v>2948</v>
      </c>
      <c r="R1709" s="77">
        <v>0</v>
      </c>
      <c r="S1709" s="77">
        <v>0</v>
      </c>
      <c r="T1709" s="77">
        <v>0</v>
      </c>
      <c r="U1709" s="77">
        <v>0</v>
      </c>
      <c r="V1709" s="77">
        <v>15</v>
      </c>
      <c r="W1709" s="82" t="s">
        <v>5969</v>
      </c>
      <c r="X1709" s="80" t="str">
        <f>HYPERLINK("https://bit.ly/GanheDinheiroAssistindoVideosNoCelular")</f>
        <v>https://bit.ly/GanheDinheiroAssistindoVideosNoCelular</v>
      </c>
      <c r="Y1709" s="77" t="s">
        <v>7268</v>
      </c>
      <c r="Z1709" s="77"/>
      <c r="AA1709" s="77" t="s">
        <v>8323</v>
      </c>
      <c r="AB1709" s="77" t="s">
        <v>10130</v>
      </c>
      <c r="AC1709" s="82" t="s">
        <v>10144</v>
      </c>
      <c r="AD1709" s="77" t="s">
        <v>10184</v>
      </c>
      <c r="AE1709" s="80" t="str">
        <f>HYPERLINK("https://twitter.com/assistindo_vid/status/1654097031491735552")</f>
        <v>https://twitter.com/assistindo_vid/status/1654097031491735552</v>
      </c>
      <c r="AF1709" s="79">
        <v>45050.509699074071</v>
      </c>
      <c r="AG1709" s="85">
        <v>45050</v>
      </c>
      <c r="AH1709" s="82" t="s">
        <v>11837</v>
      </c>
      <c r="AI1709" s="77" t="b">
        <v>0</v>
      </c>
      <c r="AJ1709" s="77"/>
      <c r="AK1709" s="77"/>
      <c r="AL1709" s="77"/>
      <c r="AM1709" s="77"/>
      <c r="AN1709" s="77"/>
      <c r="AO1709" s="77"/>
      <c r="AP1709" s="77"/>
      <c r="AQ1709" s="77" t="s">
        <v>14967</v>
      </c>
      <c r="AR1709" s="77"/>
      <c r="AS1709" s="77"/>
      <c r="AT1709" s="77"/>
      <c r="AU1709" s="77"/>
      <c r="AV1709" s="80" t="str">
        <f>HYPERLINK("https://pbs.twimg.com/media/FvSIe-WXoAE5uxH.jpg")</f>
        <v>https://pbs.twimg.com/media/FvSIe-WXoAE5uxH.jpg</v>
      </c>
      <c r="AW1709" s="82" t="s">
        <v>18477</v>
      </c>
      <c r="AX1709" s="82" t="s">
        <v>18477</v>
      </c>
      <c r="AY1709" s="77"/>
      <c r="AZ1709" s="82" t="s">
        <v>20971</v>
      </c>
      <c r="BA1709" s="82" t="s">
        <v>20971</v>
      </c>
      <c r="BB1709" s="82" t="s">
        <v>20971</v>
      </c>
      <c r="BC1709" s="82" t="s">
        <v>18477</v>
      </c>
      <c r="BD1709" s="82" t="s">
        <v>21308</v>
      </c>
      <c r="BE1709" s="77"/>
      <c r="BF1709" s="77"/>
      <c r="BG1709" s="77"/>
      <c r="BH1709" s="77"/>
      <c r="BI1709" s="77"/>
    </row>
    <row r="1710" spans="1:61" x14ac:dyDescent="0.25">
      <c r="A1710" s="62" t="s">
        <v>624</v>
      </c>
      <c r="B1710" s="62" t="s">
        <v>624</v>
      </c>
      <c r="C1710" s="63"/>
      <c r="D1710" s="64"/>
      <c r="E1710" s="65"/>
      <c r="F1710" s="66"/>
      <c r="G1710" s="63"/>
      <c r="H1710" s="67"/>
      <c r="I1710" s="68"/>
      <c r="J1710" s="68"/>
      <c r="K1710" s="32"/>
      <c r="L1710" s="75">
        <v>1710</v>
      </c>
      <c r="M1710" s="75"/>
      <c r="N1710" s="70"/>
      <c r="O1710" s="77" t="s">
        <v>179</v>
      </c>
      <c r="P1710" s="79">
        <v>45050.50953703704</v>
      </c>
      <c r="Q1710" s="77" t="s">
        <v>2949</v>
      </c>
      <c r="R1710" s="77">
        <v>0</v>
      </c>
      <c r="S1710" s="77">
        <v>0</v>
      </c>
      <c r="T1710" s="77">
        <v>0</v>
      </c>
      <c r="U1710" s="77">
        <v>0</v>
      </c>
      <c r="V1710" s="77">
        <v>11</v>
      </c>
      <c r="W1710" s="82" t="s">
        <v>5969</v>
      </c>
      <c r="X1710" s="80" t="str">
        <f>HYPERLINK("https://bit.ly/GanheDinheiroAssistindoVideosNoCelular")</f>
        <v>https://bit.ly/GanheDinheiroAssistindoVideosNoCelular</v>
      </c>
      <c r="Y1710" s="77" t="s">
        <v>7268</v>
      </c>
      <c r="Z1710" s="77"/>
      <c r="AA1710" s="77" t="s">
        <v>8324</v>
      </c>
      <c r="AB1710" s="77" t="s">
        <v>10130</v>
      </c>
      <c r="AC1710" s="82" t="s">
        <v>10144</v>
      </c>
      <c r="AD1710" s="77" t="s">
        <v>10184</v>
      </c>
      <c r="AE1710" s="80" t="str">
        <f>HYPERLINK("https://twitter.com/assistindo_vid/status/1654096971626340354")</f>
        <v>https://twitter.com/assistindo_vid/status/1654096971626340354</v>
      </c>
      <c r="AF1710" s="79">
        <v>45050.50953703704</v>
      </c>
      <c r="AG1710" s="85">
        <v>45050</v>
      </c>
      <c r="AH1710" s="82" t="s">
        <v>11838</v>
      </c>
      <c r="AI1710" s="77" t="b">
        <v>0</v>
      </c>
      <c r="AJ1710" s="77"/>
      <c r="AK1710" s="77"/>
      <c r="AL1710" s="77"/>
      <c r="AM1710" s="77"/>
      <c r="AN1710" s="77"/>
      <c r="AO1710" s="77"/>
      <c r="AP1710" s="77"/>
      <c r="AQ1710" s="77" t="s">
        <v>14968</v>
      </c>
      <c r="AR1710" s="77"/>
      <c r="AS1710" s="77"/>
      <c r="AT1710" s="77"/>
      <c r="AU1710" s="77"/>
      <c r="AV1710" s="80" t="str">
        <f>HYPERLINK("https://pbs.twimg.com/media/FvSIbeUXwAAVCIw.jpg")</f>
        <v>https://pbs.twimg.com/media/FvSIbeUXwAAVCIw.jpg</v>
      </c>
      <c r="AW1710" s="82" t="s">
        <v>18478</v>
      </c>
      <c r="AX1710" s="82" t="s">
        <v>18478</v>
      </c>
      <c r="AY1710" s="77"/>
      <c r="AZ1710" s="82" t="s">
        <v>20971</v>
      </c>
      <c r="BA1710" s="82" t="s">
        <v>20971</v>
      </c>
      <c r="BB1710" s="82" t="s">
        <v>20971</v>
      </c>
      <c r="BC1710" s="82" t="s">
        <v>18478</v>
      </c>
      <c r="BD1710" s="82" t="s">
        <v>21308</v>
      </c>
      <c r="BE1710" s="77"/>
      <c r="BF1710" s="77"/>
      <c r="BG1710" s="77"/>
      <c r="BH1710" s="77"/>
      <c r="BI1710" s="77"/>
    </row>
    <row r="1711" spans="1:61" x14ac:dyDescent="0.25">
      <c r="A1711" s="62" t="s">
        <v>624</v>
      </c>
      <c r="B1711" s="62" t="s">
        <v>624</v>
      </c>
      <c r="C1711" s="63"/>
      <c r="D1711" s="64"/>
      <c r="E1711" s="65"/>
      <c r="F1711" s="66"/>
      <c r="G1711" s="63"/>
      <c r="H1711" s="67"/>
      <c r="I1711" s="68"/>
      <c r="J1711" s="68"/>
      <c r="K1711" s="32"/>
      <c r="L1711" s="75">
        <v>1711</v>
      </c>
      <c r="M1711" s="75"/>
      <c r="N1711" s="70"/>
      <c r="O1711" s="77" t="s">
        <v>179</v>
      </c>
      <c r="P1711" s="79">
        <v>45049.853993055556</v>
      </c>
      <c r="Q1711" s="77" t="s">
        <v>2950</v>
      </c>
      <c r="R1711" s="77">
        <v>0</v>
      </c>
      <c r="S1711" s="77">
        <v>0</v>
      </c>
      <c r="T1711" s="77">
        <v>0</v>
      </c>
      <c r="U1711" s="77">
        <v>0</v>
      </c>
      <c r="V1711" s="77">
        <v>32</v>
      </c>
      <c r="W1711" s="82" t="s">
        <v>5969</v>
      </c>
      <c r="X1711" s="80" t="str">
        <f>HYPERLINK("https://bit.ly/GanheDinheiroAssistindoVideosNoCelular")</f>
        <v>https://bit.ly/GanheDinheiroAssistindoVideosNoCelular</v>
      </c>
      <c r="Y1711" s="77" t="s">
        <v>7268</v>
      </c>
      <c r="Z1711" s="77"/>
      <c r="AA1711" s="77" t="s">
        <v>8325</v>
      </c>
      <c r="AB1711" s="77" t="s">
        <v>10129</v>
      </c>
      <c r="AC1711" s="82" t="s">
        <v>10144</v>
      </c>
      <c r="AD1711" s="77" t="s">
        <v>10184</v>
      </c>
      <c r="AE1711" s="80" t="str">
        <f>HYPERLINK("https://twitter.com/assistindo_vid/status/1653859412727984132")</f>
        <v>https://twitter.com/assistindo_vid/status/1653859412727984132</v>
      </c>
      <c r="AF1711" s="79">
        <v>45049.853993055556</v>
      </c>
      <c r="AG1711" s="85">
        <v>45049</v>
      </c>
      <c r="AH1711" s="82" t="s">
        <v>11839</v>
      </c>
      <c r="AI1711" s="77" t="b">
        <v>0</v>
      </c>
      <c r="AJ1711" s="77"/>
      <c r="AK1711" s="77"/>
      <c r="AL1711" s="77"/>
      <c r="AM1711" s="77"/>
      <c r="AN1711" s="77"/>
      <c r="AO1711" s="77"/>
      <c r="AP1711" s="77"/>
      <c r="AQ1711" s="77" t="s">
        <v>14969</v>
      </c>
      <c r="AR1711" s="77">
        <v>29562</v>
      </c>
      <c r="AS1711" s="77"/>
      <c r="AT1711" s="77"/>
      <c r="AU1711" s="77"/>
      <c r="AV1711" s="80" t="str">
        <f>HYPERLINK("https://pbs.twimg.com/ext_tw_video_thumb/1653859363755376641/pu/img/Uiscbc4xUzUQlh3U.jpg")</f>
        <v>https://pbs.twimg.com/ext_tw_video_thumb/1653859363755376641/pu/img/Uiscbc4xUzUQlh3U.jpg</v>
      </c>
      <c r="AW1711" s="82" t="s">
        <v>18479</v>
      </c>
      <c r="AX1711" s="82" t="s">
        <v>18479</v>
      </c>
      <c r="AY1711" s="77"/>
      <c r="AZ1711" s="82" t="s">
        <v>20971</v>
      </c>
      <c r="BA1711" s="82" t="s">
        <v>20971</v>
      </c>
      <c r="BB1711" s="82" t="s">
        <v>20971</v>
      </c>
      <c r="BC1711" s="82" t="s">
        <v>18479</v>
      </c>
      <c r="BD1711" s="82" t="s">
        <v>21308</v>
      </c>
      <c r="BE1711" s="77"/>
      <c r="BF1711" s="77"/>
      <c r="BG1711" s="77"/>
      <c r="BH1711" s="77"/>
      <c r="BI1711" s="77"/>
    </row>
    <row r="1712" spans="1:61" x14ac:dyDescent="0.25">
      <c r="A1712" s="62" t="s">
        <v>624</v>
      </c>
      <c r="B1712" s="62" t="s">
        <v>624</v>
      </c>
      <c r="C1712" s="63"/>
      <c r="D1712" s="64"/>
      <c r="E1712" s="65"/>
      <c r="F1712" s="66"/>
      <c r="G1712" s="63"/>
      <c r="H1712" s="67"/>
      <c r="I1712" s="68"/>
      <c r="J1712" s="68"/>
      <c r="K1712" s="32"/>
      <c r="L1712" s="75">
        <v>1712</v>
      </c>
      <c r="M1712" s="75"/>
      <c r="N1712" s="70"/>
      <c r="O1712" s="77" t="s">
        <v>179</v>
      </c>
      <c r="P1712" s="79">
        <v>45049.853576388887</v>
      </c>
      <c r="Q1712" s="77" t="s">
        <v>2951</v>
      </c>
      <c r="R1712" s="77">
        <v>0</v>
      </c>
      <c r="S1712" s="77">
        <v>0</v>
      </c>
      <c r="T1712" s="77">
        <v>0</v>
      </c>
      <c r="U1712" s="77">
        <v>0</v>
      </c>
      <c r="V1712" s="77">
        <v>15</v>
      </c>
      <c r="W1712" s="82" t="s">
        <v>5969</v>
      </c>
      <c r="X1712" s="80" t="str">
        <f>HYPERLINK("https://bit.ly/GanheDinheiroAssistindoVideosNoCelular")</f>
        <v>https://bit.ly/GanheDinheiroAssistindoVideosNoCelular</v>
      </c>
      <c r="Y1712" s="77" t="s">
        <v>7268</v>
      </c>
      <c r="Z1712" s="77"/>
      <c r="AA1712" s="77" t="s">
        <v>8326</v>
      </c>
      <c r="AB1712" s="77" t="s">
        <v>10130</v>
      </c>
      <c r="AC1712" s="82" t="s">
        <v>10144</v>
      </c>
      <c r="AD1712" s="77" t="s">
        <v>10184</v>
      </c>
      <c r="AE1712" s="80" t="str">
        <f>HYPERLINK("https://twitter.com/assistindo_vid/status/1653859258730000385")</f>
        <v>https://twitter.com/assistindo_vid/status/1653859258730000385</v>
      </c>
      <c r="AF1712" s="79">
        <v>45049.853576388887</v>
      </c>
      <c r="AG1712" s="85">
        <v>45049</v>
      </c>
      <c r="AH1712" s="82" t="s">
        <v>10395</v>
      </c>
      <c r="AI1712" s="77" t="b">
        <v>0</v>
      </c>
      <c r="AJ1712" s="77"/>
      <c r="AK1712" s="77"/>
      <c r="AL1712" s="77"/>
      <c r="AM1712" s="77"/>
      <c r="AN1712" s="77"/>
      <c r="AO1712" s="77"/>
      <c r="AP1712" s="77"/>
      <c r="AQ1712" s="77" t="s">
        <v>14970</v>
      </c>
      <c r="AR1712" s="77"/>
      <c r="AS1712" s="77"/>
      <c r="AT1712" s="77"/>
      <c r="AU1712" s="77"/>
      <c r="AV1712" s="80" t="str">
        <f>HYPERLINK("https://pbs.twimg.com/media/FvOwOyHXsAEjfGf.jpg")</f>
        <v>https://pbs.twimg.com/media/FvOwOyHXsAEjfGf.jpg</v>
      </c>
      <c r="AW1712" s="82" t="s">
        <v>18480</v>
      </c>
      <c r="AX1712" s="82" t="s">
        <v>18480</v>
      </c>
      <c r="AY1712" s="77"/>
      <c r="AZ1712" s="82" t="s">
        <v>20971</v>
      </c>
      <c r="BA1712" s="82" t="s">
        <v>20971</v>
      </c>
      <c r="BB1712" s="82" t="s">
        <v>20971</v>
      </c>
      <c r="BC1712" s="82" t="s">
        <v>18480</v>
      </c>
      <c r="BD1712" s="82" t="s">
        <v>21308</v>
      </c>
      <c r="BE1712" s="77"/>
      <c r="BF1712" s="77"/>
      <c r="BG1712" s="77"/>
      <c r="BH1712" s="77"/>
      <c r="BI1712" s="77"/>
    </row>
    <row r="1713" spans="1:61" x14ac:dyDescent="0.25">
      <c r="A1713" s="62" t="s">
        <v>625</v>
      </c>
      <c r="B1713" s="62" t="s">
        <v>625</v>
      </c>
      <c r="C1713" s="63"/>
      <c r="D1713" s="64"/>
      <c r="E1713" s="65"/>
      <c r="F1713" s="66"/>
      <c r="G1713" s="63"/>
      <c r="H1713" s="67"/>
      <c r="I1713" s="68"/>
      <c r="J1713" s="68"/>
      <c r="K1713" s="32"/>
      <c r="L1713" s="75">
        <v>1713</v>
      </c>
      <c r="M1713" s="75"/>
      <c r="N1713" s="70"/>
      <c r="O1713" s="77" t="s">
        <v>1284</v>
      </c>
      <c r="P1713" s="79">
        <v>44762.856145833335</v>
      </c>
      <c r="Q1713" s="77" t="s">
        <v>2952</v>
      </c>
      <c r="R1713" s="77">
        <v>1</v>
      </c>
      <c r="S1713" s="77">
        <v>0</v>
      </c>
      <c r="T1713" s="77">
        <v>1</v>
      </c>
      <c r="U1713" s="77">
        <v>0</v>
      </c>
      <c r="V1713" s="77"/>
      <c r="W1713" s="82" t="s">
        <v>5971</v>
      </c>
      <c r="X1713" s="80" t="str">
        <f>HYPERLINK("https://ganharnoinsta.com/?ref=1205872")</f>
        <v>https://ganharnoinsta.com/?ref=1205872</v>
      </c>
      <c r="Y1713" s="77" t="s">
        <v>7357</v>
      </c>
      <c r="Z1713" s="77" t="s">
        <v>625</v>
      </c>
      <c r="AA1713" s="77"/>
      <c r="AB1713" s="77"/>
      <c r="AC1713" s="82" t="s">
        <v>10146</v>
      </c>
      <c r="AD1713" s="77" t="s">
        <v>10184</v>
      </c>
      <c r="AE1713" s="80" t="str">
        <f>HYPERLINK("https://twitter.com/weberede/status/1549854872543035393")</f>
        <v>https://twitter.com/weberede/status/1549854872543035393</v>
      </c>
      <c r="AF1713" s="79">
        <v>44762.856145833335</v>
      </c>
      <c r="AG1713" s="85">
        <v>44762</v>
      </c>
      <c r="AH1713" s="82" t="s">
        <v>11840</v>
      </c>
      <c r="AI1713" s="77" t="b">
        <v>0</v>
      </c>
      <c r="AJ1713" s="77"/>
      <c r="AK1713" s="77"/>
      <c r="AL1713" s="77"/>
      <c r="AM1713" s="77"/>
      <c r="AN1713" s="77"/>
      <c r="AO1713" s="77"/>
      <c r="AP1713" s="77"/>
      <c r="AQ1713" s="77"/>
      <c r="AR1713" s="77"/>
      <c r="AS1713" s="77"/>
      <c r="AT1713" s="77"/>
      <c r="AU1713" s="77"/>
      <c r="AV1713" s="80" t="str">
        <f>HYPERLINK("https://pbs.twimg.com/profile_images/378800000718374870/33bfcd0a80ce306ac6ccc0319dd844dd_normal.jpeg")</f>
        <v>https://pbs.twimg.com/profile_images/378800000718374870/33bfcd0a80ce306ac6ccc0319dd844dd_normal.jpeg</v>
      </c>
      <c r="AW1713" s="82" t="s">
        <v>18481</v>
      </c>
      <c r="AX1713" s="82" t="s">
        <v>20825</v>
      </c>
      <c r="AY1713" s="82" t="s">
        <v>20930</v>
      </c>
      <c r="AZ1713" s="82" t="s">
        <v>20981</v>
      </c>
      <c r="BA1713" s="82" t="s">
        <v>20971</v>
      </c>
      <c r="BB1713" s="82" t="s">
        <v>20971</v>
      </c>
      <c r="BC1713" s="82" t="s">
        <v>20981</v>
      </c>
      <c r="BD1713" s="77">
        <v>222104654</v>
      </c>
      <c r="BE1713" s="77"/>
      <c r="BF1713" s="77"/>
      <c r="BG1713" s="77"/>
      <c r="BH1713" s="77"/>
      <c r="BI1713" s="77"/>
    </row>
    <row r="1714" spans="1:61" x14ac:dyDescent="0.25">
      <c r="A1714" s="62" t="s">
        <v>625</v>
      </c>
      <c r="B1714" s="62" t="s">
        <v>625</v>
      </c>
      <c r="C1714" s="63"/>
      <c r="D1714" s="64"/>
      <c r="E1714" s="65"/>
      <c r="F1714" s="66"/>
      <c r="G1714" s="63"/>
      <c r="H1714" s="67"/>
      <c r="I1714" s="68"/>
      <c r="J1714" s="68"/>
      <c r="K1714" s="32"/>
      <c r="L1714" s="75">
        <v>1714</v>
      </c>
      <c r="M1714" s="75"/>
      <c r="N1714" s="70"/>
      <c r="O1714" s="77" t="s">
        <v>1287</v>
      </c>
      <c r="P1714" s="79">
        <v>45195.924814814818</v>
      </c>
      <c r="Q1714" s="77" t="s">
        <v>2953</v>
      </c>
      <c r="R1714" s="77">
        <v>1</v>
      </c>
      <c r="S1714" s="77">
        <v>0</v>
      </c>
      <c r="T1714" s="77">
        <v>0</v>
      </c>
      <c r="U1714" s="77">
        <v>0</v>
      </c>
      <c r="V1714" s="77"/>
      <c r="W1714" s="82" t="s">
        <v>5972</v>
      </c>
      <c r="X1714" s="77"/>
      <c r="Y1714" s="77"/>
      <c r="Z1714" s="77" t="s">
        <v>625</v>
      </c>
      <c r="AA1714" s="77"/>
      <c r="AB1714" s="77"/>
      <c r="AC1714" s="82" t="s">
        <v>10144</v>
      </c>
      <c r="AD1714" s="77" t="s">
        <v>10184</v>
      </c>
      <c r="AE1714" s="80" t="str">
        <f>HYPERLINK("https://twitter.com/weberede/status/1706793702541111498")</f>
        <v>https://twitter.com/weberede/status/1706793702541111498</v>
      </c>
      <c r="AF1714" s="79">
        <v>45195.924814814818</v>
      </c>
      <c r="AG1714" s="85">
        <v>45195</v>
      </c>
      <c r="AH1714" s="82" t="s">
        <v>11841</v>
      </c>
      <c r="AI1714" s="77"/>
      <c r="AJ1714" s="77"/>
      <c r="AK1714" s="77"/>
      <c r="AL1714" s="77"/>
      <c r="AM1714" s="77"/>
      <c r="AN1714" s="77"/>
      <c r="AO1714" s="77"/>
      <c r="AP1714" s="77"/>
      <c r="AQ1714" s="77"/>
      <c r="AR1714" s="77"/>
      <c r="AS1714" s="77"/>
      <c r="AT1714" s="77"/>
      <c r="AU1714" s="77"/>
      <c r="AV1714" s="80" t="str">
        <f>HYPERLINK("https://pbs.twimg.com/profile_images/378800000718374870/33bfcd0a80ce306ac6ccc0319dd844dd_normal.jpeg")</f>
        <v>https://pbs.twimg.com/profile_images/378800000718374870/33bfcd0a80ce306ac6ccc0319dd844dd_normal.jpeg</v>
      </c>
      <c r="AW1714" s="82" t="s">
        <v>18482</v>
      </c>
      <c r="AX1714" s="82" t="s">
        <v>18482</v>
      </c>
      <c r="AY1714" s="77"/>
      <c r="AZ1714" s="82" t="s">
        <v>20971</v>
      </c>
      <c r="BA1714" s="82" t="s">
        <v>20971</v>
      </c>
      <c r="BB1714" s="82" t="s">
        <v>18481</v>
      </c>
      <c r="BC1714" s="82" t="s">
        <v>18481</v>
      </c>
      <c r="BD1714" s="77">
        <v>222104654</v>
      </c>
      <c r="BE1714" s="77"/>
      <c r="BF1714" s="77"/>
      <c r="BG1714" s="77"/>
      <c r="BH1714" s="77"/>
      <c r="BI1714" s="77"/>
    </row>
    <row r="1715" spans="1:61" x14ac:dyDescent="0.25">
      <c r="A1715" s="62" t="s">
        <v>626</v>
      </c>
      <c r="B1715" s="62" t="s">
        <v>626</v>
      </c>
      <c r="C1715" s="63"/>
      <c r="D1715" s="64"/>
      <c r="E1715" s="65"/>
      <c r="F1715" s="66"/>
      <c r="G1715" s="63"/>
      <c r="H1715" s="67"/>
      <c r="I1715" s="68"/>
      <c r="J1715" s="68"/>
      <c r="K1715" s="32"/>
      <c r="L1715" s="75">
        <v>1715</v>
      </c>
      <c r="M1715" s="75"/>
      <c r="N1715" s="70"/>
      <c r="O1715" s="77" t="s">
        <v>179</v>
      </c>
      <c r="P1715" s="79">
        <v>45011.765625</v>
      </c>
      <c r="Q1715" s="77" t="s">
        <v>2954</v>
      </c>
      <c r="R1715" s="77">
        <v>1</v>
      </c>
      <c r="S1715" s="77">
        <v>1</v>
      </c>
      <c r="T1715" s="77">
        <v>0</v>
      </c>
      <c r="U1715" s="77">
        <v>0</v>
      </c>
      <c r="V1715" s="77">
        <v>52</v>
      </c>
      <c r="W1715" s="82" t="s">
        <v>5973</v>
      </c>
      <c r="X1715" s="80" t="str">
        <f>HYPERLINK("https://r.honeygain.me/CLAIT6E9BE")</f>
        <v>https://r.honeygain.me/CLAIT6E9BE</v>
      </c>
      <c r="Y1715" s="77" t="s">
        <v>7262</v>
      </c>
      <c r="Z1715" s="77"/>
      <c r="AA1715" s="77" t="s">
        <v>8327</v>
      </c>
      <c r="AB1715" s="77" t="s">
        <v>10130</v>
      </c>
      <c r="AC1715" s="82" t="s">
        <v>10144</v>
      </c>
      <c r="AD1715" s="77" t="s">
        <v>10185</v>
      </c>
      <c r="AE1715" s="80" t="str">
        <f>HYPERLINK("https://twitter.com/magazinechennig/status/1640056649938337792")</f>
        <v>https://twitter.com/magazinechennig/status/1640056649938337792</v>
      </c>
      <c r="AF1715" s="79">
        <v>45011.765625</v>
      </c>
      <c r="AG1715" s="85">
        <v>45011</v>
      </c>
      <c r="AH1715" s="82" t="s">
        <v>11842</v>
      </c>
      <c r="AI1715" s="77" t="b">
        <v>0</v>
      </c>
      <c r="AJ1715" s="77" t="s">
        <v>14019</v>
      </c>
      <c r="AK1715" s="77" t="s">
        <v>14033</v>
      </c>
      <c r="AL1715" s="77" t="s">
        <v>14035</v>
      </c>
      <c r="AM1715" s="77" t="s">
        <v>14060</v>
      </c>
      <c r="AN1715" s="77" t="s">
        <v>14098</v>
      </c>
      <c r="AO1715" s="77" t="s">
        <v>14135</v>
      </c>
      <c r="AP1715" s="77" t="s">
        <v>14149</v>
      </c>
      <c r="AQ1715" s="77" t="s">
        <v>14971</v>
      </c>
      <c r="AR1715" s="77"/>
      <c r="AS1715" s="77"/>
      <c r="AT1715" s="77"/>
      <c r="AU1715" s="77"/>
      <c r="AV1715" s="80" t="str">
        <f>HYPERLINK("https://pbs.twimg.com/media/FsKm1ISXgAAoioh.jpg")</f>
        <v>https://pbs.twimg.com/media/FsKm1ISXgAAoioh.jpg</v>
      </c>
      <c r="AW1715" s="82" t="s">
        <v>18483</v>
      </c>
      <c r="AX1715" s="82" t="s">
        <v>18483</v>
      </c>
      <c r="AY1715" s="77"/>
      <c r="AZ1715" s="82" t="s">
        <v>20971</v>
      </c>
      <c r="BA1715" s="82" t="s">
        <v>20971</v>
      </c>
      <c r="BB1715" s="82" t="s">
        <v>20971</v>
      </c>
      <c r="BC1715" s="82" t="s">
        <v>18483</v>
      </c>
      <c r="BD1715" s="82" t="s">
        <v>21309</v>
      </c>
      <c r="BE1715" s="77"/>
      <c r="BF1715" s="77"/>
      <c r="BG1715" s="77"/>
      <c r="BH1715" s="77"/>
      <c r="BI1715" s="77"/>
    </row>
    <row r="1716" spans="1:61" x14ac:dyDescent="0.25">
      <c r="A1716" s="62" t="s">
        <v>627</v>
      </c>
      <c r="B1716" s="62" t="s">
        <v>627</v>
      </c>
      <c r="C1716" s="63"/>
      <c r="D1716" s="64"/>
      <c r="E1716" s="65"/>
      <c r="F1716" s="66"/>
      <c r="G1716" s="63"/>
      <c r="H1716" s="67"/>
      <c r="I1716" s="68"/>
      <c r="J1716" s="68"/>
      <c r="K1716" s="32"/>
      <c r="L1716" s="75">
        <v>1716</v>
      </c>
      <c r="M1716" s="75"/>
      <c r="N1716" s="70"/>
      <c r="O1716" s="77" t="s">
        <v>179</v>
      </c>
      <c r="P1716" s="79">
        <v>45101.44908564815</v>
      </c>
      <c r="Q1716" s="77" t="s">
        <v>2955</v>
      </c>
      <c r="R1716" s="77">
        <v>2</v>
      </c>
      <c r="S1716" s="77">
        <v>3</v>
      </c>
      <c r="T1716" s="77">
        <v>0</v>
      </c>
      <c r="U1716" s="77">
        <v>0</v>
      </c>
      <c r="V1716" s="77">
        <v>11</v>
      </c>
      <c r="W1716" s="82" t="s">
        <v>5974</v>
      </c>
      <c r="X1716" s="80" t="str">
        <f>HYPERLINK("https://adscash-ikr.buzz/61919973807703")</f>
        <v>https://adscash-ikr.buzz/61919973807703</v>
      </c>
      <c r="Y1716" s="77" t="s">
        <v>7358</v>
      </c>
      <c r="Z1716" s="77"/>
      <c r="AA1716" s="77" t="s">
        <v>8328</v>
      </c>
      <c r="AB1716" s="77" t="s">
        <v>10130</v>
      </c>
      <c r="AC1716" s="82" t="s">
        <v>10144</v>
      </c>
      <c r="AD1716" s="77" t="s">
        <v>10184</v>
      </c>
      <c r="AE1716" s="80" t="str">
        <f>HYPERLINK("https://twitter.com/jaydenmiranda18/status/1672556845192364032")</f>
        <v>https://twitter.com/jaydenmiranda18/status/1672556845192364032</v>
      </c>
      <c r="AF1716" s="79">
        <v>45101.44908564815</v>
      </c>
      <c r="AG1716" s="85">
        <v>45101</v>
      </c>
      <c r="AH1716" s="82" t="s">
        <v>11843</v>
      </c>
      <c r="AI1716" s="77" t="b">
        <v>0</v>
      </c>
      <c r="AJ1716" s="77"/>
      <c r="AK1716" s="77"/>
      <c r="AL1716" s="77"/>
      <c r="AM1716" s="77"/>
      <c r="AN1716" s="77"/>
      <c r="AO1716" s="77"/>
      <c r="AP1716" s="77"/>
      <c r="AQ1716" s="77" t="s">
        <v>14972</v>
      </c>
      <c r="AR1716" s="77"/>
      <c r="AS1716" s="77"/>
      <c r="AT1716" s="77"/>
      <c r="AU1716" s="77"/>
      <c r="AV1716" s="80" t="str">
        <f>HYPERLINK("https://pbs.twimg.com/media/FzYdlgqaIAAfkY6.jpg")</f>
        <v>https://pbs.twimg.com/media/FzYdlgqaIAAfkY6.jpg</v>
      </c>
      <c r="AW1716" s="82" t="s">
        <v>18484</v>
      </c>
      <c r="AX1716" s="82" t="s">
        <v>18484</v>
      </c>
      <c r="AY1716" s="77"/>
      <c r="AZ1716" s="82" t="s">
        <v>20971</v>
      </c>
      <c r="BA1716" s="82" t="s">
        <v>20971</v>
      </c>
      <c r="BB1716" s="82" t="s">
        <v>20971</v>
      </c>
      <c r="BC1716" s="82" t="s">
        <v>18484</v>
      </c>
      <c r="BD1716" s="82" t="s">
        <v>21310</v>
      </c>
      <c r="BE1716" s="77"/>
      <c r="BF1716" s="77"/>
      <c r="BG1716" s="77"/>
      <c r="BH1716" s="77"/>
      <c r="BI1716" s="77"/>
    </row>
    <row r="1717" spans="1:61" x14ac:dyDescent="0.25">
      <c r="A1717" s="62" t="s">
        <v>628</v>
      </c>
      <c r="B1717" s="62" t="s">
        <v>628</v>
      </c>
      <c r="C1717" s="63"/>
      <c r="D1717" s="64"/>
      <c r="E1717" s="65"/>
      <c r="F1717" s="66"/>
      <c r="G1717" s="63"/>
      <c r="H1717" s="67"/>
      <c r="I1717" s="68"/>
      <c r="J1717" s="68"/>
      <c r="K1717" s="32"/>
      <c r="L1717" s="75">
        <v>1717</v>
      </c>
      <c r="M1717" s="75"/>
      <c r="N1717" s="70"/>
      <c r="O1717" s="77" t="s">
        <v>179</v>
      </c>
      <c r="P1717" s="79">
        <v>45001.192557870374</v>
      </c>
      <c r="Q1717" s="77" t="s">
        <v>2956</v>
      </c>
      <c r="R1717" s="77">
        <v>0</v>
      </c>
      <c r="S1717" s="77">
        <v>0</v>
      </c>
      <c r="T1717" s="77">
        <v>0</v>
      </c>
      <c r="U1717" s="77">
        <v>0</v>
      </c>
      <c r="V1717" s="77">
        <v>38</v>
      </c>
      <c r="W1717" s="82" t="s">
        <v>5236</v>
      </c>
      <c r="X1717" s="77"/>
      <c r="Y1717" s="77"/>
      <c r="Z1717" s="77"/>
      <c r="AA1717" s="77"/>
      <c r="AB1717" s="77"/>
      <c r="AC1717" s="82" t="s">
        <v>10144</v>
      </c>
      <c r="AD1717" s="77" t="s">
        <v>10184</v>
      </c>
      <c r="AE1717" s="80" t="str">
        <f>HYPERLINK("https://twitter.com/nperseguido/status/1636225098834214916")</f>
        <v>https://twitter.com/nperseguido/status/1636225098834214916</v>
      </c>
      <c r="AF1717" s="79">
        <v>45001.192557870374</v>
      </c>
      <c r="AG1717" s="85">
        <v>45001</v>
      </c>
      <c r="AH1717" s="82" t="s">
        <v>11844</v>
      </c>
      <c r="AI1717" s="77"/>
      <c r="AJ1717" s="77"/>
      <c r="AK1717" s="77"/>
      <c r="AL1717" s="77"/>
      <c r="AM1717" s="77"/>
      <c r="AN1717" s="77"/>
      <c r="AO1717" s="77"/>
      <c r="AP1717" s="77"/>
      <c r="AQ1717" s="77"/>
      <c r="AR1717" s="77"/>
      <c r="AS1717" s="77"/>
      <c r="AT1717" s="77"/>
      <c r="AU1717" s="77"/>
      <c r="AV1717" s="80" t="str">
        <f>HYPERLINK("https://pbs.twimg.com/profile_images/1636225400228532224/Un1-ex7v_normal.jpg")</f>
        <v>https://pbs.twimg.com/profile_images/1636225400228532224/Un1-ex7v_normal.jpg</v>
      </c>
      <c r="AW1717" s="82" t="s">
        <v>18485</v>
      </c>
      <c r="AX1717" s="82" t="s">
        <v>18485</v>
      </c>
      <c r="AY1717" s="77"/>
      <c r="AZ1717" s="82" t="s">
        <v>20971</v>
      </c>
      <c r="BA1717" s="82" t="s">
        <v>20971</v>
      </c>
      <c r="BB1717" s="82" t="s">
        <v>20971</v>
      </c>
      <c r="BC1717" s="82" t="s">
        <v>18485</v>
      </c>
      <c r="BD1717" s="82" t="s">
        <v>21311</v>
      </c>
      <c r="BE1717" s="77"/>
      <c r="BF1717" s="77"/>
      <c r="BG1717" s="77"/>
      <c r="BH1717" s="77"/>
      <c r="BI1717" s="77"/>
    </row>
    <row r="1718" spans="1:61" x14ac:dyDescent="0.25">
      <c r="A1718" s="62" t="s">
        <v>629</v>
      </c>
      <c r="B1718" s="62" t="s">
        <v>629</v>
      </c>
      <c r="C1718" s="63"/>
      <c r="D1718" s="64"/>
      <c r="E1718" s="65"/>
      <c r="F1718" s="66"/>
      <c r="G1718" s="63"/>
      <c r="H1718" s="67"/>
      <c r="I1718" s="68"/>
      <c r="J1718" s="68"/>
      <c r="K1718" s="32"/>
      <c r="L1718" s="75">
        <v>1718</v>
      </c>
      <c r="M1718" s="75"/>
      <c r="N1718" s="70"/>
      <c r="O1718" s="77" t="s">
        <v>179</v>
      </c>
      <c r="P1718" s="79">
        <v>45006.96466435185</v>
      </c>
      <c r="Q1718" s="77" t="s">
        <v>2957</v>
      </c>
      <c r="R1718" s="77">
        <v>0</v>
      </c>
      <c r="S1718" s="77">
        <v>0</v>
      </c>
      <c r="T1718" s="77">
        <v>1</v>
      </c>
      <c r="U1718" s="77">
        <v>0</v>
      </c>
      <c r="V1718" s="77">
        <v>271</v>
      </c>
      <c r="W1718" s="82" t="s">
        <v>5975</v>
      </c>
      <c r="X1718" s="80" t="str">
        <f>HYPERLINK("https://apax-br.com/download?code=k0x7Z9")</f>
        <v>https://apax-br.com/download?code=k0x7Z9</v>
      </c>
      <c r="Y1718" s="77" t="s">
        <v>7359</v>
      </c>
      <c r="Z1718" s="77"/>
      <c r="AA1718" s="77" t="s">
        <v>8329</v>
      </c>
      <c r="AB1718" s="77" t="s">
        <v>10130</v>
      </c>
      <c r="AC1718" s="82" t="s">
        <v>10144</v>
      </c>
      <c r="AD1718" s="77" t="s">
        <v>10183</v>
      </c>
      <c r="AE1718" s="80" t="str">
        <f>HYPERLINK("https://twitter.com/ksouzzs81082/status/1638316837585707009")</f>
        <v>https://twitter.com/ksouzzs81082/status/1638316837585707009</v>
      </c>
      <c r="AF1718" s="79">
        <v>45006.96466435185</v>
      </c>
      <c r="AG1718" s="85">
        <v>45006</v>
      </c>
      <c r="AH1718" s="82" t="s">
        <v>11845</v>
      </c>
      <c r="AI1718" s="77" t="b">
        <v>0</v>
      </c>
      <c r="AJ1718" s="77"/>
      <c r="AK1718" s="77"/>
      <c r="AL1718" s="77"/>
      <c r="AM1718" s="77"/>
      <c r="AN1718" s="77"/>
      <c r="AO1718" s="77"/>
      <c r="AP1718" s="77"/>
      <c r="AQ1718" s="77" t="s">
        <v>14973</v>
      </c>
      <c r="AR1718" s="77"/>
      <c r="AS1718" s="77"/>
      <c r="AT1718" s="77"/>
      <c r="AU1718" s="77"/>
      <c r="AV1718" s="80" t="str">
        <f>HYPERLINK("https://pbs.twimg.com/media/Frx4exmX0AAnVfH.jpg")</f>
        <v>https://pbs.twimg.com/media/Frx4exmX0AAnVfH.jpg</v>
      </c>
      <c r="AW1718" s="82" t="s">
        <v>18486</v>
      </c>
      <c r="AX1718" s="82" t="s">
        <v>18486</v>
      </c>
      <c r="AY1718" s="77"/>
      <c r="AZ1718" s="82" t="s">
        <v>20971</v>
      </c>
      <c r="BA1718" s="82" t="s">
        <v>20971</v>
      </c>
      <c r="BB1718" s="82" t="s">
        <v>20971</v>
      </c>
      <c r="BC1718" s="82" t="s">
        <v>18486</v>
      </c>
      <c r="BD1718" s="82" t="s">
        <v>21312</v>
      </c>
      <c r="BE1718" s="77"/>
      <c r="BF1718" s="77"/>
      <c r="BG1718" s="77"/>
      <c r="BH1718" s="77"/>
      <c r="BI1718" s="77"/>
    </row>
    <row r="1719" spans="1:61" x14ac:dyDescent="0.25">
      <c r="A1719" s="62" t="s">
        <v>630</v>
      </c>
      <c r="B1719" s="62" t="s">
        <v>630</v>
      </c>
      <c r="C1719" s="63"/>
      <c r="D1719" s="64"/>
      <c r="E1719" s="65"/>
      <c r="F1719" s="66"/>
      <c r="G1719" s="63"/>
      <c r="H1719" s="67"/>
      <c r="I1719" s="68"/>
      <c r="J1719" s="68"/>
      <c r="K1719" s="32"/>
      <c r="L1719" s="75">
        <v>1719</v>
      </c>
      <c r="M1719" s="75"/>
      <c r="N1719" s="70"/>
      <c r="O1719" s="77" t="s">
        <v>179</v>
      </c>
      <c r="P1719" s="79">
        <v>45124.027291666665</v>
      </c>
      <c r="Q1719" s="77" t="s">
        <v>2958</v>
      </c>
      <c r="R1719" s="77">
        <v>0</v>
      </c>
      <c r="S1719" s="77">
        <v>0</v>
      </c>
      <c r="T1719" s="77">
        <v>0</v>
      </c>
      <c r="U1719" s="77">
        <v>0</v>
      </c>
      <c r="V1719" s="77">
        <v>10</v>
      </c>
      <c r="W1719" s="82" t="s">
        <v>5976</v>
      </c>
      <c r="X1719" s="77"/>
      <c r="Y1719" s="77"/>
      <c r="Z1719" s="77"/>
      <c r="AA1719" s="77"/>
      <c r="AB1719" s="77"/>
      <c r="AC1719" s="82" t="s">
        <v>10146</v>
      </c>
      <c r="AD1719" s="77" t="s">
        <v>10184</v>
      </c>
      <c r="AE1719" s="80" t="str">
        <f>HYPERLINK("https://twitter.com/mariofehomeoff/status/1680738916163375104")</f>
        <v>https://twitter.com/mariofehomeoff/status/1680738916163375104</v>
      </c>
      <c r="AF1719" s="79">
        <v>45124.027291666665</v>
      </c>
      <c r="AG1719" s="85">
        <v>45124</v>
      </c>
      <c r="AH1719" s="82" t="s">
        <v>11846</v>
      </c>
      <c r="AI1719" s="77"/>
      <c r="AJ1719" s="77"/>
      <c r="AK1719" s="77"/>
      <c r="AL1719" s="77"/>
      <c r="AM1719" s="77"/>
      <c r="AN1719" s="77"/>
      <c r="AO1719" s="77"/>
      <c r="AP1719" s="77"/>
      <c r="AQ1719" s="77"/>
      <c r="AR1719" s="77"/>
      <c r="AS1719" s="77"/>
      <c r="AT1719" s="77"/>
      <c r="AU1719" s="77"/>
      <c r="AV1719" s="80" t="str">
        <f>HYPERLINK("https://pbs.twimg.com/profile_images/1680635041703944195/Q7kX9oh7_normal.jpg")</f>
        <v>https://pbs.twimg.com/profile_images/1680635041703944195/Q7kX9oh7_normal.jpg</v>
      </c>
      <c r="AW1719" s="82" t="s">
        <v>18487</v>
      </c>
      <c r="AX1719" s="82" t="s">
        <v>18487</v>
      </c>
      <c r="AY1719" s="77"/>
      <c r="AZ1719" s="82" t="s">
        <v>20971</v>
      </c>
      <c r="BA1719" s="82" t="s">
        <v>20971</v>
      </c>
      <c r="BB1719" s="82" t="s">
        <v>20971</v>
      </c>
      <c r="BC1719" s="82" t="s">
        <v>18487</v>
      </c>
      <c r="BD1719" s="82" t="s">
        <v>21313</v>
      </c>
      <c r="BE1719" s="77"/>
      <c r="BF1719" s="77"/>
      <c r="BG1719" s="77"/>
      <c r="BH1719" s="77"/>
      <c r="BI1719" s="77"/>
    </row>
    <row r="1720" spans="1:61" x14ac:dyDescent="0.25">
      <c r="A1720" s="62" t="s">
        <v>631</v>
      </c>
      <c r="B1720" s="62" t="s">
        <v>631</v>
      </c>
      <c r="C1720" s="63"/>
      <c r="D1720" s="64"/>
      <c r="E1720" s="65"/>
      <c r="F1720" s="66"/>
      <c r="G1720" s="63"/>
      <c r="H1720" s="67"/>
      <c r="I1720" s="68"/>
      <c r="J1720" s="68"/>
      <c r="K1720" s="32"/>
      <c r="L1720" s="75">
        <v>1720</v>
      </c>
      <c r="M1720" s="75"/>
      <c r="N1720" s="70"/>
      <c r="O1720" s="77" t="s">
        <v>179</v>
      </c>
      <c r="P1720" s="79">
        <v>44999.75167824074</v>
      </c>
      <c r="Q1720" s="77" t="s">
        <v>2959</v>
      </c>
      <c r="R1720" s="77">
        <v>0</v>
      </c>
      <c r="S1720" s="77">
        <v>0</v>
      </c>
      <c r="T1720" s="77">
        <v>1</v>
      </c>
      <c r="U1720" s="77">
        <v>0</v>
      </c>
      <c r="V1720" s="77">
        <v>51</v>
      </c>
      <c r="W1720" s="82" t="s">
        <v>5977</v>
      </c>
      <c r="X1720" s="77"/>
      <c r="Y1720" s="77"/>
      <c r="Z1720" s="77"/>
      <c r="AA1720" s="77" t="s">
        <v>8330</v>
      </c>
      <c r="AB1720" s="77" t="s">
        <v>10129</v>
      </c>
      <c r="AC1720" s="82" t="s">
        <v>10144</v>
      </c>
      <c r="AD1720" s="77" t="s">
        <v>10184</v>
      </c>
      <c r="AE1720" s="80" t="str">
        <f>HYPERLINK("https://twitter.com/aprendareceita1/status/1635702940877873152")</f>
        <v>https://twitter.com/aprendareceita1/status/1635702940877873152</v>
      </c>
      <c r="AF1720" s="79">
        <v>44999.75167824074</v>
      </c>
      <c r="AG1720" s="85">
        <v>44999</v>
      </c>
      <c r="AH1720" s="82" t="s">
        <v>11847</v>
      </c>
      <c r="AI1720" s="77" t="b">
        <v>0</v>
      </c>
      <c r="AJ1720" s="77"/>
      <c r="AK1720" s="77"/>
      <c r="AL1720" s="77"/>
      <c r="AM1720" s="77"/>
      <c r="AN1720" s="77"/>
      <c r="AO1720" s="77"/>
      <c r="AP1720" s="77"/>
      <c r="AQ1720" s="77" t="s">
        <v>14974</v>
      </c>
      <c r="AR1720" s="77">
        <v>19504</v>
      </c>
      <c r="AS1720" s="77"/>
      <c r="AT1720" s="77"/>
      <c r="AU1720" s="77"/>
      <c r="AV1720" s="80" t="str">
        <f>HYPERLINK("https://pbs.twimg.com/ext_tw_video_thumb/1635702911471681538/pu/img/T9QyLOPgprYL-gk4.jpg")</f>
        <v>https://pbs.twimg.com/ext_tw_video_thumb/1635702911471681538/pu/img/T9QyLOPgprYL-gk4.jpg</v>
      </c>
      <c r="AW1720" s="82" t="s">
        <v>18488</v>
      </c>
      <c r="AX1720" s="82" t="s">
        <v>18488</v>
      </c>
      <c r="AY1720" s="77"/>
      <c r="AZ1720" s="82" t="s">
        <v>20971</v>
      </c>
      <c r="BA1720" s="82" t="s">
        <v>20971</v>
      </c>
      <c r="BB1720" s="82" t="s">
        <v>20971</v>
      </c>
      <c r="BC1720" s="82" t="s">
        <v>18488</v>
      </c>
      <c r="BD1720" s="82" t="s">
        <v>21314</v>
      </c>
      <c r="BE1720" s="77"/>
      <c r="BF1720" s="77"/>
      <c r="BG1720" s="77"/>
      <c r="BH1720" s="77"/>
      <c r="BI1720" s="77"/>
    </row>
    <row r="1721" spans="1:61" x14ac:dyDescent="0.25">
      <c r="A1721" s="62" t="s">
        <v>631</v>
      </c>
      <c r="B1721" s="62" t="s">
        <v>631</v>
      </c>
      <c r="C1721" s="63"/>
      <c r="D1721" s="64"/>
      <c r="E1721" s="65"/>
      <c r="F1721" s="66"/>
      <c r="G1721" s="63"/>
      <c r="H1721" s="67"/>
      <c r="I1721" s="68"/>
      <c r="J1721" s="68"/>
      <c r="K1721" s="32"/>
      <c r="L1721" s="75">
        <v>1721</v>
      </c>
      <c r="M1721" s="75"/>
      <c r="N1721" s="70"/>
      <c r="O1721" s="77" t="s">
        <v>179</v>
      </c>
      <c r="P1721" s="79">
        <v>44959.670347222222</v>
      </c>
      <c r="Q1721" s="77" t="s">
        <v>2960</v>
      </c>
      <c r="R1721" s="77">
        <v>0</v>
      </c>
      <c r="S1721" s="77">
        <v>0</v>
      </c>
      <c r="T1721" s="77">
        <v>0</v>
      </c>
      <c r="U1721" s="77">
        <v>0</v>
      </c>
      <c r="V1721" s="77">
        <v>36</v>
      </c>
      <c r="W1721" s="82" t="s">
        <v>5978</v>
      </c>
      <c r="X1721" s="80" t="str">
        <f>HYPERLINK("https://youtube.com/channel/UC1zdGg6wQZyB2eifrUDj8-g")</f>
        <v>https://youtube.com/channel/UC1zdGg6wQZyB2eifrUDj8-g</v>
      </c>
      <c r="Y1721" s="77" t="s">
        <v>7303</v>
      </c>
      <c r="Z1721" s="77"/>
      <c r="AA1721" s="77" t="s">
        <v>8331</v>
      </c>
      <c r="AB1721" s="77" t="s">
        <v>10129</v>
      </c>
      <c r="AC1721" s="82" t="s">
        <v>10144</v>
      </c>
      <c r="AD1721" s="77" t="s">
        <v>10184</v>
      </c>
      <c r="AE1721" s="80" t="str">
        <f>HYPERLINK("https://twitter.com/aprendareceita1/status/1621177953714405377")</f>
        <v>https://twitter.com/aprendareceita1/status/1621177953714405377</v>
      </c>
      <c r="AF1721" s="79">
        <v>44959.670347222222</v>
      </c>
      <c r="AG1721" s="85">
        <v>44959</v>
      </c>
      <c r="AH1721" s="82" t="s">
        <v>11848</v>
      </c>
      <c r="AI1721" s="77" t="b">
        <v>0</v>
      </c>
      <c r="AJ1721" s="77"/>
      <c r="AK1721" s="77"/>
      <c r="AL1721" s="77"/>
      <c r="AM1721" s="77"/>
      <c r="AN1721" s="77"/>
      <c r="AO1721" s="77"/>
      <c r="AP1721" s="77"/>
      <c r="AQ1721" s="77" t="s">
        <v>14975</v>
      </c>
      <c r="AR1721" s="77">
        <v>18900</v>
      </c>
      <c r="AS1721" s="77"/>
      <c r="AT1721" s="77"/>
      <c r="AU1721" s="77"/>
      <c r="AV1721" s="80" t="str">
        <f>HYPERLINK("https://pbs.twimg.com/ext_tw_video_thumb/1621177909804163072/pu/img/OjLdDLPpDS7fJfPu.jpg")</f>
        <v>https://pbs.twimg.com/ext_tw_video_thumb/1621177909804163072/pu/img/OjLdDLPpDS7fJfPu.jpg</v>
      </c>
      <c r="AW1721" s="82" t="s">
        <v>18489</v>
      </c>
      <c r="AX1721" s="82" t="s">
        <v>18489</v>
      </c>
      <c r="AY1721" s="77"/>
      <c r="AZ1721" s="82" t="s">
        <v>20971</v>
      </c>
      <c r="BA1721" s="82" t="s">
        <v>20971</v>
      </c>
      <c r="BB1721" s="82" t="s">
        <v>20971</v>
      </c>
      <c r="BC1721" s="82" t="s">
        <v>18489</v>
      </c>
      <c r="BD1721" s="82" t="s">
        <v>21314</v>
      </c>
      <c r="BE1721" s="77"/>
      <c r="BF1721" s="77"/>
      <c r="BG1721" s="77"/>
      <c r="BH1721" s="77"/>
      <c r="BI1721" s="77"/>
    </row>
    <row r="1722" spans="1:61" x14ac:dyDescent="0.25">
      <c r="A1722" s="62" t="s">
        <v>631</v>
      </c>
      <c r="B1722" s="62" t="s">
        <v>631</v>
      </c>
      <c r="C1722" s="63"/>
      <c r="D1722" s="64"/>
      <c r="E1722" s="65"/>
      <c r="F1722" s="66"/>
      <c r="G1722" s="63"/>
      <c r="H1722" s="67"/>
      <c r="I1722" s="68"/>
      <c r="J1722" s="68"/>
      <c r="K1722" s="32"/>
      <c r="L1722" s="75">
        <v>1722</v>
      </c>
      <c r="M1722" s="75"/>
      <c r="N1722" s="70"/>
      <c r="O1722" s="77" t="s">
        <v>179</v>
      </c>
      <c r="P1722" s="79">
        <v>45127.15011574074</v>
      </c>
      <c r="Q1722" s="77" t="s">
        <v>2961</v>
      </c>
      <c r="R1722" s="77">
        <v>0</v>
      </c>
      <c r="S1722" s="77">
        <v>0</v>
      </c>
      <c r="T1722" s="77">
        <v>0</v>
      </c>
      <c r="U1722" s="77">
        <v>0</v>
      </c>
      <c r="V1722" s="77">
        <v>71</v>
      </c>
      <c r="W1722" s="82" t="s">
        <v>5979</v>
      </c>
      <c r="X1722" s="77"/>
      <c r="Y1722" s="77"/>
      <c r="Z1722" s="77"/>
      <c r="AA1722" s="77" t="s">
        <v>8332</v>
      </c>
      <c r="AB1722" s="77" t="s">
        <v>10129</v>
      </c>
      <c r="AC1722" s="82" t="s">
        <v>10144</v>
      </c>
      <c r="AD1722" s="77" t="s">
        <v>10184</v>
      </c>
      <c r="AE1722" s="80" t="str">
        <f>HYPERLINK("https://twitter.com/aprendareceita1/status/1681870587931553792")</f>
        <v>https://twitter.com/aprendareceita1/status/1681870587931553792</v>
      </c>
      <c r="AF1722" s="79">
        <v>45127.15011574074</v>
      </c>
      <c r="AG1722" s="85">
        <v>45127</v>
      </c>
      <c r="AH1722" s="82" t="s">
        <v>11849</v>
      </c>
      <c r="AI1722" s="77" t="b">
        <v>0</v>
      </c>
      <c r="AJ1722" s="77"/>
      <c r="AK1722" s="77"/>
      <c r="AL1722" s="77"/>
      <c r="AM1722" s="77"/>
      <c r="AN1722" s="77"/>
      <c r="AO1722" s="77"/>
      <c r="AP1722" s="77"/>
      <c r="AQ1722" s="77" t="s">
        <v>14976</v>
      </c>
      <c r="AR1722" s="77">
        <v>14999</v>
      </c>
      <c r="AS1722" s="77"/>
      <c r="AT1722" s="77"/>
      <c r="AU1722" s="77"/>
      <c r="AV1722" s="80" t="str">
        <f>HYPERLINK("https://pbs.twimg.com/ext_tw_video_thumb/1681870565999616000/pu/img/4gruj1WHgopZTOdA.jpg")</f>
        <v>https://pbs.twimg.com/ext_tw_video_thumb/1681870565999616000/pu/img/4gruj1WHgopZTOdA.jpg</v>
      </c>
      <c r="AW1722" s="82" t="s">
        <v>18490</v>
      </c>
      <c r="AX1722" s="82" t="s">
        <v>18490</v>
      </c>
      <c r="AY1722" s="77"/>
      <c r="AZ1722" s="82" t="s">
        <v>20971</v>
      </c>
      <c r="BA1722" s="82" t="s">
        <v>20971</v>
      </c>
      <c r="BB1722" s="82" t="s">
        <v>20971</v>
      </c>
      <c r="BC1722" s="82" t="s">
        <v>18490</v>
      </c>
      <c r="BD1722" s="82" t="s">
        <v>21314</v>
      </c>
      <c r="BE1722" s="77"/>
      <c r="BF1722" s="77"/>
      <c r="BG1722" s="77"/>
      <c r="BH1722" s="77"/>
      <c r="BI1722" s="77"/>
    </row>
    <row r="1723" spans="1:61" x14ac:dyDescent="0.25">
      <c r="A1723" s="62" t="s">
        <v>631</v>
      </c>
      <c r="B1723" s="62" t="s">
        <v>631</v>
      </c>
      <c r="C1723" s="63"/>
      <c r="D1723" s="64"/>
      <c r="E1723" s="65"/>
      <c r="F1723" s="66"/>
      <c r="G1723" s="63"/>
      <c r="H1723" s="67"/>
      <c r="I1723" s="68"/>
      <c r="J1723" s="68"/>
      <c r="K1723" s="32"/>
      <c r="L1723" s="75">
        <v>1723</v>
      </c>
      <c r="M1723" s="75"/>
      <c r="N1723" s="70"/>
      <c r="O1723" s="77" t="s">
        <v>179</v>
      </c>
      <c r="P1723" s="79">
        <v>45082.809247685182</v>
      </c>
      <c r="Q1723" s="77" t="s">
        <v>2962</v>
      </c>
      <c r="R1723" s="77">
        <v>0</v>
      </c>
      <c r="S1723" s="77">
        <v>0</v>
      </c>
      <c r="T1723" s="77">
        <v>0</v>
      </c>
      <c r="U1723" s="77">
        <v>0</v>
      </c>
      <c r="V1723" s="77">
        <v>101</v>
      </c>
      <c r="W1723" s="82" t="s">
        <v>5980</v>
      </c>
      <c r="X1723" s="77"/>
      <c r="Y1723" s="77"/>
      <c r="Z1723" s="77"/>
      <c r="AA1723" s="77" t="s">
        <v>8333</v>
      </c>
      <c r="AB1723" s="77" t="s">
        <v>10129</v>
      </c>
      <c r="AC1723" s="82" t="s">
        <v>10144</v>
      </c>
      <c r="AD1723" s="77" t="s">
        <v>10184</v>
      </c>
      <c r="AE1723" s="80" t="str">
        <f>HYPERLINK("https://twitter.com/aprendareceita1/status/1665801994144038917")</f>
        <v>https://twitter.com/aprendareceita1/status/1665801994144038917</v>
      </c>
      <c r="AF1723" s="79">
        <v>45082.809247685182</v>
      </c>
      <c r="AG1723" s="85">
        <v>45082</v>
      </c>
      <c r="AH1723" s="82" t="s">
        <v>11850</v>
      </c>
      <c r="AI1723" s="77" t="b">
        <v>0</v>
      </c>
      <c r="AJ1723" s="77"/>
      <c r="AK1723" s="77"/>
      <c r="AL1723" s="77"/>
      <c r="AM1723" s="77"/>
      <c r="AN1723" s="77"/>
      <c r="AO1723" s="77"/>
      <c r="AP1723" s="77"/>
      <c r="AQ1723" s="77" t="s">
        <v>14977</v>
      </c>
      <c r="AR1723" s="77">
        <v>14999</v>
      </c>
      <c r="AS1723" s="77"/>
      <c r="AT1723" s="77"/>
      <c r="AU1723" s="77"/>
      <c r="AV1723" s="80" t="str">
        <f>HYPERLINK("https://pbs.twimg.com/ext_tw_video_thumb/1665801980302770180/pu/img/_5rAiRealgK19T9B.jpg")</f>
        <v>https://pbs.twimg.com/ext_tw_video_thumb/1665801980302770180/pu/img/_5rAiRealgK19T9B.jpg</v>
      </c>
      <c r="AW1723" s="82" t="s">
        <v>18491</v>
      </c>
      <c r="AX1723" s="82" t="s">
        <v>18491</v>
      </c>
      <c r="AY1723" s="77"/>
      <c r="AZ1723" s="82" t="s">
        <v>20971</v>
      </c>
      <c r="BA1723" s="82" t="s">
        <v>20971</v>
      </c>
      <c r="BB1723" s="82" t="s">
        <v>20971</v>
      </c>
      <c r="BC1723" s="82" t="s">
        <v>18491</v>
      </c>
      <c r="BD1723" s="82" t="s">
        <v>21314</v>
      </c>
      <c r="BE1723" s="77"/>
      <c r="BF1723" s="77"/>
      <c r="BG1723" s="77"/>
      <c r="BH1723" s="77"/>
      <c r="BI1723" s="77"/>
    </row>
    <row r="1724" spans="1:61" x14ac:dyDescent="0.25">
      <c r="A1724" s="62" t="s">
        <v>631</v>
      </c>
      <c r="B1724" s="62" t="s">
        <v>631</v>
      </c>
      <c r="C1724" s="63"/>
      <c r="D1724" s="64"/>
      <c r="E1724" s="65"/>
      <c r="F1724" s="66"/>
      <c r="G1724" s="63"/>
      <c r="H1724" s="67"/>
      <c r="I1724" s="68"/>
      <c r="J1724" s="68"/>
      <c r="K1724" s="32"/>
      <c r="L1724" s="75">
        <v>1724</v>
      </c>
      <c r="M1724" s="75"/>
      <c r="N1724" s="70"/>
      <c r="O1724" s="77" t="s">
        <v>179</v>
      </c>
      <c r="P1724" s="79">
        <v>45064.91741898148</v>
      </c>
      <c r="Q1724" s="77" t="s">
        <v>2963</v>
      </c>
      <c r="R1724" s="77">
        <v>0</v>
      </c>
      <c r="S1724" s="77">
        <v>5</v>
      </c>
      <c r="T1724" s="77">
        <v>1</v>
      </c>
      <c r="U1724" s="77">
        <v>1</v>
      </c>
      <c r="V1724" s="77">
        <v>359</v>
      </c>
      <c r="W1724" s="82" t="s">
        <v>5977</v>
      </c>
      <c r="X1724" s="77"/>
      <c r="Y1724" s="77"/>
      <c r="Z1724" s="77"/>
      <c r="AA1724" s="77" t="s">
        <v>8334</v>
      </c>
      <c r="AB1724" s="77" t="s">
        <v>10130</v>
      </c>
      <c r="AC1724" s="82" t="s">
        <v>10144</v>
      </c>
      <c r="AD1724" s="77" t="s">
        <v>10184</v>
      </c>
      <c r="AE1724" s="80" t="str">
        <f>HYPERLINK("https://twitter.com/aprendareceita1/status/1659318214168387587")</f>
        <v>https://twitter.com/aprendareceita1/status/1659318214168387587</v>
      </c>
      <c r="AF1724" s="79">
        <v>45064.91741898148</v>
      </c>
      <c r="AG1724" s="85">
        <v>45064</v>
      </c>
      <c r="AH1724" s="82" t="s">
        <v>11851</v>
      </c>
      <c r="AI1724" s="77" t="b">
        <v>0</v>
      </c>
      <c r="AJ1724" s="77"/>
      <c r="AK1724" s="77"/>
      <c r="AL1724" s="77"/>
      <c r="AM1724" s="77"/>
      <c r="AN1724" s="77"/>
      <c r="AO1724" s="77"/>
      <c r="AP1724" s="77"/>
      <c r="AQ1724" s="77" t="s">
        <v>14978</v>
      </c>
      <c r="AR1724" s="77"/>
      <c r="AS1724" s="77"/>
      <c r="AT1724" s="77"/>
      <c r="AU1724" s="77"/>
      <c r="AV1724" s="80" t="str">
        <f>HYPERLINK("https://pbs.twimg.com/media/FwcVHz5XgAAWl1y.jpg")</f>
        <v>https://pbs.twimg.com/media/FwcVHz5XgAAWl1y.jpg</v>
      </c>
      <c r="AW1724" s="82" t="s">
        <v>18492</v>
      </c>
      <c r="AX1724" s="82" t="s">
        <v>18492</v>
      </c>
      <c r="AY1724" s="77"/>
      <c r="AZ1724" s="82" t="s">
        <v>20971</v>
      </c>
      <c r="BA1724" s="82" t="s">
        <v>20971</v>
      </c>
      <c r="BB1724" s="82" t="s">
        <v>20971</v>
      </c>
      <c r="BC1724" s="82" t="s">
        <v>18492</v>
      </c>
      <c r="BD1724" s="82" t="s">
        <v>21314</v>
      </c>
      <c r="BE1724" s="77"/>
      <c r="BF1724" s="77"/>
      <c r="BG1724" s="77"/>
      <c r="BH1724" s="77"/>
      <c r="BI1724" s="77"/>
    </row>
    <row r="1725" spans="1:61" x14ac:dyDescent="0.25">
      <c r="A1725" s="62" t="s">
        <v>631</v>
      </c>
      <c r="B1725" s="62" t="s">
        <v>631</v>
      </c>
      <c r="C1725" s="63"/>
      <c r="D1725" s="64"/>
      <c r="E1725" s="65"/>
      <c r="F1725" s="66"/>
      <c r="G1725" s="63"/>
      <c r="H1725" s="67"/>
      <c r="I1725" s="68"/>
      <c r="J1725" s="68"/>
      <c r="K1725" s="32"/>
      <c r="L1725" s="75">
        <v>1725</v>
      </c>
      <c r="M1725" s="75"/>
      <c r="N1725" s="70"/>
      <c r="O1725" s="77" t="s">
        <v>179</v>
      </c>
      <c r="P1725" s="79">
        <v>44975.817928240744</v>
      </c>
      <c r="Q1725" s="77" t="s">
        <v>2964</v>
      </c>
      <c r="R1725" s="77">
        <v>0</v>
      </c>
      <c r="S1725" s="77">
        <v>0</v>
      </c>
      <c r="T1725" s="77">
        <v>0</v>
      </c>
      <c r="U1725" s="77">
        <v>0</v>
      </c>
      <c r="V1725" s="77">
        <v>55</v>
      </c>
      <c r="W1725" s="82" t="s">
        <v>5978</v>
      </c>
      <c r="X1725" s="80" t="str">
        <f>HYPERLINK("https://youtube.com/channel/UC1zdGg6wQZyB2eifrUDj8-g")</f>
        <v>https://youtube.com/channel/UC1zdGg6wQZyB2eifrUDj8-g</v>
      </c>
      <c r="Y1725" s="77" t="s">
        <v>7303</v>
      </c>
      <c r="Z1725" s="77"/>
      <c r="AA1725" s="77" t="s">
        <v>8335</v>
      </c>
      <c r="AB1725" s="77" t="s">
        <v>10129</v>
      </c>
      <c r="AC1725" s="82" t="s">
        <v>10144</v>
      </c>
      <c r="AD1725" s="77" t="s">
        <v>10184</v>
      </c>
      <c r="AE1725" s="80" t="str">
        <f>HYPERLINK("https://twitter.com/aprendareceita1/status/1627029637866876929")</f>
        <v>https://twitter.com/aprendareceita1/status/1627029637866876929</v>
      </c>
      <c r="AF1725" s="79">
        <v>44975.817928240744</v>
      </c>
      <c r="AG1725" s="85">
        <v>44975</v>
      </c>
      <c r="AH1725" s="82" t="s">
        <v>11852</v>
      </c>
      <c r="AI1725" s="77" t="b">
        <v>0</v>
      </c>
      <c r="AJ1725" s="77"/>
      <c r="AK1725" s="77"/>
      <c r="AL1725" s="77"/>
      <c r="AM1725" s="77"/>
      <c r="AN1725" s="77"/>
      <c r="AO1725" s="77"/>
      <c r="AP1725" s="77"/>
      <c r="AQ1725" s="77" t="s">
        <v>14979</v>
      </c>
      <c r="AR1725" s="77">
        <v>19800</v>
      </c>
      <c r="AS1725" s="77"/>
      <c r="AT1725" s="77"/>
      <c r="AU1725" s="77"/>
      <c r="AV1725" s="80" t="str">
        <f>HYPERLINK("https://pbs.twimg.com/ext_tw_video_thumb/1627029603880431619/pu/img/ZN5JUcSaLHv5J7dF.jpg")</f>
        <v>https://pbs.twimg.com/ext_tw_video_thumb/1627029603880431619/pu/img/ZN5JUcSaLHv5J7dF.jpg</v>
      </c>
      <c r="AW1725" s="82" t="s">
        <v>18493</v>
      </c>
      <c r="AX1725" s="82" t="s">
        <v>18493</v>
      </c>
      <c r="AY1725" s="77"/>
      <c r="AZ1725" s="82" t="s">
        <v>20971</v>
      </c>
      <c r="BA1725" s="82" t="s">
        <v>20971</v>
      </c>
      <c r="BB1725" s="82" t="s">
        <v>20971</v>
      </c>
      <c r="BC1725" s="82" t="s">
        <v>18493</v>
      </c>
      <c r="BD1725" s="82" t="s">
        <v>21314</v>
      </c>
      <c r="BE1725" s="77"/>
      <c r="BF1725" s="77"/>
      <c r="BG1725" s="77"/>
      <c r="BH1725" s="77"/>
      <c r="BI1725" s="77"/>
    </row>
    <row r="1726" spans="1:61" x14ac:dyDescent="0.25">
      <c r="A1726" s="62" t="s">
        <v>631</v>
      </c>
      <c r="B1726" s="62" t="s">
        <v>631</v>
      </c>
      <c r="C1726" s="63"/>
      <c r="D1726" s="64"/>
      <c r="E1726" s="65"/>
      <c r="F1726" s="66"/>
      <c r="G1726" s="63"/>
      <c r="H1726" s="67"/>
      <c r="I1726" s="68"/>
      <c r="J1726" s="68"/>
      <c r="K1726" s="32"/>
      <c r="L1726" s="75">
        <v>1726</v>
      </c>
      <c r="M1726" s="75"/>
      <c r="N1726" s="70"/>
      <c r="O1726" s="77" t="s">
        <v>179</v>
      </c>
      <c r="P1726" s="79">
        <v>45141.81927083333</v>
      </c>
      <c r="Q1726" s="77" t="s">
        <v>2965</v>
      </c>
      <c r="R1726" s="77">
        <v>0</v>
      </c>
      <c r="S1726" s="77">
        <v>0</v>
      </c>
      <c r="T1726" s="77">
        <v>0</v>
      </c>
      <c r="U1726" s="77">
        <v>0</v>
      </c>
      <c r="V1726" s="77">
        <v>99</v>
      </c>
      <c r="W1726" s="82" t="s">
        <v>5981</v>
      </c>
      <c r="X1726" s="77"/>
      <c r="Y1726" s="77"/>
      <c r="Z1726" s="77"/>
      <c r="AA1726" s="77" t="s">
        <v>8336</v>
      </c>
      <c r="AB1726" s="77" t="s">
        <v>10129</v>
      </c>
      <c r="AC1726" s="82" t="s">
        <v>10144</v>
      </c>
      <c r="AD1726" s="77" t="s">
        <v>10184</v>
      </c>
      <c r="AE1726" s="80" t="str">
        <f>HYPERLINK("https://twitter.com/aprendareceita1/status/1687186513761550337")</f>
        <v>https://twitter.com/aprendareceita1/status/1687186513761550337</v>
      </c>
      <c r="AF1726" s="79">
        <v>45141.81927083333</v>
      </c>
      <c r="AG1726" s="85">
        <v>45141</v>
      </c>
      <c r="AH1726" s="82" t="s">
        <v>11853</v>
      </c>
      <c r="AI1726" s="77" t="b">
        <v>0</v>
      </c>
      <c r="AJ1726" s="77"/>
      <c r="AK1726" s="77"/>
      <c r="AL1726" s="77"/>
      <c r="AM1726" s="77"/>
      <c r="AN1726" s="77"/>
      <c r="AO1726" s="77"/>
      <c r="AP1726" s="77"/>
      <c r="AQ1726" s="77" t="s">
        <v>14980</v>
      </c>
      <c r="AR1726" s="77">
        <v>13066</v>
      </c>
      <c r="AS1726" s="77"/>
      <c r="AT1726" s="77"/>
      <c r="AU1726" s="77"/>
      <c r="AV1726" s="80" t="str">
        <f>HYPERLINK("https://pbs.twimg.com/ext_tw_video_thumb/1687186489178791937/pu/img/jHtI1lFPUWEqP9cq.jpg")</f>
        <v>https://pbs.twimg.com/ext_tw_video_thumb/1687186489178791937/pu/img/jHtI1lFPUWEqP9cq.jpg</v>
      </c>
      <c r="AW1726" s="82" t="s">
        <v>18494</v>
      </c>
      <c r="AX1726" s="82" t="s">
        <v>18494</v>
      </c>
      <c r="AY1726" s="77"/>
      <c r="AZ1726" s="82" t="s">
        <v>20971</v>
      </c>
      <c r="BA1726" s="82" t="s">
        <v>20971</v>
      </c>
      <c r="BB1726" s="82" t="s">
        <v>20971</v>
      </c>
      <c r="BC1726" s="82" t="s">
        <v>18494</v>
      </c>
      <c r="BD1726" s="82" t="s">
        <v>21314</v>
      </c>
      <c r="BE1726" s="77"/>
      <c r="BF1726" s="77"/>
      <c r="BG1726" s="77"/>
      <c r="BH1726" s="77"/>
      <c r="BI1726" s="77"/>
    </row>
    <row r="1727" spans="1:61" x14ac:dyDescent="0.25">
      <c r="A1727" s="62" t="s">
        <v>631</v>
      </c>
      <c r="B1727" s="62" t="s">
        <v>631</v>
      </c>
      <c r="C1727" s="63"/>
      <c r="D1727" s="64"/>
      <c r="E1727" s="65"/>
      <c r="F1727" s="66"/>
      <c r="G1727" s="63"/>
      <c r="H1727" s="67"/>
      <c r="I1727" s="68"/>
      <c r="J1727" s="68"/>
      <c r="K1727" s="32"/>
      <c r="L1727" s="75">
        <v>1727</v>
      </c>
      <c r="M1727" s="75"/>
      <c r="N1727" s="70"/>
      <c r="O1727" s="77" t="s">
        <v>179</v>
      </c>
      <c r="P1727" s="79">
        <v>45134.814884259256</v>
      </c>
      <c r="Q1727" s="77" t="s">
        <v>2966</v>
      </c>
      <c r="R1727" s="77">
        <v>0</v>
      </c>
      <c r="S1727" s="77">
        <v>0</v>
      </c>
      <c r="T1727" s="77">
        <v>0</v>
      </c>
      <c r="U1727" s="77">
        <v>0</v>
      </c>
      <c r="V1727" s="77">
        <v>152</v>
      </c>
      <c r="W1727" s="82" t="s">
        <v>5979</v>
      </c>
      <c r="X1727" s="80" t="str">
        <f>HYPERLINK("https://youtu.be/s9w5eFsmZiE")</f>
        <v>https://youtu.be/s9w5eFsmZiE</v>
      </c>
      <c r="Y1727" s="77" t="s">
        <v>7248</v>
      </c>
      <c r="Z1727" s="77"/>
      <c r="AA1727" s="77" t="s">
        <v>8337</v>
      </c>
      <c r="AB1727" s="77" t="s">
        <v>10129</v>
      </c>
      <c r="AC1727" s="82" t="s">
        <v>10144</v>
      </c>
      <c r="AD1727" s="77" t="s">
        <v>10184</v>
      </c>
      <c r="AE1727" s="80" t="str">
        <f>HYPERLINK("https://twitter.com/aprendareceita1/status/1684648209094791170")</f>
        <v>https://twitter.com/aprendareceita1/status/1684648209094791170</v>
      </c>
      <c r="AF1727" s="79">
        <v>45134.814884259256</v>
      </c>
      <c r="AG1727" s="85">
        <v>45134</v>
      </c>
      <c r="AH1727" s="82" t="s">
        <v>11854</v>
      </c>
      <c r="AI1727" s="77" t="b">
        <v>0</v>
      </c>
      <c r="AJ1727" s="77"/>
      <c r="AK1727" s="77"/>
      <c r="AL1727" s="77"/>
      <c r="AM1727" s="77"/>
      <c r="AN1727" s="77"/>
      <c r="AO1727" s="77"/>
      <c r="AP1727" s="77"/>
      <c r="AQ1727" s="77" t="s">
        <v>14981</v>
      </c>
      <c r="AR1727" s="77">
        <v>30000</v>
      </c>
      <c r="AS1727" s="77"/>
      <c r="AT1727" s="77"/>
      <c r="AU1727" s="77"/>
      <c r="AV1727" s="80" t="str">
        <f>HYPERLINK("https://pbs.twimg.com/ext_tw_video_thumb/1684648199041024000/pu/img/Ch5Uto0zloRE3pEp.jpg")</f>
        <v>https://pbs.twimg.com/ext_tw_video_thumb/1684648199041024000/pu/img/Ch5Uto0zloRE3pEp.jpg</v>
      </c>
      <c r="AW1727" s="82" t="s">
        <v>18495</v>
      </c>
      <c r="AX1727" s="82" t="s">
        <v>18495</v>
      </c>
      <c r="AY1727" s="77"/>
      <c r="AZ1727" s="82" t="s">
        <v>20971</v>
      </c>
      <c r="BA1727" s="82" t="s">
        <v>20971</v>
      </c>
      <c r="BB1727" s="82" t="s">
        <v>20971</v>
      </c>
      <c r="BC1727" s="82" t="s">
        <v>18495</v>
      </c>
      <c r="BD1727" s="82" t="s">
        <v>21314</v>
      </c>
      <c r="BE1727" s="77"/>
      <c r="BF1727" s="77"/>
      <c r="BG1727" s="77"/>
      <c r="BH1727" s="77"/>
      <c r="BI1727" s="77"/>
    </row>
    <row r="1728" spans="1:61" x14ac:dyDescent="0.25">
      <c r="A1728" s="62" t="s">
        <v>631</v>
      </c>
      <c r="B1728" s="62" t="s">
        <v>631</v>
      </c>
      <c r="C1728" s="63"/>
      <c r="D1728" s="64"/>
      <c r="E1728" s="65"/>
      <c r="F1728" s="66"/>
      <c r="G1728" s="63"/>
      <c r="H1728" s="67"/>
      <c r="I1728" s="68"/>
      <c r="J1728" s="68"/>
      <c r="K1728" s="32"/>
      <c r="L1728" s="75">
        <v>1728</v>
      </c>
      <c r="M1728" s="75"/>
      <c r="N1728" s="70"/>
      <c r="O1728" s="77" t="s">
        <v>179</v>
      </c>
      <c r="P1728" s="79">
        <v>45079.739594907405</v>
      </c>
      <c r="Q1728" s="77" t="s">
        <v>2967</v>
      </c>
      <c r="R1728" s="77">
        <v>0</v>
      </c>
      <c r="S1728" s="77">
        <v>0</v>
      </c>
      <c r="T1728" s="77">
        <v>0</v>
      </c>
      <c r="U1728" s="77">
        <v>0</v>
      </c>
      <c r="V1728" s="77">
        <v>68</v>
      </c>
      <c r="W1728" s="82" t="s">
        <v>5982</v>
      </c>
      <c r="X1728" s="77"/>
      <c r="Y1728" s="77"/>
      <c r="Z1728" s="77"/>
      <c r="AA1728" s="77" t="s">
        <v>8338</v>
      </c>
      <c r="AB1728" s="77" t="s">
        <v>10129</v>
      </c>
      <c r="AC1728" s="82" t="s">
        <v>10144</v>
      </c>
      <c r="AD1728" s="77" t="s">
        <v>10184</v>
      </c>
      <c r="AE1728" s="80" t="str">
        <f>HYPERLINK("https://twitter.com/aprendareceita1/status/1664689592191025152")</f>
        <v>https://twitter.com/aprendareceita1/status/1664689592191025152</v>
      </c>
      <c r="AF1728" s="79">
        <v>45079.739594907405</v>
      </c>
      <c r="AG1728" s="85">
        <v>45079</v>
      </c>
      <c r="AH1728" s="82" t="s">
        <v>11855</v>
      </c>
      <c r="AI1728" s="77" t="b">
        <v>0</v>
      </c>
      <c r="AJ1728" s="77"/>
      <c r="AK1728" s="77"/>
      <c r="AL1728" s="77"/>
      <c r="AM1728" s="77"/>
      <c r="AN1728" s="77"/>
      <c r="AO1728" s="77"/>
      <c r="AP1728" s="77"/>
      <c r="AQ1728" s="77" t="s">
        <v>14982</v>
      </c>
      <c r="AR1728" s="77">
        <v>9520</v>
      </c>
      <c r="AS1728" s="77"/>
      <c r="AT1728" s="77"/>
      <c r="AU1728" s="77"/>
      <c r="AV1728" s="80" t="str">
        <f>HYPERLINK("https://pbs.twimg.com/ext_tw_video_thumb/1664689566555537408/pu/img/zmMN_h-odR76W0nC.jpg")</f>
        <v>https://pbs.twimg.com/ext_tw_video_thumb/1664689566555537408/pu/img/zmMN_h-odR76W0nC.jpg</v>
      </c>
      <c r="AW1728" s="82" t="s">
        <v>18496</v>
      </c>
      <c r="AX1728" s="82" t="s">
        <v>18496</v>
      </c>
      <c r="AY1728" s="77"/>
      <c r="AZ1728" s="82" t="s">
        <v>20971</v>
      </c>
      <c r="BA1728" s="82" t="s">
        <v>20971</v>
      </c>
      <c r="BB1728" s="82" t="s">
        <v>20971</v>
      </c>
      <c r="BC1728" s="82" t="s">
        <v>18496</v>
      </c>
      <c r="BD1728" s="82" t="s">
        <v>21314</v>
      </c>
      <c r="BE1728" s="77"/>
      <c r="BF1728" s="77"/>
      <c r="BG1728" s="77"/>
      <c r="BH1728" s="77"/>
      <c r="BI1728" s="77"/>
    </row>
    <row r="1729" spans="1:61" x14ac:dyDescent="0.25">
      <c r="A1729" s="62" t="s">
        <v>631</v>
      </c>
      <c r="B1729" s="62" t="s">
        <v>631</v>
      </c>
      <c r="C1729" s="63"/>
      <c r="D1729" s="64"/>
      <c r="E1729" s="65"/>
      <c r="F1729" s="66"/>
      <c r="G1729" s="63"/>
      <c r="H1729" s="67"/>
      <c r="I1729" s="68"/>
      <c r="J1729" s="68"/>
      <c r="K1729" s="32"/>
      <c r="L1729" s="75">
        <v>1729</v>
      </c>
      <c r="M1729" s="75"/>
      <c r="N1729" s="70"/>
      <c r="O1729" s="77" t="s">
        <v>179</v>
      </c>
      <c r="P1729" s="79">
        <v>45004.77915509259</v>
      </c>
      <c r="Q1729" s="77" t="s">
        <v>2968</v>
      </c>
      <c r="R1729" s="77">
        <v>0</v>
      </c>
      <c r="S1729" s="77">
        <v>0</v>
      </c>
      <c r="T1729" s="77">
        <v>0</v>
      </c>
      <c r="U1729" s="77">
        <v>0</v>
      </c>
      <c r="V1729" s="77">
        <v>105</v>
      </c>
      <c r="W1729" s="82" t="s">
        <v>5983</v>
      </c>
      <c r="X1729" s="80" t="str">
        <f>HYPERLINK("https://youtu.be/0kUxlRilZIg")</f>
        <v>https://youtu.be/0kUxlRilZIg</v>
      </c>
      <c r="Y1729" s="77" t="s">
        <v>7248</v>
      </c>
      <c r="Z1729" s="77"/>
      <c r="AA1729" s="77" t="s">
        <v>8339</v>
      </c>
      <c r="AB1729" s="77" t="s">
        <v>10129</v>
      </c>
      <c r="AC1729" s="82" t="s">
        <v>10144</v>
      </c>
      <c r="AD1729" s="77" t="s">
        <v>10184</v>
      </c>
      <c r="AE1729" s="80" t="str">
        <f>HYPERLINK("https://twitter.com/aprendareceita1/status/1637524835843620865")</f>
        <v>https://twitter.com/aprendareceita1/status/1637524835843620865</v>
      </c>
      <c r="AF1729" s="79">
        <v>45004.77915509259</v>
      </c>
      <c r="AG1729" s="85">
        <v>45004</v>
      </c>
      <c r="AH1729" s="82" t="s">
        <v>11856</v>
      </c>
      <c r="AI1729" s="77" t="b">
        <v>0</v>
      </c>
      <c r="AJ1729" s="77"/>
      <c r="AK1729" s="77"/>
      <c r="AL1729" s="77"/>
      <c r="AM1729" s="77"/>
      <c r="AN1729" s="77"/>
      <c r="AO1729" s="77"/>
      <c r="AP1729" s="77"/>
      <c r="AQ1729" s="77" t="s">
        <v>14983</v>
      </c>
      <c r="AR1729" s="77">
        <v>16999</v>
      </c>
      <c r="AS1729" s="77"/>
      <c r="AT1729" s="77"/>
      <c r="AU1729" s="77"/>
      <c r="AV1729" s="80" t="str">
        <f>HYPERLINK("https://pbs.twimg.com/ext_tw_video_thumb/1637524701906890752/pu/img/Zae2pb9hvRK6cNM3.jpg")</f>
        <v>https://pbs.twimg.com/ext_tw_video_thumb/1637524701906890752/pu/img/Zae2pb9hvRK6cNM3.jpg</v>
      </c>
      <c r="AW1729" s="82" t="s">
        <v>18497</v>
      </c>
      <c r="AX1729" s="82" t="s">
        <v>18497</v>
      </c>
      <c r="AY1729" s="77"/>
      <c r="AZ1729" s="82" t="s">
        <v>20971</v>
      </c>
      <c r="BA1729" s="82" t="s">
        <v>20971</v>
      </c>
      <c r="BB1729" s="82" t="s">
        <v>20971</v>
      </c>
      <c r="BC1729" s="82" t="s">
        <v>18497</v>
      </c>
      <c r="BD1729" s="82" t="s">
        <v>21314</v>
      </c>
      <c r="BE1729" s="77"/>
      <c r="BF1729" s="77"/>
      <c r="BG1729" s="77"/>
      <c r="BH1729" s="77"/>
      <c r="BI1729" s="77"/>
    </row>
    <row r="1730" spans="1:61" x14ac:dyDescent="0.25">
      <c r="A1730" s="62" t="s">
        <v>631</v>
      </c>
      <c r="B1730" s="62" t="s">
        <v>631</v>
      </c>
      <c r="C1730" s="63"/>
      <c r="D1730" s="64"/>
      <c r="E1730" s="65"/>
      <c r="F1730" s="66"/>
      <c r="G1730" s="63"/>
      <c r="H1730" s="67"/>
      <c r="I1730" s="68"/>
      <c r="J1730" s="68"/>
      <c r="K1730" s="32"/>
      <c r="L1730" s="75">
        <v>1730</v>
      </c>
      <c r="M1730" s="75"/>
      <c r="N1730" s="70"/>
      <c r="O1730" s="77" t="s">
        <v>179</v>
      </c>
      <c r="P1730" s="79">
        <v>44974.802905092591</v>
      </c>
      <c r="Q1730" s="77" t="s">
        <v>2969</v>
      </c>
      <c r="R1730" s="77">
        <v>0</v>
      </c>
      <c r="S1730" s="77">
        <v>0</v>
      </c>
      <c r="T1730" s="77">
        <v>0</v>
      </c>
      <c r="U1730" s="77">
        <v>0</v>
      </c>
      <c r="V1730" s="77">
        <v>36</v>
      </c>
      <c r="W1730" s="82" t="s">
        <v>5978</v>
      </c>
      <c r="X1730" s="80" t="str">
        <f>HYPERLINK("https://youtube.com/channel/UC1zdGg6wQZyB2eifrUDj8-g")</f>
        <v>https://youtube.com/channel/UC1zdGg6wQZyB2eifrUDj8-g</v>
      </c>
      <c r="Y1730" s="77" t="s">
        <v>7303</v>
      </c>
      <c r="Z1730" s="77"/>
      <c r="AA1730" s="77" t="s">
        <v>8340</v>
      </c>
      <c r="AB1730" s="77" t="s">
        <v>10129</v>
      </c>
      <c r="AC1730" s="82" t="s">
        <v>10144</v>
      </c>
      <c r="AD1730" s="77" t="s">
        <v>10184</v>
      </c>
      <c r="AE1730" s="80" t="str">
        <f>HYPERLINK("https://twitter.com/aprendareceita1/status/1626661805761126414")</f>
        <v>https://twitter.com/aprendareceita1/status/1626661805761126414</v>
      </c>
      <c r="AF1730" s="79">
        <v>44974.802905092591</v>
      </c>
      <c r="AG1730" s="85">
        <v>44974</v>
      </c>
      <c r="AH1730" s="82" t="s">
        <v>10205</v>
      </c>
      <c r="AI1730" s="77" t="b">
        <v>0</v>
      </c>
      <c r="AJ1730" s="77"/>
      <c r="AK1730" s="77"/>
      <c r="AL1730" s="77"/>
      <c r="AM1730" s="77"/>
      <c r="AN1730" s="77"/>
      <c r="AO1730" s="77"/>
      <c r="AP1730" s="77"/>
      <c r="AQ1730" s="77" t="s">
        <v>14984</v>
      </c>
      <c r="AR1730" s="77">
        <v>18933</v>
      </c>
      <c r="AS1730" s="77"/>
      <c r="AT1730" s="77"/>
      <c r="AU1730" s="77"/>
      <c r="AV1730" s="80" t="str">
        <f>HYPERLINK("https://pbs.twimg.com/ext_tw_video_thumb/1626661777135001606/pu/img/VDGlsqYTFSWOOXar.jpg")</f>
        <v>https://pbs.twimg.com/ext_tw_video_thumb/1626661777135001606/pu/img/VDGlsqYTFSWOOXar.jpg</v>
      </c>
      <c r="AW1730" s="82" t="s">
        <v>18498</v>
      </c>
      <c r="AX1730" s="82" t="s">
        <v>18498</v>
      </c>
      <c r="AY1730" s="77"/>
      <c r="AZ1730" s="82" t="s">
        <v>20971</v>
      </c>
      <c r="BA1730" s="82" t="s">
        <v>20971</v>
      </c>
      <c r="BB1730" s="82" t="s">
        <v>20971</v>
      </c>
      <c r="BC1730" s="82" t="s">
        <v>18498</v>
      </c>
      <c r="BD1730" s="82" t="s">
        <v>21314</v>
      </c>
      <c r="BE1730" s="77"/>
      <c r="BF1730" s="77"/>
      <c r="BG1730" s="77"/>
      <c r="BH1730" s="77"/>
      <c r="BI1730" s="77"/>
    </row>
    <row r="1731" spans="1:61" x14ac:dyDescent="0.25">
      <c r="A1731" s="62" t="s">
        <v>631</v>
      </c>
      <c r="B1731" s="62" t="s">
        <v>631</v>
      </c>
      <c r="C1731" s="63"/>
      <c r="D1731" s="64"/>
      <c r="E1731" s="65"/>
      <c r="F1731" s="66"/>
      <c r="G1731" s="63"/>
      <c r="H1731" s="67"/>
      <c r="I1731" s="68"/>
      <c r="J1731" s="68"/>
      <c r="K1731" s="32"/>
      <c r="L1731" s="75">
        <v>1731</v>
      </c>
      <c r="M1731" s="75"/>
      <c r="N1731" s="70"/>
      <c r="O1731" s="77" t="s">
        <v>179</v>
      </c>
      <c r="P1731" s="79">
        <v>45158.66505787037</v>
      </c>
      <c r="Q1731" s="77" t="s">
        <v>2970</v>
      </c>
      <c r="R1731" s="77">
        <v>0</v>
      </c>
      <c r="S1731" s="77">
        <v>1</v>
      </c>
      <c r="T1731" s="77">
        <v>0</v>
      </c>
      <c r="U1731" s="77">
        <v>0</v>
      </c>
      <c r="V1731" s="77">
        <v>262</v>
      </c>
      <c r="W1731" s="82" t="s">
        <v>5977</v>
      </c>
      <c r="X1731" s="77"/>
      <c r="Y1731" s="77"/>
      <c r="Z1731" s="77"/>
      <c r="AA1731" s="77" t="s">
        <v>8341</v>
      </c>
      <c r="AB1731" s="77" t="s">
        <v>10129</v>
      </c>
      <c r="AC1731" s="82" t="s">
        <v>10144</v>
      </c>
      <c r="AD1731" s="77" t="s">
        <v>10184</v>
      </c>
      <c r="AE1731" s="80" t="str">
        <f>HYPERLINK("https://twitter.com/aprendareceita1/status/1693291219466486021")</f>
        <v>https://twitter.com/aprendareceita1/status/1693291219466486021</v>
      </c>
      <c r="AF1731" s="79">
        <v>45158.66505787037</v>
      </c>
      <c r="AG1731" s="85">
        <v>45158</v>
      </c>
      <c r="AH1731" s="82" t="s">
        <v>11857</v>
      </c>
      <c r="AI1731" s="77" t="b">
        <v>0</v>
      </c>
      <c r="AJ1731" s="77"/>
      <c r="AK1731" s="77"/>
      <c r="AL1731" s="77"/>
      <c r="AM1731" s="77"/>
      <c r="AN1731" s="77"/>
      <c r="AO1731" s="77"/>
      <c r="AP1731" s="77"/>
      <c r="AQ1731" s="77" t="s">
        <v>14985</v>
      </c>
      <c r="AR1731" s="77">
        <v>33132</v>
      </c>
      <c r="AS1731" s="77"/>
      <c r="AT1731" s="77"/>
      <c r="AU1731" s="77"/>
      <c r="AV1731" s="80" t="str">
        <f>HYPERLINK("https://pbs.twimg.com/ext_tw_video_thumb/1693291210109079552/pu/img/Gy0lKjBbewwFwxbF.jpg")</f>
        <v>https://pbs.twimg.com/ext_tw_video_thumb/1693291210109079552/pu/img/Gy0lKjBbewwFwxbF.jpg</v>
      </c>
      <c r="AW1731" s="82" t="s">
        <v>18499</v>
      </c>
      <c r="AX1731" s="82" t="s">
        <v>18499</v>
      </c>
      <c r="AY1731" s="77"/>
      <c r="AZ1731" s="82" t="s">
        <v>20971</v>
      </c>
      <c r="BA1731" s="82" t="s">
        <v>20971</v>
      </c>
      <c r="BB1731" s="82" t="s">
        <v>20971</v>
      </c>
      <c r="BC1731" s="82" t="s">
        <v>18499</v>
      </c>
      <c r="BD1731" s="82" t="s">
        <v>21314</v>
      </c>
      <c r="BE1731" s="77"/>
      <c r="BF1731" s="77"/>
      <c r="BG1731" s="77"/>
      <c r="BH1731" s="77"/>
      <c r="BI1731" s="77"/>
    </row>
    <row r="1732" spans="1:61" x14ac:dyDescent="0.25">
      <c r="A1732" s="62" t="s">
        <v>631</v>
      </c>
      <c r="B1732" s="62" t="s">
        <v>631</v>
      </c>
      <c r="C1732" s="63"/>
      <c r="D1732" s="64"/>
      <c r="E1732" s="65"/>
      <c r="F1732" s="66"/>
      <c r="G1732" s="63"/>
      <c r="H1732" s="67"/>
      <c r="I1732" s="68"/>
      <c r="J1732" s="68"/>
      <c r="K1732" s="32"/>
      <c r="L1732" s="75">
        <v>1732</v>
      </c>
      <c r="M1732" s="75"/>
      <c r="N1732" s="70"/>
      <c r="O1732" s="77" t="s">
        <v>179</v>
      </c>
      <c r="P1732" s="79">
        <v>45149.83222222222</v>
      </c>
      <c r="Q1732" s="77" t="s">
        <v>2971</v>
      </c>
      <c r="R1732" s="77">
        <v>0</v>
      </c>
      <c r="S1732" s="77">
        <v>0</v>
      </c>
      <c r="T1732" s="77">
        <v>0</v>
      </c>
      <c r="U1732" s="77">
        <v>0</v>
      </c>
      <c r="V1732" s="77">
        <v>123</v>
      </c>
      <c r="W1732" s="82" t="s">
        <v>5984</v>
      </c>
      <c r="X1732" s="77"/>
      <c r="Y1732" s="77"/>
      <c r="Z1732" s="77"/>
      <c r="AA1732" s="77" t="s">
        <v>8342</v>
      </c>
      <c r="AB1732" s="77" t="s">
        <v>10129</v>
      </c>
      <c r="AC1732" s="82" t="s">
        <v>10144</v>
      </c>
      <c r="AD1732" s="77" t="s">
        <v>10184</v>
      </c>
      <c r="AE1732" s="80" t="str">
        <f>HYPERLINK("https://twitter.com/aprendareceita1/status/1690090306429947904")</f>
        <v>https://twitter.com/aprendareceita1/status/1690090306429947904</v>
      </c>
      <c r="AF1732" s="79">
        <v>45149.83222222222</v>
      </c>
      <c r="AG1732" s="85">
        <v>45149</v>
      </c>
      <c r="AH1732" s="82" t="s">
        <v>11858</v>
      </c>
      <c r="AI1732" s="77" t="b">
        <v>0</v>
      </c>
      <c r="AJ1732" s="77"/>
      <c r="AK1732" s="77"/>
      <c r="AL1732" s="77"/>
      <c r="AM1732" s="77"/>
      <c r="AN1732" s="77"/>
      <c r="AO1732" s="77"/>
      <c r="AP1732" s="77"/>
      <c r="AQ1732" s="77" t="s">
        <v>14986</v>
      </c>
      <c r="AR1732" s="77">
        <v>14999</v>
      </c>
      <c r="AS1732" s="77"/>
      <c r="AT1732" s="77"/>
      <c r="AU1732" s="77"/>
      <c r="AV1732" s="80" t="str">
        <f>HYPERLINK("https://pbs.twimg.com/ext_tw_video_thumb/1690090283663261696/pu/img/PsDOv4ZPE-Qb_4xu.jpg")</f>
        <v>https://pbs.twimg.com/ext_tw_video_thumb/1690090283663261696/pu/img/PsDOv4ZPE-Qb_4xu.jpg</v>
      </c>
      <c r="AW1732" s="82" t="s">
        <v>18500</v>
      </c>
      <c r="AX1732" s="82" t="s">
        <v>18500</v>
      </c>
      <c r="AY1732" s="77"/>
      <c r="AZ1732" s="82" t="s">
        <v>20971</v>
      </c>
      <c r="BA1732" s="82" t="s">
        <v>20971</v>
      </c>
      <c r="BB1732" s="82" t="s">
        <v>20971</v>
      </c>
      <c r="BC1732" s="82" t="s">
        <v>18500</v>
      </c>
      <c r="BD1732" s="82" t="s">
        <v>21314</v>
      </c>
      <c r="BE1732" s="77"/>
      <c r="BF1732" s="77"/>
      <c r="BG1732" s="77"/>
      <c r="BH1732" s="77"/>
      <c r="BI1732" s="77"/>
    </row>
    <row r="1733" spans="1:61" x14ac:dyDescent="0.25">
      <c r="A1733" s="62" t="s">
        <v>631</v>
      </c>
      <c r="B1733" s="62" t="s">
        <v>631</v>
      </c>
      <c r="C1733" s="63"/>
      <c r="D1733" s="64"/>
      <c r="E1733" s="65"/>
      <c r="F1733" s="66"/>
      <c r="G1733" s="63"/>
      <c r="H1733" s="67"/>
      <c r="I1733" s="68"/>
      <c r="J1733" s="68"/>
      <c r="K1733" s="32"/>
      <c r="L1733" s="75">
        <v>1733</v>
      </c>
      <c r="M1733" s="75"/>
      <c r="N1733" s="70"/>
      <c r="O1733" s="77" t="s">
        <v>179</v>
      </c>
      <c r="P1733" s="79">
        <v>45104.659317129626</v>
      </c>
      <c r="Q1733" s="77" t="s">
        <v>2972</v>
      </c>
      <c r="R1733" s="77">
        <v>0</v>
      </c>
      <c r="S1733" s="77">
        <v>0</v>
      </c>
      <c r="T1733" s="77">
        <v>0</v>
      </c>
      <c r="U1733" s="77">
        <v>0</v>
      </c>
      <c r="V1733" s="77">
        <v>209</v>
      </c>
      <c r="W1733" s="82" t="s">
        <v>5979</v>
      </c>
      <c r="X1733" s="77"/>
      <c r="Y1733" s="77"/>
      <c r="Z1733" s="77"/>
      <c r="AA1733" s="77" t="s">
        <v>8343</v>
      </c>
      <c r="AB1733" s="77" t="s">
        <v>10129</v>
      </c>
      <c r="AC1733" s="82" t="s">
        <v>10144</v>
      </c>
      <c r="AD1733" s="77" t="s">
        <v>10184</v>
      </c>
      <c r="AE1733" s="80" t="str">
        <f>HYPERLINK("https://twitter.com/aprendareceita1/status/1673720196803055617")</f>
        <v>https://twitter.com/aprendareceita1/status/1673720196803055617</v>
      </c>
      <c r="AF1733" s="79">
        <v>45104.659317129626</v>
      </c>
      <c r="AG1733" s="85">
        <v>45104</v>
      </c>
      <c r="AH1733" s="82" t="s">
        <v>11859</v>
      </c>
      <c r="AI1733" s="77" t="b">
        <v>0</v>
      </c>
      <c r="AJ1733" s="77"/>
      <c r="AK1733" s="77"/>
      <c r="AL1733" s="77"/>
      <c r="AM1733" s="77"/>
      <c r="AN1733" s="77"/>
      <c r="AO1733" s="77"/>
      <c r="AP1733" s="77"/>
      <c r="AQ1733" s="77" t="s">
        <v>14987</v>
      </c>
      <c r="AR1733" s="77">
        <v>18000</v>
      </c>
      <c r="AS1733" s="77"/>
      <c r="AT1733" s="77"/>
      <c r="AU1733" s="77"/>
      <c r="AV1733" s="80" t="str">
        <f>HYPERLINK("https://pbs.twimg.com/ext_tw_video_thumb/1673720169120538624/pu/img/IZg3G57WFJmTxctn.jpg")</f>
        <v>https://pbs.twimg.com/ext_tw_video_thumb/1673720169120538624/pu/img/IZg3G57WFJmTxctn.jpg</v>
      </c>
      <c r="AW1733" s="82" t="s">
        <v>18501</v>
      </c>
      <c r="AX1733" s="82" t="s">
        <v>18501</v>
      </c>
      <c r="AY1733" s="77"/>
      <c r="AZ1733" s="82" t="s">
        <v>20971</v>
      </c>
      <c r="BA1733" s="82" t="s">
        <v>20971</v>
      </c>
      <c r="BB1733" s="82" t="s">
        <v>20971</v>
      </c>
      <c r="BC1733" s="82" t="s">
        <v>18501</v>
      </c>
      <c r="BD1733" s="82" t="s">
        <v>21314</v>
      </c>
      <c r="BE1733" s="77"/>
      <c r="BF1733" s="77"/>
      <c r="BG1733" s="77"/>
      <c r="BH1733" s="77"/>
      <c r="BI1733" s="77"/>
    </row>
    <row r="1734" spans="1:61" x14ac:dyDescent="0.25">
      <c r="A1734" s="62" t="s">
        <v>631</v>
      </c>
      <c r="B1734" s="62" t="s">
        <v>631</v>
      </c>
      <c r="C1734" s="63"/>
      <c r="D1734" s="64"/>
      <c r="E1734" s="65"/>
      <c r="F1734" s="66"/>
      <c r="G1734" s="63"/>
      <c r="H1734" s="67"/>
      <c r="I1734" s="68"/>
      <c r="J1734" s="68"/>
      <c r="K1734" s="32"/>
      <c r="L1734" s="75">
        <v>1734</v>
      </c>
      <c r="M1734" s="75"/>
      <c r="N1734" s="70"/>
      <c r="O1734" s="77" t="s">
        <v>179</v>
      </c>
      <c r="P1734" s="79">
        <v>45103.519444444442</v>
      </c>
      <c r="Q1734" s="77" t="s">
        <v>2973</v>
      </c>
      <c r="R1734" s="77">
        <v>0</v>
      </c>
      <c r="S1734" s="77">
        <v>2</v>
      </c>
      <c r="T1734" s="77">
        <v>1</v>
      </c>
      <c r="U1734" s="77">
        <v>0</v>
      </c>
      <c r="V1734" s="77">
        <v>155</v>
      </c>
      <c r="W1734" s="82" t="s">
        <v>5979</v>
      </c>
      <c r="X1734" s="77"/>
      <c r="Y1734" s="77"/>
      <c r="Z1734" s="77"/>
      <c r="AA1734" s="77" t="s">
        <v>8344</v>
      </c>
      <c r="AB1734" s="77" t="s">
        <v>10129</v>
      </c>
      <c r="AC1734" s="82" t="s">
        <v>10144</v>
      </c>
      <c r="AD1734" s="77" t="s">
        <v>10184</v>
      </c>
      <c r="AE1734" s="80" t="str">
        <f>HYPERLINK("https://twitter.com/aprendareceita1/status/1673307120710688768")</f>
        <v>https://twitter.com/aprendareceita1/status/1673307120710688768</v>
      </c>
      <c r="AF1734" s="79">
        <v>45103.519444444442</v>
      </c>
      <c r="AG1734" s="85">
        <v>45103</v>
      </c>
      <c r="AH1734" s="82" t="s">
        <v>11860</v>
      </c>
      <c r="AI1734" s="77" t="b">
        <v>0</v>
      </c>
      <c r="AJ1734" s="77"/>
      <c r="AK1734" s="77"/>
      <c r="AL1734" s="77"/>
      <c r="AM1734" s="77"/>
      <c r="AN1734" s="77"/>
      <c r="AO1734" s="77"/>
      <c r="AP1734" s="77"/>
      <c r="AQ1734" s="77" t="s">
        <v>14988</v>
      </c>
      <c r="AR1734" s="77">
        <v>14999</v>
      </c>
      <c r="AS1734" s="77"/>
      <c r="AT1734" s="77"/>
      <c r="AU1734" s="77"/>
      <c r="AV1734" s="80" t="str">
        <f>HYPERLINK("https://pbs.twimg.com/ext_tw_video_thumb/1673307107838291969/pu/img/ZsZLRsvGygmId95a.jpg")</f>
        <v>https://pbs.twimg.com/ext_tw_video_thumb/1673307107838291969/pu/img/ZsZLRsvGygmId95a.jpg</v>
      </c>
      <c r="AW1734" s="82" t="s">
        <v>18502</v>
      </c>
      <c r="AX1734" s="82" t="s">
        <v>18502</v>
      </c>
      <c r="AY1734" s="77"/>
      <c r="AZ1734" s="82" t="s">
        <v>20971</v>
      </c>
      <c r="BA1734" s="82" t="s">
        <v>20971</v>
      </c>
      <c r="BB1734" s="82" t="s">
        <v>20971</v>
      </c>
      <c r="BC1734" s="82" t="s">
        <v>18502</v>
      </c>
      <c r="BD1734" s="82" t="s">
        <v>21314</v>
      </c>
      <c r="BE1734" s="77"/>
      <c r="BF1734" s="77"/>
      <c r="BG1734" s="77"/>
      <c r="BH1734" s="77"/>
      <c r="BI1734" s="77"/>
    </row>
    <row r="1735" spans="1:61" x14ac:dyDescent="0.25">
      <c r="A1735" s="62" t="s">
        <v>631</v>
      </c>
      <c r="B1735" s="62" t="s">
        <v>631</v>
      </c>
      <c r="C1735" s="63"/>
      <c r="D1735" s="64"/>
      <c r="E1735" s="65"/>
      <c r="F1735" s="66"/>
      <c r="G1735" s="63"/>
      <c r="H1735" s="67"/>
      <c r="I1735" s="68"/>
      <c r="J1735" s="68"/>
      <c r="K1735" s="32"/>
      <c r="L1735" s="75">
        <v>1735</v>
      </c>
      <c r="M1735" s="75"/>
      <c r="N1735" s="70"/>
      <c r="O1735" s="77" t="s">
        <v>179</v>
      </c>
      <c r="P1735" s="79">
        <v>45084.832002314812</v>
      </c>
      <c r="Q1735" s="77" t="s">
        <v>2974</v>
      </c>
      <c r="R1735" s="77">
        <v>0</v>
      </c>
      <c r="S1735" s="77">
        <v>0</v>
      </c>
      <c r="T1735" s="77">
        <v>0</v>
      </c>
      <c r="U1735" s="77">
        <v>0</v>
      </c>
      <c r="V1735" s="77">
        <v>115</v>
      </c>
      <c r="W1735" s="82" t="s">
        <v>5985</v>
      </c>
      <c r="X1735" s="77"/>
      <c r="Y1735" s="77"/>
      <c r="Z1735" s="77"/>
      <c r="AA1735" s="77" t="s">
        <v>8345</v>
      </c>
      <c r="AB1735" s="77" t="s">
        <v>10129</v>
      </c>
      <c r="AC1735" s="82" t="s">
        <v>10144</v>
      </c>
      <c r="AD1735" s="77" t="s">
        <v>10184</v>
      </c>
      <c r="AE1735" s="80" t="str">
        <f>HYPERLINK("https://twitter.com/aprendareceita1/status/1666535018808631297")</f>
        <v>https://twitter.com/aprendareceita1/status/1666535018808631297</v>
      </c>
      <c r="AF1735" s="79">
        <v>45084.832002314812</v>
      </c>
      <c r="AG1735" s="85">
        <v>45084</v>
      </c>
      <c r="AH1735" s="82" t="s">
        <v>11861</v>
      </c>
      <c r="AI1735" s="77" t="b">
        <v>0</v>
      </c>
      <c r="AJ1735" s="77"/>
      <c r="AK1735" s="77"/>
      <c r="AL1735" s="77"/>
      <c r="AM1735" s="77"/>
      <c r="AN1735" s="77"/>
      <c r="AO1735" s="77"/>
      <c r="AP1735" s="77"/>
      <c r="AQ1735" s="77" t="s">
        <v>14989</v>
      </c>
      <c r="AR1735" s="77">
        <v>3668</v>
      </c>
      <c r="AS1735" s="77"/>
      <c r="AT1735" s="77"/>
      <c r="AU1735" s="77"/>
      <c r="AV1735" s="80" t="str">
        <f>HYPERLINK("https://pbs.twimg.com/ext_tw_video_thumb/1666534999691067393/pu/img/0xXf50Gv6oLcNTl9.jpg")</f>
        <v>https://pbs.twimg.com/ext_tw_video_thumb/1666534999691067393/pu/img/0xXf50Gv6oLcNTl9.jpg</v>
      </c>
      <c r="AW1735" s="82" t="s">
        <v>18503</v>
      </c>
      <c r="AX1735" s="82" t="s">
        <v>18503</v>
      </c>
      <c r="AY1735" s="77"/>
      <c r="AZ1735" s="82" t="s">
        <v>20971</v>
      </c>
      <c r="BA1735" s="82" t="s">
        <v>20971</v>
      </c>
      <c r="BB1735" s="82" t="s">
        <v>20971</v>
      </c>
      <c r="BC1735" s="82" t="s">
        <v>18503</v>
      </c>
      <c r="BD1735" s="82" t="s">
        <v>21314</v>
      </c>
      <c r="BE1735" s="77"/>
      <c r="BF1735" s="77"/>
      <c r="BG1735" s="77"/>
      <c r="BH1735" s="77"/>
      <c r="BI1735" s="77"/>
    </row>
    <row r="1736" spans="1:61" x14ac:dyDescent="0.25">
      <c r="A1736" s="62" t="s">
        <v>631</v>
      </c>
      <c r="B1736" s="62" t="s">
        <v>631</v>
      </c>
      <c r="C1736" s="63"/>
      <c r="D1736" s="64"/>
      <c r="E1736" s="65"/>
      <c r="F1736" s="66"/>
      <c r="G1736" s="63"/>
      <c r="H1736" s="67"/>
      <c r="I1736" s="68"/>
      <c r="J1736" s="68"/>
      <c r="K1736" s="32"/>
      <c r="L1736" s="75">
        <v>1736</v>
      </c>
      <c r="M1736" s="75"/>
      <c r="N1736" s="70"/>
      <c r="O1736" s="77" t="s">
        <v>179</v>
      </c>
      <c r="P1736" s="79">
        <v>45008.749837962961</v>
      </c>
      <c r="Q1736" s="77" t="s">
        <v>2975</v>
      </c>
      <c r="R1736" s="77">
        <v>1</v>
      </c>
      <c r="S1736" s="77">
        <v>1</v>
      </c>
      <c r="T1736" s="77">
        <v>0</v>
      </c>
      <c r="U1736" s="77">
        <v>0</v>
      </c>
      <c r="V1736" s="77">
        <v>106</v>
      </c>
      <c r="W1736" s="82" t="s">
        <v>5977</v>
      </c>
      <c r="X1736" s="80" t="str">
        <f>HYPERLINK("https://youtu.be/0kUxlRilZIg")</f>
        <v>https://youtu.be/0kUxlRilZIg</v>
      </c>
      <c r="Y1736" s="77" t="s">
        <v>7248</v>
      </c>
      <c r="Z1736" s="77"/>
      <c r="AA1736" s="77" t="s">
        <v>8346</v>
      </c>
      <c r="AB1736" s="77" t="s">
        <v>10129</v>
      </c>
      <c r="AC1736" s="82" t="s">
        <v>10144</v>
      </c>
      <c r="AD1736" s="77" t="s">
        <v>10184</v>
      </c>
      <c r="AE1736" s="80" t="str">
        <f>HYPERLINK("https://twitter.com/aprendareceita1/status/1638963765562470406")</f>
        <v>https://twitter.com/aprendareceita1/status/1638963765562470406</v>
      </c>
      <c r="AF1736" s="79">
        <v>45008.749837962961</v>
      </c>
      <c r="AG1736" s="85">
        <v>45008</v>
      </c>
      <c r="AH1736" s="82" t="s">
        <v>11862</v>
      </c>
      <c r="AI1736" s="77" t="b">
        <v>0</v>
      </c>
      <c r="AJ1736" s="77"/>
      <c r="AK1736" s="77"/>
      <c r="AL1736" s="77"/>
      <c r="AM1736" s="77"/>
      <c r="AN1736" s="77"/>
      <c r="AO1736" s="77"/>
      <c r="AP1736" s="77"/>
      <c r="AQ1736" s="77" t="s">
        <v>14990</v>
      </c>
      <c r="AR1736" s="77">
        <v>44999</v>
      </c>
      <c r="AS1736" s="77"/>
      <c r="AT1736" s="77"/>
      <c r="AU1736" s="77"/>
      <c r="AV1736" s="80" t="str">
        <f>HYPERLINK("https://pbs.twimg.com/ext_tw_video_thumb/1638963709233049600/pu/img/dOfLcudZ4SyOhL6s.jpg")</f>
        <v>https://pbs.twimg.com/ext_tw_video_thumb/1638963709233049600/pu/img/dOfLcudZ4SyOhL6s.jpg</v>
      </c>
      <c r="AW1736" s="82" t="s">
        <v>18504</v>
      </c>
      <c r="AX1736" s="82" t="s">
        <v>18504</v>
      </c>
      <c r="AY1736" s="77"/>
      <c r="AZ1736" s="82" t="s">
        <v>20971</v>
      </c>
      <c r="BA1736" s="82" t="s">
        <v>20971</v>
      </c>
      <c r="BB1736" s="82" t="s">
        <v>20971</v>
      </c>
      <c r="BC1736" s="82" t="s">
        <v>18504</v>
      </c>
      <c r="BD1736" s="82" t="s">
        <v>21314</v>
      </c>
      <c r="BE1736" s="77"/>
      <c r="BF1736" s="77"/>
      <c r="BG1736" s="77"/>
      <c r="BH1736" s="77"/>
      <c r="BI1736" s="77"/>
    </row>
    <row r="1737" spans="1:61" x14ac:dyDescent="0.25">
      <c r="A1737" s="62" t="s">
        <v>631</v>
      </c>
      <c r="B1737" s="62" t="s">
        <v>631</v>
      </c>
      <c r="C1737" s="63"/>
      <c r="D1737" s="64"/>
      <c r="E1737" s="65"/>
      <c r="F1737" s="66"/>
      <c r="G1737" s="63"/>
      <c r="H1737" s="67"/>
      <c r="I1737" s="68"/>
      <c r="J1737" s="68"/>
      <c r="K1737" s="32"/>
      <c r="L1737" s="75">
        <v>1737</v>
      </c>
      <c r="M1737" s="75"/>
      <c r="N1737" s="70"/>
      <c r="O1737" s="77" t="s">
        <v>179</v>
      </c>
      <c r="P1737" s="79">
        <v>45006.806354166663</v>
      </c>
      <c r="Q1737" s="77" t="s">
        <v>2976</v>
      </c>
      <c r="R1737" s="77">
        <v>0</v>
      </c>
      <c r="S1737" s="77">
        <v>0</v>
      </c>
      <c r="T1737" s="77">
        <v>0</v>
      </c>
      <c r="U1737" s="77">
        <v>0</v>
      </c>
      <c r="V1737" s="77">
        <v>28</v>
      </c>
      <c r="W1737" s="82" t="s">
        <v>5977</v>
      </c>
      <c r="X1737" s="80" t="str">
        <f>HYPERLINK("https://youtube.com/shorts/lqoKNVF4194?feature=share")</f>
        <v>https://youtube.com/shorts/lqoKNVF4194?feature=share</v>
      </c>
      <c r="Y1737" s="77" t="s">
        <v>7303</v>
      </c>
      <c r="Z1737" s="77"/>
      <c r="AA1737" s="77" t="s">
        <v>8347</v>
      </c>
      <c r="AB1737" s="77" t="s">
        <v>10129</v>
      </c>
      <c r="AC1737" s="82" t="s">
        <v>10144</v>
      </c>
      <c r="AD1737" s="77" t="s">
        <v>10184</v>
      </c>
      <c r="AE1737" s="80" t="str">
        <f>HYPERLINK("https://twitter.com/aprendareceita1/status/1638259470651256863")</f>
        <v>https://twitter.com/aprendareceita1/status/1638259470651256863</v>
      </c>
      <c r="AF1737" s="79">
        <v>45006.806354166663</v>
      </c>
      <c r="AG1737" s="85">
        <v>45006</v>
      </c>
      <c r="AH1737" s="82" t="s">
        <v>11863</v>
      </c>
      <c r="AI1737" s="77" t="b">
        <v>0</v>
      </c>
      <c r="AJ1737" s="77"/>
      <c r="AK1737" s="77"/>
      <c r="AL1737" s="77"/>
      <c r="AM1737" s="77"/>
      <c r="AN1737" s="77"/>
      <c r="AO1737" s="77"/>
      <c r="AP1737" s="77"/>
      <c r="AQ1737" s="77" t="s">
        <v>14991</v>
      </c>
      <c r="AR1737" s="77">
        <v>20015</v>
      </c>
      <c r="AS1737" s="77"/>
      <c r="AT1737" s="77"/>
      <c r="AU1737" s="77"/>
      <c r="AV1737" s="80" t="str">
        <f>HYPERLINK("https://pbs.twimg.com/ext_tw_video_thumb/1638259438812295188/pu/img/EsIRmVC4uHG7s06L.jpg")</f>
        <v>https://pbs.twimg.com/ext_tw_video_thumb/1638259438812295188/pu/img/EsIRmVC4uHG7s06L.jpg</v>
      </c>
      <c r="AW1737" s="82" t="s">
        <v>18505</v>
      </c>
      <c r="AX1737" s="82" t="s">
        <v>18505</v>
      </c>
      <c r="AY1737" s="77"/>
      <c r="AZ1737" s="82" t="s">
        <v>20971</v>
      </c>
      <c r="BA1737" s="82" t="s">
        <v>20971</v>
      </c>
      <c r="BB1737" s="82" t="s">
        <v>20971</v>
      </c>
      <c r="BC1737" s="82" t="s">
        <v>18505</v>
      </c>
      <c r="BD1737" s="82" t="s">
        <v>21314</v>
      </c>
      <c r="BE1737" s="77"/>
      <c r="BF1737" s="77"/>
      <c r="BG1737" s="77"/>
      <c r="BH1737" s="77"/>
      <c r="BI1737" s="77"/>
    </row>
    <row r="1738" spans="1:61" x14ac:dyDescent="0.25">
      <c r="A1738" s="62" t="s">
        <v>631</v>
      </c>
      <c r="B1738" s="62" t="s">
        <v>631</v>
      </c>
      <c r="C1738" s="63"/>
      <c r="D1738" s="64"/>
      <c r="E1738" s="65"/>
      <c r="F1738" s="66"/>
      <c r="G1738" s="63"/>
      <c r="H1738" s="67"/>
      <c r="I1738" s="68"/>
      <c r="J1738" s="68"/>
      <c r="K1738" s="32"/>
      <c r="L1738" s="75">
        <v>1738</v>
      </c>
      <c r="M1738" s="75"/>
      <c r="N1738" s="70"/>
      <c r="O1738" s="77" t="s">
        <v>179</v>
      </c>
      <c r="P1738" s="79">
        <v>45167.714467592596</v>
      </c>
      <c r="Q1738" s="77" t="s">
        <v>2977</v>
      </c>
      <c r="R1738" s="77">
        <v>0</v>
      </c>
      <c r="S1738" s="77">
        <v>0</v>
      </c>
      <c r="T1738" s="77">
        <v>1</v>
      </c>
      <c r="U1738" s="77">
        <v>0</v>
      </c>
      <c r="V1738" s="77">
        <v>185</v>
      </c>
      <c r="W1738" s="82" t="s">
        <v>5979</v>
      </c>
      <c r="X1738" s="77"/>
      <c r="Y1738" s="77"/>
      <c r="Z1738" s="77"/>
      <c r="AA1738" s="77" t="s">
        <v>8348</v>
      </c>
      <c r="AB1738" s="77" t="s">
        <v>10129</v>
      </c>
      <c r="AC1738" s="82" t="s">
        <v>10144</v>
      </c>
      <c r="AD1738" s="77" t="s">
        <v>10184</v>
      </c>
      <c r="AE1738" s="80" t="str">
        <f>HYPERLINK("https://twitter.com/aprendareceita1/status/1696570615279350085")</f>
        <v>https://twitter.com/aprendareceita1/status/1696570615279350085</v>
      </c>
      <c r="AF1738" s="79">
        <v>45167.714467592596</v>
      </c>
      <c r="AG1738" s="85">
        <v>45167</v>
      </c>
      <c r="AH1738" s="82" t="s">
        <v>11864</v>
      </c>
      <c r="AI1738" s="77" t="b">
        <v>0</v>
      </c>
      <c r="AJ1738" s="77"/>
      <c r="AK1738" s="77"/>
      <c r="AL1738" s="77"/>
      <c r="AM1738" s="77"/>
      <c r="AN1738" s="77"/>
      <c r="AO1738" s="77"/>
      <c r="AP1738" s="77"/>
      <c r="AQ1738" s="77" t="s">
        <v>14992</v>
      </c>
      <c r="AR1738" s="77">
        <v>9519</v>
      </c>
      <c r="AS1738" s="77"/>
      <c r="AT1738" s="77"/>
      <c r="AU1738" s="77"/>
      <c r="AV1738" s="80" t="str">
        <f>HYPERLINK("https://pbs.twimg.com/ext_tw_video_thumb/1696570586753888265/pu/img/IUBepMbvWVL1GtVn.jpg")</f>
        <v>https://pbs.twimg.com/ext_tw_video_thumb/1696570586753888265/pu/img/IUBepMbvWVL1GtVn.jpg</v>
      </c>
      <c r="AW1738" s="82" t="s">
        <v>18506</v>
      </c>
      <c r="AX1738" s="82" t="s">
        <v>18506</v>
      </c>
      <c r="AY1738" s="77"/>
      <c r="AZ1738" s="82" t="s">
        <v>20971</v>
      </c>
      <c r="BA1738" s="82" t="s">
        <v>20971</v>
      </c>
      <c r="BB1738" s="82" t="s">
        <v>20971</v>
      </c>
      <c r="BC1738" s="82" t="s">
        <v>18506</v>
      </c>
      <c r="BD1738" s="82" t="s">
        <v>21314</v>
      </c>
      <c r="BE1738" s="77"/>
      <c r="BF1738" s="77"/>
      <c r="BG1738" s="77"/>
      <c r="BH1738" s="77"/>
      <c r="BI1738" s="77"/>
    </row>
    <row r="1739" spans="1:61" x14ac:dyDescent="0.25">
      <c r="A1739" s="62" t="s">
        <v>631</v>
      </c>
      <c r="B1739" s="62" t="s">
        <v>631</v>
      </c>
      <c r="C1739" s="63"/>
      <c r="D1739" s="64"/>
      <c r="E1739" s="65"/>
      <c r="F1739" s="66"/>
      <c r="G1739" s="63"/>
      <c r="H1739" s="67"/>
      <c r="I1739" s="68"/>
      <c r="J1739" s="68"/>
      <c r="K1739" s="32"/>
      <c r="L1739" s="75">
        <v>1739</v>
      </c>
      <c r="M1739" s="75"/>
      <c r="N1739" s="70"/>
      <c r="O1739" s="77" t="s">
        <v>179</v>
      </c>
      <c r="P1739" s="79">
        <v>45092.782025462962</v>
      </c>
      <c r="Q1739" s="77" t="s">
        <v>2978</v>
      </c>
      <c r="R1739" s="77">
        <v>0</v>
      </c>
      <c r="S1739" s="77">
        <v>0</v>
      </c>
      <c r="T1739" s="77">
        <v>0</v>
      </c>
      <c r="U1739" s="77">
        <v>0</v>
      </c>
      <c r="V1739" s="77">
        <v>133</v>
      </c>
      <c r="W1739" s="82" t="s">
        <v>5986</v>
      </c>
      <c r="X1739" s="77"/>
      <c r="Y1739" s="77"/>
      <c r="Z1739" s="77"/>
      <c r="AA1739" s="77" t="s">
        <v>8349</v>
      </c>
      <c r="AB1739" s="77" t="s">
        <v>10129</v>
      </c>
      <c r="AC1739" s="82" t="s">
        <v>10144</v>
      </c>
      <c r="AD1739" s="77" t="s">
        <v>10184</v>
      </c>
      <c r="AE1739" s="80" t="str">
        <f>HYPERLINK("https://twitter.com/aprendareceita1/status/1669416009629876235")</f>
        <v>https://twitter.com/aprendareceita1/status/1669416009629876235</v>
      </c>
      <c r="AF1739" s="79">
        <v>45092.782025462962</v>
      </c>
      <c r="AG1739" s="85">
        <v>45092</v>
      </c>
      <c r="AH1739" s="82" t="s">
        <v>11865</v>
      </c>
      <c r="AI1739" s="77" t="b">
        <v>0</v>
      </c>
      <c r="AJ1739" s="77"/>
      <c r="AK1739" s="77"/>
      <c r="AL1739" s="77"/>
      <c r="AM1739" s="77"/>
      <c r="AN1739" s="77"/>
      <c r="AO1739" s="77"/>
      <c r="AP1739" s="77"/>
      <c r="AQ1739" s="77" t="s">
        <v>14993</v>
      </c>
      <c r="AR1739" s="77">
        <v>31996</v>
      </c>
      <c r="AS1739" s="77"/>
      <c r="AT1739" s="77"/>
      <c r="AU1739" s="77"/>
      <c r="AV1739" s="80" t="str">
        <f>HYPERLINK("https://pbs.twimg.com/ext_tw_video_thumb/1669415968261455887/pu/img/yxM-Pi-0DQbs_U1R.jpg")</f>
        <v>https://pbs.twimg.com/ext_tw_video_thumb/1669415968261455887/pu/img/yxM-Pi-0DQbs_U1R.jpg</v>
      </c>
      <c r="AW1739" s="82" t="s">
        <v>18507</v>
      </c>
      <c r="AX1739" s="82" t="s">
        <v>18507</v>
      </c>
      <c r="AY1739" s="77"/>
      <c r="AZ1739" s="82" t="s">
        <v>20971</v>
      </c>
      <c r="BA1739" s="82" t="s">
        <v>20971</v>
      </c>
      <c r="BB1739" s="82" t="s">
        <v>20971</v>
      </c>
      <c r="BC1739" s="82" t="s">
        <v>18507</v>
      </c>
      <c r="BD1739" s="82" t="s">
        <v>21314</v>
      </c>
      <c r="BE1739" s="77"/>
      <c r="BF1739" s="77"/>
      <c r="BG1739" s="77"/>
      <c r="BH1739" s="77"/>
      <c r="BI1739" s="77"/>
    </row>
    <row r="1740" spans="1:61" x14ac:dyDescent="0.25">
      <c r="A1740" s="62" t="s">
        <v>631</v>
      </c>
      <c r="B1740" s="62" t="s">
        <v>631</v>
      </c>
      <c r="C1740" s="63"/>
      <c r="D1740" s="64"/>
      <c r="E1740" s="65"/>
      <c r="F1740" s="66"/>
      <c r="G1740" s="63"/>
      <c r="H1740" s="67"/>
      <c r="I1740" s="68"/>
      <c r="J1740" s="68"/>
      <c r="K1740" s="32"/>
      <c r="L1740" s="75">
        <v>1740</v>
      </c>
      <c r="M1740" s="75"/>
      <c r="N1740" s="70"/>
      <c r="O1740" s="77" t="s">
        <v>179</v>
      </c>
      <c r="P1740" s="79">
        <v>45070.826018518521</v>
      </c>
      <c r="Q1740" s="77" t="s">
        <v>2979</v>
      </c>
      <c r="R1740" s="77">
        <v>0</v>
      </c>
      <c r="S1740" s="77">
        <v>0</v>
      </c>
      <c r="T1740" s="77">
        <v>0</v>
      </c>
      <c r="U1740" s="77">
        <v>0</v>
      </c>
      <c r="V1740" s="77">
        <v>88</v>
      </c>
      <c r="W1740" s="82" t="s">
        <v>5977</v>
      </c>
      <c r="X1740" s="77"/>
      <c r="Y1740" s="77"/>
      <c r="Z1740" s="77"/>
      <c r="AA1740" s="77" t="s">
        <v>8350</v>
      </c>
      <c r="AB1740" s="77" t="s">
        <v>10129</v>
      </c>
      <c r="AC1740" s="82" t="s">
        <v>10144</v>
      </c>
      <c r="AD1740" s="77" t="s">
        <v>10184</v>
      </c>
      <c r="AE1740" s="80" t="str">
        <f>HYPERLINK("https://twitter.com/aprendareceita1/status/1661459418209296385")</f>
        <v>https://twitter.com/aprendareceita1/status/1661459418209296385</v>
      </c>
      <c r="AF1740" s="79">
        <v>45070.826018518521</v>
      </c>
      <c r="AG1740" s="85">
        <v>45070</v>
      </c>
      <c r="AH1740" s="82" t="s">
        <v>11866</v>
      </c>
      <c r="AI1740" s="77" t="b">
        <v>0</v>
      </c>
      <c r="AJ1740" s="77"/>
      <c r="AK1740" s="77"/>
      <c r="AL1740" s="77"/>
      <c r="AM1740" s="77"/>
      <c r="AN1740" s="77"/>
      <c r="AO1740" s="77"/>
      <c r="AP1740" s="77"/>
      <c r="AQ1740" s="77" t="s">
        <v>14994</v>
      </c>
      <c r="AR1740" s="77">
        <v>30000</v>
      </c>
      <c r="AS1740" s="77"/>
      <c r="AT1740" s="77"/>
      <c r="AU1740" s="77"/>
      <c r="AV1740" s="80" t="str">
        <f>HYPERLINK("https://pbs.twimg.com/ext_tw_video_thumb/1661459376689872898/pu/img/mKm1Rt5IpB0G-1GV.jpg")</f>
        <v>https://pbs.twimg.com/ext_tw_video_thumb/1661459376689872898/pu/img/mKm1Rt5IpB0G-1GV.jpg</v>
      </c>
      <c r="AW1740" s="82" t="s">
        <v>18508</v>
      </c>
      <c r="AX1740" s="82" t="s">
        <v>18508</v>
      </c>
      <c r="AY1740" s="77"/>
      <c r="AZ1740" s="82" t="s">
        <v>20971</v>
      </c>
      <c r="BA1740" s="82" t="s">
        <v>20971</v>
      </c>
      <c r="BB1740" s="82" t="s">
        <v>20971</v>
      </c>
      <c r="BC1740" s="82" t="s">
        <v>18508</v>
      </c>
      <c r="BD1740" s="82" t="s">
        <v>21314</v>
      </c>
      <c r="BE1740" s="77"/>
      <c r="BF1740" s="77"/>
      <c r="BG1740" s="77"/>
      <c r="BH1740" s="77"/>
      <c r="BI1740" s="77"/>
    </row>
    <row r="1741" spans="1:61" x14ac:dyDescent="0.25">
      <c r="A1741" s="62" t="s">
        <v>631</v>
      </c>
      <c r="B1741" s="62" t="s">
        <v>631</v>
      </c>
      <c r="C1741" s="63"/>
      <c r="D1741" s="64"/>
      <c r="E1741" s="65"/>
      <c r="F1741" s="66"/>
      <c r="G1741" s="63"/>
      <c r="H1741" s="67"/>
      <c r="I1741" s="68"/>
      <c r="J1741" s="68"/>
      <c r="K1741" s="32"/>
      <c r="L1741" s="75">
        <v>1741</v>
      </c>
      <c r="M1741" s="75"/>
      <c r="N1741" s="70"/>
      <c r="O1741" s="77" t="s">
        <v>179</v>
      </c>
      <c r="P1741" s="79">
        <v>45047.702673611115</v>
      </c>
      <c r="Q1741" s="77" t="s">
        <v>2980</v>
      </c>
      <c r="R1741" s="77">
        <v>0</v>
      </c>
      <c r="S1741" s="77">
        <v>0</v>
      </c>
      <c r="T1741" s="77">
        <v>0</v>
      </c>
      <c r="U1741" s="77">
        <v>0</v>
      </c>
      <c r="V1741" s="77">
        <v>101</v>
      </c>
      <c r="W1741" s="82" t="s">
        <v>5987</v>
      </c>
      <c r="X1741" s="80" t="str">
        <f>HYPERLINK("https://youtu.be/s9w5eFsmZiE")</f>
        <v>https://youtu.be/s9w5eFsmZiE</v>
      </c>
      <c r="Y1741" s="77" t="s">
        <v>7248</v>
      </c>
      <c r="Z1741" s="77"/>
      <c r="AA1741" s="77" t="s">
        <v>8351</v>
      </c>
      <c r="AB1741" s="77" t="s">
        <v>10129</v>
      </c>
      <c r="AC1741" s="82" t="s">
        <v>10144</v>
      </c>
      <c r="AD1741" s="77" t="s">
        <v>10184</v>
      </c>
      <c r="AE1741" s="80" t="str">
        <f>HYPERLINK("https://twitter.com/aprendareceita1/status/1653079800066588674")</f>
        <v>https://twitter.com/aprendareceita1/status/1653079800066588674</v>
      </c>
      <c r="AF1741" s="79">
        <v>45047.702673611115</v>
      </c>
      <c r="AG1741" s="85">
        <v>45047</v>
      </c>
      <c r="AH1741" s="82" t="s">
        <v>11867</v>
      </c>
      <c r="AI1741" s="77" t="b">
        <v>0</v>
      </c>
      <c r="AJ1741" s="77"/>
      <c r="AK1741" s="77"/>
      <c r="AL1741" s="77"/>
      <c r="AM1741" s="77"/>
      <c r="AN1741" s="77"/>
      <c r="AO1741" s="77"/>
      <c r="AP1741" s="77"/>
      <c r="AQ1741" s="77" t="s">
        <v>14995</v>
      </c>
      <c r="AR1741" s="77">
        <v>24519</v>
      </c>
      <c r="AS1741" s="77"/>
      <c r="AT1741" s="77"/>
      <c r="AU1741" s="77"/>
      <c r="AV1741" s="80" t="str">
        <f>HYPERLINK("https://pbs.twimg.com/ext_tw_video_thumb/1653079766432374784/pu/img/TzZ9VJ8VGzd5HFJW.jpg")</f>
        <v>https://pbs.twimg.com/ext_tw_video_thumb/1653079766432374784/pu/img/TzZ9VJ8VGzd5HFJW.jpg</v>
      </c>
      <c r="AW1741" s="82" t="s">
        <v>18509</v>
      </c>
      <c r="AX1741" s="82" t="s">
        <v>18509</v>
      </c>
      <c r="AY1741" s="77"/>
      <c r="AZ1741" s="82" t="s">
        <v>20971</v>
      </c>
      <c r="BA1741" s="82" t="s">
        <v>20971</v>
      </c>
      <c r="BB1741" s="82" t="s">
        <v>20971</v>
      </c>
      <c r="BC1741" s="82" t="s">
        <v>18509</v>
      </c>
      <c r="BD1741" s="82" t="s">
        <v>21314</v>
      </c>
      <c r="BE1741" s="77"/>
      <c r="BF1741" s="77"/>
      <c r="BG1741" s="77"/>
      <c r="BH1741" s="77"/>
      <c r="BI1741" s="77"/>
    </row>
    <row r="1742" spans="1:61" x14ac:dyDescent="0.25">
      <c r="A1742" s="62" t="s">
        <v>631</v>
      </c>
      <c r="B1742" s="62" t="s">
        <v>631</v>
      </c>
      <c r="C1742" s="63"/>
      <c r="D1742" s="64"/>
      <c r="E1742" s="65"/>
      <c r="F1742" s="66"/>
      <c r="G1742" s="63"/>
      <c r="H1742" s="67"/>
      <c r="I1742" s="68"/>
      <c r="J1742" s="68"/>
      <c r="K1742" s="32"/>
      <c r="L1742" s="75">
        <v>1742</v>
      </c>
      <c r="M1742" s="75"/>
      <c r="N1742" s="70"/>
      <c r="O1742" s="77" t="s">
        <v>179</v>
      </c>
      <c r="P1742" s="79">
        <v>44996.728310185186</v>
      </c>
      <c r="Q1742" s="77" t="s">
        <v>2981</v>
      </c>
      <c r="R1742" s="77">
        <v>0</v>
      </c>
      <c r="S1742" s="77">
        <v>0</v>
      </c>
      <c r="T1742" s="77">
        <v>0</v>
      </c>
      <c r="U1742" s="77">
        <v>0</v>
      </c>
      <c r="V1742" s="77">
        <v>47</v>
      </c>
      <c r="W1742" s="82" t="s">
        <v>5977</v>
      </c>
      <c r="X1742" s="77"/>
      <c r="Y1742" s="77"/>
      <c r="Z1742" s="77"/>
      <c r="AA1742" s="77" t="s">
        <v>8352</v>
      </c>
      <c r="AB1742" s="77" t="s">
        <v>10129</v>
      </c>
      <c r="AC1742" s="82" t="s">
        <v>10144</v>
      </c>
      <c r="AD1742" s="77" t="s">
        <v>10184</v>
      </c>
      <c r="AE1742" s="80" t="str">
        <f>HYPERLINK("https://twitter.com/aprendareceita1/status/1634607309245562880")</f>
        <v>https://twitter.com/aprendareceita1/status/1634607309245562880</v>
      </c>
      <c r="AF1742" s="79">
        <v>44996.728310185186</v>
      </c>
      <c r="AG1742" s="85">
        <v>44996</v>
      </c>
      <c r="AH1742" s="82" t="s">
        <v>11868</v>
      </c>
      <c r="AI1742" s="77" t="b">
        <v>0</v>
      </c>
      <c r="AJ1742" s="77"/>
      <c r="AK1742" s="77"/>
      <c r="AL1742" s="77"/>
      <c r="AM1742" s="77"/>
      <c r="AN1742" s="77"/>
      <c r="AO1742" s="77"/>
      <c r="AP1742" s="77"/>
      <c r="AQ1742" s="77" t="s">
        <v>14996</v>
      </c>
      <c r="AR1742" s="77">
        <v>24066</v>
      </c>
      <c r="AS1742" s="77"/>
      <c r="AT1742" s="77"/>
      <c r="AU1742" s="77"/>
      <c r="AV1742" s="80" t="str">
        <f>HYPERLINK("https://pbs.twimg.com/ext_tw_video_thumb/1634607275460505600/pu/img/-NNUE_fj_7SPKfJT.jpg")</f>
        <v>https://pbs.twimg.com/ext_tw_video_thumb/1634607275460505600/pu/img/-NNUE_fj_7SPKfJT.jpg</v>
      </c>
      <c r="AW1742" s="82" t="s">
        <v>18510</v>
      </c>
      <c r="AX1742" s="82" t="s">
        <v>18510</v>
      </c>
      <c r="AY1742" s="77"/>
      <c r="AZ1742" s="82" t="s">
        <v>20971</v>
      </c>
      <c r="BA1742" s="82" t="s">
        <v>20971</v>
      </c>
      <c r="BB1742" s="82" t="s">
        <v>20971</v>
      </c>
      <c r="BC1742" s="82" t="s">
        <v>18510</v>
      </c>
      <c r="BD1742" s="82" t="s">
        <v>21314</v>
      </c>
      <c r="BE1742" s="77"/>
      <c r="BF1742" s="77"/>
      <c r="BG1742" s="77"/>
      <c r="BH1742" s="77"/>
      <c r="BI1742" s="77"/>
    </row>
    <row r="1743" spans="1:61" x14ac:dyDescent="0.25">
      <c r="A1743" s="62" t="s">
        <v>631</v>
      </c>
      <c r="B1743" s="62" t="s">
        <v>631</v>
      </c>
      <c r="C1743" s="63"/>
      <c r="D1743" s="64"/>
      <c r="E1743" s="65"/>
      <c r="F1743" s="66"/>
      <c r="G1743" s="63"/>
      <c r="H1743" s="67"/>
      <c r="I1743" s="68"/>
      <c r="J1743" s="68"/>
      <c r="K1743" s="32"/>
      <c r="L1743" s="75">
        <v>1743</v>
      </c>
      <c r="M1743" s="75"/>
      <c r="N1743" s="70"/>
      <c r="O1743" s="77" t="s">
        <v>179</v>
      </c>
      <c r="P1743" s="79">
        <v>45186.737939814811</v>
      </c>
      <c r="Q1743" s="77" t="s">
        <v>2982</v>
      </c>
      <c r="R1743" s="77">
        <v>0</v>
      </c>
      <c r="S1743" s="77">
        <v>0</v>
      </c>
      <c r="T1743" s="77">
        <v>0</v>
      </c>
      <c r="U1743" s="77">
        <v>0</v>
      </c>
      <c r="V1743" s="77">
        <v>79</v>
      </c>
      <c r="W1743" s="82" t="s">
        <v>5988</v>
      </c>
      <c r="X1743" s="77"/>
      <c r="Y1743" s="77"/>
      <c r="Z1743" s="77"/>
      <c r="AA1743" s="77" t="s">
        <v>8353</v>
      </c>
      <c r="AB1743" s="77" t="s">
        <v>10129</v>
      </c>
      <c r="AC1743" s="82" t="s">
        <v>10144</v>
      </c>
      <c r="AD1743" s="77" t="s">
        <v>10184</v>
      </c>
      <c r="AE1743" s="80" t="str">
        <f>HYPERLINK("https://twitter.com/aprendareceita1/status/1703464493890556337")</f>
        <v>https://twitter.com/aprendareceita1/status/1703464493890556337</v>
      </c>
      <c r="AF1743" s="79">
        <v>45186.737939814811</v>
      </c>
      <c r="AG1743" s="85">
        <v>45186</v>
      </c>
      <c r="AH1743" s="82" t="s">
        <v>11869</v>
      </c>
      <c r="AI1743" s="77" t="b">
        <v>0</v>
      </c>
      <c r="AJ1743" s="77"/>
      <c r="AK1743" s="77"/>
      <c r="AL1743" s="77"/>
      <c r="AM1743" s="77"/>
      <c r="AN1743" s="77"/>
      <c r="AO1743" s="77"/>
      <c r="AP1743" s="77"/>
      <c r="AQ1743" s="77" t="s">
        <v>14997</v>
      </c>
      <c r="AR1743" s="77">
        <v>33333</v>
      </c>
      <c r="AS1743" s="77"/>
      <c r="AT1743" s="77"/>
      <c r="AU1743" s="77"/>
      <c r="AV1743" s="80" t="str">
        <f>HYPERLINK("https://pbs.twimg.com/ext_tw_video_thumb/1703464442342547456/pu/img/lMwaQNEU03xyEcRK.jpg")</f>
        <v>https://pbs.twimg.com/ext_tw_video_thumb/1703464442342547456/pu/img/lMwaQNEU03xyEcRK.jpg</v>
      </c>
      <c r="AW1743" s="82" t="s">
        <v>18511</v>
      </c>
      <c r="AX1743" s="82" t="s">
        <v>18511</v>
      </c>
      <c r="AY1743" s="77"/>
      <c r="AZ1743" s="82" t="s">
        <v>20971</v>
      </c>
      <c r="BA1743" s="82" t="s">
        <v>20971</v>
      </c>
      <c r="BB1743" s="82" t="s">
        <v>20971</v>
      </c>
      <c r="BC1743" s="82" t="s">
        <v>18511</v>
      </c>
      <c r="BD1743" s="82" t="s">
        <v>21314</v>
      </c>
      <c r="BE1743" s="77"/>
      <c r="BF1743" s="77"/>
      <c r="BG1743" s="77"/>
      <c r="BH1743" s="77"/>
      <c r="BI1743" s="77"/>
    </row>
    <row r="1744" spans="1:61" x14ac:dyDescent="0.25">
      <c r="A1744" s="62" t="s">
        <v>631</v>
      </c>
      <c r="B1744" s="62" t="s">
        <v>631</v>
      </c>
      <c r="C1744" s="63"/>
      <c r="D1744" s="64"/>
      <c r="E1744" s="65"/>
      <c r="F1744" s="66"/>
      <c r="G1744" s="63"/>
      <c r="H1744" s="67"/>
      <c r="I1744" s="68"/>
      <c r="J1744" s="68"/>
      <c r="K1744" s="32"/>
      <c r="L1744" s="75">
        <v>1744</v>
      </c>
      <c r="M1744" s="75"/>
      <c r="N1744" s="70"/>
      <c r="O1744" s="77" t="s">
        <v>179</v>
      </c>
      <c r="P1744" s="79">
        <v>45110.739664351851</v>
      </c>
      <c r="Q1744" s="77" t="s">
        <v>2983</v>
      </c>
      <c r="R1744" s="77">
        <v>0</v>
      </c>
      <c r="S1744" s="77">
        <v>0</v>
      </c>
      <c r="T1744" s="77">
        <v>0</v>
      </c>
      <c r="U1744" s="77">
        <v>0</v>
      </c>
      <c r="V1744" s="77">
        <v>111</v>
      </c>
      <c r="W1744" s="82" t="s">
        <v>5979</v>
      </c>
      <c r="X1744" s="77"/>
      <c r="Y1744" s="77"/>
      <c r="Z1744" s="77"/>
      <c r="AA1744" s="77" t="s">
        <v>8354</v>
      </c>
      <c r="AB1744" s="77" t="s">
        <v>10129</v>
      </c>
      <c r="AC1744" s="82" t="s">
        <v>10144</v>
      </c>
      <c r="AD1744" s="77" t="s">
        <v>10184</v>
      </c>
      <c r="AE1744" s="80" t="str">
        <f>HYPERLINK("https://twitter.com/aprendareceita1/status/1675923638279610380")</f>
        <v>https://twitter.com/aprendareceita1/status/1675923638279610380</v>
      </c>
      <c r="AF1744" s="79">
        <v>45110.739664351851</v>
      </c>
      <c r="AG1744" s="85">
        <v>45110</v>
      </c>
      <c r="AH1744" s="82" t="s">
        <v>11870</v>
      </c>
      <c r="AI1744" s="77" t="b">
        <v>0</v>
      </c>
      <c r="AJ1744" s="77"/>
      <c r="AK1744" s="77"/>
      <c r="AL1744" s="77"/>
      <c r="AM1744" s="77"/>
      <c r="AN1744" s="77"/>
      <c r="AO1744" s="77"/>
      <c r="AP1744" s="77"/>
      <c r="AQ1744" s="77" t="s">
        <v>14998</v>
      </c>
      <c r="AR1744" s="77">
        <v>31866</v>
      </c>
      <c r="AS1744" s="77"/>
      <c r="AT1744" s="77"/>
      <c r="AU1744" s="77"/>
      <c r="AV1744" s="80" t="str">
        <f>HYPERLINK("https://pbs.twimg.com/ext_tw_video_thumb/1675923593908068364/pu/img/r9I_NPSjgryPT3S3.jpg")</f>
        <v>https://pbs.twimg.com/ext_tw_video_thumb/1675923593908068364/pu/img/r9I_NPSjgryPT3S3.jpg</v>
      </c>
      <c r="AW1744" s="82" t="s">
        <v>18512</v>
      </c>
      <c r="AX1744" s="82" t="s">
        <v>18512</v>
      </c>
      <c r="AY1744" s="77"/>
      <c r="AZ1744" s="82" t="s">
        <v>20971</v>
      </c>
      <c r="BA1744" s="82" t="s">
        <v>20971</v>
      </c>
      <c r="BB1744" s="82" t="s">
        <v>20971</v>
      </c>
      <c r="BC1744" s="82" t="s">
        <v>18512</v>
      </c>
      <c r="BD1744" s="82" t="s">
        <v>21314</v>
      </c>
      <c r="BE1744" s="77"/>
      <c r="BF1744" s="77"/>
      <c r="BG1744" s="77"/>
      <c r="BH1744" s="77"/>
      <c r="BI1744" s="77"/>
    </row>
    <row r="1745" spans="1:61" x14ac:dyDescent="0.25">
      <c r="A1745" s="62" t="s">
        <v>631</v>
      </c>
      <c r="B1745" s="62" t="s">
        <v>631</v>
      </c>
      <c r="C1745" s="63"/>
      <c r="D1745" s="64"/>
      <c r="E1745" s="65"/>
      <c r="F1745" s="66"/>
      <c r="G1745" s="63"/>
      <c r="H1745" s="67"/>
      <c r="I1745" s="68"/>
      <c r="J1745" s="68"/>
      <c r="K1745" s="32"/>
      <c r="L1745" s="75">
        <v>1745</v>
      </c>
      <c r="M1745" s="75"/>
      <c r="N1745" s="70"/>
      <c r="O1745" s="77" t="s">
        <v>179</v>
      </c>
      <c r="P1745" s="79">
        <v>45040.746122685188</v>
      </c>
      <c r="Q1745" s="77" t="s">
        <v>2984</v>
      </c>
      <c r="R1745" s="77">
        <v>0</v>
      </c>
      <c r="S1745" s="77">
        <v>1</v>
      </c>
      <c r="T1745" s="77">
        <v>0</v>
      </c>
      <c r="U1745" s="77">
        <v>0</v>
      </c>
      <c r="V1745" s="77">
        <v>69</v>
      </c>
      <c r="W1745" s="82" t="s">
        <v>5977</v>
      </c>
      <c r="X1745" s="80" t="str">
        <f>HYPERLINK("https://youtu.be/s9w5eFsmZiE")</f>
        <v>https://youtu.be/s9w5eFsmZiE</v>
      </c>
      <c r="Y1745" s="77" t="s">
        <v>7248</v>
      </c>
      <c r="Z1745" s="77"/>
      <c r="AA1745" s="77" t="s">
        <v>8355</v>
      </c>
      <c r="AB1745" s="77" t="s">
        <v>10129</v>
      </c>
      <c r="AC1745" s="82" t="s">
        <v>10144</v>
      </c>
      <c r="AD1745" s="77" t="s">
        <v>10184</v>
      </c>
      <c r="AE1745" s="80" t="str">
        <f>HYPERLINK("https://twitter.com/aprendareceita1/status/1650558829774422016")</f>
        <v>https://twitter.com/aprendareceita1/status/1650558829774422016</v>
      </c>
      <c r="AF1745" s="79">
        <v>45040.746122685188</v>
      </c>
      <c r="AG1745" s="85">
        <v>45040</v>
      </c>
      <c r="AH1745" s="82" t="s">
        <v>11871</v>
      </c>
      <c r="AI1745" s="77" t="b">
        <v>0</v>
      </c>
      <c r="AJ1745" s="77"/>
      <c r="AK1745" s="77"/>
      <c r="AL1745" s="77"/>
      <c r="AM1745" s="77"/>
      <c r="AN1745" s="77"/>
      <c r="AO1745" s="77"/>
      <c r="AP1745" s="77"/>
      <c r="AQ1745" s="77" t="s">
        <v>14999</v>
      </c>
      <c r="AR1745" s="77">
        <v>44951</v>
      </c>
      <c r="AS1745" s="77"/>
      <c r="AT1745" s="77"/>
      <c r="AU1745" s="77"/>
      <c r="AV1745" s="80" t="str">
        <f>HYPERLINK("https://pbs.twimg.com/ext_tw_video_thumb/1650558783934943233/pu/img/E5xUrnwmIBcUhD1o.jpg")</f>
        <v>https://pbs.twimg.com/ext_tw_video_thumb/1650558783934943233/pu/img/E5xUrnwmIBcUhD1o.jpg</v>
      </c>
      <c r="AW1745" s="82" t="s">
        <v>18513</v>
      </c>
      <c r="AX1745" s="82" t="s">
        <v>18513</v>
      </c>
      <c r="AY1745" s="77"/>
      <c r="AZ1745" s="82" t="s">
        <v>20971</v>
      </c>
      <c r="BA1745" s="82" t="s">
        <v>20971</v>
      </c>
      <c r="BB1745" s="82" t="s">
        <v>20971</v>
      </c>
      <c r="BC1745" s="82" t="s">
        <v>18513</v>
      </c>
      <c r="BD1745" s="82" t="s">
        <v>21314</v>
      </c>
      <c r="BE1745" s="77"/>
      <c r="BF1745" s="77"/>
      <c r="BG1745" s="77"/>
      <c r="BH1745" s="77"/>
      <c r="BI1745" s="77"/>
    </row>
    <row r="1746" spans="1:61" x14ac:dyDescent="0.25">
      <c r="A1746" s="62" t="s">
        <v>631</v>
      </c>
      <c r="B1746" s="62" t="s">
        <v>631</v>
      </c>
      <c r="C1746" s="63"/>
      <c r="D1746" s="64"/>
      <c r="E1746" s="65"/>
      <c r="F1746" s="66"/>
      <c r="G1746" s="63"/>
      <c r="H1746" s="67"/>
      <c r="I1746" s="68"/>
      <c r="J1746" s="68"/>
      <c r="K1746" s="32"/>
      <c r="L1746" s="75">
        <v>1746</v>
      </c>
      <c r="M1746" s="75"/>
      <c r="N1746" s="70"/>
      <c r="O1746" s="77" t="s">
        <v>179</v>
      </c>
      <c r="P1746" s="79">
        <v>45014.69972222222</v>
      </c>
      <c r="Q1746" s="77" t="s">
        <v>2985</v>
      </c>
      <c r="R1746" s="77">
        <v>0</v>
      </c>
      <c r="S1746" s="77">
        <v>0</v>
      </c>
      <c r="T1746" s="77">
        <v>0</v>
      </c>
      <c r="U1746" s="77">
        <v>0</v>
      </c>
      <c r="V1746" s="77">
        <v>57</v>
      </c>
      <c r="W1746" s="82" t="s">
        <v>5977</v>
      </c>
      <c r="X1746" s="80" t="str">
        <f>HYPERLINK("https://youtu.be/0kUxlRilZIg")</f>
        <v>https://youtu.be/0kUxlRilZIg</v>
      </c>
      <c r="Y1746" s="77" t="s">
        <v>7248</v>
      </c>
      <c r="Z1746" s="77"/>
      <c r="AA1746" s="77" t="s">
        <v>8356</v>
      </c>
      <c r="AB1746" s="77" t="s">
        <v>10129</v>
      </c>
      <c r="AC1746" s="82" t="s">
        <v>10144</v>
      </c>
      <c r="AD1746" s="77" t="s">
        <v>10184</v>
      </c>
      <c r="AE1746" s="80" t="str">
        <f>HYPERLINK("https://twitter.com/aprendareceita1/status/1641119928206999583")</f>
        <v>https://twitter.com/aprendareceita1/status/1641119928206999583</v>
      </c>
      <c r="AF1746" s="79">
        <v>45014.69972222222</v>
      </c>
      <c r="AG1746" s="85">
        <v>45014</v>
      </c>
      <c r="AH1746" s="82" t="s">
        <v>11251</v>
      </c>
      <c r="AI1746" s="77" t="b">
        <v>0</v>
      </c>
      <c r="AJ1746" s="77"/>
      <c r="AK1746" s="77"/>
      <c r="AL1746" s="77"/>
      <c r="AM1746" s="77"/>
      <c r="AN1746" s="77"/>
      <c r="AO1746" s="77"/>
      <c r="AP1746" s="77"/>
      <c r="AQ1746" s="77" t="s">
        <v>15000</v>
      </c>
      <c r="AR1746" s="77">
        <v>31996</v>
      </c>
      <c r="AS1746" s="77"/>
      <c r="AT1746" s="77"/>
      <c r="AU1746" s="77"/>
      <c r="AV1746" s="80" t="str">
        <f>HYPERLINK("https://pbs.twimg.com/ext_tw_video_thumb/1641119888340049920/pu/img/CZbsnKOjdVkKDIP9.jpg")</f>
        <v>https://pbs.twimg.com/ext_tw_video_thumb/1641119888340049920/pu/img/CZbsnKOjdVkKDIP9.jpg</v>
      </c>
      <c r="AW1746" s="82" t="s">
        <v>18514</v>
      </c>
      <c r="AX1746" s="82" t="s">
        <v>18514</v>
      </c>
      <c r="AY1746" s="77"/>
      <c r="AZ1746" s="82" t="s">
        <v>20971</v>
      </c>
      <c r="BA1746" s="82" t="s">
        <v>20971</v>
      </c>
      <c r="BB1746" s="82" t="s">
        <v>20971</v>
      </c>
      <c r="BC1746" s="82" t="s">
        <v>18514</v>
      </c>
      <c r="BD1746" s="82" t="s">
        <v>21314</v>
      </c>
      <c r="BE1746" s="77"/>
      <c r="BF1746" s="77"/>
      <c r="BG1746" s="77"/>
      <c r="BH1746" s="77"/>
      <c r="BI1746" s="77"/>
    </row>
    <row r="1747" spans="1:61" x14ac:dyDescent="0.25">
      <c r="A1747" s="62" t="s">
        <v>631</v>
      </c>
      <c r="B1747" s="62" t="s">
        <v>631</v>
      </c>
      <c r="C1747" s="63"/>
      <c r="D1747" s="64"/>
      <c r="E1747" s="65"/>
      <c r="F1747" s="66"/>
      <c r="G1747" s="63"/>
      <c r="H1747" s="67"/>
      <c r="I1747" s="68"/>
      <c r="J1747" s="68"/>
      <c r="K1747" s="32"/>
      <c r="L1747" s="75">
        <v>1747</v>
      </c>
      <c r="M1747" s="75"/>
      <c r="N1747" s="70"/>
      <c r="O1747" s="77" t="s">
        <v>179</v>
      </c>
      <c r="P1747" s="79">
        <v>44990.731215277781</v>
      </c>
      <c r="Q1747" s="77" t="s">
        <v>2986</v>
      </c>
      <c r="R1747" s="77">
        <v>0</v>
      </c>
      <c r="S1747" s="77">
        <v>0</v>
      </c>
      <c r="T1747" s="77">
        <v>0</v>
      </c>
      <c r="U1747" s="77">
        <v>0</v>
      </c>
      <c r="V1747" s="77">
        <v>99</v>
      </c>
      <c r="W1747" s="82" t="s">
        <v>5978</v>
      </c>
      <c r="X1747" s="80" t="str">
        <f>HYPERLINK("https://youtu.be/0kUxlRilZIg")</f>
        <v>https://youtu.be/0kUxlRilZIg</v>
      </c>
      <c r="Y1747" s="77" t="s">
        <v>7248</v>
      </c>
      <c r="Z1747" s="77"/>
      <c r="AA1747" s="77" t="s">
        <v>8357</v>
      </c>
      <c r="AB1747" s="77" t="s">
        <v>10129</v>
      </c>
      <c r="AC1747" s="82" t="s">
        <v>10144</v>
      </c>
      <c r="AD1747" s="77" t="s">
        <v>10184</v>
      </c>
      <c r="AE1747" s="80" t="str">
        <f>HYPERLINK("https://twitter.com/aprendareceita1/status/1632434034872664065")</f>
        <v>https://twitter.com/aprendareceita1/status/1632434034872664065</v>
      </c>
      <c r="AF1747" s="79">
        <v>44990.731215277781</v>
      </c>
      <c r="AG1747" s="85">
        <v>44990</v>
      </c>
      <c r="AH1747" s="82" t="s">
        <v>11872</v>
      </c>
      <c r="AI1747" s="77" t="b">
        <v>0</v>
      </c>
      <c r="AJ1747" s="77"/>
      <c r="AK1747" s="77"/>
      <c r="AL1747" s="77"/>
      <c r="AM1747" s="77"/>
      <c r="AN1747" s="77"/>
      <c r="AO1747" s="77"/>
      <c r="AP1747" s="77"/>
      <c r="AQ1747" s="77" t="s">
        <v>15001</v>
      </c>
      <c r="AR1747" s="77">
        <v>20015</v>
      </c>
      <c r="AS1747" s="77"/>
      <c r="AT1747" s="77"/>
      <c r="AU1747" s="77"/>
      <c r="AV1747" s="80" t="str">
        <f>HYPERLINK("https://pbs.twimg.com/ext_tw_video_thumb/1632434004761755649/pu/img/Ut39d2G6NEoP23jM.jpg")</f>
        <v>https://pbs.twimg.com/ext_tw_video_thumb/1632434004761755649/pu/img/Ut39d2G6NEoP23jM.jpg</v>
      </c>
      <c r="AW1747" s="82" t="s">
        <v>18515</v>
      </c>
      <c r="AX1747" s="82" t="s">
        <v>18515</v>
      </c>
      <c r="AY1747" s="77"/>
      <c r="AZ1747" s="82" t="s">
        <v>20971</v>
      </c>
      <c r="BA1747" s="82" t="s">
        <v>20971</v>
      </c>
      <c r="BB1747" s="82" t="s">
        <v>20971</v>
      </c>
      <c r="BC1747" s="82" t="s">
        <v>18515</v>
      </c>
      <c r="BD1747" s="82" t="s">
        <v>21314</v>
      </c>
      <c r="BE1747" s="77"/>
      <c r="BF1747" s="77"/>
      <c r="BG1747" s="77"/>
      <c r="BH1747" s="77"/>
      <c r="BI1747" s="77"/>
    </row>
    <row r="1748" spans="1:61" x14ac:dyDescent="0.25">
      <c r="A1748" s="62" t="s">
        <v>631</v>
      </c>
      <c r="B1748" s="62" t="s">
        <v>631</v>
      </c>
      <c r="C1748" s="63"/>
      <c r="D1748" s="64"/>
      <c r="E1748" s="65"/>
      <c r="F1748" s="66"/>
      <c r="G1748" s="63"/>
      <c r="H1748" s="67"/>
      <c r="I1748" s="68"/>
      <c r="J1748" s="68"/>
      <c r="K1748" s="32"/>
      <c r="L1748" s="75">
        <v>1748</v>
      </c>
      <c r="M1748" s="75"/>
      <c r="N1748" s="70"/>
      <c r="O1748" s="77" t="s">
        <v>179</v>
      </c>
      <c r="P1748" s="79">
        <v>44986.841898148145</v>
      </c>
      <c r="Q1748" s="77" t="s">
        <v>2987</v>
      </c>
      <c r="R1748" s="77">
        <v>0</v>
      </c>
      <c r="S1748" s="77">
        <v>0</v>
      </c>
      <c r="T1748" s="77">
        <v>0</v>
      </c>
      <c r="U1748" s="77">
        <v>0</v>
      </c>
      <c r="V1748" s="77">
        <v>47</v>
      </c>
      <c r="W1748" s="82" t="s">
        <v>5978</v>
      </c>
      <c r="X1748" s="80" t="str">
        <f>HYPERLINK("https://youtube.com/channel/UC1zdGg6wQZyB2eifrUDj8-g")</f>
        <v>https://youtube.com/channel/UC1zdGg6wQZyB2eifrUDj8-g</v>
      </c>
      <c r="Y1748" s="77" t="s">
        <v>7303</v>
      </c>
      <c r="Z1748" s="77"/>
      <c r="AA1748" s="77" t="s">
        <v>8358</v>
      </c>
      <c r="AB1748" s="77" t="s">
        <v>10129</v>
      </c>
      <c r="AC1748" s="82" t="s">
        <v>10144</v>
      </c>
      <c r="AD1748" s="77" t="s">
        <v>10184</v>
      </c>
      <c r="AE1748" s="80" t="str">
        <f>HYPERLINK("https://twitter.com/aprendareceita1/status/1631024594621542402")</f>
        <v>https://twitter.com/aprendareceita1/status/1631024594621542402</v>
      </c>
      <c r="AF1748" s="79">
        <v>44986.841898148145</v>
      </c>
      <c r="AG1748" s="85">
        <v>44986</v>
      </c>
      <c r="AH1748" s="82" t="s">
        <v>11873</v>
      </c>
      <c r="AI1748" s="77" t="b">
        <v>0</v>
      </c>
      <c r="AJ1748" s="77"/>
      <c r="AK1748" s="77"/>
      <c r="AL1748" s="77"/>
      <c r="AM1748" s="77"/>
      <c r="AN1748" s="77"/>
      <c r="AO1748" s="77"/>
      <c r="AP1748" s="77"/>
      <c r="AQ1748" s="77" t="s">
        <v>15002</v>
      </c>
      <c r="AR1748" s="77">
        <v>19504</v>
      </c>
      <c r="AS1748" s="77"/>
      <c r="AT1748" s="77"/>
      <c r="AU1748" s="77"/>
      <c r="AV1748" s="80" t="str">
        <f>HYPERLINK("https://pbs.twimg.com/ext_tw_video_thumb/1631024561960497153/pu/img/ExpqY_wnHn64hfEn.jpg")</f>
        <v>https://pbs.twimg.com/ext_tw_video_thumb/1631024561960497153/pu/img/ExpqY_wnHn64hfEn.jpg</v>
      </c>
      <c r="AW1748" s="82" t="s">
        <v>18516</v>
      </c>
      <c r="AX1748" s="82" t="s">
        <v>18516</v>
      </c>
      <c r="AY1748" s="77"/>
      <c r="AZ1748" s="82" t="s">
        <v>20971</v>
      </c>
      <c r="BA1748" s="82" t="s">
        <v>20971</v>
      </c>
      <c r="BB1748" s="82" t="s">
        <v>20971</v>
      </c>
      <c r="BC1748" s="82" t="s">
        <v>18516</v>
      </c>
      <c r="BD1748" s="82" t="s">
        <v>21314</v>
      </c>
      <c r="BE1748" s="77"/>
      <c r="BF1748" s="77"/>
      <c r="BG1748" s="77"/>
      <c r="BH1748" s="77"/>
      <c r="BI1748" s="77"/>
    </row>
    <row r="1749" spans="1:61" x14ac:dyDescent="0.25">
      <c r="A1749" s="62" t="s">
        <v>631</v>
      </c>
      <c r="B1749" s="62" t="s">
        <v>631</v>
      </c>
      <c r="C1749" s="63"/>
      <c r="D1749" s="64"/>
      <c r="E1749" s="65"/>
      <c r="F1749" s="66"/>
      <c r="G1749" s="63"/>
      <c r="H1749" s="67"/>
      <c r="I1749" s="68"/>
      <c r="J1749" s="68"/>
      <c r="K1749" s="32"/>
      <c r="L1749" s="75">
        <v>1749</v>
      </c>
      <c r="M1749" s="75"/>
      <c r="N1749" s="70"/>
      <c r="O1749" s="77" t="s">
        <v>179</v>
      </c>
      <c r="P1749" s="79">
        <v>45189.802662037036</v>
      </c>
      <c r="Q1749" s="77" t="s">
        <v>2988</v>
      </c>
      <c r="R1749" s="77">
        <v>0</v>
      </c>
      <c r="S1749" s="77">
        <v>0</v>
      </c>
      <c r="T1749" s="77">
        <v>0</v>
      </c>
      <c r="U1749" s="77">
        <v>0</v>
      </c>
      <c r="V1749" s="77">
        <v>71</v>
      </c>
      <c r="W1749" s="82" t="s">
        <v>5988</v>
      </c>
      <c r="X1749" s="77"/>
      <c r="Y1749" s="77"/>
      <c r="Z1749" s="77"/>
      <c r="AA1749" s="77" t="s">
        <v>8359</v>
      </c>
      <c r="AB1749" s="77" t="s">
        <v>10129</v>
      </c>
      <c r="AC1749" s="82" t="s">
        <v>10144</v>
      </c>
      <c r="AD1749" s="77" t="s">
        <v>10184</v>
      </c>
      <c r="AE1749" s="80" t="str">
        <f>HYPERLINK("https://twitter.com/aprendareceita1/status/1704575109837582826")</f>
        <v>https://twitter.com/aprendareceita1/status/1704575109837582826</v>
      </c>
      <c r="AF1749" s="79">
        <v>45189.802662037036</v>
      </c>
      <c r="AG1749" s="85">
        <v>45189</v>
      </c>
      <c r="AH1749" s="82" t="s">
        <v>11874</v>
      </c>
      <c r="AI1749" s="77" t="b">
        <v>0</v>
      </c>
      <c r="AJ1749" s="77"/>
      <c r="AK1749" s="77"/>
      <c r="AL1749" s="77"/>
      <c r="AM1749" s="77"/>
      <c r="AN1749" s="77"/>
      <c r="AO1749" s="77"/>
      <c r="AP1749" s="77"/>
      <c r="AQ1749" s="77" t="s">
        <v>15003</v>
      </c>
      <c r="AR1749" s="77">
        <v>25233</v>
      </c>
      <c r="AS1749" s="77"/>
      <c r="AT1749" s="77"/>
      <c r="AU1749" s="77"/>
      <c r="AV1749" s="80" t="str">
        <f>HYPERLINK("https://pbs.twimg.com/ext_tw_video_thumb/1704575069639290880/pu/img/HiXn62z47-WsrKKy.jpg")</f>
        <v>https://pbs.twimg.com/ext_tw_video_thumb/1704575069639290880/pu/img/HiXn62z47-WsrKKy.jpg</v>
      </c>
      <c r="AW1749" s="82" t="s">
        <v>18517</v>
      </c>
      <c r="AX1749" s="82" t="s">
        <v>18517</v>
      </c>
      <c r="AY1749" s="77"/>
      <c r="AZ1749" s="82" t="s">
        <v>20971</v>
      </c>
      <c r="BA1749" s="82" t="s">
        <v>20971</v>
      </c>
      <c r="BB1749" s="82" t="s">
        <v>20971</v>
      </c>
      <c r="BC1749" s="82" t="s">
        <v>18517</v>
      </c>
      <c r="BD1749" s="82" t="s">
        <v>21314</v>
      </c>
      <c r="BE1749" s="77"/>
      <c r="BF1749" s="77"/>
      <c r="BG1749" s="77"/>
      <c r="BH1749" s="77"/>
      <c r="BI1749" s="77"/>
    </row>
    <row r="1750" spans="1:61" x14ac:dyDescent="0.25">
      <c r="A1750" s="62" t="s">
        <v>631</v>
      </c>
      <c r="B1750" s="62" t="s">
        <v>631</v>
      </c>
      <c r="C1750" s="63"/>
      <c r="D1750" s="64"/>
      <c r="E1750" s="65"/>
      <c r="F1750" s="66"/>
      <c r="G1750" s="63"/>
      <c r="H1750" s="67"/>
      <c r="I1750" s="68"/>
      <c r="J1750" s="68"/>
      <c r="K1750" s="32"/>
      <c r="L1750" s="75">
        <v>1750</v>
      </c>
      <c r="M1750" s="75"/>
      <c r="N1750" s="70"/>
      <c r="O1750" s="77" t="s">
        <v>179</v>
      </c>
      <c r="P1750" s="79">
        <v>45174.804398148146</v>
      </c>
      <c r="Q1750" s="77" t="s">
        <v>2989</v>
      </c>
      <c r="R1750" s="77">
        <v>0</v>
      </c>
      <c r="S1750" s="77">
        <v>0</v>
      </c>
      <c r="T1750" s="77">
        <v>0</v>
      </c>
      <c r="U1750" s="77">
        <v>0</v>
      </c>
      <c r="V1750" s="77">
        <v>80</v>
      </c>
      <c r="W1750" s="82" t="s">
        <v>5977</v>
      </c>
      <c r="X1750" s="77"/>
      <c r="Y1750" s="77"/>
      <c r="Z1750" s="77"/>
      <c r="AA1750" s="77" t="s">
        <v>8360</v>
      </c>
      <c r="AB1750" s="77" t="s">
        <v>10129</v>
      </c>
      <c r="AC1750" s="82" t="s">
        <v>10144</v>
      </c>
      <c r="AD1750" s="77" t="s">
        <v>10184</v>
      </c>
      <c r="AE1750" s="80" t="str">
        <f>HYPERLINK("https://twitter.com/aprendareceita1/status/1699139920084840878")</f>
        <v>https://twitter.com/aprendareceita1/status/1699139920084840878</v>
      </c>
      <c r="AF1750" s="79">
        <v>45174.804398148146</v>
      </c>
      <c r="AG1750" s="85">
        <v>45174</v>
      </c>
      <c r="AH1750" s="82" t="s">
        <v>11875</v>
      </c>
      <c r="AI1750" s="77" t="b">
        <v>0</v>
      </c>
      <c r="AJ1750" s="77"/>
      <c r="AK1750" s="77"/>
      <c r="AL1750" s="77"/>
      <c r="AM1750" s="77"/>
      <c r="AN1750" s="77"/>
      <c r="AO1750" s="77"/>
      <c r="AP1750" s="77"/>
      <c r="AQ1750" s="77" t="s">
        <v>15004</v>
      </c>
      <c r="AR1750" s="77">
        <v>20572</v>
      </c>
      <c r="AS1750" s="77"/>
      <c r="AT1750" s="77"/>
      <c r="AU1750" s="77"/>
      <c r="AV1750" s="80" t="str">
        <f>HYPERLINK("https://pbs.twimg.com/ext_tw_video_thumb/1699139891798429696/pu/img/KsG1MCQERViFa7a1.jpg")</f>
        <v>https://pbs.twimg.com/ext_tw_video_thumb/1699139891798429696/pu/img/KsG1MCQERViFa7a1.jpg</v>
      </c>
      <c r="AW1750" s="82" t="s">
        <v>18518</v>
      </c>
      <c r="AX1750" s="82" t="s">
        <v>18518</v>
      </c>
      <c r="AY1750" s="77"/>
      <c r="AZ1750" s="82" t="s">
        <v>20971</v>
      </c>
      <c r="BA1750" s="82" t="s">
        <v>20971</v>
      </c>
      <c r="BB1750" s="82" t="s">
        <v>20971</v>
      </c>
      <c r="BC1750" s="82" t="s">
        <v>18518</v>
      </c>
      <c r="BD1750" s="82" t="s">
        <v>21314</v>
      </c>
      <c r="BE1750" s="77"/>
      <c r="BF1750" s="77"/>
      <c r="BG1750" s="77"/>
      <c r="BH1750" s="77"/>
      <c r="BI1750" s="77"/>
    </row>
    <row r="1751" spans="1:61" x14ac:dyDescent="0.25">
      <c r="A1751" s="62" t="s">
        <v>631</v>
      </c>
      <c r="B1751" s="62" t="s">
        <v>631</v>
      </c>
      <c r="C1751" s="63"/>
      <c r="D1751" s="64"/>
      <c r="E1751" s="65"/>
      <c r="F1751" s="66"/>
      <c r="G1751" s="63"/>
      <c r="H1751" s="67"/>
      <c r="I1751" s="68"/>
      <c r="J1751" s="68"/>
      <c r="K1751" s="32"/>
      <c r="L1751" s="75">
        <v>1751</v>
      </c>
      <c r="M1751" s="75"/>
      <c r="N1751" s="70"/>
      <c r="O1751" s="77" t="s">
        <v>179</v>
      </c>
      <c r="P1751" s="79">
        <v>45153.678148148145</v>
      </c>
      <c r="Q1751" s="77" t="s">
        <v>2990</v>
      </c>
      <c r="R1751" s="77">
        <v>0</v>
      </c>
      <c r="S1751" s="77">
        <v>0</v>
      </c>
      <c r="T1751" s="77">
        <v>0</v>
      </c>
      <c r="U1751" s="77">
        <v>0</v>
      </c>
      <c r="V1751" s="77">
        <v>92</v>
      </c>
      <c r="W1751" s="82" t="s">
        <v>5989</v>
      </c>
      <c r="X1751" s="77"/>
      <c r="Y1751" s="77"/>
      <c r="Z1751" s="77"/>
      <c r="AA1751" s="77" t="s">
        <v>8361</v>
      </c>
      <c r="AB1751" s="77" t="s">
        <v>10130</v>
      </c>
      <c r="AC1751" s="82" t="s">
        <v>10144</v>
      </c>
      <c r="AD1751" s="77" t="s">
        <v>10184</v>
      </c>
      <c r="AE1751" s="80" t="str">
        <f>HYPERLINK("https://twitter.com/aprendareceita1/status/1691484026106720256")</f>
        <v>https://twitter.com/aprendareceita1/status/1691484026106720256</v>
      </c>
      <c r="AF1751" s="79">
        <v>45153.678148148145</v>
      </c>
      <c r="AG1751" s="85">
        <v>45153</v>
      </c>
      <c r="AH1751" s="82" t="s">
        <v>11876</v>
      </c>
      <c r="AI1751" s="77" t="b">
        <v>0</v>
      </c>
      <c r="AJ1751" s="77"/>
      <c r="AK1751" s="77"/>
      <c r="AL1751" s="77"/>
      <c r="AM1751" s="77"/>
      <c r="AN1751" s="77"/>
      <c r="AO1751" s="77"/>
      <c r="AP1751" s="77"/>
      <c r="AQ1751" s="77" t="s">
        <v>15005</v>
      </c>
      <c r="AR1751" s="77"/>
      <c r="AS1751" s="77"/>
      <c r="AT1751" s="77"/>
      <c r="AU1751" s="77"/>
      <c r="AV1751" s="80" t="str">
        <f>HYPERLINK("https://pbs.twimg.com/media/F3lbwekXsAYQohq.jpg")</f>
        <v>https://pbs.twimg.com/media/F3lbwekXsAYQohq.jpg</v>
      </c>
      <c r="AW1751" s="82" t="s">
        <v>18519</v>
      </c>
      <c r="AX1751" s="82" t="s">
        <v>18519</v>
      </c>
      <c r="AY1751" s="77"/>
      <c r="AZ1751" s="82" t="s">
        <v>20971</v>
      </c>
      <c r="BA1751" s="82" t="s">
        <v>20971</v>
      </c>
      <c r="BB1751" s="82" t="s">
        <v>20971</v>
      </c>
      <c r="BC1751" s="82" t="s">
        <v>18519</v>
      </c>
      <c r="BD1751" s="82" t="s">
        <v>21314</v>
      </c>
      <c r="BE1751" s="77"/>
      <c r="BF1751" s="77"/>
      <c r="BG1751" s="77"/>
      <c r="BH1751" s="77"/>
      <c r="BI1751" s="77"/>
    </row>
    <row r="1752" spans="1:61" x14ac:dyDescent="0.25">
      <c r="A1752" s="62" t="s">
        <v>631</v>
      </c>
      <c r="B1752" s="62" t="s">
        <v>631</v>
      </c>
      <c r="C1752" s="63"/>
      <c r="D1752" s="64"/>
      <c r="E1752" s="65"/>
      <c r="F1752" s="66"/>
      <c r="G1752" s="63"/>
      <c r="H1752" s="67"/>
      <c r="I1752" s="68"/>
      <c r="J1752" s="68"/>
      <c r="K1752" s="32"/>
      <c r="L1752" s="75">
        <v>1752</v>
      </c>
      <c r="M1752" s="75"/>
      <c r="N1752" s="70"/>
      <c r="O1752" s="77" t="s">
        <v>179</v>
      </c>
      <c r="P1752" s="79">
        <v>45013.774629629632</v>
      </c>
      <c r="Q1752" s="77" t="s">
        <v>2991</v>
      </c>
      <c r="R1752" s="77">
        <v>0</v>
      </c>
      <c r="S1752" s="77">
        <v>0</v>
      </c>
      <c r="T1752" s="77">
        <v>0</v>
      </c>
      <c r="U1752" s="77">
        <v>0</v>
      </c>
      <c r="V1752" s="77">
        <v>67</v>
      </c>
      <c r="W1752" s="82" t="s">
        <v>5990</v>
      </c>
      <c r="X1752" s="80" t="str">
        <f>HYPERLINK("https://youtu.be/0kUxlRilZIg")</f>
        <v>https://youtu.be/0kUxlRilZIg</v>
      </c>
      <c r="Y1752" s="77" t="s">
        <v>7248</v>
      </c>
      <c r="Z1752" s="77"/>
      <c r="AA1752" s="77" t="s">
        <v>8362</v>
      </c>
      <c r="AB1752" s="77" t="s">
        <v>10129</v>
      </c>
      <c r="AC1752" s="82" t="s">
        <v>10144</v>
      </c>
      <c r="AD1752" s="77" t="s">
        <v>10184</v>
      </c>
      <c r="AE1752" s="80" t="str">
        <f>HYPERLINK("https://twitter.com/aprendareceita1/status/1640784686765973529")</f>
        <v>https://twitter.com/aprendareceita1/status/1640784686765973529</v>
      </c>
      <c r="AF1752" s="79">
        <v>45013.774629629632</v>
      </c>
      <c r="AG1752" s="85">
        <v>45013</v>
      </c>
      <c r="AH1752" s="82" t="s">
        <v>11877</v>
      </c>
      <c r="AI1752" s="77" t="b">
        <v>0</v>
      </c>
      <c r="AJ1752" s="77"/>
      <c r="AK1752" s="77"/>
      <c r="AL1752" s="77"/>
      <c r="AM1752" s="77"/>
      <c r="AN1752" s="77"/>
      <c r="AO1752" s="77"/>
      <c r="AP1752" s="77"/>
      <c r="AQ1752" s="77" t="s">
        <v>15006</v>
      </c>
      <c r="AR1752" s="77">
        <v>24519</v>
      </c>
      <c r="AS1752" s="77"/>
      <c r="AT1752" s="77"/>
      <c r="AU1752" s="77"/>
      <c r="AV1752" s="80" t="str">
        <f>HYPERLINK("https://pbs.twimg.com/ext_tw_video_thumb/1640784647276601351/pu/img/4vHFU_ZsBvYJUE9B.jpg")</f>
        <v>https://pbs.twimg.com/ext_tw_video_thumb/1640784647276601351/pu/img/4vHFU_ZsBvYJUE9B.jpg</v>
      </c>
      <c r="AW1752" s="82" t="s">
        <v>18520</v>
      </c>
      <c r="AX1752" s="82" t="s">
        <v>18520</v>
      </c>
      <c r="AY1752" s="77"/>
      <c r="AZ1752" s="82" t="s">
        <v>20971</v>
      </c>
      <c r="BA1752" s="82" t="s">
        <v>20971</v>
      </c>
      <c r="BB1752" s="82" t="s">
        <v>20971</v>
      </c>
      <c r="BC1752" s="82" t="s">
        <v>18520</v>
      </c>
      <c r="BD1752" s="82" t="s">
        <v>21314</v>
      </c>
      <c r="BE1752" s="77"/>
      <c r="BF1752" s="77"/>
      <c r="BG1752" s="77"/>
      <c r="BH1752" s="77"/>
      <c r="BI1752" s="77"/>
    </row>
    <row r="1753" spans="1:61" x14ac:dyDescent="0.25">
      <c r="A1753" s="62" t="s">
        <v>631</v>
      </c>
      <c r="B1753" s="62" t="s">
        <v>631</v>
      </c>
      <c r="C1753" s="63"/>
      <c r="D1753" s="64"/>
      <c r="E1753" s="65"/>
      <c r="F1753" s="66"/>
      <c r="G1753" s="63"/>
      <c r="H1753" s="67"/>
      <c r="I1753" s="68"/>
      <c r="J1753" s="68"/>
      <c r="K1753" s="32"/>
      <c r="L1753" s="75">
        <v>1753</v>
      </c>
      <c r="M1753" s="75"/>
      <c r="N1753" s="70"/>
      <c r="O1753" s="77" t="s">
        <v>179</v>
      </c>
      <c r="P1753" s="79">
        <v>45012.840300925927</v>
      </c>
      <c r="Q1753" s="77" t="s">
        <v>2992</v>
      </c>
      <c r="R1753" s="77">
        <v>0</v>
      </c>
      <c r="S1753" s="77">
        <v>0</v>
      </c>
      <c r="T1753" s="77">
        <v>0</v>
      </c>
      <c r="U1753" s="77">
        <v>0</v>
      </c>
      <c r="V1753" s="77">
        <v>43</v>
      </c>
      <c r="W1753" s="82" t="s">
        <v>5977</v>
      </c>
      <c r="X1753" s="77"/>
      <c r="Y1753" s="77"/>
      <c r="Z1753" s="77"/>
      <c r="AA1753" s="77" t="s">
        <v>8363</v>
      </c>
      <c r="AB1753" s="77" t="s">
        <v>10130</v>
      </c>
      <c r="AC1753" s="82" t="s">
        <v>10144</v>
      </c>
      <c r="AD1753" s="77" t="s">
        <v>10184</v>
      </c>
      <c r="AE1753" s="80" t="str">
        <f>HYPERLINK("https://twitter.com/aprendareceita1/status/1640446100359225350")</f>
        <v>https://twitter.com/aprendareceita1/status/1640446100359225350</v>
      </c>
      <c r="AF1753" s="79">
        <v>45012.840300925927</v>
      </c>
      <c r="AG1753" s="85">
        <v>45012</v>
      </c>
      <c r="AH1753" s="82" t="s">
        <v>11878</v>
      </c>
      <c r="AI1753" s="77" t="b">
        <v>0</v>
      </c>
      <c r="AJ1753" s="77"/>
      <c r="AK1753" s="77"/>
      <c r="AL1753" s="77"/>
      <c r="AM1753" s="77"/>
      <c r="AN1753" s="77"/>
      <c r="AO1753" s="77"/>
      <c r="AP1753" s="77"/>
      <c r="AQ1753" s="77" t="s">
        <v>15007</v>
      </c>
      <c r="AR1753" s="77"/>
      <c r="AS1753" s="77"/>
      <c r="AT1753" s="77"/>
      <c r="AU1753" s="77"/>
      <c r="AV1753" s="80" t="str">
        <f>HYPERLINK("https://pbs.twimg.com/media/FsQJCLPXoAARGmG.jpg")</f>
        <v>https://pbs.twimg.com/media/FsQJCLPXoAARGmG.jpg</v>
      </c>
      <c r="AW1753" s="82" t="s">
        <v>18521</v>
      </c>
      <c r="AX1753" s="82" t="s">
        <v>18521</v>
      </c>
      <c r="AY1753" s="77"/>
      <c r="AZ1753" s="82" t="s">
        <v>20971</v>
      </c>
      <c r="BA1753" s="82" t="s">
        <v>20971</v>
      </c>
      <c r="BB1753" s="82" t="s">
        <v>20971</v>
      </c>
      <c r="BC1753" s="82" t="s">
        <v>18521</v>
      </c>
      <c r="BD1753" s="82" t="s">
        <v>21314</v>
      </c>
      <c r="BE1753" s="77"/>
      <c r="BF1753" s="77"/>
      <c r="BG1753" s="77"/>
      <c r="BH1753" s="77"/>
      <c r="BI1753" s="77"/>
    </row>
    <row r="1754" spans="1:61" x14ac:dyDescent="0.25">
      <c r="A1754" s="62" t="s">
        <v>631</v>
      </c>
      <c r="B1754" s="62" t="s">
        <v>631</v>
      </c>
      <c r="C1754" s="63"/>
      <c r="D1754" s="64"/>
      <c r="E1754" s="65"/>
      <c r="F1754" s="66"/>
      <c r="G1754" s="63"/>
      <c r="H1754" s="67"/>
      <c r="I1754" s="68"/>
      <c r="J1754" s="68"/>
      <c r="K1754" s="32"/>
      <c r="L1754" s="75">
        <v>1754</v>
      </c>
      <c r="M1754" s="75"/>
      <c r="N1754" s="70"/>
      <c r="O1754" s="77" t="s">
        <v>179</v>
      </c>
      <c r="P1754" s="79">
        <v>44978.76761574074</v>
      </c>
      <c r="Q1754" s="77" t="s">
        <v>2993</v>
      </c>
      <c r="R1754" s="77">
        <v>0</v>
      </c>
      <c r="S1754" s="77">
        <v>0</v>
      </c>
      <c r="T1754" s="77">
        <v>0</v>
      </c>
      <c r="U1754" s="77">
        <v>0</v>
      </c>
      <c r="V1754" s="77">
        <v>53</v>
      </c>
      <c r="W1754" s="82" t="s">
        <v>5978</v>
      </c>
      <c r="X1754" s="80" t="str">
        <f>HYPERLINK("https://youtube.com/channel/UC1zdGg6wQZyB2eifrUDj8-g")</f>
        <v>https://youtube.com/channel/UC1zdGg6wQZyB2eifrUDj8-g</v>
      </c>
      <c r="Y1754" s="77" t="s">
        <v>7303</v>
      </c>
      <c r="Z1754" s="77"/>
      <c r="AA1754" s="77" t="s">
        <v>8364</v>
      </c>
      <c r="AB1754" s="77" t="s">
        <v>10129</v>
      </c>
      <c r="AC1754" s="82" t="s">
        <v>10144</v>
      </c>
      <c r="AD1754" s="77" t="s">
        <v>10184</v>
      </c>
      <c r="AE1754" s="80" t="str">
        <f>HYPERLINK("https://twitter.com/aprendareceita1/status/1628098569021403136")</f>
        <v>https://twitter.com/aprendareceita1/status/1628098569021403136</v>
      </c>
      <c r="AF1754" s="79">
        <v>44978.76761574074</v>
      </c>
      <c r="AG1754" s="85">
        <v>44978</v>
      </c>
      <c r="AH1754" s="82" t="s">
        <v>11879</v>
      </c>
      <c r="AI1754" s="77" t="b">
        <v>0</v>
      </c>
      <c r="AJ1754" s="77"/>
      <c r="AK1754" s="77"/>
      <c r="AL1754" s="77"/>
      <c r="AM1754" s="77"/>
      <c r="AN1754" s="77"/>
      <c r="AO1754" s="77"/>
      <c r="AP1754" s="77"/>
      <c r="AQ1754" s="77" t="s">
        <v>15008</v>
      </c>
      <c r="AR1754" s="77">
        <v>16999</v>
      </c>
      <c r="AS1754" s="77"/>
      <c r="AT1754" s="77"/>
      <c r="AU1754" s="77"/>
      <c r="AV1754" s="80" t="str">
        <f>HYPERLINK("https://pbs.twimg.com/ext_tw_video_thumb/1628098539300483072/pu/img/Na8fsonGkkewk_zp.jpg")</f>
        <v>https://pbs.twimg.com/ext_tw_video_thumb/1628098539300483072/pu/img/Na8fsonGkkewk_zp.jpg</v>
      </c>
      <c r="AW1754" s="82" t="s">
        <v>18522</v>
      </c>
      <c r="AX1754" s="82" t="s">
        <v>18522</v>
      </c>
      <c r="AY1754" s="77"/>
      <c r="AZ1754" s="82" t="s">
        <v>20971</v>
      </c>
      <c r="BA1754" s="82" t="s">
        <v>20971</v>
      </c>
      <c r="BB1754" s="82" t="s">
        <v>20971</v>
      </c>
      <c r="BC1754" s="82" t="s">
        <v>18522</v>
      </c>
      <c r="BD1754" s="82" t="s">
        <v>21314</v>
      </c>
      <c r="BE1754" s="77"/>
      <c r="BF1754" s="77"/>
      <c r="BG1754" s="77"/>
      <c r="BH1754" s="77"/>
      <c r="BI1754" s="77"/>
    </row>
    <row r="1755" spans="1:61" x14ac:dyDescent="0.25">
      <c r="A1755" s="62" t="s">
        <v>631</v>
      </c>
      <c r="B1755" s="62" t="s">
        <v>631</v>
      </c>
      <c r="C1755" s="63"/>
      <c r="D1755" s="64"/>
      <c r="E1755" s="65"/>
      <c r="F1755" s="66"/>
      <c r="G1755" s="63"/>
      <c r="H1755" s="67"/>
      <c r="I1755" s="68"/>
      <c r="J1755" s="68"/>
      <c r="K1755" s="32"/>
      <c r="L1755" s="75">
        <v>1755</v>
      </c>
      <c r="M1755" s="75"/>
      <c r="N1755" s="70"/>
      <c r="O1755" s="77" t="s">
        <v>179</v>
      </c>
      <c r="P1755" s="79">
        <v>45191.059270833335</v>
      </c>
      <c r="Q1755" s="77" t="s">
        <v>2994</v>
      </c>
      <c r="R1755" s="77">
        <v>0</v>
      </c>
      <c r="S1755" s="77">
        <v>0</v>
      </c>
      <c r="T1755" s="77">
        <v>0</v>
      </c>
      <c r="U1755" s="77">
        <v>0</v>
      </c>
      <c r="V1755" s="77">
        <v>49</v>
      </c>
      <c r="W1755" s="82" t="s">
        <v>5977</v>
      </c>
      <c r="X1755" s="77"/>
      <c r="Y1755" s="77"/>
      <c r="Z1755" s="77"/>
      <c r="AA1755" s="77" t="s">
        <v>8365</v>
      </c>
      <c r="AB1755" s="77" t="s">
        <v>10129</v>
      </c>
      <c r="AC1755" s="82" t="s">
        <v>10144</v>
      </c>
      <c r="AD1755" s="77" t="s">
        <v>10184</v>
      </c>
      <c r="AE1755" s="80" t="str">
        <f>HYPERLINK("https://twitter.com/aprendareceita1/status/1705030489055146451")</f>
        <v>https://twitter.com/aprendareceita1/status/1705030489055146451</v>
      </c>
      <c r="AF1755" s="79">
        <v>45191.059270833335</v>
      </c>
      <c r="AG1755" s="85">
        <v>45191</v>
      </c>
      <c r="AH1755" s="82" t="s">
        <v>11880</v>
      </c>
      <c r="AI1755" s="77" t="b">
        <v>0</v>
      </c>
      <c r="AJ1755" s="77"/>
      <c r="AK1755" s="77"/>
      <c r="AL1755" s="77"/>
      <c r="AM1755" s="77"/>
      <c r="AN1755" s="77"/>
      <c r="AO1755" s="77"/>
      <c r="AP1755" s="77"/>
      <c r="AQ1755" s="77" t="s">
        <v>15009</v>
      </c>
      <c r="AR1755" s="77">
        <v>44975</v>
      </c>
      <c r="AS1755" s="77"/>
      <c r="AT1755" s="77"/>
      <c r="AU1755" s="77"/>
      <c r="AV1755" s="80" t="str">
        <f>HYPERLINK("https://pbs.twimg.com/ext_tw_video_thumb/1705030400756654080/pu/img/EYorjhzXH2SxfHBj.jpg")</f>
        <v>https://pbs.twimg.com/ext_tw_video_thumb/1705030400756654080/pu/img/EYorjhzXH2SxfHBj.jpg</v>
      </c>
      <c r="AW1755" s="82" t="s">
        <v>18523</v>
      </c>
      <c r="AX1755" s="82" t="s">
        <v>18523</v>
      </c>
      <c r="AY1755" s="77"/>
      <c r="AZ1755" s="82" t="s">
        <v>20971</v>
      </c>
      <c r="BA1755" s="82" t="s">
        <v>20971</v>
      </c>
      <c r="BB1755" s="82" t="s">
        <v>20971</v>
      </c>
      <c r="BC1755" s="82" t="s">
        <v>18523</v>
      </c>
      <c r="BD1755" s="82" t="s">
        <v>21314</v>
      </c>
      <c r="BE1755" s="77"/>
      <c r="BF1755" s="77"/>
      <c r="BG1755" s="77"/>
      <c r="BH1755" s="77"/>
      <c r="BI1755" s="77"/>
    </row>
    <row r="1756" spans="1:61" x14ac:dyDescent="0.25">
      <c r="A1756" s="62" t="s">
        <v>631</v>
      </c>
      <c r="B1756" s="62" t="s">
        <v>631</v>
      </c>
      <c r="C1756" s="63"/>
      <c r="D1756" s="64"/>
      <c r="E1756" s="65"/>
      <c r="F1756" s="66"/>
      <c r="G1756" s="63"/>
      <c r="H1756" s="67"/>
      <c r="I1756" s="68"/>
      <c r="J1756" s="68"/>
      <c r="K1756" s="32"/>
      <c r="L1756" s="75">
        <v>1756</v>
      </c>
      <c r="M1756" s="75"/>
      <c r="N1756" s="70"/>
      <c r="O1756" s="77" t="s">
        <v>179</v>
      </c>
      <c r="P1756" s="79">
        <v>45185.474247685182</v>
      </c>
      <c r="Q1756" s="77" t="s">
        <v>2995</v>
      </c>
      <c r="R1756" s="77">
        <v>0</v>
      </c>
      <c r="S1756" s="77">
        <v>0</v>
      </c>
      <c r="T1756" s="77">
        <v>0</v>
      </c>
      <c r="U1756" s="77">
        <v>0</v>
      </c>
      <c r="V1756" s="77">
        <v>60</v>
      </c>
      <c r="W1756" s="82" t="s">
        <v>5977</v>
      </c>
      <c r="X1756" s="77"/>
      <c r="Y1756" s="77"/>
      <c r="Z1756" s="77"/>
      <c r="AA1756" s="77" t="s">
        <v>8366</v>
      </c>
      <c r="AB1756" s="77" t="s">
        <v>10129</v>
      </c>
      <c r="AC1756" s="82" t="s">
        <v>10144</v>
      </c>
      <c r="AD1756" s="77" t="s">
        <v>10184</v>
      </c>
      <c r="AE1756" s="80" t="str">
        <f>HYPERLINK("https://twitter.com/aprendareceita1/status/1703006546806907344")</f>
        <v>https://twitter.com/aprendareceita1/status/1703006546806907344</v>
      </c>
      <c r="AF1756" s="79">
        <v>45185.474247685182</v>
      </c>
      <c r="AG1756" s="85">
        <v>45185</v>
      </c>
      <c r="AH1756" s="82" t="s">
        <v>11881</v>
      </c>
      <c r="AI1756" s="77" t="b">
        <v>0</v>
      </c>
      <c r="AJ1756" s="77"/>
      <c r="AK1756" s="77"/>
      <c r="AL1756" s="77"/>
      <c r="AM1756" s="77"/>
      <c r="AN1756" s="77"/>
      <c r="AO1756" s="77"/>
      <c r="AP1756" s="77"/>
      <c r="AQ1756" s="77" t="s">
        <v>15010</v>
      </c>
      <c r="AR1756" s="77">
        <v>13049</v>
      </c>
      <c r="AS1756" s="77"/>
      <c r="AT1756" s="77"/>
      <c r="AU1756" s="77"/>
      <c r="AV1756" s="80" t="str">
        <f>HYPERLINK("https://pbs.twimg.com/ext_tw_video_thumb/1703006527940931584/pu/img/TmZUl1Y0iU1inqrd.jpg")</f>
        <v>https://pbs.twimg.com/ext_tw_video_thumb/1703006527940931584/pu/img/TmZUl1Y0iU1inqrd.jpg</v>
      </c>
      <c r="AW1756" s="82" t="s">
        <v>18524</v>
      </c>
      <c r="AX1756" s="82" t="s">
        <v>18524</v>
      </c>
      <c r="AY1756" s="77"/>
      <c r="AZ1756" s="82" t="s">
        <v>20971</v>
      </c>
      <c r="BA1756" s="82" t="s">
        <v>20971</v>
      </c>
      <c r="BB1756" s="82" t="s">
        <v>20971</v>
      </c>
      <c r="BC1756" s="82" t="s">
        <v>18524</v>
      </c>
      <c r="BD1756" s="82" t="s">
        <v>21314</v>
      </c>
      <c r="BE1756" s="77"/>
      <c r="BF1756" s="77"/>
      <c r="BG1756" s="77"/>
      <c r="BH1756" s="77"/>
      <c r="BI1756" s="77"/>
    </row>
    <row r="1757" spans="1:61" x14ac:dyDescent="0.25">
      <c r="A1757" s="62" t="s">
        <v>631</v>
      </c>
      <c r="B1757" s="62" t="s">
        <v>631</v>
      </c>
      <c r="C1757" s="63"/>
      <c r="D1757" s="64"/>
      <c r="E1757" s="65"/>
      <c r="F1757" s="66"/>
      <c r="G1757" s="63"/>
      <c r="H1757" s="67"/>
      <c r="I1757" s="68"/>
      <c r="J1757" s="68"/>
      <c r="K1757" s="32"/>
      <c r="L1757" s="75">
        <v>1757</v>
      </c>
      <c r="M1757" s="75"/>
      <c r="N1757" s="70"/>
      <c r="O1757" s="77" t="s">
        <v>179</v>
      </c>
      <c r="P1757" s="79">
        <v>45180.747152777774</v>
      </c>
      <c r="Q1757" s="77" t="s">
        <v>2996</v>
      </c>
      <c r="R1757" s="77">
        <v>0</v>
      </c>
      <c r="S1757" s="77">
        <v>0</v>
      </c>
      <c r="T1757" s="77">
        <v>0</v>
      </c>
      <c r="U1757" s="77">
        <v>0</v>
      </c>
      <c r="V1757" s="77">
        <v>100</v>
      </c>
      <c r="W1757" s="82" t="s">
        <v>5977</v>
      </c>
      <c r="X1757" s="77"/>
      <c r="Y1757" s="77"/>
      <c r="Z1757" s="77"/>
      <c r="AA1757" s="77" t="s">
        <v>8367</v>
      </c>
      <c r="AB1757" s="77" t="s">
        <v>10129</v>
      </c>
      <c r="AC1757" s="82" t="s">
        <v>10144</v>
      </c>
      <c r="AD1757" s="77" t="s">
        <v>10184</v>
      </c>
      <c r="AE1757" s="80" t="str">
        <f>HYPERLINK("https://twitter.com/aprendareceita1/status/1701293504259817943")</f>
        <v>https://twitter.com/aprendareceita1/status/1701293504259817943</v>
      </c>
      <c r="AF1757" s="79">
        <v>45180.747152777774</v>
      </c>
      <c r="AG1757" s="85">
        <v>45180</v>
      </c>
      <c r="AH1757" s="82" t="s">
        <v>11882</v>
      </c>
      <c r="AI1757" s="77" t="b">
        <v>0</v>
      </c>
      <c r="AJ1757" s="77"/>
      <c r="AK1757" s="77"/>
      <c r="AL1757" s="77"/>
      <c r="AM1757" s="77"/>
      <c r="AN1757" s="77"/>
      <c r="AO1757" s="77"/>
      <c r="AP1757" s="77"/>
      <c r="AQ1757" s="77" t="s">
        <v>15011</v>
      </c>
      <c r="AR1757" s="77">
        <v>14999</v>
      </c>
      <c r="AS1757" s="77"/>
      <c r="AT1757" s="77"/>
      <c r="AU1757" s="77"/>
      <c r="AV1757" s="80" t="str">
        <f>HYPERLINK("https://pbs.twimg.com/ext_tw_video_thumb/1701293494994673664/pu/img/q8u-2tyjl3S6TNN_.jpg")</f>
        <v>https://pbs.twimg.com/ext_tw_video_thumb/1701293494994673664/pu/img/q8u-2tyjl3S6TNN_.jpg</v>
      </c>
      <c r="AW1757" s="82" t="s">
        <v>18525</v>
      </c>
      <c r="AX1757" s="82" t="s">
        <v>18525</v>
      </c>
      <c r="AY1757" s="77"/>
      <c r="AZ1757" s="82" t="s">
        <v>20971</v>
      </c>
      <c r="BA1757" s="82" t="s">
        <v>20971</v>
      </c>
      <c r="BB1757" s="82" t="s">
        <v>20971</v>
      </c>
      <c r="BC1757" s="82" t="s">
        <v>18525</v>
      </c>
      <c r="BD1757" s="82" t="s">
        <v>21314</v>
      </c>
      <c r="BE1757" s="77"/>
      <c r="BF1757" s="77"/>
      <c r="BG1757" s="77"/>
      <c r="BH1757" s="77"/>
      <c r="BI1757" s="77"/>
    </row>
    <row r="1758" spans="1:61" x14ac:dyDescent="0.25">
      <c r="A1758" s="62" t="s">
        <v>631</v>
      </c>
      <c r="B1758" s="62" t="s">
        <v>631</v>
      </c>
      <c r="C1758" s="63"/>
      <c r="D1758" s="64"/>
      <c r="E1758" s="65"/>
      <c r="F1758" s="66"/>
      <c r="G1758" s="63"/>
      <c r="H1758" s="67"/>
      <c r="I1758" s="68"/>
      <c r="J1758" s="68"/>
      <c r="K1758" s="32"/>
      <c r="L1758" s="75">
        <v>1758</v>
      </c>
      <c r="M1758" s="75"/>
      <c r="N1758" s="70"/>
      <c r="O1758" s="77" t="s">
        <v>179</v>
      </c>
      <c r="P1758" s="79">
        <v>45179.812824074077</v>
      </c>
      <c r="Q1758" s="77" t="s">
        <v>2997</v>
      </c>
      <c r="R1758" s="77">
        <v>0</v>
      </c>
      <c r="S1758" s="77">
        <v>0</v>
      </c>
      <c r="T1758" s="77">
        <v>0</v>
      </c>
      <c r="U1758" s="77">
        <v>0</v>
      </c>
      <c r="V1758" s="77">
        <v>72</v>
      </c>
      <c r="W1758" s="82" t="s">
        <v>5977</v>
      </c>
      <c r="X1758" s="77"/>
      <c r="Y1758" s="77"/>
      <c r="Z1758" s="77"/>
      <c r="AA1758" s="77" t="s">
        <v>8368</v>
      </c>
      <c r="AB1758" s="77" t="s">
        <v>10129</v>
      </c>
      <c r="AC1758" s="82" t="s">
        <v>10144</v>
      </c>
      <c r="AD1758" s="77" t="s">
        <v>10184</v>
      </c>
      <c r="AE1758" s="80" t="str">
        <f>HYPERLINK("https://twitter.com/aprendareceita1/status/1700954913562304967")</f>
        <v>https://twitter.com/aprendareceita1/status/1700954913562304967</v>
      </c>
      <c r="AF1758" s="79">
        <v>45179.812824074077</v>
      </c>
      <c r="AG1758" s="85">
        <v>45179</v>
      </c>
      <c r="AH1758" s="82" t="s">
        <v>11883</v>
      </c>
      <c r="AI1758" s="77" t="b">
        <v>0</v>
      </c>
      <c r="AJ1758" s="77"/>
      <c r="AK1758" s="77"/>
      <c r="AL1758" s="77"/>
      <c r="AM1758" s="77"/>
      <c r="AN1758" s="77"/>
      <c r="AO1758" s="77"/>
      <c r="AP1758" s="77"/>
      <c r="AQ1758" s="77" t="s">
        <v>15012</v>
      </c>
      <c r="AR1758" s="77">
        <v>45000</v>
      </c>
      <c r="AS1758" s="77"/>
      <c r="AT1758" s="77"/>
      <c r="AU1758" s="77"/>
      <c r="AV1758" s="80" t="str">
        <f>HYPERLINK("https://pbs.twimg.com/ext_tw_video_thumb/1700954903223402497/pu/img/3L8KUf_Y9Ywh3hoj.jpg")</f>
        <v>https://pbs.twimg.com/ext_tw_video_thumb/1700954903223402497/pu/img/3L8KUf_Y9Ywh3hoj.jpg</v>
      </c>
      <c r="AW1758" s="82" t="s">
        <v>18526</v>
      </c>
      <c r="AX1758" s="82" t="s">
        <v>18526</v>
      </c>
      <c r="AY1758" s="77"/>
      <c r="AZ1758" s="82" t="s">
        <v>20971</v>
      </c>
      <c r="BA1758" s="82" t="s">
        <v>20971</v>
      </c>
      <c r="BB1758" s="82" t="s">
        <v>20971</v>
      </c>
      <c r="BC1758" s="82" t="s">
        <v>18526</v>
      </c>
      <c r="BD1758" s="82" t="s">
        <v>21314</v>
      </c>
      <c r="BE1758" s="77"/>
      <c r="BF1758" s="77"/>
      <c r="BG1758" s="77"/>
      <c r="BH1758" s="77"/>
      <c r="BI1758" s="77"/>
    </row>
    <row r="1759" spans="1:61" x14ac:dyDescent="0.25">
      <c r="A1759" s="62" t="s">
        <v>631</v>
      </c>
      <c r="B1759" s="62" t="s">
        <v>631</v>
      </c>
      <c r="C1759" s="63"/>
      <c r="D1759" s="64"/>
      <c r="E1759" s="65"/>
      <c r="F1759" s="66"/>
      <c r="G1759" s="63"/>
      <c r="H1759" s="67"/>
      <c r="I1759" s="68"/>
      <c r="J1759" s="68"/>
      <c r="K1759" s="32"/>
      <c r="L1759" s="75">
        <v>1759</v>
      </c>
      <c r="M1759" s="75"/>
      <c r="N1759" s="70"/>
      <c r="O1759" s="77" t="s">
        <v>179</v>
      </c>
      <c r="P1759" s="79">
        <v>45156.764664351853</v>
      </c>
      <c r="Q1759" s="77" t="s">
        <v>2998</v>
      </c>
      <c r="R1759" s="77">
        <v>0</v>
      </c>
      <c r="S1759" s="77">
        <v>0</v>
      </c>
      <c r="T1759" s="77">
        <v>0</v>
      </c>
      <c r="U1759" s="77">
        <v>0</v>
      </c>
      <c r="V1759" s="77">
        <v>115</v>
      </c>
      <c r="W1759" s="82" t="s">
        <v>5991</v>
      </c>
      <c r="X1759" s="77"/>
      <c r="Y1759" s="77"/>
      <c r="Z1759" s="77"/>
      <c r="AA1759" s="77" t="s">
        <v>8369</v>
      </c>
      <c r="AB1759" s="77" t="s">
        <v>10129</v>
      </c>
      <c r="AC1759" s="82" t="s">
        <v>10144</v>
      </c>
      <c r="AD1759" s="77" t="s">
        <v>10184</v>
      </c>
      <c r="AE1759" s="80" t="str">
        <f>HYPERLINK("https://twitter.com/aprendareceita1/status/1692602540666298635")</f>
        <v>https://twitter.com/aprendareceita1/status/1692602540666298635</v>
      </c>
      <c r="AF1759" s="79">
        <v>45156.764664351853</v>
      </c>
      <c r="AG1759" s="85">
        <v>45156</v>
      </c>
      <c r="AH1759" s="82" t="s">
        <v>11884</v>
      </c>
      <c r="AI1759" s="77" t="b">
        <v>0</v>
      </c>
      <c r="AJ1759" s="77"/>
      <c r="AK1759" s="77"/>
      <c r="AL1759" s="77"/>
      <c r="AM1759" s="77"/>
      <c r="AN1759" s="77"/>
      <c r="AO1759" s="77"/>
      <c r="AP1759" s="77"/>
      <c r="AQ1759" s="77" t="s">
        <v>15013</v>
      </c>
      <c r="AR1759" s="77">
        <v>14999</v>
      </c>
      <c r="AS1759" s="77"/>
      <c r="AT1759" s="77"/>
      <c r="AU1759" s="77"/>
      <c r="AV1759" s="80" t="str">
        <f>HYPERLINK("https://pbs.twimg.com/ext_tw_video_thumb/1692602521397719040/pu/img/uoxcbAbkSqafIA9p.jpg")</f>
        <v>https://pbs.twimg.com/ext_tw_video_thumb/1692602521397719040/pu/img/uoxcbAbkSqafIA9p.jpg</v>
      </c>
      <c r="AW1759" s="82" t="s">
        <v>18527</v>
      </c>
      <c r="AX1759" s="82" t="s">
        <v>18527</v>
      </c>
      <c r="AY1759" s="77"/>
      <c r="AZ1759" s="82" t="s">
        <v>20971</v>
      </c>
      <c r="BA1759" s="82" t="s">
        <v>20971</v>
      </c>
      <c r="BB1759" s="82" t="s">
        <v>20971</v>
      </c>
      <c r="BC1759" s="82" t="s">
        <v>18527</v>
      </c>
      <c r="BD1759" s="82" t="s">
        <v>21314</v>
      </c>
      <c r="BE1759" s="77"/>
      <c r="BF1759" s="77"/>
      <c r="BG1759" s="77"/>
      <c r="BH1759" s="77"/>
      <c r="BI1759" s="77"/>
    </row>
    <row r="1760" spans="1:61" x14ac:dyDescent="0.25">
      <c r="A1760" s="62" t="s">
        <v>631</v>
      </c>
      <c r="B1760" s="62" t="s">
        <v>631</v>
      </c>
      <c r="C1760" s="63"/>
      <c r="D1760" s="64"/>
      <c r="E1760" s="65"/>
      <c r="F1760" s="66"/>
      <c r="G1760" s="63"/>
      <c r="H1760" s="67"/>
      <c r="I1760" s="68"/>
      <c r="J1760" s="68"/>
      <c r="K1760" s="32"/>
      <c r="L1760" s="75">
        <v>1760</v>
      </c>
      <c r="M1760" s="75"/>
      <c r="N1760" s="70"/>
      <c r="O1760" s="77" t="s">
        <v>179</v>
      </c>
      <c r="P1760" s="79">
        <v>45118.709351851852</v>
      </c>
      <c r="Q1760" s="77" t="s">
        <v>2999</v>
      </c>
      <c r="R1760" s="77">
        <v>0</v>
      </c>
      <c r="S1760" s="77">
        <v>0</v>
      </c>
      <c r="T1760" s="77">
        <v>0</v>
      </c>
      <c r="U1760" s="77">
        <v>0</v>
      </c>
      <c r="V1760" s="77">
        <v>114</v>
      </c>
      <c r="W1760" s="82" t="s">
        <v>5979</v>
      </c>
      <c r="X1760" s="77"/>
      <c r="Y1760" s="77"/>
      <c r="Z1760" s="77"/>
      <c r="AA1760" s="77" t="s">
        <v>8370</v>
      </c>
      <c r="AB1760" s="77" t="s">
        <v>10129</v>
      </c>
      <c r="AC1760" s="82" t="s">
        <v>10144</v>
      </c>
      <c r="AD1760" s="77" t="s">
        <v>10184</v>
      </c>
      <c r="AE1760" s="80" t="str">
        <f>HYPERLINK("https://twitter.com/aprendareceita1/status/1678811755995181056")</f>
        <v>https://twitter.com/aprendareceita1/status/1678811755995181056</v>
      </c>
      <c r="AF1760" s="79">
        <v>45118.709351851852</v>
      </c>
      <c r="AG1760" s="85">
        <v>45118</v>
      </c>
      <c r="AH1760" s="82" t="s">
        <v>11885</v>
      </c>
      <c r="AI1760" s="77" t="b">
        <v>0</v>
      </c>
      <c r="AJ1760" s="77"/>
      <c r="AK1760" s="77"/>
      <c r="AL1760" s="77"/>
      <c r="AM1760" s="77"/>
      <c r="AN1760" s="77"/>
      <c r="AO1760" s="77"/>
      <c r="AP1760" s="77"/>
      <c r="AQ1760" s="77" t="s">
        <v>15014</v>
      </c>
      <c r="AR1760" s="77">
        <v>23000</v>
      </c>
      <c r="AS1760" s="77"/>
      <c r="AT1760" s="77"/>
      <c r="AU1760" s="77"/>
      <c r="AV1760" s="80" t="str">
        <f>HYPERLINK("https://pbs.twimg.com/ext_tw_video_thumb/1678811723103346688/pu/img/zecrAwD6_TudAnDM.jpg")</f>
        <v>https://pbs.twimg.com/ext_tw_video_thumb/1678811723103346688/pu/img/zecrAwD6_TudAnDM.jpg</v>
      </c>
      <c r="AW1760" s="82" t="s">
        <v>18528</v>
      </c>
      <c r="AX1760" s="82" t="s">
        <v>18528</v>
      </c>
      <c r="AY1760" s="77"/>
      <c r="AZ1760" s="82" t="s">
        <v>20971</v>
      </c>
      <c r="BA1760" s="82" t="s">
        <v>20971</v>
      </c>
      <c r="BB1760" s="82" t="s">
        <v>20971</v>
      </c>
      <c r="BC1760" s="82" t="s">
        <v>18528</v>
      </c>
      <c r="BD1760" s="82" t="s">
        <v>21314</v>
      </c>
      <c r="BE1760" s="77"/>
      <c r="BF1760" s="77"/>
      <c r="BG1760" s="77"/>
      <c r="BH1760" s="77"/>
      <c r="BI1760" s="77"/>
    </row>
    <row r="1761" spans="1:61" x14ac:dyDescent="0.25">
      <c r="A1761" s="62" t="s">
        <v>632</v>
      </c>
      <c r="B1761" s="62" t="s">
        <v>632</v>
      </c>
      <c r="C1761" s="63"/>
      <c r="D1761" s="64"/>
      <c r="E1761" s="65"/>
      <c r="F1761" s="66"/>
      <c r="G1761" s="63"/>
      <c r="H1761" s="67"/>
      <c r="I1761" s="68"/>
      <c r="J1761" s="68"/>
      <c r="K1761" s="32"/>
      <c r="L1761" s="75">
        <v>1761</v>
      </c>
      <c r="M1761" s="75"/>
      <c r="N1761" s="70"/>
      <c r="O1761" s="77" t="s">
        <v>179</v>
      </c>
      <c r="P1761" s="79">
        <v>45027.438020833331</v>
      </c>
      <c r="Q1761" s="77" t="s">
        <v>3000</v>
      </c>
      <c r="R1761" s="77">
        <v>0</v>
      </c>
      <c r="S1761" s="77">
        <v>1</v>
      </c>
      <c r="T1761" s="77">
        <v>1</v>
      </c>
      <c r="U1761" s="77">
        <v>0</v>
      </c>
      <c r="V1761" s="77">
        <v>25</v>
      </c>
      <c r="W1761" s="82" t="s">
        <v>5992</v>
      </c>
      <c r="X1761" s="77"/>
      <c r="Y1761" s="77"/>
      <c r="Z1761" s="77"/>
      <c r="AA1761" s="77" t="s">
        <v>8371</v>
      </c>
      <c r="AB1761" s="77" t="s">
        <v>10130</v>
      </c>
      <c r="AC1761" s="82" t="s">
        <v>10145</v>
      </c>
      <c r="AD1761" s="77" t="s">
        <v>10184</v>
      </c>
      <c r="AE1761" s="80" t="str">
        <f>HYPERLINK("https://twitter.com/a_donnaire/status/1645736133647646721")</f>
        <v>https://twitter.com/a_donnaire/status/1645736133647646721</v>
      </c>
      <c r="AF1761" s="79">
        <v>45027.438020833331</v>
      </c>
      <c r="AG1761" s="85">
        <v>45027</v>
      </c>
      <c r="AH1761" s="82" t="s">
        <v>11886</v>
      </c>
      <c r="AI1761" s="77" t="b">
        <v>0</v>
      </c>
      <c r="AJ1761" s="77"/>
      <c r="AK1761" s="77"/>
      <c r="AL1761" s="77"/>
      <c r="AM1761" s="77"/>
      <c r="AN1761" s="77"/>
      <c r="AO1761" s="77"/>
      <c r="AP1761" s="77"/>
      <c r="AQ1761" s="77" t="s">
        <v>15015</v>
      </c>
      <c r="AR1761" s="77"/>
      <c r="AS1761" s="77"/>
      <c r="AT1761" s="77"/>
      <c r="AU1761" s="77"/>
      <c r="AV1761" s="80" t="str">
        <f>HYPERLINK("https://pbs.twimg.com/media/FtbUSWOWwAAbOMp.jpg")</f>
        <v>https://pbs.twimg.com/media/FtbUSWOWwAAbOMp.jpg</v>
      </c>
      <c r="AW1761" s="82" t="s">
        <v>18529</v>
      </c>
      <c r="AX1761" s="82" t="s">
        <v>18529</v>
      </c>
      <c r="AY1761" s="77"/>
      <c r="AZ1761" s="82" t="s">
        <v>20971</v>
      </c>
      <c r="BA1761" s="82" t="s">
        <v>20971</v>
      </c>
      <c r="BB1761" s="82" t="s">
        <v>20971</v>
      </c>
      <c r="BC1761" s="82" t="s">
        <v>18529</v>
      </c>
      <c r="BD1761" s="82" t="s">
        <v>21315</v>
      </c>
      <c r="BE1761" s="77"/>
      <c r="BF1761" s="77"/>
      <c r="BG1761" s="77"/>
      <c r="BH1761" s="77"/>
      <c r="BI1761" s="77"/>
    </row>
    <row r="1762" spans="1:61" x14ac:dyDescent="0.25">
      <c r="A1762" s="62" t="s">
        <v>632</v>
      </c>
      <c r="B1762" s="62" t="s">
        <v>632</v>
      </c>
      <c r="C1762" s="63"/>
      <c r="D1762" s="64"/>
      <c r="E1762" s="65"/>
      <c r="F1762" s="66"/>
      <c r="G1762" s="63"/>
      <c r="H1762" s="67"/>
      <c r="I1762" s="68"/>
      <c r="J1762" s="68"/>
      <c r="K1762" s="32"/>
      <c r="L1762" s="75">
        <v>1762</v>
      </c>
      <c r="M1762" s="75"/>
      <c r="N1762" s="70"/>
      <c r="O1762" s="77" t="s">
        <v>179</v>
      </c>
      <c r="P1762" s="79">
        <v>45027.422581018516</v>
      </c>
      <c r="Q1762" s="77" t="s">
        <v>3001</v>
      </c>
      <c r="R1762" s="77">
        <v>0</v>
      </c>
      <c r="S1762" s="77">
        <v>1</v>
      </c>
      <c r="T1762" s="77">
        <v>1</v>
      </c>
      <c r="U1762" s="77">
        <v>0</v>
      </c>
      <c r="V1762" s="77">
        <v>20</v>
      </c>
      <c r="W1762" s="82" t="s">
        <v>5993</v>
      </c>
      <c r="X1762" s="77"/>
      <c r="Y1762" s="77"/>
      <c r="Z1762" s="77"/>
      <c r="AA1762" s="77" t="s">
        <v>8372</v>
      </c>
      <c r="AB1762" s="77" t="s">
        <v>10130</v>
      </c>
      <c r="AC1762" s="82" t="s">
        <v>10145</v>
      </c>
      <c r="AD1762" s="77" t="s">
        <v>10184</v>
      </c>
      <c r="AE1762" s="80" t="str">
        <f>HYPERLINK("https://twitter.com/a_donnaire/status/1645730541663035392")</f>
        <v>https://twitter.com/a_donnaire/status/1645730541663035392</v>
      </c>
      <c r="AF1762" s="79">
        <v>45027.422581018516</v>
      </c>
      <c r="AG1762" s="85">
        <v>45027</v>
      </c>
      <c r="AH1762" s="82" t="s">
        <v>11887</v>
      </c>
      <c r="AI1762" s="77" t="b">
        <v>0</v>
      </c>
      <c r="AJ1762" s="77"/>
      <c r="AK1762" s="77"/>
      <c r="AL1762" s="77"/>
      <c r="AM1762" s="77"/>
      <c r="AN1762" s="77"/>
      <c r="AO1762" s="77"/>
      <c r="AP1762" s="77"/>
      <c r="AQ1762" s="77" t="s">
        <v>15016</v>
      </c>
      <c r="AR1762" s="77"/>
      <c r="AS1762" s="77"/>
      <c r="AT1762" s="77"/>
      <c r="AU1762" s="77"/>
      <c r="AV1762" s="80" t="str">
        <f>HYPERLINK("https://pbs.twimg.com/media/FtbPM6WWwAE4fug.jpg")</f>
        <v>https://pbs.twimg.com/media/FtbPM6WWwAE4fug.jpg</v>
      </c>
      <c r="AW1762" s="82" t="s">
        <v>18530</v>
      </c>
      <c r="AX1762" s="82" t="s">
        <v>18530</v>
      </c>
      <c r="AY1762" s="77"/>
      <c r="AZ1762" s="82" t="s">
        <v>20971</v>
      </c>
      <c r="BA1762" s="82" t="s">
        <v>20971</v>
      </c>
      <c r="BB1762" s="82" t="s">
        <v>20971</v>
      </c>
      <c r="BC1762" s="82" t="s">
        <v>18530</v>
      </c>
      <c r="BD1762" s="82" t="s">
        <v>21315</v>
      </c>
      <c r="BE1762" s="77"/>
      <c r="BF1762" s="77"/>
      <c r="BG1762" s="77"/>
      <c r="BH1762" s="77"/>
      <c r="BI1762" s="77"/>
    </row>
    <row r="1763" spans="1:61" x14ac:dyDescent="0.25">
      <c r="A1763" s="62" t="s">
        <v>633</v>
      </c>
      <c r="B1763" s="62" t="s">
        <v>633</v>
      </c>
      <c r="C1763" s="63"/>
      <c r="D1763" s="64"/>
      <c r="E1763" s="65"/>
      <c r="F1763" s="66"/>
      <c r="G1763" s="63"/>
      <c r="H1763" s="67"/>
      <c r="I1763" s="68"/>
      <c r="J1763" s="68"/>
      <c r="K1763" s="32"/>
      <c r="L1763" s="75">
        <v>1763</v>
      </c>
      <c r="M1763" s="75"/>
      <c r="N1763" s="70"/>
      <c r="O1763" s="77" t="s">
        <v>179</v>
      </c>
      <c r="P1763" s="79">
        <v>45084.96607638889</v>
      </c>
      <c r="Q1763" s="77" t="s">
        <v>3002</v>
      </c>
      <c r="R1763" s="77">
        <v>0</v>
      </c>
      <c r="S1763" s="77">
        <v>2</v>
      </c>
      <c r="T1763" s="77">
        <v>1</v>
      </c>
      <c r="U1763" s="77">
        <v>0</v>
      </c>
      <c r="V1763" s="77">
        <v>136</v>
      </c>
      <c r="W1763" s="82" t="s">
        <v>5994</v>
      </c>
      <c r="X1763" s="80" t="str">
        <f>HYPERLINK("https://youtu.be/tUFABYxdWZs")</f>
        <v>https://youtu.be/tUFABYxdWZs</v>
      </c>
      <c r="Y1763" s="77" t="s">
        <v>7248</v>
      </c>
      <c r="Z1763" s="77"/>
      <c r="AA1763" s="77" t="s">
        <v>8373</v>
      </c>
      <c r="AB1763" s="77" t="s">
        <v>10130</v>
      </c>
      <c r="AC1763" s="82" t="s">
        <v>10144</v>
      </c>
      <c r="AD1763" s="77" t="s">
        <v>10185</v>
      </c>
      <c r="AE1763" s="80" t="str">
        <f>HYPERLINK("https://twitter.com/urzekeofc/status/1666583602816057344")</f>
        <v>https://twitter.com/urzekeofc/status/1666583602816057344</v>
      </c>
      <c r="AF1763" s="79">
        <v>45084.96607638889</v>
      </c>
      <c r="AG1763" s="85">
        <v>45084</v>
      </c>
      <c r="AH1763" s="82" t="s">
        <v>11888</v>
      </c>
      <c r="AI1763" s="77" t="b">
        <v>0</v>
      </c>
      <c r="AJ1763" s="77"/>
      <c r="AK1763" s="77"/>
      <c r="AL1763" s="77"/>
      <c r="AM1763" s="77"/>
      <c r="AN1763" s="77"/>
      <c r="AO1763" s="77"/>
      <c r="AP1763" s="77"/>
      <c r="AQ1763" s="77" t="s">
        <v>15017</v>
      </c>
      <c r="AR1763" s="77"/>
      <c r="AS1763" s="77"/>
      <c r="AT1763" s="77"/>
      <c r="AU1763" s="77"/>
      <c r="AV1763" s="80" t="str">
        <f>HYPERLINK("https://pbs.twimg.com/media/FyDk9E7XoAAjybE.jpg")</f>
        <v>https://pbs.twimg.com/media/FyDk9E7XoAAjybE.jpg</v>
      </c>
      <c r="AW1763" s="82" t="s">
        <v>18531</v>
      </c>
      <c r="AX1763" s="82" t="s">
        <v>18531</v>
      </c>
      <c r="AY1763" s="77"/>
      <c r="AZ1763" s="82" t="s">
        <v>20971</v>
      </c>
      <c r="BA1763" s="82" t="s">
        <v>20971</v>
      </c>
      <c r="BB1763" s="82" t="s">
        <v>20971</v>
      </c>
      <c r="BC1763" s="82" t="s">
        <v>18531</v>
      </c>
      <c r="BD1763" s="82" t="s">
        <v>21316</v>
      </c>
      <c r="BE1763" s="77"/>
      <c r="BF1763" s="77"/>
      <c r="BG1763" s="77"/>
      <c r="BH1763" s="77"/>
      <c r="BI1763" s="77"/>
    </row>
    <row r="1764" spans="1:61" x14ac:dyDescent="0.25">
      <c r="A1764" s="62" t="s">
        <v>633</v>
      </c>
      <c r="B1764" s="62" t="s">
        <v>633</v>
      </c>
      <c r="C1764" s="63"/>
      <c r="D1764" s="64"/>
      <c r="E1764" s="65"/>
      <c r="F1764" s="66"/>
      <c r="G1764" s="63"/>
      <c r="H1764" s="67"/>
      <c r="I1764" s="68"/>
      <c r="J1764" s="68"/>
      <c r="K1764" s="32"/>
      <c r="L1764" s="75">
        <v>1764</v>
      </c>
      <c r="M1764" s="75"/>
      <c r="N1764" s="70"/>
      <c r="O1764" s="77" t="s">
        <v>179</v>
      </c>
      <c r="P1764" s="79">
        <v>45180.809074074074</v>
      </c>
      <c r="Q1764" s="77" t="s">
        <v>3003</v>
      </c>
      <c r="R1764" s="77">
        <v>2</v>
      </c>
      <c r="S1764" s="77">
        <v>3</v>
      </c>
      <c r="T1764" s="77">
        <v>0</v>
      </c>
      <c r="U1764" s="77">
        <v>0</v>
      </c>
      <c r="V1764" s="77">
        <v>219</v>
      </c>
      <c r="W1764" s="82" t="s">
        <v>5995</v>
      </c>
      <c r="X1764" s="80" t="str">
        <f>HYPERLINK("https://youtu.be/IQm0g1WhuEw?si=mQQx0kEFmsemdYkN")</f>
        <v>https://youtu.be/IQm0g1WhuEw?si=mQQx0kEFmsemdYkN</v>
      </c>
      <c r="Y1764" s="77" t="s">
        <v>7248</v>
      </c>
      <c r="Z1764" s="77"/>
      <c r="AA1764" s="77" t="s">
        <v>8374</v>
      </c>
      <c r="AB1764" s="77" t="s">
        <v>10130</v>
      </c>
      <c r="AC1764" s="82" t="s">
        <v>10144</v>
      </c>
      <c r="AD1764" s="77" t="s">
        <v>10184</v>
      </c>
      <c r="AE1764" s="80" t="str">
        <f>HYPERLINK("https://twitter.com/urzekeofc/status/1701315942863516101")</f>
        <v>https://twitter.com/urzekeofc/status/1701315942863516101</v>
      </c>
      <c r="AF1764" s="79">
        <v>45180.809074074074</v>
      </c>
      <c r="AG1764" s="85">
        <v>45180</v>
      </c>
      <c r="AH1764" s="82" t="s">
        <v>11889</v>
      </c>
      <c r="AI1764" s="77" t="b">
        <v>0</v>
      </c>
      <c r="AJ1764" s="77"/>
      <c r="AK1764" s="77"/>
      <c r="AL1764" s="77"/>
      <c r="AM1764" s="77"/>
      <c r="AN1764" s="77"/>
      <c r="AO1764" s="77"/>
      <c r="AP1764" s="77"/>
      <c r="AQ1764" s="77" t="s">
        <v>15018</v>
      </c>
      <c r="AR1764" s="77"/>
      <c r="AS1764" s="77"/>
      <c r="AT1764" s="77"/>
      <c r="AU1764" s="77"/>
      <c r="AV1764" s="80" t="str">
        <f>HYPERLINK("https://pbs.twimg.com/media/F5xJ1VOWEAATMnm.jpg")</f>
        <v>https://pbs.twimg.com/media/F5xJ1VOWEAATMnm.jpg</v>
      </c>
      <c r="AW1764" s="82" t="s">
        <v>18532</v>
      </c>
      <c r="AX1764" s="82" t="s">
        <v>18532</v>
      </c>
      <c r="AY1764" s="77"/>
      <c r="AZ1764" s="82" t="s">
        <v>20971</v>
      </c>
      <c r="BA1764" s="82" t="s">
        <v>20971</v>
      </c>
      <c r="BB1764" s="82" t="s">
        <v>20971</v>
      </c>
      <c r="BC1764" s="82" t="s">
        <v>18532</v>
      </c>
      <c r="BD1764" s="82" t="s">
        <v>21316</v>
      </c>
      <c r="BE1764" s="77"/>
      <c r="BF1764" s="77"/>
      <c r="BG1764" s="77"/>
      <c r="BH1764" s="77"/>
      <c r="BI1764" s="77"/>
    </row>
    <row r="1765" spans="1:61" x14ac:dyDescent="0.25">
      <c r="A1765" s="62" t="s">
        <v>634</v>
      </c>
      <c r="B1765" s="62" t="s">
        <v>634</v>
      </c>
      <c r="C1765" s="63"/>
      <c r="D1765" s="64"/>
      <c r="E1765" s="65"/>
      <c r="F1765" s="66"/>
      <c r="G1765" s="63"/>
      <c r="H1765" s="67"/>
      <c r="I1765" s="68"/>
      <c r="J1765" s="68"/>
      <c r="K1765" s="32"/>
      <c r="L1765" s="75">
        <v>1765</v>
      </c>
      <c r="M1765" s="75"/>
      <c r="N1765" s="70"/>
      <c r="O1765" s="77" t="s">
        <v>179</v>
      </c>
      <c r="P1765" s="79">
        <v>44993.712719907409</v>
      </c>
      <c r="Q1765" s="77" t="s">
        <v>3004</v>
      </c>
      <c r="R1765" s="77">
        <v>0</v>
      </c>
      <c r="S1765" s="77">
        <v>0</v>
      </c>
      <c r="T1765" s="77">
        <v>0</v>
      </c>
      <c r="U1765" s="77">
        <v>0</v>
      </c>
      <c r="V1765" s="77">
        <v>26</v>
      </c>
      <c r="W1765" s="82" t="s">
        <v>5996</v>
      </c>
      <c r="X1765" s="77"/>
      <c r="Y1765" s="77"/>
      <c r="Z1765" s="77"/>
      <c r="AA1765" s="77" t="s">
        <v>8375</v>
      </c>
      <c r="AB1765" s="77" t="s">
        <v>10130</v>
      </c>
      <c r="AC1765" s="82" t="s">
        <v>10144</v>
      </c>
      <c r="AD1765" s="77" t="s">
        <v>10184</v>
      </c>
      <c r="AE1765" s="80" t="str">
        <f>HYPERLINK("https://twitter.com/ias_homeoffice/status/1633514496571351040")</f>
        <v>https://twitter.com/ias_homeoffice/status/1633514496571351040</v>
      </c>
      <c r="AF1765" s="79">
        <v>44993.712719907409</v>
      </c>
      <c r="AG1765" s="85">
        <v>44993</v>
      </c>
      <c r="AH1765" s="82" t="s">
        <v>11890</v>
      </c>
      <c r="AI1765" s="77" t="b">
        <v>0</v>
      </c>
      <c r="AJ1765" s="77"/>
      <c r="AK1765" s="77"/>
      <c r="AL1765" s="77"/>
      <c r="AM1765" s="77"/>
      <c r="AN1765" s="77"/>
      <c r="AO1765" s="77"/>
      <c r="AP1765" s="77"/>
      <c r="AQ1765" s="77" t="s">
        <v>15019</v>
      </c>
      <c r="AR1765" s="77"/>
      <c r="AS1765" s="77"/>
      <c r="AT1765" s="77"/>
      <c r="AU1765" s="77"/>
      <c r="AV1765" s="80" t="str">
        <f>HYPERLINK("https://pbs.twimg.com/media/FqtoxrDXoAkLJei.jpg")</f>
        <v>https://pbs.twimg.com/media/FqtoxrDXoAkLJei.jpg</v>
      </c>
      <c r="AW1765" s="82" t="s">
        <v>18533</v>
      </c>
      <c r="AX1765" s="82" t="s">
        <v>18533</v>
      </c>
      <c r="AY1765" s="77"/>
      <c r="AZ1765" s="82" t="s">
        <v>20971</v>
      </c>
      <c r="BA1765" s="82" t="s">
        <v>20971</v>
      </c>
      <c r="BB1765" s="82" t="s">
        <v>20971</v>
      </c>
      <c r="BC1765" s="82" t="s">
        <v>18533</v>
      </c>
      <c r="BD1765" s="82" t="s">
        <v>21317</v>
      </c>
      <c r="BE1765" s="77"/>
      <c r="BF1765" s="77"/>
      <c r="BG1765" s="77"/>
      <c r="BH1765" s="77"/>
      <c r="BI1765" s="77"/>
    </row>
    <row r="1766" spans="1:61" x14ac:dyDescent="0.25">
      <c r="A1766" s="62" t="s">
        <v>634</v>
      </c>
      <c r="B1766" s="62" t="s">
        <v>634</v>
      </c>
      <c r="C1766" s="63"/>
      <c r="D1766" s="64"/>
      <c r="E1766" s="65"/>
      <c r="F1766" s="66"/>
      <c r="G1766" s="63"/>
      <c r="H1766" s="67"/>
      <c r="I1766" s="68"/>
      <c r="J1766" s="68"/>
      <c r="K1766" s="32"/>
      <c r="L1766" s="75">
        <v>1766</v>
      </c>
      <c r="M1766" s="75"/>
      <c r="N1766" s="70"/>
      <c r="O1766" s="77" t="s">
        <v>179</v>
      </c>
      <c r="P1766" s="79">
        <v>44984.726678240739</v>
      </c>
      <c r="Q1766" s="77" t="s">
        <v>3005</v>
      </c>
      <c r="R1766" s="77">
        <v>0</v>
      </c>
      <c r="S1766" s="77">
        <v>0</v>
      </c>
      <c r="T1766" s="77">
        <v>0</v>
      </c>
      <c r="U1766" s="77">
        <v>0</v>
      </c>
      <c r="V1766" s="77">
        <v>39</v>
      </c>
      <c r="W1766" s="82" t="s">
        <v>5581</v>
      </c>
      <c r="X1766" s="77"/>
      <c r="Y1766" s="77"/>
      <c r="Z1766" s="77"/>
      <c r="AA1766" s="77" t="s">
        <v>8376</v>
      </c>
      <c r="AB1766" s="77" t="s">
        <v>10130</v>
      </c>
      <c r="AC1766" s="82" t="s">
        <v>10144</v>
      </c>
      <c r="AD1766" s="77" t="s">
        <v>10184</v>
      </c>
      <c r="AE1766" s="80" t="str">
        <f>HYPERLINK("https://twitter.com/ias_homeoffice/status/1630258062555504640")</f>
        <v>https://twitter.com/ias_homeoffice/status/1630258062555504640</v>
      </c>
      <c r="AF1766" s="79">
        <v>44984.726678240739</v>
      </c>
      <c r="AG1766" s="85">
        <v>44984</v>
      </c>
      <c r="AH1766" s="82" t="s">
        <v>11891</v>
      </c>
      <c r="AI1766" s="77" t="b">
        <v>0</v>
      </c>
      <c r="AJ1766" s="77"/>
      <c r="AK1766" s="77"/>
      <c r="AL1766" s="77"/>
      <c r="AM1766" s="77"/>
      <c r="AN1766" s="77"/>
      <c r="AO1766" s="77"/>
      <c r="AP1766" s="77"/>
      <c r="AQ1766" s="77" t="s">
        <v>15020</v>
      </c>
      <c r="AR1766" s="77"/>
      <c r="AS1766" s="77"/>
      <c r="AT1766" s="77"/>
      <c r="AU1766" s="77"/>
      <c r="AV1766" s="80" t="str">
        <f>HYPERLINK("https://pbs.twimg.com/media/Fp_XEXxWwAE1aDX.jpg")</f>
        <v>https://pbs.twimg.com/media/Fp_XEXxWwAE1aDX.jpg</v>
      </c>
      <c r="AW1766" s="82" t="s">
        <v>18534</v>
      </c>
      <c r="AX1766" s="82" t="s">
        <v>18534</v>
      </c>
      <c r="AY1766" s="77"/>
      <c r="AZ1766" s="82" t="s">
        <v>20971</v>
      </c>
      <c r="BA1766" s="82" t="s">
        <v>20971</v>
      </c>
      <c r="BB1766" s="82" t="s">
        <v>20971</v>
      </c>
      <c r="BC1766" s="82" t="s">
        <v>18534</v>
      </c>
      <c r="BD1766" s="82" t="s">
        <v>21317</v>
      </c>
      <c r="BE1766" s="77"/>
      <c r="BF1766" s="77"/>
      <c r="BG1766" s="77"/>
      <c r="BH1766" s="77"/>
      <c r="BI1766" s="77"/>
    </row>
    <row r="1767" spans="1:61" x14ac:dyDescent="0.25">
      <c r="A1767" s="62" t="s">
        <v>635</v>
      </c>
      <c r="B1767" s="62" t="s">
        <v>635</v>
      </c>
      <c r="C1767" s="63"/>
      <c r="D1767" s="64"/>
      <c r="E1767" s="65"/>
      <c r="F1767" s="66"/>
      <c r="G1767" s="63"/>
      <c r="H1767" s="67"/>
      <c r="I1767" s="68"/>
      <c r="J1767" s="68"/>
      <c r="K1767" s="32"/>
      <c r="L1767" s="75">
        <v>1767</v>
      </c>
      <c r="M1767" s="75"/>
      <c r="N1767" s="70"/>
      <c r="O1767" s="77" t="s">
        <v>179</v>
      </c>
      <c r="P1767" s="79">
        <v>45164.060393518521</v>
      </c>
      <c r="Q1767" s="77" t="s">
        <v>3006</v>
      </c>
      <c r="R1767" s="77">
        <v>0</v>
      </c>
      <c r="S1767" s="77">
        <v>0</v>
      </c>
      <c r="T1767" s="77">
        <v>0</v>
      </c>
      <c r="U1767" s="77">
        <v>0</v>
      </c>
      <c r="V1767" s="77">
        <v>213</v>
      </c>
      <c r="W1767" s="82" t="s">
        <v>5236</v>
      </c>
      <c r="X1767" s="77"/>
      <c r="Y1767" s="77"/>
      <c r="Z1767" s="77"/>
      <c r="AA1767" s="77" t="s">
        <v>8377</v>
      </c>
      <c r="AB1767" s="77" t="s">
        <v>10130</v>
      </c>
      <c r="AC1767" s="82" t="s">
        <v>10144</v>
      </c>
      <c r="AD1767" s="77" t="s">
        <v>10184</v>
      </c>
      <c r="AE1767" s="80" t="str">
        <f>HYPERLINK("https://twitter.com/marcelogagarin/status/1695246426698088881")</f>
        <v>https://twitter.com/marcelogagarin/status/1695246426698088881</v>
      </c>
      <c r="AF1767" s="79">
        <v>45164.060393518521</v>
      </c>
      <c r="AG1767" s="85">
        <v>45164</v>
      </c>
      <c r="AH1767" s="82" t="s">
        <v>11892</v>
      </c>
      <c r="AI1767" s="77" t="b">
        <v>0</v>
      </c>
      <c r="AJ1767" s="77"/>
      <c r="AK1767" s="77"/>
      <c r="AL1767" s="77"/>
      <c r="AM1767" s="77"/>
      <c r="AN1767" s="77"/>
      <c r="AO1767" s="77"/>
      <c r="AP1767" s="77"/>
      <c r="AQ1767" s="77" t="s">
        <v>15021</v>
      </c>
      <c r="AR1767" s="77"/>
      <c r="AS1767" s="77"/>
      <c r="AT1767" s="77"/>
      <c r="AU1767" s="77"/>
      <c r="AV1767" s="80" t="str">
        <f>HYPERLINK("https://pbs.twimg.com/media/F4a5pANXQAA0Y1n.jpg")</f>
        <v>https://pbs.twimg.com/media/F4a5pANXQAA0Y1n.jpg</v>
      </c>
      <c r="AW1767" s="82" t="s">
        <v>18535</v>
      </c>
      <c r="AX1767" s="82" t="s">
        <v>18535</v>
      </c>
      <c r="AY1767" s="77"/>
      <c r="AZ1767" s="82" t="s">
        <v>20971</v>
      </c>
      <c r="BA1767" s="82" t="s">
        <v>20971</v>
      </c>
      <c r="BB1767" s="82" t="s">
        <v>20971</v>
      </c>
      <c r="BC1767" s="82" t="s">
        <v>18535</v>
      </c>
      <c r="BD1767" s="77">
        <v>613757749</v>
      </c>
      <c r="BE1767" s="77"/>
      <c r="BF1767" s="77"/>
      <c r="BG1767" s="77"/>
      <c r="BH1767" s="77"/>
      <c r="BI1767" s="77"/>
    </row>
    <row r="1768" spans="1:61" x14ac:dyDescent="0.25">
      <c r="A1768" s="62" t="s">
        <v>635</v>
      </c>
      <c r="B1768" s="62" t="s">
        <v>635</v>
      </c>
      <c r="C1768" s="63"/>
      <c r="D1768" s="64"/>
      <c r="E1768" s="65"/>
      <c r="F1768" s="66"/>
      <c r="G1768" s="63"/>
      <c r="H1768" s="67"/>
      <c r="I1768" s="68"/>
      <c r="J1768" s="68"/>
      <c r="K1768" s="32"/>
      <c r="L1768" s="75">
        <v>1768</v>
      </c>
      <c r="M1768" s="75"/>
      <c r="N1768" s="70"/>
      <c r="O1768" s="77" t="s">
        <v>1284</v>
      </c>
      <c r="P1768" s="79">
        <v>45173.821134259262</v>
      </c>
      <c r="Q1768" s="77" t="s">
        <v>3007</v>
      </c>
      <c r="R1768" s="77">
        <v>0</v>
      </c>
      <c r="S1768" s="77">
        <v>0</v>
      </c>
      <c r="T1768" s="77">
        <v>1</v>
      </c>
      <c r="U1768" s="77">
        <v>1</v>
      </c>
      <c r="V1768" s="77">
        <v>27</v>
      </c>
      <c r="W1768" s="82" t="s">
        <v>5236</v>
      </c>
      <c r="X1768" s="77"/>
      <c r="Y1768" s="77"/>
      <c r="Z1768" s="77"/>
      <c r="AA1768" s="77"/>
      <c r="AB1768" s="77"/>
      <c r="AC1768" s="82" t="s">
        <v>10146</v>
      </c>
      <c r="AD1768" s="77" t="s">
        <v>10184</v>
      </c>
      <c r="AE1768" s="80" t="str">
        <f>HYPERLINK("https://twitter.com/marcelogagarin/status/1698783596931117405")</f>
        <v>https://twitter.com/marcelogagarin/status/1698783596931117405</v>
      </c>
      <c r="AF1768" s="79">
        <v>45173.821134259262</v>
      </c>
      <c r="AG1768" s="85">
        <v>45173</v>
      </c>
      <c r="AH1768" s="82" t="s">
        <v>10608</v>
      </c>
      <c r="AI1768" s="77"/>
      <c r="AJ1768" s="77"/>
      <c r="AK1768" s="77"/>
      <c r="AL1768" s="77"/>
      <c r="AM1768" s="77"/>
      <c r="AN1768" s="77"/>
      <c r="AO1768" s="77"/>
      <c r="AP1768" s="77"/>
      <c r="AQ1768" s="77"/>
      <c r="AR1768" s="77"/>
      <c r="AS1768" s="77"/>
      <c r="AT1768" s="77"/>
      <c r="AU1768" s="77"/>
      <c r="AV1768" s="80" t="str">
        <f>HYPERLINK("https://pbs.twimg.com/profile_images/1692729253584924673/1mRuuALa_normal.jpg")</f>
        <v>https://pbs.twimg.com/profile_images/1692729253584924673/1mRuuALa_normal.jpg</v>
      </c>
      <c r="AW1768" s="82" t="s">
        <v>18536</v>
      </c>
      <c r="AX1768" s="82" t="s">
        <v>20826</v>
      </c>
      <c r="AY1768" s="82" t="s">
        <v>20931</v>
      </c>
      <c r="AZ1768" s="82" t="s">
        <v>20982</v>
      </c>
      <c r="BA1768" s="82" t="s">
        <v>20971</v>
      </c>
      <c r="BB1768" s="82" t="s">
        <v>20971</v>
      </c>
      <c r="BC1768" s="82" t="s">
        <v>20982</v>
      </c>
      <c r="BD1768" s="77">
        <v>613757749</v>
      </c>
      <c r="BE1768" s="77"/>
      <c r="BF1768" s="77"/>
      <c r="BG1768" s="77"/>
      <c r="BH1768" s="77"/>
      <c r="BI1768" s="77"/>
    </row>
    <row r="1769" spans="1:61" x14ac:dyDescent="0.25">
      <c r="A1769" s="62" t="s">
        <v>636</v>
      </c>
      <c r="B1769" s="62" t="s">
        <v>636</v>
      </c>
      <c r="C1769" s="63"/>
      <c r="D1769" s="64"/>
      <c r="E1769" s="65"/>
      <c r="F1769" s="66"/>
      <c r="G1769" s="63"/>
      <c r="H1769" s="67"/>
      <c r="I1769" s="68"/>
      <c r="J1769" s="68"/>
      <c r="K1769" s="32"/>
      <c r="L1769" s="75">
        <v>1769</v>
      </c>
      <c r="M1769" s="75"/>
      <c r="N1769" s="70"/>
      <c r="O1769" s="77" t="s">
        <v>179</v>
      </c>
      <c r="P1769" s="79">
        <v>45079.840254629627</v>
      </c>
      <c r="Q1769" s="77" t="s">
        <v>3008</v>
      </c>
      <c r="R1769" s="77">
        <v>0</v>
      </c>
      <c r="S1769" s="77">
        <v>0</v>
      </c>
      <c r="T1769" s="77">
        <v>0</v>
      </c>
      <c r="U1769" s="77">
        <v>0</v>
      </c>
      <c r="V1769" s="77">
        <v>7</v>
      </c>
      <c r="W1769" s="82" t="s">
        <v>5997</v>
      </c>
      <c r="X1769" s="80" t="str">
        <f>HYPERLINK("https://wa.me/message/GISPAVZALA5VG1")</f>
        <v>https://wa.me/message/GISPAVZALA5VG1</v>
      </c>
      <c r="Y1769" s="77" t="s">
        <v>7279</v>
      </c>
      <c r="Z1769" s="77"/>
      <c r="AA1769" s="77" t="s">
        <v>8378</v>
      </c>
      <c r="AB1769" s="77" t="s">
        <v>10130</v>
      </c>
      <c r="AC1769" s="82" t="s">
        <v>10144</v>
      </c>
      <c r="AD1769" s="77" t="s">
        <v>10184</v>
      </c>
      <c r="AE1769" s="80" t="str">
        <f>HYPERLINK("https://twitter.com/amandamorim5/status/1664726069314740225")</f>
        <v>https://twitter.com/amandamorim5/status/1664726069314740225</v>
      </c>
      <c r="AF1769" s="79">
        <v>45079.840254629627</v>
      </c>
      <c r="AG1769" s="85">
        <v>45079</v>
      </c>
      <c r="AH1769" s="82" t="s">
        <v>11893</v>
      </c>
      <c r="AI1769" s="77" t="b">
        <v>0</v>
      </c>
      <c r="AJ1769" s="77" t="s">
        <v>14009</v>
      </c>
      <c r="AK1769" s="77" t="s">
        <v>14033</v>
      </c>
      <c r="AL1769" s="77" t="s">
        <v>14035</v>
      </c>
      <c r="AM1769" s="77" t="s">
        <v>14051</v>
      </c>
      <c r="AN1769" s="77" t="s">
        <v>14088</v>
      </c>
      <c r="AO1769" s="77" t="s">
        <v>14126</v>
      </c>
      <c r="AP1769" s="77" t="s">
        <v>14149</v>
      </c>
      <c r="AQ1769" s="77" t="s">
        <v>15022</v>
      </c>
      <c r="AR1769" s="77"/>
      <c r="AS1769" s="77"/>
      <c r="AT1769" s="77"/>
      <c r="AU1769" s="77"/>
      <c r="AV1769" s="80" t="str">
        <f>HYPERLINK("https://pbs.twimg.com/media/FxpLicBWcAA0Xjt.jpg")</f>
        <v>https://pbs.twimg.com/media/FxpLicBWcAA0Xjt.jpg</v>
      </c>
      <c r="AW1769" s="82" t="s">
        <v>18537</v>
      </c>
      <c r="AX1769" s="82" t="s">
        <v>18537</v>
      </c>
      <c r="AY1769" s="77"/>
      <c r="AZ1769" s="82" t="s">
        <v>20971</v>
      </c>
      <c r="BA1769" s="82" t="s">
        <v>20971</v>
      </c>
      <c r="BB1769" s="82" t="s">
        <v>20971</v>
      </c>
      <c r="BC1769" s="82" t="s">
        <v>18537</v>
      </c>
      <c r="BD1769" s="82" t="s">
        <v>21318</v>
      </c>
      <c r="BE1769" s="77"/>
      <c r="BF1769" s="77"/>
      <c r="BG1769" s="77"/>
      <c r="BH1769" s="77"/>
      <c r="BI1769" s="77"/>
    </row>
    <row r="1770" spans="1:61" x14ac:dyDescent="0.25">
      <c r="A1770" s="62" t="s">
        <v>637</v>
      </c>
      <c r="B1770" s="62" t="s">
        <v>637</v>
      </c>
      <c r="C1770" s="63"/>
      <c r="D1770" s="64"/>
      <c r="E1770" s="65"/>
      <c r="F1770" s="66"/>
      <c r="G1770" s="63"/>
      <c r="H1770" s="67"/>
      <c r="I1770" s="68"/>
      <c r="J1770" s="68"/>
      <c r="K1770" s="32"/>
      <c r="L1770" s="75">
        <v>1770</v>
      </c>
      <c r="M1770" s="75"/>
      <c r="N1770" s="70"/>
      <c r="O1770" s="77" t="s">
        <v>179</v>
      </c>
      <c r="P1770" s="79">
        <v>45144.024305555555</v>
      </c>
      <c r="Q1770" s="77" t="s">
        <v>3009</v>
      </c>
      <c r="R1770" s="77">
        <v>0</v>
      </c>
      <c r="S1770" s="77">
        <v>0</v>
      </c>
      <c r="T1770" s="77">
        <v>0</v>
      </c>
      <c r="U1770" s="77">
        <v>0</v>
      </c>
      <c r="V1770" s="77">
        <v>120</v>
      </c>
      <c r="W1770" s="82" t="s">
        <v>5998</v>
      </c>
      <c r="X1770" s="77"/>
      <c r="Y1770" s="77"/>
      <c r="Z1770" s="77"/>
      <c r="AA1770" s="77" t="s">
        <v>8379</v>
      </c>
      <c r="AB1770" s="77" t="s">
        <v>10129</v>
      </c>
      <c r="AC1770" s="82" t="s">
        <v>10146</v>
      </c>
      <c r="AD1770" s="77" t="s">
        <v>10184</v>
      </c>
      <c r="AE1770" s="80" t="str">
        <f>HYPERLINK("https://twitter.com/starbetsrj/status/1687985587846852609")</f>
        <v>https://twitter.com/starbetsrj/status/1687985587846852609</v>
      </c>
      <c r="AF1770" s="79">
        <v>45144.024305555555</v>
      </c>
      <c r="AG1770" s="85">
        <v>45144</v>
      </c>
      <c r="AH1770" s="82" t="s">
        <v>11894</v>
      </c>
      <c r="AI1770" s="77" t="b">
        <v>0</v>
      </c>
      <c r="AJ1770" s="77"/>
      <c r="AK1770" s="77"/>
      <c r="AL1770" s="77"/>
      <c r="AM1770" s="77"/>
      <c r="AN1770" s="77"/>
      <c r="AO1770" s="77"/>
      <c r="AP1770" s="77"/>
      <c r="AQ1770" s="77" t="s">
        <v>15023</v>
      </c>
      <c r="AR1770" s="77">
        <v>49992</v>
      </c>
      <c r="AS1770" s="77"/>
      <c r="AT1770" s="77"/>
      <c r="AU1770" s="77"/>
      <c r="AV1770" s="80" t="str">
        <f>HYPERLINK("https://pbs.twimg.com/ext_tw_video_thumb/1687985335043497984/pu/img/nH_y3qdQFJ37J0oL.jpg")</f>
        <v>https://pbs.twimg.com/ext_tw_video_thumb/1687985335043497984/pu/img/nH_y3qdQFJ37J0oL.jpg</v>
      </c>
      <c r="AW1770" s="82" t="s">
        <v>18538</v>
      </c>
      <c r="AX1770" s="82" t="s">
        <v>18538</v>
      </c>
      <c r="AY1770" s="77"/>
      <c r="AZ1770" s="82" t="s">
        <v>20971</v>
      </c>
      <c r="BA1770" s="82" t="s">
        <v>20971</v>
      </c>
      <c r="BB1770" s="82" t="s">
        <v>20971</v>
      </c>
      <c r="BC1770" s="82" t="s">
        <v>18538</v>
      </c>
      <c r="BD1770" s="82" t="s">
        <v>21319</v>
      </c>
      <c r="BE1770" s="77"/>
      <c r="BF1770" s="77"/>
      <c r="BG1770" s="77"/>
      <c r="BH1770" s="77"/>
      <c r="BI1770" s="77"/>
    </row>
    <row r="1771" spans="1:61" x14ac:dyDescent="0.25">
      <c r="A1771" s="62" t="s">
        <v>637</v>
      </c>
      <c r="B1771" s="62" t="s">
        <v>637</v>
      </c>
      <c r="C1771" s="63"/>
      <c r="D1771" s="64"/>
      <c r="E1771" s="65"/>
      <c r="F1771" s="66"/>
      <c r="G1771" s="63"/>
      <c r="H1771" s="67"/>
      <c r="I1771" s="68"/>
      <c r="J1771" s="68"/>
      <c r="K1771" s="32"/>
      <c r="L1771" s="75">
        <v>1771</v>
      </c>
      <c r="M1771" s="75"/>
      <c r="N1771" s="70"/>
      <c r="O1771" s="77" t="s">
        <v>179</v>
      </c>
      <c r="P1771" s="79">
        <v>45143.09479166667</v>
      </c>
      <c r="Q1771" s="77" t="s">
        <v>3010</v>
      </c>
      <c r="R1771" s="77">
        <v>0</v>
      </c>
      <c r="S1771" s="77">
        <v>1</v>
      </c>
      <c r="T1771" s="77">
        <v>0</v>
      </c>
      <c r="U1771" s="77">
        <v>0</v>
      </c>
      <c r="V1771" s="77">
        <v>95</v>
      </c>
      <c r="W1771" s="82" t="s">
        <v>5999</v>
      </c>
      <c r="X1771" s="77"/>
      <c r="Y1771" s="77"/>
      <c r="Z1771" s="77"/>
      <c r="AA1771" s="77" t="s">
        <v>8380</v>
      </c>
      <c r="AB1771" s="77" t="s">
        <v>10129</v>
      </c>
      <c r="AC1771" s="82" t="s">
        <v>10144</v>
      </c>
      <c r="AD1771" s="77" t="s">
        <v>10184</v>
      </c>
      <c r="AE1771" s="80" t="str">
        <f>HYPERLINK("https://twitter.com/starbetsrj/status/1687648744584482816")</f>
        <v>https://twitter.com/starbetsrj/status/1687648744584482816</v>
      </c>
      <c r="AF1771" s="79">
        <v>45143.09479166667</v>
      </c>
      <c r="AG1771" s="85">
        <v>45143</v>
      </c>
      <c r="AH1771" s="82" t="s">
        <v>11895</v>
      </c>
      <c r="AI1771" s="77" t="b">
        <v>0</v>
      </c>
      <c r="AJ1771" s="77"/>
      <c r="AK1771" s="77"/>
      <c r="AL1771" s="77"/>
      <c r="AM1771" s="77"/>
      <c r="AN1771" s="77"/>
      <c r="AO1771" s="77"/>
      <c r="AP1771" s="77"/>
      <c r="AQ1771" s="77" t="s">
        <v>15024</v>
      </c>
      <c r="AR1771" s="77">
        <v>32135</v>
      </c>
      <c r="AS1771" s="77"/>
      <c r="AT1771" s="77"/>
      <c r="AU1771" s="77"/>
      <c r="AV1771" s="80" t="str">
        <f>HYPERLINK("https://pbs.twimg.com/ext_tw_video_thumb/1687648661080047618/pu/img/xU6ksynPbGa_-wwE.jpg")</f>
        <v>https://pbs.twimg.com/ext_tw_video_thumb/1687648661080047618/pu/img/xU6ksynPbGa_-wwE.jpg</v>
      </c>
      <c r="AW1771" s="82" t="s">
        <v>18539</v>
      </c>
      <c r="AX1771" s="82" t="s">
        <v>18539</v>
      </c>
      <c r="AY1771" s="77"/>
      <c r="AZ1771" s="82" t="s">
        <v>20971</v>
      </c>
      <c r="BA1771" s="82" t="s">
        <v>20971</v>
      </c>
      <c r="BB1771" s="82" t="s">
        <v>20971</v>
      </c>
      <c r="BC1771" s="82" t="s">
        <v>18539</v>
      </c>
      <c r="BD1771" s="82" t="s">
        <v>21319</v>
      </c>
      <c r="BE1771" s="77"/>
      <c r="BF1771" s="77"/>
      <c r="BG1771" s="77"/>
      <c r="BH1771" s="77"/>
      <c r="BI1771" s="77"/>
    </row>
    <row r="1772" spans="1:61" x14ac:dyDescent="0.25">
      <c r="A1772" s="62" t="s">
        <v>638</v>
      </c>
      <c r="B1772" s="62" t="s">
        <v>1241</v>
      </c>
      <c r="C1772" s="63"/>
      <c r="D1772" s="64"/>
      <c r="E1772" s="65"/>
      <c r="F1772" s="66"/>
      <c r="G1772" s="63"/>
      <c r="H1772" s="67"/>
      <c r="I1772" s="68"/>
      <c r="J1772" s="68"/>
      <c r="K1772" s="32"/>
      <c r="L1772" s="75">
        <v>1772</v>
      </c>
      <c r="M1772" s="75"/>
      <c r="N1772" s="70"/>
      <c r="O1772" s="77" t="s">
        <v>1285</v>
      </c>
      <c r="P1772" s="79">
        <v>45111.831018518518</v>
      </c>
      <c r="Q1772" s="77" t="s">
        <v>3011</v>
      </c>
      <c r="R1772" s="77">
        <v>0</v>
      </c>
      <c r="S1772" s="77">
        <v>0</v>
      </c>
      <c r="T1772" s="77">
        <v>0</v>
      </c>
      <c r="U1772" s="77">
        <v>0</v>
      </c>
      <c r="V1772" s="77">
        <v>33</v>
      </c>
      <c r="W1772" s="82" t="s">
        <v>6000</v>
      </c>
      <c r="X1772" s="80" t="str">
        <f>HYPERLINK("https://youtube.com/shorts/AQgr7TQGceM?feature=share")</f>
        <v>https://youtube.com/shorts/AQgr7TQGceM?feature=share</v>
      </c>
      <c r="Y1772" s="77" t="s">
        <v>7303</v>
      </c>
      <c r="Z1772" s="77" t="s">
        <v>1241</v>
      </c>
      <c r="AA1772" s="77"/>
      <c r="AB1772" s="77"/>
      <c r="AC1772" s="82" t="s">
        <v>10145</v>
      </c>
      <c r="AD1772" s="77" t="s">
        <v>10184</v>
      </c>
      <c r="AE1772" s="80" t="str">
        <f>HYPERLINK("https://twitter.com/sparklythi/status/1676319133204357120")</f>
        <v>https://twitter.com/sparklythi/status/1676319133204357120</v>
      </c>
      <c r="AF1772" s="79">
        <v>45111.831018518518</v>
      </c>
      <c r="AG1772" s="85">
        <v>45111</v>
      </c>
      <c r="AH1772" s="82" t="s">
        <v>11896</v>
      </c>
      <c r="AI1772" s="77" t="b">
        <v>0</v>
      </c>
      <c r="AJ1772" s="77"/>
      <c r="AK1772" s="77"/>
      <c r="AL1772" s="77"/>
      <c r="AM1772" s="77"/>
      <c r="AN1772" s="77"/>
      <c r="AO1772" s="77"/>
      <c r="AP1772" s="77"/>
      <c r="AQ1772" s="77"/>
      <c r="AR1772" s="77"/>
      <c r="AS1772" s="77"/>
      <c r="AT1772" s="77"/>
      <c r="AU1772" s="77"/>
      <c r="AV1772" s="80" t="str">
        <f>HYPERLINK("https://pbs.twimg.com/profile_images/1662826266632781835/PgEG8MHs_normal.jpg")</f>
        <v>https://pbs.twimg.com/profile_images/1662826266632781835/PgEG8MHs_normal.jpg</v>
      </c>
      <c r="AW1772" s="82" t="s">
        <v>18540</v>
      </c>
      <c r="AX1772" s="82" t="s">
        <v>18540</v>
      </c>
      <c r="AY1772" s="77"/>
      <c r="AZ1772" s="82" t="s">
        <v>20971</v>
      </c>
      <c r="BA1772" s="82" t="s">
        <v>20971</v>
      </c>
      <c r="BB1772" s="82" t="s">
        <v>20971</v>
      </c>
      <c r="BC1772" s="82" t="s">
        <v>18540</v>
      </c>
      <c r="BD1772" s="82" t="s">
        <v>21320</v>
      </c>
      <c r="BE1772" s="77"/>
      <c r="BF1772" s="77"/>
      <c r="BG1772" s="77"/>
      <c r="BH1772" s="77"/>
      <c r="BI1772" s="77"/>
    </row>
    <row r="1773" spans="1:61" x14ac:dyDescent="0.25">
      <c r="A1773" s="62" t="s">
        <v>638</v>
      </c>
      <c r="B1773" s="62" t="s">
        <v>1241</v>
      </c>
      <c r="C1773" s="63"/>
      <c r="D1773" s="64"/>
      <c r="E1773" s="65"/>
      <c r="F1773" s="66"/>
      <c r="G1773" s="63"/>
      <c r="H1773" s="67"/>
      <c r="I1773" s="68"/>
      <c r="J1773" s="68"/>
      <c r="K1773" s="32"/>
      <c r="L1773" s="75">
        <v>1773</v>
      </c>
      <c r="M1773" s="75"/>
      <c r="N1773" s="70"/>
      <c r="O1773" s="77" t="s">
        <v>1285</v>
      </c>
      <c r="P1773" s="79">
        <v>45111.809027777781</v>
      </c>
      <c r="Q1773" s="77" t="s">
        <v>3012</v>
      </c>
      <c r="R1773" s="77">
        <v>0</v>
      </c>
      <c r="S1773" s="77">
        <v>0</v>
      </c>
      <c r="T1773" s="77">
        <v>0</v>
      </c>
      <c r="U1773" s="77">
        <v>0</v>
      </c>
      <c r="V1773" s="77">
        <v>34</v>
      </c>
      <c r="W1773" s="82" t="s">
        <v>6001</v>
      </c>
      <c r="X1773" s="80" t="str">
        <f>HYPERLINK("https://youtube.com/shorts/CHsx-7zlErk?feature=share")</f>
        <v>https://youtube.com/shorts/CHsx-7zlErk?feature=share</v>
      </c>
      <c r="Y1773" s="77" t="s">
        <v>7303</v>
      </c>
      <c r="Z1773" s="77" t="s">
        <v>1241</v>
      </c>
      <c r="AA1773" s="77"/>
      <c r="AB1773" s="77"/>
      <c r="AC1773" s="82" t="s">
        <v>10145</v>
      </c>
      <c r="AD1773" s="77" t="s">
        <v>10184</v>
      </c>
      <c r="AE1773" s="80" t="str">
        <f>HYPERLINK("https://twitter.com/sparklythi/status/1676311165436063750")</f>
        <v>https://twitter.com/sparklythi/status/1676311165436063750</v>
      </c>
      <c r="AF1773" s="79">
        <v>45111.809027777781</v>
      </c>
      <c r="AG1773" s="85">
        <v>45111</v>
      </c>
      <c r="AH1773" s="82" t="s">
        <v>11897</v>
      </c>
      <c r="AI1773" s="77" t="b">
        <v>0</v>
      </c>
      <c r="AJ1773" s="77"/>
      <c r="AK1773" s="77"/>
      <c r="AL1773" s="77"/>
      <c r="AM1773" s="77"/>
      <c r="AN1773" s="77"/>
      <c r="AO1773" s="77"/>
      <c r="AP1773" s="77"/>
      <c r="AQ1773" s="77"/>
      <c r="AR1773" s="77"/>
      <c r="AS1773" s="77"/>
      <c r="AT1773" s="77"/>
      <c r="AU1773" s="77"/>
      <c r="AV1773" s="80" t="str">
        <f>HYPERLINK("https://pbs.twimg.com/profile_images/1662826266632781835/PgEG8MHs_normal.jpg")</f>
        <v>https://pbs.twimg.com/profile_images/1662826266632781835/PgEG8MHs_normal.jpg</v>
      </c>
      <c r="AW1773" s="82" t="s">
        <v>18541</v>
      </c>
      <c r="AX1773" s="82" t="s">
        <v>18541</v>
      </c>
      <c r="AY1773" s="77"/>
      <c r="AZ1773" s="82" t="s">
        <v>20971</v>
      </c>
      <c r="BA1773" s="82" t="s">
        <v>20971</v>
      </c>
      <c r="BB1773" s="82" t="s">
        <v>20971</v>
      </c>
      <c r="BC1773" s="82" t="s">
        <v>18541</v>
      </c>
      <c r="BD1773" s="82" t="s">
        <v>21320</v>
      </c>
      <c r="BE1773" s="77"/>
      <c r="BF1773" s="77"/>
      <c r="BG1773" s="77"/>
      <c r="BH1773" s="77"/>
      <c r="BI1773" s="77"/>
    </row>
    <row r="1774" spans="1:61" x14ac:dyDescent="0.25">
      <c r="A1774" s="62" t="s">
        <v>639</v>
      </c>
      <c r="B1774" s="62" t="s">
        <v>639</v>
      </c>
      <c r="C1774" s="63"/>
      <c r="D1774" s="64"/>
      <c r="E1774" s="65"/>
      <c r="F1774" s="66"/>
      <c r="G1774" s="63"/>
      <c r="H1774" s="67"/>
      <c r="I1774" s="68"/>
      <c r="J1774" s="68"/>
      <c r="K1774" s="32"/>
      <c r="L1774" s="75">
        <v>1774</v>
      </c>
      <c r="M1774" s="75"/>
      <c r="N1774" s="70"/>
      <c r="O1774" s="77" t="s">
        <v>179</v>
      </c>
      <c r="P1774" s="79">
        <v>44965.504884259259</v>
      </c>
      <c r="Q1774" s="77" t="s">
        <v>3013</v>
      </c>
      <c r="R1774" s="77">
        <v>0</v>
      </c>
      <c r="S1774" s="77">
        <v>0</v>
      </c>
      <c r="T1774" s="77">
        <v>0</v>
      </c>
      <c r="U1774" s="77">
        <v>0</v>
      </c>
      <c r="V1774" s="77">
        <v>64</v>
      </c>
      <c r="W1774" s="82" t="s">
        <v>6002</v>
      </c>
      <c r="X1774" s="80" t="str">
        <f>HYPERLINK("https://bit.ly/3Yu1Vyn")</f>
        <v>https://bit.ly/3Yu1Vyn</v>
      </c>
      <c r="Y1774" s="77" t="s">
        <v>7268</v>
      </c>
      <c r="Z1774" s="77"/>
      <c r="AA1774" s="77" t="s">
        <v>8381</v>
      </c>
      <c r="AB1774" s="77" t="s">
        <v>10130</v>
      </c>
      <c r="AC1774" s="82" t="s">
        <v>10146</v>
      </c>
      <c r="AD1774" s="77" t="s">
        <v>10184</v>
      </c>
      <c r="AE1774" s="80" t="str">
        <f>HYPERLINK("https://twitter.com/seuclienteocult/status/1623292317120491521")</f>
        <v>https://twitter.com/seuclienteocult/status/1623292317120491521</v>
      </c>
      <c r="AF1774" s="79">
        <v>44965.504884259259</v>
      </c>
      <c r="AG1774" s="85">
        <v>44965</v>
      </c>
      <c r="AH1774" s="82" t="s">
        <v>11898</v>
      </c>
      <c r="AI1774" s="77" t="b">
        <v>0</v>
      </c>
      <c r="AJ1774" s="77"/>
      <c r="AK1774" s="77"/>
      <c r="AL1774" s="77"/>
      <c r="AM1774" s="77"/>
      <c r="AN1774" s="77"/>
      <c r="AO1774" s="77"/>
      <c r="AP1774" s="77"/>
      <c r="AQ1774" s="77" t="s">
        <v>15025</v>
      </c>
      <c r="AR1774" s="77"/>
      <c r="AS1774" s="77"/>
      <c r="AT1774" s="77"/>
      <c r="AU1774" s="77"/>
      <c r="AV1774" s="80" t="str">
        <f>HYPERLINK("https://pbs.twimg.com/media/FocXlQjX0AQZ5rg.jpg")</f>
        <v>https://pbs.twimg.com/media/FocXlQjX0AQZ5rg.jpg</v>
      </c>
      <c r="AW1774" s="82" t="s">
        <v>18542</v>
      </c>
      <c r="AX1774" s="82" t="s">
        <v>18542</v>
      </c>
      <c r="AY1774" s="77"/>
      <c r="AZ1774" s="82" t="s">
        <v>20971</v>
      </c>
      <c r="BA1774" s="82" t="s">
        <v>20971</v>
      </c>
      <c r="BB1774" s="82" t="s">
        <v>20971</v>
      </c>
      <c r="BC1774" s="82" t="s">
        <v>18542</v>
      </c>
      <c r="BD1774" s="82" t="s">
        <v>21321</v>
      </c>
      <c r="BE1774" s="77"/>
      <c r="BF1774" s="77"/>
      <c r="BG1774" s="77"/>
      <c r="BH1774" s="77"/>
      <c r="BI1774" s="77"/>
    </row>
    <row r="1775" spans="1:61" x14ac:dyDescent="0.25">
      <c r="A1775" s="62" t="s">
        <v>639</v>
      </c>
      <c r="B1775" s="62" t="s">
        <v>639</v>
      </c>
      <c r="C1775" s="63"/>
      <c r="D1775" s="64"/>
      <c r="E1775" s="65"/>
      <c r="F1775" s="66"/>
      <c r="G1775" s="63"/>
      <c r="H1775" s="67"/>
      <c r="I1775" s="68"/>
      <c r="J1775" s="68"/>
      <c r="K1775" s="32"/>
      <c r="L1775" s="75">
        <v>1775</v>
      </c>
      <c r="M1775" s="75"/>
      <c r="N1775" s="70"/>
      <c r="O1775" s="77" t="s">
        <v>179</v>
      </c>
      <c r="P1775" s="79">
        <v>45014.911354166667</v>
      </c>
      <c r="Q1775" s="77" t="s">
        <v>3014</v>
      </c>
      <c r="R1775" s="77">
        <v>0</v>
      </c>
      <c r="S1775" s="77">
        <v>0</v>
      </c>
      <c r="T1775" s="77">
        <v>0</v>
      </c>
      <c r="U1775" s="77">
        <v>0</v>
      </c>
      <c r="V1775" s="77">
        <v>113</v>
      </c>
      <c r="W1775" s="82" t="s">
        <v>5236</v>
      </c>
      <c r="X1775" s="80" t="str">
        <f>HYPERLINK("https://app.seuclienteoculto.com.br/home/")</f>
        <v>https://app.seuclienteoculto.com.br/home/</v>
      </c>
      <c r="Y1775" s="77" t="s">
        <v>7252</v>
      </c>
      <c r="Z1775" s="77"/>
      <c r="AA1775" s="77" t="s">
        <v>8382</v>
      </c>
      <c r="AB1775" s="77" t="s">
        <v>10129</v>
      </c>
      <c r="AC1775" s="82" t="s">
        <v>10146</v>
      </c>
      <c r="AD1775" s="77" t="s">
        <v>10184</v>
      </c>
      <c r="AE1775" s="80" t="str">
        <f>HYPERLINK("https://twitter.com/seuclienteocult/status/1641196624142561280")</f>
        <v>https://twitter.com/seuclienteocult/status/1641196624142561280</v>
      </c>
      <c r="AF1775" s="79">
        <v>45014.911354166667</v>
      </c>
      <c r="AG1775" s="85">
        <v>45014</v>
      </c>
      <c r="AH1775" s="82" t="s">
        <v>11899</v>
      </c>
      <c r="AI1775" s="77" t="b">
        <v>0</v>
      </c>
      <c r="AJ1775" s="77"/>
      <c r="AK1775" s="77"/>
      <c r="AL1775" s="77"/>
      <c r="AM1775" s="77"/>
      <c r="AN1775" s="77"/>
      <c r="AO1775" s="77"/>
      <c r="AP1775" s="77"/>
      <c r="AQ1775" s="77" t="s">
        <v>15026</v>
      </c>
      <c r="AR1775" s="77">
        <v>6000</v>
      </c>
      <c r="AS1775" s="77"/>
      <c r="AT1775" s="77"/>
      <c r="AU1775" s="77"/>
      <c r="AV1775" s="80" t="str">
        <f>HYPERLINK("https://pbs.twimg.com/ext_tw_video_thumb/1641195527353016322/pu/img/hpWSehACruOpR_-9.jpg")</f>
        <v>https://pbs.twimg.com/ext_tw_video_thumb/1641195527353016322/pu/img/hpWSehACruOpR_-9.jpg</v>
      </c>
      <c r="AW1775" s="82" t="s">
        <v>18543</v>
      </c>
      <c r="AX1775" s="82" t="s">
        <v>18543</v>
      </c>
      <c r="AY1775" s="77"/>
      <c r="AZ1775" s="82" t="s">
        <v>20971</v>
      </c>
      <c r="BA1775" s="82" t="s">
        <v>20971</v>
      </c>
      <c r="BB1775" s="82" t="s">
        <v>20971</v>
      </c>
      <c r="BC1775" s="82" t="s">
        <v>18543</v>
      </c>
      <c r="BD1775" s="82" t="s">
        <v>21321</v>
      </c>
      <c r="BE1775" s="77"/>
      <c r="BF1775" s="77"/>
      <c r="BG1775" s="77"/>
      <c r="BH1775" s="77"/>
      <c r="BI1775" s="77"/>
    </row>
    <row r="1776" spans="1:61" x14ac:dyDescent="0.25">
      <c r="A1776" s="62" t="s">
        <v>640</v>
      </c>
      <c r="B1776" s="62" t="s">
        <v>640</v>
      </c>
      <c r="C1776" s="63"/>
      <c r="D1776" s="64"/>
      <c r="E1776" s="65"/>
      <c r="F1776" s="66"/>
      <c r="G1776" s="63"/>
      <c r="H1776" s="67"/>
      <c r="I1776" s="68"/>
      <c r="J1776" s="68"/>
      <c r="K1776" s="32"/>
      <c r="L1776" s="75">
        <v>1776</v>
      </c>
      <c r="M1776" s="75"/>
      <c r="N1776" s="70"/>
      <c r="O1776" s="77" t="s">
        <v>179</v>
      </c>
      <c r="P1776" s="79">
        <v>45118.457800925928</v>
      </c>
      <c r="Q1776" s="77" t="s">
        <v>3015</v>
      </c>
      <c r="R1776" s="77">
        <v>0</v>
      </c>
      <c r="S1776" s="77">
        <v>0</v>
      </c>
      <c r="T1776" s="77">
        <v>0</v>
      </c>
      <c r="U1776" s="77">
        <v>0</v>
      </c>
      <c r="V1776" s="77">
        <v>95</v>
      </c>
      <c r="W1776" s="82" t="s">
        <v>6003</v>
      </c>
      <c r="X1776" s="77"/>
      <c r="Y1776" s="77"/>
      <c r="Z1776" s="77"/>
      <c r="AA1776" s="77" t="s">
        <v>8383</v>
      </c>
      <c r="AB1776" s="77" t="s">
        <v>10129</v>
      </c>
      <c r="AC1776" s="82" t="s">
        <v>10144</v>
      </c>
      <c r="AD1776" s="77" t="s">
        <v>10184</v>
      </c>
      <c r="AE1776" s="80" t="str">
        <f>HYPERLINK("https://twitter.com/carlosrobe50033/status/1678720598497800193")</f>
        <v>https://twitter.com/carlosrobe50033/status/1678720598497800193</v>
      </c>
      <c r="AF1776" s="79">
        <v>45118.457800925928</v>
      </c>
      <c r="AG1776" s="85">
        <v>45118</v>
      </c>
      <c r="AH1776" s="82" t="s">
        <v>11900</v>
      </c>
      <c r="AI1776" s="77" t="b">
        <v>0</v>
      </c>
      <c r="AJ1776" s="77"/>
      <c r="AK1776" s="77"/>
      <c r="AL1776" s="77"/>
      <c r="AM1776" s="77"/>
      <c r="AN1776" s="77"/>
      <c r="AO1776" s="77"/>
      <c r="AP1776" s="77"/>
      <c r="AQ1776" s="77" t="s">
        <v>15027</v>
      </c>
      <c r="AR1776" s="77">
        <v>12500</v>
      </c>
      <c r="AS1776" s="77"/>
      <c r="AT1776" s="77"/>
      <c r="AU1776" s="77"/>
      <c r="AV1776" s="80" t="str">
        <f>HYPERLINK("https://pbs.twimg.com/ext_tw_video_thumb/1678720549353127936/pu/img/LZpye8GtFkFCug5Z.jpg")</f>
        <v>https://pbs.twimg.com/ext_tw_video_thumb/1678720549353127936/pu/img/LZpye8GtFkFCug5Z.jpg</v>
      </c>
      <c r="AW1776" s="82" t="s">
        <v>18544</v>
      </c>
      <c r="AX1776" s="82" t="s">
        <v>18544</v>
      </c>
      <c r="AY1776" s="77"/>
      <c r="AZ1776" s="82" t="s">
        <v>20971</v>
      </c>
      <c r="BA1776" s="82" t="s">
        <v>20971</v>
      </c>
      <c r="BB1776" s="82" t="s">
        <v>20971</v>
      </c>
      <c r="BC1776" s="82" t="s">
        <v>18544</v>
      </c>
      <c r="BD1776" s="82" t="s">
        <v>21322</v>
      </c>
      <c r="BE1776" s="77"/>
      <c r="BF1776" s="77"/>
      <c r="BG1776" s="77"/>
      <c r="BH1776" s="77"/>
      <c r="BI1776" s="77"/>
    </row>
    <row r="1777" spans="1:61" x14ac:dyDescent="0.25">
      <c r="A1777" s="62" t="s">
        <v>641</v>
      </c>
      <c r="B1777" s="62" t="s">
        <v>641</v>
      </c>
      <c r="C1777" s="63"/>
      <c r="D1777" s="64"/>
      <c r="E1777" s="65"/>
      <c r="F1777" s="66"/>
      <c r="G1777" s="63"/>
      <c r="H1777" s="67"/>
      <c r="I1777" s="68"/>
      <c r="J1777" s="68"/>
      <c r="K1777" s="32"/>
      <c r="L1777" s="75">
        <v>1777</v>
      </c>
      <c r="M1777" s="75"/>
      <c r="N1777" s="70"/>
      <c r="O1777" s="77" t="s">
        <v>179</v>
      </c>
      <c r="P1777" s="79">
        <v>44994.967152777775</v>
      </c>
      <c r="Q1777" s="77" t="s">
        <v>3016</v>
      </c>
      <c r="R1777" s="77">
        <v>0</v>
      </c>
      <c r="S1777" s="77">
        <v>0</v>
      </c>
      <c r="T1777" s="77">
        <v>0</v>
      </c>
      <c r="U1777" s="77">
        <v>0</v>
      </c>
      <c r="V1777" s="77">
        <v>156</v>
      </c>
      <c r="W1777" s="82" t="s">
        <v>6004</v>
      </c>
      <c r="X1777" s="80" t="str">
        <f>HYPERLINK("https://kiwify.app/MBKyAqV?afid=6UEmWLOi")</f>
        <v>https://kiwify.app/MBKyAqV?afid=6UEmWLOi</v>
      </c>
      <c r="Y1777" s="77" t="s">
        <v>7269</v>
      </c>
      <c r="Z1777" s="77"/>
      <c r="AA1777" s="77" t="s">
        <v>8384</v>
      </c>
      <c r="AB1777" s="77" t="s">
        <v>10130</v>
      </c>
      <c r="AC1777" s="82" t="s">
        <v>10144</v>
      </c>
      <c r="AD1777" s="77" t="s">
        <v>10184</v>
      </c>
      <c r="AE1777" s="80" t="str">
        <f>HYPERLINK("https://twitter.com/fabiolaellenmkt/status/1633969084466438144")</f>
        <v>https://twitter.com/fabiolaellenmkt/status/1633969084466438144</v>
      </c>
      <c r="AF1777" s="79">
        <v>44994.967152777775</v>
      </c>
      <c r="AG1777" s="85">
        <v>44994</v>
      </c>
      <c r="AH1777" s="82" t="s">
        <v>11901</v>
      </c>
      <c r="AI1777" s="77" t="b">
        <v>0</v>
      </c>
      <c r="AJ1777" s="77"/>
      <c r="AK1777" s="77"/>
      <c r="AL1777" s="77"/>
      <c r="AM1777" s="77"/>
      <c r="AN1777" s="77"/>
      <c r="AO1777" s="77"/>
      <c r="AP1777" s="77"/>
      <c r="AQ1777" s="77" t="s">
        <v>15028</v>
      </c>
      <c r="AR1777" s="77"/>
      <c r="AS1777" s="77"/>
      <c r="AT1777" s="77"/>
      <c r="AU1777" s="77"/>
      <c r="AV1777" s="80" t="str">
        <f>HYPERLINK("https://pbs.twimg.com/media/Fq0GOQ6XgAMSZEl.jpg")</f>
        <v>https://pbs.twimg.com/media/Fq0GOQ6XgAMSZEl.jpg</v>
      </c>
      <c r="AW1777" s="82" t="s">
        <v>18545</v>
      </c>
      <c r="AX1777" s="82" t="s">
        <v>18545</v>
      </c>
      <c r="AY1777" s="77"/>
      <c r="AZ1777" s="82" t="s">
        <v>20971</v>
      </c>
      <c r="BA1777" s="82" t="s">
        <v>20971</v>
      </c>
      <c r="BB1777" s="82" t="s">
        <v>20971</v>
      </c>
      <c r="BC1777" s="82" t="s">
        <v>18545</v>
      </c>
      <c r="BD1777" s="82" t="s">
        <v>21323</v>
      </c>
      <c r="BE1777" s="77"/>
      <c r="BF1777" s="77"/>
      <c r="BG1777" s="77"/>
      <c r="BH1777" s="77"/>
      <c r="BI1777" s="77"/>
    </row>
    <row r="1778" spans="1:61" x14ac:dyDescent="0.25">
      <c r="A1778" s="62" t="s">
        <v>642</v>
      </c>
      <c r="B1778" s="62" t="s">
        <v>642</v>
      </c>
      <c r="C1778" s="63"/>
      <c r="D1778" s="64"/>
      <c r="E1778" s="65"/>
      <c r="F1778" s="66"/>
      <c r="G1778" s="63"/>
      <c r="H1778" s="67"/>
      <c r="I1778" s="68"/>
      <c r="J1778" s="68"/>
      <c r="K1778" s="32"/>
      <c r="L1778" s="75">
        <v>1778</v>
      </c>
      <c r="M1778" s="75"/>
      <c r="N1778" s="70"/>
      <c r="O1778" s="77" t="s">
        <v>179</v>
      </c>
      <c r="P1778" s="79">
        <v>45148.555162037039</v>
      </c>
      <c r="Q1778" s="77" t="s">
        <v>3017</v>
      </c>
      <c r="R1778" s="77">
        <v>0</v>
      </c>
      <c r="S1778" s="77">
        <v>0</v>
      </c>
      <c r="T1778" s="77">
        <v>0</v>
      </c>
      <c r="U1778" s="77">
        <v>0</v>
      </c>
      <c r="V1778" s="77">
        <v>47</v>
      </c>
      <c r="W1778" s="82" t="s">
        <v>6005</v>
      </c>
      <c r="X1778" s="77"/>
      <c r="Y1778" s="77"/>
      <c r="Z1778" s="77"/>
      <c r="AA1778" s="77" t="s">
        <v>8385</v>
      </c>
      <c r="AB1778" s="77" t="s">
        <v>10131</v>
      </c>
      <c r="AC1778" s="82" t="s">
        <v>10144</v>
      </c>
      <c r="AD1778" s="77" t="s">
        <v>10184</v>
      </c>
      <c r="AE1778" s="80" t="str">
        <f>HYPERLINK("https://twitter.com/slotspagantes_/status/1689627516019892225")</f>
        <v>https://twitter.com/slotspagantes_/status/1689627516019892225</v>
      </c>
      <c r="AF1778" s="79">
        <v>45148.555162037039</v>
      </c>
      <c r="AG1778" s="85">
        <v>45148</v>
      </c>
      <c r="AH1778" s="82" t="s">
        <v>11270</v>
      </c>
      <c r="AI1778" s="77" t="b">
        <v>0</v>
      </c>
      <c r="AJ1778" s="77"/>
      <c r="AK1778" s="77"/>
      <c r="AL1778" s="77"/>
      <c r="AM1778" s="77"/>
      <c r="AN1778" s="77"/>
      <c r="AO1778" s="77"/>
      <c r="AP1778" s="77"/>
      <c r="AQ1778" s="77" t="s">
        <v>15029</v>
      </c>
      <c r="AR1778" s="77"/>
      <c r="AS1778" s="77"/>
      <c r="AT1778" s="77"/>
      <c r="AU1778" s="77"/>
      <c r="AV1778" s="80" t="str">
        <f>HYPERLINK("https://pbs.twimg.com/media/F3LDQAbWcAA91RA.jpg")</f>
        <v>https://pbs.twimg.com/media/F3LDQAbWcAA91RA.jpg</v>
      </c>
      <c r="AW1778" s="82" t="s">
        <v>18546</v>
      </c>
      <c r="AX1778" s="82" t="s">
        <v>18546</v>
      </c>
      <c r="AY1778" s="77"/>
      <c r="AZ1778" s="82" t="s">
        <v>20971</v>
      </c>
      <c r="BA1778" s="82" t="s">
        <v>20971</v>
      </c>
      <c r="BB1778" s="82" t="s">
        <v>20971</v>
      </c>
      <c r="BC1778" s="82" t="s">
        <v>18546</v>
      </c>
      <c r="BD1778" s="82" t="s">
        <v>21324</v>
      </c>
      <c r="BE1778" s="77"/>
      <c r="BF1778" s="77"/>
      <c r="BG1778" s="77"/>
      <c r="BH1778" s="77"/>
      <c r="BI1778" s="77"/>
    </row>
    <row r="1779" spans="1:61" x14ac:dyDescent="0.25">
      <c r="A1779" s="62" t="s">
        <v>642</v>
      </c>
      <c r="B1779" s="62" t="s">
        <v>642</v>
      </c>
      <c r="C1779" s="63"/>
      <c r="D1779" s="64"/>
      <c r="E1779" s="65"/>
      <c r="F1779" s="66"/>
      <c r="G1779" s="63"/>
      <c r="H1779" s="67"/>
      <c r="I1779" s="68"/>
      <c r="J1779" s="68"/>
      <c r="K1779" s="32"/>
      <c r="L1779" s="75">
        <v>1779</v>
      </c>
      <c r="M1779" s="75"/>
      <c r="N1779" s="70"/>
      <c r="O1779" s="77" t="s">
        <v>179</v>
      </c>
      <c r="P1779" s="79">
        <v>45181.894317129627</v>
      </c>
      <c r="Q1779" s="77" t="s">
        <v>3018</v>
      </c>
      <c r="R1779" s="77">
        <v>0</v>
      </c>
      <c r="S1779" s="77">
        <v>1</v>
      </c>
      <c r="T1779" s="77">
        <v>1</v>
      </c>
      <c r="U1779" s="77">
        <v>0</v>
      </c>
      <c r="V1779" s="77">
        <v>45</v>
      </c>
      <c r="W1779" s="82" t="s">
        <v>6006</v>
      </c>
      <c r="X1779" s="77"/>
      <c r="Y1779" s="77"/>
      <c r="Z1779" s="77"/>
      <c r="AA1779" s="77" t="s">
        <v>8386</v>
      </c>
      <c r="AB1779" s="77" t="s">
        <v>10130</v>
      </c>
      <c r="AC1779" s="82" t="s">
        <v>10144</v>
      </c>
      <c r="AD1779" s="77" t="s">
        <v>10184</v>
      </c>
      <c r="AE1779" s="80" t="str">
        <f>HYPERLINK("https://twitter.com/slotspagantes_/status/1701709221182734504")</f>
        <v>https://twitter.com/slotspagantes_/status/1701709221182734504</v>
      </c>
      <c r="AF1779" s="79">
        <v>45181.894317129627</v>
      </c>
      <c r="AG1779" s="85">
        <v>45181</v>
      </c>
      <c r="AH1779" s="82" t="s">
        <v>11902</v>
      </c>
      <c r="AI1779" s="77" t="b">
        <v>0</v>
      </c>
      <c r="AJ1779" s="77"/>
      <c r="AK1779" s="77"/>
      <c r="AL1779" s="77"/>
      <c r="AM1779" s="77"/>
      <c r="AN1779" s="77"/>
      <c r="AO1779" s="77"/>
      <c r="AP1779" s="77"/>
      <c r="AQ1779" s="77" t="s">
        <v>15030</v>
      </c>
      <c r="AR1779" s="77"/>
      <c r="AS1779" s="77"/>
      <c r="AT1779" s="77"/>
      <c r="AU1779" s="77"/>
      <c r="AV1779" s="80" t="str">
        <f>HYPERLINK("https://pbs.twimg.com/media/F52vhAAXMAANBQF.jpg")</f>
        <v>https://pbs.twimg.com/media/F52vhAAXMAANBQF.jpg</v>
      </c>
      <c r="AW1779" s="82" t="s">
        <v>18547</v>
      </c>
      <c r="AX1779" s="82" t="s">
        <v>18547</v>
      </c>
      <c r="AY1779" s="77"/>
      <c r="AZ1779" s="82" t="s">
        <v>20971</v>
      </c>
      <c r="BA1779" s="82" t="s">
        <v>20971</v>
      </c>
      <c r="BB1779" s="82" t="s">
        <v>20971</v>
      </c>
      <c r="BC1779" s="82" t="s">
        <v>18547</v>
      </c>
      <c r="BD1779" s="82" t="s">
        <v>21324</v>
      </c>
      <c r="BE1779" s="77"/>
      <c r="BF1779" s="77"/>
      <c r="BG1779" s="77"/>
      <c r="BH1779" s="77"/>
      <c r="BI1779" s="77"/>
    </row>
    <row r="1780" spans="1:61" x14ac:dyDescent="0.25">
      <c r="A1780" s="62" t="s">
        <v>643</v>
      </c>
      <c r="B1780" s="62" t="s">
        <v>643</v>
      </c>
      <c r="C1780" s="63"/>
      <c r="D1780" s="64"/>
      <c r="E1780" s="65"/>
      <c r="F1780" s="66"/>
      <c r="G1780" s="63"/>
      <c r="H1780" s="67"/>
      <c r="I1780" s="68"/>
      <c r="J1780" s="68"/>
      <c r="K1780" s="32"/>
      <c r="L1780" s="75">
        <v>1780</v>
      </c>
      <c r="M1780" s="75"/>
      <c r="N1780" s="70"/>
      <c r="O1780" s="77" t="s">
        <v>179</v>
      </c>
      <c r="P1780" s="79">
        <v>45012.076956018522</v>
      </c>
      <c r="Q1780" s="77" t="s">
        <v>3019</v>
      </c>
      <c r="R1780" s="77">
        <v>0</v>
      </c>
      <c r="S1780" s="77">
        <v>1</v>
      </c>
      <c r="T1780" s="77">
        <v>0</v>
      </c>
      <c r="U1780" s="77">
        <v>0</v>
      </c>
      <c r="V1780" s="77">
        <v>63</v>
      </c>
      <c r="W1780" s="82" t="s">
        <v>6007</v>
      </c>
      <c r="X1780" s="80" t="str">
        <f>HYPERLINK("https://allarticle.org/dhgate-your-ultimate-online-marketplace-for-wholesale-products/")</f>
        <v>https://allarticle.org/dhgate-your-ultimate-online-marketplace-for-wholesale-products/</v>
      </c>
      <c r="Y1780" s="77" t="s">
        <v>7360</v>
      </c>
      <c r="Z1780" s="77"/>
      <c r="AA1780" s="77"/>
      <c r="AB1780" s="77"/>
      <c r="AC1780" s="82" t="s">
        <v>10146</v>
      </c>
      <c r="AD1780" s="77" t="s">
        <v>10185</v>
      </c>
      <c r="AE1780" s="80" t="str">
        <f>HYPERLINK("https://twitter.com/kpkkprasanth/status/1640169472437698561")</f>
        <v>https://twitter.com/kpkkprasanth/status/1640169472437698561</v>
      </c>
      <c r="AF1780" s="79">
        <v>45012.076956018522</v>
      </c>
      <c r="AG1780" s="85">
        <v>45012</v>
      </c>
      <c r="AH1780" s="82" t="s">
        <v>11903</v>
      </c>
      <c r="AI1780" s="77" t="b">
        <v>0</v>
      </c>
      <c r="AJ1780" s="77"/>
      <c r="AK1780" s="77"/>
      <c r="AL1780" s="77"/>
      <c r="AM1780" s="77"/>
      <c r="AN1780" s="77"/>
      <c r="AO1780" s="77"/>
      <c r="AP1780" s="77"/>
      <c r="AQ1780" s="77"/>
      <c r="AR1780" s="77"/>
      <c r="AS1780" s="77"/>
      <c r="AT1780" s="77"/>
      <c r="AU1780" s="77"/>
      <c r="AV1780" s="80" t="str">
        <f>HYPERLINK("https://pbs.twimg.com/profile_images/1410103338545254401/HS4wFpI-_normal.jpg")</f>
        <v>https://pbs.twimg.com/profile_images/1410103338545254401/HS4wFpI-_normal.jpg</v>
      </c>
      <c r="AW1780" s="82" t="s">
        <v>18548</v>
      </c>
      <c r="AX1780" s="82" t="s">
        <v>18548</v>
      </c>
      <c r="AY1780" s="77"/>
      <c r="AZ1780" s="82" t="s">
        <v>20971</v>
      </c>
      <c r="BA1780" s="82" t="s">
        <v>20971</v>
      </c>
      <c r="BB1780" s="82" t="s">
        <v>20971</v>
      </c>
      <c r="BC1780" s="82" t="s">
        <v>18548</v>
      </c>
      <c r="BD1780" s="82" t="s">
        <v>21325</v>
      </c>
      <c r="BE1780" s="77"/>
      <c r="BF1780" s="77"/>
      <c r="BG1780" s="77"/>
      <c r="BH1780" s="77"/>
      <c r="BI1780" s="77"/>
    </row>
    <row r="1781" spans="1:61" x14ac:dyDescent="0.25">
      <c r="A1781" s="62" t="s">
        <v>644</v>
      </c>
      <c r="B1781" s="62" t="s">
        <v>644</v>
      </c>
      <c r="C1781" s="63"/>
      <c r="D1781" s="64"/>
      <c r="E1781" s="65"/>
      <c r="F1781" s="66"/>
      <c r="G1781" s="63"/>
      <c r="H1781" s="67"/>
      <c r="I1781" s="68"/>
      <c r="J1781" s="68"/>
      <c r="K1781" s="32"/>
      <c r="L1781" s="75">
        <v>1781</v>
      </c>
      <c r="M1781" s="75"/>
      <c r="N1781" s="70"/>
      <c r="O1781" s="77" t="s">
        <v>179</v>
      </c>
      <c r="P1781" s="79">
        <v>44963.03696759259</v>
      </c>
      <c r="Q1781" s="77" t="s">
        <v>3020</v>
      </c>
      <c r="R1781" s="77">
        <v>0</v>
      </c>
      <c r="S1781" s="77">
        <v>0</v>
      </c>
      <c r="T1781" s="77">
        <v>0</v>
      </c>
      <c r="U1781" s="77">
        <v>0</v>
      </c>
      <c r="V1781" s="77">
        <v>33</v>
      </c>
      <c r="W1781" s="82" t="s">
        <v>6008</v>
      </c>
      <c r="X1781" s="80" t="str">
        <f>HYPERLINK("https://go.hotmart.com/A78993911X")</f>
        <v>https://go.hotmart.com/A78993911X</v>
      </c>
      <c r="Y1781" s="77" t="s">
        <v>7251</v>
      </c>
      <c r="Z1781" s="77"/>
      <c r="AA1781" s="77" t="s">
        <v>8387</v>
      </c>
      <c r="AB1781" s="77" t="s">
        <v>10130</v>
      </c>
      <c r="AC1781" s="82" t="s">
        <v>10144</v>
      </c>
      <c r="AD1781" s="77" t="s">
        <v>10184</v>
      </c>
      <c r="AE1781" s="80" t="str">
        <f>HYPERLINK("https://twitter.com/anacarolina_nbr/status/1622397974775988224")</f>
        <v>https://twitter.com/anacarolina_nbr/status/1622397974775988224</v>
      </c>
      <c r="AF1781" s="79">
        <v>44963.03696759259</v>
      </c>
      <c r="AG1781" s="85">
        <v>44963</v>
      </c>
      <c r="AH1781" s="82" t="s">
        <v>11904</v>
      </c>
      <c r="AI1781" s="77" t="b">
        <v>0</v>
      </c>
      <c r="AJ1781" s="77"/>
      <c r="AK1781" s="77"/>
      <c r="AL1781" s="77"/>
      <c r="AM1781" s="77"/>
      <c r="AN1781" s="77"/>
      <c r="AO1781" s="77"/>
      <c r="AP1781" s="77"/>
      <c r="AQ1781" s="77" t="s">
        <v>15031</v>
      </c>
      <c r="AR1781" s="77"/>
      <c r="AS1781" s="77"/>
      <c r="AT1781" s="77"/>
      <c r="AU1781" s="77"/>
      <c r="AV1781" s="80" t="str">
        <f>HYPERLINK("https://pbs.twimg.com/media/FoPqXCkWAAMkaq7.jpg")</f>
        <v>https://pbs.twimg.com/media/FoPqXCkWAAMkaq7.jpg</v>
      </c>
      <c r="AW1781" s="82" t="s">
        <v>18549</v>
      </c>
      <c r="AX1781" s="82" t="s">
        <v>18549</v>
      </c>
      <c r="AY1781" s="77"/>
      <c r="AZ1781" s="82" t="s">
        <v>20971</v>
      </c>
      <c r="BA1781" s="82" t="s">
        <v>20971</v>
      </c>
      <c r="BB1781" s="82" t="s">
        <v>20971</v>
      </c>
      <c r="BC1781" s="82" t="s">
        <v>18549</v>
      </c>
      <c r="BD1781" s="82" t="s">
        <v>21326</v>
      </c>
      <c r="BE1781" s="77"/>
      <c r="BF1781" s="77"/>
      <c r="BG1781" s="77"/>
      <c r="BH1781" s="77"/>
      <c r="BI1781" s="77"/>
    </row>
    <row r="1782" spans="1:61" x14ac:dyDescent="0.25">
      <c r="A1782" s="62" t="s">
        <v>645</v>
      </c>
      <c r="B1782" s="62" t="s">
        <v>645</v>
      </c>
      <c r="C1782" s="63"/>
      <c r="D1782" s="64"/>
      <c r="E1782" s="65"/>
      <c r="F1782" s="66"/>
      <c r="G1782" s="63"/>
      <c r="H1782" s="67"/>
      <c r="I1782" s="68"/>
      <c r="J1782" s="68"/>
      <c r="K1782" s="32"/>
      <c r="L1782" s="75">
        <v>1782</v>
      </c>
      <c r="M1782" s="75"/>
      <c r="N1782" s="70"/>
      <c r="O1782" s="77" t="s">
        <v>179</v>
      </c>
      <c r="P1782" s="79">
        <v>45103.62427083333</v>
      </c>
      <c r="Q1782" s="77" t="s">
        <v>3021</v>
      </c>
      <c r="R1782" s="77">
        <v>0</v>
      </c>
      <c r="S1782" s="77">
        <v>0</v>
      </c>
      <c r="T1782" s="77">
        <v>2</v>
      </c>
      <c r="U1782" s="77">
        <v>0</v>
      </c>
      <c r="V1782" s="77">
        <v>543</v>
      </c>
      <c r="W1782" s="82" t="s">
        <v>6009</v>
      </c>
      <c r="X1782" s="77"/>
      <c r="Y1782" s="77"/>
      <c r="Z1782" s="77"/>
      <c r="AA1782" s="77" t="s">
        <v>8388</v>
      </c>
      <c r="AB1782" s="77" t="s">
        <v>10129</v>
      </c>
      <c r="AC1782" s="82" t="s">
        <v>10146</v>
      </c>
      <c r="AD1782" s="77" t="s">
        <v>10184</v>
      </c>
      <c r="AE1782" s="80" t="str">
        <f>HYPERLINK("https://twitter.com/bellatraderteam/status/1673345109448949760")</f>
        <v>https://twitter.com/bellatraderteam/status/1673345109448949760</v>
      </c>
      <c r="AF1782" s="79">
        <v>45103.62427083333</v>
      </c>
      <c r="AG1782" s="85">
        <v>45103</v>
      </c>
      <c r="AH1782" s="82" t="s">
        <v>11905</v>
      </c>
      <c r="AI1782" s="77" t="b">
        <v>0</v>
      </c>
      <c r="AJ1782" s="77"/>
      <c r="AK1782" s="77"/>
      <c r="AL1782" s="77"/>
      <c r="AM1782" s="77"/>
      <c r="AN1782" s="77"/>
      <c r="AO1782" s="77"/>
      <c r="AP1782" s="77"/>
      <c r="AQ1782" s="77" t="s">
        <v>15032</v>
      </c>
      <c r="AR1782" s="77">
        <v>28446</v>
      </c>
      <c r="AS1782" s="77"/>
      <c r="AT1782" s="77"/>
      <c r="AU1782" s="77"/>
      <c r="AV1782" s="80" t="str">
        <f>HYPERLINK("https://pbs.twimg.com/ext_tw_video_thumb/1673344566873796609/pu/img/djhxqeEs8OmXLpsl.jpg")</f>
        <v>https://pbs.twimg.com/ext_tw_video_thumb/1673344566873796609/pu/img/djhxqeEs8OmXLpsl.jpg</v>
      </c>
      <c r="AW1782" s="82" t="s">
        <v>18550</v>
      </c>
      <c r="AX1782" s="82" t="s">
        <v>18550</v>
      </c>
      <c r="AY1782" s="77"/>
      <c r="AZ1782" s="82" t="s">
        <v>20971</v>
      </c>
      <c r="BA1782" s="82" t="s">
        <v>20971</v>
      </c>
      <c r="BB1782" s="82" t="s">
        <v>20971</v>
      </c>
      <c r="BC1782" s="82" t="s">
        <v>18550</v>
      </c>
      <c r="BD1782" s="82" t="s">
        <v>21327</v>
      </c>
      <c r="BE1782" s="77"/>
      <c r="BF1782" s="77"/>
      <c r="BG1782" s="77"/>
      <c r="BH1782" s="77"/>
      <c r="BI1782" s="77"/>
    </row>
    <row r="1783" spans="1:61" x14ac:dyDescent="0.25">
      <c r="A1783" s="62" t="s">
        <v>646</v>
      </c>
      <c r="B1783" s="62" t="s">
        <v>646</v>
      </c>
      <c r="C1783" s="63"/>
      <c r="D1783" s="64"/>
      <c r="E1783" s="65"/>
      <c r="F1783" s="66"/>
      <c r="G1783" s="63"/>
      <c r="H1783" s="67"/>
      <c r="I1783" s="68"/>
      <c r="J1783" s="68"/>
      <c r="K1783" s="32"/>
      <c r="L1783" s="75">
        <v>1783</v>
      </c>
      <c r="M1783" s="75"/>
      <c r="N1783" s="70"/>
      <c r="O1783" s="77" t="s">
        <v>179</v>
      </c>
      <c r="P1783" s="79">
        <v>45166.738206018519</v>
      </c>
      <c r="Q1783" s="77" t="s">
        <v>3022</v>
      </c>
      <c r="R1783" s="77">
        <v>0</v>
      </c>
      <c r="S1783" s="77">
        <v>0</v>
      </c>
      <c r="T1783" s="77">
        <v>0</v>
      </c>
      <c r="U1783" s="77">
        <v>0</v>
      </c>
      <c r="V1783" s="77">
        <v>47</v>
      </c>
      <c r="W1783" s="82" t="s">
        <v>6010</v>
      </c>
      <c r="X1783" s="77"/>
      <c r="Y1783" s="77"/>
      <c r="Z1783" s="77"/>
      <c r="AA1783" s="77" t="s">
        <v>8389</v>
      </c>
      <c r="AB1783" s="77" t="s">
        <v>10130</v>
      </c>
      <c r="AC1783" s="82" t="s">
        <v>10144</v>
      </c>
      <c r="AD1783" s="77" t="s">
        <v>10184</v>
      </c>
      <c r="AE1783" s="80" t="str">
        <f>HYPERLINK("https://twitter.com/antonellampaiva/status/1696216832670122058")</f>
        <v>https://twitter.com/antonellampaiva/status/1696216832670122058</v>
      </c>
      <c r="AF1783" s="79">
        <v>45166.738206018519</v>
      </c>
      <c r="AG1783" s="85">
        <v>45166</v>
      </c>
      <c r="AH1783" s="82" t="s">
        <v>11906</v>
      </c>
      <c r="AI1783" s="77" t="b">
        <v>0</v>
      </c>
      <c r="AJ1783" s="77"/>
      <c r="AK1783" s="77"/>
      <c r="AL1783" s="77"/>
      <c r="AM1783" s="77"/>
      <c r="AN1783" s="77"/>
      <c r="AO1783" s="77"/>
      <c r="AP1783" s="77"/>
      <c r="AQ1783" s="77" t="s">
        <v>15033</v>
      </c>
      <c r="AR1783" s="77"/>
      <c r="AS1783" s="77"/>
      <c r="AT1783" s="77"/>
      <c r="AU1783" s="77"/>
      <c r="AV1783" s="80" t="str">
        <f>HYPERLINK("https://pbs.twimg.com/media/F4osOEQWMAEGR-5.jpg")</f>
        <v>https://pbs.twimg.com/media/F4osOEQWMAEGR-5.jpg</v>
      </c>
      <c r="AW1783" s="82" t="s">
        <v>18551</v>
      </c>
      <c r="AX1783" s="82" t="s">
        <v>18551</v>
      </c>
      <c r="AY1783" s="77"/>
      <c r="AZ1783" s="82" t="s">
        <v>20971</v>
      </c>
      <c r="BA1783" s="82" t="s">
        <v>20971</v>
      </c>
      <c r="BB1783" s="82" t="s">
        <v>20971</v>
      </c>
      <c r="BC1783" s="82" t="s">
        <v>18551</v>
      </c>
      <c r="BD1783" s="82" t="s">
        <v>21328</v>
      </c>
      <c r="BE1783" s="77"/>
      <c r="BF1783" s="77"/>
      <c r="BG1783" s="77"/>
      <c r="BH1783" s="77"/>
      <c r="BI1783" s="77"/>
    </row>
    <row r="1784" spans="1:61" x14ac:dyDescent="0.25">
      <c r="A1784" s="62" t="s">
        <v>646</v>
      </c>
      <c r="B1784" s="62" t="s">
        <v>646</v>
      </c>
      <c r="C1784" s="63"/>
      <c r="D1784" s="64"/>
      <c r="E1784" s="65"/>
      <c r="F1784" s="66"/>
      <c r="G1784" s="63"/>
      <c r="H1784" s="67"/>
      <c r="I1784" s="68"/>
      <c r="J1784" s="68"/>
      <c r="K1784" s="32"/>
      <c r="L1784" s="75">
        <v>1784</v>
      </c>
      <c r="M1784" s="75"/>
      <c r="N1784" s="70"/>
      <c r="O1784" s="77" t="s">
        <v>179</v>
      </c>
      <c r="P1784" s="79">
        <v>45196.71193287037</v>
      </c>
      <c r="Q1784" s="77" t="s">
        <v>3023</v>
      </c>
      <c r="R1784" s="77">
        <v>0</v>
      </c>
      <c r="S1784" s="77">
        <v>0</v>
      </c>
      <c r="T1784" s="77">
        <v>0</v>
      </c>
      <c r="U1784" s="77">
        <v>0</v>
      </c>
      <c r="V1784" s="77"/>
      <c r="W1784" s="82" t="s">
        <v>6011</v>
      </c>
      <c r="X1784" s="80" t="str">
        <f>HYPERLINK("https://bit.ly/4837WrE")</f>
        <v>https://bit.ly/4837WrE</v>
      </c>
      <c r="Y1784" s="77" t="s">
        <v>7268</v>
      </c>
      <c r="Z1784" s="77"/>
      <c r="AA1784" s="77" t="s">
        <v>8390</v>
      </c>
      <c r="AB1784" s="77" t="s">
        <v>10129</v>
      </c>
      <c r="AC1784" s="82" t="s">
        <v>10144</v>
      </c>
      <c r="AD1784" s="77" t="s">
        <v>10184</v>
      </c>
      <c r="AE1784" s="80" t="str">
        <f>HYPERLINK("https://twitter.com/antonellampaiva/status/1707078944481014114")</f>
        <v>https://twitter.com/antonellampaiva/status/1707078944481014114</v>
      </c>
      <c r="AF1784" s="79">
        <v>45196.71193287037</v>
      </c>
      <c r="AG1784" s="85">
        <v>45196</v>
      </c>
      <c r="AH1784" s="82" t="s">
        <v>11907</v>
      </c>
      <c r="AI1784" s="77" t="b">
        <v>0</v>
      </c>
      <c r="AJ1784" s="77"/>
      <c r="AK1784" s="77"/>
      <c r="AL1784" s="77"/>
      <c r="AM1784" s="77"/>
      <c r="AN1784" s="77"/>
      <c r="AO1784" s="77"/>
      <c r="AP1784" s="77"/>
      <c r="AQ1784" s="77" t="s">
        <v>15034</v>
      </c>
      <c r="AR1784" s="77">
        <v>44906</v>
      </c>
      <c r="AS1784" s="77"/>
      <c r="AT1784" s="77"/>
      <c r="AU1784" s="77"/>
      <c r="AV1784" s="80" t="str">
        <f>HYPERLINK("https://pbs.twimg.com/ext_tw_video_thumb/1707078859835822080/pu/img/LkP8tW34cp9rA4oE.jpg")</f>
        <v>https://pbs.twimg.com/ext_tw_video_thumb/1707078859835822080/pu/img/LkP8tW34cp9rA4oE.jpg</v>
      </c>
      <c r="AW1784" s="82" t="s">
        <v>18552</v>
      </c>
      <c r="AX1784" s="82" t="s">
        <v>18552</v>
      </c>
      <c r="AY1784" s="77"/>
      <c r="AZ1784" s="82" t="s">
        <v>20971</v>
      </c>
      <c r="BA1784" s="82" t="s">
        <v>20971</v>
      </c>
      <c r="BB1784" s="82" t="s">
        <v>20971</v>
      </c>
      <c r="BC1784" s="82" t="s">
        <v>18552</v>
      </c>
      <c r="BD1784" s="82" t="s">
        <v>21328</v>
      </c>
      <c r="BE1784" s="77"/>
      <c r="BF1784" s="77"/>
      <c r="BG1784" s="77"/>
      <c r="BH1784" s="77"/>
      <c r="BI1784" s="77"/>
    </row>
    <row r="1785" spans="1:61" x14ac:dyDescent="0.25">
      <c r="A1785" s="62" t="s">
        <v>647</v>
      </c>
      <c r="B1785" s="62" t="s">
        <v>647</v>
      </c>
      <c r="C1785" s="63"/>
      <c r="D1785" s="64"/>
      <c r="E1785" s="65"/>
      <c r="F1785" s="66"/>
      <c r="G1785" s="63"/>
      <c r="H1785" s="67"/>
      <c r="I1785" s="68"/>
      <c r="J1785" s="68"/>
      <c r="K1785" s="32"/>
      <c r="L1785" s="75">
        <v>1785</v>
      </c>
      <c r="M1785" s="75"/>
      <c r="N1785" s="70"/>
      <c r="O1785" s="77" t="s">
        <v>179</v>
      </c>
      <c r="P1785" s="79">
        <v>45026.170694444445</v>
      </c>
      <c r="Q1785" s="77" t="s">
        <v>3024</v>
      </c>
      <c r="R1785" s="77">
        <v>0</v>
      </c>
      <c r="S1785" s="77">
        <v>0</v>
      </c>
      <c r="T1785" s="77">
        <v>0</v>
      </c>
      <c r="U1785" s="77">
        <v>0</v>
      </c>
      <c r="V1785" s="77">
        <v>26</v>
      </c>
      <c r="W1785" s="82" t="s">
        <v>5335</v>
      </c>
      <c r="X1785" s="77"/>
      <c r="Y1785" s="77"/>
      <c r="Z1785" s="77"/>
      <c r="AA1785" s="77"/>
      <c r="AB1785" s="77"/>
      <c r="AC1785" s="82" t="s">
        <v>10144</v>
      </c>
      <c r="AD1785" s="77" t="s">
        <v>10184</v>
      </c>
      <c r="AE1785" s="80" t="str">
        <f>HYPERLINK("https://twitter.com/7aef0ddc85994bd/status/1645276871637061632")</f>
        <v>https://twitter.com/7aef0ddc85994bd/status/1645276871637061632</v>
      </c>
      <c r="AF1785" s="79">
        <v>45026.170694444445</v>
      </c>
      <c r="AG1785" s="85">
        <v>45026</v>
      </c>
      <c r="AH1785" s="82" t="s">
        <v>11908</v>
      </c>
      <c r="AI1785" s="77"/>
      <c r="AJ1785" s="77"/>
      <c r="AK1785" s="77"/>
      <c r="AL1785" s="77"/>
      <c r="AM1785" s="77"/>
      <c r="AN1785" s="77"/>
      <c r="AO1785" s="77"/>
      <c r="AP1785" s="77"/>
      <c r="AQ1785" s="77"/>
      <c r="AR1785" s="77"/>
      <c r="AS1785" s="77"/>
      <c r="AT1785" s="77"/>
      <c r="AU1785" s="77"/>
      <c r="AV1785" s="80" t="str">
        <f>HYPERLINK("https://pbs.twimg.com/profile_images/1643964331095126020/QxUzlwUk_normal.jpg")</f>
        <v>https://pbs.twimg.com/profile_images/1643964331095126020/QxUzlwUk_normal.jpg</v>
      </c>
      <c r="AW1785" s="82" t="s">
        <v>18553</v>
      </c>
      <c r="AX1785" s="82" t="s">
        <v>18553</v>
      </c>
      <c r="AY1785" s="77"/>
      <c r="AZ1785" s="82" t="s">
        <v>20971</v>
      </c>
      <c r="BA1785" s="82" t="s">
        <v>20971</v>
      </c>
      <c r="BB1785" s="82" t="s">
        <v>20971</v>
      </c>
      <c r="BC1785" s="82" t="s">
        <v>18553</v>
      </c>
      <c r="BD1785" s="77">
        <v>3048440320</v>
      </c>
      <c r="BE1785" s="77"/>
      <c r="BF1785" s="77"/>
      <c r="BG1785" s="77"/>
      <c r="BH1785" s="77"/>
      <c r="BI1785" s="77"/>
    </row>
    <row r="1786" spans="1:61" x14ac:dyDescent="0.25">
      <c r="A1786" s="62" t="s">
        <v>648</v>
      </c>
      <c r="B1786" s="62" t="s">
        <v>648</v>
      </c>
      <c r="C1786" s="63"/>
      <c r="D1786" s="64"/>
      <c r="E1786" s="65"/>
      <c r="F1786" s="66"/>
      <c r="G1786" s="63"/>
      <c r="H1786" s="67"/>
      <c r="I1786" s="68"/>
      <c r="J1786" s="68"/>
      <c r="K1786" s="32"/>
      <c r="L1786" s="75">
        <v>1786</v>
      </c>
      <c r="M1786" s="75"/>
      <c r="N1786" s="70"/>
      <c r="O1786" s="77" t="s">
        <v>1284</v>
      </c>
      <c r="P1786" s="79">
        <v>44998.832118055558</v>
      </c>
      <c r="Q1786" s="77" t="s">
        <v>3025</v>
      </c>
      <c r="R1786" s="77">
        <v>0</v>
      </c>
      <c r="S1786" s="77">
        <v>1</v>
      </c>
      <c r="T1786" s="77">
        <v>0</v>
      </c>
      <c r="U1786" s="77">
        <v>0</v>
      </c>
      <c r="V1786" s="77">
        <v>24</v>
      </c>
      <c r="W1786" s="82" t="s">
        <v>6012</v>
      </c>
      <c r="X1786" s="77"/>
      <c r="Y1786" s="77"/>
      <c r="Z1786" s="77"/>
      <c r="AA1786" s="77"/>
      <c r="AB1786" s="77"/>
      <c r="AC1786" s="82" t="s">
        <v>10145</v>
      </c>
      <c r="AD1786" s="77" t="s">
        <v>10186</v>
      </c>
      <c r="AE1786" s="80" t="str">
        <f>HYPERLINK("https://twitter.com/gotasesaude_/status/1635369702678732801")</f>
        <v>https://twitter.com/gotasesaude_/status/1635369702678732801</v>
      </c>
      <c r="AF1786" s="79">
        <v>44998.832118055558</v>
      </c>
      <c r="AG1786" s="85">
        <v>44998</v>
      </c>
      <c r="AH1786" s="82" t="s">
        <v>11909</v>
      </c>
      <c r="AI1786" s="77"/>
      <c r="AJ1786" s="77"/>
      <c r="AK1786" s="77"/>
      <c r="AL1786" s="77"/>
      <c r="AM1786" s="77"/>
      <c r="AN1786" s="77"/>
      <c r="AO1786" s="77"/>
      <c r="AP1786" s="77"/>
      <c r="AQ1786" s="77"/>
      <c r="AR1786" s="77"/>
      <c r="AS1786" s="77"/>
      <c r="AT1786" s="77"/>
      <c r="AU1786" s="77"/>
      <c r="AV1786" s="80" t="str">
        <f>HYPERLINK("https://pbs.twimg.com/profile_images/1633897708778864666/CvPB9pso_normal.jpg")</f>
        <v>https://pbs.twimg.com/profile_images/1633897708778864666/CvPB9pso_normal.jpg</v>
      </c>
      <c r="AW1786" s="82" t="s">
        <v>18554</v>
      </c>
      <c r="AX1786" s="82" t="s">
        <v>20827</v>
      </c>
      <c r="AY1786" s="82" t="s">
        <v>20932</v>
      </c>
      <c r="AZ1786" s="82" t="s">
        <v>20983</v>
      </c>
      <c r="BA1786" s="82" t="s">
        <v>20971</v>
      </c>
      <c r="BB1786" s="82" t="s">
        <v>20971</v>
      </c>
      <c r="BC1786" s="82" t="s">
        <v>20983</v>
      </c>
      <c r="BD1786" s="82" t="s">
        <v>20932</v>
      </c>
      <c r="BE1786" s="77"/>
      <c r="BF1786" s="77"/>
      <c r="BG1786" s="77"/>
      <c r="BH1786" s="77"/>
      <c r="BI1786" s="77"/>
    </row>
    <row r="1787" spans="1:61" x14ac:dyDescent="0.25">
      <c r="A1787" s="62" t="s">
        <v>649</v>
      </c>
      <c r="B1787" s="62" t="s">
        <v>649</v>
      </c>
      <c r="C1787" s="63"/>
      <c r="D1787" s="64"/>
      <c r="E1787" s="65"/>
      <c r="F1787" s="66"/>
      <c r="G1787" s="63"/>
      <c r="H1787" s="67"/>
      <c r="I1787" s="68"/>
      <c r="J1787" s="68"/>
      <c r="K1787" s="32"/>
      <c r="L1787" s="75">
        <v>1787</v>
      </c>
      <c r="M1787" s="75"/>
      <c r="N1787" s="70"/>
      <c r="O1787" s="77" t="s">
        <v>1284</v>
      </c>
      <c r="P1787" s="79">
        <v>44969.150347222225</v>
      </c>
      <c r="Q1787" s="77" t="s">
        <v>3026</v>
      </c>
      <c r="R1787" s="77">
        <v>0</v>
      </c>
      <c r="S1787" s="77">
        <v>0</v>
      </c>
      <c r="T1787" s="77">
        <v>0</v>
      </c>
      <c r="U1787" s="77">
        <v>0</v>
      </c>
      <c r="V1787" s="77">
        <v>76</v>
      </c>
      <c r="W1787" s="82" t="s">
        <v>6013</v>
      </c>
      <c r="X1787" s="77"/>
      <c r="Y1787" s="77"/>
      <c r="Z1787" s="77"/>
      <c r="AA1787" s="77"/>
      <c r="AB1787" s="77"/>
      <c r="AC1787" s="82" t="s">
        <v>10144</v>
      </c>
      <c r="AD1787" s="77" t="s">
        <v>10186</v>
      </c>
      <c r="AE1787" s="80" t="str">
        <f>HYPERLINK("https://twitter.com/outliermaster/status/1624613390390886400")</f>
        <v>https://twitter.com/outliermaster/status/1624613390390886400</v>
      </c>
      <c r="AF1787" s="79">
        <v>44969.150347222225</v>
      </c>
      <c r="AG1787" s="85">
        <v>44969</v>
      </c>
      <c r="AH1787" s="82" t="s">
        <v>11910</v>
      </c>
      <c r="AI1787" s="77"/>
      <c r="AJ1787" s="77"/>
      <c r="AK1787" s="77"/>
      <c r="AL1787" s="77"/>
      <c r="AM1787" s="77"/>
      <c r="AN1787" s="77"/>
      <c r="AO1787" s="77"/>
      <c r="AP1787" s="77"/>
      <c r="AQ1787" s="77"/>
      <c r="AR1787" s="77"/>
      <c r="AS1787" s="77"/>
      <c r="AT1787" s="77"/>
      <c r="AU1787" s="77"/>
      <c r="AV1787" s="80" t="str">
        <f>HYPERLINK("https://pbs.twimg.com/profile_images/1506427189079773190/2bHVvjHQ_normal.jpg")</f>
        <v>https://pbs.twimg.com/profile_images/1506427189079773190/2bHVvjHQ_normal.jpg</v>
      </c>
      <c r="AW1787" s="82" t="s">
        <v>18555</v>
      </c>
      <c r="AX1787" s="82" t="s">
        <v>20828</v>
      </c>
      <c r="AY1787" s="82" t="s">
        <v>20933</v>
      </c>
      <c r="AZ1787" s="82" t="s">
        <v>20828</v>
      </c>
      <c r="BA1787" s="82" t="s">
        <v>20971</v>
      </c>
      <c r="BB1787" s="82" t="s">
        <v>20971</v>
      </c>
      <c r="BC1787" s="82" t="s">
        <v>20828</v>
      </c>
      <c r="BD1787" s="82" t="s">
        <v>20933</v>
      </c>
      <c r="BE1787" s="77"/>
      <c r="BF1787" s="77"/>
      <c r="BG1787" s="77"/>
      <c r="BH1787" s="77"/>
      <c r="BI1787" s="77"/>
    </row>
    <row r="1788" spans="1:61" x14ac:dyDescent="0.25">
      <c r="A1788" s="62" t="s">
        <v>650</v>
      </c>
      <c r="B1788" s="62" t="s">
        <v>650</v>
      </c>
      <c r="C1788" s="63"/>
      <c r="D1788" s="64"/>
      <c r="E1788" s="65"/>
      <c r="F1788" s="66"/>
      <c r="G1788" s="63"/>
      <c r="H1788" s="67"/>
      <c r="I1788" s="68"/>
      <c r="J1788" s="68"/>
      <c r="K1788" s="32"/>
      <c r="L1788" s="75">
        <v>1788</v>
      </c>
      <c r="M1788" s="75"/>
      <c r="N1788" s="70"/>
      <c r="O1788" s="77" t="s">
        <v>179</v>
      </c>
      <c r="P1788" s="79">
        <v>44985.838923611111</v>
      </c>
      <c r="Q1788" s="77" t="s">
        <v>3027</v>
      </c>
      <c r="R1788" s="77">
        <v>0</v>
      </c>
      <c r="S1788" s="77">
        <v>0</v>
      </c>
      <c r="T1788" s="77">
        <v>0</v>
      </c>
      <c r="U1788" s="77">
        <v>0</v>
      </c>
      <c r="V1788" s="77">
        <v>61</v>
      </c>
      <c r="W1788" s="82" t="s">
        <v>5236</v>
      </c>
      <c r="X1788" s="80" t="str">
        <f>HYPERLINK("https://bc.ai/i-brlbgb11x02-n/?p=https://raf.bc.ai/")</f>
        <v>https://bc.ai/i-brlbgb11x02-n/?p=https://raf.bc.ai/</v>
      </c>
      <c r="Y1788" s="77" t="s">
        <v>7277</v>
      </c>
      <c r="Z1788" s="77"/>
      <c r="AA1788" s="77"/>
      <c r="AB1788" s="77"/>
      <c r="AC1788" s="82" t="s">
        <v>10146</v>
      </c>
      <c r="AD1788" s="77" t="s">
        <v>10184</v>
      </c>
      <c r="AE1788" s="80" t="str">
        <f>HYPERLINK("https://twitter.com/camilagoes18/status/1630661127255236610")</f>
        <v>https://twitter.com/camilagoes18/status/1630661127255236610</v>
      </c>
      <c r="AF1788" s="79">
        <v>44985.838923611111</v>
      </c>
      <c r="AG1788" s="85">
        <v>44985</v>
      </c>
      <c r="AH1788" s="82" t="s">
        <v>11911</v>
      </c>
      <c r="AI1788" s="77" t="b">
        <v>0</v>
      </c>
      <c r="AJ1788" s="77"/>
      <c r="AK1788" s="77"/>
      <c r="AL1788" s="77"/>
      <c r="AM1788" s="77"/>
      <c r="AN1788" s="77"/>
      <c r="AO1788" s="77"/>
      <c r="AP1788" s="77"/>
      <c r="AQ1788" s="77"/>
      <c r="AR1788" s="77"/>
      <c r="AS1788" s="77"/>
      <c r="AT1788" s="77"/>
      <c r="AU1788" s="77"/>
      <c r="AV1788" s="80" t="str">
        <f>HYPERLINK("https://abs.twimg.com/sticky/default_profile_images/default_profile_normal.png")</f>
        <v>https://abs.twimg.com/sticky/default_profile_images/default_profile_normal.png</v>
      </c>
      <c r="AW1788" s="82" t="s">
        <v>18556</v>
      </c>
      <c r="AX1788" s="82" t="s">
        <v>18556</v>
      </c>
      <c r="AY1788" s="77"/>
      <c r="AZ1788" s="82" t="s">
        <v>20971</v>
      </c>
      <c r="BA1788" s="82" t="s">
        <v>20971</v>
      </c>
      <c r="BB1788" s="82" t="s">
        <v>20971</v>
      </c>
      <c r="BC1788" s="82" t="s">
        <v>18556</v>
      </c>
      <c r="BD1788" s="82" t="s">
        <v>21329</v>
      </c>
      <c r="BE1788" s="77"/>
      <c r="BF1788" s="77"/>
      <c r="BG1788" s="77"/>
      <c r="BH1788" s="77"/>
      <c r="BI1788" s="77"/>
    </row>
    <row r="1789" spans="1:61" x14ac:dyDescent="0.25">
      <c r="A1789" s="62" t="s">
        <v>651</v>
      </c>
      <c r="B1789" s="62" t="s">
        <v>651</v>
      </c>
      <c r="C1789" s="63"/>
      <c r="D1789" s="64"/>
      <c r="E1789" s="65"/>
      <c r="F1789" s="66"/>
      <c r="G1789" s="63"/>
      <c r="H1789" s="67"/>
      <c r="I1789" s="68"/>
      <c r="J1789" s="68"/>
      <c r="K1789" s="32"/>
      <c r="L1789" s="75">
        <v>1789</v>
      </c>
      <c r="M1789" s="75"/>
      <c r="N1789" s="70"/>
      <c r="O1789" s="77" t="s">
        <v>179</v>
      </c>
      <c r="P1789" s="79">
        <v>45152.043773148151</v>
      </c>
      <c r="Q1789" s="77" t="s">
        <v>3028</v>
      </c>
      <c r="R1789" s="77">
        <v>1</v>
      </c>
      <c r="S1789" s="77">
        <v>0</v>
      </c>
      <c r="T1789" s="77">
        <v>0</v>
      </c>
      <c r="U1789" s="77">
        <v>0</v>
      </c>
      <c r="V1789" s="77">
        <v>35</v>
      </c>
      <c r="W1789" s="82" t="s">
        <v>6014</v>
      </c>
      <c r="X1789" s="77"/>
      <c r="Y1789" s="77"/>
      <c r="Z1789" s="77"/>
      <c r="AA1789" s="77"/>
      <c r="AB1789" s="77"/>
      <c r="AC1789" s="82" t="s">
        <v>10146</v>
      </c>
      <c r="AD1789" s="77" t="s">
        <v>10184</v>
      </c>
      <c r="AE1789" s="80" t="str">
        <f>HYPERLINK("https://twitter.com/the_nomadship/status/1690891746186506241")</f>
        <v>https://twitter.com/the_nomadship/status/1690891746186506241</v>
      </c>
      <c r="AF1789" s="79">
        <v>45152.043773148151</v>
      </c>
      <c r="AG1789" s="85">
        <v>45152</v>
      </c>
      <c r="AH1789" s="82" t="s">
        <v>11912</v>
      </c>
      <c r="AI1789" s="77"/>
      <c r="AJ1789" s="77"/>
      <c r="AK1789" s="77"/>
      <c r="AL1789" s="77"/>
      <c r="AM1789" s="77"/>
      <c r="AN1789" s="77"/>
      <c r="AO1789" s="77"/>
      <c r="AP1789" s="77"/>
      <c r="AQ1789" s="77"/>
      <c r="AR1789" s="77"/>
      <c r="AS1789" s="77"/>
      <c r="AT1789" s="77"/>
      <c r="AU1789" s="77"/>
      <c r="AV1789" s="80" t="str">
        <f>HYPERLINK("https://pbs.twimg.com/profile_images/1689427223827152896/e_T7P0Hh_normal.jpg")</f>
        <v>https://pbs.twimg.com/profile_images/1689427223827152896/e_T7P0Hh_normal.jpg</v>
      </c>
      <c r="AW1789" s="82" t="s">
        <v>18557</v>
      </c>
      <c r="AX1789" s="82" t="s">
        <v>18557</v>
      </c>
      <c r="AY1789" s="77"/>
      <c r="AZ1789" s="82" t="s">
        <v>20971</v>
      </c>
      <c r="BA1789" s="82" t="s">
        <v>20971</v>
      </c>
      <c r="BB1789" s="82" t="s">
        <v>20971</v>
      </c>
      <c r="BC1789" s="82" t="s">
        <v>18557</v>
      </c>
      <c r="BD1789" s="82" t="s">
        <v>21330</v>
      </c>
      <c r="BE1789" s="77"/>
      <c r="BF1789" s="77"/>
      <c r="BG1789" s="77"/>
      <c r="BH1789" s="77"/>
      <c r="BI1789" s="77"/>
    </row>
    <row r="1790" spans="1:61" x14ac:dyDescent="0.25">
      <c r="A1790" s="62" t="s">
        <v>652</v>
      </c>
      <c r="B1790" s="62" t="s">
        <v>652</v>
      </c>
      <c r="C1790" s="63"/>
      <c r="D1790" s="64"/>
      <c r="E1790" s="65"/>
      <c r="F1790" s="66"/>
      <c r="G1790" s="63"/>
      <c r="H1790" s="67"/>
      <c r="I1790" s="68"/>
      <c r="J1790" s="68"/>
      <c r="K1790" s="32"/>
      <c r="L1790" s="75">
        <v>1790</v>
      </c>
      <c r="M1790" s="75"/>
      <c r="N1790" s="70"/>
      <c r="O1790" s="77" t="s">
        <v>179</v>
      </c>
      <c r="P1790" s="79">
        <v>45015.608460648145</v>
      </c>
      <c r="Q1790" s="77" t="s">
        <v>3029</v>
      </c>
      <c r="R1790" s="77">
        <v>0</v>
      </c>
      <c r="S1790" s="77">
        <v>0</v>
      </c>
      <c r="T1790" s="77">
        <v>0</v>
      </c>
      <c r="U1790" s="77">
        <v>0</v>
      </c>
      <c r="V1790" s="77">
        <v>17</v>
      </c>
      <c r="W1790" s="82" t="s">
        <v>5236</v>
      </c>
      <c r="X1790" s="80" t="str">
        <f>HYPERLINK("https://mycollection.shop/dumaheli?share_channel_code=7")</f>
        <v>https://mycollection.shop/dumaheli?share_channel_code=7</v>
      </c>
      <c r="Y1790" s="77" t="s">
        <v>7361</v>
      </c>
      <c r="Z1790" s="77"/>
      <c r="AA1790" s="77" t="s">
        <v>8391</v>
      </c>
      <c r="AB1790" s="77" t="s">
        <v>10130</v>
      </c>
      <c r="AC1790" s="82" t="s">
        <v>10144</v>
      </c>
      <c r="AD1790" s="77" t="s">
        <v>10184</v>
      </c>
      <c r="AE1790" s="80" t="str">
        <f>HYPERLINK("https://twitter.com/anefern13090671/status/1641449247743840261")</f>
        <v>https://twitter.com/anefern13090671/status/1641449247743840261</v>
      </c>
      <c r="AF1790" s="79">
        <v>45015.608460648145</v>
      </c>
      <c r="AG1790" s="85">
        <v>45015</v>
      </c>
      <c r="AH1790" s="82" t="s">
        <v>11913</v>
      </c>
      <c r="AI1790" s="77" t="b">
        <v>0</v>
      </c>
      <c r="AJ1790" s="77" t="s">
        <v>13999</v>
      </c>
      <c r="AK1790" s="77" t="s">
        <v>14033</v>
      </c>
      <c r="AL1790" s="77" t="s">
        <v>14035</v>
      </c>
      <c r="AM1790" s="77" t="s">
        <v>14041</v>
      </c>
      <c r="AN1790" s="77" t="s">
        <v>14078</v>
      </c>
      <c r="AO1790" s="77" t="s">
        <v>14116</v>
      </c>
      <c r="AP1790" s="77" t="s">
        <v>14149</v>
      </c>
      <c r="AQ1790" s="77" t="s">
        <v>15035</v>
      </c>
      <c r="AR1790" s="77"/>
      <c r="AS1790" s="77"/>
      <c r="AT1790" s="77"/>
      <c r="AU1790" s="77"/>
      <c r="AV1790" s="80" t="str">
        <f>HYPERLINK("https://pbs.twimg.com/media/FseZZEkaUAcSJt_.jpg")</f>
        <v>https://pbs.twimg.com/media/FseZZEkaUAcSJt_.jpg</v>
      </c>
      <c r="AW1790" s="82" t="s">
        <v>18558</v>
      </c>
      <c r="AX1790" s="82" t="s">
        <v>18558</v>
      </c>
      <c r="AY1790" s="77"/>
      <c r="AZ1790" s="82" t="s">
        <v>20971</v>
      </c>
      <c r="BA1790" s="82" t="s">
        <v>20971</v>
      </c>
      <c r="BB1790" s="82" t="s">
        <v>20971</v>
      </c>
      <c r="BC1790" s="82" t="s">
        <v>18558</v>
      </c>
      <c r="BD1790" s="82" t="s">
        <v>21331</v>
      </c>
      <c r="BE1790" s="77"/>
      <c r="BF1790" s="77"/>
      <c r="BG1790" s="77"/>
      <c r="BH1790" s="77"/>
      <c r="BI1790" s="77"/>
    </row>
    <row r="1791" spans="1:61" x14ac:dyDescent="0.25">
      <c r="A1791" s="62" t="s">
        <v>653</v>
      </c>
      <c r="B1791" s="62" t="s">
        <v>653</v>
      </c>
      <c r="C1791" s="63"/>
      <c r="D1791" s="64"/>
      <c r="E1791" s="65"/>
      <c r="F1791" s="66"/>
      <c r="G1791" s="63"/>
      <c r="H1791" s="67"/>
      <c r="I1791" s="68"/>
      <c r="J1791" s="68"/>
      <c r="K1791" s="32"/>
      <c r="L1791" s="75">
        <v>1791</v>
      </c>
      <c r="M1791" s="75"/>
      <c r="N1791" s="70"/>
      <c r="O1791" s="77" t="s">
        <v>179</v>
      </c>
      <c r="P1791" s="79">
        <v>45024.002141203702</v>
      </c>
      <c r="Q1791" s="77" t="s">
        <v>3030</v>
      </c>
      <c r="R1791" s="77">
        <v>0</v>
      </c>
      <c r="S1791" s="77">
        <v>0</v>
      </c>
      <c r="T1791" s="77">
        <v>0</v>
      </c>
      <c r="U1791" s="77">
        <v>0</v>
      </c>
      <c r="V1791" s="77">
        <v>10</v>
      </c>
      <c r="W1791" s="82" t="s">
        <v>6015</v>
      </c>
      <c r="X1791" s="80" t="str">
        <f>HYPERLINK("https://bit.ly/Venda_24hs-por-dia")</f>
        <v>https://bit.ly/Venda_24hs-por-dia</v>
      </c>
      <c r="Y1791" s="77" t="s">
        <v>7268</v>
      </c>
      <c r="Z1791" s="77"/>
      <c r="AA1791" s="77"/>
      <c r="AB1791" s="77"/>
      <c r="AC1791" s="82" t="s">
        <v>10144</v>
      </c>
      <c r="AD1791" s="77" t="s">
        <v>10184</v>
      </c>
      <c r="AE1791" s="80" t="str">
        <f>HYPERLINK("https://twitter.com/jonaasalmeida/status/1644491014034391044")</f>
        <v>https://twitter.com/jonaasalmeida/status/1644491014034391044</v>
      </c>
      <c r="AF1791" s="79">
        <v>45024.002141203702</v>
      </c>
      <c r="AG1791" s="85">
        <v>45024</v>
      </c>
      <c r="AH1791" s="82" t="s">
        <v>11914</v>
      </c>
      <c r="AI1791" s="77" t="b">
        <v>0</v>
      </c>
      <c r="AJ1791" s="77"/>
      <c r="AK1791" s="77"/>
      <c r="AL1791" s="77"/>
      <c r="AM1791" s="77"/>
      <c r="AN1791" s="77"/>
      <c r="AO1791" s="77"/>
      <c r="AP1791" s="77"/>
      <c r="AQ1791" s="77"/>
      <c r="AR1791" s="77"/>
      <c r="AS1791" s="77"/>
      <c r="AT1791" s="77"/>
      <c r="AU1791" s="77"/>
      <c r="AV1791" s="80" t="str">
        <f>HYPERLINK("https://pbs.twimg.com/profile_images/1269764305601339392/fVhGQ8rQ_normal.jpg")</f>
        <v>https://pbs.twimg.com/profile_images/1269764305601339392/fVhGQ8rQ_normal.jpg</v>
      </c>
      <c r="AW1791" s="82" t="s">
        <v>18559</v>
      </c>
      <c r="AX1791" s="82" t="s">
        <v>18559</v>
      </c>
      <c r="AY1791" s="77"/>
      <c r="AZ1791" s="82" t="s">
        <v>20971</v>
      </c>
      <c r="BA1791" s="82" t="s">
        <v>20971</v>
      </c>
      <c r="BB1791" s="82" t="s">
        <v>20971</v>
      </c>
      <c r="BC1791" s="82" t="s">
        <v>18559</v>
      </c>
      <c r="BD1791" s="82" t="s">
        <v>21332</v>
      </c>
      <c r="BE1791" s="77"/>
      <c r="BF1791" s="77"/>
      <c r="BG1791" s="77"/>
      <c r="BH1791" s="77"/>
      <c r="BI1791" s="77"/>
    </row>
    <row r="1792" spans="1:61" x14ac:dyDescent="0.25">
      <c r="A1792" s="62" t="s">
        <v>654</v>
      </c>
      <c r="B1792" s="62" t="s">
        <v>654</v>
      </c>
      <c r="C1792" s="63"/>
      <c r="D1792" s="64"/>
      <c r="E1792" s="65"/>
      <c r="F1792" s="66"/>
      <c r="G1792" s="63"/>
      <c r="H1792" s="67"/>
      <c r="I1792" s="68"/>
      <c r="J1792" s="68"/>
      <c r="K1792" s="32"/>
      <c r="L1792" s="75">
        <v>1792</v>
      </c>
      <c r="M1792" s="75"/>
      <c r="N1792" s="70"/>
      <c r="O1792" s="77" t="s">
        <v>179</v>
      </c>
      <c r="P1792" s="79">
        <v>44958.567164351851</v>
      </c>
      <c r="Q1792" s="77" t="s">
        <v>3031</v>
      </c>
      <c r="R1792" s="77">
        <v>0</v>
      </c>
      <c r="S1792" s="77">
        <v>2</v>
      </c>
      <c r="T1792" s="77">
        <v>0</v>
      </c>
      <c r="U1792" s="77">
        <v>0</v>
      </c>
      <c r="V1792" s="77">
        <v>49</v>
      </c>
      <c r="W1792" s="82" t="s">
        <v>6016</v>
      </c>
      <c r="X1792" s="77"/>
      <c r="Y1792" s="77"/>
      <c r="Z1792" s="77"/>
      <c r="AA1792" s="77" t="s">
        <v>8392</v>
      </c>
      <c r="AB1792" s="77" t="s">
        <v>10128</v>
      </c>
      <c r="AC1792" s="82" t="s">
        <v>10146</v>
      </c>
      <c r="AD1792" s="77" t="s">
        <v>10184</v>
      </c>
      <c r="AE1792" s="80" t="str">
        <f>HYPERLINK("https://twitter.com/aposentandonovo/status/1620778170776715265")</f>
        <v>https://twitter.com/aposentandonovo/status/1620778170776715265</v>
      </c>
      <c r="AF1792" s="79">
        <v>44958.567164351851</v>
      </c>
      <c r="AG1792" s="85">
        <v>44958</v>
      </c>
      <c r="AH1792" s="82" t="s">
        <v>11915</v>
      </c>
      <c r="AI1792" s="77" t="b">
        <v>0</v>
      </c>
      <c r="AJ1792" s="77"/>
      <c r="AK1792" s="77"/>
      <c r="AL1792" s="77"/>
      <c r="AM1792" s="77"/>
      <c r="AN1792" s="77"/>
      <c r="AO1792" s="77"/>
      <c r="AP1792" s="77"/>
      <c r="AQ1792" s="77" t="s">
        <v>15036</v>
      </c>
      <c r="AR1792" s="77"/>
      <c r="AS1792" s="77"/>
      <c r="AT1792" s="77"/>
      <c r="AU1792" s="77"/>
      <c r="AV1792" s="80" t="str">
        <f>HYPERLINK("https://pbs.twimg.com/media/Fn4pHBdWAAAxhEX.jpg")</f>
        <v>https://pbs.twimg.com/media/Fn4pHBdWAAAxhEX.jpg</v>
      </c>
      <c r="AW1792" s="82" t="s">
        <v>18560</v>
      </c>
      <c r="AX1792" s="82" t="s">
        <v>18560</v>
      </c>
      <c r="AY1792" s="77"/>
      <c r="AZ1792" s="82" t="s">
        <v>20971</v>
      </c>
      <c r="BA1792" s="82" t="s">
        <v>20971</v>
      </c>
      <c r="BB1792" s="82" t="s">
        <v>20971</v>
      </c>
      <c r="BC1792" s="82" t="s">
        <v>18560</v>
      </c>
      <c r="BD1792" s="82" t="s">
        <v>20934</v>
      </c>
      <c r="BE1792" s="77"/>
      <c r="BF1792" s="77"/>
      <c r="BG1792" s="77"/>
      <c r="BH1792" s="77"/>
      <c r="BI1792" s="77"/>
    </row>
    <row r="1793" spans="1:61" x14ac:dyDescent="0.25">
      <c r="A1793" s="62" t="s">
        <v>654</v>
      </c>
      <c r="B1793" s="62" t="s">
        <v>654</v>
      </c>
      <c r="C1793" s="63"/>
      <c r="D1793" s="64"/>
      <c r="E1793" s="65"/>
      <c r="F1793" s="66"/>
      <c r="G1793" s="63"/>
      <c r="H1793" s="67"/>
      <c r="I1793" s="68"/>
      <c r="J1793" s="68"/>
      <c r="K1793" s="32"/>
      <c r="L1793" s="75">
        <v>1793</v>
      </c>
      <c r="M1793" s="75"/>
      <c r="N1793" s="70"/>
      <c r="O1793" s="77" t="s">
        <v>1284</v>
      </c>
      <c r="P1793" s="79">
        <v>44957.018738425926</v>
      </c>
      <c r="Q1793" s="77" t="s">
        <v>3032</v>
      </c>
      <c r="R1793" s="77">
        <v>0</v>
      </c>
      <c r="S1793" s="77">
        <v>2</v>
      </c>
      <c r="T1793" s="77">
        <v>0</v>
      </c>
      <c r="U1793" s="77">
        <v>0</v>
      </c>
      <c r="V1793" s="77">
        <v>53</v>
      </c>
      <c r="W1793" s="82" t="s">
        <v>5236</v>
      </c>
      <c r="X1793" s="77"/>
      <c r="Y1793" s="77"/>
      <c r="Z1793" s="77"/>
      <c r="AA1793" s="77"/>
      <c r="AB1793" s="77"/>
      <c r="AC1793" s="82" t="s">
        <v>10146</v>
      </c>
      <c r="AD1793" s="77" t="s">
        <v>10184</v>
      </c>
      <c r="AE1793" s="80" t="str">
        <f>HYPERLINK("https://twitter.com/aposentandonovo/status/1620217041226723330")</f>
        <v>https://twitter.com/aposentandonovo/status/1620217041226723330</v>
      </c>
      <c r="AF1793" s="79">
        <v>44957.018738425926</v>
      </c>
      <c r="AG1793" s="85">
        <v>44957</v>
      </c>
      <c r="AH1793" s="82" t="s">
        <v>11784</v>
      </c>
      <c r="AI1793" s="77"/>
      <c r="AJ1793" s="77"/>
      <c r="AK1793" s="77"/>
      <c r="AL1793" s="77"/>
      <c r="AM1793" s="77"/>
      <c r="AN1793" s="77"/>
      <c r="AO1793" s="77"/>
      <c r="AP1793" s="77"/>
      <c r="AQ1793" s="77"/>
      <c r="AR1793" s="77"/>
      <c r="AS1793" s="77"/>
      <c r="AT1793" s="77"/>
      <c r="AU1793" s="77"/>
      <c r="AV1793" s="80" t="str">
        <f>HYPERLINK("https://pbs.twimg.com/profile_images/1614499804918210561/YK0HYrBW_normal.jpg")</f>
        <v>https://pbs.twimg.com/profile_images/1614499804918210561/YK0HYrBW_normal.jpg</v>
      </c>
      <c r="AW1793" s="82" t="s">
        <v>18561</v>
      </c>
      <c r="AX1793" s="82" t="s">
        <v>20829</v>
      </c>
      <c r="AY1793" s="82" t="s">
        <v>20934</v>
      </c>
      <c r="AZ1793" s="82" t="s">
        <v>20829</v>
      </c>
      <c r="BA1793" s="82" t="s">
        <v>20971</v>
      </c>
      <c r="BB1793" s="82" t="s">
        <v>20971</v>
      </c>
      <c r="BC1793" s="82" t="s">
        <v>20829</v>
      </c>
      <c r="BD1793" s="82" t="s">
        <v>20934</v>
      </c>
      <c r="BE1793" s="77"/>
      <c r="BF1793" s="77"/>
      <c r="BG1793" s="77"/>
      <c r="BH1793" s="77"/>
      <c r="BI1793" s="77"/>
    </row>
    <row r="1794" spans="1:61" x14ac:dyDescent="0.25">
      <c r="A1794" s="62" t="s">
        <v>655</v>
      </c>
      <c r="B1794" s="62" t="s">
        <v>655</v>
      </c>
      <c r="C1794" s="63"/>
      <c r="D1794" s="64"/>
      <c r="E1794" s="65"/>
      <c r="F1794" s="66"/>
      <c r="G1794" s="63"/>
      <c r="H1794" s="67"/>
      <c r="I1794" s="68"/>
      <c r="J1794" s="68"/>
      <c r="K1794" s="32"/>
      <c r="L1794" s="75">
        <v>1794</v>
      </c>
      <c r="M1794" s="75"/>
      <c r="N1794" s="70"/>
      <c r="O1794" s="77" t="s">
        <v>179</v>
      </c>
      <c r="P1794" s="79">
        <v>45191.626631944448</v>
      </c>
      <c r="Q1794" s="77" t="s">
        <v>3033</v>
      </c>
      <c r="R1794" s="77">
        <v>0</v>
      </c>
      <c r="S1794" s="77">
        <v>0</v>
      </c>
      <c r="T1794" s="77">
        <v>0</v>
      </c>
      <c r="U1794" s="77">
        <v>0</v>
      </c>
      <c r="V1794" s="77">
        <v>12</v>
      </c>
      <c r="W1794" s="82" t="s">
        <v>6017</v>
      </c>
      <c r="X1794" s="80" t="str">
        <f>HYPERLINK("http://wix.to/DBjQAH0")</f>
        <v>http://wix.to/DBjQAH0</v>
      </c>
      <c r="Y1794" s="77" t="s">
        <v>7362</v>
      </c>
      <c r="Z1794" s="77"/>
      <c r="AA1794" s="77"/>
      <c r="AB1794" s="77"/>
      <c r="AC1794" s="82" t="s">
        <v>10160</v>
      </c>
      <c r="AD1794" s="77" t="s">
        <v>10184</v>
      </c>
      <c r="AE1794" s="80" t="str">
        <f>HYPERLINK("https://twitter.com/anselmoeduard18/status/1705236093338263592")</f>
        <v>https://twitter.com/anselmoeduard18/status/1705236093338263592</v>
      </c>
      <c r="AF1794" s="79">
        <v>45191.626631944448</v>
      </c>
      <c r="AG1794" s="85">
        <v>45191</v>
      </c>
      <c r="AH1794" s="82" t="s">
        <v>11916</v>
      </c>
      <c r="AI1794" s="77" t="b">
        <v>0</v>
      </c>
      <c r="AJ1794" s="77"/>
      <c r="AK1794" s="77"/>
      <c r="AL1794" s="77"/>
      <c r="AM1794" s="77"/>
      <c r="AN1794" s="77"/>
      <c r="AO1794" s="77"/>
      <c r="AP1794" s="77"/>
      <c r="AQ1794" s="77"/>
      <c r="AR1794" s="77"/>
      <c r="AS1794" s="77"/>
      <c r="AT1794" s="77"/>
      <c r="AU1794" s="77"/>
      <c r="AV1794" s="80" t="str">
        <f>HYPERLINK("https://pbs.twimg.com/profile_images/1495036292794658830/S7Zg_LfB_normal.jpg")</f>
        <v>https://pbs.twimg.com/profile_images/1495036292794658830/S7Zg_LfB_normal.jpg</v>
      </c>
      <c r="AW1794" s="82" t="s">
        <v>18562</v>
      </c>
      <c r="AX1794" s="82" t="s">
        <v>18562</v>
      </c>
      <c r="AY1794" s="77"/>
      <c r="AZ1794" s="82" t="s">
        <v>20971</v>
      </c>
      <c r="BA1794" s="82" t="s">
        <v>20971</v>
      </c>
      <c r="BB1794" s="82" t="s">
        <v>20971</v>
      </c>
      <c r="BC1794" s="82" t="s">
        <v>18562</v>
      </c>
      <c r="BD1794" s="82" t="s">
        <v>21333</v>
      </c>
      <c r="BE1794" s="77"/>
      <c r="BF1794" s="77"/>
      <c r="BG1794" s="77"/>
      <c r="BH1794" s="77"/>
      <c r="BI1794" s="77"/>
    </row>
    <row r="1795" spans="1:61" x14ac:dyDescent="0.25">
      <c r="A1795" s="62" t="s">
        <v>655</v>
      </c>
      <c r="B1795" s="62" t="s">
        <v>655</v>
      </c>
      <c r="C1795" s="63"/>
      <c r="D1795" s="64"/>
      <c r="E1795" s="65"/>
      <c r="F1795" s="66"/>
      <c r="G1795" s="63"/>
      <c r="H1795" s="67"/>
      <c r="I1795" s="68"/>
      <c r="J1795" s="68"/>
      <c r="K1795" s="32"/>
      <c r="L1795" s="75">
        <v>1795</v>
      </c>
      <c r="M1795" s="75"/>
      <c r="N1795" s="70"/>
      <c r="O1795" s="77" t="s">
        <v>179</v>
      </c>
      <c r="P1795" s="79">
        <v>45192.78466435185</v>
      </c>
      <c r="Q1795" s="77" t="s">
        <v>3034</v>
      </c>
      <c r="R1795" s="77">
        <v>0</v>
      </c>
      <c r="S1795" s="77">
        <v>0</v>
      </c>
      <c r="T1795" s="77">
        <v>0</v>
      </c>
      <c r="U1795" s="77">
        <v>0</v>
      </c>
      <c r="V1795" s="77">
        <v>7</v>
      </c>
      <c r="W1795" s="82" t="s">
        <v>6018</v>
      </c>
      <c r="X1795" s="80" t="str">
        <f>HYPERLINK("http://wix.to/jOAaeux")</f>
        <v>http://wix.to/jOAaeux</v>
      </c>
      <c r="Y1795" s="77" t="s">
        <v>7362</v>
      </c>
      <c r="Z1795" s="77"/>
      <c r="AA1795" s="77"/>
      <c r="AB1795" s="77"/>
      <c r="AC1795" s="82" t="s">
        <v>10160</v>
      </c>
      <c r="AD1795" s="77" t="s">
        <v>10187</v>
      </c>
      <c r="AE1795" s="80" t="str">
        <f>HYPERLINK("https://twitter.com/anselmoeduard18/status/1705655752801886372")</f>
        <v>https://twitter.com/anselmoeduard18/status/1705655752801886372</v>
      </c>
      <c r="AF1795" s="79">
        <v>45192.78466435185</v>
      </c>
      <c r="AG1795" s="85">
        <v>45192</v>
      </c>
      <c r="AH1795" s="82" t="s">
        <v>11917</v>
      </c>
      <c r="AI1795" s="77" t="b">
        <v>0</v>
      </c>
      <c r="AJ1795" s="77"/>
      <c r="AK1795" s="77"/>
      <c r="AL1795" s="77"/>
      <c r="AM1795" s="77"/>
      <c r="AN1795" s="77"/>
      <c r="AO1795" s="77"/>
      <c r="AP1795" s="77"/>
      <c r="AQ1795" s="77"/>
      <c r="AR1795" s="77"/>
      <c r="AS1795" s="77"/>
      <c r="AT1795" s="77"/>
      <c r="AU1795" s="77"/>
      <c r="AV1795" s="80" t="str">
        <f>HYPERLINK("https://pbs.twimg.com/profile_images/1495036292794658830/S7Zg_LfB_normal.jpg")</f>
        <v>https://pbs.twimg.com/profile_images/1495036292794658830/S7Zg_LfB_normal.jpg</v>
      </c>
      <c r="AW1795" s="82" t="s">
        <v>18563</v>
      </c>
      <c r="AX1795" s="82" t="s">
        <v>18563</v>
      </c>
      <c r="AY1795" s="77"/>
      <c r="AZ1795" s="82" t="s">
        <v>20971</v>
      </c>
      <c r="BA1795" s="82" t="s">
        <v>20971</v>
      </c>
      <c r="BB1795" s="82" t="s">
        <v>20971</v>
      </c>
      <c r="BC1795" s="82" t="s">
        <v>18563</v>
      </c>
      <c r="BD1795" s="82" t="s">
        <v>21333</v>
      </c>
      <c r="BE1795" s="77"/>
      <c r="BF1795" s="77"/>
      <c r="BG1795" s="77"/>
      <c r="BH1795" s="77"/>
      <c r="BI1795" s="77"/>
    </row>
    <row r="1796" spans="1:61" x14ac:dyDescent="0.25">
      <c r="A1796" s="62" t="s">
        <v>655</v>
      </c>
      <c r="B1796" s="62" t="s">
        <v>655</v>
      </c>
      <c r="C1796" s="63"/>
      <c r="D1796" s="64"/>
      <c r="E1796" s="65"/>
      <c r="F1796" s="66"/>
      <c r="G1796" s="63"/>
      <c r="H1796" s="67"/>
      <c r="I1796" s="68"/>
      <c r="J1796" s="68"/>
      <c r="K1796" s="32"/>
      <c r="L1796" s="75">
        <v>1796</v>
      </c>
      <c r="M1796" s="75"/>
      <c r="N1796" s="70"/>
      <c r="O1796" s="77" t="s">
        <v>179</v>
      </c>
      <c r="P1796" s="79">
        <v>45195.673645833333</v>
      </c>
      <c r="Q1796" s="77" t="s">
        <v>3035</v>
      </c>
      <c r="R1796" s="77">
        <v>0</v>
      </c>
      <c r="S1796" s="77">
        <v>0</v>
      </c>
      <c r="T1796" s="77">
        <v>0</v>
      </c>
      <c r="U1796" s="77">
        <v>0</v>
      </c>
      <c r="V1796" s="77">
        <v>16</v>
      </c>
      <c r="W1796" s="82" t="s">
        <v>5236</v>
      </c>
      <c r="X1796" s="80" t="str">
        <f>HYPERLINK("http://wix.to/Lapf8dS")</f>
        <v>http://wix.to/Lapf8dS</v>
      </c>
      <c r="Y1796" s="77" t="s">
        <v>7362</v>
      </c>
      <c r="Z1796" s="77"/>
      <c r="AA1796" s="77" t="s">
        <v>8393</v>
      </c>
      <c r="AB1796" s="77" t="s">
        <v>10130</v>
      </c>
      <c r="AC1796" s="82" t="s">
        <v>10160</v>
      </c>
      <c r="AD1796" s="77" t="s">
        <v>10184</v>
      </c>
      <c r="AE1796" s="80" t="str">
        <f>HYPERLINK("https://twitter.com/anselmoeduard18/status/1706702682415886355")</f>
        <v>https://twitter.com/anselmoeduard18/status/1706702682415886355</v>
      </c>
      <c r="AF1796" s="79">
        <v>45195.673645833333</v>
      </c>
      <c r="AG1796" s="85">
        <v>45195</v>
      </c>
      <c r="AH1796" s="82" t="s">
        <v>11918</v>
      </c>
      <c r="AI1796" s="77" t="b">
        <v>0</v>
      </c>
      <c r="AJ1796" s="77"/>
      <c r="AK1796" s="77"/>
      <c r="AL1796" s="77"/>
      <c r="AM1796" s="77"/>
      <c r="AN1796" s="77"/>
      <c r="AO1796" s="77"/>
      <c r="AP1796" s="77"/>
      <c r="AQ1796" s="77" t="s">
        <v>15037</v>
      </c>
      <c r="AR1796" s="77"/>
      <c r="AS1796" s="77"/>
      <c r="AT1796" s="77"/>
      <c r="AU1796" s="77"/>
      <c r="AV1796" s="80" t="str">
        <f>HYPERLINK("https://pbs.twimg.com/media/F69s6DuaUAAeGB6.png")</f>
        <v>https://pbs.twimg.com/media/F69s6DuaUAAeGB6.png</v>
      </c>
      <c r="AW1796" s="82" t="s">
        <v>18564</v>
      </c>
      <c r="AX1796" s="82" t="s">
        <v>18564</v>
      </c>
      <c r="AY1796" s="77"/>
      <c r="AZ1796" s="82" t="s">
        <v>20971</v>
      </c>
      <c r="BA1796" s="82" t="s">
        <v>20971</v>
      </c>
      <c r="BB1796" s="82" t="s">
        <v>20971</v>
      </c>
      <c r="BC1796" s="82" t="s">
        <v>18564</v>
      </c>
      <c r="BD1796" s="82" t="s">
        <v>21333</v>
      </c>
      <c r="BE1796" s="77"/>
      <c r="BF1796" s="77"/>
      <c r="BG1796" s="77"/>
      <c r="BH1796" s="77"/>
      <c r="BI1796" s="77"/>
    </row>
    <row r="1797" spans="1:61" x14ac:dyDescent="0.25">
      <c r="A1797" s="62" t="s">
        <v>655</v>
      </c>
      <c r="B1797" s="62" t="s">
        <v>655</v>
      </c>
      <c r="C1797" s="63"/>
      <c r="D1797" s="64"/>
      <c r="E1797" s="65"/>
      <c r="F1797" s="66"/>
      <c r="G1797" s="63"/>
      <c r="H1797" s="67"/>
      <c r="I1797" s="68"/>
      <c r="J1797" s="68"/>
      <c r="K1797" s="32"/>
      <c r="L1797" s="75">
        <v>1797</v>
      </c>
      <c r="M1797" s="75"/>
      <c r="N1797" s="70"/>
      <c r="O1797" s="77" t="s">
        <v>179</v>
      </c>
      <c r="P1797" s="79">
        <v>45190.989479166667</v>
      </c>
      <c r="Q1797" s="77" t="s">
        <v>3036</v>
      </c>
      <c r="R1797" s="77">
        <v>0</v>
      </c>
      <c r="S1797" s="77">
        <v>0</v>
      </c>
      <c r="T1797" s="77">
        <v>0</v>
      </c>
      <c r="U1797" s="77">
        <v>0</v>
      </c>
      <c r="V1797" s="77">
        <v>1</v>
      </c>
      <c r="W1797" s="82" t="s">
        <v>5236</v>
      </c>
      <c r="X1797" s="80" t="str">
        <f>HYPERLINK("https://www.dicasfederal.com/")</f>
        <v>https://www.dicasfederal.com/</v>
      </c>
      <c r="Y1797" s="77" t="s">
        <v>7363</v>
      </c>
      <c r="Z1797" s="77"/>
      <c r="AA1797" s="77"/>
      <c r="AB1797" s="77"/>
      <c r="AC1797" s="82" t="s">
        <v>10144</v>
      </c>
      <c r="AD1797" s="77" t="s">
        <v>10183</v>
      </c>
      <c r="AE1797" s="80" t="str">
        <f>HYPERLINK("https://twitter.com/anselmoeduard18/status/1705005199037755527")</f>
        <v>https://twitter.com/anselmoeduard18/status/1705005199037755527</v>
      </c>
      <c r="AF1797" s="79">
        <v>45190.989479166667</v>
      </c>
      <c r="AG1797" s="85">
        <v>45190</v>
      </c>
      <c r="AH1797" s="82" t="s">
        <v>11919</v>
      </c>
      <c r="AI1797" s="77" t="b">
        <v>0</v>
      </c>
      <c r="AJ1797" s="77"/>
      <c r="AK1797" s="77"/>
      <c r="AL1797" s="77"/>
      <c r="AM1797" s="77"/>
      <c r="AN1797" s="77"/>
      <c r="AO1797" s="77"/>
      <c r="AP1797" s="77"/>
      <c r="AQ1797" s="77"/>
      <c r="AR1797" s="77"/>
      <c r="AS1797" s="77"/>
      <c r="AT1797" s="77"/>
      <c r="AU1797" s="77"/>
      <c r="AV1797" s="80" t="str">
        <f>HYPERLINK("https://pbs.twimg.com/profile_images/1495036292794658830/S7Zg_LfB_normal.jpg")</f>
        <v>https://pbs.twimg.com/profile_images/1495036292794658830/S7Zg_LfB_normal.jpg</v>
      </c>
      <c r="AW1797" s="82" t="s">
        <v>18565</v>
      </c>
      <c r="AX1797" s="82" t="s">
        <v>18565</v>
      </c>
      <c r="AY1797" s="77"/>
      <c r="AZ1797" s="82" t="s">
        <v>20971</v>
      </c>
      <c r="BA1797" s="82" t="s">
        <v>20971</v>
      </c>
      <c r="BB1797" s="82" t="s">
        <v>20971</v>
      </c>
      <c r="BC1797" s="82" t="s">
        <v>18565</v>
      </c>
      <c r="BD1797" s="82" t="s">
        <v>21333</v>
      </c>
      <c r="BE1797" s="77"/>
      <c r="BF1797" s="77"/>
      <c r="BG1797" s="77"/>
      <c r="BH1797" s="77"/>
      <c r="BI1797" s="77"/>
    </row>
    <row r="1798" spans="1:61" x14ac:dyDescent="0.25">
      <c r="A1798" s="62" t="s">
        <v>656</v>
      </c>
      <c r="B1798" s="62" t="s">
        <v>656</v>
      </c>
      <c r="C1798" s="63"/>
      <c r="D1798" s="64"/>
      <c r="E1798" s="65"/>
      <c r="F1798" s="66"/>
      <c r="G1798" s="63"/>
      <c r="H1798" s="67"/>
      <c r="I1798" s="68"/>
      <c r="J1798" s="68"/>
      <c r="K1798" s="32"/>
      <c r="L1798" s="75">
        <v>1798</v>
      </c>
      <c r="M1798" s="75"/>
      <c r="N1798" s="70"/>
      <c r="O1798" s="77" t="s">
        <v>179</v>
      </c>
      <c r="P1798" s="79">
        <v>45125.812268518515</v>
      </c>
      <c r="Q1798" s="77" t="s">
        <v>3037</v>
      </c>
      <c r="R1798" s="77">
        <v>2</v>
      </c>
      <c r="S1798" s="77">
        <v>2</v>
      </c>
      <c r="T1798" s="77">
        <v>2</v>
      </c>
      <c r="U1798" s="77">
        <v>0</v>
      </c>
      <c r="V1798" s="77">
        <v>264</v>
      </c>
      <c r="W1798" s="82" t="s">
        <v>6019</v>
      </c>
      <c r="X1798" s="80" t="str">
        <f>HYPERLINK("https://zei6iaqu-fey3ybur3q-an.a.run.app/dfnow.html?ggc=15088886%7C3%7C1%7C227&amp;shareDate=20230719&amp;t=1")</f>
        <v>https://zei6iaqu-fey3ybur3q-an.a.run.app/dfnow.html?ggc=15088886%7C3%7C1%7C227&amp;shareDate=20230719&amp;t=1</v>
      </c>
      <c r="Y1798" s="77" t="s">
        <v>7364</v>
      </c>
      <c r="Z1798" s="77"/>
      <c r="AA1798" s="77" t="s">
        <v>8394</v>
      </c>
      <c r="AB1798" s="77" t="s">
        <v>10130</v>
      </c>
      <c r="AC1798" s="82" t="s">
        <v>10144</v>
      </c>
      <c r="AD1798" s="77" t="s">
        <v>10184</v>
      </c>
      <c r="AE1798" s="80" t="str">
        <f>HYPERLINK("https://twitter.com/argentsbitch/status/1681385767480721419")</f>
        <v>https://twitter.com/argentsbitch/status/1681385767480721419</v>
      </c>
      <c r="AF1798" s="79">
        <v>45125.812268518515</v>
      </c>
      <c r="AG1798" s="85">
        <v>45125</v>
      </c>
      <c r="AH1798" s="82" t="s">
        <v>11920</v>
      </c>
      <c r="AI1798" s="77" t="b">
        <v>0</v>
      </c>
      <c r="AJ1798" s="77"/>
      <c r="AK1798" s="77"/>
      <c r="AL1798" s="77"/>
      <c r="AM1798" s="77"/>
      <c r="AN1798" s="77"/>
      <c r="AO1798" s="77"/>
      <c r="AP1798" s="77"/>
      <c r="AQ1798" s="77" t="s">
        <v>15038</v>
      </c>
      <c r="AR1798" s="77"/>
      <c r="AS1798" s="77"/>
      <c r="AT1798" s="77"/>
      <c r="AU1798" s="77"/>
      <c r="AV1798" s="80" t="str">
        <f>HYPERLINK("https://pbs.twimg.com/media/F1V7ccdWAAAc63s.jpg")</f>
        <v>https://pbs.twimg.com/media/F1V7ccdWAAAc63s.jpg</v>
      </c>
      <c r="AW1798" s="82" t="s">
        <v>18566</v>
      </c>
      <c r="AX1798" s="82" t="s">
        <v>18566</v>
      </c>
      <c r="AY1798" s="77"/>
      <c r="AZ1798" s="82" t="s">
        <v>20971</v>
      </c>
      <c r="BA1798" s="82" t="s">
        <v>20971</v>
      </c>
      <c r="BB1798" s="82" t="s">
        <v>20971</v>
      </c>
      <c r="BC1798" s="82" t="s">
        <v>18566</v>
      </c>
      <c r="BD1798" s="82" t="s">
        <v>21334</v>
      </c>
      <c r="BE1798" s="77"/>
      <c r="BF1798" s="77"/>
      <c r="BG1798" s="77"/>
      <c r="BH1798" s="77"/>
      <c r="BI1798" s="77"/>
    </row>
    <row r="1799" spans="1:61" x14ac:dyDescent="0.25">
      <c r="A1799" s="62" t="s">
        <v>657</v>
      </c>
      <c r="B1799" s="62" t="s">
        <v>657</v>
      </c>
      <c r="C1799" s="63"/>
      <c r="D1799" s="64"/>
      <c r="E1799" s="65"/>
      <c r="F1799" s="66"/>
      <c r="G1799" s="63"/>
      <c r="H1799" s="67"/>
      <c r="I1799" s="68"/>
      <c r="J1799" s="68"/>
      <c r="K1799" s="32"/>
      <c r="L1799" s="75">
        <v>1799</v>
      </c>
      <c r="M1799" s="75"/>
      <c r="N1799" s="70"/>
      <c r="O1799" s="77" t="s">
        <v>179</v>
      </c>
      <c r="P1799" s="79">
        <v>45135.042604166665</v>
      </c>
      <c r="Q1799" s="77" t="s">
        <v>3038</v>
      </c>
      <c r="R1799" s="77">
        <v>0</v>
      </c>
      <c r="S1799" s="77">
        <v>0</v>
      </c>
      <c r="T1799" s="77">
        <v>0</v>
      </c>
      <c r="U1799" s="77">
        <v>0</v>
      </c>
      <c r="V1799" s="77">
        <v>26</v>
      </c>
      <c r="W1799" s="82" t="s">
        <v>5236</v>
      </c>
      <c r="X1799" s="80" t="str">
        <f>HYPERLINK("https://kiwify.app/RhyT3pG?afid=gYASV5fo")</f>
        <v>https://kiwify.app/RhyT3pG?afid=gYASV5fo</v>
      </c>
      <c r="Y1799" s="77" t="s">
        <v>7269</v>
      </c>
      <c r="Z1799" s="77"/>
      <c r="AA1799" s="77"/>
      <c r="AB1799" s="77"/>
      <c r="AC1799" s="82" t="s">
        <v>10146</v>
      </c>
      <c r="AD1799" s="77" t="s">
        <v>10184</v>
      </c>
      <c r="AE1799" s="80" t="str">
        <f>HYPERLINK("https://twitter.com/lebronff2/status/1684730728372654080")</f>
        <v>https://twitter.com/lebronff2/status/1684730728372654080</v>
      </c>
      <c r="AF1799" s="79">
        <v>45135.042604166665</v>
      </c>
      <c r="AG1799" s="85">
        <v>45135</v>
      </c>
      <c r="AH1799" s="82" t="s">
        <v>11921</v>
      </c>
      <c r="AI1799" s="77" t="b">
        <v>0</v>
      </c>
      <c r="AJ1799" s="77"/>
      <c r="AK1799" s="77"/>
      <c r="AL1799" s="77"/>
      <c r="AM1799" s="77"/>
      <c r="AN1799" s="77"/>
      <c r="AO1799" s="77"/>
      <c r="AP1799" s="77"/>
      <c r="AQ1799" s="77"/>
      <c r="AR1799" s="77"/>
      <c r="AS1799" s="77"/>
      <c r="AT1799" s="77"/>
      <c r="AU1799" s="77"/>
      <c r="AV1799" s="80" t="str">
        <f>HYPERLINK("https://pbs.twimg.com/profile_images/1679221879117082624/DQg6nTZh_normal.jpg")</f>
        <v>https://pbs.twimg.com/profile_images/1679221879117082624/DQg6nTZh_normal.jpg</v>
      </c>
      <c r="AW1799" s="82" t="s">
        <v>18567</v>
      </c>
      <c r="AX1799" s="82" t="s">
        <v>18567</v>
      </c>
      <c r="AY1799" s="77"/>
      <c r="AZ1799" s="82" t="s">
        <v>20971</v>
      </c>
      <c r="BA1799" s="82" t="s">
        <v>20971</v>
      </c>
      <c r="BB1799" s="82" t="s">
        <v>20971</v>
      </c>
      <c r="BC1799" s="82" t="s">
        <v>18567</v>
      </c>
      <c r="BD1799" s="82" t="s">
        <v>21335</v>
      </c>
      <c r="BE1799" s="77"/>
      <c r="BF1799" s="77"/>
      <c r="BG1799" s="77"/>
      <c r="BH1799" s="77"/>
      <c r="BI1799" s="77"/>
    </row>
    <row r="1800" spans="1:61" x14ac:dyDescent="0.25">
      <c r="A1800" s="62" t="s">
        <v>658</v>
      </c>
      <c r="B1800" s="62" t="s">
        <v>658</v>
      </c>
      <c r="C1800" s="63"/>
      <c r="D1800" s="64"/>
      <c r="E1800" s="65"/>
      <c r="F1800" s="66"/>
      <c r="G1800" s="63"/>
      <c r="H1800" s="67"/>
      <c r="I1800" s="68"/>
      <c r="J1800" s="68"/>
      <c r="K1800" s="32"/>
      <c r="L1800" s="75">
        <v>1800</v>
      </c>
      <c r="M1800" s="75"/>
      <c r="N1800" s="70"/>
      <c r="O1800" s="77" t="s">
        <v>179</v>
      </c>
      <c r="P1800" s="79">
        <v>45117.826481481483</v>
      </c>
      <c r="Q1800" s="77" t="s">
        <v>3039</v>
      </c>
      <c r="R1800" s="77">
        <v>1</v>
      </c>
      <c r="S1800" s="77">
        <v>0</v>
      </c>
      <c r="T1800" s="77">
        <v>0</v>
      </c>
      <c r="U1800" s="77">
        <v>0</v>
      </c>
      <c r="V1800" s="77">
        <v>322</v>
      </c>
      <c r="W1800" s="82" t="s">
        <v>6020</v>
      </c>
      <c r="X1800" s="80" t="str">
        <f>HYPERLINK("https://www.seudinheiro.com/2023/renda-fixa/tesouro-direto-para-aposentadoria-numero-investidores-investidores-renda-vinp/")</f>
        <v>https://www.seudinheiro.com/2023/renda-fixa/tesouro-direto-para-aposentadoria-numero-investidores-investidores-renda-vinp/</v>
      </c>
      <c r="Y1800" s="77" t="s">
        <v>7365</v>
      </c>
      <c r="Z1800" s="77"/>
      <c r="AA1800" s="77"/>
      <c r="AB1800" s="77"/>
      <c r="AC1800" s="82" t="s">
        <v>10151</v>
      </c>
      <c r="AD1800" s="77" t="s">
        <v>10184</v>
      </c>
      <c r="AE1800" s="80" t="str">
        <f>HYPERLINK("https://twitter.com/seu_dinheiro_br/status/1678491816742514696")</f>
        <v>https://twitter.com/seu_dinheiro_br/status/1678491816742514696</v>
      </c>
      <c r="AF1800" s="79">
        <v>45117.826481481483</v>
      </c>
      <c r="AG1800" s="85">
        <v>45117</v>
      </c>
      <c r="AH1800" s="82" t="s">
        <v>11922</v>
      </c>
      <c r="AI1800" s="77" t="b">
        <v>0</v>
      </c>
      <c r="AJ1800" s="77"/>
      <c r="AK1800" s="77"/>
      <c r="AL1800" s="77"/>
      <c r="AM1800" s="77"/>
      <c r="AN1800" s="77"/>
      <c r="AO1800" s="77"/>
      <c r="AP1800" s="77"/>
      <c r="AQ1800" s="77"/>
      <c r="AR1800" s="77"/>
      <c r="AS1800" s="77"/>
      <c r="AT1800" s="77"/>
      <c r="AU1800" s="77"/>
      <c r="AV1800" s="80" t="str">
        <f>HYPERLINK("https://pbs.twimg.com/profile_images/1041725334431952896/uaPtkYSp_normal.jpg")</f>
        <v>https://pbs.twimg.com/profile_images/1041725334431952896/uaPtkYSp_normal.jpg</v>
      </c>
      <c r="AW1800" s="82" t="s">
        <v>18568</v>
      </c>
      <c r="AX1800" s="82" t="s">
        <v>18568</v>
      </c>
      <c r="AY1800" s="77"/>
      <c r="AZ1800" s="82" t="s">
        <v>20971</v>
      </c>
      <c r="BA1800" s="82" t="s">
        <v>20971</v>
      </c>
      <c r="BB1800" s="82" t="s">
        <v>20971</v>
      </c>
      <c r="BC1800" s="82" t="s">
        <v>18568</v>
      </c>
      <c r="BD1800" s="82" t="s">
        <v>21336</v>
      </c>
      <c r="BE1800" s="77"/>
      <c r="BF1800" s="77"/>
      <c r="BG1800" s="77"/>
      <c r="BH1800" s="77"/>
      <c r="BI1800" s="77"/>
    </row>
    <row r="1801" spans="1:61" x14ac:dyDescent="0.25">
      <c r="A1801" s="62" t="s">
        <v>659</v>
      </c>
      <c r="B1801" s="62" t="s">
        <v>659</v>
      </c>
      <c r="C1801" s="63"/>
      <c r="D1801" s="64"/>
      <c r="E1801" s="65"/>
      <c r="F1801" s="66"/>
      <c r="G1801" s="63"/>
      <c r="H1801" s="67"/>
      <c r="I1801" s="68"/>
      <c r="J1801" s="68"/>
      <c r="K1801" s="32"/>
      <c r="L1801" s="75">
        <v>1801</v>
      </c>
      <c r="M1801" s="75"/>
      <c r="N1801" s="70"/>
      <c r="O1801" s="77" t="s">
        <v>179</v>
      </c>
      <c r="P1801" s="79">
        <v>44972.773553240739</v>
      </c>
      <c r="Q1801" s="77" t="s">
        <v>3040</v>
      </c>
      <c r="R1801" s="77">
        <v>0</v>
      </c>
      <c r="S1801" s="77">
        <v>1</v>
      </c>
      <c r="T1801" s="77">
        <v>0</v>
      </c>
      <c r="U1801" s="77">
        <v>0</v>
      </c>
      <c r="V1801" s="77">
        <v>81</v>
      </c>
      <c r="W1801" s="82" t="s">
        <v>6021</v>
      </c>
      <c r="X1801" s="80" t="str">
        <f>HYPERLINK("https://www.basicosstore.com.br/2023/01/estrutura-para-afiliados.html")</f>
        <v>https://www.basicosstore.com.br/2023/01/estrutura-para-afiliados.html</v>
      </c>
      <c r="Y1801" s="77" t="s">
        <v>7252</v>
      </c>
      <c r="Z1801" s="77"/>
      <c r="AA1801" s="77" t="s">
        <v>8395</v>
      </c>
      <c r="AB1801" s="77" t="s">
        <v>10130</v>
      </c>
      <c r="AC1801" s="82" t="s">
        <v>10146</v>
      </c>
      <c r="AD1801" s="77" t="s">
        <v>10184</v>
      </c>
      <c r="AE1801" s="80" t="str">
        <f>HYPERLINK("https://twitter.com/diogo_andreia32/status/1625926395850375168")</f>
        <v>https://twitter.com/diogo_andreia32/status/1625926395850375168</v>
      </c>
      <c r="AF1801" s="79">
        <v>44972.773553240739</v>
      </c>
      <c r="AG1801" s="85">
        <v>44972</v>
      </c>
      <c r="AH1801" s="82" t="s">
        <v>11923</v>
      </c>
      <c r="AI1801" s="77" t="b">
        <v>0</v>
      </c>
      <c r="AJ1801" s="77"/>
      <c r="AK1801" s="77"/>
      <c r="AL1801" s="77"/>
      <c r="AM1801" s="77"/>
      <c r="AN1801" s="77"/>
      <c r="AO1801" s="77"/>
      <c r="AP1801" s="77"/>
      <c r="AQ1801" s="77" t="s">
        <v>15039</v>
      </c>
      <c r="AR1801" s="77"/>
      <c r="AS1801" s="77"/>
      <c r="AT1801" s="77"/>
      <c r="AU1801" s="77"/>
      <c r="AV1801" s="80" t="str">
        <f>HYPERLINK("https://pbs.twimg.com/media/FpByrbDXgAEAJke.jpg")</f>
        <v>https://pbs.twimg.com/media/FpByrbDXgAEAJke.jpg</v>
      </c>
      <c r="AW1801" s="82" t="s">
        <v>18569</v>
      </c>
      <c r="AX1801" s="82" t="s">
        <v>18569</v>
      </c>
      <c r="AY1801" s="77"/>
      <c r="AZ1801" s="82" t="s">
        <v>20971</v>
      </c>
      <c r="BA1801" s="82" t="s">
        <v>20971</v>
      </c>
      <c r="BB1801" s="82" t="s">
        <v>20971</v>
      </c>
      <c r="BC1801" s="82" t="s">
        <v>18569</v>
      </c>
      <c r="BD1801" s="82" t="s">
        <v>21337</v>
      </c>
      <c r="BE1801" s="77"/>
      <c r="BF1801" s="77"/>
      <c r="BG1801" s="77"/>
      <c r="BH1801" s="77"/>
      <c r="BI1801" s="77"/>
    </row>
    <row r="1802" spans="1:61" x14ac:dyDescent="0.25">
      <c r="A1802" s="62" t="s">
        <v>660</v>
      </c>
      <c r="B1802" s="62" t="s">
        <v>660</v>
      </c>
      <c r="C1802" s="63"/>
      <c r="D1802" s="64"/>
      <c r="E1802" s="65"/>
      <c r="F1802" s="66"/>
      <c r="G1802" s="63"/>
      <c r="H1802" s="67"/>
      <c r="I1802" s="68"/>
      <c r="J1802" s="68"/>
      <c r="K1802" s="32"/>
      <c r="L1802" s="75">
        <v>1802</v>
      </c>
      <c r="M1802" s="75"/>
      <c r="N1802" s="70"/>
      <c r="O1802" s="77" t="s">
        <v>179</v>
      </c>
      <c r="P1802" s="79">
        <v>45121.719930555555</v>
      </c>
      <c r="Q1802" s="77" t="s">
        <v>3041</v>
      </c>
      <c r="R1802" s="77">
        <v>0</v>
      </c>
      <c r="S1802" s="77">
        <v>0</v>
      </c>
      <c r="T1802" s="77">
        <v>0</v>
      </c>
      <c r="U1802" s="77">
        <v>0</v>
      </c>
      <c r="V1802" s="77">
        <v>105</v>
      </c>
      <c r="W1802" s="82" t="s">
        <v>6022</v>
      </c>
      <c r="X1802" s="77"/>
      <c r="Y1802" s="77"/>
      <c r="Z1802" s="77"/>
      <c r="AA1802" s="77" t="s">
        <v>8396</v>
      </c>
      <c r="AB1802" s="77" t="s">
        <v>10129</v>
      </c>
      <c r="AC1802" s="82" t="s">
        <v>10145</v>
      </c>
      <c r="AD1802" s="77" t="s">
        <v>10184</v>
      </c>
      <c r="AE1802" s="80" t="str">
        <f>HYPERLINK("https://twitter.com/euclienteoculto/status/1679902756897796114")</f>
        <v>https://twitter.com/euclienteoculto/status/1679902756897796114</v>
      </c>
      <c r="AF1802" s="79">
        <v>45121.719930555555</v>
      </c>
      <c r="AG1802" s="85">
        <v>45121</v>
      </c>
      <c r="AH1802" s="82" t="s">
        <v>11924</v>
      </c>
      <c r="AI1802" s="77" t="b">
        <v>0</v>
      </c>
      <c r="AJ1802" s="77"/>
      <c r="AK1802" s="77"/>
      <c r="AL1802" s="77"/>
      <c r="AM1802" s="77"/>
      <c r="AN1802" s="77"/>
      <c r="AO1802" s="77"/>
      <c r="AP1802" s="77"/>
      <c r="AQ1802" s="77" t="s">
        <v>15040</v>
      </c>
      <c r="AR1802" s="77">
        <v>10300</v>
      </c>
      <c r="AS1802" s="77"/>
      <c r="AT1802" s="77"/>
      <c r="AU1802" s="77"/>
      <c r="AV1802" s="80" t="str">
        <f>HYPERLINK("https://pbs.twimg.com/ext_tw_video_thumb/1679902684080484373/pu/img/MxCN8usbwFAjtOso.jpg")</f>
        <v>https://pbs.twimg.com/ext_tw_video_thumb/1679902684080484373/pu/img/MxCN8usbwFAjtOso.jpg</v>
      </c>
      <c r="AW1802" s="82" t="s">
        <v>18570</v>
      </c>
      <c r="AX1802" s="82" t="s">
        <v>18570</v>
      </c>
      <c r="AY1802" s="77"/>
      <c r="AZ1802" s="82" t="s">
        <v>20971</v>
      </c>
      <c r="BA1802" s="82" t="s">
        <v>20971</v>
      </c>
      <c r="BB1802" s="82" t="s">
        <v>20971</v>
      </c>
      <c r="BC1802" s="82" t="s">
        <v>18570</v>
      </c>
      <c r="BD1802" s="82" t="s">
        <v>21338</v>
      </c>
      <c r="BE1802" s="77"/>
      <c r="BF1802" s="77"/>
      <c r="BG1802" s="77"/>
      <c r="BH1802" s="77"/>
      <c r="BI1802" s="77"/>
    </row>
    <row r="1803" spans="1:61" x14ac:dyDescent="0.25">
      <c r="A1803" s="62" t="s">
        <v>661</v>
      </c>
      <c r="B1803" s="62" t="s">
        <v>661</v>
      </c>
      <c r="C1803" s="63"/>
      <c r="D1803" s="64"/>
      <c r="E1803" s="65"/>
      <c r="F1803" s="66"/>
      <c r="G1803" s="63"/>
      <c r="H1803" s="67"/>
      <c r="I1803" s="68"/>
      <c r="J1803" s="68"/>
      <c r="K1803" s="32"/>
      <c r="L1803" s="75">
        <v>1803</v>
      </c>
      <c r="M1803" s="75"/>
      <c r="N1803" s="70"/>
      <c r="O1803" s="77" t="s">
        <v>179</v>
      </c>
      <c r="P1803" s="79">
        <v>44986.910266203704</v>
      </c>
      <c r="Q1803" s="77" t="s">
        <v>3042</v>
      </c>
      <c r="R1803" s="77">
        <v>0</v>
      </c>
      <c r="S1803" s="77">
        <v>1</v>
      </c>
      <c r="T1803" s="77">
        <v>0</v>
      </c>
      <c r="U1803" s="77">
        <v>0</v>
      </c>
      <c r="V1803" s="77">
        <v>32</v>
      </c>
      <c r="W1803" s="82" t="s">
        <v>6023</v>
      </c>
      <c r="X1803" s="80" t="str">
        <f>HYPERLINK("https://youtu.be/ZAnNDR-u7V4")</f>
        <v>https://youtu.be/ZAnNDR-u7V4</v>
      </c>
      <c r="Y1803" s="77" t="s">
        <v>7248</v>
      </c>
      <c r="Z1803" s="77"/>
      <c r="AA1803" s="77" t="s">
        <v>8397</v>
      </c>
      <c r="AB1803" s="77" t="s">
        <v>10130</v>
      </c>
      <c r="AC1803" s="82" t="s">
        <v>10144</v>
      </c>
      <c r="AD1803" s="77" t="s">
        <v>10184</v>
      </c>
      <c r="AE1803" s="80" t="str">
        <f>HYPERLINK("https://twitter.com/maixtv/status/1631049369704099841")</f>
        <v>https://twitter.com/maixtv/status/1631049369704099841</v>
      </c>
      <c r="AF1803" s="79">
        <v>44986.910266203704</v>
      </c>
      <c r="AG1803" s="85">
        <v>44986</v>
      </c>
      <c r="AH1803" s="82" t="s">
        <v>11925</v>
      </c>
      <c r="AI1803" s="77" t="b">
        <v>0</v>
      </c>
      <c r="AJ1803" s="77"/>
      <c r="AK1803" s="77"/>
      <c r="AL1803" s="77"/>
      <c r="AM1803" s="77"/>
      <c r="AN1803" s="77"/>
      <c r="AO1803" s="77"/>
      <c r="AP1803" s="77"/>
      <c r="AQ1803" s="77" t="s">
        <v>15041</v>
      </c>
      <c r="AR1803" s="77"/>
      <c r="AS1803" s="77"/>
      <c r="AT1803" s="77"/>
      <c r="AU1803" s="77"/>
      <c r="AV1803" s="80" t="str">
        <f>HYPERLINK("https://pbs.twimg.com/media/FqKmwh1X0AEl0Jn.jpg")</f>
        <v>https://pbs.twimg.com/media/FqKmwh1X0AEl0Jn.jpg</v>
      </c>
      <c r="AW1803" s="82" t="s">
        <v>18571</v>
      </c>
      <c r="AX1803" s="82" t="s">
        <v>18571</v>
      </c>
      <c r="AY1803" s="77"/>
      <c r="AZ1803" s="82" t="s">
        <v>20971</v>
      </c>
      <c r="BA1803" s="82" t="s">
        <v>20971</v>
      </c>
      <c r="BB1803" s="82" t="s">
        <v>20971</v>
      </c>
      <c r="BC1803" s="82" t="s">
        <v>18571</v>
      </c>
      <c r="BD1803" s="82" t="s">
        <v>21339</v>
      </c>
      <c r="BE1803" s="77"/>
      <c r="BF1803" s="77"/>
      <c r="BG1803" s="77"/>
      <c r="BH1803" s="77"/>
      <c r="BI1803" s="77"/>
    </row>
    <row r="1804" spans="1:61" x14ac:dyDescent="0.25">
      <c r="A1804" s="62" t="s">
        <v>662</v>
      </c>
      <c r="B1804" s="62" t="s">
        <v>662</v>
      </c>
      <c r="C1804" s="63"/>
      <c r="D1804" s="64"/>
      <c r="E1804" s="65"/>
      <c r="F1804" s="66"/>
      <c r="G1804" s="63"/>
      <c r="H1804" s="67"/>
      <c r="I1804" s="68"/>
      <c r="J1804" s="68"/>
      <c r="K1804" s="32"/>
      <c r="L1804" s="75">
        <v>1804</v>
      </c>
      <c r="M1804" s="75"/>
      <c r="N1804" s="70"/>
      <c r="O1804" s="77" t="s">
        <v>179</v>
      </c>
      <c r="P1804" s="79">
        <v>45140.688333333332</v>
      </c>
      <c r="Q1804" s="77" t="s">
        <v>3043</v>
      </c>
      <c r="R1804" s="77">
        <v>0</v>
      </c>
      <c r="S1804" s="77">
        <v>0</v>
      </c>
      <c r="T1804" s="77">
        <v>0</v>
      </c>
      <c r="U1804" s="77">
        <v>0</v>
      </c>
      <c r="V1804" s="77">
        <v>55</v>
      </c>
      <c r="W1804" s="82" t="s">
        <v>6024</v>
      </c>
      <c r="X1804" s="80" t="str">
        <f>HYPERLINK("https://hotm.art/RZzXQOWS")</f>
        <v>https://hotm.art/RZzXQOWS</v>
      </c>
      <c r="Y1804" s="77" t="s">
        <v>7260</v>
      </c>
      <c r="Z1804" s="77"/>
      <c r="AA1804" s="77" t="s">
        <v>8398</v>
      </c>
      <c r="AB1804" s="77" t="s">
        <v>10130</v>
      </c>
      <c r="AC1804" s="82" t="s">
        <v>10146</v>
      </c>
      <c r="AD1804" s="77" t="s">
        <v>10184</v>
      </c>
      <c r="AE1804" s="80" t="str">
        <f>HYPERLINK("https://twitter.com/ellenreissa/status/1686776672102629377")</f>
        <v>https://twitter.com/ellenreissa/status/1686776672102629377</v>
      </c>
      <c r="AF1804" s="79">
        <v>45140.688333333332</v>
      </c>
      <c r="AG1804" s="85">
        <v>45140</v>
      </c>
      <c r="AH1804" s="82" t="s">
        <v>11926</v>
      </c>
      <c r="AI1804" s="77" t="b">
        <v>0</v>
      </c>
      <c r="AJ1804" s="77"/>
      <c r="AK1804" s="77"/>
      <c r="AL1804" s="77"/>
      <c r="AM1804" s="77"/>
      <c r="AN1804" s="77"/>
      <c r="AO1804" s="77"/>
      <c r="AP1804" s="77"/>
      <c r="AQ1804" s="77" t="s">
        <v>15042</v>
      </c>
      <c r="AR1804" s="77"/>
      <c r="AS1804" s="77"/>
      <c r="AT1804" s="77"/>
      <c r="AU1804" s="77"/>
      <c r="AV1804" s="80" t="str">
        <f>HYPERLINK("https://pbs.twimg.com/media/F2ihd5YXwAkNrze.png")</f>
        <v>https://pbs.twimg.com/media/F2ihd5YXwAkNrze.png</v>
      </c>
      <c r="AW1804" s="82" t="s">
        <v>18572</v>
      </c>
      <c r="AX1804" s="82" t="s">
        <v>18572</v>
      </c>
      <c r="AY1804" s="77"/>
      <c r="AZ1804" s="82" t="s">
        <v>20971</v>
      </c>
      <c r="BA1804" s="82" t="s">
        <v>20971</v>
      </c>
      <c r="BB1804" s="82" t="s">
        <v>20971</v>
      </c>
      <c r="BC1804" s="82" t="s">
        <v>18572</v>
      </c>
      <c r="BD1804" s="82" t="s">
        <v>21340</v>
      </c>
      <c r="BE1804" s="77"/>
      <c r="BF1804" s="77"/>
      <c r="BG1804" s="77"/>
      <c r="BH1804" s="77"/>
      <c r="BI1804" s="77"/>
    </row>
    <row r="1805" spans="1:61" x14ac:dyDescent="0.25">
      <c r="A1805" s="62" t="s">
        <v>663</v>
      </c>
      <c r="B1805" s="62" t="s">
        <v>663</v>
      </c>
      <c r="C1805" s="63"/>
      <c r="D1805" s="64"/>
      <c r="E1805" s="65"/>
      <c r="F1805" s="66"/>
      <c r="G1805" s="63"/>
      <c r="H1805" s="67"/>
      <c r="I1805" s="68"/>
      <c r="J1805" s="68"/>
      <c r="K1805" s="32"/>
      <c r="L1805" s="75">
        <v>1805</v>
      </c>
      <c r="M1805" s="75"/>
      <c r="N1805" s="70"/>
      <c r="O1805" s="77" t="s">
        <v>179</v>
      </c>
      <c r="P1805" s="79">
        <v>45180.888819444444</v>
      </c>
      <c r="Q1805" s="77" t="s">
        <v>3044</v>
      </c>
      <c r="R1805" s="77">
        <v>0</v>
      </c>
      <c r="S1805" s="77">
        <v>0</v>
      </c>
      <c r="T1805" s="77">
        <v>0</v>
      </c>
      <c r="U1805" s="77">
        <v>0</v>
      </c>
      <c r="V1805" s="77">
        <v>20</v>
      </c>
      <c r="W1805" s="82" t="s">
        <v>6025</v>
      </c>
      <c r="X1805" s="80" t="str">
        <f>HYPERLINK("https://www.viamais.net/blog/golpe-da-renda-extra-por-pix-veja-como-reaver-seu-dinheiro/")</f>
        <v>https://www.viamais.net/blog/golpe-da-renda-extra-por-pix-veja-como-reaver-seu-dinheiro/</v>
      </c>
      <c r="Y1805" s="77" t="s">
        <v>7366</v>
      </c>
      <c r="Z1805" s="77"/>
      <c r="AA1805" s="77"/>
      <c r="AB1805" s="77"/>
      <c r="AC1805" s="82" t="s">
        <v>10146</v>
      </c>
      <c r="AD1805" s="77" t="s">
        <v>10184</v>
      </c>
      <c r="AE1805" s="80" t="str">
        <f>HYPERLINK("https://twitter.com/petterrafael/status/1701344840167100575")</f>
        <v>https://twitter.com/petterrafael/status/1701344840167100575</v>
      </c>
      <c r="AF1805" s="79">
        <v>45180.888819444444</v>
      </c>
      <c r="AG1805" s="85">
        <v>45180</v>
      </c>
      <c r="AH1805" s="82" t="s">
        <v>11927</v>
      </c>
      <c r="AI1805" s="77" t="b">
        <v>0</v>
      </c>
      <c r="AJ1805" s="77"/>
      <c r="AK1805" s="77"/>
      <c r="AL1805" s="77"/>
      <c r="AM1805" s="77"/>
      <c r="AN1805" s="77"/>
      <c r="AO1805" s="77"/>
      <c r="AP1805" s="77"/>
      <c r="AQ1805" s="77"/>
      <c r="AR1805" s="77"/>
      <c r="AS1805" s="77"/>
      <c r="AT1805" s="77"/>
      <c r="AU1805" s="77"/>
      <c r="AV1805" s="80" t="str">
        <f>HYPERLINK("https://pbs.twimg.com/profile_images/760386697/foto_normal.jpg")</f>
        <v>https://pbs.twimg.com/profile_images/760386697/foto_normal.jpg</v>
      </c>
      <c r="AW1805" s="82" t="s">
        <v>18573</v>
      </c>
      <c r="AX1805" s="82" t="s">
        <v>18573</v>
      </c>
      <c r="AY1805" s="77"/>
      <c r="AZ1805" s="82" t="s">
        <v>20971</v>
      </c>
      <c r="BA1805" s="82" t="s">
        <v>20971</v>
      </c>
      <c r="BB1805" s="82" t="s">
        <v>20971</v>
      </c>
      <c r="BC1805" s="82" t="s">
        <v>18573</v>
      </c>
      <c r="BD1805" s="77">
        <v>55018570</v>
      </c>
      <c r="BE1805" s="77"/>
      <c r="BF1805" s="77"/>
      <c r="BG1805" s="77"/>
      <c r="BH1805" s="77"/>
      <c r="BI1805" s="77"/>
    </row>
    <row r="1806" spans="1:61" x14ac:dyDescent="0.25">
      <c r="A1806" s="62" t="s">
        <v>664</v>
      </c>
      <c r="B1806" s="62" t="s">
        <v>1241</v>
      </c>
      <c r="C1806" s="63"/>
      <c r="D1806" s="64"/>
      <c r="E1806" s="65"/>
      <c r="F1806" s="66"/>
      <c r="G1806" s="63"/>
      <c r="H1806" s="67"/>
      <c r="I1806" s="68"/>
      <c r="J1806" s="68"/>
      <c r="K1806" s="32"/>
      <c r="L1806" s="75">
        <v>1806</v>
      </c>
      <c r="M1806" s="75"/>
      <c r="N1806" s="70"/>
      <c r="O1806" s="77" t="s">
        <v>1285</v>
      </c>
      <c r="P1806" s="79">
        <v>44983.566342592596</v>
      </c>
      <c r="Q1806" s="77" t="s">
        <v>3045</v>
      </c>
      <c r="R1806" s="77">
        <v>0</v>
      </c>
      <c r="S1806" s="77">
        <v>0</v>
      </c>
      <c r="T1806" s="77">
        <v>0</v>
      </c>
      <c r="U1806" s="77">
        <v>0</v>
      </c>
      <c r="V1806" s="77">
        <v>23</v>
      </c>
      <c r="W1806" s="82" t="s">
        <v>6026</v>
      </c>
      <c r="X1806" s="80" t="str">
        <f>HYPERLINK("https://youtube.com/shorts/cyXvPhne7YU?feature=share")</f>
        <v>https://youtube.com/shorts/cyXvPhne7YU?feature=share</v>
      </c>
      <c r="Y1806" s="77" t="s">
        <v>7303</v>
      </c>
      <c r="Z1806" s="77" t="s">
        <v>1241</v>
      </c>
      <c r="AA1806" s="77"/>
      <c r="AB1806" s="77"/>
      <c r="AC1806" s="82" t="s">
        <v>10145</v>
      </c>
      <c r="AD1806" s="77" t="s">
        <v>10184</v>
      </c>
      <c r="AE1806" s="80" t="str">
        <f>HYPERLINK("https://twitter.com/missao_renda/status/1629837569939714051")</f>
        <v>https://twitter.com/missao_renda/status/1629837569939714051</v>
      </c>
      <c r="AF1806" s="79">
        <v>44983.566342592596</v>
      </c>
      <c r="AG1806" s="85">
        <v>44983</v>
      </c>
      <c r="AH1806" s="82" t="s">
        <v>11928</v>
      </c>
      <c r="AI1806" s="77" t="b">
        <v>0</v>
      </c>
      <c r="AJ1806" s="77"/>
      <c r="AK1806" s="77"/>
      <c r="AL1806" s="77"/>
      <c r="AM1806" s="77"/>
      <c r="AN1806" s="77"/>
      <c r="AO1806" s="77"/>
      <c r="AP1806" s="77"/>
      <c r="AQ1806" s="77"/>
      <c r="AR1806" s="77"/>
      <c r="AS1806" s="77"/>
      <c r="AT1806" s="77"/>
      <c r="AU1806" s="77"/>
      <c r="AV1806" s="80" t="str">
        <f>HYPERLINK("https://pbs.twimg.com/profile_images/1607367918798372865/hgyduReQ_normal.jpg")</f>
        <v>https://pbs.twimg.com/profile_images/1607367918798372865/hgyduReQ_normal.jpg</v>
      </c>
      <c r="AW1806" s="82" t="s">
        <v>18574</v>
      </c>
      <c r="AX1806" s="82" t="s">
        <v>18574</v>
      </c>
      <c r="AY1806" s="77"/>
      <c r="AZ1806" s="82" t="s">
        <v>20971</v>
      </c>
      <c r="BA1806" s="82" t="s">
        <v>20971</v>
      </c>
      <c r="BB1806" s="82" t="s">
        <v>20971</v>
      </c>
      <c r="BC1806" s="82" t="s">
        <v>18574</v>
      </c>
      <c r="BD1806" s="82" t="s">
        <v>21341</v>
      </c>
      <c r="BE1806" s="77"/>
      <c r="BF1806" s="77"/>
      <c r="BG1806" s="77"/>
      <c r="BH1806" s="77"/>
      <c r="BI1806" s="77"/>
    </row>
    <row r="1807" spans="1:61" x14ac:dyDescent="0.25">
      <c r="A1807" s="62" t="s">
        <v>665</v>
      </c>
      <c r="B1807" s="62" t="s">
        <v>665</v>
      </c>
      <c r="C1807" s="63"/>
      <c r="D1807" s="64"/>
      <c r="E1807" s="65"/>
      <c r="F1807" s="66"/>
      <c r="G1807" s="63"/>
      <c r="H1807" s="67"/>
      <c r="I1807" s="68"/>
      <c r="J1807" s="68"/>
      <c r="K1807" s="32"/>
      <c r="L1807" s="75">
        <v>1807</v>
      </c>
      <c r="M1807" s="75"/>
      <c r="N1807" s="70"/>
      <c r="O1807" s="77" t="s">
        <v>179</v>
      </c>
      <c r="P1807" s="79">
        <v>44974.033900462964</v>
      </c>
      <c r="Q1807" s="77" t="s">
        <v>3046</v>
      </c>
      <c r="R1807" s="77">
        <v>0</v>
      </c>
      <c r="S1807" s="77">
        <v>0</v>
      </c>
      <c r="T1807" s="77">
        <v>0</v>
      </c>
      <c r="U1807" s="77">
        <v>0</v>
      </c>
      <c r="V1807" s="77">
        <v>13</v>
      </c>
      <c r="W1807" s="82" t="s">
        <v>5973</v>
      </c>
      <c r="X1807" s="77"/>
      <c r="Y1807" s="77"/>
      <c r="Z1807" s="77"/>
      <c r="AA1807" s="77"/>
      <c r="AB1807" s="77"/>
      <c r="AC1807" s="82" t="s">
        <v>10144</v>
      </c>
      <c r="AD1807" s="77" t="s">
        <v>10184</v>
      </c>
      <c r="AE1807" s="80" t="str">
        <f>HYPERLINK("https://twitter.com/alexcardosomkt/status/1626383129744228355")</f>
        <v>https://twitter.com/alexcardosomkt/status/1626383129744228355</v>
      </c>
      <c r="AF1807" s="79">
        <v>44974.033900462964</v>
      </c>
      <c r="AG1807" s="85">
        <v>44974</v>
      </c>
      <c r="AH1807" s="82" t="s">
        <v>11929</v>
      </c>
      <c r="AI1807" s="77"/>
      <c r="AJ1807" s="77"/>
      <c r="AK1807" s="77"/>
      <c r="AL1807" s="77"/>
      <c r="AM1807" s="77"/>
      <c r="AN1807" s="77"/>
      <c r="AO1807" s="77"/>
      <c r="AP1807" s="77"/>
      <c r="AQ1807" s="77"/>
      <c r="AR1807" s="77"/>
      <c r="AS1807" s="77"/>
      <c r="AT1807" s="77"/>
      <c r="AU1807" s="77"/>
      <c r="AV1807" s="80" t="str">
        <f>HYPERLINK("https://pbs.twimg.com/profile_images/1625847121659281408/2iIetmdb_normal.jpg")</f>
        <v>https://pbs.twimg.com/profile_images/1625847121659281408/2iIetmdb_normal.jpg</v>
      </c>
      <c r="AW1807" s="82" t="s">
        <v>18575</v>
      </c>
      <c r="AX1807" s="82" t="s">
        <v>18575</v>
      </c>
      <c r="AY1807" s="77"/>
      <c r="AZ1807" s="82" t="s">
        <v>20971</v>
      </c>
      <c r="BA1807" s="82" t="s">
        <v>20971</v>
      </c>
      <c r="BB1807" s="82" t="s">
        <v>20971</v>
      </c>
      <c r="BC1807" s="82" t="s">
        <v>18575</v>
      </c>
      <c r="BD1807" s="82" t="s">
        <v>21342</v>
      </c>
      <c r="BE1807" s="77"/>
      <c r="BF1807" s="77"/>
      <c r="BG1807" s="77"/>
      <c r="BH1807" s="77"/>
      <c r="BI1807" s="77"/>
    </row>
    <row r="1808" spans="1:61" x14ac:dyDescent="0.25">
      <c r="A1808" s="62" t="s">
        <v>666</v>
      </c>
      <c r="B1808" s="62" t="s">
        <v>666</v>
      </c>
      <c r="C1808" s="63"/>
      <c r="D1808" s="64"/>
      <c r="E1808" s="65"/>
      <c r="F1808" s="66"/>
      <c r="G1808" s="63"/>
      <c r="H1808" s="67"/>
      <c r="I1808" s="68"/>
      <c r="J1808" s="68"/>
      <c r="K1808" s="32"/>
      <c r="L1808" s="75">
        <v>1808</v>
      </c>
      <c r="M1808" s="75"/>
      <c r="N1808" s="70"/>
      <c r="O1808" s="77" t="s">
        <v>179</v>
      </c>
      <c r="P1808" s="79">
        <v>45171.829884259256</v>
      </c>
      <c r="Q1808" s="77" t="s">
        <v>3047</v>
      </c>
      <c r="R1808" s="77">
        <v>0</v>
      </c>
      <c r="S1808" s="77">
        <v>0</v>
      </c>
      <c r="T1808" s="77">
        <v>0</v>
      </c>
      <c r="U1808" s="77">
        <v>0</v>
      </c>
      <c r="V1808" s="77">
        <v>64</v>
      </c>
      <c r="W1808" s="82" t="s">
        <v>6027</v>
      </c>
      <c r="X1808" s="77"/>
      <c r="Y1808" s="77"/>
      <c r="Z1808" s="77"/>
      <c r="AA1808" s="77" t="s">
        <v>8399</v>
      </c>
      <c r="AB1808" s="77" t="s">
        <v>10129</v>
      </c>
      <c r="AC1808" s="82" t="s">
        <v>10146</v>
      </c>
      <c r="AD1808" s="77" t="s">
        <v>10184</v>
      </c>
      <c r="AE1808" s="80" t="str">
        <f>HYPERLINK("https://twitter.com/jonclipe/status/1698061993804988693")</f>
        <v>https://twitter.com/jonclipe/status/1698061993804988693</v>
      </c>
      <c r="AF1808" s="79">
        <v>45171.829884259256</v>
      </c>
      <c r="AG1808" s="85">
        <v>45171</v>
      </c>
      <c r="AH1808" s="82" t="s">
        <v>11930</v>
      </c>
      <c r="AI1808" s="77" t="b">
        <v>0</v>
      </c>
      <c r="AJ1808" s="77"/>
      <c r="AK1808" s="77"/>
      <c r="AL1808" s="77"/>
      <c r="AM1808" s="77"/>
      <c r="AN1808" s="77"/>
      <c r="AO1808" s="77"/>
      <c r="AP1808" s="77"/>
      <c r="AQ1808" s="77" t="s">
        <v>15043</v>
      </c>
      <c r="AR1808" s="77">
        <v>18000</v>
      </c>
      <c r="AS1808" s="77"/>
      <c r="AT1808" s="77"/>
      <c r="AU1808" s="77"/>
      <c r="AV1808" s="80" t="str">
        <f>HYPERLINK("https://pbs.twimg.com/ext_tw_video_thumb/1698061675293786112/pu/img/Gx4ARRlOmbBDRwHn.jpg")</f>
        <v>https://pbs.twimg.com/ext_tw_video_thumb/1698061675293786112/pu/img/Gx4ARRlOmbBDRwHn.jpg</v>
      </c>
      <c r="AW1808" s="82" t="s">
        <v>18576</v>
      </c>
      <c r="AX1808" s="82" t="s">
        <v>18576</v>
      </c>
      <c r="AY1808" s="77"/>
      <c r="AZ1808" s="82" t="s">
        <v>20971</v>
      </c>
      <c r="BA1808" s="82" t="s">
        <v>20971</v>
      </c>
      <c r="BB1808" s="82" t="s">
        <v>20971</v>
      </c>
      <c r="BC1808" s="82" t="s">
        <v>18576</v>
      </c>
      <c r="BD1808" s="82" t="s">
        <v>21343</v>
      </c>
      <c r="BE1808" s="77"/>
      <c r="BF1808" s="77"/>
      <c r="BG1808" s="77"/>
      <c r="BH1808" s="77"/>
      <c r="BI1808" s="77"/>
    </row>
    <row r="1809" spans="1:61" x14ac:dyDescent="0.25">
      <c r="A1809" s="62" t="s">
        <v>667</v>
      </c>
      <c r="B1809" s="62" t="s">
        <v>667</v>
      </c>
      <c r="C1809" s="63"/>
      <c r="D1809" s="64"/>
      <c r="E1809" s="65"/>
      <c r="F1809" s="66"/>
      <c r="G1809" s="63"/>
      <c r="H1809" s="67"/>
      <c r="I1809" s="68"/>
      <c r="J1809" s="68"/>
      <c r="K1809" s="32"/>
      <c r="L1809" s="75">
        <v>1809</v>
      </c>
      <c r="M1809" s="75"/>
      <c r="N1809" s="70"/>
      <c r="O1809" s="77" t="s">
        <v>179</v>
      </c>
      <c r="P1809" s="79">
        <v>45040.162488425929</v>
      </c>
      <c r="Q1809" s="77" t="s">
        <v>3048</v>
      </c>
      <c r="R1809" s="77">
        <v>1</v>
      </c>
      <c r="S1809" s="77">
        <v>2</v>
      </c>
      <c r="T1809" s="77">
        <v>1</v>
      </c>
      <c r="U1809" s="77">
        <v>0</v>
      </c>
      <c r="V1809" s="77">
        <v>138</v>
      </c>
      <c r="W1809" s="82" t="s">
        <v>6028</v>
      </c>
      <c r="X1809" s="80" t="str">
        <f>HYPERLINK("https://lmwr.com/?ref=2NNBZE")</f>
        <v>https://lmwr.com/?ref=2NNBZE</v>
      </c>
      <c r="Y1809" s="77" t="s">
        <v>7298</v>
      </c>
      <c r="Z1809" s="77"/>
      <c r="AA1809" s="77" t="s">
        <v>8400</v>
      </c>
      <c r="AB1809" s="77" t="s">
        <v>10130</v>
      </c>
      <c r="AC1809" s="82" t="s">
        <v>10146</v>
      </c>
      <c r="AD1809" s="77" t="s">
        <v>10184</v>
      </c>
      <c r="AE1809" s="80" t="str">
        <f>HYPERLINK("https://twitter.com/thebobsworldd/status/1650347329206009856")</f>
        <v>https://twitter.com/thebobsworldd/status/1650347329206009856</v>
      </c>
      <c r="AF1809" s="79">
        <v>45040.162488425929</v>
      </c>
      <c r="AG1809" s="85">
        <v>45040</v>
      </c>
      <c r="AH1809" s="82" t="s">
        <v>11931</v>
      </c>
      <c r="AI1809" s="77" t="b">
        <v>0</v>
      </c>
      <c r="AJ1809" s="77"/>
      <c r="AK1809" s="77"/>
      <c r="AL1809" s="77"/>
      <c r="AM1809" s="77"/>
      <c r="AN1809" s="77"/>
      <c r="AO1809" s="77"/>
      <c r="AP1809" s="77"/>
      <c r="AQ1809" s="77" t="s">
        <v>15044</v>
      </c>
      <c r="AR1809" s="77"/>
      <c r="AS1809" s="77"/>
      <c r="AT1809" s="77"/>
      <c r="AU1809" s="77"/>
      <c r="AV1809" s="80" t="str">
        <f>HYPERLINK("https://pbs.twimg.com/media/Fuc2F0zWcAEe8if.jpg")</f>
        <v>https://pbs.twimg.com/media/Fuc2F0zWcAEe8if.jpg</v>
      </c>
      <c r="AW1809" s="82" t="s">
        <v>18577</v>
      </c>
      <c r="AX1809" s="82" t="s">
        <v>18577</v>
      </c>
      <c r="AY1809" s="77"/>
      <c r="AZ1809" s="82" t="s">
        <v>20971</v>
      </c>
      <c r="BA1809" s="82" t="s">
        <v>20971</v>
      </c>
      <c r="BB1809" s="82" t="s">
        <v>20971</v>
      </c>
      <c r="BC1809" s="82" t="s">
        <v>18577</v>
      </c>
      <c r="BD1809" s="82" t="s">
        <v>21344</v>
      </c>
      <c r="BE1809" s="77"/>
      <c r="BF1809" s="77"/>
      <c r="BG1809" s="77"/>
      <c r="BH1809" s="77"/>
      <c r="BI1809" s="77"/>
    </row>
    <row r="1810" spans="1:61" x14ac:dyDescent="0.25">
      <c r="A1810" s="62" t="s">
        <v>668</v>
      </c>
      <c r="B1810" s="62" t="s">
        <v>668</v>
      </c>
      <c r="C1810" s="63"/>
      <c r="D1810" s="64"/>
      <c r="E1810" s="65"/>
      <c r="F1810" s="66"/>
      <c r="G1810" s="63"/>
      <c r="H1810" s="67"/>
      <c r="I1810" s="68"/>
      <c r="J1810" s="68"/>
      <c r="K1810" s="32"/>
      <c r="L1810" s="75">
        <v>1810</v>
      </c>
      <c r="M1810" s="75"/>
      <c r="N1810" s="70"/>
      <c r="O1810" s="77" t="s">
        <v>179</v>
      </c>
      <c r="P1810" s="79">
        <v>45104.689560185187</v>
      </c>
      <c r="Q1810" s="77" t="s">
        <v>3049</v>
      </c>
      <c r="R1810" s="77">
        <v>0</v>
      </c>
      <c r="S1810" s="77">
        <v>0</v>
      </c>
      <c r="T1810" s="77">
        <v>0</v>
      </c>
      <c r="U1810" s="77">
        <v>0</v>
      </c>
      <c r="V1810" s="77">
        <v>11</v>
      </c>
      <c r="W1810" s="82" t="s">
        <v>5557</v>
      </c>
      <c r="X1810" s="80" t="str">
        <f>HYPERLINK("https://www.gotchosen.com/@kaizenwoody23/invite/TGDDMEV")</f>
        <v>https://www.gotchosen.com/@kaizenwoody23/invite/TGDDMEV</v>
      </c>
      <c r="Y1810" s="77" t="s">
        <v>7256</v>
      </c>
      <c r="Z1810" s="77"/>
      <c r="AA1810" s="77"/>
      <c r="AB1810" s="77"/>
      <c r="AC1810" s="82" t="s">
        <v>10144</v>
      </c>
      <c r="AD1810" s="77" t="s">
        <v>10184</v>
      </c>
      <c r="AE1810" s="80" t="str">
        <f>HYPERLINK("https://twitter.com/crf_miguell_/status/1673731153440784399")</f>
        <v>https://twitter.com/crf_miguell_/status/1673731153440784399</v>
      </c>
      <c r="AF1810" s="79">
        <v>45104.689560185187</v>
      </c>
      <c r="AG1810" s="85">
        <v>45104</v>
      </c>
      <c r="AH1810" s="82" t="s">
        <v>11932</v>
      </c>
      <c r="AI1810" s="77" t="b">
        <v>1</v>
      </c>
      <c r="AJ1810" s="77"/>
      <c r="AK1810" s="77"/>
      <c r="AL1810" s="77"/>
      <c r="AM1810" s="77"/>
      <c r="AN1810" s="77"/>
      <c r="AO1810" s="77"/>
      <c r="AP1810" s="77"/>
      <c r="AQ1810" s="77"/>
      <c r="AR1810" s="77"/>
      <c r="AS1810" s="77"/>
      <c r="AT1810" s="77"/>
      <c r="AU1810" s="77"/>
      <c r="AV1810" s="80" t="str">
        <f>HYPERLINK("https://pbs.twimg.com/profile_images/1703968762943188992/gXfCMKBL_normal.jpg")</f>
        <v>https://pbs.twimg.com/profile_images/1703968762943188992/gXfCMKBL_normal.jpg</v>
      </c>
      <c r="AW1810" s="82" t="s">
        <v>18578</v>
      </c>
      <c r="AX1810" s="82" t="s">
        <v>18578</v>
      </c>
      <c r="AY1810" s="77"/>
      <c r="AZ1810" s="82" t="s">
        <v>20971</v>
      </c>
      <c r="BA1810" s="82" t="s">
        <v>20971</v>
      </c>
      <c r="BB1810" s="82" t="s">
        <v>20971</v>
      </c>
      <c r="BC1810" s="82" t="s">
        <v>18578</v>
      </c>
      <c r="BD1810" s="77">
        <v>81435340</v>
      </c>
      <c r="BE1810" s="77"/>
      <c r="BF1810" s="77"/>
      <c r="BG1810" s="77"/>
      <c r="BH1810" s="77"/>
      <c r="BI1810" s="77"/>
    </row>
    <row r="1811" spans="1:61" x14ac:dyDescent="0.25">
      <c r="A1811" s="62" t="s">
        <v>669</v>
      </c>
      <c r="B1811" s="62" t="s">
        <v>669</v>
      </c>
      <c r="C1811" s="63"/>
      <c r="D1811" s="64"/>
      <c r="E1811" s="65"/>
      <c r="F1811" s="66"/>
      <c r="G1811" s="63"/>
      <c r="H1811" s="67"/>
      <c r="I1811" s="68"/>
      <c r="J1811" s="68"/>
      <c r="K1811" s="32"/>
      <c r="L1811" s="75">
        <v>1811</v>
      </c>
      <c r="M1811" s="75"/>
      <c r="N1811" s="70"/>
      <c r="O1811" s="77" t="s">
        <v>179</v>
      </c>
      <c r="P1811" s="79">
        <v>45008.686666666668</v>
      </c>
      <c r="Q1811" s="77" t="s">
        <v>3050</v>
      </c>
      <c r="R1811" s="77">
        <v>0</v>
      </c>
      <c r="S1811" s="77">
        <v>1</v>
      </c>
      <c r="T1811" s="77">
        <v>0</v>
      </c>
      <c r="U1811" s="77">
        <v>0</v>
      </c>
      <c r="V1811" s="77">
        <v>18</v>
      </c>
      <c r="W1811" s="82" t="s">
        <v>6029</v>
      </c>
      <c r="X1811" s="80" t="str">
        <f>HYPERLINK("http://www.arasolution.com.br")</f>
        <v>http://www.arasolution.com.br</v>
      </c>
      <c r="Y1811" s="77" t="s">
        <v>7252</v>
      </c>
      <c r="Z1811" s="77"/>
      <c r="AA1811" s="77" t="s">
        <v>8401</v>
      </c>
      <c r="AB1811" s="77" t="s">
        <v>10130</v>
      </c>
      <c r="AC1811" s="82" t="s">
        <v>10145</v>
      </c>
      <c r="AD1811" s="77" t="s">
        <v>10184</v>
      </c>
      <c r="AE1811" s="80" t="str">
        <f>HYPERLINK("https://twitter.com/arasolution/status/1638940872808050688")</f>
        <v>https://twitter.com/arasolution/status/1638940872808050688</v>
      </c>
      <c r="AF1811" s="79">
        <v>45008.686666666668</v>
      </c>
      <c r="AG1811" s="85">
        <v>45008</v>
      </c>
      <c r="AH1811" s="82" t="s">
        <v>11933</v>
      </c>
      <c r="AI1811" s="77" t="b">
        <v>0</v>
      </c>
      <c r="AJ1811" s="77"/>
      <c r="AK1811" s="77"/>
      <c r="AL1811" s="77"/>
      <c r="AM1811" s="77"/>
      <c r="AN1811" s="77"/>
      <c r="AO1811" s="77"/>
      <c r="AP1811" s="77"/>
      <c r="AQ1811" s="77" t="s">
        <v>15045</v>
      </c>
      <c r="AR1811" s="77"/>
      <c r="AS1811" s="77"/>
      <c r="AT1811" s="77"/>
      <c r="AU1811" s="77"/>
      <c r="AV1811" s="80" t="str">
        <f>HYPERLINK("https://pbs.twimg.com/media/Fr6wCYLWIAgkmg4.jpg")</f>
        <v>https://pbs.twimg.com/media/Fr6wCYLWIAgkmg4.jpg</v>
      </c>
      <c r="AW1811" s="82" t="s">
        <v>18579</v>
      </c>
      <c r="AX1811" s="82" t="s">
        <v>18579</v>
      </c>
      <c r="AY1811" s="77"/>
      <c r="AZ1811" s="82" t="s">
        <v>20971</v>
      </c>
      <c r="BA1811" s="82" t="s">
        <v>20971</v>
      </c>
      <c r="BB1811" s="82" t="s">
        <v>20971</v>
      </c>
      <c r="BC1811" s="82" t="s">
        <v>18579</v>
      </c>
      <c r="BD1811" s="82" t="s">
        <v>21345</v>
      </c>
      <c r="BE1811" s="77"/>
      <c r="BF1811" s="77"/>
      <c r="BG1811" s="77"/>
      <c r="BH1811" s="77"/>
      <c r="BI1811" s="77"/>
    </row>
    <row r="1812" spans="1:61" x14ac:dyDescent="0.25">
      <c r="A1812" s="62" t="s">
        <v>670</v>
      </c>
      <c r="B1812" s="62" t="s">
        <v>670</v>
      </c>
      <c r="C1812" s="63"/>
      <c r="D1812" s="64"/>
      <c r="E1812" s="65"/>
      <c r="F1812" s="66"/>
      <c r="G1812" s="63"/>
      <c r="H1812" s="67"/>
      <c r="I1812" s="68"/>
      <c r="J1812" s="68"/>
      <c r="K1812" s="32"/>
      <c r="L1812" s="75">
        <v>1812</v>
      </c>
      <c r="M1812" s="75"/>
      <c r="N1812" s="70"/>
      <c r="O1812" s="77" t="s">
        <v>179</v>
      </c>
      <c r="P1812" s="79">
        <v>45006.529317129629</v>
      </c>
      <c r="Q1812" s="77" t="s">
        <v>3051</v>
      </c>
      <c r="R1812" s="77">
        <v>0</v>
      </c>
      <c r="S1812" s="77">
        <v>0</v>
      </c>
      <c r="T1812" s="77">
        <v>0</v>
      </c>
      <c r="U1812" s="77">
        <v>0</v>
      </c>
      <c r="V1812" s="77">
        <v>189</v>
      </c>
      <c r="W1812" s="82" t="s">
        <v>6030</v>
      </c>
      <c r="X1812" s="80" t="str">
        <f>HYPERLINK("https://www.lobo888.co/?code=yfvpcb")</f>
        <v>https://www.lobo888.co/?code=yfvpcb</v>
      </c>
      <c r="Y1812" s="77" t="s">
        <v>7367</v>
      </c>
      <c r="Z1812" s="77"/>
      <c r="AA1812" s="77" t="s">
        <v>8402</v>
      </c>
      <c r="AB1812" s="77" t="s">
        <v>10130</v>
      </c>
      <c r="AC1812" s="82" t="s">
        <v>10145</v>
      </c>
      <c r="AD1812" s="77" t="s">
        <v>10184</v>
      </c>
      <c r="AE1812" s="80" t="str">
        <f>HYPERLINK("https://twitter.com/rei_slot/status/1638159075304243201")</f>
        <v>https://twitter.com/rei_slot/status/1638159075304243201</v>
      </c>
      <c r="AF1812" s="79">
        <v>45006.529317129629</v>
      </c>
      <c r="AG1812" s="85">
        <v>45006</v>
      </c>
      <c r="AH1812" s="82" t="s">
        <v>11934</v>
      </c>
      <c r="AI1812" s="77" t="b">
        <v>0</v>
      </c>
      <c r="AJ1812" s="77"/>
      <c r="AK1812" s="77"/>
      <c r="AL1812" s="77"/>
      <c r="AM1812" s="77"/>
      <c r="AN1812" s="77"/>
      <c r="AO1812" s="77"/>
      <c r="AP1812" s="77"/>
      <c r="AQ1812" s="77" t="s">
        <v>15046</v>
      </c>
      <c r="AR1812" s="77"/>
      <c r="AS1812" s="77"/>
      <c r="AT1812" s="77"/>
      <c r="AU1812" s="77"/>
      <c r="AV1812" s="80" t="str">
        <f>HYPERLINK("https://pbs.twimg.com/media/Frvo_pJXsAA8Nl9.jpg")</f>
        <v>https://pbs.twimg.com/media/Frvo_pJXsAA8Nl9.jpg</v>
      </c>
      <c r="AW1812" s="82" t="s">
        <v>18580</v>
      </c>
      <c r="AX1812" s="82" t="s">
        <v>18580</v>
      </c>
      <c r="AY1812" s="77"/>
      <c r="AZ1812" s="82" t="s">
        <v>20971</v>
      </c>
      <c r="BA1812" s="82" t="s">
        <v>20971</v>
      </c>
      <c r="BB1812" s="82" t="s">
        <v>20971</v>
      </c>
      <c r="BC1812" s="82" t="s">
        <v>18580</v>
      </c>
      <c r="BD1812" s="82" t="s">
        <v>21346</v>
      </c>
      <c r="BE1812" s="77"/>
      <c r="BF1812" s="77"/>
      <c r="BG1812" s="77"/>
      <c r="BH1812" s="77"/>
      <c r="BI1812" s="77"/>
    </row>
    <row r="1813" spans="1:61" x14ac:dyDescent="0.25">
      <c r="A1813" s="62" t="s">
        <v>671</v>
      </c>
      <c r="B1813" s="62" t="s">
        <v>671</v>
      </c>
      <c r="C1813" s="63"/>
      <c r="D1813" s="64"/>
      <c r="E1813" s="65"/>
      <c r="F1813" s="66"/>
      <c r="G1813" s="63"/>
      <c r="H1813" s="67"/>
      <c r="I1813" s="68"/>
      <c r="J1813" s="68"/>
      <c r="K1813" s="32"/>
      <c r="L1813" s="75">
        <v>1813</v>
      </c>
      <c r="M1813" s="75"/>
      <c r="N1813" s="70"/>
      <c r="O1813" s="77" t="s">
        <v>179</v>
      </c>
      <c r="P1813" s="79">
        <v>45032.5</v>
      </c>
      <c r="Q1813" s="77" t="s">
        <v>3052</v>
      </c>
      <c r="R1813" s="77">
        <v>1</v>
      </c>
      <c r="S1813" s="77">
        <v>3</v>
      </c>
      <c r="T1813" s="77">
        <v>0</v>
      </c>
      <c r="U1813" s="77">
        <v>0</v>
      </c>
      <c r="V1813" s="77">
        <v>342</v>
      </c>
      <c r="W1813" s="82" t="s">
        <v>6031</v>
      </c>
      <c r="X1813" s="80" t="str">
        <f>HYPERLINK("https://flj.com.br/aprenda/proventos-entenda-o-que-sao-e-como-conquistar-bons-lucros")</f>
        <v>https://flj.com.br/aprenda/proventos-entenda-o-que-sao-e-como-conquistar-bons-lucros</v>
      </c>
      <c r="Y1813" s="77" t="s">
        <v>7252</v>
      </c>
      <c r="Z1813" s="77"/>
      <c r="AA1813" s="77"/>
      <c r="AB1813" s="77"/>
      <c r="AC1813" s="82" t="s">
        <v>10146</v>
      </c>
      <c r="AD1813" s="77" t="s">
        <v>10184</v>
      </c>
      <c r="AE1813" s="80" t="str">
        <f>HYPERLINK("https://twitter.com/leiaflj/status/1647570536275275780")</f>
        <v>https://twitter.com/leiaflj/status/1647570536275275780</v>
      </c>
      <c r="AF1813" s="79">
        <v>45032.5</v>
      </c>
      <c r="AG1813" s="85">
        <v>45032</v>
      </c>
      <c r="AH1813" s="82" t="s">
        <v>11935</v>
      </c>
      <c r="AI1813" s="77" t="b">
        <v>0</v>
      </c>
      <c r="AJ1813" s="77"/>
      <c r="AK1813" s="77"/>
      <c r="AL1813" s="77"/>
      <c r="AM1813" s="77"/>
      <c r="AN1813" s="77"/>
      <c r="AO1813" s="77"/>
      <c r="AP1813" s="77"/>
      <c r="AQ1813" s="77"/>
      <c r="AR1813" s="77"/>
      <c r="AS1813" s="77"/>
      <c r="AT1813" s="77"/>
      <c r="AU1813" s="77"/>
      <c r="AV1813" s="80" t="str">
        <f>HYPERLINK("https://pbs.twimg.com/profile_images/1620068456165933060/TShADQck_normal.jpg")</f>
        <v>https://pbs.twimg.com/profile_images/1620068456165933060/TShADQck_normal.jpg</v>
      </c>
      <c r="AW1813" s="82" t="s">
        <v>18581</v>
      </c>
      <c r="AX1813" s="82" t="s">
        <v>18581</v>
      </c>
      <c r="AY1813" s="77"/>
      <c r="AZ1813" s="82" t="s">
        <v>20971</v>
      </c>
      <c r="BA1813" s="82" t="s">
        <v>20971</v>
      </c>
      <c r="BB1813" s="82" t="s">
        <v>20971</v>
      </c>
      <c r="BC1813" s="82" t="s">
        <v>18581</v>
      </c>
      <c r="BD1813" s="82" t="s">
        <v>21347</v>
      </c>
      <c r="BE1813" s="77"/>
      <c r="BF1813" s="77"/>
      <c r="BG1813" s="77"/>
      <c r="BH1813" s="77"/>
      <c r="BI1813" s="77"/>
    </row>
    <row r="1814" spans="1:61" x14ac:dyDescent="0.25">
      <c r="A1814" s="62" t="s">
        <v>672</v>
      </c>
      <c r="B1814" s="62" t="s">
        <v>672</v>
      </c>
      <c r="C1814" s="63"/>
      <c r="D1814" s="64"/>
      <c r="E1814" s="65"/>
      <c r="F1814" s="66"/>
      <c r="G1814" s="63"/>
      <c r="H1814" s="67"/>
      <c r="I1814" s="68"/>
      <c r="J1814" s="68"/>
      <c r="K1814" s="32"/>
      <c r="L1814" s="75">
        <v>1814</v>
      </c>
      <c r="M1814" s="75"/>
      <c r="N1814" s="70"/>
      <c r="O1814" s="77" t="s">
        <v>179</v>
      </c>
      <c r="P1814" s="79">
        <v>45104.944421296299</v>
      </c>
      <c r="Q1814" s="77" t="s">
        <v>3053</v>
      </c>
      <c r="R1814" s="77">
        <v>0</v>
      </c>
      <c r="S1814" s="77">
        <v>1</v>
      </c>
      <c r="T1814" s="77">
        <v>1</v>
      </c>
      <c r="U1814" s="77">
        <v>0</v>
      </c>
      <c r="V1814" s="77">
        <v>26</v>
      </c>
      <c r="W1814" s="82" t="s">
        <v>6032</v>
      </c>
      <c r="X1814" s="80" t="str">
        <f>HYPERLINK("https://wa.link/t97q7f")</f>
        <v>https://wa.link/t97q7f</v>
      </c>
      <c r="Y1814" s="77" t="s">
        <v>7368</v>
      </c>
      <c r="Z1814" s="77"/>
      <c r="AA1814" s="77" t="s">
        <v>8403</v>
      </c>
      <c r="AB1814" s="77" t="s">
        <v>10130</v>
      </c>
      <c r="AC1814" s="82" t="s">
        <v>10144</v>
      </c>
      <c r="AD1814" s="77" t="s">
        <v>10184</v>
      </c>
      <c r="AE1814" s="80" t="str">
        <f>HYPERLINK("https://twitter.com/loree_cassia/status/1673823513042378754")</f>
        <v>https://twitter.com/loree_cassia/status/1673823513042378754</v>
      </c>
      <c r="AF1814" s="79">
        <v>45104.944421296299</v>
      </c>
      <c r="AG1814" s="85">
        <v>45104</v>
      </c>
      <c r="AH1814" s="82" t="s">
        <v>11936</v>
      </c>
      <c r="AI1814" s="77" t="b">
        <v>0</v>
      </c>
      <c r="AJ1814" s="77"/>
      <c r="AK1814" s="77"/>
      <c r="AL1814" s="77"/>
      <c r="AM1814" s="77"/>
      <c r="AN1814" s="77"/>
      <c r="AO1814" s="77"/>
      <c r="AP1814" s="77"/>
      <c r="AQ1814" s="77" t="s">
        <v>15047</v>
      </c>
      <c r="AR1814" s="77"/>
      <c r="AS1814" s="77"/>
      <c r="AT1814" s="77"/>
      <c r="AU1814" s="77"/>
      <c r="AV1814" s="80" t="str">
        <f>HYPERLINK("https://pbs.twimg.com/media/FzqdnKBWAAE6Td6.jpg")</f>
        <v>https://pbs.twimg.com/media/FzqdnKBWAAE6Td6.jpg</v>
      </c>
      <c r="AW1814" s="82" t="s">
        <v>18582</v>
      </c>
      <c r="AX1814" s="82" t="s">
        <v>18582</v>
      </c>
      <c r="AY1814" s="77"/>
      <c r="AZ1814" s="82" t="s">
        <v>20971</v>
      </c>
      <c r="BA1814" s="82" t="s">
        <v>20971</v>
      </c>
      <c r="BB1814" s="82" t="s">
        <v>20971</v>
      </c>
      <c r="BC1814" s="82" t="s">
        <v>18582</v>
      </c>
      <c r="BD1814" s="82" t="s">
        <v>21348</v>
      </c>
      <c r="BE1814" s="77"/>
      <c r="BF1814" s="77"/>
      <c r="BG1814" s="77"/>
      <c r="BH1814" s="77"/>
      <c r="BI1814" s="77"/>
    </row>
    <row r="1815" spans="1:61" x14ac:dyDescent="0.25">
      <c r="A1815" s="62" t="s">
        <v>672</v>
      </c>
      <c r="B1815" s="62" t="s">
        <v>672</v>
      </c>
      <c r="C1815" s="63"/>
      <c r="D1815" s="64"/>
      <c r="E1815" s="65"/>
      <c r="F1815" s="66"/>
      <c r="G1815" s="63"/>
      <c r="H1815" s="67"/>
      <c r="I1815" s="68"/>
      <c r="J1815" s="68"/>
      <c r="K1815" s="32"/>
      <c r="L1815" s="75">
        <v>1815</v>
      </c>
      <c r="M1815" s="75"/>
      <c r="N1815" s="70"/>
      <c r="O1815" s="77" t="s">
        <v>179</v>
      </c>
      <c r="P1815" s="79">
        <v>45104.937210648146</v>
      </c>
      <c r="Q1815" s="77" t="s">
        <v>3054</v>
      </c>
      <c r="R1815" s="77">
        <v>0</v>
      </c>
      <c r="S1815" s="77">
        <v>1</v>
      </c>
      <c r="T1815" s="77">
        <v>0</v>
      </c>
      <c r="U1815" s="77">
        <v>0</v>
      </c>
      <c r="V1815" s="77">
        <v>30</v>
      </c>
      <c r="W1815" s="82" t="s">
        <v>6033</v>
      </c>
      <c r="X1815" s="77"/>
      <c r="Y1815" s="77"/>
      <c r="Z1815" s="77"/>
      <c r="AA1815" s="77" t="s">
        <v>8404</v>
      </c>
      <c r="AB1815" s="77" t="s">
        <v>10130</v>
      </c>
      <c r="AC1815" s="82" t="s">
        <v>10144</v>
      </c>
      <c r="AD1815" s="77" t="s">
        <v>10184</v>
      </c>
      <c r="AE1815" s="80" t="str">
        <f>HYPERLINK("https://twitter.com/loree_cassia/status/1673820901710741508")</f>
        <v>https://twitter.com/loree_cassia/status/1673820901710741508</v>
      </c>
      <c r="AF1815" s="79">
        <v>45104.937210648146</v>
      </c>
      <c r="AG1815" s="85">
        <v>45104</v>
      </c>
      <c r="AH1815" s="82" t="s">
        <v>11937</v>
      </c>
      <c r="AI1815" s="77" t="b">
        <v>0</v>
      </c>
      <c r="AJ1815" s="77"/>
      <c r="AK1815" s="77"/>
      <c r="AL1815" s="77"/>
      <c r="AM1815" s="77"/>
      <c r="AN1815" s="77"/>
      <c r="AO1815" s="77"/>
      <c r="AP1815" s="77"/>
      <c r="AQ1815" s="77" t="s">
        <v>15048</v>
      </c>
      <c r="AR1815" s="77"/>
      <c r="AS1815" s="77"/>
      <c r="AT1815" s="77"/>
      <c r="AU1815" s="77"/>
      <c r="AV1815" s="80" t="str">
        <f>HYPERLINK("https://pbs.twimg.com/media/FzqbO_UWYAAyKuR.jpg")</f>
        <v>https://pbs.twimg.com/media/FzqbO_UWYAAyKuR.jpg</v>
      </c>
      <c r="AW1815" s="82" t="s">
        <v>18583</v>
      </c>
      <c r="AX1815" s="82" t="s">
        <v>18583</v>
      </c>
      <c r="AY1815" s="77"/>
      <c r="AZ1815" s="82" t="s">
        <v>20971</v>
      </c>
      <c r="BA1815" s="82" t="s">
        <v>20971</v>
      </c>
      <c r="BB1815" s="82" t="s">
        <v>20971</v>
      </c>
      <c r="BC1815" s="82" t="s">
        <v>18583</v>
      </c>
      <c r="BD1815" s="82" t="s">
        <v>21348</v>
      </c>
      <c r="BE1815" s="77"/>
      <c r="BF1815" s="77"/>
      <c r="BG1815" s="77"/>
      <c r="BH1815" s="77"/>
      <c r="BI1815" s="77"/>
    </row>
    <row r="1816" spans="1:61" x14ac:dyDescent="0.25">
      <c r="A1816" s="62" t="s">
        <v>673</v>
      </c>
      <c r="B1816" s="62" t="s">
        <v>673</v>
      </c>
      <c r="C1816" s="63"/>
      <c r="D1816" s="64"/>
      <c r="E1816" s="65"/>
      <c r="F1816" s="66"/>
      <c r="G1816" s="63"/>
      <c r="H1816" s="67"/>
      <c r="I1816" s="68"/>
      <c r="J1816" s="68"/>
      <c r="K1816" s="32"/>
      <c r="L1816" s="75">
        <v>1816</v>
      </c>
      <c r="M1816" s="75"/>
      <c r="N1816" s="70"/>
      <c r="O1816" s="77" t="s">
        <v>1284</v>
      </c>
      <c r="P1816" s="79">
        <v>45006.861863425926</v>
      </c>
      <c r="Q1816" s="77" t="s">
        <v>3055</v>
      </c>
      <c r="R1816" s="77">
        <v>0</v>
      </c>
      <c r="S1816" s="77">
        <v>0</v>
      </c>
      <c r="T1816" s="77">
        <v>1</v>
      </c>
      <c r="U1816" s="77">
        <v>0</v>
      </c>
      <c r="V1816" s="77">
        <v>8</v>
      </c>
      <c r="W1816" s="82" t="s">
        <v>6034</v>
      </c>
      <c r="X1816" s="80" t="str">
        <f>HYPERLINK("https://s.kwai.app/f/Aj3X1iOq")</f>
        <v>https://s.kwai.app/f/Aj3X1iOq</v>
      </c>
      <c r="Y1816" s="77" t="s">
        <v>7292</v>
      </c>
      <c r="Z1816" s="77"/>
      <c r="AA1816" s="77"/>
      <c r="AB1816" s="77"/>
      <c r="AC1816" s="82" t="s">
        <v>10144</v>
      </c>
      <c r="AD1816" s="77" t="s">
        <v>10184</v>
      </c>
      <c r="AE1816" s="80" t="str">
        <f>HYPERLINK("https://twitter.com/klebbmultiverso/status/1638279583127556121")</f>
        <v>https://twitter.com/klebbmultiverso/status/1638279583127556121</v>
      </c>
      <c r="AF1816" s="79">
        <v>45006.861863425926</v>
      </c>
      <c r="AG1816" s="85">
        <v>45006</v>
      </c>
      <c r="AH1816" s="82" t="s">
        <v>11938</v>
      </c>
      <c r="AI1816" s="77" t="b">
        <v>0</v>
      </c>
      <c r="AJ1816" s="77"/>
      <c r="AK1816" s="77"/>
      <c r="AL1816" s="77"/>
      <c r="AM1816" s="77"/>
      <c r="AN1816" s="77"/>
      <c r="AO1816" s="77"/>
      <c r="AP1816" s="77"/>
      <c r="AQ1816" s="77"/>
      <c r="AR1816" s="77"/>
      <c r="AS1816" s="77"/>
      <c r="AT1816" s="77"/>
      <c r="AU1816" s="77"/>
      <c r="AV1816" s="80" t="str">
        <f>HYPERLINK("https://pbs.twimg.com/profile_images/1624975450257731584/53IDqROE_normal.jpg")</f>
        <v>https://pbs.twimg.com/profile_images/1624975450257731584/53IDqROE_normal.jpg</v>
      </c>
      <c r="AW1816" s="82" t="s">
        <v>18584</v>
      </c>
      <c r="AX1816" s="82" t="s">
        <v>20830</v>
      </c>
      <c r="AY1816" s="82" t="s">
        <v>20935</v>
      </c>
      <c r="AZ1816" s="82" t="s">
        <v>20830</v>
      </c>
      <c r="BA1816" s="82" t="s">
        <v>20971</v>
      </c>
      <c r="BB1816" s="82" t="s">
        <v>20971</v>
      </c>
      <c r="BC1816" s="82" t="s">
        <v>20830</v>
      </c>
      <c r="BD1816" s="82" t="s">
        <v>20935</v>
      </c>
      <c r="BE1816" s="77"/>
      <c r="BF1816" s="77"/>
      <c r="BG1816" s="77"/>
      <c r="BH1816" s="77"/>
      <c r="BI1816" s="77"/>
    </row>
    <row r="1817" spans="1:61" x14ac:dyDescent="0.25">
      <c r="A1817" s="62" t="s">
        <v>674</v>
      </c>
      <c r="B1817" s="62" t="s">
        <v>674</v>
      </c>
      <c r="C1817" s="63"/>
      <c r="D1817" s="64"/>
      <c r="E1817" s="65"/>
      <c r="F1817" s="66"/>
      <c r="G1817" s="63"/>
      <c r="H1817" s="67"/>
      <c r="I1817" s="68"/>
      <c r="J1817" s="68"/>
      <c r="K1817" s="32"/>
      <c r="L1817" s="75">
        <v>1817</v>
      </c>
      <c r="M1817" s="75"/>
      <c r="N1817" s="70"/>
      <c r="O1817" s="77" t="s">
        <v>179</v>
      </c>
      <c r="P1817" s="79">
        <v>44991.567465277774</v>
      </c>
      <c r="Q1817" s="77" t="s">
        <v>3056</v>
      </c>
      <c r="R1817" s="77">
        <v>0</v>
      </c>
      <c r="S1817" s="77">
        <v>0</v>
      </c>
      <c r="T1817" s="77">
        <v>0</v>
      </c>
      <c r="U1817" s="77">
        <v>0</v>
      </c>
      <c r="V1817" s="77">
        <v>35</v>
      </c>
      <c r="W1817" s="82" t="s">
        <v>6035</v>
      </c>
      <c r="X1817" s="80" t="str">
        <f>HYPERLINK("https://bit.ly/minicursogratuitoomtk")</f>
        <v>https://bit.ly/minicursogratuitoomtk</v>
      </c>
      <c r="Y1817" s="77" t="s">
        <v>7268</v>
      </c>
      <c r="Z1817" s="77"/>
      <c r="AA1817" s="77" t="s">
        <v>8405</v>
      </c>
      <c r="AB1817" s="77" t="s">
        <v>10130</v>
      </c>
      <c r="AC1817" s="82" t="s">
        <v>10145</v>
      </c>
      <c r="AD1817" s="77" t="s">
        <v>10184</v>
      </c>
      <c r="AE1817" s="80" t="str">
        <f>HYPERLINK("https://twitter.com/maiarasanttoos/status/1632737080592809984")</f>
        <v>https://twitter.com/maiarasanttoos/status/1632737080592809984</v>
      </c>
      <c r="AF1817" s="79">
        <v>44991.567465277774</v>
      </c>
      <c r="AG1817" s="85">
        <v>44991</v>
      </c>
      <c r="AH1817" s="82" t="s">
        <v>11939</v>
      </c>
      <c r="AI1817" s="77" t="b">
        <v>0</v>
      </c>
      <c r="AJ1817" s="77"/>
      <c r="AK1817" s="77"/>
      <c r="AL1817" s="77"/>
      <c r="AM1817" s="77"/>
      <c r="AN1817" s="77"/>
      <c r="AO1817" s="77"/>
      <c r="AP1817" s="77"/>
      <c r="AQ1817" s="77" t="s">
        <v>15049</v>
      </c>
      <c r="AR1817" s="77"/>
      <c r="AS1817" s="77"/>
      <c r="AT1817" s="77"/>
      <c r="AU1817" s="77"/>
      <c r="AV1817" s="80" t="str">
        <f>HYPERLINK("https://pbs.twimg.com/media/FqiluFxWYAAB0GT.jpg")</f>
        <v>https://pbs.twimg.com/media/FqiluFxWYAAB0GT.jpg</v>
      </c>
      <c r="AW1817" s="82" t="s">
        <v>18585</v>
      </c>
      <c r="AX1817" s="82" t="s">
        <v>18585</v>
      </c>
      <c r="AY1817" s="77"/>
      <c r="AZ1817" s="82" t="s">
        <v>20971</v>
      </c>
      <c r="BA1817" s="82" t="s">
        <v>20971</v>
      </c>
      <c r="BB1817" s="82" t="s">
        <v>20971</v>
      </c>
      <c r="BC1817" s="82" t="s">
        <v>18585</v>
      </c>
      <c r="BD1817" s="82" t="s">
        <v>21349</v>
      </c>
      <c r="BE1817" s="77"/>
      <c r="BF1817" s="77"/>
      <c r="BG1817" s="77"/>
      <c r="BH1817" s="77"/>
      <c r="BI1817" s="77"/>
    </row>
    <row r="1818" spans="1:61" x14ac:dyDescent="0.25">
      <c r="A1818" s="62" t="s">
        <v>675</v>
      </c>
      <c r="B1818" s="62" t="s">
        <v>675</v>
      </c>
      <c r="C1818" s="63"/>
      <c r="D1818" s="64"/>
      <c r="E1818" s="65"/>
      <c r="F1818" s="66"/>
      <c r="G1818" s="63"/>
      <c r="H1818" s="67"/>
      <c r="I1818" s="68"/>
      <c r="J1818" s="68"/>
      <c r="K1818" s="32"/>
      <c r="L1818" s="75">
        <v>1818</v>
      </c>
      <c r="M1818" s="75"/>
      <c r="N1818" s="70"/>
      <c r="O1818" s="77" t="s">
        <v>179</v>
      </c>
      <c r="P1818" s="79">
        <v>45174.047812500001</v>
      </c>
      <c r="Q1818" s="77" t="s">
        <v>3057</v>
      </c>
      <c r="R1818" s="77">
        <v>0</v>
      </c>
      <c r="S1818" s="77">
        <v>0</v>
      </c>
      <c r="T1818" s="77">
        <v>0</v>
      </c>
      <c r="U1818" s="77">
        <v>0</v>
      </c>
      <c r="V1818" s="77">
        <v>51</v>
      </c>
      <c r="W1818" s="82" t="s">
        <v>6036</v>
      </c>
      <c r="X1818" s="80" t="str">
        <f>HYPERLINK("https://www.popstarwinner.com/invite/?r_id=6071590")</f>
        <v>https://www.popstarwinner.com/invite/?r_id=6071590</v>
      </c>
      <c r="Y1818" s="77" t="s">
        <v>7369</v>
      </c>
      <c r="Z1818" s="77"/>
      <c r="AA1818" s="77" t="s">
        <v>8406</v>
      </c>
      <c r="AB1818" s="77" t="s">
        <v>10130</v>
      </c>
      <c r="AC1818" s="82" t="s">
        <v>10146</v>
      </c>
      <c r="AD1818" s="77" t="s">
        <v>10184</v>
      </c>
      <c r="AE1818" s="80" t="str">
        <f>HYPERLINK("https://twitter.com/letciasilva68/status/1698865743830376841")</f>
        <v>https://twitter.com/letciasilva68/status/1698865743830376841</v>
      </c>
      <c r="AF1818" s="79">
        <v>45174.047812500001</v>
      </c>
      <c r="AG1818" s="85">
        <v>45174</v>
      </c>
      <c r="AH1818" s="82" t="s">
        <v>11940</v>
      </c>
      <c r="AI1818" s="77" t="b">
        <v>0</v>
      </c>
      <c r="AJ1818" s="77"/>
      <c r="AK1818" s="77"/>
      <c r="AL1818" s="77"/>
      <c r="AM1818" s="77"/>
      <c r="AN1818" s="77"/>
      <c r="AO1818" s="77"/>
      <c r="AP1818" s="77"/>
      <c r="AQ1818" s="77" t="s">
        <v>15050</v>
      </c>
      <c r="AR1818" s="77"/>
      <c r="AS1818" s="77"/>
      <c r="AT1818" s="77"/>
      <c r="AU1818" s="77"/>
      <c r="AV1818" s="80" t="str">
        <f>HYPERLINK("https://pbs.twimg.com/media/F5OVU-NWEAMM2fW.jpg")</f>
        <v>https://pbs.twimg.com/media/F5OVU-NWEAMM2fW.jpg</v>
      </c>
      <c r="AW1818" s="82" t="s">
        <v>18586</v>
      </c>
      <c r="AX1818" s="82" t="s">
        <v>18586</v>
      </c>
      <c r="AY1818" s="77"/>
      <c r="AZ1818" s="82" t="s">
        <v>20971</v>
      </c>
      <c r="BA1818" s="82" t="s">
        <v>20971</v>
      </c>
      <c r="BB1818" s="82" t="s">
        <v>20971</v>
      </c>
      <c r="BC1818" s="82" t="s">
        <v>18586</v>
      </c>
      <c r="BD1818" s="82" t="s">
        <v>21350</v>
      </c>
      <c r="BE1818" s="77"/>
      <c r="BF1818" s="77"/>
      <c r="BG1818" s="77"/>
      <c r="BH1818" s="77"/>
      <c r="BI1818" s="77"/>
    </row>
    <row r="1819" spans="1:61" x14ac:dyDescent="0.25">
      <c r="A1819" s="62" t="s">
        <v>676</v>
      </c>
      <c r="B1819" s="62" t="s">
        <v>676</v>
      </c>
      <c r="C1819" s="63"/>
      <c r="D1819" s="64"/>
      <c r="E1819" s="65"/>
      <c r="F1819" s="66"/>
      <c r="G1819" s="63"/>
      <c r="H1819" s="67"/>
      <c r="I1819" s="68"/>
      <c r="J1819" s="68"/>
      <c r="K1819" s="32"/>
      <c r="L1819" s="75">
        <v>1819</v>
      </c>
      <c r="M1819" s="75"/>
      <c r="N1819" s="70"/>
      <c r="O1819" s="77" t="s">
        <v>179</v>
      </c>
      <c r="P1819" s="79">
        <v>45105.674351851849</v>
      </c>
      <c r="Q1819" s="77" t="s">
        <v>3058</v>
      </c>
      <c r="R1819" s="77">
        <v>0</v>
      </c>
      <c r="S1819" s="77">
        <v>1</v>
      </c>
      <c r="T1819" s="77">
        <v>0</v>
      </c>
      <c r="U1819" s="77">
        <v>0</v>
      </c>
      <c r="V1819" s="77">
        <v>153</v>
      </c>
      <c r="W1819" s="82" t="s">
        <v>6037</v>
      </c>
      <c r="X1819" s="80" t="str">
        <f>HYPERLINK("https://edzz.la/PRS3W?a=60459704")</f>
        <v>https://edzz.la/PRS3W?a=60459704</v>
      </c>
      <c r="Y1819" s="77" t="s">
        <v>7271</v>
      </c>
      <c r="Z1819" s="77"/>
      <c r="AA1819" s="77" t="s">
        <v>8407</v>
      </c>
      <c r="AB1819" s="77" t="s">
        <v>10129</v>
      </c>
      <c r="AC1819" s="82" t="s">
        <v>10144</v>
      </c>
      <c r="AD1819" s="77" t="s">
        <v>10184</v>
      </c>
      <c r="AE1819" s="80" t="str">
        <f>HYPERLINK("https://twitter.com/elioliv39989039/status/1674088031739863040")</f>
        <v>https://twitter.com/elioliv39989039/status/1674088031739863040</v>
      </c>
      <c r="AF1819" s="79">
        <v>45105.674351851849</v>
      </c>
      <c r="AG1819" s="85">
        <v>45105</v>
      </c>
      <c r="AH1819" s="82" t="s">
        <v>11941</v>
      </c>
      <c r="AI1819" s="77" t="b">
        <v>0</v>
      </c>
      <c r="AJ1819" s="77"/>
      <c r="AK1819" s="77"/>
      <c r="AL1819" s="77"/>
      <c r="AM1819" s="77"/>
      <c r="AN1819" s="77"/>
      <c r="AO1819" s="77"/>
      <c r="AP1819" s="77"/>
      <c r="AQ1819" s="77" t="s">
        <v>15051</v>
      </c>
      <c r="AR1819" s="77">
        <v>44898</v>
      </c>
      <c r="AS1819" s="77"/>
      <c r="AT1819" s="77"/>
      <c r="AU1819" s="77"/>
      <c r="AV1819" s="80" t="str">
        <f>HYPERLINK("https://pbs.twimg.com/ext_tw_video_thumb/1674087929726091265/pu/img/opSF_x85UOTdZyVP.jpg")</f>
        <v>https://pbs.twimg.com/ext_tw_video_thumb/1674087929726091265/pu/img/opSF_x85UOTdZyVP.jpg</v>
      </c>
      <c r="AW1819" s="82" t="s">
        <v>18587</v>
      </c>
      <c r="AX1819" s="82" t="s">
        <v>18587</v>
      </c>
      <c r="AY1819" s="77"/>
      <c r="AZ1819" s="82" t="s">
        <v>20971</v>
      </c>
      <c r="BA1819" s="82" t="s">
        <v>20971</v>
      </c>
      <c r="BB1819" s="82" t="s">
        <v>20971</v>
      </c>
      <c r="BC1819" s="82" t="s">
        <v>18587</v>
      </c>
      <c r="BD1819" s="82" t="s">
        <v>21351</v>
      </c>
      <c r="BE1819" s="77"/>
      <c r="BF1819" s="77"/>
      <c r="BG1819" s="77"/>
      <c r="BH1819" s="77"/>
      <c r="BI1819" s="77"/>
    </row>
    <row r="1820" spans="1:61" x14ac:dyDescent="0.25">
      <c r="A1820" s="62" t="s">
        <v>676</v>
      </c>
      <c r="B1820" s="62" t="s">
        <v>676</v>
      </c>
      <c r="C1820" s="63"/>
      <c r="D1820" s="64"/>
      <c r="E1820" s="65"/>
      <c r="F1820" s="66"/>
      <c r="G1820" s="63"/>
      <c r="H1820" s="67"/>
      <c r="I1820" s="68"/>
      <c r="J1820" s="68"/>
      <c r="K1820" s="32"/>
      <c r="L1820" s="75">
        <v>1820</v>
      </c>
      <c r="M1820" s="75"/>
      <c r="N1820" s="70"/>
      <c r="O1820" s="77" t="s">
        <v>179</v>
      </c>
      <c r="P1820" s="79">
        <v>45103.713634259257</v>
      </c>
      <c r="Q1820" s="77" t="s">
        <v>3059</v>
      </c>
      <c r="R1820" s="77">
        <v>0</v>
      </c>
      <c r="S1820" s="77">
        <v>1</v>
      </c>
      <c r="T1820" s="77">
        <v>0</v>
      </c>
      <c r="U1820" s="77">
        <v>0</v>
      </c>
      <c r="V1820" s="77">
        <v>354</v>
      </c>
      <c r="W1820" s="82" t="s">
        <v>6038</v>
      </c>
      <c r="X1820" s="80" t="str">
        <f>HYPERLINK("https://go.hotmart.com/M84187164U")</f>
        <v>https://go.hotmart.com/M84187164U</v>
      </c>
      <c r="Y1820" s="77" t="s">
        <v>7251</v>
      </c>
      <c r="Z1820" s="77"/>
      <c r="AA1820" s="77"/>
      <c r="AB1820" s="77"/>
      <c r="AC1820" s="82" t="s">
        <v>10144</v>
      </c>
      <c r="AD1820" s="77" t="s">
        <v>10184</v>
      </c>
      <c r="AE1820" s="80" t="str">
        <f>HYPERLINK("https://twitter.com/elioliv39989039/status/1673377489870110735")</f>
        <v>https://twitter.com/elioliv39989039/status/1673377489870110735</v>
      </c>
      <c r="AF1820" s="79">
        <v>45103.713634259257</v>
      </c>
      <c r="AG1820" s="85">
        <v>45103</v>
      </c>
      <c r="AH1820" s="82" t="s">
        <v>11942</v>
      </c>
      <c r="AI1820" s="77" t="b">
        <v>0</v>
      </c>
      <c r="AJ1820" s="77"/>
      <c r="AK1820" s="77"/>
      <c r="AL1820" s="77"/>
      <c r="AM1820" s="77"/>
      <c r="AN1820" s="77"/>
      <c r="AO1820" s="77"/>
      <c r="AP1820" s="77"/>
      <c r="AQ1820" s="77"/>
      <c r="AR1820" s="77"/>
      <c r="AS1820" s="77"/>
      <c r="AT1820" s="77"/>
      <c r="AU1820" s="77"/>
      <c r="AV1820" s="80" t="str">
        <f>HYPERLINK("https://pbs.twimg.com/profile_images/1646938636997279745/eT63WO_k_normal.jpg")</f>
        <v>https://pbs.twimg.com/profile_images/1646938636997279745/eT63WO_k_normal.jpg</v>
      </c>
      <c r="AW1820" s="82" t="s">
        <v>18588</v>
      </c>
      <c r="AX1820" s="82" t="s">
        <v>18588</v>
      </c>
      <c r="AY1820" s="77"/>
      <c r="AZ1820" s="82" t="s">
        <v>20971</v>
      </c>
      <c r="BA1820" s="82" t="s">
        <v>20971</v>
      </c>
      <c r="BB1820" s="82" t="s">
        <v>20971</v>
      </c>
      <c r="BC1820" s="82" t="s">
        <v>18588</v>
      </c>
      <c r="BD1820" s="82" t="s">
        <v>21351</v>
      </c>
      <c r="BE1820" s="77"/>
      <c r="BF1820" s="77"/>
      <c r="BG1820" s="77"/>
      <c r="BH1820" s="77"/>
      <c r="BI1820" s="77"/>
    </row>
    <row r="1821" spans="1:61" x14ac:dyDescent="0.25">
      <c r="A1821" s="62" t="s">
        <v>677</v>
      </c>
      <c r="B1821" s="62" t="s">
        <v>677</v>
      </c>
      <c r="C1821" s="63"/>
      <c r="D1821" s="64"/>
      <c r="E1821" s="65"/>
      <c r="F1821" s="66"/>
      <c r="G1821" s="63"/>
      <c r="H1821" s="67"/>
      <c r="I1821" s="68"/>
      <c r="J1821" s="68"/>
      <c r="K1821" s="32"/>
      <c r="L1821" s="75">
        <v>1821</v>
      </c>
      <c r="M1821" s="75"/>
      <c r="N1821" s="70"/>
      <c r="O1821" s="77" t="s">
        <v>179</v>
      </c>
      <c r="P1821" s="79">
        <v>45003.202974537038</v>
      </c>
      <c r="Q1821" s="77" t="s">
        <v>3060</v>
      </c>
      <c r="R1821" s="77">
        <v>0</v>
      </c>
      <c r="S1821" s="77">
        <v>0</v>
      </c>
      <c r="T1821" s="77">
        <v>0</v>
      </c>
      <c r="U1821" s="77">
        <v>0</v>
      </c>
      <c r="V1821" s="77">
        <v>11</v>
      </c>
      <c r="W1821" s="82" t="s">
        <v>6039</v>
      </c>
      <c r="X1821" s="80" t="str">
        <f>HYPERLINK("https://go.hotmart.com/J80891479Y")</f>
        <v>https://go.hotmart.com/J80891479Y</v>
      </c>
      <c r="Y1821" s="77" t="s">
        <v>7251</v>
      </c>
      <c r="Z1821" s="77"/>
      <c r="AA1821" s="77"/>
      <c r="AB1821" s="77"/>
      <c r="AC1821" s="82" t="s">
        <v>10144</v>
      </c>
      <c r="AD1821" s="77" t="s">
        <v>10184</v>
      </c>
      <c r="AE1821" s="80" t="str">
        <f>HYPERLINK("https://twitter.com/fernand87494012/status/1636953647878750209")</f>
        <v>https://twitter.com/fernand87494012/status/1636953647878750209</v>
      </c>
      <c r="AF1821" s="79">
        <v>45003.202974537038</v>
      </c>
      <c r="AG1821" s="85">
        <v>45003</v>
      </c>
      <c r="AH1821" s="82" t="s">
        <v>11943</v>
      </c>
      <c r="AI1821" s="77" t="b">
        <v>0</v>
      </c>
      <c r="AJ1821" s="77"/>
      <c r="AK1821" s="77"/>
      <c r="AL1821" s="77"/>
      <c r="AM1821" s="77"/>
      <c r="AN1821" s="77"/>
      <c r="AO1821" s="77"/>
      <c r="AP1821" s="77"/>
      <c r="AQ1821" s="77"/>
      <c r="AR1821" s="77"/>
      <c r="AS1821" s="77"/>
      <c r="AT1821" s="77"/>
      <c r="AU1821" s="77"/>
      <c r="AV1821" s="80" t="str">
        <f>HYPERLINK("https://pbs.twimg.com/profile_images/1490042720307585035/wrf2QTKH_normal.jpg")</f>
        <v>https://pbs.twimg.com/profile_images/1490042720307585035/wrf2QTKH_normal.jpg</v>
      </c>
      <c r="AW1821" s="82" t="s">
        <v>18589</v>
      </c>
      <c r="AX1821" s="82" t="s">
        <v>18589</v>
      </c>
      <c r="AY1821" s="77"/>
      <c r="AZ1821" s="82" t="s">
        <v>20971</v>
      </c>
      <c r="BA1821" s="82" t="s">
        <v>20971</v>
      </c>
      <c r="BB1821" s="82" t="s">
        <v>20971</v>
      </c>
      <c r="BC1821" s="82" t="s">
        <v>18589</v>
      </c>
      <c r="BD1821" s="82" t="s">
        <v>21352</v>
      </c>
      <c r="BE1821" s="77"/>
      <c r="BF1821" s="77"/>
      <c r="BG1821" s="77"/>
      <c r="BH1821" s="77"/>
      <c r="BI1821" s="77"/>
    </row>
    <row r="1822" spans="1:61" x14ac:dyDescent="0.25">
      <c r="A1822" s="62" t="s">
        <v>677</v>
      </c>
      <c r="B1822" s="62" t="s">
        <v>677</v>
      </c>
      <c r="C1822" s="63"/>
      <c r="D1822" s="64"/>
      <c r="E1822" s="65"/>
      <c r="F1822" s="66"/>
      <c r="G1822" s="63"/>
      <c r="H1822" s="67"/>
      <c r="I1822" s="68"/>
      <c r="J1822" s="68"/>
      <c r="K1822" s="32"/>
      <c r="L1822" s="75">
        <v>1822</v>
      </c>
      <c r="M1822" s="75"/>
      <c r="N1822" s="70"/>
      <c r="O1822" s="77" t="s">
        <v>179</v>
      </c>
      <c r="P1822" s="79">
        <v>45001.768935185188</v>
      </c>
      <c r="Q1822" s="77" t="s">
        <v>3061</v>
      </c>
      <c r="R1822" s="77">
        <v>0</v>
      </c>
      <c r="S1822" s="77">
        <v>0</v>
      </c>
      <c r="T1822" s="77">
        <v>0</v>
      </c>
      <c r="U1822" s="77">
        <v>0</v>
      </c>
      <c r="V1822" s="77">
        <v>99</v>
      </c>
      <c r="W1822" s="82" t="s">
        <v>6040</v>
      </c>
      <c r="X1822" s="80" t="str">
        <f>HYPERLINK("https://app.adjust.com/d7c5fm7?label=98108df59c48ce7c")</f>
        <v>https://app.adjust.com/d7c5fm7?label=98108df59c48ce7c</v>
      </c>
      <c r="Y1822" s="77" t="s">
        <v>7370</v>
      </c>
      <c r="Z1822" s="77"/>
      <c r="AA1822" s="77" t="s">
        <v>8408</v>
      </c>
      <c r="AB1822" s="77" t="s">
        <v>10130</v>
      </c>
      <c r="AC1822" s="82" t="s">
        <v>10144</v>
      </c>
      <c r="AD1822" s="77" t="s">
        <v>10184</v>
      </c>
      <c r="AE1822" s="80" t="str">
        <f>HYPERLINK("https://twitter.com/fernand87494012/status/1636433970601574417")</f>
        <v>https://twitter.com/fernand87494012/status/1636433970601574417</v>
      </c>
      <c r="AF1822" s="79">
        <v>45001.768935185188</v>
      </c>
      <c r="AG1822" s="85">
        <v>45001</v>
      </c>
      <c r="AH1822" s="82" t="s">
        <v>11944</v>
      </c>
      <c r="AI1822" s="77" t="b">
        <v>0</v>
      </c>
      <c r="AJ1822" s="77"/>
      <c r="AK1822" s="77"/>
      <c r="AL1822" s="77"/>
      <c r="AM1822" s="77"/>
      <c r="AN1822" s="77"/>
      <c r="AO1822" s="77"/>
      <c r="AP1822" s="77"/>
      <c r="AQ1822" s="77" t="s">
        <v>15052</v>
      </c>
      <c r="AR1822" s="77"/>
      <c r="AS1822" s="77"/>
      <c r="AT1822" s="77"/>
      <c r="AU1822" s="77"/>
      <c r="AV1822" s="80" t="str">
        <f>HYPERLINK("https://pbs.twimg.com/media/FrXIBcoWwBomVmh.jpg")</f>
        <v>https://pbs.twimg.com/media/FrXIBcoWwBomVmh.jpg</v>
      </c>
      <c r="AW1822" s="82" t="s">
        <v>18590</v>
      </c>
      <c r="AX1822" s="82" t="s">
        <v>18590</v>
      </c>
      <c r="AY1822" s="77"/>
      <c r="AZ1822" s="82" t="s">
        <v>20971</v>
      </c>
      <c r="BA1822" s="82" t="s">
        <v>20971</v>
      </c>
      <c r="BB1822" s="82" t="s">
        <v>20971</v>
      </c>
      <c r="BC1822" s="82" t="s">
        <v>18590</v>
      </c>
      <c r="BD1822" s="82" t="s">
        <v>21352</v>
      </c>
      <c r="BE1822" s="77"/>
      <c r="BF1822" s="77"/>
      <c r="BG1822" s="77"/>
      <c r="BH1822" s="77"/>
      <c r="BI1822" s="77"/>
    </row>
    <row r="1823" spans="1:61" x14ac:dyDescent="0.25">
      <c r="A1823" s="62" t="s">
        <v>678</v>
      </c>
      <c r="B1823" s="62" t="s">
        <v>678</v>
      </c>
      <c r="C1823" s="63"/>
      <c r="D1823" s="64"/>
      <c r="E1823" s="65"/>
      <c r="F1823" s="66"/>
      <c r="G1823" s="63"/>
      <c r="H1823" s="67"/>
      <c r="I1823" s="68"/>
      <c r="J1823" s="68"/>
      <c r="K1823" s="32"/>
      <c r="L1823" s="75">
        <v>1823</v>
      </c>
      <c r="M1823" s="75"/>
      <c r="N1823" s="70"/>
      <c r="O1823" s="77" t="s">
        <v>179</v>
      </c>
      <c r="P1823" s="79">
        <v>44984.795104166667</v>
      </c>
      <c r="Q1823" s="77" t="s">
        <v>3062</v>
      </c>
      <c r="R1823" s="77">
        <v>0</v>
      </c>
      <c r="S1823" s="77">
        <v>0</v>
      </c>
      <c r="T1823" s="77">
        <v>0</v>
      </c>
      <c r="U1823" s="77">
        <v>0</v>
      </c>
      <c r="V1823" s="77">
        <v>18</v>
      </c>
      <c r="W1823" s="82" t="s">
        <v>6041</v>
      </c>
      <c r="X1823" s="77"/>
      <c r="Y1823" s="77"/>
      <c r="Z1823" s="77"/>
      <c r="AA1823" s="77"/>
      <c r="AB1823" s="77"/>
      <c r="AC1823" s="82" t="s">
        <v>10146</v>
      </c>
      <c r="AD1823" s="77" t="s">
        <v>10184</v>
      </c>
      <c r="AE1823" s="80" t="str">
        <f>HYPERLINK("https://twitter.com/negocioemvendas/status/1630282858894962688")</f>
        <v>https://twitter.com/negocioemvendas/status/1630282858894962688</v>
      </c>
      <c r="AF1823" s="79">
        <v>44984.795104166667</v>
      </c>
      <c r="AG1823" s="85">
        <v>44984</v>
      </c>
      <c r="AH1823" s="82" t="s">
        <v>11945</v>
      </c>
      <c r="AI1823" s="77"/>
      <c r="AJ1823" s="77"/>
      <c r="AK1823" s="77"/>
      <c r="AL1823" s="77"/>
      <c r="AM1823" s="77"/>
      <c r="AN1823" s="77"/>
      <c r="AO1823" s="77"/>
      <c r="AP1823" s="77"/>
      <c r="AQ1823" s="77"/>
      <c r="AR1823" s="77"/>
      <c r="AS1823" s="77"/>
      <c r="AT1823" s="77"/>
      <c r="AU1823" s="77"/>
      <c r="AV1823" s="80" t="str">
        <f>HYPERLINK("https://pbs.twimg.com/profile_images/1592346315865956353/AXpxHFrp_normal.jpg")</f>
        <v>https://pbs.twimg.com/profile_images/1592346315865956353/AXpxHFrp_normal.jpg</v>
      </c>
      <c r="AW1823" s="82" t="s">
        <v>18591</v>
      </c>
      <c r="AX1823" s="82" t="s">
        <v>18591</v>
      </c>
      <c r="AY1823" s="77"/>
      <c r="AZ1823" s="82" t="s">
        <v>20971</v>
      </c>
      <c r="BA1823" s="82" t="s">
        <v>20971</v>
      </c>
      <c r="BB1823" s="82" t="s">
        <v>20971</v>
      </c>
      <c r="BC1823" s="82" t="s">
        <v>18591</v>
      </c>
      <c r="BD1823" s="82" t="s">
        <v>21353</v>
      </c>
      <c r="BE1823" s="77"/>
      <c r="BF1823" s="77"/>
      <c r="BG1823" s="77"/>
      <c r="BH1823" s="77"/>
      <c r="BI1823" s="77"/>
    </row>
    <row r="1824" spans="1:61" x14ac:dyDescent="0.25">
      <c r="A1824" s="62" t="s">
        <v>678</v>
      </c>
      <c r="B1824" s="62" t="s">
        <v>678</v>
      </c>
      <c r="C1824" s="63"/>
      <c r="D1824" s="64"/>
      <c r="E1824" s="65"/>
      <c r="F1824" s="66"/>
      <c r="G1824" s="63"/>
      <c r="H1824" s="67"/>
      <c r="I1824" s="68"/>
      <c r="J1824" s="68"/>
      <c r="K1824" s="32"/>
      <c r="L1824" s="75">
        <v>1824</v>
      </c>
      <c r="M1824" s="75"/>
      <c r="N1824" s="70"/>
      <c r="O1824" s="77" t="s">
        <v>179</v>
      </c>
      <c r="P1824" s="79">
        <v>44977.754548611112</v>
      </c>
      <c r="Q1824" s="77" t="s">
        <v>3063</v>
      </c>
      <c r="R1824" s="77">
        <v>0</v>
      </c>
      <c r="S1824" s="77">
        <v>0</v>
      </c>
      <c r="T1824" s="77">
        <v>0</v>
      </c>
      <c r="U1824" s="77">
        <v>0</v>
      </c>
      <c r="V1824" s="77">
        <v>24</v>
      </c>
      <c r="W1824" s="82" t="s">
        <v>6042</v>
      </c>
      <c r="X1824" s="80" t="str">
        <f>HYPERLINK("http://bit.ly/3ICWWX0")</f>
        <v>http://bit.ly/3ICWWX0</v>
      </c>
      <c r="Y1824" s="77" t="s">
        <v>7268</v>
      </c>
      <c r="Z1824" s="77"/>
      <c r="AA1824" s="77" t="s">
        <v>8409</v>
      </c>
      <c r="AB1824" s="77" t="s">
        <v>10133</v>
      </c>
      <c r="AC1824" s="82" t="s">
        <v>10146</v>
      </c>
      <c r="AD1824" s="77" t="s">
        <v>10184</v>
      </c>
      <c r="AE1824" s="80" t="str">
        <f>HYPERLINK("https://twitter.com/negocioemvendas/status/1627731448902942721")</f>
        <v>https://twitter.com/negocioemvendas/status/1627731448902942721</v>
      </c>
      <c r="AF1824" s="79">
        <v>44977.754548611112</v>
      </c>
      <c r="AG1824" s="85">
        <v>44977</v>
      </c>
      <c r="AH1824" s="82" t="s">
        <v>11946</v>
      </c>
      <c r="AI1824" s="77" t="b">
        <v>0</v>
      </c>
      <c r="AJ1824" s="77"/>
      <c r="AK1824" s="77"/>
      <c r="AL1824" s="77"/>
      <c r="AM1824" s="77"/>
      <c r="AN1824" s="77"/>
      <c r="AO1824" s="77"/>
      <c r="AP1824" s="77"/>
      <c r="AQ1824" s="77" t="s">
        <v>15053</v>
      </c>
      <c r="AR1824" s="77"/>
      <c r="AS1824" s="77"/>
      <c r="AT1824" s="77"/>
      <c r="AU1824" s="77"/>
      <c r="AV1824" s="80" t="str">
        <f>HYPERLINK("https://pbs.twimg.com/tweet_video_thumb/FpbdHueXgAYkC1C.jpg")</f>
        <v>https://pbs.twimg.com/tweet_video_thumb/FpbdHueXgAYkC1C.jpg</v>
      </c>
      <c r="AW1824" s="82" t="s">
        <v>18592</v>
      </c>
      <c r="AX1824" s="82" t="s">
        <v>18592</v>
      </c>
      <c r="AY1824" s="77"/>
      <c r="AZ1824" s="82" t="s">
        <v>20971</v>
      </c>
      <c r="BA1824" s="82" t="s">
        <v>20971</v>
      </c>
      <c r="BB1824" s="82" t="s">
        <v>20971</v>
      </c>
      <c r="BC1824" s="82" t="s">
        <v>18592</v>
      </c>
      <c r="BD1824" s="82" t="s">
        <v>21353</v>
      </c>
      <c r="BE1824" s="77"/>
      <c r="BF1824" s="77"/>
      <c r="BG1824" s="77"/>
      <c r="BH1824" s="77"/>
      <c r="BI1824" s="77"/>
    </row>
    <row r="1825" spans="1:61" x14ac:dyDescent="0.25">
      <c r="A1825" s="62" t="s">
        <v>679</v>
      </c>
      <c r="B1825" s="62" t="s">
        <v>679</v>
      </c>
      <c r="C1825" s="63"/>
      <c r="D1825" s="64"/>
      <c r="E1825" s="65"/>
      <c r="F1825" s="66"/>
      <c r="G1825" s="63"/>
      <c r="H1825" s="67"/>
      <c r="I1825" s="68"/>
      <c r="J1825" s="68"/>
      <c r="K1825" s="32"/>
      <c r="L1825" s="75">
        <v>1825</v>
      </c>
      <c r="M1825" s="75"/>
      <c r="N1825" s="70"/>
      <c r="O1825" s="77" t="s">
        <v>179</v>
      </c>
      <c r="P1825" s="79">
        <v>44995.018391203703</v>
      </c>
      <c r="Q1825" s="77" t="s">
        <v>3064</v>
      </c>
      <c r="R1825" s="77">
        <v>0</v>
      </c>
      <c r="S1825" s="77">
        <v>0</v>
      </c>
      <c r="T1825" s="77">
        <v>0</v>
      </c>
      <c r="U1825" s="77">
        <v>0</v>
      </c>
      <c r="V1825" s="77">
        <v>17</v>
      </c>
      <c r="W1825" s="82" t="s">
        <v>6043</v>
      </c>
      <c r="X1825" s="77"/>
      <c r="Y1825" s="77"/>
      <c r="Z1825" s="77"/>
      <c r="AA1825" s="77" t="s">
        <v>8410</v>
      </c>
      <c r="AB1825" s="77" t="s">
        <v>10130</v>
      </c>
      <c r="AC1825" s="82" t="s">
        <v>10145</v>
      </c>
      <c r="AD1825" s="77" t="s">
        <v>10184</v>
      </c>
      <c r="AE1825" s="80" t="str">
        <f>HYPERLINK("https://twitter.com/achadotudopouco/status/1633987653631631361")</f>
        <v>https://twitter.com/achadotudopouco/status/1633987653631631361</v>
      </c>
      <c r="AF1825" s="79">
        <v>44995.018391203703</v>
      </c>
      <c r="AG1825" s="85">
        <v>44995</v>
      </c>
      <c r="AH1825" s="82" t="s">
        <v>11947</v>
      </c>
      <c r="AI1825" s="77" t="b">
        <v>0</v>
      </c>
      <c r="AJ1825" s="77"/>
      <c r="AK1825" s="77"/>
      <c r="AL1825" s="77"/>
      <c r="AM1825" s="77"/>
      <c r="AN1825" s="77"/>
      <c r="AO1825" s="77"/>
      <c r="AP1825" s="77"/>
      <c r="AQ1825" s="77" t="s">
        <v>15054</v>
      </c>
      <c r="AR1825" s="77"/>
      <c r="AS1825" s="77"/>
      <c r="AT1825" s="77"/>
      <c r="AU1825" s="77"/>
      <c r="AV1825" s="80" t="str">
        <f>HYPERLINK("https://pbs.twimg.com/media/Fq0XHAVXgAAsbsG.jpg")</f>
        <v>https://pbs.twimg.com/media/Fq0XHAVXgAAsbsG.jpg</v>
      </c>
      <c r="AW1825" s="82" t="s">
        <v>18593</v>
      </c>
      <c r="AX1825" s="82" t="s">
        <v>18593</v>
      </c>
      <c r="AY1825" s="77"/>
      <c r="AZ1825" s="82" t="s">
        <v>20971</v>
      </c>
      <c r="BA1825" s="82" t="s">
        <v>20971</v>
      </c>
      <c r="BB1825" s="82" t="s">
        <v>20971</v>
      </c>
      <c r="BC1825" s="82" t="s">
        <v>18593</v>
      </c>
      <c r="BD1825" s="82" t="s">
        <v>21354</v>
      </c>
      <c r="BE1825" s="77"/>
      <c r="BF1825" s="77"/>
      <c r="BG1825" s="77"/>
      <c r="BH1825" s="77"/>
      <c r="BI1825" s="77"/>
    </row>
    <row r="1826" spans="1:61" x14ac:dyDescent="0.25">
      <c r="A1826" s="62" t="s">
        <v>680</v>
      </c>
      <c r="B1826" s="62" t="s">
        <v>1259</v>
      </c>
      <c r="C1826" s="63"/>
      <c r="D1826" s="64"/>
      <c r="E1826" s="65"/>
      <c r="F1826" s="66"/>
      <c r="G1826" s="63"/>
      <c r="H1826" s="67"/>
      <c r="I1826" s="68"/>
      <c r="J1826" s="68"/>
      <c r="K1826" s="32"/>
      <c r="L1826" s="75">
        <v>1826</v>
      </c>
      <c r="M1826" s="75"/>
      <c r="N1826" s="70"/>
      <c r="O1826" s="77" t="s">
        <v>1284</v>
      </c>
      <c r="P1826" s="79">
        <v>45087.588645833333</v>
      </c>
      <c r="Q1826" s="77" t="s">
        <v>3065</v>
      </c>
      <c r="R1826" s="77">
        <v>0</v>
      </c>
      <c r="S1826" s="77">
        <v>2</v>
      </c>
      <c r="T1826" s="77">
        <v>0</v>
      </c>
      <c r="U1826" s="77">
        <v>0</v>
      </c>
      <c r="V1826" s="77">
        <v>214</v>
      </c>
      <c r="W1826" s="82" t="s">
        <v>6044</v>
      </c>
      <c r="X1826" s="77"/>
      <c r="Y1826" s="77"/>
      <c r="Z1826" s="77" t="s">
        <v>1259</v>
      </c>
      <c r="AA1826" s="77"/>
      <c r="AB1826" s="77"/>
      <c r="AC1826" s="82" t="s">
        <v>10146</v>
      </c>
      <c r="AD1826" s="77" t="s">
        <v>10184</v>
      </c>
      <c r="AE1826" s="80" t="str">
        <f>HYPERLINK("https://twitter.com/focablaze/status/1667533990947897344")</f>
        <v>https://twitter.com/focablaze/status/1667533990947897344</v>
      </c>
      <c r="AF1826" s="79">
        <v>45087.588645833333</v>
      </c>
      <c r="AG1826" s="85">
        <v>45087</v>
      </c>
      <c r="AH1826" s="82" t="s">
        <v>11948</v>
      </c>
      <c r="AI1826" s="77"/>
      <c r="AJ1826" s="77"/>
      <c r="AK1826" s="77"/>
      <c r="AL1826" s="77"/>
      <c r="AM1826" s="77"/>
      <c r="AN1826" s="77"/>
      <c r="AO1826" s="77"/>
      <c r="AP1826" s="77"/>
      <c r="AQ1826" s="77"/>
      <c r="AR1826" s="77"/>
      <c r="AS1826" s="77"/>
      <c r="AT1826" s="77"/>
      <c r="AU1826" s="77"/>
      <c r="AV1826" s="80" t="str">
        <f>HYPERLINK("https://pbs.twimg.com/profile_images/1667524167795720194/igfA2ejL_normal.jpg")</f>
        <v>https://pbs.twimg.com/profile_images/1667524167795720194/igfA2ejL_normal.jpg</v>
      </c>
      <c r="AW1826" s="82" t="s">
        <v>18594</v>
      </c>
      <c r="AX1826" s="82" t="s">
        <v>20831</v>
      </c>
      <c r="AY1826" s="82" t="s">
        <v>20936</v>
      </c>
      <c r="AZ1826" s="82" t="s">
        <v>20831</v>
      </c>
      <c r="BA1826" s="82" t="s">
        <v>20971</v>
      </c>
      <c r="BB1826" s="82" t="s">
        <v>20971</v>
      </c>
      <c r="BC1826" s="82" t="s">
        <v>20831</v>
      </c>
      <c r="BD1826" s="82" t="s">
        <v>21355</v>
      </c>
      <c r="BE1826" s="77"/>
      <c r="BF1826" s="77"/>
      <c r="BG1826" s="77"/>
      <c r="BH1826" s="77"/>
      <c r="BI1826" s="77"/>
    </row>
    <row r="1827" spans="1:61" x14ac:dyDescent="0.25">
      <c r="A1827" s="62" t="s">
        <v>681</v>
      </c>
      <c r="B1827" s="62" t="s">
        <v>1260</v>
      </c>
      <c r="C1827" s="63"/>
      <c r="D1827" s="64"/>
      <c r="E1827" s="65"/>
      <c r="F1827" s="66"/>
      <c r="G1827" s="63"/>
      <c r="H1827" s="67"/>
      <c r="I1827" s="68"/>
      <c r="J1827" s="68"/>
      <c r="K1827" s="32"/>
      <c r="L1827" s="75">
        <v>1827</v>
      </c>
      <c r="M1827" s="75"/>
      <c r="N1827" s="70"/>
      <c r="O1827" s="77" t="s">
        <v>1284</v>
      </c>
      <c r="P1827" s="79">
        <v>45140.779120370367</v>
      </c>
      <c r="Q1827" s="77" t="s">
        <v>3066</v>
      </c>
      <c r="R1827" s="77">
        <v>0</v>
      </c>
      <c r="S1827" s="77">
        <v>0</v>
      </c>
      <c r="T1827" s="77">
        <v>0</v>
      </c>
      <c r="U1827" s="77">
        <v>0</v>
      </c>
      <c r="V1827" s="77">
        <v>80</v>
      </c>
      <c r="W1827" s="82" t="s">
        <v>6045</v>
      </c>
      <c r="X1827" s="77"/>
      <c r="Y1827" s="77"/>
      <c r="Z1827" s="77" t="s">
        <v>1260</v>
      </c>
      <c r="AA1827" s="77"/>
      <c r="AB1827" s="77"/>
      <c r="AC1827" s="82" t="s">
        <v>10146</v>
      </c>
      <c r="AD1827" s="77" t="s">
        <v>10185</v>
      </c>
      <c r="AE1827" s="80" t="str">
        <f>HYPERLINK("https://twitter.com/schwassssss/status/1686809575192752129")</f>
        <v>https://twitter.com/schwassssss/status/1686809575192752129</v>
      </c>
      <c r="AF1827" s="79">
        <v>45140.779120370367</v>
      </c>
      <c r="AG1827" s="85">
        <v>45140</v>
      </c>
      <c r="AH1827" s="82" t="s">
        <v>11949</v>
      </c>
      <c r="AI1827" s="77"/>
      <c r="AJ1827" s="77"/>
      <c r="AK1827" s="77"/>
      <c r="AL1827" s="77"/>
      <c r="AM1827" s="77"/>
      <c r="AN1827" s="77"/>
      <c r="AO1827" s="77"/>
      <c r="AP1827" s="77"/>
      <c r="AQ1827" s="77"/>
      <c r="AR1827" s="77"/>
      <c r="AS1827" s="77"/>
      <c r="AT1827" s="77"/>
      <c r="AU1827" s="77"/>
      <c r="AV1827" s="80" t="str">
        <f>HYPERLINK("https://pbs.twimg.com/profile_images/1699565906202865664/4yDuh3Yi_normal.jpg")</f>
        <v>https://pbs.twimg.com/profile_images/1699565906202865664/4yDuh3Yi_normal.jpg</v>
      </c>
      <c r="AW1827" s="82" t="s">
        <v>18595</v>
      </c>
      <c r="AX1827" s="82" t="s">
        <v>20832</v>
      </c>
      <c r="AY1827" s="82" t="s">
        <v>20937</v>
      </c>
      <c r="AZ1827" s="82" t="s">
        <v>20832</v>
      </c>
      <c r="BA1827" s="82" t="s">
        <v>20971</v>
      </c>
      <c r="BB1827" s="82" t="s">
        <v>20971</v>
      </c>
      <c r="BC1827" s="82" t="s">
        <v>20832</v>
      </c>
      <c r="BD1827" s="77">
        <v>381219260</v>
      </c>
      <c r="BE1827" s="77"/>
      <c r="BF1827" s="77"/>
      <c r="BG1827" s="77"/>
      <c r="BH1827" s="77"/>
      <c r="BI1827" s="77"/>
    </row>
    <row r="1828" spans="1:61" x14ac:dyDescent="0.25">
      <c r="A1828" s="62" t="s">
        <v>682</v>
      </c>
      <c r="B1828" s="62" t="s">
        <v>682</v>
      </c>
      <c r="C1828" s="63"/>
      <c r="D1828" s="64"/>
      <c r="E1828" s="65"/>
      <c r="F1828" s="66"/>
      <c r="G1828" s="63"/>
      <c r="H1828" s="67"/>
      <c r="I1828" s="68"/>
      <c r="J1828" s="68"/>
      <c r="K1828" s="32"/>
      <c r="L1828" s="75">
        <v>1828</v>
      </c>
      <c r="M1828" s="75"/>
      <c r="N1828" s="70"/>
      <c r="O1828" s="77" t="s">
        <v>179</v>
      </c>
      <c r="P1828" s="79">
        <v>45153.022569444445</v>
      </c>
      <c r="Q1828" s="77" t="s">
        <v>3067</v>
      </c>
      <c r="R1828" s="77">
        <v>0</v>
      </c>
      <c r="S1828" s="77">
        <v>0</v>
      </c>
      <c r="T1828" s="77">
        <v>0</v>
      </c>
      <c r="U1828" s="77">
        <v>0</v>
      </c>
      <c r="V1828" s="77">
        <v>121</v>
      </c>
      <c r="W1828" s="82" t="s">
        <v>6046</v>
      </c>
      <c r="X1828" s="80" t="str">
        <f>HYPERLINK("https://r.honeygain.me/MICHA948FB")</f>
        <v>https://r.honeygain.me/MICHA948FB</v>
      </c>
      <c r="Y1828" s="77" t="s">
        <v>7262</v>
      </c>
      <c r="Z1828" s="77"/>
      <c r="AA1828" s="77" t="s">
        <v>8411</v>
      </c>
      <c r="AB1828" s="77" t="s">
        <v>10130</v>
      </c>
      <c r="AC1828" s="82" t="s">
        <v>10144</v>
      </c>
      <c r="AD1828" s="77" t="s">
        <v>10184</v>
      </c>
      <c r="AE1828" s="80" t="str">
        <f>HYPERLINK("https://twitter.com/games_light2004/status/1691246451802669056")</f>
        <v>https://twitter.com/games_light2004/status/1691246451802669056</v>
      </c>
      <c r="AF1828" s="79">
        <v>45153.022569444445</v>
      </c>
      <c r="AG1828" s="85">
        <v>45153</v>
      </c>
      <c r="AH1828" s="82" t="s">
        <v>11950</v>
      </c>
      <c r="AI1828" s="77" t="b">
        <v>0</v>
      </c>
      <c r="AJ1828" s="77"/>
      <c r="AK1828" s="77"/>
      <c r="AL1828" s="77"/>
      <c r="AM1828" s="77"/>
      <c r="AN1828" s="77"/>
      <c r="AO1828" s="77"/>
      <c r="AP1828" s="77"/>
      <c r="AQ1828" s="77" t="s">
        <v>15055</v>
      </c>
      <c r="AR1828" s="77"/>
      <c r="AS1828" s="77"/>
      <c r="AT1828" s="77"/>
      <c r="AU1828" s="77"/>
      <c r="AV1828" s="80" t="str">
        <f>HYPERLINK("https://pbs.twimg.com/media/F3iDr4zWoAIKlk3.jpg")</f>
        <v>https://pbs.twimg.com/media/F3iDr4zWoAIKlk3.jpg</v>
      </c>
      <c r="AW1828" s="82" t="s">
        <v>18596</v>
      </c>
      <c r="AX1828" s="82" t="s">
        <v>18596</v>
      </c>
      <c r="AY1828" s="77"/>
      <c r="AZ1828" s="82" t="s">
        <v>20971</v>
      </c>
      <c r="BA1828" s="82" t="s">
        <v>20971</v>
      </c>
      <c r="BB1828" s="82" t="s">
        <v>20971</v>
      </c>
      <c r="BC1828" s="82" t="s">
        <v>18596</v>
      </c>
      <c r="BD1828" s="82" t="s">
        <v>21356</v>
      </c>
      <c r="BE1828" s="77"/>
      <c r="BF1828" s="77"/>
      <c r="BG1828" s="77"/>
      <c r="BH1828" s="77"/>
      <c r="BI1828" s="77"/>
    </row>
    <row r="1829" spans="1:61" x14ac:dyDescent="0.25">
      <c r="A1829" s="62" t="s">
        <v>683</v>
      </c>
      <c r="B1829" s="62" t="s">
        <v>683</v>
      </c>
      <c r="C1829" s="63"/>
      <c r="D1829" s="64"/>
      <c r="E1829" s="65"/>
      <c r="F1829" s="66"/>
      <c r="G1829" s="63"/>
      <c r="H1829" s="67"/>
      <c r="I1829" s="68"/>
      <c r="J1829" s="68"/>
      <c r="K1829" s="32"/>
      <c r="L1829" s="75">
        <v>1829</v>
      </c>
      <c r="M1829" s="75"/>
      <c r="N1829" s="70"/>
      <c r="O1829" s="77" t="s">
        <v>179</v>
      </c>
      <c r="P1829" s="79">
        <v>45143.617361111108</v>
      </c>
      <c r="Q1829" s="77" t="s">
        <v>3068</v>
      </c>
      <c r="R1829" s="77">
        <v>0</v>
      </c>
      <c r="S1829" s="77">
        <v>0</v>
      </c>
      <c r="T1829" s="77">
        <v>0</v>
      </c>
      <c r="U1829" s="77">
        <v>0</v>
      </c>
      <c r="V1829" s="77">
        <v>83</v>
      </c>
      <c r="W1829" s="82" t="s">
        <v>6047</v>
      </c>
      <c r="X1829" s="80" t="str">
        <f>HYPERLINK("https://321859f.xyz/sharecwbr/ygJZzeCz")</f>
        <v>https://321859f.xyz/sharecwbr/ygJZzeCz</v>
      </c>
      <c r="Y1829" s="77" t="s">
        <v>7371</v>
      </c>
      <c r="Z1829" s="77"/>
      <c r="AA1829" s="77" t="s">
        <v>8412</v>
      </c>
      <c r="AB1829" s="77" t="s">
        <v>10130</v>
      </c>
      <c r="AC1829" s="82" t="s">
        <v>10144</v>
      </c>
      <c r="AD1829" s="77" t="s">
        <v>10184</v>
      </c>
      <c r="AE1829" s="80" t="str">
        <f>HYPERLINK("https://twitter.com/havertzkayan/status/1687838116688564224")</f>
        <v>https://twitter.com/havertzkayan/status/1687838116688564224</v>
      </c>
      <c r="AF1829" s="79">
        <v>45143.617361111108</v>
      </c>
      <c r="AG1829" s="85">
        <v>45143</v>
      </c>
      <c r="AH1829" s="82" t="s">
        <v>11951</v>
      </c>
      <c r="AI1829" s="77" t="b">
        <v>0</v>
      </c>
      <c r="AJ1829" s="77"/>
      <c r="AK1829" s="77"/>
      <c r="AL1829" s="77"/>
      <c r="AM1829" s="77"/>
      <c r="AN1829" s="77"/>
      <c r="AO1829" s="77"/>
      <c r="AP1829" s="77"/>
      <c r="AQ1829" s="77" t="s">
        <v>15056</v>
      </c>
      <c r="AR1829" s="77"/>
      <c r="AS1829" s="77"/>
      <c r="AT1829" s="77"/>
      <c r="AU1829" s="77"/>
      <c r="AV1829" s="80" t="str">
        <f>HYPERLINK("https://pbs.twimg.com/media/F2xn0l6WYAAlwCh.jpg")</f>
        <v>https://pbs.twimg.com/media/F2xn0l6WYAAlwCh.jpg</v>
      </c>
      <c r="AW1829" s="82" t="s">
        <v>18597</v>
      </c>
      <c r="AX1829" s="82" t="s">
        <v>18597</v>
      </c>
      <c r="AY1829" s="77"/>
      <c r="AZ1829" s="82" t="s">
        <v>20971</v>
      </c>
      <c r="BA1829" s="82" t="s">
        <v>20971</v>
      </c>
      <c r="BB1829" s="82" t="s">
        <v>20971</v>
      </c>
      <c r="BC1829" s="82" t="s">
        <v>18597</v>
      </c>
      <c r="BD1829" s="82" t="s">
        <v>21357</v>
      </c>
      <c r="BE1829" s="77"/>
      <c r="BF1829" s="77"/>
      <c r="BG1829" s="77"/>
      <c r="BH1829" s="77"/>
      <c r="BI1829" s="77"/>
    </row>
    <row r="1830" spans="1:61" x14ac:dyDescent="0.25">
      <c r="A1830" s="62" t="s">
        <v>683</v>
      </c>
      <c r="B1830" s="62" t="s">
        <v>683</v>
      </c>
      <c r="C1830" s="63"/>
      <c r="D1830" s="64"/>
      <c r="E1830" s="65"/>
      <c r="F1830" s="66"/>
      <c r="G1830" s="63"/>
      <c r="H1830" s="67"/>
      <c r="I1830" s="68"/>
      <c r="J1830" s="68"/>
      <c r="K1830" s="32"/>
      <c r="L1830" s="75">
        <v>1830</v>
      </c>
      <c r="M1830" s="75"/>
      <c r="N1830" s="70"/>
      <c r="O1830" s="77" t="s">
        <v>179</v>
      </c>
      <c r="P1830" s="79">
        <v>45143.61178240741</v>
      </c>
      <c r="Q1830" s="77" t="s">
        <v>3069</v>
      </c>
      <c r="R1830" s="77">
        <v>0</v>
      </c>
      <c r="S1830" s="77">
        <v>0</v>
      </c>
      <c r="T1830" s="77">
        <v>1</v>
      </c>
      <c r="U1830" s="77">
        <v>0</v>
      </c>
      <c r="V1830" s="77">
        <v>113</v>
      </c>
      <c r="W1830" s="82" t="s">
        <v>6048</v>
      </c>
      <c r="X1830" s="77"/>
      <c r="Y1830" s="77"/>
      <c r="Z1830" s="77"/>
      <c r="AA1830" s="77" t="s">
        <v>8413</v>
      </c>
      <c r="AB1830" s="77" t="s">
        <v>10130</v>
      </c>
      <c r="AC1830" s="82" t="s">
        <v>10144</v>
      </c>
      <c r="AD1830" s="77" t="s">
        <v>10184</v>
      </c>
      <c r="AE1830" s="80" t="str">
        <f>HYPERLINK("https://twitter.com/havertzkayan/status/1687836096300752896")</f>
        <v>https://twitter.com/havertzkayan/status/1687836096300752896</v>
      </c>
      <c r="AF1830" s="79">
        <v>45143.61178240741</v>
      </c>
      <c r="AG1830" s="85">
        <v>45143</v>
      </c>
      <c r="AH1830" s="82" t="s">
        <v>11952</v>
      </c>
      <c r="AI1830" s="77" t="b">
        <v>0</v>
      </c>
      <c r="AJ1830" s="77"/>
      <c r="AK1830" s="77"/>
      <c r="AL1830" s="77"/>
      <c r="AM1830" s="77"/>
      <c r="AN1830" s="77"/>
      <c r="AO1830" s="77"/>
      <c r="AP1830" s="77"/>
      <c r="AQ1830" s="77" t="s">
        <v>15057</v>
      </c>
      <c r="AR1830" s="77"/>
      <c r="AS1830" s="77"/>
      <c r="AT1830" s="77"/>
      <c r="AU1830" s="77"/>
      <c r="AV1830" s="80" t="str">
        <f>HYPERLINK("https://pbs.twimg.com/media/F2xl--4WoAAAZ3q.jpg")</f>
        <v>https://pbs.twimg.com/media/F2xl--4WoAAAZ3q.jpg</v>
      </c>
      <c r="AW1830" s="82" t="s">
        <v>18598</v>
      </c>
      <c r="AX1830" s="82" t="s">
        <v>18598</v>
      </c>
      <c r="AY1830" s="77"/>
      <c r="AZ1830" s="82" t="s">
        <v>20971</v>
      </c>
      <c r="BA1830" s="82" t="s">
        <v>20971</v>
      </c>
      <c r="BB1830" s="82" t="s">
        <v>20971</v>
      </c>
      <c r="BC1830" s="82" t="s">
        <v>18598</v>
      </c>
      <c r="BD1830" s="82" t="s">
        <v>21357</v>
      </c>
      <c r="BE1830" s="77"/>
      <c r="BF1830" s="77"/>
      <c r="BG1830" s="77"/>
      <c r="BH1830" s="77"/>
      <c r="BI1830" s="77"/>
    </row>
    <row r="1831" spans="1:61" x14ac:dyDescent="0.25">
      <c r="A1831" s="62" t="s">
        <v>683</v>
      </c>
      <c r="B1831" s="62" t="s">
        <v>683</v>
      </c>
      <c r="C1831" s="63"/>
      <c r="D1831" s="64"/>
      <c r="E1831" s="65"/>
      <c r="F1831" s="66"/>
      <c r="G1831" s="63"/>
      <c r="H1831" s="67"/>
      <c r="I1831" s="68"/>
      <c r="J1831" s="68"/>
      <c r="K1831" s="32"/>
      <c r="L1831" s="75">
        <v>1831</v>
      </c>
      <c r="M1831" s="75"/>
      <c r="N1831" s="70"/>
      <c r="O1831" s="77" t="s">
        <v>179</v>
      </c>
      <c r="P1831" s="79">
        <v>45143.610856481479</v>
      </c>
      <c r="Q1831" s="77" t="s">
        <v>3070</v>
      </c>
      <c r="R1831" s="77">
        <v>0</v>
      </c>
      <c r="S1831" s="77">
        <v>0</v>
      </c>
      <c r="T1831" s="77">
        <v>0</v>
      </c>
      <c r="U1831" s="77">
        <v>0</v>
      </c>
      <c r="V1831" s="77">
        <v>15</v>
      </c>
      <c r="W1831" s="82" t="s">
        <v>6049</v>
      </c>
      <c r="X1831" s="80" t="str">
        <f>HYPERLINK("https://321859f.xyz/sharecwbr/ygJZzeCz")</f>
        <v>https://321859f.xyz/sharecwbr/ygJZzeCz</v>
      </c>
      <c r="Y1831" s="77" t="s">
        <v>7371</v>
      </c>
      <c r="Z1831" s="77"/>
      <c r="AA1831" s="77" t="s">
        <v>8414</v>
      </c>
      <c r="AB1831" s="77" t="s">
        <v>10130</v>
      </c>
      <c r="AC1831" s="82" t="s">
        <v>10144</v>
      </c>
      <c r="AD1831" s="77" t="s">
        <v>10184</v>
      </c>
      <c r="AE1831" s="80" t="str">
        <f>HYPERLINK("https://twitter.com/havertzkayan/status/1687835759170977792")</f>
        <v>https://twitter.com/havertzkayan/status/1687835759170977792</v>
      </c>
      <c r="AF1831" s="79">
        <v>45143.610856481479</v>
      </c>
      <c r="AG1831" s="85">
        <v>45143</v>
      </c>
      <c r="AH1831" s="82" t="s">
        <v>11953</v>
      </c>
      <c r="AI1831" s="77" t="b">
        <v>0</v>
      </c>
      <c r="AJ1831" s="77"/>
      <c r="AK1831" s="77"/>
      <c r="AL1831" s="77"/>
      <c r="AM1831" s="77"/>
      <c r="AN1831" s="77"/>
      <c r="AO1831" s="77"/>
      <c r="AP1831" s="77"/>
      <c r="AQ1831" s="77" t="s">
        <v>15058</v>
      </c>
      <c r="AR1831" s="77"/>
      <c r="AS1831" s="77"/>
      <c r="AT1831" s="77"/>
      <c r="AU1831" s="77"/>
      <c r="AV1831" s="80" t="str">
        <f>HYPERLINK("https://pbs.twimg.com/media/F2xlrZMW8AESqPf.jpg")</f>
        <v>https://pbs.twimg.com/media/F2xlrZMW8AESqPf.jpg</v>
      </c>
      <c r="AW1831" s="82" t="s">
        <v>18599</v>
      </c>
      <c r="AX1831" s="82" t="s">
        <v>18599</v>
      </c>
      <c r="AY1831" s="77"/>
      <c r="AZ1831" s="82" t="s">
        <v>20971</v>
      </c>
      <c r="BA1831" s="82" t="s">
        <v>20971</v>
      </c>
      <c r="BB1831" s="82" t="s">
        <v>20971</v>
      </c>
      <c r="BC1831" s="82" t="s">
        <v>18599</v>
      </c>
      <c r="BD1831" s="82" t="s">
        <v>21357</v>
      </c>
      <c r="BE1831" s="77"/>
      <c r="BF1831" s="77"/>
      <c r="BG1831" s="77"/>
      <c r="BH1831" s="77"/>
      <c r="BI1831" s="77"/>
    </row>
    <row r="1832" spans="1:61" x14ac:dyDescent="0.25">
      <c r="A1832" s="62" t="s">
        <v>684</v>
      </c>
      <c r="B1832" s="62" t="s">
        <v>684</v>
      </c>
      <c r="C1832" s="63"/>
      <c r="D1832" s="64"/>
      <c r="E1832" s="65"/>
      <c r="F1832" s="66"/>
      <c r="G1832" s="63"/>
      <c r="H1832" s="67"/>
      <c r="I1832" s="68"/>
      <c r="J1832" s="68"/>
      <c r="K1832" s="32"/>
      <c r="L1832" s="75">
        <v>1832</v>
      </c>
      <c r="M1832" s="75"/>
      <c r="N1832" s="70"/>
      <c r="O1832" s="77" t="s">
        <v>179</v>
      </c>
      <c r="P1832" s="79">
        <v>45131.911319444444</v>
      </c>
      <c r="Q1832" s="77" t="s">
        <v>3071</v>
      </c>
      <c r="R1832" s="77">
        <v>0</v>
      </c>
      <c r="S1832" s="77">
        <v>0</v>
      </c>
      <c r="T1832" s="77">
        <v>0</v>
      </c>
      <c r="U1832" s="77">
        <v>0</v>
      </c>
      <c r="V1832" s="77">
        <v>75</v>
      </c>
      <c r="W1832" s="82" t="s">
        <v>6050</v>
      </c>
      <c r="X1832" s="80" t="str">
        <f>HYPERLINK("http://riorush.com/register/4UxzT")</f>
        <v>http://riorush.com/register/4UxzT</v>
      </c>
      <c r="Y1832" s="77" t="s">
        <v>7372</v>
      </c>
      <c r="Z1832" s="77"/>
      <c r="AA1832" s="77"/>
      <c r="AB1832" s="77"/>
      <c r="AC1832" s="82" t="s">
        <v>10145</v>
      </c>
      <c r="AD1832" s="77" t="s">
        <v>10184</v>
      </c>
      <c r="AE1832" s="80" t="str">
        <f>HYPERLINK("https://twitter.com/hisndkidj/status/1683595989486059521")</f>
        <v>https://twitter.com/hisndkidj/status/1683595989486059521</v>
      </c>
      <c r="AF1832" s="79">
        <v>45131.911319444444</v>
      </c>
      <c r="AG1832" s="85">
        <v>45131</v>
      </c>
      <c r="AH1832" s="82" t="s">
        <v>11954</v>
      </c>
      <c r="AI1832" s="77" t="b">
        <v>1</v>
      </c>
      <c r="AJ1832" s="77"/>
      <c r="AK1832" s="77"/>
      <c r="AL1832" s="77"/>
      <c r="AM1832" s="77"/>
      <c r="AN1832" s="77"/>
      <c r="AO1832" s="77"/>
      <c r="AP1832" s="77"/>
      <c r="AQ1832" s="77"/>
      <c r="AR1832" s="77"/>
      <c r="AS1832" s="77"/>
      <c r="AT1832" s="77"/>
      <c r="AU1832" s="77"/>
      <c r="AV1832" s="80" t="str">
        <f>HYPERLINK("https://pbs.twimg.com/profile_images/1685648019327266817/L01txIgT_normal.jpg")</f>
        <v>https://pbs.twimg.com/profile_images/1685648019327266817/L01txIgT_normal.jpg</v>
      </c>
      <c r="AW1832" s="82" t="s">
        <v>18600</v>
      </c>
      <c r="AX1832" s="82" t="s">
        <v>18600</v>
      </c>
      <c r="AY1832" s="77"/>
      <c r="AZ1832" s="82" t="s">
        <v>20971</v>
      </c>
      <c r="BA1832" s="82" t="s">
        <v>20971</v>
      </c>
      <c r="BB1832" s="82" t="s">
        <v>20971</v>
      </c>
      <c r="BC1832" s="82" t="s">
        <v>18600</v>
      </c>
      <c r="BD1832" s="82" t="s">
        <v>21358</v>
      </c>
      <c r="BE1832" s="77"/>
      <c r="BF1832" s="77"/>
      <c r="BG1832" s="77"/>
      <c r="BH1832" s="77"/>
      <c r="BI1832" s="77"/>
    </row>
    <row r="1833" spans="1:61" x14ac:dyDescent="0.25">
      <c r="A1833" s="62" t="s">
        <v>684</v>
      </c>
      <c r="B1833" s="62" t="s">
        <v>684</v>
      </c>
      <c r="C1833" s="63"/>
      <c r="D1833" s="64"/>
      <c r="E1833" s="65"/>
      <c r="F1833" s="66"/>
      <c r="G1833" s="63"/>
      <c r="H1833" s="67"/>
      <c r="I1833" s="68"/>
      <c r="J1833" s="68"/>
      <c r="K1833" s="32"/>
      <c r="L1833" s="75">
        <v>1833</v>
      </c>
      <c r="M1833" s="75"/>
      <c r="N1833" s="70"/>
      <c r="O1833" s="77" t="s">
        <v>179</v>
      </c>
      <c r="P1833" s="79">
        <v>45131.635428240741</v>
      </c>
      <c r="Q1833" s="77" t="s">
        <v>3072</v>
      </c>
      <c r="R1833" s="77">
        <v>0</v>
      </c>
      <c r="S1833" s="77">
        <v>0</v>
      </c>
      <c r="T1833" s="77">
        <v>0</v>
      </c>
      <c r="U1833" s="77">
        <v>0</v>
      </c>
      <c r="V1833" s="77">
        <v>50</v>
      </c>
      <c r="W1833" s="82" t="s">
        <v>6051</v>
      </c>
      <c r="X1833" s="80" t="str">
        <f>HYPERLINK("http://riorush.com/register/4UxzT")</f>
        <v>http://riorush.com/register/4UxzT</v>
      </c>
      <c r="Y1833" s="77" t="s">
        <v>7372</v>
      </c>
      <c r="Z1833" s="77"/>
      <c r="AA1833" s="77"/>
      <c r="AB1833" s="77"/>
      <c r="AC1833" s="82" t="s">
        <v>10145</v>
      </c>
      <c r="AD1833" s="77" t="s">
        <v>10184</v>
      </c>
      <c r="AE1833" s="80" t="str">
        <f>HYPERLINK("https://twitter.com/hisndkidj/status/1683496010868244481")</f>
        <v>https://twitter.com/hisndkidj/status/1683496010868244481</v>
      </c>
      <c r="AF1833" s="79">
        <v>45131.635428240741</v>
      </c>
      <c r="AG1833" s="85">
        <v>45131</v>
      </c>
      <c r="AH1833" s="82" t="s">
        <v>11955</v>
      </c>
      <c r="AI1833" s="77" t="b">
        <v>1</v>
      </c>
      <c r="AJ1833" s="77"/>
      <c r="AK1833" s="77"/>
      <c r="AL1833" s="77"/>
      <c r="AM1833" s="77"/>
      <c r="AN1833" s="77"/>
      <c r="AO1833" s="77"/>
      <c r="AP1833" s="77"/>
      <c r="AQ1833" s="77"/>
      <c r="AR1833" s="77"/>
      <c r="AS1833" s="77"/>
      <c r="AT1833" s="77"/>
      <c r="AU1833" s="77"/>
      <c r="AV1833" s="80" t="str">
        <f>HYPERLINK("https://pbs.twimg.com/profile_images/1685648019327266817/L01txIgT_normal.jpg")</f>
        <v>https://pbs.twimg.com/profile_images/1685648019327266817/L01txIgT_normal.jpg</v>
      </c>
      <c r="AW1833" s="82" t="s">
        <v>18601</v>
      </c>
      <c r="AX1833" s="82" t="s">
        <v>18601</v>
      </c>
      <c r="AY1833" s="77"/>
      <c r="AZ1833" s="82" t="s">
        <v>20971</v>
      </c>
      <c r="BA1833" s="82" t="s">
        <v>20971</v>
      </c>
      <c r="BB1833" s="82" t="s">
        <v>20971</v>
      </c>
      <c r="BC1833" s="82" t="s">
        <v>18601</v>
      </c>
      <c r="BD1833" s="82" t="s">
        <v>21358</v>
      </c>
      <c r="BE1833" s="77"/>
      <c r="BF1833" s="77"/>
      <c r="BG1833" s="77"/>
      <c r="BH1833" s="77"/>
      <c r="BI1833" s="77"/>
    </row>
    <row r="1834" spans="1:61" x14ac:dyDescent="0.25">
      <c r="A1834" s="62" t="s">
        <v>684</v>
      </c>
      <c r="B1834" s="62" t="s">
        <v>684</v>
      </c>
      <c r="C1834" s="63"/>
      <c r="D1834" s="64"/>
      <c r="E1834" s="65"/>
      <c r="F1834" s="66"/>
      <c r="G1834" s="63"/>
      <c r="H1834" s="67"/>
      <c r="I1834" s="68"/>
      <c r="J1834" s="68"/>
      <c r="K1834" s="32"/>
      <c r="L1834" s="75">
        <v>1834</v>
      </c>
      <c r="M1834" s="75"/>
      <c r="N1834" s="70"/>
      <c r="O1834" s="77" t="s">
        <v>179</v>
      </c>
      <c r="P1834" s="79">
        <v>45131.586446759262</v>
      </c>
      <c r="Q1834" s="77" t="s">
        <v>3073</v>
      </c>
      <c r="R1834" s="77">
        <v>0</v>
      </c>
      <c r="S1834" s="77">
        <v>0</v>
      </c>
      <c r="T1834" s="77">
        <v>0</v>
      </c>
      <c r="U1834" s="77">
        <v>0</v>
      </c>
      <c r="V1834" s="77">
        <v>47</v>
      </c>
      <c r="W1834" s="82" t="s">
        <v>6051</v>
      </c>
      <c r="X1834" s="80" t="str">
        <f>HYPERLINK("https://www.riorush.com/register/4UxzTDe3CWU")</f>
        <v>https://www.riorush.com/register/4UxzTDe3CWU</v>
      </c>
      <c r="Y1834" s="77" t="s">
        <v>7372</v>
      </c>
      <c r="Z1834" s="77"/>
      <c r="AA1834" s="77"/>
      <c r="AB1834" s="77"/>
      <c r="AC1834" s="82" t="s">
        <v>10145</v>
      </c>
      <c r="AD1834" s="77" t="s">
        <v>10184</v>
      </c>
      <c r="AE1834" s="80" t="str">
        <f>HYPERLINK("https://twitter.com/hisndkidj/status/1683478259818717186")</f>
        <v>https://twitter.com/hisndkidj/status/1683478259818717186</v>
      </c>
      <c r="AF1834" s="79">
        <v>45131.586446759262</v>
      </c>
      <c r="AG1834" s="85">
        <v>45131</v>
      </c>
      <c r="AH1834" s="82" t="s">
        <v>11956</v>
      </c>
      <c r="AI1834" s="77" t="b">
        <v>1</v>
      </c>
      <c r="AJ1834" s="77"/>
      <c r="AK1834" s="77"/>
      <c r="AL1834" s="77"/>
      <c r="AM1834" s="77"/>
      <c r="AN1834" s="77"/>
      <c r="AO1834" s="77"/>
      <c r="AP1834" s="77"/>
      <c r="AQ1834" s="77"/>
      <c r="AR1834" s="77"/>
      <c r="AS1834" s="77"/>
      <c r="AT1834" s="77"/>
      <c r="AU1834" s="77"/>
      <c r="AV1834" s="80" t="str">
        <f>HYPERLINK("https://pbs.twimg.com/profile_images/1685648019327266817/L01txIgT_normal.jpg")</f>
        <v>https://pbs.twimg.com/profile_images/1685648019327266817/L01txIgT_normal.jpg</v>
      </c>
      <c r="AW1834" s="82" t="s">
        <v>18602</v>
      </c>
      <c r="AX1834" s="82" t="s">
        <v>18602</v>
      </c>
      <c r="AY1834" s="77"/>
      <c r="AZ1834" s="82" t="s">
        <v>20971</v>
      </c>
      <c r="BA1834" s="82" t="s">
        <v>20971</v>
      </c>
      <c r="BB1834" s="82" t="s">
        <v>20971</v>
      </c>
      <c r="BC1834" s="82" t="s">
        <v>18602</v>
      </c>
      <c r="BD1834" s="82" t="s">
        <v>21358</v>
      </c>
      <c r="BE1834" s="77"/>
      <c r="BF1834" s="77"/>
      <c r="BG1834" s="77"/>
      <c r="BH1834" s="77"/>
      <c r="BI1834" s="77"/>
    </row>
    <row r="1835" spans="1:61" x14ac:dyDescent="0.25">
      <c r="A1835" s="62" t="s">
        <v>684</v>
      </c>
      <c r="B1835" s="62" t="s">
        <v>684</v>
      </c>
      <c r="C1835" s="63"/>
      <c r="D1835" s="64"/>
      <c r="E1835" s="65"/>
      <c r="F1835" s="66"/>
      <c r="G1835" s="63"/>
      <c r="H1835" s="67"/>
      <c r="I1835" s="68"/>
      <c r="J1835" s="68"/>
      <c r="K1835" s="32"/>
      <c r="L1835" s="75">
        <v>1835</v>
      </c>
      <c r="M1835" s="75"/>
      <c r="N1835" s="70"/>
      <c r="O1835" s="77" t="s">
        <v>179</v>
      </c>
      <c r="P1835" s="79">
        <v>45130.447199074071</v>
      </c>
      <c r="Q1835" s="77" t="s">
        <v>3074</v>
      </c>
      <c r="R1835" s="77">
        <v>0</v>
      </c>
      <c r="S1835" s="77">
        <v>0</v>
      </c>
      <c r="T1835" s="77">
        <v>0</v>
      </c>
      <c r="U1835" s="77">
        <v>0</v>
      </c>
      <c r="V1835" s="77">
        <v>29</v>
      </c>
      <c r="W1835" s="82" t="s">
        <v>5236</v>
      </c>
      <c r="X1835" s="77"/>
      <c r="Y1835" s="77"/>
      <c r="Z1835" s="77"/>
      <c r="AA1835" s="77"/>
      <c r="AB1835" s="77"/>
      <c r="AC1835" s="82" t="s">
        <v>10145</v>
      </c>
      <c r="AD1835" s="77" t="s">
        <v>10184</v>
      </c>
      <c r="AE1835" s="80" t="str">
        <f>HYPERLINK("https://twitter.com/hisndkidj/status/1683065409338068993")</f>
        <v>https://twitter.com/hisndkidj/status/1683065409338068993</v>
      </c>
      <c r="AF1835" s="79">
        <v>45130.447199074071</v>
      </c>
      <c r="AG1835" s="85">
        <v>45130</v>
      </c>
      <c r="AH1835" s="82" t="s">
        <v>11957</v>
      </c>
      <c r="AI1835" s="77"/>
      <c r="AJ1835" s="77"/>
      <c r="AK1835" s="77"/>
      <c r="AL1835" s="77"/>
      <c r="AM1835" s="77"/>
      <c r="AN1835" s="77"/>
      <c r="AO1835" s="77"/>
      <c r="AP1835" s="77"/>
      <c r="AQ1835" s="77"/>
      <c r="AR1835" s="77"/>
      <c r="AS1835" s="77"/>
      <c r="AT1835" s="77"/>
      <c r="AU1835" s="77"/>
      <c r="AV1835" s="80" t="str">
        <f>HYPERLINK("https://pbs.twimg.com/profile_images/1685648019327266817/L01txIgT_normal.jpg")</f>
        <v>https://pbs.twimg.com/profile_images/1685648019327266817/L01txIgT_normal.jpg</v>
      </c>
      <c r="AW1835" s="82" t="s">
        <v>18603</v>
      </c>
      <c r="AX1835" s="82" t="s">
        <v>18603</v>
      </c>
      <c r="AY1835" s="77"/>
      <c r="AZ1835" s="82" t="s">
        <v>20971</v>
      </c>
      <c r="BA1835" s="82" t="s">
        <v>20971</v>
      </c>
      <c r="BB1835" s="82" t="s">
        <v>20971</v>
      </c>
      <c r="BC1835" s="82" t="s">
        <v>18603</v>
      </c>
      <c r="BD1835" s="82" t="s">
        <v>21358</v>
      </c>
      <c r="BE1835" s="77"/>
      <c r="BF1835" s="77"/>
      <c r="BG1835" s="77"/>
      <c r="BH1835" s="77"/>
      <c r="BI1835" s="77"/>
    </row>
    <row r="1836" spans="1:61" x14ac:dyDescent="0.25">
      <c r="A1836" s="62" t="s">
        <v>685</v>
      </c>
      <c r="B1836" s="62" t="s">
        <v>685</v>
      </c>
      <c r="C1836" s="63"/>
      <c r="D1836" s="64"/>
      <c r="E1836" s="65"/>
      <c r="F1836" s="66"/>
      <c r="G1836" s="63"/>
      <c r="H1836" s="67"/>
      <c r="I1836" s="68"/>
      <c r="J1836" s="68"/>
      <c r="K1836" s="32"/>
      <c r="L1836" s="75">
        <v>1836</v>
      </c>
      <c r="M1836" s="75"/>
      <c r="N1836" s="70"/>
      <c r="O1836" s="77" t="s">
        <v>179</v>
      </c>
      <c r="P1836" s="79">
        <v>45060.16097222222</v>
      </c>
      <c r="Q1836" s="77" t="s">
        <v>3075</v>
      </c>
      <c r="R1836" s="77">
        <v>1</v>
      </c>
      <c r="S1836" s="77">
        <v>1</v>
      </c>
      <c r="T1836" s="77">
        <v>0</v>
      </c>
      <c r="U1836" s="77">
        <v>0</v>
      </c>
      <c r="V1836" s="77">
        <v>252</v>
      </c>
      <c r="W1836" s="82" t="s">
        <v>6052</v>
      </c>
      <c r="X1836" s="77" t="s">
        <v>7202</v>
      </c>
      <c r="Y1836" s="77" t="s">
        <v>7373</v>
      </c>
      <c r="Z1836" s="77"/>
      <c r="AA1836" s="77" t="s">
        <v>8415</v>
      </c>
      <c r="AB1836" s="77" t="s">
        <v>10130</v>
      </c>
      <c r="AC1836" s="82" t="s">
        <v>10146</v>
      </c>
      <c r="AD1836" s="77" t="s">
        <v>10184</v>
      </c>
      <c r="AE1836" s="80" t="str">
        <f>HYPERLINK("https://twitter.com/admsupremo01/status/1657594534296006656")</f>
        <v>https://twitter.com/admsupremo01/status/1657594534296006656</v>
      </c>
      <c r="AF1836" s="79">
        <v>45060.16097222222</v>
      </c>
      <c r="AG1836" s="85">
        <v>45060</v>
      </c>
      <c r="AH1836" s="82" t="s">
        <v>11958</v>
      </c>
      <c r="AI1836" s="77" t="b">
        <v>0</v>
      </c>
      <c r="AJ1836" s="77"/>
      <c r="AK1836" s="77"/>
      <c r="AL1836" s="77"/>
      <c r="AM1836" s="77"/>
      <c r="AN1836" s="77"/>
      <c r="AO1836" s="77"/>
      <c r="AP1836" s="77"/>
      <c r="AQ1836" s="77" t="s">
        <v>15059</v>
      </c>
      <c r="AR1836" s="77"/>
      <c r="AS1836" s="77"/>
      <c r="AT1836" s="77"/>
      <c r="AU1836" s="77"/>
      <c r="AV1836" s="80" t="str">
        <f>HYPERLINK("https://pbs.twimg.com/media/FwD1bZJXwAIGzFM.jpg")</f>
        <v>https://pbs.twimg.com/media/FwD1bZJXwAIGzFM.jpg</v>
      </c>
      <c r="AW1836" s="82" t="s">
        <v>18604</v>
      </c>
      <c r="AX1836" s="82" t="s">
        <v>18604</v>
      </c>
      <c r="AY1836" s="77"/>
      <c r="AZ1836" s="82" t="s">
        <v>20971</v>
      </c>
      <c r="BA1836" s="82" t="s">
        <v>20971</v>
      </c>
      <c r="BB1836" s="82" t="s">
        <v>20971</v>
      </c>
      <c r="BC1836" s="82" t="s">
        <v>18604</v>
      </c>
      <c r="BD1836" s="77">
        <v>1670653796</v>
      </c>
      <c r="BE1836" s="77"/>
      <c r="BF1836" s="77"/>
      <c r="BG1836" s="77"/>
      <c r="BH1836" s="77"/>
      <c r="BI1836" s="77"/>
    </row>
    <row r="1837" spans="1:61" x14ac:dyDescent="0.25">
      <c r="A1837" s="62" t="s">
        <v>685</v>
      </c>
      <c r="B1837" s="62" t="s">
        <v>685</v>
      </c>
      <c r="C1837" s="63"/>
      <c r="D1837" s="64"/>
      <c r="E1837" s="65"/>
      <c r="F1837" s="66"/>
      <c r="G1837" s="63"/>
      <c r="H1837" s="67"/>
      <c r="I1837" s="68"/>
      <c r="J1837" s="68"/>
      <c r="K1837" s="32"/>
      <c r="L1837" s="75">
        <v>1837</v>
      </c>
      <c r="M1837" s="75"/>
      <c r="N1837" s="70"/>
      <c r="O1837" s="77" t="s">
        <v>179</v>
      </c>
      <c r="P1837" s="79">
        <v>45070.812430555554</v>
      </c>
      <c r="Q1837" s="77" t="s">
        <v>3076</v>
      </c>
      <c r="R1837" s="77">
        <v>0</v>
      </c>
      <c r="S1837" s="77">
        <v>1</v>
      </c>
      <c r="T1837" s="77">
        <v>0</v>
      </c>
      <c r="U1837" s="77">
        <v>0</v>
      </c>
      <c r="V1837" s="77">
        <v>117</v>
      </c>
      <c r="W1837" s="82" t="s">
        <v>6053</v>
      </c>
      <c r="X1837" s="80" t="str">
        <f>HYPERLINK("https://t.me/sinaisvipminesgreen")</f>
        <v>https://t.me/sinaisvipminesgreen</v>
      </c>
      <c r="Y1837" s="77" t="s">
        <v>7312</v>
      </c>
      <c r="Z1837" s="77"/>
      <c r="AA1837" s="77" t="s">
        <v>8416</v>
      </c>
      <c r="AB1837" s="77" t="s">
        <v>10130</v>
      </c>
      <c r="AC1837" s="82" t="s">
        <v>10144</v>
      </c>
      <c r="AD1837" s="77" t="s">
        <v>10184</v>
      </c>
      <c r="AE1837" s="80" t="str">
        <f>HYPERLINK("https://twitter.com/admsupremo01/status/1661454494348001280")</f>
        <v>https://twitter.com/admsupremo01/status/1661454494348001280</v>
      </c>
      <c r="AF1837" s="79">
        <v>45070.812430555554</v>
      </c>
      <c r="AG1837" s="85">
        <v>45070</v>
      </c>
      <c r="AH1837" s="82" t="s">
        <v>11959</v>
      </c>
      <c r="AI1837" s="77" t="b">
        <v>0</v>
      </c>
      <c r="AJ1837" s="77"/>
      <c r="AK1837" s="77"/>
      <c r="AL1837" s="77"/>
      <c r="AM1837" s="77"/>
      <c r="AN1837" s="77"/>
      <c r="AO1837" s="77"/>
      <c r="AP1837" s="77"/>
      <c r="AQ1837" s="77" t="s">
        <v>15060</v>
      </c>
      <c r="AR1837" s="77"/>
      <c r="AS1837" s="77"/>
      <c r="AT1837" s="77"/>
      <c r="AU1837" s="77"/>
      <c r="AV1837" s="80" t="str">
        <f>HYPERLINK("https://pbs.twimg.com/media/Fw6sDppXsAIIFeG.jpg")</f>
        <v>https://pbs.twimg.com/media/Fw6sDppXsAIIFeG.jpg</v>
      </c>
      <c r="AW1837" s="82" t="s">
        <v>18605</v>
      </c>
      <c r="AX1837" s="82" t="s">
        <v>18605</v>
      </c>
      <c r="AY1837" s="77"/>
      <c r="AZ1837" s="82" t="s">
        <v>20971</v>
      </c>
      <c r="BA1837" s="82" t="s">
        <v>20971</v>
      </c>
      <c r="BB1837" s="82" t="s">
        <v>20971</v>
      </c>
      <c r="BC1837" s="82" t="s">
        <v>18605</v>
      </c>
      <c r="BD1837" s="77">
        <v>1670653796</v>
      </c>
      <c r="BE1837" s="77"/>
      <c r="BF1837" s="77"/>
      <c r="BG1837" s="77"/>
      <c r="BH1837" s="77"/>
      <c r="BI1837" s="77"/>
    </row>
    <row r="1838" spans="1:61" x14ac:dyDescent="0.25">
      <c r="A1838" s="62" t="s">
        <v>685</v>
      </c>
      <c r="B1838" s="62" t="s">
        <v>685</v>
      </c>
      <c r="C1838" s="63"/>
      <c r="D1838" s="64"/>
      <c r="E1838" s="65"/>
      <c r="F1838" s="66"/>
      <c r="G1838" s="63"/>
      <c r="H1838" s="67"/>
      <c r="I1838" s="68"/>
      <c r="J1838" s="68"/>
      <c r="K1838" s="32"/>
      <c r="L1838" s="75">
        <v>1838</v>
      </c>
      <c r="M1838" s="75"/>
      <c r="N1838" s="70"/>
      <c r="O1838" s="77" t="s">
        <v>179</v>
      </c>
      <c r="P1838" s="79">
        <v>45067.014861111114</v>
      </c>
      <c r="Q1838" s="77" t="s">
        <v>3077</v>
      </c>
      <c r="R1838" s="77">
        <v>0</v>
      </c>
      <c r="S1838" s="77">
        <v>1</v>
      </c>
      <c r="T1838" s="77">
        <v>0</v>
      </c>
      <c r="U1838" s="77">
        <v>0</v>
      </c>
      <c r="V1838" s="77">
        <v>73</v>
      </c>
      <c r="W1838" s="82" t="s">
        <v>6054</v>
      </c>
      <c r="X1838" s="80" t="str">
        <f>HYPERLINK("https://t.me/aviatorgreen_vip")</f>
        <v>https://t.me/aviatorgreen_vip</v>
      </c>
      <c r="Y1838" s="77" t="s">
        <v>7312</v>
      </c>
      <c r="Z1838" s="77"/>
      <c r="AA1838" s="77" t="s">
        <v>8417</v>
      </c>
      <c r="AB1838" s="77" t="s">
        <v>10130</v>
      </c>
      <c r="AC1838" s="82" t="s">
        <v>10144</v>
      </c>
      <c r="AD1838" s="77" t="s">
        <v>10184</v>
      </c>
      <c r="AE1838" s="80" t="str">
        <f>HYPERLINK("https://twitter.com/admsupremo01/status/1660078303267389442")</f>
        <v>https://twitter.com/admsupremo01/status/1660078303267389442</v>
      </c>
      <c r="AF1838" s="79">
        <v>45067.014861111114</v>
      </c>
      <c r="AG1838" s="85">
        <v>45067</v>
      </c>
      <c r="AH1838" s="82" t="s">
        <v>11960</v>
      </c>
      <c r="AI1838" s="77" t="b">
        <v>0</v>
      </c>
      <c r="AJ1838" s="77"/>
      <c r="AK1838" s="77"/>
      <c r="AL1838" s="77"/>
      <c r="AM1838" s="77"/>
      <c r="AN1838" s="77"/>
      <c r="AO1838" s="77"/>
      <c r="AP1838" s="77"/>
      <c r="AQ1838" s="77" t="s">
        <v>15061</v>
      </c>
      <c r="AR1838" s="77"/>
      <c r="AS1838" s="77"/>
      <c r="AT1838" s="77"/>
      <c r="AU1838" s="77"/>
      <c r="AV1838" s="80" t="str">
        <f>HYPERLINK("https://pbs.twimg.com/media/FwnIax0WAAIqRYj.jpg")</f>
        <v>https://pbs.twimg.com/media/FwnIax0WAAIqRYj.jpg</v>
      </c>
      <c r="AW1838" s="82" t="s">
        <v>18606</v>
      </c>
      <c r="AX1838" s="82" t="s">
        <v>18606</v>
      </c>
      <c r="AY1838" s="77"/>
      <c r="AZ1838" s="82" t="s">
        <v>20971</v>
      </c>
      <c r="BA1838" s="82" t="s">
        <v>20971</v>
      </c>
      <c r="BB1838" s="82" t="s">
        <v>20971</v>
      </c>
      <c r="BC1838" s="82" t="s">
        <v>18606</v>
      </c>
      <c r="BD1838" s="77">
        <v>1670653796</v>
      </c>
      <c r="BE1838" s="77"/>
      <c r="BF1838" s="77"/>
      <c r="BG1838" s="77"/>
      <c r="BH1838" s="77"/>
      <c r="BI1838" s="77"/>
    </row>
    <row r="1839" spans="1:61" x14ac:dyDescent="0.25">
      <c r="A1839" s="62" t="s">
        <v>685</v>
      </c>
      <c r="B1839" s="62" t="s">
        <v>685</v>
      </c>
      <c r="C1839" s="63"/>
      <c r="D1839" s="64"/>
      <c r="E1839" s="65"/>
      <c r="F1839" s="66"/>
      <c r="G1839" s="63"/>
      <c r="H1839" s="67"/>
      <c r="I1839" s="68"/>
      <c r="J1839" s="68"/>
      <c r="K1839" s="32"/>
      <c r="L1839" s="75">
        <v>1839</v>
      </c>
      <c r="M1839" s="75"/>
      <c r="N1839" s="70"/>
      <c r="O1839" s="77" t="s">
        <v>179</v>
      </c>
      <c r="P1839" s="79">
        <v>45062.935717592591</v>
      </c>
      <c r="Q1839" s="77" t="s">
        <v>3078</v>
      </c>
      <c r="R1839" s="77">
        <v>1</v>
      </c>
      <c r="S1839" s="77">
        <v>1</v>
      </c>
      <c r="T1839" s="77">
        <v>0</v>
      </c>
      <c r="U1839" s="77">
        <v>0</v>
      </c>
      <c r="V1839" s="77">
        <v>289</v>
      </c>
      <c r="W1839" s="82" t="s">
        <v>6055</v>
      </c>
      <c r="X1839" s="77" t="s">
        <v>7203</v>
      </c>
      <c r="Y1839" s="77" t="s">
        <v>7374</v>
      </c>
      <c r="Z1839" s="77"/>
      <c r="AA1839" s="77"/>
      <c r="AB1839" s="77"/>
      <c r="AC1839" s="82" t="s">
        <v>10144</v>
      </c>
      <c r="AD1839" s="77" t="s">
        <v>10184</v>
      </c>
      <c r="AE1839" s="80" t="str">
        <f>HYPERLINK("https://twitter.com/admsupremo01/status/1658600070051164160")</f>
        <v>https://twitter.com/admsupremo01/status/1658600070051164160</v>
      </c>
      <c r="AF1839" s="79">
        <v>45062.935717592591</v>
      </c>
      <c r="AG1839" s="85">
        <v>45062</v>
      </c>
      <c r="AH1839" s="82" t="s">
        <v>11961</v>
      </c>
      <c r="AI1839" s="77" t="b">
        <v>0</v>
      </c>
      <c r="AJ1839" s="77"/>
      <c r="AK1839" s="77"/>
      <c r="AL1839" s="77"/>
      <c r="AM1839" s="77"/>
      <c r="AN1839" s="77"/>
      <c r="AO1839" s="77"/>
      <c r="AP1839" s="77"/>
      <c r="AQ1839" s="77"/>
      <c r="AR1839" s="77"/>
      <c r="AS1839" s="77"/>
      <c r="AT1839" s="77"/>
      <c r="AU1839" s="77"/>
      <c r="AV1839" s="80" t="str">
        <f>HYPERLINK("https://pbs.twimg.com/profile_images/1670553580242124803/F9JGG6tb_normal.jpg")</f>
        <v>https://pbs.twimg.com/profile_images/1670553580242124803/F9JGG6tb_normal.jpg</v>
      </c>
      <c r="AW1839" s="82" t="s">
        <v>18607</v>
      </c>
      <c r="AX1839" s="82" t="s">
        <v>18607</v>
      </c>
      <c r="AY1839" s="77"/>
      <c r="AZ1839" s="82" t="s">
        <v>20971</v>
      </c>
      <c r="BA1839" s="82" t="s">
        <v>20971</v>
      </c>
      <c r="BB1839" s="82" t="s">
        <v>20971</v>
      </c>
      <c r="BC1839" s="82" t="s">
        <v>18607</v>
      </c>
      <c r="BD1839" s="77">
        <v>1670653796</v>
      </c>
      <c r="BE1839" s="77"/>
      <c r="BF1839" s="77"/>
      <c r="BG1839" s="77"/>
      <c r="BH1839" s="77"/>
      <c r="BI1839" s="77"/>
    </row>
    <row r="1840" spans="1:61" x14ac:dyDescent="0.25">
      <c r="A1840" s="62" t="s">
        <v>685</v>
      </c>
      <c r="B1840" s="62" t="s">
        <v>685</v>
      </c>
      <c r="C1840" s="63"/>
      <c r="D1840" s="64"/>
      <c r="E1840" s="65"/>
      <c r="F1840" s="66"/>
      <c r="G1840" s="63"/>
      <c r="H1840" s="67"/>
      <c r="I1840" s="68"/>
      <c r="J1840" s="68"/>
      <c r="K1840" s="32"/>
      <c r="L1840" s="75">
        <v>1840</v>
      </c>
      <c r="M1840" s="75"/>
      <c r="N1840" s="70"/>
      <c r="O1840" s="77" t="s">
        <v>179</v>
      </c>
      <c r="P1840" s="79">
        <v>45085.863958333335</v>
      </c>
      <c r="Q1840" s="77" t="s">
        <v>3079</v>
      </c>
      <c r="R1840" s="77">
        <v>0</v>
      </c>
      <c r="S1840" s="77">
        <v>1</v>
      </c>
      <c r="T1840" s="77">
        <v>0</v>
      </c>
      <c r="U1840" s="77">
        <v>0</v>
      </c>
      <c r="V1840" s="77">
        <v>59</v>
      </c>
      <c r="W1840" s="82" t="s">
        <v>6056</v>
      </c>
      <c r="X1840" s="77" t="s">
        <v>7204</v>
      </c>
      <c r="Y1840" s="77" t="s">
        <v>7373</v>
      </c>
      <c r="Z1840" s="77"/>
      <c r="AA1840" s="77" t="s">
        <v>8418</v>
      </c>
      <c r="AB1840" s="77" t="s">
        <v>10130</v>
      </c>
      <c r="AC1840" s="82" t="s">
        <v>10144</v>
      </c>
      <c r="AD1840" s="77" t="s">
        <v>10184</v>
      </c>
      <c r="AE1840" s="80" t="str">
        <f>HYPERLINK("https://twitter.com/admsupremo01/status/1666908987076366337")</f>
        <v>https://twitter.com/admsupremo01/status/1666908987076366337</v>
      </c>
      <c r="AF1840" s="79">
        <v>45085.863958333335</v>
      </c>
      <c r="AG1840" s="85">
        <v>45085</v>
      </c>
      <c r="AH1840" s="82" t="s">
        <v>11962</v>
      </c>
      <c r="AI1840" s="77" t="b">
        <v>0</v>
      </c>
      <c r="AJ1840" s="77"/>
      <c r="AK1840" s="77"/>
      <c r="AL1840" s="77"/>
      <c r="AM1840" s="77"/>
      <c r="AN1840" s="77"/>
      <c r="AO1840" s="77"/>
      <c r="AP1840" s="77"/>
      <c r="AQ1840" s="77" t="s">
        <v>15062</v>
      </c>
      <c r="AR1840" s="77"/>
      <c r="AS1840" s="77"/>
      <c r="AT1840" s="77"/>
      <c r="AU1840" s="77"/>
      <c r="AV1840" s="80" t="str">
        <f>HYPERLINK("https://pbs.twimg.com/media/FyIM434XsAMztHi.jpg")</f>
        <v>https://pbs.twimg.com/media/FyIM434XsAMztHi.jpg</v>
      </c>
      <c r="AW1840" s="82" t="s">
        <v>18608</v>
      </c>
      <c r="AX1840" s="82" t="s">
        <v>18608</v>
      </c>
      <c r="AY1840" s="77"/>
      <c r="AZ1840" s="82" t="s">
        <v>20971</v>
      </c>
      <c r="BA1840" s="82" t="s">
        <v>20971</v>
      </c>
      <c r="BB1840" s="82" t="s">
        <v>20971</v>
      </c>
      <c r="BC1840" s="82" t="s">
        <v>18608</v>
      </c>
      <c r="BD1840" s="77">
        <v>1670653796</v>
      </c>
      <c r="BE1840" s="77"/>
      <c r="BF1840" s="77"/>
      <c r="BG1840" s="77"/>
      <c r="BH1840" s="77"/>
      <c r="BI1840" s="77"/>
    </row>
    <row r="1841" spans="1:61" x14ac:dyDescent="0.25">
      <c r="A1841" s="62" t="s">
        <v>685</v>
      </c>
      <c r="B1841" s="62" t="s">
        <v>685</v>
      </c>
      <c r="C1841" s="63"/>
      <c r="D1841" s="64"/>
      <c r="E1841" s="65"/>
      <c r="F1841" s="66"/>
      <c r="G1841" s="63"/>
      <c r="H1841" s="67"/>
      <c r="I1841" s="68"/>
      <c r="J1841" s="68"/>
      <c r="K1841" s="32"/>
      <c r="L1841" s="75">
        <v>1841</v>
      </c>
      <c r="M1841" s="75"/>
      <c r="N1841" s="70"/>
      <c r="O1841" s="77" t="s">
        <v>179</v>
      </c>
      <c r="P1841" s="79">
        <v>45085.861192129632</v>
      </c>
      <c r="Q1841" s="77" t="s">
        <v>3080</v>
      </c>
      <c r="R1841" s="77">
        <v>0</v>
      </c>
      <c r="S1841" s="77">
        <v>1</v>
      </c>
      <c r="T1841" s="77">
        <v>0</v>
      </c>
      <c r="U1841" s="77">
        <v>0</v>
      </c>
      <c r="V1841" s="77">
        <v>64</v>
      </c>
      <c r="W1841" s="82" t="s">
        <v>6057</v>
      </c>
      <c r="X1841" s="80" t="str">
        <f>HYPERLINK("https://t.me/roletabrasileira_oficial")</f>
        <v>https://t.me/roletabrasileira_oficial</v>
      </c>
      <c r="Y1841" s="77" t="s">
        <v>7312</v>
      </c>
      <c r="Z1841" s="77"/>
      <c r="AA1841" s="77" t="s">
        <v>8419</v>
      </c>
      <c r="AB1841" s="77" t="s">
        <v>10130</v>
      </c>
      <c r="AC1841" s="82" t="s">
        <v>10144</v>
      </c>
      <c r="AD1841" s="77" t="s">
        <v>10184</v>
      </c>
      <c r="AE1841" s="80" t="str">
        <f>HYPERLINK("https://twitter.com/admsupremo01/status/1666907985057071105")</f>
        <v>https://twitter.com/admsupremo01/status/1666907985057071105</v>
      </c>
      <c r="AF1841" s="79">
        <v>45085.861192129632</v>
      </c>
      <c r="AG1841" s="85">
        <v>45085</v>
      </c>
      <c r="AH1841" s="82" t="s">
        <v>11963</v>
      </c>
      <c r="AI1841" s="77" t="b">
        <v>0</v>
      </c>
      <c r="AJ1841" s="77"/>
      <c r="AK1841" s="77"/>
      <c r="AL1841" s="77"/>
      <c r="AM1841" s="77"/>
      <c r="AN1841" s="77"/>
      <c r="AO1841" s="77"/>
      <c r="AP1841" s="77"/>
      <c r="AQ1841" s="77" t="s">
        <v>15063</v>
      </c>
      <c r="AR1841" s="77"/>
      <c r="AS1841" s="77"/>
      <c r="AT1841" s="77"/>
      <c r="AU1841" s="77"/>
      <c r="AV1841" s="80" t="str">
        <f>HYPERLINK("https://pbs.twimg.com/media/FyIL-kRWwAELUDc.jpg")</f>
        <v>https://pbs.twimg.com/media/FyIL-kRWwAELUDc.jpg</v>
      </c>
      <c r="AW1841" s="82" t="s">
        <v>18609</v>
      </c>
      <c r="AX1841" s="82" t="s">
        <v>18609</v>
      </c>
      <c r="AY1841" s="77"/>
      <c r="AZ1841" s="82" t="s">
        <v>20971</v>
      </c>
      <c r="BA1841" s="82" t="s">
        <v>20971</v>
      </c>
      <c r="BB1841" s="82" t="s">
        <v>20971</v>
      </c>
      <c r="BC1841" s="82" t="s">
        <v>18609</v>
      </c>
      <c r="BD1841" s="77">
        <v>1670653796</v>
      </c>
      <c r="BE1841" s="77"/>
      <c r="BF1841" s="77"/>
      <c r="BG1841" s="77"/>
      <c r="BH1841" s="77"/>
      <c r="BI1841" s="77"/>
    </row>
    <row r="1842" spans="1:61" x14ac:dyDescent="0.25">
      <c r="A1842" s="62" t="s">
        <v>685</v>
      </c>
      <c r="B1842" s="62" t="s">
        <v>685</v>
      </c>
      <c r="C1842" s="63"/>
      <c r="D1842" s="64"/>
      <c r="E1842" s="65"/>
      <c r="F1842" s="66"/>
      <c r="G1842" s="63"/>
      <c r="H1842" s="67"/>
      <c r="I1842" s="68"/>
      <c r="J1842" s="68"/>
      <c r="K1842" s="32"/>
      <c r="L1842" s="75">
        <v>1842</v>
      </c>
      <c r="M1842" s="75"/>
      <c r="N1842" s="70"/>
      <c r="O1842" s="77" t="s">
        <v>179</v>
      </c>
      <c r="P1842" s="79">
        <v>45083.482928240737</v>
      </c>
      <c r="Q1842" s="77" t="s">
        <v>3081</v>
      </c>
      <c r="R1842" s="77">
        <v>0</v>
      </c>
      <c r="S1842" s="77">
        <v>0</v>
      </c>
      <c r="T1842" s="77">
        <v>0</v>
      </c>
      <c r="U1842" s="77">
        <v>0</v>
      </c>
      <c r="V1842" s="77">
        <v>35</v>
      </c>
      <c r="W1842" s="82" t="s">
        <v>6056</v>
      </c>
      <c r="X1842" s="77" t="s">
        <v>7205</v>
      </c>
      <c r="Y1842" s="77" t="s">
        <v>7373</v>
      </c>
      <c r="Z1842" s="77"/>
      <c r="AA1842" s="77" t="s">
        <v>8420</v>
      </c>
      <c r="AB1842" s="77" t="s">
        <v>10130</v>
      </c>
      <c r="AC1842" s="82" t="s">
        <v>10144</v>
      </c>
      <c r="AD1842" s="77" t="s">
        <v>10184</v>
      </c>
      <c r="AE1842" s="80" t="str">
        <f>HYPERLINK("https://twitter.com/admsupremo01/status/1666046129828495361")</f>
        <v>https://twitter.com/admsupremo01/status/1666046129828495361</v>
      </c>
      <c r="AF1842" s="79">
        <v>45083.482928240737</v>
      </c>
      <c r="AG1842" s="85">
        <v>45083</v>
      </c>
      <c r="AH1842" s="82" t="s">
        <v>11964</v>
      </c>
      <c r="AI1842" s="77" t="b">
        <v>0</v>
      </c>
      <c r="AJ1842" s="77"/>
      <c r="AK1842" s="77"/>
      <c r="AL1842" s="77"/>
      <c r="AM1842" s="77"/>
      <c r="AN1842" s="77"/>
      <c r="AO1842" s="77"/>
      <c r="AP1842" s="77"/>
      <c r="AQ1842" s="77" t="s">
        <v>15064</v>
      </c>
      <c r="AR1842" s="77"/>
      <c r="AS1842" s="77"/>
      <c r="AT1842" s="77"/>
      <c r="AU1842" s="77"/>
      <c r="AV1842" s="80" t="str">
        <f>HYPERLINK("https://pbs.twimg.com/media/Fx78IEWWwAIikIT.jpg")</f>
        <v>https://pbs.twimg.com/media/Fx78IEWWwAIikIT.jpg</v>
      </c>
      <c r="AW1842" s="82" t="s">
        <v>18610</v>
      </c>
      <c r="AX1842" s="82" t="s">
        <v>18610</v>
      </c>
      <c r="AY1842" s="77"/>
      <c r="AZ1842" s="82" t="s">
        <v>20971</v>
      </c>
      <c r="BA1842" s="82" t="s">
        <v>20971</v>
      </c>
      <c r="BB1842" s="82" t="s">
        <v>20971</v>
      </c>
      <c r="BC1842" s="82" t="s">
        <v>18610</v>
      </c>
      <c r="BD1842" s="77">
        <v>1670653796</v>
      </c>
      <c r="BE1842" s="77"/>
      <c r="BF1842" s="77"/>
      <c r="BG1842" s="77"/>
      <c r="BH1842" s="77"/>
      <c r="BI1842" s="77"/>
    </row>
    <row r="1843" spans="1:61" x14ac:dyDescent="0.25">
      <c r="A1843" s="62" t="s">
        <v>685</v>
      </c>
      <c r="B1843" s="62" t="s">
        <v>685</v>
      </c>
      <c r="C1843" s="63"/>
      <c r="D1843" s="64"/>
      <c r="E1843" s="65"/>
      <c r="F1843" s="66"/>
      <c r="G1843" s="63"/>
      <c r="H1843" s="67"/>
      <c r="I1843" s="68"/>
      <c r="J1843" s="68"/>
      <c r="K1843" s="32"/>
      <c r="L1843" s="75">
        <v>1843</v>
      </c>
      <c r="M1843" s="75"/>
      <c r="N1843" s="70"/>
      <c r="O1843" s="77" t="s">
        <v>179</v>
      </c>
      <c r="P1843" s="79">
        <v>45065.164467592593</v>
      </c>
      <c r="Q1843" s="77" t="s">
        <v>3082</v>
      </c>
      <c r="R1843" s="77">
        <v>1</v>
      </c>
      <c r="S1843" s="77">
        <v>1</v>
      </c>
      <c r="T1843" s="77">
        <v>0</v>
      </c>
      <c r="U1843" s="77">
        <v>0</v>
      </c>
      <c r="V1843" s="77">
        <v>56</v>
      </c>
      <c r="W1843" s="82" t="s">
        <v>6058</v>
      </c>
      <c r="X1843" s="80" t="str">
        <f>HYPERLINK("http://bit.ly/greenbetbrasil")</f>
        <v>http://bit.ly/greenbetbrasil</v>
      </c>
      <c r="Y1843" s="77" t="s">
        <v>7268</v>
      </c>
      <c r="Z1843" s="77"/>
      <c r="AA1843" s="77" t="s">
        <v>8421</v>
      </c>
      <c r="AB1843" s="77" t="s">
        <v>10130</v>
      </c>
      <c r="AC1843" s="82" t="s">
        <v>10144</v>
      </c>
      <c r="AD1843" s="77" t="s">
        <v>10187</v>
      </c>
      <c r="AE1843" s="80" t="str">
        <f>HYPERLINK("https://twitter.com/admsupremo01/status/1659407743415975937")</f>
        <v>https://twitter.com/admsupremo01/status/1659407743415975937</v>
      </c>
      <c r="AF1843" s="79">
        <v>45065.164467592593</v>
      </c>
      <c r="AG1843" s="85">
        <v>45065</v>
      </c>
      <c r="AH1843" s="82" t="s">
        <v>11965</v>
      </c>
      <c r="AI1843" s="77" t="b">
        <v>0</v>
      </c>
      <c r="AJ1843" s="77"/>
      <c r="AK1843" s="77"/>
      <c r="AL1843" s="77"/>
      <c r="AM1843" s="77"/>
      <c r="AN1843" s="77"/>
      <c r="AO1843" s="77"/>
      <c r="AP1843" s="77"/>
      <c r="AQ1843" s="77" t="s">
        <v>15065</v>
      </c>
      <c r="AR1843" s="77"/>
      <c r="AS1843" s="77"/>
      <c r="AT1843" s="77"/>
      <c r="AU1843" s="77"/>
      <c r="AV1843" s="80" t="str">
        <f>HYPERLINK("https://pbs.twimg.com/media/FwdmjFTWwAAY7pQ.jpg")</f>
        <v>https://pbs.twimg.com/media/FwdmjFTWwAAY7pQ.jpg</v>
      </c>
      <c r="AW1843" s="82" t="s">
        <v>18611</v>
      </c>
      <c r="AX1843" s="82" t="s">
        <v>18611</v>
      </c>
      <c r="AY1843" s="77"/>
      <c r="AZ1843" s="82" t="s">
        <v>20971</v>
      </c>
      <c r="BA1843" s="82" t="s">
        <v>20971</v>
      </c>
      <c r="BB1843" s="82" t="s">
        <v>20971</v>
      </c>
      <c r="BC1843" s="82" t="s">
        <v>18611</v>
      </c>
      <c r="BD1843" s="77">
        <v>1670653796</v>
      </c>
      <c r="BE1843" s="77"/>
      <c r="BF1843" s="77"/>
      <c r="BG1843" s="77"/>
      <c r="BH1843" s="77"/>
      <c r="BI1843" s="77"/>
    </row>
    <row r="1844" spans="1:61" x14ac:dyDescent="0.25">
      <c r="A1844" s="62" t="s">
        <v>686</v>
      </c>
      <c r="B1844" s="62" t="s">
        <v>686</v>
      </c>
      <c r="C1844" s="63"/>
      <c r="D1844" s="64"/>
      <c r="E1844" s="65"/>
      <c r="F1844" s="66"/>
      <c r="G1844" s="63"/>
      <c r="H1844" s="67"/>
      <c r="I1844" s="68"/>
      <c r="J1844" s="68"/>
      <c r="K1844" s="32"/>
      <c r="L1844" s="75">
        <v>1844</v>
      </c>
      <c r="M1844" s="75"/>
      <c r="N1844" s="70"/>
      <c r="O1844" s="77" t="s">
        <v>179</v>
      </c>
      <c r="P1844" s="79">
        <v>44959.552847222221</v>
      </c>
      <c r="Q1844" s="77" t="s">
        <v>3083</v>
      </c>
      <c r="R1844" s="77">
        <v>0</v>
      </c>
      <c r="S1844" s="77">
        <v>0</v>
      </c>
      <c r="T1844" s="77">
        <v>0</v>
      </c>
      <c r="U1844" s="77">
        <v>0</v>
      </c>
      <c r="V1844" s="77">
        <v>17</v>
      </c>
      <c r="W1844" s="82" t="s">
        <v>6059</v>
      </c>
      <c r="X1844" s="80" t="str">
        <f>HYPERLINK("https://ift.tt/0HlD4OY")</f>
        <v>https://ift.tt/0HlD4OY</v>
      </c>
      <c r="Y1844" s="77" t="s">
        <v>7330</v>
      </c>
      <c r="Z1844" s="77"/>
      <c r="AA1844" s="77" t="s">
        <v>8422</v>
      </c>
      <c r="AB1844" s="77" t="s">
        <v>10130</v>
      </c>
      <c r="AC1844" s="82" t="s">
        <v>10157</v>
      </c>
      <c r="AD1844" s="77" t="s">
        <v>10187</v>
      </c>
      <c r="AE1844" s="80" t="str">
        <f>HYPERLINK("https://twitter.com/exnessportugues/status/1621135373127585792")</f>
        <v>https://twitter.com/exnessportugues/status/1621135373127585792</v>
      </c>
      <c r="AF1844" s="79">
        <v>44959.552847222221</v>
      </c>
      <c r="AG1844" s="85">
        <v>44959</v>
      </c>
      <c r="AH1844" s="82" t="s">
        <v>11966</v>
      </c>
      <c r="AI1844" s="77" t="b">
        <v>0</v>
      </c>
      <c r="AJ1844" s="77"/>
      <c r="AK1844" s="77"/>
      <c r="AL1844" s="77"/>
      <c r="AM1844" s="77"/>
      <c r="AN1844" s="77"/>
      <c r="AO1844" s="77"/>
      <c r="AP1844" s="77"/>
      <c r="AQ1844" s="77" t="s">
        <v>15066</v>
      </c>
      <c r="AR1844" s="77"/>
      <c r="AS1844" s="77"/>
      <c r="AT1844" s="77"/>
      <c r="AU1844" s="77"/>
      <c r="AV1844" s="80" t="str">
        <f>HYPERLINK("https://pbs.twimg.com/media/Fn9uB_rWAAEFgeU.png")</f>
        <v>https://pbs.twimg.com/media/Fn9uB_rWAAEFgeU.png</v>
      </c>
      <c r="AW1844" s="82" t="s">
        <v>18612</v>
      </c>
      <c r="AX1844" s="82" t="s">
        <v>18612</v>
      </c>
      <c r="AY1844" s="77"/>
      <c r="AZ1844" s="82" t="s">
        <v>20971</v>
      </c>
      <c r="BA1844" s="82" t="s">
        <v>20971</v>
      </c>
      <c r="BB1844" s="82" t="s">
        <v>20971</v>
      </c>
      <c r="BC1844" s="82" t="s">
        <v>18612</v>
      </c>
      <c r="BD1844" s="77">
        <v>95810074</v>
      </c>
      <c r="BE1844" s="77"/>
      <c r="BF1844" s="77"/>
      <c r="BG1844" s="77"/>
      <c r="BH1844" s="77"/>
      <c r="BI1844" s="77"/>
    </row>
    <row r="1845" spans="1:61" x14ac:dyDescent="0.25">
      <c r="A1845" s="62" t="s">
        <v>686</v>
      </c>
      <c r="B1845" s="62" t="s">
        <v>686</v>
      </c>
      <c r="C1845" s="63"/>
      <c r="D1845" s="64"/>
      <c r="E1845" s="65"/>
      <c r="F1845" s="66"/>
      <c r="G1845" s="63"/>
      <c r="H1845" s="67"/>
      <c r="I1845" s="68"/>
      <c r="J1845" s="68"/>
      <c r="K1845" s="32"/>
      <c r="L1845" s="75">
        <v>1845</v>
      </c>
      <c r="M1845" s="75"/>
      <c r="N1845" s="70"/>
      <c r="O1845" s="77" t="s">
        <v>179</v>
      </c>
      <c r="P1845" s="79">
        <v>44959.937743055554</v>
      </c>
      <c r="Q1845" s="77" t="s">
        <v>3084</v>
      </c>
      <c r="R1845" s="77">
        <v>0</v>
      </c>
      <c r="S1845" s="77">
        <v>0</v>
      </c>
      <c r="T1845" s="77">
        <v>1</v>
      </c>
      <c r="U1845" s="77">
        <v>0</v>
      </c>
      <c r="V1845" s="77">
        <v>52</v>
      </c>
      <c r="W1845" s="82" t="s">
        <v>6060</v>
      </c>
      <c r="X1845" s="80" t="str">
        <f>HYPERLINK("https://ift.tt/0HlD4OY")</f>
        <v>https://ift.tt/0HlD4OY</v>
      </c>
      <c r="Y1845" s="77" t="s">
        <v>7330</v>
      </c>
      <c r="Z1845" s="77"/>
      <c r="AA1845" s="77" t="s">
        <v>8423</v>
      </c>
      <c r="AB1845" s="77" t="s">
        <v>10130</v>
      </c>
      <c r="AC1845" s="82" t="s">
        <v>10157</v>
      </c>
      <c r="AD1845" s="77" t="s">
        <v>10185</v>
      </c>
      <c r="AE1845" s="80" t="str">
        <f>HYPERLINK("https://twitter.com/exnessportugues/status/1621274853012606977")</f>
        <v>https://twitter.com/exnessportugues/status/1621274853012606977</v>
      </c>
      <c r="AF1845" s="79">
        <v>44959.937743055554</v>
      </c>
      <c r="AG1845" s="85">
        <v>44959</v>
      </c>
      <c r="AH1845" s="82" t="s">
        <v>11967</v>
      </c>
      <c r="AI1845" s="77" t="b">
        <v>0</v>
      </c>
      <c r="AJ1845" s="77"/>
      <c r="AK1845" s="77"/>
      <c r="AL1845" s="77"/>
      <c r="AM1845" s="77"/>
      <c r="AN1845" s="77"/>
      <c r="AO1845" s="77"/>
      <c r="AP1845" s="77"/>
      <c r="AQ1845" s="77" t="s">
        <v>15067</v>
      </c>
      <c r="AR1845" s="77"/>
      <c r="AS1845" s="77"/>
      <c r="AT1845" s="77"/>
      <c r="AU1845" s="77"/>
      <c r="AV1845" s="80" t="str">
        <f>HYPERLINK("https://pbs.twimg.com/media/Fn_s4xTXkAA57Dr.png")</f>
        <v>https://pbs.twimg.com/media/Fn_s4xTXkAA57Dr.png</v>
      </c>
      <c r="AW1845" s="82" t="s">
        <v>18613</v>
      </c>
      <c r="AX1845" s="82" t="s">
        <v>18613</v>
      </c>
      <c r="AY1845" s="77"/>
      <c r="AZ1845" s="82" t="s">
        <v>20971</v>
      </c>
      <c r="BA1845" s="82" t="s">
        <v>20971</v>
      </c>
      <c r="BB1845" s="82" t="s">
        <v>20971</v>
      </c>
      <c r="BC1845" s="82" t="s">
        <v>18613</v>
      </c>
      <c r="BD1845" s="77">
        <v>95810074</v>
      </c>
      <c r="BE1845" s="77"/>
      <c r="BF1845" s="77"/>
      <c r="BG1845" s="77"/>
      <c r="BH1845" s="77"/>
      <c r="BI1845" s="77"/>
    </row>
    <row r="1846" spans="1:61" x14ac:dyDescent="0.25">
      <c r="A1846" s="62" t="s">
        <v>686</v>
      </c>
      <c r="B1846" s="62" t="s">
        <v>686</v>
      </c>
      <c r="C1846" s="63"/>
      <c r="D1846" s="64"/>
      <c r="E1846" s="65"/>
      <c r="F1846" s="66"/>
      <c r="G1846" s="63"/>
      <c r="H1846" s="67"/>
      <c r="I1846" s="68"/>
      <c r="J1846" s="68"/>
      <c r="K1846" s="32"/>
      <c r="L1846" s="75">
        <v>1846</v>
      </c>
      <c r="M1846" s="75"/>
      <c r="N1846" s="70"/>
      <c r="O1846" s="77" t="s">
        <v>179</v>
      </c>
      <c r="P1846" s="79">
        <v>44959.926666666666</v>
      </c>
      <c r="Q1846" s="77" t="s">
        <v>3085</v>
      </c>
      <c r="R1846" s="77">
        <v>0</v>
      </c>
      <c r="S1846" s="77">
        <v>0</v>
      </c>
      <c r="T1846" s="77">
        <v>2</v>
      </c>
      <c r="U1846" s="77">
        <v>0</v>
      </c>
      <c r="V1846" s="77">
        <v>44</v>
      </c>
      <c r="W1846" s="82" t="s">
        <v>6061</v>
      </c>
      <c r="X1846" s="80" t="str">
        <f>HYPERLINK("https://ift.tt/0HlD4OY")</f>
        <v>https://ift.tt/0HlD4OY</v>
      </c>
      <c r="Y1846" s="77" t="s">
        <v>7330</v>
      </c>
      <c r="Z1846" s="77"/>
      <c r="AA1846" s="77" t="s">
        <v>8424</v>
      </c>
      <c r="AB1846" s="77" t="s">
        <v>10130</v>
      </c>
      <c r="AC1846" s="82" t="s">
        <v>10157</v>
      </c>
      <c r="AD1846" s="77" t="s">
        <v>10189</v>
      </c>
      <c r="AE1846" s="80" t="str">
        <f>HYPERLINK("https://twitter.com/exnessportugues/status/1621270841253052417")</f>
        <v>https://twitter.com/exnessportugues/status/1621270841253052417</v>
      </c>
      <c r="AF1846" s="79">
        <v>44959.926666666666</v>
      </c>
      <c r="AG1846" s="85">
        <v>44959</v>
      </c>
      <c r="AH1846" s="82" t="s">
        <v>11968</v>
      </c>
      <c r="AI1846" s="77" t="b">
        <v>0</v>
      </c>
      <c r="AJ1846" s="77"/>
      <c r="AK1846" s="77"/>
      <c r="AL1846" s="77"/>
      <c r="AM1846" s="77"/>
      <c r="AN1846" s="77"/>
      <c r="AO1846" s="77"/>
      <c r="AP1846" s="77"/>
      <c r="AQ1846" s="77" t="s">
        <v>15068</v>
      </c>
      <c r="AR1846" s="77"/>
      <c r="AS1846" s="77"/>
      <c r="AT1846" s="77"/>
      <c r="AU1846" s="77"/>
      <c r="AV1846" s="80" t="str">
        <f>HYPERLINK("https://pbs.twimg.com/media/Fn_pPSEWIAcqJvS.jpg")</f>
        <v>https://pbs.twimg.com/media/Fn_pPSEWIAcqJvS.jpg</v>
      </c>
      <c r="AW1846" s="82" t="s">
        <v>18614</v>
      </c>
      <c r="AX1846" s="82" t="s">
        <v>18614</v>
      </c>
      <c r="AY1846" s="77"/>
      <c r="AZ1846" s="82" t="s">
        <v>20971</v>
      </c>
      <c r="BA1846" s="82" t="s">
        <v>20971</v>
      </c>
      <c r="BB1846" s="82" t="s">
        <v>20971</v>
      </c>
      <c r="BC1846" s="82" t="s">
        <v>18614</v>
      </c>
      <c r="BD1846" s="77">
        <v>95810074</v>
      </c>
      <c r="BE1846" s="77"/>
      <c r="BF1846" s="77"/>
      <c r="BG1846" s="77"/>
      <c r="BH1846" s="77"/>
      <c r="BI1846" s="77"/>
    </row>
    <row r="1847" spans="1:61" x14ac:dyDescent="0.25">
      <c r="A1847" s="62" t="s">
        <v>686</v>
      </c>
      <c r="B1847" s="62" t="s">
        <v>686</v>
      </c>
      <c r="C1847" s="63"/>
      <c r="D1847" s="64"/>
      <c r="E1847" s="65"/>
      <c r="F1847" s="66"/>
      <c r="G1847" s="63"/>
      <c r="H1847" s="67"/>
      <c r="I1847" s="68"/>
      <c r="J1847" s="68"/>
      <c r="K1847" s="32"/>
      <c r="L1847" s="75">
        <v>1847</v>
      </c>
      <c r="M1847" s="75"/>
      <c r="N1847" s="70"/>
      <c r="O1847" s="77" t="s">
        <v>179</v>
      </c>
      <c r="P1847" s="79">
        <v>44959.770439814813</v>
      </c>
      <c r="Q1847" s="77" t="s">
        <v>3086</v>
      </c>
      <c r="R1847" s="77">
        <v>0</v>
      </c>
      <c r="S1847" s="77">
        <v>0</v>
      </c>
      <c r="T1847" s="77">
        <v>0</v>
      </c>
      <c r="U1847" s="77">
        <v>0</v>
      </c>
      <c r="V1847" s="77">
        <v>34</v>
      </c>
      <c r="W1847" s="82" t="s">
        <v>6060</v>
      </c>
      <c r="X1847" s="80" t="str">
        <f>HYPERLINK("https://bit.ly/3f7PzaL")</f>
        <v>https://bit.ly/3f7PzaL</v>
      </c>
      <c r="Y1847" s="77" t="s">
        <v>7268</v>
      </c>
      <c r="Z1847" s="77"/>
      <c r="AA1847" s="77" t="s">
        <v>8425</v>
      </c>
      <c r="AB1847" s="77" t="s">
        <v>10129</v>
      </c>
      <c r="AC1847" s="82" t="s">
        <v>10146</v>
      </c>
      <c r="AD1847" s="77" t="s">
        <v>10184</v>
      </c>
      <c r="AE1847" s="80" t="str">
        <f>HYPERLINK("https://twitter.com/exnessportugues/status/1621214225786961920")</f>
        <v>https://twitter.com/exnessportugues/status/1621214225786961920</v>
      </c>
      <c r="AF1847" s="79">
        <v>44959.770439814813</v>
      </c>
      <c r="AG1847" s="85">
        <v>44959</v>
      </c>
      <c r="AH1847" s="82" t="s">
        <v>11969</v>
      </c>
      <c r="AI1847" s="77" t="b">
        <v>0</v>
      </c>
      <c r="AJ1847" s="77"/>
      <c r="AK1847" s="77"/>
      <c r="AL1847" s="77"/>
      <c r="AM1847" s="77"/>
      <c r="AN1847" s="77"/>
      <c r="AO1847" s="77"/>
      <c r="AP1847" s="77"/>
      <c r="AQ1847" s="77" t="s">
        <v>15069</v>
      </c>
      <c r="AR1847" s="77">
        <v>125736</v>
      </c>
      <c r="AS1847" s="77"/>
      <c r="AT1847" s="77"/>
      <c r="AU1847" s="77"/>
      <c r="AV1847" s="80" t="str">
        <f>HYPERLINK("https://pbs.twimg.com/ext_tw_video_thumb/1621214181251862530/pu/img/DDpahQifwnv7Dn-W.jpg")</f>
        <v>https://pbs.twimg.com/ext_tw_video_thumb/1621214181251862530/pu/img/DDpahQifwnv7Dn-W.jpg</v>
      </c>
      <c r="AW1847" s="82" t="s">
        <v>18615</v>
      </c>
      <c r="AX1847" s="82" t="s">
        <v>18615</v>
      </c>
      <c r="AY1847" s="77"/>
      <c r="AZ1847" s="82" t="s">
        <v>20971</v>
      </c>
      <c r="BA1847" s="82" t="s">
        <v>20971</v>
      </c>
      <c r="BB1847" s="82" t="s">
        <v>20971</v>
      </c>
      <c r="BC1847" s="82" t="s">
        <v>18615</v>
      </c>
      <c r="BD1847" s="77">
        <v>95810074</v>
      </c>
      <c r="BE1847" s="77"/>
      <c r="BF1847" s="77"/>
      <c r="BG1847" s="77"/>
      <c r="BH1847" s="77"/>
      <c r="BI1847" s="77"/>
    </row>
    <row r="1848" spans="1:61" x14ac:dyDescent="0.25">
      <c r="A1848" s="62" t="s">
        <v>686</v>
      </c>
      <c r="B1848" s="62" t="s">
        <v>686</v>
      </c>
      <c r="C1848" s="63"/>
      <c r="D1848" s="64"/>
      <c r="E1848" s="65"/>
      <c r="F1848" s="66"/>
      <c r="G1848" s="63"/>
      <c r="H1848" s="67"/>
      <c r="I1848" s="68"/>
      <c r="J1848" s="68"/>
      <c r="K1848" s="32"/>
      <c r="L1848" s="75">
        <v>1848</v>
      </c>
      <c r="M1848" s="75"/>
      <c r="N1848" s="70"/>
      <c r="O1848" s="77" t="s">
        <v>179</v>
      </c>
      <c r="P1848" s="79">
        <v>45010.563518518517</v>
      </c>
      <c r="Q1848" s="77" t="s">
        <v>3087</v>
      </c>
      <c r="R1848" s="77">
        <v>0</v>
      </c>
      <c r="S1848" s="77">
        <v>0</v>
      </c>
      <c r="T1848" s="77">
        <v>0</v>
      </c>
      <c r="U1848" s="77">
        <v>0</v>
      </c>
      <c r="V1848" s="77">
        <v>51</v>
      </c>
      <c r="W1848" s="82" t="s">
        <v>6061</v>
      </c>
      <c r="X1848" s="80" t="str">
        <f>HYPERLINK("https://ift.tt/CfvOmBG")</f>
        <v>https://ift.tt/CfvOmBG</v>
      </c>
      <c r="Y1848" s="77" t="s">
        <v>7330</v>
      </c>
      <c r="Z1848" s="77"/>
      <c r="AA1848" s="77" t="s">
        <v>8426</v>
      </c>
      <c r="AB1848" s="77" t="s">
        <v>10130</v>
      </c>
      <c r="AC1848" s="82" t="s">
        <v>10157</v>
      </c>
      <c r="AD1848" s="77" t="s">
        <v>10189</v>
      </c>
      <c r="AE1848" s="80" t="str">
        <f>HYPERLINK("https://twitter.com/exnessportugues/status/1639621021396500480")</f>
        <v>https://twitter.com/exnessportugues/status/1639621021396500480</v>
      </c>
      <c r="AF1848" s="79">
        <v>45010.563518518517</v>
      </c>
      <c r="AG1848" s="85">
        <v>45010</v>
      </c>
      <c r="AH1848" s="82" t="s">
        <v>11970</v>
      </c>
      <c r="AI1848" s="77" t="b">
        <v>0</v>
      </c>
      <c r="AJ1848" s="77"/>
      <c r="AK1848" s="77"/>
      <c r="AL1848" s="77"/>
      <c r="AM1848" s="77"/>
      <c r="AN1848" s="77"/>
      <c r="AO1848" s="77"/>
      <c r="AP1848" s="77"/>
      <c r="AQ1848" s="77" t="s">
        <v>15070</v>
      </c>
      <c r="AR1848" s="77"/>
      <c r="AS1848" s="77"/>
      <c r="AT1848" s="77"/>
      <c r="AU1848" s="77"/>
      <c r="AV1848" s="80" t="str">
        <f>HYPERLINK("https://pbs.twimg.com/media/FsEaoVwXsAM71km.jpg")</f>
        <v>https://pbs.twimg.com/media/FsEaoVwXsAM71km.jpg</v>
      </c>
      <c r="AW1848" s="82" t="s">
        <v>18616</v>
      </c>
      <c r="AX1848" s="82" t="s">
        <v>18616</v>
      </c>
      <c r="AY1848" s="77"/>
      <c r="AZ1848" s="82" t="s">
        <v>20971</v>
      </c>
      <c r="BA1848" s="82" t="s">
        <v>20971</v>
      </c>
      <c r="BB1848" s="82" t="s">
        <v>20971</v>
      </c>
      <c r="BC1848" s="82" t="s">
        <v>18616</v>
      </c>
      <c r="BD1848" s="77">
        <v>95810074</v>
      </c>
      <c r="BE1848" s="77"/>
      <c r="BF1848" s="77"/>
      <c r="BG1848" s="77"/>
      <c r="BH1848" s="77"/>
      <c r="BI1848" s="77"/>
    </row>
    <row r="1849" spans="1:61" x14ac:dyDescent="0.25">
      <c r="A1849" s="62" t="s">
        <v>687</v>
      </c>
      <c r="B1849" s="62" t="s">
        <v>687</v>
      </c>
      <c r="C1849" s="63"/>
      <c r="D1849" s="64"/>
      <c r="E1849" s="65"/>
      <c r="F1849" s="66"/>
      <c r="G1849" s="63"/>
      <c r="H1849" s="67"/>
      <c r="I1849" s="68"/>
      <c r="J1849" s="68"/>
      <c r="K1849" s="32"/>
      <c r="L1849" s="75">
        <v>1849</v>
      </c>
      <c r="M1849" s="75"/>
      <c r="N1849" s="70"/>
      <c r="O1849" s="77" t="s">
        <v>179</v>
      </c>
      <c r="P1849" s="79">
        <v>45134.61310185185</v>
      </c>
      <c r="Q1849" s="77" t="s">
        <v>3088</v>
      </c>
      <c r="R1849" s="77">
        <v>0</v>
      </c>
      <c r="S1849" s="77">
        <v>0</v>
      </c>
      <c r="T1849" s="77">
        <v>0</v>
      </c>
      <c r="U1849" s="77">
        <v>0</v>
      </c>
      <c r="V1849" s="77">
        <v>68</v>
      </c>
      <c r="W1849" s="82" t="s">
        <v>6062</v>
      </c>
      <c r="X1849" s="80" t="str">
        <f>HYPERLINK("https://todosnospodemos.com.br/cadastro/77534")</f>
        <v>https://todosnospodemos.com.br/cadastro/77534</v>
      </c>
      <c r="Y1849" s="77" t="s">
        <v>7252</v>
      </c>
      <c r="Z1849" s="77"/>
      <c r="AA1849" s="77" t="s">
        <v>8427</v>
      </c>
      <c r="AB1849" s="77" t="s">
        <v>10129</v>
      </c>
      <c r="AC1849" s="82" t="s">
        <v>10145</v>
      </c>
      <c r="AD1849" s="77" t="s">
        <v>10184</v>
      </c>
      <c r="AE1849" s="80" t="str">
        <f>HYPERLINK("https://twitter.com/ganharcerto/status/1684575083816431619")</f>
        <v>https://twitter.com/ganharcerto/status/1684575083816431619</v>
      </c>
      <c r="AF1849" s="79">
        <v>45134.61310185185</v>
      </c>
      <c r="AG1849" s="85">
        <v>45134</v>
      </c>
      <c r="AH1849" s="82" t="s">
        <v>11971</v>
      </c>
      <c r="AI1849" s="77" t="b">
        <v>0</v>
      </c>
      <c r="AJ1849" s="77"/>
      <c r="AK1849" s="77"/>
      <c r="AL1849" s="77"/>
      <c r="AM1849" s="77"/>
      <c r="AN1849" s="77"/>
      <c r="AO1849" s="77"/>
      <c r="AP1849" s="77"/>
      <c r="AQ1849" s="77" t="s">
        <v>15071</v>
      </c>
      <c r="AR1849" s="77">
        <v>33100</v>
      </c>
      <c r="AS1849" s="77"/>
      <c r="AT1849" s="77"/>
      <c r="AU1849" s="77"/>
      <c r="AV1849" s="80" t="str">
        <f>HYPERLINK("https://pbs.twimg.com/ext_tw_video_thumb/1684575027084296192/pu/img/tGFEt06IMUO4YC6y.jpg")</f>
        <v>https://pbs.twimg.com/ext_tw_video_thumb/1684575027084296192/pu/img/tGFEt06IMUO4YC6y.jpg</v>
      </c>
      <c r="AW1849" s="82" t="s">
        <v>18617</v>
      </c>
      <c r="AX1849" s="82" t="s">
        <v>18617</v>
      </c>
      <c r="AY1849" s="77"/>
      <c r="AZ1849" s="82" t="s">
        <v>20971</v>
      </c>
      <c r="BA1849" s="82" t="s">
        <v>20971</v>
      </c>
      <c r="BB1849" s="82" t="s">
        <v>20971</v>
      </c>
      <c r="BC1849" s="82" t="s">
        <v>18617</v>
      </c>
      <c r="BD1849" s="77">
        <v>2405770310</v>
      </c>
      <c r="BE1849" s="77"/>
      <c r="BF1849" s="77"/>
      <c r="BG1849" s="77"/>
      <c r="BH1849" s="77"/>
      <c r="BI1849" s="77"/>
    </row>
    <row r="1850" spans="1:61" x14ac:dyDescent="0.25">
      <c r="A1850" s="62" t="s">
        <v>687</v>
      </c>
      <c r="B1850" s="62" t="s">
        <v>687</v>
      </c>
      <c r="C1850" s="63"/>
      <c r="D1850" s="64"/>
      <c r="E1850" s="65"/>
      <c r="F1850" s="66"/>
      <c r="G1850" s="63"/>
      <c r="H1850" s="67"/>
      <c r="I1850" s="68"/>
      <c r="J1850" s="68"/>
      <c r="K1850" s="32"/>
      <c r="L1850" s="75">
        <v>1850</v>
      </c>
      <c r="M1850" s="75"/>
      <c r="N1850" s="70"/>
      <c r="O1850" s="77" t="s">
        <v>179</v>
      </c>
      <c r="P1850" s="79">
        <v>45134.612384259257</v>
      </c>
      <c r="Q1850" s="77" t="s">
        <v>3089</v>
      </c>
      <c r="R1850" s="77">
        <v>0</v>
      </c>
      <c r="S1850" s="77">
        <v>0</v>
      </c>
      <c r="T1850" s="77">
        <v>0</v>
      </c>
      <c r="U1850" s="77">
        <v>0</v>
      </c>
      <c r="V1850" s="77">
        <v>45</v>
      </c>
      <c r="W1850" s="82" t="s">
        <v>6062</v>
      </c>
      <c r="X1850" s="80" t="str">
        <f>HYPERLINK("https://todosnospodemos.com.br/cadastro/77534")</f>
        <v>https://todosnospodemos.com.br/cadastro/77534</v>
      </c>
      <c r="Y1850" s="77" t="s">
        <v>7252</v>
      </c>
      <c r="Z1850" s="77"/>
      <c r="AA1850" s="77" t="s">
        <v>8428</v>
      </c>
      <c r="AB1850" s="77" t="s">
        <v>10129</v>
      </c>
      <c r="AC1850" s="82" t="s">
        <v>10145</v>
      </c>
      <c r="AD1850" s="77" t="s">
        <v>10184</v>
      </c>
      <c r="AE1850" s="80" t="str">
        <f>HYPERLINK("https://twitter.com/ganharcerto/status/1684574824046407681")</f>
        <v>https://twitter.com/ganharcerto/status/1684574824046407681</v>
      </c>
      <c r="AF1850" s="79">
        <v>45134.612384259257</v>
      </c>
      <c r="AG1850" s="85">
        <v>45134</v>
      </c>
      <c r="AH1850" s="82" t="s">
        <v>11972</v>
      </c>
      <c r="AI1850" s="77" t="b">
        <v>0</v>
      </c>
      <c r="AJ1850" s="77"/>
      <c r="AK1850" s="77"/>
      <c r="AL1850" s="77"/>
      <c r="AM1850" s="77"/>
      <c r="AN1850" s="77"/>
      <c r="AO1850" s="77"/>
      <c r="AP1850" s="77"/>
      <c r="AQ1850" s="77" t="s">
        <v>15072</v>
      </c>
      <c r="AR1850" s="77">
        <v>40033</v>
      </c>
      <c r="AS1850" s="77"/>
      <c r="AT1850" s="77"/>
      <c r="AU1850" s="77"/>
      <c r="AV1850" s="80" t="str">
        <f>HYPERLINK("https://pbs.twimg.com/ext_tw_video_thumb/1684574762327232513/pu/img/lDfXZqKIqWVyGEpC.jpg")</f>
        <v>https://pbs.twimg.com/ext_tw_video_thumb/1684574762327232513/pu/img/lDfXZqKIqWVyGEpC.jpg</v>
      </c>
      <c r="AW1850" s="82" t="s">
        <v>18618</v>
      </c>
      <c r="AX1850" s="82" t="s">
        <v>18618</v>
      </c>
      <c r="AY1850" s="77"/>
      <c r="AZ1850" s="82" t="s">
        <v>20971</v>
      </c>
      <c r="BA1850" s="82" t="s">
        <v>20971</v>
      </c>
      <c r="BB1850" s="82" t="s">
        <v>20971</v>
      </c>
      <c r="BC1850" s="82" t="s">
        <v>18618</v>
      </c>
      <c r="BD1850" s="77">
        <v>2405770310</v>
      </c>
      <c r="BE1850" s="77"/>
      <c r="BF1850" s="77"/>
      <c r="BG1850" s="77"/>
      <c r="BH1850" s="77"/>
      <c r="BI1850" s="77"/>
    </row>
    <row r="1851" spans="1:61" x14ac:dyDescent="0.25">
      <c r="A1851" s="62" t="s">
        <v>688</v>
      </c>
      <c r="B1851" s="62" t="s">
        <v>688</v>
      </c>
      <c r="C1851" s="63"/>
      <c r="D1851" s="64"/>
      <c r="E1851" s="65"/>
      <c r="F1851" s="66"/>
      <c r="G1851" s="63"/>
      <c r="H1851" s="67"/>
      <c r="I1851" s="68"/>
      <c r="J1851" s="68"/>
      <c r="K1851" s="32"/>
      <c r="L1851" s="75">
        <v>1851</v>
      </c>
      <c r="M1851" s="75"/>
      <c r="N1851" s="70"/>
      <c r="O1851" s="77" t="s">
        <v>179</v>
      </c>
      <c r="P1851" s="79">
        <v>44991.750300925924</v>
      </c>
      <c r="Q1851" s="77" t="s">
        <v>3090</v>
      </c>
      <c r="R1851" s="77">
        <v>0</v>
      </c>
      <c r="S1851" s="77">
        <v>0</v>
      </c>
      <c r="T1851" s="77">
        <v>0</v>
      </c>
      <c r="U1851" s="77">
        <v>0</v>
      </c>
      <c r="V1851" s="77">
        <v>30</v>
      </c>
      <c r="W1851" s="82" t="s">
        <v>6063</v>
      </c>
      <c r="X1851" s="77"/>
      <c r="Y1851" s="77"/>
      <c r="Z1851" s="77"/>
      <c r="AA1851" s="77" t="s">
        <v>8429</v>
      </c>
      <c r="AB1851" s="77" t="s">
        <v>10130</v>
      </c>
      <c r="AC1851" s="82" t="s">
        <v>10147</v>
      </c>
      <c r="AD1851" s="77" t="s">
        <v>10184</v>
      </c>
      <c r="AE1851" s="80" t="str">
        <f>HYPERLINK("https://twitter.com/biailluminati/status/1632803338126336001")</f>
        <v>https://twitter.com/biailluminati/status/1632803338126336001</v>
      </c>
      <c r="AF1851" s="79">
        <v>44991.750300925924</v>
      </c>
      <c r="AG1851" s="85">
        <v>44991</v>
      </c>
      <c r="AH1851" s="82" t="s">
        <v>10661</v>
      </c>
      <c r="AI1851" s="77" t="b">
        <v>0</v>
      </c>
      <c r="AJ1851" s="77"/>
      <c r="AK1851" s="77"/>
      <c r="AL1851" s="77"/>
      <c r="AM1851" s="77"/>
      <c r="AN1851" s="77"/>
      <c r="AO1851" s="77"/>
      <c r="AP1851" s="77"/>
      <c r="AQ1851" s="77" t="s">
        <v>15073</v>
      </c>
      <c r="AR1851" s="77"/>
      <c r="AS1851" s="77"/>
      <c r="AT1851" s="77"/>
      <c r="AU1851" s="77"/>
      <c r="AV1851" s="80" t="str">
        <f>HYPERLINK("https://pbs.twimg.com/media/Fqjh-7TXoAMetZo.jpg")</f>
        <v>https://pbs.twimg.com/media/Fqjh-7TXoAMetZo.jpg</v>
      </c>
      <c r="AW1851" s="82" t="s">
        <v>18619</v>
      </c>
      <c r="AX1851" s="82" t="s">
        <v>18619</v>
      </c>
      <c r="AY1851" s="77"/>
      <c r="AZ1851" s="82" t="s">
        <v>20971</v>
      </c>
      <c r="BA1851" s="82" t="s">
        <v>20971</v>
      </c>
      <c r="BB1851" s="82" t="s">
        <v>20971</v>
      </c>
      <c r="BC1851" s="82" t="s">
        <v>18619</v>
      </c>
      <c r="BD1851" s="82" t="s">
        <v>21359</v>
      </c>
      <c r="BE1851" s="77"/>
      <c r="BF1851" s="77"/>
      <c r="BG1851" s="77"/>
      <c r="BH1851" s="77"/>
      <c r="BI1851" s="77"/>
    </row>
    <row r="1852" spans="1:61" x14ac:dyDescent="0.25">
      <c r="A1852" s="62" t="s">
        <v>689</v>
      </c>
      <c r="B1852" s="62" t="s">
        <v>689</v>
      </c>
      <c r="C1852" s="63"/>
      <c r="D1852" s="64"/>
      <c r="E1852" s="65"/>
      <c r="F1852" s="66"/>
      <c r="G1852" s="63"/>
      <c r="H1852" s="67"/>
      <c r="I1852" s="68"/>
      <c r="J1852" s="68"/>
      <c r="K1852" s="32"/>
      <c r="L1852" s="75">
        <v>1852</v>
      </c>
      <c r="M1852" s="75"/>
      <c r="N1852" s="70"/>
      <c r="O1852" s="77" t="s">
        <v>179</v>
      </c>
      <c r="P1852" s="79">
        <v>45190.822476851848</v>
      </c>
      <c r="Q1852" s="77" t="s">
        <v>3091</v>
      </c>
      <c r="R1852" s="77">
        <v>0</v>
      </c>
      <c r="S1852" s="77">
        <v>0</v>
      </c>
      <c r="T1852" s="77">
        <v>0</v>
      </c>
      <c r="U1852" s="77">
        <v>0</v>
      </c>
      <c r="V1852" s="77">
        <v>24</v>
      </c>
      <c r="W1852" s="82" t="s">
        <v>6064</v>
      </c>
      <c r="X1852" s="77"/>
      <c r="Y1852" s="77"/>
      <c r="Z1852" s="77"/>
      <c r="AA1852" s="77" t="s">
        <v>8430</v>
      </c>
      <c r="AB1852" s="77" t="s">
        <v>10129</v>
      </c>
      <c r="AC1852" s="82" t="s">
        <v>10144</v>
      </c>
      <c r="AD1852" s="77" t="s">
        <v>10183</v>
      </c>
      <c r="AE1852" s="80" t="str">
        <f>HYPERLINK("https://twitter.com/jonathanprobr/status/1704944677114257909")</f>
        <v>https://twitter.com/jonathanprobr/status/1704944677114257909</v>
      </c>
      <c r="AF1852" s="79">
        <v>45190.822476851848</v>
      </c>
      <c r="AG1852" s="85">
        <v>45190</v>
      </c>
      <c r="AH1852" s="82" t="s">
        <v>11973</v>
      </c>
      <c r="AI1852" s="77" t="b">
        <v>0</v>
      </c>
      <c r="AJ1852" s="77"/>
      <c r="AK1852" s="77"/>
      <c r="AL1852" s="77"/>
      <c r="AM1852" s="77"/>
      <c r="AN1852" s="77"/>
      <c r="AO1852" s="77"/>
      <c r="AP1852" s="77"/>
      <c r="AQ1852" s="77" t="s">
        <v>15074</v>
      </c>
      <c r="AR1852" s="77">
        <v>24078</v>
      </c>
      <c r="AS1852" s="77"/>
      <c r="AT1852" s="77"/>
      <c r="AU1852" s="77"/>
      <c r="AV1852" s="80" t="str">
        <f>HYPERLINK("https://pbs.twimg.com/ext_tw_video_thumb/1704944622277885952/pu/img/3GzIf6dSvewCkIKO.jpg")</f>
        <v>https://pbs.twimg.com/ext_tw_video_thumb/1704944622277885952/pu/img/3GzIf6dSvewCkIKO.jpg</v>
      </c>
      <c r="AW1852" s="82" t="s">
        <v>18620</v>
      </c>
      <c r="AX1852" s="82" t="s">
        <v>18620</v>
      </c>
      <c r="AY1852" s="77"/>
      <c r="AZ1852" s="82" t="s">
        <v>20971</v>
      </c>
      <c r="BA1852" s="82" t="s">
        <v>20971</v>
      </c>
      <c r="BB1852" s="82" t="s">
        <v>20971</v>
      </c>
      <c r="BC1852" s="82" t="s">
        <v>18620</v>
      </c>
      <c r="BD1852" s="82" t="s">
        <v>21360</v>
      </c>
      <c r="BE1852" s="77"/>
      <c r="BF1852" s="77"/>
      <c r="BG1852" s="77"/>
      <c r="BH1852" s="77"/>
      <c r="BI1852" s="77"/>
    </row>
    <row r="1853" spans="1:61" x14ac:dyDescent="0.25">
      <c r="A1853" s="62" t="s">
        <v>690</v>
      </c>
      <c r="B1853" s="62" t="s">
        <v>690</v>
      </c>
      <c r="C1853" s="63"/>
      <c r="D1853" s="64"/>
      <c r="E1853" s="65"/>
      <c r="F1853" s="66"/>
      <c r="G1853" s="63"/>
      <c r="H1853" s="67"/>
      <c r="I1853" s="68"/>
      <c r="J1853" s="68"/>
      <c r="K1853" s="32"/>
      <c r="L1853" s="75">
        <v>1853</v>
      </c>
      <c r="M1853" s="75"/>
      <c r="N1853" s="70"/>
      <c r="O1853" s="77" t="s">
        <v>179</v>
      </c>
      <c r="P1853" s="79">
        <v>45071.095763888887</v>
      </c>
      <c r="Q1853" s="77" t="s">
        <v>3092</v>
      </c>
      <c r="R1853" s="77">
        <v>0</v>
      </c>
      <c r="S1853" s="77">
        <v>0</v>
      </c>
      <c r="T1853" s="77">
        <v>0</v>
      </c>
      <c r="U1853" s="77">
        <v>0</v>
      </c>
      <c r="V1853" s="77">
        <v>10</v>
      </c>
      <c r="W1853" s="82" t="s">
        <v>6065</v>
      </c>
      <c r="X1853" s="80" t="str">
        <f>HYPERLINK("https://bet7k.com/?ref=08988fe807d0")</f>
        <v>https://bet7k.com/?ref=08988fe807d0</v>
      </c>
      <c r="Y1853" s="77" t="s">
        <v>7375</v>
      </c>
      <c r="Z1853" s="77"/>
      <c r="AA1853" s="77"/>
      <c r="AB1853" s="77"/>
      <c r="AC1853" s="82" t="s">
        <v>10144</v>
      </c>
      <c r="AD1853" s="77" t="s">
        <v>10183</v>
      </c>
      <c r="AE1853" s="80" t="str">
        <f>HYPERLINK("https://twitter.com/paulansbeauty/status/1661557169563529217")</f>
        <v>https://twitter.com/paulansbeauty/status/1661557169563529217</v>
      </c>
      <c r="AF1853" s="79">
        <v>45071.095763888887</v>
      </c>
      <c r="AG1853" s="85">
        <v>45071</v>
      </c>
      <c r="AH1853" s="82" t="s">
        <v>11974</v>
      </c>
      <c r="AI1853" s="77" t="b">
        <v>0</v>
      </c>
      <c r="AJ1853" s="77" t="s">
        <v>14010</v>
      </c>
      <c r="AK1853" s="77" t="s">
        <v>14033</v>
      </c>
      <c r="AL1853" s="77" t="s">
        <v>14035</v>
      </c>
      <c r="AM1853" s="77" t="s">
        <v>14052</v>
      </c>
      <c r="AN1853" s="77" t="s">
        <v>14089</v>
      </c>
      <c r="AO1853" s="77" t="s">
        <v>14127</v>
      </c>
      <c r="AP1853" s="77" t="s">
        <v>14149</v>
      </c>
      <c r="AQ1853" s="77"/>
      <c r="AR1853" s="77"/>
      <c r="AS1853" s="77"/>
      <c r="AT1853" s="77"/>
      <c r="AU1853" s="77"/>
      <c r="AV1853" s="80" t="str">
        <f>HYPERLINK("https://pbs.twimg.com/profile_images/1643953772601790467/z6cg6D93_normal.jpg")</f>
        <v>https://pbs.twimg.com/profile_images/1643953772601790467/z6cg6D93_normal.jpg</v>
      </c>
      <c r="AW1853" s="82" t="s">
        <v>18621</v>
      </c>
      <c r="AX1853" s="82" t="s">
        <v>18621</v>
      </c>
      <c r="AY1853" s="77"/>
      <c r="AZ1853" s="82" t="s">
        <v>20971</v>
      </c>
      <c r="BA1853" s="82" t="s">
        <v>20971</v>
      </c>
      <c r="BB1853" s="82" t="s">
        <v>20971</v>
      </c>
      <c r="BC1853" s="82" t="s">
        <v>18621</v>
      </c>
      <c r="BD1853" s="82" t="s">
        <v>21361</v>
      </c>
      <c r="BE1853" s="77"/>
      <c r="BF1853" s="77"/>
      <c r="BG1853" s="77"/>
      <c r="BH1853" s="77"/>
      <c r="BI1853" s="77"/>
    </row>
    <row r="1854" spans="1:61" x14ac:dyDescent="0.25">
      <c r="A1854" s="62" t="s">
        <v>691</v>
      </c>
      <c r="B1854" s="62" t="s">
        <v>691</v>
      </c>
      <c r="C1854" s="63"/>
      <c r="D1854" s="64"/>
      <c r="E1854" s="65"/>
      <c r="F1854" s="66"/>
      <c r="G1854" s="63"/>
      <c r="H1854" s="67"/>
      <c r="I1854" s="68"/>
      <c r="J1854" s="68"/>
      <c r="K1854" s="32"/>
      <c r="L1854" s="75">
        <v>1854</v>
      </c>
      <c r="M1854" s="75"/>
      <c r="N1854" s="70"/>
      <c r="O1854" s="77" t="s">
        <v>179</v>
      </c>
      <c r="P1854" s="79">
        <v>44999.500578703701</v>
      </c>
      <c r="Q1854" s="77" t="s">
        <v>3093</v>
      </c>
      <c r="R1854" s="77">
        <v>0</v>
      </c>
      <c r="S1854" s="77">
        <v>0</v>
      </c>
      <c r="T1854" s="77">
        <v>0</v>
      </c>
      <c r="U1854" s="77">
        <v>0</v>
      </c>
      <c r="V1854" s="77">
        <v>67</v>
      </c>
      <c r="W1854" s="82" t="s">
        <v>6066</v>
      </c>
      <c r="X1854" s="77"/>
      <c r="Y1854" s="77"/>
      <c r="Z1854" s="77"/>
      <c r="AA1854" s="77" t="s">
        <v>8431</v>
      </c>
      <c r="AB1854" s="77" t="s">
        <v>10129</v>
      </c>
      <c r="AC1854" s="82" t="s">
        <v>10147</v>
      </c>
      <c r="AD1854" s="77" t="s">
        <v>10184</v>
      </c>
      <c r="AE1854" s="80" t="str">
        <f>HYPERLINK("https://twitter.com/raisaingred/status/1635611943074496512")</f>
        <v>https://twitter.com/raisaingred/status/1635611943074496512</v>
      </c>
      <c r="AF1854" s="79">
        <v>44999.500578703701</v>
      </c>
      <c r="AG1854" s="85">
        <v>44999</v>
      </c>
      <c r="AH1854" s="82" t="s">
        <v>11975</v>
      </c>
      <c r="AI1854" s="77" t="b">
        <v>0</v>
      </c>
      <c r="AJ1854" s="77"/>
      <c r="AK1854" s="77"/>
      <c r="AL1854" s="77"/>
      <c r="AM1854" s="77"/>
      <c r="AN1854" s="77"/>
      <c r="AO1854" s="77"/>
      <c r="AP1854" s="77"/>
      <c r="AQ1854" s="77" t="s">
        <v>15075</v>
      </c>
      <c r="AR1854" s="77">
        <v>21533</v>
      </c>
      <c r="AS1854" s="77"/>
      <c r="AT1854" s="77"/>
      <c r="AU1854" s="77"/>
      <c r="AV1854" s="80" t="str">
        <f>HYPERLINK("https://pbs.twimg.com/ext_tw_video_thumb/1635611872111087616/pu/img/TDnX6RzUOus4BAil.jpg")</f>
        <v>https://pbs.twimg.com/ext_tw_video_thumb/1635611872111087616/pu/img/TDnX6RzUOus4BAil.jpg</v>
      </c>
      <c r="AW1854" s="82" t="s">
        <v>18622</v>
      </c>
      <c r="AX1854" s="82" t="s">
        <v>18622</v>
      </c>
      <c r="AY1854" s="77"/>
      <c r="AZ1854" s="82" t="s">
        <v>20971</v>
      </c>
      <c r="BA1854" s="82" t="s">
        <v>20971</v>
      </c>
      <c r="BB1854" s="82" t="s">
        <v>20971</v>
      </c>
      <c r="BC1854" s="82" t="s">
        <v>18622</v>
      </c>
      <c r="BD1854" s="82" t="s">
        <v>21362</v>
      </c>
      <c r="BE1854" s="77"/>
      <c r="BF1854" s="77"/>
      <c r="BG1854" s="77"/>
      <c r="BH1854" s="77"/>
      <c r="BI1854" s="77"/>
    </row>
    <row r="1855" spans="1:61" x14ac:dyDescent="0.25">
      <c r="A1855" s="62" t="s">
        <v>692</v>
      </c>
      <c r="B1855" s="62" t="s">
        <v>692</v>
      </c>
      <c r="C1855" s="63"/>
      <c r="D1855" s="64"/>
      <c r="E1855" s="65"/>
      <c r="F1855" s="66"/>
      <c r="G1855" s="63"/>
      <c r="H1855" s="67"/>
      <c r="I1855" s="68"/>
      <c r="J1855" s="68"/>
      <c r="K1855" s="32"/>
      <c r="L1855" s="75">
        <v>1855</v>
      </c>
      <c r="M1855" s="75"/>
      <c r="N1855" s="70"/>
      <c r="O1855" s="77" t="s">
        <v>179</v>
      </c>
      <c r="P1855" s="79">
        <v>45176.034166666665</v>
      </c>
      <c r="Q1855" s="77" t="s">
        <v>3094</v>
      </c>
      <c r="R1855" s="77">
        <v>0</v>
      </c>
      <c r="S1855" s="77">
        <v>0</v>
      </c>
      <c r="T1855" s="77">
        <v>0</v>
      </c>
      <c r="U1855" s="77">
        <v>0</v>
      </c>
      <c r="V1855" s="77">
        <v>32</v>
      </c>
      <c r="W1855" s="82" t="s">
        <v>6067</v>
      </c>
      <c r="X1855" s="77"/>
      <c r="Y1855" s="77"/>
      <c r="Z1855" s="77"/>
      <c r="AA1855" s="77" t="s">
        <v>8432</v>
      </c>
      <c r="AB1855" s="77" t="s">
        <v>10130</v>
      </c>
      <c r="AC1855" s="82" t="s">
        <v>10144</v>
      </c>
      <c r="AD1855" s="77" t="s">
        <v>10184</v>
      </c>
      <c r="AE1855" s="80" t="str">
        <f>HYPERLINK("https://twitter.com/oastrowi/status/1699585574510727383")</f>
        <v>https://twitter.com/oastrowi/status/1699585574510727383</v>
      </c>
      <c r="AF1855" s="79">
        <v>45176.034166666665</v>
      </c>
      <c r="AG1855" s="85">
        <v>45176</v>
      </c>
      <c r="AH1855" s="82" t="s">
        <v>11976</v>
      </c>
      <c r="AI1855" s="77" t="b">
        <v>0</v>
      </c>
      <c r="AJ1855" s="77"/>
      <c r="AK1855" s="77"/>
      <c r="AL1855" s="77"/>
      <c r="AM1855" s="77"/>
      <c r="AN1855" s="77"/>
      <c r="AO1855" s="77"/>
      <c r="AP1855" s="77"/>
      <c r="AQ1855" s="77" t="s">
        <v>15076</v>
      </c>
      <c r="AR1855" s="77"/>
      <c r="AS1855" s="77"/>
      <c r="AT1855" s="77"/>
      <c r="AU1855" s="77"/>
      <c r="AV1855" s="80" t="str">
        <f>HYPERLINK("https://pbs.twimg.com/media/F5YkEhGXcAA-DzQ.jpg")</f>
        <v>https://pbs.twimg.com/media/F5YkEhGXcAA-DzQ.jpg</v>
      </c>
      <c r="AW1855" s="82" t="s">
        <v>18623</v>
      </c>
      <c r="AX1855" s="82" t="s">
        <v>18623</v>
      </c>
      <c r="AY1855" s="77"/>
      <c r="AZ1855" s="82" t="s">
        <v>20971</v>
      </c>
      <c r="BA1855" s="82" t="s">
        <v>20971</v>
      </c>
      <c r="BB1855" s="82" t="s">
        <v>20971</v>
      </c>
      <c r="BC1855" s="82" t="s">
        <v>18623</v>
      </c>
      <c r="BD1855" s="82" t="s">
        <v>21363</v>
      </c>
      <c r="BE1855" s="77"/>
      <c r="BF1855" s="77"/>
      <c r="BG1855" s="77"/>
      <c r="BH1855" s="77"/>
      <c r="BI1855" s="77"/>
    </row>
    <row r="1856" spans="1:61" x14ac:dyDescent="0.25">
      <c r="A1856" s="62" t="s">
        <v>693</v>
      </c>
      <c r="B1856" s="62" t="s">
        <v>693</v>
      </c>
      <c r="C1856" s="63"/>
      <c r="D1856" s="64"/>
      <c r="E1856" s="65"/>
      <c r="F1856" s="66"/>
      <c r="G1856" s="63"/>
      <c r="H1856" s="67"/>
      <c r="I1856" s="68"/>
      <c r="J1856" s="68"/>
      <c r="K1856" s="32"/>
      <c r="L1856" s="75">
        <v>1856</v>
      </c>
      <c r="M1856" s="75"/>
      <c r="N1856" s="70"/>
      <c r="O1856" s="77" t="s">
        <v>179</v>
      </c>
      <c r="P1856" s="79">
        <v>45141.193530092591</v>
      </c>
      <c r="Q1856" s="77" t="s">
        <v>3095</v>
      </c>
      <c r="R1856" s="77">
        <v>0</v>
      </c>
      <c r="S1856" s="77">
        <v>0</v>
      </c>
      <c r="T1856" s="77">
        <v>0</v>
      </c>
      <c r="U1856" s="77">
        <v>0</v>
      </c>
      <c r="V1856" s="77">
        <v>23</v>
      </c>
      <c r="W1856" s="82" t="s">
        <v>6068</v>
      </c>
      <c r="X1856" s="80" t="str">
        <f>HYPERLINK("http://win2023.com/?id=34344435")</f>
        <v>http://win2023.com/?id=34344435</v>
      </c>
      <c r="Y1856" s="77" t="s">
        <v>7376</v>
      </c>
      <c r="Z1856" s="77"/>
      <c r="AA1856" s="77" t="s">
        <v>8433</v>
      </c>
      <c r="AB1856" s="77" t="s">
        <v>10131</v>
      </c>
      <c r="AC1856" s="82" t="s">
        <v>10144</v>
      </c>
      <c r="AD1856" s="77" t="s">
        <v>10184</v>
      </c>
      <c r="AE1856" s="80" t="str">
        <f>HYPERLINK("https://twitter.com/deivid01dh/status/1686959752792715265")</f>
        <v>https://twitter.com/deivid01dh/status/1686959752792715265</v>
      </c>
      <c r="AF1856" s="79">
        <v>45141.193530092591</v>
      </c>
      <c r="AG1856" s="85">
        <v>45141</v>
      </c>
      <c r="AH1856" s="82" t="s">
        <v>11977</v>
      </c>
      <c r="AI1856" s="77" t="b">
        <v>0</v>
      </c>
      <c r="AJ1856" s="77"/>
      <c r="AK1856" s="77"/>
      <c r="AL1856" s="77"/>
      <c r="AM1856" s="77"/>
      <c r="AN1856" s="77"/>
      <c r="AO1856" s="77"/>
      <c r="AP1856" s="77"/>
      <c r="AQ1856" s="77" t="s">
        <v>15077</v>
      </c>
      <c r="AR1856" s="77"/>
      <c r="AS1856" s="77"/>
      <c r="AT1856" s="77"/>
      <c r="AU1856" s="77"/>
      <c r="AV1856" s="80" t="str">
        <f>HYPERLINK("https://pbs.twimg.com/media/F2lI8oGXMAAkFQB.jpg")</f>
        <v>https://pbs.twimg.com/media/F2lI8oGXMAAkFQB.jpg</v>
      </c>
      <c r="AW1856" s="82" t="s">
        <v>18624</v>
      </c>
      <c r="AX1856" s="82" t="s">
        <v>18624</v>
      </c>
      <c r="AY1856" s="77"/>
      <c r="AZ1856" s="82" t="s">
        <v>20971</v>
      </c>
      <c r="BA1856" s="82" t="s">
        <v>20971</v>
      </c>
      <c r="BB1856" s="82" t="s">
        <v>20971</v>
      </c>
      <c r="BC1856" s="82" t="s">
        <v>18624</v>
      </c>
      <c r="BD1856" s="77">
        <v>2864042913</v>
      </c>
      <c r="BE1856" s="77"/>
      <c r="BF1856" s="77"/>
      <c r="BG1856" s="77"/>
      <c r="BH1856" s="77"/>
      <c r="BI1856" s="77"/>
    </row>
    <row r="1857" spans="1:61" x14ac:dyDescent="0.25">
      <c r="A1857" s="62" t="s">
        <v>694</v>
      </c>
      <c r="B1857" s="62" t="s">
        <v>694</v>
      </c>
      <c r="C1857" s="63"/>
      <c r="D1857" s="64"/>
      <c r="E1857" s="65"/>
      <c r="F1857" s="66"/>
      <c r="G1857" s="63"/>
      <c r="H1857" s="67"/>
      <c r="I1857" s="68"/>
      <c r="J1857" s="68"/>
      <c r="K1857" s="32"/>
      <c r="L1857" s="75">
        <v>1857</v>
      </c>
      <c r="M1857" s="75"/>
      <c r="N1857" s="70"/>
      <c r="O1857" s="77" t="s">
        <v>179</v>
      </c>
      <c r="P1857" s="79">
        <v>45034.258310185185</v>
      </c>
      <c r="Q1857" s="77" t="s">
        <v>3096</v>
      </c>
      <c r="R1857" s="77">
        <v>0</v>
      </c>
      <c r="S1857" s="77">
        <v>0</v>
      </c>
      <c r="T1857" s="77">
        <v>0</v>
      </c>
      <c r="U1857" s="77">
        <v>0</v>
      </c>
      <c r="V1857" s="77">
        <v>71</v>
      </c>
      <c r="W1857" s="82" t="s">
        <v>6069</v>
      </c>
      <c r="X1857" s="77"/>
      <c r="Y1857" s="77"/>
      <c r="Z1857" s="77"/>
      <c r="AA1857" s="77" t="s">
        <v>8434</v>
      </c>
      <c r="AB1857" s="77" t="s">
        <v>10129</v>
      </c>
      <c r="AC1857" s="82" t="s">
        <v>10144</v>
      </c>
      <c r="AD1857" s="77" t="s">
        <v>10184</v>
      </c>
      <c r="AE1857" s="80" t="str">
        <f>HYPERLINK("https://twitter.com/designpet1/status/1648207724797149185")</f>
        <v>https://twitter.com/designpet1/status/1648207724797149185</v>
      </c>
      <c r="AF1857" s="79">
        <v>45034.258310185185</v>
      </c>
      <c r="AG1857" s="85">
        <v>45034</v>
      </c>
      <c r="AH1857" s="82" t="s">
        <v>11978</v>
      </c>
      <c r="AI1857" s="77" t="b">
        <v>0</v>
      </c>
      <c r="AJ1857" s="77" t="s">
        <v>13998</v>
      </c>
      <c r="AK1857" s="77" t="s">
        <v>14033</v>
      </c>
      <c r="AL1857" s="77" t="s">
        <v>14035</v>
      </c>
      <c r="AM1857" s="77" t="s">
        <v>14040</v>
      </c>
      <c r="AN1857" s="77" t="s">
        <v>14077</v>
      </c>
      <c r="AO1857" s="77" t="s">
        <v>14115</v>
      </c>
      <c r="AP1857" s="77" t="s">
        <v>14149</v>
      </c>
      <c r="AQ1857" s="77" t="s">
        <v>15078</v>
      </c>
      <c r="AR1857" s="77">
        <v>33654</v>
      </c>
      <c r="AS1857" s="77"/>
      <c r="AT1857" s="77"/>
      <c r="AU1857" s="77"/>
      <c r="AV1857" s="80" t="str">
        <f>HYPERLINK("https://pbs.twimg.com/ext_tw_video_thumb/1648207624276525056/pu/img/khM3cNH-7p4UphAk.jpg")</f>
        <v>https://pbs.twimg.com/ext_tw_video_thumb/1648207624276525056/pu/img/khM3cNH-7p4UphAk.jpg</v>
      </c>
      <c r="AW1857" s="82" t="s">
        <v>18625</v>
      </c>
      <c r="AX1857" s="82" t="s">
        <v>18625</v>
      </c>
      <c r="AY1857" s="77"/>
      <c r="AZ1857" s="82" t="s">
        <v>20971</v>
      </c>
      <c r="BA1857" s="82" t="s">
        <v>20971</v>
      </c>
      <c r="BB1857" s="82" t="s">
        <v>20971</v>
      </c>
      <c r="BC1857" s="82" t="s">
        <v>18625</v>
      </c>
      <c r="BD1857" s="82" t="s">
        <v>21364</v>
      </c>
      <c r="BE1857" s="77"/>
      <c r="BF1857" s="77"/>
      <c r="BG1857" s="77"/>
      <c r="BH1857" s="77"/>
      <c r="BI1857" s="77"/>
    </row>
    <row r="1858" spans="1:61" x14ac:dyDescent="0.25">
      <c r="A1858" s="62" t="s">
        <v>695</v>
      </c>
      <c r="B1858" s="62" t="s">
        <v>695</v>
      </c>
      <c r="C1858" s="63"/>
      <c r="D1858" s="64"/>
      <c r="E1858" s="65"/>
      <c r="F1858" s="66"/>
      <c r="G1858" s="63"/>
      <c r="H1858" s="67"/>
      <c r="I1858" s="68"/>
      <c r="J1858" s="68"/>
      <c r="K1858" s="32"/>
      <c r="L1858" s="75">
        <v>1858</v>
      </c>
      <c r="M1858" s="75"/>
      <c r="N1858" s="70"/>
      <c r="O1858" s="77" t="s">
        <v>179</v>
      </c>
      <c r="P1858" s="79">
        <v>45039.13484953704</v>
      </c>
      <c r="Q1858" s="77" t="s">
        <v>3097</v>
      </c>
      <c r="R1858" s="77">
        <v>0</v>
      </c>
      <c r="S1858" s="77">
        <v>0</v>
      </c>
      <c r="T1858" s="77">
        <v>0</v>
      </c>
      <c r="U1858" s="77">
        <v>0</v>
      </c>
      <c r="V1858" s="77">
        <v>48</v>
      </c>
      <c r="W1858" s="82" t="s">
        <v>6070</v>
      </c>
      <c r="X1858" s="77"/>
      <c r="Y1858" s="77"/>
      <c r="Z1858" s="77"/>
      <c r="AA1858" s="77" t="s">
        <v>8435</v>
      </c>
      <c r="AB1858" s="77" t="s">
        <v>10129</v>
      </c>
      <c r="AC1858" s="82" t="s">
        <v>10146</v>
      </c>
      <c r="AD1858" s="77" t="s">
        <v>10184</v>
      </c>
      <c r="AE1858" s="80" t="str">
        <f>HYPERLINK("https://twitter.com/dominvestidor/status/1649974924558073857")</f>
        <v>https://twitter.com/dominvestidor/status/1649974924558073857</v>
      </c>
      <c r="AF1858" s="79">
        <v>45039.13484953704</v>
      </c>
      <c r="AG1858" s="85">
        <v>45039</v>
      </c>
      <c r="AH1858" s="82" t="s">
        <v>11979</v>
      </c>
      <c r="AI1858" s="77" t="b">
        <v>0</v>
      </c>
      <c r="AJ1858" s="77"/>
      <c r="AK1858" s="77"/>
      <c r="AL1858" s="77"/>
      <c r="AM1858" s="77"/>
      <c r="AN1858" s="77"/>
      <c r="AO1858" s="77"/>
      <c r="AP1858" s="77"/>
      <c r="AQ1858" s="77" t="s">
        <v>15079</v>
      </c>
      <c r="AR1858" s="77">
        <v>31965</v>
      </c>
      <c r="AS1858" s="77"/>
      <c r="AT1858" s="77"/>
      <c r="AU1858" s="77"/>
      <c r="AV1858" s="80" t="str">
        <f>HYPERLINK("https://pbs.twimg.com/ext_tw_video_thumb/1649974800192876544/pu/img/adlmPkfFq6RVugHX.jpg")</f>
        <v>https://pbs.twimg.com/ext_tw_video_thumb/1649974800192876544/pu/img/adlmPkfFq6RVugHX.jpg</v>
      </c>
      <c r="AW1858" s="82" t="s">
        <v>18626</v>
      </c>
      <c r="AX1858" s="82" t="s">
        <v>18626</v>
      </c>
      <c r="AY1858" s="77"/>
      <c r="AZ1858" s="82" t="s">
        <v>20971</v>
      </c>
      <c r="BA1858" s="82" t="s">
        <v>20971</v>
      </c>
      <c r="BB1858" s="82" t="s">
        <v>20971</v>
      </c>
      <c r="BC1858" s="82" t="s">
        <v>18626</v>
      </c>
      <c r="BD1858" s="82" t="s">
        <v>21365</v>
      </c>
      <c r="BE1858" s="77"/>
      <c r="BF1858" s="77"/>
      <c r="BG1858" s="77"/>
      <c r="BH1858" s="77"/>
      <c r="BI1858" s="77"/>
    </row>
    <row r="1859" spans="1:61" x14ac:dyDescent="0.25">
      <c r="A1859" s="62" t="s">
        <v>696</v>
      </c>
      <c r="B1859" s="62" t="s">
        <v>696</v>
      </c>
      <c r="C1859" s="63"/>
      <c r="D1859" s="64"/>
      <c r="E1859" s="65"/>
      <c r="F1859" s="66"/>
      <c r="G1859" s="63"/>
      <c r="H1859" s="67"/>
      <c r="I1859" s="68"/>
      <c r="J1859" s="68"/>
      <c r="K1859" s="32"/>
      <c r="L1859" s="75">
        <v>1859</v>
      </c>
      <c r="M1859" s="75"/>
      <c r="N1859" s="70"/>
      <c r="O1859" s="77" t="s">
        <v>179</v>
      </c>
      <c r="P1859" s="79">
        <v>45006.561006944445</v>
      </c>
      <c r="Q1859" s="77" t="s">
        <v>3098</v>
      </c>
      <c r="R1859" s="77">
        <v>0</v>
      </c>
      <c r="S1859" s="77">
        <v>1</v>
      </c>
      <c r="T1859" s="77">
        <v>0</v>
      </c>
      <c r="U1859" s="77">
        <v>0</v>
      </c>
      <c r="V1859" s="77">
        <v>28</v>
      </c>
      <c r="W1859" s="82" t="s">
        <v>6071</v>
      </c>
      <c r="X1859" s="80" t="str">
        <f>HYPERLINK("https://www.instagram.com/reel/CpuxlO0gOZM/?utm_source=ig_web_button_share_sheet")</f>
        <v>https://www.instagram.com/reel/CpuxlO0gOZM/?utm_source=ig_web_button_share_sheet</v>
      </c>
      <c r="Y1859" s="77" t="s">
        <v>7250</v>
      </c>
      <c r="Z1859" s="77"/>
      <c r="AA1859" s="77"/>
      <c r="AB1859" s="77"/>
      <c r="AC1859" s="82" t="s">
        <v>10146</v>
      </c>
      <c r="AD1859" s="77" t="s">
        <v>10184</v>
      </c>
      <c r="AE1859" s="80" t="str">
        <f>HYPERLINK("https://twitter.com/rebeliaocryptos/status/1638170556733493253")</f>
        <v>https://twitter.com/rebeliaocryptos/status/1638170556733493253</v>
      </c>
      <c r="AF1859" s="79">
        <v>45006.561006944445</v>
      </c>
      <c r="AG1859" s="85">
        <v>45006</v>
      </c>
      <c r="AH1859" s="82" t="s">
        <v>11980</v>
      </c>
      <c r="AI1859" s="77" t="b">
        <v>0</v>
      </c>
      <c r="AJ1859" s="77"/>
      <c r="AK1859" s="77"/>
      <c r="AL1859" s="77"/>
      <c r="AM1859" s="77"/>
      <c r="AN1859" s="77"/>
      <c r="AO1859" s="77"/>
      <c r="AP1859" s="77"/>
      <c r="AQ1859" s="77"/>
      <c r="AR1859" s="77"/>
      <c r="AS1859" s="77"/>
      <c r="AT1859" s="77"/>
      <c r="AU1859" s="77"/>
      <c r="AV1859" s="80" t="str">
        <f>HYPERLINK("https://pbs.twimg.com/profile_images/1597661867991760898/0zu-YDon_normal.jpg")</f>
        <v>https://pbs.twimg.com/profile_images/1597661867991760898/0zu-YDon_normal.jpg</v>
      </c>
      <c r="AW1859" s="82" t="s">
        <v>18627</v>
      </c>
      <c r="AX1859" s="82" t="s">
        <v>18627</v>
      </c>
      <c r="AY1859" s="77"/>
      <c r="AZ1859" s="82" t="s">
        <v>20971</v>
      </c>
      <c r="BA1859" s="82" t="s">
        <v>20971</v>
      </c>
      <c r="BB1859" s="82" t="s">
        <v>20971</v>
      </c>
      <c r="BC1859" s="82" t="s">
        <v>18627</v>
      </c>
      <c r="BD1859" s="82" t="s">
        <v>21366</v>
      </c>
      <c r="BE1859" s="77"/>
      <c r="BF1859" s="77"/>
      <c r="BG1859" s="77"/>
      <c r="BH1859" s="77"/>
      <c r="BI1859" s="77"/>
    </row>
    <row r="1860" spans="1:61" x14ac:dyDescent="0.25">
      <c r="A1860" s="62" t="s">
        <v>697</v>
      </c>
      <c r="B1860" s="62" t="s">
        <v>697</v>
      </c>
      <c r="C1860" s="63"/>
      <c r="D1860" s="64"/>
      <c r="E1860" s="65"/>
      <c r="F1860" s="66"/>
      <c r="G1860" s="63"/>
      <c r="H1860" s="67"/>
      <c r="I1860" s="68"/>
      <c r="J1860" s="68"/>
      <c r="K1860" s="32"/>
      <c r="L1860" s="75">
        <v>1860</v>
      </c>
      <c r="M1860" s="75"/>
      <c r="N1860" s="70"/>
      <c r="O1860" s="77" t="s">
        <v>179</v>
      </c>
      <c r="P1860" s="79">
        <v>45072.45857638889</v>
      </c>
      <c r="Q1860" s="77" t="s">
        <v>3099</v>
      </c>
      <c r="R1860" s="77">
        <v>0</v>
      </c>
      <c r="S1860" s="77">
        <v>0</v>
      </c>
      <c r="T1860" s="77">
        <v>0</v>
      </c>
      <c r="U1860" s="77">
        <v>0</v>
      </c>
      <c r="V1860" s="77">
        <v>14</v>
      </c>
      <c r="W1860" s="82" t="s">
        <v>6072</v>
      </c>
      <c r="X1860" s="80" t="str">
        <f>HYPERLINK("http://www.movaseempreendedor.com.br")</f>
        <v>http://www.movaseempreendedor.com.br</v>
      </c>
      <c r="Y1860" s="77" t="s">
        <v>7252</v>
      </c>
      <c r="Z1860" s="77"/>
      <c r="AA1860" s="77" t="s">
        <v>8436</v>
      </c>
      <c r="AB1860" s="77" t="s">
        <v>10130</v>
      </c>
      <c r="AC1860" s="82" t="s">
        <v>10154</v>
      </c>
      <c r="AD1860" s="77" t="s">
        <v>10184</v>
      </c>
      <c r="AE1860" s="80" t="str">
        <f>HYPERLINK("https://twitter.com/se_empreendedor/status/1662051039271440386")</f>
        <v>https://twitter.com/se_empreendedor/status/1662051039271440386</v>
      </c>
      <c r="AF1860" s="79">
        <v>45072.45857638889</v>
      </c>
      <c r="AG1860" s="85">
        <v>45072</v>
      </c>
      <c r="AH1860" s="82" t="s">
        <v>11981</v>
      </c>
      <c r="AI1860" s="77" t="b">
        <v>0</v>
      </c>
      <c r="AJ1860" s="77"/>
      <c r="AK1860" s="77"/>
      <c r="AL1860" s="77"/>
      <c r="AM1860" s="77"/>
      <c r="AN1860" s="77"/>
      <c r="AO1860" s="77"/>
      <c r="AP1860" s="77"/>
      <c r="AQ1860" s="77" t="s">
        <v>15080</v>
      </c>
      <c r="AR1860" s="77"/>
      <c r="AS1860" s="77"/>
      <c r="AT1860" s="77"/>
      <c r="AU1860" s="77"/>
      <c r="AV1860" s="80" t="str">
        <f>HYPERLINK("https://pbs.twimg.com/media/FxDKnMGXsAQYBze.jpg")</f>
        <v>https://pbs.twimg.com/media/FxDKnMGXsAQYBze.jpg</v>
      </c>
      <c r="AW1860" s="82" t="s">
        <v>18628</v>
      </c>
      <c r="AX1860" s="82" t="s">
        <v>18628</v>
      </c>
      <c r="AY1860" s="77"/>
      <c r="AZ1860" s="82" t="s">
        <v>20971</v>
      </c>
      <c r="BA1860" s="82" t="s">
        <v>20971</v>
      </c>
      <c r="BB1860" s="82" t="s">
        <v>20971</v>
      </c>
      <c r="BC1860" s="82" t="s">
        <v>18628</v>
      </c>
      <c r="BD1860" s="82" t="s">
        <v>21367</v>
      </c>
      <c r="BE1860" s="77"/>
      <c r="BF1860" s="77"/>
      <c r="BG1860" s="77"/>
      <c r="BH1860" s="77"/>
      <c r="BI1860" s="77"/>
    </row>
    <row r="1861" spans="1:61" x14ac:dyDescent="0.25">
      <c r="A1861" s="62" t="s">
        <v>698</v>
      </c>
      <c r="B1861" s="62" t="s">
        <v>698</v>
      </c>
      <c r="C1861" s="63"/>
      <c r="D1861" s="64"/>
      <c r="E1861" s="65"/>
      <c r="F1861" s="66"/>
      <c r="G1861" s="63"/>
      <c r="H1861" s="67"/>
      <c r="I1861" s="68"/>
      <c r="J1861" s="68"/>
      <c r="K1861" s="32"/>
      <c r="L1861" s="75">
        <v>1861</v>
      </c>
      <c r="M1861" s="75"/>
      <c r="N1861" s="70"/>
      <c r="O1861" s="77" t="s">
        <v>179</v>
      </c>
      <c r="P1861" s="79">
        <v>45002.671967592592</v>
      </c>
      <c r="Q1861" s="77" t="s">
        <v>3100</v>
      </c>
      <c r="R1861" s="77">
        <v>0</v>
      </c>
      <c r="S1861" s="77">
        <v>0</v>
      </c>
      <c r="T1861" s="77">
        <v>0</v>
      </c>
      <c r="U1861" s="77">
        <v>0</v>
      </c>
      <c r="V1861" s="77">
        <v>102</v>
      </c>
      <c r="W1861" s="82" t="s">
        <v>5285</v>
      </c>
      <c r="X1861" s="77"/>
      <c r="Y1861" s="77"/>
      <c r="Z1861" s="77"/>
      <c r="AA1861" s="77" t="s">
        <v>8437</v>
      </c>
      <c r="AB1861" s="77" t="s">
        <v>10129</v>
      </c>
      <c r="AC1861" s="82" t="s">
        <v>10145</v>
      </c>
      <c r="AD1861" s="77" t="s">
        <v>10184</v>
      </c>
      <c r="AE1861" s="80" t="str">
        <f>HYPERLINK("https://twitter.com/diariodarendaex/status/1636761217925627911")</f>
        <v>https://twitter.com/diariodarendaex/status/1636761217925627911</v>
      </c>
      <c r="AF1861" s="79">
        <v>45002.671967592592</v>
      </c>
      <c r="AG1861" s="85">
        <v>45002</v>
      </c>
      <c r="AH1861" s="82" t="s">
        <v>11982</v>
      </c>
      <c r="AI1861" s="77" t="b">
        <v>0</v>
      </c>
      <c r="AJ1861" s="77"/>
      <c r="AK1861" s="77"/>
      <c r="AL1861" s="77"/>
      <c r="AM1861" s="77"/>
      <c r="AN1861" s="77"/>
      <c r="AO1861" s="77"/>
      <c r="AP1861" s="77"/>
      <c r="AQ1861" s="77" t="s">
        <v>15081</v>
      </c>
      <c r="AR1861" s="77">
        <v>21833</v>
      </c>
      <c r="AS1861" s="77"/>
      <c r="AT1861" s="77"/>
      <c r="AU1861" s="77"/>
      <c r="AV1861" s="80" t="str">
        <f>HYPERLINK("https://pbs.twimg.com/ext_tw_video_thumb/1636761123360845825/pu/img/vM7obs8QKJZY46Zw.jpg")</f>
        <v>https://pbs.twimg.com/ext_tw_video_thumb/1636761123360845825/pu/img/vM7obs8QKJZY46Zw.jpg</v>
      </c>
      <c r="AW1861" s="82" t="s">
        <v>18629</v>
      </c>
      <c r="AX1861" s="82" t="s">
        <v>18629</v>
      </c>
      <c r="AY1861" s="77"/>
      <c r="AZ1861" s="82" t="s">
        <v>20971</v>
      </c>
      <c r="BA1861" s="82" t="s">
        <v>20971</v>
      </c>
      <c r="BB1861" s="82" t="s">
        <v>20971</v>
      </c>
      <c r="BC1861" s="82" t="s">
        <v>18629</v>
      </c>
      <c r="BD1861" s="82" t="s">
        <v>21368</v>
      </c>
      <c r="BE1861" s="77"/>
      <c r="BF1861" s="77"/>
      <c r="BG1861" s="77"/>
      <c r="BH1861" s="77"/>
      <c r="BI1861" s="77"/>
    </row>
    <row r="1862" spans="1:61" x14ac:dyDescent="0.25">
      <c r="A1862" s="62" t="s">
        <v>699</v>
      </c>
      <c r="B1862" s="62" t="s">
        <v>699</v>
      </c>
      <c r="C1862" s="63"/>
      <c r="D1862" s="64"/>
      <c r="E1862" s="65"/>
      <c r="F1862" s="66"/>
      <c r="G1862" s="63"/>
      <c r="H1862" s="67"/>
      <c r="I1862" s="68"/>
      <c r="J1862" s="68"/>
      <c r="K1862" s="32"/>
      <c r="L1862" s="75">
        <v>1862</v>
      </c>
      <c r="M1862" s="75"/>
      <c r="N1862" s="70"/>
      <c r="O1862" s="77" t="s">
        <v>179</v>
      </c>
      <c r="P1862" s="79">
        <v>44992.715624999997</v>
      </c>
      <c r="Q1862" s="77" t="s">
        <v>3101</v>
      </c>
      <c r="R1862" s="77">
        <v>0</v>
      </c>
      <c r="S1862" s="77">
        <v>5</v>
      </c>
      <c r="T1862" s="77">
        <v>1</v>
      </c>
      <c r="U1862" s="77">
        <v>0</v>
      </c>
      <c r="V1862" s="77">
        <v>1188</v>
      </c>
      <c r="W1862" s="82" t="s">
        <v>5236</v>
      </c>
      <c r="X1862" s="80" t="str">
        <f>HYPERLINK("https://bit.ly/3kNz6ig")</f>
        <v>https://bit.ly/3kNz6ig</v>
      </c>
      <c r="Y1862" s="77" t="s">
        <v>7268</v>
      </c>
      <c r="Z1862" s="77"/>
      <c r="AA1862" s="77" t="s">
        <v>8438</v>
      </c>
      <c r="AB1862" s="77" t="s">
        <v>10129</v>
      </c>
      <c r="AC1862" s="82" t="s">
        <v>10145</v>
      </c>
      <c r="AD1862" s="77" t="s">
        <v>10184</v>
      </c>
      <c r="AE1862" s="80" t="str">
        <f>HYPERLINK("https://twitter.com/mepoupenaweb/status/1633153159026671618")</f>
        <v>https://twitter.com/mepoupenaweb/status/1633153159026671618</v>
      </c>
      <c r="AF1862" s="79">
        <v>44992.715624999997</v>
      </c>
      <c r="AG1862" s="85">
        <v>44992</v>
      </c>
      <c r="AH1862" s="82" t="s">
        <v>11983</v>
      </c>
      <c r="AI1862" s="77" t="b">
        <v>0</v>
      </c>
      <c r="AJ1862" s="77"/>
      <c r="AK1862" s="77"/>
      <c r="AL1862" s="77"/>
      <c r="AM1862" s="77"/>
      <c r="AN1862" s="77"/>
      <c r="AO1862" s="77"/>
      <c r="AP1862" s="77"/>
      <c r="AQ1862" s="77" t="s">
        <v>15082</v>
      </c>
      <c r="AR1862" s="77">
        <v>90100</v>
      </c>
      <c r="AS1862" s="77"/>
      <c r="AT1862" s="77"/>
      <c r="AU1862" s="77"/>
      <c r="AV1862" s="80" t="str">
        <f>HYPERLINK("https://pbs.twimg.com/ext_tw_video_thumb/1633153082715512836/pu/img/Vjw1GGQ6tyU4iyn1.jpg")</f>
        <v>https://pbs.twimg.com/ext_tw_video_thumb/1633153082715512836/pu/img/Vjw1GGQ6tyU4iyn1.jpg</v>
      </c>
      <c r="AW1862" s="82" t="s">
        <v>18630</v>
      </c>
      <c r="AX1862" s="82" t="s">
        <v>18630</v>
      </c>
      <c r="AY1862" s="77"/>
      <c r="AZ1862" s="82" t="s">
        <v>20971</v>
      </c>
      <c r="BA1862" s="82" t="s">
        <v>20971</v>
      </c>
      <c r="BB1862" s="82" t="s">
        <v>20971</v>
      </c>
      <c r="BC1862" s="82" t="s">
        <v>18630</v>
      </c>
      <c r="BD1862" s="82" t="s">
        <v>21369</v>
      </c>
      <c r="BE1862" s="77"/>
      <c r="BF1862" s="77"/>
      <c r="BG1862" s="77"/>
      <c r="BH1862" s="77"/>
      <c r="BI1862" s="77"/>
    </row>
    <row r="1863" spans="1:61" x14ac:dyDescent="0.25">
      <c r="A1863" s="62" t="s">
        <v>700</v>
      </c>
      <c r="B1863" s="62" t="s">
        <v>700</v>
      </c>
      <c r="C1863" s="63"/>
      <c r="D1863" s="64"/>
      <c r="E1863" s="65"/>
      <c r="F1863" s="66"/>
      <c r="G1863" s="63"/>
      <c r="H1863" s="67"/>
      <c r="I1863" s="68"/>
      <c r="J1863" s="68"/>
      <c r="K1863" s="32"/>
      <c r="L1863" s="75">
        <v>1863</v>
      </c>
      <c r="M1863" s="75"/>
      <c r="N1863" s="70"/>
      <c r="O1863" s="77" t="s">
        <v>179</v>
      </c>
      <c r="P1863" s="79">
        <v>45108.610208333332</v>
      </c>
      <c r="Q1863" s="77" t="s">
        <v>3102</v>
      </c>
      <c r="R1863" s="77">
        <v>0</v>
      </c>
      <c r="S1863" s="77">
        <v>0</v>
      </c>
      <c r="T1863" s="77">
        <v>0</v>
      </c>
      <c r="U1863" s="77">
        <v>0</v>
      </c>
      <c r="V1863" s="77">
        <v>37</v>
      </c>
      <c r="W1863" s="82" t="s">
        <v>6073</v>
      </c>
      <c r="X1863" s="77"/>
      <c r="Y1863" s="77"/>
      <c r="Z1863" s="77"/>
      <c r="AA1863" s="77"/>
      <c r="AB1863" s="77"/>
      <c r="AC1863" s="82" t="s">
        <v>10144</v>
      </c>
      <c r="AD1863" s="77" t="s">
        <v>10184</v>
      </c>
      <c r="AE1863" s="80" t="str">
        <f>HYPERLINK("https://twitter.com/ederlorenzo/status/1675151951271452674")</f>
        <v>https://twitter.com/ederlorenzo/status/1675151951271452674</v>
      </c>
      <c r="AF1863" s="79">
        <v>45108.610208333332</v>
      </c>
      <c r="AG1863" s="85">
        <v>45108</v>
      </c>
      <c r="AH1863" s="82" t="s">
        <v>11411</v>
      </c>
      <c r="AI1863" s="77"/>
      <c r="AJ1863" s="77"/>
      <c r="AK1863" s="77"/>
      <c r="AL1863" s="77"/>
      <c r="AM1863" s="77"/>
      <c r="AN1863" s="77"/>
      <c r="AO1863" s="77"/>
      <c r="AP1863" s="77"/>
      <c r="AQ1863" s="77"/>
      <c r="AR1863" s="77"/>
      <c r="AS1863" s="77"/>
      <c r="AT1863" s="77"/>
      <c r="AU1863" s="77"/>
      <c r="AV1863" s="80" t="str">
        <f>HYPERLINK("https://pbs.twimg.com/profile_images/1515713827144441859/9ogU5Ax1_normal.jpg")</f>
        <v>https://pbs.twimg.com/profile_images/1515713827144441859/9ogU5Ax1_normal.jpg</v>
      </c>
      <c r="AW1863" s="82" t="s">
        <v>18631</v>
      </c>
      <c r="AX1863" s="82" t="s">
        <v>18631</v>
      </c>
      <c r="AY1863" s="77"/>
      <c r="AZ1863" s="82" t="s">
        <v>20971</v>
      </c>
      <c r="BA1863" s="82" t="s">
        <v>20971</v>
      </c>
      <c r="BB1863" s="82" t="s">
        <v>20971</v>
      </c>
      <c r="BC1863" s="82" t="s">
        <v>18631</v>
      </c>
      <c r="BD1863" s="77">
        <v>69071497</v>
      </c>
      <c r="BE1863" s="77"/>
      <c r="BF1863" s="77"/>
      <c r="BG1863" s="77"/>
      <c r="BH1863" s="77"/>
      <c r="BI1863" s="77"/>
    </row>
    <row r="1864" spans="1:61" x14ac:dyDescent="0.25">
      <c r="A1864" s="62" t="s">
        <v>701</v>
      </c>
      <c r="B1864" s="62" t="s">
        <v>701</v>
      </c>
      <c r="C1864" s="63"/>
      <c r="D1864" s="64"/>
      <c r="E1864" s="65"/>
      <c r="F1864" s="66"/>
      <c r="G1864" s="63"/>
      <c r="H1864" s="67"/>
      <c r="I1864" s="68"/>
      <c r="J1864" s="68"/>
      <c r="K1864" s="32"/>
      <c r="L1864" s="75">
        <v>1864</v>
      </c>
      <c r="M1864" s="75"/>
      <c r="N1864" s="70"/>
      <c r="O1864" s="77" t="s">
        <v>179</v>
      </c>
      <c r="P1864" s="79">
        <v>45035.987951388888</v>
      </c>
      <c r="Q1864" s="77" t="s">
        <v>3103</v>
      </c>
      <c r="R1864" s="77">
        <v>0</v>
      </c>
      <c r="S1864" s="77">
        <v>0</v>
      </c>
      <c r="T1864" s="77">
        <v>0</v>
      </c>
      <c r="U1864" s="77">
        <v>0</v>
      </c>
      <c r="V1864" s="77">
        <v>158</v>
      </c>
      <c r="W1864" s="82" t="s">
        <v>6074</v>
      </c>
      <c r="X1864" s="80" t="str">
        <f>HYPERLINK("https://zei6iaqu-fey3ybur3q-an.a.run.app/dfnow.html?ggc=15721823%7C9%7C1%7C393")</f>
        <v>https://zei6iaqu-fey3ybur3q-an.a.run.app/dfnow.html?ggc=15721823%7C9%7C1%7C393</v>
      </c>
      <c r="Y1864" s="77" t="s">
        <v>7364</v>
      </c>
      <c r="Z1864" s="77"/>
      <c r="AA1864" s="77"/>
      <c r="AB1864" s="77"/>
      <c r="AC1864" s="82" t="s">
        <v>10145</v>
      </c>
      <c r="AD1864" s="77" t="s">
        <v>10184</v>
      </c>
      <c r="AE1864" s="80" t="str">
        <f>HYPERLINK("https://twitter.com/ellegrazi_elle/status/1648834527907790850")</f>
        <v>https://twitter.com/ellegrazi_elle/status/1648834527907790850</v>
      </c>
      <c r="AF1864" s="79">
        <v>45035.987951388888</v>
      </c>
      <c r="AG1864" s="85">
        <v>45035</v>
      </c>
      <c r="AH1864" s="82" t="s">
        <v>11984</v>
      </c>
      <c r="AI1864" s="77" t="b">
        <v>0</v>
      </c>
      <c r="AJ1864" s="77"/>
      <c r="AK1864" s="77"/>
      <c r="AL1864" s="77"/>
      <c r="AM1864" s="77"/>
      <c r="AN1864" s="77"/>
      <c r="AO1864" s="77"/>
      <c r="AP1864" s="77"/>
      <c r="AQ1864" s="77"/>
      <c r="AR1864" s="77"/>
      <c r="AS1864" s="77"/>
      <c r="AT1864" s="77"/>
      <c r="AU1864" s="77"/>
      <c r="AV1864" s="80" t="str">
        <f>HYPERLINK("https://pbs.twimg.com/profile_images/1648090411632668676/dEUTCfhf_normal.jpg")</f>
        <v>https://pbs.twimg.com/profile_images/1648090411632668676/dEUTCfhf_normal.jpg</v>
      </c>
      <c r="AW1864" s="82" t="s">
        <v>18632</v>
      </c>
      <c r="AX1864" s="82" t="s">
        <v>18632</v>
      </c>
      <c r="AY1864" s="77"/>
      <c r="AZ1864" s="82" t="s">
        <v>20971</v>
      </c>
      <c r="BA1864" s="82" t="s">
        <v>20971</v>
      </c>
      <c r="BB1864" s="82" t="s">
        <v>20971</v>
      </c>
      <c r="BC1864" s="82" t="s">
        <v>18632</v>
      </c>
      <c r="BD1864" s="82" t="s">
        <v>21370</v>
      </c>
      <c r="BE1864" s="77"/>
      <c r="BF1864" s="77"/>
      <c r="BG1864" s="77"/>
      <c r="BH1864" s="77"/>
      <c r="BI1864" s="77"/>
    </row>
    <row r="1865" spans="1:61" x14ac:dyDescent="0.25">
      <c r="A1865" s="62" t="s">
        <v>702</v>
      </c>
      <c r="B1865" s="62" t="s">
        <v>702</v>
      </c>
      <c r="C1865" s="63"/>
      <c r="D1865" s="64"/>
      <c r="E1865" s="65"/>
      <c r="F1865" s="66"/>
      <c r="G1865" s="63"/>
      <c r="H1865" s="67"/>
      <c r="I1865" s="68"/>
      <c r="J1865" s="68"/>
      <c r="K1865" s="32"/>
      <c r="L1865" s="75">
        <v>1865</v>
      </c>
      <c r="M1865" s="75"/>
      <c r="N1865" s="70"/>
      <c r="O1865" s="77" t="s">
        <v>179</v>
      </c>
      <c r="P1865" s="79">
        <v>45141.001354166663</v>
      </c>
      <c r="Q1865" s="77" t="s">
        <v>3104</v>
      </c>
      <c r="R1865" s="77">
        <v>0</v>
      </c>
      <c r="S1865" s="77">
        <v>0</v>
      </c>
      <c r="T1865" s="77">
        <v>0</v>
      </c>
      <c r="U1865" s="77">
        <v>0</v>
      </c>
      <c r="V1865" s="77">
        <v>16</v>
      </c>
      <c r="W1865" s="82" t="s">
        <v>6075</v>
      </c>
      <c r="X1865" s="77"/>
      <c r="Y1865" s="77"/>
      <c r="Z1865" s="77"/>
      <c r="AA1865" s="77" t="s">
        <v>8439</v>
      </c>
      <c r="AB1865" s="77" t="s">
        <v>10129</v>
      </c>
      <c r="AC1865" s="82" t="s">
        <v>10144</v>
      </c>
      <c r="AD1865" s="77" t="s">
        <v>10184</v>
      </c>
      <c r="AE1865" s="80" t="str">
        <f>HYPERLINK("https://twitter.com/empreendedor1sm/status/1686890106995486720")</f>
        <v>https://twitter.com/empreendedor1sm/status/1686890106995486720</v>
      </c>
      <c r="AF1865" s="79">
        <v>45141.001354166663</v>
      </c>
      <c r="AG1865" s="85">
        <v>45141</v>
      </c>
      <c r="AH1865" s="82" t="s">
        <v>11985</v>
      </c>
      <c r="AI1865" s="77" t="b">
        <v>0</v>
      </c>
      <c r="AJ1865" s="77"/>
      <c r="AK1865" s="77"/>
      <c r="AL1865" s="77"/>
      <c r="AM1865" s="77"/>
      <c r="AN1865" s="77"/>
      <c r="AO1865" s="77"/>
      <c r="AP1865" s="77"/>
      <c r="AQ1865" s="77" t="s">
        <v>15083</v>
      </c>
      <c r="AR1865" s="77">
        <v>44966</v>
      </c>
      <c r="AS1865" s="77"/>
      <c r="AT1865" s="77"/>
      <c r="AU1865" s="77"/>
      <c r="AV1865" s="80" t="str">
        <f>HYPERLINK("https://pbs.twimg.com/ext_tw_video_thumb/1686889975692865538/pu/img/m_87GrU84DWvgykr.jpg")</f>
        <v>https://pbs.twimg.com/ext_tw_video_thumb/1686889975692865538/pu/img/m_87GrU84DWvgykr.jpg</v>
      </c>
      <c r="AW1865" s="82" t="s">
        <v>18633</v>
      </c>
      <c r="AX1865" s="82" t="s">
        <v>18633</v>
      </c>
      <c r="AY1865" s="77"/>
      <c r="AZ1865" s="82" t="s">
        <v>20971</v>
      </c>
      <c r="BA1865" s="82" t="s">
        <v>20971</v>
      </c>
      <c r="BB1865" s="82" t="s">
        <v>20971</v>
      </c>
      <c r="BC1865" s="82" t="s">
        <v>18633</v>
      </c>
      <c r="BD1865" s="82" t="s">
        <v>21371</v>
      </c>
      <c r="BE1865" s="77"/>
      <c r="BF1865" s="77"/>
      <c r="BG1865" s="77"/>
      <c r="BH1865" s="77"/>
      <c r="BI1865" s="77"/>
    </row>
    <row r="1866" spans="1:61" x14ac:dyDescent="0.25">
      <c r="A1866" s="62" t="s">
        <v>703</v>
      </c>
      <c r="B1866" s="62" t="s">
        <v>703</v>
      </c>
      <c r="C1866" s="63"/>
      <c r="D1866" s="64"/>
      <c r="E1866" s="65"/>
      <c r="F1866" s="66"/>
      <c r="G1866" s="63"/>
      <c r="H1866" s="67"/>
      <c r="I1866" s="68"/>
      <c r="J1866" s="68"/>
      <c r="K1866" s="32"/>
      <c r="L1866" s="75">
        <v>1866</v>
      </c>
      <c r="M1866" s="75"/>
      <c r="N1866" s="70"/>
      <c r="O1866" s="77" t="s">
        <v>179</v>
      </c>
      <c r="P1866" s="79">
        <v>44984.894409722219</v>
      </c>
      <c r="Q1866" s="77" t="s">
        <v>3105</v>
      </c>
      <c r="R1866" s="77">
        <v>0</v>
      </c>
      <c r="S1866" s="77">
        <v>1</v>
      </c>
      <c r="T1866" s="77">
        <v>0</v>
      </c>
      <c r="U1866" s="77">
        <v>0</v>
      </c>
      <c r="V1866" s="77">
        <v>68</v>
      </c>
      <c r="W1866" s="82" t="s">
        <v>6076</v>
      </c>
      <c r="X1866" s="80" t="str">
        <f>HYPERLINK("https://s.kwai.app/f/DvRcqQdJ")</f>
        <v>https://s.kwai.app/f/DvRcqQdJ</v>
      </c>
      <c r="Y1866" s="77" t="s">
        <v>7292</v>
      </c>
      <c r="Z1866" s="77"/>
      <c r="AA1866" s="77"/>
      <c r="AB1866" s="77"/>
      <c r="AC1866" s="82" t="s">
        <v>10144</v>
      </c>
      <c r="AD1866" s="77" t="s">
        <v>10184</v>
      </c>
      <c r="AE1866" s="80" t="str">
        <f>HYPERLINK("https://twitter.com/edu_oficialmj/status/1630318846606286848")</f>
        <v>https://twitter.com/edu_oficialmj/status/1630318846606286848</v>
      </c>
      <c r="AF1866" s="79">
        <v>44984.894409722219</v>
      </c>
      <c r="AG1866" s="85">
        <v>44984</v>
      </c>
      <c r="AH1866" s="82" t="s">
        <v>11986</v>
      </c>
      <c r="AI1866" s="77" t="b">
        <v>0</v>
      </c>
      <c r="AJ1866" s="77"/>
      <c r="AK1866" s="77"/>
      <c r="AL1866" s="77"/>
      <c r="AM1866" s="77"/>
      <c r="AN1866" s="77"/>
      <c r="AO1866" s="77"/>
      <c r="AP1866" s="77"/>
      <c r="AQ1866" s="77"/>
      <c r="AR1866" s="77"/>
      <c r="AS1866" s="77"/>
      <c r="AT1866" s="77"/>
      <c r="AU1866" s="77"/>
      <c r="AV1866" s="80" t="str">
        <f>HYPERLINK("https://pbs.twimg.com/profile_images/1468303671171682310/TGCicUop_normal.jpg")</f>
        <v>https://pbs.twimg.com/profile_images/1468303671171682310/TGCicUop_normal.jpg</v>
      </c>
      <c r="AW1866" s="82" t="s">
        <v>18634</v>
      </c>
      <c r="AX1866" s="82" t="s">
        <v>18634</v>
      </c>
      <c r="AY1866" s="77"/>
      <c r="AZ1866" s="82" t="s">
        <v>20971</v>
      </c>
      <c r="BA1866" s="82" t="s">
        <v>20971</v>
      </c>
      <c r="BB1866" s="82" t="s">
        <v>20971</v>
      </c>
      <c r="BC1866" s="82" t="s">
        <v>18634</v>
      </c>
      <c r="BD1866" s="77">
        <v>374651188</v>
      </c>
      <c r="BE1866" s="77"/>
      <c r="BF1866" s="77"/>
      <c r="BG1866" s="77"/>
      <c r="BH1866" s="77"/>
      <c r="BI1866" s="77"/>
    </row>
    <row r="1867" spans="1:61" x14ac:dyDescent="0.25">
      <c r="A1867" s="62" t="s">
        <v>704</v>
      </c>
      <c r="B1867" s="62" t="s">
        <v>704</v>
      </c>
      <c r="C1867" s="63"/>
      <c r="D1867" s="64"/>
      <c r="E1867" s="65"/>
      <c r="F1867" s="66"/>
      <c r="G1867" s="63"/>
      <c r="H1867" s="67"/>
      <c r="I1867" s="68"/>
      <c r="J1867" s="68"/>
      <c r="K1867" s="32"/>
      <c r="L1867" s="75">
        <v>1867</v>
      </c>
      <c r="M1867" s="75"/>
      <c r="N1867" s="70"/>
      <c r="O1867" s="77" t="s">
        <v>179</v>
      </c>
      <c r="P1867" s="79">
        <v>45022.491481481484</v>
      </c>
      <c r="Q1867" s="77" t="s">
        <v>3106</v>
      </c>
      <c r="R1867" s="77">
        <v>0</v>
      </c>
      <c r="S1867" s="77">
        <v>0</v>
      </c>
      <c r="T1867" s="77">
        <v>0</v>
      </c>
      <c r="U1867" s="77">
        <v>0</v>
      </c>
      <c r="V1867" s="77">
        <v>8</v>
      </c>
      <c r="W1867" s="82" t="s">
        <v>6077</v>
      </c>
      <c r="X1867" s="80" t="str">
        <f>HYPERLINK("https://bit.ly/caiomartins_sites")</f>
        <v>https://bit.ly/caiomartins_sites</v>
      </c>
      <c r="Y1867" s="77" t="s">
        <v>7268</v>
      </c>
      <c r="Z1867" s="77"/>
      <c r="AA1867" s="77" t="s">
        <v>8440</v>
      </c>
      <c r="AB1867" s="77" t="s">
        <v>10129</v>
      </c>
      <c r="AC1867" s="82" t="s">
        <v>10145</v>
      </c>
      <c r="AD1867" s="77" t="s">
        <v>10184</v>
      </c>
      <c r="AE1867" s="80" t="str">
        <f>HYPERLINK("https://twitter.com/futuromm/status/1643943567964995584")</f>
        <v>https://twitter.com/futuromm/status/1643943567964995584</v>
      </c>
      <c r="AF1867" s="79">
        <v>45022.491481481484</v>
      </c>
      <c r="AG1867" s="85">
        <v>45022</v>
      </c>
      <c r="AH1867" s="82" t="s">
        <v>11987</v>
      </c>
      <c r="AI1867" s="77" t="b">
        <v>0</v>
      </c>
      <c r="AJ1867" s="77"/>
      <c r="AK1867" s="77"/>
      <c r="AL1867" s="77"/>
      <c r="AM1867" s="77"/>
      <c r="AN1867" s="77"/>
      <c r="AO1867" s="77"/>
      <c r="AP1867" s="77"/>
      <c r="AQ1867" s="77" t="s">
        <v>15084</v>
      </c>
      <c r="AR1867" s="77">
        <v>31550</v>
      </c>
      <c r="AS1867" s="77"/>
      <c r="AT1867" s="77"/>
      <c r="AU1867" s="77"/>
      <c r="AV1867" s="80" t="str">
        <f>HYPERLINK("https://pbs.twimg.com/ext_tw_video_thumb/1643943472888532992/pu/img/hUzD_xIXMTGmKtRk.jpg")</f>
        <v>https://pbs.twimg.com/ext_tw_video_thumb/1643943472888532992/pu/img/hUzD_xIXMTGmKtRk.jpg</v>
      </c>
      <c r="AW1867" s="82" t="s">
        <v>18635</v>
      </c>
      <c r="AX1867" s="82" t="s">
        <v>18635</v>
      </c>
      <c r="AY1867" s="77"/>
      <c r="AZ1867" s="82" t="s">
        <v>20971</v>
      </c>
      <c r="BA1867" s="82" t="s">
        <v>20971</v>
      </c>
      <c r="BB1867" s="82" t="s">
        <v>20971</v>
      </c>
      <c r="BC1867" s="82" t="s">
        <v>18635</v>
      </c>
      <c r="BD1867" s="82" t="s">
        <v>21372</v>
      </c>
      <c r="BE1867" s="77"/>
      <c r="BF1867" s="77"/>
      <c r="BG1867" s="77"/>
      <c r="BH1867" s="77"/>
      <c r="BI1867" s="77"/>
    </row>
    <row r="1868" spans="1:61" x14ac:dyDescent="0.25">
      <c r="A1868" s="62" t="s">
        <v>704</v>
      </c>
      <c r="B1868" s="62" t="s">
        <v>704</v>
      </c>
      <c r="C1868" s="63"/>
      <c r="D1868" s="64"/>
      <c r="E1868" s="65"/>
      <c r="F1868" s="66"/>
      <c r="G1868" s="63"/>
      <c r="H1868" s="67"/>
      <c r="I1868" s="68"/>
      <c r="J1868" s="68"/>
      <c r="K1868" s="32"/>
      <c r="L1868" s="75">
        <v>1868</v>
      </c>
      <c r="M1868" s="75"/>
      <c r="N1868" s="70"/>
      <c r="O1868" s="77" t="s">
        <v>179</v>
      </c>
      <c r="P1868" s="79">
        <v>45022.393217592595</v>
      </c>
      <c r="Q1868" s="77" t="s">
        <v>3107</v>
      </c>
      <c r="R1868" s="77">
        <v>0</v>
      </c>
      <c r="S1868" s="77">
        <v>0</v>
      </c>
      <c r="T1868" s="77">
        <v>0</v>
      </c>
      <c r="U1868" s="77">
        <v>0</v>
      </c>
      <c r="V1868" s="77">
        <v>12</v>
      </c>
      <c r="W1868" s="82" t="s">
        <v>6077</v>
      </c>
      <c r="X1868" s="80" t="str">
        <f>HYPERLINK("https://bit.ly/caiomartins_sites")</f>
        <v>https://bit.ly/caiomartins_sites</v>
      </c>
      <c r="Y1868" s="77" t="s">
        <v>7268</v>
      </c>
      <c r="Z1868" s="77"/>
      <c r="AA1868" s="77" t="s">
        <v>8441</v>
      </c>
      <c r="AB1868" s="77" t="s">
        <v>10129</v>
      </c>
      <c r="AC1868" s="82" t="s">
        <v>10145</v>
      </c>
      <c r="AD1868" s="77" t="s">
        <v>10184</v>
      </c>
      <c r="AE1868" s="80" t="str">
        <f>HYPERLINK("https://twitter.com/futuromm/status/1643907957417967619")</f>
        <v>https://twitter.com/futuromm/status/1643907957417967619</v>
      </c>
      <c r="AF1868" s="79">
        <v>45022.393217592595</v>
      </c>
      <c r="AG1868" s="85">
        <v>45022</v>
      </c>
      <c r="AH1868" s="82" t="s">
        <v>11988</v>
      </c>
      <c r="AI1868" s="77" t="b">
        <v>0</v>
      </c>
      <c r="AJ1868" s="77"/>
      <c r="AK1868" s="77"/>
      <c r="AL1868" s="77"/>
      <c r="AM1868" s="77"/>
      <c r="AN1868" s="77"/>
      <c r="AO1868" s="77"/>
      <c r="AP1868" s="77"/>
      <c r="AQ1868" s="77" t="s">
        <v>15085</v>
      </c>
      <c r="AR1868" s="77">
        <v>9166</v>
      </c>
      <c r="AS1868" s="77"/>
      <c r="AT1868" s="77"/>
      <c r="AU1868" s="77"/>
      <c r="AV1868" s="80" t="str">
        <f>HYPERLINK("https://pbs.twimg.com/ext_tw_video_thumb/1643907936635310080/pu/img/4YjNaIwl7KqysSCQ.jpg")</f>
        <v>https://pbs.twimg.com/ext_tw_video_thumb/1643907936635310080/pu/img/4YjNaIwl7KqysSCQ.jpg</v>
      </c>
      <c r="AW1868" s="82" t="s">
        <v>18636</v>
      </c>
      <c r="AX1868" s="82" t="s">
        <v>18636</v>
      </c>
      <c r="AY1868" s="77"/>
      <c r="AZ1868" s="82" t="s">
        <v>20971</v>
      </c>
      <c r="BA1868" s="82" t="s">
        <v>20971</v>
      </c>
      <c r="BB1868" s="82" t="s">
        <v>20971</v>
      </c>
      <c r="BC1868" s="82" t="s">
        <v>18636</v>
      </c>
      <c r="BD1868" s="82" t="s">
        <v>21372</v>
      </c>
      <c r="BE1868" s="77"/>
      <c r="BF1868" s="77"/>
      <c r="BG1868" s="77"/>
      <c r="BH1868" s="77"/>
      <c r="BI1868" s="77"/>
    </row>
    <row r="1869" spans="1:61" x14ac:dyDescent="0.25">
      <c r="A1869" s="62" t="s">
        <v>704</v>
      </c>
      <c r="B1869" s="62" t="s">
        <v>704</v>
      </c>
      <c r="C1869" s="63"/>
      <c r="D1869" s="64"/>
      <c r="E1869" s="65"/>
      <c r="F1869" s="66"/>
      <c r="G1869" s="63"/>
      <c r="H1869" s="67"/>
      <c r="I1869" s="68"/>
      <c r="J1869" s="68"/>
      <c r="K1869" s="32"/>
      <c r="L1869" s="75">
        <v>1869</v>
      </c>
      <c r="M1869" s="75"/>
      <c r="N1869" s="70"/>
      <c r="O1869" s="77" t="s">
        <v>179</v>
      </c>
      <c r="P1869" s="79">
        <v>45021.400300925925</v>
      </c>
      <c r="Q1869" s="77" t="s">
        <v>3108</v>
      </c>
      <c r="R1869" s="77">
        <v>0</v>
      </c>
      <c r="S1869" s="77">
        <v>0</v>
      </c>
      <c r="T1869" s="77">
        <v>0</v>
      </c>
      <c r="U1869" s="77">
        <v>0</v>
      </c>
      <c r="V1869" s="77">
        <v>12</v>
      </c>
      <c r="W1869" s="82" t="s">
        <v>6077</v>
      </c>
      <c r="X1869" s="80" t="str">
        <f>HYPERLINK("https://bit.ly/caiomartins_sites")</f>
        <v>https://bit.ly/caiomartins_sites</v>
      </c>
      <c r="Y1869" s="77" t="s">
        <v>7268</v>
      </c>
      <c r="Z1869" s="77"/>
      <c r="AA1869" s="77" t="s">
        <v>8442</v>
      </c>
      <c r="AB1869" s="77" t="s">
        <v>10129</v>
      </c>
      <c r="AC1869" s="82" t="s">
        <v>10145</v>
      </c>
      <c r="AD1869" s="77" t="s">
        <v>10184</v>
      </c>
      <c r="AE1869" s="80" t="str">
        <f>HYPERLINK("https://twitter.com/futuromm/status/1643548139842830341")</f>
        <v>https://twitter.com/futuromm/status/1643548139842830341</v>
      </c>
      <c r="AF1869" s="79">
        <v>45021.400300925925</v>
      </c>
      <c r="AG1869" s="85">
        <v>45021</v>
      </c>
      <c r="AH1869" s="82" t="s">
        <v>11989</v>
      </c>
      <c r="AI1869" s="77" t="b">
        <v>0</v>
      </c>
      <c r="AJ1869" s="77"/>
      <c r="AK1869" s="77"/>
      <c r="AL1869" s="77"/>
      <c r="AM1869" s="77"/>
      <c r="AN1869" s="77"/>
      <c r="AO1869" s="77"/>
      <c r="AP1869" s="77"/>
      <c r="AQ1869" s="77" t="s">
        <v>15086</v>
      </c>
      <c r="AR1869" s="77">
        <v>14633</v>
      </c>
      <c r="AS1869" s="77"/>
      <c r="AT1869" s="77"/>
      <c r="AU1869" s="77"/>
      <c r="AV1869" s="80" t="str">
        <f>HYPERLINK("https://pbs.twimg.com/ext_tw_video_thumb/1643548097186807808/pu/img/AwxMeshZOBGLDyOx.jpg")</f>
        <v>https://pbs.twimg.com/ext_tw_video_thumb/1643548097186807808/pu/img/AwxMeshZOBGLDyOx.jpg</v>
      </c>
      <c r="AW1869" s="82" t="s">
        <v>18637</v>
      </c>
      <c r="AX1869" s="82" t="s">
        <v>18637</v>
      </c>
      <c r="AY1869" s="77"/>
      <c r="AZ1869" s="82" t="s">
        <v>20971</v>
      </c>
      <c r="BA1869" s="82" t="s">
        <v>20971</v>
      </c>
      <c r="BB1869" s="82" t="s">
        <v>20971</v>
      </c>
      <c r="BC1869" s="82" t="s">
        <v>18637</v>
      </c>
      <c r="BD1869" s="82" t="s">
        <v>21372</v>
      </c>
      <c r="BE1869" s="77"/>
      <c r="BF1869" s="77"/>
      <c r="BG1869" s="77"/>
      <c r="BH1869" s="77"/>
      <c r="BI1869" s="77"/>
    </row>
    <row r="1870" spans="1:61" x14ac:dyDescent="0.25">
      <c r="A1870" s="62" t="s">
        <v>704</v>
      </c>
      <c r="B1870" s="62" t="s">
        <v>704</v>
      </c>
      <c r="C1870" s="63"/>
      <c r="D1870" s="64"/>
      <c r="E1870" s="65"/>
      <c r="F1870" s="66"/>
      <c r="G1870" s="63"/>
      <c r="H1870" s="67"/>
      <c r="I1870" s="68"/>
      <c r="J1870" s="68"/>
      <c r="K1870" s="32"/>
      <c r="L1870" s="75">
        <v>1870</v>
      </c>
      <c r="M1870" s="75"/>
      <c r="N1870" s="70"/>
      <c r="O1870" s="77" t="s">
        <v>179</v>
      </c>
      <c r="P1870" s="79">
        <v>45020.805219907408</v>
      </c>
      <c r="Q1870" s="77" t="s">
        <v>3109</v>
      </c>
      <c r="R1870" s="77">
        <v>0</v>
      </c>
      <c r="S1870" s="77">
        <v>1</v>
      </c>
      <c r="T1870" s="77">
        <v>0</v>
      </c>
      <c r="U1870" s="77">
        <v>0</v>
      </c>
      <c r="V1870" s="77">
        <v>21</v>
      </c>
      <c r="W1870" s="82" t="s">
        <v>6077</v>
      </c>
      <c r="X1870" s="80" t="str">
        <f>HYPERLINK("https://bit.ly/caiomartins_sites")</f>
        <v>https://bit.ly/caiomartins_sites</v>
      </c>
      <c r="Y1870" s="77" t="s">
        <v>7268</v>
      </c>
      <c r="Z1870" s="77"/>
      <c r="AA1870" s="77" t="s">
        <v>8443</v>
      </c>
      <c r="AB1870" s="77" t="s">
        <v>10129</v>
      </c>
      <c r="AC1870" s="82" t="s">
        <v>10145</v>
      </c>
      <c r="AD1870" s="77" t="s">
        <v>10184</v>
      </c>
      <c r="AE1870" s="80" t="str">
        <f>HYPERLINK("https://twitter.com/futuromm/status/1643332490063405056")</f>
        <v>https://twitter.com/futuromm/status/1643332490063405056</v>
      </c>
      <c r="AF1870" s="79">
        <v>45020.805219907408</v>
      </c>
      <c r="AG1870" s="85">
        <v>45020</v>
      </c>
      <c r="AH1870" s="82" t="s">
        <v>11990</v>
      </c>
      <c r="AI1870" s="77" t="b">
        <v>0</v>
      </c>
      <c r="AJ1870" s="77"/>
      <c r="AK1870" s="77"/>
      <c r="AL1870" s="77"/>
      <c r="AM1870" s="77"/>
      <c r="AN1870" s="77"/>
      <c r="AO1870" s="77"/>
      <c r="AP1870" s="77"/>
      <c r="AQ1870" s="77" t="s">
        <v>15087</v>
      </c>
      <c r="AR1870" s="77">
        <v>22266</v>
      </c>
      <c r="AS1870" s="77"/>
      <c r="AT1870" s="77"/>
      <c r="AU1870" s="77"/>
      <c r="AV1870" s="80" t="str">
        <f>HYPERLINK("https://pbs.twimg.com/ext_tw_video_thumb/1643332414230413312/pu/img/sskMkuENYvNcxzY8.jpg")</f>
        <v>https://pbs.twimg.com/ext_tw_video_thumb/1643332414230413312/pu/img/sskMkuENYvNcxzY8.jpg</v>
      </c>
      <c r="AW1870" s="82" t="s">
        <v>18638</v>
      </c>
      <c r="AX1870" s="82" t="s">
        <v>18638</v>
      </c>
      <c r="AY1870" s="77"/>
      <c r="AZ1870" s="82" t="s">
        <v>20971</v>
      </c>
      <c r="BA1870" s="82" t="s">
        <v>20971</v>
      </c>
      <c r="BB1870" s="82" t="s">
        <v>20971</v>
      </c>
      <c r="BC1870" s="82" t="s">
        <v>18638</v>
      </c>
      <c r="BD1870" s="82" t="s">
        <v>21372</v>
      </c>
      <c r="BE1870" s="77"/>
      <c r="BF1870" s="77"/>
      <c r="BG1870" s="77"/>
      <c r="BH1870" s="77"/>
      <c r="BI1870" s="77"/>
    </row>
    <row r="1871" spans="1:61" x14ac:dyDescent="0.25">
      <c r="A1871" s="62" t="s">
        <v>704</v>
      </c>
      <c r="B1871" s="62" t="s">
        <v>704</v>
      </c>
      <c r="C1871" s="63"/>
      <c r="D1871" s="64"/>
      <c r="E1871" s="65"/>
      <c r="F1871" s="66"/>
      <c r="G1871" s="63"/>
      <c r="H1871" s="67"/>
      <c r="I1871" s="68"/>
      <c r="J1871" s="68"/>
      <c r="K1871" s="32"/>
      <c r="L1871" s="75">
        <v>1871</v>
      </c>
      <c r="M1871" s="75"/>
      <c r="N1871" s="70"/>
      <c r="O1871" s="77" t="s">
        <v>179</v>
      </c>
      <c r="P1871" s="79">
        <v>45020.604212962964</v>
      </c>
      <c r="Q1871" s="77" t="s">
        <v>3110</v>
      </c>
      <c r="R1871" s="77">
        <v>0</v>
      </c>
      <c r="S1871" s="77">
        <v>1</v>
      </c>
      <c r="T1871" s="77">
        <v>0</v>
      </c>
      <c r="U1871" s="77">
        <v>0</v>
      </c>
      <c r="V1871" s="77">
        <v>21</v>
      </c>
      <c r="W1871" s="82" t="s">
        <v>6077</v>
      </c>
      <c r="X1871" s="80" t="str">
        <f>HYPERLINK("http://bit.ly/caiomartins_si")</f>
        <v>http://bit.ly/caiomartins_si</v>
      </c>
      <c r="Y1871" s="77" t="s">
        <v>7268</v>
      </c>
      <c r="Z1871" s="77"/>
      <c r="AA1871" s="77" t="s">
        <v>8444</v>
      </c>
      <c r="AB1871" s="77" t="s">
        <v>10129</v>
      </c>
      <c r="AC1871" s="82" t="s">
        <v>10145</v>
      </c>
      <c r="AD1871" s="77" t="s">
        <v>10184</v>
      </c>
      <c r="AE1871" s="80" t="str">
        <f>HYPERLINK("https://twitter.com/futuromm/status/1643259644725321731")</f>
        <v>https://twitter.com/futuromm/status/1643259644725321731</v>
      </c>
      <c r="AF1871" s="79">
        <v>45020.604212962964</v>
      </c>
      <c r="AG1871" s="85">
        <v>45020</v>
      </c>
      <c r="AH1871" s="82" t="s">
        <v>11991</v>
      </c>
      <c r="AI1871" s="77" t="b">
        <v>0</v>
      </c>
      <c r="AJ1871" s="77"/>
      <c r="AK1871" s="77"/>
      <c r="AL1871" s="77"/>
      <c r="AM1871" s="77"/>
      <c r="AN1871" s="77"/>
      <c r="AO1871" s="77"/>
      <c r="AP1871" s="77"/>
      <c r="AQ1871" s="77" t="s">
        <v>15088</v>
      </c>
      <c r="AR1871" s="77">
        <v>14466</v>
      </c>
      <c r="AS1871" s="77"/>
      <c r="AT1871" s="77"/>
      <c r="AU1871" s="77"/>
      <c r="AV1871" s="80" t="str">
        <f>HYPERLINK("https://pbs.twimg.com/ext_tw_video_thumb/1643259579021639681/pu/img/GaQKalR0KQFIzpu2.jpg")</f>
        <v>https://pbs.twimg.com/ext_tw_video_thumb/1643259579021639681/pu/img/GaQKalR0KQFIzpu2.jpg</v>
      </c>
      <c r="AW1871" s="82" t="s">
        <v>18639</v>
      </c>
      <c r="AX1871" s="82" t="s">
        <v>18639</v>
      </c>
      <c r="AY1871" s="77"/>
      <c r="AZ1871" s="82" t="s">
        <v>20971</v>
      </c>
      <c r="BA1871" s="82" t="s">
        <v>20971</v>
      </c>
      <c r="BB1871" s="82" t="s">
        <v>20971</v>
      </c>
      <c r="BC1871" s="82" t="s">
        <v>18639</v>
      </c>
      <c r="BD1871" s="82" t="s">
        <v>21372</v>
      </c>
      <c r="BE1871" s="77"/>
      <c r="BF1871" s="77"/>
      <c r="BG1871" s="77"/>
      <c r="BH1871" s="77"/>
      <c r="BI1871" s="77"/>
    </row>
    <row r="1872" spans="1:61" x14ac:dyDescent="0.25">
      <c r="A1872" s="62" t="s">
        <v>704</v>
      </c>
      <c r="B1872" s="62" t="s">
        <v>704</v>
      </c>
      <c r="C1872" s="63"/>
      <c r="D1872" s="64"/>
      <c r="E1872" s="65"/>
      <c r="F1872" s="66"/>
      <c r="G1872" s="63"/>
      <c r="H1872" s="67"/>
      <c r="I1872" s="68"/>
      <c r="J1872" s="68"/>
      <c r="K1872" s="32"/>
      <c r="L1872" s="75">
        <v>1872</v>
      </c>
      <c r="M1872" s="75"/>
      <c r="N1872" s="70"/>
      <c r="O1872" s="77" t="s">
        <v>179</v>
      </c>
      <c r="P1872" s="79">
        <v>45020.565925925926</v>
      </c>
      <c r="Q1872" s="77" t="s">
        <v>3111</v>
      </c>
      <c r="R1872" s="77">
        <v>0</v>
      </c>
      <c r="S1872" s="77">
        <v>1</v>
      </c>
      <c r="T1872" s="77">
        <v>0</v>
      </c>
      <c r="U1872" s="77">
        <v>0</v>
      </c>
      <c r="V1872" s="77">
        <v>17</v>
      </c>
      <c r="W1872" s="82" t="s">
        <v>6077</v>
      </c>
      <c r="X1872" s="80" t="str">
        <f>HYPERLINK("http://bit.ly/caiomartins_si")</f>
        <v>http://bit.ly/caiomartins_si</v>
      </c>
      <c r="Y1872" s="77" t="s">
        <v>7268</v>
      </c>
      <c r="Z1872" s="77"/>
      <c r="AA1872" s="77" t="s">
        <v>8445</v>
      </c>
      <c r="AB1872" s="77" t="s">
        <v>10129</v>
      </c>
      <c r="AC1872" s="82" t="s">
        <v>10145</v>
      </c>
      <c r="AD1872" s="77" t="s">
        <v>10184</v>
      </c>
      <c r="AE1872" s="80" t="str">
        <f>HYPERLINK("https://twitter.com/futuromm/status/1643245769154080768")</f>
        <v>https://twitter.com/futuromm/status/1643245769154080768</v>
      </c>
      <c r="AF1872" s="79">
        <v>45020.565925925926</v>
      </c>
      <c r="AG1872" s="85">
        <v>45020</v>
      </c>
      <c r="AH1872" s="82" t="s">
        <v>11992</v>
      </c>
      <c r="AI1872" s="77" t="b">
        <v>0</v>
      </c>
      <c r="AJ1872" s="77"/>
      <c r="AK1872" s="77"/>
      <c r="AL1872" s="77"/>
      <c r="AM1872" s="77"/>
      <c r="AN1872" s="77"/>
      <c r="AO1872" s="77"/>
      <c r="AP1872" s="77"/>
      <c r="AQ1872" s="77" t="s">
        <v>15089</v>
      </c>
      <c r="AR1872" s="77">
        <v>20066</v>
      </c>
      <c r="AS1872" s="77"/>
      <c r="AT1872" s="77"/>
      <c r="AU1872" s="77"/>
      <c r="AV1872" s="80" t="str">
        <f>HYPERLINK("https://pbs.twimg.com/ext_tw_video_thumb/1643245721338929153/pu/img/hlS9NFLOm-wStC_x.jpg")</f>
        <v>https://pbs.twimg.com/ext_tw_video_thumb/1643245721338929153/pu/img/hlS9NFLOm-wStC_x.jpg</v>
      </c>
      <c r="AW1872" s="82" t="s">
        <v>18640</v>
      </c>
      <c r="AX1872" s="82" t="s">
        <v>18640</v>
      </c>
      <c r="AY1872" s="77"/>
      <c r="AZ1872" s="82" t="s">
        <v>20971</v>
      </c>
      <c r="BA1872" s="82" t="s">
        <v>20971</v>
      </c>
      <c r="BB1872" s="82" t="s">
        <v>20971</v>
      </c>
      <c r="BC1872" s="82" t="s">
        <v>18640</v>
      </c>
      <c r="BD1872" s="82" t="s">
        <v>21372</v>
      </c>
      <c r="BE1872" s="77"/>
      <c r="BF1872" s="77"/>
      <c r="BG1872" s="77"/>
      <c r="BH1872" s="77"/>
      <c r="BI1872" s="77"/>
    </row>
    <row r="1873" spans="1:61" x14ac:dyDescent="0.25">
      <c r="A1873" s="62" t="s">
        <v>704</v>
      </c>
      <c r="B1873" s="62" t="s">
        <v>704</v>
      </c>
      <c r="C1873" s="63"/>
      <c r="D1873" s="64"/>
      <c r="E1873" s="65"/>
      <c r="F1873" s="66"/>
      <c r="G1873" s="63"/>
      <c r="H1873" s="67"/>
      <c r="I1873" s="68"/>
      <c r="J1873" s="68"/>
      <c r="K1873" s="32"/>
      <c r="L1873" s="75">
        <v>1873</v>
      </c>
      <c r="M1873" s="75"/>
      <c r="N1873" s="70"/>
      <c r="O1873" s="77" t="s">
        <v>179</v>
      </c>
      <c r="P1873" s="79">
        <v>45020.530023148145</v>
      </c>
      <c r="Q1873" s="77" t="s">
        <v>3112</v>
      </c>
      <c r="R1873" s="77">
        <v>0</v>
      </c>
      <c r="S1873" s="77">
        <v>1</v>
      </c>
      <c r="T1873" s="77">
        <v>0</v>
      </c>
      <c r="U1873" s="77">
        <v>0</v>
      </c>
      <c r="V1873" s="77">
        <v>18</v>
      </c>
      <c r="W1873" s="82" t="s">
        <v>6077</v>
      </c>
      <c r="X1873" s="80" t="str">
        <f>HYPERLINK("https://bit.ly/caiomartins_sites")</f>
        <v>https://bit.ly/caiomartins_sites</v>
      </c>
      <c r="Y1873" s="77" t="s">
        <v>7268</v>
      </c>
      <c r="Z1873" s="77"/>
      <c r="AA1873" s="77" t="s">
        <v>8446</v>
      </c>
      <c r="AB1873" s="77" t="s">
        <v>10129</v>
      </c>
      <c r="AC1873" s="82" t="s">
        <v>10145</v>
      </c>
      <c r="AD1873" s="77" t="s">
        <v>10184</v>
      </c>
      <c r="AE1873" s="80" t="str">
        <f>HYPERLINK("https://twitter.com/futuromm/status/1643232758829916160")</f>
        <v>https://twitter.com/futuromm/status/1643232758829916160</v>
      </c>
      <c r="AF1873" s="79">
        <v>45020.530023148145</v>
      </c>
      <c r="AG1873" s="85">
        <v>45020</v>
      </c>
      <c r="AH1873" s="82" t="s">
        <v>11993</v>
      </c>
      <c r="AI1873" s="77" t="b">
        <v>0</v>
      </c>
      <c r="AJ1873" s="77"/>
      <c r="AK1873" s="77"/>
      <c r="AL1873" s="77"/>
      <c r="AM1873" s="77"/>
      <c r="AN1873" s="77"/>
      <c r="AO1873" s="77"/>
      <c r="AP1873" s="77"/>
      <c r="AQ1873" s="77" t="s">
        <v>15090</v>
      </c>
      <c r="AR1873" s="77">
        <v>19466</v>
      </c>
      <c r="AS1873" s="77"/>
      <c r="AT1873" s="77"/>
      <c r="AU1873" s="77"/>
      <c r="AV1873" s="80" t="str">
        <f>HYPERLINK("https://pbs.twimg.com/ext_tw_video_thumb/1643232666144186369/pu/img/vdEKiEnibA2FbeDl.jpg")</f>
        <v>https://pbs.twimg.com/ext_tw_video_thumb/1643232666144186369/pu/img/vdEKiEnibA2FbeDl.jpg</v>
      </c>
      <c r="AW1873" s="82" t="s">
        <v>18641</v>
      </c>
      <c r="AX1873" s="82" t="s">
        <v>18641</v>
      </c>
      <c r="AY1873" s="77"/>
      <c r="AZ1873" s="82" t="s">
        <v>20971</v>
      </c>
      <c r="BA1873" s="82" t="s">
        <v>20971</v>
      </c>
      <c r="BB1873" s="82" t="s">
        <v>20971</v>
      </c>
      <c r="BC1873" s="82" t="s">
        <v>18641</v>
      </c>
      <c r="BD1873" s="82" t="s">
        <v>21372</v>
      </c>
      <c r="BE1873" s="77"/>
      <c r="BF1873" s="77"/>
      <c r="BG1873" s="77"/>
      <c r="BH1873" s="77"/>
      <c r="BI1873" s="77"/>
    </row>
    <row r="1874" spans="1:61" x14ac:dyDescent="0.25">
      <c r="A1874" s="62" t="s">
        <v>705</v>
      </c>
      <c r="B1874" s="62" t="s">
        <v>705</v>
      </c>
      <c r="C1874" s="63"/>
      <c r="D1874" s="64"/>
      <c r="E1874" s="65"/>
      <c r="F1874" s="66"/>
      <c r="G1874" s="63"/>
      <c r="H1874" s="67"/>
      <c r="I1874" s="68"/>
      <c r="J1874" s="68"/>
      <c r="K1874" s="32"/>
      <c r="L1874" s="75">
        <v>1874</v>
      </c>
      <c r="M1874" s="75"/>
      <c r="N1874" s="70"/>
      <c r="O1874" s="77" t="s">
        <v>179</v>
      </c>
      <c r="P1874" s="79">
        <v>45035.017824074072</v>
      </c>
      <c r="Q1874" s="77" t="s">
        <v>3113</v>
      </c>
      <c r="R1874" s="77">
        <v>0</v>
      </c>
      <c r="S1874" s="77">
        <v>0</v>
      </c>
      <c r="T1874" s="77">
        <v>0</v>
      </c>
      <c r="U1874" s="77">
        <v>0</v>
      </c>
      <c r="V1874" s="77">
        <v>140</v>
      </c>
      <c r="W1874" s="82" t="s">
        <v>6078</v>
      </c>
      <c r="X1874" s="77"/>
      <c r="Y1874" s="77"/>
      <c r="Z1874" s="77"/>
      <c r="AA1874" s="77" t="s">
        <v>8447</v>
      </c>
      <c r="AB1874" s="77" t="s">
        <v>10130</v>
      </c>
      <c r="AC1874" s="82" t="s">
        <v>10146</v>
      </c>
      <c r="AD1874" s="77" t="s">
        <v>10184</v>
      </c>
      <c r="AE1874" s="80" t="str">
        <f>HYPERLINK("https://twitter.com/marmitafit23/status/1648482962630144002")</f>
        <v>https://twitter.com/marmitafit23/status/1648482962630144002</v>
      </c>
      <c r="AF1874" s="79">
        <v>45035.017824074072</v>
      </c>
      <c r="AG1874" s="85">
        <v>45035</v>
      </c>
      <c r="AH1874" s="82" t="s">
        <v>11994</v>
      </c>
      <c r="AI1874" s="77" t="b">
        <v>0</v>
      </c>
      <c r="AJ1874" s="77"/>
      <c r="AK1874" s="77"/>
      <c r="AL1874" s="77"/>
      <c r="AM1874" s="77"/>
      <c r="AN1874" s="77"/>
      <c r="AO1874" s="77"/>
      <c r="AP1874" s="77"/>
      <c r="AQ1874" s="77" t="s">
        <v>15091</v>
      </c>
      <c r="AR1874" s="77"/>
      <c r="AS1874" s="77"/>
      <c r="AT1874" s="77"/>
      <c r="AU1874" s="77"/>
      <c r="AV1874" s="80" t="str">
        <f>HYPERLINK("https://pbs.twimg.com/media/FuCWf5sWYAAbOA8.jpg")</f>
        <v>https://pbs.twimg.com/media/FuCWf5sWYAAbOA8.jpg</v>
      </c>
      <c r="AW1874" s="82" t="s">
        <v>18642</v>
      </c>
      <c r="AX1874" s="82" t="s">
        <v>18642</v>
      </c>
      <c r="AY1874" s="77"/>
      <c r="AZ1874" s="82" t="s">
        <v>20971</v>
      </c>
      <c r="BA1874" s="82" t="s">
        <v>20971</v>
      </c>
      <c r="BB1874" s="82" t="s">
        <v>20971</v>
      </c>
      <c r="BC1874" s="82" t="s">
        <v>18642</v>
      </c>
      <c r="BD1874" s="82" t="s">
        <v>21373</v>
      </c>
      <c r="BE1874" s="77"/>
      <c r="BF1874" s="77"/>
      <c r="BG1874" s="77"/>
      <c r="BH1874" s="77"/>
      <c r="BI1874" s="77"/>
    </row>
    <row r="1875" spans="1:61" x14ac:dyDescent="0.25">
      <c r="A1875" s="62" t="s">
        <v>706</v>
      </c>
      <c r="B1875" s="62" t="s">
        <v>706</v>
      </c>
      <c r="C1875" s="63"/>
      <c r="D1875" s="64"/>
      <c r="E1875" s="65"/>
      <c r="F1875" s="66"/>
      <c r="G1875" s="63"/>
      <c r="H1875" s="67"/>
      <c r="I1875" s="68"/>
      <c r="J1875" s="68"/>
      <c r="K1875" s="32"/>
      <c r="L1875" s="75">
        <v>1875</v>
      </c>
      <c r="M1875" s="75"/>
      <c r="N1875" s="70"/>
      <c r="O1875" s="77" t="s">
        <v>179</v>
      </c>
      <c r="P1875" s="79">
        <v>45066.726990740739</v>
      </c>
      <c r="Q1875" s="77" t="s">
        <v>3114</v>
      </c>
      <c r="R1875" s="77">
        <v>0</v>
      </c>
      <c r="S1875" s="77">
        <v>0</v>
      </c>
      <c r="T1875" s="77">
        <v>0</v>
      </c>
      <c r="U1875" s="77">
        <v>0</v>
      </c>
      <c r="V1875" s="77">
        <v>37</v>
      </c>
      <c r="W1875" s="82" t="s">
        <v>6079</v>
      </c>
      <c r="X1875" s="80" t="str">
        <f>HYPERLINK("https://shre.ink/alineag21")</f>
        <v>https://shre.ink/alineag21</v>
      </c>
      <c r="Y1875" s="77" t="s">
        <v>7377</v>
      </c>
      <c r="Z1875" s="77"/>
      <c r="AA1875" s="77" t="s">
        <v>8448</v>
      </c>
      <c r="AB1875" s="77" t="s">
        <v>10129</v>
      </c>
      <c r="AC1875" s="82" t="s">
        <v>10144</v>
      </c>
      <c r="AD1875" s="77" t="s">
        <v>10184</v>
      </c>
      <c r="AE1875" s="80" t="str">
        <f>HYPERLINK("https://twitter.com/alyneaguiar5/status/1659973981506527233")</f>
        <v>https://twitter.com/alyneaguiar5/status/1659973981506527233</v>
      </c>
      <c r="AF1875" s="79">
        <v>45066.726990740739</v>
      </c>
      <c r="AG1875" s="85">
        <v>45066</v>
      </c>
      <c r="AH1875" s="82" t="s">
        <v>11995</v>
      </c>
      <c r="AI1875" s="77" t="b">
        <v>0</v>
      </c>
      <c r="AJ1875" s="77"/>
      <c r="AK1875" s="77"/>
      <c r="AL1875" s="77"/>
      <c r="AM1875" s="77"/>
      <c r="AN1875" s="77"/>
      <c r="AO1875" s="77"/>
      <c r="AP1875" s="77"/>
      <c r="AQ1875" s="77" t="s">
        <v>15092</v>
      </c>
      <c r="AR1875" s="77">
        <v>70600</v>
      </c>
      <c r="AS1875" s="77"/>
      <c r="AT1875" s="77"/>
      <c r="AU1875" s="77"/>
      <c r="AV1875" s="80" t="str">
        <f>HYPERLINK("https://pbs.twimg.com/ext_tw_video_thumb/1659973850224885765/pu/img/QrMGkrI_-KDRnQPI.jpg")</f>
        <v>https://pbs.twimg.com/ext_tw_video_thumb/1659973850224885765/pu/img/QrMGkrI_-KDRnQPI.jpg</v>
      </c>
      <c r="AW1875" s="82" t="s">
        <v>18643</v>
      </c>
      <c r="AX1875" s="82" t="s">
        <v>18643</v>
      </c>
      <c r="AY1875" s="77"/>
      <c r="AZ1875" s="82" t="s">
        <v>20971</v>
      </c>
      <c r="BA1875" s="82" t="s">
        <v>20971</v>
      </c>
      <c r="BB1875" s="82" t="s">
        <v>20971</v>
      </c>
      <c r="BC1875" s="82" t="s">
        <v>18643</v>
      </c>
      <c r="BD1875" s="82" t="s">
        <v>21374</v>
      </c>
      <c r="BE1875" s="77"/>
      <c r="BF1875" s="77"/>
      <c r="BG1875" s="77"/>
      <c r="BH1875" s="77"/>
      <c r="BI1875" s="77"/>
    </row>
    <row r="1876" spans="1:61" x14ac:dyDescent="0.25">
      <c r="A1876" s="62" t="s">
        <v>707</v>
      </c>
      <c r="B1876" s="62" t="s">
        <v>707</v>
      </c>
      <c r="C1876" s="63"/>
      <c r="D1876" s="64"/>
      <c r="E1876" s="65"/>
      <c r="F1876" s="66"/>
      <c r="G1876" s="63"/>
      <c r="H1876" s="67"/>
      <c r="I1876" s="68"/>
      <c r="J1876" s="68"/>
      <c r="K1876" s="32"/>
      <c r="L1876" s="75">
        <v>1876</v>
      </c>
      <c r="M1876" s="75"/>
      <c r="N1876" s="70"/>
      <c r="O1876" s="77" t="s">
        <v>179</v>
      </c>
      <c r="P1876" s="79">
        <v>45124.752164351848</v>
      </c>
      <c r="Q1876" s="77" t="s">
        <v>3115</v>
      </c>
      <c r="R1876" s="77">
        <v>0</v>
      </c>
      <c r="S1876" s="77">
        <v>0</v>
      </c>
      <c r="T1876" s="77">
        <v>0</v>
      </c>
      <c r="U1876" s="77">
        <v>0</v>
      </c>
      <c r="V1876" s="77">
        <v>138</v>
      </c>
      <c r="W1876" s="82" t="s">
        <v>6080</v>
      </c>
      <c r="X1876" s="77"/>
      <c r="Y1876" s="77"/>
      <c r="Z1876" s="77"/>
      <c r="AA1876" s="77" t="s">
        <v>8449</v>
      </c>
      <c r="AB1876" s="77" t="s">
        <v>10130</v>
      </c>
      <c r="AC1876" s="82" t="s">
        <v>10144</v>
      </c>
      <c r="AD1876" s="77" t="s">
        <v>10184</v>
      </c>
      <c r="AE1876" s="80" t="str">
        <f>HYPERLINK("https://twitter.com/leoamachado/status/1681001600779796485")</f>
        <v>https://twitter.com/leoamachado/status/1681001600779796485</v>
      </c>
      <c r="AF1876" s="79">
        <v>45124.752164351848</v>
      </c>
      <c r="AG1876" s="85">
        <v>45124</v>
      </c>
      <c r="AH1876" s="82" t="s">
        <v>11996</v>
      </c>
      <c r="AI1876" s="77" t="b">
        <v>0</v>
      </c>
      <c r="AJ1876" s="77" t="s">
        <v>13999</v>
      </c>
      <c r="AK1876" s="77" t="s">
        <v>14033</v>
      </c>
      <c r="AL1876" s="77" t="s">
        <v>14035</v>
      </c>
      <c r="AM1876" s="77" t="s">
        <v>14041</v>
      </c>
      <c r="AN1876" s="77" t="s">
        <v>14078</v>
      </c>
      <c r="AO1876" s="77" t="s">
        <v>14116</v>
      </c>
      <c r="AP1876" s="77" t="s">
        <v>14149</v>
      </c>
      <c r="AQ1876" s="77" t="s">
        <v>15093</v>
      </c>
      <c r="AR1876" s="77"/>
      <c r="AS1876" s="77"/>
      <c r="AT1876" s="77"/>
      <c r="AU1876" s="77"/>
      <c r="AV1876" s="80" t="str">
        <f>HYPERLINK("https://pbs.twimg.com/media/F1QeDDUX0AAQJXp.jpg")</f>
        <v>https://pbs.twimg.com/media/F1QeDDUX0AAQJXp.jpg</v>
      </c>
      <c r="AW1876" s="82" t="s">
        <v>18644</v>
      </c>
      <c r="AX1876" s="82" t="s">
        <v>18644</v>
      </c>
      <c r="AY1876" s="77"/>
      <c r="AZ1876" s="82" t="s">
        <v>20971</v>
      </c>
      <c r="BA1876" s="82" t="s">
        <v>20971</v>
      </c>
      <c r="BB1876" s="82" t="s">
        <v>20971</v>
      </c>
      <c r="BC1876" s="82" t="s">
        <v>18644</v>
      </c>
      <c r="BD1876" s="77">
        <v>217277469</v>
      </c>
      <c r="BE1876" s="77"/>
      <c r="BF1876" s="77"/>
      <c r="BG1876" s="77"/>
      <c r="BH1876" s="77"/>
      <c r="BI1876" s="77"/>
    </row>
    <row r="1877" spans="1:61" x14ac:dyDescent="0.25">
      <c r="A1877" s="62" t="s">
        <v>708</v>
      </c>
      <c r="B1877" s="62" t="s">
        <v>1261</v>
      </c>
      <c r="C1877" s="63"/>
      <c r="D1877" s="64"/>
      <c r="E1877" s="65"/>
      <c r="F1877" s="66"/>
      <c r="G1877" s="63"/>
      <c r="H1877" s="67"/>
      <c r="I1877" s="68"/>
      <c r="J1877" s="68"/>
      <c r="K1877" s="32"/>
      <c r="L1877" s="75">
        <v>1877</v>
      </c>
      <c r="M1877" s="75"/>
      <c r="N1877" s="70"/>
      <c r="O1877" s="77" t="s">
        <v>1285</v>
      </c>
      <c r="P1877" s="79">
        <v>45077.874618055554</v>
      </c>
      <c r="Q1877" s="77" t="s">
        <v>3116</v>
      </c>
      <c r="R1877" s="77">
        <v>0</v>
      </c>
      <c r="S1877" s="77">
        <v>2</v>
      </c>
      <c r="T1877" s="77">
        <v>0</v>
      </c>
      <c r="U1877" s="77">
        <v>0</v>
      </c>
      <c r="V1877" s="77">
        <v>147</v>
      </c>
      <c r="W1877" s="82" t="s">
        <v>6081</v>
      </c>
      <c r="X1877" s="77"/>
      <c r="Y1877" s="77"/>
      <c r="Z1877" s="77" t="s">
        <v>1261</v>
      </c>
      <c r="AA1877" s="77" t="s">
        <v>8450</v>
      </c>
      <c r="AB1877" s="77" t="s">
        <v>10129</v>
      </c>
      <c r="AC1877" s="82" t="s">
        <v>10146</v>
      </c>
      <c r="AD1877" s="77" t="s">
        <v>10184</v>
      </c>
      <c r="AE1877" s="80" t="str">
        <f>HYPERLINK("https://twitter.com/6de6_palpites/status/1664013747277508608")</f>
        <v>https://twitter.com/6de6_palpites/status/1664013747277508608</v>
      </c>
      <c r="AF1877" s="79">
        <v>45077.874618055554</v>
      </c>
      <c r="AG1877" s="85">
        <v>45077</v>
      </c>
      <c r="AH1877" s="82" t="s">
        <v>11997</v>
      </c>
      <c r="AI1877" s="77" t="b">
        <v>0</v>
      </c>
      <c r="AJ1877" s="77"/>
      <c r="AK1877" s="77"/>
      <c r="AL1877" s="77"/>
      <c r="AM1877" s="77"/>
      <c r="AN1877" s="77"/>
      <c r="AO1877" s="77"/>
      <c r="AP1877" s="77"/>
      <c r="AQ1877" s="77" t="s">
        <v>15094</v>
      </c>
      <c r="AR1877" s="77">
        <v>36500</v>
      </c>
      <c r="AS1877" s="77"/>
      <c r="AT1877" s="77"/>
      <c r="AU1877" s="77"/>
      <c r="AV1877" s="80" t="str">
        <f>HYPERLINK("https://pbs.twimg.com/ext_tw_video_thumb/1664013255851880449/pu/img/yC_XOcWkt21WDVqx.jpg")</f>
        <v>https://pbs.twimg.com/ext_tw_video_thumb/1664013255851880449/pu/img/yC_XOcWkt21WDVqx.jpg</v>
      </c>
      <c r="AW1877" s="82" t="s">
        <v>18645</v>
      </c>
      <c r="AX1877" s="82" t="s">
        <v>18645</v>
      </c>
      <c r="AY1877" s="77"/>
      <c r="AZ1877" s="82" t="s">
        <v>20971</v>
      </c>
      <c r="BA1877" s="82" t="s">
        <v>20971</v>
      </c>
      <c r="BB1877" s="82" t="s">
        <v>20971</v>
      </c>
      <c r="BC1877" s="82" t="s">
        <v>18645</v>
      </c>
      <c r="BD1877" s="82" t="s">
        <v>20938</v>
      </c>
      <c r="BE1877" s="77"/>
      <c r="BF1877" s="77"/>
      <c r="BG1877" s="77"/>
      <c r="BH1877" s="77"/>
      <c r="BI1877" s="77"/>
    </row>
    <row r="1878" spans="1:61" x14ac:dyDescent="0.25">
      <c r="A1878" s="62" t="s">
        <v>708</v>
      </c>
      <c r="B1878" s="62" t="s">
        <v>708</v>
      </c>
      <c r="C1878" s="63"/>
      <c r="D1878" s="64"/>
      <c r="E1878" s="65"/>
      <c r="F1878" s="66"/>
      <c r="G1878" s="63"/>
      <c r="H1878" s="67"/>
      <c r="I1878" s="68"/>
      <c r="J1878" s="68"/>
      <c r="K1878" s="32"/>
      <c r="L1878" s="75">
        <v>1878</v>
      </c>
      <c r="M1878" s="75"/>
      <c r="N1878" s="70"/>
      <c r="O1878" s="77" t="s">
        <v>1284</v>
      </c>
      <c r="P1878" s="79">
        <v>45109.881157407406</v>
      </c>
      <c r="Q1878" s="77" t="s">
        <v>3117</v>
      </c>
      <c r="R1878" s="77">
        <v>0</v>
      </c>
      <c r="S1878" s="77">
        <v>0</v>
      </c>
      <c r="T1878" s="77">
        <v>0</v>
      </c>
      <c r="U1878" s="77">
        <v>0</v>
      </c>
      <c r="V1878" s="77">
        <v>50</v>
      </c>
      <c r="W1878" s="82" t="s">
        <v>6082</v>
      </c>
      <c r="X1878" s="80" t="str">
        <f>HYPERLINK("http://betbolacom.page.link/Tweet")</f>
        <v>http://betbolacom.page.link/Tweet</v>
      </c>
      <c r="Y1878" s="77" t="s">
        <v>7378</v>
      </c>
      <c r="Z1878" s="77"/>
      <c r="AA1878" s="77"/>
      <c r="AB1878" s="77"/>
      <c r="AC1878" s="82" t="s">
        <v>10146</v>
      </c>
      <c r="AD1878" s="77" t="s">
        <v>10184</v>
      </c>
      <c r="AE1878" s="80" t="str">
        <f>HYPERLINK("https://twitter.com/6de6_palpites/status/1675612525100974082")</f>
        <v>https://twitter.com/6de6_palpites/status/1675612525100974082</v>
      </c>
      <c r="AF1878" s="79">
        <v>45109.881157407406</v>
      </c>
      <c r="AG1878" s="85">
        <v>45109</v>
      </c>
      <c r="AH1878" s="82" t="s">
        <v>11998</v>
      </c>
      <c r="AI1878" s="77" t="b">
        <v>0</v>
      </c>
      <c r="AJ1878" s="77"/>
      <c r="AK1878" s="77"/>
      <c r="AL1878" s="77"/>
      <c r="AM1878" s="77"/>
      <c r="AN1878" s="77"/>
      <c r="AO1878" s="77"/>
      <c r="AP1878" s="77"/>
      <c r="AQ1878" s="77"/>
      <c r="AR1878" s="77"/>
      <c r="AS1878" s="77"/>
      <c r="AT1878" s="77"/>
      <c r="AU1878" s="77"/>
      <c r="AV1878" s="80" t="str">
        <f>HYPERLINK("https://pbs.twimg.com/profile_images/1648771185235165184/WFqM_Jlh_normal.jpg")</f>
        <v>https://pbs.twimg.com/profile_images/1648771185235165184/WFqM_Jlh_normal.jpg</v>
      </c>
      <c r="AW1878" s="82" t="s">
        <v>18646</v>
      </c>
      <c r="AX1878" s="82" t="s">
        <v>20833</v>
      </c>
      <c r="AY1878" s="82" t="s">
        <v>20938</v>
      </c>
      <c r="AZ1878" s="82" t="s">
        <v>20833</v>
      </c>
      <c r="BA1878" s="82" t="s">
        <v>20971</v>
      </c>
      <c r="BB1878" s="82" t="s">
        <v>20971</v>
      </c>
      <c r="BC1878" s="82" t="s">
        <v>20833</v>
      </c>
      <c r="BD1878" s="82" t="s">
        <v>20938</v>
      </c>
      <c r="BE1878" s="77"/>
      <c r="BF1878" s="77"/>
      <c r="BG1878" s="77"/>
      <c r="BH1878" s="77"/>
      <c r="BI1878" s="77"/>
    </row>
    <row r="1879" spans="1:61" x14ac:dyDescent="0.25">
      <c r="A1879" s="62" t="s">
        <v>708</v>
      </c>
      <c r="B1879" s="62" t="s">
        <v>708</v>
      </c>
      <c r="C1879" s="63"/>
      <c r="D1879" s="64"/>
      <c r="E1879" s="65"/>
      <c r="F1879" s="66"/>
      <c r="G1879" s="63"/>
      <c r="H1879" s="67"/>
      <c r="I1879" s="68"/>
      <c r="J1879" s="68"/>
      <c r="K1879" s="32"/>
      <c r="L1879" s="75">
        <v>1879</v>
      </c>
      <c r="M1879" s="75"/>
      <c r="N1879" s="70"/>
      <c r="O1879" s="77" t="s">
        <v>179</v>
      </c>
      <c r="P1879" s="79">
        <v>45109.62427083333</v>
      </c>
      <c r="Q1879" s="77" t="s">
        <v>3118</v>
      </c>
      <c r="R1879" s="77">
        <v>0</v>
      </c>
      <c r="S1879" s="77">
        <v>0</v>
      </c>
      <c r="T1879" s="77">
        <v>1</v>
      </c>
      <c r="U1879" s="77">
        <v>0</v>
      </c>
      <c r="V1879" s="77">
        <v>90</v>
      </c>
      <c r="W1879" s="82" t="s">
        <v>6083</v>
      </c>
      <c r="X1879" s="77"/>
      <c r="Y1879" s="77"/>
      <c r="Z1879" s="77"/>
      <c r="AA1879" s="77" t="s">
        <v>8451</v>
      </c>
      <c r="AB1879" s="77" t="s">
        <v>10130</v>
      </c>
      <c r="AC1879" s="82" t="s">
        <v>10144</v>
      </c>
      <c r="AD1879" s="77" t="s">
        <v>10184</v>
      </c>
      <c r="AE1879" s="80" t="str">
        <f>HYPERLINK("https://twitter.com/6de6_palpites/status/1675519435866611712")</f>
        <v>https://twitter.com/6de6_palpites/status/1675519435866611712</v>
      </c>
      <c r="AF1879" s="79">
        <v>45109.62427083333</v>
      </c>
      <c r="AG1879" s="85">
        <v>45109</v>
      </c>
      <c r="AH1879" s="82" t="s">
        <v>11905</v>
      </c>
      <c r="AI1879" s="77" t="b">
        <v>0</v>
      </c>
      <c r="AJ1879" s="77"/>
      <c r="AK1879" s="77"/>
      <c r="AL1879" s="77"/>
      <c r="AM1879" s="77"/>
      <c r="AN1879" s="77"/>
      <c r="AO1879" s="77"/>
      <c r="AP1879" s="77"/>
      <c r="AQ1879" s="77" t="s">
        <v>15095</v>
      </c>
      <c r="AR1879" s="77"/>
      <c r="AS1879" s="77"/>
      <c r="AT1879" s="77"/>
      <c r="AU1879" s="77"/>
      <c r="AV1879" s="80" t="str">
        <f>HYPERLINK("https://pbs.twimg.com/media/F0CkC9WWAAAxjG0.jpg")</f>
        <v>https://pbs.twimg.com/media/F0CkC9WWAAAxjG0.jpg</v>
      </c>
      <c r="AW1879" s="82" t="s">
        <v>18647</v>
      </c>
      <c r="AX1879" s="82" t="s">
        <v>18647</v>
      </c>
      <c r="AY1879" s="77"/>
      <c r="AZ1879" s="82" t="s">
        <v>20971</v>
      </c>
      <c r="BA1879" s="82" t="s">
        <v>20971</v>
      </c>
      <c r="BB1879" s="82" t="s">
        <v>20971</v>
      </c>
      <c r="BC1879" s="82" t="s">
        <v>18647</v>
      </c>
      <c r="BD1879" s="82" t="s">
        <v>20938</v>
      </c>
      <c r="BE1879" s="77"/>
      <c r="BF1879" s="77"/>
      <c r="BG1879" s="77"/>
      <c r="BH1879" s="77"/>
      <c r="BI1879" s="77"/>
    </row>
    <row r="1880" spans="1:61" x14ac:dyDescent="0.25">
      <c r="A1880" s="62" t="s">
        <v>708</v>
      </c>
      <c r="B1880" s="62" t="s">
        <v>708</v>
      </c>
      <c r="C1880" s="63"/>
      <c r="D1880" s="64"/>
      <c r="E1880" s="65"/>
      <c r="F1880" s="66"/>
      <c r="G1880" s="63"/>
      <c r="H1880" s="67"/>
      <c r="I1880" s="68"/>
      <c r="J1880" s="68"/>
      <c r="K1880" s="32"/>
      <c r="L1880" s="75">
        <v>1880</v>
      </c>
      <c r="M1880" s="75"/>
      <c r="N1880" s="70"/>
      <c r="O1880" s="77" t="s">
        <v>179</v>
      </c>
      <c r="P1880" s="79">
        <v>45108.981249999997</v>
      </c>
      <c r="Q1880" s="77" t="s">
        <v>3119</v>
      </c>
      <c r="R1880" s="77">
        <v>0</v>
      </c>
      <c r="S1880" s="77">
        <v>1</v>
      </c>
      <c r="T1880" s="77">
        <v>0</v>
      </c>
      <c r="U1880" s="77">
        <v>0</v>
      </c>
      <c r="V1880" s="77">
        <v>48</v>
      </c>
      <c r="W1880" s="82" t="s">
        <v>6083</v>
      </c>
      <c r="X1880" s="80" t="str">
        <f>HYPERLINK("https://betbolacom.page.link/Tweet")</f>
        <v>https://betbolacom.page.link/Tweet</v>
      </c>
      <c r="Y1880" s="77" t="s">
        <v>7378</v>
      </c>
      <c r="Z1880" s="77"/>
      <c r="AA1880" s="77" t="s">
        <v>8452</v>
      </c>
      <c r="AB1880" s="77" t="s">
        <v>10130</v>
      </c>
      <c r="AC1880" s="82" t="s">
        <v>10146</v>
      </c>
      <c r="AD1880" s="77" t="s">
        <v>10184</v>
      </c>
      <c r="AE1880" s="80" t="str">
        <f>HYPERLINK("https://twitter.com/6de6_palpites/status/1675286411283427328")</f>
        <v>https://twitter.com/6de6_palpites/status/1675286411283427328</v>
      </c>
      <c r="AF1880" s="79">
        <v>45108.981249999997</v>
      </c>
      <c r="AG1880" s="85">
        <v>45108</v>
      </c>
      <c r="AH1880" s="82" t="s">
        <v>11999</v>
      </c>
      <c r="AI1880" s="77" t="b">
        <v>0</v>
      </c>
      <c r="AJ1880" s="77"/>
      <c r="AK1880" s="77"/>
      <c r="AL1880" s="77"/>
      <c r="AM1880" s="77"/>
      <c r="AN1880" s="77"/>
      <c r="AO1880" s="77"/>
      <c r="AP1880" s="77"/>
      <c r="AQ1880" s="77" t="s">
        <v>15096</v>
      </c>
      <c r="AR1880" s="77"/>
      <c r="AS1880" s="77"/>
      <c r="AT1880" s="77"/>
      <c r="AU1880" s="77"/>
      <c r="AV1880" s="80" t="str">
        <f>HYPERLINK("https://pbs.twimg.com/media/Fz_QEpEXwAEUYII.jpg")</f>
        <v>https://pbs.twimg.com/media/Fz_QEpEXwAEUYII.jpg</v>
      </c>
      <c r="AW1880" s="82" t="s">
        <v>18648</v>
      </c>
      <c r="AX1880" s="82" t="s">
        <v>18648</v>
      </c>
      <c r="AY1880" s="77"/>
      <c r="AZ1880" s="82" t="s">
        <v>20971</v>
      </c>
      <c r="BA1880" s="82" t="s">
        <v>20971</v>
      </c>
      <c r="BB1880" s="82" t="s">
        <v>20971</v>
      </c>
      <c r="BC1880" s="82" t="s">
        <v>18648</v>
      </c>
      <c r="BD1880" s="82" t="s">
        <v>20938</v>
      </c>
      <c r="BE1880" s="77"/>
      <c r="BF1880" s="77"/>
      <c r="BG1880" s="77"/>
      <c r="BH1880" s="77"/>
      <c r="BI1880" s="77"/>
    </row>
    <row r="1881" spans="1:61" x14ac:dyDescent="0.25">
      <c r="A1881" s="62" t="s">
        <v>708</v>
      </c>
      <c r="B1881" s="62" t="s">
        <v>708</v>
      </c>
      <c r="C1881" s="63"/>
      <c r="D1881" s="64"/>
      <c r="E1881" s="65"/>
      <c r="F1881" s="66"/>
      <c r="G1881" s="63"/>
      <c r="H1881" s="67"/>
      <c r="I1881" s="68"/>
      <c r="J1881" s="68"/>
      <c r="K1881" s="32"/>
      <c r="L1881" s="75">
        <v>1881</v>
      </c>
      <c r="M1881" s="75"/>
      <c r="N1881" s="70"/>
      <c r="O1881" s="77" t="s">
        <v>1284</v>
      </c>
      <c r="P1881" s="79">
        <v>45089.859375</v>
      </c>
      <c r="Q1881" s="77" t="s">
        <v>3120</v>
      </c>
      <c r="R1881" s="77">
        <v>0</v>
      </c>
      <c r="S1881" s="77">
        <v>0</v>
      </c>
      <c r="T1881" s="77">
        <v>0</v>
      </c>
      <c r="U1881" s="77">
        <v>0</v>
      </c>
      <c r="V1881" s="77">
        <v>85</v>
      </c>
      <c r="W1881" s="82" t="s">
        <v>6084</v>
      </c>
      <c r="X1881" s="77"/>
      <c r="Y1881" s="77"/>
      <c r="Z1881" s="77" t="s">
        <v>1261</v>
      </c>
      <c r="AA1881" s="77"/>
      <c r="AB1881" s="77"/>
      <c r="AC1881" s="82" t="s">
        <v>10146</v>
      </c>
      <c r="AD1881" s="77" t="s">
        <v>10184</v>
      </c>
      <c r="AE1881" s="80" t="str">
        <f>HYPERLINK("https://twitter.com/6de6_palpites/status/1668356875098701825")</f>
        <v>https://twitter.com/6de6_palpites/status/1668356875098701825</v>
      </c>
      <c r="AF1881" s="79">
        <v>45089.859375</v>
      </c>
      <c r="AG1881" s="85">
        <v>45089</v>
      </c>
      <c r="AH1881" s="82" t="s">
        <v>11625</v>
      </c>
      <c r="AI1881" s="77"/>
      <c r="AJ1881" s="77"/>
      <c r="AK1881" s="77"/>
      <c r="AL1881" s="77"/>
      <c r="AM1881" s="77"/>
      <c r="AN1881" s="77"/>
      <c r="AO1881" s="77"/>
      <c r="AP1881" s="77"/>
      <c r="AQ1881" s="77"/>
      <c r="AR1881" s="77"/>
      <c r="AS1881" s="77"/>
      <c r="AT1881" s="77"/>
      <c r="AU1881" s="77"/>
      <c r="AV1881" s="80" t="str">
        <f>HYPERLINK("https://pbs.twimg.com/profile_images/1648771185235165184/WFqM_Jlh_normal.jpg")</f>
        <v>https://pbs.twimg.com/profile_images/1648771185235165184/WFqM_Jlh_normal.jpg</v>
      </c>
      <c r="AW1881" s="82" t="s">
        <v>18649</v>
      </c>
      <c r="AX1881" s="82" t="s">
        <v>20834</v>
      </c>
      <c r="AY1881" s="82" t="s">
        <v>20938</v>
      </c>
      <c r="AZ1881" s="82" t="s">
        <v>20984</v>
      </c>
      <c r="BA1881" s="82" t="s">
        <v>20971</v>
      </c>
      <c r="BB1881" s="82" t="s">
        <v>20971</v>
      </c>
      <c r="BC1881" s="82" t="s">
        <v>20984</v>
      </c>
      <c r="BD1881" s="82" t="s">
        <v>20938</v>
      </c>
      <c r="BE1881" s="77"/>
      <c r="BF1881" s="77"/>
      <c r="BG1881" s="77"/>
      <c r="BH1881" s="77"/>
      <c r="BI1881" s="77"/>
    </row>
    <row r="1882" spans="1:61" x14ac:dyDescent="0.25">
      <c r="A1882" s="62" t="s">
        <v>708</v>
      </c>
      <c r="B1882" s="62" t="s">
        <v>708</v>
      </c>
      <c r="C1882" s="63"/>
      <c r="D1882" s="64"/>
      <c r="E1882" s="65"/>
      <c r="F1882" s="66"/>
      <c r="G1882" s="63"/>
      <c r="H1882" s="67"/>
      <c r="I1882" s="68"/>
      <c r="J1882" s="68"/>
      <c r="K1882" s="32"/>
      <c r="L1882" s="75">
        <v>1882</v>
      </c>
      <c r="M1882" s="75"/>
      <c r="N1882" s="70"/>
      <c r="O1882" s="77" t="s">
        <v>1284</v>
      </c>
      <c r="P1882" s="79">
        <v>45089.58488425926</v>
      </c>
      <c r="Q1882" s="77" t="s">
        <v>3121</v>
      </c>
      <c r="R1882" s="77">
        <v>0</v>
      </c>
      <c r="S1882" s="77">
        <v>0</v>
      </c>
      <c r="T1882" s="77">
        <v>0</v>
      </c>
      <c r="U1882" s="77">
        <v>0</v>
      </c>
      <c r="V1882" s="77">
        <v>50</v>
      </c>
      <c r="W1882" s="82" t="s">
        <v>6085</v>
      </c>
      <c r="X1882" s="77"/>
      <c r="Y1882" s="77"/>
      <c r="Z1882" s="77"/>
      <c r="AA1882" s="77"/>
      <c r="AB1882" s="77"/>
      <c r="AC1882" s="82" t="s">
        <v>10146</v>
      </c>
      <c r="AD1882" s="77" t="s">
        <v>10184</v>
      </c>
      <c r="AE1882" s="80" t="str">
        <f>HYPERLINK("https://twitter.com/6de6_palpites/status/1668257405237448705")</f>
        <v>https://twitter.com/6de6_palpites/status/1668257405237448705</v>
      </c>
      <c r="AF1882" s="79">
        <v>45089.58488425926</v>
      </c>
      <c r="AG1882" s="85">
        <v>45089</v>
      </c>
      <c r="AH1882" s="82" t="s">
        <v>12000</v>
      </c>
      <c r="AI1882" s="77"/>
      <c r="AJ1882" s="77"/>
      <c r="AK1882" s="77"/>
      <c r="AL1882" s="77"/>
      <c r="AM1882" s="77"/>
      <c r="AN1882" s="77"/>
      <c r="AO1882" s="77"/>
      <c r="AP1882" s="77"/>
      <c r="AQ1882" s="77"/>
      <c r="AR1882" s="77"/>
      <c r="AS1882" s="77"/>
      <c r="AT1882" s="77"/>
      <c r="AU1882" s="77"/>
      <c r="AV1882" s="80" t="str">
        <f>HYPERLINK("https://pbs.twimg.com/profile_images/1648771185235165184/WFqM_Jlh_normal.jpg")</f>
        <v>https://pbs.twimg.com/profile_images/1648771185235165184/WFqM_Jlh_normal.jpg</v>
      </c>
      <c r="AW1882" s="82" t="s">
        <v>18650</v>
      </c>
      <c r="AX1882" s="82" t="s">
        <v>20835</v>
      </c>
      <c r="AY1882" s="82" t="s">
        <v>20938</v>
      </c>
      <c r="AZ1882" s="82" t="s">
        <v>20835</v>
      </c>
      <c r="BA1882" s="82" t="s">
        <v>20971</v>
      </c>
      <c r="BB1882" s="82" t="s">
        <v>20971</v>
      </c>
      <c r="BC1882" s="82" t="s">
        <v>20835</v>
      </c>
      <c r="BD1882" s="82" t="s">
        <v>20938</v>
      </c>
      <c r="BE1882" s="77"/>
      <c r="BF1882" s="77"/>
      <c r="BG1882" s="77"/>
      <c r="BH1882" s="77"/>
      <c r="BI1882" s="77"/>
    </row>
    <row r="1883" spans="1:61" x14ac:dyDescent="0.25">
      <c r="A1883" s="62" t="s">
        <v>708</v>
      </c>
      <c r="B1883" s="62" t="s">
        <v>708</v>
      </c>
      <c r="C1883" s="63"/>
      <c r="D1883" s="64"/>
      <c r="E1883" s="65"/>
      <c r="F1883" s="66"/>
      <c r="G1883" s="63"/>
      <c r="H1883" s="67"/>
      <c r="I1883" s="68"/>
      <c r="J1883" s="68"/>
      <c r="K1883" s="32"/>
      <c r="L1883" s="75">
        <v>1883</v>
      </c>
      <c r="M1883" s="75"/>
      <c r="N1883" s="70"/>
      <c r="O1883" s="77" t="s">
        <v>179</v>
      </c>
      <c r="P1883" s="79">
        <v>45088.97619212963</v>
      </c>
      <c r="Q1883" s="77" t="s">
        <v>3122</v>
      </c>
      <c r="R1883" s="77">
        <v>0</v>
      </c>
      <c r="S1883" s="77">
        <v>0</v>
      </c>
      <c r="T1883" s="77">
        <v>0</v>
      </c>
      <c r="U1883" s="77">
        <v>0</v>
      </c>
      <c r="V1883" s="77">
        <v>55</v>
      </c>
      <c r="W1883" s="82" t="s">
        <v>6086</v>
      </c>
      <c r="X1883" s="80" t="str">
        <f>HYPERLINK("https://betbolacom.page.link/Tweet")</f>
        <v>https://betbolacom.page.link/Tweet</v>
      </c>
      <c r="Y1883" s="77" t="s">
        <v>7378</v>
      </c>
      <c r="Z1883" s="77"/>
      <c r="AA1883" s="77" t="s">
        <v>8453</v>
      </c>
      <c r="AB1883" s="77" t="s">
        <v>10130</v>
      </c>
      <c r="AC1883" s="82" t="s">
        <v>10146</v>
      </c>
      <c r="AD1883" s="77" t="s">
        <v>10184</v>
      </c>
      <c r="AE1883" s="80" t="str">
        <f>HYPERLINK("https://twitter.com/6de6_palpites/status/1668036822679560192")</f>
        <v>https://twitter.com/6de6_palpites/status/1668036822679560192</v>
      </c>
      <c r="AF1883" s="79">
        <v>45088.97619212963</v>
      </c>
      <c r="AG1883" s="85">
        <v>45088</v>
      </c>
      <c r="AH1883" s="82" t="s">
        <v>12001</v>
      </c>
      <c r="AI1883" s="77" t="b">
        <v>0</v>
      </c>
      <c r="AJ1883" s="77"/>
      <c r="AK1883" s="77"/>
      <c r="AL1883" s="77"/>
      <c r="AM1883" s="77"/>
      <c r="AN1883" s="77"/>
      <c r="AO1883" s="77"/>
      <c r="AP1883" s="77"/>
      <c r="AQ1883" s="77" t="s">
        <v>15097</v>
      </c>
      <c r="AR1883" s="77"/>
      <c r="AS1883" s="77"/>
      <c r="AT1883" s="77"/>
      <c r="AU1883" s="77"/>
      <c r="AV1883" s="80" t="str">
        <f>HYPERLINK("https://pbs.twimg.com/media/FyYOhTxXgAAtUPU.jpg")</f>
        <v>https://pbs.twimg.com/media/FyYOhTxXgAAtUPU.jpg</v>
      </c>
      <c r="AW1883" s="82" t="s">
        <v>18651</v>
      </c>
      <c r="AX1883" s="82" t="s">
        <v>18651</v>
      </c>
      <c r="AY1883" s="77"/>
      <c r="AZ1883" s="82" t="s">
        <v>20971</v>
      </c>
      <c r="BA1883" s="82" t="s">
        <v>20971</v>
      </c>
      <c r="BB1883" s="82" t="s">
        <v>20971</v>
      </c>
      <c r="BC1883" s="82" t="s">
        <v>18651</v>
      </c>
      <c r="BD1883" s="82" t="s">
        <v>20938</v>
      </c>
      <c r="BE1883" s="77"/>
      <c r="BF1883" s="77"/>
      <c r="BG1883" s="77"/>
      <c r="BH1883" s="77"/>
      <c r="BI1883" s="77"/>
    </row>
    <row r="1884" spans="1:61" x14ac:dyDescent="0.25">
      <c r="A1884" s="62" t="s">
        <v>708</v>
      </c>
      <c r="B1884" s="62" t="s">
        <v>708</v>
      </c>
      <c r="C1884" s="63"/>
      <c r="D1884" s="64"/>
      <c r="E1884" s="65"/>
      <c r="F1884" s="66"/>
      <c r="G1884" s="63"/>
      <c r="H1884" s="67"/>
      <c r="I1884" s="68"/>
      <c r="J1884" s="68"/>
      <c r="K1884" s="32"/>
      <c r="L1884" s="75">
        <v>1884</v>
      </c>
      <c r="M1884" s="75"/>
      <c r="N1884" s="70"/>
      <c r="O1884" s="77" t="s">
        <v>179</v>
      </c>
      <c r="P1884" s="79">
        <v>45087.983923611115</v>
      </c>
      <c r="Q1884" s="77" t="s">
        <v>3123</v>
      </c>
      <c r="R1884" s="77">
        <v>0</v>
      </c>
      <c r="S1884" s="77">
        <v>1</v>
      </c>
      <c r="T1884" s="77">
        <v>1</v>
      </c>
      <c r="U1884" s="77">
        <v>0</v>
      </c>
      <c r="V1884" s="77">
        <v>112</v>
      </c>
      <c r="W1884" s="82" t="s">
        <v>6087</v>
      </c>
      <c r="X1884" s="77"/>
      <c r="Y1884" s="77"/>
      <c r="Z1884" s="77"/>
      <c r="AA1884" s="77" t="s">
        <v>8454</v>
      </c>
      <c r="AB1884" s="77" t="s">
        <v>10130</v>
      </c>
      <c r="AC1884" s="82" t="s">
        <v>10161</v>
      </c>
      <c r="AD1884" s="77" t="s">
        <v>10184</v>
      </c>
      <c r="AE1884" s="80" t="str">
        <f>HYPERLINK("https://twitter.com/6de6_palpites/status/1667677233668927493")</f>
        <v>https://twitter.com/6de6_palpites/status/1667677233668927493</v>
      </c>
      <c r="AF1884" s="79">
        <v>45087.983923611115</v>
      </c>
      <c r="AG1884" s="85">
        <v>45087</v>
      </c>
      <c r="AH1884" s="82" t="s">
        <v>12002</v>
      </c>
      <c r="AI1884" s="77" t="b">
        <v>0</v>
      </c>
      <c r="AJ1884" s="77"/>
      <c r="AK1884" s="77"/>
      <c r="AL1884" s="77"/>
      <c r="AM1884" s="77"/>
      <c r="AN1884" s="77"/>
      <c r="AO1884" s="77"/>
      <c r="AP1884" s="77"/>
      <c r="AQ1884" s="77" t="s">
        <v>15098</v>
      </c>
      <c r="AR1884" s="77"/>
      <c r="AS1884" s="77"/>
      <c r="AT1884" s="77"/>
      <c r="AU1884" s="77"/>
      <c r="AV1884" s="80" t="str">
        <f>HYPERLINK("https://pbs.twimg.com/media/FyTHmdUXwAArqpY.jpg")</f>
        <v>https://pbs.twimg.com/media/FyTHmdUXwAArqpY.jpg</v>
      </c>
      <c r="AW1884" s="82" t="s">
        <v>18652</v>
      </c>
      <c r="AX1884" s="82" t="s">
        <v>18652</v>
      </c>
      <c r="AY1884" s="77"/>
      <c r="AZ1884" s="82" t="s">
        <v>20971</v>
      </c>
      <c r="BA1884" s="82" t="s">
        <v>20971</v>
      </c>
      <c r="BB1884" s="82" t="s">
        <v>20971</v>
      </c>
      <c r="BC1884" s="82" t="s">
        <v>18652</v>
      </c>
      <c r="BD1884" s="82" t="s">
        <v>20938</v>
      </c>
      <c r="BE1884" s="77"/>
      <c r="BF1884" s="77"/>
      <c r="BG1884" s="77"/>
      <c r="BH1884" s="77"/>
      <c r="BI1884" s="77"/>
    </row>
    <row r="1885" spans="1:61" x14ac:dyDescent="0.25">
      <c r="A1885" s="62" t="s">
        <v>708</v>
      </c>
      <c r="B1885" s="62" t="s">
        <v>708</v>
      </c>
      <c r="C1885" s="63"/>
      <c r="D1885" s="64"/>
      <c r="E1885" s="65"/>
      <c r="F1885" s="66"/>
      <c r="G1885" s="63"/>
      <c r="H1885" s="67"/>
      <c r="I1885" s="68"/>
      <c r="J1885" s="68"/>
      <c r="K1885" s="32"/>
      <c r="L1885" s="75">
        <v>1885</v>
      </c>
      <c r="M1885" s="75"/>
      <c r="N1885" s="70"/>
      <c r="O1885" s="77" t="s">
        <v>179</v>
      </c>
      <c r="P1885" s="79">
        <v>45069.870185185187</v>
      </c>
      <c r="Q1885" s="77" t="s">
        <v>3124</v>
      </c>
      <c r="R1885" s="77">
        <v>0</v>
      </c>
      <c r="S1885" s="77">
        <v>3</v>
      </c>
      <c r="T1885" s="77">
        <v>2</v>
      </c>
      <c r="U1885" s="77">
        <v>0</v>
      </c>
      <c r="V1885" s="77">
        <v>125</v>
      </c>
      <c r="W1885" s="82" t="s">
        <v>6081</v>
      </c>
      <c r="X1885" s="77"/>
      <c r="Y1885" s="77"/>
      <c r="Z1885" s="77"/>
      <c r="AA1885" s="77" t="s">
        <v>8455</v>
      </c>
      <c r="AB1885" s="77" t="s">
        <v>10130</v>
      </c>
      <c r="AC1885" s="82" t="s">
        <v>10146</v>
      </c>
      <c r="AD1885" s="77" t="s">
        <v>10184</v>
      </c>
      <c r="AE1885" s="80" t="str">
        <f>HYPERLINK("https://twitter.com/6de6_palpites/status/1661113035753136130")</f>
        <v>https://twitter.com/6de6_palpites/status/1661113035753136130</v>
      </c>
      <c r="AF1885" s="79">
        <v>45069.870185185187</v>
      </c>
      <c r="AG1885" s="85">
        <v>45069</v>
      </c>
      <c r="AH1885" s="82" t="s">
        <v>12003</v>
      </c>
      <c r="AI1885" s="77" t="b">
        <v>0</v>
      </c>
      <c r="AJ1885" s="77"/>
      <c r="AK1885" s="77"/>
      <c r="AL1885" s="77"/>
      <c r="AM1885" s="77"/>
      <c r="AN1885" s="77"/>
      <c r="AO1885" s="77"/>
      <c r="AP1885" s="77"/>
      <c r="AQ1885" s="77" t="s">
        <v>15099</v>
      </c>
      <c r="AR1885" s="77"/>
      <c r="AS1885" s="77"/>
      <c r="AT1885" s="77"/>
      <c r="AU1885" s="77"/>
      <c r="AV1885" s="80" t="str">
        <f>HYPERLINK("https://pbs.twimg.com/media/Fw11fx4WIAU8-EB.jpg")</f>
        <v>https://pbs.twimg.com/media/Fw11fx4WIAU8-EB.jpg</v>
      </c>
      <c r="AW1885" s="82" t="s">
        <v>18653</v>
      </c>
      <c r="AX1885" s="82" t="s">
        <v>18653</v>
      </c>
      <c r="AY1885" s="77"/>
      <c r="AZ1885" s="82" t="s">
        <v>20971</v>
      </c>
      <c r="BA1885" s="82" t="s">
        <v>20971</v>
      </c>
      <c r="BB1885" s="82" t="s">
        <v>20971</v>
      </c>
      <c r="BC1885" s="82" t="s">
        <v>18653</v>
      </c>
      <c r="BD1885" s="82" t="s">
        <v>20938</v>
      </c>
      <c r="BE1885" s="77"/>
      <c r="BF1885" s="77"/>
      <c r="BG1885" s="77"/>
      <c r="BH1885" s="77"/>
      <c r="BI1885" s="77"/>
    </row>
    <row r="1886" spans="1:61" x14ac:dyDescent="0.25">
      <c r="A1886" s="62" t="s">
        <v>708</v>
      </c>
      <c r="B1886" s="62" t="s">
        <v>708</v>
      </c>
      <c r="C1886" s="63"/>
      <c r="D1886" s="64"/>
      <c r="E1886" s="65"/>
      <c r="F1886" s="66"/>
      <c r="G1886" s="63"/>
      <c r="H1886" s="67"/>
      <c r="I1886" s="68"/>
      <c r="J1886" s="68"/>
      <c r="K1886" s="32"/>
      <c r="L1886" s="75">
        <v>1886</v>
      </c>
      <c r="M1886" s="75"/>
      <c r="N1886" s="70"/>
      <c r="O1886" s="77" t="s">
        <v>179</v>
      </c>
      <c r="P1886" s="79">
        <v>45069.602013888885</v>
      </c>
      <c r="Q1886" s="77" t="s">
        <v>3125</v>
      </c>
      <c r="R1886" s="77">
        <v>0</v>
      </c>
      <c r="S1886" s="77">
        <v>2</v>
      </c>
      <c r="T1886" s="77">
        <v>1</v>
      </c>
      <c r="U1886" s="77">
        <v>0</v>
      </c>
      <c r="V1886" s="77">
        <v>86</v>
      </c>
      <c r="W1886" s="82" t="s">
        <v>6081</v>
      </c>
      <c r="X1886" s="80" t="str">
        <f>HYPERLINK("https://betbolacom.page.link/Tweet")</f>
        <v>https://betbolacom.page.link/Tweet</v>
      </c>
      <c r="Y1886" s="77" t="s">
        <v>7378</v>
      </c>
      <c r="Z1886" s="77"/>
      <c r="AA1886" s="77" t="s">
        <v>8456</v>
      </c>
      <c r="AB1886" s="77" t="s">
        <v>10130</v>
      </c>
      <c r="AC1886" s="82" t="s">
        <v>10144</v>
      </c>
      <c r="AD1886" s="77" t="s">
        <v>10184</v>
      </c>
      <c r="AE1886" s="80" t="str">
        <f>HYPERLINK("https://twitter.com/6de6_palpites/status/1661015854417580033")</f>
        <v>https://twitter.com/6de6_palpites/status/1661015854417580033</v>
      </c>
      <c r="AF1886" s="79">
        <v>45069.602013888885</v>
      </c>
      <c r="AG1886" s="85">
        <v>45069</v>
      </c>
      <c r="AH1886" s="82" t="s">
        <v>12004</v>
      </c>
      <c r="AI1886" s="77" t="b">
        <v>0</v>
      </c>
      <c r="AJ1886" s="77"/>
      <c r="AK1886" s="77"/>
      <c r="AL1886" s="77"/>
      <c r="AM1886" s="77"/>
      <c r="AN1886" s="77"/>
      <c r="AO1886" s="77"/>
      <c r="AP1886" s="77"/>
      <c r="AQ1886" s="77" t="s">
        <v>15100</v>
      </c>
      <c r="AR1886" s="77"/>
      <c r="AS1886" s="77"/>
      <c r="AT1886" s="77"/>
      <c r="AU1886" s="77"/>
      <c r="AV1886" s="80" t="str">
        <f>HYPERLINK("https://pbs.twimg.com/media/Fw0dHaiaYAMTI6j.jpg")</f>
        <v>https://pbs.twimg.com/media/Fw0dHaiaYAMTI6j.jpg</v>
      </c>
      <c r="AW1886" s="82" t="s">
        <v>18654</v>
      </c>
      <c r="AX1886" s="82" t="s">
        <v>18654</v>
      </c>
      <c r="AY1886" s="77"/>
      <c r="AZ1886" s="82" t="s">
        <v>20971</v>
      </c>
      <c r="BA1886" s="82" t="s">
        <v>20971</v>
      </c>
      <c r="BB1886" s="82" t="s">
        <v>20971</v>
      </c>
      <c r="BC1886" s="82" t="s">
        <v>18654</v>
      </c>
      <c r="BD1886" s="82" t="s">
        <v>20938</v>
      </c>
      <c r="BE1886" s="77"/>
      <c r="BF1886" s="77"/>
      <c r="BG1886" s="77"/>
      <c r="BH1886" s="77"/>
      <c r="BI1886" s="77"/>
    </row>
    <row r="1887" spans="1:61" x14ac:dyDescent="0.25">
      <c r="A1887" s="62" t="s">
        <v>708</v>
      </c>
      <c r="B1887" s="62" t="s">
        <v>708</v>
      </c>
      <c r="C1887" s="63"/>
      <c r="D1887" s="64"/>
      <c r="E1887" s="65"/>
      <c r="F1887" s="66"/>
      <c r="G1887" s="63"/>
      <c r="H1887" s="67"/>
      <c r="I1887" s="68"/>
      <c r="J1887" s="68"/>
      <c r="K1887" s="32"/>
      <c r="L1887" s="75">
        <v>1887</v>
      </c>
      <c r="M1887" s="75"/>
      <c r="N1887" s="70"/>
      <c r="O1887" s="77" t="s">
        <v>179</v>
      </c>
      <c r="P1887" s="79">
        <v>45066.983969907407</v>
      </c>
      <c r="Q1887" s="77" t="s">
        <v>3126</v>
      </c>
      <c r="R1887" s="77">
        <v>0</v>
      </c>
      <c r="S1887" s="77">
        <v>0</v>
      </c>
      <c r="T1887" s="77">
        <v>0</v>
      </c>
      <c r="U1887" s="77">
        <v>0</v>
      </c>
      <c r="V1887" s="77">
        <v>80</v>
      </c>
      <c r="W1887" s="82" t="s">
        <v>6081</v>
      </c>
      <c r="X1887" s="80" t="str">
        <f>HYPERLINK("https://betbolacom.page.link/Tweet")</f>
        <v>https://betbolacom.page.link/Tweet</v>
      </c>
      <c r="Y1887" s="77" t="s">
        <v>7378</v>
      </c>
      <c r="Z1887" s="77"/>
      <c r="AA1887" s="77" t="s">
        <v>8457</v>
      </c>
      <c r="AB1887" s="77" t="s">
        <v>10130</v>
      </c>
      <c r="AC1887" s="82" t="s">
        <v>10144</v>
      </c>
      <c r="AD1887" s="77" t="s">
        <v>10184</v>
      </c>
      <c r="AE1887" s="80" t="str">
        <f>HYPERLINK("https://twitter.com/6de6_palpites/status/1660067106178605056")</f>
        <v>https://twitter.com/6de6_palpites/status/1660067106178605056</v>
      </c>
      <c r="AF1887" s="79">
        <v>45066.983969907407</v>
      </c>
      <c r="AG1887" s="85">
        <v>45066</v>
      </c>
      <c r="AH1887" s="82" t="s">
        <v>12005</v>
      </c>
      <c r="AI1887" s="77" t="b">
        <v>0</v>
      </c>
      <c r="AJ1887" s="77"/>
      <c r="AK1887" s="77"/>
      <c r="AL1887" s="77"/>
      <c r="AM1887" s="77"/>
      <c r="AN1887" s="77"/>
      <c r="AO1887" s="77"/>
      <c r="AP1887" s="77"/>
      <c r="AQ1887" s="77" t="s">
        <v>15101</v>
      </c>
      <c r="AR1887" s="77"/>
      <c r="AS1887" s="77"/>
      <c r="AT1887" s="77"/>
      <c r="AU1887" s="77"/>
      <c r="AV1887" s="80" t="str">
        <f>HYPERLINK("https://pbs.twimg.com/media/Fwm-PFqXsAEOsoE.jpg")</f>
        <v>https://pbs.twimg.com/media/Fwm-PFqXsAEOsoE.jpg</v>
      </c>
      <c r="AW1887" s="82" t="s">
        <v>18655</v>
      </c>
      <c r="AX1887" s="82" t="s">
        <v>18655</v>
      </c>
      <c r="AY1887" s="77"/>
      <c r="AZ1887" s="82" t="s">
        <v>20971</v>
      </c>
      <c r="BA1887" s="82" t="s">
        <v>20971</v>
      </c>
      <c r="BB1887" s="82" t="s">
        <v>20971</v>
      </c>
      <c r="BC1887" s="82" t="s">
        <v>18655</v>
      </c>
      <c r="BD1887" s="82" t="s">
        <v>20938</v>
      </c>
      <c r="BE1887" s="77"/>
      <c r="BF1887" s="77"/>
      <c r="BG1887" s="77"/>
      <c r="BH1887" s="77"/>
      <c r="BI1887" s="77"/>
    </row>
    <row r="1888" spans="1:61" x14ac:dyDescent="0.25">
      <c r="A1888" s="62" t="s">
        <v>708</v>
      </c>
      <c r="B1888" s="62" t="s">
        <v>708</v>
      </c>
      <c r="C1888" s="63"/>
      <c r="D1888" s="64"/>
      <c r="E1888" s="65"/>
      <c r="F1888" s="66"/>
      <c r="G1888" s="63"/>
      <c r="H1888" s="67"/>
      <c r="I1888" s="68"/>
      <c r="J1888" s="68"/>
      <c r="K1888" s="32"/>
      <c r="L1888" s="75">
        <v>1888</v>
      </c>
      <c r="M1888" s="75"/>
      <c r="N1888" s="70"/>
      <c r="O1888" s="77" t="s">
        <v>179</v>
      </c>
      <c r="P1888" s="79">
        <v>45106.888611111113</v>
      </c>
      <c r="Q1888" s="77" t="s">
        <v>3127</v>
      </c>
      <c r="R1888" s="77">
        <v>0</v>
      </c>
      <c r="S1888" s="77">
        <v>0</v>
      </c>
      <c r="T1888" s="77">
        <v>0</v>
      </c>
      <c r="U1888" s="77">
        <v>0</v>
      </c>
      <c r="V1888" s="77">
        <v>111</v>
      </c>
      <c r="W1888" s="82" t="s">
        <v>6088</v>
      </c>
      <c r="X1888" s="77"/>
      <c r="Y1888" s="77"/>
      <c r="Z1888" s="77"/>
      <c r="AA1888" s="77" t="s">
        <v>8458</v>
      </c>
      <c r="AB1888" s="77" t="s">
        <v>10129</v>
      </c>
      <c r="AC1888" s="82" t="s">
        <v>10144</v>
      </c>
      <c r="AD1888" s="77" t="s">
        <v>10184</v>
      </c>
      <c r="AE1888" s="80" t="str">
        <f>HYPERLINK("https://twitter.com/6de6_palpites/status/1674528063848062977")</f>
        <v>https://twitter.com/6de6_palpites/status/1674528063848062977</v>
      </c>
      <c r="AF1888" s="79">
        <v>45106.888611111113</v>
      </c>
      <c r="AG1888" s="85">
        <v>45106</v>
      </c>
      <c r="AH1888" s="82" t="s">
        <v>12006</v>
      </c>
      <c r="AI1888" s="77" t="b">
        <v>0</v>
      </c>
      <c r="AJ1888" s="77"/>
      <c r="AK1888" s="77"/>
      <c r="AL1888" s="77"/>
      <c r="AM1888" s="77"/>
      <c r="AN1888" s="77"/>
      <c r="AO1888" s="77"/>
      <c r="AP1888" s="77"/>
      <c r="AQ1888" s="77" t="s">
        <v>15102</v>
      </c>
      <c r="AR1888" s="77">
        <v>43001</v>
      </c>
      <c r="AS1888" s="77"/>
      <c r="AT1888" s="77"/>
      <c r="AU1888" s="77"/>
      <c r="AV1888" s="80" t="str">
        <f>HYPERLINK("https://pbs.twimg.com/ext_tw_video_thumb/1674527956453019649/pu/img/KRQYnskDvA-jpxVE.jpg")</f>
        <v>https://pbs.twimg.com/ext_tw_video_thumb/1674527956453019649/pu/img/KRQYnskDvA-jpxVE.jpg</v>
      </c>
      <c r="AW1888" s="82" t="s">
        <v>18656</v>
      </c>
      <c r="AX1888" s="82" t="s">
        <v>18656</v>
      </c>
      <c r="AY1888" s="77"/>
      <c r="AZ1888" s="82" t="s">
        <v>20971</v>
      </c>
      <c r="BA1888" s="82" t="s">
        <v>20971</v>
      </c>
      <c r="BB1888" s="82" t="s">
        <v>20971</v>
      </c>
      <c r="BC1888" s="82" t="s">
        <v>18656</v>
      </c>
      <c r="BD1888" s="82" t="s">
        <v>20938</v>
      </c>
      <c r="BE1888" s="77"/>
      <c r="BF1888" s="77"/>
      <c r="BG1888" s="77"/>
      <c r="BH1888" s="77"/>
      <c r="BI1888" s="77"/>
    </row>
    <row r="1889" spans="1:61" x14ac:dyDescent="0.25">
      <c r="A1889" s="62" t="s">
        <v>708</v>
      </c>
      <c r="B1889" s="62" t="s">
        <v>708</v>
      </c>
      <c r="C1889" s="63"/>
      <c r="D1889" s="64"/>
      <c r="E1889" s="65"/>
      <c r="F1889" s="66"/>
      <c r="G1889" s="63"/>
      <c r="H1889" s="67"/>
      <c r="I1889" s="68"/>
      <c r="J1889" s="68"/>
      <c r="K1889" s="32"/>
      <c r="L1889" s="75">
        <v>1889</v>
      </c>
      <c r="M1889" s="75"/>
      <c r="N1889" s="70"/>
      <c r="O1889" s="77" t="s">
        <v>179</v>
      </c>
      <c r="P1889" s="79">
        <v>45097.640902777777</v>
      </c>
      <c r="Q1889" s="77" t="s">
        <v>3128</v>
      </c>
      <c r="R1889" s="77">
        <v>0</v>
      </c>
      <c r="S1889" s="77">
        <v>2</v>
      </c>
      <c r="T1889" s="77">
        <v>0</v>
      </c>
      <c r="U1889" s="77">
        <v>0</v>
      </c>
      <c r="V1889" s="77">
        <v>160</v>
      </c>
      <c r="W1889" s="82" t="s">
        <v>6083</v>
      </c>
      <c r="X1889" s="77"/>
      <c r="Y1889" s="77"/>
      <c r="Z1889" s="77"/>
      <c r="AA1889" s="77" t="s">
        <v>8459</v>
      </c>
      <c r="AB1889" s="77" t="s">
        <v>10129</v>
      </c>
      <c r="AC1889" s="82" t="s">
        <v>10144</v>
      </c>
      <c r="AD1889" s="77" t="s">
        <v>10184</v>
      </c>
      <c r="AE1889" s="80" t="str">
        <f>HYPERLINK("https://twitter.com/6de6_palpites/status/1671176808216051717")</f>
        <v>https://twitter.com/6de6_palpites/status/1671176808216051717</v>
      </c>
      <c r="AF1889" s="79">
        <v>45097.640902777777</v>
      </c>
      <c r="AG1889" s="85">
        <v>45097</v>
      </c>
      <c r="AH1889" s="82" t="s">
        <v>12007</v>
      </c>
      <c r="AI1889" s="77" t="b">
        <v>0</v>
      </c>
      <c r="AJ1889" s="77"/>
      <c r="AK1889" s="77"/>
      <c r="AL1889" s="77"/>
      <c r="AM1889" s="77"/>
      <c r="AN1889" s="77"/>
      <c r="AO1889" s="77"/>
      <c r="AP1889" s="77"/>
      <c r="AQ1889" s="77" t="s">
        <v>15103</v>
      </c>
      <c r="AR1889" s="77">
        <v>6920</v>
      </c>
      <c r="AS1889" s="77"/>
      <c r="AT1889" s="77"/>
      <c r="AU1889" s="77"/>
      <c r="AV1889" s="80" t="str">
        <f>HYPERLINK("https://pbs.twimg.com/ext_tw_video_thumb/1671176779438931975/pu/img/Mc_L-VSOZmUBCvM2.jpg")</f>
        <v>https://pbs.twimg.com/ext_tw_video_thumb/1671176779438931975/pu/img/Mc_L-VSOZmUBCvM2.jpg</v>
      </c>
      <c r="AW1889" s="82" t="s">
        <v>18657</v>
      </c>
      <c r="AX1889" s="82" t="s">
        <v>18657</v>
      </c>
      <c r="AY1889" s="77"/>
      <c r="AZ1889" s="82" t="s">
        <v>20971</v>
      </c>
      <c r="BA1889" s="82" t="s">
        <v>20971</v>
      </c>
      <c r="BB1889" s="82" t="s">
        <v>20971</v>
      </c>
      <c r="BC1889" s="82" t="s">
        <v>18657</v>
      </c>
      <c r="BD1889" s="82" t="s">
        <v>20938</v>
      </c>
      <c r="BE1889" s="77"/>
      <c r="BF1889" s="77"/>
      <c r="BG1889" s="77"/>
      <c r="BH1889" s="77"/>
      <c r="BI1889" s="77"/>
    </row>
    <row r="1890" spans="1:61" x14ac:dyDescent="0.25">
      <c r="A1890" s="62" t="s">
        <v>708</v>
      </c>
      <c r="B1890" s="62" t="s">
        <v>708</v>
      </c>
      <c r="C1890" s="63"/>
      <c r="D1890" s="64"/>
      <c r="E1890" s="65"/>
      <c r="F1890" s="66"/>
      <c r="G1890" s="63"/>
      <c r="H1890" s="67"/>
      <c r="I1890" s="68"/>
      <c r="J1890" s="68"/>
      <c r="K1890" s="32"/>
      <c r="L1890" s="75">
        <v>1890</v>
      </c>
      <c r="M1890" s="75"/>
      <c r="N1890" s="70"/>
      <c r="O1890" s="77" t="s">
        <v>179</v>
      </c>
      <c r="P1890" s="79">
        <v>45096.624305555553</v>
      </c>
      <c r="Q1890" s="77" t="s">
        <v>3129</v>
      </c>
      <c r="R1890" s="77">
        <v>0</v>
      </c>
      <c r="S1890" s="77">
        <v>3</v>
      </c>
      <c r="T1890" s="77">
        <v>1</v>
      </c>
      <c r="U1890" s="77">
        <v>0</v>
      </c>
      <c r="V1890" s="77">
        <v>132</v>
      </c>
      <c r="W1890" s="82" t="s">
        <v>6083</v>
      </c>
      <c r="X1890" s="77"/>
      <c r="Y1890" s="77"/>
      <c r="Z1890" s="77"/>
      <c r="AA1890" s="77" t="s">
        <v>8460</v>
      </c>
      <c r="AB1890" s="77" t="s">
        <v>10130</v>
      </c>
      <c r="AC1890" s="82" t="s">
        <v>10150</v>
      </c>
      <c r="AD1890" s="77" t="s">
        <v>10184</v>
      </c>
      <c r="AE1890" s="80" t="str">
        <f>HYPERLINK("https://twitter.com/6de6_palpites/status/1670808403898236928")</f>
        <v>https://twitter.com/6de6_palpites/status/1670808403898236928</v>
      </c>
      <c r="AF1890" s="79">
        <v>45096.624305555553</v>
      </c>
      <c r="AG1890" s="85">
        <v>45096</v>
      </c>
      <c r="AH1890" s="82" t="s">
        <v>12008</v>
      </c>
      <c r="AI1890" s="77" t="b">
        <v>0</v>
      </c>
      <c r="AJ1890" s="77"/>
      <c r="AK1890" s="77"/>
      <c r="AL1890" s="77"/>
      <c r="AM1890" s="77"/>
      <c r="AN1890" s="77"/>
      <c r="AO1890" s="77"/>
      <c r="AP1890" s="77"/>
      <c r="AQ1890" s="77" t="s">
        <v>15104</v>
      </c>
      <c r="AR1890" s="77"/>
      <c r="AS1890" s="77"/>
      <c r="AT1890" s="77"/>
      <c r="AU1890" s="77"/>
      <c r="AV1890" s="80" t="str">
        <f>HYPERLINK("https://pbs.twimg.com/media/Fy_d2eAWwAIxvyc.jpg")</f>
        <v>https://pbs.twimg.com/media/Fy_d2eAWwAIxvyc.jpg</v>
      </c>
      <c r="AW1890" s="82" t="s">
        <v>18658</v>
      </c>
      <c r="AX1890" s="82" t="s">
        <v>18658</v>
      </c>
      <c r="AY1890" s="77"/>
      <c r="AZ1890" s="82" t="s">
        <v>20971</v>
      </c>
      <c r="BA1890" s="82" t="s">
        <v>20971</v>
      </c>
      <c r="BB1890" s="82" t="s">
        <v>20971</v>
      </c>
      <c r="BC1890" s="82" t="s">
        <v>18658</v>
      </c>
      <c r="BD1890" s="82" t="s">
        <v>20938</v>
      </c>
      <c r="BE1890" s="77"/>
      <c r="BF1890" s="77"/>
      <c r="BG1890" s="77"/>
      <c r="BH1890" s="77"/>
      <c r="BI1890" s="77"/>
    </row>
    <row r="1891" spans="1:61" x14ac:dyDescent="0.25">
      <c r="A1891" s="62" t="s">
        <v>708</v>
      </c>
      <c r="B1891" s="62" t="s">
        <v>708</v>
      </c>
      <c r="C1891" s="63"/>
      <c r="D1891" s="64"/>
      <c r="E1891" s="65"/>
      <c r="F1891" s="66"/>
      <c r="G1891" s="63"/>
      <c r="H1891" s="67"/>
      <c r="I1891" s="68"/>
      <c r="J1891" s="68"/>
      <c r="K1891" s="32"/>
      <c r="L1891" s="75">
        <v>1891</v>
      </c>
      <c r="M1891" s="75"/>
      <c r="N1891" s="70"/>
      <c r="O1891" s="77" t="s">
        <v>179</v>
      </c>
      <c r="P1891" s="79">
        <v>45084.108032407406</v>
      </c>
      <c r="Q1891" s="77" t="s">
        <v>3130</v>
      </c>
      <c r="R1891" s="77">
        <v>0</v>
      </c>
      <c r="S1891" s="77">
        <v>0</v>
      </c>
      <c r="T1891" s="77">
        <v>0</v>
      </c>
      <c r="U1891" s="77">
        <v>0</v>
      </c>
      <c r="V1891" s="77">
        <v>59</v>
      </c>
      <c r="W1891" s="82" t="s">
        <v>6084</v>
      </c>
      <c r="X1891" s="77"/>
      <c r="Y1891" s="77"/>
      <c r="Z1891" s="77"/>
      <c r="AA1891" s="77" t="s">
        <v>8461</v>
      </c>
      <c r="AB1891" s="77" t="s">
        <v>10130</v>
      </c>
      <c r="AC1891" s="82" t="s">
        <v>10161</v>
      </c>
      <c r="AD1891" s="77" t="s">
        <v>10184</v>
      </c>
      <c r="AE1891" s="80" t="str">
        <f>HYPERLINK("https://twitter.com/6de6_palpites/status/1666272659682762754")</f>
        <v>https://twitter.com/6de6_palpites/status/1666272659682762754</v>
      </c>
      <c r="AF1891" s="79">
        <v>45084.108032407406</v>
      </c>
      <c r="AG1891" s="85">
        <v>45084</v>
      </c>
      <c r="AH1891" s="82" t="s">
        <v>12009</v>
      </c>
      <c r="AI1891" s="77" t="b">
        <v>0</v>
      </c>
      <c r="AJ1891" s="77"/>
      <c r="AK1891" s="77"/>
      <c r="AL1891" s="77"/>
      <c r="AM1891" s="77"/>
      <c r="AN1891" s="77"/>
      <c r="AO1891" s="77"/>
      <c r="AP1891" s="77"/>
      <c r="AQ1891" s="77" t="s">
        <v>15105</v>
      </c>
      <c r="AR1891" s="77"/>
      <c r="AS1891" s="77"/>
      <c r="AT1891" s="77"/>
      <c r="AU1891" s="77"/>
      <c r="AV1891" s="80" t="str">
        <f>HYPERLINK("https://pbs.twimg.com/media/Fx_KJVlWAAEsoKr.jpg")</f>
        <v>https://pbs.twimg.com/media/Fx_KJVlWAAEsoKr.jpg</v>
      </c>
      <c r="AW1891" s="82" t="s">
        <v>18659</v>
      </c>
      <c r="AX1891" s="82" t="s">
        <v>18659</v>
      </c>
      <c r="AY1891" s="77"/>
      <c r="AZ1891" s="82" t="s">
        <v>20971</v>
      </c>
      <c r="BA1891" s="82" t="s">
        <v>20971</v>
      </c>
      <c r="BB1891" s="82" t="s">
        <v>20971</v>
      </c>
      <c r="BC1891" s="82" t="s">
        <v>18659</v>
      </c>
      <c r="BD1891" s="82" t="s">
        <v>20938</v>
      </c>
      <c r="BE1891" s="77"/>
      <c r="BF1891" s="77"/>
      <c r="BG1891" s="77"/>
      <c r="BH1891" s="77"/>
      <c r="BI1891" s="77"/>
    </row>
    <row r="1892" spans="1:61" x14ac:dyDescent="0.25">
      <c r="A1892" s="62" t="s">
        <v>708</v>
      </c>
      <c r="B1892" s="62" t="s">
        <v>708</v>
      </c>
      <c r="C1892" s="63"/>
      <c r="D1892" s="64"/>
      <c r="E1892" s="65"/>
      <c r="F1892" s="66"/>
      <c r="G1892" s="63"/>
      <c r="H1892" s="67"/>
      <c r="I1892" s="68"/>
      <c r="J1892" s="68"/>
      <c r="K1892" s="32"/>
      <c r="L1892" s="75">
        <v>1892</v>
      </c>
      <c r="M1892" s="75"/>
      <c r="N1892" s="70"/>
      <c r="O1892" s="77" t="s">
        <v>179</v>
      </c>
      <c r="P1892" s="79">
        <v>45083.916666666664</v>
      </c>
      <c r="Q1892" s="77" t="s">
        <v>3131</v>
      </c>
      <c r="R1892" s="77">
        <v>0</v>
      </c>
      <c r="S1892" s="77">
        <v>0</v>
      </c>
      <c r="T1892" s="77">
        <v>0</v>
      </c>
      <c r="U1892" s="77">
        <v>0</v>
      </c>
      <c r="V1892" s="77">
        <v>64</v>
      </c>
      <c r="W1892" s="82" t="s">
        <v>6084</v>
      </c>
      <c r="X1892" s="77"/>
      <c r="Y1892" s="77"/>
      <c r="Z1892" s="77"/>
      <c r="AA1892" s="77" t="s">
        <v>8462</v>
      </c>
      <c r="AB1892" s="77" t="s">
        <v>10130</v>
      </c>
      <c r="AC1892" s="82" t="s">
        <v>10161</v>
      </c>
      <c r="AD1892" s="77" t="s">
        <v>10184</v>
      </c>
      <c r="AE1892" s="80" t="str">
        <f>HYPERLINK("https://twitter.com/6de6_palpites/status/1666203311220072448")</f>
        <v>https://twitter.com/6de6_palpites/status/1666203311220072448</v>
      </c>
      <c r="AF1892" s="79">
        <v>45083.916666666664</v>
      </c>
      <c r="AG1892" s="85">
        <v>45083</v>
      </c>
      <c r="AH1892" s="82" t="s">
        <v>11520</v>
      </c>
      <c r="AI1892" s="77" t="b">
        <v>0</v>
      </c>
      <c r="AJ1892" s="77"/>
      <c r="AK1892" s="77"/>
      <c r="AL1892" s="77"/>
      <c r="AM1892" s="77"/>
      <c r="AN1892" s="77"/>
      <c r="AO1892" s="77"/>
      <c r="AP1892" s="77"/>
      <c r="AQ1892" s="77" t="s">
        <v>15106</v>
      </c>
      <c r="AR1892" s="77"/>
      <c r="AS1892" s="77"/>
      <c r="AT1892" s="77"/>
      <c r="AU1892" s="77"/>
      <c r="AV1892" s="80" t="str">
        <f>HYPERLINK("https://pbs.twimg.com/media/Fx96E_1WcAAoD11.jpg")</f>
        <v>https://pbs.twimg.com/media/Fx96E_1WcAAoD11.jpg</v>
      </c>
      <c r="AW1892" s="82" t="s">
        <v>18660</v>
      </c>
      <c r="AX1892" s="82" t="s">
        <v>18660</v>
      </c>
      <c r="AY1892" s="77"/>
      <c r="AZ1892" s="82" t="s">
        <v>20971</v>
      </c>
      <c r="BA1892" s="82" t="s">
        <v>20971</v>
      </c>
      <c r="BB1892" s="82" t="s">
        <v>20971</v>
      </c>
      <c r="BC1892" s="82" t="s">
        <v>18660</v>
      </c>
      <c r="BD1892" s="82" t="s">
        <v>20938</v>
      </c>
      <c r="BE1892" s="77"/>
      <c r="BF1892" s="77"/>
      <c r="BG1892" s="77"/>
      <c r="BH1892" s="77"/>
      <c r="BI1892" s="77"/>
    </row>
    <row r="1893" spans="1:61" x14ac:dyDescent="0.25">
      <c r="A1893" s="62" t="s">
        <v>708</v>
      </c>
      <c r="B1893" s="62" t="s">
        <v>708</v>
      </c>
      <c r="C1893" s="63"/>
      <c r="D1893" s="64"/>
      <c r="E1893" s="65"/>
      <c r="F1893" s="66"/>
      <c r="G1893" s="63"/>
      <c r="H1893" s="67"/>
      <c r="I1893" s="68"/>
      <c r="J1893" s="68"/>
      <c r="K1893" s="32"/>
      <c r="L1893" s="75">
        <v>1893</v>
      </c>
      <c r="M1893" s="75"/>
      <c r="N1893" s="70"/>
      <c r="O1893" s="77" t="s">
        <v>179</v>
      </c>
      <c r="P1893" s="79">
        <v>45075.878321759257</v>
      </c>
      <c r="Q1893" s="77" t="s">
        <v>3132</v>
      </c>
      <c r="R1893" s="77">
        <v>0</v>
      </c>
      <c r="S1893" s="77">
        <v>0</v>
      </c>
      <c r="T1893" s="77">
        <v>0</v>
      </c>
      <c r="U1893" s="77">
        <v>0</v>
      </c>
      <c r="V1893" s="77">
        <v>58</v>
      </c>
      <c r="W1893" s="82" t="s">
        <v>6089</v>
      </c>
      <c r="X1893" s="80" t="str">
        <f>HYPERLINK("https://betbolacom.page.link/Tweet")</f>
        <v>https://betbolacom.page.link/Tweet</v>
      </c>
      <c r="Y1893" s="77" t="s">
        <v>7378</v>
      </c>
      <c r="Z1893" s="77"/>
      <c r="AA1893" s="77" t="s">
        <v>8463</v>
      </c>
      <c r="AB1893" s="77" t="s">
        <v>10130</v>
      </c>
      <c r="AC1893" s="82" t="s">
        <v>10146</v>
      </c>
      <c r="AD1893" s="77" t="s">
        <v>10184</v>
      </c>
      <c r="AE1893" s="80" t="str">
        <f>HYPERLINK("https://twitter.com/6de6_palpites/status/1663290310179405825")</f>
        <v>https://twitter.com/6de6_palpites/status/1663290310179405825</v>
      </c>
      <c r="AF1893" s="79">
        <v>45075.878321759257</v>
      </c>
      <c r="AG1893" s="85">
        <v>45075</v>
      </c>
      <c r="AH1893" s="82" t="s">
        <v>12010</v>
      </c>
      <c r="AI1893" s="77" t="b">
        <v>0</v>
      </c>
      <c r="AJ1893" s="77"/>
      <c r="AK1893" s="77"/>
      <c r="AL1893" s="77"/>
      <c r="AM1893" s="77"/>
      <c r="AN1893" s="77"/>
      <c r="AO1893" s="77"/>
      <c r="AP1893" s="77"/>
      <c r="AQ1893" s="77" t="s">
        <v>15107</v>
      </c>
      <c r="AR1893" s="77"/>
      <c r="AS1893" s="77"/>
      <c r="AT1893" s="77"/>
      <c r="AU1893" s="77"/>
      <c r="AV1893" s="80" t="str">
        <f>HYPERLINK("https://pbs.twimg.com/media/FxUxqv_WYAEW0F6.png")</f>
        <v>https://pbs.twimg.com/media/FxUxqv_WYAEW0F6.png</v>
      </c>
      <c r="AW1893" s="82" t="s">
        <v>18661</v>
      </c>
      <c r="AX1893" s="82" t="s">
        <v>18661</v>
      </c>
      <c r="AY1893" s="77"/>
      <c r="AZ1893" s="82" t="s">
        <v>20971</v>
      </c>
      <c r="BA1893" s="82" t="s">
        <v>20971</v>
      </c>
      <c r="BB1893" s="82" t="s">
        <v>20971</v>
      </c>
      <c r="BC1893" s="82" t="s">
        <v>18661</v>
      </c>
      <c r="BD1893" s="82" t="s">
        <v>20938</v>
      </c>
      <c r="BE1893" s="77"/>
      <c r="BF1893" s="77"/>
      <c r="BG1893" s="77"/>
      <c r="BH1893" s="77"/>
      <c r="BI1893" s="77"/>
    </row>
    <row r="1894" spans="1:61" x14ac:dyDescent="0.25">
      <c r="A1894" s="62" t="s">
        <v>708</v>
      </c>
      <c r="B1894" s="62" t="s">
        <v>708</v>
      </c>
      <c r="C1894" s="63"/>
      <c r="D1894" s="64"/>
      <c r="E1894" s="65"/>
      <c r="F1894" s="66"/>
      <c r="G1894" s="63"/>
      <c r="H1894" s="67"/>
      <c r="I1894" s="68"/>
      <c r="J1894" s="68"/>
      <c r="K1894" s="32"/>
      <c r="L1894" s="75">
        <v>1894</v>
      </c>
      <c r="M1894" s="75"/>
      <c r="N1894" s="70"/>
      <c r="O1894" s="77" t="s">
        <v>179</v>
      </c>
      <c r="P1894" s="79">
        <v>45065.888981481483</v>
      </c>
      <c r="Q1894" s="77" t="s">
        <v>3133</v>
      </c>
      <c r="R1894" s="77">
        <v>0</v>
      </c>
      <c r="S1894" s="77">
        <v>0</v>
      </c>
      <c r="T1894" s="77">
        <v>0</v>
      </c>
      <c r="U1894" s="77">
        <v>0</v>
      </c>
      <c r="V1894" s="77">
        <v>70</v>
      </c>
      <c r="W1894" s="82" t="s">
        <v>6081</v>
      </c>
      <c r="X1894" s="80" t="str">
        <f>HYPERLINK("https://betbolacom.page.link/Twitter")</f>
        <v>https://betbolacom.page.link/Twitter</v>
      </c>
      <c r="Y1894" s="77" t="s">
        <v>7378</v>
      </c>
      <c r="Z1894" s="77"/>
      <c r="AA1894" s="77" t="s">
        <v>8464</v>
      </c>
      <c r="AB1894" s="77" t="s">
        <v>10129</v>
      </c>
      <c r="AC1894" s="82" t="s">
        <v>10144</v>
      </c>
      <c r="AD1894" s="77" t="s">
        <v>10184</v>
      </c>
      <c r="AE1894" s="80" t="str">
        <f>HYPERLINK("https://twitter.com/6de6_palpites/status/1659670296922673153")</f>
        <v>https://twitter.com/6de6_palpites/status/1659670296922673153</v>
      </c>
      <c r="AF1894" s="79">
        <v>45065.888981481483</v>
      </c>
      <c r="AG1894" s="85">
        <v>45065</v>
      </c>
      <c r="AH1894" s="82" t="s">
        <v>12011</v>
      </c>
      <c r="AI1894" s="77" t="b">
        <v>0</v>
      </c>
      <c r="AJ1894" s="77"/>
      <c r="AK1894" s="77"/>
      <c r="AL1894" s="77"/>
      <c r="AM1894" s="77"/>
      <c r="AN1894" s="77"/>
      <c r="AO1894" s="77"/>
      <c r="AP1894" s="77"/>
      <c r="AQ1894" s="77" t="s">
        <v>15108</v>
      </c>
      <c r="AR1894" s="77">
        <v>10000</v>
      </c>
      <c r="AS1894" s="77"/>
      <c r="AT1894" s="77"/>
      <c r="AU1894" s="77"/>
      <c r="AV1894" s="80" t="str">
        <f>HYPERLINK("https://pbs.twimg.com/ext_tw_video_thumb/1659670281730809858/pu/img/7uXf4VIM_fwsmiFs.jpg")</f>
        <v>https://pbs.twimg.com/ext_tw_video_thumb/1659670281730809858/pu/img/7uXf4VIM_fwsmiFs.jpg</v>
      </c>
      <c r="AW1894" s="82" t="s">
        <v>18662</v>
      </c>
      <c r="AX1894" s="82" t="s">
        <v>18662</v>
      </c>
      <c r="AY1894" s="77"/>
      <c r="AZ1894" s="82" t="s">
        <v>20971</v>
      </c>
      <c r="BA1894" s="82" t="s">
        <v>20971</v>
      </c>
      <c r="BB1894" s="82" t="s">
        <v>20971</v>
      </c>
      <c r="BC1894" s="82" t="s">
        <v>18662</v>
      </c>
      <c r="BD1894" s="82" t="s">
        <v>20938</v>
      </c>
      <c r="BE1894" s="77"/>
      <c r="BF1894" s="77"/>
      <c r="BG1894" s="77"/>
      <c r="BH1894" s="77"/>
      <c r="BI1894" s="77"/>
    </row>
    <row r="1895" spans="1:61" x14ac:dyDescent="0.25">
      <c r="A1895" s="62" t="s">
        <v>708</v>
      </c>
      <c r="B1895" s="62" t="s">
        <v>708</v>
      </c>
      <c r="C1895" s="63"/>
      <c r="D1895" s="64"/>
      <c r="E1895" s="65"/>
      <c r="F1895" s="66"/>
      <c r="G1895" s="63"/>
      <c r="H1895" s="67"/>
      <c r="I1895" s="68"/>
      <c r="J1895" s="68"/>
      <c r="K1895" s="32"/>
      <c r="L1895" s="75">
        <v>1895</v>
      </c>
      <c r="M1895" s="75"/>
      <c r="N1895" s="70"/>
      <c r="O1895" s="77" t="s">
        <v>179</v>
      </c>
      <c r="P1895" s="79">
        <v>45060.994004629632</v>
      </c>
      <c r="Q1895" s="77" t="s">
        <v>3134</v>
      </c>
      <c r="R1895" s="77">
        <v>0</v>
      </c>
      <c r="S1895" s="77">
        <v>0</v>
      </c>
      <c r="T1895" s="77">
        <v>0</v>
      </c>
      <c r="U1895" s="77">
        <v>0</v>
      </c>
      <c r="V1895" s="77">
        <v>60</v>
      </c>
      <c r="W1895" s="82" t="s">
        <v>6087</v>
      </c>
      <c r="X1895" s="80" t="str">
        <f>HYPERLINK("https://betbolacom.page.link/Tweet")</f>
        <v>https://betbolacom.page.link/Tweet</v>
      </c>
      <c r="Y1895" s="77" t="s">
        <v>7378</v>
      </c>
      <c r="Z1895" s="77"/>
      <c r="AA1895" s="77" t="s">
        <v>8465</v>
      </c>
      <c r="AB1895" s="77" t="s">
        <v>10130</v>
      </c>
      <c r="AC1895" s="82" t="s">
        <v>10144</v>
      </c>
      <c r="AD1895" s="77" t="s">
        <v>10184</v>
      </c>
      <c r="AE1895" s="80" t="str">
        <f>HYPERLINK("https://twitter.com/6de6_palpites/status/1657896417904533504")</f>
        <v>https://twitter.com/6de6_palpites/status/1657896417904533504</v>
      </c>
      <c r="AF1895" s="79">
        <v>45060.994004629632</v>
      </c>
      <c r="AG1895" s="85">
        <v>45060</v>
      </c>
      <c r="AH1895" s="82" t="s">
        <v>12012</v>
      </c>
      <c r="AI1895" s="77" t="b">
        <v>0</v>
      </c>
      <c r="AJ1895" s="77"/>
      <c r="AK1895" s="77"/>
      <c r="AL1895" s="77"/>
      <c r="AM1895" s="77"/>
      <c r="AN1895" s="77"/>
      <c r="AO1895" s="77"/>
      <c r="AP1895" s="77"/>
      <c r="AQ1895" s="77" t="s">
        <v>15109</v>
      </c>
      <c r="AR1895" s="77"/>
      <c r="AS1895" s="77"/>
      <c r="AT1895" s="77"/>
      <c r="AU1895" s="77"/>
      <c r="AV1895" s="80" t="str">
        <f>HYPERLINK("https://pbs.twimg.com/media/FwIIAW4WcAAyJ8N.jpg")</f>
        <v>https://pbs.twimg.com/media/FwIIAW4WcAAyJ8N.jpg</v>
      </c>
      <c r="AW1895" s="82" t="s">
        <v>18663</v>
      </c>
      <c r="AX1895" s="82" t="s">
        <v>18663</v>
      </c>
      <c r="AY1895" s="77"/>
      <c r="AZ1895" s="82" t="s">
        <v>20971</v>
      </c>
      <c r="BA1895" s="82" t="s">
        <v>20971</v>
      </c>
      <c r="BB1895" s="82" t="s">
        <v>20971</v>
      </c>
      <c r="BC1895" s="82" t="s">
        <v>18663</v>
      </c>
      <c r="BD1895" s="82" t="s">
        <v>20938</v>
      </c>
      <c r="BE1895" s="77"/>
      <c r="BF1895" s="77"/>
      <c r="BG1895" s="77"/>
      <c r="BH1895" s="77"/>
      <c r="BI1895" s="77"/>
    </row>
    <row r="1896" spans="1:61" x14ac:dyDescent="0.25">
      <c r="A1896" s="62" t="s">
        <v>708</v>
      </c>
      <c r="B1896" s="62" t="s">
        <v>708</v>
      </c>
      <c r="C1896" s="63"/>
      <c r="D1896" s="64"/>
      <c r="E1896" s="65"/>
      <c r="F1896" s="66"/>
      <c r="G1896" s="63"/>
      <c r="H1896" s="67"/>
      <c r="I1896" s="68"/>
      <c r="J1896" s="68"/>
      <c r="K1896" s="32"/>
      <c r="L1896" s="75">
        <v>1896</v>
      </c>
      <c r="M1896" s="75"/>
      <c r="N1896" s="70"/>
      <c r="O1896" s="77" t="s">
        <v>1284</v>
      </c>
      <c r="P1896" s="79">
        <v>45133.535844907405</v>
      </c>
      <c r="Q1896" s="77" t="s">
        <v>3135</v>
      </c>
      <c r="R1896" s="77">
        <v>0</v>
      </c>
      <c r="S1896" s="77">
        <v>0</v>
      </c>
      <c r="T1896" s="77">
        <v>0</v>
      </c>
      <c r="U1896" s="77">
        <v>0</v>
      </c>
      <c r="V1896" s="77">
        <v>26</v>
      </c>
      <c r="W1896" s="82" t="s">
        <v>6090</v>
      </c>
      <c r="X1896" s="77"/>
      <c r="Y1896" s="77"/>
      <c r="Z1896" s="77"/>
      <c r="AA1896" s="77"/>
      <c r="AB1896" s="77"/>
      <c r="AC1896" s="82" t="s">
        <v>10150</v>
      </c>
      <c r="AD1896" s="77" t="s">
        <v>10184</v>
      </c>
      <c r="AE1896" s="80" t="str">
        <f>HYPERLINK("https://twitter.com/6de6_palpites/status/1684184698388377602")</f>
        <v>https://twitter.com/6de6_palpites/status/1684184698388377602</v>
      </c>
      <c r="AF1896" s="79">
        <v>45133.535844907405</v>
      </c>
      <c r="AG1896" s="85">
        <v>45133</v>
      </c>
      <c r="AH1896" s="82" t="s">
        <v>12013</v>
      </c>
      <c r="AI1896" s="77"/>
      <c r="AJ1896" s="77"/>
      <c r="AK1896" s="77"/>
      <c r="AL1896" s="77"/>
      <c r="AM1896" s="77"/>
      <c r="AN1896" s="77"/>
      <c r="AO1896" s="77"/>
      <c r="AP1896" s="77"/>
      <c r="AQ1896" s="77"/>
      <c r="AR1896" s="77"/>
      <c r="AS1896" s="77"/>
      <c r="AT1896" s="77"/>
      <c r="AU1896" s="77"/>
      <c r="AV1896" s="80" t="str">
        <f>HYPERLINK("https://pbs.twimg.com/profile_images/1648771185235165184/WFqM_Jlh_normal.jpg")</f>
        <v>https://pbs.twimg.com/profile_images/1648771185235165184/WFqM_Jlh_normal.jpg</v>
      </c>
      <c r="AW1896" s="82" t="s">
        <v>18664</v>
      </c>
      <c r="AX1896" s="82" t="s">
        <v>20836</v>
      </c>
      <c r="AY1896" s="82" t="s">
        <v>20938</v>
      </c>
      <c r="AZ1896" s="82" t="s">
        <v>20985</v>
      </c>
      <c r="BA1896" s="82" t="s">
        <v>20971</v>
      </c>
      <c r="BB1896" s="82" t="s">
        <v>20971</v>
      </c>
      <c r="BC1896" s="82" t="s">
        <v>20985</v>
      </c>
      <c r="BD1896" s="82" t="s">
        <v>20938</v>
      </c>
      <c r="BE1896" s="77"/>
      <c r="BF1896" s="77"/>
      <c r="BG1896" s="77"/>
      <c r="BH1896" s="77"/>
      <c r="BI1896" s="77"/>
    </row>
    <row r="1897" spans="1:61" x14ac:dyDescent="0.25">
      <c r="A1897" s="62" t="s">
        <v>708</v>
      </c>
      <c r="B1897" s="62" t="s">
        <v>708</v>
      </c>
      <c r="C1897" s="63"/>
      <c r="D1897" s="64"/>
      <c r="E1897" s="65"/>
      <c r="F1897" s="66"/>
      <c r="G1897" s="63"/>
      <c r="H1897" s="67"/>
      <c r="I1897" s="68"/>
      <c r="J1897" s="68"/>
      <c r="K1897" s="32"/>
      <c r="L1897" s="75">
        <v>1897</v>
      </c>
      <c r="M1897" s="75"/>
      <c r="N1897" s="70"/>
      <c r="O1897" s="77" t="s">
        <v>1284</v>
      </c>
      <c r="P1897" s="79">
        <v>45132.904560185183</v>
      </c>
      <c r="Q1897" s="77" t="s">
        <v>3136</v>
      </c>
      <c r="R1897" s="77">
        <v>0</v>
      </c>
      <c r="S1897" s="77">
        <v>0</v>
      </c>
      <c r="T1897" s="77">
        <v>0</v>
      </c>
      <c r="U1897" s="77">
        <v>0</v>
      </c>
      <c r="V1897" s="77">
        <v>19</v>
      </c>
      <c r="W1897" s="82" t="s">
        <v>6091</v>
      </c>
      <c r="X1897" s="80" t="str">
        <f>HYPERLINK("https://betbolacom.page.link/Tweet")</f>
        <v>https://betbolacom.page.link/Tweet</v>
      </c>
      <c r="Y1897" s="77" t="s">
        <v>7378</v>
      </c>
      <c r="Z1897" s="77"/>
      <c r="AA1897" s="77"/>
      <c r="AB1897" s="77"/>
      <c r="AC1897" s="82" t="s">
        <v>10144</v>
      </c>
      <c r="AD1897" s="77" t="s">
        <v>10184</v>
      </c>
      <c r="AE1897" s="80" t="str">
        <f>HYPERLINK("https://twitter.com/6de6_palpites/status/1683955929010561025")</f>
        <v>https://twitter.com/6de6_palpites/status/1683955929010561025</v>
      </c>
      <c r="AF1897" s="79">
        <v>45132.904560185183</v>
      </c>
      <c r="AG1897" s="85">
        <v>45132</v>
      </c>
      <c r="AH1897" s="82" t="s">
        <v>12014</v>
      </c>
      <c r="AI1897" s="77" t="b">
        <v>0</v>
      </c>
      <c r="AJ1897" s="77"/>
      <c r="AK1897" s="77"/>
      <c r="AL1897" s="77"/>
      <c r="AM1897" s="77"/>
      <c r="AN1897" s="77"/>
      <c r="AO1897" s="77"/>
      <c r="AP1897" s="77"/>
      <c r="AQ1897" s="77"/>
      <c r="AR1897" s="77"/>
      <c r="AS1897" s="77"/>
      <c r="AT1897" s="77"/>
      <c r="AU1897" s="77"/>
      <c r="AV1897" s="80" t="str">
        <f>HYPERLINK("https://pbs.twimg.com/profile_images/1648771185235165184/WFqM_Jlh_normal.jpg")</f>
        <v>https://pbs.twimg.com/profile_images/1648771185235165184/WFqM_Jlh_normal.jpg</v>
      </c>
      <c r="AW1897" s="82" t="s">
        <v>18665</v>
      </c>
      <c r="AX1897" s="82" t="s">
        <v>20837</v>
      </c>
      <c r="AY1897" s="82" t="s">
        <v>20938</v>
      </c>
      <c r="AZ1897" s="82" t="s">
        <v>20837</v>
      </c>
      <c r="BA1897" s="82" t="s">
        <v>20971</v>
      </c>
      <c r="BB1897" s="82" t="s">
        <v>20971</v>
      </c>
      <c r="BC1897" s="82" t="s">
        <v>20837</v>
      </c>
      <c r="BD1897" s="82" t="s">
        <v>20938</v>
      </c>
      <c r="BE1897" s="77"/>
      <c r="BF1897" s="77"/>
      <c r="BG1897" s="77"/>
      <c r="BH1897" s="77"/>
      <c r="BI1897" s="77"/>
    </row>
    <row r="1898" spans="1:61" x14ac:dyDescent="0.25">
      <c r="A1898" s="62" t="s">
        <v>708</v>
      </c>
      <c r="B1898" s="62" t="s">
        <v>708</v>
      </c>
      <c r="C1898" s="63"/>
      <c r="D1898" s="64"/>
      <c r="E1898" s="65"/>
      <c r="F1898" s="66"/>
      <c r="G1898" s="63"/>
      <c r="H1898" s="67"/>
      <c r="I1898" s="68"/>
      <c r="J1898" s="68"/>
      <c r="K1898" s="32"/>
      <c r="L1898" s="75">
        <v>1898</v>
      </c>
      <c r="M1898" s="75"/>
      <c r="N1898" s="70"/>
      <c r="O1898" s="77" t="s">
        <v>1284</v>
      </c>
      <c r="P1898" s="79">
        <v>45132.882222222222</v>
      </c>
      <c r="Q1898" s="77" t="s">
        <v>3137</v>
      </c>
      <c r="R1898" s="77">
        <v>0</v>
      </c>
      <c r="S1898" s="77">
        <v>0</v>
      </c>
      <c r="T1898" s="77">
        <v>0</v>
      </c>
      <c r="U1898" s="77">
        <v>0</v>
      </c>
      <c r="V1898" s="77">
        <v>13</v>
      </c>
      <c r="W1898" s="82" t="s">
        <v>6091</v>
      </c>
      <c r="X1898" s="80" t="str">
        <f>HYPERLINK("https://betbolacom.page.link/Tweet")</f>
        <v>https://betbolacom.page.link/Tweet</v>
      </c>
      <c r="Y1898" s="77" t="s">
        <v>7378</v>
      </c>
      <c r="Z1898" s="77"/>
      <c r="AA1898" s="77"/>
      <c r="AB1898" s="77"/>
      <c r="AC1898" s="82" t="s">
        <v>10144</v>
      </c>
      <c r="AD1898" s="77" t="s">
        <v>10184</v>
      </c>
      <c r="AE1898" s="80" t="str">
        <f>HYPERLINK("https://twitter.com/6de6_palpites/status/1683947834574532610")</f>
        <v>https://twitter.com/6de6_palpites/status/1683947834574532610</v>
      </c>
      <c r="AF1898" s="79">
        <v>45132.882222222222</v>
      </c>
      <c r="AG1898" s="85">
        <v>45132</v>
      </c>
      <c r="AH1898" s="82" t="s">
        <v>12015</v>
      </c>
      <c r="AI1898" s="77" t="b">
        <v>0</v>
      </c>
      <c r="AJ1898" s="77"/>
      <c r="AK1898" s="77"/>
      <c r="AL1898" s="77"/>
      <c r="AM1898" s="77"/>
      <c r="AN1898" s="77"/>
      <c r="AO1898" s="77"/>
      <c r="AP1898" s="77"/>
      <c r="AQ1898" s="77"/>
      <c r="AR1898" s="77"/>
      <c r="AS1898" s="77"/>
      <c r="AT1898" s="77"/>
      <c r="AU1898" s="77"/>
      <c r="AV1898" s="80" t="str">
        <f>HYPERLINK("https://pbs.twimg.com/profile_images/1648771185235165184/WFqM_Jlh_normal.jpg")</f>
        <v>https://pbs.twimg.com/profile_images/1648771185235165184/WFqM_Jlh_normal.jpg</v>
      </c>
      <c r="AW1898" s="82" t="s">
        <v>18666</v>
      </c>
      <c r="AX1898" s="82" t="s">
        <v>20838</v>
      </c>
      <c r="AY1898" s="82" t="s">
        <v>20938</v>
      </c>
      <c r="AZ1898" s="82" t="s">
        <v>20838</v>
      </c>
      <c r="BA1898" s="82" t="s">
        <v>20971</v>
      </c>
      <c r="BB1898" s="82" t="s">
        <v>20971</v>
      </c>
      <c r="BC1898" s="82" t="s">
        <v>20838</v>
      </c>
      <c r="BD1898" s="82" t="s">
        <v>20938</v>
      </c>
      <c r="BE1898" s="77"/>
      <c r="BF1898" s="77"/>
      <c r="BG1898" s="77"/>
      <c r="BH1898" s="77"/>
      <c r="BI1898" s="77"/>
    </row>
    <row r="1899" spans="1:61" x14ac:dyDescent="0.25">
      <c r="A1899" s="62" t="s">
        <v>708</v>
      </c>
      <c r="B1899" s="62" t="s">
        <v>708</v>
      </c>
      <c r="C1899" s="63"/>
      <c r="D1899" s="64"/>
      <c r="E1899" s="65"/>
      <c r="F1899" s="66"/>
      <c r="G1899" s="63"/>
      <c r="H1899" s="67"/>
      <c r="I1899" s="68"/>
      <c r="J1899" s="68"/>
      <c r="K1899" s="32"/>
      <c r="L1899" s="75">
        <v>1899</v>
      </c>
      <c r="M1899" s="75"/>
      <c r="N1899" s="70"/>
      <c r="O1899" s="77" t="s">
        <v>179</v>
      </c>
      <c r="P1899" s="79">
        <v>45132.60056712963</v>
      </c>
      <c r="Q1899" s="77" t="s">
        <v>3138</v>
      </c>
      <c r="R1899" s="77">
        <v>0</v>
      </c>
      <c r="S1899" s="77">
        <v>0</v>
      </c>
      <c r="T1899" s="77">
        <v>0</v>
      </c>
      <c r="U1899" s="77">
        <v>0</v>
      </c>
      <c r="V1899" s="77">
        <v>56</v>
      </c>
      <c r="W1899" s="82" t="s">
        <v>6092</v>
      </c>
      <c r="X1899" s="80" t="str">
        <f>HYPERLINK("https://betbolacom.page.link/Tweet")</f>
        <v>https://betbolacom.page.link/Tweet</v>
      </c>
      <c r="Y1899" s="77" t="s">
        <v>7378</v>
      </c>
      <c r="Z1899" s="77"/>
      <c r="AA1899" s="77" t="s">
        <v>8466</v>
      </c>
      <c r="AB1899" s="77" t="s">
        <v>10129</v>
      </c>
      <c r="AC1899" s="82" t="s">
        <v>10146</v>
      </c>
      <c r="AD1899" s="77" t="s">
        <v>10184</v>
      </c>
      <c r="AE1899" s="80" t="str">
        <f>HYPERLINK("https://twitter.com/6de6_palpites/status/1683845766794604544")</f>
        <v>https://twitter.com/6de6_palpites/status/1683845766794604544</v>
      </c>
      <c r="AF1899" s="79">
        <v>45132.60056712963</v>
      </c>
      <c r="AG1899" s="85">
        <v>45132</v>
      </c>
      <c r="AH1899" s="82" t="s">
        <v>12016</v>
      </c>
      <c r="AI1899" s="77" t="b">
        <v>0</v>
      </c>
      <c r="AJ1899" s="77"/>
      <c r="AK1899" s="77"/>
      <c r="AL1899" s="77"/>
      <c r="AM1899" s="77"/>
      <c r="AN1899" s="77"/>
      <c r="AO1899" s="77"/>
      <c r="AP1899" s="77"/>
      <c r="AQ1899" s="77" t="s">
        <v>15110</v>
      </c>
      <c r="AR1899" s="77">
        <v>6960</v>
      </c>
      <c r="AS1899" s="77"/>
      <c r="AT1899" s="77"/>
      <c r="AU1899" s="77"/>
      <c r="AV1899" s="80" t="str">
        <f>HYPERLINK("https://pbs.twimg.com/ext_tw_video_thumb/1683812689468878849/pu/img/Ys3WQU2GeKw1izix.jpg")</f>
        <v>https://pbs.twimg.com/ext_tw_video_thumb/1683812689468878849/pu/img/Ys3WQU2GeKw1izix.jpg</v>
      </c>
      <c r="AW1899" s="82" t="s">
        <v>18667</v>
      </c>
      <c r="AX1899" s="82" t="s">
        <v>18667</v>
      </c>
      <c r="AY1899" s="77"/>
      <c r="AZ1899" s="82" t="s">
        <v>20971</v>
      </c>
      <c r="BA1899" s="82" t="s">
        <v>20971</v>
      </c>
      <c r="BB1899" s="82" t="s">
        <v>20971</v>
      </c>
      <c r="BC1899" s="82" t="s">
        <v>18667</v>
      </c>
      <c r="BD1899" s="82" t="s">
        <v>20938</v>
      </c>
      <c r="BE1899" s="77"/>
      <c r="BF1899" s="77"/>
      <c r="BG1899" s="77"/>
      <c r="BH1899" s="77"/>
      <c r="BI1899" s="77"/>
    </row>
    <row r="1900" spans="1:61" x14ac:dyDescent="0.25">
      <c r="A1900" s="62" t="s">
        <v>708</v>
      </c>
      <c r="B1900" s="62" t="s">
        <v>708</v>
      </c>
      <c r="C1900" s="63"/>
      <c r="D1900" s="64"/>
      <c r="E1900" s="65"/>
      <c r="F1900" s="66"/>
      <c r="G1900" s="63"/>
      <c r="H1900" s="67"/>
      <c r="I1900" s="68"/>
      <c r="J1900" s="68"/>
      <c r="K1900" s="32"/>
      <c r="L1900" s="75">
        <v>1900</v>
      </c>
      <c r="M1900" s="75"/>
      <c r="N1900" s="70"/>
      <c r="O1900" s="77" t="s">
        <v>1284</v>
      </c>
      <c r="P1900" s="79">
        <v>45112.879629629628</v>
      </c>
      <c r="Q1900" s="77" t="s">
        <v>3139</v>
      </c>
      <c r="R1900" s="77">
        <v>0</v>
      </c>
      <c r="S1900" s="77">
        <v>0</v>
      </c>
      <c r="T1900" s="77">
        <v>0</v>
      </c>
      <c r="U1900" s="77">
        <v>0</v>
      </c>
      <c r="V1900" s="77">
        <v>34</v>
      </c>
      <c r="W1900" s="82" t="s">
        <v>6093</v>
      </c>
      <c r="X1900" s="80" t="str">
        <f>HYPERLINK("https://betbolacom.page.link/Tweet")</f>
        <v>https://betbolacom.page.link/Tweet</v>
      </c>
      <c r="Y1900" s="77" t="s">
        <v>7378</v>
      </c>
      <c r="Z1900" s="77"/>
      <c r="AA1900" s="77"/>
      <c r="AB1900" s="77"/>
      <c r="AC1900" s="82" t="s">
        <v>10144</v>
      </c>
      <c r="AD1900" s="77" t="s">
        <v>10184</v>
      </c>
      <c r="AE1900" s="80" t="str">
        <f>HYPERLINK("https://twitter.com/6de6_palpites/status/1676699138551865344")</f>
        <v>https://twitter.com/6de6_palpites/status/1676699138551865344</v>
      </c>
      <c r="AF1900" s="79">
        <v>45112.879629629628</v>
      </c>
      <c r="AG1900" s="85">
        <v>45112</v>
      </c>
      <c r="AH1900" s="82" t="s">
        <v>12017</v>
      </c>
      <c r="AI1900" s="77" t="b">
        <v>0</v>
      </c>
      <c r="AJ1900" s="77"/>
      <c r="AK1900" s="77"/>
      <c r="AL1900" s="77"/>
      <c r="AM1900" s="77"/>
      <c r="AN1900" s="77"/>
      <c r="AO1900" s="77"/>
      <c r="AP1900" s="77"/>
      <c r="AQ1900" s="77"/>
      <c r="AR1900" s="77"/>
      <c r="AS1900" s="77"/>
      <c r="AT1900" s="77"/>
      <c r="AU1900" s="77"/>
      <c r="AV1900" s="80" t="str">
        <f>HYPERLINK("https://pbs.twimg.com/profile_images/1648771185235165184/WFqM_Jlh_normal.jpg")</f>
        <v>https://pbs.twimg.com/profile_images/1648771185235165184/WFqM_Jlh_normal.jpg</v>
      </c>
      <c r="AW1900" s="82" t="s">
        <v>18668</v>
      </c>
      <c r="AX1900" s="82" t="s">
        <v>20839</v>
      </c>
      <c r="AY1900" s="82" t="s">
        <v>20938</v>
      </c>
      <c r="AZ1900" s="82" t="s">
        <v>20839</v>
      </c>
      <c r="BA1900" s="82" t="s">
        <v>20971</v>
      </c>
      <c r="BB1900" s="82" t="s">
        <v>20971</v>
      </c>
      <c r="BC1900" s="82" t="s">
        <v>20839</v>
      </c>
      <c r="BD1900" s="82" t="s">
        <v>20938</v>
      </c>
      <c r="BE1900" s="77"/>
      <c r="BF1900" s="77"/>
      <c r="BG1900" s="77"/>
      <c r="BH1900" s="77"/>
      <c r="BI1900" s="77"/>
    </row>
    <row r="1901" spans="1:61" x14ac:dyDescent="0.25">
      <c r="A1901" s="62" t="s">
        <v>708</v>
      </c>
      <c r="B1901" s="62" t="s">
        <v>708</v>
      </c>
      <c r="C1901" s="63"/>
      <c r="D1901" s="64"/>
      <c r="E1901" s="65"/>
      <c r="F1901" s="66"/>
      <c r="G1901" s="63"/>
      <c r="H1901" s="67"/>
      <c r="I1901" s="68"/>
      <c r="J1901" s="68"/>
      <c r="K1901" s="32"/>
      <c r="L1901" s="75">
        <v>1901</v>
      </c>
      <c r="M1901" s="75"/>
      <c r="N1901" s="70"/>
      <c r="O1901" s="77" t="s">
        <v>179</v>
      </c>
      <c r="P1901" s="79">
        <v>45112.871203703704</v>
      </c>
      <c r="Q1901" s="77" t="s">
        <v>3140</v>
      </c>
      <c r="R1901" s="77">
        <v>0</v>
      </c>
      <c r="S1901" s="77">
        <v>0</v>
      </c>
      <c r="T1901" s="77">
        <v>0</v>
      </c>
      <c r="U1901" s="77">
        <v>0</v>
      </c>
      <c r="V1901" s="77">
        <v>98</v>
      </c>
      <c r="W1901" s="82" t="s">
        <v>6094</v>
      </c>
      <c r="X1901" s="77"/>
      <c r="Y1901" s="77"/>
      <c r="Z1901" s="77"/>
      <c r="AA1901" s="77" t="s">
        <v>8467</v>
      </c>
      <c r="AB1901" s="77" t="s">
        <v>10129</v>
      </c>
      <c r="AC1901" s="82" t="s">
        <v>10146</v>
      </c>
      <c r="AD1901" s="77" t="s">
        <v>10184</v>
      </c>
      <c r="AE1901" s="80" t="str">
        <f>HYPERLINK("https://twitter.com/6de6_palpites/status/1676696082967851009")</f>
        <v>https://twitter.com/6de6_palpites/status/1676696082967851009</v>
      </c>
      <c r="AF1901" s="79">
        <v>45112.871203703704</v>
      </c>
      <c r="AG1901" s="85">
        <v>45112</v>
      </c>
      <c r="AH1901" s="82" t="s">
        <v>12018</v>
      </c>
      <c r="AI1901" s="77" t="b">
        <v>0</v>
      </c>
      <c r="AJ1901" s="77"/>
      <c r="AK1901" s="77"/>
      <c r="AL1901" s="77"/>
      <c r="AM1901" s="77"/>
      <c r="AN1901" s="77"/>
      <c r="AO1901" s="77"/>
      <c r="AP1901" s="77"/>
      <c r="AQ1901" s="77" t="s">
        <v>15111</v>
      </c>
      <c r="AR1901" s="77">
        <v>70963</v>
      </c>
      <c r="AS1901" s="77"/>
      <c r="AT1901" s="77"/>
      <c r="AU1901" s="77"/>
      <c r="AV1901" s="80" t="str">
        <f>HYPERLINK("https://pbs.twimg.com/ext_tw_video_thumb/1676695593542983680/pu/img/ph4NgfCWLueVLIry.jpg")</f>
        <v>https://pbs.twimg.com/ext_tw_video_thumb/1676695593542983680/pu/img/ph4NgfCWLueVLIry.jpg</v>
      </c>
      <c r="AW1901" s="82" t="s">
        <v>18669</v>
      </c>
      <c r="AX1901" s="82" t="s">
        <v>18669</v>
      </c>
      <c r="AY1901" s="77"/>
      <c r="AZ1901" s="82" t="s">
        <v>20971</v>
      </c>
      <c r="BA1901" s="82" t="s">
        <v>20971</v>
      </c>
      <c r="BB1901" s="82" t="s">
        <v>20971</v>
      </c>
      <c r="BC1901" s="82" t="s">
        <v>18669</v>
      </c>
      <c r="BD1901" s="82" t="s">
        <v>20938</v>
      </c>
      <c r="BE1901" s="77"/>
      <c r="BF1901" s="77"/>
      <c r="BG1901" s="77"/>
      <c r="BH1901" s="77"/>
      <c r="BI1901" s="77"/>
    </row>
    <row r="1902" spans="1:61" x14ac:dyDescent="0.25">
      <c r="A1902" s="62" t="s">
        <v>708</v>
      </c>
      <c r="B1902" s="62" t="s">
        <v>708</v>
      </c>
      <c r="C1902" s="63"/>
      <c r="D1902" s="64"/>
      <c r="E1902" s="65"/>
      <c r="F1902" s="66"/>
      <c r="G1902" s="63"/>
      <c r="H1902" s="67"/>
      <c r="I1902" s="68"/>
      <c r="J1902" s="68"/>
      <c r="K1902" s="32"/>
      <c r="L1902" s="75">
        <v>1902</v>
      </c>
      <c r="M1902" s="75"/>
      <c r="N1902" s="70"/>
      <c r="O1902" s="77" t="s">
        <v>1284</v>
      </c>
      <c r="P1902" s="79">
        <v>45112.629143518519</v>
      </c>
      <c r="Q1902" s="77" t="s">
        <v>3141</v>
      </c>
      <c r="R1902" s="77">
        <v>0</v>
      </c>
      <c r="S1902" s="77">
        <v>1</v>
      </c>
      <c r="T1902" s="77">
        <v>0</v>
      </c>
      <c r="U1902" s="77">
        <v>0</v>
      </c>
      <c r="V1902" s="77">
        <v>34</v>
      </c>
      <c r="W1902" s="82" t="s">
        <v>6083</v>
      </c>
      <c r="X1902" s="80" t="str">
        <f>HYPERLINK("https://betbolacom.page.link/Tweet")</f>
        <v>https://betbolacom.page.link/Tweet</v>
      </c>
      <c r="Y1902" s="77" t="s">
        <v>7378</v>
      </c>
      <c r="Z1902" s="77"/>
      <c r="AA1902" s="77"/>
      <c r="AB1902" s="77"/>
      <c r="AC1902" s="82" t="s">
        <v>10146</v>
      </c>
      <c r="AD1902" s="77" t="s">
        <v>10184</v>
      </c>
      <c r="AE1902" s="80" t="str">
        <f>HYPERLINK("https://twitter.com/6de6_palpites/status/1676608362937569282")</f>
        <v>https://twitter.com/6de6_palpites/status/1676608362937569282</v>
      </c>
      <c r="AF1902" s="79">
        <v>45112.629143518519</v>
      </c>
      <c r="AG1902" s="85">
        <v>45112</v>
      </c>
      <c r="AH1902" s="82" t="s">
        <v>12019</v>
      </c>
      <c r="AI1902" s="77" t="b">
        <v>0</v>
      </c>
      <c r="AJ1902" s="77"/>
      <c r="AK1902" s="77"/>
      <c r="AL1902" s="77"/>
      <c r="AM1902" s="77"/>
      <c r="AN1902" s="77"/>
      <c r="AO1902" s="77"/>
      <c r="AP1902" s="77"/>
      <c r="AQ1902" s="77"/>
      <c r="AR1902" s="77"/>
      <c r="AS1902" s="77"/>
      <c r="AT1902" s="77"/>
      <c r="AU1902" s="77"/>
      <c r="AV1902" s="80" t="str">
        <f>HYPERLINK("https://pbs.twimg.com/profile_images/1648771185235165184/WFqM_Jlh_normal.jpg")</f>
        <v>https://pbs.twimg.com/profile_images/1648771185235165184/WFqM_Jlh_normal.jpg</v>
      </c>
      <c r="AW1902" s="82" t="s">
        <v>18670</v>
      </c>
      <c r="AX1902" s="82" t="s">
        <v>20840</v>
      </c>
      <c r="AY1902" s="82" t="s">
        <v>20938</v>
      </c>
      <c r="AZ1902" s="82" t="s">
        <v>20986</v>
      </c>
      <c r="BA1902" s="82" t="s">
        <v>20971</v>
      </c>
      <c r="BB1902" s="82" t="s">
        <v>20971</v>
      </c>
      <c r="BC1902" s="82" t="s">
        <v>20986</v>
      </c>
      <c r="BD1902" s="82" t="s">
        <v>20938</v>
      </c>
      <c r="BE1902" s="77"/>
      <c r="BF1902" s="77"/>
      <c r="BG1902" s="77"/>
      <c r="BH1902" s="77"/>
      <c r="BI1902" s="77"/>
    </row>
    <row r="1903" spans="1:61" x14ac:dyDescent="0.25">
      <c r="A1903" s="62" t="s">
        <v>708</v>
      </c>
      <c r="B1903" s="62" t="s">
        <v>708</v>
      </c>
      <c r="C1903" s="63"/>
      <c r="D1903" s="64"/>
      <c r="E1903" s="65"/>
      <c r="F1903" s="66"/>
      <c r="G1903" s="63"/>
      <c r="H1903" s="67"/>
      <c r="I1903" s="68"/>
      <c r="J1903" s="68"/>
      <c r="K1903" s="32"/>
      <c r="L1903" s="75">
        <v>1903</v>
      </c>
      <c r="M1903" s="75"/>
      <c r="N1903" s="70"/>
      <c r="O1903" s="77" t="s">
        <v>179</v>
      </c>
      <c r="P1903" s="79">
        <v>45111.62908564815</v>
      </c>
      <c r="Q1903" s="77" t="s">
        <v>3142</v>
      </c>
      <c r="R1903" s="77">
        <v>0</v>
      </c>
      <c r="S1903" s="77">
        <v>1</v>
      </c>
      <c r="T1903" s="77">
        <v>0</v>
      </c>
      <c r="U1903" s="77">
        <v>0</v>
      </c>
      <c r="V1903" s="77">
        <v>222</v>
      </c>
      <c r="W1903" s="82" t="s">
        <v>6082</v>
      </c>
      <c r="X1903" s="77"/>
      <c r="Y1903" s="77"/>
      <c r="Z1903" s="77"/>
      <c r="AA1903" s="77" t="s">
        <v>8468</v>
      </c>
      <c r="AB1903" s="77" t="s">
        <v>10129</v>
      </c>
      <c r="AC1903" s="82" t="s">
        <v>10144</v>
      </c>
      <c r="AD1903" s="77" t="s">
        <v>10184</v>
      </c>
      <c r="AE1903" s="80" t="str">
        <f>HYPERLINK("https://twitter.com/6de6_palpites/status/1676245955643858946")</f>
        <v>https://twitter.com/6de6_palpites/status/1676245955643858946</v>
      </c>
      <c r="AF1903" s="79">
        <v>45111.62908564815</v>
      </c>
      <c r="AG1903" s="85">
        <v>45111</v>
      </c>
      <c r="AH1903" s="82" t="s">
        <v>12020</v>
      </c>
      <c r="AI1903" s="77" t="b">
        <v>0</v>
      </c>
      <c r="AJ1903" s="77"/>
      <c r="AK1903" s="77"/>
      <c r="AL1903" s="77"/>
      <c r="AM1903" s="77"/>
      <c r="AN1903" s="77"/>
      <c r="AO1903" s="77"/>
      <c r="AP1903" s="77"/>
      <c r="AQ1903" s="77" t="s">
        <v>15112</v>
      </c>
      <c r="AR1903" s="77">
        <v>6920</v>
      </c>
      <c r="AS1903" s="77"/>
      <c r="AT1903" s="77"/>
      <c r="AU1903" s="77"/>
      <c r="AV1903" s="80" t="str">
        <f>HYPERLINK("https://pbs.twimg.com/ext_tw_video_thumb/1676244098418606088/pu/img/6dUdBqHckCHNJbnu.jpg")</f>
        <v>https://pbs.twimg.com/ext_tw_video_thumb/1676244098418606088/pu/img/6dUdBqHckCHNJbnu.jpg</v>
      </c>
      <c r="AW1903" s="82" t="s">
        <v>18671</v>
      </c>
      <c r="AX1903" s="82" t="s">
        <v>18671</v>
      </c>
      <c r="AY1903" s="77"/>
      <c r="AZ1903" s="82" t="s">
        <v>20971</v>
      </c>
      <c r="BA1903" s="82" t="s">
        <v>20971</v>
      </c>
      <c r="BB1903" s="82" t="s">
        <v>20971</v>
      </c>
      <c r="BC1903" s="82" t="s">
        <v>18671</v>
      </c>
      <c r="BD1903" s="82" t="s">
        <v>20938</v>
      </c>
      <c r="BE1903" s="77"/>
      <c r="BF1903" s="77"/>
      <c r="BG1903" s="77"/>
      <c r="BH1903" s="77"/>
      <c r="BI1903" s="77"/>
    </row>
    <row r="1904" spans="1:61" x14ac:dyDescent="0.25">
      <c r="A1904" s="62" t="s">
        <v>708</v>
      </c>
      <c r="B1904" s="62" t="s">
        <v>708</v>
      </c>
      <c r="C1904" s="63"/>
      <c r="D1904" s="64"/>
      <c r="E1904" s="65"/>
      <c r="F1904" s="66"/>
      <c r="G1904" s="63"/>
      <c r="H1904" s="67"/>
      <c r="I1904" s="68"/>
      <c r="J1904" s="68"/>
      <c r="K1904" s="32"/>
      <c r="L1904" s="75">
        <v>1904</v>
      </c>
      <c r="M1904" s="75"/>
      <c r="N1904" s="70"/>
      <c r="O1904" s="77" t="s">
        <v>179</v>
      </c>
      <c r="P1904" s="79">
        <v>45092.870451388888</v>
      </c>
      <c r="Q1904" s="77" t="s">
        <v>3143</v>
      </c>
      <c r="R1904" s="77">
        <v>0</v>
      </c>
      <c r="S1904" s="77">
        <v>2</v>
      </c>
      <c r="T1904" s="77">
        <v>0</v>
      </c>
      <c r="U1904" s="77">
        <v>0</v>
      </c>
      <c r="V1904" s="77">
        <v>114</v>
      </c>
      <c r="W1904" s="82" t="s">
        <v>6083</v>
      </c>
      <c r="X1904" s="80" t="str">
        <f>HYPERLINK("https://betbolacom.page.link/Tweet")</f>
        <v>https://betbolacom.page.link/Tweet</v>
      </c>
      <c r="Y1904" s="77" t="s">
        <v>7378</v>
      </c>
      <c r="Z1904" s="77"/>
      <c r="AA1904" s="77" t="s">
        <v>8469</v>
      </c>
      <c r="AB1904" s="77" t="s">
        <v>10129</v>
      </c>
      <c r="AC1904" s="82" t="s">
        <v>10146</v>
      </c>
      <c r="AD1904" s="77" t="s">
        <v>10184</v>
      </c>
      <c r="AE1904" s="80" t="str">
        <f>HYPERLINK("https://twitter.com/6de6_palpites/status/1669448055450378243")</f>
        <v>https://twitter.com/6de6_palpites/status/1669448055450378243</v>
      </c>
      <c r="AF1904" s="79">
        <v>45092.870451388888</v>
      </c>
      <c r="AG1904" s="85">
        <v>45092</v>
      </c>
      <c r="AH1904" s="82" t="s">
        <v>12021</v>
      </c>
      <c r="AI1904" s="77" t="b">
        <v>0</v>
      </c>
      <c r="AJ1904" s="77"/>
      <c r="AK1904" s="77"/>
      <c r="AL1904" s="77"/>
      <c r="AM1904" s="77"/>
      <c r="AN1904" s="77"/>
      <c r="AO1904" s="77"/>
      <c r="AP1904" s="77"/>
      <c r="AQ1904" s="77" t="s">
        <v>15113</v>
      </c>
      <c r="AR1904" s="77">
        <v>88607</v>
      </c>
      <c r="AS1904" s="77"/>
      <c r="AT1904" s="77"/>
      <c r="AU1904" s="77"/>
      <c r="AV1904" s="80" t="str">
        <f>HYPERLINK("https://pbs.twimg.com/ext_tw_video_thumb/1669447741813006340/pu/img/juHDCifz3di6YW-0.jpg")</f>
        <v>https://pbs.twimg.com/ext_tw_video_thumb/1669447741813006340/pu/img/juHDCifz3di6YW-0.jpg</v>
      </c>
      <c r="AW1904" s="82" t="s">
        <v>18672</v>
      </c>
      <c r="AX1904" s="82" t="s">
        <v>18672</v>
      </c>
      <c r="AY1904" s="77"/>
      <c r="AZ1904" s="82" t="s">
        <v>20971</v>
      </c>
      <c r="BA1904" s="82" t="s">
        <v>20971</v>
      </c>
      <c r="BB1904" s="82" t="s">
        <v>20971</v>
      </c>
      <c r="BC1904" s="82" t="s">
        <v>18672</v>
      </c>
      <c r="BD1904" s="82" t="s">
        <v>20938</v>
      </c>
      <c r="BE1904" s="77"/>
      <c r="BF1904" s="77"/>
      <c r="BG1904" s="77"/>
      <c r="BH1904" s="77"/>
      <c r="BI1904" s="77"/>
    </row>
    <row r="1905" spans="1:61" x14ac:dyDescent="0.25">
      <c r="A1905" s="62" t="s">
        <v>708</v>
      </c>
      <c r="B1905" s="62" t="s">
        <v>708</v>
      </c>
      <c r="C1905" s="63"/>
      <c r="D1905" s="64"/>
      <c r="E1905" s="65"/>
      <c r="F1905" s="66"/>
      <c r="G1905" s="63"/>
      <c r="H1905" s="67"/>
      <c r="I1905" s="68"/>
      <c r="J1905" s="68"/>
      <c r="K1905" s="32"/>
      <c r="L1905" s="75">
        <v>1905</v>
      </c>
      <c r="M1905" s="75"/>
      <c r="N1905" s="70"/>
      <c r="O1905" s="77" t="s">
        <v>179</v>
      </c>
      <c r="P1905" s="79">
        <v>45092.624872685185</v>
      </c>
      <c r="Q1905" s="77" t="s">
        <v>3144</v>
      </c>
      <c r="R1905" s="77">
        <v>0</v>
      </c>
      <c r="S1905" s="77">
        <v>1</v>
      </c>
      <c r="T1905" s="77">
        <v>0</v>
      </c>
      <c r="U1905" s="77">
        <v>0</v>
      </c>
      <c r="V1905" s="77">
        <v>106</v>
      </c>
      <c r="W1905" s="82" t="s">
        <v>6083</v>
      </c>
      <c r="X1905" s="80" t="str">
        <f>HYPERLINK("https://betbolacom.page.link/Tweet")</f>
        <v>https://betbolacom.page.link/Tweet</v>
      </c>
      <c r="Y1905" s="77" t="s">
        <v>7378</v>
      </c>
      <c r="Z1905" s="77"/>
      <c r="AA1905" s="77" t="s">
        <v>8470</v>
      </c>
      <c r="AB1905" s="77" t="s">
        <v>10129</v>
      </c>
      <c r="AC1905" s="82" t="s">
        <v>10146</v>
      </c>
      <c r="AD1905" s="77" t="s">
        <v>10184</v>
      </c>
      <c r="AE1905" s="80" t="str">
        <f>HYPERLINK("https://twitter.com/6de6_palpites/status/1669359059072589832")</f>
        <v>https://twitter.com/6de6_palpites/status/1669359059072589832</v>
      </c>
      <c r="AF1905" s="79">
        <v>45092.624872685185</v>
      </c>
      <c r="AG1905" s="85">
        <v>45092</v>
      </c>
      <c r="AH1905" s="82" t="s">
        <v>12022</v>
      </c>
      <c r="AI1905" s="77" t="b">
        <v>0</v>
      </c>
      <c r="AJ1905" s="77"/>
      <c r="AK1905" s="77"/>
      <c r="AL1905" s="77"/>
      <c r="AM1905" s="77"/>
      <c r="AN1905" s="77"/>
      <c r="AO1905" s="77"/>
      <c r="AP1905" s="77"/>
      <c r="AQ1905" s="77" t="s">
        <v>15114</v>
      </c>
      <c r="AR1905" s="77">
        <v>4966</v>
      </c>
      <c r="AS1905" s="77"/>
      <c r="AT1905" s="77"/>
      <c r="AU1905" s="77"/>
      <c r="AV1905" s="80" t="str">
        <f>HYPERLINK("https://pbs.twimg.com/ext_tw_video_thumb/1669358222636097537/pu/img/7J9kzK8_opfPgBrK.jpg")</f>
        <v>https://pbs.twimg.com/ext_tw_video_thumb/1669358222636097537/pu/img/7J9kzK8_opfPgBrK.jpg</v>
      </c>
      <c r="AW1905" s="82" t="s">
        <v>18673</v>
      </c>
      <c r="AX1905" s="82" t="s">
        <v>18673</v>
      </c>
      <c r="AY1905" s="77"/>
      <c r="AZ1905" s="82" t="s">
        <v>20971</v>
      </c>
      <c r="BA1905" s="82" t="s">
        <v>20971</v>
      </c>
      <c r="BB1905" s="82" t="s">
        <v>20971</v>
      </c>
      <c r="BC1905" s="82" t="s">
        <v>18673</v>
      </c>
      <c r="BD1905" s="82" t="s">
        <v>20938</v>
      </c>
      <c r="BE1905" s="77"/>
      <c r="BF1905" s="77"/>
      <c r="BG1905" s="77"/>
      <c r="BH1905" s="77"/>
      <c r="BI1905" s="77"/>
    </row>
    <row r="1906" spans="1:61" x14ac:dyDescent="0.25">
      <c r="A1906" s="62" t="s">
        <v>708</v>
      </c>
      <c r="B1906" s="62" t="s">
        <v>708</v>
      </c>
      <c r="C1906" s="63"/>
      <c r="D1906" s="64"/>
      <c r="E1906" s="65"/>
      <c r="F1906" s="66"/>
      <c r="G1906" s="63"/>
      <c r="H1906" s="67"/>
      <c r="I1906" s="68"/>
      <c r="J1906" s="68"/>
      <c r="K1906" s="32"/>
      <c r="L1906" s="75">
        <v>1906</v>
      </c>
      <c r="M1906" s="75"/>
      <c r="N1906" s="70"/>
      <c r="O1906" s="77" t="s">
        <v>179</v>
      </c>
      <c r="P1906" s="79">
        <v>45091.866307870368</v>
      </c>
      <c r="Q1906" s="77" t="s">
        <v>3145</v>
      </c>
      <c r="R1906" s="77">
        <v>0</v>
      </c>
      <c r="S1906" s="77">
        <v>1</v>
      </c>
      <c r="T1906" s="77">
        <v>0</v>
      </c>
      <c r="U1906" s="77">
        <v>0</v>
      </c>
      <c r="V1906" s="77">
        <v>52</v>
      </c>
      <c r="W1906" s="82" t="s">
        <v>6088</v>
      </c>
      <c r="X1906" s="80" t="str">
        <f>HYPERLINK("https://betbolacom.page.link/Tweet")</f>
        <v>https://betbolacom.page.link/Tweet</v>
      </c>
      <c r="Y1906" s="77" t="s">
        <v>7378</v>
      </c>
      <c r="Z1906" s="77"/>
      <c r="AA1906" s="77" t="s">
        <v>8471</v>
      </c>
      <c r="AB1906" s="77" t="s">
        <v>10129</v>
      </c>
      <c r="AC1906" s="82" t="s">
        <v>10146</v>
      </c>
      <c r="AD1906" s="77" t="s">
        <v>10184</v>
      </c>
      <c r="AE1906" s="80" t="str">
        <f>HYPERLINK("https://twitter.com/6de6_palpites/status/1669084164878921729")</f>
        <v>https://twitter.com/6de6_palpites/status/1669084164878921729</v>
      </c>
      <c r="AF1906" s="79">
        <v>45091.866307870368</v>
      </c>
      <c r="AG1906" s="85">
        <v>45091</v>
      </c>
      <c r="AH1906" s="82" t="s">
        <v>12023</v>
      </c>
      <c r="AI1906" s="77" t="b">
        <v>0</v>
      </c>
      <c r="AJ1906" s="77"/>
      <c r="AK1906" s="77"/>
      <c r="AL1906" s="77"/>
      <c r="AM1906" s="77"/>
      <c r="AN1906" s="77"/>
      <c r="AO1906" s="77"/>
      <c r="AP1906" s="77"/>
      <c r="AQ1906" s="77" t="s">
        <v>15115</v>
      </c>
      <c r="AR1906" s="77">
        <v>4333</v>
      </c>
      <c r="AS1906" s="77"/>
      <c r="AT1906" s="77"/>
      <c r="AU1906" s="77"/>
      <c r="AV1906" s="80" t="str">
        <f>HYPERLINK("https://pbs.twimg.com/ext_tw_video_thumb/1669081959065108482/pu/img/KDHU1oE7piiWn20I.jpg")</f>
        <v>https://pbs.twimg.com/ext_tw_video_thumb/1669081959065108482/pu/img/KDHU1oE7piiWn20I.jpg</v>
      </c>
      <c r="AW1906" s="82" t="s">
        <v>18674</v>
      </c>
      <c r="AX1906" s="82" t="s">
        <v>18674</v>
      </c>
      <c r="AY1906" s="77"/>
      <c r="AZ1906" s="82" t="s">
        <v>20971</v>
      </c>
      <c r="BA1906" s="82" t="s">
        <v>20971</v>
      </c>
      <c r="BB1906" s="82" t="s">
        <v>20971</v>
      </c>
      <c r="BC1906" s="82" t="s">
        <v>18674</v>
      </c>
      <c r="BD1906" s="82" t="s">
        <v>20938</v>
      </c>
      <c r="BE1906" s="77"/>
      <c r="BF1906" s="77"/>
      <c r="BG1906" s="77"/>
      <c r="BH1906" s="77"/>
      <c r="BI1906" s="77"/>
    </row>
    <row r="1907" spans="1:61" x14ac:dyDescent="0.25">
      <c r="A1907" s="62" t="s">
        <v>708</v>
      </c>
      <c r="B1907" s="62" t="s">
        <v>708</v>
      </c>
      <c r="C1907" s="63"/>
      <c r="D1907" s="64"/>
      <c r="E1907" s="65"/>
      <c r="F1907" s="66"/>
      <c r="G1907" s="63"/>
      <c r="H1907" s="67"/>
      <c r="I1907" s="68"/>
      <c r="J1907" s="68"/>
      <c r="K1907" s="32"/>
      <c r="L1907" s="75">
        <v>1907</v>
      </c>
      <c r="M1907" s="75"/>
      <c r="N1907" s="70"/>
      <c r="O1907" s="77" t="s">
        <v>179</v>
      </c>
      <c r="P1907" s="79">
        <v>45091.583356481482</v>
      </c>
      <c r="Q1907" s="77" t="s">
        <v>3146</v>
      </c>
      <c r="R1907" s="77">
        <v>0</v>
      </c>
      <c r="S1907" s="77">
        <v>1</v>
      </c>
      <c r="T1907" s="77">
        <v>0</v>
      </c>
      <c r="U1907" s="77">
        <v>0</v>
      </c>
      <c r="V1907" s="77">
        <v>70</v>
      </c>
      <c r="W1907" s="82" t="s">
        <v>6095</v>
      </c>
      <c r="X1907" s="80" t="str">
        <f>HYPERLINK("http://betbolacom.page.link/Tweet")</f>
        <v>http://betbolacom.page.link/Tweet</v>
      </c>
      <c r="Y1907" s="77" t="s">
        <v>7378</v>
      </c>
      <c r="Z1907" s="77"/>
      <c r="AA1907" s="77" t="s">
        <v>8472</v>
      </c>
      <c r="AB1907" s="77" t="s">
        <v>10130</v>
      </c>
      <c r="AC1907" s="82" t="s">
        <v>10150</v>
      </c>
      <c r="AD1907" s="77" t="s">
        <v>10184</v>
      </c>
      <c r="AE1907" s="80" t="str">
        <f>HYPERLINK("https://twitter.com/6de6_palpites/status/1668981627530166275")</f>
        <v>https://twitter.com/6de6_palpites/status/1668981627530166275</v>
      </c>
      <c r="AF1907" s="79">
        <v>45091.583356481482</v>
      </c>
      <c r="AG1907" s="85">
        <v>45091</v>
      </c>
      <c r="AH1907" s="82" t="s">
        <v>12024</v>
      </c>
      <c r="AI1907" s="77" t="b">
        <v>0</v>
      </c>
      <c r="AJ1907" s="77"/>
      <c r="AK1907" s="77"/>
      <c r="AL1907" s="77"/>
      <c r="AM1907" s="77"/>
      <c r="AN1907" s="77"/>
      <c r="AO1907" s="77"/>
      <c r="AP1907" s="77"/>
      <c r="AQ1907" s="77" t="s">
        <v>15116</v>
      </c>
      <c r="AR1907" s="77"/>
      <c r="AS1907" s="77"/>
      <c r="AT1907" s="77"/>
      <c r="AU1907" s="77"/>
      <c r="AV1907" s="80" t="str">
        <f>HYPERLINK("https://pbs.twimg.com/media/Fyloj1VXoAEpgaR.jpg")</f>
        <v>https://pbs.twimg.com/media/Fyloj1VXoAEpgaR.jpg</v>
      </c>
      <c r="AW1907" s="82" t="s">
        <v>18675</v>
      </c>
      <c r="AX1907" s="82" t="s">
        <v>18675</v>
      </c>
      <c r="AY1907" s="77"/>
      <c r="AZ1907" s="82" t="s">
        <v>20971</v>
      </c>
      <c r="BA1907" s="82" t="s">
        <v>20971</v>
      </c>
      <c r="BB1907" s="82" t="s">
        <v>20971</v>
      </c>
      <c r="BC1907" s="82" t="s">
        <v>18675</v>
      </c>
      <c r="BD1907" s="82" t="s">
        <v>20938</v>
      </c>
      <c r="BE1907" s="77"/>
      <c r="BF1907" s="77"/>
      <c r="BG1907" s="77"/>
      <c r="BH1907" s="77"/>
      <c r="BI1907" s="77"/>
    </row>
    <row r="1908" spans="1:61" x14ac:dyDescent="0.25">
      <c r="A1908" s="62" t="s">
        <v>708</v>
      </c>
      <c r="B1908" s="62" t="s">
        <v>708</v>
      </c>
      <c r="C1908" s="63"/>
      <c r="D1908" s="64"/>
      <c r="E1908" s="65"/>
      <c r="F1908" s="66"/>
      <c r="G1908" s="63"/>
      <c r="H1908" s="67"/>
      <c r="I1908" s="68"/>
      <c r="J1908" s="68"/>
      <c r="K1908" s="32"/>
      <c r="L1908" s="75">
        <v>1908</v>
      </c>
      <c r="M1908" s="75"/>
      <c r="N1908" s="70"/>
      <c r="O1908" s="77" t="s">
        <v>179</v>
      </c>
      <c r="P1908" s="79">
        <v>45090.889398148145</v>
      </c>
      <c r="Q1908" s="77" t="s">
        <v>3147</v>
      </c>
      <c r="R1908" s="77">
        <v>0</v>
      </c>
      <c r="S1908" s="77">
        <v>4</v>
      </c>
      <c r="T1908" s="77">
        <v>0</v>
      </c>
      <c r="U1908" s="77">
        <v>0</v>
      </c>
      <c r="V1908" s="77">
        <v>155</v>
      </c>
      <c r="W1908" s="82" t="s">
        <v>6096</v>
      </c>
      <c r="X1908" s="80" t="str">
        <f>HYPERLINK("https://betbolacom.page.link/Tweet")</f>
        <v>https://betbolacom.page.link/Tweet</v>
      </c>
      <c r="Y1908" s="77" t="s">
        <v>7378</v>
      </c>
      <c r="Z1908" s="77"/>
      <c r="AA1908" s="77" t="s">
        <v>8473</v>
      </c>
      <c r="AB1908" s="77" t="s">
        <v>10129</v>
      </c>
      <c r="AC1908" s="82" t="s">
        <v>10144</v>
      </c>
      <c r="AD1908" s="77" t="s">
        <v>10184</v>
      </c>
      <c r="AE1908" s="80" t="str">
        <f>HYPERLINK("https://twitter.com/6de6_palpites/status/1668730144687529984")</f>
        <v>https://twitter.com/6de6_palpites/status/1668730144687529984</v>
      </c>
      <c r="AF1908" s="79">
        <v>45090.889398148145</v>
      </c>
      <c r="AG1908" s="85">
        <v>45090</v>
      </c>
      <c r="AH1908" s="82" t="s">
        <v>12025</v>
      </c>
      <c r="AI1908" s="77" t="b">
        <v>0</v>
      </c>
      <c r="AJ1908" s="77"/>
      <c r="AK1908" s="77"/>
      <c r="AL1908" s="77"/>
      <c r="AM1908" s="77"/>
      <c r="AN1908" s="77"/>
      <c r="AO1908" s="77"/>
      <c r="AP1908" s="77"/>
      <c r="AQ1908" s="77" t="s">
        <v>15117</v>
      </c>
      <c r="AR1908" s="77">
        <v>35966</v>
      </c>
      <c r="AS1908" s="77"/>
      <c r="AT1908" s="77"/>
      <c r="AU1908" s="77"/>
      <c r="AV1908" s="80" t="str">
        <f>HYPERLINK("https://pbs.twimg.com/ext_tw_video_thumb/1668730078631428097/pu/img/3CJz-bbtJpNACCxL.jpg")</f>
        <v>https://pbs.twimg.com/ext_tw_video_thumb/1668730078631428097/pu/img/3CJz-bbtJpNACCxL.jpg</v>
      </c>
      <c r="AW1908" s="82" t="s">
        <v>18676</v>
      </c>
      <c r="AX1908" s="82" t="s">
        <v>18676</v>
      </c>
      <c r="AY1908" s="77"/>
      <c r="AZ1908" s="82" t="s">
        <v>20971</v>
      </c>
      <c r="BA1908" s="82" t="s">
        <v>20971</v>
      </c>
      <c r="BB1908" s="82" t="s">
        <v>20971</v>
      </c>
      <c r="BC1908" s="82" t="s">
        <v>18676</v>
      </c>
      <c r="BD1908" s="82" t="s">
        <v>20938</v>
      </c>
      <c r="BE1908" s="77"/>
      <c r="BF1908" s="77"/>
      <c r="BG1908" s="77"/>
      <c r="BH1908" s="77"/>
      <c r="BI1908" s="77"/>
    </row>
    <row r="1909" spans="1:61" x14ac:dyDescent="0.25">
      <c r="A1909" s="62" t="s">
        <v>708</v>
      </c>
      <c r="B1909" s="62" t="s">
        <v>708</v>
      </c>
      <c r="C1909" s="63"/>
      <c r="D1909" s="64"/>
      <c r="E1909" s="65"/>
      <c r="F1909" s="66"/>
      <c r="G1909" s="63"/>
      <c r="H1909" s="67"/>
      <c r="I1909" s="68"/>
      <c r="J1909" s="68"/>
      <c r="K1909" s="32"/>
      <c r="L1909" s="75">
        <v>1909</v>
      </c>
      <c r="M1909" s="75"/>
      <c r="N1909" s="70"/>
      <c r="O1909" s="77" t="s">
        <v>179</v>
      </c>
      <c r="P1909" s="79">
        <v>45071.615613425929</v>
      </c>
      <c r="Q1909" s="77" t="s">
        <v>3148</v>
      </c>
      <c r="R1909" s="77">
        <v>0</v>
      </c>
      <c r="S1909" s="77">
        <v>1</v>
      </c>
      <c r="T1909" s="77">
        <v>0</v>
      </c>
      <c r="U1909" s="77">
        <v>0</v>
      </c>
      <c r="V1909" s="77">
        <v>65</v>
      </c>
      <c r="W1909" s="82" t="s">
        <v>6081</v>
      </c>
      <c r="X1909" s="80" t="str">
        <f>HYPERLINK("https://betbolacom.page.link/Tweet")</f>
        <v>https://betbolacom.page.link/Tweet</v>
      </c>
      <c r="Y1909" s="77" t="s">
        <v>7378</v>
      </c>
      <c r="Z1909" s="77"/>
      <c r="AA1909" s="77" t="s">
        <v>8474</v>
      </c>
      <c r="AB1909" s="77" t="s">
        <v>10135</v>
      </c>
      <c r="AC1909" s="82" t="s">
        <v>10144</v>
      </c>
      <c r="AD1909" s="77" t="s">
        <v>10184</v>
      </c>
      <c r="AE1909" s="80" t="str">
        <f>HYPERLINK("https://twitter.com/6de6_palpites/status/1661745556753113090")</f>
        <v>https://twitter.com/6de6_palpites/status/1661745556753113090</v>
      </c>
      <c r="AF1909" s="79">
        <v>45071.615613425929</v>
      </c>
      <c r="AG1909" s="85">
        <v>45071</v>
      </c>
      <c r="AH1909" s="82" t="s">
        <v>12026</v>
      </c>
      <c r="AI1909" s="77" t="b">
        <v>0</v>
      </c>
      <c r="AJ1909" s="77"/>
      <c r="AK1909" s="77"/>
      <c r="AL1909" s="77"/>
      <c r="AM1909" s="77"/>
      <c r="AN1909" s="77"/>
      <c r="AO1909" s="77"/>
      <c r="AP1909" s="77"/>
      <c r="AQ1909" s="77" t="s">
        <v>15118</v>
      </c>
      <c r="AR1909" s="77" t="s">
        <v>16771</v>
      </c>
      <c r="AS1909" s="77"/>
      <c r="AT1909" s="77"/>
      <c r="AU1909" s="77"/>
      <c r="AV1909" s="80" t="str">
        <f>HYPERLINK("https://pbs.twimg.com/ext_tw_video_thumb/1661745500536836102/pu/img/s_NkwyPEz3RyMImy.jpg")</f>
        <v>https://pbs.twimg.com/ext_tw_video_thumb/1661745500536836102/pu/img/s_NkwyPEz3RyMImy.jpg</v>
      </c>
      <c r="AW1909" s="82" t="s">
        <v>18677</v>
      </c>
      <c r="AX1909" s="82" t="s">
        <v>18677</v>
      </c>
      <c r="AY1909" s="77"/>
      <c r="AZ1909" s="82" t="s">
        <v>20971</v>
      </c>
      <c r="BA1909" s="82" t="s">
        <v>20971</v>
      </c>
      <c r="BB1909" s="82" t="s">
        <v>20971</v>
      </c>
      <c r="BC1909" s="82" t="s">
        <v>18677</v>
      </c>
      <c r="BD1909" s="82" t="s">
        <v>20938</v>
      </c>
      <c r="BE1909" s="77"/>
      <c r="BF1909" s="77"/>
      <c r="BG1909" s="77"/>
      <c r="BH1909" s="77"/>
      <c r="BI1909" s="77"/>
    </row>
    <row r="1910" spans="1:61" x14ac:dyDescent="0.25">
      <c r="A1910" s="62" t="s">
        <v>708</v>
      </c>
      <c r="B1910" s="62" t="s">
        <v>708</v>
      </c>
      <c r="C1910" s="63"/>
      <c r="D1910" s="64"/>
      <c r="E1910" s="65"/>
      <c r="F1910" s="66"/>
      <c r="G1910" s="63"/>
      <c r="H1910" s="67"/>
      <c r="I1910" s="68"/>
      <c r="J1910" s="68"/>
      <c r="K1910" s="32"/>
      <c r="L1910" s="75">
        <v>1910</v>
      </c>
      <c r="M1910" s="75"/>
      <c r="N1910" s="70"/>
      <c r="O1910" s="77" t="s">
        <v>179</v>
      </c>
      <c r="P1910" s="79">
        <v>45070.868657407409</v>
      </c>
      <c r="Q1910" s="77" t="s">
        <v>3149</v>
      </c>
      <c r="R1910" s="77">
        <v>0</v>
      </c>
      <c r="S1910" s="77">
        <v>0</v>
      </c>
      <c r="T1910" s="77">
        <v>0</v>
      </c>
      <c r="U1910" s="77">
        <v>0</v>
      </c>
      <c r="V1910" s="77">
        <v>51</v>
      </c>
      <c r="W1910" s="82" t="s">
        <v>6097</v>
      </c>
      <c r="X1910" s="80" t="str">
        <f>HYPERLINK("https://betbolacom.page.link/Tweet")</f>
        <v>https://betbolacom.page.link/Tweet</v>
      </c>
      <c r="Y1910" s="77" t="s">
        <v>7378</v>
      </c>
      <c r="Z1910" s="77"/>
      <c r="AA1910" s="77" t="s">
        <v>8475</v>
      </c>
      <c r="AB1910" s="77" t="s">
        <v>10128</v>
      </c>
      <c r="AC1910" s="82" t="s">
        <v>10146</v>
      </c>
      <c r="AD1910" s="77" t="s">
        <v>10184</v>
      </c>
      <c r="AE1910" s="80" t="str">
        <f>HYPERLINK("https://twitter.com/6de6_palpites/status/1661474872537804800")</f>
        <v>https://twitter.com/6de6_palpites/status/1661474872537804800</v>
      </c>
      <c r="AF1910" s="79">
        <v>45070.868657407409</v>
      </c>
      <c r="AG1910" s="85">
        <v>45070</v>
      </c>
      <c r="AH1910" s="82" t="s">
        <v>12027</v>
      </c>
      <c r="AI1910" s="77" t="b">
        <v>0</v>
      </c>
      <c r="AJ1910" s="77"/>
      <c r="AK1910" s="77"/>
      <c r="AL1910" s="77"/>
      <c r="AM1910" s="77"/>
      <c r="AN1910" s="77"/>
      <c r="AO1910" s="77"/>
      <c r="AP1910" s="77"/>
      <c r="AQ1910" s="77" t="s">
        <v>15119</v>
      </c>
      <c r="AR1910" s="77"/>
      <c r="AS1910" s="77"/>
      <c r="AT1910" s="77"/>
      <c r="AU1910" s="77"/>
      <c r="AV1910" s="80" t="str">
        <f>HYPERLINK("https://pbs.twimg.com/media/Fw6-aR7XoAEv3J7.png")</f>
        <v>https://pbs.twimg.com/media/Fw6-aR7XoAEv3J7.png</v>
      </c>
      <c r="AW1910" s="82" t="s">
        <v>18678</v>
      </c>
      <c r="AX1910" s="82" t="s">
        <v>18678</v>
      </c>
      <c r="AY1910" s="77"/>
      <c r="AZ1910" s="82" t="s">
        <v>20971</v>
      </c>
      <c r="BA1910" s="82" t="s">
        <v>20971</v>
      </c>
      <c r="BB1910" s="82" t="s">
        <v>20971</v>
      </c>
      <c r="BC1910" s="82" t="s">
        <v>18678</v>
      </c>
      <c r="BD1910" s="82" t="s">
        <v>20938</v>
      </c>
      <c r="BE1910" s="77"/>
      <c r="BF1910" s="77"/>
      <c r="BG1910" s="77"/>
      <c r="BH1910" s="77"/>
      <c r="BI1910" s="77"/>
    </row>
    <row r="1911" spans="1:61" x14ac:dyDescent="0.25">
      <c r="A1911" s="62" t="s">
        <v>708</v>
      </c>
      <c r="B1911" s="62" t="s">
        <v>708</v>
      </c>
      <c r="C1911" s="63"/>
      <c r="D1911" s="64"/>
      <c r="E1911" s="65"/>
      <c r="F1911" s="66"/>
      <c r="G1911" s="63"/>
      <c r="H1911" s="67"/>
      <c r="I1911" s="68"/>
      <c r="J1911" s="68"/>
      <c r="K1911" s="32"/>
      <c r="L1911" s="75">
        <v>1911</v>
      </c>
      <c r="M1911" s="75"/>
      <c r="N1911" s="70"/>
      <c r="O1911" s="77" t="s">
        <v>179</v>
      </c>
      <c r="P1911" s="79">
        <v>45070.700648148151</v>
      </c>
      <c r="Q1911" s="77" t="s">
        <v>3150</v>
      </c>
      <c r="R1911" s="77">
        <v>0</v>
      </c>
      <c r="S1911" s="77">
        <v>1</v>
      </c>
      <c r="T1911" s="77">
        <v>0</v>
      </c>
      <c r="U1911" s="77">
        <v>0</v>
      </c>
      <c r="V1911" s="77">
        <v>86</v>
      </c>
      <c r="W1911" s="82" t="s">
        <v>6081</v>
      </c>
      <c r="X1911" s="77"/>
      <c r="Y1911" s="77"/>
      <c r="Z1911" s="77"/>
      <c r="AA1911" s="77" t="s">
        <v>8476</v>
      </c>
      <c r="AB1911" s="77" t="s">
        <v>10130</v>
      </c>
      <c r="AC1911" s="82" t="s">
        <v>10161</v>
      </c>
      <c r="AD1911" s="77" t="s">
        <v>10184</v>
      </c>
      <c r="AE1911" s="80" t="str">
        <f>HYPERLINK("https://twitter.com/6de6_palpites/status/1661413987278258189")</f>
        <v>https://twitter.com/6de6_palpites/status/1661413987278258189</v>
      </c>
      <c r="AF1911" s="79">
        <v>45070.700648148151</v>
      </c>
      <c r="AG1911" s="85">
        <v>45070</v>
      </c>
      <c r="AH1911" s="82" t="s">
        <v>12028</v>
      </c>
      <c r="AI1911" s="77" t="b">
        <v>0</v>
      </c>
      <c r="AJ1911" s="77"/>
      <c r="AK1911" s="77"/>
      <c r="AL1911" s="77"/>
      <c r="AM1911" s="77"/>
      <c r="AN1911" s="77"/>
      <c r="AO1911" s="77"/>
      <c r="AP1911" s="77"/>
      <c r="AQ1911" s="77" t="s">
        <v>15120</v>
      </c>
      <c r="AR1911" s="77"/>
      <c r="AS1911" s="77"/>
      <c r="AT1911" s="77"/>
      <c r="AU1911" s="77"/>
      <c r="AV1911" s="80" t="str">
        <f>HYPERLINK("https://pbs.twimg.com/media/Fw6HK9LWAAgcwJH.jpg")</f>
        <v>https://pbs.twimg.com/media/Fw6HK9LWAAgcwJH.jpg</v>
      </c>
      <c r="AW1911" s="82" t="s">
        <v>18679</v>
      </c>
      <c r="AX1911" s="82" t="s">
        <v>18679</v>
      </c>
      <c r="AY1911" s="77"/>
      <c r="AZ1911" s="82" t="s">
        <v>20971</v>
      </c>
      <c r="BA1911" s="82" t="s">
        <v>20971</v>
      </c>
      <c r="BB1911" s="82" t="s">
        <v>20971</v>
      </c>
      <c r="BC1911" s="82" t="s">
        <v>18679</v>
      </c>
      <c r="BD1911" s="82" t="s">
        <v>20938</v>
      </c>
      <c r="BE1911" s="77"/>
      <c r="BF1911" s="77"/>
      <c r="BG1911" s="77"/>
      <c r="BH1911" s="77"/>
      <c r="BI1911" s="77"/>
    </row>
    <row r="1912" spans="1:61" x14ac:dyDescent="0.25">
      <c r="A1912" s="62" t="s">
        <v>708</v>
      </c>
      <c r="B1912" s="62" t="s">
        <v>708</v>
      </c>
      <c r="C1912" s="63"/>
      <c r="D1912" s="64"/>
      <c r="E1912" s="65"/>
      <c r="F1912" s="66"/>
      <c r="G1912" s="63"/>
      <c r="H1912" s="67"/>
      <c r="I1912" s="68"/>
      <c r="J1912" s="68"/>
      <c r="K1912" s="32"/>
      <c r="L1912" s="75">
        <v>1912</v>
      </c>
      <c r="M1912" s="75"/>
      <c r="N1912" s="70"/>
      <c r="O1912" s="77" t="s">
        <v>179</v>
      </c>
      <c r="P1912" s="79">
        <v>45047.680393518516</v>
      </c>
      <c r="Q1912" s="77" t="s">
        <v>3151</v>
      </c>
      <c r="R1912" s="77">
        <v>0</v>
      </c>
      <c r="S1912" s="77">
        <v>2</v>
      </c>
      <c r="T1912" s="77">
        <v>1</v>
      </c>
      <c r="U1912" s="77">
        <v>0</v>
      </c>
      <c r="V1912" s="77">
        <v>106</v>
      </c>
      <c r="W1912" s="82" t="s">
        <v>6098</v>
      </c>
      <c r="X1912" s="77"/>
      <c r="Y1912" s="77"/>
      <c r="Z1912" s="77"/>
      <c r="AA1912" s="77" t="s">
        <v>8477</v>
      </c>
      <c r="AB1912" s="77" t="s">
        <v>10130</v>
      </c>
      <c r="AC1912" s="82" t="s">
        <v>10146</v>
      </c>
      <c r="AD1912" s="77" t="s">
        <v>10184</v>
      </c>
      <c r="AE1912" s="80" t="str">
        <f>HYPERLINK("https://twitter.com/6de6_palpites/status/1653071724638879752")</f>
        <v>https://twitter.com/6de6_palpites/status/1653071724638879752</v>
      </c>
      <c r="AF1912" s="79">
        <v>45047.680393518516</v>
      </c>
      <c r="AG1912" s="85">
        <v>45047</v>
      </c>
      <c r="AH1912" s="82" t="s">
        <v>12029</v>
      </c>
      <c r="AI1912" s="77" t="b">
        <v>0</v>
      </c>
      <c r="AJ1912" s="77"/>
      <c r="AK1912" s="77"/>
      <c r="AL1912" s="77"/>
      <c r="AM1912" s="77"/>
      <c r="AN1912" s="77"/>
      <c r="AO1912" s="77"/>
      <c r="AP1912" s="77"/>
      <c r="AQ1912" s="77" t="s">
        <v>15121</v>
      </c>
      <c r="AR1912" s="77"/>
      <c r="AS1912" s="77"/>
      <c r="AT1912" s="77"/>
      <c r="AU1912" s="77"/>
      <c r="AV1912" s="80" t="str">
        <f>HYPERLINK("https://pbs.twimg.com/media/FvDj9OmXwAQZB_V.jpg")</f>
        <v>https://pbs.twimg.com/media/FvDj9OmXwAQZB_V.jpg</v>
      </c>
      <c r="AW1912" s="82" t="s">
        <v>18680</v>
      </c>
      <c r="AX1912" s="82" t="s">
        <v>18680</v>
      </c>
      <c r="AY1912" s="77"/>
      <c r="AZ1912" s="82" t="s">
        <v>20971</v>
      </c>
      <c r="BA1912" s="82" t="s">
        <v>20971</v>
      </c>
      <c r="BB1912" s="82" t="s">
        <v>20971</v>
      </c>
      <c r="BC1912" s="82" t="s">
        <v>18680</v>
      </c>
      <c r="BD1912" s="82" t="s">
        <v>20938</v>
      </c>
      <c r="BE1912" s="77"/>
      <c r="BF1912" s="77"/>
      <c r="BG1912" s="77"/>
      <c r="BH1912" s="77"/>
      <c r="BI1912" s="77"/>
    </row>
    <row r="1913" spans="1:61" x14ac:dyDescent="0.25">
      <c r="A1913" s="62" t="s">
        <v>708</v>
      </c>
      <c r="B1913" s="62" t="s">
        <v>708</v>
      </c>
      <c r="C1913" s="63"/>
      <c r="D1913" s="64"/>
      <c r="E1913" s="65"/>
      <c r="F1913" s="66"/>
      <c r="G1913" s="63"/>
      <c r="H1913" s="67"/>
      <c r="I1913" s="68"/>
      <c r="J1913" s="68"/>
      <c r="K1913" s="32"/>
      <c r="L1913" s="75">
        <v>1913</v>
      </c>
      <c r="M1913" s="75"/>
      <c r="N1913" s="70"/>
      <c r="O1913" s="77" t="s">
        <v>179</v>
      </c>
      <c r="P1913" s="79">
        <v>45046.981793981482</v>
      </c>
      <c r="Q1913" s="77" t="s">
        <v>3152</v>
      </c>
      <c r="R1913" s="77">
        <v>0</v>
      </c>
      <c r="S1913" s="77">
        <v>3</v>
      </c>
      <c r="T1913" s="77">
        <v>1</v>
      </c>
      <c r="U1913" s="77">
        <v>0</v>
      </c>
      <c r="V1913" s="77">
        <v>109</v>
      </c>
      <c r="W1913" s="82" t="s">
        <v>6099</v>
      </c>
      <c r="X1913" s="77"/>
      <c r="Y1913" s="77"/>
      <c r="Z1913" s="77"/>
      <c r="AA1913" s="77" t="s">
        <v>8478</v>
      </c>
      <c r="AB1913" s="77" t="s">
        <v>10130</v>
      </c>
      <c r="AC1913" s="82" t="s">
        <v>10146</v>
      </c>
      <c r="AD1913" s="77" t="s">
        <v>10184</v>
      </c>
      <c r="AE1913" s="80" t="str">
        <f>HYPERLINK("https://twitter.com/6de6_palpites/status/1652818560106868736")</f>
        <v>https://twitter.com/6de6_palpites/status/1652818560106868736</v>
      </c>
      <c r="AF1913" s="79">
        <v>45046.981793981482</v>
      </c>
      <c r="AG1913" s="85">
        <v>45046</v>
      </c>
      <c r="AH1913" s="82" t="s">
        <v>12030</v>
      </c>
      <c r="AI1913" s="77" t="b">
        <v>0</v>
      </c>
      <c r="AJ1913" s="77"/>
      <c r="AK1913" s="77"/>
      <c r="AL1913" s="77"/>
      <c r="AM1913" s="77"/>
      <c r="AN1913" s="77"/>
      <c r="AO1913" s="77"/>
      <c r="AP1913" s="77"/>
      <c r="AQ1913" s="77" t="s">
        <v>15122</v>
      </c>
      <c r="AR1913" s="77"/>
      <c r="AS1913" s="77"/>
      <c r="AT1913" s="77"/>
      <c r="AU1913" s="77"/>
      <c r="AV1913" s="80" t="str">
        <f>HYPERLINK("https://pbs.twimg.com/media/Fu_9rzGWIAw9bjU.jpg")</f>
        <v>https://pbs.twimg.com/media/Fu_9rzGWIAw9bjU.jpg</v>
      </c>
      <c r="AW1913" s="82" t="s">
        <v>18681</v>
      </c>
      <c r="AX1913" s="82" t="s">
        <v>18681</v>
      </c>
      <c r="AY1913" s="77"/>
      <c r="AZ1913" s="82" t="s">
        <v>20971</v>
      </c>
      <c r="BA1913" s="82" t="s">
        <v>20971</v>
      </c>
      <c r="BB1913" s="82" t="s">
        <v>20971</v>
      </c>
      <c r="BC1913" s="82" t="s">
        <v>18681</v>
      </c>
      <c r="BD1913" s="82" t="s">
        <v>20938</v>
      </c>
      <c r="BE1913" s="77"/>
      <c r="BF1913" s="77"/>
      <c r="BG1913" s="77"/>
      <c r="BH1913" s="77"/>
      <c r="BI1913" s="77"/>
    </row>
    <row r="1914" spans="1:61" x14ac:dyDescent="0.25">
      <c r="A1914" s="62" t="s">
        <v>708</v>
      </c>
      <c r="B1914" s="62" t="s">
        <v>708</v>
      </c>
      <c r="C1914" s="63"/>
      <c r="D1914" s="64"/>
      <c r="E1914" s="65"/>
      <c r="F1914" s="66"/>
      <c r="G1914" s="63"/>
      <c r="H1914" s="67"/>
      <c r="I1914" s="68"/>
      <c r="J1914" s="68"/>
      <c r="K1914" s="32"/>
      <c r="L1914" s="75">
        <v>1914</v>
      </c>
      <c r="M1914" s="75"/>
      <c r="N1914" s="70"/>
      <c r="O1914" s="77" t="s">
        <v>179</v>
      </c>
      <c r="P1914" s="79">
        <v>45046.498541666668</v>
      </c>
      <c r="Q1914" s="77" t="s">
        <v>3153</v>
      </c>
      <c r="R1914" s="77">
        <v>0</v>
      </c>
      <c r="S1914" s="77">
        <v>1</v>
      </c>
      <c r="T1914" s="77">
        <v>0</v>
      </c>
      <c r="U1914" s="77">
        <v>0</v>
      </c>
      <c r="V1914" s="77">
        <v>89</v>
      </c>
      <c r="W1914" s="82" t="s">
        <v>6100</v>
      </c>
      <c r="X1914" s="77"/>
      <c r="Y1914" s="77"/>
      <c r="Z1914" s="77"/>
      <c r="AA1914" s="77" t="s">
        <v>8479</v>
      </c>
      <c r="AB1914" s="77" t="s">
        <v>10130</v>
      </c>
      <c r="AC1914" s="82" t="s">
        <v>10146</v>
      </c>
      <c r="AD1914" s="77" t="s">
        <v>10184</v>
      </c>
      <c r="AE1914" s="80" t="str">
        <f>HYPERLINK("https://twitter.com/6de6_palpites/status/1652643438200750086")</f>
        <v>https://twitter.com/6de6_palpites/status/1652643438200750086</v>
      </c>
      <c r="AF1914" s="79">
        <v>45046.498541666668</v>
      </c>
      <c r="AG1914" s="85">
        <v>45046</v>
      </c>
      <c r="AH1914" s="82" t="s">
        <v>12031</v>
      </c>
      <c r="AI1914" s="77" t="b">
        <v>0</v>
      </c>
      <c r="AJ1914" s="77"/>
      <c r="AK1914" s="77"/>
      <c r="AL1914" s="77"/>
      <c r="AM1914" s="77"/>
      <c r="AN1914" s="77"/>
      <c r="AO1914" s="77"/>
      <c r="AP1914" s="77"/>
      <c r="AQ1914" s="77" t="s">
        <v>15123</v>
      </c>
      <c r="AR1914" s="77"/>
      <c r="AS1914" s="77"/>
      <c r="AT1914" s="77"/>
      <c r="AU1914" s="77"/>
      <c r="AV1914" s="80" t="str">
        <f>HYPERLINK("https://pbs.twimg.com/media/Fu9eZMGWwAARizp.jpg")</f>
        <v>https://pbs.twimg.com/media/Fu9eZMGWwAARizp.jpg</v>
      </c>
      <c r="AW1914" s="82" t="s">
        <v>18682</v>
      </c>
      <c r="AX1914" s="82" t="s">
        <v>18682</v>
      </c>
      <c r="AY1914" s="77"/>
      <c r="AZ1914" s="82" t="s">
        <v>20971</v>
      </c>
      <c r="BA1914" s="82" t="s">
        <v>20971</v>
      </c>
      <c r="BB1914" s="82" t="s">
        <v>20971</v>
      </c>
      <c r="BC1914" s="82" t="s">
        <v>18682</v>
      </c>
      <c r="BD1914" s="82" t="s">
        <v>20938</v>
      </c>
      <c r="BE1914" s="77"/>
      <c r="BF1914" s="77"/>
      <c r="BG1914" s="77"/>
      <c r="BH1914" s="77"/>
      <c r="BI1914" s="77"/>
    </row>
    <row r="1915" spans="1:61" x14ac:dyDescent="0.25">
      <c r="A1915" s="62" t="s">
        <v>708</v>
      </c>
      <c r="B1915" s="62" t="s">
        <v>708</v>
      </c>
      <c r="C1915" s="63"/>
      <c r="D1915" s="64"/>
      <c r="E1915" s="65"/>
      <c r="F1915" s="66"/>
      <c r="G1915" s="63"/>
      <c r="H1915" s="67"/>
      <c r="I1915" s="68"/>
      <c r="J1915" s="68"/>
      <c r="K1915" s="32"/>
      <c r="L1915" s="75">
        <v>1915</v>
      </c>
      <c r="M1915" s="75"/>
      <c r="N1915" s="70"/>
      <c r="O1915" s="77" t="s">
        <v>1284</v>
      </c>
      <c r="P1915" s="79">
        <v>45140.621041666665</v>
      </c>
      <c r="Q1915" s="77" t="s">
        <v>3154</v>
      </c>
      <c r="R1915" s="77">
        <v>0</v>
      </c>
      <c r="S1915" s="77">
        <v>0</v>
      </c>
      <c r="T1915" s="77">
        <v>0</v>
      </c>
      <c r="U1915" s="77">
        <v>0</v>
      </c>
      <c r="V1915" s="77">
        <v>17</v>
      </c>
      <c r="W1915" s="82" t="s">
        <v>6101</v>
      </c>
      <c r="X1915" s="80" t="str">
        <f>HYPERLINK("https://betbolacom.page.link/Tweet")</f>
        <v>https://betbolacom.page.link/Tweet</v>
      </c>
      <c r="Y1915" s="77" t="s">
        <v>7378</v>
      </c>
      <c r="Z1915" s="77"/>
      <c r="AA1915" s="77"/>
      <c r="AB1915" s="77"/>
      <c r="AC1915" s="82" t="s">
        <v>10146</v>
      </c>
      <c r="AD1915" s="77" t="s">
        <v>10184</v>
      </c>
      <c r="AE1915" s="80" t="str">
        <f>HYPERLINK("https://twitter.com/6de6_palpites/status/1686752289950670849")</f>
        <v>https://twitter.com/6de6_palpites/status/1686752289950670849</v>
      </c>
      <c r="AF1915" s="79">
        <v>45140.621041666665</v>
      </c>
      <c r="AG1915" s="85">
        <v>45140</v>
      </c>
      <c r="AH1915" s="82" t="s">
        <v>12032</v>
      </c>
      <c r="AI1915" s="77" t="b">
        <v>0</v>
      </c>
      <c r="AJ1915" s="77"/>
      <c r="AK1915" s="77"/>
      <c r="AL1915" s="77"/>
      <c r="AM1915" s="77"/>
      <c r="AN1915" s="77"/>
      <c r="AO1915" s="77"/>
      <c r="AP1915" s="77"/>
      <c r="AQ1915" s="77"/>
      <c r="AR1915" s="77"/>
      <c r="AS1915" s="77"/>
      <c r="AT1915" s="77"/>
      <c r="AU1915" s="77"/>
      <c r="AV1915" s="80" t="str">
        <f>HYPERLINK("https://pbs.twimg.com/profile_images/1648771185235165184/WFqM_Jlh_normal.jpg")</f>
        <v>https://pbs.twimg.com/profile_images/1648771185235165184/WFqM_Jlh_normal.jpg</v>
      </c>
      <c r="AW1915" s="82" t="s">
        <v>18683</v>
      </c>
      <c r="AX1915" s="82" t="s">
        <v>20841</v>
      </c>
      <c r="AY1915" s="82" t="s">
        <v>20938</v>
      </c>
      <c r="AZ1915" s="82" t="s">
        <v>20841</v>
      </c>
      <c r="BA1915" s="82" t="s">
        <v>20971</v>
      </c>
      <c r="BB1915" s="82" t="s">
        <v>20971</v>
      </c>
      <c r="BC1915" s="82" t="s">
        <v>20841</v>
      </c>
      <c r="BD1915" s="82" t="s">
        <v>20938</v>
      </c>
      <c r="BE1915" s="77"/>
      <c r="BF1915" s="77"/>
      <c r="BG1915" s="77"/>
      <c r="BH1915" s="77"/>
      <c r="BI1915" s="77"/>
    </row>
    <row r="1916" spans="1:61" x14ac:dyDescent="0.25">
      <c r="A1916" s="62" t="s">
        <v>708</v>
      </c>
      <c r="B1916" s="62" t="s">
        <v>708</v>
      </c>
      <c r="C1916" s="63"/>
      <c r="D1916" s="64"/>
      <c r="E1916" s="65"/>
      <c r="F1916" s="66"/>
      <c r="G1916" s="63"/>
      <c r="H1916" s="67"/>
      <c r="I1916" s="68"/>
      <c r="J1916" s="68"/>
      <c r="K1916" s="32"/>
      <c r="L1916" s="75">
        <v>1916</v>
      </c>
      <c r="M1916" s="75"/>
      <c r="N1916" s="70"/>
      <c r="O1916" s="77" t="s">
        <v>1284</v>
      </c>
      <c r="P1916" s="79">
        <v>45126.62290509259</v>
      </c>
      <c r="Q1916" s="77" t="s">
        <v>3155</v>
      </c>
      <c r="R1916" s="77">
        <v>0</v>
      </c>
      <c r="S1916" s="77">
        <v>0</v>
      </c>
      <c r="T1916" s="77">
        <v>0</v>
      </c>
      <c r="U1916" s="77">
        <v>0</v>
      </c>
      <c r="V1916" s="77">
        <v>30</v>
      </c>
      <c r="W1916" s="82" t="s">
        <v>6102</v>
      </c>
      <c r="X1916" s="77"/>
      <c r="Y1916" s="77"/>
      <c r="Z1916" s="77"/>
      <c r="AA1916" s="77"/>
      <c r="AB1916" s="77"/>
      <c r="AC1916" s="82" t="s">
        <v>10146</v>
      </c>
      <c r="AD1916" s="77" t="s">
        <v>10184</v>
      </c>
      <c r="AE1916" s="80" t="str">
        <f>HYPERLINK("https://twitter.com/6de6_palpites/status/1681679532711919616")</f>
        <v>https://twitter.com/6de6_palpites/status/1681679532711919616</v>
      </c>
      <c r="AF1916" s="79">
        <v>45126.62290509259</v>
      </c>
      <c r="AG1916" s="85">
        <v>45126</v>
      </c>
      <c r="AH1916" s="82" t="s">
        <v>12033</v>
      </c>
      <c r="AI1916" s="77"/>
      <c r="AJ1916" s="77"/>
      <c r="AK1916" s="77"/>
      <c r="AL1916" s="77"/>
      <c r="AM1916" s="77"/>
      <c r="AN1916" s="77"/>
      <c r="AO1916" s="77"/>
      <c r="AP1916" s="77"/>
      <c r="AQ1916" s="77"/>
      <c r="AR1916" s="77"/>
      <c r="AS1916" s="77"/>
      <c r="AT1916" s="77"/>
      <c r="AU1916" s="77"/>
      <c r="AV1916" s="80" t="str">
        <f>HYPERLINK("https://pbs.twimg.com/profile_images/1648771185235165184/WFqM_Jlh_normal.jpg")</f>
        <v>https://pbs.twimg.com/profile_images/1648771185235165184/WFqM_Jlh_normal.jpg</v>
      </c>
      <c r="AW1916" s="82" t="s">
        <v>18684</v>
      </c>
      <c r="AX1916" s="82" t="s">
        <v>20842</v>
      </c>
      <c r="AY1916" s="82" t="s">
        <v>20938</v>
      </c>
      <c r="AZ1916" s="82" t="s">
        <v>20987</v>
      </c>
      <c r="BA1916" s="82" t="s">
        <v>20971</v>
      </c>
      <c r="BB1916" s="82" t="s">
        <v>20971</v>
      </c>
      <c r="BC1916" s="82" t="s">
        <v>20987</v>
      </c>
      <c r="BD1916" s="82" t="s">
        <v>20938</v>
      </c>
      <c r="BE1916" s="77"/>
      <c r="BF1916" s="77"/>
      <c r="BG1916" s="77"/>
      <c r="BH1916" s="77"/>
      <c r="BI1916" s="77"/>
    </row>
    <row r="1917" spans="1:61" x14ac:dyDescent="0.25">
      <c r="A1917" s="62" t="s">
        <v>708</v>
      </c>
      <c r="B1917" s="62" t="s">
        <v>708</v>
      </c>
      <c r="C1917" s="63"/>
      <c r="D1917" s="64"/>
      <c r="E1917" s="65"/>
      <c r="F1917" s="66"/>
      <c r="G1917" s="63"/>
      <c r="H1917" s="67"/>
      <c r="I1917" s="68"/>
      <c r="J1917" s="68"/>
      <c r="K1917" s="32"/>
      <c r="L1917" s="75">
        <v>1917</v>
      </c>
      <c r="M1917" s="75"/>
      <c r="N1917" s="70"/>
      <c r="O1917" s="77" t="s">
        <v>179</v>
      </c>
      <c r="P1917" s="79">
        <v>45106.625</v>
      </c>
      <c r="Q1917" s="77" t="s">
        <v>3156</v>
      </c>
      <c r="R1917" s="77">
        <v>0</v>
      </c>
      <c r="S1917" s="77">
        <v>0</v>
      </c>
      <c r="T1917" s="77">
        <v>0</v>
      </c>
      <c r="U1917" s="77">
        <v>0</v>
      </c>
      <c r="V1917" s="77">
        <v>98</v>
      </c>
      <c r="W1917" s="82" t="s">
        <v>6083</v>
      </c>
      <c r="X1917" s="77"/>
      <c r="Y1917" s="77"/>
      <c r="Z1917" s="77"/>
      <c r="AA1917" s="77" t="s">
        <v>8480</v>
      </c>
      <c r="AB1917" s="77" t="s">
        <v>10130</v>
      </c>
      <c r="AC1917" s="82" t="s">
        <v>10150</v>
      </c>
      <c r="AD1917" s="77" t="s">
        <v>10184</v>
      </c>
      <c r="AE1917" s="80" t="str">
        <f>HYPERLINK("https://twitter.com/6de6_palpites/status/1674432534187331584")</f>
        <v>https://twitter.com/6de6_palpites/status/1674432534187331584</v>
      </c>
      <c r="AF1917" s="79">
        <v>45106.625</v>
      </c>
      <c r="AG1917" s="85">
        <v>45106</v>
      </c>
      <c r="AH1917" s="82" t="s">
        <v>12034</v>
      </c>
      <c r="AI1917" s="77" t="b">
        <v>0</v>
      </c>
      <c r="AJ1917" s="77"/>
      <c r="AK1917" s="77"/>
      <c r="AL1917" s="77"/>
      <c r="AM1917" s="77"/>
      <c r="AN1917" s="77"/>
      <c r="AO1917" s="77"/>
      <c r="AP1917" s="77"/>
      <c r="AQ1917" s="77" t="s">
        <v>15124</v>
      </c>
      <c r="AR1917" s="77"/>
      <c r="AS1917" s="77"/>
      <c r="AT1917" s="77"/>
      <c r="AU1917" s="77"/>
      <c r="AV1917" s="80" t="str">
        <f>HYPERLINK("https://pbs.twimg.com/media/Fzy-g0waMAMLUcd.jpg")</f>
        <v>https://pbs.twimg.com/media/Fzy-g0waMAMLUcd.jpg</v>
      </c>
      <c r="AW1917" s="82" t="s">
        <v>18685</v>
      </c>
      <c r="AX1917" s="82" t="s">
        <v>18685</v>
      </c>
      <c r="AY1917" s="77"/>
      <c r="AZ1917" s="82" t="s">
        <v>20971</v>
      </c>
      <c r="BA1917" s="82" t="s">
        <v>20971</v>
      </c>
      <c r="BB1917" s="82" t="s">
        <v>20971</v>
      </c>
      <c r="BC1917" s="82" t="s">
        <v>18685</v>
      </c>
      <c r="BD1917" s="82" t="s">
        <v>20938</v>
      </c>
      <c r="BE1917" s="77"/>
      <c r="BF1917" s="77"/>
      <c r="BG1917" s="77"/>
      <c r="BH1917" s="77"/>
      <c r="BI1917" s="77"/>
    </row>
    <row r="1918" spans="1:61" x14ac:dyDescent="0.25">
      <c r="A1918" s="62" t="s">
        <v>708</v>
      </c>
      <c r="B1918" s="62" t="s">
        <v>708</v>
      </c>
      <c r="C1918" s="63"/>
      <c r="D1918" s="64"/>
      <c r="E1918" s="65"/>
      <c r="F1918" s="66"/>
      <c r="G1918" s="63"/>
      <c r="H1918" s="67"/>
      <c r="I1918" s="68"/>
      <c r="J1918" s="68"/>
      <c r="K1918" s="32"/>
      <c r="L1918" s="75">
        <v>1918</v>
      </c>
      <c r="M1918" s="75"/>
      <c r="N1918" s="70"/>
      <c r="O1918" s="77" t="s">
        <v>1284</v>
      </c>
      <c r="P1918" s="79">
        <v>45105.919386574074</v>
      </c>
      <c r="Q1918" s="77" t="s">
        <v>3157</v>
      </c>
      <c r="R1918" s="77">
        <v>0</v>
      </c>
      <c r="S1918" s="77">
        <v>0</v>
      </c>
      <c r="T1918" s="77">
        <v>0</v>
      </c>
      <c r="U1918" s="77">
        <v>0</v>
      </c>
      <c r="V1918" s="77">
        <v>25</v>
      </c>
      <c r="W1918" s="82" t="s">
        <v>6086</v>
      </c>
      <c r="X1918" s="77"/>
      <c r="Y1918" s="77"/>
      <c r="Z1918" s="77"/>
      <c r="AA1918" s="77"/>
      <c r="AB1918" s="77"/>
      <c r="AC1918" s="82" t="s">
        <v>10144</v>
      </c>
      <c r="AD1918" s="77" t="s">
        <v>10184</v>
      </c>
      <c r="AE1918" s="80" t="str">
        <f>HYPERLINK("https://twitter.com/6de6_palpites/status/1674176831086288897")</f>
        <v>https://twitter.com/6de6_palpites/status/1674176831086288897</v>
      </c>
      <c r="AF1918" s="79">
        <v>45105.919386574074</v>
      </c>
      <c r="AG1918" s="85">
        <v>45105</v>
      </c>
      <c r="AH1918" s="82" t="s">
        <v>12035</v>
      </c>
      <c r="AI1918" s="77"/>
      <c r="AJ1918" s="77"/>
      <c r="AK1918" s="77"/>
      <c r="AL1918" s="77"/>
      <c r="AM1918" s="77"/>
      <c r="AN1918" s="77"/>
      <c r="AO1918" s="77"/>
      <c r="AP1918" s="77"/>
      <c r="AQ1918" s="77"/>
      <c r="AR1918" s="77"/>
      <c r="AS1918" s="77"/>
      <c r="AT1918" s="77"/>
      <c r="AU1918" s="77"/>
      <c r="AV1918" s="80" t="str">
        <f>HYPERLINK("https://pbs.twimg.com/profile_images/1648771185235165184/WFqM_Jlh_normal.jpg")</f>
        <v>https://pbs.twimg.com/profile_images/1648771185235165184/WFqM_Jlh_normal.jpg</v>
      </c>
      <c r="AW1918" s="82" t="s">
        <v>18686</v>
      </c>
      <c r="AX1918" s="82" t="s">
        <v>20843</v>
      </c>
      <c r="AY1918" s="82" t="s">
        <v>20938</v>
      </c>
      <c r="AZ1918" s="82" t="s">
        <v>20843</v>
      </c>
      <c r="BA1918" s="82" t="s">
        <v>20971</v>
      </c>
      <c r="BB1918" s="82" t="s">
        <v>20971</v>
      </c>
      <c r="BC1918" s="82" t="s">
        <v>20843</v>
      </c>
      <c r="BD1918" s="82" t="s">
        <v>20938</v>
      </c>
      <c r="BE1918" s="77"/>
      <c r="BF1918" s="77"/>
      <c r="BG1918" s="77"/>
      <c r="BH1918" s="77"/>
      <c r="BI1918" s="77"/>
    </row>
    <row r="1919" spans="1:61" x14ac:dyDescent="0.25">
      <c r="A1919" s="62" t="s">
        <v>708</v>
      </c>
      <c r="B1919" s="62" t="s">
        <v>708</v>
      </c>
      <c r="C1919" s="63"/>
      <c r="D1919" s="64"/>
      <c r="E1919" s="65"/>
      <c r="F1919" s="66"/>
      <c r="G1919" s="63"/>
      <c r="H1919" s="67"/>
      <c r="I1919" s="68"/>
      <c r="J1919" s="68"/>
      <c r="K1919" s="32"/>
      <c r="L1919" s="75">
        <v>1919</v>
      </c>
      <c r="M1919" s="75"/>
      <c r="N1919" s="70"/>
      <c r="O1919" s="77" t="s">
        <v>179</v>
      </c>
      <c r="P1919" s="79">
        <v>45104.875011574077</v>
      </c>
      <c r="Q1919" s="77" t="s">
        <v>3158</v>
      </c>
      <c r="R1919" s="77">
        <v>0</v>
      </c>
      <c r="S1919" s="77">
        <v>1</v>
      </c>
      <c r="T1919" s="77">
        <v>0</v>
      </c>
      <c r="U1919" s="77">
        <v>0</v>
      </c>
      <c r="V1919" s="77">
        <v>59</v>
      </c>
      <c r="W1919" s="82" t="s">
        <v>6103</v>
      </c>
      <c r="X1919" s="77"/>
      <c r="Y1919" s="77"/>
      <c r="Z1919" s="77"/>
      <c r="AA1919" s="77" t="s">
        <v>8481</v>
      </c>
      <c r="AB1919" s="77" t="s">
        <v>10130</v>
      </c>
      <c r="AC1919" s="82" t="s">
        <v>10150</v>
      </c>
      <c r="AD1919" s="77" t="s">
        <v>10184</v>
      </c>
      <c r="AE1919" s="80" t="str">
        <f>HYPERLINK("https://twitter.com/6de6_palpites/status/1673798360040366081")</f>
        <v>https://twitter.com/6de6_palpites/status/1673798360040366081</v>
      </c>
      <c r="AF1919" s="79">
        <v>45104.875011574077</v>
      </c>
      <c r="AG1919" s="85">
        <v>45104</v>
      </c>
      <c r="AH1919" s="82" t="s">
        <v>12036</v>
      </c>
      <c r="AI1919" s="77" t="b">
        <v>0</v>
      </c>
      <c r="AJ1919" s="77"/>
      <c r="AK1919" s="77"/>
      <c r="AL1919" s="77"/>
      <c r="AM1919" s="77"/>
      <c r="AN1919" s="77"/>
      <c r="AO1919" s="77"/>
      <c r="AP1919" s="77"/>
      <c r="AQ1919" s="77" t="s">
        <v>15125</v>
      </c>
      <c r="AR1919" s="77"/>
      <c r="AS1919" s="77"/>
      <c r="AT1919" s="77"/>
      <c r="AU1919" s="77"/>
      <c r="AV1919" s="80" t="str">
        <f>HYPERLINK("https://pbs.twimg.com/media/FzpeKc2XsAAYcNw.jpg")</f>
        <v>https://pbs.twimg.com/media/FzpeKc2XsAAYcNw.jpg</v>
      </c>
      <c r="AW1919" s="82" t="s">
        <v>18687</v>
      </c>
      <c r="AX1919" s="82" t="s">
        <v>18687</v>
      </c>
      <c r="AY1919" s="77"/>
      <c r="AZ1919" s="82" t="s">
        <v>20971</v>
      </c>
      <c r="BA1919" s="82" t="s">
        <v>20971</v>
      </c>
      <c r="BB1919" s="82" t="s">
        <v>20971</v>
      </c>
      <c r="BC1919" s="82" t="s">
        <v>18687</v>
      </c>
      <c r="BD1919" s="82" t="s">
        <v>20938</v>
      </c>
      <c r="BE1919" s="77"/>
      <c r="BF1919" s="77"/>
      <c r="BG1919" s="77"/>
      <c r="BH1919" s="77"/>
      <c r="BI1919" s="77"/>
    </row>
    <row r="1920" spans="1:61" x14ac:dyDescent="0.25">
      <c r="A1920" s="62" t="s">
        <v>708</v>
      </c>
      <c r="B1920" s="62" t="s">
        <v>708</v>
      </c>
      <c r="C1920" s="63"/>
      <c r="D1920" s="64"/>
      <c r="E1920" s="65"/>
      <c r="F1920" s="66"/>
      <c r="G1920" s="63"/>
      <c r="H1920" s="67"/>
      <c r="I1920" s="68"/>
      <c r="J1920" s="68"/>
      <c r="K1920" s="32"/>
      <c r="L1920" s="75">
        <v>1920</v>
      </c>
      <c r="M1920" s="75"/>
      <c r="N1920" s="70"/>
      <c r="O1920" s="77" t="s">
        <v>179</v>
      </c>
      <c r="P1920" s="79">
        <v>45104.621828703705</v>
      </c>
      <c r="Q1920" s="77" t="s">
        <v>3159</v>
      </c>
      <c r="R1920" s="77">
        <v>0</v>
      </c>
      <c r="S1920" s="77">
        <v>0</v>
      </c>
      <c r="T1920" s="77">
        <v>0</v>
      </c>
      <c r="U1920" s="77">
        <v>0</v>
      </c>
      <c r="V1920" s="77">
        <v>83</v>
      </c>
      <c r="W1920" s="82" t="s">
        <v>6104</v>
      </c>
      <c r="X1920" s="80" t="str">
        <f>HYPERLINK("http://betbolacom.page.link/Tweet")</f>
        <v>http://betbolacom.page.link/Tweet</v>
      </c>
      <c r="Y1920" s="77" t="s">
        <v>7378</v>
      </c>
      <c r="Z1920" s="77"/>
      <c r="AA1920" s="77" t="s">
        <v>8482</v>
      </c>
      <c r="AB1920" s="77" t="s">
        <v>10129</v>
      </c>
      <c r="AC1920" s="82" t="s">
        <v>10144</v>
      </c>
      <c r="AD1920" s="77" t="s">
        <v>10184</v>
      </c>
      <c r="AE1920" s="80" t="str">
        <f>HYPERLINK("https://twitter.com/6de6_palpites/status/1673706610776997888")</f>
        <v>https://twitter.com/6de6_palpites/status/1673706610776997888</v>
      </c>
      <c r="AF1920" s="79">
        <v>45104.621828703705</v>
      </c>
      <c r="AG1920" s="85">
        <v>45104</v>
      </c>
      <c r="AH1920" s="82" t="s">
        <v>12037</v>
      </c>
      <c r="AI1920" s="77" t="b">
        <v>0</v>
      </c>
      <c r="AJ1920" s="77"/>
      <c r="AK1920" s="77"/>
      <c r="AL1920" s="77"/>
      <c r="AM1920" s="77"/>
      <c r="AN1920" s="77"/>
      <c r="AO1920" s="77"/>
      <c r="AP1920" s="77"/>
      <c r="AQ1920" s="77" t="s">
        <v>15126</v>
      </c>
      <c r="AR1920" s="77">
        <v>6920</v>
      </c>
      <c r="AS1920" s="77"/>
      <c r="AT1920" s="77"/>
      <c r="AU1920" s="77"/>
      <c r="AV1920" s="80" t="str">
        <f>HYPERLINK("https://pbs.twimg.com/ext_tw_video_thumb/1673706577331732480/pu/img/-L5juZx3nfUa0Swd.jpg")</f>
        <v>https://pbs.twimg.com/ext_tw_video_thumb/1673706577331732480/pu/img/-L5juZx3nfUa0Swd.jpg</v>
      </c>
      <c r="AW1920" s="82" t="s">
        <v>18688</v>
      </c>
      <c r="AX1920" s="82" t="s">
        <v>18688</v>
      </c>
      <c r="AY1920" s="77"/>
      <c r="AZ1920" s="82" t="s">
        <v>20971</v>
      </c>
      <c r="BA1920" s="82" t="s">
        <v>20971</v>
      </c>
      <c r="BB1920" s="82" t="s">
        <v>20971</v>
      </c>
      <c r="BC1920" s="82" t="s">
        <v>18688</v>
      </c>
      <c r="BD1920" s="82" t="s">
        <v>20938</v>
      </c>
      <c r="BE1920" s="77"/>
      <c r="BF1920" s="77"/>
      <c r="BG1920" s="77"/>
      <c r="BH1920" s="77"/>
      <c r="BI1920" s="77"/>
    </row>
    <row r="1921" spans="1:61" x14ac:dyDescent="0.25">
      <c r="A1921" s="62" t="s">
        <v>708</v>
      </c>
      <c r="B1921" s="62" t="s">
        <v>708</v>
      </c>
      <c r="C1921" s="63"/>
      <c r="D1921" s="64"/>
      <c r="E1921" s="65"/>
      <c r="F1921" s="66"/>
      <c r="G1921" s="63"/>
      <c r="H1921" s="67"/>
      <c r="I1921" s="68"/>
      <c r="J1921" s="68"/>
      <c r="K1921" s="32"/>
      <c r="L1921" s="75">
        <v>1921</v>
      </c>
      <c r="M1921" s="75"/>
      <c r="N1921" s="70"/>
      <c r="O1921" s="77" t="s">
        <v>179</v>
      </c>
      <c r="P1921" s="79">
        <v>45103.728078703702</v>
      </c>
      <c r="Q1921" s="77" t="s">
        <v>3160</v>
      </c>
      <c r="R1921" s="77">
        <v>0</v>
      </c>
      <c r="S1921" s="77">
        <v>2</v>
      </c>
      <c r="T1921" s="77">
        <v>0</v>
      </c>
      <c r="U1921" s="77">
        <v>0</v>
      </c>
      <c r="V1921" s="77">
        <v>259</v>
      </c>
      <c r="W1921" s="82" t="s">
        <v>6105</v>
      </c>
      <c r="X1921" s="77"/>
      <c r="Y1921" s="77"/>
      <c r="Z1921" s="77"/>
      <c r="AA1921" s="77" t="s">
        <v>8483</v>
      </c>
      <c r="AB1921" s="77" t="s">
        <v>10129</v>
      </c>
      <c r="AC1921" s="82" t="s">
        <v>10144</v>
      </c>
      <c r="AD1921" s="77" t="s">
        <v>10184</v>
      </c>
      <c r="AE1921" s="80" t="str">
        <f>HYPERLINK("https://twitter.com/6de6_palpites/status/1673382727247077392")</f>
        <v>https://twitter.com/6de6_palpites/status/1673382727247077392</v>
      </c>
      <c r="AF1921" s="79">
        <v>45103.728078703702</v>
      </c>
      <c r="AG1921" s="85">
        <v>45103</v>
      </c>
      <c r="AH1921" s="82" t="s">
        <v>12038</v>
      </c>
      <c r="AI1921" s="77" t="b">
        <v>0</v>
      </c>
      <c r="AJ1921" s="77"/>
      <c r="AK1921" s="77"/>
      <c r="AL1921" s="77"/>
      <c r="AM1921" s="77"/>
      <c r="AN1921" s="77"/>
      <c r="AO1921" s="77"/>
      <c r="AP1921" s="77"/>
      <c r="AQ1921" s="77" t="s">
        <v>15127</v>
      </c>
      <c r="AR1921" s="77">
        <v>44964</v>
      </c>
      <c r="AS1921" s="77"/>
      <c r="AT1921" s="77"/>
      <c r="AU1921" s="77"/>
      <c r="AV1921" s="80" t="str">
        <f>HYPERLINK("https://pbs.twimg.com/ext_tw_video_thumb/1673382669273407493/pu/img/0p3Mas4F2jv6o4Y6.jpg")</f>
        <v>https://pbs.twimg.com/ext_tw_video_thumb/1673382669273407493/pu/img/0p3Mas4F2jv6o4Y6.jpg</v>
      </c>
      <c r="AW1921" s="82" t="s">
        <v>18689</v>
      </c>
      <c r="AX1921" s="82" t="s">
        <v>18689</v>
      </c>
      <c r="AY1921" s="77"/>
      <c r="AZ1921" s="82" t="s">
        <v>20971</v>
      </c>
      <c r="BA1921" s="82" t="s">
        <v>20971</v>
      </c>
      <c r="BB1921" s="82" t="s">
        <v>20971</v>
      </c>
      <c r="BC1921" s="82" t="s">
        <v>18689</v>
      </c>
      <c r="BD1921" s="82" t="s">
        <v>20938</v>
      </c>
      <c r="BE1921" s="77"/>
      <c r="BF1921" s="77"/>
      <c r="BG1921" s="77"/>
      <c r="BH1921" s="77"/>
      <c r="BI1921" s="77"/>
    </row>
    <row r="1922" spans="1:61" x14ac:dyDescent="0.25">
      <c r="A1922" s="62" t="s">
        <v>708</v>
      </c>
      <c r="B1922" s="62" t="s">
        <v>708</v>
      </c>
      <c r="C1922" s="63"/>
      <c r="D1922" s="64"/>
      <c r="E1922" s="65"/>
      <c r="F1922" s="66"/>
      <c r="G1922" s="63"/>
      <c r="H1922" s="67"/>
      <c r="I1922" s="68"/>
      <c r="J1922" s="68"/>
      <c r="K1922" s="32"/>
      <c r="L1922" s="75">
        <v>1922</v>
      </c>
      <c r="M1922" s="75"/>
      <c r="N1922" s="70"/>
      <c r="O1922" s="77" t="s">
        <v>179</v>
      </c>
      <c r="P1922" s="79">
        <v>45102.964548611111</v>
      </c>
      <c r="Q1922" s="77" t="s">
        <v>3161</v>
      </c>
      <c r="R1922" s="77">
        <v>0</v>
      </c>
      <c r="S1922" s="77">
        <v>1</v>
      </c>
      <c r="T1922" s="77">
        <v>1</v>
      </c>
      <c r="U1922" s="77">
        <v>0</v>
      </c>
      <c r="V1922" s="77">
        <v>136</v>
      </c>
      <c r="W1922" s="82" t="s">
        <v>6083</v>
      </c>
      <c r="X1922" s="77"/>
      <c r="Y1922" s="77"/>
      <c r="Z1922" s="77"/>
      <c r="AA1922" s="77" t="s">
        <v>8484</v>
      </c>
      <c r="AB1922" s="77" t="s">
        <v>10130</v>
      </c>
      <c r="AC1922" s="82" t="s">
        <v>10144</v>
      </c>
      <c r="AD1922" s="77" t="s">
        <v>10184</v>
      </c>
      <c r="AE1922" s="80" t="str">
        <f>HYPERLINK("https://twitter.com/6de6_palpites/status/1673106033659478016")</f>
        <v>https://twitter.com/6de6_palpites/status/1673106033659478016</v>
      </c>
      <c r="AF1922" s="79">
        <v>45102.964548611111</v>
      </c>
      <c r="AG1922" s="85">
        <v>45102</v>
      </c>
      <c r="AH1922" s="82" t="s">
        <v>12039</v>
      </c>
      <c r="AI1922" s="77" t="b">
        <v>0</v>
      </c>
      <c r="AJ1922" s="77"/>
      <c r="AK1922" s="77"/>
      <c r="AL1922" s="77"/>
      <c r="AM1922" s="77"/>
      <c r="AN1922" s="77"/>
      <c r="AO1922" s="77"/>
      <c r="AP1922" s="77"/>
      <c r="AQ1922" s="77" t="s">
        <v>15128</v>
      </c>
      <c r="AR1922" s="77"/>
      <c r="AS1922" s="77"/>
      <c r="AT1922" s="77"/>
      <c r="AU1922" s="77"/>
      <c r="AV1922" s="80" t="str">
        <f>HYPERLINK("https://pbs.twimg.com/media/FzgREF_WwAEoWd_.jpg")</f>
        <v>https://pbs.twimg.com/media/FzgREF_WwAEoWd_.jpg</v>
      </c>
      <c r="AW1922" s="82" t="s">
        <v>18690</v>
      </c>
      <c r="AX1922" s="82" t="s">
        <v>18690</v>
      </c>
      <c r="AY1922" s="77"/>
      <c r="AZ1922" s="82" t="s">
        <v>20971</v>
      </c>
      <c r="BA1922" s="82" t="s">
        <v>20971</v>
      </c>
      <c r="BB1922" s="82" t="s">
        <v>20971</v>
      </c>
      <c r="BC1922" s="82" t="s">
        <v>18690</v>
      </c>
      <c r="BD1922" s="82" t="s">
        <v>20938</v>
      </c>
      <c r="BE1922" s="77"/>
      <c r="BF1922" s="77"/>
      <c r="BG1922" s="77"/>
      <c r="BH1922" s="77"/>
      <c r="BI1922" s="77"/>
    </row>
    <row r="1923" spans="1:61" x14ac:dyDescent="0.25">
      <c r="A1923" s="62" t="s">
        <v>708</v>
      </c>
      <c r="B1923" s="62" t="s">
        <v>708</v>
      </c>
      <c r="C1923" s="63"/>
      <c r="D1923" s="64"/>
      <c r="E1923" s="65"/>
      <c r="F1923" s="66"/>
      <c r="G1923" s="63"/>
      <c r="H1923" s="67"/>
      <c r="I1923" s="68"/>
      <c r="J1923" s="68"/>
      <c r="K1923" s="32"/>
      <c r="L1923" s="75">
        <v>1923</v>
      </c>
      <c r="M1923" s="75"/>
      <c r="N1923" s="70"/>
      <c r="O1923" s="77" t="s">
        <v>179</v>
      </c>
      <c r="P1923" s="79">
        <v>45086.770833333336</v>
      </c>
      <c r="Q1923" s="77" t="s">
        <v>3162</v>
      </c>
      <c r="R1923" s="77">
        <v>0</v>
      </c>
      <c r="S1923" s="77">
        <v>0</v>
      </c>
      <c r="T1923" s="77">
        <v>0</v>
      </c>
      <c r="U1923" s="77">
        <v>0</v>
      </c>
      <c r="V1923" s="77">
        <v>84</v>
      </c>
      <c r="W1923" s="82" t="s">
        <v>6089</v>
      </c>
      <c r="X1923" s="80" t="str">
        <f>HYPERLINK("https://www.tiktok.com/@6de6.palpites")</f>
        <v>https://www.tiktok.com/@6de6.palpites</v>
      </c>
      <c r="Y1923" s="77" t="s">
        <v>7306</v>
      </c>
      <c r="Z1923" s="77"/>
      <c r="AA1923" s="77" t="s">
        <v>8485</v>
      </c>
      <c r="AB1923" s="77" t="s">
        <v>10130</v>
      </c>
      <c r="AC1923" s="82" t="s">
        <v>10161</v>
      </c>
      <c r="AD1923" s="77" t="s">
        <v>10184</v>
      </c>
      <c r="AE1923" s="80" t="str">
        <f>HYPERLINK("https://twitter.com/6de6_palpites/status/1667237626208976897")</f>
        <v>https://twitter.com/6de6_palpites/status/1667237626208976897</v>
      </c>
      <c r="AF1923" s="79">
        <v>45086.770833333336</v>
      </c>
      <c r="AG1923" s="85">
        <v>45086</v>
      </c>
      <c r="AH1923" s="82" t="s">
        <v>12040</v>
      </c>
      <c r="AI1923" s="77" t="b">
        <v>0</v>
      </c>
      <c r="AJ1923" s="77"/>
      <c r="AK1923" s="77"/>
      <c r="AL1923" s="77"/>
      <c r="AM1923" s="77"/>
      <c r="AN1923" s="77"/>
      <c r="AO1923" s="77"/>
      <c r="AP1923" s="77"/>
      <c r="AQ1923" s="77" t="s">
        <v>15129</v>
      </c>
      <c r="AR1923" s="77"/>
      <c r="AS1923" s="77"/>
      <c r="AT1923" s="77"/>
      <c r="AU1923" s="77"/>
      <c r="AV1923" s="80" t="str">
        <f>HYPERLINK("https://pbs.twimg.com/media/FyL_vqiX0AISWdQ.jpg")</f>
        <v>https://pbs.twimg.com/media/FyL_vqiX0AISWdQ.jpg</v>
      </c>
      <c r="AW1923" s="82" t="s">
        <v>18691</v>
      </c>
      <c r="AX1923" s="82" t="s">
        <v>18691</v>
      </c>
      <c r="AY1923" s="77"/>
      <c r="AZ1923" s="82" t="s">
        <v>20971</v>
      </c>
      <c r="BA1923" s="82" t="s">
        <v>20971</v>
      </c>
      <c r="BB1923" s="82" t="s">
        <v>20971</v>
      </c>
      <c r="BC1923" s="82" t="s">
        <v>18691</v>
      </c>
      <c r="BD1923" s="82" t="s">
        <v>20938</v>
      </c>
      <c r="BE1923" s="77"/>
      <c r="BF1923" s="77"/>
      <c r="BG1923" s="77"/>
      <c r="BH1923" s="77"/>
      <c r="BI1923" s="77"/>
    </row>
    <row r="1924" spans="1:61" x14ac:dyDescent="0.25">
      <c r="A1924" s="62" t="s">
        <v>708</v>
      </c>
      <c r="B1924" s="62" t="s">
        <v>708</v>
      </c>
      <c r="C1924" s="63"/>
      <c r="D1924" s="64"/>
      <c r="E1924" s="65"/>
      <c r="F1924" s="66"/>
      <c r="G1924" s="63"/>
      <c r="H1924" s="67"/>
      <c r="I1924" s="68"/>
      <c r="J1924" s="68"/>
      <c r="K1924" s="32"/>
      <c r="L1924" s="75">
        <v>1924</v>
      </c>
      <c r="M1924" s="75"/>
      <c r="N1924" s="70"/>
      <c r="O1924" s="77" t="s">
        <v>179</v>
      </c>
      <c r="P1924" s="79">
        <v>45086.592361111114</v>
      </c>
      <c r="Q1924" s="77" t="s">
        <v>3163</v>
      </c>
      <c r="R1924" s="77">
        <v>0</v>
      </c>
      <c r="S1924" s="77">
        <v>0</v>
      </c>
      <c r="T1924" s="77">
        <v>0</v>
      </c>
      <c r="U1924" s="77">
        <v>0</v>
      </c>
      <c r="V1924" s="77">
        <v>50</v>
      </c>
      <c r="W1924" s="82" t="s">
        <v>6081</v>
      </c>
      <c r="X1924" s="80" t="str">
        <f>HYPERLINK("http://bitly.ws/HRhT")</f>
        <v>http://bitly.ws/HRhT</v>
      </c>
      <c r="Y1924" s="77" t="s">
        <v>7379</v>
      </c>
      <c r="Z1924" s="77"/>
      <c r="AA1924" s="77" t="s">
        <v>8486</v>
      </c>
      <c r="AB1924" s="77" t="s">
        <v>10129</v>
      </c>
      <c r="AC1924" s="82" t="s">
        <v>10161</v>
      </c>
      <c r="AD1924" s="77" t="s">
        <v>10184</v>
      </c>
      <c r="AE1924" s="80" t="str">
        <f>HYPERLINK("https://twitter.com/6de6_palpites/status/1667172948715921408")</f>
        <v>https://twitter.com/6de6_palpites/status/1667172948715921408</v>
      </c>
      <c r="AF1924" s="79">
        <v>45086.592361111114</v>
      </c>
      <c r="AG1924" s="85">
        <v>45086</v>
      </c>
      <c r="AH1924" s="82" t="s">
        <v>12041</v>
      </c>
      <c r="AI1924" s="77" t="b">
        <v>0</v>
      </c>
      <c r="AJ1924" s="77"/>
      <c r="AK1924" s="77"/>
      <c r="AL1924" s="77"/>
      <c r="AM1924" s="77"/>
      <c r="AN1924" s="77"/>
      <c r="AO1924" s="77"/>
      <c r="AP1924" s="77"/>
      <c r="AQ1924" s="77" t="s">
        <v>15130</v>
      </c>
      <c r="AR1924" s="77">
        <v>10000</v>
      </c>
      <c r="AS1924" s="77"/>
      <c r="AT1924" s="77"/>
      <c r="AU1924" s="77"/>
      <c r="AV1924" s="80" t="str">
        <f>HYPERLINK("https://pbs.twimg.com/ext_tw_video_thumb/1667167944554561539/pu/img/ozaVPsH8iPb30JSV.jpg")</f>
        <v>https://pbs.twimg.com/ext_tw_video_thumb/1667167944554561539/pu/img/ozaVPsH8iPb30JSV.jpg</v>
      </c>
      <c r="AW1924" s="82" t="s">
        <v>18692</v>
      </c>
      <c r="AX1924" s="82" t="s">
        <v>18692</v>
      </c>
      <c r="AY1924" s="77"/>
      <c r="AZ1924" s="82" t="s">
        <v>20971</v>
      </c>
      <c r="BA1924" s="82" t="s">
        <v>20971</v>
      </c>
      <c r="BB1924" s="82" t="s">
        <v>20971</v>
      </c>
      <c r="BC1924" s="82" t="s">
        <v>18692</v>
      </c>
      <c r="BD1924" s="82" t="s">
        <v>20938</v>
      </c>
      <c r="BE1924" s="77"/>
      <c r="BF1924" s="77"/>
      <c r="BG1924" s="77"/>
      <c r="BH1924" s="77"/>
      <c r="BI1924" s="77"/>
    </row>
    <row r="1925" spans="1:61" x14ac:dyDescent="0.25">
      <c r="A1925" s="62" t="s">
        <v>708</v>
      </c>
      <c r="B1925" s="62" t="s">
        <v>708</v>
      </c>
      <c r="C1925" s="63"/>
      <c r="D1925" s="64"/>
      <c r="E1925" s="65"/>
      <c r="F1925" s="66"/>
      <c r="G1925" s="63"/>
      <c r="H1925" s="67"/>
      <c r="I1925" s="68"/>
      <c r="J1925" s="68"/>
      <c r="K1925" s="32"/>
      <c r="L1925" s="75">
        <v>1925</v>
      </c>
      <c r="M1925" s="75"/>
      <c r="N1925" s="70"/>
      <c r="O1925" s="77" t="s">
        <v>179</v>
      </c>
      <c r="P1925" s="79">
        <v>45085.628553240742</v>
      </c>
      <c r="Q1925" s="77" t="s">
        <v>3164</v>
      </c>
      <c r="R1925" s="77">
        <v>1</v>
      </c>
      <c r="S1925" s="77">
        <v>2</v>
      </c>
      <c r="T1925" s="77">
        <v>0</v>
      </c>
      <c r="U1925" s="77">
        <v>0</v>
      </c>
      <c r="V1925" s="77">
        <v>100</v>
      </c>
      <c r="W1925" s="82" t="s">
        <v>6089</v>
      </c>
      <c r="X1925" s="77"/>
      <c r="Y1925" s="77"/>
      <c r="Z1925" s="77"/>
      <c r="AA1925" s="77" t="s">
        <v>8487</v>
      </c>
      <c r="AB1925" s="77" t="s">
        <v>10130</v>
      </c>
      <c r="AC1925" s="82" t="s">
        <v>10146</v>
      </c>
      <c r="AD1925" s="77" t="s">
        <v>10184</v>
      </c>
      <c r="AE1925" s="80" t="str">
        <f>HYPERLINK("https://twitter.com/6de6_palpites/status/1666823675813953536")</f>
        <v>https://twitter.com/6de6_palpites/status/1666823675813953536</v>
      </c>
      <c r="AF1925" s="79">
        <v>45085.628553240742</v>
      </c>
      <c r="AG1925" s="85">
        <v>45085</v>
      </c>
      <c r="AH1925" s="82" t="s">
        <v>12042</v>
      </c>
      <c r="AI1925" s="77" t="b">
        <v>0</v>
      </c>
      <c r="AJ1925" s="77"/>
      <c r="AK1925" s="77"/>
      <c r="AL1925" s="77"/>
      <c r="AM1925" s="77"/>
      <c r="AN1925" s="77"/>
      <c r="AO1925" s="77"/>
      <c r="AP1925" s="77"/>
      <c r="AQ1925" s="77" t="s">
        <v>15131</v>
      </c>
      <c r="AR1925" s="77"/>
      <c r="AS1925" s="77"/>
      <c r="AT1925" s="77"/>
      <c r="AU1925" s="77"/>
      <c r="AV1925" s="80" t="str">
        <f>HYPERLINK("https://pbs.twimg.com/media/FyG_P2eacAQMqxK.jpg")</f>
        <v>https://pbs.twimg.com/media/FyG_P2eacAQMqxK.jpg</v>
      </c>
      <c r="AW1925" s="82" t="s">
        <v>18693</v>
      </c>
      <c r="AX1925" s="82" t="s">
        <v>18693</v>
      </c>
      <c r="AY1925" s="77"/>
      <c r="AZ1925" s="82" t="s">
        <v>20971</v>
      </c>
      <c r="BA1925" s="82" t="s">
        <v>20971</v>
      </c>
      <c r="BB1925" s="82" t="s">
        <v>20971</v>
      </c>
      <c r="BC1925" s="82" t="s">
        <v>18693</v>
      </c>
      <c r="BD1925" s="82" t="s">
        <v>20938</v>
      </c>
      <c r="BE1925" s="77"/>
      <c r="BF1925" s="77"/>
      <c r="BG1925" s="77"/>
      <c r="BH1925" s="77"/>
      <c r="BI1925" s="77"/>
    </row>
    <row r="1926" spans="1:61" x14ac:dyDescent="0.25">
      <c r="A1926" s="62" t="s">
        <v>708</v>
      </c>
      <c r="B1926" s="62" t="s">
        <v>708</v>
      </c>
      <c r="C1926" s="63"/>
      <c r="D1926" s="64"/>
      <c r="E1926" s="65"/>
      <c r="F1926" s="66"/>
      <c r="G1926" s="63"/>
      <c r="H1926" s="67"/>
      <c r="I1926" s="68"/>
      <c r="J1926" s="68"/>
      <c r="K1926" s="32"/>
      <c r="L1926" s="75">
        <v>1926</v>
      </c>
      <c r="M1926" s="75"/>
      <c r="N1926" s="70"/>
      <c r="O1926" s="77" t="s">
        <v>179</v>
      </c>
      <c r="P1926" s="79">
        <v>45084.869976851849</v>
      </c>
      <c r="Q1926" s="77" t="s">
        <v>3165</v>
      </c>
      <c r="R1926" s="77">
        <v>0</v>
      </c>
      <c r="S1926" s="77">
        <v>0</v>
      </c>
      <c r="T1926" s="77">
        <v>0</v>
      </c>
      <c r="U1926" s="77">
        <v>0</v>
      </c>
      <c r="V1926" s="77">
        <v>52</v>
      </c>
      <c r="W1926" s="82" t="s">
        <v>6089</v>
      </c>
      <c r="X1926" s="77"/>
      <c r="Y1926" s="77"/>
      <c r="Z1926" s="77"/>
      <c r="AA1926" s="77" t="s">
        <v>8488</v>
      </c>
      <c r="AB1926" s="77" t="s">
        <v>10130</v>
      </c>
      <c r="AC1926" s="82" t="s">
        <v>10146</v>
      </c>
      <c r="AD1926" s="77" t="s">
        <v>10184</v>
      </c>
      <c r="AE1926" s="80" t="str">
        <f>HYPERLINK("https://twitter.com/6de6_palpites/status/1666548778168381446")</f>
        <v>https://twitter.com/6de6_palpites/status/1666548778168381446</v>
      </c>
      <c r="AF1926" s="79">
        <v>45084.869976851849</v>
      </c>
      <c r="AG1926" s="85">
        <v>45084</v>
      </c>
      <c r="AH1926" s="82" t="s">
        <v>12043</v>
      </c>
      <c r="AI1926" s="77" t="b">
        <v>0</v>
      </c>
      <c r="AJ1926" s="77"/>
      <c r="AK1926" s="77"/>
      <c r="AL1926" s="77"/>
      <c r="AM1926" s="77"/>
      <c r="AN1926" s="77"/>
      <c r="AO1926" s="77"/>
      <c r="AP1926" s="77"/>
      <c r="AQ1926" s="77" t="s">
        <v>15132</v>
      </c>
      <c r="AR1926" s="77"/>
      <c r="AS1926" s="77"/>
      <c r="AT1926" s="77"/>
      <c r="AU1926" s="77"/>
      <c r="AV1926" s="80" t="str">
        <f>HYPERLINK("https://pbs.twimg.com/media/FyDFQ7fWAAIrn1N.jpg")</f>
        <v>https://pbs.twimg.com/media/FyDFQ7fWAAIrn1N.jpg</v>
      </c>
      <c r="AW1926" s="82" t="s">
        <v>18694</v>
      </c>
      <c r="AX1926" s="82" t="s">
        <v>18694</v>
      </c>
      <c r="AY1926" s="77"/>
      <c r="AZ1926" s="82" t="s">
        <v>20971</v>
      </c>
      <c r="BA1926" s="82" t="s">
        <v>20971</v>
      </c>
      <c r="BB1926" s="82" t="s">
        <v>20971</v>
      </c>
      <c r="BC1926" s="82" t="s">
        <v>18694</v>
      </c>
      <c r="BD1926" s="82" t="s">
        <v>20938</v>
      </c>
      <c r="BE1926" s="77"/>
      <c r="BF1926" s="77"/>
      <c r="BG1926" s="77"/>
      <c r="BH1926" s="77"/>
      <c r="BI1926" s="77"/>
    </row>
    <row r="1927" spans="1:61" x14ac:dyDescent="0.25">
      <c r="A1927" s="62" t="s">
        <v>708</v>
      </c>
      <c r="B1927" s="62" t="s">
        <v>708</v>
      </c>
      <c r="C1927" s="63"/>
      <c r="D1927" s="64"/>
      <c r="E1927" s="65"/>
      <c r="F1927" s="66"/>
      <c r="G1927" s="63"/>
      <c r="H1927" s="67"/>
      <c r="I1927" s="68"/>
      <c r="J1927" s="68"/>
      <c r="K1927" s="32"/>
      <c r="L1927" s="75">
        <v>1927</v>
      </c>
      <c r="M1927" s="75"/>
      <c r="N1927" s="70"/>
      <c r="O1927" s="77" t="s">
        <v>179</v>
      </c>
      <c r="P1927" s="79">
        <v>45059.922175925924</v>
      </c>
      <c r="Q1927" s="77" t="s">
        <v>3166</v>
      </c>
      <c r="R1927" s="77">
        <v>0</v>
      </c>
      <c r="S1927" s="77">
        <v>0</v>
      </c>
      <c r="T1927" s="77">
        <v>0</v>
      </c>
      <c r="U1927" s="77">
        <v>0</v>
      </c>
      <c r="V1927" s="77">
        <v>72</v>
      </c>
      <c r="W1927" s="82" t="s">
        <v>6087</v>
      </c>
      <c r="X1927" s="77"/>
      <c r="Y1927" s="77"/>
      <c r="Z1927" s="77"/>
      <c r="AA1927" s="77" t="s">
        <v>8489</v>
      </c>
      <c r="AB1927" s="77" t="s">
        <v>10130</v>
      </c>
      <c r="AC1927" s="82" t="s">
        <v>10144</v>
      </c>
      <c r="AD1927" s="77" t="s">
        <v>10184</v>
      </c>
      <c r="AE1927" s="80" t="str">
        <f>HYPERLINK("https://twitter.com/6de6_palpites/status/1657507998489534465")</f>
        <v>https://twitter.com/6de6_palpites/status/1657507998489534465</v>
      </c>
      <c r="AF1927" s="79">
        <v>45059.922175925924</v>
      </c>
      <c r="AG1927" s="85">
        <v>45059</v>
      </c>
      <c r="AH1927" s="82" t="s">
        <v>12044</v>
      </c>
      <c r="AI1927" s="77" t="b">
        <v>0</v>
      </c>
      <c r="AJ1927" s="77"/>
      <c r="AK1927" s="77"/>
      <c r="AL1927" s="77"/>
      <c r="AM1927" s="77"/>
      <c r="AN1927" s="77"/>
      <c r="AO1927" s="77"/>
      <c r="AP1927" s="77"/>
      <c r="AQ1927" s="77" t="s">
        <v>15133</v>
      </c>
      <c r="AR1927" s="77"/>
      <c r="AS1927" s="77"/>
      <c r="AT1927" s="77"/>
      <c r="AU1927" s="77"/>
      <c r="AV1927" s="80" t="str">
        <f>HYPERLINK("https://pbs.twimg.com/media/FwCmvalX0AA-3nK.jpg")</f>
        <v>https://pbs.twimg.com/media/FwCmvalX0AA-3nK.jpg</v>
      </c>
      <c r="AW1927" s="82" t="s">
        <v>18695</v>
      </c>
      <c r="AX1927" s="82" t="s">
        <v>18695</v>
      </c>
      <c r="AY1927" s="77"/>
      <c r="AZ1927" s="82" t="s">
        <v>20971</v>
      </c>
      <c r="BA1927" s="82" t="s">
        <v>20971</v>
      </c>
      <c r="BB1927" s="82" t="s">
        <v>20971</v>
      </c>
      <c r="BC1927" s="82" t="s">
        <v>18695</v>
      </c>
      <c r="BD1927" s="82" t="s">
        <v>20938</v>
      </c>
      <c r="BE1927" s="77"/>
      <c r="BF1927" s="77"/>
      <c r="BG1927" s="77"/>
      <c r="BH1927" s="77"/>
      <c r="BI1927" s="77"/>
    </row>
    <row r="1928" spans="1:61" x14ac:dyDescent="0.25">
      <c r="A1928" s="62" t="s">
        <v>708</v>
      </c>
      <c r="B1928" s="62" t="s">
        <v>708</v>
      </c>
      <c r="C1928" s="63"/>
      <c r="D1928" s="64"/>
      <c r="E1928" s="65"/>
      <c r="F1928" s="66"/>
      <c r="G1928" s="63"/>
      <c r="H1928" s="67"/>
      <c r="I1928" s="68"/>
      <c r="J1928" s="68"/>
      <c r="K1928" s="32"/>
      <c r="L1928" s="75">
        <v>1928</v>
      </c>
      <c r="M1928" s="75"/>
      <c r="N1928" s="70"/>
      <c r="O1928" s="77" t="s">
        <v>179</v>
      </c>
      <c r="P1928" s="79">
        <v>45058.568067129629</v>
      </c>
      <c r="Q1928" s="77" t="s">
        <v>3167</v>
      </c>
      <c r="R1928" s="77">
        <v>0</v>
      </c>
      <c r="S1928" s="77">
        <v>1</v>
      </c>
      <c r="T1928" s="77">
        <v>0</v>
      </c>
      <c r="U1928" s="77">
        <v>0</v>
      </c>
      <c r="V1928" s="77">
        <v>60</v>
      </c>
      <c r="W1928" s="82" t="s">
        <v>6087</v>
      </c>
      <c r="X1928" s="77"/>
      <c r="Y1928" s="77"/>
      <c r="Z1928" s="77"/>
      <c r="AA1928" s="77" t="s">
        <v>8490</v>
      </c>
      <c r="AB1928" s="77" t="s">
        <v>10130</v>
      </c>
      <c r="AC1928" s="82" t="s">
        <v>10161</v>
      </c>
      <c r="AD1928" s="77" t="s">
        <v>10184</v>
      </c>
      <c r="AE1928" s="80" t="str">
        <f>HYPERLINK("https://twitter.com/6de6_palpites/status/1657017286044024832")</f>
        <v>https://twitter.com/6de6_palpites/status/1657017286044024832</v>
      </c>
      <c r="AF1928" s="79">
        <v>45058.568067129629</v>
      </c>
      <c r="AG1928" s="85">
        <v>45058</v>
      </c>
      <c r="AH1928" s="82" t="s">
        <v>12045</v>
      </c>
      <c r="AI1928" s="77" t="b">
        <v>0</v>
      </c>
      <c r="AJ1928" s="77"/>
      <c r="AK1928" s="77"/>
      <c r="AL1928" s="77"/>
      <c r="AM1928" s="77"/>
      <c r="AN1928" s="77"/>
      <c r="AO1928" s="77"/>
      <c r="AP1928" s="77"/>
      <c r="AQ1928" s="77" t="s">
        <v>15134</v>
      </c>
      <c r="AR1928" s="77"/>
      <c r="AS1928" s="77"/>
      <c r="AT1928" s="77"/>
      <c r="AU1928" s="77"/>
      <c r="AV1928" s="80" t="str">
        <f>HYPERLINK("https://pbs.twimg.com/media/Fv7obu4XgAMFu8s.png")</f>
        <v>https://pbs.twimg.com/media/Fv7obu4XgAMFu8s.png</v>
      </c>
      <c r="AW1928" s="82" t="s">
        <v>18696</v>
      </c>
      <c r="AX1928" s="82" t="s">
        <v>18696</v>
      </c>
      <c r="AY1928" s="77"/>
      <c r="AZ1928" s="82" t="s">
        <v>20971</v>
      </c>
      <c r="BA1928" s="82" t="s">
        <v>20971</v>
      </c>
      <c r="BB1928" s="82" t="s">
        <v>20971</v>
      </c>
      <c r="BC1928" s="82" t="s">
        <v>18696</v>
      </c>
      <c r="BD1928" s="82" t="s">
        <v>20938</v>
      </c>
      <c r="BE1928" s="77"/>
      <c r="BF1928" s="77"/>
      <c r="BG1928" s="77"/>
      <c r="BH1928" s="77"/>
      <c r="BI1928" s="77"/>
    </row>
    <row r="1929" spans="1:61" x14ac:dyDescent="0.25">
      <c r="A1929" s="62" t="s">
        <v>708</v>
      </c>
      <c r="B1929" s="62" t="s">
        <v>708</v>
      </c>
      <c r="C1929" s="63"/>
      <c r="D1929" s="64"/>
      <c r="E1929" s="65"/>
      <c r="F1929" s="66"/>
      <c r="G1929" s="63"/>
      <c r="H1929" s="67"/>
      <c r="I1929" s="68"/>
      <c r="J1929" s="68"/>
      <c r="K1929" s="32"/>
      <c r="L1929" s="75">
        <v>1929</v>
      </c>
      <c r="M1929" s="75"/>
      <c r="N1929" s="70"/>
      <c r="O1929" s="77" t="s">
        <v>179</v>
      </c>
      <c r="P1929" s="79">
        <v>45134.88826388889</v>
      </c>
      <c r="Q1929" s="77" t="s">
        <v>3168</v>
      </c>
      <c r="R1929" s="77">
        <v>0</v>
      </c>
      <c r="S1929" s="77">
        <v>0</v>
      </c>
      <c r="T1929" s="77">
        <v>0</v>
      </c>
      <c r="U1929" s="77">
        <v>0</v>
      </c>
      <c r="V1929" s="77">
        <v>95</v>
      </c>
      <c r="W1929" s="82" t="s">
        <v>6106</v>
      </c>
      <c r="X1929" s="77"/>
      <c r="Y1929" s="77"/>
      <c r="Z1929" s="77"/>
      <c r="AA1929" s="77" t="s">
        <v>8491</v>
      </c>
      <c r="AB1929" s="77" t="s">
        <v>10129</v>
      </c>
      <c r="AC1929" s="82" t="s">
        <v>10144</v>
      </c>
      <c r="AD1929" s="77" t="s">
        <v>10184</v>
      </c>
      <c r="AE1929" s="80" t="str">
        <f>HYPERLINK("https://twitter.com/6de6_palpites/status/1684674800021803008")</f>
        <v>https://twitter.com/6de6_palpites/status/1684674800021803008</v>
      </c>
      <c r="AF1929" s="79">
        <v>45134.88826388889</v>
      </c>
      <c r="AG1929" s="85">
        <v>45134</v>
      </c>
      <c r="AH1929" s="82" t="s">
        <v>12046</v>
      </c>
      <c r="AI1929" s="77" t="b">
        <v>0</v>
      </c>
      <c r="AJ1929" s="77"/>
      <c r="AK1929" s="77"/>
      <c r="AL1929" s="77"/>
      <c r="AM1929" s="77"/>
      <c r="AN1929" s="77"/>
      <c r="AO1929" s="77"/>
      <c r="AP1929" s="77"/>
      <c r="AQ1929" s="77" t="s">
        <v>15135</v>
      </c>
      <c r="AR1929" s="77">
        <v>38102</v>
      </c>
      <c r="AS1929" s="77"/>
      <c r="AT1929" s="77"/>
      <c r="AU1929" s="77"/>
      <c r="AV1929" s="80" t="str">
        <f>HYPERLINK("https://pbs.twimg.com/ext_tw_video_thumb/1684673803211689984/pu/img/9yz5EYB8WsYA898X.jpg")</f>
        <v>https://pbs.twimg.com/ext_tw_video_thumb/1684673803211689984/pu/img/9yz5EYB8WsYA898X.jpg</v>
      </c>
      <c r="AW1929" s="82" t="s">
        <v>18697</v>
      </c>
      <c r="AX1929" s="82" t="s">
        <v>18697</v>
      </c>
      <c r="AY1929" s="77"/>
      <c r="AZ1929" s="82" t="s">
        <v>20971</v>
      </c>
      <c r="BA1929" s="82" t="s">
        <v>20971</v>
      </c>
      <c r="BB1929" s="82" t="s">
        <v>20971</v>
      </c>
      <c r="BC1929" s="82" t="s">
        <v>18697</v>
      </c>
      <c r="BD1929" s="82" t="s">
        <v>20938</v>
      </c>
      <c r="BE1929" s="77"/>
      <c r="BF1929" s="77"/>
      <c r="BG1929" s="77"/>
      <c r="BH1929" s="77"/>
      <c r="BI1929" s="77"/>
    </row>
    <row r="1930" spans="1:61" x14ac:dyDescent="0.25">
      <c r="A1930" s="62" t="s">
        <v>708</v>
      </c>
      <c r="B1930" s="62" t="s">
        <v>708</v>
      </c>
      <c r="C1930" s="63"/>
      <c r="D1930" s="64"/>
      <c r="E1930" s="65"/>
      <c r="F1930" s="66"/>
      <c r="G1930" s="63"/>
      <c r="H1930" s="67"/>
      <c r="I1930" s="68"/>
      <c r="J1930" s="68"/>
      <c r="K1930" s="32"/>
      <c r="L1930" s="75">
        <v>1930</v>
      </c>
      <c r="M1930" s="75"/>
      <c r="N1930" s="70"/>
      <c r="O1930" s="77" t="s">
        <v>1284</v>
      </c>
      <c r="P1930" s="79">
        <v>45128.615752314814</v>
      </c>
      <c r="Q1930" s="77" t="s">
        <v>3169</v>
      </c>
      <c r="R1930" s="77">
        <v>0</v>
      </c>
      <c r="S1930" s="77">
        <v>0</v>
      </c>
      <c r="T1930" s="77">
        <v>0</v>
      </c>
      <c r="U1930" s="77">
        <v>0</v>
      </c>
      <c r="V1930" s="77">
        <v>41</v>
      </c>
      <c r="W1930" s="82" t="s">
        <v>6107</v>
      </c>
      <c r="X1930" s="80" t="str">
        <f>HYPERLINK("https://betbolacom.page.link/Tweet")</f>
        <v>https://betbolacom.page.link/Tweet</v>
      </c>
      <c r="Y1930" s="77" t="s">
        <v>7378</v>
      </c>
      <c r="Z1930" s="77"/>
      <c r="AA1930" s="77"/>
      <c r="AB1930" s="77"/>
      <c r="AC1930" s="82" t="s">
        <v>10144</v>
      </c>
      <c r="AD1930" s="77" t="s">
        <v>10184</v>
      </c>
      <c r="AE1930" s="80" t="str">
        <f>HYPERLINK("https://twitter.com/6de6_palpites/status/1682401718573604864")</f>
        <v>https://twitter.com/6de6_palpites/status/1682401718573604864</v>
      </c>
      <c r="AF1930" s="79">
        <v>45128.615752314814</v>
      </c>
      <c r="AG1930" s="85">
        <v>45128</v>
      </c>
      <c r="AH1930" s="82" t="s">
        <v>11225</v>
      </c>
      <c r="AI1930" s="77" t="b">
        <v>0</v>
      </c>
      <c r="AJ1930" s="77"/>
      <c r="AK1930" s="77"/>
      <c r="AL1930" s="77"/>
      <c r="AM1930" s="77"/>
      <c r="AN1930" s="77"/>
      <c r="AO1930" s="77"/>
      <c r="AP1930" s="77"/>
      <c r="AQ1930" s="77"/>
      <c r="AR1930" s="77"/>
      <c r="AS1930" s="77"/>
      <c r="AT1930" s="77"/>
      <c r="AU1930" s="77"/>
      <c r="AV1930" s="80" t="str">
        <f>HYPERLINK("https://pbs.twimg.com/profile_images/1648771185235165184/WFqM_Jlh_normal.jpg")</f>
        <v>https://pbs.twimg.com/profile_images/1648771185235165184/WFqM_Jlh_normal.jpg</v>
      </c>
      <c r="AW1930" s="82" t="s">
        <v>18698</v>
      </c>
      <c r="AX1930" s="82" t="s">
        <v>20844</v>
      </c>
      <c r="AY1930" s="82" t="s">
        <v>20938</v>
      </c>
      <c r="AZ1930" s="82" t="s">
        <v>20844</v>
      </c>
      <c r="BA1930" s="82" t="s">
        <v>20971</v>
      </c>
      <c r="BB1930" s="82" t="s">
        <v>20971</v>
      </c>
      <c r="BC1930" s="82" t="s">
        <v>20844</v>
      </c>
      <c r="BD1930" s="82" t="s">
        <v>20938</v>
      </c>
      <c r="BE1930" s="77"/>
      <c r="BF1930" s="77"/>
      <c r="BG1930" s="77"/>
      <c r="BH1930" s="77"/>
      <c r="BI1930" s="77"/>
    </row>
    <row r="1931" spans="1:61" x14ac:dyDescent="0.25">
      <c r="A1931" s="62" t="s">
        <v>708</v>
      </c>
      <c r="B1931" s="62" t="s">
        <v>708</v>
      </c>
      <c r="C1931" s="63"/>
      <c r="D1931" s="64"/>
      <c r="E1931" s="65"/>
      <c r="F1931" s="66"/>
      <c r="G1931" s="63"/>
      <c r="H1931" s="67"/>
      <c r="I1931" s="68"/>
      <c r="J1931" s="68"/>
      <c r="K1931" s="32"/>
      <c r="L1931" s="75">
        <v>1931</v>
      </c>
      <c r="M1931" s="75"/>
      <c r="N1931" s="70"/>
      <c r="O1931" s="77" t="s">
        <v>1284</v>
      </c>
      <c r="P1931" s="79">
        <v>45127.883969907409</v>
      </c>
      <c r="Q1931" s="77" t="s">
        <v>3170</v>
      </c>
      <c r="R1931" s="77">
        <v>0</v>
      </c>
      <c r="S1931" s="77">
        <v>0</v>
      </c>
      <c r="T1931" s="77">
        <v>0</v>
      </c>
      <c r="U1931" s="77">
        <v>0</v>
      </c>
      <c r="V1931" s="77">
        <v>21</v>
      </c>
      <c r="W1931" s="82" t="s">
        <v>6108</v>
      </c>
      <c r="X1931" s="80" t="str">
        <f>HYPERLINK("https://betbolacom.page.link/Facebook")</f>
        <v>https://betbolacom.page.link/Facebook</v>
      </c>
      <c r="Y1931" s="77" t="s">
        <v>7378</v>
      </c>
      <c r="Z1931" s="77"/>
      <c r="AA1931" s="77"/>
      <c r="AB1931" s="77"/>
      <c r="AC1931" s="82" t="s">
        <v>10144</v>
      </c>
      <c r="AD1931" s="77" t="s">
        <v>10184</v>
      </c>
      <c r="AE1931" s="80" t="str">
        <f>HYPERLINK("https://twitter.com/6de6_palpites/status/1682136528732954627")</f>
        <v>https://twitter.com/6de6_palpites/status/1682136528732954627</v>
      </c>
      <c r="AF1931" s="79">
        <v>45127.883969907409</v>
      </c>
      <c r="AG1931" s="85">
        <v>45127</v>
      </c>
      <c r="AH1931" s="82" t="s">
        <v>12047</v>
      </c>
      <c r="AI1931" s="77" t="b">
        <v>0</v>
      </c>
      <c r="AJ1931" s="77"/>
      <c r="AK1931" s="77"/>
      <c r="AL1931" s="77"/>
      <c r="AM1931" s="77"/>
      <c r="AN1931" s="77"/>
      <c r="AO1931" s="77"/>
      <c r="AP1931" s="77"/>
      <c r="AQ1931" s="77"/>
      <c r="AR1931" s="77"/>
      <c r="AS1931" s="77"/>
      <c r="AT1931" s="77"/>
      <c r="AU1931" s="77"/>
      <c r="AV1931" s="80" t="str">
        <f>HYPERLINK("https://pbs.twimg.com/profile_images/1648771185235165184/WFqM_Jlh_normal.jpg")</f>
        <v>https://pbs.twimg.com/profile_images/1648771185235165184/WFqM_Jlh_normal.jpg</v>
      </c>
      <c r="AW1931" s="82" t="s">
        <v>18699</v>
      </c>
      <c r="AX1931" s="82" t="s">
        <v>20845</v>
      </c>
      <c r="AY1931" s="82" t="s">
        <v>20938</v>
      </c>
      <c r="AZ1931" s="82" t="s">
        <v>20845</v>
      </c>
      <c r="BA1931" s="82" t="s">
        <v>20971</v>
      </c>
      <c r="BB1931" s="82" t="s">
        <v>20971</v>
      </c>
      <c r="BC1931" s="82" t="s">
        <v>20845</v>
      </c>
      <c r="BD1931" s="82" t="s">
        <v>20938</v>
      </c>
      <c r="BE1931" s="77"/>
      <c r="BF1931" s="77"/>
      <c r="BG1931" s="77"/>
      <c r="BH1931" s="77"/>
      <c r="BI1931" s="77"/>
    </row>
    <row r="1932" spans="1:61" x14ac:dyDescent="0.25">
      <c r="A1932" s="62" t="s">
        <v>708</v>
      </c>
      <c r="B1932" s="62" t="s">
        <v>708</v>
      </c>
      <c r="C1932" s="63"/>
      <c r="D1932" s="64"/>
      <c r="E1932" s="65"/>
      <c r="F1932" s="66"/>
      <c r="G1932" s="63"/>
      <c r="H1932" s="67"/>
      <c r="I1932" s="68"/>
      <c r="J1932" s="68"/>
      <c r="K1932" s="32"/>
      <c r="L1932" s="75">
        <v>1932</v>
      </c>
      <c r="M1932" s="75"/>
      <c r="N1932" s="70"/>
      <c r="O1932" s="77" t="s">
        <v>1284</v>
      </c>
      <c r="P1932" s="79">
        <v>45124.567418981482</v>
      </c>
      <c r="Q1932" s="77" t="s">
        <v>3171</v>
      </c>
      <c r="R1932" s="77">
        <v>0</v>
      </c>
      <c r="S1932" s="77">
        <v>0</v>
      </c>
      <c r="T1932" s="77">
        <v>0</v>
      </c>
      <c r="U1932" s="77">
        <v>0</v>
      </c>
      <c r="V1932" s="77">
        <v>24</v>
      </c>
      <c r="W1932" s="82" t="s">
        <v>6109</v>
      </c>
      <c r="X1932" s="80" t="str">
        <f>HYPERLINK("https://betbolacom.page.link/Tweet")</f>
        <v>https://betbolacom.page.link/Tweet</v>
      </c>
      <c r="Y1932" s="77" t="s">
        <v>7378</v>
      </c>
      <c r="Z1932" s="77"/>
      <c r="AA1932" s="77"/>
      <c r="AB1932" s="77"/>
      <c r="AC1932" s="82" t="s">
        <v>10146</v>
      </c>
      <c r="AD1932" s="77" t="s">
        <v>10184</v>
      </c>
      <c r="AE1932" s="80" t="str">
        <f>HYPERLINK("https://twitter.com/6de6_palpites/status/1680934649160253446")</f>
        <v>https://twitter.com/6de6_palpites/status/1680934649160253446</v>
      </c>
      <c r="AF1932" s="79">
        <v>45124.567418981482</v>
      </c>
      <c r="AG1932" s="85">
        <v>45124</v>
      </c>
      <c r="AH1932" s="82" t="s">
        <v>12048</v>
      </c>
      <c r="AI1932" s="77" t="b">
        <v>0</v>
      </c>
      <c r="AJ1932" s="77"/>
      <c r="AK1932" s="77"/>
      <c r="AL1932" s="77"/>
      <c r="AM1932" s="77"/>
      <c r="AN1932" s="77"/>
      <c r="AO1932" s="77"/>
      <c r="AP1932" s="77"/>
      <c r="AQ1932" s="77"/>
      <c r="AR1932" s="77"/>
      <c r="AS1932" s="77"/>
      <c r="AT1932" s="77"/>
      <c r="AU1932" s="77"/>
      <c r="AV1932" s="80" t="str">
        <f>HYPERLINK("https://pbs.twimg.com/profile_images/1648771185235165184/WFqM_Jlh_normal.jpg")</f>
        <v>https://pbs.twimg.com/profile_images/1648771185235165184/WFqM_Jlh_normal.jpg</v>
      </c>
      <c r="AW1932" s="82" t="s">
        <v>18700</v>
      </c>
      <c r="AX1932" s="82" t="s">
        <v>20846</v>
      </c>
      <c r="AY1932" s="82" t="s">
        <v>20938</v>
      </c>
      <c r="AZ1932" s="82" t="s">
        <v>20846</v>
      </c>
      <c r="BA1932" s="82" t="s">
        <v>20971</v>
      </c>
      <c r="BB1932" s="82" t="s">
        <v>20971</v>
      </c>
      <c r="BC1932" s="82" t="s">
        <v>20846</v>
      </c>
      <c r="BD1932" s="82" t="s">
        <v>20938</v>
      </c>
      <c r="BE1932" s="77"/>
      <c r="BF1932" s="77"/>
      <c r="BG1932" s="77"/>
      <c r="BH1932" s="77"/>
      <c r="BI1932" s="77"/>
    </row>
    <row r="1933" spans="1:61" x14ac:dyDescent="0.25">
      <c r="A1933" s="62" t="s">
        <v>708</v>
      </c>
      <c r="B1933" s="62" t="s">
        <v>708</v>
      </c>
      <c r="C1933" s="63"/>
      <c r="D1933" s="64"/>
      <c r="E1933" s="65"/>
      <c r="F1933" s="66"/>
      <c r="G1933" s="63"/>
      <c r="H1933" s="67"/>
      <c r="I1933" s="68"/>
      <c r="J1933" s="68"/>
      <c r="K1933" s="32"/>
      <c r="L1933" s="75">
        <v>1933</v>
      </c>
      <c r="M1933" s="75"/>
      <c r="N1933" s="70"/>
      <c r="O1933" s="77" t="s">
        <v>179</v>
      </c>
      <c r="P1933" s="79">
        <v>45123.978738425925</v>
      </c>
      <c r="Q1933" s="77" t="s">
        <v>3172</v>
      </c>
      <c r="R1933" s="77">
        <v>0</v>
      </c>
      <c r="S1933" s="77">
        <v>2</v>
      </c>
      <c r="T1933" s="77">
        <v>0</v>
      </c>
      <c r="U1933" s="77">
        <v>0</v>
      </c>
      <c r="V1933" s="77">
        <v>92</v>
      </c>
      <c r="W1933" s="82" t="s">
        <v>6108</v>
      </c>
      <c r="X1933" s="77"/>
      <c r="Y1933" s="77"/>
      <c r="Z1933" s="77"/>
      <c r="AA1933" s="77" t="s">
        <v>8492</v>
      </c>
      <c r="AB1933" s="77" t="s">
        <v>10130</v>
      </c>
      <c r="AC1933" s="82" t="s">
        <v>10150</v>
      </c>
      <c r="AD1933" s="77" t="s">
        <v>10184</v>
      </c>
      <c r="AE1933" s="80" t="str">
        <f>HYPERLINK("https://twitter.com/6de6_palpites/status/1680721318789148672")</f>
        <v>https://twitter.com/6de6_palpites/status/1680721318789148672</v>
      </c>
      <c r="AF1933" s="79">
        <v>45123.978738425925</v>
      </c>
      <c r="AG1933" s="85">
        <v>45123</v>
      </c>
      <c r="AH1933" s="82" t="s">
        <v>12049</v>
      </c>
      <c r="AI1933" s="77" t="b">
        <v>0</v>
      </c>
      <c r="AJ1933" s="77"/>
      <c r="AK1933" s="77"/>
      <c r="AL1933" s="77"/>
      <c r="AM1933" s="77"/>
      <c r="AN1933" s="77"/>
      <c r="AO1933" s="77"/>
      <c r="AP1933" s="77"/>
      <c r="AQ1933" s="77" t="s">
        <v>15136</v>
      </c>
      <c r="AR1933" s="77"/>
      <c r="AS1933" s="77"/>
      <c r="AT1933" s="77"/>
      <c r="AU1933" s="77"/>
      <c r="AV1933" s="80" t="str">
        <f>HYPERLINK("https://pbs.twimg.com/media/F1MfHXUWwAAMqex.jpg")</f>
        <v>https://pbs.twimg.com/media/F1MfHXUWwAAMqex.jpg</v>
      </c>
      <c r="AW1933" s="82" t="s">
        <v>18701</v>
      </c>
      <c r="AX1933" s="82" t="s">
        <v>18701</v>
      </c>
      <c r="AY1933" s="77"/>
      <c r="AZ1933" s="82" t="s">
        <v>20971</v>
      </c>
      <c r="BA1933" s="82" t="s">
        <v>20971</v>
      </c>
      <c r="BB1933" s="82" t="s">
        <v>20971</v>
      </c>
      <c r="BC1933" s="82" t="s">
        <v>18701</v>
      </c>
      <c r="BD1933" s="82" t="s">
        <v>20938</v>
      </c>
      <c r="BE1933" s="77"/>
      <c r="BF1933" s="77"/>
      <c r="BG1933" s="77"/>
      <c r="BH1933" s="77"/>
      <c r="BI1933" s="77"/>
    </row>
    <row r="1934" spans="1:61" x14ac:dyDescent="0.25">
      <c r="A1934" s="62" t="s">
        <v>708</v>
      </c>
      <c r="B1934" s="62" t="s">
        <v>708</v>
      </c>
      <c r="C1934" s="63"/>
      <c r="D1934" s="64"/>
      <c r="E1934" s="65"/>
      <c r="F1934" s="66"/>
      <c r="G1934" s="63"/>
      <c r="H1934" s="67"/>
      <c r="I1934" s="68"/>
      <c r="J1934" s="68"/>
      <c r="K1934" s="32"/>
      <c r="L1934" s="75">
        <v>1934</v>
      </c>
      <c r="M1934" s="75"/>
      <c r="N1934" s="70"/>
      <c r="O1934" s="77" t="s">
        <v>179</v>
      </c>
      <c r="P1934" s="79">
        <v>45123.624305555553</v>
      </c>
      <c r="Q1934" s="77" t="s">
        <v>3173</v>
      </c>
      <c r="R1934" s="77">
        <v>0</v>
      </c>
      <c r="S1934" s="77">
        <v>0</v>
      </c>
      <c r="T1934" s="77">
        <v>0</v>
      </c>
      <c r="U1934" s="77">
        <v>0</v>
      </c>
      <c r="V1934" s="77">
        <v>158</v>
      </c>
      <c r="W1934" s="82" t="s">
        <v>6110</v>
      </c>
      <c r="X1934" s="77"/>
      <c r="Y1934" s="77"/>
      <c r="Z1934" s="77"/>
      <c r="AA1934" s="77" t="s">
        <v>8493</v>
      </c>
      <c r="AB1934" s="77" t="s">
        <v>10129</v>
      </c>
      <c r="AC1934" s="82" t="s">
        <v>10150</v>
      </c>
      <c r="AD1934" s="77" t="s">
        <v>10184</v>
      </c>
      <c r="AE1934" s="80" t="str">
        <f>HYPERLINK("https://twitter.com/6de6_palpites/status/1680592876164595712")</f>
        <v>https://twitter.com/6de6_palpites/status/1680592876164595712</v>
      </c>
      <c r="AF1934" s="79">
        <v>45123.624305555553</v>
      </c>
      <c r="AG1934" s="85">
        <v>45123</v>
      </c>
      <c r="AH1934" s="82" t="s">
        <v>12008</v>
      </c>
      <c r="AI1934" s="77" t="b">
        <v>0</v>
      </c>
      <c r="AJ1934" s="77"/>
      <c r="AK1934" s="77"/>
      <c r="AL1934" s="77"/>
      <c r="AM1934" s="77"/>
      <c r="AN1934" s="77"/>
      <c r="AO1934" s="77"/>
      <c r="AP1934" s="77"/>
      <c r="AQ1934" s="77" t="s">
        <v>15137</v>
      </c>
      <c r="AR1934" s="77">
        <v>62700</v>
      </c>
      <c r="AS1934" s="77"/>
      <c r="AT1934" s="77"/>
      <c r="AU1934" s="77"/>
      <c r="AV1934" s="80" t="str">
        <f>HYPERLINK("https://pbs.twimg.com/ext_tw_video_thumb/1680222460707258368/pu/img/ZhSeupeV_DH19KvW.jpg")</f>
        <v>https://pbs.twimg.com/ext_tw_video_thumb/1680222460707258368/pu/img/ZhSeupeV_DH19KvW.jpg</v>
      </c>
      <c r="AW1934" s="82" t="s">
        <v>18702</v>
      </c>
      <c r="AX1934" s="82" t="s">
        <v>18702</v>
      </c>
      <c r="AY1934" s="77"/>
      <c r="AZ1934" s="82" t="s">
        <v>20971</v>
      </c>
      <c r="BA1934" s="82" t="s">
        <v>20971</v>
      </c>
      <c r="BB1934" s="82" t="s">
        <v>20971</v>
      </c>
      <c r="BC1934" s="82" t="s">
        <v>18702</v>
      </c>
      <c r="BD1934" s="82" t="s">
        <v>20938</v>
      </c>
      <c r="BE1934" s="77"/>
      <c r="BF1934" s="77"/>
      <c r="BG1934" s="77"/>
      <c r="BH1934" s="77"/>
      <c r="BI1934" s="77"/>
    </row>
    <row r="1935" spans="1:61" x14ac:dyDescent="0.25">
      <c r="A1935" s="62" t="s">
        <v>708</v>
      </c>
      <c r="B1935" s="62" t="s">
        <v>708</v>
      </c>
      <c r="C1935" s="63"/>
      <c r="D1935" s="64"/>
      <c r="E1935" s="65"/>
      <c r="F1935" s="66"/>
      <c r="G1935" s="63"/>
      <c r="H1935" s="67"/>
      <c r="I1935" s="68"/>
      <c r="J1935" s="68"/>
      <c r="K1935" s="32"/>
      <c r="L1935" s="75">
        <v>1935</v>
      </c>
      <c r="M1935" s="75"/>
      <c r="N1935" s="70"/>
      <c r="O1935" s="77" t="s">
        <v>179</v>
      </c>
      <c r="P1935" s="79">
        <v>45107.875902777778</v>
      </c>
      <c r="Q1935" s="77" t="s">
        <v>3174</v>
      </c>
      <c r="R1935" s="77">
        <v>0</v>
      </c>
      <c r="S1935" s="77">
        <v>1</v>
      </c>
      <c r="T1935" s="77">
        <v>0</v>
      </c>
      <c r="U1935" s="77">
        <v>0</v>
      </c>
      <c r="V1935" s="77">
        <v>54</v>
      </c>
      <c r="W1935" s="82" t="s">
        <v>6111</v>
      </c>
      <c r="X1935" s="80" t="str">
        <f>HYPERLINK("https://betbolacom.page.link/Tweet")</f>
        <v>https://betbolacom.page.link/Tweet</v>
      </c>
      <c r="Y1935" s="77" t="s">
        <v>7378</v>
      </c>
      <c r="Z1935" s="77"/>
      <c r="AA1935" s="77" t="s">
        <v>8494</v>
      </c>
      <c r="AB1935" s="77" t="s">
        <v>10130</v>
      </c>
      <c r="AC1935" s="82" t="s">
        <v>10146</v>
      </c>
      <c r="AD1935" s="77" t="s">
        <v>10184</v>
      </c>
      <c r="AE1935" s="80" t="str">
        <f>HYPERLINK("https://twitter.com/6de6_palpites/status/1674885846959357954")</f>
        <v>https://twitter.com/6de6_palpites/status/1674885846959357954</v>
      </c>
      <c r="AF1935" s="79">
        <v>45107.875902777778</v>
      </c>
      <c r="AG1935" s="85">
        <v>45107</v>
      </c>
      <c r="AH1935" s="82" t="s">
        <v>12050</v>
      </c>
      <c r="AI1935" s="77" t="b">
        <v>0</v>
      </c>
      <c r="AJ1935" s="77"/>
      <c r="AK1935" s="77"/>
      <c r="AL1935" s="77"/>
      <c r="AM1935" s="77"/>
      <c r="AN1935" s="77"/>
      <c r="AO1935" s="77"/>
      <c r="AP1935" s="77"/>
      <c r="AQ1935" s="77" t="s">
        <v>15138</v>
      </c>
      <c r="AR1935" s="77"/>
      <c r="AS1935" s="77"/>
      <c r="AT1935" s="77"/>
      <c r="AU1935" s="77"/>
      <c r="AV1935" s="80" t="str">
        <f>HYPERLINK("https://pbs.twimg.com/media/Fz5jwtxWAAAafIn.jpg")</f>
        <v>https://pbs.twimg.com/media/Fz5jwtxWAAAafIn.jpg</v>
      </c>
      <c r="AW1935" s="82" t="s">
        <v>18703</v>
      </c>
      <c r="AX1935" s="82" t="s">
        <v>18703</v>
      </c>
      <c r="AY1935" s="77"/>
      <c r="AZ1935" s="82" t="s">
        <v>20971</v>
      </c>
      <c r="BA1935" s="82" t="s">
        <v>20971</v>
      </c>
      <c r="BB1935" s="82" t="s">
        <v>20971</v>
      </c>
      <c r="BC1935" s="82" t="s">
        <v>18703</v>
      </c>
      <c r="BD1935" s="82" t="s">
        <v>20938</v>
      </c>
      <c r="BE1935" s="77"/>
      <c r="BF1935" s="77"/>
      <c r="BG1935" s="77"/>
      <c r="BH1935" s="77"/>
      <c r="BI1935" s="77"/>
    </row>
    <row r="1936" spans="1:61" x14ac:dyDescent="0.25">
      <c r="A1936" s="62" t="s">
        <v>708</v>
      </c>
      <c r="B1936" s="62" t="s">
        <v>708</v>
      </c>
      <c r="C1936" s="63"/>
      <c r="D1936" s="64"/>
      <c r="E1936" s="65"/>
      <c r="F1936" s="66"/>
      <c r="G1936" s="63"/>
      <c r="H1936" s="67"/>
      <c r="I1936" s="68"/>
      <c r="J1936" s="68"/>
      <c r="K1936" s="32"/>
      <c r="L1936" s="75">
        <v>1936</v>
      </c>
      <c r="M1936" s="75"/>
      <c r="N1936" s="70"/>
      <c r="O1936" s="77" t="s">
        <v>179</v>
      </c>
      <c r="P1936" s="79">
        <v>45100.625011574077</v>
      </c>
      <c r="Q1936" s="77" t="s">
        <v>3175</v>
      </c>
      <c r="R1936" s="77">
        <v>0</v>
      </c>
      <c r="S1936" s="77">
        <v>3</v>
      </c>
      <c r="T1936" s="77">
        <v>0</v>
      </c>
      <c r="U1936" s="77">
        <v>0</v>
      </c>
      <c r="V1936" s="77">
        <v>145</v>
      </c>
      <c r="W1936" s="82" t="s">
        <v>6112</v>
      </c>
      <c r="X1936" s="77"/>
      <c r="Y1936" s="77"/>
      <c r="Z1936" s="77"/>
      <c r="AA1936" s="77" t="s">
        <v>8495</v>
      </c>
      <c r="AB1936" s="77" t="s">
        <v>10129</v>
      </c>
      <c r="AC1936" s="82" t="s">
        <v>10161</v>
      </c>
      <c r="AD1936" s="77" t="s">
        <v>10184</v>
      </c>
      <c r="AE1936" s="80" t="str">
        <f>HYPERLINK("https://twitter.com/6de6_palpites/status/1672258212265861122")</f>
        <v>https://twitter.com/6de6_palpites/status/1672258212265861122</v>
      </c>
      <c r="AF1936" s="79">
        <v>45100.625011574077</v>
      </c>
      <c r="AG1936" s="85">
        <v>45100</v>
      </c>
      <c r="AH1936" s="82" t="s">
        <v>12051</v>
      </c>
      <c r="AI1936" s="77" t="b">
        <v>0</v>
      </c>
      <c r="AJ1936" s="77"/>
      <c r="AK1936" s="77"/>
      <c r="AL1936" s="77"/>
      <c r="AM1936" s="77"/>
      <c r="AN1936" s="77"/>
      <c r="AO1936" s="77"/>
      <c r="AP1936" s="77"/>
      <c r="AQ1936" s="77" t="s">
        <v>15139</v>
      </c>
      <c r="AR1936" s="77">
        <v>67834</v>
      </c>
      <c r="AS1936" s="77"/>
      <c r="AT1936" s="77"/>
      <c r="AU1936" s="77"/>
      <c r="AV1936" s="80" t="str">
        <f>HYPERLINK("https://pbs.twimg.com/ext_tw_video_thumb/1672225600411500546/pu/img/594saFjIcF-9yYxZ.jpg")</f>
        <v>https://pbs.twimg.com/ext_tw_video_thumb/1672225600411500546/pu/img/594saFjIcF-9yYxZ.jpg</v>
      </c>
      <c r="AW1936" s="82" t="s">
        <v>18704</v>
      </c>
      <c r="AX1936" s="82" t="s">
        <v>18704</v>
      </c>
      <c r="AY1936" s="77"/>
      <c r="AZ1936" s="82" t="s">
        <v>20971</v>
      </c>
      <c r="BA1936" s="82" t="s">
        <v>20971</v>
      </c>
      <c r="BB1936" s="82" t="s">
        <v>20971</v>
      </c>
      <c r="BC1936" s="82" t="s">
        <v>18704</v>
      </c>
      <c r="BD1936" s="82" t="s">
        <v>20938</v>
      </c>
      <c r="BE1936" s="77"/>
      <c r="BF1936" s="77"/>
      <c r="BG1936" s="77"/>
      <c r="BH1936" s="77"/>
      <c r="BI1936" s="77"/>
    </row>
    <row r="1937" spans="1:61" x14ac:dyDescent="0.25">
      <c r="A1937" s="62" t="s">
        <v>708</v>
      </c>
      <c r="B1937" s="62" t="s">
        <v>708</v>
      </c>
      <c r="C1937" s="63"/>
      <c r="D1937" s="64"/>
      <c r="E1937" s="65"/>
      <c r="F1937" s="66"/>
      <c r="G1937" s="63"/>
      <c r="H1937" s="67"/>
      <c r="I1937" s="68"/>
      <c r="J1937" s="68"/>
      <c r="K1937" s="32"/>
      <c r="L1937" s="75">
        <v>1937</v>
      </c>
      <c r="M1937" s="75"/>
      <c r="N1937" s="70"/>
      <c r="O1937" s="77" t="s">
        <v>179</v>
      </c>
      <c r="P1937" s="79">
        <v>45099.882870370369</v>
      </c>
      <c r="Q1937" s="77" t="s">
        <v>3176</v>
      </c>
      <c r="R1937" s="77">
        <v>0</v>
      </c>
      <c r="S1937" s="77">
        <v>0</v>
      </c>
      <c r="T1937" s="77">
        <v>1</v>
      </c>
      <c r="U1937" s="77">
        <v>0</v>
      </c>
      <c r="V1937" s="77">
        <v>430</v>
      </c>
      <c r="W1937" s="82" t="s">
        <v>6113</v>
      </c>
      <c r="X1937" s="77"/>
      <c r="Y1937" s="77"/>
      <c r="Z1937" s="77"/>
      <c r="AA1937" s="77" t="s">
        <v>8496</v>
      </c>
      <c r="AB1937" s="77" t="s">
        <v>10129</v>
      </c>
      <c r="AC1937" s="82" t="s">
        <v>10144</v>
      </c>
      <c r="AD1937" s="77" t="s">
        <v>10184</v>
      </c>
      <c r="AE1937" s="80" t="str">
        <f>HYPERLINK("https://twitter.com/6de6_palpites/status/1671989268732956674")</f>
        <v>https://twitter.com/6de6_palpites/status/1671989268732956674</v>
      </c>
      <c r="AF1937" s="79">
        <v>45099.882870370369</v>
      </c>
      <c r="AG1937" s="85">
        <v>45099</v>
      </c>
      <c r="AH1937" s="82" t="s">
        <v>12052</v>
      </c>
      <c r="AI1937" s="77" t="b">
        <v>0</v>
      </c>
      <c r="AJ1937" s="77"/>
      <c r="AK1937" s="77"/>
      <c r="AL1937" s="77"/>
      <c r="AM1937" s="77"/>
      <c r="AN1937" s="77"/>
      <c r="AO1937" s="77"/>
      <c r="AP1937" s="77"/>
      <c r="AQ1937" s="77" t="s">
        <v>15140</v>
      </c>
      <c r="AR1937" s="77">
        <v>48249</v>
      </c>
      <c r="AS1937" s="77"/>
      <c r="AT1937" s="77"/>
      <c r="AU1937" s="77"/>
      <c r="AV1937" s="80" t="str">
        <f>HYPERLINK("https://pbs.twimg.com/ext_tw_video_thumb/1671986599259693063/pu/img/xTAICpSUXRseMYmA.jpg")</f>
        <v>https://pbs.twimg.com/ext_tw_video_thumb/1671986599259693063/pu/img/xTAICpSUXRseMYmA.jpg</v>
      </c>
      <c r="AW1937" s="82" t="s">
        <v>18705</v>
      </c>
      <c r="AX1937" s="82" t="s">
        <v>18705</v>
      </c>
      <c r="AY1937" s="77"/>
      <c r="AZ1937" s="82" t="s">
        <v>20971</v>
      </c>
      <c r="BA1937" s="82" t="s">
        <v>20971</v>
      </c>
      <c r="BB1937" s="82" t="s">
        <v>20971</v>
      </c>
      <c r="BC1937" s="82" t="s">
        <v>18705</v>
      </c>
      <c r="BD1937" s="82" t="s">
        <v>20938</v>
      </c>
      <c r="BE1937" s="77"/>
      <c r="BF1937" s="77"/>
      <c r="BG1937" s="77"/>
      <c r="BH1937" s="77"/>
      <c r="BI1937" s="77"/>
    </row>
    <row r="1938" spans="1:61" x14ac:dyDescent="0.25">
      <c r="A1938" s="62" t="s">
        <v>708</v>
      </c>
      <c r="B1938" s="62" t="s">
        <v>708</v>
      </c>
      <c r="C1938" s="63"/>
      <c r="D1938" s="64"/>
      <c r="E1938" s="65"/>
      <c r="F1938" s="66"/>
      <c r="G1938" s="63"/>
      <c r="H1938" s="67"/>
      <c r="I1938" s="68"/>
      <c r="J1938" s="68"/>
      <c r="K1938" s="32"/>
      <c r="L1938" s="75">
        <v>1938</v>
      </c>
      <c r="M1938" s="75"/>
      <c r="N1938" s="70"/>
      <c r="O1938" s="77" t="s">
        <v>179</v>
      </c>
      <c r="P1938" s="79">
        <v>45098.873506944445</v>
      </c>
      <c r="Q1938" s="77" t="s">
        <v>3177</v>
      </c>
      <c r="R1938" s="77">
        <v>0</v>
      </c>
      <c r="S1938" s="77">
        <v>1</v>
      </c>
      <c r="T1938" s="77">
        <v>2</v>
      </c>
      <c r="U1938" s="77">
        <v>0</v>
      </c>
      <c r="V1938" s="77">
        <v>92</v>
      </c>
      <c r="W1938" s="82" t="s">
        <v>6083</v>
      </c>
      <c r="X1938" s="77"/>
      <c r="Y1938" s="77"/>
      <c r="Z1938" s="77"/>
      <c r="AA1938" s="77" t="s">
        <v>8497</v>
      </c>
      <c r="AB1938" s="77" t="s">
        <v>10130</v>
      </c>
      <c r="AC1938" s="82" t="s">
        <v>10144</v>
      </c>
      <c r="AD1938" s="77" t="s">
        <v>10184</v>
      </c>
      <c r="AE1938" s="80" t="str">
        <f>HYPERLINK("https://twitter.com/6de6_palpites/status/1671623488333905921")</f>
        <v>https://twitter.com/6de6_palpites/status/1671623488333905921</v>
      </c>
      <c r="AF1938" s="79">
        <v>45098.873506944445</v>
      </c>
      <c r="AG1938" s="85">
        <v>45098</v>
      </c>
      <c r="AH1938" s="82" t="s">
        <v>12053</v>
      </c>
      <c r="AI1938" s="77" t="b">
        <v>0</v>
      </c>
      <c r="AJ1938" s="77"/>
      <c r="AK1938" s="77"/>
      <c r="AL1938" s="77"/>
      <c r="AM1938" s="77"/>
      <c r="AN1938" s="77"/>
      <c r="AO1938" s="77"/>
      <c r="AP1938" s="77"/>
      <c r="AQ1938" s="77" t="s">
        <v>15141</v>
      </c>
      <c r="AR1938" s="77"/>
      <c r="AS1938" s="77"/>
      <c r="AT1938" s="77"/>
      <c r="AU1938" s="77"/>
      <c r="AV1938" s="80" t="str">
        <f>HYPERLINK("https://pbs.twimg.com/media/FzLMreUXoAYgefG.jpg")</f>
        <v>https://pbs.twimg.com/media/FzLMreUXoAYgefG.jpg</v>
      </c>
      <c r="AW1938" s="82" t="s">
        <v>18706</v>
      </c>
      <c r="AX1938" s="82" t="s">
        <v>18706</v>
      </c>
      <c r="AY1938" s="77"/>
      <c r="AZ1938" s="82" t="s">
        <v>20971</v>
      </c>
      <c r="BA1938" s="82" t="s">
        <v>20971</v>
      </c>
      <c r="BB1938" s="82" t="s">
        <v>20971</v>
      </c>
      <c r="BC1938" s="82" t="s">
        <v>18706</v>
      </c>
      <c r="BD1938" s="82" t="s">
        <v>20938</v>
      </c>
      <c r="BE1938" s="77"/>
      <c r="BF1938" s="77"/>
      <c r="BG1938" s="77"/>
      <c r="BH1938" s="77"/>
      <c r="BI1938" s="77"/>
    </row>
    <row r="1939" spans="1:61" x14ac:dyDescent="0.25">
      <c r="A1939" s="62" t="s">
        <v>708</v>
      </c>
      <c r="B1939" s="62" t="s">
        <v>708</v>
      </c>
      <c r="C1939" s="63"/>
      <c r="D1939" s="64"/>
      <c r="E1939" s="65"/>
      <c r="F1939" s="66"/>
      <c r="G1939" s="63"/>
      <c r="H1939" s="67"/>
      <c r="I1939" s="68"/>
      <c r="J1939" s="68"/>
      <c r="K1939" s="32"/>
      <c r="L1939" s="75">
        <v>1939</v>
      </c>
      <c r="M1939" s="75"/>
      <c r="N1939" s="70"/>
      <c r="O1939" s="77" t="s">
        <v>179</v>
      </c>
      <c r="P1939" s="79">
        <v>45081.885428240741</v>
      </c>
      <c r="Q1939" s="77" t="s">
        <v>3178</v>
      </c>
      <c r="R1939" s="77">
        <v>0</v>
      </c>
      <c r="S1939" s="77">
        <v>0</v>
      </c>
      <c r="T1939" s="77">
        <v>1</v>
      </c>
      <c r="U1939" s="77">
        <v>0</v>
      </c>
      <c r="V1939" s="77">
        <v>59</v>
      </c>
      <c r="W1939" s="82" t="s">
        <v>6114</v>
      </c>
      <c r="X1939" s="80" t="str">
        <f>HYPERLINK("https://betbolacom.page.link/Tweet")</f>
        <v>https://betbolacom.page.link/Tweet</v>
      </c>
      <c r="Y1939" s="77" t="s">
        <v>7378</v>
      </c>
      <c r="Z1939" s="77"/>
      <c r="AA1939" s="77" t="s">
        <v>8498</v>
      </c>
      <c r="AB1939" s="77" t="s">
        <v>10130</v>
      </c>
      <c r="AC1939" s="82" t="s">
        <v>10146</v>
      </c>
      <c r="AD1939" s="77" t="s">
        <v>10184</v>
      </c>
      <c r="AE1939" s="80" t="str">
        <f>HYPERLINK("https://twitter.com/6de6_palpites/status/1665467213556449281")</f>
        <v>https://twitter.com/6de6_palpites/status/1665467213556449281</v>
      </c>
      <c r="AF1939" s="79">
        <v>45081.885428240741</v>
      </c>
      <c r="AG1939" s="85">
        <v>45081</v>
      </c>
      <c r="AH1939" s="82" t="s">
        <v>12054</v>
      </c>
      <c r="AI1939" s="77" t="b">
        <v>0</v>
      </c>
      <c r="AJ1939" s="77"/>
      <c r="AK1939" s="77"/>
      <c r="AL1939" s="77"/>
      <c r="AM1939" s="77"/>
      <c r="AN1939" s="77"/>
      <c r="AO1939" s="77"/>
      <c r="AP1939" s="77"/>
      <c r="AQ1939" s="77" t="s">
        <v>15142</v>
      </c>
      <c r="AR1939" s="77"/>
      <c r="AS1939" s="77"/>
      <c r="AT1939" s="77"/>
      <c r="AU1939" s="77"/>
      <c r="AV1939" s="80" t="str">
        <f>HYPERLINK("https://pbs.twimg.com/media/FxztjKNXsAAJ2ag.jpg")</f>
        <v>https://pbs.twimg.com/media/FxztjKNXsAAJ2ag.jpg</v>
      </c>
      <c r="AW1939" s="82" t="s">
        <v>18707</v>
      </c>
      <c r="AX1939" s="82" t="s">
        <v>18707</v>
      </c>
      <c r="AY1939" s="77"/>
      <c r="AZ1939" s="82" t="s">
        <v>20971</v>
      </c>
      <c r="BA1939" s="82" t="s">
        <v>20971</v>
      </c>
      <c r="BB1939" s="82" t="s">
        <v>20971</v>
      </c>
      <c r="BC1939" s="82" t="s">
        <v>18707</v>
      </c>
      <c r="BD1939" s="82" t="s">
        <v>20938</v>
      </c>
      <c r="BE1939" s="77"/>
      <c r="BF1939" s="77"/>
      <c r="BG1939" s="77"/>
      <c r="BH1939" s="77"/>
      <c r="BI1939" s="77"/>
    </row>
    <row r="1940" spans="1:61" x14ac:dyDescent="0.25">
      <c r="A1940" s="62" t="s">
        <v>708</v>
      </c>
      <c r="B1940" s="62" t="s">
        <v>708</v>
      </c>
      <c r="C1940" s="63"/>
      <c r="D1940" s="64"/>
      <c r="E1940" s="65"/>
      <c r="F1940" s="66"/>
      <c r="G1940" s="63"/>
      <c r="H1940" s="67"/>
      <c r="I1940" s="68"/>
      <c r="J1940" s="68"/>
      <c r="K1940" s="32"/>
      <c r="L1940" s="75">
        <v>1940</v>
      </c>
      <c r="M1940" s="75"/>
      <c r="N1940" s="70"/>
      <c r="O1940" s="77" t="s">
        <v>179</v>
      </c>
      <c r="P1940" s="79">
        <v>45081.595694444448</v>
      </c>
      <c r="Q1940" s="77" t="s">
        <v>3179</v>
      </c>
      <c r="R1940" s="77">
        <v>0</v>
      </c>
      <c r="S1940" s="77">
        <v>0</v>
      </c>
      <c r="T1940" s="77">
        <v>0</v>
      </c>
      <c r="U1940" s="77">
        <v>0</v>
      </c>
      <c r="V1940" s="77">
        <v>114</v>
      </c>
      <c r="W1940" s="82" t="s">
        <v>6081</v>
      </c>
      <c r="X1940" s="80" t="str">
        <f>HYPERLINK("https://curtlink.com/c34EAql")</f>
        <v>https://curtlink.com/c34EAql</v>
      </c>
      <c r="Y1940" s="77" t="s">
        <v>7380</v>
      </c>
      <c r="Z1940" s="77"/>
      <c r="AA1940" s="77" t="s">
        <v>8499</v>
      </c>
      <c r="AB1940" s="77" t="s">
        <v>10130</v>
      </c>
      <c r="AC1940" s="82" t="s">
        <v>10144</v>
      </c>
      <c r="AD1940" s="77" t="s">
        <v>10184</v>
      </c>
      <c r="AE1940" s="80" t="str">
        <f>HYPERLINK("https://twitter.com/6de6_palpites/status/1665362218165182470")</f>
        <v>https://twitter.com/6de6_palpites/status/1665362218165182470</v>
      </c>
      <c r="AF1940" s="79">
        <v>45081.595694444448</v>
      </c>
      <c r="AG1940" s="85">
        <v>45081</v>
      </c>
      <c r="AH1940" s="82" t="s">
        <v>12055</v>
      </c>
      <c r="AI1940" s="77" t="b">
        <v>0</v>
      </c>
      <c r="AJ1940" s="77"/>
      <c r="AK1940" s="77"/>
      <c r="AL1940" s="77"/>
      <c r="AM1940" s="77"/>
      <c r="AN1940" s="77"/>
      <c r="AO1940" s="77"/>
      <c r="AP1940" s="77"/>
      <c r="AQ1940" s="77" t="s">
        <v>15143</v>
      </c>
      <c r="AR1940" s="77"/>
      <c r="AS1940" s="77"/>
      <c r="AT1940" s="77"/>
      <c r="AU1940" s="77"/>
      <c r="AV1940" s="80" t="str">
        <f>HYPERLINK("https://pbs.twimg.com/media/FxyOHDxWYAYSrnT.jpg")</f>
        <v>https://pbs.twimg.com/media/FxyOHDxWYAYSrnT.jpg</v>
      </c>
      <c r="AW1940" s="82" t="s">
        <v>18708</v>
      </c>
      <c r="AX1940" s="82" t="s">
        <v>18708</v>
      </c>
      <c r="AY1940" s="77"/>
      <c r="AZ1940" s="82" t="s">
        <v>20971</v>
      </c>
      <c r="BA1940" s="82" t="s">
        <v>20971</v>
      </c>
      <c r="BB1940" s="82" t="s">
        <v>20971</v>
      </c>
      <c r="BC1940" s="82" t="s">
        <v>18708</v>
      </c>
      <c r="BD1940" s="82" t="s">
        <v>20938</v>
      </c>
      <c r="BE1940" s="77"/>
      <c r="BF1940" s="77"/>
      <c r="BG1940" s="77"/>
      <c r="BH1940" s="77"/>
      <c r="BI1940" s="77"/>
    </row>
    <row r="1941" spans="1:61" x14ac:dyDescent="0.25">
      <c r="A1941" s="62" t="s">
        <v>708</v>
      </c>
      <c r="B1941" s="62" t="s">
        <v>708</v>
      </c>
      <c r="C1941" s="63"/>
      <c r="D1941" s="64"/>
      <c r="E1941" s="65"/>
      <c r="F1941" s="66"/>
      <c r="G1941" s="63"/>
      <c r="H1941" s="67"/>
      <c r="I1941" s="68"/>
      <c r="J1941" s="68"/>
      <c r="K1941" s="32"/>
      <c r="L1941" s="75">
        <v>1941</v>
      </c>
      <c r="M1941" s="75"/>
      <c r="N1941" s="70"/>
      <c r="O1941" s="77" t="s">
        <v>179</v>
      </c>
      <c r="P1941" s="79">
        <v>45080.982685185183</v>
      </c>
      <c r="Q1941" s="77" t="s">
        <v>3180</v>
      </c>
      <c r="R1941" s="77">
        <v>0</v>
      </c>
      <c r="S1941" s="77">
        <v>1</v>
      </c>
      <c r="T1941" s="77">
        <v>1</v>
      </c>
      <c r="U1941" s="77">
        <v>0</v>
      </c>
      <c r="V1941" s="77">
        <v>91</v>
      </c>
      <c r="W1941" s="82" t="s">
        <v>6087</v>
      </c>
      <c r="X1941" s="80" t="str">
        <f>HYPERLINK("https://betbolacom.page.link/Tweet")</f>
        <v>https://betbolacom.page.link/Tweet</v>
      </c>
      <c r="Y1941" s="77" t="s">
        <v>7378</v>
      </c>
      <c r="Z1941" s="77"/>
      <c r="AA1941" s="77" t="s">
        <v>8500</v>
      </c>
      <c r="AB1941" s="77" t="s">
        <v>10130</v>
      </c>
      <c r="AC1941" s="82" t="s">
        <v>10146</v>
      </c>
      <c r="AD1941" s="77" t="s">
        <v>10184</v>
      </c>
      <c r="AE1941" s="80" t="str">
        <f>HYPERLINK("https://twitter.com/6de6_palpites/status/1665140072750956544")</f>
        <v>https://twitter.com/6de6_palpites/status/1665140072750956544</v>
      </c>
      <c r="AF1941" s="79">
        <v>45080.982685185183</v>
      </c>
      <c r="AG1941" s="85">
        <v>45080</v>
      </c>
      <c r="AH1941" s="82" t="s">
        <v>12056</v>
      </c>
      <c r="AI1941" s="77" t="b">
        <v>0</v>
      </c>
      <c r="AJ1941" s="77"/>
      <c r="AK1941" s="77"/>
      <c r="AL1941" s="77"/>
      <c r="AM1941" s="77"/>
      <c r="AN1941" s="77"/>
      <c r="AO1941" s="77"/>
      <c r="AP1941" s="77"/>
      <c r="AQ1941" s="77" t="s">
        <v>15144</v>
      </c>
      <c r="AR1941" s="77"/>
      <c r="AS1941" s="77"/>
      <c r="AT1941" s="77"/>
      <c r="AU1941" s="77"/>
      <c r="AV1941" s="80" t="str">
        <f>HYPERLINK("https://pbs.twimg.com/media/FxvC5ylXsAAo2em.jpg")</f>
        <v>https://pbs.twimg.com/media/FxvC5ylXsAAo2em.jpg</v>
      </c>
      <c r="AW1941" s="82" t="s">
        <v>18709</v>
      </c>
      <c r="AX1941" s="82" t="s">
        <v>18709</v>
      </c>
      <c r="AY1941" s="77"/>
      <c r="AZ1941" s="82" t="s">
        <v>20971</v>
      </c>
      <c r="BA1941" s="82" t="s">
        <v>20971</v>
      </c>
      <c r="BB1941" s="82" t="s">
        <v>20971</v>
      </c>
      <c r="BC1941" s="82" t="s">
        <v>18709</v>
      </c>
      <c r="BD1941" s="82" t="s">
        <v>20938</v>
      </c>
      <c r="BE1941" s="77"/>
      <c r="BF1941" s="77"/>
      <c r="BG1941" s="77"/>
      <c r="BH1941" s="77"/>
      <c r="BI1941" s="77"/>
    </row>
    <row r="1942" spans="1:61" x14ac:dyDescent="0.25">
      <c r="A1942" s="62" t="s">
        <v>708</v>
      </c>
      <c r="B1942" s="62" t="s">
        <v>708</v>
      </c>
      <c r="C1942" s="63"/>
      <c r="D1942" s="64"/>
      <c r="E1942" s="65"/>
      <c r="F1942" s="66"/>
      <c r="G1942" s="63"/>
      <c r="H1942" s="67"/>
      <c r="I1942" s="68"/>
      <c r="J1942" s="68"/>
      <c r="K1942" s="32"/>
      <c r="L1942" s="75">
        <v>1942</v>
      </c>
      <c r="M1942" s="75"/>
      <c r="N1942" s="70"/>
      <c r="O1942" s="77" t="s">
        <v>179</v>
      </c>
      <c r="P1942" s="79">
        <v>45080.667951388888</v>
      </c>
      <c r="Q1942" s="77" t="s">
        <v>3181</v>
      </c>
      <c r="R1942" s="77">
        <v>0</v>
      </c>
      <c r="S1942" s="77">
        <v>1</v>
      </c>
      <c r="T1942" s="77">
        <v>0</v>
      </c>
      <c r="U1942" s="77">
        <v>0</v>
      </c>
      <c r="V1942" s="77">
        <v>76</v>
      </c>
      <c r="W1942" s="82" t="s">
        <v>6081</v>
      </c>
      <c r="X1942" s="80" t="str">
        <f>HYPERLINK("https://curtlink.com/GGierrI")</f>
        <v>https://curtlink.com/GGierrI</v>
      </c>
      <c r="Y1942" s="77" t="s">
        <v>7380</v>
      </c>
      <c r="Z1942" s="77"/>
      <c r="AA1942" s="77" t="s">
        <v>8501</v>
      </c>
      <c r="AB1942" s="77" t="s">
        <v>10130</v>
      </c>
      <c r="AC1942" s="82" t="s">
        <v>10144</v>
      </c>
      <c r="AD1942" s="77" t="s">
        <v>10184</v>
      </c>
      <c r="AE1942" s="80" t="str">
        <f>HYPERLINK("https://twitter.com/6de6_palpites/status/1665026017092665345")</f>
        <v>https://twitter.com/6de6_palpites/status/1665026017092665345</v>
      </c>
      <c r="AF1942" s="79">
        <v>45080.667951388888</v>
      </c>
      <c r="AG1942" s="85">
        <v>45080</v>
      </c>
      <c r="AH1942" s="82" t="s">
        <v>12057</v>
      </c>
      <c r="AI1942" s="77" t="b">
        <v>0</v>
      </c>
      <c r="AJ1942" s="77"/>
      <c r="AK1942" s="77"/>
      <c r="AL1942" s="77"/>
      <c r="AM1942" s="77"/>
      <c r="AN1942" s="77"/>
      <c r="AO1942" s="77"/>
      <c r="AP1942" s="77"/>
      <c r="AQ1942" s="77" t="s">
        <v>15145</v>
      </c>
      <c r="AR1942" s="77"/>
      <c r="AS1942" s="77"/>
      <c r="AT1942" s="77"/>
      <c r="AU1942" s="77"/>
      <c r="AV1942" s="80" t="str">
        <f>HYPERLINK("https://pbs.twimg.com/media/FxtcVoZX0AAd0bw.jpg")</f>
        <v>https://pbs.twimg.com/media/FxtcVoZX0AAd0bw.jpg</v>
      </c>
      <c r="AW1942" s="82" t="s">
        <v>18710</v>
      </c>
      <c r="AX1942" s="82" t="s">
        <v>18710</v>
      </c>
      <c r="AY1942" s="77"/>
      <c r="AZ1942" s="82" t="s">
        <v>20971</v>
      </c>
      <c r="BA1942" s="82" t="s">
        <v>20971</v>
      </c>
      <c r="BB1942" s="82" t="s">
        <v>20971</v>
      </c>
      <c r="BC1942" s="82" t="s">
        <v>18710</v>
      </c>
      <c r="BD1942" s="82" t="s">
        <v>20938</v>
      </c>
      <c r="BE1942" s="77"/>
      <c r="BF1942" s="77"/>
      <c r="BG1942" s="77"/>
      <c r="BH1942" s="77"/>
      <c r="BI1942" s="77"/>
    </row>
    <row r="1943" spans="1:61" x14ac:dyDescent="0.25">
      <c r="A1943" s="62" t="s">
        <v>708</v>
      </c>
      <c r="B1943" s="62" t="s">
        <v>708</v>
      </c>
      <c r="C1943" s="63"/>
      <c r="D1943" s="64"/>
      <c r="E1943" s="65"/>
      <c r="F1943" s="66"/>
      <c r="G1943" s="63"/>
      <c r="H1943" s="67"/>
      <c r="I1943" s="68"/>
      <c r="J1943" s="68"/>
      <c r="K1943" s="32"/>
      <c r="L1943" s="75">
        <v>1943</v>
      </c>
      <c r="M1943" s="75"/>
      <c r="N1943" s="70"/>
      <c r="O1943" s="77" t="s">
        <v>179</v>
      </c>
      <c r="P1943" s="79">
        <v>45055.472013888888</v>
      </c>
      <c r="Q1943" s="77" t="s">
        <v>3182</v>
      </c>
      <c r="R1943" s="77">
        <v>0</v>
      </c>
      <c r="S1943" s="77">
        <v>2</v>
      </c>
      <c r="T1943" s="77">
        <v>1</v>
      </c>
      <c r="U1943" s="77">
        <v>0</v>
      </c>
      <c r="V1943" s="77">
        <v>138</v>
      </c>
      <c r="W1943" s="82" t="s">
        <v>6115</v>
      </c>
      <c r="X1943" s="77"/>
      <c r="Y1943" s="77"/>
      <c r="Z1943" s="77"/>
      <c r="AA1943" s="77" t="s">
        <v>8502</v>
      </c>
      <c r="AB1943" s="77" t="s">
        <v>10130</v>
      </c>
      <c r="AC1943" s="82" t="s">
        <v>10146</v>
      </c>
      <c r="AD1943" s="77" t="s">
        <v>10184</v>
      </c>
      <c r="AE1943" s="80" t="str">
        <f>HYPERLINK("https://twitter.com/6de6_palpites/status/1655895312655962112")</f>
        <v>https://twitter.com/6de6_palpites/status/1655895312655962112</v>
      </c>
      <c r="AF1943" s="79">
        <v>45055.472013888888</v>
      </c>
      <c r="AG1943" s="85">
        <v>45055</v>
      </c>
      <c r="AH1943" s="82" t="s">
        <v>12058</v>
      </c>
      <c r="AI1943" s="77" t="b">
        <v>0</v>
      </c>
      <c r="AJ1943" s="77"/>
      <c r="AK1943" s="77"/>
      <c r="AL1943" s="77"/>
      <c r="AM1943" s="77"/>
      <c r="AN1943" s="77"/>
      <c r="AO1943" s="77"/>
      <c r="AP1943" s="77"/>
      <c r="AQ1943" s="77" t="s">
        <v>15146</v>
      </c>
      <c r="AR1943" s="77"/>
      <c r="AS1943" s="77"/>
      <c r="AT1943" s="77"/>
      <c r="AU1943" s="77"/>
      <c r="AV1943" s="80" t="str">
        <f>HYPERLINK("https://pbs.twimg.com/media/Fvrr-S1WYAAwlC5.jpg")</f>
        <v>https://pbs.twimg.com/media/Fvrr-S1WYAAwlC5.jpg</v>
      </c>
      <c r="AW1943" s="82" t="s">
        <v>18711</v>
      </c>
      <c r="AX1943" s="82" t="s">
        <v>18711</v>
      </c>
      <c r="AY1943" s="77"/>
      <c r="AZ1943" s="82" t="s">
        <v>20971</v>
      </c>
      <c r="BA1943" s="82" t="s">
        <v>20971</v>
      </c>
      <c r="BB1943" s="82" t="s">
        <v>20971</v>
      </c>
      <c r="BC1943" s="82" t="s">
        <v>18711</v>
      </c>
      <c r="BD1943" s="82" t="s">
        <v>20938</v>
      </c>
      <c r="BE1943" s="77"/>
      <c r="BF1943" s="77"/>
      <c r="BG1943" s="77"/>
      <c r="BH1943" s="77"/>
      <c r="BI1943" s="77"/>
    </row>
    <row r="1944" spans="1:61" x14ac:dyDescent="0.25">
      <c r="A1944" s="62" t="s">
        <v>708</v>
      </c>
      <c r="B1944" s="62" t="s">
        <v>708</v>
      </c>
      <c r="C1944" s="63"/>
      <c r="D1944" s="64"/>
      <c r="E1944" s="65"/>
      <c r="F1944" s="66"/>
      <c r="G1944" s="63"/>
      <c r="H1944" s="67"/>
      <c r="I1944" s="68"/>
      <c r="J1944" s="68"/>
      <c r="K1944" s="32"/>
      <c r="L1944" s="75">
        <v>1944</v>
      </c>
      <c r="M1944" s="75"/>
      <c r="N1944" s="70"/>
      <c r="O1944" s="77" t="s">
        <v>179</v>
      </c>
      <c r="P1944" s="79">
        <v>45053.894097222219</v>
      </c>
      <c r="Q1944" s="77" t="s">
        <v>3183</v>
      </c>
      <c r="R1944" s="77">
        <v>0</v>
      </c>
      <c r="S1944" s="77">
        <v>2</v>
      </c>
      <c r="T1944" s="77">
        <v>0</v>
      </c>
      <c r="U1944" s="77">
        <v>0</v>
      </c>
      <c r="V1944" s="77">
        <v>70</v>
      </c>
      <c r="W1944" s="82" t="s">
        <v>6099</v>
      </c>
      <c r="X1944" s="77"/>
      <c r="Y1944" s="77"/>
      <c r="Z1944" s="77"/>
      <c r="AA1944" s="77" t="s">
        <v>8503</v>
      </c>
      <c r="AB1944" s="77" t="s">
        <v>10130</v>
      </c>
      <c r="AC1944" s="82" t="s">
        <v>10146</v>
      </c>
      <c r="AD1944" s="77" t="s">
        <v>10184</v>
      </c>
      <c r="AE1944" s="80" t="str">
        <f>HYPERLINK("https://twitter.com/6de6_palpites/status/1655323496149397505")</f>
        <v>https://twitter.com/6de6_palpites/status/1655323496149397505</v>
      </c>
      <c r="AF1944" s="79">
        <v>45053.894097222219</v>
      </c>
      <c r="AG1944" s="85">
        <v>45053</v>
      </c>
      <c r="AH1944" s="82" t="s">
        <v>12059</v>
      </c>
      <c r="AI1944" s="77" t="b">
        <v>0</v>
      </c>
      <c r="AJ1944" s="77"/>
      <c r="AK1944" s="77"/>
      <c r="AL1944" s="77"/>
      <c r="AM1944" s="77"/>
      <c r="AN1944" s="77"/>
      <c r="AO1944" s="77"/>
      <c r="AP1944" s="77"/>
      <c r="AQ1944" s="77" t="s">
        <v>15147</v>
      </c>
      <c r="AR1944" s="77"/>
      <c r="AS1944" s="77"/>
      <c r="AT1944" s="77"/>
      <c r="AU1944" s="77"/>
      <c r="AV1944" s="80" t="str">
        <f>HYPERLINK("https://pbs.twimg.com/media/Fvjj764WcAIuLh-.jpg")</f>
        <v>https://pbs.twimg.com/media/Fvjj764WcAIuLh-.jpg</v>
      </c>
      <c r="AW1944" s="82" t="s">
        <v>18712</v>
      </c>
      <c r="AX1944" s="82" t="s">
        <v>18712</v>
      </c>
      <c r="AY1944" s="77"/>
      <c r="AZ1944" s="82" t="s">
        <v>20971</v>
      </c>
      <c r="BA1944" s="82" t="s">
        <v>20971</v>
      </c>
      <c r="BB1944" s="82" t="s">
        <v>20971</v>
      </c>
      <c r="BC1944" s="82" t="s">
        <v>18712</v>
      </c>
      <c r="BD1944" s="82" t="s">
        <v>20938</v>
      </c>
      <c r="BE1944" s="77"/>
      <c r="BF1944" s="77"/>
      <c r="BG1944" s="77"/>
      <c r="BH1944" s="77"/>
      <c r="BI1944" s="77"/>
    </row>
    <row r="1945" spans="1:61" x14ac:dyDescent="0.25">
      <c r="A1945" s="62" t="s">
        <v>708</v>
      </c>
      <c r="B1945" s="62" t="s">
        <v>708</v>
      </c>
      <c r="C1945" s="63"/>
      <c r="D1945" s="64"/>
      <c r="E1945" s="65"/>
      <c r="F1945" s="66"/>
      <c r="G1945" s="63"/>
      <c r="H1945" s="67"/>
      <c r="I1945" s="68"/>
      <c r="J1945" s="68"/>
      <c r="K1945" s="32"/>
      <c r="L1945" s="75">
        <v>1945</v>
      </c>
      <c r="M1945" s="75"/>
      <c r="N1945" s="70"/>
      <c r="O1945" s="77" t="s">
        <v>179</v>
      </c>
      <c r="P1945" s="79">
        <v>45138.620983796296</v>
      </c>
      <c r="Q1945" s="77" t="s">
        <v>3184</v>
      </c>
      <c r="R1945" s="77">
        <v>0</v>
      </c>
      <c r="S1945" s="77">
        <v>0</v>
      </c>
      <c r="T1945" s="77">
        <v>0</v>
      </c>
      <c r="U1945" s="77">
        <v>0</v>
      </c>
      <c r="V1945" s="77">
        <v>65</v>
      </c>
      <c r="W1945" s="82" t="s">
        <v>6116</v>
      </c>
      <c r="X1945" s="77"/>
      <c r="Y1945" s="77"/>
      <c r="Z1945" s="77"/>
      <c r="AA1945" s="77" t="s">
        <v>8504</v>
      </c>
      <c r="AB1945" s="77" t="s">
        <v>10129</v>
      </c>
      <c r="AC1945" s="82" t="s">
        <v>10144</v>
      </c>
      <c r="AD1945" s="77" t="s">
        <v>10184</v>
      </c>
      <c r="AE1945" s="80" t="str">
        <f>HYPERLINK("https://twitter.com/6de6_palpites/status/1686027489913491456")</f>
        <v>https://twitter.com/6de6_palpites/status/1686027489913491456</v>
      </c>
      <c r="AF1945" s="79">
        <v>45138.620983796296</v>
      </c>
      <c r="AG1945" s="85">
        <v>45138</v>
      </c>
      <c r="AH1945" s="82" t="s">
        <v>12060</v>
      </c>
      <c r="AI1945" s="77" t="b">
        <v>0</v>
      </c>
      <c r="AJ1945" s="77"/>
      <c r="AK1945" s="77"/>
      <c r="AL1945" s="77"/>
      <c r="AM1945" s="77"/>
      <c r="AN1945" s="77"/>
      <c r="AO1945" s="77"/>
      <c r="AP1945" s="77"/>
      <c r="AQ1945" s="77" t="s">
        <v>15148</v>
      </c>
      <c r="AR1945" s="77">
        <v>44986</v>
      </c>
      <c r="AS1945" s="77"/>
      <c r="AT1945" s="77"/>
      <c r="AU1945" s="77"/>
      <c r="AV1945" s="80" t="str">
        <f>HYPERLINK("https://pbs.twimg.com/ext_tw_video_thumb/1686027431600103426/pu/img/ZAHEnfPapJt1_oEZ.jpg")</f>
        <v>https://pbs.twimg.com/ext_tw_video_thumb/1686027431600103426/pu/img/ZAHEnfPapJt1_oEZ.jpg</v>
      </c>
      <c r="AW1945" s="82" t="s">
        <v>18713</v>
      </c>
      <c r="AX1945" s="82" t="s">
        <v>18713</v>
      </c>
      <c r="AY1945" s="77"/>
      <c r="AZ1945" s="82" t="s">
        <v>20971</v>
      </c>
      <c r="BA1945" s="82" t="s">
        <v>20971</v>
      </c>
      <c r="BB1945" s="82" t="s">
        <v>20971</v>
      </c>
      <c r="BC1945" s="82" t="s">
        <v>18713</v>
      </c>
      <c r="BD1945" s="82" t="s">
        <v>20938</v>
      </c>
      <c r="BE1945" s="77"/>
      <c r="BF1945" s="77"/>
      <c r="BG1945" s="77"/>
      <c r="BH1945" s="77"/>
      <c r="BI1945" s="77"/>
    </row>
    <row r="1946" spans="1:61" x14ac:dyDescent="0.25">
      <c r="A1946" s="62" t="s">
        <v>708</v>
      </c>
      <c r="B1946" s="62" t="s">
        <v>708</v>
      </c>
      <c r="C1946" s="63"/>
      <c r="D1946" s="64"/>
      <c r="E1946" s="65"/>
      <c r="F1946" s="66"/>
      <c r="G1946" s="63"/>
      <c r="H1946" s="67"/>
      <c r="I1946" s="68"/>
      <c r="J1946" s="68"/>
      <c r="K1946" s="32"/>
      <c r="L1946" s="75">
        <v>1946</v>
      </c>
      <c r="M1946" s="75"/>
      <c r="N1946" s="70"/>
      <c r="O1946" s="77" t="s">
        <v>1284</v>
      </c>
      <c r="P1946" s="79">
        <v>45120.625567129631</v>
      </c>
      <c r="Q1946" s="77" t="s">
        <v>3185</v>
      </c>
      <c r="R1946" s="77">
        <v>0</v>
      </c>
      <c r="S1946" s="77">
        <v>0</v>
      </c>
      <c r="T1946" s="77">
        <v>0</v>
      </c>
      <c r="U1946" s="77">
        <v>0</v>
      </c>
      <c r="V1946" s="77">
        <v>29</v>
      </c>
      <c r="W1946" s="82" t="s">
        <v>6117</v>
      </c>
      <c r="X1946" s="80" t="str">
        <f>HYPERLINK("https://betbolacom.page.link/Facebook")</f>
        <v>https://betbolacom.page.link/Facebook</v>
      </c>
      <c r="Y1946" s="77" t="s">
        <v>7378</v>
      </c>
      <c r="Z1946" s="77"/>
      <c r="AA1946" s="77"/>
      <c r="AB1946" s="77"/>
      <c r="AC1946" s="82" t="s">
        <v>10150</v>
      </c>
      <c r="AD1946" s="77" t="s">
        <v>10184</v>
      </c>
      <c r="AE1946" s="80" t="str">
        <f>HYPERLINK("https://twitter.com/6de6_palpites/status/1679506171990777856")</f>
        <v>https://twitter.com/6de6_palpites/status/1679506171990777856</v>
      </c>
      <c r="AF1946" s="79">
        <v>45120.625567129631</v>
      </c>
      <c r="AG1946" s="85">
        <v>45120</v>
      </c>
      <c r="AH1946" s="82" t="s">
        <v>12061</v>
      </c>
      <c r="AI1946" s="77" t="b">
        <v>0</v>
      </c>
      <c r="AJ1946" s="77"/>
      <c r="AK1946" s="77"/>
      <c r="AL1946" s="77"/>
      <c r="AM1946" s="77"/>
      <c r="AN1946" s="77"/>
      <c r="AO1946" s="77"/>
      <c r="AP1946" s="77"/>
      <c r="AQ1946" s="77"/>
      <c r="AR1946" s="77"/>
      <c r="AS1946" s="77"/>
      <c r="AT1946" s="77"/>
      <c r="AU1946" s="77"/>
      <c r="AV1946" s="80" t="str">
        <f>HYPERLINK("https://pbs.twimg.com/profile_images/1648771185235165184/WFqM_Jlh_normal.jpg")</f>
        <v>https://pbs.twimg.com/profile_images/1648771185235165184/WFqM_Jlh_normal.jpg</v>
      </c>
      <c r="AW1946" s="82" t="s">
        <v>18714</v>
      </c>
      <c r="AX1946" s="82" t="s">
        <v>20847</v>
      </c>
      <c r="AY1946" s="82" t="s">
        <v>20938</v>
      </c>
      <c r="AZ1946" s="82" t="s">
        <v>20847</v>
      </c>
      <c r="BA1946" s="82" t="s">
        <v>20971</v>
      </c>
      <c r="BB1946" s="82" t="s">
        <v>20971</v>
      </c>
      <c r="BC1946" s="82" t="s">
        <v>20847</v>
      </c>
      <c r="BD1946" s="82" t="s">
        <v>20938</v>
      </c>
      <c r="BE1946" s="77"/>
      <c r="BF1946" s="77"/>
      <c r="BG1946" s="77"/>
      <c r="BH1946" s="77"/>
      <c r="BI1946" s="77"/>
    </row>
    <row r="1947" spans="1:61" x14ac:dyDescent="0.25">
      <c r="A1947" s="62" t="s">
        <v>708</v>
      </c>
      <c r="B1947" s="62" t="s">
        <v>708</v>
      </c>
      <c r="C1947" s="63"/>
      <c r="D1947" s="64"/>
      <c r="E1947" s="65"/>
      <c r="F1947" s="66"/>
      <c r="G1947" s="63"/>
      <c r="H1947" s="67"/>
      <c r="I1947" s="68"/>
      <c r="J1947" s="68"/>
      <c r="K1947" s="32"/>
      <c r="L1947" s="75">
        <v>1947</v>
      </c>
      <c r="M1947" s="75"/>
      <c r="N1947" s="70"/>
      <c r="O1947" s="77" t="s">
        <v>1284</v>
      </c>
      <c r="P1947" s="79">
        <v>45119.64949074074</v>
      </c>
      <c r="Q1947" s="77" t="s">
        <v>3186</v>
      </c>
      <c r="R1947" s="77">
        <v>0</v>
      </c>
      <c r="S1947" s="77">
        <v>0</v>
      </c>
      <c r="T1947" s="77">
        <v>0</v>
      </c>
      <c r="U1947" s="77">
        <v>0</v>
      </c>
      <c r="V1947" s="77">
        <v>23</v>
      </c>
      <c r="W1947" s="82" t="s">
        <v>6102</v>
      </c>
      <c r="X1947" s="80" t="str">
        <f>HYPERLINK("https://betbolacom.page.link/Tweet")</f>
        <v>https://betbolacom.page.link/Tweet</v>
      </c>
      <c r="Y1947" s="77" t="s">
        <v>7378</v>
      </c>
      <c r="Z1947" s="77"/>
      <c r="AA1947" s="77"/>
      <c r="AB1947" s="77"/>
      <c r="AC1947" s="82" t="s">
        <v>10146</v>
      </c>
      <c r="AD1947" s="77" t="s">
        <v>10184</v>
      </c>
      <c r="AE1947" s="80" t="str">
        <f>HYPERLINK("https://twitter.com/6de6_palpites/status/1679152453277872129")</f>
        <v>https://twitter.com/6de6_palpites/status/1679152453277872129</v>
      </c>
      <c r="AF1947" s="79">
        <v>45119.64949074074</v>
      </c>
      <c r="AG1947" s="85">
        <v>45119</v>
      </c>
      <c r="AH1947" s="82" t="s">
        <v>12062</v>
      </c>
      <c r="AI1947" s="77" t="b">
        <v>0</v>
      </c>
      <c r="AJ1947" s="77"/>
      <c r="AK1947" s="77"/>
      <c r="AL1947" s="77"/>
      <c r="AM1947" s="77"/>
      <c r="AN1947" s="77"/>
      <c r="AO1947" s="77"/>
      <c r="AP1947" s="77"/>
      <c r="AQ1947" s="77"/>
      <c r="AR1947" s="77"/>
      <c r="AS1947" s="77"/>
      <c r="AT1947" s="77"/>
      <c r="AU1947" s="77"/>
      <c r="AV1947" s="80" t="str">
        <f>HYPERLINK("https://pbs.twimg.com/profile_images/1648771185235165184/WFqM_Jlh_normal.jpg")</f>
        <v>https://pbs.twimg.com/profile_images/1648771185235165184/WFqM_Jlh_normal.jpg</v>
      </c>
      <c r="AW1947" s="82" t="s">
        <v>18715</v>
      </c>
      <c r="AX1947" s="82" t="s">
        <v>20848</v>
      </c>
      <c r="AY1947" s="82" t="s">
        <v>20938</v>
      </c>
      <c r="AZ1947" s="82" t="s">
        <v>20988</v>
      </c>
      <c r="BA1947" s="82" t="s">
        <v>20971</v>
      </c>
      <c r="BB1947" s="82" t="s">
        <v>20971</v>
      </c>
      <c r="BC1947" s="82" t="s">
        <v>20988</v>
      </c>
      <c r="BD1947" s="82" t="s">
        <v>20938</v>
      </c>
      <c r="BE1947" s="77"/>
      <c r="BF1947" s="77"/>
      <c r="BG1947" s="77"/>
      <c r="BH1947" s="77"/>
      <c r="BI1947" s="77"/>
    </row>
    <row r="1948" spans="1:61" x14ac:dyDescent="0.25">
      <c r="A1948" s="62" t="s">
        <v>708</v>
      </c>
      <c r="B1948" s="62" t="s">
        <v>708</v>
      </c>
      <c r="C1948" s="63"/>
      <c r="D1948" s="64"/>
      <c r="E1948" s="65"/>
      <c r="F1948" s="66"/>
      <c r="G1948" s="63"/>
      <c r="H1948" s="67"/>
      <c r="I1948" s="68"/>
      <c r="J1948" s="68"/>
      <c r="K1948" s="32"/>
      <c r="L1948" s="75">
        <v>1948</v>
      </c>
      <c r="M1948" s="75"/>
      <c r="N1948" s="70"/>
      <c r="O1948" s="77" t="s">
        <v>1284</v>
      </c>
      <c r="P1948" s="79">
        <v>45118.798483796294</v>
      </c>
      <c r="Q1948" s="77" t="s">
        <v>3187</v>
      </c>
      <c r="R1948" s="77">
        <v>0</v>
      </c>
      <c r="S1948" s="77">
        <v>0</v>
      </c>
      <c r="T1948" s="77">
        <v>0</v>
      </c>
      <c r="U1948" s="77">
        <v>0</v>
      </c>
      <c r="V1948" s="77">
        <v>28</v>
      </c>
      <c r="W1948" s="82" t="s">
        <v>6118</v>
      </c>
      <c r="X1948" s="80" t="str">
        <f>HYPERLINK("https://betbolacom.page.link/Tweet")</f>
        <v>https://betbolacom.page.link/Tweet</v>
      </c>
      <c r="Y1948" s="77" t="s">
        <v>7378</v>
      </c>
      <c r="Z1948" s="77"/>
      <c r="AA1948" s="77"/>
      <c r="AB1948" s="77"/>
      <c r="AC1948" s="82" t="s">
        <v>10150</v>
      </c>
      <c r="AD1948" s="77" t="s">
        <v>10184</v>
      </c>
      <c r="AE1948" s="80" t="str">
        <f>HYPERLINK("https://twitter.com/6de6_palpites/status/1678844057479532555")</f>
        <v>https://twitter.com/6de6_palpites/status/1678844057479532555</v>
      </c>
      <c r="AF1948" s="79">
        <v>45118.798483796294</v>
      </c>
      <c r="AG1948" s="85">
        <v>45118</v>
      </c>
      <c r="AH1948" s="82" t="s">
        <v>12063</v>
      </c>
      <c r="AI1948" s="77" t="b">
        <v>0</v>
      </c>
      <c r="AJ1948" s="77"/>
      <c r="AK1948" s="77"/>
      <c r="AL1948" s="77"/>
      <c r="AM1948" s="77"/>
      <c r="AN1948" s="77"/>
      <c r="AO1948" s="77"/>
      <c r="AP1948" s="77"/>
      <c r="AQ1948" s="77"/>
      <c r="AR1948" s="77"/>
      <c r="AS1948" s="77"/>
      <c r="AT1948" s="77"/>
      <c r="AU1948" s="77"/>
      <c r="AV1948" s="80" t="str">
        <f>HYPERLINK("https://pbs.twimg.com/profile_images/1648771185235165184/WFqM_Jlh_normal.jpg")</f>
        <v>https://pbs.twimg.com/profile_images/1648771185235165184/WFqM_Jlh_normal.jpg</v>
      </c>
      <c r="AW1948" s="82" t="s">
        <v>18716</v>
      </c>
      <c r="AX1948" s="82" t="s">
        <v>20849</v>
      </c>
      <c r="AY1948" s="82" t="s">
        <v>20938</v>
      </c>
      <c r="AZ1948" s="82" t="s">
        <v>20849</v>
      </c>
      <c r="BA1948" s="82" t="s">
        <v>20971</v>
      </c>
      <c r="BB1948" s="82" t="s">
        <v>20971</v>
      </c>
      <c r="BC1948" s="82" t="s">
        <v>20849</v>
      </c>
      <c r="BD1948" s="82" t="s">
        <v>20938</v>
      </c>
      <c r="BE1948" s="77"/>
      <c r="BF1948" s="77"/>
      <c r="BG1948" s="77"/>
      <c r="BH1948" s="77"/>
      <c r="BI1948" s="77"/>
    </row>
    <row r="1949" spans="1:61" x14ac:dyDescent="0.25">
      <c r="A1949" s="62" t="s">
        <v>708</v>
      </c>
      <c r="B1949" s="62" t="s">
        <v>708</v>
      </c>
      <c r="C1949" s="63"/>
      <c r="D1949" s="64"/>
      <c r="E1949" s="65"/>
      <c r="F1949" s="66"/>
      <c r="G1949" s="63"/>
      <c r="H1949" s="67"/>
      <c r="I1949" s="68"/>
      <c r="J1949" s="68"/>
      <c r="K1949" s="32"/>
      <c r="L1949" s="75">
        <v>1949</v>
      </c>
      <c r="M1949" s="75"/>
      <c r="N1949" s="70"/>
      <c r="O1949" s="77" t="s">
        <v>1284</v>
      </c>
      <c r="P1949" s="79">
        <v>45117.877638888887</v>
      </c>
      <c r="Q1949" s="77" t="s">
        <v>3188</v>
      </c>
      <c r="R1949" s="77">
        <v>0</v>
      </c>
      <c r="S1949" s="77">
        <v>0</v>
      </c>
      <c r="T1949" s="77">
        <v>0</v>
      </c>
      <c r="U1949" s="77">
        <v>0</v>
      </c>
      <c r="V1949" s="77">
        <v>16</v>
      </c>
      <c r="W1949" s="82" t="s">
        <v>6119</v>
      </c>
      <c r="X1949" s="80" t="str">
        <f>HYPERLINK("https://betbolacom.page.link/Tweet")</f>
        <v>https://betbolacom.page.link/Tweet</v>
      </c>
      <c r="Y1949" s="77" t="s">
        <v>7378</v>
      </c>
      <c r="Z1949" s="77"/>
      <c r="AA1949" s="77"/>
      <c r="AB1949" s="77"/>
      <c r="AC1949" s="82" t="s">
        <v>10144</v>
      </c>
      <c r="AD1949" s="77" t="s">
        <v>10184</v>
      </c>
      <c r="AE1949" s="80" t="str">
        <f>HYPERLINK("https://twitter.com/6de6_palpites/status/1678510355528466433")</f>
        <v>https://twitter.com/6de6_palpites/status/1678510355528466433</v>
      </c>
      <c r="AF1949" s="79">
        <v>45117.877638888887</v>
      </c>
      <c r="AG1949" s="85">
        <v>45117</v>
      </c>
      <c r="AH1949" s="82" t="s">
        <v>12064</v>
      </c>
      <c r="AI1949" s="77" t="b">
        <v>0</v>
      </c>
      <c r="AJ1949" s="77"/>
      <c r="AK1949" s="77"/>
      <c r="AL1949" s="77"/>
      <c r="AM1949" s="77"/>
      <c r="AN1949" s="77"/>
      <c r="AO1949" s="77"/>
      <c r="AP1949" s="77"/>
      <c r="AQ1949" s="77"/>
      <c r="AR1949" s="77"/>
      <c r="AS1949" s="77"/>
      <c r="AT1949" s="77"/>
      <c r="AU1949" s="77"/>
      <c r="AV1949" s="80" t="str">
        <f>HYPERLINK("https://pbs.twimg.com/profile_images/1648771185235165184/WFqM_Jlh_normal.jpg")</f>
        <v>https://pbs.twimg.com/profile_images/1648771185235165184/WFqM_Jlh_normal.jpg</v>
      </c>
      <c r="AW1949" s="82" t="s">
        <v>18717</v>
      </c>
      <c r="AX1949" s="82" t="s">
        <v>20850</v>
      </c>
      <c r="AY1949" s="82" t="s">
        <v>20938</v>
      </c>
      <c r="AZ1949" s="82" t="s">
        <v>20989</v>
      </c>
      <c r="BA1949" s="82" t="s">
        <v>20971</v>
      </c>
      <c r="BB1949" s="82" t="s">
        <v>20971</v>
      </c>
      <c r="BC1949" s="82" t="s">
        <v>20989</v>
      </c>
      <c r="BD1949" s="82" t="s">
        <v>20938</v>
      </c>
      <c r="BE1949" s="77"/>
      <c r="BF1949" s="77"/>
      <c r="BG1949" s="77"/>
      <c r="BH1949" s="77"/>
      <c r="BI1949" s="77"/>
    </row>
    <row r="1950" spans="1:61" x14ac:dyDescent="0.25">
      <c r="A1950" s="62" t="s">
        <v>708</v>
      </c>
      <c r="B1950" s="62" t="s">
        <v>708</v>
      </c>
      <c r="C1950" s="63"/>
      <c r="D1950" s="64"/>
      <c r="E1950" s="65"/>
      <c r="F1950" s="66"/>
      <c r="G1950" s="63"/>
      <c r="H1950" s="67"/>
      <c r="I1950" s="68"/>
      <c r="J1950" s="68"/>
      <c r="K1950" s="32"/>
      <c r="L1950" s="75">
        <v>1950</v>
      </c>
      <c r="M1950" s="75"/>
      <c r="N1950" s="70"/>
      <c r="O1950" s="77" t="s">
        <v>1284</v>
      </c>
      <c r="P1950" s="79">
        <v>45117.679398148146</v>
      </c>
      <c r="Q1950" s="77" t="s">
        <v>3189</v>
      </c>
      <c r="R1950" s="77">
        <v>0</v>
      </c>
      <c r="S1950" s="77">
        <v>0</v>
      </c>
      <c r="T1950" s="77">
        <v>0</v>
      </c>
      <c r="U1950" s="77">
        <v>0</v>
      </c>
      <c r="V1950" s="77">
        <v>19</v>
      </c>
      <c r="W1950" s="82" t="s">
        <v>6105</v>
      </c>
      <c r="X1950" s="80" t="str">
        <f>HYPERLINK("https://betbolacom.page.link/tweet")</f>
        <v>https://betbolacom.page.link/tweet</v>
      </c>
      <c r="Y1950" s="77" t="s">
        <v>7378</v>
      </c>
      <c r="Z1950" s="77"/>
      <c r="AA1950" s="77"/>
      <c r="AB1950" s="77"/>
      <c r="AC1950" s="82" t="s">
        <v>10144</v>
      </c>
      <c r="AD1950" s="77" t="s">
        <v>10184</v>
      </c>
      <c r="AE1950" s="80" t="str">
        <f>HYPERLINK("https://twitter.com/6de6_palpites/status/1678438516361969664")</f>
        <v>https://twitter.com/6de6_palpites/status/1678438516361969664</v>
      </c>
      <c r="AF1950" s="79">
        <v>45117.679398148146</v>
      </c>
      <c r="AG1950" s="85">
        <v>45117</v>
      </c>
      <c r="AH1950" s="82" t="s">
        <v>12065</v>
      </c>
      <c r="AI1950" s="77" t="b">
        <v>0</v>
      </c>
      <c r="AJ1950" s="77"/>
      <c r="AK1950" s="77"/>
      <c r="AL1950" s="77"/>
      <c r="AM1950" s="77"/>
      <c r="AN1950" s="77"/>
      <c r="AO1950" s="77"/>
      <c r="AP1950" s="77"/>
      <c r="AQ1950" s="77"/>
      <c r="AR1950" s="77"/>
      <c r="AS1950" s="77"/>
      <c r="AT1950" s="77"/>
      <c r="AU1950" s="77"/>
      <c r="AV1950" s="80" t="str">
        <f>HYPERLINK("https://pbs.twimg.com/profile_images/1648771185235165184/WFqM_Jlh_normal.jpg")</f>
        <v>https://pbs.twimg.com/profile_images/1648771185235165184/WFqM_Jlh_normal.jpg</v>
      </c>
      <c r="AW1950" s="82" t="s">
        <v>18718</v>
      </c>
      <c r="AX1950" s="82" t="s">
        <v>20851</v>
      </c>
      <c r="AY1950" s="82" t="s">
        <v>20938</v>
      </c>
      <c r="AZ1950" s="82" t="s">
        <v>20851</v>
      </c>
      <c r="BA1950" s="82" t="s">
        <v>20971</v>
      </c>
      <c r="BB1950" s="82" t="s">
        <v>20971</v>
      </c>
      <c r="BC1950" s="82" t="s">
        <v>20851</v>
      </c>
      <c r="BD1950" s="82" t="s">
        <v>20938</v>
      </c>
      <c r="BE1950" s="77"/>
      <c r="BF1950" s="77"/>
      <c r="BG1950" s="77"/>
      <c r="BH1950" s="77"/>
      <c r="BI1950" s="77"/>
    </row>
    <row r="1951" spans="1:61" x14ac:dyDescent="0.25">
      <c r="A1951" s="62" t="s">
        <v>708</v>
      </c>
      <c r="B1951" s="62" t="s">
        <v>708</v>
      </c>
      <c r="C1951" s="63"/>
      <c r="D1951" s="64"/>
      <c r="E1951" s="65"/>
      <c r="F1951" s="66"/>
      <c r="G1951" s="63"/>
      <c r="H1951" s="67"/>
      <c r="I1951" s="68"/>
      <c r="J1951" s="68"/>
      <c r="K1951" s="32"/>
      <c r="L1951" s="75">
        <v>1951</v>
      </c>
      <c r="M1951" s="75"/>
      <c r="N1951" s="70"/>
      <c r="O1951" s="77" t="s">
        <v>179</v>
      </c>
      <c r="P1951" s="79">
        <v>45078.890775462962</v>
      </c>
      <c r="Q1951" s="77" t="s">
        <v>3190</v>
      </c>
      <c r="R1951" s="77">
        <v>0</v>
      </c>
      <c r="S1951" s="77">
        <v>0</v>
      </c>
      <c r="T1951" s="77">
        <v>0</v>
      </c>
      <c r="U1951" s="77">
        <v>0</v>
      </c>
      <c r="V1951" s="77">
        <v>62</v>
      </c>
      <c r="W1951" s="82" t="s">
        <v>6096</v>
      </c>
      <c r="X1951" s="80" t="str">
        <f>HYPERLINK("https://curtlink.com/Zf36wYP")</f>
        <v>https://curtlink.com/Zf36wYP</v>
      </c>
      <c r="Y1951" s="77" t="s">
        <v>7380</v>
      </c>
      <c r="Z1951" s="77"/>
      <c r="AA1951" s="77" t="s">
        <v>8505</v>
      </c>
      <c r="AB1951" s="77" t="s">
        <v>10130</v>
      </c>
      <c r="AC1951" s="82" t="s">
        <v>10144</v>
      </c>
      <c r="AD1951" s="77" t="s">
        <v>10184</v>
      </c>
      <c r="AE1951" s="80" t="str">
        <f>HYPERLINK("https://twitter.com/6de6_palpites/status/1664381990710157318")</f>
        <v>https://twitter.com/6de6_palpites/status/1664381990710157318</v>
      </c>
      <c r="AF1951" s="79">
        <v>45078.890775462962</v>
      </c>
      <c r="AG1951" s="85">
        <v>45078</v>
      </c>
      <c r="AH1951" s="82" t="s">
        <v>12066</v>
      </c>
      <c r="AI1951" s="77" t="b">
        <v>0</v>
      </c>
      <c r="AJ1951" s="77"/>
      <c r="AK1951" s="77"/>
      <c r="AL1951" s="77"/>
      <c r="AM1951" s="77"/>
      <c r="AN1951" s="77"/>
      <c r="AO1951" s="77"/>
      <c r="AP1951" s="77"/>
      <c r="AQ1951" s="77" t="s">
        <v>15149</v>
      </c>
      <c r="AR1951" s="77"/>
      <c r="AS1951" s="77"/>
      <c r="AT1951" s="77"/>
      <c r="AU1951" s="77"/>
      <c r="AV1951" s="80" t="str">
        <f>HYPERLINK("https://pbs.twimg.com/media/FxkSmXwWwAMJkUL.jpg")</f>
        <v>https://pbs.twimg.com/media/FxkSmXwWwAMJkUL.jpg</v>
      </c>
      <c r="AW1951" s="82" t="s">
        <v>18719</v>
      </c>
      <c r="AX1951" s="82" t="s">
        <v>18719</v>
      </c>
      <c r="AY1951" s="77"/>
      <c r="AZ1951" s="82" t="s">
        <v>20971</v>
      </c>
      <c r="BA1951" s="82" t="s">
        <v>20971</v>
      </c>
      <c r="BB1951" s="82" t="s">
        <v>20971</v>
      </c>
      <c r="BC1951" s="82" t="s">
        <v>18719</v>
      </c>
      <c r="BD1951" s="82" t="s">
        <v>20938</v>
      </c>
      <c r="BE1951" s="77"/>
      <c r="BF1951" s="77"/>
      <c r="BG1951" s="77"/>
      <c r="BH1951" s="77"/>
      <c r="BI1951" s="77"/>
    </row>
    <row r="1952" spans="1:61" x14ac:dyDescent="0.25">
      <c r="A1952" s="62" t="s">
        <v>708</v>
      </c>
      <c r="B1952" s="62" t="s">
        <v>708</v>
      </c>
      <c r="C1952" s="63"/>
      <c r="D1952" s="64"/>
      <c r="E1952" s="65"/>
      <c r="F1952" s="66"/>
      <c r="G1952" s="63"/>
      <c r="H1952" s="67"/>
      <c r="I1952" s="68"/>
      <c r="J1952" s="68"/>
      <c r="K1952" s="32"/>
      <c r="L1952" s="75">
        <v>1952</v>
      </c>
      <c r="M1952" s="75"/>
      <c r="N1952" s="70"/>
      <c r="O1952" s="77" t="s">
        <v>179</v>
      </c>
      <c r="P1952" s="79">
        <v>45078.619363425925</v>
      </c>
      <c r="Q1952" s="77" t="s">
        <v>3191</v>
      </c>
      <c r="R1952" s="77">
        <v>0</v>
      </c>
      <c r="S1952" s="77">
        <v>2</v>
      </c>
      <c r="T1952" s="77">
        <v>0</v>
      </c>
      <c r="U1952" s="77">
        <v>0</v>
      </c>
      <c r="V1952" s="77">
        <v>62</v>
      </c>
      <c r="W1952" s="82" t="s">
        <v>6120</v>
      </c>
      <c r="X1952" s="77"/>
      <c r="Y1952" s="77"/>
      <c r="Z1952" s="77"/>
      <c r="AA1952" s="77" t="s">
        <v>8506</v>
      </c>
      <c r="AB1952" s="77" t="s">
        <v>10130</v>
      </c>
      <c r="AC1952" s="82" t="s">
        <v>10161</v>
      </c>
      <c r="AD1952" s="77" t="s">
        <v>10184</v>
      </c>
      <c r="AE1952" s="80" t="str">
        <f>HYPERLINK("https://twitter.com/6de6_palpites/status/1664283633006546950")</f>
        <v>https://twitter.com/6de6_palpites/status/1664283633006546950</v>
      </c>
      <c r="AF1952" s="79">
        <v>45078.619363425925</v>
      </c>
      <c r="AG1952" s="85">
        <v>45078</v>
      </c>
      <c r="AH1952" s="82" t="s">
        <v>12067</v>
      </c>
      <c r="AI1952" s="77" t="b">
        <v>0</v>
      </c>
      <c r="AJ1952" s="77"/>
      <c r="AK1952" s="77"/>
      <c r="AL1952" s="77"/>
      <c r="AM1952" s="77"/>
      <c r="AN1952" s="77"/>
      <c r="AO1952" s="77"/>
      <c r="AP1952" s="77"/>
      <c r="AQ1952" s="77" t="s">
        <v>15150</v>
      </c>
      <c r="AR1952" s="77"/>
      <c r="AS1952" s="77"/>
      <c r="AT1952" s="77"/>
      <c r="AU1952" s="77"/>
      <c r="AV1952" s="80" t="str">
        <f>HYPERLINK("https://pbs.twimg.com/media/Fxi5IwGaYAMX975.jpg")</f>
        <v>https://pbs.twimg.com/media/Fxi5IwGaYAMX975.jpg</v>
      </c>
      <c r="AW1952" s="82" t="s">
        <v>18720</v>
      </c>
      <c r="AX1952" s="82" t="s">
        <v>18720</v>
      </c>
      <c r="AY1952" s="77"/>
      <c r="AZ1952" s="82" t="s">
        <v>20971</v>
      </c>
      <c r="BA1952" s="82" t="s">
        <v>20971</v>
      </c>
      <c r="BB1952" s="82" t="s">
        <v>20971</v>
      </c>
      <c r="BC1952" s="82" t="s">
        <v>18720</v>
      </c>
      <c r="BD1952" s="82" t="s">
        <v>20938</v>
      </c>
      <c r="BE1952" s="77"/>
      <c r="BF1952" s="77"/>
      <c r="BG1952" s="77"/>
      <c r="BH1952" s="77"/>
      <c r="BI1952" s="77"/>
    </row>
    <row r="1953" spans="1:61" x14ac:dyDescent="0.25">
      <c r="A1953" s="62" t="s">
        <v>708</v>
      </c>
      <c r="B1953" s="62" t="s">
        <v>708</v>
      </c>
      <c r="C1953" s="63"/>
      <c r="D1953" s="64"/>
      <c r="E1953" s="65"/>
      <c r="F1953" s="66"/>
      <c r="G1953" s="63"/>
      <c r="H1953" s="67"/>
      <c r="I1953" s="68"/>
      <c r="J1953" s="68"/>
      <c r="K1953" s="32"/>
      <c r="L1953" s="75">
        <v>1953</v>
      </c>
      <c r="M1953" s="75"/>
      <c r="N1953" s="70"/>
      <c r="O1953" s="77" t="s">
        <v>179</v>
      </c>
      <c r="P1953" s="79">
        <v>45076.887060185189</v>
      </c>
      <c r="Q1953" s="77" t="s">
        <v>3192</v>
      </c>
      <c r="R1953" s="77">
        <v>0</v>
      </c>
      <c r="S1953" s="77">
        <v>0</v>
      </c>
      <c r="T1953" s="77">
        <v>0</v>
      </c>
      <c r="U1953" s="77">
        <v>0</v>
      </c>
      <c r="V1953" s="77">
        <v>62</v>
      </c>
      <c r="W1953" s="82" t="s">
        <v>6089</v>
      </c>
      <c r="X1953" s="80" t="str">
        <f>HYPERLINK("https://betbolacom.page.link/Tweet")</f>
        <v>https://betbolacom.page.link/Tweet</v>
      </c>
      <c r="Y1953" s="77" t="s">
        <v>7378</v>
      </c>
      <c r="Z1953" s="77"/>
      <c r="AA1953" s="77" t="s">
        <v>8507</v>
      </c>
      <c r="AB1953" s="77" t="s">
        <v>10130</v>
      </c>
      <c r="AC1953" s="82" t="s">
        <v>10146</v>
      </c>
      <c r="AD1953" s="77" t="s">
        <v>10184</v>
      </c>
      <c r="AE1953" s="80" t="str">
        <f>HYPERLINK("https://twitter.com/6de6_palpites/status/1663655865155477504")</f>
        <v>https://twitter.com/6de6_palpites/status/1663655865155477504</v>
      </c>
      <c r="AF1953" s="79">
        <v>45076.887060185189</v>
      </c>
      <c r="AG1953" s="85">
        <v>45076</v>
      </c>
      <c r="AH1953" s="82" t="s">
        <v>12068</v>
      </c>
      <c r="AI1953" s="77" t="b">
        <v>0</v>
      </c>
      <c r="AJ1953" s="77"/>
      <c r="AK1953" s="77"/>
      <c r="AL1953" s="77"/>
      <c r="AM1953" s="77"/>
      <c r="AN1953" s="77"/>
      <c r="AO1953" s="77"/>
      <c r="AP1953" s="77"/>
      <c r="AQ1953" s="77" t="s">
        <v>15151</v>
      </c>
      <c r="AR1953" s="77"/>
      <c r="AS1953" s="77"/>
      <c r="AT1953" s="77"/>
      <c r="AU1953" s="77"/>
      <c r="AV1953" s="80" t="str">
        <f>HYPERLINK("https://pbs.twimg.com/media/FxZ-IkzXwAAx0Ra.jpg")</f>
        <v>https://pbs.twimg.com/media/FxZ-IkzXwAAx0Ra.jpg</v>
      </c>
      <c r="AW1953" s="82" t="s">
        <v>18721</v>
      </c>
      <c r="AX1953" s="82" t="s">
        <v>18721</v>
      </c>
      <c r="AY1953" s="77"/>
      <c r="AZ1953" s="82" t="s">
        <v>20971</v>
      </c>
      <c r="BA1953" s="82" t="s">
        <v>20971</v>
      </c>
      <c r="BB1953" s="82" t="s">
        <v>20971</v>
      </c>
      <c r="BC1953" s="82" t="s">
        <v>18721</v>
      </c>
      <c r="BD1953" s="82" t="s">
        <v>20938</v>
      </c>
      <c r="BE1953" s="77"/>
      <c r="BF1953" s="77"/>
      <c r="BG1953" s="77"/>
      <c r="BH1953" s="77"/>
      <c r="BI1953" s="77"/>
    </row>
    <row r="1954" spans="1:61" x14ac:dyDescent="0.25">
      <c r="A1954" s="62" t="s">
        <v>708</v>
      </c>
      <c r="B1954" s="62" t="s">
        <v>708</v>
      </c>
      <c r="C1954" s="63"/>
      <c r="D1954" s="64"/>
      <c r="E1954" s="65"/>
      <c r="F1954" s="66"/>
      <c r="G1954" s="63"/>
      <c r="H1954" s="67"/>
      <c r="I1954" s="68"/>
      <c r="J1954" s="68"/>
      <c r="K1954" s="32"/>
      <c r="L1954" s="75">
        <v>1954</v>
      </c>
      <c r="M1954" s="75"/>
      <c r="N1954" s="70"/>
      <c r="O1954" s="77" t="s">
        <v>1284</v>
      </c>
      <c r="P1954" s="79">
        <v>45076.677766203706</v>
      </c>
      <c r="Q1954" s="77" t="s">
        <v>3193</v>
      </c>
      <c r="R1954" s="77">
        <v>0</v>
      </c>
      <c r="S1954" s="77">
        <v>1</v>
      </c>
      <c r="T1954" s="77">
        <v>0</v>
      </c>
      <c r="U1954" s="77">
        <v>0</v>
      </c>
      <c r="V1954" s="77">
        <v>40</v>
      </c>
      <c r="W1954" s="82" t="s">
        <v>6089</v>
      </c>
      <c r="X1954" s="80" t="str">
        <f>HYPERLINK("https://betbolacom.page.link/Tweet")</f>
        <v>https://betbolacom.page.link/Tweet</v>
      </c>
      <c r="Y1954" s="77" t="s">
        <v>7378</v>
      </c>
      <c r="Z1954" s="77"/>
      <c r="AA1954" s="77"/>
      <c r="AB1954" s="77"/>
      <c r="AC1954" s="82" t="s">
        <v>10146</v>
      </c>
      <c r="AD1954" s="77" t="s">
        <v>10184</v>
      </c>
      <c r="AE1954" s="80" t="str">
        <f>HYPERLINK("https://twitter.com/6de6_palpites/status/1663580020718141443")</f>
        <v>https://twitter.com/6de6_palpites/status/1663580020718141443</v>
      </c>
      <c r="AF1954" s="79">
        <v>45076.677766203706</v>
      </c>
      <c r="AG1954" s="85">
        <v>45076</v>
      </c>
      <c r="AH1954" s="82" t="s">
        <v>12069</v>
      </c>
      <c r="AI1954" s="77" t="b">
        <v>0</v>
      </c>
      <c r="AJ1954" s="77"/>
      <c r="AK1954" s="77"/>
      <c r="AL1954" s="77"/>
      <c r="AM1954" s="77"/>
      <c r="AN1954" s="77"/>
      <c r="AO1954" s="77"/>
      <c r="AP1954" s="77"/>
      <c r="AQ1954" s="77"/>
      <c r="AR1954" s="77"/>
      <c r="AS1954" s="77"/>
      <c r="AT1954" s="77"/>
      <c r="AU1954" s="77"/>
      <c r="AV1954" s="80" t="str">
        <f>HYPERLINK("https://pbs.twimg.com/profile_images/1648771185235165184/WFqM_Jlh_normal.jpg")</f>
        <v>https://pbs.twimg.com/profile_images/1648771185235165184/WFqM_Jlh_normal.jpg</v>
      </c>
      <c r="AW1954" s="82" t="s">
        <v>18722</v>
      </c>
      <c r="AX1954" s="82" t="s">
        <v>20852</v>
      </c>
      <c r="AY1954" s="82" t="s">
        <v>20938</v>
      </c>
      <c r="AZ1954" s="82" t="s">
        <v>20852</v>
      </c>
      <c r="BA1954" s="82" t="s">
        <v>20971</v>
      </c>
      <c r="BB1954" s="82" t="s">
        <v>20971</v>
      </c>
      <c r="BC1954" s="82" t="s">
        <v>20852</v>
      </c>
      <c r="BD1954" s="82" t="s">
        <v>20938</v>
      </c>
      <c r="BE1954" s="77"/>
      <c r="BF1954" s="77"/>
      <c r="BG1954" s="77"/>
      <c r="BH1954" s="77"/>
      <c r="BI1954" s="77"/>
    </row>
    <row r="1955" spans="1:61" x14ac:dyDescent="0.25">
      <c r="A1955" s="62" t="s">
        <v>708</v>
      </c>
      <c r="B1955" s="62" t="s">
        <v>708</v>
      </c>
      <c r="C1955" s="63"/>
      <c r="D1955" s="64"/>
      <c r="E1955" s="65"/>
      <c r="F1955" s="66"/>
      <c r="G1955" s="63"/>
      <c r="H1955" s="67"/>
      <c r="I1955" s="68"/>
      <c r="J1955" s="68"/>
      <c r="K1955" s="32"/>
      <c r="L1955" s="75">
        <v>1955</v>
      </c>
      <c r="M1955" s="75"/>
      <c r="N1955" s="70"/>
      <c r="O1955" s="77" t="s">
        <v>179</v>
      </c>
      <c r="P1955" s="79">
        <v>45052.831006944441</v>
      </c>
      <c r="Q1955" s="77" t="s">
        <v>3194</v>
      </c>
      <c r="R1955" s="77">
        <v>0</v>
      </c>
      <c r="S1955" s="77">
        <v>1</v>
      </c>
      <c r="T1955" s="77">
        <v>0</v>
      </c>
      <c r="U1955" s="77">
        <v>0</v>
      </c>
      <c r="V1955" s="77">
        <v>81</v>
      </c>
      <c r="W1955" s="82" t="s">
        <v>6121</v>
      </c>
      <c r="X1955" s="77"/>
      <c r="Y1955" s="77"/>
      <c r="Z1955" s="77"/>
      <c r="AA1955" s="77" t="s">
        <v>8508</v>
      </c>
      <c r="AB1955" s="77" t="s">
        <v>10130</v>
      </c>
      <c r="AC1955" s="82" t="s">
        <v>10146</v>
      </c>
      <c r="AD1955" s="77" t="s">
        <v>10184</v>
      </c>
      <c r="AE1955" s="80" t="str">
        <f>HYPERLINK("https://twitter.com/6de6_palpites/status/1654938245568888833")</f>
        <v>https://twitter.com/6de6_palpites/status/1654938245568888833</v>
      </c>
      <c r="AF1955" s="79">
        <v>45052.831006944441</v>
      </c>
      <c r="AG1955" s="85">
        <v>45052</v>
      </c>
      <c r="AH1955" s="82" t="s">
        <v>12070</v>
      </c>
      <c r="AI1955" s="77" t="b">
        <v>0</v>
      </c>
      <c r="AJ1955" s="77"/>
      <c r="AK1955" s="77"/>
      <c r="AL1955" s="77"/>
      <c r="AM1955" s="77"/>
      <c r="AN1955" s="77"/>
      <c r="AO1955" s="77"/>
      <c r="AP1955" s="77"/>
      <c r="AQ1955" s="77" t="s">
        <v>15152</v>
      </c>
      <c r="AR1955" s="77"/>
      <c r="AS1955" s="77"/>
      <c r="AT1955" s="77"/>
      <c r="AU1955" s="77"/>
      <c r="AV1955" s="80" t="str">
        <f>HYPERLINK("https://pbs.twimg.com/media/FveFjC6XsAsjemO.jpg")</f>
        <v>https://pbs.twimg.com/media/FveFjC6XsAsjemO.jpg</v>
      </c>
      <c r="AW1955" s="82" t="s">
        <v>18723</v>
      </c>
      <c r="AX1955" s="82" t="s">
        <v>18723</v>
      </c>
      <c r="AY1955" s="77"/>
      <c r="AZ1955" s="82" t="s">
        <v>20971</v>
      </c>
      <c r="BA1955" s="82" t="s">
        <v>20971</v>
      </c>
      <c r="BB1955" s="82" t="s">
        <v>20971</v>
      </c>
      <c r="BC1955" s="82" t="s">
        <v>18723</v>
      </c>
      <c r="BD1955" s="82" t="s">
        <v>20938</v>
      </c>
      <c r="BE1955" s="77"/>
      <c r="BF1955" s="77"/>
      <c r="BG1955" s="77"/>
      <c r="BH1955" s="77"/>
      <c r="BI1955" s="77"/>
    </row>
    <row r="1956" spans="1:61" x14ac:dyDescent="0.25">
      <c r="A1956" s="62" t="s">
        <v>708</v>
      </c>
      <c r="B1956" s="62" t="s">
        <v>708</v>
      </c>
      <c r="C1956" s="63"/>
      <c r="D1956" s="64"/>
      <c r="E1956" s="65"/>
      <c r="F1956" s="66"/>
      <c r="G1956" s="63"/>
      <c r="H1956" s="67"/>
      <c r="I1956" s="68"/>
      <c r="J1956" s="68"/>
      <c r="K1956" s="32"/>
      <c r="L1956" s="75">
        <v>1956</v>
      </c>
      <c r="M1956" s="75"/>
      <c r="N1956" s="70"/>
      <c r="O1956" s="77" t="s">
        <v>179</v>
      </c>
      <c r="P1956" s="79">
        <v>45051.715104166666</v>
      </c>
      <c r="Q1956" s="77" t="s">
        <v>3195</v>
      </c>
      <c r="R1956" s="77">
        <v>0</v>
      </c>
      <c r="S1956" s="77">
        <v>1</v>
      </c>
      <c r="T1956" s="77">
        <v>0</v>
      </c>
      <c r="U1956" s="77">
        <v>0</v>
      </c>
      <c r="V1956" s="77">
        <v>81</v>
      </c>
      <c r="W1956" s="82" t="s">
        <v>6121</v>
      </c>
      <c r="X1956" s="77"/>
      <c r="Y1956" s="77"/>
      <c r="Z1956" s="77"/>
      <c r="AA1956" s="77" t="s">
        <v>8509</v>
      </c>
      <c r="AB1956" s="77" t="s">
        <v>10130</v>
      </c>
      <c r="AC1956" s="82" t="s">
        <v>10161</v>
      </c>
      <c r="AD1956" s="77" t="s">
        <v>10184</v>
      </c>
      <c r="AE1956" s="80" t="str">
        <f>HYPERLINK("https://twitter.com/6de6_palpites/status/1654533854839930882")</f>
        <v>https://twitter.com/6de6_palpites/status/1654533854839930882</v>
      </c>
      <c r="AF1956" s="79">
        <v>45051.715104166666</v>
      </c>
      <c r="AG1956" s="85">
        <v>45051</v>
      </c>
      <c r="AH1956" s="82" t="s">
        <v>12071</v>
      </c>
      <c r="AI1956" s="77" t="b">
        <v>0</v>
      </c>
      <c r="AJ1956" s="77"/>
      <c r="AK1956" s="77"/>
      <c r="AL1956" s="77"/>
      <c r="AM1956" s="77"/>
      <c r="AN1956" s="77"/>
      <c r="AO1956" s="77"/>
      <c r="AP1956" s="77"/>
      <c r="AQ1956" s="77" t="s">
        <v>15153</v>
      </c>
      <c r="AR1956" s="77"/>
      <c r="AS1956" s="77"/>
      <c r="AT1956" s="77"/>
      <c r="AU1956" s="77"/>
      <c r="AV1956" s="80" t="str">
        <f>HYPERLINK("https://pbs.twimg.com/media/FvYVxQKX0AA7J5I.png")</f>
        <v>https://pbs.twimg.com/media/FvYVxQKX0AA7J5I.png</v>
      </c>
      <c r="AW1956" s="82" t="s">
        <v>18724</v>
      </c>
      <c r="AX1956" s="82" t="s">
        <v>18724</v>
      </c>
      <c r="AY1956" s="77"/>
      <c r="AZ1956" s="82" t="s">
        <v>20971</v>
      </c>
      <c r="BA1956" s="82" t="s">
        <v>20971</v>
      </c>
      <c r="BB1956" s="82" t="s">
        <v>20971</v>
      </c>
      <c r="BC1956" s="82" t="s">
        <v>18724</v>
      </c>
      <c r="BD1956" s="82" t="s">
        <v>20938</v>
      </c>
      <c r="BE1956" s="77"/>
      <c r="BF1956" s="77"/>
      <c r="BG1956" s="77"/>
      <c r="BH1956" s="77"/>
      <c r="BI1956" s="77"/>
    </row>
    <row r="1957" spans="1:61" x14ac:dyDescent="0.25">
      <c r="A1957" s="62" t="s">
        <v>708</v>
      </c>
      <c r="B1957" s="62" t="s">
        <v>708</v>
      </c>
      <c r="C1957" s="63"/>
      <c r="D1957" s="64"/>
      <c r="E1957" s="65"/>
      <c r="F1957" s="66"/>
      <c r="G1957" s="63"/>
      <c r="H1957" s="67"/>
      <c r="I1957" s="68"/>
      <c r="J1957" s="68"/>
      <c r="K1957" s="32"/>
      <c r="L1957" s="75">
        <v>1957</v>
      </c>
      <c r="M1957" s="75"/>
      <c r="N1957" s="70"/>
      <c r="O1957" s="77" t="s">
        <v>179</v>
      </c>
      <c r="P1957" s="79">
        <v>45142.641493055555</v>
      </c>
      <c r="Q1957" s="77" t="s">
        <v>3196</v>
      </c>
      <c r="R1957" s="77">
        <v>0</v>
      </c>
      <c r="S1957" s="77">
        <v>0</v>
      </c>
      <c r="T1957" s="77">
        <v>0</v>
      </c>
      <c r="U1957" s="77">
        <v>0</v>
      </c>
      <c r="V1957" s="77">
        <v>38</v>
      </c>
      <c r="W1957" s="82" t="s">
        <v>6122</v>
      </c>
      <c r="X1957" s="80" t="str">
        <f>HYPERLINK("https://betbolacom.page.link/Tweet")</f>
        <v>https://betbolacom.page.link/Tweet</v>
      </c>
      <c r="Y1957" s="77" t="s">
        <v>7378</v>
      </c>
      <c r="Z1957" s="77"/>
      <c r="AA1957" s="77" t="s">
        <v>8510</v>
      </c>
      <c r="AB1957" s="77" t="s">
        <v>10130</v>
      </c>
      <c r="AC1957" s="82" t="s">
        <v>10144</v>
      </c>
      <c r="AD1957" s="77" t="s">
        <v>10184</v>
      </c>
      <c r="AE1957" s="80" t="str">
        <f>HYPERLINK("https://twitter.com/6de6_palpites/status/1687484473166721024")</f>
        <v>https://twitter.com/6de6_palpites/status/1687484473166721024</v>
      </c>
      <c r="AF1957" s="79">
        <v>45142.641493055555</v>
      </c>
      <c r="AG1957" s="85">
        <v>45142</v>
      </c>
      <c r="AH1957" s="82" t="s">
        <v>12072</v>
      </c>
      <c r="AI1957" s="77" t="b">
        <v>0</v>
      </c>
      <c r="AJ1957" s="77"/>
      <c r="AK1957" s="77"/>
      <c r="AL1957" s="77"/>
      <c r="AM1957" s="77"/>
      <c r="AN1957" s="77"/>
      <c r="AO1957" s="77"/>
      <c r="AP1957" s="77"/>
      <c r="AQ1957" s="77" t="s">
        <v>15154</v>
      </c>
      <c r="AR1957" s="77"/>
      <c r="AS1957" s="77"/>
      <c r="AT1957" s="77"/>
      <c r="AU1957" s="77"/>
      <c r="AV1957" s="80" t="str">
        <f>HYPERLINK("https://pbs.twimg.com/media/F2smL3YXoAE6LUk.jpg")</f>
        <v>https://pbs.twimg.com/media/F2smL3YXoAE6LUk.jpg</v>
      </c>
      <c r="AW1957" s="82" t="s">
        <v>18725</v>
      </c>
      <c r="AX1957" s="82" t="s">
        <v>18725</v>
      </c>
      <c r="AY1957" s="77"/>
      <c r="AZ1957" s="82" t="s">
        <v>20971</v>
      </c>
      <c r="BA1957" s="82" t="s">
        <v>20971</v>
      </c>
      <c r="BB1957" s="82" t="s">
        <v>20971</v>
      </c>
      <c r="BC1957" s="82" t="s">
        <v>18725</v>
      </c>
      <c r="BD1957" s="82" t="s">
        <v>20938</v>
      </c>
      <c r="BE1957" s="77"/>
      <c r="BF1957" s="77"/>
      <c r="BG1957" s="77"/>
      <c r="BH1957" s="77"/>
      <c r="BI1957" s="77"/>
    </row>
    <row r="1958" spans="1:61" x14ac:dyDescent="0.25">
      <c r="A1958" s="62" t="s">
        <v>708</v>
      </c>
      <c r="B1958" s="62" t="s">
        <v>708</v>
      </c>
      <c r="C1958" s="63"/>
      <c r="D1958" s="64"/>
      <c r="E1958" s="65"/>
      <c r="F1958" s="66"/>
      <c r="G1958" s="63"/>
      <c r="H1958" s="67"/>
      <c r="I1958" s="68"/>
      <c r="J1958" s="68"/>
      <c r="K1958" s="32"/>
      <c r="L1958" s="75">
        <v>1958</v>
      </c>
      <c r="M1958" s="75"/>
      <c r="N1958" s="70"/>
      <c r="O1958" s="77" t="s">
        <v>1284</v>
      </c>
      <c r="P1958" s="79">
        <v>45126.890590277777</v>
      </c>
      <c r="Q1958" s="77" t="s">
        <v>3197</v>
      </c>
      <c r="R1958" s="77">
        <v>0</v>
      </c>
      <c r="S1958" s="77">
        <v>0</v>
      </c>
      <c r="T1958" s="77">
        <v>0</v>
      </c>
      <c r="U1958" s="77">
        <v>0</v>
      </c>
      <c r="V1958" s="77">
        <v>34</v>
      </c>
      <c r="W1958" s="82" t="s">
        <v>6123</v>
      </c>
      <c r="X1958" s="80" t="str">
        <f>HYPERLINK("https://betbolacom.page.link/Tweet")</f>
        <v>https://betbolacom.page.link/Tweet</v>
      </c>
      <c r="Y1958" s="77" t="s">
        <v>7378</v>
      </c>
      <c r="Z1958" s="77"/>
      <c r="AA1958" s="77"/>
      <c r="AB1958" s="77"/>
      <c r="AC1958" s="82" t="s">
        <v>10144</v>
      </c>
      <c r="AD1958" s="77" t="s">
        <v>10184</v>
      </c>
      <c r="AE1958" s="80" t="str">
        <f>HYPERLINK("https://twitter.com/6de6_palpites/status/1681776538272907266")</f>
        <v>https://twitter.com/6de6_palpites/status/1681776538272907266</v>
      </c>
      <c r="AF1958" s="79">
        <v>45126.890590277777</v>
      </c>
      <c r="AG1958" s="85">
        <v>45126</v>
      </c>
      <c r="AH1958" s="82" t="s">
        <v>12073</v>
      </c>
      <c r="AI1958" s="77" t="b">
        <v>0</v>
      </c>
      <c r="AJ1958" s="77"/>
      <c r="AK1958" s="77"/>
      <c r="AL1958" s="77"/>
      <c r="AM1958" s="77"/>
      <c r="AN1958" s="77"/>
      <c r="AO1958" s="77"/>
      <c r="AP1958" s="77"/>
      <c r="AQ1958" s="77"/>
      <c r="AR1958" s="77"/>
      <c r="AS1958" s="77"/>
      <c r="AT1958" s="77"/>
      <c r="AU1958" s="77"/>
      <c r="AV1958" s="80" t="str">
        <f>HYPERLINK("https://pbs.twimg.com/profile_images/1648771185235165184/WFqM_Jlh_normal.jpg")</f>
        <v>https://pbs.twimg.com/profile_images/1648771185235165184/WFqM_Jlh_normal.jpg</v>
      </c>
      <c r="AW1958" s="82" t="s">
        <v>18726</v>
      </c>
      <c r="AX1958" s="82" t="s">
        <v>20853</v>
      </c>
      <c r="AY1958" s="82" t="s">
        <v>20938</v>
      </c>
      <c r="AZ1958" s="82" t="s">
        <v>20853</v>
      </c>
      <c r="BA1958" s="82" t="s">
        <v>20971</v>
      </c>
      <c r="BB1958" s="82" t="s">
        <v>20971</v>
      </c>
      <c r="BC1958" s="82" t="s">
        <v>20853</v>
      </c>
      <c r="BD1958" s="82" t="s">
        <v>20938</v>
      </c>
      <c r="BE1958" s="77"/>
      <c r="BF1958" s="77"/>
      <c r="BG1958" s="77"/>
      <c r="BH1958" s="77"/>
      <c r="BI1958" s="77"/>
    </row>
    <row r="1959" spans="1:61" x14ac:dyDescent="0.25">
      <c r="A1959" s="62" t="s">
        <v>708</v>
      </c>
      <c r="B1959" s="62" t="s">
        <v>708</v>
      </c>
      <c r="C1959" s="63"/>
      <c r="D1959" s="64"/>
      <c r="E1959" s="65"/>
      <c r="F1959" s="66"/>
      <c r="G1959" s="63"/>
      <c r="H1959" s="67"/>
      <c r="I1959" s="68"/>
      <c r="J1959" s="68"/>
      <c r="K1959" s="32"/>
      <c r="L1959" s="75">
        <v>1959</v>
      </c>
      <c r="M1959" s="75"/>
      <c r="N1959" s="70"/>
      <c r="O1959" s="77" t="s">
        <v>179</v>
      </c>
      <c r="P1959" s="79">
        <v>45125.627696759257</v>
      </c>
      <c r="Q1959" s="77" t="s">
        <v>3198</v>
      </c>
      <c r="R1959" s="77">
        <v>0</v>
      </c>
      <c r="S1959" s="77">
        <v>0</v>
      </c>
      <c r="T1959" s="77">
        <v>0</v>
      </c>
      <c r="U1959" s="77">
        <v>0</v>
      </c>
      <c r="V1959" s="77">
        <v>39</v>
      </c>
      <c r="W1959" s="82" t="s">
        <v>6124</v>
      </c>
      <c r="X1959" s="80" t="str">
        <f>HYPERLINK("https://betbolacom.page.link/Tweet")</f>
        <v>https://betbolacom.page.link/Tweet</v>
      </c>
      <c r="Y1959" s="77" t="s">
        <v>7378</v>
      </c>
      <c r="Z1959" s="77"/>
      <c r="AA1959" s="77" t="s">
        <v>8511</v>
      </c>
      <c r="AB1959" s="77" t="s">
        <v>10129</v>
      </c>
      <c r="AC1959" s="82" t="s">
        <v>10144</v>
      </c>
      <c r="AD1959" s="77" t="s">
        <v>10184</v>
      </c>
      <c r="AE1959" s="80" t="str">
        <f>HYPERLINK("https://twitter.com/6de6_palpites/status/1681318881074499591")</f>
        <v>https://twitter.com/6de6_palpites/status/1681318881074499591</v>
      </c>
      <c r="AF1959" s="79">
        <v>45125.627696759257</v>
      </c>
      <c r="AG1959" s="85">
        <v>45125</v>
      </c>
      <c r="AH1959" s="82" t="s">
        <v>12074</v>
      </c>
      <c r="AI1959" s="77" t="b">
        <v>0</v>
      </c>
      <c r="AJ1959" s="77"/>
      <c r="AK1959" s="77"/>
      <c r="AL1959" s="77"/>
      <c r="AM1959" s="77"/>
      <c r="AN1959" s="77"/>
      <c r="AO1959" s="77"/>
      <c r="AP1959" s="77"/>
      <c r="AQ1959" s="77" t="s">
        <v>15155</v>
      </c>
      <c r="AR1959" s="77">
        <v>6960</v>
      </c>
      <c r="AS1959" s="77"/>
      <c r="AT1959" s="77"/>
      <c r="AU1959" s="77"/>
      <c r="AV1959" s="80" t="str">
        <f>HYPERLINK("https://pbs.twimg.com/ext_tw_video_thumb/1681318834098311168/pu/img/-q5Vj3d14aQOXe4Q.jpg")</f>
        <v>https://pbs.twimg.com/ext_tw_video_thumb/1681318834098311168/pu/img/-q5Vj3d14aQOXe4Q.jpg</v>
      </c>
      <c r="AW1959" s="82" t="s">
        <v>18727</v>
      </c>
      <c r="AX1959" s="82" t="s">
        <v>18727</v>
      </c>
      <c r="AY1959" s="77"/>
      <c r="AZ1959" s="82" t="s">
        <v>20971</v>
      </c>
      <c r="BA1959" s="82" t="s">
        <v>20971</v>
      </c>
      <c r="BB1959" s="82" t="s">
        <v>20971</v>
      </c>
      <c r="BC1959" s="82" t="s">
        <v>18727</v>
      </c>
      <c r="BD1959" s="82" t="s">
        <v>20938</v>
      </c>
      <c r="BE1959" s="77"/>
      <c r="BF1959" s="77"/>
      <c r="BG1959" s="77"/>
      <c r="BH1959" s="77"/>
      <c r="BI1959" s="77"/>
    </row>
    <row r="1960" spans="1:61" x14ac:dyDescent="0.25">
      <c r="A1960" s="62" t="s">
        <v>708</v>
      </c>
      <c r="B1960" s="62" t="s">
        <v>708</v>
      </c>
      <c r="C1960" s="63"/>
      <c r="D1960" s="64"/>
      <c r="E1960" s="65"/>
      <c r="F1960" s="66"/>
      <c r="G1960" s="63"/>
      <c r="H1960" s="67"/>
      <c r="I1960" s="68"/>
      <c r="J1960" s="68"/>
      <c r="K1960" s="32"/>
      <c r="L1960" s="75">
        <v>1960</v>
      </c>
      <c r="M1960" s="75"/>
      <c r="N1960" s="70"/>
      <c r="O1960" s="77" t="s">
        <v>179</v>
      </c>
      <c r="P1960" s="79">
        <v>45123.087129629632</v>
      </c>
      <c r="Q1960" s="77" t="s">
        <v>3199</v>
      </c>
      <c r="R1960" s="77">
        <v>0</v>
      </c>
      <c r="S1960" s="77">
        <v>2</v>
      </c>
      <c r="T1960" s="77">
        <v>0</v>
      </c>
      <c r="U1960" s="77">
        <v>0</v>
      </c>
      <c r="V1960" s="77">
        <v>67</v>
      </c>
      <c r="W1960" s="82" t="s">
        <v>6125</v>
      </c>
      <c r="X1960" s="77"/>
      <c r="Y1960" s="77"/>
      <c r="Z1960" s="77"/>
      <c r="AA1960" s="77" t="s">
        <v>8512</v>
      </c>
      <c r="AB1960" s="77" t="s">
        <v>10130</v>
      </c>
      <c r="AC1960" s="82" t="s">
        <v>10150</v>
      </c>
      <c r="AD1960" s="77" t="s">
        <v>10184</v>
      </c>
      <c r="AE1960" s="80" t="str">
        <f>HYPERLINK("https://twitter.com/6de6_palpites/status/1680398209422618624")</f>
        <v>https://twitter.com/6de6_palpites/status/1680398209422618624</v>
      </c>
      <c r="AF1960" s="79">
        <v>45123.087129629632</v>
      </c>
      <c r="AG1960" s="85">
        <v>45123</v>
      </c>
      <c r="AH1960" s="82" t="s">
        <v>12075</v>
      </c>
      <c r="AI1960" s="77" t="b">
        <v>0</v>
      </c>
      <c r="AJ1960" s="77"/>
      <c r="AK1960" s="77"/>
      <c r="AL1960" s="77"/>
      <c r="AM1960" s="77"/>
      <c r="AN1960" s="77"/>
      <c r="AO1960" s="77"/>
      <c r="AP1960" s="77"/>
      <c r="AQ1960" s="77" t="s">
        <v>15156</v>
      </c>
      <c r="AR1960" s="77"/>
      <c r="AS1960" s="77"/>
      <c r="AT1960" s="77"/>
      <c r="AU1960" s="77"/>
      <c r="AV1960" s="80" t="str">
        <f>HYPERLINK("https://pbs.twimg.com/media/F1H5PdsXgAE8t_T.jpg")</f>
        <v>https://pbs.twimg.com/media/F1H5PdsXgAE8t_T.jpg</v>
      </c>
      <c r="AW1960" s="82" t="s">
        <v>18728</v>
      </c>
      <c r="AX1960" s="82" t="s">
        <v>18728</v>
      </c>
      <c r="AY1960" s="77"/>
      <c r="AZ1960" s="82" t="s">
        <v>20971</v>
      </c>
      <c r="BA1960" s="82" t="s">
        <v>20971</v>
      </c>
      <c r="BB1960" s="82" t="s">
        <v>20971</v>
      </c>
      <c r="BC1960" s="82" t="s">
        <v>18728</v>
      </c>
      <c r="BD1960" s="82" t="s">
        <v>20938</v>
      </c>
      <c r="BE1960" s="77"/>
      <c r="BF1960" s="77"/>
      <c r="BG1960" s="77"/>
      <c r="BH1960" s="77"/>
      <c r="BI1960" s="77"/>
    </row>
    <row r="1961" spans="1:61" x14ac:dyDescent="0.25">
      <c r="A1961" s="62" t="s">
        <v>708</v>
      </c>
      <c r="B1961" s="62" t="s">
        <v>708</v>
      </c>
      <c r="C1961" s="63"/>
      <c r="D1961" s="64"/>
      <c r="E1961" s="65"/>
      <c r="F1961" s="66"/>
      <c r="G1961" s="63"/>
      <c r="H1961" s="67"/>
      <c r="I1961" s="68"/>
      <c r="J1961" s="68"/>
      <c r="K1961" s="32"/>
      <c r="L1961" s="75">
        <v>1961</v>
      </c>
      <c r="M1961" s="75"/>
      <c r="N1961" s="70"/>
      <c r="O1961" s="77" t="s">
        <v>179</v>
      </c>
      <c r="P1961" s="79">
        <v>45114.625034722223</v>
      </c>
      <c r="Q1961" s="77" t="s">
        <v>3200</v>
      </c>
      <c r="R1961" s="77">
        <v>0</v>
      </c>
      <c r="S1961" s="77">
        <v>0</v>
      </c>
      <c r="T1961" s="77">
        <v>0</v>
      </c>
      <c r="U1961" s="77">
        <v>0</v>
      </c>
      <c r="V1961" s="77">
        <v>140</v>
      </c>
      <c r="W1961" s="82" t="s">
        <v>6126</v>
      </c>
      <c r="X1961" s="77"/>
      <c r="Y1961" s="77"/>
      <c r="Z1961" s="77"/>
      <c r="AA1961" s="77" t="s">
        <v>8513</v>
      </c>
      <c r="AB1961" s="77" t="s">
        <v>10129</v>
      </c>
      <c r="AC1961" s="82" t="s">
        <v>10161</v>
      </c>
      <c r="AD1961" s="77" t="s">
        <v>10184</v>
      </c>
      <c r="AE1961" s="80" t="str">
        <f>HYPERLINK("https://twitter.com/6de6_palpites/status/1677331650462490624")</f>
        <v>https://twitter.com/6de6_palpites/status/1677331650462490624</v>
      </c>
      <c r="AF1961" s="79">
        <v>45114.625034722223</v>
      </c>
      <c r="AG1961" s="85">
        <v>45114</v>
      </c>
      <c r="AH1961" s="82" t="s">
        <v>12076</v>
      </c>
      <c r="AI1961" s="77" t="b">
        <v>0</v>
      </c>
      <c r="AJ1961" s="77"/>
      <c r="AK1961" s="77"/>
      <c r="AL1961" s="77"/>
      <c r="AM1961" s="77"/>
      <c r="AN1961" s="77"/>
      <c r="AO1961" s="77"/>
      <c r="AP1961" s="77"/>
      <c r="AQ1961" s="77" t="s">
        <v>15157</v>
      </c>
      <c r="AR1961" s="77">
        <v>59433</v>
      </c>
      <c r="AS1961" s="77"/>
      <c r="AT1961" s="77"/>
      <c r="AU1961" s="77"/>
      <c r="AV1961" s="80" t="str">
        <f>HYPERLINK("https://pbs.twimg.com/ext_tw_video_thumb/1677305348019961858/pu/img/EzxBVpDomPXoEmIZ.jpg")</f>
        <v>https://pbs.twimg.com/ext_tw_video_thumb/1677305348019961858/pu/img/EzxBVpDomPXoEmIZ.jpg</v>
      </c>
      <c r="AW1961" s="82" t="s">
        <v>18729</v>
      </c>
      <c r="AX1961" s="82" t="s">
        <v>18729</v>
      </c>
      <c r="AY1961" s="77"/>
      <c r="AZ1961" s="82" t="s">
        <v>20971</v>
      </c>
      <c r="BA1961" s="82" t="s">
        <v>20971</v>
      </c>
      <c r="BB1961" s="82" t="s">
        <v>20971</v>
      </c>
      <c r="BC1961" s="82" t="s">
        <v>18729</v>
      </c>
      <c r="BD1961" s="82" t="s">
        <v>20938</v>
      </c>
      <c r="BE1961" s="77"/>
      <c r="BF1961" s="77"/>
      <c r="BG1961" s="77"/>
      <c r="BH1961" s="77"/>
      <c r="BI1961" s="77"/>
    </row>
    <row r="1962" spans="1:61" x14ac:dyDescent="0.25">
      <c r="A1962" s="62" t="s">
        <v>708</v>
      </c>
      <c r="B1962" s="62" t="s">
        <v>708</v>
      </c>
      <c r="C1962" s="63"/>
      <c r="D1962" s="64"/>
      <c r="E1962" s="65"/>
      <c r="F1962" s="66"/>
      <c r="G1962" s="63"/>
      <c r="H1962" s="67"/>
      <c r="I1962" s="68"/>
      <c r="J1962" s="68"/>
      <c r="K1962" s="32"/>
      <c r="L1962" s="75">
        <v>1962</v>
      </c>
      <c r="M1962" s="75"/>
      <c r="N1962" s="70"/>
      <c r="O1962" s="77" t="s">
        <v>179</v>
      </c>
      <c r="P1962" s="79">
        <v>45113.876388888886</v>
      </c>
      <c r="Q1962" s="77" t="s">
        <v>3201</v>
      </c>
      <c r="R1962" s="77">
        <v>0</v>
      </c>
      <c r="S1962" s="77">
        <v>0</v>
      </c>
      <c r="T1962" s="77">
        <v>0</v>
      </c>
      <c r="U1962" s="77">
        <v>0</v>
      </c>
      <c r="V1962" s="77">
        <v>18</v>
      </c>
      <c r="W1962" s="82" t="s">
        <v>6083</v>
      </c>
      <c r="X1962" s="80" t="str">
        <f>HYPERLINK("https://betbolacom.page.link/Facebook")</f>
        <v>https://betbolacom.page.link/Facebook</v>
      </c>
      <c r="Y1962" s="77" t="s">
        <v>7378</v>
      </c>
      <c r="Z1962" s="77"/>
      <c r="AA1962" s="77"/>
      <c r="AB1962" s="77"/>
      <c r="AC1962" s="82" t="s">
        <v>10150</v>
      </c>
      <c r="AD1962" s="77" t="s">
        <v>10184</v>
      </c>
      <c r="AE1962" s="80" t="str">
        <f>HYPERLINK("https://twitter.com/6de6_palpites/status/1677060350003363841")</f>
        <v>https://twitter.com/6de6_palpites/status/1677060350003363841</v>
      </c>
      <c r="AF1962" s="79">
        <v>45113.876388888886</v>
      </c>
      <c r="AG1962" s="85">
        <v>45113</v>
      </c>
      <c r="AH1962" s="82" t="s">
        <v>10588</v>
      </c>
      <c r="AI1962" s="77" t="b">
        <v>0</v>
      </c>
      <c r="AJ1962" s="77"/>
      <c r="AK1962" s="77"/>
      <c r="AL1962" s="77"/>
      <c r="AM1962" s="77"/>
      <c r="AN1962" s="77"/>
      <c r="AO1962" s="77"/>
      <c r="AP1962" s="77"/>
      <c r="AQ1962" s="77"/>
      <c r="AR1962" s="77"/>
      <c r="AS1962" s="77"/>
      <c r="AT1962" s="77"/>
      <c r="AU1962" s="77"/>
      <c r="AV1962" s="80" t="str">
        <f>HYPERLINK("https://pbs.twimg.com/profile_images/1648771185235165184/WFqM_Jlh_normal.jpg")</f>
        <v>https://pbs.twimg.com/profile_images/1648771185235165184/WFqM_Jlh_normal.jpg</v>
      </c>
      <c r="AW1962" s="82" t="s">
        <v>18730</v>
      </c>
      <c r="AX1962" s="82" t="s">
        <v>18730</v>
      </c>
      <c r="AY1962" s="77"/>
      <c r="AZ1962" s="82" t="s">
        <v>20971</v>
      </c>
      <c r="BA1962" s="82" t="s">
        <v>20971</v>
      </c>
      <c r="BB1962" s="82" t="s">
        <v>20971</v>
      </c>
      <c r="BC1962" s="82" t="s">
        <v>18730</v>
      </c>
      <c r="BD1962" s="82" t="s">
        <v>20938</v>
      </c>
      <c r="BE1962" s="77"/>
      <c r="BF1962" s="77"/>
      <c r="BG1962" s="77"/>
      <c r="BH1962" s="77"/>
      <c r="BI1962" s="77"/>
    </row>
    <row r="1963" spans="1:61" x14ac:dyDescent="0.25">
      <c r="A1963" s="62" t="s">
        <v>708</v>
      </c>
      <c r="B1963" s="62" t="s">
        <v>708</v>
      </c>
      <c r="C1963" s="63"/>
      <c r="D1963" s="64"/>
      <c r="E1963" s="65"/>
      <c r="F1963" s="66"/>
      <c r="G1963" s="63"/>
      <c r="H1963" s="67"/>
      <c r="I1963" s="68"/>
      <c r="J1963" s="68"/>
      <c r="K1963" s="32"/>
      <c r="L1963" s="75">
        <v>1963</v>
      </c>
      <c r="M1963" s="75"/>
      <c r="N1963" s="70"/>
      <c r="O1963" s="77" t="s">
        <v>179</v>
      </c>
      <c r="P1963" s="79">
        <v>45113.633692129632</v>
      </c>
      <c r="Q1963" s="77" t="s">
        <v>3202</v>
      </c>
      <c r="R1963" s="77">
        <v>0</v>
      </c>
      <c r="S1963" s="77">
        <v>1</v>
      </c>
      <c r="T1963" s="77">
        <v>1</v>
      </c>
      <c r="U1963" s="77">
        <v>0</v>
      </c>
      <c r="V1963" s="77">
        <v>153</v>
      </c>
      <c r="W1963" s="82" t="s">
        <v>6127</v>
      </c>
      <c r="X1963" s="77"/>
      <c r="Y1963" s="77"/>
      <c r="Z1963" s="77"/>
      <c r="AA1963" s="77" t="s">
        <v>8514</v>
      </c>
      <c r="AB1963" s="77" t="s">
        <v>10129</v>
      </c>
      <c r="AC1963" s="82" t="s">
        <v>10144</v>
      </c>
      <c r="AD1963" s="77" t="s">
        <v>10184</v>
      </c>
      <c r="AE1963" s="80" t="str">
        <f>HYPERLINK("https://twitter.com/6de6_palpites/status/1676972401265987584")</f>
        <v>https://twitter.com/6de6_palpites/status/1676972401265987584</v>
      </c>
      <c r="AF1963" s="79">
        <v>45113.633692129632</v>
      </c>
      <c r="AG1963" s="85">
        <v>45113</v>
      </c>
      <c r="AH1963" s="82" t="s">
        <v>12077</v>
      </c>
      <c r="AI1963" s="77" t="b">
        <v>0</v>
      </c>
      <c r="AJ1963" s="77"/>
      <c r="AK1963" s="77"/>
      <c r="AL1963" s="77"/>
      <c r="AM1963" s="77"/>
      <c r="AN1963" s="77"/>
      <c r="AO1963" s="77"/>
      <c r="AP1963" s="77"/>
      <c r="AQ1963" s="77" t="s">
        <v>15158</v>
      </c>
      <c r="AR1963" s="77">
        <v>44986</v>
      </c>
      <c r="AS1963" s="77"/>
      <c r="AT1963" s="77"/>
      <c r="AU1963" s="77"/>
      <c r="AV1963" s="80" t="str">
        <f>HYPERLINK("https://pbs.twimg.com/ext_tw_video_thumb/1676972334329253898/pu/img/-0_VVeGPif7plvON.jpg")</f>
        <v>https://pbs.twimg.com/ext_tw_video_thumb/1676972334329253898/pu/img/-0_VVeGPif7plvON.jpg</v>
      </c>
      <c r="AW1963" s="82" t="s">
        <v>18731</v>
      </c>
      <c r="AX1963" s="82" t="s">
        <v>18731</v>
      </c>
      <c r="AY1963" s="77"/>
      <c r="AZ1963" s="82" t="s">
        <v>20971</v>
      </c>
      <c r="BA1963" s="82" t="s">
        <v>20971</v>
      </c>
      <c r="BB1963" s="82" t="s">
        <v>20971</v>
      </c>
      <c r="BC1963" s="82" t="s">
        <v>18731</v>
      </c>
      <c r="BD1963" s="82" t="s">
        <v>20938</v>
      </c>
      <c r="BE1963" s="77"/>
      <c r="BF1963" s="77"/>
      <c r="BG1963" s="77"/>
      <c r="BH1963" s="77"/>
      <c r="BI1963" s="77"/>
    </row>
    <row r="1964" spans="1:61" x14ac:dyDescent="0.25">
      <c r="A1964" s="62" t="s">
        <v>708</v>
      </c>
      <c r="B1964" s="62" t="s">
        <v>708</v>
      </c>
      <c r="C1964" s="63"/>
      <c r="D1964" s="64"/>
      <c r="E1964" s="65"/>
      <c r="F1964" s="66"/>
      <c r="G1964" s="63"/>
      <c r="H1964" s="67"/>
      <c r="I1964" s="68"/>
      <c r="J1964" s="68"/>
      <c r="K1964" s="32"/>
      <c r="L1964" s="75">
        <v>1964</v>
      </c>
      <c r="M1964" s="75"/>
      <c r="N1964" s="70"/>
      <c r="O1964" s="77" t="s">
        <v>179</v>
      </c>
      <c r="P1964" s="79">
        <v>45101.988020833334</v>
      </c>
      <c r="Q1964" s="77" t="s">
        <v>3203</v>
      </c>
      <c r="R1964" s="77">
        <v>0</v>
      </c>
      <c r="S1964" s="77">
        <v>0</v>
      </c>
      <c r="T1964" s="77">
        <v>0</v>
      </c>
      <c r="U1964" s="77">
        <v>0</v>
      </c>
      <c r="V1964" s="77">
        <v>51</v>
      </c>
      <c r="W1964" s="82" t="s">
        <v>6083</v>
      </c>
      <c r="X1964" s="80" t="str">
        <f>HYPERLINK("https://betbolacom.page.link/Tweet")</f>
        <v>https://betbolacom.page.link/Tweet</v>
      </c>
      <c r="Y1964" s="77" t="s">
        <v>7378</v>
      </c>
      <c r="Z1964" s="77"/>
      <c r="AA1964" s="77" t="s">
        <v>8515</v>
      </c>
      <c r="AB1964" s="77" t="s">
        <v>10130</v>
      </c>
      <c r="AC1964" s="82" t="s">
        <v>10146</v>
      </c>
      <c r="AD1964" s="77" t="s">
        <v>10184</v>
      </c>
      <c r="AE1964" s="80" t="str">
        <f>HYPERLINK("https://twitter.com/6de6_palpites/status/1672752150508707840")</f>
        <v>https://twitter.com/6de6_palpites/status/1672752150508707840</v>
      </c>
      <c r="AF1964" s="79">
        <v>45101.988020833334</v>
      </c>
      <c r="AG1964" s="85">
        <v>45101</v>
      </c>
      <c r="AH1964" s="82" t="s">
        <v>12078</v>
      </c>
      <c r="AI1964" s="77" t="b">
        <v>0</v>
      </c>
      <c r="AJ1964" s="77"/>
      <c r="AK1964" s="77"/>
      <c r="AL1964" s="77"/>
      <c r="AM1964" s="77"/>
      <c r="AN1964" s="77"/>
      <c r="AO1964" s="77"/>
      <c r="AP1964" s="77"/>
      <c r="AQ1964" s="77" t="s">
        <v>15159</v>
      </c>
      <c r="AR1964" s="77"/>
      <c r="AS1964" s="77"/>
      <c r="AT1964" s="77"/>
      <c r="AU1964" s="77"/>
      <c r="AV1964" s="80" t="str">
        <f>HYPERLINK("https://pbs.twimg.com/media/FzbPF8vXoAIu3rh.jpg")</f>
        <v>https://pbs.twimg.com/media/FzbPF8vXoAIu3rh.jpg</v>
      </c>
      <c r="AW1964" s="82" t="s">
        <v>18732</v>
      </c>
      <c r="AX1964" s="82" t="s">
        <v>18732</v>
      </c>
      <c r="AY1964" s="77"/>
      <c r="AZ1964" s="82" t="s">
        <v>20971</v>
      </c>
      <c r="BA1964" s="82" t="s">
        <v>20971</v>
      </c>
      <c r="BB1964" s="82" t="s">
        <v>20971</v>
      </c>
      <c r="BC1964" s="82" t="s">
        <v>18732</v>
      </c>
      <c r="BD1964" s="82" t="s">
        <v>20938</v>
      </c>
      <c r="BE1964" s="77"/>
      <c r="BF1964" s="77"/>
      <c r="BG1964" s="77"/>
      <c r="BH1964" s="77"/>
      <c r="BI1964" s="77"/>
    </row>
    <row r="1965" spans="1:61" x14ac:dyDescent="0.25">
      <c r="A1965" s="62" t="s">
        <v>708</v>
      </c>
      <c r="B1965" s="62" t="s">
        <v>708</v>
      </c>
      <c r="C1965" s="63"/>
      <c r="D1965" s="64"/>
      <c r="E1965" s="65"/>
      <c r="F1965" s="66"/>
      <c r="G1965" s="63"/>
      <c r="H1965" s="67"/>
      <c r="I1965" s="68"/>
      <c r="J1965" s="68"/>
      <c r="K1965" s="32"/>
      <c r="L1965" s="75">
        <v>1965</v>
      </c>
      <c r="M1965" s="75"/>
      <c r="N1965" s="70"/>
      <c r="O1965" s="77" t="s">
        <v>179</v>
      </c>
      <c r="P1965" s="79">
        <v>45101.977997685186</v>
      </c>
      <c r="Q1965" s="77" t="s">
        <v>3204</v>
      </c>
      <c r="R1965" s="77">
        <v>0</v>
      </c>
      <c r="S1965" s="77">
        <v>0</v>
      </c>
      <c r="T1965" s="77">
        <v>0</v>
      </c>
      <c r="U1965" s="77">
        <v>0</v>
      </c>
      <c r="V1965" s="77">
        <v>44</v>
      </c>
      <c r="W1965" s="82" t="s">
        <v>6083</v>
      </c>
      <c r="X1965" s="80" t="str">
        <f>HYPERLINK("https://betbolacom.page.link/Tweet")</f>
        <v>https://betbolacom.page.link/Tweet</v>
      </c>
      <c r="Y1965" s="77" t="s">
        <v>7378</v>
      </c>
      <c r="Z1965" s="77"/>
      <c r="AA1965" s="77" t="s">
        <v>8516</v>
      </c>
      <c r="AB1965" s="77" t="s">
        <v>10130</v>
      </c>
      <c r="AC1965" s="82" t="s">
        <v>10146</v>
      </c>
      <c r="AD1965" s="77" t="s">
        <v>10184</v>
      </c>
      <c r="AE1965" s="80" t="str">
        <f>HYPERLINK("https://twitter.com/6de6_palpites/status/1672748518438494210")</f>
        <v>https://twitter.com/6de6_palpites/status/1672748518438494210</v>
      </c>
      <c r="AF1965" s="79">
        <v>45101.977997685186</v>
      </c>
      <c r="AG1965" s="85">
        <v>45101</v>
      </c>
      <c r="AH1965" s="82" t="s">
        <v>12079</v>
      </c>
      <c r="AI1965" s="77" t="b">
        <v>0</v>
      </c>
      <c r="AJ1965" s="77"/>
      <c r="AK1965" s="77"/>
      <c r="AL1965" s="77"/>
      <c r="AM1965" s="77"/>
      <c r="AN1965" s="77"/>
      <c r="AO1965" s="77"/>
      <c r="AP1965" s="77"/>
      <c r="AQ1965" s="77" t="s">
        <v>15160</v>
      </c>
      <c r="AR1965" s="77"/>
      <c r="AS1965" s="77"/>
      <c r="AT1965" s="77"/>
      <c r="AU1965" s="77"/>
      <c r="AV1965" s="80" t="str">
        <f>HYPERLINK("https://pbs.twimg.com/media/FzbL6DXWAAEKPya.jpg")</f>
        <v>https://pbs.twimg.com/media/FzbL6DXWAAEKPya.jpg</v>
      </c>
      <c r="AW1965" s="82" t="s">
        <v>18733</v>
      </c>
      <c r="AX1965" s="82" t="s">
        <v>18733</v>
      </c>
      <c r="AY1965" s="77"/>
      <c r="AZ1965" s="82" t="s">
        <v>20971</v>
      </c>
      <c r="BA1965" s="82" t="s">
        <v>20971</v>
      </c>
      <c r="BB1965" s="82" t="s">
        <v>20971</v>
      </c>
      <c r="BC1965" s="82" t="s">
        <v>18733</v>
      </c>
      <c r="BD1965" s="82" t="s">
        <v>20938</v>
      </c>
      <c r="BE1965" s="77"/>
      <c r="BF1965" s="77"/>
      <c r="BG1965" s="77"/>
      <c r="BH1965" s="77"/>
      <c r="BI1965" s="77"/>
    </row>
    <row r="1966" spans="1:61" x14ac:dyDescent="0.25">
      <c r="A1966" s="62" t="s">
        <v>708</v>
      </c>
      <c r="B1966" s="62" t="s">
        <v>708</v>
      </c>
      <c r="C1966" s="63"/>
      <c r="D1966" s="64"/>
      <c r="E1966" s="65"/>
      <c r="F1966" s="66"/>
      <c r="G1966" s="63"/>
      <c r="H1966" s="67"/>
      <c r="I1966" s="68"/>
      <c r="J1966" s="68"/>
      <c r="K1966" s="32"/>
      <c r="L1966" s="75">
        <v>1966</v>
      </c>
      <c r="M1966" s="75"/>
      <c r="N1966" s="70"/>
      <c r="O1966" s="77" t="s">
        <v>179</v>
      </c>
      <c r="P1966" s="79">
        <v>45101.637025462966</v>
      </c>
      <c r="Q1966" s="77" t="s">
        <v>3205</v>
      </c>
      <c r="R1966" s="77">
        <v>0</v>
      </c>
      <c r="S1966" s="77">
        <v>0</v>
      </c>
      <c r="T1966" s="77">
        <v>0</v>
      </c>
      <c r="U1966" s="77">
        <v>0</v>
      </c>
      <c r="V1966" s="77">
        <v>128</v>
      </c>
      <c r="W1966" s="82" t="s">
        <v>6083</v>
      </c>
      <c r="X1966" s="77"/>
      <c r="Y1966" s="77"/>
      <c r="Z1966" s="77"/>
      <c r="AA1966" s="77" t="s">
        <v>8517</v>
      </c>
      <c r="AB1966" s="77" t="s">
        <v>10129</v>
      </c>
      <c r="AC1966" s="82" t="s">
        <v>10161</v>
      </c>
      <c r="AD1966" s="77" t="s">
        <v>10184</v>
      </c>
      <c r="AE1966" s="80" t="str">
        <f>HYPERLINK("https://twitter.com/6de6_palpites/status/1672624953391296513")</f>
        <v>https://twitter.com/6de6_palpites/status/1672624953391296513</v>
      </c>
      <c r="AF1966" s="79">
        <v>45101.637025462966</v>
      </c>
      <c r="AG1966" s="85">
        <v>45101</v>
      </c>
      <c r="AH1966" s="82" t="s">
        <v>12080</v>
      </c>
      <c r="AI1966" s="77" t="b">
        <v>0</v>
      </c>
      <c r="AJ1966" s="77"/>
      <c r="AK1966" s="77"/>
      <c r="AL1966" s="77"/>
      <c r="AM1966" s="77"/>
      <c r="AN1966" s="77"/>
      <c r="AO1966" s="77"/>
      <c r="AP1966" s="77"/>
      <c r="AQ1966" s="77" t="s">
        <v>15161</v>
      </c>
      <c r="AR1966" s="77">
        <v>9960</v>
      </c>
      <c r="AS1966" s="77"/>
      <c r="AT1966" s="77"/>
      <c r="AU1966" s="77"/>
      <c r="AV1966" s="80" t="str">
        <f>HYPERLINK("https://pbs.twimg.com/ext_tw_video_thumb/1672624921300664321/pu/img/fH2F24RhbhtuGOfo.jpg")</f>
        <v>https://pbs.twimg.com/ext_tw_video_thumb/1672624921300664321/pu/img/fH2F24RhbhtuGOfo.jpg</v>
      </c>
      <c r="AW1966" s="82" t="s">
        <v>18734</v>
      </c>
      <c r="AX1966" s="82" t="s">
        <v>18734</v>
      </c>
      <c r="AY1966" s="77"/>
      <c r="AZ1966" s="82" t="s">
        <v>20971</v>
      </c>
      <c r="BA1966" s="82" t="s">
        <v>20971</v>
      </c>
      <c r="BB1966" s="82" t="s">
        <v>20971</v>
      </c>
      <c r="BC1966" s="82" t="s">
        <v>18734</v>
      </c>
      <c r="BD1966" s="82" t="s">
        <v>20938</v>
      </c>
      <c r="BE1966" s="77"/>
      <c r="BF1966" s="77"/>
      <c r="BG1966" s="77"/>
      <c r="BH1966" s="77"/>
      <c r="BI1966" s="77"/>
    </row>
    <row r="1967" spans="1:61" x14ac:dyDescent="0.25">
      <c r="A1967" s="62" t="s">
        <v>708</v>
      </c>
      <c r="B1967" s="62" t="s">
        <v>708</v>
      </c>
      <c r="C1967" s="63"/>
      <c r="D1967" s="64"/>
      <c r="E1967" s="65"/>
      <c r="F1967" s="66"/>
      <c r="G1967" s="63"/>
      <c r="H1967" s="67"/>
      <c r="I1967" s="68"/>
      <c r="J1967" s="68"/>
      <c r="K1967" s="32"/>
      <c r="L1967" s="75">
        <v>1967</v>
      </c>
      <c r="M1967" s="75"/>
      <c r="N1967" s="70"/>
      <c r="O1967" s="77" t="s">
        <v>179</v>
      </c>
      <c r="P1967" s="79">
        <v>45100.876539351855</v>
      </c>
      <c r="Q1967" s="77" t="s">
        <v>3206</v>
      </c>
      <c r="R1967" s="77">
        <v>0</v>
      </c>
      <c r="S1967" s="77">
        <v>0</v>
      </c>
      <c r="T1967" s="77">
        <v>0</v>
      </c>
      <c r="U1967" s="77">
        <v>0</v>
      </c>
      <c r="V1967" s="77">
        <v>56</v>
      </c>
      <c r="W1967" s="82" t="s">
        <v>6111</v>
      </c>
      <c r="X1967" s="80" t="str">
        <f>HYPERLINK("https://betbolacom.page.link/Tweet")</f>
        <v>https://betbolacom.page.link/Tweet</v>
      </c>
      <c r="Y1967" s="77" t="s">
        <v>7378</v>
      </c>
      <c r="Z1967" s="77"/>
      <c r="AA1967" s="77" t="s">
        <v>8518</v>
      </c>
      <c r="AB1967" s="77" t="s">
        <v>10129</v>
      </c>
      <c r="AC1967" s="82" t="s">
        <v>10146</v>
      </c>
      <c r="AD1967" s="77" t="s">
        <v>10184</v>
      </c>
      <c r="AE1967" s="80" t="str">
        <f>HYPERLINK("https://twitter.com/6de6_palpites/status/1672349360858836996")</f>
        <v>https://twitter.com/6de6_palpites/status/1672349360858836996</v>
      </c>
      <c r="AF1967" s="79">
        <v>45100.876539351855</v>
      </c>
      <c r="AG1967" s="85">
        <v>45100</v>
      </c>
      <c r="AH1967" s="82" t="s">
        <v>12081</v>
      </c>
      <c r="AI1967" s="77" t="b">
        <v>0</v>
      </c>
      <c r="AJ1967" s="77"/>
      <c r="AK1967" s="77"/>
      <c r="AL1967" s="77"/>
      <c r="AM1967" s="77"/>
      <c r="AN1967" s="77"/>
      <c r="AO1967" s="77"/>
      <c r="AP1967" s="77"/>
      <c r="AQ1967" s="77" t="s">
        <v>15162</v>
      </c>
      <c r="AR1967" s="77">
        <v>10160</v>
      </c>
      <c r="AS1967" s="77"/>
      <c r="AT1967" s="77"/>
      <c r="AU1967" s="77"/>
      <c r="AV1967" s="80" t="str">
        <f>HYPERLINK("https://pbs.twimg.com/ext_tw_video_thumb/1672349250406031363/pu/img/odQnY7fkF6zC0nWM.jpg")</f>
        <v>https://pbs.twimg.com/ext_tw_video_thumb/1672349250406031363/pu/img/odQnY7fkF6zC0nWM.jpg</v>
      </c>
      <c r="AW1967" s="82" t="s">
        <v>18735</v>
      </c>
      <c r="AX1967" s="82" t="s">
        <v>18735</v>
      </c>
      <c r="AY1967" s="77"/>
      <c r="AZ1967" s="82" t="s">
        <v>20971</v>
      </c>
      <c r="BA1967" s="82" t="s">
        <v>20971</v>
      </c>
      <c r="BB1967" s="82" t="s">
        <v>20971</v>
      </c>
      <c r="BC1967" s="82" t="s">
        <v>18735</v>
      </c>
      <c r="BD1967" s="82" t="s">
        <v>20938</v>
      </c>
      <c r="BE1967" s="77"/>
      <c r="BF1967" s="77"/>
      <c r="BG1967" s="77"/>
      <c r="BH1967" s="77"/>
      <c r="BI1967" s="77"/>
    </row>
    <row r="1968" spans="1:61" x14ac:dyDescent="0.25">
      <c r="A1968" s="62" t="s">
        <v>708</v>
      </c>
      <c r="B1968" s="62" t="s">
        <v>708</v>
      </c>
      <c r="C1968" s="63"/>
      <c r="D1968" s="64"/>
      <c r="E1968" s="65"/>
      <c r="F1968" s="66"/>
      <c r="G1968" s="63"/>
      <c r="H1968" s="67"/>
      <c r="I1968" s="68"/>
      <c r="J1968" s="68"/>
      <c r="K1968" s="32"/>
      <c r="L1968" s="75">
        <v>1968</v>
      </c>
      <c r="M1968" s="75"/>
      <c r="N1968" s="70"/>
      <c r="O1968" s="77" t="s">
        <v>1284</v>
      </c>
      <c r="P1968" s="79">
        <v>45083.517939814818</v>
      </c>
      <c r="Q1968" s="77" t="s">
        <v>3207</v>
      </c>
      <c r="R1968" s="77">
        <v>0</v>
      </c>
      <c r="S1968" s="77">
        <v>0</v>
      </c>
      <c r="T1968" s="77">
        <v>0</v>
      </c>
      <c r="U1968" s="77">
        <v>0</v>
      </c>
      <c r="V1968" s="77">
        <v>32</v>
      </c>
      <c r="W1968" s="82" t="s">
        <v>6084</v>
      </c>
      <c r="X1968" s="77"/>
      <c r="Y1968" s="77"/>
      <c r="Z1968" s="77"/>
      <c r="AA1968" s="77"/>
      <c r="AB1968" s="77"/>
      <c r="AC1968" s="82" t="s">
        <v>10146</v>
      </c>
      <c r="AD1968" s="77" t="s">
        <v>10184</v>
      </c>
      <c r="AE1968" s="80" t="str">
        <f>HYPERLINK("https://twitter.com/6de6_palpites/status/1666058817115660289")</f>
        <v>https://twitter.com/6de6_palpites/status/1666058817115660289</v>
      </c>
      <c r="AF1968" s="79">
        <v>45083.517939814818</v>
      </c>
      <c r="AG1968" s="85">
        <v>45083</v>
      </c>
      <c r="AH1968" s="82" t="s">
        <v>12082</v>
      </c>
      <c r="AI1968" s="77"/>
      <c r="AJ1968" s="77"/>
      <c r="AK1968" s="77"/>
      <c r="AL1968" s="77"/>
      <c r="AM1968" s="77"/>
      <c r="AN1968" s="77"/>
      <c r="AO1968" s="77"/>
      <c r="AP1968" s="77"/>
      <c r="AQ1968" s="77"/>
      <c r="AR1968" s="77"/>
      <c r="AS1968" s="77"/>
      <c r="AT1968" s="77"/>
      <c r="AU1968" s="77"/>
      <c r="AV1968" s="80" t="str">
        <f>HYPERLINK("https://pbs.twimg.com/profile_images/1648771185235165184/WFqM_Jlh_normal.jpg")</f>
        <v>https://pbs.twimg.com/profile_images/1648771185235165184/WFqM_Jlh_normal.jpg</v>
      </c>
      <c r="AW1968" s="82" t="s">
        <v>18736</v>
      </c>
      <c r="AX1968" s="82" t="s">
        <v>20854</v>
      </c>
      <c r="AY1968" s="82" t="s">
        <v>20938</v>
      </c>
      <c r="AZ1968" s="82" t="s">
        <v>20854</v>
      </c>
      <c r="BA1968" s="82" t="s">
        <v>20971</v>
      </c>
      <c r="BB1968" s="82" t="s">
        <v>20971</v>
      </c>
      <c r="BC1968" s="82" t="s">
        <v>20854</v>
      </c>
      <c r="BD1968" s="82" t="s">
        <v>20938</v>
      </c>
      <c r="BE1968" s="77"/>
      <c r="BF1968" s="77"/>
      <c r="BG1968" s="77"/>
      <c r="BH1968" s="77"/>
      <c r="BI1968" s="77"/>
    </row>
    <row r="1969" spans="1:61" x14ac:dyDescent="0.25">
      <c r="A1969" s="62" t="s">
        <v>708</v>
      </c>
      <c r="B1969" s="62" t="s">
        <v>708</v>
      </c>
      <c r="C1969" s="63"/>
      <c r="D1969" s="64"/>
      <c r="E1969" s="65"/>
      <c r="F1969" s="66"/>
      <c r="G1969" s="63"/>
      <c r="H1969" s="67"/>
      <c r="I1969" s="68"/>
      <c r="J1969" s="68"/>
      <c r="K1969" s="32"/>
      <c r="L1969" s="75">
        <v>1969</v>
      </c>
      <c r="M1969" s="75"/>
      <c r="N1969" s="70"/>
      <c r="O1969" s="77" t="s">
        <v>179</v>
      </c>
      <c r="P1969" s="79">
        <v>45082.544062499997</v>
      </c>
      <c r="Q1969" s="77" t="s">
        <v>3208</v>
      </c>
      <c r="R1969" s="77">
        <v>0</v>
      </c>
      <c r="S1969" s="77">
        <v>1</v>
      </c>
      <c r="T1969" s="77">
        <v>0</v>
      </c>
      <c r="U1969" s="77">
        <v>0</v>
      </c>
      <c r="V1969" s="77">
        <v>49</v>
      </c>
      <c r="W1969" s="82" t="s">
        <v>6128</v>
      </c>
      <c r="X1969" s="80" t="str">
        <f>HYPERLINK("https://betbolacom.page.link/Tweet")</f>
        <v>https://betbolacom.page.link/Tweet</v>
      </c>
      <c r="Y1969" s="77" t="s">
        <v>7378</v>
      </c>
      <c r="Z1969" s="77"/>
      <c r="AA1969" s="77" t="s">
        <v>8519</v>
      </c>
      <c r="AB1969" s="77" t="s">
        <v>10130</v>
      </c>
      <c r="AC1969" s="82" t="s">
        <v>10144</v>
      </c>
      <c r="AD1969" s="77" t="s">
        <v>10184</v>
      </c>
      <c r="AE1969" s="80" t="str">
        <f>HYPERLINK("https://twitter.com/6de6_palpites/status/1665705897568395266")</f>
        <v>https://twitter.com/6de6_palpites/status/1665705897568395266</v>
      </c>
      <c r="AF1969" s="79">
        <v>45082.544062499997</v>
      </c>
      <c r="AG1969" s="85">
        <v>45082</v>
      </c>
      <c r="AH1969" s="82" t="s">
        <v>12083</v>
      </c>
      <c r="AI1969" s="77" t="b">
        <v>0</v>
      </c>
      <c r="AJ1969" s="77"/>
      <c r="AK1969" s="77"/>
      <c r="AL1969" s="77"/>
      <c r="AM1969" s="77"/>
      <c r="AN1969" s="77"/>
      <c r="AO1969" s="77"/>
      <c r="AP1969" s="77"/>
      <c r="AQ1969" s="77" t="s">
        <v>15163</v>
      </c>
      <c r="AR1969" s="77"/>
      <c r="AS1969" s="77"/>
      <c r="AT1969" s="77"/>
      <c r="AU1969" s="77"/>
      <c r="AV1969" s="80" t="str">
        <f>HYPERLINK("https://pbs.twimg.com/media/Fx3Gr4UWcAMSqCy.jpg")</f>
        <v>https://pbs.twimg.com/media/Fx3Gr4UWcAMSqCy.jpg</v>
      </c>
      <c r="AW1969" s="82" t="s">
        <v>18737</v>
      </c>
      <c r="AX1969" s="82" t="s">
        <v>18737</v>
      </c>
      <c r="AY1969" s="77"/>
      <c r="AZ1969" s="82" t="s">
        <v>20971</v>
      </c>
      <c r="BA1969" s="82" t="s">
        <v>20971</v>
      </c>
      <c r="BB1969" s="82" t="s">
        <v>20971</v>
      </c>
      <c r="BC1969" s="82" t="s">
        <v>18737</v>
      </c>
      <c r="BD1969" s="82" t="s">
        <v>20938</v>
      </c>
      <c r="BE1969" s="77"/>
      <c r="BF1969" s="77"/>
      <c r="BG1969" s="77"/>
      <c r="BH1969" s="77"/>
      <c r="BI1969" s="77"/>
    </row>
    <row r="1970" spans="1:61" x14ac:dyDescent="0.25">
      <c r="A1970" s="62" t="s">
        <v>708</v>
      </c>
      <c r="B1970" s="62" t="s">
        <v>708</v>
      </c>
      <c r="C1970" s="63"/>
      <c r="D1970" s="64"/>
      <c r="E1970" s="65"/>
      <c r="F1970" s="66"/>
      <c r="G1970" s="63"/>
      <c r="H1970" s="67"/>
      <c r="I1970" s="68"/>
      <c r="J1970" s="68"/>
      <c r="K1970" s="32"/>
      <c r="L1970" s="75">
        <v>1970</v>
      </c>
      <c r="M1970" s="75"/>
      <c r="N1970" s="70"/>
      <c r="O1970" s="77" t="s">
        <v>179</v>
      </c>
      <c r="P1970" s="79">
        <v>45081.957546296297</v>
      </c>
      <c r="Q1970" s="77" t="s">
        <v>3209</v>
      </c>
      <c r="R1970" s="77">
        <v>0</v>
      </c>
      <c r="S1970" s="77">
        <v>2</v>
      </c>
      <c r="T1970" s="77">
        <v>0</v>
      </c>
      <c r="U1970" s="77">
        <v>0</v>
      </c>
      <c r="V1970" s="77">
        <v>130</v>
      </c>
      <c r="W1970" s="82" t="s">
        <v>6129</v>
      </c>
      <c r="X1970" s="80" t="str">
        <f>HYPERLINK("https://betbolacom.page.link/Tweet")</f>
        <v>https://betbolacom.page.link/Tweet</v>
      </c>
      <c r="Y1970" s="77" t="s">
        <v>7378</v>
      </c>
      <c r="Z1970" s="77"/>
      <c r="AA1970" s="77" t="s">
        <v>8520</v>
      </c>
      <c r="AB1970" s="77" t="s">
        <v>10129</v>
      </c>
      <c r="AC1970" s="82" t="s">
        <v>10146</v>
      </c>
      <c r="AD1970" s="77" t="s">
        <v>10184</v>
      </c>
      <c r="AE1970" s="80" t="str">
        <f>HYPERLINK("https://twitter.com/6de6_palpites/status/1665493350634381320")</f>
        <v>https://twitter.com/6de6_palpites/status/1665493350634381320</v>
      </c>
      <c r="AF1970" s="79">
        <v>45081.957546296297</v>
      </c>
      <c r="AG1970" s="85">
        <v>45081</v>
      </c>
      <c r="AH1970" s="82" t="s">
        <v>12084</v>
      </c>
      <c r="AI1970" s="77" t="b">
        <v>0</v>
      </c>
      <c r="AJ1970" s="77"/>
      <c r="AK1970" s="77"/>
      <c r="AL1970" s="77"/>
      <c r="AM1970" s="77"/>
      <c r="AN1970" s="77"/>
      <c r="AO1970" s="77"/>
      <c r="AP1970" s="77"/>
      <c r="AQ1970" s="77" t="s">
        <v>15164</v>
      </c>
      <c r="AR1970" s="77">
        <v>26033</v>
      </c>
      <c r="AS1970" s="77"/>
      <c r="AT1970" s="77"/>
      <c r="AU1970" s="77"/>
      <c r="AV1970" s="80" t="str">
        <f>HYPERLINK("https://pbs.twimg.com/ext_tw_video_thumb/1665492678908293121/pu/img/ubytcRpNiOYWdIXH.jpg")</f>
        <v>https://pbs.twimg.com/ext_tw_video_thumb/1665492678908293121/pu/img/ubytcRpNiOYWdIXH.jpg</v>
      </c>
      <c r="AW1970" s="82" t="s">
        <v>18738</v>
      </c>
      <c r="AX1970" s="82" t="s">
        <v>18738</v>
      </c>
      <c r="AY1970" s="77"/>
      <c r="AZ1970" s="82" t="s">
        <v>20971</v>
      </c>
      <c r="BA1970" s="82" t="s">
        <v>20971</v>
      </c>
      <c r="BB1970" s="82" t="s">
        <v>20971</v>
      </c>
      <c r="BC1970" s="82" t="s">
        <v>18738</v>
      </c>
      <c r="BD1970" s="82" t="s">
        <v>20938</v>
      </c>
      <c r="BE1970" s="77"/>
      <c r="BF1970" s="77"/>
      <c r="BG1970" s="77"/>
      <c r="BH1970" s="77"/>
      <c r="BI1970" s="77"/>
    </row>
    <row r="1971" spans="1:61" x14ac:dyDescent="0.25">
      <c r="A1971" s="62" t="s">
        <v>708</v>
      </c>
      <c r="B1971" s="62" t="s">
        <v>708</v>
      </c>
      <c r="C1971" s="63"/>
      <c r="D1971" s="64"/>
      <c r="E1971" s="65"/>
      <c r="F1971" s="66"/>
      <c r="G1971" s="63"/>
      <c r="H1971" s="67"/>
      <c r="I1971" s="68"/>
      <c r="J1971" s="68"/>
      <c r="K1971" s="32"/>
      <c r="L1971" s="75">
        <v>1971</v>
      </c>
      <c r="M1971" s="75"/>
      <c r="N1971" s="70"/>
      <c r="O1971" s="77" t="s">
        <v>179</v>
      </c>
      <c r="P1971" s="79">
        <v>45056.776377314818</v>
      </c>
      <c r="Q1971" s="77" t="s">
        <v>3210</v>
      </c>
      <c r="R1971" s="77">
        <v>0</v>
      </c>
      <c r="S1971" s="77">
        <v>1</v>
      </c>
      <c r="T1971" s="77">
        <v>0</v>
      </c>
      <c r="U1971" s="77">
        <v>0</v>
      </c>
      <c r="V1971" s="77">
        <v>78</v>
      </c>
      <c r="W1971" s="82" t="s">
        <v>6121</v>
      </c>
      <c r="X1971" s="77"/>
      <c r="Y1971" s="77"/>
      <c r="Z1971" s="77"/>
      <c r="AA1971" s="77" t="s">
        <v>8521</v>
      </c>
      <c r="AB1971" s="77" t="s">
        <v>10130</v>
      </c>
      <c r="AC1971" s="82" t="s">
        <v>10146</v>
      </c>
      <c r="AD1971" s="77" t="s">
        <v>10184</v>
      </c>
      <c r="AE1971" s="80" t="str">
        <f>HYPERLINK("https://twitter.com/6de6_palpites/status/1656368000759394318")</f>
        <v>https://twitter.com/6de6_palpites/status/1656368000759394318</v>
      </c>
      <c r="AF1971" s="79">
        <v>45056.776377314818</v>
      </c>
      <c r="AG1971" s="85">
        <v>45056</v>
      </c>
      <c r="AH1971" s="82" t="s">
        <v>12085</v>
      </c>
      <c r="AI1971" s="77" t="b">
        <v>0</v>
      </c>
      <c r="AJ1971" s="77"/>
      <c r="AK1971" s="77"/>
      <c r="AL1971" s="77"/>
      <c r="AM1971" s="77"/>
      <c r="AN1971" s="77"/>
      <c r="AO1971" s="77"/>
      <c r="AP1971" s="77"/>
      <c r="AQ1971" s="77" t="s">
        <v>15165</v>
      </c>
      <c r="AR1971" s="77"/>
      <c r="AS1971" s="77"/>
      <c r="AT1971" s="77"/>
      <c r="AU1971" s="77"/>
      <c r="AV1971" s="80" t="str">
        <f>HYPERLINK("https://pbs.twimg.com/media/FvyZ6c5WcBY_GC7.jpg")</f>
        <v>https://pbs.twimg.com/media/FvyZ6c5WcBY_GC7.jpg</v>
      </c>
      <c r="AW1971" s="82" t="s">
        <v>18739</v>
      </c>
      <c r="AX1971" s="82" t="s">
        <v>18739</v>
      </c>
      <c r="AY1971" s="77"/>
      <c r="AZ1971" s="82" t="s">
        <v>20971</v>
      </c>
      <c r="BA1971" s="82" t="s">
        <v>20971</v>
      </c>
      <c r="BB1971" s="82" t="s">
        <v>20971</v>
      </c>
      <c r="BC1971" s="82" t="s">
        <v>18739</v>
      </c>
      <c r="BD1971" s="82" t="s">
        <v>20938</v>
      </c>
      <c r="BE1971" s="77"/>
      <c r="BF1971" s="77"/>
      <c r="BG1971" s="77"/>
      <c r="BH1971" s="77"/>
      <c r="BI1971" s="77"/>
    </row>
    <row r="1972" spans="1:61" x14ac:dyDescent="0.25">
      <c r="A1972" s="62" t="s">
        <v>708</v>
      </c>
      <c r="B1972" s="62" t="s">
        <v>708</v>
      </c>
      <c r="C1972" s="63"/>
      <c r="D1972" s="64"/>
      <c r="E1972" s="65"/>
      <c r="F1972" s="66"/>
      <c r="G1972" s="63"/>
      <c r="H1972" s="67"/>
      <c r="I1972" s="68"/>
      <c r="J1972" s="68"/>
      <c r="K1972" s="32"/>
      <c r="L1972" s="75">
        <v>1972</v>
      </c>
      <c r="M1972" s="75"/>
      <c r="N1972" s="70"/>
      <c r="O1972" s="77" t="s">
        <v>179</v>
      </c>
      <c r="P1972" s="79">
        <v>45145.880381944444</v>
      </c>
      <c r="Q1972" s="77" t="s">
        <v>3211</v>
      </c>
      <c r="R1972" s="77">
        <v>0</v>
      </c>
      <c r="S1972" s="77">
        <v>0</v>
      </c>
      <c r="T1972" s="77">
        <v>0</v>
      </c>
      <c r="U1972" s="77">
        <v>0</v>
      </c>
      <c r="V1972" s="77">
        <v>61</v>
      </c>
      <c r="W1972" s="82" t="s">
        <v>6130</v>
      </c>
      <c r="X1972" s="80" t="str">
        <f>HYPERLINK("https://betbolacom.page.link/Tweet")</f>
        <v>https://betbolacom.page.link/Tweet</v>
      </c>
      <c r="Y1972" s="77" t="s">
        <v>7378</v>
      </c>
      <c r="Z1972" s="77"/>
      <c r="AA1972" s="77" t="s">
        <v>8522</v>
      </c>
      <c r="AB1972" s="77" t="s">
        <v>10129</v>
      </c>
      <c r="AC1972" s="82" t="s">
        <v>10144</v>
      </c>
      <c r="AD1972" s="77" t="s">
        <v>10184</v>
      </c>
      <c r="AE1972" s="80" t="str">
        <f>HYPERLINK("https://twitter.com/6de6_palpites/status/1688658208586334208")</f>
        <v>https://twitter.com/6de6_palpites/status/1688658208586334208</v>
      </c>
      <c r="AF1972" s="79">
        <v>45145.880381944444</v>
      </c>
      <c r="AG1972" s="85">
        <v>45145</v>
      </c>
      <c r="AH1972" s="82" t="s">
        <v>12086</v>
      </c>
      <c r="AI1972" s="77" t="b">
        <v>0</v>
      </c>
      <c r="AJ1972" s="77"/>
      <c r="AK1972" s="77"/>
      <c r="AL1972" s="77"/>
      <c r="AM1972" s="77"/>
      <c r="AN1972" s="77"/>
      <c r="AO1972" s="77"/>
      <c r="AP1972" s="77"/>
      <c r="AQ1972" s="77" t="s">
        <v>15166</v>
      </c>
      <c r="AR1972" s="77">
        <v>6960</v>
      </c>
      <c r="AS1972" s="77"/>
      <c r="AT1972" s="77"/>
      <c r="AU1972" s="77"/>
      <c r="AV1972" s="80" t="str">
        <f>HYPERLINK("https://pbs.twimg.com/ext_tw_video_thumb/1688658178404220928/pu/img/c7DVOyZhMnTtF3c1.jpg")</f>
        <v>https://pbs.twimg.com/ext_tw_video_thumb/1688658178404220928/pu/img/c7DVOyZhMnTtF3c1.jpg</v>
      </c>
      <c r="AW1972" s="82" t="s">
        <v>18740</v>
      </c>
      <c r="AX1972" s="82" t="s">
        <v>18740</v>
      </c>
      <c r="AY1972" s="77"/>
      <c r="AZ1972" s="82" t="s">
        <v>20971</v>
      </c>
      <c r="BA1972" s="82" t="s">
        <v>20971</v>
      </c>
      <c r="BB1972" s="82" t="s">
        <v>20971</v>
      </c>
      <c r="BC1972" s="82" t="s">
        <v>18740</v>
      </c>
      <c r="BD1972" s="82" t="s">
        <v>20938</v>
      </c>
      <c r="BE1972" s="77"/>
      <c r="BF1972" s="77"/>
      <c r="BG1972" s="77"/>
      <c r="BH1972" s="77"/>
      <c r="BI1972" s="77"/>
    </row>
    <row r="1973" spans="1:61" x14ac:dyDescent="0.25">
      <c r="A1973" s="62" t="s">
        <v>708</v>
      </c>
      <c r="B1973" s="62" t="s">
        <v>708</v>
      </c>
      <c r="C1973" s="63"/>
      <c r="D1973" s="64"/>
      <c r="E1973" s="65"/>
      <c r="F1973" s="66"/>
      <c r="G1973" s="63"/>
      <c r="H1973" s="67"/>
      <c r="I1973" s="68"/>
      <c r="J1973" s="68"/>
      <c r="K1973" s="32"/>
      <c r="L1973" s="75">
        <v>1973</v>
      </c>
      <c r="M1973" s="75"/>
      <c r="N1973" s="70"/>
      <c r="O1973" s="77" t="s">
        <v>1284</v>
      </c>
      <c r="P1973" s="79">
        <v>45130.996099537035</v>
      </c>
      <c r="Q1973" s="77" t="s">
        <v>3212</v>
      </c>
      <c r="R1973" s="77">
        <v>0</v>
      </c>
      <c r="S1973" s="77">
        <v>0</v>
      </c>
      <c r="T1973" s="77">
        <v>0</v>
      </c>
      <c r="U1973" s="77">
        <v>0</v>
      </c>
      <c r="V1973" s="77">
        <v>71</v>
      </c>
      <c r="W1973" s="82" t="s">
        <v>6131</v>
      </c>
      <c r="X1973" s="80" t="str">
        <f>HYPERLINK("https://betbolacom.page.link/Tweet")</f>
        <v>https://betbolacom.page.link/Tweet</v>
      </c>
      <c r="Y1973" s="77" t="s">
        <v>7378</v>
      </c>
      <c r="Z1973" s="77"/>
      <c r="AA1973" s="77"/>
      <c r="AB1973" s="77"/>
      <c r="AC1973" s="82" t="s">
        <v>10146</v>
      </c>
      <c r="AD1973" s="77" t="s">
        <v>10184</v>
      </c>
      <c r="AE1973" s="80" t="str">
        <f>HYPERLINK("https://twitter.com/6de6_palpites/status/1683264324880531456")</f>
        <v>https://twitter.com/6de6_palpites/status/1683264324880531456</v>
      </c>
      <c r="AF1973" s="79">
        <v>45130.996099537035</v>
      </c>
      <c r="AG1973" s="85">
        <v>45130</v>
      </c>
      <c r="AH1973" s="82" t="s">
        <v>12087</v>
      </c>
      <c r="AI1973" s="77" t="b">
        <v>0</v>
      </c>
      <c r="AJ1973" s="77"/>
      <c r="AK1973" s="77"/>
      <c r="AL1973" s="77"/>
      <c r="AM1973" s="77"/>
      <c r="AN1973" s="77"/>
      <c r="AO1973" s="77"/>
      <c r="AP1973" s="77"/>
      <c r="AQ1973" s="77"/>
      <c r="AR1973" s="77"/>
      <c r="AS1973" s="77"/>
      <c r="AT1973" s="77"/>
      <c r="AU1973" s="77"/>
      <c r="AV1973" s="80" t="str">
        <f>HYPERLINK("https://pbs.twimg.com/profile_images/1648771185235165184/WFqM_Jlh_normal.jpg")</f>
        <v>https://pbs.twimg.com/profile_images/1648771185235165184/WFqM_Jlh_normal.jpg</v>
      </c>
      <c r="AW1973" s="82" t="s">
        <v>18741</v>
      </c>
      <c r="AX1973" s="82" t="s">
        <v>20855</v>
      </c>
      <c r="AY1973" s="82" t="s">
        <v>20938</v>
      </c>
      <c r="AZ1973" s="82" t="s">
        <v>20855</v>
      </c>
      <c r="BA1973" s="82" t="s">
        <v>20971</v>
      </c>
      <c r="BB1973" s="82" t="s">
        <v>20971</v>
      </c>
      <c r="BC1973" s="82" t="s">
        <v>20855</v>
      </c>
      <c r="BD1973" s="82" t="s">
        <v>20938</v>
      </c>
      <c r="BE1973" s="77"/>
      <c r="BF1973" s="77"/>
      <c r="BG1973" s="77"/>
      <c r="BH1973" s="77"/>
      <c r="BI1973" s="77"/>
    </row>
    <row r="1974" spans="1:61" x14ac:dyDescent="0.25">
      <c r="A1974" s="62" t="s">
        <v>708</v>
      </c>
      <c r="B1974" s="62" t="s">
        <v>708</v>
      </c>
      <c r="C1974" s="63"/>
      <c r="D1974" s="64"/>
      <c r="E1974" s="65"/>
      <c r="F1974" s="66"/>
      <c r="G1974" s="63"/>
      <c r="H1974" s="67"/>
      <c r="I1974" s="68"/>
      <c r="J1974" s="68"/>
      <c r="K1974" s="32"/>
      <c r="L1974" s="75">
        <v>1974</v>
      </c>
      <c r="M1974" s="75"/>
      <c r="N1974" s="70"/>
      <c r="O1974" s="77" t="s">
        <v>179</v>
      </c>
      <c r="P1974" s="79">
        <v>45114.873298611114</v>
      </c>
      <c r="Q1974" s="77" t="s">
        <v>3213</v>
      </c>
      <c r="R1974" s="77">
        <v>0</v>
      </c>
      <c r="S1974" s="77">
        <v>1</v>
      </c>
      <c r="T1974" s="77">
        <v>0</v>
      </c>
      <c r="U1974" s="77">
        <v>0</v>
      </c>
      <c r="V1974" s="77">
        <v>74</v>
      </c>
      <c r="W1974" s="82" t="s">
        <v>6132</v>
      </c>
      <c r="X1974" s="80" t="str">
        <f>HYPERLINK("https://betbolacom.page.link/Tweet")</f>
        <v>https://betbolacom.page.link/Tweet</v>
      </c>
      <c r="Y1974" s="77" t="s">
        <v>7378</v>
      </c>
      <c r="Z1974" s="77"/>
      <c r="AA1974" s="77" t="s">
        <v>8523</v>
      </c>
      <c r="AB1974" s="77" t="s">
        <v>10130</v>
      </c>
      <c r="AC1974" s="82" t="s">
        <v>10146</v>
      </c>
      <c r="AD1974" s="77" t="s">
        <v>10184</v>
      </c>
      <c r="AE1974" s="80" t="str">
        <f>HYPERLINK("https://twitter.com/6de6_palpites/status/1677421619004817409")</f>
        <v>https://twitter.com/6de6_palpites/status/1677421619004817409</v>
      </c>
      <c r="AF1974" s="79">
        <v>45114.873298611114</v>
      </c>
      <c r="AG1974" s="85">
        <v>45114</v>
      </c>
      <c r="AH1974" s="82" t="s">
        <v>12088</v>
      </c>
      <c r="AI1974" s="77" t="b">
        <v>0</v>
      </c>
      <c r="AJ1974" s="77"/>
      <c r="AK1974" s="77"/>
      <c r="AL1974" s="77"/>
      <c r="AM1974" s="77"/>
      <c r="AN1974" s="77"/>
      <c r="AO1974" s="77"/>
      <c r="AP1974" s="77"/>
      <c r="AQ1974" s="77" t="s">
        <v>15167</v>
      </c>
      <c r="AR1974" s="77"/>
      <c r="AS1974" s="77"/>
      <c r="AT1974" s="77"/>
      <c r="AU1974" s="77"/>
      <c r="AV1974" s="80" t="str">
        <f>HYPERLINK("https://pbs.twimg.com/media/F0dl6i4XsAIqunN.jpg")</f>
        <v>https://pbs.twimg.com/media/F0dl6i4XsAIqunN.jpg</v>
      </c>
      <c r="AW1974" s="82" t="s">
        <v>18742</v>
      </c>
      <c r="AX1974" s="82" t="s">
        <v>18742</v>
      </c>
      <c r="AY1974" s="77"/>
      <c r="AZ1974" s="82" t="s">
        <v>20971</v>
      </c>
      <c r="BA1974" s="82" t="s">
        <v>20971</v>
      </c>
      <c r="BB1974" s="82" t="s">
        <v>20971</v>
      </c>
      <c r="BC1974" s="82" t="s">
        <v>18742</v>
      </c>
      <c r="BD1974" s="82" t="s">
        <v>20938</v>
      </c>
      <c r="BE1974" s="77"/>
      <c r="BF1974" s="77"/>
      <c r="BG1974" s="77"/>
      <c r="BH1974" s="77"/>
      <c r="BI1974" s="77"/>
    </row>
    <row r="1975" spans="1:61" x14ac:dyDescent="0.25">
      <c r="A1975" s="62" t="s">
        <v>708</v>
      </c>
      <c r="B1975" s="62" t="s">
        <v>708</v>
      </c>
      <c r="C1975" s="63"/>
      <c r="D1975" s="64"/>
      <c r="E1975" s="65"/>
      <c r="F1975" s="66"/>
      <c r="G1975" s="63"/>
      <c r="H1975" s="67"/>
      <c r="I1975" s="68"/>
      <c r="J1975" s="68"/>
      <c r="K1975" s="32"/>
      <c r="L1975" s="75">
        <v>1975</v>
      </c>
      <c r="M1975" s="75"/>
      <c r="N1975" s="70"/>
      <c r="O1975" s="77" t="s">
        <v>179</v>
      </c>
      <c r="P1975" s="79">
        <v>45095.955682870372</v>
      </c>
      <c r="Q1975" s="77" t="s">
        <v>3214</v>
      </c>
      <c r="R1975" s="77">
        <v>0</v>
      </c>
      <c r="S1975" s="77">
        <v>1</v>
      </c>
      <c r="T1975" s="77">
        <v>2</v>
      </c>
      <c r="U1975" s="77">
        <v>0</v>
      </c>
      <c r="V1975" s="77">
        <v>148</v>
      </c>
      <c r="W1975" s="82" t="s">
        <v>6086</v>
      </c>
      <c r="X1975" s="77"/>
      <c r="Y1975" s="77"/>
      <c r="Z1975" s="77"/>
      <c r="AA1975" s="77" t="s">
        <v>8524</v>
      </c>
      <c r="AB1975" s="77" t="s">
        <v>10130</v>
      </c>
      <c r="AC1975" s="82" t="s">
        <v>10161</v>
      </c>
      <c r="AD1975" s="77" t="s">
        <v>10184</v>
      </c>
      <c r="AE1975" s="80" t="str">
        <f>HYPERLINK("https://twitter.com/6de6_palpites/status/1670566105947987968")</f>
        <v>https://twitter.com/6de6_palpites/status/1670566105947987968</v>
      </c>
      <c r="AF1975" s="79">
        <v>45095.955682870372</v>
      </c>
      <c r="AG1975" s="85">
        <v>45095</v>
      </c>
      <c r="AH1975" s="82" t="s">
        <v>12089</v>
      </c>
      <c r="AI1975" s="77" t="b">
        <v>0</v>
      </c>
      <c r="AJ1975" s="77"/>
      <c r="AK1975" s="77"/>
      <c r="AL1975" s="77"/>
      <c r="AM1975" s="77"/>
      <c r="AN1975" s="77"/>
      <c r="AO1975" s="77"/>
      <c r="AP1975" s="77"/>
      <c r="AQ1975" s="77" t="s">
        <v>15168</v>
      </c>
      <c r="AR1975" s="77"/>
      <c r="AS1975" s="77"/>
      <c r="AT1975" s="77"/>
      <c r="AU1975" s="77"/>
      <c r="AV1975" s="80" t="str">
        <f>HYPERLINK("https://pbs.twimg.com/media/Fy8KhhpXsAEECWO.jpg")</f>
        <v>https://pbs.twimg.com/media/Fy8KhhpXsAEECWO.jpg</v>
      </c>
      <c r="AW1975" s="82" t="s">
        <v>18743</v>
      </c>
      <c r="AX1975" s="82" t="s">
        <v>18743</v>
      </c>
      <c r="AY1975" s="77"/>
      <c r="AZ1975" s="82" t="s">
        <v>20971</v>
      </c>
      <c r="BA1975" s="82" t="s">
        <v>20971</v>
      </c>
      <c r="BB1975" s="82" t="s">
        <v>20971</v>
      </c>
      <c r="BC1975" s="82" t="s">
        <v>18743</v>
      </c>
      <c r="BD1975" s="82" t="s">
        <v>20938</v>
      </c>
      <c r="BE1975" s="77"/>
      <c r="BF1975" s="77"/>
      <c r="BG1975" s="77"/>
      <c r="BH1975" s="77"/>
      <c r="BI1975" s="77"/>
    </row>
    <row r="1976" spans="1:61" x14ac:dyDescent="0.25">
      <c r="A1976" s="62" t="s">
        <v>708</v>
      </c>
      <c r="B1976" s="62" t="s">
        <v>708</v>
      </c>
      <c r="C1976" s="63"/>
      <c r="D1976" s="64"/>
      <c r="E1976" s="65"/>
      <c r="F1976" s="66"/>
      <c r="G1976" s="63"/>
      <c r="H1976" s="67"/>
      <c r="I1976" s="68"/>
      <c r="J1976" s="68"/>
      <c r="K1976" s="32"/>
      <c r="L1976" s="75">
        <v>1976</v>
      </c>
      <c r="M1976" s="75"/>
      <c r="N1976" s="70"/>
      <c r="O1976" s="77" t="s">
        <v>179</v>
      </c>
      <c r="P1976" s="79">
        <v>45095.60596064815</v>
      </c>
      <c r="Q1976" s="77" t="s">
        <v>3215</v>
      </c>
      <c r="R1976" s="77">
        <v>0</v>
      </c>
      <c r="S1976" s="77">
        <v>3</v>
      </c>
      <c r="T1976" s="77">
        <v>2</v>
      </c>
      <c r="U1976" s="77">
        <v>0</v>
      </c>
      <c r="V1976" s="77">
        <v>1494</v>
      </c>
      <c r="W1976" s="82" t="s">
        <v>6086</v>
      </c>
      <c r="X1976" s="77"/>
      <c r="Y1976" s="77"/>
      <c r="Z1976" s="77"/>
      <c r="AA1976" s="77" t="s">
        <v>8525</v>
      </c>
      <c r="AB1976" s="77" t="s">
        <v>10129</v>
      </c>
      <c r="AC1976" s="82" t="s">
        <v>10144</v>
      </c>
      <c r="AD1976" s="77" t="s">
        <v>10184</v>
      </c>
      <c r="AE1976" s="80" t="str">
        <f>HYPERLINK("https://twitter.com/6de6_palpites/status/1670439370757660672")</f>
        <v>https://twitter.com/6de6_palpites/status/1670439370757660672</v>
      </c>
      <c r="AF1976" s="79">
        <v>45095.60596064815</v>
      </c>
      <c r="AG1976" s="85">
        <v>45095</v>
      </c>
      <c r="AH1976" s="82" t="s">
        <v>12090</v>
      </c>
      <c r="AI1976" s="77" t="b">
        <v>0</v>
      </c>
      <c r="AJ1976" s="77"/>
      <c r="AK1976" s="77"/>
      <c r="AL1976" s="77"/>
      <c r="AM1976" s="77"/>
      <c r="AN1976" s="77"/>
      <c r="AO1976" s="77"/>
      <c r="AP1976" s="77"/>
      <c r="AQ1976" s="77" t="s">
        <v>15169</v>
      </c>
      <c r="AR1976" s="77">
        <v>4800</v>
      </c>
      <c r="AS1976" s="77"/>
      <c r="AT1976" s="77"/>
      <c r="AU1976" s="77"/>
      <c r="AV1976" s="80" t="str">
        <f>HYPERLINK("https://pbs.twimg.com/ext_tw_video_thumb/1670439342576115715/pu/img/24zc-7ZTiPbI1Kam.jpg")</f>
        <v>https://pbs.twimg.com/ext_tw_video_thumb/1670439342576115715/pu/img/24zc-7ZTiPbI1Kam.jpg</v>
      </c>
      <c r="AW1976" s="82" t="s">
        <v>18744</v>
      </c>
      <c r="AX1976" s="82" t="s">
        <v>18744</v>
      </c>
      <c r="AY1976" s="77"/>
      <c r="AZ1976" s="82" t="s">
        <v>20971</v>
      </c>
      <c r="BA1976" s="82" t="s">
        <v>20971</v>
      </c>
      <c r="BB1976" s="82" t="s">
        <v>20971</v>
      </c>
      <c r="BC1976" s="82" t="s">
        <v>18744</v>
      </c>
      <c r="BD1976" s="82" t="s">
        <v>20938</v>
      </c>
      <c r="BE1976" s="77"/>
      <c r="BF1976" s="77"/>
      <c r="BG1976" s="77"/>
      <c r="BH1976" s="77"/>
      <c r="BI1976" s="77"/>
    </row>
    <row r="1977" spans="1:61" x14ac:dyDescent="0.25">
      <c r="A1977" s="62" t="s">
        <v>708</v>
      </c>
      <c r="B1977" s="62" t="s">
        <v>708</v>
      </c>
      <c r="C1977" s="63"/>
      <c r="D1977" s="64"/>
      <c r="E1977" s="65"/>
      <c r="F1977" s="66"/>
      <c r="G1977" s="63"/>
      <c r="H1977" s="67"/>
      <c r="I1977" s="68"/>
      <c r="J1977" s="68"/>
      <c r="K1977" s="32"/>
      <c r="L1977" s="75">
        <v>1977</v>
      </c>
      <c r="M1977" s="75"/>
      <c r="N1977" s="70"/>
      <c r="O1977" s="77" t="s">
        <v>179</v>
      </c>
      <c r="P1977" s="79">
        <v>45094.903831018521</v>
      </c>
      <c r="Q1977" s="77" t="s">
        <v>3216</v>
      </c>
      <c r="R1977" s="77">
        <v>0</v>
      </c>
      <c r="S1977" s="77">
        <v>2</v>
      </c>
      <c r="T1977" s="77">
        <v>1</v>
      </c>
      <c r="U1977" s="77">
        <v>0</v>
      </c>
      <c r="V1977" s="77">
        <v>93</v>
      </c>
      <c r="W1977" s="82" t="s">
        <v>6087</v>
      </c>
      <c r="X1977" s="80" t="str">
        <f>HYPERLINK("https://betbolacom.page.link/Tweet")</f>
        <v>https://betbolacom.page.link/Tweet</v>
      </c>
      <c r="Y1977" s="77" t="s">
        <v>7378</v>
      </c>
      <c r="Z1977" s="77"/>
      <c r="AA1977" s="77" t="s">
        <v>8526</v>
      </c>
      <c r="AB1977" s="77" t="s">
        <v>10130</v>
      </c>
      <c r="AC1977" s="82" t="s">
        <v>10144</v>
      </c>
      <c r="AD1977" s="77" t="s">
        <v>10184</v>
      </c>
      <c r="AE1977" s="80" t="str">
        <f>HYPERLINK("https://twitter.com/6de6_palpites/status/1670184924458958848")</f>
        <v>https://twitter.com/6de6_palpites/status/1670184924458958848</v>
      </c>
      <c r="AF1977" s="79">
        <v>45094.903831018521</v>
      </c>
      <c r="AG1977" s="85">
        <v>45094</v>
      </c>
      <c r="AH1977" s="82" t="s">
        <v>12091</v>
      </c>
      <c r="AI1977" s="77" t="b">
        <v>0</v>
      </c>
      <c r="AJ1977" s="77"/>
      <c r="AK1977" s="77"/>
      <c r="AL1977" s="77"/>
      <c r="AM1977" s="77"/>
      <c r="AN1977" s="77"/>
      <c r="AO1977" s="77"/>
      <c r="AP1977" s="77"/>
      <c r="AQ1977" s="77" t="s">
        <v>15170</v>
      </c>
      <c r="AR1977" s="77"/>
      <c r="AS1977" s="77"/>
      <c r="AT1977" s="77"/>
      <c r="AU1977" s="77"/>
      <c r="AV1977" s="80" t="str">
        <f>HYPERLINK("https://pbs.twimg.com/media/Fy2wVmUXgAAFAJK.jpg")</f>
        <v>https://pbs.twimg.com/media/Fy2wVmUXgAAFAJK.jpg</v>
      </c>
      <c r="AW1977" s="82" t="s">
        <v>18745</v>
      </c>
      <c r="AX1977" s="82" t="s">
        <v>18745</v>
      </c>
      <c r="AY1977" s="77"/>
      <c r="AZ1977" s="82" t="s">
        <v>20971</v>
      </c>
      <c r="BA1977" s="82" t="s">
        <v>20971</v>
      </c>
      <c r="BB1977" s="82" t="s">
        <v>20971</v>
      </c>
      <c r="BC1977" s="82" t="s">
        <v>18745</v>
      </c>
      <c r="BD1977" s="82" t="s">
        <v>20938</v>
      </c>
      <c r="BE1977" s="77"/>
      <c r="BF1977" s="77"/>
      <c r="BG1977" s="77"/>
      <c r="BH1977" s="77"/>
      <c r="BI1977" s="77"/>
    </row>
    <row r="1978" spans="1:61" x14ac:dyDescent="0.25">
      <c r="A1978" s="62" t="s">
        <v>708</v>
      </c>
      <c r="B1978" s="62" t="s">
        <v>708</v>
      </c>
      <c r="C1978" s="63"/>
      <c r="D1978" s="64"/>
      <c r="E1978" s="65"/>
      <c r="F1978" s="66"/>
      <c r="G1978" s="63"/>
      <c r="H1978" s="67"/>
      <c r="I1978" s="68"/>
      <c r="J1978" s="68"/>
      <c r="K1978" s="32"/>
      <c r="L1978" s="75">
        <v>1978</v>
      </c>
      <c r="M1978" s="75"/>
      <c r="N1978" s="70"/>
      <c r="O1978" s="77" t="s">
        <v>179</v>
      </c>
      <c r="P1978" s="79">
        <v>45094.547766203701</v>
      </c>
      <c r="Q1978" s="77" t="s">
        <v>3217</v>
      </c>
      <c r="R1978" s="77">
        <v>0</v>
      </c>
      <c r="S1978" s="77">
        <v>3</v>
      </c>
      <c r="T1978" s="77">
        <v>1</v>
      </c>
      <c r="U1978" s="77">
        <v>0</v>
      </c>
      <c r="V1978" s="77">
        <v>807</v>
      </c>
      <c r="W1978" s="82" t="s">
        <v>6086</v>
      </c>
      <c r="X1978" s="77"/>
      <c r="Y1978" s="77"/>
      <c r="Z1978" s="77"/>
      <c r="AA1978" s="77" t="s">
        <v>8527</v>
      </c>
      <c r="AB1978" s="77" t="s">
        <v>10129</v>
      </c>
      <c r="AC1978" s="82" t="s">
        <v>10161</v>
      </c>
      <c r="AD1978" s="77" t="s">
        <v>10184</v>
      </c>
      <c r="AE1978" s="80" t="str">
        <f>HYPERLINK("https://twitter.com/6de6_palpites/status/1670055891519827974")</f>
        <v>https://twitter.com/6de6_palpites/status/1670055891519827974</v>
      </c>
      <c r="AF1978" s="79">
        <v>45094.547766203701</v>
      </c>
      <c r="AG1978" s="85">
        <v>45094</v>
      </c>
      <c r="AH1978" s="82" t="s">
        <v>12092</v>
      </c>
      <c r="AI1978" s="77" t="b">
        <v>0</v>
      </c>
      <c r="AJ1978" s="77"/>
      <c r="AK1978" s="77"/>
      <c r="AL1978" s="77"/>
      <c r="AM1978" s="77"/>
      <c r="AN1978" s="77"/>
      <c r="AO1978" s="77"/>
      <c r="AP1978" s="77"/>
      <c r="AQ1978" s="77" t="s">
        <v>15171</v>
      </c>
      <c r="AR1978" s="77">
        <v>5400</v>
      </c>
      <c r="AS1978" s="77"/>
      <c r="AT1978" s="77"/>
      <c r="AU1978" s="77"/>
      <c r="AV1978" s="80" t="str">
        <f>HYPERLINK("https://pbs.twimg.com/ext_tw_video_thumb/1670055588238180354/pu/img/kDAwWN_kRwjXVkzm.jpg")</f>
        <v>https://pbs.twimg.com/ext_tw_video_thumb/1670055588238180354/pu/img/kDAwWN_kRwjXVkzm.jpg</v>
      </c>
      <c r="AW1978" s="82" t="s">
        <v>18746</v>
      </c>
      <c r="AX1978" s="82" t="s">
        <v>18746</v>
      </c>
      <c r="AY1978" s="77"/>
      <c r="AZ1978" s="82" t="s">
        <v>20971</v>
      </c>
      <c r="BA1978" s="82" t="s">
        <v>20971</v>
      </c>
      <c r="BB1978" s="82" t="s">
        <v>20971</v>
      </c>
      <c r="BC1978" s="82" t="s">
        <v>18746</v>
      </c>
      <c r="BD1978" s="82" t="s">
        <v>20938</v>
      </c>
      <c r="BE1978" s="77"/>
      <c r="BF1978" s="77"/>
      <c r="BG1978" s="77"/>
      <c r="BH1978" s="77"/>
      <c r="BI1978" s="77"/>
    </row>
    <row r="1979" spans="1:61" x14ac:dyDescent="0.25">
      <c r="A1979" s="62" t="s">
        <v>708</v>
      </c>
      <c r="B1979" s="62" t="s">
        <v>708</v>
      </c>
      <c r="C1979" s="63"/>
      <c r="D1979" s="64"/>
      <c r="E1979" s="65"/>
      <c r="F1979" s="66"/>
      <c r="G1979" s="63"/>
      <c r="H1979" s="67"/>
      <c r="I1979" s="68"/>
      <c r="J1979" s="68"/>
      <c r="K1979" s="32"/>
      <c r="L1979" s="75">
        <v>1979</v>
      </c>
      <c r="M1979" s="75"/>
      <c r="N1979" s="70"/>
      <c r="O1979" s="77" t="s">
        <v>179</v>
      </c>
      <c r="P1979" s="79">
        <v>45093.647245370368</v>
      </c>
      <c r="Q1979" s="77" t="s">
        <v>3218</v>
      </c>
      <c r="R1979" s="77">
        <v>0</v>
      </c>
      <c r="S1979" s="77">
        <v>2</v>
      </c>
      <c r="T1979" s="77">
        <v>0</v>
      </c>
      <c r="U1979" s="77">
        <v>0</v>
      </c>
      <c r="V1979" s="77">
        <v>102</v>
      </c>
      <c r="W1979" s="82" t="s">
        <v>6086</v>
      </c>
      <c r="X1979" s="80" t="str">
        <f>HYPERLINK("https://betbolacom.page.link/Twitter")</f>
        <v>https://betbolacom.page.link/Twitter</v>
      </c>
      <c r="Y1979" s="77" t="s">
        <v>7378</v>
      </c>
      <c r="Z1979" s="77"/>
      <c r="AA1979" s="77" t="s">
        <v>8528</v>
      </c>
      <c r="AB1979" s="77" t="s">
        <v>10136</v>
      </c>
      <c r="AC1979" s="82" t="s">
        <v>10144</v>
      </c>
      <c r="AD1979" s="77" t="s">
        <v>10184</v>
      </c>
      <c r="AE1979" s="80" t="str">
        <f>HYPERLINK("https://twitter.com/6de6_palpites/status/1669729552807997441")</f>
        <v>https://twitter.com/6de6_palpites/status/1669729552807997441</v>
      </c>
      <c r="AF1979" s="79">
        <v>45093.647245370368</v>
      </c>
      <c r="AG1979" s="85">
        <v>45093</v>
      </c>
      <c r="AH1979" s="82" t="s">
        <v>12093</v>
      </c>
      <c r="AI1979" s="77" t="b">
        <v>0</v>
      </c>
      <c r="AJ1979" s="77"/>
      <c r="AK1979" s="77"/>
      <c r="AL1979" s="77"/>
      <c r="AM1979" s="77"/>
      <c r="AN1979" s="77"/>
      <c r="AO1979" s="77"/>
      <c r="AP1979" s="77"/>
      <c r="AQ1979" s="77" t="s">
        <v>15172</v>
      </c>
      <c r="AR1979" s="77">
        <v>5700</v>
      </c>
      <c r="AS1979" s="77"/>
      <c r="AT1979" s="77"/>
      <c r="AU1979" s="77"/>
      <c r="AV1979" s="80" t="str">
        <f>HYPERLINK("https://pbs.twimg.com/ext_tw_video_thumb/1669729515570970625/pu/img/ZemKigbyfyN_ccu1.jpg")</f>
        <v>https://pbs.twimg.com/ext_tw_video_thumb/1669729515570970625/pu/img/ZemKigbyfyN_ccu1.jpg</v>
      </c>
      <c r="AW1979" s="82" t="s">
        <v>18747</v>
      </c>
      <c r="AX1979" s="82" t="s">
        <v>18747</v>
      </c>
      <c r="AY1979" s="77"/>
      <c r="AZ1979" s="82" t="s">
        <v>20971</v>
      </c>
      <c r="BA1979" s="82" t="s">
        <v>20971</v>
      </c>
      <c r="BB1979" s="82" t="s">
        <v>20971</v>
      </c>
      <c r="BC1979" s="82" t="s">
        <v>18747</v>
      </c>
      <c r="BD1979" s="82" t="s">
        <v>20938</v>
      </c>
      <c r="BE1979" s="77"/>
      <c r="BF1979" s="77"/>
      <c r="BG1979" s="77"/>
      <c r="BH1979" s="77"/>
      <c r="BI1979" s="77"/>
    </row>
    <row r="1980" spans="1:61" x14ac:dyDescent="0.25">
      <c r="A1980" s="62" t="s">
        <v>708</v>
      </c>
      <c r="B1980" s="62" t="s">
        <v>708</v>
      </c>
      <c r="C1980" s="63"/>
      <c r="D1980" s="64"/>
      <c r="E1980" s="65"/>
      <c r="F1980" s="66"/>
      <c r="G1980" s="63"/>
      <c r="H1980" s="67"/>
      <c r="I1980" s="68"/>
      <c r="J1980" s="68"/>
      <c r="K1980" s="32"/>
      <c r="L1980" s="75">
        <v>1980</v>
      </c>
      <c r="M1980" s="75"/>
      <c r="N1980" s="70"/>
      <c r="O1980" s="77" t="s">
        <v>179</v>
      </c>
      <c r="P1980" s="79">
        <v>45074.883981481478</v>
      </c>
      <c r="Q1980" s="77" t="s">
        <v>3219</v>
      </c>
      <c r="R1980" s="77">
        <v>0</v>
      </c>
      <c r="S1980" s="77">
        <v>2</v>
      </c>
      <c r="T1980" s="77">
        <v>1</v>
      </c>
      <c r="U1980" s="77">
        <v>0</v>
      </c>
      <c r="V1980" s="77">
        <v>92</v>
      </c>
      <c r="W1980" s="82" t="s">
        <v>6089</v>
      </c>
      <c r="X1980" s="80" t="str">
        <f>HYPERLINK("https://betbolacom.page.link/Tweet")</f>
        <v>https://betbolacom.page.link/Tweet</v>
      </c>
      <c r="Y1980" s="77" t="s">
        <v>7378</v>
      </c>
      <c r="Z1980" s="77"/>
      <c r="AA1980" s="77" t="s">
        <v>8529</v>
      </c>
      <c r="AB1980" s="77" t="s">
        <v>10130</v>
      </c>
      <c r="AC1980" s="82" t="s">
        <v>10144</v>
      </c>
      <c r="AD1980" s="77" t="s">
        <v>10184</v>
      </c>
      <c r="AE1980" s="80" t="str">
        <f>HYPERLINK("https://twitter.com/6de6_palpites/status/1662929977254264837")</f>
        <v>https://twitter.com/6de6_palpites/status/1662929977254264837</v>
      </c>
      <c r="AF1980" s="79">
        <v>45074.883981481478</v>
      </c>
      <c r="AG1980" s="85">
        <v>45074</v>
      </c>
      <c r="AH1980" s="82" t="s">
        <v>12094</v>
      </c>
      <c r="AI1980" s="77" t="b">
        <v>0</v>
      </c>
      <c r="AJ1980" s="77"/>
      <c r="AK1980" s="77"/>
      <c r="AL1980" s="77"/>
      <c r="AM1980" s="77"/>
      <c r="AN1980" s="77"/>
      <c r="AO1980" s="77"/>
      <c r="AP1980" s="77"/>
      <c r="AQ1980" s="77" t="s">
        <v>15173</v>
      </c>
      <c r="AR1980" s="77"/>
      <c r="AS1980" s="77"/>
      <c r="AT1980" s="77"/>
      <c r="AU1980" s="77"/>
      <c r="AV1980" s="80" t="str">
        <f>HYPERLINK("https://pbs.twimg.com/media/FxPqAD8XgAAWA2M.jpg")</f>
        <v>https://pbs.twimg.com/media/FxPqAD8XgAAWA2M.jpg</v>
      </c>
      <c r="AW1980" s="82" t="s">
        <v>18748</v>
      </c>
      <c r="AX1980" s="82" t="s">
        <v>18748</v>
      </c>
      <c r="AY1980" s="77"/>
      <c r="AZ1980" s="82" t="s">
        <v>20971</v>
      </c>
      <c r="BA1980" s="82" t="s">
        <v>20971</v>
      </c>
      <c r="BB1980" s="82" t="s">
        <v>20971</v>
      </c>
      <c r="BC1980" s="82" t="s">
        <v>18748</v>
      </c>
      <c r="BD1980" s="82" t="s">
        <v>20938</v>
      </c>
      <c r="BE1980" s="77"/>
      <c r="BF1980" s="77"/>
      <c r="BG1980" s="77"/>
      <c r="BH1980" s="77"/>
      <c r="BI1980" s="77"/>
    </row>
    <row r="1981" spans="1:61" x14ac:dyDescent="0.25">
      <c r="A1981" s="62" t="s">
        <v>708</v>
      </c>
      <c r="B1981" s="62" t="s">
        <v>708</v>
      </c>
      <c r="C1981" s="63"/>
      <c r="D1981" s="64"/>
      <c r="E1981" s="65"/>
      <c r="F1981" s="66"/>
      <c r="G1981" s="63"/>
      <c r="H1981" s="67"/>
      <c r="I1981" s="68"/>
      <c r="J1981" s="68"/>
      <c r="K1981" s="32"/>
      <c r="L1981" s="75">
        <v>1981</v>
      </c>
      <c r="M1981" s="75"/>
      <c r="N1981" s="70"/>
      <c r="O1981" s="77" t="s">
        <v>179</v>
      </c>
      <c r="P1981" s="79">
        <v>45073.980671296296</v>
      </c>
      <c r="Q1981" s="77" t="s">
        <v>3220</v>
      </c>
      <c r="R1981" s="77">
        <v>0</v>
      </c>
      <c r="S1981" s="77">
        <v>0</v>
      </c>
      <c r="T1981" s="77">
        <v>0</v>
      </c>
      <c r="U1981" s="77">
        <v>0</v>
      </c>
      <c r="V1981" s="77">
        <v>45</v>
      </c>
      <c r="W1981" s="82" t="s">
        <v>6087</v>
      </c>
      <c r="X1981" s="80" t="str">
        <f>HYPERLINK("https://betbolacom.page.link/Tweet")</f>
        <v>https://betbolacom.page.link/Tweet</v>
      </c>
      <c r="Y1981" s="77" t="s">
        <v>7378</v>
      </c>
      <c r="Z1981" s="77"/>
      <c r="AA1981" s="77" t="s">
        <v>8530</v>
      </c>
      <c r="AB1981" s="77" t="s">
        <v>10130</v>
      </c>
      <c r="AC1981" s="82" t="s">
        <v>10146</v>
      </c>
      <c r="AD1981" s="77" t="s">
        <v>10184</v>
      </c>
      <c r="AE1981" s="80" t="str">
        <f>HYPERLINK("https://twitter.com/6de6_palpites/status/1662602626398035968")</f>
        <v>https://twitter.com/6de6_palpites/status/1662602626398035968</v>
      </c>
      <c r="AF1981" s="79">
        <v>45073.980671296296</v>
      </c>
      <c r="AG1981" s="85">
        <v>45073</v>
      </c>
      <c r="AH1981" s="82" t="s">
        <v>12095</v>
      </c>
      <c r="AI1981" s="77" t="b">
        <v>0</v>
      </c>
      <c r="AJ1981" s="77"/>
      <c r="AK1981" s="77"/>
      <c r="AL1981" s="77"/>
      <c r="AM1981" s="77"/>
      <c r="AN1981" s="77"/>
      <c r="AO1981" s="77"/>
      <c r="AP1981" s="77"/>
      <c r="AQ1981" s="77" t="s">
        <v>15174</v>
      </c>
      <c r="AR1981" s="77"/>
      <c r="AS1981" s="77"/>
      <c r="AT1981" s="77"/>
      <c r="AU1981" s="77"/>
      <c r="AV1981" s="80" t="str">
        <f>HYPERLINK("https://pbs.twimg.com/media/FxLAMctXsAAEJdz.jpg")</f>
        <v>https://pbs.twimg.com/media/FxLAMctXsAAEJdz.jpg</v>
      </c>
      <c r="AW1981" s="82" t="s">
        <v>18749</v>
      </c>
      <c r="AX1981" s="82" t="s">
        <v>18749</v>
      </c>
      <c r="AY1981" s="77"/>
      <c r="AZ1981" s="82" t="s">
        <v>20971</v>
      </c>
      <c r="BA1981" s="82" t="s">
        <v>20971</v>
      </c>
      <c r="BB1981" s="82" t="s">
        <v>20971</v>
      </c>
      <c r="BC1981" s="82" t="s">
        <v>18749</v>
      </c>
      <c r="BD1981" s="82" t="s">
        <v>20938</v>
      </c>
      <c r="BE1981" s="77"/>
      <c r="BF1981" s="77"/>
      <c r="BG1981" s="77"/>
      <c r="BH1981" s="77"/>
      <c r="BI1981" s="77"/>
    </row>
    <row r="1982" spans="1:61" x14ac:dyDescent="0.25">
      <c r="A1982" s="62" t="s">
        <v>708</v>
      </c>
      <c r="B1982" s="62" t="s">
        <v>708</v>
      </c>
      <c r="C1982" s="63"/>
      <c r="D1982" s="64"/>
      <c r="E1982" s="65"/>
      <c r="F1982" s="66"/>
      <c r="G1982" s="63"/>
      <c r="H1982" s="67"/>
      <c r="I1982" s="68"/>
      <c r="J1982" s="68"/>
      <c r="K1982" s="32"/>
      <c r="L1982" s="75">
        <v>1982</v>
      </c>
      <c r="M1982" s="75"/>
      <c r="N1982" s="70"/>
      <c r="O1982" s="77" t="s">
        <v>179</v>
      </c>
      <c r="P1982" s="79">
        <v>45072.904444444444</v>
      </c>
      <c r="Q1982" s="77" t="s">
        <v>3221</v>
      </c>
      <c r="R1982" s="77">
        <v>0</v>
      </c>
      <c r="S1982" s="77">
        <v>2</v>
      </c>
      <c r="T1982" s="77">
        <v>0</v>
      </c>
      <c r="U1982" s="77">
        <v>0</v>
      </c>
      <c r="V1982" s="77">
        <v>60</v>
      </c>
      <c r="W1982" s="82" t="s">
        <v>6081</v>
      </c>
      <c r="X1982" s="80" t="str">
        <f>HYPERLINK("https://betbolacom.page.link/Tweet")</f>
        <v>https://betbolacom.page.link/Tweet</v>
      </c>
      <c r="Y1982" s="77" t="s">
        <v>7378</v>
      </c>
      <c r="Z1982" s="77"/>
      <c r="AA1982" s="77" t="s">
        <v>8531</v>
      </c>
      <c r="AB1982" s="77" t="s">
        <v>10130</v>
      </c>
      <c r="AC1982" s="82" t="s">
        <v>10144</v>
      </c>
      <c r="AD1982" s="77" t="s">
        <v>10184</v>
      </c>
      <c r="AE1982" s="80" t="str">
        <f>HYPERLINK("https://twitter.com/6de6_palpites/status/1662212613051387904")</f>
        <v>https://twitter.com/6de6_palpites/status/1662212613051387904</v>
      </c>
      <c r="AF1982" s="79">
        <v>45072.904444444444</v>
      </c>
      <c r="AG1982" s="85">
        <v>45072</v>
      </c>
      <c r="AH1982" s="82" t="s">
        <v>12096</v>
      </c>
      <c r="AI1982" s="77" t="b">
        <v>0</v>
      </c>
      <c r="AJ1982" s="77"/>
      <c r="AK1982" s="77"/>
      <c r="AL1982" s="77"/>
      <c r="AM1982" s="77"/>
      <c r="AN1982" s="77"/>
      <c r="AO1982" s="77"/>
      <c r="AP1982" s="77"/>
      <c r="AQ1982" s="77" t="s">
        <v>15175</v>
      </c>
      <c r="AR1982" s="77"/>
      <c r="AS1982" s="77"/>
      <c r="AT1982" s="77"/>
      <c r="AU1982" s="77"/>
      <c r="AV1982" s="80" t="str">
        <f>HYPERLINK("https://pbs.twimg.com/media/FxFdkBxWAAczGvD.jpg")</f>
        <v>https://pbs.twimg.com/media/FxFdkBxWAAczGvD.jpg</v>
      </c>
      <c r="AW1982" s="82" t="s">
        <v>18750</v>
      </c>
      <c r="AX1982" s="82" t="s">
        <v>18750</v>
      </c>
      <c r="AY1982" s="77"/>
      <c r="AZ1982" s="82" t="s">
        <v>20971</v>
      </c>
      <c r="BA1982" s="82" t="s">
        <v>20971</v>
      </c>
      <c r="BB1982" s="82" t="s">
        <v>20971</v>
      </c>
      <c r="BC1982" s="82" t="s">
        <v>18750</v>
      </c>
      <c r="BD1982" s="82" t="s">
        <v>20938</v>
      </c>
      <c r="BE1982" s="77"/>
      <c r="BF1982" s="77"/>
      <c r="BG1982" s="77"/>
      <c r="BH1982" s="77"/>
      <c r="BI1982" s="77"/>
    </row>
    <row r="1983" spans="1:61" x14ac:dyDescent="0.25">
      <c r="A1983" s="62" t="s">
        <v>708</v>
      </c>
      <c r="B1983" s="62" t="s">
        <v>708</v>
      </c>
      <c r="C1983" s="63"/>
      <c r="D1983" s="64"/>
      <c r="E1983" s="65"/>
      <c r="F1983" s="66"/>
      <c r="G1983" s="63"/>
      <c r="H1983" s="67"/>
      <c r="I1983" s="68"/>
      <c r="J1983" s="68"/>
      <c r="K1983" s="32"/>
      <c r="L1983" s="75">
        <v>1983</v>
      </c>
      <c r="M1983" s="75"/>
      <c r="N1983" s="70"/>
      <c r="O1983" s="77" t="s">
        <v>179</v>
      </c>
      <c r="P1983" s="79">
        <v>45043.560879629629</v>
      </c>
      <c r="Q1983" s="77" t="s">
        <v>3222</v>
      </c>
      <c r="R1983" s="77">
        <v>0</v>
      </c>
      <c r="S1983" s="77">
        <v>1</v>
      </c>
      <c r="T1983" s="77">
        <v>0</v>
      </c>
      <c r="U1983" s="77">
        <v>0</v>
      </c>
      <c r="V1983" s="77">
        <v>67</v>
      </c>
      <c r="W1983" s="82" t="s">
        <v>6133</v>
      </c>
      <c r="X1983" s="77"/>
      <c r="Y1983" s="77"/>
      <c r="Z1983" s="77"/>
      <c r="AA1983" s="77" t="s">
        <v>8532</v>
      </c>
      <c r="AB1983" s="77" t="s">
        <v>10130</v>
      </c>
      <c r="AC1983" s="82" t="s">
        <v>10146</v>
      </c>
      <c r="AD1983" s="77" t="s">
        <v>10184</v>
      </c>
      <c r="AE1983" s="80" t="str">
        <f>HYPERLINK("https://twitter.com/6de6_palpites/status/1651578865091768321")</f>
        <v>https://twitter.com/6de6_palpites/status/1651578865091768321</v>
      </c>
      <c r="AF1983" s="79">
        <v>45043.560879629629</v>
      </c>
      <c r="AG1983" s="85">
        <v>45043</v>
      </c>
      <c r="AH1983" s="82" t="s">
        <v>12097</v>
      </c>
      <c r="AI1983" s="77" t="b">
        <v>0</v>
      </c>
      <c r="AJ1983" s="77"/>
      <c r="AK1983" s="77"/>
      <c r="AL1983" s="77"/>
      <c r="AM1983" s="77"/>
      <c r="AN1983" s="77"/>
      <c r="AO1983" s="77"/>
      <c r="AP1983" s="77"/>
      <c r="AQ1983" s="77" t="s">
        <v>15176</v>
      </c>
      <c r="AR1983" s="77"/>
      <c r="AS1983" s="77"/>
      <c r="AT1983" s="77"/>
      <c r="AU1983" s="77"/>
      <c r="AV1983" s="80" t="str">
        <f>HYPERLINK("https://pbs.twimg.com/media/FuuVqTZX0AAyVLD.jpg")</f>
        <v>https://pbs.twimg.com/media/FuuVqTZX0AAyVLD.jpg</v>
      </c>
      <c r="AW1983" s="82" t="s">
        <v>18751</v>
      </c>
      <c r="AX1983" s="82" t="s">
        <v>18751</v>
      </c>
      <c r="AY1983" s="77"/>
      <c r="AZ1983" s="82" t="s">
        <v>20971</v>
      </c>
      <c r="BA1983" s="82" t="s">
        <v>20971</v>
      </c>
      <c r="BB1983" s="82" t="s">
        <v>20971</v>
      </c>
      <c r="BC1983" s="82" t="s">
        <v>18751</v>
      </c>
      <c r="BD1983" s="82" t="s">
        <v>20938</v>
      </c>
      <c r="BE1983" s="77"/>
      <c r="BF1983" s="77"/>
      <c r="BG1983" s="77"/>
      <c r="BH1983" s="77"/>
      <c r="BI1983" s="77"/>
    </row>
    <row r="1984" spans="1:61" x14ac:dyDescent="0.25">
      <c r="A1984" s="62" t="s">
        <v>709</v>
      </c>
      <c r="B1984" s="62" t="s">
        <v>709</v>
      </c>
      <c r="C1984" s="63"/>
      <c r="D1984" s="64"/>
      <c r="E1984" s="65"/>
      <c r="F1984" s="66"/>
      <c r="G1984" s="63"/>
      <c r="H1984" s="67"/>
      <c r="I1984" s="68"/>
      <c r="J1984" s="68"/>
      <c r="K1984" s="32"/>
      <c r="L1984" s="75">
        <v>1984</v>
      </c>
      <c r="M1984" s="75"/>
      <c r="N1984" s="70"/>
      <c r="O1984" s="77" t="s">
        <v>179</v>
      </c>
      <c r="P1984" s="79">
        <v>45005.480543981481</v>
      </c>
      <c r="Q1984" s="77" t="s">
        <v>3223</v>
      </c>
      <c r="R1984" s="77">
        <v>0</v>
      </c>
      <c r="S1984" s="77">
        <v>0</v>
      </c>
      <c r="T1984" s="77">
        <v>0</v>
      </c>
      <c r="U1984" s="77">
        <v>0</v>
      </c>
      <c r="V1984" s="77">
        <v>248</v>
      </c>
      <c r="W1984" s="82" t="s">
        <v>6134</v>
      </c>
      <c r="X1984" s="80" t="str">
        <f>HYPERLINK("https://linktr.ee/Fm40k")</f>
        <v>https://linktr.ee/Fm40k</v>
      </c>
      <c r="Y1984" s="77" t="s">
        <v>7300</v>
      </c>
      <c r="Z1984" s="77"/>
      <c r="AA1984" s="77" t="s">
        <v>8533</v>
      </c>
      <c r="AB1984" s="77" t="s">
        <v>10130</v>
      </c>
      <c r="AC1984" s="82" t="s">
        <v>10144</v>
      </c>
      <c r="AD1984" s="77" t="s">
        <v>10184</v>
      </c>
      <c r="AE1984" s="80" t="str">
        <f>HYPERLINK("https://twitter.com/dekowins/status/1637779010632445956")</f>
        <v>https://twitter.com/dekowins/status/1637779010632445956</v>
      </c>
      <c r="AF1984" s="79">
        <v>45005.480543981481</v>
      </c>
      <c r="AG1984" s="85">
        <v>45005</v>
      </c>
      <c r="AH1984" s="82" t="s">
        <v>12098</v>
      </c>
      <c r="AI1984" s="77" t="b">
        <v>0</v>
      </c>
      <c r="AJ1984" s="77"/>
      <c r="AK1984" s="77"/>
      <c r="AL1984" s="77"/>
      <c r="AM1984" s="77"/>
      <c r="AN1984" s="77"/>
      <c r="AO1984" s="77"/>
      <c r="AP1984" s="77"/>
      <c r="AQ1984" s="77" t="s">
        <v>15177</v>
      </c>
      <c r="AR1984" s="77"/>
      <c r="AS1984" s="77"/>
      <c r="AT1984" s="77"/>
      <c r="AU1984" s="77"/>
      <c r="AV1984" s="80" t="str">
        <f>HYPERLINK("https://pbs.twimg.com/media/FrqPVKUWIAUKdB-.jpg")</f>
        <v>https://pbs.twimg.com/media/FrqPVKUWIAUKdB-.jpg</v>
      </c>
      <c r="AW1984" s="82" t="s">
        <v>18752</v>
      </c>
      <c r="AX1984" s="82" t="s">
        <v>18752</v>
      </c>
      <c r="AY1984" s="77"/>
      <c r="AZ1984" s="82" t="s">
        <v>20971</v>
      </c>
      <c r="BA1984" s="82" t="s">
        <v>20971</v>
      </c>
      <c r="BB1984" s="82" t="s">
        <v>20971</v>
      </c>
      <c r="BC1984" s="82" t="s">
        <v>18752</v>
      </c>
      <c r="BD1984" s="82" t="s">
        <v>21375</v>
      </c>
      <c r="BE1984" s="77"/>
      <c r="BF1984" s="77"/>
      <c r="BG1984" s="77"/>
      <c r="BH1984" s="77"/>
      <c r="BI1984" s="77"/>
    </row>
    <row r="1985" spans="1:61" x14ac:dyDescent="0.25">
      <c r="A1985" s="62" t="s">
        <v>710</v>
      </c>
      <c r="B1985" s="62" t="s">
        <v>710</v>
      </c>
      <c r="C1985" s="63"/>
      <c r="D1985" s="64"/>
      <c r="E1985" s="65"/>
      <c r="F1985" s="66"/>
      <c r="G1985" s="63"/>
      <c r="H1985" s="67"/>
      <c r="I1985" s="68"/>
      <c r="J1985" s="68"/>
      <c r="K1985" s="32"/>
      <c r="L1985" s="75">
        <v>1985</v>
      </c>
      <c r="M1985" s="75"/>
      <c r="N1985" s="70"/>
      <c r="O1985" s="77" t="s">
        <v>179</v>
      </c>
      <c r="P1985" s="79">
        <v>44959.49659722222</v>
      </c>
      <c r="Q1985" s="77" t="s">
        <v>3224</v>
      </c>
      <c r="R1985" s="77">
        <v>0</v>
      </c>
      <c r="S1985" s="77">
        <v>2</v>
      </c>
      <c r="T1985" s="77">
        <v>0</v>
      </c>
      <c r="U1985" s="77">
        <v>0</v>
      </c>
      <c r="V1985" s="77">
        <v>104</v>
      </c>
      <c r="W1985" s="82" t="s">
        <v>6135</v>
      </c>
      <c r="X1985" s="80" t="str">
        <f>HYPERLINK("https://www.instagram.com/reel/CoHkC6Wsftj/")</f>
        <v>https://www.instagram.com/reel/CoHkC6Wsftj/</v>
      </c>
      <c r="Y1985" s="77" t="s">
        <v>7250</v>
      </c>
      <c r="Z1985" s="77"/>
      <c r="AA1985" s="77"/>
      <c r="AB1985" s="77"/>
      <c r="AC1985" s="82" t="s">
        <v>10162</v>
      </c>
      <c r="AD1985" s="77" t="s">
        <v>10184</v>
      </c>
      <c r="AE1985" s="80" t="str">
        <f>HYPERLINK("https://twitter.com/luisfcs/status/1621114988407537664")</f>
        <v>https://twitter.com/luisfcs/status/1621114988407537664</v>
      </c>
      <c r="AF1985" s="79">
        <v>44959.49659722222</v>
      </c>
      <c r="AG1985" s="85">
        <v>44959</v>
      </c>
      <c r="AH1985" s="82" t="s">
        <v>12099</v>
      </c>
      <c r="AI1985" s="77" t="b">
        <v>0</v>
      </c>
      <c r="AJ1985" s="77"/>
      <c r="AK1985" s="77"/>
      <c r="AL1985" s="77"/>
      <c r="AM1985" s="77"/>
      <c r="AN1985" s="77"/>
      <c r="AO1985" s="77"/>
      <c r="AP1985" s="77"/>
      <c r="AQ1985" s="77"/>
      <c r="AR1985" s="77"/>
      <c r="AS1985" s="77"/>
      <c r="AT1985" s="77"/>
      <c r="AU1985" s="77"/>
      <c r="AV1985" s="80" t="str">
        <f>HYPERLINK("https://pbs.twimg.com/profile_images/1514737154748035075/-ragYi-r_normal.jpg")</f>
        <v>https://pbs.twimg.com/profile_images/1514737154748035075/-ragYi-r_normal.jpg</v>
      </c>
      <c r="AW1985" s="82" t="s">
        <v>18753</v>
      </c>
      <c r="AX1985" s="82" t="s">
        <v>18753</v>
      </c>
      <c r="AY1985" s="77"/>
      <c r="AZ1985" s="82" t="s">
        <v>20971</v>
      </c>
      <c r="BA1985" s="82" t="s">
        <v>20971</v>
      </c>
      <c r="BB1985" s="82" t="s">
        <v>20971</v>
      </c>
      <c r="BC1985" s="82" t="s">
        <v>18753</v>
      </c>
      <c r="BD1985" s="77">
        <v>42621707</v>
      </c>
      <c r="BE1985" s="77"/>
      <c r="BF1985" s="77"/>
      <c r="BG1985" s="77"/>
      <c r="BH1985" s="77"/>
      <c r="BI1985" s="77"/>
    </row>
    <row r="1986" spans="1:61" x14ac:dyDescent="0.25">
      <c r="A1986" s="62" t="s">
        <v>711</v>
      </c>
      <c r="B1986" s="62" t="s">
        <v>711</v>
      </c>
      <c r="C1986" s="63"/>
      <c r="D1986" s="64"/>
      <c r="E1986" s="65"/>
      <c r="F1986" s="66"/>
      <c r="G1986" s="63"/>
      <c r="H1986" s="67"/>
      <c r="I1986" s="68"/>
      <c r="J1986" s="68"/>
      <c r="K1986" s="32"/>
      <c r="L1986" s="75">
        <v>1986</v>
      </c>
      <c r="M1986" s="75"/>
      <c r="N1986" s="70"/>
      <c r="O1986" s="77" t="s">
        <v>1284</v>
      </c>
      <c r="P1986" s="79">
        <v>45021.053310185183</v>
      </c>
      <c r="Q1986" s="77" t="s">
        <v>3225</v>
      </c>
      <c r="R1986" s="77">
        <v>1</v>
      </c>
      <c r="S1986" s="77">
        <v>2</v>
      </c>
      <c r="T1986" s="77">
        <v>0</v>
      </c>
      <c r="U1986" s="77">
        <v>0</v>
      </c>
      <c r="V1986" s="77">
        <v>60</v>
      </c>
      <c r="W1986" s="82" t="s">
        <v>6136</v>
      </c>
      <c r="X1986" s="80" t="str">
        <f>HYPERLINK("https://fx.igonovel.cc/share/invite116?st=app_share&amp;language=13&amp;r_id=9635119")</f>
        <v>https://fx.igonovel.cc/share/invite116?st=app_share&amp;language=13&amp;r_id=9635119</v>
      </c>
      <c r="Y1986" s="77" t="s">
        <v>7381</v>
      </c>
      <c r="Z1986" s="77"/>
      <c r="AA1986" s="77"/>
      <c r="AB1986" s="77"/>
      <c r="AC1986" s="82" t="s">
        <v>10146</v>
      </c>
      <c r="AD1986" s="77" t="s">
        <v>10184</v>
      </c>
      <c r="AE1986" s="80" t="str">
        <f>HYPERLINK("https://twitter.com/vagasdesalvador/status/1643422394176925696")</f>
        <v>https://twitter.com/vagasdesalvador/status/1643422394176925696</v>
      </c>
      <c r="AF1986" s="79">
        <v>45021.053310185183</v>
      </c>
      <c r="AG1986" s="85">
        <v>45021</v>
      </c>
      <c r="AH1986" s="82" t="s">
        <v>12100</v>
      </c>
      <c r="AI1986" s="77" t="b">
        <v>0</v>
      </c>
      <c r="AJ1986" s="77"/>
      <c r="AK1986" s="77"/>
      <c r="AL1986" s="77"/>
      <c r="AM1986" s="77"/>
      <c r="AN1986" s="77"/>
      <c r="AO1986" s="77"/>
      <c r="AP1986" s="77"/>
      <c r="AQ1986" s="77"/>
      <c r="AR1986" s="77"/>
      <c r="AS1986" s="77"/>
      <c r="AT1986" s="77"/>
      <c r="AU1986" s="77"/>
      <c r="AV1986" s="80" t="str">
        <f>HYPERLINK("https://pbs.twimg.com/profile_images/1570481566039539715/leEExsEx_normal.jpg")</f>
        <v>https://pbs.twimg.com/profile_images/1570481566039539715/leEExsEx_normal.jpg</v>
      </c>
      <c r="AW1986" s="82" t="s">
        <v>18754</v>
      </c>
      <c r="AX1986" s="82" t="s">
        <v>20856</v>
      </c>
      <c r="AY1986" s="82" t="s">
        <v>20939</v>
      </c>
      <c r="AZ1986" s="82" t="s">
        <v>20990</v>
      </c>
      <c r="BA1986" s="82" t="s">
        <v>20971</v>
      </c>
      <c r="BB1986" s="82" t="s">
        <v>20971</v>
      </c>
      <c r="BC1986" s="82" t="s">
        <v>20990</v>
      </c>
      <c r="BD1986" s="82" t="s">
        <v>20939</v>
      </c>
      <c r="BE1986" s="77"/>
      <c r="BF1986" s="77"/>
      <c r="BG1986" s="77"/>
      <c r="BH1986" s="77"/>
      <c r="BI1986" s="77"/>
    </row>
    <row r="1987" spans="1:61" x14ac:dyDescent="0.25">
      <c r="A1987" s="62" t="s">
        <v>712</v>
      </c>
      <c r="B1987" s="62" t="s">
        <v>712</v>
      </c>
      <c r="C1987" s="63"/>
      <c r="D1987" s="64"/>
      <c r="E1987" s="65"/>
      <c r="F1987" s="66"/>
      <c r="G1987" s="63"/>
      <c r="H1987" s="67"/>
      <c r="I1987" s="68"/>
      <c r="J1987" s="68"/>
      <c r="K1987" s="32"/>
      <c r="L1987" s="75">
        <v>1987</v>
      </c>
      <c r="M1987" s="75"/>
      <c r="N1987" s="70"/>
      <c r="O1987" s="77" t="s">
        <v>179</v>
      </c>
      <c r="P1987" s="79">
        <v>45003.441805555558</v>
      </c>
      <c r="Q1987" s="77" t="s">
        <v>3226</v>
      </c>
      <c r="R1987" s="77">
        <v>0</v>
      </c>
      <c r="S1987" s="77">
        <v>0</v>
      </c>
      <c r="T1987" s="77">
        <v>0</v>
      </c>
      <c r="U1987" s="77">
        <v>0</v>
      </c>
      <c r="V1987" s="77">
        <v>44</v>
      </c>
      <c r="W1987" s="82" t="s">
        <v>6137</v>
      </c>
      <c r="X1987" s="80" t="str">
        <f>HYPERLINK("http://www.trilhacerta.com")</f>
        <v>http://www.trilhacerta.com</v>
      </c>
      <c r="Y1987" s="77" t="s">
        <v>7382</v>
      </c>
      <c r="Z1987" s="77"/>
      <c r="AA1987" s="77" t="s">
        <v>8534</v>
      </c>
      <c r="AB1987" s="77" t="s">
        <v>10129</v>
      </c>
      <c r="AC1987" s="82" t="s">
        <v>10145</v>
      </c>
      <c r="AD1987" s="77" t="s">
        <v>10184</v>
      </c>
      <c r="AE1987" s="80" t="str">
        <f>HYPERLINK("https://twitter.com/santoscancio/status/1637040199145234432")</f>
        <v>https://twitter.com/santoscancio/status/1637040199145234432</v>
      </c>
      <c r="AF1987" s="79">
        <v>45003.441805555558</v>
      </c>
      <c r="AG1987" s="85">
        <v>45003</v>
      </c>
      <c r="AH1987" s="82" t="s">
        <v>12101</v>
      </c>
      <c r="AI1987" s="77" t="b">
        <v>0</v>
      </c>
      <c r="AJ1987" s="77"/>
      <c r="AK1987" s="77"/>
      <c r="AL1987" s="77"/>
      <c r="AM1987" s="77"/>
      <c r="AN1987" s="77"/>
      <c r="AO1987" s="77"/>
      <c r="AP1987" s="77"/>
      <c r="AQ1987" s="77" t="s">
        <v>15178</v>
      </c>
      <c r="AR1987" s="77">
        <v>9141</v>
      </c>
      <c r="AS1987" s="77"/>
      <c r="AT1987" s="77"/>
      <c r="AU1987" s="77"/>
      <c r="AV1987" s="80" t="str">
        <f>HYPERLINK("https://pbs.twimg.com/ext_tw_video_thumb/1637040153632858113/pu/img/9hZ5zSb-yBOb8BIk.jpg")</f>
        <v>https://pbs.twimg.com/ext_tw_video_thumb/1637040153632858113/pu/img/9hZ5zSb-yBOb8BIk.jpg</v>
      </c>
      <c r="AW1987" s="82" t="s">
        <v>18755</v>
      </c>
      <c r="AX1987" s="82" t="s">
        <v>18755</v>
      </c>
      <c r="AY1987" s="77"/>
      <c r="AZ1987" s="82" t="s">
        <v>20971</v>
      </c>
      <c r="BA1987" s="82" t="s">
        <v>20971</v>
      </c>
      <c r="BB1987" s="82" t="s">
        <v>20971</v>
      </c>
      <c r="BC1987" s="82" t="s">
        <v>18755</v>
      </c>
      <c r="BD1987" s="82" t="s">
        <v>21376</v>
      </c>
      <c r="BE1987" s="77"/>
      <c r="BF1987" s="77"/>
      <c r="BG1987" s="77"/>
      <c r="BH1987" s="77"/>
      <c r="BI1987" s="77"/>
    </row>
    <row r="1988" spans="1:61" x14ac:dyDescent="0.25">
      <c r="A1988" s="62" t="s">
        <v>713</v>
      </c>
      <c r="B1988" s="62" t="s">
        <v>713</v>
      </c>
      <c r="C1988" s="63"/>
      <c r="D1988" s="64"/>
      <c r="E1988" s="65"/>
      <c r="F1988" s="66"/>
      <c r="G1988" s="63"/>
      <c r="H1988" s="67"/>
      <c r="I1988" s="68"/>
      <c r="J1988" s="68"/>
      <c r="K1988" s="32"/>
      <c r="L1988" s="75">
        <v>1988</v>
      </c>
      <c r="M1988" s="75"/>
      <c r="N1988" s="70"/>
      <c r="O1988" s="77" t="s">
        <v>179</v>
      </c>
      <c r="P1988" s="79">
        <v>45035.958356481482</v>
      </c>
      <c r="Q1988" s="77" t="s">
        <v>3227</v>
      </c>
      <c r="R1988" s="77">
        <v>0</v>
      </c>
      <c r="S1988" s="77">
        <v>0</v>
      </c>
      <c r="T1988" s="77">
        <v>0</v>
      </c>
      <c r="U1988" s="77">
        <v>0</v>
      </c>
      <c r="V1988" s="77">
        <v>49</v>
      </c>
      <c r="W1988" s="82" t="s">
        <v>6138</v>
      </c>
      <c r="X1988" s="80" t="str">
        <f>HYPERLINK("https://youtu.be/orr_mV3DCYE")</f>
        <v>https://youtu.be/orr_mV3DCYE</v>
      </c>
      <c r="Y1988" s="77" t="s">
        <v>7248</v>
      </c>
      <c r="Z1988" s="77"/>
      <c r="AA1988" s="77" t="s">
        <v>8535</v>
      </c>
      <c r="AB1988" s="77" t="s">
        <v>10129</v>
      </c>
      <c r="AC1988" s="82" t="s">
        <v>10146</v>
      </c>
      <c r="AD1988" s="77" t="s">
        <v>10184</v>
      </c>
      <c r="AE1988" s="80" t="str">
        <f>HYPERLINK("https://twitter.com/alx2002/status/1648823801063555072")</f>
        <v>https://twitter.com/alx2002/status/1648823801063555072</v>
      </c>
      <c r="AF1988" s="79">
        <v>45035.958356481482</v>
      </c>
      <c r="AG1988" s="85">
        <v>45035</v>
      </c>
      <c r="AH1988" s="82" t="s">
        <v>12102</v>
      </c>
      <c r="AI1988" s="77" t="b">
        <v>1</v>
      </c>
      <c r="AJ1988" s="77"/>
      <c r="AK1988" s="77"/>
      <c r="AL1988" s="77"/>
      <c r="AM1988" s="77"/>
      <c r="AN1988" s="77"/>
      <c r="AO1988" s="77"/>
      <c r="AP1988" s="77"/>
      <c r="AQ1988" s="77" t="s">
        <v>15179</v>
      </c>
      <c r="AR1988" s="77">
        <v>43510</v>
      </c>
      <c r="AS1988" s="77"/>
      <c r="AT1988" s="77"/>
      <c r="AU1988" s="77"/>
      <c r="AV1988" s="80" t="str">
        <f>HYPERLINK("https://pbs.twimg.com/ext_tw_video_thumb/1646960755328143364/pu/img/UM1tgwj43EGtlRng.jpg")</f>
        <v>https://pbs.twimg.com/ext_tw_video_thumb/1646960755328143364/pu/img/UM1tgwj43EGtlRng.jpg</v>
      </c>
      <c r="AW1988" s="82" t="s">
        <v>18756</v>
      </c>
      <c r="AX1988" s="82" t="s">
        <v>18756</v>
      </c>
      <c r="AY1988" s="77"/>
      <c r="AZ1988" s="82" t="s">
        <v>20971</v>
      </c>
      <c r="BA1988" s="82" t="s">
        <v>20971</v>
      </c>
      <c r="BB1988" s="82" t="s">
        <v>20971</v>
      </c>
      <c r="BC1988" s="82" t="s">
        <v>18756</v>
      </c>
      <c r="BD1988" s="77">
        <v>163652413</v>
      </c>
      <c r="BE1988" s="77"/>
      <c r="BF1988" s="77"/>
      <c r="BG1988" s="77"/>
      <c r="BH1988" s="77"/>
      <c r="BI1988" s="77"/>
    </row>
    <row r="1989" spans="1:61" x14ac:dyDescent="0.25">
      <c r="A1989" s="62" t="s">
        <v>713</v>
      </c>
      <c r="B1989" s="62" t="s">
        <v>713</v>
      </c>
      <c r="C1989" s="63"/>
      <c r="D1989" s="64"/>
      <c r="E1989" s="65"/>
      <c r="F1989" s="66"/>
      <c r="G1989" s="63"/>
      <c r="H1989" s="67"/>
      <c r="I1989" s="68"/>
      <c r="J1989" s="68"/>
      <c r="K1989" s="32"/>
      <c r="L1989" s="75">
        <v>1989</v>
      </c>
      <c r="M1989" s="75"/>
      <c r="N1989" s="70"/>
      <c r="O1989" s="77" t="s">
        <v>179</v>
      </c>
      <c r="P1989" s="79">
        <v>45032.958333333336</v>
      </c>
      <c r="Q1989" s="77" t="s">
        <v>3228</v>
      </c>
      <c r="R1989" s="77">
        <v>0</v>
      </c>
      <c r="S1989" s="77">
        <v>0</v>
      </c>
      <c r="T1989" s="77">
        <v>0</v>
      </c>
      <c r="U1989" s="77">
        <v>0</v>
      </c>
      <c r="V1989" s="77">
        <v>44</v>
      </c>
      <c r="W1989" s="82" t="s">
        <v>6138</v>
      </c>
      <c r="X1989" s="80" t="str">
        <f>HYPERLINK("https://youtu.be/CYFI0h4h17E")</f>
        <v>https://youtu.be/CYFI0h4h17E</v>
      </c>
      <c r="Y1989" s="77" t="s">
        <v>7248</v>
      </c>
      <c r="Z1989" s="77"/>
      <c r="AA1989" s="77" t="s">
        <v>8536</v>
      </c>
      <c r="AB1989" s="77" t="s">
        <v>10129</v>
      </c>
      <c r="AC1989" s="82" t="s">
        <v>10146</v>
      </c>
      <c r="AD1989" s="77" t="s">
        <v>10184</v>
      </c>
      <c r="AE1989" s="80" t="str">
        <f>HYPERLINK("https://twitter.com/alx2002/status/1647736630068023296")</f>
        <v>https://twitter.com/alx2002/status/1647736630068023296</v>
      </c>
      <c r="AF1989" s="79">
        <v>45032.958333333336</v>
      </c>
      <c r="AG1989" s="85">
        <v>45032</v>
      </c>
      <c r="AH1989" s="82" t="s">
        <v>12103</v>
      </c>
      <c r="AI1989" s="77" t="b">
        <v>1</v>
      </c>
      <c r="AJ1989" s="77"/>
      <c r="AK1989" s="77"/>
      <c r="AL1989" s="77"/>
      <c r="AM1989" s="77"/>
      <c r="AN1989" s="77"/>
      <c r="AO1989" s="77"/>
      <c r="AP1989" s="77"/>
      <c r="AQ1989" s="77" t="s">
        <v>15180</v>
      </c>
      <c r="AR1989" s="77">
        <v>44010</v>
      </c>
      <c r="AS1989" s="77"/>
      <c r="AT1989" s="77"/>
      <c r="AU1989" s="77"/>
      <c r="AV1989" s="80" t="str">
        <f>HYPERLINK("https://pbs.twimg.com/ext_tw_video_thumb/1646840311723835393/pu/img/_6pYhAZe6EqdtFVi.jpg")</f>
        <v>https://pbs.twimg.com/ext_tw_video_thumb/1646840311723835393/pu/img/_6pYhAZe6EqdtFVi.jpg</v>
      </c>
      <c r="AW1989" s="82" t="s">
        <v>18757</v>
      </c>
      <c r="AX1989" s="82" t="s">
        <v>18757</v>
      </c>
      <c r="AY1989" s="77"/>
      <c r="AZ1989" s="82" t="s">
        <v>20971</v>
      </c>
      <c r="BA1989" s="82" t="s">
        <v>20971</v>
      </c>
      <c r="BB1989" s="82" t="s">
        <v>20971</v>
      </c>
      <c r="BC1989" s="82" t="s">
        <v>18757</v>
      </c>
      <c r="BD1989" s="77">
        <v>163652413</v>
      </c>
      <c r="BE1989" s="77"/>
      <c r="BF1989" s="77"/>
      <c r="BG1989" s="77"/>
      <c r="BH1989" s="77"/>
      <c r="BI1989" s="77"/>
    </row>
    <row r="1990" spans="1:61" x14ac:dyDescent="0.25">
      <c r="A1990" s="62" t="s">
        <v>713</v>
      </c>
      <c r="B1990" s="62" t="s">
        <v>713</v>
      </c>
      <c r="C1990" s="63"/>
      <c r="D1990" s="64"/>
      <c r="E1990" s="65"/>
      <c r="F1990" s="66"/>
      <c r="G1990" s="63"/>
      <c r="H1990" s="67"/>
      <c r="I1990" s="68"/>
      <c r="J1990" s="68"/>
      <c r="K1990" s="32"/>
      <c r="L1990" s="75">
        <v>1990</v>
      </c>
      <c r="M1990" s="75"/>
      <c r="N1990" s="70"/>
      <c r="O1990" s="77" t="s">
        <v>179</v>
      </c>
      <c r="P1990" s="79">
        <v>45031.958344907405</v>
      </c>
      <c r="Q1990" s="77" t="s">
        <v>3229</v>
      </c>
      <c r="R1990" s="77">
        <v>0</v>
      </c>
      <c r="S1990" s="77">
        <v>0</v>
      </c>
      <c r="T1990" s="77">
        <v>0</v>
      </c>
      <c r="U1990" s="77">
        <v>0</v>
      </c>
      <c r="V1990" s="77">
        <v>77</v>
      </c>
      <c r="W1990" s="82" t="s">
        <v>6139</v>
      </c>
      <c r="X1990" s="80" t="str">
        <f>HYPERLINK("https://youtu.be/rvzpAyT-W-M")</f>
        <v>https://youtu.be/rvzpAyT-W-M</v>
      </c>
      <c r="Y1990" s="77" t="s">
        <v>7248</v>
      </c>
      <c r="Z1990" s="77"/>
      <c r="AA1990" s="77" t="s">
        <v>8537</v>
      </c>
      <c r="AB1990" s="77" t="s">
        <v>10129</v>
      </c>
      <c r="AC1990" s="82" t="s">
        <v>10146</v>
      </c>
      <c r="AD1990" s="77" t="s">
        <v>10184</v>
      </c>
      <c r="AE1990" s="80" t="str">
        <f>HYPERLINK("https://twitter.com/alx2002/status/1647374247172653056")</f>
        <v>https://twitter.com/alx2002/status/1647374247172653056</v>
      </c>
      <c r="AF1990" s="79">
        <v>45031.958344907405</v>
      </c>
      <c r="AG1990" s="85">
        <v>45031</v>
      </c>
      <c r="AH1990" s="82" t="s">
        <v>10330</v>
      </c>
      <c r="AI1990" s="77" t="b">
        <v>1</v>
      </c>
      <c r="AJ1990" s="77"/>
      <c r="AK1990" s="77"/>
      <c r="AL1990" s="77"/>
      <c r="AM1990" s="77"/>
      <c r="AN1990" s="77"/>
      <c r="AO1990" s="77"/>
      <c r="AP1990" s="77"/>
      <c r="AQ1990" s="77" t="s">
        <v>15181</v>
      </c>
      <c r="AR1990" s="77">
        <v>49215</v>
      </c>
      <c r="AS1990" s="77"/>
      <c r="AT1990" s="77"/>
      <c r="AU1990" s="77"/>
      <c r="AV1990" s="80" t="str">
        <f>HYPERLINK("https://pbs.twimg.com/ext_tw_video_thumb/1646572834955689989/pu/img/CewJNK5rBXCjXSoa.jpg")</f>
        <v>https://pbs.twimg.com/ext_tw_video_thumb/1646572834955689989/pu/img/CewJNK5rBXCjXSoa.jpg</v>
      </c>
      <c r="AW1990" s="82" t="s">
        <v>18758</v>
      </c>
      <c r="AX1990" s="82" t="s">
        <v>18758</v>
      </c>
      <c r="AY1990" s="77"/>
      <c r="AZ1990" s="82" t="s">
        <v>20971</v>
      </c>
      <c r="BA1990" s="82" t="s">
        <v>20971</v>
      </c>
      <c r="BB1990" s="82" t="s">
        <v>20971</v>
      </c>
      <c r="BC1990" s="82" t="s">
        <v>18758</v>
      </c>
      <c r="BD1990" s="77">
        <v>163652413</v>
      </c>
      <c r="BE1990" s="77"/>
      <c r="BF1990" s="77"/>
      <c r="BG1990" s="77"/>
      <c r="BH1990" s="77"/>
      <c r="BI1990" s="77"/>
    </row>
    <row r="1991" spans="1:61" x14ac:dyDescent="0.25">
      <c r="A1991" s="62" t="s">
        <v>714</v>
      </c>
      <c r="B1991" s="62" t="s">
        <v>714</v>
      </c>
      <c r="C1991" s="63"/>
      <c r="D1991" s="64"/>
      <c r="E1991" s="65"/>
      <c r="F1991" s="66"/>
      <c r="G1991" s="63"/>
      <c r="H1991" s="67"/>
      <c r="I1991" s="68"/>
      <c r="J1991" s="68"/>
      <c r="K1991" s="32"/>
      <c r="L1991" s="75">
        <v>1991</v>
      </c>
      <c r="M1991" s="75"/>
      <c r="N1991" s="70"/>
      <c r="O1991" s="77" t="s">
        <v>1284</v>
      </c>
      <c r="P1991" s="79">
        <v>45084.627303240741</v>
      </c>
      <c r="Q1991" s="77" t="s">
        <v>3230</v>
      </c>
      <c r="R1991" s="77">
        <v>0</v>
      </c>
      <c r="S1991" s="77">
        <v>0</v>
      </c>
      <c r="T1991" s="77">
        <v>0</v>
      </c>
      <c r="U1991" s="77">
        <v>0</v>
      </c>
      <c r="V1991" s="77">
        <v>66</v>
      </c>
      <c r="W1991" s="82" t="s">
        <v>6140</v>
      </c>
      <c r="X1991" s="77"/>
      <c r="Y1991" s="77"/>
      <c r="Z1991" s="77"/>
      <c r="AA1991" s="77"/>
      <c r="AB1991" s="77"/>
      <c r="AC1991" s="82" t="s">
        <v>10156</v>
      </c>
      <c r="AD1991" s="77" t="s">
        <v>10184</v>
      </c>
      <c r="AE1991" s="80" t="str">
        <f>HYPERLINK("https://twitter.com/showmetech/status/1666460838364864513")</f>
        <v>https://twitter.com/showmetech/status/1666460838364864513</v>
      </c>
      <c r="AF1991" s="79">
        <v>45084.627303240741</v>
      </c>
      <c r="AG1991" s="85">
        <v>45084</v>
      </c>
      <c r="AH1991" s="82" t="s">
        <v>12104</v>
      </c>
      <c r="AI1991" s="77"/>
      <c r="AJ1991" s="77"/>
      <c r="AK1991" s="77"/>
      <c r="AL1991" s="77"/>
      <c r="AM1991" s="77"/>
      <c r="AN1991" s="77"/>
      <c r="AO1991" s="77"/>
      <c r="AP1991" s="77"/>
      <c r="AQ1991" s="77"/>
      <c r="AR1991" s="77"/>
      <c r="AS1991" s="77"/>
      <c r="AT1991" s="77"/>
      <c r="AU1991" s="77"/>
      <c r="AV1991" s="80" t="str">
        <f>HYPERLINK("https://pbs.twimg.com/profile_images/1578159015749910528/_ckRZtza_normal.jpg")</f>
        <v>https://pbs.twimg.com/profile_images/1578159015749910528/_ckRZtza_normal.jpg</v>
      </c>
      <c r="AW1991" s="82" t="s">
        <v>18759</v>
      </c>
      <c r="AX1991" s="82" t="s">
        <v>20857</v>
      </c>
      <c r="AY1991" s="82" t="s">
        <v>20940</v>
      </c>
      <c r="AZ1991" s="82" t="s">
        <v>20991</v>
      </c>
      <c r="BA1991" s="82" t="s">
        <v>20971</v>
      </c>
      <c r="BB1991" s="82" t="s">
        <v>20971</v>
      </c>
      <c r="BC1991" s="82" t="s">
        <v>20991</v>
      </c>
      <c r="BD1991" s="77">
        <v>75838812</v>
      </c>
      <c r="BE1991" s="77"/>
      <c r="BF1991" s="77"/>
      <c r="BG1991" s="77"/>
      <c r="BH1991" s="77"/>
      <c r="BI1991" s="77"/>
    </row>
    <row r="1992" spans="1:61" x14ac:dyDescent="0.25">
      <c r="A1992" s="62" t="s">
        <v>715</v>
      </c>
      <c r="B1992" s="62" t="s">
        <v>715</v>
      </c>
      <c r="C1992" s="63"/>
      <c r="D1992" s="64"/>
      <c r="E1992" s="65"/>
      <c r="F1992" s="66"/>
      <c r="G1992" s="63"/>
      <c r="H1992" s="67"/>
      <c r="I1992" s="68"/>
      <c r="J1992" s="68"/>
      <c r="K1992" s="32"/>
      <c r="L1992" s="75">
        <v>1992</v>
      </c>
      <c r="M1992" s="75"/>
      <c r="N1992" s="70"/>
      <c r="O1992" s="77" t="s">
        <v>179</v>
      </c>
      <c r="P1992" s="79">
        <v>44971.66578703704</v>
      </c>
      <c r="Q1992" s="77" t="s">
        <v>3231</v>
      </c>
      <c r="R1992" s="77">
        <v>0</v>
      </c>
      <c r="S1992" s="77">
        <v>0</v>
      </c>
      <c r="T1992" s="77">
        <v>0</v>
      </c>
      <c r="U1992" s="77">
        <v>0</v>
      </c>
      <c r="V1992" s="77">
        <v>59</v>
      </c>
      <c r="W1992" s="82" t="s">
        <v>6141</v>
      </c>
      <c r="X1992" s="77"/>
      <c r="Y1992" s="77"/>
      <c r="Z1992" s="77"/>
      <c r="AA1992" s="77" t="s">
        <v>8538</v>
      </c>
      <c r="AB1992" s="77" t="s">
        <v>10130</v>
      </c>
      <c r="AC1992" s="82" t="s">
        <v>10146</v>
      </c>
      <c r="AD1992" s="77" t="s">
        <v>10184</v>
      </c>
      <c r="AE1992" s="80" t="str">
        <f>HYPERLINK("https://twitter.com/qzapbr/status/1625524952249016321")</f>
        <v>https://twitter.com/qzapbr/status/1625524952249016321</v>
      </c>
      <c r="AF1992" s="79">
        <v>44971.66578703704</v>
      </c>
      <c r="AG1992" s="85">
        <v>44971</v>
      </c>
      <c r="AH1992" s="82" t="s">
        <v>12105</v>
      </c>
      <c r="AI1992" s="77" t="b">
        <v>0</v>
      </c>
      <c r="AJ1992" s="77"/>
      <c r="AK1992" s="77"/>
      <c r="AL1992" s="77"/>
      <c r="AM1992" s="77"/>
      <c r="AN1992" s="77"/>
      <c r="AO1992" s="77"/>
      <c r="AP1992" s="77"/>
      <c r="AQ1992" s="77" t="s">
        <v>15182</v>
      </c>
      <c r="AR1992" s="77"/>
      <c r="AS1992" s="77"/>
      <c r="AT1992" s="77"/>
      <c r="AU1992" s="77"/>
      <c r="AV1992" s="80" t="str">
        <f>HYPERLINK("https://pbs.twimg.com/media/Fo8GRpQWcAIew3d.jpg")</f>
        <v>https://pbs.twimg.com/media/Fo8GRpQWcAIew3d.jpg</v>
      </c>
      <c r="AW1992" s="82" t="s">
        <v>18760</v>
      </c>
      <c r="AX1992" s="82" t="s">
        <v>18760</v>
      </c>
      <c r="AY1992" s="77"/>
      <c r="AZ1992" s="82" t="s">
        <v>20971</v>
      </c>
      <c r="BA1992" s="82" t="s">
        <v>20971</v>
      </c>
      <c r="BB1992" s="82" t="s">
        <v>20971</v>
      </c>
      <c r="BC1992" s="82" t="s">
        <v>18760</v>
      </c>
      <c r="BD1992" s="82" t="s">
        <v>21377</v>
      </c>
      <c r="BE1992" s="77"/>
      <c r="BF1992" s="77"/>
      <c r="BG1992" s="77"/>
      <c r="BH1992" s="77"/>
      <c r="BI1992" s="77"/>
    </row>
    <row r="1993" spans="1:61" x14ac:dyDescent="0.25">
      <c r="A1993" s="62" t="s">
        <v>715</v>
      </c>
      <c r="B1993" s="62" t="s">
        <v>715</v>
      </c>
      <c r="C1993" s="63"/>
      <c r="D1993" s="64"/>
      <c r="E1993" s="65"/>
      <c r="F1993" s="66"/>
      <c r="G1993" s="63"/>
      <c r="H1993" s="67"/>
      <c r="I1993" s="68"/>
      <c r="J1993" s="68"/>
      <c r="K1993" s="32"/>
      <c r="L1993" s="75">
        <v>1993</v>
      </c>
      <c r="M1993" s="75"/>
      <c r="N1993" s="70"/>
      <c r="O1993" s="77" t="s">
        <v>179</v>
      </c>
      <c r="P1993" s="79">
        <v>44971.598576388889</v>
      </c>
      <c r="Q1993" s="77" t="s">
        <v>3232</v>
      </c>
      <c r="R1993" s="77">
        <v>0</v>
      </c>
      <c r="S1993" s="77">
        <v>0</v>
      </c>
      <c r="T1993" s="77">
        <v>0</v>
      </c>
      <c r="U1993" s="77">
        <v>0</v>
      </c>
      <c r="V1993" s="77">
        <v>37</v>
      </c>
      <c r="W1993" s="82" t="s">
        <v>6142</v>
      </c>
      <c r="X1993" s="77"/>
      <c r="Y1993" s="77"/>
      <c r="Z1993" s="77"/>
      <c r="AA1993" s="77" t="s">
        <v>8539</v>
      </c>
      <c r="AB1993" s="77" t="s">
        <v>10130</v>
      </c>
      <c r="AC1993" s="82" t="s">
        <v>10146</v>
      </c>
      <c r="AD1993" s="77" t="s">
        <v>10184</v>
      </c>
      <c r="AE1993" s="80" t="str">
        <f>HYPERLINK("https://twitter.com/qzapbr/status/1625500599705034752")</f>
        <v>https://twitter.com/qzapbr/status/1625500599705034752</v>
      </c>
      <c r="AF1993" s="79">
        <v>44971.598576388889</v>
      </c>
      <c r="AG1993" s="85">
        <v>44971</v>
      </c>
      <c r="AH1993" s="82" t="s">
        <v>12106</v>
      </c>
      <c r="AI1993" s="77" t="b">
        <v>0</v>
      </c>
      <c r="AJ1993" s="77"/>
      <c r="AK1993" s="77"/>
      <c r="AL1993" s="77"/>
      <c r="AM1993" s="77"/>
      <c r="AN1993" s="77"/>
      <c r="AO1993" s="77"/>
      <c r="AP1993" s="77"/>
      <c r="AQ1993" s="77" t="s">
        <v>15183</v>
      </c>
      <c r="AR1993" s="77"/>
      <c r="AS1993" s="77"/>
      <c r="AT1993" s="77"/>
      <c r="AU1993" s="77"/>
      <c r="AV1993" s="80" t="str">
        <f>HYPERLINK("https://pbs.twimg.com/media/Fo7wI9OaUAInwEt.jpg")</f>
        <v>https://pbs.twimg.com/media/Fo7wI9OaUAInwEt.jpg</v>
      </c>
      <c r="AW1993" s="82" t="s">
        <v>18761</v>
      </c>
      <c r="AX1993" s="82" t="s">
        <v>18761</v>
      </c>
      <c r="AY1993" s="77"/>
      <c r="AZ1993" s="82" t="s">
        <v>20971</v>
      </c>
      <c r="BA1993" s="82" t="s">
        <v>20971</v>
      </c>
      <c r="BB1993" s="82" t="s">
        <v>20971</v>
      </c>
      <c r="BC1993" s="82" t="s">
        <v>18761</v>
      </c>
      <c r="BD1993" s="82" t="s">
        <v>21377</v>
      </c>
      <c r="BE1993" s="77"/>
      <c r="BF1993" s="77"/>
      <c r="BG1993" s="77"/>
      <c r="BH1993" s="77"/>
      <c r="BI1993" s="77"/>
    </row>
    <row r="1994" spans="1:61" x14ac:dyDescent="0.25">
      <c r="A1994" s="62" t="s">
        <v>715</v>
      </c>
      <c r="B1994" s="62" t="s">
        <v>715</v>
      </c>
      <c r="C1994" s="63"/>
      <c r="D1994" s="64"/>
      <c r="E1994" s="65"/>
      <c r="F1994" s="66"/>
      <c r="G1994" s="63"/>
      <c r="H1994" s="67"/>
      <c r="I1994" s="68"/>
      <c r="J1994" s="68"/>
      <c r="K1994" s="32"/>
      <c r="L1994" s="75">
        <v>1994</v>
      </c>
      <c r="M1994" s="75"/>
      <c r="N1994" s="70"/>
      <c r="O1994" s="77" t="s">
        <v>179</v>
      </c>
      <c r="P1994" s="79">
        <v>45010.583657407406</v>
      </c>
      <c r="Q1994" s="77" t="s">
        <v>3233</v>
      </c>
      <c r="R1994" s="77">
        <v>0</v>
      </c>
      <c r="S1994" s="77">
        <v>0</v>
      </c>
      <c r="T1994" s="77">
        <v>0</v>
      </c>
      <c r="U1994" s="77">
        <v>0</v>
      </c>
      <c r="V1994" s="77">
        <v>22</v>
      </c>
      <c r="W1994" s="82" t="s">
        <v>6143</v>
      </c>
      <c r="X1994" s="77"/>
      <c r="Y1994" s="77"/>
      <c r="Z1994" s="77"/>
      <c r="AA1994" s="77" t="s">
        <v>8540</v>
      </c>
      <c r="AB1994" s="77" t="s">
        <v>10130</v>
      </c>
      <c r="AC1994" s="82" t="s">
        <v>10154</v>
      </c>
      <c r="AD1994" s="77" t="s">
        <v>10184</v>
      </c>
      <c r="AE1994" s="80" t="str">
        <f>HYPERLINK("https://twitter.com/qzapbr/status/1639628318034268160")</f>
        <v>https://twitter.com/qzapbr/status/1639628318034268160</v>
      </c>
      <c r="AF1994" s="79">
        <v>45010.583657407406</v>
      </c>
      <c r="AG1994" s="85">
        <v>45010</v>
      </c>
      <c r="AH1994" s="82" t="s">
        <v>12107</v>
      </c>
      <c r="AI1994" s="77" t="b">
        <v>0</v>
      </c>
      <c r="AJ1994" s="77"/>
      <c r="AK1994" s="77"/>
      <c r="AL1994" s="77"/>
      <c r="AM1994" s="77"/>
      <c r="AN1994" s="77"/>
      <c r="AO1994" s="77"/>
      <c r="AP1994" s="77"/>
      <c r="AQ1994" s="77" t="s">
        <v>15184</v>
      </c>
      <c r="AR1994" s="77"/>
      <c r="AS1994" s="77"/>
      <c r="AT1994" s="77"/>
      <c r="AU1994" s="77"/>
      <c r="AV1994" s="80" t="str">
        <f>HYPERLINK("https://pbs.twimg.com/media/FsEhRDWXgAs0nTu.jpg")</f>
        <v>https://pbs.twimg.com/media/FsEhRDWXgAs0nTu.jpg</v>
      </c>
      <c r="AW1994" s="82" t="s">
        <v>18762</v>
      </c>
      <c r="AX1994" s="82" t="s">
        <v>18762</v>
      </c>
      <c r="AY1994" s="77"/>
      <c r="AZ1994" s="82" t="s">
        <v>20971</v>
      </c>
      <c r="BA1994" s="82" t="s">
        <v>20971</v>
      </c>
      <c r="BB1994" s="82" t="s">
        <v>20971</v>
      </c>
      <c r="BC1994" s="82" t="s">
        <v>18762</v>
      </c>
      <c r="BD1994" s="82" t="s">
        <v>21377</v>
      </c>
      <c r="BE1994" s="77"/>
      <c r="BF1994" s="77"/>
      <c r="BG1994" s="77"/>
      <c r="BH1994" s="77"/>
      <c r="BI1994" s="77"/>
    </row>
    <row r="1995" spans="1:61" x14ac:dyDescent="0.25">
      <c r="A1995" s="62" t="s">
        <v>715</v>
      </c>
      <c r="B1995" s="62" t="s">
        <v>715</v>
      </c>
      <c r="C1995" s="63"/>
      <c r="D1995" s="64"/>
      <c r="E1995" s="65"/>
      <c r="F1995" s="66"/>
      <c r="G1995" s="63"/>
      <c r="H1995" s="67"/>
      <c r="I1995" s="68"/>
      <c r="J1995" s="68"/>
      <c r="K1995" s="32"/>
      <c r="L1995" s="75">
        <v>1995</v>
      </c>
      <c r="M1995" s="75"/>
      <c r="N1995" s="70"/>
      <c r="O1995" s="77" t="s">
        <v>179</v>
      </c>
      <c r="P1995" s="79">
        <v>45010.573101851849</v>
      </c>
      <c r="Q1995" s="77" t="s">
        <v>3234</v>
      </c>
      <c r="R1995" s="77">
        <v>0</v>
      </c>
      <c r="S1995" s="77">
        <v>0</v>
      </c>
      <c r="T1995" s="77">
        <v>0</v>
      </c>
      <c r="U1995" s="77">
        <v>0</v>
      </c>
      <c r="V1995" s="77">
        <v>40</v>
      </c>
      <c r="W1995" s="82" t="s">
        <v>6144</v>
      </c>
      <c r="X1995" s="77"/>
      <c r="Y1995" s="77"/>
      <c r="Z1995" s="77"/>
      <c r="AA1995" s="77" t="s">
        <v>8541</v>
      </c>
      <c r="AB1995" s="77" t="s">
        <v>10130</v>
      </c>
      <c r="AC1995" s="82" t="s">
        <v>10154</v>
      </c>
      <c r="AD1995" s="77" t="s">
        <v>10184</v>
      </c>
      <c r="AE1995" s="80" t="str">
        <f>HYPERLINK("https://twitter.com/qzapbr/status/1639624493273612290")</f>
        <v>https://twitter.com/qzapbr/status/1639624493273612290</v>
      </c>
      <c r="AF1995" s="79">
        <v>45010.573101851849</v>
      </c>
      <c r="AG1995" s="85">
        <v>45010</v>
      </c>
      <c r="AH1995" s="82" t="s">
        <v>12108</v>
      </c>
      <c r="AI1995" s="77" t="b">
        <v>0</v>
      </c>
      <c r="AJ1995" s="77"/>
      <c r="AK1995" s="77"/>
      <c r="AL1995" s="77"/>
      <c r="AM1995" s="77"/>
      <c r="AN1995" s="77"/>
      <c r="AO1995" s="77"/>
      <c r="AP1995" s="77"/>
      <c r="AQ1995" s="77" t="s">
        <v>15185</v>
      </c>
      <c r="AR1995" s="77"/>
      <c r="AS1995" s="77"/>
      <c r="AT1995" s="77"/>
      <c r="AU1995" s="77"/>
      <c r="AV1995" s="80" t="str">
        <f>HYPERLINK("https://pbs.twimg.com/media/FsEdycXXoAEuPw2.jpg")</f>
        <v>https://pbs.twimg.com/media/FsEdycXXoAEuPw2.jpg</v>
      </c>
      <c r="AW1995" s="82" t="s">
        <v>18763</v>
      </c>
      <c r="AX1995" s="82" t="s">
        <v>18763</v>
      </c>
      <c r="AY1995" s="77"/>
      <c r="AZ1995" s="82" t="s">
        <v>20971</v>
      </c>
      <c r="BA1995" s="82" t="s">
        <v>20971</v>
      </c>
      <c r="BB1995" s="82" t="s">
        <v>20971</v>
      </c>
      <c r="BC1995" s="82" t="s">
        <v>18763</v>
      </c>
      <c r="BD1995" s="82" t="s">
        <v>21377</v>
      </c>
      <c r="BE1995" s="77"/>
      <c r="BF1995" s="77"/>
      <c r="BG1995" s="77"/>
      <c r="BH1995" s="77"/>
      <c r="BI1995" s="77"/>
    </row>
    <row r="1996" spans="1:61" x14ac:dyDescent="0.25">
      <c r="A1996" s="62" t="s">
        <v>715</v>
      </c>
      <c r="B1996" s="62" t="s">
        <v>715</v>
      </c>
      <c r="C1996" s="63"/>
      <c r="D1996" s="64"/>
      <c r="E1996" s="65"/>
      <c r="F1996" s="66"/>
      <c r="G1996" s="63"/>
      <c r="H1996" s="67"/>
      <c r="I1996" s="68"/>
      <c r="J1996" s="68"/>
      <c r="K1996" s="32"/>
      <c r="L1996" s="75">
        <v>1996</v>
      </c>
      <c r="M1996" s="75"/>
      <c r="N1996" s="70"/>
      <c r="O1996" s="77" t="s">
        <v>179</v>
      </c>
      <c r="P1996" s="79">
        <v>45009.584398148145</v>
      </c>
      <c r="Q1996" s="77" t="s">
        <v>3235</v>
      </c>
      <c r="R1996" s="77">
        <v>0</v>
      </c>
      <c r="S1996" s="77">
        <v>0</v>
      </c>
      <c r="T1996" s="77">
        <v>0</v>
      </c>
      <c r="U1996" s="77">
        <v>0</v>
      </c>
      <c r="V1996" s="77">
        <v>27</v>
      </c>
      <c r="W1996" s="82" t="s">
        <v>6143</v>
      </c>
      <c r="X1996" s="77"/>
      <c r="Y1996" s="77"/>
      <c r="Z1996" s="77"/>
      <c r="AA1996" s="77" t="s">
        <v>8542</v>
      </c>
      <c r="AB1996" s="77" t="s">
        <v>10130</v>
      </c>
      <c r="AC1996" s="82" t="s">
        <v>10154</v>
      </c>
      <c r="AD1996" s="77" t="s">
        <v>10184</v>
      </c>
      <c r="AE1996" s="80" t="str">
        <f>HYPERLINK("https://twitter.com/qzapbr/status/1639266200684228608")</f>
        <v>https://twitter.com/qzapbr/status/1639266200684228608</v>
      </c>
      <c r="AF1996" s="79">
        <v>45009.584398148145</v>
      </c>
      <c r="AG1996" s="85">
        <v>45009</v>
      </c>
      <c r="AH1996" s="82" t="s">
        <v>12109</v>
      </c>
      <c r="AI1996" s="77" t="b">
        <v>0</v>
      </c>
      <c r="AJ1996" s="77"/>
      <c r="AK1996" s="77"/>
      <c r="AL1996" s="77"/>
      <c r="AM1996" s="77"/>
      <c r="AN1996" s="77"/>
      <c r="AO1996" s="77"/>
      <c r="AP1996" s="77"/>
      <c r="AQ1996" s="77" t="s">
        <v>15186</v>
      </c>
      <c r="AR1996" s="77"/>
      <c r="AS1996" s="77"/>
      <c r="AT1996" s="77"/>
      <c r="AU1996" s="77"/>
      <c r="AV1996" s="80" t="str">
        <f>HYPERLINK("https://pbs.twimg.com/media/Fr_X7FPXoAIvxmt.jpg")</f>
        <v>https://pbs.twimg.com/media/Fr_X7FPXoAIvxmt.jpg</v>
      </c>
      <c r="AW1996" s="82" t="s">
        <v>18764</v>
      </c>
      <c r="AX1996" s="82" t="s">
        <v>18764</v>
      </c>
      <c r="AY1996" s="77"/>
      <c r="AZ1996" s="82" t="s">
        <v>20971</v>
      </c>
      <c r="BA1996" s="82" t="s">
        <v>20971</v>
      </c>
      <c r="BB1996" s="82" t="s">
        <v>20971</v>
      </c>
      <c r="BC1996" s="82" t="s">
        <v>18764</v>
      </c>
      <c r="BD1996" s="82" t="s">
        <v>21377</v>
      </c>
      <c r="BE1996" s="77"/>
      <c r="BF1996" s="77"/>
      <c r="BG1996" s="77"/>
      <c r="BH1996" s="77"/>
      <c r="BI1996" s="77"/>
    </row>
    <row r="1997" spans="1:61" x14ac:dyDescent="0.25">
      <c r="A1997" s="62" t="s">
        <v>715</v>
      </c>
      <c r="B1997" s="62" t="s">
        <v>715</v>
      </c>
      <c r="C1997" s="63"/>
      <c r="D1997" s="64"/>
      <c r="E1997" s="65"/>
      <c r="F1997" s="66"/>
      <c r="G1997" s="63"/>
      <c r="H1997" s="67"/>
      <c r="I1997" s="68"/>
      <c r="J1997" s="68"/>
      <c r="K1997" s="32"/>
      <c r="L1997" s="75">
        <v>1997</v>
      </c>
      <c r="M1997" s="75"/>
      <c r="N1997" s="70"/>
      <c r="O1997" s="77" t="s">
        <v>179</v>
      </c>
      <c r="P1997" s="79">
        <v>45009.573148148149</v>
      </c>
      <c r="Q1997" s="77" t="s">
        <v>3236</v>
      </c>
      <c r="R1997" s="77">
        <v>0</v>
      </c>
      <c r="S1997" s="77">
        <v>0</v>
      </c>
      <c r="T1997" s="77">
        <v>0</v>
      </c>
      <c r="U1997" s="77">
        <v>0</v>
      </c>
      <c r="V1997" s="77">
        <v>24</v>
      </c>
      <c r="W1997" s="82" t="s">
        <v>6144</v>
      </c>
      <c r="X1997" s="77"/>
      <c r="Y1997" s="77"/>
      <c r="Z1997" s="77"/>
      <c r="AA1997" s="77" t="s">
        <v>8543</v>
      </c>
      <c r="AB1997" s="77" t="s">
        <v>10130</v>
      </c>
      <c r="AC1997" s="82" t="s">
        <v>10154</v>
      </c>
      <c r="AD1997" s="77" t="s">
        <v>10184</v>
      </c>
      <c r="AE1997" s="80" t="str">
        <f>HYPERLINK("https://twitter.com/qzapbr/status/1639262121488793603")</f>
        <v>https://twitter.com/qzapbr/status/1639262121488793603</v>
      </c>
      <c r="AF1997" s="79">
        <v>45009.573148148149</v>
      </c>
      <c r="AG1997" s="85">
        <v>45009</v>
      </c>
      <c r="AH1997" s="82" t="s">
        <v>12110</v>
      </c>
      <c r="AI1997" s="77" t="b">
        <v>0</v>
      </c>
      <c r="AJ1997" s="77"/>
      <c r="AK1997" s="77"/>
      <c r="AL1997" s="77"/>
      <c r="AM1997" s="77"/>
      <c r="AN1997" s="77"/>
      <c r="AO1997" s="77"/>
      <c r="AP1997" s="77"/>
      <c r="AQ1997" s="77" t="s">
        <v>15187</v>
      </c>
      <c r="AR1997" s="77"/>
      <c r="AS1997" s="77"/>
      <c r="AT1997" s="77"/>
      <c r="AU1997" s="77"/>
      <c r="AV1997" s="80" t="str">
        <f>HYPERLINK("https://pbs.twimg.com/media/Fr_UNo_WAAY_hZl.jpg")</f>
        <v>https://pbs.twimg.com/media/Fr_UNo_WAAY_hZl.jpg</v>
      </c>
      <c r="AW1997" s="82" t="s">
        <v>18765</v>
      </c>
      <c r="AX1997" s="82" t="s">
        <v>18765</v>
      </c>
      <c r="AY1997" s="77"/>
      <c r="AZ1997" s="82" t="s">
        <v>20971</v>
      </c>
      <c r="BA1997" s="82" t="s">
        <v>20971</v>
      </c>
      <c r="BB1997" s="82" t="s">
        <v>20971</v>
      </c>
      <c r="BC1997" s="82" t="s">
        <v>18765</v>
      </c>
      <c r="BD1997" s="82" t="s">
        <v>21377</v>
      </c>
      <c r="BE1997" s="77"/>
      <c r="BF1997" s="77"/>
      <c r="BG1997" s="77"/>
      <c r="BH1997" s="77"/>
      <c r="BI1997" s="77"/>
    </row>
    <row r="1998" spans="1:61" x14ac:dyDescent="0.25">
      <c r="A1998" s="62" t="s">
        <v>715</v>
      </c>
      <c r="B1998" s="62" t="s">
        <v>715</v>
      </c>
      <c r="C1998" s="63"/>
      <c r="D1998" s="64"/>
      <c r="E1998" s="65"/>
      <c r="F1998" s="66"/>
      <c r="G1998" s="63"/>
      <c r="H1998" s="67"/>
      <c r="I1998" s="68"/>
      <c r="J1998" s="68"/>
      <c r="K1998" s="32"/>
      <c r="L1998" s="75">
        <v>1998</v>
      </c>
      <c r="M1998" s="75"/>
      <c r="N1998" s="70"/>
      <c r="O1998" s="77" t="s">
        <v>179</v>
      </c>
      <c r="P1998" s="79">
        <v>45015.573020833333</v>
      </c>
      <c r="Q1998" s="77" t="s">
        <v>3237</v>
      </c>
      <c r="R1998" s="77">
        <v>0</v>
      </c>
      <c r="S1998" s="77">
        <v>0</v>
      </c>
      <c r="T1998" s="77">
        <v>0</v>
      </c>
      <c r="U1998" s="77">
        <v>0</v>
      </c>
      <c r="V1998" s="77">
        <v>60</v>
      </c>
      <c r="W1998" s="82" t="s">
        <v>6144</v>
      </c>
      <c r="X1998" s="77"/>
      <c r="Y1998" s="77"/>
      <c r="Z1998" s="77"/>
      <c r="AA1998" s="77" t="s">
        <v>8544</v>
      </c>
      <c r="AB1998" s="77" t="s">
        <v>10130</v>
      </c>
      <c r="AC1998" s="82" t="s">
        <v>10154</v>
      </c>
      <c r="AD1998" s="77" t="s">
        <v>10184</v>
      </c>
      <c r="AE1998" s="80" t="str">
        <f>HYPERLINK("https://twitter.com/qzapbr/status/1641436402377453569")</f>
        <v>https://twitter.com/qzapbr/status/1641436402377453569</v>
      </c>
      <c r="AF1998" s="79">
        <v>45015.573020833333</v>
      </c>
      <c r="AG1998" s="85">
        <v>45015</v>
      </c>
      <c r="AH1998" s="82" t="s">
        <v>12111</v>
      </c>
      <c r="AI1998" s="77" t="b">
        <v>0</v>
      </c>
      <c r="AJ1998" s="77"/>
      <c r="AK1998" s="77"/>
      <c r="AL1998" s="77"/>
      <c r="AM1998" s="77"/>
      <c r="AN1998" s="77"/>
      <c r="AO1998" s="77"/>
      <c r="AP1998" s="77"/>
      <c r="AQ1998" s="77" t="s">
        <v>15188</v>
      </c>
      <c r="AR1998" s="77"/>
      <c r="AS1998" s="77"/>
      <c r="AT1998" s="77"/>
      <c r="AU1998" s="77"/>
      <c r="AV1998" s="80" t="str">
        <f>HYPERLINK("https://pbs.twimg.com/media/FseNtcEX0AIu51w.jpg")</f>
        <v>https://pbs.twimg.com/media/FseNtcEX0AIu51w.jpg</v>
      </c>
      <c r="AW1998" s="82" t="s">
        <v>18766</v>
      </c>
      <c r="AX1998" s="82" t="s">
        <v>18766</v>
      </c>
      <c r="AY1998" s="77"/>
      <c r="AZ1998" s="82" t="s">
        <v>20971</v>
      </c>
      <c r="BA1998" s="82" t="s">
        <v>20971</v>
      </c>
      <c r="BB1998" s="82" t="s">
        <v>20971</v>
      </c>
      <c r="BC1998" s="82" t="s">
        <v>18766</v>
      </c>
      <c r="BD1998" s="82" t="s">
        <v>21377</v>
      </c>
      <c r="BE1998" s="77"/>
      <c r="BF1998" s="77"/>
      <c r="BG1998" s="77"/>
      <c r="BH1998" s="77"/>
      <c r="BI1998" s="77"/>
    </row>
    <row r="1999" spans="1:61" x14ac:dyDescent="0.25">
      <c r="A1999" s="62" t="s">
        <v>716</v>
      </c>
      <c r="B1999" s="62" t="s">
        <v>1241</v>
      </c>
      <c r="C1999" s="63"/>
      <c r="D1999" s="64"/>
      <c r="E1999" s="65"/>
      <c r="F1999" s="66"/>
      <c r="G1999" s="63"/>
      <c r="H1999" s="67"/>
      <c r="I1999" s="68"/>
      <c r="J1999" s="68"/>
      <c r="K1999" s="32"/>
      <c r="L1999" s="75">
        <v>1999</v>
      </c>
      <c r="M1999" s="75"/>
      <c r="N1999" s="70"/>
      <c r="O1999" s="77" t="s">
        <v>1285</v>
      </c>
      <c r="P1999" s="79">
        <v>45154.496863425928</v>
      </c>
      <c r="Q1999" s="77" t="s">
        <v>3238</v>
      </c>
      <c r="R1999" s="77">
        <v>0</v>
      </c>
      <c r="S1999" s="77">
        <v>0</v>
      </c>
      <c r="T1999" s="77">
        <v>0</v>
      </c>
      <c r="U1999" s="77">
        <v>0</v>
      </c>
      <c r="V1999" s="77">
        <v>11</v>
      </c>
      <c r="W1999" s="82" t="s">
        <v>6145</v>
      </c>
      <c r="X1999" s="80" t="str">
        <f>HYPERLINK("https://youtu.be/JVaZAP7bDYg")</f>
        <v>https://youtu.be/JVaZAP7bDYg</v>
      </c>
      <c r="Y1999" s="77" t="s">
        <v>7248</v>
      </c>
      <c r="Z1999" s="77" t="s">
        <v>1241</v>
      </c>
      <c r="AA1999" s="77"/>
      <c r="AB1999" s="77"/>
      <c r="AC1999" s="82" t="s">
        <v>10145</v>
      </c>
      <c r="AD1999" s="77" t="s">
        <v>10184</v>
      </c>
      <c r="AE1999" s="80" t="str">
        <f>HYPERLINK("https://twitter.com/luamedeiross/status/1691780717481542022")</f>
        <v>https://twitter.com/luamedeiross/status/1691780717481542022</v>
      </c>
      <c r="AF1999" s="79">
        <v>45154.496863425928</v>
      </c>
      <c r="AG1999" s="85">
        <v>45154</v>
      </c>
      <c r="AH1999" s="82" t="s">
        <v>12112</v>
      </c>
      <c r="AI1999" s="77" t="b">
        <v>0</v>
      </c>
      <c r="AJ1999" s="77"/>
      <c r="AK1999" s="77"/>
      <c r="AL1999" s="77"/>
      <c r="AM1999" s="77"/>
      <c r="AN1999" s="77"/>
      <c r="AO1999" s="77"/>
      <c r="AP1999" s="77"/>
      <c r="AQ1999" s="77"/>
      <c r="AR1999" s="77"/>
      <c r="AS1999" s="77"/>
      <c r="AT1999" s="77"/>
      <c r="AU1999" s="77"/>
      <c r="AV1999" s="80" t="str">
        <f>HYPERLINK("https://pbs.twimg.com/profile_images/1692311451933736960/mHyPThud_normal.jpg")</f>
        <v>https://pbs.twimg.com/profile_images/1692311451933736960/mHyPThud_normal.jpg</v>
      </c>
      <c r="AW1999" s="82" t="s">
        <v>18767</v>
      </c>
      <c r="AX1999" s="82" t="s">
        <v>18767</v>
      </c>
      <c r="AY1999" s="77"/>
      <c r="AZ1999" s="82" t="s">
        <v>20971</v>
      </c>
      <c r="BA1999" s="82" t="s">
        <v>20971</v>
      </c>
      <c r="BB1999" s="82" t="s">
        <v>20971</v>
      </c>
      <c r="BC1999" s="82" t="s">
        <v>18767</v>
      </c>
      <c r="BD1999" s="77">
        <v>161380515</v>
      </c>
      <c r="BE1999" s="77"/>
      <c r="BF1999" s="77"/>
      <c r="BG1999" s="77"/>
      <c r="BH1999" s="77"/>
      <c r="BI1999" s="77"/>
    </row>
    <row r="2000" spans="1:61" x14ac:dyDescent="0.25">
      <c r="A2000" s="62" t="s">
        <v>717</v>
      </c>
      <c r="B2000" s="62" t="s">
        <v>717</v>
      </c>
      <c r="C2000" s="63"/>
      <c r="D2000" s="64"/>
      <c r="E2000" s="65"/>
      <c r="F2000" s="66"/>
      <c r="G2000" s="63"/>
      <c r="H2000" s="67"/>
      <c r="I2000" s="68"/>
      <c r="J2000" s="68"/>
      <c r="K2000" s="32"/>
      <c r="L2000" s="75">
        <v>2000</v>
      </c>
      <c r="M2000" s="75"/>
      <c r="N2000" s="70"/>
      <c r="O2000" s="77" t="s">
        <v>179</v>
      </c>
      <c r="P2000" s="79">
        <v>45015.027418981481</v>
      </c>
      <c r="Q2000" s="77" t="s">
        <v>3239</v>
      </c>
      <c r="R2000" s="77">
        <v>0</v>
      </c>
      <c r="S2000" s="77">
        <v>0</v>
      </c>
      <c r="T2000" s="77">
        <v>0</v>
      </c>
      <c r="U2000" s="77">
        <v>0</v>
      </c>
      <c r="V2000" s="77">
        <v>206</v>
      </c>
      <c r="W2000" s="82" t="s">
        <v>6146</v>
      </c>
      <c r="X2000" s="80" t="str">
        <f>HYPERLINK("https://m.juntosbet.com/Asj")</f>
        <v>https://m.juntosbet.com/Asj</v>
      </c>
      <c r="Y2000" s="77" t="s">
        <v>7383</v>
      </c>
      <c r="Z2000" s="77"/>
      <c r="AA2000" s="77" t="s">
        <v>8545</v>
      </c>
      <c r="AB2000" s="77" t="s">
        <v>10128</v>
      </c>
      <c r="AC2000" s="82" t="s">
        <v>10144</v>
      </c>
      <c r="AD2000" s="77" t="s">
        <v>10184</v>
      </c>
      <c r="AE2000" s="80" t="str">
        <f>HYPERLINK("https://twitter.com/lucarere1/status/1641238681456459776")</f>
        <v>https://twitter.com/lucarere1/status/1641238681456459776</v>
      </c>
      <c r="AF2000" s="79">
        <v>45015.027418981481</v>
      </c>
      <c r="AG2000" s="85">
        <v>45015</v>
      </c>
      <c r="AH2000" s="82" t="s">
        <v>12113</v>
      </c>
      <c r="AI2000" s="77" t="b">
        <v>0</v>
      </c>
      <c r="AJ2000" s="77"/>
      <c r="AK2000" s="77"/>
      <c r="AL2000" s="77"/>
      <c r="AM2000" s="77"/>
      <c r="AN2000" s="77"/>
      <c r="AO2000" s="77"/>
      <c r="AP2000" s="77"/>
      <c r="AQ2000" s="77" t="s">
        <v>15189</v>
      </c>
      <c r="AR2000" s="77"/>
      <c r="AS2000" s="77"/>
      <c r="AT2000" s="77"/>
      <c r="AU2000" s="77"/>
      <c r="AV2000" s="80" t="str">
        <f>HYPERLINK("https://pbs.twimg.com/media/FsbZ4R4X0AENTzl.jpg")</f>
        <v>https://pbs.twimg.com/media/FsbZ4R4X0AENTzl.jpg</v>
      </c>
      <c r="AW2000" s="82" t="s">
        <v>18768</v>
      </c>
      <c r="AX2000" s="82" t="s">
        <v>18768</v>
      </c>
      <c r="AY2000" s="77"/>
      <c r="AZ2000" s="82" t="s">
        <v>20971</v>
      </c>
      <c r="BA2000" s="82" t="s">
        <v>20971</v>
      </c>
      <c r="BB2000" s="82" t="s">
        <v>20971</v>
      </c>
      <c r="BC2000" s="82" t="s">
        <v>18768</v>
      </c>
      <c r="BD2000" s="82" t="s">
        <v>21378</v>
      </c>
      <c r="BE2000" s="77"/>
      <c r="BF2000" s="77"/>
      <c r="BG2000" s="77"/>
      <c r="BH2000" s="77"/>
      <c r="BI2000" s="77"/>
    </row>
    <row r="2001" spans="1:61" x14ac:dyDescent="0.25">
      <c r="A2001" s="62" t="s">
        <v>718</v>
      </c>
      <c r="B2001" s="62" t="s">
        <v>718</v>
      </c>
      <c r="C2001" s="63"/>
      <c r="D2001" s="64"/>
      <c r="E2001" s="65"/>
      <c r="F2001" s="66"/>
      <c r="G2001" s="63"/>
      <c r="H2001" s="67"/>
      <c r="I2001" s="68"/>
      <c r="J2001" s="68"/>
      <c r="K2001" s="32"/>
      <c r="L2001" s="75">
        <v>2001</v>
      </c>
      <c r="M2001" s="75"/>
      <c r="N2001" s="70"/>
      <c r="O2001" s="77" t="s">
        <v>179</v>
      </c>
      <c r="P2001" s="79">
        <v>44958.544629629629</v>
      </c>
      <c r="Q2001" s="77" t="s">
        <v>3240</v>
      </c>
      <c r="R2001" s="77">
        <v>0</v>
      </c>
      <c r="S2001" s="77">
        <v>0</v>
      </c>
      <c r="T2001" s="77">
        <v>0</v>
      </c>
      <c r="U2001" s="77">
        <v>0</v>
      </c>
      <c r="V2001" s="77">
        <v>5</v>
      </c>
      <c r="W2001" s="82" t="s">
        <v>6147</v>
      </c>
      <c r="X2001" s="77"/>
      <c r="Y2001" s="77"/>
      <c r="Z2001" s="77"/>
      <c r="AA2001" s="77" t="s">
        <v>8546</v>
      </c>
      <c r="AB2001" s="77" t="s">
        <v>10130</v>
      </c>
      <c r="AC2001" s="82" t="s">
        <v>10163</v>
      </c>
      <c r="AD2001" s="77" t="s">
        <v>10183</v>
      </c>
      <c r="AE2001" s="80" t="str">
        <f>HYPERLINK("https://twitter.com/alessan87651124/status/1620770005024661507")</f>
        <v>https://twitter.com/alessan87651124/status/1620770005024661507</v>
      </c>
      <c r="AF2001" s="79">
        <v>44958.544629629629</v>
      </c>
      <c r="AG2001" s="85">
        <v>44958</v>
      </c>
      <c r="AH2001" s="82" t="s">
        <v>12114</v>
      </c>
      <c r="AI2001" s="77" t="b">
        <v>0</v>
      </c>
      <c r="AJ2001" s="77"/>
      <c r="AK2001" s="77"/>
      <c r="AL2001" s="77"/>
      <c r="AM2001" s="77"/>
      <c r="AN2001" s="77"/>
      <c r="AO2001" s="77"/>
      <c r="AP2001" s="77"/>
      <c r="AQ2001" s="77" t="s">
        <v>15190</v>
      </c>
      <c r="AR2001" s="77"/>
      <c r="AS2001" s="77"/>
      <c r="AT2001" s="77"/>
      <c r="AU2001" s="77"/>
      <c r="AV2001" s="80" t="str">
        <f>HYPERLINK("https://pbs.twimg.com/media/Fn4huoFaYAIKkoB.jpg")</f>
        <v>https://pbs.twimg.com/media/Fn4huoFaYAIKkoB.jpg</v>
      </c>
      <c r="AW2001" s="82" t="s">
        <v>18769</v>
      </c>
      <c r="AX2001" s="82" t="s">
        <v>18769</v>
      </c>
      <c r="AY2001" s="77"/>
      <c r="AZ2001" s="82" t="s">
        <v>20971</v>
      </c>
      <c r="BA2001" s="82" t="s">
        <v>20971</v>
      </c>
      <c r="BB2001" s="82" t="s">
        <v>20971</v>
      </c>
      <c r="BC2001" s="82" t="s">
        <v>18769</v>
      </c>
      <c r="BD2001" s="82" t="s">
        <v>21379</v>
      </c>
      <c r="BE2001" s="77"/>
      <c r="BF2001" s="77"/>
      <c r="BG2001" s="77"/>
      <c r="BH2001" s="77"/>
      <c r="BI2001" s="77"/>
    </row>
    <row r="2002" spans="1:61" x14ac:dyDescent="0.25">
      <c r="A2002" s="62" t="s">
        <v>719</v>
      </c>
      <c r="B2002" s="62" t="s">
        <v>719</v>
      </c>
      <c r="C2002" s="63"/>
      <c r="D2002" s="64"/>
      <c r="E2002" s="65"/>
      <c r="F2002" s="66"/>
      <c r="G2002" s="63"/>
      <c r="H2002" s="67"/>
      <c r="I2002" s="68"/>
      <c r="J2002" s="68"/>
      <c r="K2002" s="32"/>
      <c r="L2002" s="75">
        <v>2002</v>
      </c>
      <c r="M2002" s="75"/>
      <c r="N2002" s="70"/>
      <c r="O2002" s="77" t="s">
        <v>179</v>
      </c>
      <c r="P2002" s="79">
        <v>45109.690023148149</v>
      </c>
      <c r="Q2002" s="77" t="s">
        <v>3241</v>
      </c>
      <c r="R2002" s="77">
        <v>0</v>
      </c>
      <c r="S2002" s="77">
        <v>5</v>
      </c>
      <c r="T2002" s="77">
        <v>3</v>
      </c>
      <c r="U2002" s="77">
        <v>0</v>
      </c>
      <c r="V2002" s="77">
        <v>855</v>
      </c>
      <c r="W2002" s="82" t="s">
        <v>6148</v>
      </c>
      <c r="X2002" s="77"/>
      <c r="Y2002" s="77"/>
      <c r="Z2002" s="77"/>
      <c r="AA2002" s="77" t="s">
        <v>8547</v>
      </c>
      <c r="AB2002" s="77" t="s">
        <v>10129</v>
      </c>
      <c r="AC2002" s="82" t="s">
        <v>10144</v>
      </c>
      <c r="AD2002" s="77" t="s">
        <v>10184</v>
      </c>
      <c r="AE2002" s="80" t="str">
        <f>HYPERLINK("https://twitter.com/paullosergioz7/status/1675543261321068549")</f>
        <v>https://twitter.com/paullosergioz7/status/1675543261321068549</v>
      </c>
      <c r="AF2002" s="79">
        <v>45109.690023148149</v>
      </c>
      <c r="AG2002" s="85">
        <v>45109</v>
      </c>
      <c r="AH2002" s="82" t="s">
        <v>12115</v>
      </c>
      <c r="AI2002" s="77" t="b">
        <v>0</v>
      </c>
      <c r="AJ2002" s="77"/>
      <c r="AK2002" s="77"/>
      <c r="AL2002" s="77"/>
      <c r="AM2002" s="77"/>
      <c r="AN2002" s="77"/>
      <c r="AO2002" s="77"/>
      <c r="AP2002" s="77"/>
      <c r="AQ2002" s="77" t="s">
        <v>15191</v>
      </c>
      <c r="AR2002" s="77">
        <v>8591</v>
      </c>
      <c r="AS2002" s="77"/>
      <c r="AT2002" s="77"/>
      <c r="AU2002" s="77"/>
      <c r="AV2002" s="80" t="str">
        <f>HYPERLINK("https://pbs.twimg.com/ext_tw_video_thumb/1675543236805312512/pu/img/UuczWsTLtabbHh8O.jpg")</f>
        <v>https://pbs.twimg.com/ext_tw_video_thumb/1675543236805312512/pu/img/UuczWsTLtabbHh8O.jpg</v>
      </c>
      <c r="AW2002" s="82" t="s">
        <v>18770</v>
      </c>
      <c r="AX2002" s="82" t="s">
        <v>18770</v>
      </c>
      <c r="AY2002" s="77"/>
      <c r="AZ2002" s="82" t="s">
        <v>20971</v>
      </c>
      <c r="BA2002" s="82" t="s">
        <v>20971</v>
      </c>
      <c r="BB2002" s="82" t="s">
        <v>20971</v>
      </c>
      <c r="BC2002" s="82" t="s">
        <v>18770</v>
      </c>
      <c r="BD2002" s="82" t="s">
        <v>21380</v>
      </c>
      <c r="BE2002" s="77"/>
      <c r="BF2002" s="77"/>
      <c r="BG2002" s="77"/>
      <c r="BH2002" s="77"/>
      <c r="BI2002" s="77"/>
    </row>
    <row r="2003" spans="1:61" x14ac:dyDescent="0.25">
      <c r="A2003" s="62" t="s">
        <v>719</v>
      </c>
      <c r="B2003" s="62" t="s">
        <v>719</v>
      </c>
      <c r="C2003" s="63"/>
      <c r="D2003" s="64"/>
      <c r="E2003" s="65"/>
      <c r="F2003" s="66"/>
      <c r="G2003" s="63"/>
      <c r="H2003" s="67"/>
      <c r="I2003" s="68"/>
      <c r="J2003" s="68"/>
      <c r="K2003" s="32"/>
      <c r="L2003" s="75">
        <v>2003</v>
      </c>
      <c r="M2003" s="75"/>
      <c r="N2003" s="70"/>
      <c r="O2003" s="77" t="s">
        <v>179</v>
      </c>
      <c r="P2003" s="79">
        <v>45109.148194444446</v>
      </c>
      <c r="Q2003" s="77" t="s">
        <v>3242</v>
      </c>
      <c r="R2003" s="77">
        <v>0</v>
      </c>
      <c r="S2003" s="77">
        <v>1</v>
      </c>
      <c r="T2003" s="77">
        <v>0</v>
      </c>
      <c r="U2003" s="77">
        <v>0</v>
      </c>
      <c r="V2003" s="77">
        <v>209</v>
      </c>
      <c r="W2003" s="82" t="s">
        <v>6149</v>
      </c>
      <c r="X2003" s="80" t="str">
        <f>HYPERLINK("https://pay.kiwify.com.br/sv5x6QD")</f>
        <v>https://pay.kiwify.com.br/sv5x6QD</v>
      </c>
      <c r="Y2003" s="77" t="s">
        <v>7252</v>
      </c>
      <c r="Z2003" s="77"/>
      <c r="AA2003" s="77" t="s">
        <v>8548</v>
      </c>
      <c r="AB2003" s="77" t="s">
        <v>10128</v>
      </c>
      <c r="AC2003" s="82" t="s">
        <v>10144</v>
      </c>
      <c r="AD2003" s="77" t="s">
        <v>10184</v>
      </c>
      <c r="AE2003" s="80" t="str">
        <f>HYPERLINK("https://twitter.com/paullosergioz7/status/1675346911669239808")</f>
        <v>https://twitter.com/paullosergioz7/status/1675346911669239808</v>
      </c>
      <c r="AF2003" s="79">
        <v>45109.148194444446</v>
      </c>
      <c r="AG2003" s="85">
        <v>45109</v>
      </c>
      <c r="AH2003" s="82" t="s">
        <v>12116</v>
      </c>
      <c r="AI2003" s="77" t="b">
        <v>0</v>
      </c>
      <c r="AJ2003" s="77"/>
      <c r="AK2003" s="77"/>
      <c r="AL2003" s="77"/>
      <c r="AM2003" s="77"/>
      <c r="AN2003" s="77"/>
      <c r="AO2003" s="77"/>
      <c r="AP2003" s="77"/>
      <c r="AQ2003" s="77" t="s">
        <v>15192</v>
      </c>
      <c r="AR2003" s="77"/>
      <c r="AS2003" s="77"/>
      <c r="AT2003" s="77"/>
      <c r="AU2003" s="77"/>
      <c r="AV2003" s="80" t="str">
        <f>HYPERLINK("https://pbs.twimg.com/media/F0AHId2XoAIw4JN.jpg")</f>
        <v>https://pbs.twimg.com/media/F0AHId2XoAIw4JN.jpg</v>
      </c>
      <c r="AW2003" s="82" t="s">
        <v>18771</v>
      </c>
      <c r="AX2003" s="82" t="s">
        <v>18771</v>
      </c>
      <c r="AY2003" s="77"/>
      <c r="AZ2003" s="82" t="s">
        <v>20971</v>
      </c>
      <c r="BA2003" s="82" t="s">
        <v>20971</v>
      </c>
      <c r="BB2003" s="82" t="s">
        <v>20971</v>
      </c>
      <c r="BC2003" s="82" t="s">
        <v>18771</v>
      </c>
      <c r="BD2003" s="82" t="s">
        <v>21380</v>
      </c>
      <c r="BE2003" s="77"/>
      <c r="BF2003" s="77"/>
      <c r="BG2003" s="77"/>
      <c r="BH2003" s="77"/>
      <c r="BI2003" s="77"/>
    </row>
    <row r="2004" spans="1:61" x14ac:dyDescent="0.25">
      <c r="A2004" s="62" t="s">
        <v>719</v>
      </c>
      <c r="B2004" s="62" t="s">
        <v>719</v>
      </c>
      <c r="C2004" s="63"/>
      <c r="D2004" s="64"/>
      <c r="E2004" s="65"/>
      <c r="F2004" s="66"/>
      <c r="G2004" s="63"/>
      <c r="H2004" s="67"/>
      <c r="I2004" s="68"/>
      <c r="J2004" s="68"/>
      <c r="K2004" s="32"/>
      <c r="L2004" s="75">
        <v>2004</v>
      </c>
      <c r="M2004" s="75"/>
      <c r="N2004" s="70"/>
      <c r="O2004" s="77" t="s">
        <v>179</v>
      </c>
      <c r="P2004" s="79">
        <v>45108.903599537036</v>
      </c>
      <c r="Q2004" s="77" t="s">
        <v>3243</v>
      </c>
      <c r="R2004" s="77">
        <v>0</v>
      </c>
      <c r="S2004" s="77">
        <v>10</v>
      </c>
      <c r="T2004" s="77">
        <v>8</v>
      </c>
      <c r="U2004" s="77">
        <v>0</v>
      </c>
      <c r="V2004" s="77">
        <v>2255</v>
      </c>
      <c r="W2004" s="82" t="s">
        <v>6150</v>
      </c>
      <c r="X2004" s="77"/>
      <c r="Y2004" s="77"/>
      <c r="Z2004" s="77"/>
      <c r="AA2004" s="77" t="s">
        <v>8549</v>
      </c>
      <c r="AB2004" s="77" t="s">
        <v>10129</v>
      </c>
      <c r="AC2004" s="82" t="s">
        <v>10144</v>
      </c>
      <c r="AD2004" s="77" t="s">
        <v>10184</v>
      </c>
      <c r="AE2004" s="80" t="str">
        <f>HYPERLINK("https://twitter.com/paullosergioz7/status/1675258271932854273")</f>
        <v>https://twitter.com/paullosergioz7/status/1675258271932854273</v>
      </c>
      <c r="AF2004" s="79">
        <v>45108.903599537036</v>
      </c>
      <c r="AG2004" s="85">
        <v>45108</v>
      </c>
      <c r="AH2004" s="82" t="s">
        <v>11217</v>
      </c>
      <c r="AI2004" s="77" t="b">
        <v>0</v>
      </c>
      <c r="AJ2004" s="77"/>
      <c r="AK2004" s="77"/>
      <c r="AL2004" s="77"/>
      <c r="AM2004" s="77"/>
      <c r="AN2004" s="77"/>
      <c r="AO2004" s="77"/>
      <c r="AP2004" s="77"/>
      <c r="AQ2004" s="77" t="s">
        <v>15193</v>
      </c>
      <c r="AR2004" s="77">
        <v>26333</v>
      </c>
      <c r="AS2004" s="77"/>
      <c r="AT2004" s="77"/>
      <c r="AU2004" s="77"/>
      <c r="AV2004" s="80" t="str">
        <f>HYPERLINK("https://pbs.twimg.com/ext_tw_video_thumb/1675258238063857665/pu/img/Rv2DoBAliZfFyaL1.jpg")</f>
        <v>https://pbs.twimg.com/ext_tw_video_thumb/1675258238063857665/pu/img/Rv2DoBAliZfFyaL1.jpg</v>
      </c>
      <c r="AW2004" s="82" t="s">
        <v>18772</v>
      </c>
      <c r="AX2004" s="82" t="s">
        <v>18772</v>
      </c>
      <c r="AY2004" s="77"/>
      <c r="AZ2004" s="82" t="s">
        <v>20971</v>
      </c>
      <c r="BA2004" s="82" t="s">
        <v>20971</v>
      </c>
      <c r="BB2004" s="82" t="s">
        <v>20971</v>
      </c>
      <c r="BC2004" s="82" t="s">
        <v>18772</v>
      </c>
      <c r="BD2004" s="82" t="s">
        <v>21380</v>
      </c>
      <c r="BE2004" s="77"/>
      <c r="BF2004" s="77"/>
      <c r="BG2004" s="77"/>
      <c r="BH2004" s="77"/>
      <c r="BI2004" s="77"/>
    </row>
    <row r="2005" spans="1:61" x14ac:dyDescent="0.25">
      <c r="A2005" s="62" t="s">
        <v>719</v>
      </c>
      <c r="B2005" s="62" t="s">
        <v>719</v>
      </c>
      <c r="C2005" s="63"/>
      <c r="D2005" s="64"/>
      <c r="E2005" s="65"/>
      <c r="F2005" s="66"/>
      <c r="G2005" s="63"/>
      <c r="H2005" s="67"/>
      <c r="I2005" s="68"/>
      <c r="J2005" s="68"/>
      <c r="K2005" s="32"/>
      <c r="L2005" s="75">
        <v>2005</v>
      </c>
      <c r="M2005" s="75"/>
      <c r="N2005" s="70"/>
      <c r="O2005" s="77" t="s">
        <v>179</v>
      </c>
      <c r="P2005" s="79">
        <v>45146.811111111114</v>
      </c>
      <c r="Q2005" s="77" t="s">
        <v>3244</v>
      </c>
      <c r="R2005" s="77">
        <v>0</v>
      </c>
      <c r="S2005" s="77">
        <v>2</v>
      </c>
      <c r="T2005" s="77">
        <v>1</v>
      </c>
      <c r="U2005" s="77">
        <v>0</v>
      </c>
      <c r="V2005" s="77">
        <v>192</v>
      </c>
      <c r="W2005" s="82" t="s">
        <v>6151</v>
      </c>
      <c r="X2005" s="77"/>
      <c r="Y2005" s="77"/>
      <c r="Z2005" s="77"/>
      <c r="AA2005" s="77"/>
      <c r="AB2005" s="77"/>
      <c r="AC2005" s="82" t="s">
        <v>10144</v>
      </c>
      <c r="AD2005" s="77" t="s">
        <v>10184</v>
      </c>
      <c r="AE2005" s="80" t="str">
        <f>HYPERLINK("https://twitter.com/paullosergioz7/status/1688995495421624320")</f>
        <v>https://twitter.com/paullosergioz7/status/1688995495421624320</v>
      </c>
      <c r="AF2005" s="79">
        <v>45146.811111111114</v>
      </c>
      <c r="AG2005" s="85">
        <v>45146</v>
      </c>
      <c r="AH2005" s="82" t="s">
        <v>12117</v>
      </c>
      <c r="AI2005" s="77"/>
      <c r="AJ2005" s="77"/>
      <c r="AK2005" s="77"/>
      <c r="AL2005" s="77"/>
      <c r="AM2005" s="77"/>
      <c r="AN2005" s="77"/>
      <c r="AO2005" s="77"/>
      <c r="AP2005" s="77"/>
      <c r="AQ2005" s="77"/>
      <c r="AR2005" s="77"/>
      <c r="AS2005" s="77"/>
      <c r="AT2005" s="77"/>
      <c r="AU2005" s="77"/>
      <c r="AV2005" s="80" t="str">
        <f>HYPERLINK("https://pbs.twimg.com/profile_images/1675258532818563073/VW_y3cf0_normal.jpg")</f>
        <v>https://pbs.twimg.com/profile_images/1675258532818563073/VW_y3cf0_normal.jpg</v>
      </c>
      <c r="AW2005" s="82" t="s">
        <v>18773</v>
      </c>
      <c r="AX2005" s="82" t="s">
        <v>18773</v>
      </c>
      <c r="AY2005" s="77"/>
      <c r="AZ2005" s="82" t="s">
        <v>20971</v>
      </c>
      <c r="BA2005" s="82" t="s">
        <v>20971</v>
      </c>
      <c r="BB2005" s="82" t="s">
        <v>20971</v>
      </c>
      <c r="BC2005" s="82" t="s">
        <v>18773</v>
      </c>
      <c r="BD2005" s="82" t="s">
        <v>21380</v>
      </c>
      <c r="BE2005" s="77"/>
      <c r="BF2005" s="77"/>
      <c r="BG2005" s="77"/>
      <c r="BH2005" s="77"/>
      <c r="BI2005" s="77"/>
    </row>
    <row r="2006" spans="1:61" x14ac:dyDescent="0.25">
      <c r="A2006" s="62" t="s">
        <v>719</v>
      </c>
      <c r="B2006" s="62" t="s">
        <v>719</v>
      </c>
      <c r="C2006" s="63"/>
      <c r="D2006" s="64"/>
      <c r="E2006" s="65"/>
      <c r="F2006" s="66"/>
      <c r="G2006" s="63"/>
      <c r="H2006" s="67"/>
      <c r="I2006" s="68"/>
      <c r="J2006" s="68"/>
      <c r="K2006" s="32"/>
      <c r="L2006" s="75">
        <v>2006</v>
      </c>
      <c r="M2006" s="75"/>
      <c r="N2006" s="70"/>
      <c r="O2006" s="77" t="s">
        <v>179</v>
      </c>
      <c r="P2006" s="79">
        <v>45133.172546296293</v>
      </c>
      <c r="Q2006" s="77" t="s">
        <v>3245</v>
      </c>
      <c r="R2006" s="77">
        <v>0</v>
      </c>
      <c r="S2006" s="77">
        <v>4</v>
      </c>
      <c r="T2006" s="77">
        <v>5</v>
      </c>
      <c r="U2006" s="77">
        <v>0</v>
      </c>
      <c r="V2006" s="77">
        <v>1088</v>
      </c>
      <c r="W2006" s="82" t="s">
        <v>6152</v>
      </c>
      <c r="X2006" s="77"/>
      <c r="Y2006" s="77"/>
      <c r="Z2006" s="77"/>
      <c r="AA2006" s="77" t="s">
        <v>8550</v>
      </c>
      <c r="AB2006" s="77" t="s">
        <v>10129</v>
      </c>
      <c r="AC2006" s="82" t="s">
        <v>10144</v>
      </c>
      <c r="AD2006" s="77" t="s">
        <v>10184</v>
      </c>
      <c r="AE2006" s="80" t="str">
        <f>HYPERLINK("https://twitter.com/paullosergioz7/status/1684053042730082312")</f>
        <v>https://twitter.com/paullosergioz7/status/1684053042730082312</v>
      </c>
      <c r="AF2006" s="79">
        <v>45133.172546296293</v>
      </c>
      <c r="AG2006" s="85">
        <v>45133</v>
      </c>
      <c r="AH2006" s="82" t="s">
        <v>12118</v>
      </c>
      <c r="AI2006" s="77" t="b">
        <v>0</v>
      </c>
      <c r="AJ2006" s="77"/>
      <c r="AK2006" s="77"/>
      <c r="AL2006" s="77"/>
      <c r="AM2006" s="77"/>
      <c r="AN2006" s="77"/>
      <c r="AO2006" s="77"/>
      <c r="AP2006" s="77"/>
      <c r="AQ2006" s="77" t="s">
        <v>15194</v>
      </c>
      <c r="AR2006" s="77">
        <v>15015</v>
      </c>
      <c r="AS2006" s="77"/>
      <c r="AT2006" s="77"/>
      <c r="AU2006" s="77"/>
      <c r="AV2006" s="80" t="str">
        <f>HYPERLINK("https://pbs.twimg.com/ext_tw_video_thumb/1684052991798546435/pu/img/lZDaGUSJNnA2CuZq.jpg")</f>
        <v>https://pbs.twimg.com/ext_tw_video_thumb/1684052991798546435/pu/img/lZDaGUSJNnA2CuZq.jpg</v>
      </c>
      <c r="AW2006" s="82" t="s">
        <v>18774</v>
      </c>
      <c r="AX2006" s="82" t="s">
        <v>18774</v>
      </c>
      <c r="AY2006" s="77"/>
      <c r="AZ2006" s="82" t="s">
        <v>20971</v>
      </c>
      <c r="BA2006" s="82" t="s">
        <v>20971</v>
      </c>
      <c r="BB2006" s="82" t="s">
        <v>20971</v>
      </c>
      <c r="BC2006" s="82" t="s">
        <v>18774</v>
      </c>
      <c r="BD2006" s="82" t="s">
        <v>21380</v>
      </c>
      <c r="BE2006" s="77"/>
      <c r="BF2006" s="77"/>
      <c r="BG2006" s="77"/>
      <c r="BH2006" s="77"/>
      <c r="BI2006" s="77"/>
    </row>
    <row r="2007" spans="1:61" x14ac:dyDescent="0.25">
      <c r="A2007" s="62" t="s">
        <v>719</v>
      </c>
      <c r="B2007" s="62" t="s">
        <v>719</v>
      </c>
      <c r="C2007" s="63"/>
      <c r="D2007" s="64"/>
      <c r="E2007" s="65"/>
      <c r="F2007" s="66"/>
      <c r="G2007" s="63"/>
      <c r="H2007" s="67"/>
      <c r="I2007" s="68"/>
      <c r="J2007" s="68"/>
      <c r="K2007" s="32"/>
      <c r="L2007" s="75">
        <v>2007</v>
      </c>
      <c r="M2007" s="75"/>
      <c r="N2007" s="70"/>
      <c r="O2007" s="77" t="s">
        <v>179</v>
      </c>
      <c r="P2007" s="79">
        <v>45141.661620370367</v>
      </c>
      <c r="Q2007" s="77" t="s">
        <v>3246</v>
      </c>
      <c r="R2007" s="77">
        <v>0</v>
      </c>
      <c r="S2007" s="77">
        <v>11</v>
      </c>
      <c r="T2007" s="77">
        <v>3</v>
      </c>
      <c r="U2007" s="77">
        <v>0</v>
      </c>
      <c r="V2007" s="77">
        <v>1313</v>
      </c>
      <c r="W2007" s="82" t="s">
        <v>6153</v>
      </c>
      <c r="X2007" s="77"/>
      <c r="Y2007" s="77"/>
      <c r="Z2007" s="77"/>
      <c r="AA2007" s="77" t="s">
        <v>8551</v>
      </c>
      <c r="AB2007" s="77" t="s">
        <v>10129</v>
      </c>
      <c r="AC2007" s="82" t="s">
        <v>10144</v>
      </c>
      <c r="AD2007" s="77" t="s">
        <v>10184</v>
      </c>
      <c r="AE2007" s="80" t="str">
        <f>HYPERLINK("https://twitter.com/paullosergioz7/status/1687129380969906176")</f>
        <v>https://twitter.com/paullosergioz7/status/1687129380969906176</v>
      </c>
      <c r="AF2007" s="79">
        <v>45141.661620370367</v>
      </c>
      <c r="AG2007" s="85">
        <v>45141</v>
      </c>
      <c r="AH2007" s="82" t="s">
        <v>12119</v>
      </c>
      <c r="AI2007" s="77" t="b">
        <v>0</v>
      </c>
      <c r="AJ2007" s="77"/>
      <c r="AK2007" s="77"/>
      <c r="AL2007" s="77"/>
      <c r="AM2007" s="77"/>
      <c r="AN2007" s="77"/>
      <c r="AO2007" s="77"/>
      <c r="AP2007" s="77"/>
      <c r="AQ2007" s="77" t="s">
        <v>15195</v>
      </c>
      <c r="AR2007" s="77">
        <v>36083</v>
      </c>
      <c r="AS2007" s="77"/>
      <c r="AT2007" s="77"/>
      <c r="AU2007" s="77"/>
      <c r="AV2007" s="80" t="str">
        <f>HYPERLINK("https://pbs.twimg.com/ext_tw_video_thumb/1687129334996152320/pu/img/gfYhC2IvtFiW1iSi.jpg")</f>
        <v>https://pbs.twimg.com/ext_tw_video_thumb/1687129334996152320/pu/img/gfYhC2IvtFiW1iSi.jpg</v>
      </c>
      <c r="AW2007" s="82" t="s">
        <v>18775</v>
      </c>
      <c r="AX2007" s="82" t="s">
        <v>18775</v>
      </c>
      <c r="AY2007" s="77"/>
      <c r="AZ2007" s="82" t="s">
        <v>20971</v>
      </c>
      <c r="BA2007" s="82" t="s">
        <v>20971</v>
      </c>
      <c r="BB2007" s="82" t="s">
        <v>20971</v>
      </c>
      <c r="BC2007" s="82" t="s">
        <v>18775</v>
      </c>
      <c r="BD2007" s="82" t="s">
        <v>21380</v>
      </c>
      <c r="BE2007" s="77"/>
      <c r="BF2007" s="77"/>
      <c r="BG2007" s="77"/>
      <c r="BH2007" s="77"/>
      <c r="BI2007" s="77"/>
    </row>
    <row r="2008" spans="1:61" x14ac:dyDescent="0.25">
      <c r="A2008" s="62" t="s">
        <v>719</v>
      </c>
      <c r="B2008" s="62" t="s">
        <v>719</v>
      </c>
      <c r="C2008" s="63"/>
      <c r="D2008" s="64"/>
      <c r="E2008" s="65"/>
      <c r="F2008" s="66"/>
      <c r="G2008" s="63"/>
      <c r="H2008" s="67"/>
      <c r="I2008" s="68"/>
      <c r="J2008" s="68"/>
      <c r="K2008" s="32"/>
      <c r="L2008" s="75">
        <v>2008</v>
      </c>
      <c r="M2008" s="75"/>
      <c r="N2008" s="70"/>
      <c r="O2008" s="77" t="s">
        <v>179</v>
      </c>
      <c r="P2008" s="79">
        <v>45142.159826388888</v>
      </c>
      <c r="Q2008" s="77" t="s">
        <v>3247</v>
      </c>
      <c r="R2008" s="77">
        <v>0</v>
      </c>
      <c r="S2008" s="77">
        <v>3</v>
      </c>
      <c r="T2008" s="77">
        <v>1</v>
      </c>
      <c r="U2008" s="77">
        <v>0</v>
      </c>
      <c r="V2008" s="77">
        <v>351</v>
      </c>
      <c r="W2008" s="82" t="s">
        <v>6154</v>
      </c>
      <c r="X2008" s="77"/>
      <c r="Y2008" s="77"/>
      <c r="Z2008" s="77"/>
      <c r="AA2008" s="77" t="s">
        <v>8552</v>
      </c>
      <c r="AB2008" s="77" t="s">
        <v>10130</v>
      </c>
      <c r="AC2008" s="82" t="s">
        <v>10144</v>
      </c>
      <c r="AD2008" s="77" t="s">
        <v>10184</v>
      </c>
      <c r="AE2008" s="80" t="str">
        <f>HYPERLINK("https://twitter.com/paullosergioz7/status/1687309923623825408")</f>
        <v>https://twitter.com/paullosergioz7/status/1687309923623825408</v>
      </c>
      <c r="AF2008" s="79">
        <v>45142.159826388888</v>
      </c>
      <c r="AG2008" s="85">
        <v>45142</v>
      </c>
      <c r="AH2008" s="82" t="s">
        <v>12120</v>
      </c>
      <c r="AI2008" s="77" t="b">
        <v>0</v>
      </c>
      <c r="AJ2008" s="77"/>
      <c r="AK2008" s="77"/>
      <c r="AL2008" s="77"/>
      <c r="AM2008" s="77"/>
      <c r="AN2008" s="77"/>
      <c r="AO2008" s="77"/>
      <c r="AP2008" s="77"/>
      <c r="AQ2008" s="77" t="s">
        <v>15196</v>
      </c>
      <c r="AR2008" s="77"/>
      <c r="AS2008" s="77"/>
      <c r="AT2008" s="77"/>
      <c r="AU2008" s="77"/>
      <c r="AV2008" s="80" t="str">
        <f>HYPERLINK("https://pbs.twimg.com/media/F2qHbs_X0AE-Swd.jpg")</f>
        <v>https://pbs.twimg.com/media/F2qHbs_X0AE-Swd.jpg</v>
      </c>
      <c r="AW2008" s="82" t="s">
        <v>18776</v>
      </c>
      <c r="AX2008" s="82" t="s">
        <v>18776</v>
      </c>
      <c r="AY2008" s="77"/>
      <c r="AZ2008" s="82" t="s">
        <v>20971</v>
      </c>
      <c r="BA2008" s="82" t="s">
        <v>20971</v>
      </c>
      <c r="BB2008" s="82" t="s">
        <v>20971</v>
      </c>
      <c r="BC2008" s="82" t="s">
        <v>18776</v>
      </c>
      <c r="BD2008" s="82" t="s">
        <v>21380</v>
      </c>
      <c r="BE2008" s="77"/>
      <c r="BF2008" s="77"/>
      <c r="BG2008" s="77"/>
      <c r="BH2008" s="77"/>
      <c r="BI2008" s="77"/>
    </row>
    <row r="2009" spans="1:61" x14ac:dyDescent="0.25">
      <c r="A2009" s="62" t="s">
        <v>719</v>
      </c>
      <c r="B2009" s="62" t="s">
        <v>719</v>
      </c>
      <c r="C2009" s="63"/>
      <c r="D2009" s="64"/>
      <c r="E2009" s="65"/>
      <c r="F2009" s="66"/>
      <c r="G2009" s="63"/>
      <c r="H2009" s="67"/>
      <c r="I2009" s="68"/>
      <c r="J2009" s="68"/>
      <c r="K2009" s="32"/>
      <c r="L2009" s="75">
        <v>2009</v>
      </c>
      <c r="M2009" s="75"/>
      <c r="N2009" s="70"/>
      <c r="O2009" s="77" t="s">
        <v>179</v>
      </c>
      <c r="P2009" s="79">
        <v>45141.974039351851</v>
      </c>
      <c r="Q2009" s="77" t="s">
        <v>3248</v>
      </c>
      <c r="R2009" s="77">
        <v>1</v>
      </c>
      <c r="S2009" s="77">
        <v>18</v>
      </c>
      <c r="T2009" s="77">
        <v>3</v>
      </c>
      <c r="U2009" s="77">
        <v>0</v>
      </c>
      <c r="V2009" s="77">
        <v>1760</v>
      </c>
      <c r="W2009" s="82" t="s">
        <v>6155</v>
      </c>
      <c r="X2009" s="77"/>
      <c r="Y2009" s="77"/>
      <c r="Z2009" s="77"/>
      <c r="AA2009" s="77" t="s">
        <v>8553</v>
      </c>
      <c r="AB2009" s="77" t="s">
        <v>10129</v>
      </c>
      <c r="AC2009" s="82" t="s">
        <v>10144</v>
      </c>
      <c r="AD2009" s="77" t="s">
        <v>10184</v>
      </c>
      <c r="AE2009" s="80" t="str">
        <f>HYPERLINK("https://twitter.com/paullosergioz7/status/1687242597067038720")</f>
        <v>https://twitter.com/paullosergioz7/status/1687242597067038720</v>
      </c>
      <c r="AF2009" s="79">
        <v>45141.974039351851</v>
      </c>
      <c r="AG2009" s="85">
        <v>45141</v>
      </c>
      <c r="AH2009" s="82" t="s">
        <v>12121</v>
      </c>
      <c r="AI2009" s="77" t="b">
        <v>0</v>
      </c>
      <c r="AJ2009" s="77"/>
      <c r="AK2009" s="77"/>
      <c r="AL2009" s="77"/>
      <c r="AM2009" s="77"/>
      <c r="AN2009" s="77"/>
      <c r="AO2009" s="77"/>
      <c r="AP2009" s="77"/>
      <c r="AQ2009" s="77" t="s">
        <v>15197</v>
      </c>
      <c r="AR2009" s="77">
        <v>39055</v>
      </c>
      <c r="AS2009" s="77"/>
      <c r="AT2009" s="77"/>
      <c r="AU2009" s="77"/>
      <c r="AV2009" s="80" t="str">
        <f>HYPERLINK("https://pbs.twimg.com/ext_tw_video_thumb/1687242563265212417/pu/img/6zYLNbObjxz0hXPL.jpg")</f>
        <v>https://pbs.twimg.com/ext_tw_video_thumb/1687242563265212417/pu/img/6zYLNbObjxz0hXPL.jpg</v>
      </c>
      <c r="AW2009" s="82" t="s">
        <v>18777</v>
      </c>
      <c r="AX2009" s="82" t="s">
        <v>18777</v>
      </c>
      <c r="AY2009" s="77"/>
      <c r="AZ2009" s="82" t="s">
        <v>20971</v>
      </c>
      <c r="BA2009" s="82" t="s">
        <v>20971</v>
      </c>
      <c r="BB2009" s="82" t="s">
        <v>20971</v>
      </c>
      <c r="BC2009" s="82" t="s">
        <v>18777</v>
      </c>
      <c r="BD2009" s="82" t="s">
        <v>21380</v>
      </c>
      <c r="BE2009" s="77"/>
      <c r="BF2009" s="77"/>
      <c r="BG2009" s="77"/>
      <c r="BH2009" s="77"/>
      <c r="BI2009" s="77"/>
    </row>
    <row r="2010" spans="1:61" x14ac:dyDescent="0.25">
      <c r="A2010" s="62" t="s">
        <v>720</v>
      </c>
      <c r="B2010" s="62" t="s">
        <v>720</v>
      </c>
      <c r="C2010" s="63"/>
      <c r="D2010" s="64"/>
      <c r="E2010" s="65"/>
      <c r="F2010" s="66"/>
      <c r="G2010" s="63"/>
      <c r="H2010" s="67"/>
      <c r="I2010" s="68"/>
      <c r="J2010" s="68"/>
      <c r="K2010" s="32"/>
      <c r="L2010" s="75">
        <v>2010</v>
      </c>
      <c r="M2010" s="75"/>
      <c r="N2010" s="70"/>
      <c r="O2010" s="77" t="s">
        <v>179</v>
      </c>
      <c r="P2010" s="79">
        <v>45162.514282407406</v>
      </c>
      <c r="Q2010" s="77" t="s">
        <v>3249</v>
      </c>
      <c r="R2010" s="77">
        <v>0</v>
      </c>
      <c r="S2010" s="77">
        <v>0</v>
      </c>
      <c r="T2010" s="77">
        <v>0</v>
      </c>
      <c r="U2010" s="77">
        <v>0</v>
      </c>
      <c r="V2010" s="77">
        <v>3</v>
      </c>
      <c r="W2010" s="82" t="s">
        <v>6156</v>
      </c>
      <c r="X2010" s="77"/>
      <c r="Y2010" s="77"/>
      <c r="Z2010" s="77"/>
      <c r="AA2010" s="77" t="s">
        <v>8554</v>
      </c>
      <c r="AB2010" s="77" t="s">
        <v>10129</v>
      </c>
      <c r="AC2010" s="82" t="s">
        <v>10144</v>
      </c>
      <c r="AD2010" s="77" t="s">
        <v>10183</v>
      </c>
      <c r="AE2010" s="80" t="str">
        <f>HYPERLINK("https://twitter.com/joorico534650/status/1694686132913463602")</f>
        <v>https://twitter.com/joorico534650/status/1694686132913463602</v>
      </c>
      <c r="AF2010" s="79">
        <v>45162.514282407406</v>
      </c>
      <c r="AG2010" s="85">
        <v>45162</v>
      </c>
      <c r="AH2010" s="82" t="s">
        <v>12122</v>
      </c>
      <c r="AI2010" s="77" t="b">
        <v>0</v>
      </c>
      <c r="AJ2010" s="77"/>
      <c r="AK2010" s="77"/>
      <c r="AL2010" s="77"/>
      <c r="AM2010" s="77"/>
      <c r="AN2010" s="77"/>
      <c r="AO2010" s="77"/>
      <c r="AP2010" s="77"/>
      <c r="AQ2010" s="77" t="s">
        <v>15198</v>
      </c>
      <c r="AR2010" s="77">
        <v>8000</v>
      </c>
      <c r="AS2010" s="77"/>
      <c r="AT2010" s="77"/>
      <c r="AU2010" s="77"/>
      <c r="AV2010" s="80" t="str">
        <f>HYPERLINK("https://pbs.twimg.com/ext_tw_video_thumb/1694686106422288384/pu/img/yashBcCUqM_1T4oE.jpg")</f>
        <v>https://pbs.twimg.com/ext_tw_video_thumb/1694686106422288384/pu/img/yashBcCUqM_1T4oE.jpg</v>
      </c>
      <c r="AW2010" s="82" t="s">
        <v>18778</v>
      </c>
      <c r="AX2010" s="82" t="s">
        <v>18778</v>
      </c>
      <c r="AY2010" s="77"/>
      <c r="AZ2010" s="82" t="s">
        <v>20971</v>
      </c>
      <c r="BA2010" s="82" t="s">
        <v>20971</v>
      </c>
      <c r="BB2010" s="82" t="s">
        <v>20971</v>
      </c>
      <c r="BC2010" s="82" t="s">
        <v>18778</v>
      </c>
      <c r="BD2010" s="82" t="s">
        <v>21381</v>
      </c>
      <c r="BE2010" s="77"/>
      <c r="BF2010" s="77"/>
      <c r="BG2010" s="77"/>
      <c r="BH2010" s="77"/>
      <c r="BI2010" s="77"/>
    </row>
    <row r="2011" spans="1:61" x14ac:dyDescent="0.25">
      <c r="A2011" s="62" t="s">
        <v>720</v>
      </c>
      <c r="B2011" s="62" t="s">
        <v>720</v>
      </c>
      <c r="C2011" s="63"/>
      <c r="D2011" s="64"/>
      <c r="E2011" s="65"/>
      <c r="F2011" s="66"/>
      <c r="G2011" s="63"/>
      <c r="H2011" s="67"/>
      <c r="I2011" s="68"/>
      <c r="J2011" s="68"/>
      <c r="K2011" s="32"/>
      <c r="L2011" s="75">
        <v>2011</v>
      </c>
      <c r="M2011" s="75"/>
      <c r="N2011" s="70"/>
      <c r="O2011" s="77" t="s">
        <v>179</v>
      </c>
      <c r="P2011" s="79">
        <v>45162.51421296296</v>
      </c>
      <c r="Q2011" s="77" t="s">
        <v>3250</v>
      </c>
      <c r="R2011" s="77">
        <v>0</v>
      </c>
      <c r="S2011" s="77">
        <v>0</v>
      </c>
      <c r="T2011" s="77">
        <v>0</v>
      </c>
      <c r="U2011" s="77">
        <v>0</v>
      </c>
      <c r="V2011" s="77">
        <v>3</v>
      </c>
      <c r="W2011" s="82" t="s">
        <v>6156</v>
      </c>
      <c r="X2011" s="77"/>
      <c r="Y2011" s="77"/>
      <c r="Z2011" s="77"/>
      <c r="AA2011" s="77" t="s">
        <v>8555</v>
      </c>
      <c r="AB2011" s="77" t="s">
        <v>10129</v>
      </c>
      <c r="AC2011" s="82" t="s">
        <v>10144</v>
      </c>
      <c r="AD2011" s="77" t="s">
        <v>10183</v>
      </c>
      <c r="AE2011" s="80" t="str">
        <f>HYPERLINK("https://twitter.com/joorico534650/status/1694686106506113371")</f>
        <v>https://twitter.com/joorico534650/status/1694686106506113371</v>
      </c>
      <c r="AF2011" s="79">
        <v>45162.51421296296</v>
      </c>
      <c r="AG2011" s="85">
        <v>45162</v>
      </c>
      <c r="AH2011" s="82" t="s">
        <v>12123</v>
      </c>
      <c r="AI2011" s="77" t="b">
        <v>0</v>
      </c>
      <c r="AJ2011" s="77"/>
      <c r="AK2011" s="77"/>
      <c r="AL2011" s="77"/>
      <c r="AM2011" s="77"/>
      <c r="AN2011" s="77"/>
      <c r="AO2011" s="77"/>
      <c r="AP2011" s="77"/>
      <c r="AQ2011" s="77" t="s">
        <v>15199</v>
      </c>
      <c r="AR2011" s="77">
        <v>9392</v>
      </c>
      <c r="AS2011" s="77"/>
      <c r="AT2011" s="77"/>
      <c r="AU2011" s="77"/>
      <c r="AV2011" s="80" t="str">
        <f>HYPERLINK("https://pbs.twimg.com/ext_tw_video_thumb/1694686069747290112/pu/img/QYUMTdF_NYgQIqWH.jpg")</f>
        <v>https://pbs.twimg.com/ext_tw_video_thumb/1694686069747290112/pu/img/QYUMTdF_NYgQIqWH.jpg</v>
      </c>
      <c r="AW2011" s="82" t="s">
        <v>18779</v>
      </c>
      <c r="AX2011" s="82" t="s">
        <v>18779</v>
      </c>
      <c r="AY2011" s="77"/>
      <c r="AZ2011" s="82" t="s">
        <v>20971</v>
      </c>
      <c r="BA2011" s="82" t="s">
        <v>20971</v>
      </c>
      <c r="BB2011" s="82" t="s">
        <v>20971</v>
      </c>
      <c r="BC2011" s="82" t="s">
        <v>18779</v>
      </c>
      <c r="BD2011" s="82" t="s">
        <v>21381</v>
      </c>
      <c r="BE2011" s="77"/>
      <c r="BF2011" s="77"/>
      <c r="BG2011" s="77"/>
      <c r="BH2011" s="77"/>
      <c r="BI2011" s="77"/>
    </row>
    <row r="2012" spans="1:61" x14ac:dyDescent="0.25">
      <c r="A2012" s="62" t="s">
        <v>721</v>
      </c>
      <c r="B2012" s="62" t="s">
        <v>721</v>
      </c>
      <c r="C2012" s="63"/>
      <c r="D2012" s="64"/>
      <c r="E2012" s="65"/>
      <c r="F2012" s="66"/>
      <c r="G2012" s="63"/>
      <c r="H2012" s="67"/>
      <c r="I2012" s="68"/>
      <c r="J2012" s="68"/>
      <c r="K2012" s="32"/>
      <c r="L2012" s="75">
        <v>2012</v>
      </c>
      <c r="M2012" s="75"/>
      <c r="N2012" s="70"/>
      <c r="O2012" s="77" t="s">
        <v>179</v>
      </c>
      <c r="P2012" s="79">
        <v>44972.738449074073</v>
      </c>
      <c r="Q2012" s="77" t="s">
        <v>3251</v>
      </c>
      <c r="R2012" s="77">
        <v>0</v>
      </c>
      <c r="S2012" s="77">
        <v>0</v>
      </c>
      <c r="T2012" s="77">
        <v>0</v>
      </c>
      <c r="U2012" s="77">
        <v>0</v>
      </c>
      <c r="V2012" s="77">
        <v>13</v>
      </c>
      <c r="W2012" s="82" t="s">
        <v>6157</v>
      </c>
      <c r="X2012" s="80" t="str">
        <f>HYPERLINK("https://pay.kiwify.com.br/2vTnClf?afid=EOcpbind")</f>
        <v>https://pay.kiwify.com.br/2vTnClf?afid=EOcpbind</v>
      </c>
      <c r="Y2012" s="77" t="s">
        <v>7252</v>
      </c>
      <c r="Z2012" s="77"/>
      <c r="AA2012" s="77" t="s">
        <v>8556</v>
      </c>
      <c r="AB2012" s="77" t="s">
        <v>10129</v>
      </c>
      <c r="AC2012" s="82" t="s">
        <v>10144</v>
      </c>
      <c r="AD2012" s="77" t="s">
        <v>10184</v>
      </c>
      <c r="AE2012" s="80" t="str">
        <f>HYPERLINK("https://twitter.com/alanis_matos10/status/1625913675855822860")</f>
        <v>https://twitter.com/alanis_matos10/status/1625913675855822860</v>
      </c>
      <c r="AF2012" s="79">
        <v>44972.738449074073</v>
      </c>
      <c r="AG2012" s="85">
        <v>44972</v>
      </c>
      <c r="AH2012" s="82" t="s">
        <v>12124</v>
      </c>
      <c r="AI2012" s="77" t="b">
        <v>0</v>
      </c>
      <c r="AJ2012" s="77"/>
      <c r="AK2012" s="77"/>
      <c r="AL2012" s="77"/>
      <c r="AM2012" s="77"/>
      <c r="AN2012" s="77"/>
      <c r="AO2012" s="77"/>
      <c r="AP2012" s="77"/>
      <c r="AQ2012" s="77" t="s">
        <v>15200</v>
      </c>
      <c r="AR2012" s="77">
        <v>12333</v>
      </c>
      <c r="AS2012" s="77"/>
      <c r="AT2012" s="77"/>
      <c r="AU2012" s="77"/>
      <c r="AV2012" s="80" t="str">
        <f>HYPERLINK("https://pbs.twimg.com/ext_tw_video_thumb/1625913618666487827/pu/img/2cXzrdjDo-IMgYk6.jpg")</f>
        <v>https://pbs.twimg.com/ext_tw_video_thumb/1625913618666487827/pu/img/2cXzrdjDo-IMgYk6.jpg</v>
      </c>
      <c r="AW2012" s="82" t="s">
        <v>18780</v>
      </c>
      <c r="AX2012" s="82" t="s">
        <v>18780</v>
      </c>
      <c r="AY2012" s="77"/>
      <c r="AZ2012" s="82" t="s">
        <v>20971</v>
      </c>
      <c r="BA2012" s="82" t="s">
        <v>20971</v>
      </c>
      <c r="BB2012" s="82" t="s">
        <v>20971</v>
      </c>
      <c r="BC2012" s="82" t="s">
        <v>18780</v>
      </c>
      <c r="BD2012" s="82" t="s">
        <v>21382</v>
      </c>
      <c r="BE2012" s="77"/>
      <c r="BF2012" s="77"/>
      <c r="BG2012" s="77"/>
      <c r="BH2012" s="77"/>
      <c r="BI2012" s="77"/>
    </row>
    <row r="2013" spans="1:61" x14ac:dyDescent="0.25">
      <c r="A2013" s="62" t="s">
        <v>721</v>
      </c>
      <c r="B2013" s="62" t="s">
        <v>721</v>
      </c>
      <c r="C2013" s="63"/>
      <c r="D2013" s="64"/>
      <c r="E2013" s="65"/>
      <c r="F2013" s="66"/>
      <c r="G2013" s="63"/>
      <c r="H2013" s="67"/>
      <c r="I2013" s="68"/>
      <c r="J2013" s="68"/>
      <c r="K2013" s="32"/>
      <c r="L2013" s="75">
        <v>2013</v>
      </c>
      <c r="M2013" s="75"/>
      <c r="N2013" s="70"/>
      <c r="O2013" s="77" t="s">
        <v>179</v>
      </c>
      <c r="P2013" s="79">
        <v>44972.05572916667</v>
      </c>
      <c r="Q2013" s="77" t="s">
        <v>3252</v>
      </c>
      <c r="R2013" s="77">
        <v>0</v>
      </c>
      <c r="S2013" s="77">
        <v>0</v>
      </c>
      <c r="T2013" s="77">
        <v>0</v>
      </c>
      <c r="U2013" s="77">
        <v>0</v>
      </c>
      <c r="V2013" s="77">
        <v>20</v>
      </c>
      <c r="W2013" s="82" t="s">
        <v>6158</v>
      </c>
      <c r="X2013" s="80" t="str">
        <f>HYPERLINK("https://pay.kiwify.com.br/2vTnClf?afid=EOcpbind")</f>
        <v>https://pay.kiwify.com.br/2vTnClf?afid=EOcpbind</v>
      </c>
      <c r="Y2013" s="77" t="s">
        <v>7252</v>
      </c>
      <c r="Z2013" s="77"/>
      <c r="AA2013" s="77" t="s">
        <v>8557</v>
      </c>
      <c r="AB2013" s="77" t="s">
        <v>10130</v>
      </c>
      <c r="AC2013" s="82" t="s">
        <v>10144</v>
      </c>
      <c r="AD2013" s="77" t="s">
        <v>10184</v>
      </c>
      <c r="AE2013" s="80" t="str">
        <f>HYPERLINK("https://twitter.com/alanis_matos10/status/1625666264784936961")</f>
        <v>https://twitter.com/alanis_matos10/status/1625666264784936961</v>
      </c>
      <c r="AF2013" s="79">
        <v>44972.05572916667</v>
      </c>
      <c r="AG2013" s="85">
        <v>44972</v>
      </c>
      <c r="AH2013" s="82" t="s">
        <v>12125</v>
      </c>
      <c r="AI2013" s="77" t="b">
        <v>0</v>
      </c>
      <c r="AJ2013" s="77" t="s">
        <v>14020</v>
      </c>
      <c r="AK2013" s="77" t="s">
        <v>14033</v>
      </c>
      <c r="AL2013" s="77" t="s">
        <v>14035</v>
      </c>
      <c r="AM2013" s="77" t="s">
        <v>14061</v>
      </c>
      <c r="AN2013" s="77" t="s">
        <v>14099</v>
      </c>
      <c r="AO2013" s="77" t="s">
        <v>14136</v>
      </c>
      <c r="AP2013" s="77" t="s">
        <v>14149</v>
      </c>
      <c r="AQ2013" s="77" t="s">
        <v>15201</v>
      </c>
      <c r="AR2013" s="77"/>
      <c r="AS2013" s="77"/>
      <c r="AT2013" s="77"/>
      <c r="AU2013" s="77"/>
      <c r="AV2013" s="80" t="str">
        <f>HYPERLINK("https://pbs.twimg.com/media/Fo-G2eQWcAE1oAS.jpg")</f>
        <v>https://pbs.twimg.com/media/Fo-G2eQWcAE1oAS.jpg</v>
      </c>
      <c r="AW2013" s="82" t="s">
        <v>18781</v>
      </c>
      <c r="AX2013" s="82" t="s">
        <v>18781</v>
      </c>
      <c r="AY2013" s="77"/>
      <c r="AZ2013" s="82" t="s">
        <v>20971</v>
      </c>
      <c r="BA2013" s="82" t="s">
        <v>20971</v>
      </c>
      <c r="BB2013" s="82" t="s">
        <v>20971</v>
      </c>
      <c r="BC2013" s="82" t="s">
        <v>18781</v>
      </c>
      <c r="BD2013" s="82" t="s">
        <v>21382</v>
      </c>
      <c r="BE2013" s="77"/>
      <c r="BF2013" s="77"/>
      <c r="BG2013" s="77"/>
      <c r="BH2013" s="77"/>
      <c r="BI2013" s="77"/>
    </row>
    <row r="2014" spans="1:61" x14ac:dyDescent="0.25">
      <c r="A2014" s="62" t="s">
        <v>721</v>
      </c>
      <c r="B2014" s="62" t="s">
        <v>721</v>
      </c>
      <c r="C2014" s="63"/>
      <c r="D2014" s="64"/>
      <c r="E2014" s="65"/>
      <c r="F2014" s="66"/>
      <c r="G2014" s="63"/>
      <c r="H2014" s="67"/>
      <c r="I2014" s="68"/>
      <c r="J2014" s="68"/>
      <c r="K2014" s="32"/>
      <c r="L2014" s="75">
        <v>2014</v>
      </c>
      <c r="M2014" s="75"/>
      <c r="N2014" s="70"/>
      <c r="O2014" s="77" t="s">
        <v>179</v>
      </c>
      <c r="P2014" s="79">
        <v>44971.791724537034</v>
      </c>
      <c r="Q2014" s="77" t="s">
        <v>3253</v>
      </c>
      <c r="R2014" s="77">
        <v>0</v>
      </c>
      <c r="S2014" s="77">
        <v>0</v>
      </c>
      <c r="T2014" s="77">
        <v>0</v>
      </c>
      <c r="U2014" s="77">
        <v>0</v>
      </c>
      <c r="V2014" s="77">
        <v>76</v>
      </c>
      <c r="W2014" s="82" t="s">
        <v>6159</v>
      </c>
      <c r="X2014" s="80" t="str">
        <f>HYPERLINK("https://pay.kiwify.com.br/2vTnClf?afid=EOcpbind")</f>
        <v>https://pay.kiwify.com.br/2vTnClf?afid=EOcpbind</v>
      </c>
      <c r="Y2014" s="77" t="s">
        <v>7252</v>
      </c>
      <c r="Z2014" s="77"/>
      <c r="AA2014" s="77"/>
      <c r="AB2014" s="77"/>
      <c r="AC2014" s="82" t="s">
        <v>10144</v>
      </c>
      <c r="AD2014" s="77" t="s">
        <v>10184</v>
      </c>
      <c r="AE2014" s="80" t="str">
        <f>HYPERLINK("https://twitter.com/alanis_matos10/status/1625570590739337242")</f>
        <v>https://twitter.com/alanis_matos10/status/1625570590739337242</v>
      </c>
      <c r="AF2014" s="79">
        <v>44971.791724537034</v>
      </c>
      <c r="AG2014" s="85">
        <v>44971</v>
      </c>
      <c r="AH2014" s="82" t="s">
        <v>12126</v>
      </c>
      <c r="AI2014" s="77" t="b">
        <v>0</v>
      </c>
      <c r="AJ2014" s="77" t="s">
        <v>14020</v>
      </c>
      <c r="AK2014" s="77" t="s">
        <v>14033</v>
      </c>
      <c r="AL2014" s="77" t="s">
        <v>14035</v>
      </c>
      <c r="AM2014" s="77" t="s">
        <v>14061</v>
      </c>
      <c r="AN2014" s="77" t="s">
        <v>14099</v>
      </c>
      <c r="AO2014" s="77" t="s">
        <v>14136</v>
      </c>
      <c r="AP2014" s="77" t="s">
        <v>14149</v>
      </c>
      <c r="AQ2014" s="77"/>
      <c r="AR2014" s="77"/>
      <c r="AS2014" s="77"/>
      <c r="AT2014" s="77"/>
      <c r="AU2014" s="77"/>
      <c r="AV2014" s="80" t="str">
        <f>HYPERLINK("https://pbs.twimg.com/profile_images/1623115535050240001/9H4reGun_normal.jpg")</f>
        <v>https://pbs.twimg.com/profile_images/1623115535050240001/9H4reGun_normal.jpg</v>
      </c>
      <c r="AW2014" s="82" t="s">
        <v>18782</v>
      </c>
      <c r="AX2014" s="82" t="s">
        <v>18782</v>
      </c>
      <c r="AY2014" s="77"/>
      <c r="AZ2014" s="82" t="s">
        <v>20971</v>
      </c>
      <c r="BA2014" s="82" t="s">
        <v>20971</v>
      </c>
      <c r="BB2014" s="82" t="s">
        <v>20971</v>
      </c>
      <c r="BC2014" s="82" t="s">
        <v>18782</v>
      </c>
      <c r="BD2014" s="82" t="s">
        <v>21382</v>
      </c>
      <c r="BE2014" s="77"/>
      <c r="BF2014" s="77"/>
      <c r="BG2014" s="77"/>
      <c r="BH2014" s="77"/>
      <c r="BI2014" s="77"/>
    </row>
    <row r="2015" spans="1:61" x14ac:dyDescent="0.25">
      <c r="A2015" s="62" t="s">
        <v>721</v>
      </c>
      <c r="B2015" s="62" t="s">
        <v>721</v>
      </c>
      <c r="C2015" s="63"/>
      <c r="D2015" s="64"/>
      <c r="E2015" s="65"/>
      <c r="F2015" s="66"/>
      <c r="G2015" s="63"/>
      <c r="H2015" s="67"/>
      <c r="I2015" s="68"/>
      <c r="J2015" s="68"/>
      <c r="K2015" s="32"/>
      <c r="L2015" s="75">
        <v>2015</v>
      </c>
      <c r="M2015" s="75"/>
      <c r="N2015" s="70"/>
      <c r="O2015" s="77" t="s">
        <v>179</v>
      </c>
      <c r="P2015" s="79">
        <v>44971.182326388887</v>
      </c>
      <c r="Q2015" s="77" t="s">
        <v>3254</v>
      </c>
      <c r="R2015" s="77">
        <v>0</v>
      </c>
      <c r="S2015" s="77">
        <v>0</v>
      </c>
      <c r="T2015" s="77">
        <v>0</v>
      </c>
      <c r="U2015" s="77">
        <v>0</v>
      </c>
      <c r="V2015" s="77">
        <v>43</v>
      </c>
      <c r="W2015" s="82" t="s">
        <v>6160</v>
      </c>
      <c r="X2015" s="80" t="str">
        <f>HYPERLINK("https://pay.kiwify.com.br/2vTnClf?afid=EOcpbind")</f>
        <v>https://pay.kiwify.com.br/2vTnClf?afid=EOcpbind</v>
      </c>
      <c r="Y2015" s="77" t="s">
        <v>7252</v>
      </c>
      <c r="Z2015" s="77"/>
      <c r="AA2015" s="77" t="s">
        <v>8558</v>
      </c>
      <c r="AB2015" s="77" t="s">
        <v>10130</v>
      </c>
      <c r="AC2015" s="82" t="s">
        <v>10144</v>
      </c>
      <c r="AD2015" s="77" t="s">
        <v>10184</v>
      </c>
      <c r="AE2015" s="80" t="str">
        <f>HYPERLINK("https://twitter.com/alanis_matos10/status/1625349754530979842")</f>
        <v>https://twitter.com/alanis_matos10/status/1625349754530979842</v>
      </c>
      <c r="AF2015" s="79">
        <v>44971.182326388887</v>
      </c>
      <c r="AG2015" s="85">
        <v>44971</v>
      </c>
      <c r="AH2015" s="82" t="s">
        <v>12127</v>
      </c>
      <c r="AI2015" s="77" t="b">
        <v>0</v>
      </c>
      <c r="AJ2015" s="77" t="s">
        <v>14020</v>
      </c>
      <c r="AK2015" s="77" t="s">
        <v>14033</v>
      </c>
      <c r="AL2015" s="77" t="s">
        <v>14035</v>
      </c>
      <c r="AM2015" s="77" t="s">
        <v>14061</v>
      </c>
      <c r="AN2015" s="77" t="s">
        <v>14099</v>
      </c>
      <c r="AO2015" s="77" t="s">
        <v>14136</v>
      </c>
      <c r="AP2015" s="77" t="s">
        <v>14149</v>
      </c>
      <c r="AQ2015" s="77" t="s">
        <v>15202</v>
      </c>
      <c r="AR2015" s="77"/>
      <c r="AS2015" s="77"/>
      <c r="AT2015" s="77"/>
      <c r="AU2015" s="77"/>
      <c r="AV2015" s="80" t="str">
        <f>HYPERLINK("https://pbs.twimg.com/media/Fo5m_QbWIAMneGa.jpg")</f>
        <v>https://pbs.twimg.com/media/Fo5m_QbWIAMneGa.jpg</v>
      </c>
      <c r="AW2015" s="82" t="s">
        <v>18783</v>
      </c>
      <c r="AX2015" s="82" t="s">
        <v>18783</v>
      </c>
      <c r="AY2015" s="77"/>
      <c r="AZ2015" s="82" t="s">
        <v>20971</v>
      </c>
      <c r="BA2015" s="82" t="s">
        <v>20971</v>
      </c>
      <c r="BB2015" s="82" t="s">
        <v>20971</v>
      </c>
      <c r="BC2015" s="82" t="s">
        <v>18783</v>
      </c>
      <c r="BD2015" s="82" t="s">
        <v>21382</v>
      </c>
      <c r="BE2015" s="77"/>
      <c r="BF2015" s="77"/>
      <c r="BG2015" s="77"/>
      <c r="BH2015" s="77"/>
      <c r="BI2015" s="77"/>
    </row>
    <row r="2016" spans="1:61" x14ac:dyDescent="0.25">
      <c r="A2016" s="62" t="s">
        <v>721</v>
      </c>
      <c r="B2016" s="62" t="s">
        <v>721</v>
      </c>
      <c r="C2016" s="63"/>
      <c r="D2016" s="64"/>
      <c r="E2016" s="65"/>
      <c r="F2016" s="66"/>
      <c r="G2016" s="63"/>
      <c r="H2016" s="67"/>
      <c r="I2016" s="68"/>
      <c r="J2016" s="68"/>
      <c r="K2016" s="32"/>
      <c r="L2016" s="75">
        <v>2016</v>
      </c>
      <c r="M2016" s="75"/>
      <c r="N2016" s="70"/>
      <c r="O2016" s="77" t="s">
        <v>179</v>
      </c>
      <c r="P2016" s="79">
        <v>44971.128784722219</v>
      </c>
      <c r="Q2016" s="77" t="s">
        <v>3255</v>
      </c>
      <c r="R2016" s="77">
        <v>0</v>
      </c>
      <c r="S2016" s="77">
        <v>0</v>
      </c>
      <c r="T2016" s="77">
        <v>0</v>
      </c>
      <c r="U2016" s="77">
        <v>0</v>
      </c>
      <c r="V2016" s="77">
        <v>22</v>
      </c>
      <c r="W2016" s="82" t="s">
        <v>6161</v>
      </c>
      <c r="X2016" s="80" t="str">
        <f>HYPERLINK("https://pay.kiwify.com.br/2vTnClf?afid=EOcpbind")</f>
        <v>https://pay.kiwify.com.br/2vTnClf?afid=EOcpbind</v>
      </c>
      <c r="Y2016" s="77" t="s">
        <v>7252</v>
      </c>
      <c r="Z2016" s="77"/>
      <c r="AA2016" s="77" t="s">
        <v>8559</v>
      </c>
      <c r="AB2016" s="77" t="s">
        <v>10129</v>
      </c>
      <c r="AC2016" s="82" t="s">
        <v>10144</v>
      </c>
      <c r="AD2016" s="77" t="s">
        <v>10184</v>
      </c>
      <c r="AE2016" s="80" t="str">
        <f>HYPERLINK("https://twitter.com/alanis_matos10/status/1625330349327745027")</f>
        <v>https://twitter.com/alanis_matos10/status/1625330349327745027</v>
      </c>
      <c r="AF2016" s="79">
        <v>44971.128784722219</v>
      </c>
      <c r="AG2016" s="85">
        <v>44971</v>
      </c>
      <c r="AH2016" s="82" t="s">
        <v>12128</v>
      </c>
      <c r="AI2016" s="77" t="b">
        <v>0</v>
      </c>
      <c r="AJ2016" s="77" t="s">
        <v>14020</v>
      </c>
      <c r="AK2016" s="77" t="s">
        <v>14033</v>
      </c>
      <c r="AL2016" s="77" t="s">
        <v>14035</v>
      </c>
      <c r="AM2016" s="77" t="s">
        <v>14061</v>
      </c>
      <c r="AN2016" s="77" t="s">
        <v>14099</v>
      </c>
      <c r="AO2016" s="77" t="s">
        <v>14136</v>
      </c>
      <c r="AP2016" s="77" t="s">
        <v>14149</v>
      </c>
      <c r="AQ2016" s="77" t="s">
        <v>15203</v>
      </c>
      <c r="AR2016" s="77">
        <v>11733</v>
      </c>
      <c r="AS2016" s="77"/>
      <c r="AT2016" s="77"/>
      <c r="AU2016" s="77"/>
      <c r="AV2016" s="80" t="str">
        <f>HYPERLINK("https://pbs.twimg.com/ext_tw_video_thumb/1625330307355275265/pu/img/tfXan7_CnL07HSgQ.jpg")</f>
        <v>https://pbs.twimg.com/ext_tw_video_thumb/1625330307355275265/pu/img/tfXan7_CnL07HSgQ.jpg</v>
      </c>
      <c r="AW2016" s="82" t="s">
        <v>18784</v>
      </c>
      <c r="AX2016" s="82" t="s">
        <v>18784</v>
      </c>
      <c r="AY2016" s="77"/>
      <c r="AZ2016" s="82" t="s">
        <v>20971</v>
      </c>
      <c r="BA2016" s="82" t="s">
        <v>20971</v>
      </c>
      <c r="BB2016" s="82" t="s">
        <v>20971</v>
      </c>
      <c r="BC2016" s="82" t="s">
        <v>18784</v>
      </c>
      <c r="BD2016" s="82" t="s">
        <v>21382</v>
      </c>
      <c r="BE2016" s="77"/>
      <c r="BF2016" s="77"/>
      <c r="BG2016" s="77"/>
      <c r="BH2016" s="77"/>
      <c r="BI2016" s="77"/>
    </row>
    <row r="2017" spans="1:61" x14ac:dyDescent="0.25">
      <c r="A2017" s="62" t="s">
        <v>722</v>
      </c>
      <c r="B2017" s="62" t="s">
        <v>722</v>
      </c>
      <c r="C2017" s="63"/>
      <c r="D2017" s="64"/>
      <c r="E2017" s="65"/>
      <c r="F2017" s="66"/>
      <c r="G2017" s="63"/>
      <c r="H2017" s="67"/>
      <c r="I2017" s="68"/>
      <c r="J2017" s="68"/>
      <c r="K2017" s="32"/>
      <c r="L2017" s="75">
        <v>2017</v>
      </c>
      <c r="M2017" s="75"/>
      <c r="N2017" s="70"/>
      <c r="O2017" s="77" t="s">
        <v>179</v>
      </c>
      <c r="P2017" s="79">
        <v>45129.762418981481</v>
      </c>
      <c r="Q2017" s="77" t="s">
        <v>3256</v>
      </c>
      <c r="R2017" s="77">
        <v>0</v>
      </c>
      <c r="S2017" s="77">
        <v>1</v>
      </c>
      <c r="T2017" s="77">
        <v>0</v>
      </c>
      <c r="U2017" s="77">
        <v>0</v>
      </c>
      <c r="V2017" s="77">
        <v>84</v>
      </c>
      <c r="W2017" s="82" t="s">
        <v>6162</v>
      </c>
      <c r="X2017" s="80" t="str">
        <f>HYPERLINK("https://vvwon04.com?inviteCode=flDQtqP5")</f>
        <v>https://vvwon04.com?inviteCode=flDQtqP5</v>
      </c>
      <c r="Y2017" s="77" t="s">
        <v>7384</v>
      </c>
      <c r="Z2017" s="77"/>
      <c r="AA2017" s="77" t="s">
        <v>8560</v>
      </c>
      <c r="AB2017" s="77" t="s">
        <v>10131</v>
      </c>
      <c r="AC2017" s="82" t="s">
        <v>10145</v>
      </c>
      <c r="AD2017" s="77" t="s">
        <v>10184</v>
      </c>
      <c r="AE2017" s="80" t="str">
        <f>HYPERLINK("https://twitter.com/bisolitary/status/1682817253291487232")</f>
        <v>https://twitter.com/bisolitary/status/1682817253291487232</v>
      </c>
      <c r="AF2017" s="79">
        <v>45129.762418981481</v>
      </c>
      <c r="AG2017" s="85">
        <v>45129</v>
      </c>
      <c r="AH2017" s="82" t="s">
        <v>12129</v>
      </c>
      <c r="AI2017" s="77" t="b">
        <v>0</v>
      </c>
      <c r="AJ2017" s="77"/>
      <c r="AK2017" s="77"/>
      <c r="AL2017" s="77"/>
      <c r="AM2017" s="77"/>
      <c r="AN2017" s="77"/>
      <c r="AO2017" s="77"/>
      <c r="AP2017" s="77"/>
      <c r="AQ2017" s="77" t="s">
        <v>15204</v>
      </c>
      <c r="AR2017" s="77"/>
      <c r="AS2017" s="77"/>
      <c r="AT2017" s="77"/>
      <c r="AU2017" s="77"/>
      <c r="AV2017" s="80" t="str">
        <f>HYPERLINK("https://pbs.twimg.com/media/F1qRXv6WwAAfzks.jpg")</f>
        <v>https://pbs.twimg.com/media/F1qRXv6WwAAfzks.jpg</v>
      </c>
      <c r="AW2017" s="82" t="s">
        <v>18785</v>
      </c>
      <c r="AX2017" s="82" t="s">
        <v>18785</v>
      </c>
      <c r="AY2017" s="77"/>
      <c r="AZ2017" s="82" t="s">
        <v>20971</v>
      </c>
      <c r="BA2017" s="82" t="s">
        <v>20971</v>
      </c>
      <c r="BB2017" s="82" t="s">
        <v>20971</v>
      </c>
      <c r="BC2017" s="82" t="s">
        <v>18785</v>
      </c>
      <c r="BD2017" s="82" t="s">
        <v>21383</v>
      </c>
      <c r="BE2017" s="77"/>
      <c r="BF2017" s="77"/>
      <c r="BG2017" s="77"/>
      <c r="BH2017" s="77"/>
      <c r="BI2017" s="77"/>
    </row>
    <row r="2018" spans="1:61" x14ac:dyDescent="0.25">
      <c r="A2018" s="62" t="s">
        <v>723</v>
      </c>
      <c r="B2018" s="62" t="s">
        <v>1262</v>
      </c>
      <c r="C2018" s="63"/>
      <c r="D2018" s="64"/>
      <c r="E2018" s="65"/>
      <c r="F2018" s="66"/>
      <c r="G2018" s="63"/>
      <c r="H2018" s="67"/>
      <c r="I2018" s="68"/>
      <c r="J2018" s="68"/>
      <c r="K2018" s="32"/>
      <c r="L2018" s="75">
        <v>2018</v>
      </c>
      <c r="M2018" s="75"/>
      <c r="N2018" s="70"/>
      <c r="O2018" s="77" t="s">
        <v>1284</v>
      </c>
      <c r="P2018" s="79">
        <v>45126.673715277779</v>
      </c>
      <c r="Q2018" s="77" t="s">
        <v>3257</v>
      </c>
      <c r="R2018" s="77">
        <v>0</v>
      </c>
      <c r="S2018" s="77">
        <v>0</v>
      </c>
      <c r="T2018" s="77">
        <v>0</v>
      </c>
      <c r="U2018" s="77">
        <v>0</v>
      </c>
      <c r="V2018" s="77">
        <v>46</v>
      </c>
      <c r="W2018" s="82" t="s">
        <v>5236</v>
      </c>
      <c r="X2018" s="77"/>
      <c r="Y2018" s="77"/>
      <c r="Z2018" s="77" t="s">
        <v>1262</v>
      </c>
      <c r="AA2018" s="77"/>
      <c r="AB2018" s="77"/>
      <c r="AC2018" s="82" t="s">
        <v>10146</v>
      </c>
      <c r="AD2018" s="77" t="s">
        <v>10184</v>
      </c>
      <c r="AE2018" s="80" t="str">
        <f>HYPERLINK("https://twitter.com/faby59240435/status/1681697947287683073")</f>
        <v>https://twitter.com/faby59240435/status/1681697947287683073</v>
      </c>
      <c r="AF2018" s="79">
        <v>45126.673715277779</v>
      </c>
      <c r="AG2018" s="85">
        <v>45126</v>
      </c>
      <c r="AH2018" s="82" t="s">
        <v>12130</v>
      </c>
      <c r="AI2018" s="77"/>
      <c r="AJ2018" s="77"/>
      <c r="AK2018" s="77"/>
      <c r="AL2018" s="77"/>
      <c r="AM2018" s="77"/>
      <c r="AN2018" s="77"/>
      <c r="AO2018" s="77"/>
      <c r="AP2018" s="77"/>
      <c r="AQ2018" s="77"/>
      <c r="AR2018" s="77"/>
      <c r="AS2018" s="77"/>
      <c r="AT2018" s="77"/>
      <c r="AU2018" s="77"/>
      <c r="AV2018" s="80" t="str">
        <f>HYPERLINK("https://pbs.twimg.com/profile_images/1044734049850478592/0VMQjQkv_normal.jpg")</f>
        <v>https://pbs.twimg.com/profile_images/1044734049850478592/0VMQjQkv_normal.jpg</v>
      </c>
      <c r="AW2018" s="82" t="s">
        <v>18786</v>
      </c>
      <c r="AX2018" s="82" t="s">
        <v>20858</v>
      </c>
      <c r="AY2018" s="82" t="s">
        <v>20941</v>
      </c>
      <c r="AZ2018" s="82" t="s">
        <v>20858</v>
      </c>
      <c r="BA2018" s="82" t="s">
        <v>20971</v>
      </c>
      <c r="BB2018" s="82" t="s">
        <v>20971</v>
      </c>
      <c r="BC2018" s="82" t="s">
        <v>20858</v>
      </c>
      <c r="BD2018" s="82" t="s">
        <v>21384</v>
      </c>
      <c r="BE2018" s="77"/>
      <c r="BF2018" s="77"/>
      <c r="BG2018" s="77"/>
      <c r="BH2018" s="77"/>
      <c r="BI2018" s="77"/>
    </row>
    <row r="2019" spans="1:61" x14ac:dyDescent="0.25">
      <c r="A2019" s="62" t="s">
        <v>724</v>
      </c>
      <c r="B2019" s="62" t="s">
        <v>1263</v>
      </c>
      <c r="C2019" s="63"/>
      <c r="D2019" s="64"/>
      <c r="E2019" s="65"/>
      <c r="F2019" s="66"/>
      <c r="G2019" s="63"/>
      <c r="H2019" s="67"/>
      <c r="I2019" s="68"/>
      <c r="J2019" s="68"/>
      <c r="K2019" s="32"/>
      <c r="L2019" s="75">
        <v>2019</v>
      </c>
      <c r="M2019" s="75"/>
      <c r="N2019" s="70"/>
      <c r="O2019" s="77" t="s">
        <v>1284</v>
      </c>
      <c r="P2019" s="79">
        <v>45195.801840277774</v>
      </c>
      <c r="Q2019" s="77" t="s">
        <v>3258</v>
      </c>
      <c r="R2019" s="77">
        <v>0</v>
      </c>
      <c r="S2019" s="77">
        <v>0</v>
      </c>
      <c r="T2019" s="77">
        <v>0</v>
      </c>
      <c r="U2019" s="77">
        <v>0</v>
      </c>
      <c r="V2019" s="77">
        <v>53</v>
      </c>
      <c r="W2019" s="82" t="s">
        <v>5725</v>
      </c>
      <c r="X2019" s="80" t="str">
        <f>HYPERLINK("https://www.triunfo777.com?TF=cjf6ch1")</f>
        <v>https://www.triunfo777.com?TF=cjf6ch1</v>
      </c>
      <c r="Y2019" s="77" t="s">
        <v>7385</v>
      </c>
      <c r="Z2019" s="77" t="s">
        <v>1263</v>
      </c>
      <c r="AA2019" s="77" t="s">
        <v>8561</v>
      </c>
      <c r="AB2019" s="77" t="s">
        <v>10130</v>
      </c>
      <c r="AC2019" s="82" t="s">
        <v>10144</v>
      </c>
      <c r="AD2019" s="77" t="s">
        <v>10184</v>
      </c>
      <c r="AE2019" s="80" t="str">
        <f>HYPERLINK("https://twitter.com/thiagofeli12411/status/1706749138761613315")</f>
        <v>https://twitter.com/thiagofeli12411/status/1706749138761613315</v>
      </c>
      <c r="AF2019" s="79">
        <v>45195.801840277774</v>
      </c>
      <c r="AG2019" s="85">
        <v>45195</v>
      </c>
      <c r="AH2019" s="82" t="s">
        <v>12131</v>
      </c>
      <c r="AI2019" s="77" t="b">
        <v>0</v>
      </c>
      <c r="AJ2019" s="77"/>
      <c r="AK2019" s="77"/>
      <c r="AL2019" s="77"/>
      <c r="AM2019" s="77"/>
      <c r="AN2019" s="77"/>
      <c r="AO2019" s="77"/>
      <c r="AP2019" s="77"/>
      <c r="AQ2019" s="77" t="s">
        <v>15205</v>
      </c>
      <c r="AR2019" s="77"/>
      <c r="AS2019" s="77"/>
      <c r="AT2019" s="77"/>
      <c r="AU2019" s="77"/>
      <c r="AV2019" s="80" t="str">
        <f>HYPERLINK("https://pbs.twimg.com/media/F6-XSssW8AA-wQO.jpg")</f>
        <v>https://pbs.twimg.com/media/F6-XSssW8AA-wQO.jpg</v>
      </c>
      <c r="AW2019" s="82" t="s">
        <v>18787</v>
      </c>
      <c r="AX2019" s="82" t="s">
        <v>18815</v>
      </c>
      <c r="AY2019" s="82" t="s">
        <v>20942</v>
      </c>
      <c r="AZ2019" s="82" t="s">
        <v>20992</v>
      </c>
      <c r="BA2019" s="82" t="s">
        <v>20971</v>
      </c>
      <c r="BB2019" s="82" t="s">
        <v>20971</v>
      </c>
      <c r="BC2019" s="82" t="s">
        <v>20992</v>
      </c>
      <c r="BD2019" s="82" t="s">
        <v>20943</v>
      </c>
      <c r="BE2019" s="77"/>
      <c r="BF2019" s="77"/>
      <c r="BG2019" s="77"/>
      <c r="BH2019" s="77"/>
      <c r="BI2019" s="77"/>
    </row>
    <row r="2020" spans="1:61" x14ac:dyDescent="0.25">
      <c r="A2020" s="62" t="s">
        <v>724</v>
      </c>
      <c r="B2020" s="62" t="s">
        <v>724</v>
      </c>
      <c r="C2020" s="63"/>
      <c r="D2020" s="64"/>
      <c r="E2020" s="65"/>
      <c r="F2020" s="66"/>
      <c r="G2020" s="63"/>
      <c r="H2020" s="67"/>
      <c r="I2020" s="68"/>
      <c r="J2020" s="68"/>
      <c r="K2020" s="32"/>
      <c r="L2020" s="75">
        <v>2020</v>
      </c>
      <c r="M2020" s="75"/>
      <c r="N2020" s="70"/>
      <c r="O2020" s="77" t="s">
        <v>1284</v>
      </c>
      <c r="P2020" s="79">
        <v>45193.839768518519</v>
      </c>
      <c r="Q2020" s="77" t="s">
        <v>3259</v>
      </c>
      <c r="R2020" s="77">
        <v>1</v>
      </c>
      <c r="S2020" s="77">
        <v>1</v>
      </c>
      <c r="T2020" s="77">
        <v>2</v>
      </c>
      <c r="U2020" s="77">
        <v>0</v>
      </c>
      <c r="V2020" s="77">
        <v>72</v>
      </c>
      <c r="W2020" s="82" t="s">
        <v>5725</v>
      </c>
      <c r="X2020" s="80" t="str">
        <f>HYPERLINK("https://www.triunfo777.com?TF=cjf6ch1")</f>
        <v>https://www.triunfo777.com?TF=cjf6ch1</v>
      </c>
      <c r="Y2020" s="77" t="s">
        <v>7385</v>
      </c>
      <c r="Z2020" s="77"/>
      <c r="AA2020" s="77" t="s">
        <v>8562</v>
      </c>
      <c r="AB2020" s="77" t="s">
        <v>10130</v>
      </c>
      <c r="AC2020" s="82" t="s">
        <v>10144</v>
      </c>
      <c r="AD2020" s="77" t="s">
        <v>10184</v>
      </c>
      <c r="AE2020" s="80" t="str">
        <f>HYPERLINK("https://twitter.com/thiagofeli12411/status/1706038109597491489")</f>
        <v>https://twitter.com/thiagofeli12411/status/1706038109597491489</v>
      </c>
      <c r="AF2020" s="79">
        <v>45193.839768518519</v>
      </c>
      <c r="AG2020" s="85">
        <v>45193</v>
      </c>
      <c r="AH2020" s="82" t="s">
        <v>12132</v>
      </c>
      <c r="AI2020" s="77" t="b">
        <v>0</v>
      </c>
      <c r="AJ2020" s="77"/>
      <c r="AK2020" s="77"/>
      <c r="AL2020" s="77"/>
      <c r="AM2020" s="77"/>
      <c r="AN2020" s="77"/>
      <c r="AO2020" s="77"/>
      <c r="AP2020" s="77"/>
      <c r="AQ2020" s="77" t="s">
        <v>15206</v>
      </c>
      <c r="AR2020" s="77"/>
      <c r="AS2020" s="77"/>
      <c r="AT2020" s="77"/>
      <c r="AU2020" s="77"/>
      <c r="AV2020" s="80" t="str">
        <f>HYPERLINK("https://pbs.twimg.com/media/F60QnUGXoAAO9Nh.jpg")</f>
        <v>https://pbs.twimg.com/media/F60QnUGXoAAO9Nh.jpg</v>
      </c>
      <c r="AW2020" s="82" t="s">
        <v>18788</v>
      </c>
      <c r="AX2020" s="82" t="s">
        <v>18815</v>
      </c>
      <c r="AY2020" s="82" t="s">
        <v>20943</v>
      </c>
      <c r="AZ2020" s="82" t="s">
        <v>18815</v>
      </c>
      <c r="BA2020" s="82" t="s">
        <v>20971</v>
      </c>
      <c r="BB2020" s="82" t="s">
        <v>20971</v>
      </c>
      <c r="BC2020" s="82" t="s">
        <v>18815</v>
      </c>
      <c r="BD2020" s="82" t="s">
        <v>20943</v>
      </c>
      <c r="BE2020" s="77"/>
      <c r="BF2020" s="77"/>
      <c r="BG2020" s="77"/>
      <c r="BH2020" s="77"/>
      <c r="BI2020" s="77"/>
    </row>
    <row r="2021" spans="1:61" x14ac:dyDescent="0.25">
      <c r="A2021" s="62" t="s">
        <v>724</v>
      </c>
      <c r="B2021" s="62" t="s">
        <v>724</v>
      </c>
      <c r="C2021" s="63"/>
      <c r="D2021" s="64"/>
      <c r="E2021" s="65"/>
      <c r="F2021" s="66"/>
      <c r="G2021" s="63"/>
      <c r="H2021" s="67"/>
      <c r="I2021" s="68"/>
      <c r="J2021" s="68"/>
      <c r="K2021" s="32"/>
      <c r="L2021" s="75">
        <v>2021</v>
      </c>
      <c r="M2021" s="75"/>
      <c r="N2021" s="70"/>
      <c r="O2021" s="77" t="s">
        <v>1284</v>
      </c>
      <c r="P2021" s="79">
        <v>45189.679305555554</v>
      </c>
      <c r="Q2021" s="77" t="s">
        <v>3260</v>
      </c>
      <c r="R2021" s="77">
        <v>1</v>
      </c>
      <c r="S2021" s="77">
        <v>0</v>
      </c>
      <c r="T2021" s="77">
        <v>0</v>
      </c>
      <c r="U2021" s="77">
        <v>0</v>
      </c>
      <c r="V2021" s="77">
        <v>107</v>
      </c>
      <c r="W2021" s="82" t="s">
        <v>5725</v>
      </c>
      <c r="X2021" s="80" t="str">
        <f>HYPERLINK("https://www.triunfo777.com?TF=cjf6ch1")</f>
        <v>https://www.triunfo777.com?TF=cjf6ch1</v>
      </c>
      <c r="Y2021" s="77" t="s">
        <v>7385</v>
      </c>
      <c r="Z2021" s="77"/>
      <c r="AA2021" s="77"/>
      <c r="AB2021" s="77"/>
      <c r="AC2021" s="82" t="s">
        <v>10144</v>
      </c>
      <c r="AD2021" s="77" t="s">
        <v>10184</v>
      </c>
      <c r="AE2021" s="80" t="str">
        <f>HYPERLINK("https://twitter.com/thiagofeli12411/status/1704530406668673070")</f>
        <v>https://twitter.com/thiagofeli12411/status/1704530406668673070</v>
      </c>
      <c r="AF2021" s="79">
        <v>45189.679305555554</v>
      </c>
      <c r="AG2021" s="85">
        <v>45189</v>
      </c>
      <c r="AH2021" s="82" t="s">
        <v>12133</v>
      </c>
      <c r="AI2021" s="77" t="b">
        <v>0</v>
      </c>
      <c r="AJ2021" s="77"/>
      <c r="AK2021" s="77"/>
      <c r="AL2021" s="77"/>
      <c r="AM2021" s="77"/>
      <c r="AN2021" s="77"/>
      <c r="AO2021" s="77"/>
      <c r="AP2021" s="77"/>
      <c r="AQ2021" s="77"/>
      <c r="AR2021" s="77"/>
      <c r="AS2021" s="77"/>
      <c r="AT2021" s="77"/>
      <c r="AU2021" s="77"/>
      <c r="AV2021" s="80" t="str">
        <f>HYPERLINK("https://pbs.twimg.com/profile_images/1670904315236556801/OEXiAt-q_normal.jpg")</f>
        <v>https://pbs.twimg.com/profile_images/1670904315236556801/OEXiAt-q_normal.jpg</v>
      </c>
      <c r="AW2021" s="82" t="s">
        <v>18789</v>
      </c>
      <c r="AX2021" s="82" t="s">
        <v>18811</v>
      </c>
      <c r="AY2021" s="82" t="s">
        <v>20943</v>
      </c>
      <c r="AZ2021" s="82" t="s">
        <v>18811</v>
      </c>
      <c r="BA2021" s="82" t="s">
        <v>20971</v>
      </c>
      <c r="BB2021" s="82" t="s">
        <v>20971</v>
      </c>
      <c r="BC2021" s="82" t="s">
        <v>18811</v>
      </c>
      <c r="BD2021" s="82" t="s">
        <v>20943</v>
      </c>
      <c r="BE2021" s="77"/>
      <c r="BF2021" s="77"/>
      <c r="BG2021" s="77"/>
      <c r="BH2021" s="77"/>
      <c r="BI2021" s="77"/>
    </row>
    <row r="2022" spans="1:61" x14ac:dyDescent="0.25">
      <c r="A2022" s="62" t="s">
        <v>724</v>
      </c>
      <c r="B2022" s="62" t="s">
        <v>724</v>
      </c>
      <c r="C2022" s="63"/>
      <c r="D2022" s="64"/>
      <c r="E2022" s="65"/>
      <c r="F2022" s="66"/>
      <c r="G2022" s="63"/>
      <c r="H2022" s="67"/>
      <c r="I2022" s="68"/>
      <c r="J2022" s="68"/>
      <c r="K2022" s="32"/>
      <c r="L2022" s="75">
        <v>2022</v>
      </c>
      <c r="M2022" s="75"/>
      <c r="N2022" s="70"/>
      <c r="O2022" s="77" t="s">
        <v>1287</v>
      </c>
      <c r="P2022" s="79">
        <v>45189.68277777778</v>
      </c>
      <c r="Q2022" s="77" t="s">
        <v>3261</v>
      </c>
      <c r="R2022" s="77">
        <v>1</v>
      </c>
      <c r="S2022" s="77">
        <v>0</v>
      </c>
      <c r="T2022" s="77">
        <v>0</v>
      </c>
      <c r="U2022" s="77">
        <v>0</v>
      </c>
      <c r="V2022" s="77"/>
      <c r="W2022" s="77"/>
      <c r="X2022" s="80" t="str">
        <f>HYPERLINK("https://www.triunfo777.com?TF=cjf6ch1")</f>
        <v>https://www.triunfo777.com?TF=cjf6ch1</v>
      </c>
      <c r="Y2022" s="77" t="s">
        <v>7385</v>
      </c>
      <c r="Z2022" s="77" t="s">
        <v>724</v>
      </c>
      <c r="AA2022" s="77"/>
      <c r="AB2022" s="77"/>
      <c r="AC2022" s="82" t="s">
        <v>10144</v>
      </c>
      <c r="AD2022" s="77" t="s">
        <v>10184</v>
      </c>
      <c r="AE2022" s="80" t="str">
        <f>HYPERLINK("https://twitter.com/thiagofeli12411/status/1704531664192336010")</f>
        <v>https://twitter.com/thiagofeli12411/status/1704531664192336010</v>
      </c>
      <c r="AF2022" s="79">
        <v>45189.68277777778</v>
      </c>
      <c r="AG2022" s="85">
        <v>45189</v>
      </c>
      <c r="AH2022" s="82" t="s">
        <v>12134</v>
      </c>
      <c r="AI2022" s="77" t="b">
        <v>0</v>
      </c>
      <c r="AJ2022" s="77"/>
      <c r="AK2022" s="77"/>
      <c r="AL2022" s="77"/>
      <c r="AM2022" s="77"/>
      <c r="AN2022" s="77"/>
      <c r="AO2022" s="77"/>
      <c r="AP2022" s="77"/>
      <c r="AQ2022" s="77"/>
      <c r="AR2022" s="77"/>
      <c r="AS2022" s="77"/>
      <c r="AT2022" s="77"/>
      <c r="AU2022" s="77"/>
      <c r="AV2022" s="80" t="str">
        <f>HYPERLINK("https://pbs.twimg.com/profile_images/1670904315236556801/OEXiAt-q_normal.jpg")</f>
        <v>https://pbs.twimg.com/profile_images/1670904315236556801/OEXiAt-q_normal.jpg</v>
      </c>
      <c r="AW2022" s="82" t="s">
        <v>18790</v>
      </c>
      <c r="AX2022" s="82" t="s">
        <v>18790</v>
      </c>
      <c r="AY2022" s="77"/>
      <c r="AZ2022" s="82" t="s">
        <v>20971</v>
      </c>
      <c r="BA2022" s="82" t="s">
        <v>20971</v>
      </c>
      <c r="BB2022" s="82" t="s">
        <v>18789</v>
      </c>
      <c r="BC2022" s="82" t="s">
        <v>18789</v>
      </c>
      <c r="BD2022" s="82" t="s">
        <v>20943</v>
      </c>
      <c r="BE2022" s="77"/>
      <c r="BF2022" s="77"/>
      <c r="BG2022" s="77"/>
      <c r="BH2022" s="77"/>
      <c r="BI2022" s="77"/>
    </row>
    <row r="2023" spans="1:61" x14ac:dyDescent="0.25">
      <c r="A2023" s="62" t="s">
        <v>724</v>
      </c>
      <c r="B2023" s="62" t="s">
        <v>724</v>
      </c>
      <c r="C2023" s="63"/>
      <c r="D2023" s="64"/>
      <c r="E2023" s="65"/>
      <c r="F2023" s="66"/>
      <c r="G2023" s="63"/>
      <c r="H2023" s="67"/>
      <c r="I2023" s="68"/>
      <c r="J2023" s="68"/>
      <c r="K2023" s="32"/>
      <c r="L2023" s="75">
        <v>2023</v>
      </c>
      <c r="M2023" s="75"/>
      <c r="N2023" s="70"/>
      <c r="O2023" s="77" t="s">
        <v>1286</v>
      </c>
      <c r="P2023" s="79">
        <v>45189.681261574071</v>
      </c>
      <c r="Q2023" s="77" t="s">
        <v>3260</v>
      </c>
      <c r="R2023" s="77">
        <v>1</v>
      </c>
      <c r="S2023" s="77">
        <v>0</v>
      </c>
      <c r="T2023" s="77">
        <v>0</v>
      </c>
      <c r="U2023" s="77">
        <v>0</v>
      </c>
      <c r="V2023" s="77">
        <v>170</v>
      </c>
      <c r="W2023" s="82" t="s">
        <v>5725</v>
      </c>
      <c r="X2023" s="80" t="str">
        <f>HYPERLINK("https://www.triunfo777.com?TF=cjf6ch1")</f>
        <v>https://www.triunfo777.com?TF=cjf6ch1</v>
      </c>
      <c r="Y2023" s="77" t="s">
        <v>7385</v>
      </c>
      <c r="Z2023" s="77"/>
      <c r="AA2023" s="77"/>
      <c r="AB2023" s="77"/>
      <c r="AC2023" s="82" t="s">
        <v>10144</v>
      </c>
      <c r="AD2023" s="77" t="s">
        <v>10184</v>
      </c>
      <c r="AE2023" s="80" t="str">
        <f>HYPERLINK("https://twitter.com/thiagofeli12411/status/1704531115116007518")</f>
        <v>https://twitter.com/thiagofeli12411/status/1704531115116007518</v>
      </c>
      <c r="AF2023" s="79">
        <v>45189.681261574071</v>
      </c>
      <c r="AG2023" s="85">
        <v>45189</v>
      </c>
      <c r="AH2023" s="82" t="s">
        <v>12135</v>
      </c>
      <c r="AI2023" s="77" t="b">
        <v>0</v>
      </c>
      <c r="AJ2023" s="77"/>
      <c r="AK2023" s="77"/>
      <c r="AL2023" s="77"/>
      <c r="AM2023" s="77"/>
      <c r="AN2023" s="77"/>
      <c r="AO2023" s="77"/>
      <c r="AP2023" s="77"/>
      <c r="AQ2023" s="77"/>
      <c r="AR2023" s="77"/>
      <c r="AS2023" s="77"/>
      <c r="AT2023" s="77"/>
      <c r="AU2023" s="77"/>
      <c r="AV2023" s="80" t="str">
        <f>HYPERLINK("https://pbs.twimg.com/profile_images/1670904315236556801/OEXiAt-q_normal.jpg")</f>
        <v>https://pbs.twimg.com/profile_images/1670904315236556801/OEXiAt-q_normal.jpg</v>
      </c>
      <c r="AW2023" s="82" t="s">
        <v>18791</v>
      </c>
      <c r="AX2023" s="82" t="s">
        <v>18791</v>
      </c>
      <c r="AY2023" s="77"/>
      <c r="AZ2023" s="82" t="s">
        <v>20971</v>
      </c>
      <c r="BA2023" s="82" t="s">
        <v>20860</v>
      </c>
      <c r="BB2023" s="82" t="s">
        <v>20971</v>
      </c>
      <c r="BC2023" s="82" t="s">
        <v>20860</v>
      </c>
      <c r="BD2023" s="82" t="s">
        <v>20943</v>
      </c>
      <c r="BE2023" s="77"/>
      <c r="BF2023" s="77"/>
      <c r="BG2023" s="77"/>
      <c r="BH2023" s="77"/>
      <c r="BI2023" s="77"/>
    </row>
    <row r="2024" spans="1:61" x14ac:dyDescent="0.25">
      <c r="A2024" s="62" t="s">
        <v>724</v>
      </c>
      <c r="B2024" s="62" t="s">
        <v>724</v>
      </c>
      <c r="C2024" s="63"/>
      <c r="D2024" s="64"/>
      <c r="E2024" s="65"/>
      <c r="F2024" s="66"/>
      <c r="G2024" s="63"/>
      <c r="H2024" s="67"/>
      <c r="I2024" s="68"/>
      <c r="J2024" s="68"/>
      <c r="K2024" s="32"/>
      <c r="L2024" s="75">
        <v>2024</v>
      </c>
      <c r="M2024" s="75"/>
      <c r="N2024" s="70"/>
      <c r="O2024" s="77" t="s">
        <v>1286</v>
      </c>
      <c r="P2024" s="79">
        <v>45189.679525462961</v>
      </c>
      <c r="Q2024" s="77" t="s">
        <v>3260</v>
      </c>
      <c r="R2024" s="77">
        <v>1</v>
      </c>
      <c r="S2024" s="77">
        <v>0</v>
      </c>
      <c r="T2024" s="77">
        <v>0</v>
      </c>
      <c r="U2024" s="77">
        <v>0</v>
      </c>
      <c r="V2024" s="77">
        <v>168</v>
      </c>
      <c r="W2024" s="82" t="s">
        <v>5725</v>
      </c>
      <c r="X2024" s="80" t="str">
        <f>HYPERLINK("https://www.triunfo777.com?TF=cjf6ch1")</f>
        <v>https://www.triunfo777.com?TF=cjf6ch1</v>
      </c>
      <c r="Y2024" s="77" t="s">
        <v>7385</v>
      </c>
      <c r="Z2024" s="77"/>
      <c r="AA2024" s="77"/>
      <c r="AB2024" s="77"/>
      <c r="AC2024" s="82" t="s">
        <v>10144</v>
      </c>
      <c r="AD2024" s="77" t="s">
        <v>10184</v>
      </c>
      <c r="AE2024" s="80" t="str">
        <f>HYPERLINK("https://twitter.com/thiagofeli12411/status/1704530486415003712")</f>
        <v>https://twitter.com/thiagofeli12411/status/1704530486415003712</v>
      </c>
      <c r="AF2024" s="79">
        <v>45189.679525462961</v>
      </c>
      <c r="AG2024" s="85">
        <v>45189</v>
      </c>
      <c r="AH2024" s="82" t="s">
        <v>12136</v>
      </c>
      <c r="AI2024" s="77" t="b">
        <v>0</v>
      </c>
      <c r="AJ2024" s="77"/>
      <c r="AK2024" s="77"/>
      <c r="AL2024" s="77"/>
      <c r="AM2024" s="77"/>
      <c r="AN2024" s="77"/>
      <c r="AO2024" s="77"/>
      <c r="AP2024" s="77"/>
      <c r="AQ2024" s="77"/>
      <c r="AR2024" s="77"/>
      <c r="AS2024" s="77"/>
      <c r="AT2024" s="77"/>
      <c r="AU2024" s="77"/>
      <c r="AV2024" s="80" t="str">
        <f>HYPERLINK("https://pbs.twimg.com/profile_images/1670904315236556801/OEXiAt-q_normal.jpg")</f>
        <v>https://pbs.twimg.com/profile_images/1670904315236556801/OEXiAt-q_normal.jpg</v>
      </c>
      <c r="AW2024" s="82" t="s">
        <v>18792</v>
      </c>
      <c r="AX2024" s="82" t="s">
        <v>18792</v>
      </c>
      <c r="AY2024" s="77"/>
      <c r="AZ2024" s="82" t="s">
        <v>20971</v>
      </c>
      <c r="BA2024" s="82" t="s">
        <v>18811</v>
      </c>
      <c r="BB2024" s="82" t="s">
        <v>20971</v>
      </c>
      <c r="BC2024" s="82" t="s">
        <v>18811</v>
      </c>
      <c r="BD2024" s="82" t="s">
        <v>20943</v>
      </c>
      <c r="BE2024" s="77"/>
      <c r="BF2024" s="77"/>
      <c r="BG2024" s="77"/>
      <c r="BH2024" s="77"/>
      <c r="BI2024" s="77"/>
    </row>
    <row r="2025" spans="1:61" x14ac:dyDescent="0.25">
      <c r="A2025" s="62" t="s">
        <v>724</v>
      </c>
      <c r="B2025" s="62" t="s">
        <v>724</v>
      </c>
      <c r="C2025" s="63"/>
      <c r="D2025" s="64"/>
      <c r="E2025" s="65"/>
      <c r="F2025" s="66"/>
      <c r="G2025" s="63"/>
      <c r="H2025" s="67"/>
      <c r="I2025" s="68"/>
      <c r="J2025" s="68"/>
      <c r="K2025" s="32"/>
      <c r="L2025" s="75">
        <v>2025</v>
      </c>
      <c r="M2025" s="75"/>
      <c r="N2025" s="70"/>
      <c r="O2025" s="77" t="s">
        <v>1287</v>
      </c>
      <c r="P2025" s="79">
        <v>45189.680775462963</v>
      </c>
      <c r="Q2025" s="77" t="s">
        <v>3261</v>
      </c>
      <c r="R2025" s="77">
        <v>1</v>
      </c>
      <c r="S2025" s="77">
        <v>0</v>
      </c>
      <c r="T2025" s="77">
        <v>0</v>
      </c>
      <c r="U2025" s="77">
        <v>0</v>
      </c>
      <c r="V2025" s="77"/>
      <c r="W2025" s="77"/>
      <c r="X2025" s="80" t="str">
        <f>HYPERLINK("https://www.triunfo777.com?TF=cjf6ch1")</f>
        <v>https://www.triunfo777.com?TF=cjf6ch1</v>
      </c>
      <c r="Y2025" s="77" t="s">
        <v>7385</v>
      </c>
      <c r="Z2025" s="77" t="s">
        <v>724</v>
      </c>
      <c r="AA2025" s="77"/>
      <c r="AB2025" s="77"/>
      <c r="AC2025" s="82" t="s">
        <v>10144</v>
      </c>
      <c r="AD2025" s="77" t="s">
        <v>10184</v>
      </c>
      <c r="AE2025" s="80" t="str">
        <f>HYPERLINK("https://twitter.com/thiagofeli12411/status/1704530940159004811")</f>
        <v>https://twitter.com/thiagofeli12411/status/1704530940159004811</v>
      </c>
      <c r="AF2025" s="79">
        <v>45189.680775462963</v>
      </c>
      <c r="AG2025" s="85">
        <v>45189</v>
      </c>
      <c r="AH2025" s="82" t="s">
        <v>12137</v>
      </c>
      <c r="AI2025" s="77" t="b">
        <v>0</v>
      </c>
      <c r="AJ2025" s="77"/>
      <c r="AK2025" s="77"/>
      <c r="AL2025" s="77"/>
      <c r="AM2025" s="77"/>
      <c r="AN2025" s="77"/>
      <c r="AO2025" s="77"/>
      <c r="AP2025" s="77"/>
      <c r="AQ2025" s="77"/>
      <c r="AR2025" s="77"/>
      <c r="AS2025" s="77"/>
      <c r="AT2025" s="77"/>
      <c r="AU2025" s="77"/>
      <c r="AV2025" s="80" t="str">
        <f>HYPERLINK("https://pbs.twimg.com/profile_images/1670904315236556801/OEXiAt-q_normal.jpg")</f>
        <v>https://pbs.twimg.com/profile_images/1670904315236556801/OEXiAt-q_normal.jpg</v>
      </c>
      <c r="AW2025" s="82" t="s">
        <v>18793</v>
      </c>
      <c r="AX2025" s="82" t="s">
        <v>18793</v>
      </c>
      <c r="AY2025" s="77"/>
      <c r="AZ2025" s="82" t="s">
        <v>20971</v>
      </c>
      <c r="BA2025" s="82" t="s">
        <v>18811</v>
      </c>
      <c r="BB2025" s="82" t="s">
        <v>18792</v>
      </c>
      <c r="BC2025" s="82" t="s">
        <v>18792</v>
      </c>
      <c r="BD2025" s="82" t="s">
        <v>20943</v>
      </c>
      <c r="BE2025" s="77"/>
      <c r="BF2025" s="77"/>
      <c r="BG2025" s="77"/>
      <c r="BH2025" s="77"/>
      <c r="BI2025" s="77"/>
    </row>
    <row r="2026" spans="1:61" x14ac:dyDescent="0.25">
      <c r="A2026" s="62" t="s">
        <v>724</v>
      </c>
      <c r="B2026" s="62" t="s">
        <v>724</v>
      </c>
      <c r="C2026" s="63"/>
      <c r="D2026" s="64"/>
      <c r="E2026" s="65"/>
      <c r="F2026" s="66"/>
      <c r="G2026" s="63"/>
      <c r="H2026" s="67"/>
      <c r="I2026" s="68"/>
      <c r="J2026" s="68"/>
      <c r="K2026" s="32"/>
      <c r="L2026" s="75">
        <v>2026</v>
      </c>
      <c r="M2026" s="75"/>
      <c r="N2026" s="70"/>
      <c r="O2026" s="77" t="s">
        <v>1284</v>
      </c>
      <c r="P2026" s="79">
        <v>45189.679710648146</v>
      </c>
      <c r="Q2026" s="77" t="s">
        <v>3260</v>
      </c>
      <c r="R2026" s="77">
        <v>1</v>
      </c>
      <c r="S2026" s="77">
        <v>0</v>
      </c>
      <c r="T2026" s="77">
        <v>1</v>
      </c>
      <c r="U2026" s="77">
        <v>0</v>
      </c>
      <c r="V2026" s="77">
        <v>165</v>
      </c>
      <c r="W2026" s="82" t="s">
        <v>5725</v>
      </c>
      <c r="X2026" s="80" t="str">
        <f>HYPERLINK("https://www.triunfo777.com?TF=cjf6ch1")</f>
        <v>https://www.triunfo777.com?TF=cjf6ch1</v>
      </c>
      <c r="Y2026" s="77" t="s">
        <v>7385</v>
      </c>
      <c r="Z2026" s="77"/>
      <c r="AA2026" s="77"/>
      <c r="AB2026" s="77"/>
      <c r="AC2026" s="82" t="s">
        <v>10144</v>
      </c>
      <c r="AD2026" s="77" t="s">
        <v>10184</v>
      </c>
      <c r="AE2026" s="80" t="str">
        <f>HYPERLINK("https://twitter.com/thiagofeli12411/status/1704530552890528104")</f>
        <v>https://twitter.com/thiagofeli12411/status/1704530552890528104</v>
      </c>
      <c r="AF2026" s="79">
        <v>45189.679710648146</v>
      </c>
      <c r="AG2026" s="85">
        <v>45189</v>
      </c>
      <c r="AH2026" s="82" t="s">
        <v>12138</v>
      </c>
      <c r="AI2026" s="77" t="b">
        <v>0</v>
      </c>
      <c r="AJ2026" s="77"/>
      <c r="AK2026" s="77"/>
      <c r="AL2026" s="77"/>
      <c r="AM2026" s="77"/>
      <c r="AN2026" s="77"/>
      <c r="AO2026" s="77"/>
      <c r="AP2026" s="77"/>
      <c r="AQ2026" s="77"/>
      <c r="AR2026" s="77"/>
      <c r="AS2026" s="77"/>
      <c r="AT2026" s="77"/>
      <c r="AU2026" s="77"/>
      <c r="AV2026" s="80" t="str">
        <f>HYPERLINK("https://pbs.twimg.com/profile_images/1670904315236556801/OEXiAt-q_normal.jpg")</f>
        <v>https://pbs.twimg.com/profile_images/1670904315236556801/OEXiAt-q_normal.jpg</v>
      </c>
      <c r="AW2026" s="82" t="s">
        <v>18794</v>
      </c>
      <c r="AX2026" s="82" t="s">
        <v>18825</v>
      </c>
      <c r="AY2026" s="82" t="s">
        <v>20943</v>
      </c>
      <c r="AZ2026" s="82" t="s">
        <v>18825</v>
      </c>
      <c r="BA2026" s="82" t="s">
        <v>20971</v>
      </c>
      <c r="BB2026" s="82" t="s">
        <v>20971</v>
      </c>
      <c r="BC2026" s="82" t="s">
        <v>18825</v>
      </c>
      <c r="BD2026" s="82" t="s">
        <v>20943</v>
      </c>
      <c r="BE2026" s="77"/>
      <c r="BF2026" s="77"/>
      <c r="BG2026" s="77"/>
      <c r="BH2026" s="77"/>
      <c r="BI2026" s="77"/>
    </row>
    <row r="2027" spans="1:61" x14ac:dyDescent="0.25">
      <c r="A2027" s="62" t="s">
        <v>724</v>
      </c>
      <c r="B2027" s="62" t="s">
        <v>724</v>
      </c>
      <c r="C2027" s="63"/>
      <c r="D2027" s="64"/>
      <c r="E2027" s="65"/>
      <c r="F2027" s="66"/>
      <c r="G2027" s="63"/>
      <c r="H2027" s="67"/>
      <c r="I2027" s="68"/>
      <c r="J2027" s="68"/>
      <c r="K2027" s="32"/>
      <c r="L2027" s="75">
        <v>2027</v>
      </c>
      <c r="M2027" s="75"/>
      <c r="N2027" s="70"/>
      <c r="O2027" s="77" t="s">
        <v>1287</v>
      </c>
      <c r="P2027" s="79">
        <v>45189.680636574078</v>
      </c>
      <c r="Q2027" s="77" t="s">
        <v>3261</v>
      </c>
      <c r="R2027" s="77">
        <v>1</v>
      </c>
      <c r="S2027" s="77">
        <v>0</v>
      </c>
      <c r="T2027" s="77">
        <v>0</v>
      </c>
      <c r="U2027" s="77">
        <v>0</v>
      </c>
      <c r="V2027" s="77"/>
      <c r="W2027" s="77"/>
      <c r="X2027" s="80" t="str">
        <f>HYPERLINK("https://www.triunfo777.com?TF=cjf6ch1")</f>
        <v>https://www.triunfo777.com?TF=cjf6ch1</v>
      </c>
      <c r="Y2027" s="77" t="s">
        <v>7385</v>
      </c>
      <c r="Z2027" s="77" t="s">
        <v>724</v>
      </c>
      <c r="AA2027" s="77"/>
      <c r="AB2027" s="77"/>
      <c r="AC2027" s="82" t="s">
        <v>10144</v>
      </c>
      <c r="AD2027" s="77" t="s">
        <v>10184</v>
      </c>
      <c r="AE2027" s="80" t="str">
        <f>HYPERLINK("https://twitter.com/thiagofeli12411/status/1704530889911243049")</f>
        <v>https://twitter.com/thiagofeli12411/status/1704530889911243049</v>
      </c>
      <c r="AF2027" s="79">
        <v>45189.680636574078</v>
      </c>
      <c r="AG2027" s="85">
        <v>45189</v>
      </c>
      <c r="AH2027" s="82" t="s">
        <v>12139</v>
      </c>
      <c r="AI2027" s="77" t="b">
        <v>0</v>
      </c>
      <c r="AJ2027" s="77"/>
      <c r="AK2027" s="77"/>
      <c r="AL2027" s="77"/>
      <c r="AM2027" s="77"/>
      <c r="AN2027" s="77"/>
      <c r="AO2027" s="77"/>
      <c r="AP2027" s="77"/>
      <c r="AQ2027" s="77"/>
      <c r="AR2027" s="77"/>
      <c r="AS2027" s="77"/>
      <c r="AT2027" s="77"/>
      <c r="AU2027" s="77"/>
      <c r="AV2027" s="80" t="str">
        <f>HYPERLINK("https://pbs.twimg.com/profile_images/1670904315236556801/OEXiAt-q_normal.jpg")</f>
        <v>https://pbs.twimg.com/profile_images/1670904315236556801/OEXiAt-q_normal.jpg</v>
      </c>
      <c r="AW2027" s="82" t="s">
        <v>18795</v>
      </c>
      <c r="AX2027" s="82" t="s">
        <v>18795</v>
      </c>
      <c r="AY2027" s="77"/>
      <c r="AZ2027" s="82" t="s">
        <v>20971</v>
      </c>
      <c r="BA2027" s="82" t="s">
        <v>20971</v>
      </c>
      <c r="BB2027" s="82" t="s">
        <v>18794</v>
      </c>
      <c r="BC2027" s="82" t="s">
        <v>18794</v>
      </c>
      <c r="BD2027" s="82" t="s">
        <v>20943</v>
      </c>
      <c r="BE2027" s="77"/>
      <c r="BF2027" s="77"/>
      <c r="BG2027" s="77"/>
      <c r="BH2027" s="77"/>
      <c r="BI2027" s="77"/>
    </row>
    <row r="2028" spans="1:61" x14ac:dyDescent="0.25">
      <c r="A2028" s="62" t="s">
        <v>724</v>
      </c>
      <c r="B2028" s="62" t="s">
        <v>724</v>
      </c>
      <c r="C2028" s="63"/>
      <c r="D2028" s="64"/>
      <c r="E2028" s="65"/>
      <c r="F2028" s="66"/>
      <c r="G2028" s="63"/>
      <c r="H2028" s="67"/>
      <c r="I2028" s="68"/>
      <c r="J2028" s="68"/>
      <c r="K2028" s="32"/>
      <c r="L2028" s="75">
        <v>2028</v>
      </c>
      <c r="M2028" s="75"/>
      <c r="N2028" s="70"/>
      <c r="O2028" s="77" t="s">
        <v>179</v>
      </c>
      <c r="P2028" s="79">
        <v>45133.590856481482</v>
      </c>
      <c r="Q2028" s="77" t="s">
        <v>3262</v>
      </c>
      <c r="R2028" s="77">
        <v>1</v>
      </c>
      <c r="S2028" s="77">
        <v>1</v>
      </c>
      <c r="T2028" s="77">
        <v>0</v>
      </c>
      <c r="U2028" s="77">
        <v>1</v>
      </c>
      <c r="V2028" s="77">
        <v>435</v>
      </c>
      <c r="W2028" s="82" t="s">
        <v>5725</v>
      </c>
      <c r="X2028" s="80" t="str">
        <f>HYPERLINK("https://www.triunfo777.com?TF=cjf6ch1")</f>
        <v>https://www.triunfo777.com?TF=cjf6ch1</v>
      </c>
      <c r="Y2028" s="77" t="s">
        <v>7385</v>
      </c>
      <c r="Z2028" s="77"/>
      <c r="AA2028" s="77" t="s">
        <v>8563</v>
      </c>
      <c r="AB2028" s="77" t="s">
        <v>10137</v>
      </c>
      <c r="AC2028" s="82" t="s">
        <v>10144</v>
      </c>
      <c r="AD2028" s="77" t="s">
        <v>10184</v>
      </c>
      <c r="AE2028" s="80" t="str">
        <f>HYPERLINK("https://twitter.com/thiagofeli12411/status/1684204633177174018")</f>
        <v>https://twitter.com/thiagofeli12411/status/1684204633177174018</v>
      </c>
      <c r="AF2028" s="79">
        <v>45133.590856481482</v>
      </c>
      <c r="AG2028" s="85">
        <v>45133</v>
      </c>
      <c r="AH2028" s="82" t="s">
        <v>12140</v>
      </c>
      <c r="AI2028" s="77" t="b">
        <v>0</v>
      </c>
      <c r="AJ2028" s="77"/>
      <c r="AK2028" s="77"/>
      <c r="AL2028" s="77"/>
      <c r="AM2028" s="77"/>
      <c r="AN2028" s="77"/>
      <c r="AO2028" s="77"/>
      <c r="AP2028" s="77"/>
      <c r="AQ2028" s="77" t="s">
        <v>15207</v>
      </c>
      <c r="AR2028" s="77">
        <v>12097</v>
      </c>
      <c r="AS2028" s="77"/>
      <c r="AT2028" s="77"/>
      <c r="AU2028" s="77"/>
      <c r="AV2028" s="80" t="str">
        <f>HYPERLINK("https://pbs.twimg.com/media/F19_Ir8WcAQ87QE.jpg")</f>
        <v>https://pbs.twimg.com/media/F19_Ir8WcAQ87QE.jpg</v>
      </c>
      <c r="AW2028" s="82" t="s">
        <v>18796</v>
      </c>
      <c r="AX2028" s="82" t="s">
        <v>18796</v>
      </c>
      <c r="AY2028" s="77"/>
      <c r="AZ2028" s="82" t="s">
        <v>20971</v>
      </c>
      <c r="BA2028" s="82" t="s">
        <v>20971</v>
      </c>
      <c r="BB2028" s="82" t="s">
        <v>20971</v>
      </c>
      <c r="BC2028" s="82" t="s">
        <v>18796</v>
      </c>
      <c r="BD2028" s="82" t="s">
        <v>20943</v>
      </c>
      <c r="BE2028" s="77"/>
      <c r="BF2028" s="77"/>
      <c r="BG2028" s="77"/>
      <c r="BH2028" s="77"/>
      <c r="BI2028" s="77"/>
    </row>
    <row r="2029" spans="1:61" x14ac:dyDescent="0.25">
      <c r="A2029" s="62" t="s">
        <v>724</v>
      </c>
      <c r="B2029" s="62" t="s">
        <v>724</v>
      </c>
      <c r="C2029" s="63"/>
      <c r="D2029" s="64"/>
      <c r="E2029" s="65"/>
      <c r="F2029" s="66"/>
      <c r="G2029" s="63"/>
      <c r="H2029" s="67"/>
      <c r="I2029" s="68"/>
      <c r="J2029" s="68"/>
      <c r="K2029" s="32"/>
      <c r="L2029" s="75">
        <v>2029</v>
      </c>
      <c r="M2029" s="75"/>
      <c r="N2029" s="70"/>
      <c r="O2029" s="77" t="s">
        <v>1286</v>
      </c>
      <c r="P2029" s="79">
        <v>45133.591157407405</v>
      </c>
      <c r="Q2029" s="77" t="s">
        <v>3263</v>
      </c>
      <c r="R2029" s="77">
        <v>1</v>
      </c>
      <c r="S2029" s="77">
        <v>0</v>
      </c>
      <c r="T2029" s="77">
        <v>0</v>
      </c>
      <c r="U2029" s="77">
        <v>0</v>
      </c>
      <c r="V2029" s="77">
        <v>254</v>
      </c>
      <c r="W2029" s="82" t="s">
        <v>5725</v>
      </c>
      <c r="X2029" s="80" t="str">
        <f>HYPERLINK("https://www.triunfo777.com?TF=cjf6ch1")</f>
        <v>https://www.triunfo777.com?TF=cjf6ch1</v>
      </c>
      <c r="Y2029" s="77" t="s">
        <v>7385</v>
      </c>
      <c r="Z2029" s="77"/>
      <c r="AA2029" s="77"/>
      <c r="AB2029" s="77"/>
      <c r="AC2029" s="82" t="s">
        <v>10144</v>
      </c>
      <c r="AD2029" s="77" t="s">
        <v>10184</v>
      </c>
      <c r="AE2029" s="80" t="str">
        <f>HYPERLINK("https://twitter.com/thiagofeli12411/status/1684204742463959044")</f>
        <v>https://twitter.com/thiagofeli12411/status/1684204742463959044</v>
      </c>
      <c r="AF2029" s="79">
        <v>45133.591157407405</v>
      </c>
      <c r="AG2029" s="85">
        <v>45133</v>
      </c>
      <c r="AH2029" s="82" t="s">
        <v>12141</v>
      </c>
      <c r="AI2029" s="77" t="b">
        <v>0</v>
      </c>
      <c r="AJ2029" s="77"/>
      <c r="AK2029" s="77"/>
      <c r="AL2029" s="77"/>
      <c r="AM2029" s="77"/>
      <c r="AN2029" s="77"/>
      <c r="AO2029" s="77"/>
      <c r="AP2029" s="77"/>
      <c r="AQ2029" s="77"/>
      <c r="AR2029" s="77"/>
      <c r="AS2029" s="77"/>
      <c r="AT2029" s="77"/>
      <c r="AU2029" s="77"/>
      <c r="AV2029" s="80" t="str">
        <f>HYPERLINK("https://pbs.twimg.com/profile_images/1670904315236556801/OEXiAt-q_normal.jpg")</f>
        <v>https://pbs.twimg.com/profile_images/1670904315236556801/OEXiAt-q_normal.jpg</v>
      </c>
      <c r="AW2029" s="82" t="s">
        <v>18797</v>
      </c>
      <c r="AX2029" s="82" t="s">
        <v>18797</v>
      </c>
      <c r="AY2029" s="77"/>
      <c r="AZ2029" s="82" t="s">
        <v>20971</v>
      </c>
      <c r="BA2029" s="82" t="s">
        <v>18796</v>
      </c>
      <c r="BB2029" s="82" t="s">
        <v>20971</v>
      </c>
      <c r="BC2029" s="82" t="s">
        <v>18796</v>
      </c>
      <c r="BD2029" s="82" t="s">
        <v>20943</v>
      </c>
      <c r="BE2029" s="77"/>
      <c r="BF2029" s="77"/>
      <c r="BG2029" s="77"/>
      <c r="BH2029" s="77"/>
      <c r="BI2029" s="77"/>
    </row>
    <row r="2030" spans="1:61" x14ac:dyDescent="0.25">
      <c r="A2030" s="62" t="s">
        <v>724</v>
      </c>
      <c r="B2030" s="62" t="s">
        <v>724</v>
      </c>
      <c r="C2030" s="63"/>
      <c r="D2030" s="64"/>
      <c r="E2030" s="65"/>
      <c r="F2030" s="66"/>
      <c r="G2030" s="63"/>
      <c r="H2030" s="67"/>
      <c r="I2030" s="68"/>
      <c r="J2030" s="68"/>
      <c r="K2030" s="32"/>
      <c r="L2030" s="75">
        <v>2030</v>
      </c>
      <c r="M2030" s="75"/>
      <c r="N2030" s="70"/>
      <c r="O2030" s="77" t="s">
        <v>1287</v>
      </c>
      <c r="P2030" s="79">
        <v>45193.839861111112</v>
      </c>
      <c r="Q2030" s="77" t="s">
        <v>3261</v>
      </c>
      <c r="R2030" s="77">
        <v>1</v>
      </c>
      <c r="S2030" s="77">
        <v>0</v>
      </c>
      <c r="T2030" s="77">
        <v>0</v>
      </c>
      <c r="U2030" s="77">
        <v>0</v>
      </c>
      <c r="V2030" s="77"/>
      <c r="W2030" s="77"/>
      <c r="X2030" s="80" t="str">
        <f>HYPERLINK("https://www.triunfo777.com?TF=cjf6ch1")</f>
        <v>https://www.triunfo777.com?TF=cjf6ch1</v>
      </c>
      <c r="Y2030" s="77" t="s">
        <v>7385</v>
      </c>
      <c r="Z2030" s="77" t="s">
        <v>724</v>
      </c>
      <c r="AA2030" s="77"/>
      <c r="AB2030" s="77"/>
      <c r="AC2030" s="82" t="s">
        <v>10144</v>
      </c>
      <c r="AD2030" s="77" t="s">
        <v>10184</v>
      </c>
      <c r="AE2030" s="80" t="str">
        <f>HYPERLINK("https://twitter.com/thiagofeli12411/status/1706038144573780013")</f>
        <v>https://twitter.com/thiagofeli12411/status/1706038144573780013</v>
      </c>
      <c r="AF2030" s="79">
        <v>45193.839861111112</v>
      </c>
      <c r="AG2030" s="85">
        <v>45193</v>
      </c>
      <c r="AH2030" s="82" t="s">
        <v>12142</v>
      </c>
      <c r="AI2030" s="77" t="b">
        <v>0</v>
      </c>
      <c r="AJ2030" s="77"/>
      <c r="AK2030" s="77"/>
      <c r="AL2030" s="77"/>
      <c r="AM2030" s="77"/>
      <c r="AN2030" s="77"/>
      <c r="AO2030" s="77"/>
      <c r="AP2030" s="77"/>
      <c r="AQ2030" s="77"/>
      <c r="AR2030" s="77"/>
      <c r="AS2030" s="77"/>
      <c r="AT2030" s="77"/>
      <c r="AU2030" s="77"/>
      <c r="AV2030" s="80" t="str">
        <f>HYPERLINK("https://pbs.twimg.com/profile_images/1670904315236556801/OEXiAt-q_normal.jpg")</f>
        <v>https://pbs.twimg.com/profile_images/1670904315236556801/OEXiAt-q_normal.jpg</v>
      </c>
      <c r="AW2030" s="82" t="s">
        <v>18798</v>
      </c>
      <c r="AX2030" s="82" t="s">
        <v>18798</v>
      </c>
      <c r="AY2030" s="77"/>
      <c r="AZ2030" s="82" t="s">
        <v>20971</v>
      </c>
      <c r="BA2030" s="82" t="s">
        <v>20971</v>
      </c>
      <c r="BB2030" s="82" t="s">
        <v>18788</v>
      </c>
      <c r="BC2030" s="82" t="s">
        <v>18788</v>
      </c>
      <c r="BD2030" s="82" t="s">
        <v>20943</v>
      </c>
      <c r="BE2030" s="77"/>
      <c r="BF2030" s="77"/>
      <c r="BG2030" s="77"/>
      <c r="BH2030" s="77"/>
      <c r="BI2030" s="77"/>
    </row>
    <row r="2031" spans="1:61" x14ac:dyDescent="0.25">
      <c r="A2031" s="62" t="s">
        <v>724</v>
      </c>
      <c r="B2031" s="62" t="s">
        <v>724</v>
      </c>
      <c r="C2031" s="63"/>
      <c r="D2031" s="64"/>
      <c r="E2031" s="65"/>
      <c r="F2031" s="66"/>
      <c r="G2031" s="63"/>
      <c r="H2031" s="67"/>
      <c r="I2031" s="68"/>
      <c r="J2031" s="68"/>
      <c r="K2031" s="32"/>
      <c r="L2031" s="75">
        <v>2031</v>
      </c>
      <c r="M2031" s="75"/>
      <c r="N2031" s="70"/>
      <c r="O2031" s="77" t="s">
        <v>1287</v>
      </c>
      <c r="P2031" s="79">
        <v>45193.804398148146</v>
      </c>
      <c r="Q2031" s="77" t="s">
        <v>3261</v>
      </c>
      <c r="R2031" s="77">
        <v>1</v>
      </c>
      <c r="S2031" s="77">
        <v>0</v>
      </c>
      <c r="T2031" s="77">
        <v>0</v>
      </c>
      <c r="U2031" s="77">
        <v>0</v>
      </c>
      <c r="V2031" s="77"/>
      <c r="W2031" s="77"/>
      <c r="X2031" s="80" t="str">
        <f>HYPERLINK("https://www.triunfo777.com?TF=cjf6ch1")</f>
        <v>https://www.triunfo777.com?TF=cjf6ch1</v>
      </c>
      <c r="Y2031" s="77" t="s">
        <v>7385</v>
      </c>
      <c r="Z2031" s="77" t="s">
        <v>724</v>
      </c>
      <c r="AA2031" s="77"/>
      <c r="AB2031" s="77"/>
      <c r="AC2031" s="82" t="s">
        <v>10144</v>
      </c>
      <c r="AD2031" s="77" t="s">
        <v>10184</v>
      </c>
      <c r="AE2031" s="80" t="str">
        <f>HYPERLINK("https://twitter.com/thiagofeli12411/status/1706025290483265860")</f>
        <v>https://twitter.com/thiagofeli12411/status/1706025290483265860</v>
      </c>
      <c r="AF2031" s="79">
        <v>45193.804398148146</v>
      </c>
      <c r="AG2031" s="85">
        <v>45193</v>
      </c>
      <c r="AH2031" s="82" t="s">
        <v>11875</v>
      </c>
      <c r="AI2031" s="77" t="b">
        <v>0</v>
      </c>
      <c r="AJ2031" s="77"/>
      <c r="AK2031" s="77"/>
      <c r="AL2031" s="77"/>
      <c r="AM2031" s="77"/>
      <c r="AN2031" s="77"/>
      <c r="AO2031" s="77"/>
      <c r="AP2031" s="77"/>
      <c r="AQ2031" s="77"/>
      <c r="AR2031" s="77"/>
      <c r="AS2031" s="77"/>
      <c r="AT2031" s="77"/>
      <c r="AU2031" s="77"/>
      <c r="AV2031" s="80" t="str">
        <f>HYPERLINK("https://pbs.twimg.com/profile_images/1670904315236556801/OEXiAt-q_normal.jpg")</f>
        <v>https://pbs.twimg.com/profile_images/1670904315236556801/OEXiAt-q_normal.jpg</v>
      </c>
      <c r="AW2031" s="82" t="s">
        <v>18799</v>
      </c>
      <c r="AX2031" s="82" t="s">
        <v>18799</v>
      </c>
      <c r="AY2031" s="77"/>
      <c r="AZ2031" s="82" t="s">
        <v>20971</v>
      </c>
      <c r="BA2031" s="82" t="s">
        <v>18807</v>
      </c>
      <c r="BB2031" s="82" t="s">
        <v>18808</v>
      </c>
      <c r="BC2031" s="82" t="s">
        <v>18808</v>
      </c>
      <c r="BD2031" s="82" t="s">
        <v>20943</v>
      </c>
      <c r="BE2031" s="77"/>
      <c r="BF2031" s="77"/>
      <c r="BG2031" s="77"/>
      <c r="BH2031" s="77"/>
      <c r="BI2031" s="77"/>
    </row>
    <row r="2032" spans="1:61" x14ac:dyDescent="0.25">
      <c r="A2032" s="62" t="s">
        <v>724</v>
      </c>
      <c r="B2032" s="62" t="s">
        <v>724</v>
      </c>
      <c r="C2032" s="63"/>
      <c r="D2032" s="64"/>
      <c r="E2032" s="65"/>
      <c r="F2032" s="66"/>
      <c r="G2032" s="63"/>
      <c r="H2032" s="67"/>
      <c r="I2032" s="68"/>
      <c r="J2032" s="68"/>
      <c r="K2032" s="32"/>
      <c r="L2032" s="75">
        <v>2032</v>
      </c>
      <c r="M2032" s="75"/>
      <c r="N2032" s="70"/>
      <c r="O2032" s="77" t="s">
        <v>1287</v>
      </c>
      <c r="P2032" s="79">
        <v>45193.804259259261</v>
      </c>
      <c r="Q2032" s="77" t="s">
        <v>3261</v>
      </c>
      <c r="R2032" s="77">
        <v>1</v>
      </c>
      <c r="S2032" s="77">
        <v>0</v>
      </c>
      <c r="T2032" s="77">
        <v>0</v>
      </c>
      <c r="U2032" s="77">
        <v>0</v>
      </c>
      <c r="V2032" s="77"/>
      <c r="W2032" s="77"/>
      <c r="X2032" s="80" t="str">
        <f>HYPERLINK("https://www.triunfo777.com?TF=cjf6ch1")</f>
        <v>https://www.triunfo777.com?TF=cjf6ch1</v>
      </c>
      <c r="Y2032" s="77" t="s">
        <v>7385</v>
      </c>
      <c r="Z2032" s="77" t="s">
        <v>724</v>
      </c>
      <c r="AA2032" s="77"/>
      <c r="AB2032" s="77"/>
      <c r="AC2032" s="82" t="s">
        <v>10144</v>
      </c>
      <c r="AD2032" s="77" t="s">
        <v>10184</v>
      </c>
      <c r="AE2032" s="80" t="str">
        <f>HYPERLINK("https://twitter.com/thiagofeli12411/status/1706025242554937471")</f>
        <v>https://twitter.com/thiagofeli12411/status/1706025242554937471</v>
      </c>
      <c r="AF2032" s="79">
        <v>45193.804259259261</v>
      </c>
      <c r="AG2032" s="85">
        <v>45193</v>
      </c>
      <c r="AH2032" s="82" t="s">
        <v>12143</v>
      </c>
      <c r="AI2032" s="77" t="b">
        <v>0</v>
      </c>
      <c r="AJ2032" s="77"/>
      <c r="AK2032" s="77"/>
      <c r="AL2032" s="77"/>
      <c r="AM2032" s="77"/>
      <c r="AN2032" s="77"/>
      <c r="AO2032" s="77"/>
      <c r="AP2032" s="77"/>
      <c r="AQ2032" s="77"/>
      <c r="AR2032" s="77"/>
      <c r="AS2032" s="77"/>
      <c r="AT2032" s="77"/>
      <c r="AU2032" s="77"/>
      <c r="AV2032" s="80" t="str">
        <f>HYPERLINK("https://pbs.twimg.com/profile_images/1670904315236556801/OEXiAt-q_normal.jpg")</f>
        <v>https://pbs.twimg.com/profile_images/1670904315236556801/OEXiAt-q_normal.jpg</v>
      </c>
      <c r="AW2032" s="82" t="s">
        <v>18800</v>
      </c>
      <c r="AX2032" s="82" t="s">
        <v>18800</v>
      </c>
      <c r="AY2032" s="77"/>
      <c r="AZ2032" s="82" t="s">
        <v>20971</v>
      </c>
      <c r="BA2032" s="82" t="s">
        <v>20971</v>
      </c>
      <c r="BB2032" s="82" t="s">
        <v>18807</v>
      </c>
      <c r="BC2032" s="82" t="s">
        <v>18807</v>
      </c>
      <c r="BD2032" s="82" t="s">
        <v>20943</v>
      </c>
      <c r="BE2032" s="77"/>
      <c r="BF2032" s="77"/>
      <c r="BG2032" s="77"/>
      <c r="BH2032" s="77"/>
      <c r="BI2032" s="77"/>
    </row>
    <row r="2033" spans="1:61" x14ac:dyDescent="0.25">
      <c r="A2033" s="62" t="s">
        <v>724</v>
      </c>
      <c r="B2033" s="62" t="s">
        <v>724</v>
      </c>
      <c r="C2033" s="63"/>
      <c r="D2033" s="64"/>
      <c r="E2033" s="65"/>
      <c r="F2033" s="66"/>
      <c r="G2033" s="63"/>
      <c r="H2033" s="67"/>
      <c r="I2033" s="68"/>
      <c r="J2033" s="68"/>
      <c r="K2033" s="32"/>
      <c r="L2033" s="75">
        <v>2033</v>
      </c>
      <c r="M2033" s="75"/>
      <c r="N2033" s="70"/>
      <c r="O2033" s="77" t="s">
        <v>1287</v>
      </c>
      <c r="P2033" s="79">
        <v>45189.682685185187</v>
      </c>
      <c r="Q2033" s="77" t="s">
        <v>3261</v>
      </c>
      <c r="R2033" s="77">
        <v>1</v>
      </c>
      <c r="S2033" s="77">
        <v>0</v>
      </c>
      <c r="T2033" s="77">
        <v>0</v>
      </c>
      <c r="U2033" s="77">
        <v>0</v>
      </c>
      <c r="V2033" s="77"/>
      <c r="W2033" s="77"/>
      <c r="X2033" s="80" t="str">
        <f>HYPERLINK("https://www.triunfo777.com?TF=cjf6ch1")</f>
        <v>https://www.triunfo777.com?TF=cjf6ch1</v>
      </c>
      <c r="Y2033" s="77" t="s">
        <v>7385</v>
      </c>
      <c r="Z2033" s="77" t="s">
        <v>724</v>
      </c>
      <c r="AA2033" s="77"/>
      <c r="AB2033" s="77"/>
      <c r="AC2033" s="82" t="s">
        <v>10144</v>
      </c>
      <c r="AD2033" s="77" t="s">
        <v>10184</v>
      </c>
      <c r="AE2033" s="80" t="str">
        <f>HYPERLINK("https://twitter.com/thiagofeli12411/status/1704531632508572066")</f>
        <v>https://twitter.com/thiagofeli12411/status/1704531632508572066</v>
      </c>
      <c r="AF2033" s="79">
        <v>45189.682685185187</v>
      </c>
      <c r="AG2033" s="85">
        <v>45189</v>
      </c>
      <c r="AH2033" s="82" t="s">
        <v>12144</v>
      </c>
      <c r="AI2033" s="77" t="b">
        <v>0</v>
      </c>
      <c r="AJ2033" s="77"/>
      <c r="AK2033" s="77"/>
      <c r="AL2033" s="77"/>
      <c r="AM2033" s="77"/>
      <c r="AN2033" s="77"/>
      <c r="AO2033" s="77"/>
      <c r="AP2033" s="77"/>
      <c r="AQ2033" s="77"/>
      <c r="AR2033" s="77"/>
      <c r="AS2033" s="77"/>
      <c r="AT2033" s="77"/>
      <c r="AU2033" s="77"/>
      <c r="AV2033" s="80" t="str">
        <f>HYPERLINK("https://pbs.twimg.com/profile_images/1670904315236556801/OEXiAt-q_normal.jpg")</f>
        <v>https://pbs.twimg.com/profile_images/1670904315236556801/OEXiAt-q_normal.jpg</v>
      </c>
      <c r="AW2033" s="82" t="s">
        <v>18801</v>
      </c>
      <c r="AX2033" s="82" t="s">
        <v>18801</v>
      </c>
      <c r="AY2033" s="77"/>
      <c r="AZ2033" s="82" t="s">
        <v>20971</v>
      </c>
      <c r="BA2033" s="82" t="s">
        <v>20860</v>
      </c>
      <c r="BB2033" s="82" t="s">
        <v>18791</v>
      </c>
      <c r="BC2033" s="82" t="s">
        <v>18791</v>
      </c>
      <c r="BD2033" s="82" t="s">
        <v>20943</v>
      </c>
      <c r="BE2033" s="77"/>
      <c r="BF2033" s="77"/>
      <c r="BG2033" s="77"/>
      <c r="BH2033" s="77"/>
      <c r="BI2033" s="77"/>
    </row>
    <row r="2034" spans="1:61" x14ac:dyDescent="0.25">
      <c r="A2034" s="62" t="s">
        <v>724</v>
      </c>
      <c r="B2034" s="62" t="s">
        <v>724</v>
      </c>
      <c r="C2034" s="63"/>
      <c r="D2034" s="64"/>
      <c r="E2034" s="65"/>
      <c r="F2034" s="66"/>
      <c r="G2034" s="63"/>
      <c r="H2034" s="67"/>
      <c r="I2034" s="68"/>
      <c r="J2034" s="68"/>
      <c r="K2034" s="32"/>
      <c r="L2034" s="75">
        <v>2034</v>
      </c>
      <c r="M2034" s="75"/>
      <c r="N2034" s="70"/>
      <c r="O2034" s="77" t="s">
        <v>1284</v>
      </c>
      <c r="P2034" s="79">
        <v>45189.681828703702</v>
      </c>
      <c r="Q2034" s="77" t="s">
        <v>3260</v>
      </c>
      <c r="R2034" s="77">
        <v>0</v>
      </c>
      <c r="S2034" s="77">
        <v>0</v>
      </c>
      <c r="T2034" s="77">
        <v>1</v>
      </c>
      <c r="U2034" s="77">
        <v>0</v>
      </c>
      <c r="V2034" s="77">
        <v>91</v>
      </c>
      <c r="W2034" s="82" t="s">
        <v>5725</v>
      </c>
      <c r="X2034" s="80" t="str">
        <f>HYPERLINK("https://www.triunfo777.com?TF=cjf6ch1")</f>
        <v>https://www.triunfo777.com?TF=cjf6ch1</v>
      </c>
      <c r="Y2034" s="77" t="s">
        <v>7385</v>
      </c>
      <c r="Z2034" s="77"/>
      <c r="AA2034" s="77"/>
      <c r="AB2034" s="77"/>
      <c r="AC2034" s="82" t="s">
        <v>10144</v>
      </c>
      <c r="AD2034" s="77" t="s">
        <v>10184</v>
      </c>
      <c r="AE2034" s="80" t="str">
        <f>HYPERLINK("https://twitter.com/thiagofeli12411/status/1704531322197185010")</f>
        <v>https://twitter.com/thiagofeli12411/status/1704531322197185010</v>
      </c>
      <c r="AF2034" s="79">
        <v>45189.681828703702</v>
      </c>
      <c r="AG2034" s="85">
        <v>45189</v>
      </c>
      <c r="AH2034" s="82" t="s">
        <v>12145</v>
      </c>
      <c r="AI2034" s="77" t="b">
        <v>0</v>
      </c>
      <c r="AJ2034" s="77"/>
      <c r="AK2034" s="77"/>
      <c r="AL2034" s="77"/>
      <c r="AM2034" s="77"/>
      <c r="AN2034" s="77"/>
      <c r="AO2034" s="77"/>
      <c r="AP2034" s="77"/>
      <c r="AQ2034" s="77"/>
      <c r="AR2034" s="77"/>
      <c r="AS2034" s="77"/>
      <c r="AT2034" s="77"/>
      <c r="AU2034" s="77"/>
      <c r="AV2034" s="80" t="str">
        <f>HYPERLINK("https://pbs.twimg.com/profile_images/1670904315236556801/OEXiAt-q_normal.jpg")</f>
        <v>https://pbs.twimg.com/profile_images/1670904315236556801/OEXiAt-q_normal.jpg</v>
      </c>
      <c r="AW2034" s="82" t="s">
        <v>18802</v>
      </c>
      <c r="AX2034" s="82" t="s">
        <v>20859</v>
      </c>
      <c r="AY2034" s="82" t="s">
        <v>20943</v>
      </c>
      <c r="AZ2034" s="82" t="s">
        <v>20859</v>
      </c>
      <c r="BA2034" s="82" t="s">
        <v>20971</v>
      </c>
      <c r="BB2034" s="82" t="s">
        <v>20971</v>
      </c>
      <c r="BC2034" s="82" t="s">
        <v>20859</v>
      </c>
      <c r="BD2034" s="82" t="s">
        <v>20943</v>
      </c>
      <c r="BE2034" s="77"/>
      <c r="BF2034" s="77"/>
      <c r="BG2034" s="77"/>
      <c r="BH2034" s="77"/>
      <c r="BI2034" s="77"/>
    </row>
    <row r="2035" spans="1:61" x14ac:dyDescent="0.25">
      <c r="A2035" s="62" t="s">
        <v>724</v>
      </c>
      <c r="B2035" s="62" t="s">
        <v>724</v>
      </c>
      <c r="C2035" s="63"/>
      <c r="D2035" s="64"/>
      <c r="E2035" s="65"/>
      <c r="F2035" s="66"/>
      <c r="G2035" s="63"/>
      <c r="H2035" s="67"/>
      <c r="I2035" s="68"/>
      <c r="J2035" s="68"/>
      <c r="K2035" s="32"/>
      <c r="L2035" s="75">
        <v>2035</v>
      </c>
      <c r="M2035" s="75"/>
      <c r="N2035" s="70"/>
      <c r="O2035" s="77" t="s">
        <v>1284</v>
      </c>
      <c r="P2035" s="79">
        <v>45185.739444444444</v>
      </c>
      <c r="Q2035" s="77" t="s">
        <v>3264</v>
      </c>
      <c r="R2035" s="77">
        <v>1</v>
      </c>
      <c r="S2035" s="77">
        <v>0</v>
      </c>
      <c r="T2035" s="77">
        <v>1</v>
      </c>
      <c r="U2035" s="77">
        <v>0</v>
      </c>
      <c r="V2035" s="77">
        <v>395</v>
      </c>
      <c r="W2035" s="82" t="s">
        <v>5725</v>
      </c>
      <c r="X2035" s="80" t="str">
        <f>HYPERLINK("https://www.triunfo777.com?TF=cjf6ch1")</f>
        <v>https://www.triunfo777.com?TF=cjf6ch1</v>
      </c>
      <c r="Y2035" s="77" t="s">
        <v>7385</v>
      </c>
      <c r="Z2035" s="77"/>
      <c r="AA2035" s="77" t="s">
        <v>8564</v>
      </c>
      <c r="AB2035" s="77" t="s">
        <v>10129</v>
      </c>
      <c r="AC2035" s="82" t="s">
        <v>10144</v>
      </c>
      <c r="AD2035" s="77" t="s">
        <v>10184</v>
      </c>
      <c r="AE2035" s="80" t="str">
        <f>HYPERLINK("https://twitter.com/thiagofeli12411/status/1703102649610928381")</f>
        <v>https://twitter.com/thiagofeli12411/status/1703102649610928381</v>
      </c>
      <c r="AF2035" s="79">
        <v>45185.739444444444</v>
      </c>
      <c r="AG2035" s="85">
        <v>45185</v>
      </c>
      <c r="AH2035" s="82" t="s">
        <v>12146</v>
      </c>
      <c r="AI2035" s="77" t="b">
        <v>0</v>
      </c>
      <c r="AJ2035" s="77"/>
      <c r="AK2035" s="77"/>
      <c r="AL2035" s="77"/>
      <c r="AM2035" s="77"/>
      <c r="AN2035" s="77"/>
      <c r="AO2035" s="77"/>
      <c r="AP2035" s="77"/>
      <c r="AQ2035" s="77" t="s">
        <v>15208</v>
      </c>
      <c r="AR2035" s="77">
        <v>4300</v>
      </c>
      <c r="AS2035" s="77"/>
      <c r="AT2035" s="77"/>
      <c r="AU2035" s="77"/>
      <c r="AV2035" s="80" t="str">
        <f>HYPERLINK("https://pbs.twimg.com/ext_tw_video_thumb/1703102628744368128/pu/img/xA_D04RCSpcf4z_z.jpg")</f>
        <v>https://pbs.twimg.com/ext_tw_video_thumb/1703102628744368128/pu/img/xA_D04RCSpcf4z_z.jpg</v>
      </c>
      <c r="AW2035" s="82" t="s">
        <v>18803</v>
      </c>
      <c r="AX2035" s="82" t="s">
        <v>18809</v>
      </c>
      <c r="AY2035" s="82" t="s">
        <v>20943</v>
      </c>
      <c r="AZ2035" s="82" t="s">
        <v>18809</v>
      </c>
      <c r="BA2035" s="82" t="s">
        <v>20971</v>
      </c>
      <c r="BB2035" s="82" t="s">
        <v>20971</v>
      </c>
      <c r="BC2035" s="82" t="s">
        <v>18809</v>
      </c>
      <c r="BD2035" s="82" t="s">
        <v>20943</v>
      </c>
      <c r="BE2035" s="77"/>
      <c r="BF2035" s="77"/>
      <c r="BG2035" s="77"/>
      <c r="BH2035" s="77"/>
      <c r="BI2035" s="77"/>
    </row>
    <row r="2036" spans="1:61" x14ac:dyDescent="0.25">
      <c r="A2036" s="62" t="s">
        <v>724</v>
      </c>
      <c r="B2036" s="62" t="s">
        <v>724</v>
      </c>
      <c r="C2036" s="63"/>
      <c r="D2036" s="64"/>
      <c r="E2036" s="65"/>
      <c r="F2036" s="66"/>
      <c r="G2036" s="63"/>
      <c r="H2036" s="67"/>
      <c r="I2036" s="68"/>
      <c r="J2036" s="68"/>
      <c r="K2036" s="32"/>
      <c r="L2036" s="75">
        <v>2036</v>
      </c>
      <c r="M2036" s="75"/>
      <c r="N2036" s="70"/>
      <c r="O2036" s="77" t="s">
        <v>1287</v>
      </c>
      <c r="P2036" s="79">
        <v>45189.681122685186</v>
      </c>
      <c r="Q2036" s="77" t="s">
        <v>3261</v>
      </c>
      <c r="R2036" s="77">
        <v>1</v>
      </c>
      <c r="S2036" s="77">
        <v>0</v>
      </c>
      <c r="T2036" s="77">
        <v>0</v>
      </c>
      <c r="U2036" s="77">
        <v>0</v>
      </c>
      <c r="V2036" s="77"/>
      <c r="W2036" s="77"/>
      <c r="X2036" s="80" t="str">
        <f>HYPERLINK("https://www.triunfo777.com?TF=cjf6ch1")</f>
        <v>https://www.triunfo777.com?TF=cjf6ch1</v>
      </c>
      <c r="Y2036" s="77" t="s">
        <v>7385</v>
      </c>
      <c r="Z2036" s="77" t="s">
        <v>724</v>
      </c>
      <c r="AA2036" s="77"/>
      <c r="AB2036" s="77"/>
      <c r="AC2036" s="82" t="s">
        <v>10144</v>
      </c>
      <c r="AD2036" s="77" t="s">
        <v>10184</v>
      </c>
      <c r="AE2036" s="80" t="str">
        <f>HYPERLINK("https://twitter.com/thiagofeli12411/status/1704531066659213455")</f>
        <v>https://twitter.com/thiagofeli12411/status/1704531066659213455</v>
      </c>
      <c r="AF2036" s="79">
        <v>45189.681122685186</v>
      </c>
      <c r="AG2036" s="85">
        <v>45189</v>
      </c>
      <c r="AH2036" s="82" t="s">
        <v>12147</v>
      </c>
      <c r="AI2036" s="77" t="b">
        <v>0</v>
      </c>
      <c r="AJ2036" s="77"/>
      <c r="AK2036" s="77"/>
      <c r="AL2036" s="77"/>
      <c r="AM2036" s="77"/>
      <c r="AN2036" s="77"/>
      <c r="AO2036" s="77"/>
      <c r="AP2036" s="77"/>
      <c r="AQ2036" s="77"/>
      <c r="AR2036" s="77"/>
      <c r="AS2036" s="77"/>
      <c r="AT2036" s="77"/>
      <c r="AU2036" s="77"/>
      <c r="AV2036" s="80" t="str">
        <f>HYPERLINK("https://pbs.twimg.com/profile_images/1670904315236556801/OEXiAt-q_normal.jpg")</f>
        <v>https://pbs.twimg.com/profile_images/1670904315236556801/OEXiAt-q_normal.jpg</v>
      </c>
      <c r="AW2036" s="82" t="s">
        <v>18804</v>
      </c>
      <c r="AX2036" s="82" t="s">
        <v>18804</v>
      </c>
      <c r="AY2036" s="77"/>
      <c r="AZ2036" s="82" t="s">
        <v>20971</v>
      </c>
      <c r="BA2036" s="82" t="s">
        <v>20971</v>
      </c>
      <c r="BB2036" s="82" t="s">
        <v>18803</v>
      </c>
      <c r="BC2036" s="82" t="s">
        <v>18803</v>
      </c>
      <c r="BD2036" s="82" t="s">
        <v>20943</v>
      </c>
      <c r="BE2036" s="77"/>
      <c r="BF2036" s="77"/>
      <c r="BG2036" s="77"/>
      <c r="BH2036" s="77"/>
      <c r="BI2036" s="77"/>
    </row>
    <row r="2037" spans="1:61" x14ac:dyDescent="0.25">
      <c r="A2037" s="62" t="s">
        <v>724</v>
      </c>
      <c r="B2037" s="62" t="s">
        <v>724</v>
      </c>
      <c r="C2037" s="63"/>
      <c r="D2037" s="64"/>
      <c r="E2037" s="65"/>
      <c r="F2037" s="66"/>
      <c r="G2037" s="63"/>
      <c r="H2037" s="67"/>
      <c r="I2037" s="68"/>
      <c r="J2037" s="68"/>
      <c r="K2037" s="32"/>
      <c r="L2037" s="75">
        <v>2037</v>
      </c>
      <c r="M2037" s="75"/>
      <c r="N2037" s="70"/>
      <c r="O2037" s="77" t="s">
        <v>1286</v>
      </c>
      <c r="P2037" s="79">
        <v>45195.80840277778</v>
      </c>
      <c r="Q2037" s="77" t="s">
        <v>3260</v>
      </c>
      <c r="R2037" s="77">
        <v>1</v>
      </c>
      <c r="S2037" s="77">
        <v>0</v>
      </c>
      <c r="T2037" s="77">
        <v>1</v>
      </c>
      <c r="U2037" s="77">
        <v>0</v>
      </c>
      <c r="V2037" s="77">
        <v>74</v>
      </c>
      <c r="W2037" s="82" t="s">
        <v>5725</v>
      </c>
      <c r="X2037" s="80" t="str">
        <f>HYPERLINK("https://www.triunfo777.com?TF=cjf6ch1")</f>
        <v>https://www.triunfo777.com?TF=cjf6ch1</v>
      </c>
      <c r="Y2037" s="77" t="s">
        <v>7385</v>
      </c>
      <c r="Z2037" s="77"/>
      <c r="AA2037" s="77"/>
      <c r="AB2037" s="77"/>
      <c r="AC2037" s="82" t="s">
        <v>10144</v>
      </c>
      <c r="AD2037" s="77" t="s">
        <v>10184</v>
      </c>
      <c r="AE2037" s="80" t="str">
        <f>HYPERLINK("https://twitter.com/thiagofeli12411/status/1706751516500009094")</f>
        <v>https://twitter.com/thiagofeli12411/status/1706751516500009094</v>
      </c>
      <c r="AF2037" s="79">
        <v>45195.80840277778</v>
      </c>
      <c r="AG2037" s="85">
        <v>45195</v>
      </c>
      <c r="AH2037" s="82" t="s">
        <v>12148</v>
      </c>
      <c r="AI2037" s="77" t="b">
        <v>0</v>
      </c>
      <c r="AJ2037" s="77"/>
      <c r="AK2037" s="77"/>
      <c r="AL2037" s="77"/>
      <c r="AM2037" s="77"/>
      <c r="AN2037" s="77"/>
      <c r="AO2037" s="77"/>
      <c r="AP2037" s="77"/>
      <c r="AQ2037" s="77"/>
      <c r="AR2037" s="77"/>
      <c r="AS2037" s="77"/>
      <c r="AT2037" s="77"/>
      <c r="AU2037" s="77"/>
      <c r="AV2037" s="80" t="str">
        <f>HYPERLINK("https://pbs.twimg.com/profile_images/1670904315236556801/OEXiAt-q_normal.jpg")</f>
        <v>https://pbs.twimg.com/profile_images/1670904315236556801/OEXiAt-q_normal.jpg</v>
      </c>
      <c r="AW2037" s="82" t="s">
        <v>18805</v>
      </c>
      <c r="AX2037" s="82" t="s">
        <v>18805</v>
      </c>
      <c r="AY2037" s="77"/>
      <c r="AZ2037" s="82" t="s">
        <v>20971</v>
      </c>
      <c r="BA2037" s="82" t="s">
        <v>18819</v>
      </c>
      <c r="BB2037" s="82" t="s">
        <v>20971</v>
      </c>
      <c r="BC2037" s="82" t="s">
        <v>18819</v>
      </c>
      <c r="BD2037" s="82" t="s">
        <v>20943</v>
      </c>
      <c r="BE2037" s="77"/>
      <c r="BF2037" s="77"/>
      <c r="BG2037" s="77"/>
      <c r="BH2037" s="77"/>
      <c r="BI2037" s="77"/>
    </row>
    <row r="2038" spans="1:61" x14ac:dyDescent="0.25">
      <c r="A2038" s="62" t="s">
        <v>724</v>
      </c>
      <c r="B2038" s="62" t="s">
        <v>724</v>
      </c>
      <c r="C2038" s="63"/>
      <c r="D2038" s="64"/>
      <c r="E2038" s="65"/>
      <c r="F2038" s="66"/>
      <c r="G2038" s="63"/>
      <c r="H2038" s="67"/>
      <c r="I2038" s="68"/>
      <c r="J2038" s="68"/>
      <c r="K2038" s="32"/>
      <c r="L2038" s="75">
        <v>2038</v>
      </c>
      <c r="M2038" s="75"/>
      <c r="N2038" s="70"/>
      <c r="O2038" s="77" t="s">
        <v>1287</v>
      </c>
      <c r="P2038" s="79">
        <v>45196.296064814815</v>
      </c>
      <c r="Q2038" s="77" t="s">
        <v>3261</v>
      </c>
      <c r="R2038" s="77">
        <v>1</v>
      </c>
      <c r="S2038" s="77">
        <v>0</v>
      </c>
      <c r="T2038" s="77">
        <v>0</v>
      </c>
      <c r="U2038" s="77">
        <v>0</v>
      </c>
      <c r="V2038" s="77"/>
      <c r="W2038" s="77"/>
      <c r="X2038" s="80" t="str">
        <f>HYPERLINK("https://www.triunfo777.com?TF=cjf6ch1")</f>
        <v>https://www.triunfo777.com?TF=cjf6ch1</v>
      </c>
      <c r="Y2038" s="77" t="s">
        <v>7385</v>
      </c>
      <c r="Z2038" s="77" t="s">
        <v>724</v>
      </c>
      <c r="AA2038" s="77"/>
      <c r="AB2038" s="77"/>
      <c r="AC2038" s="82" t="s">
        <v>10144</v>
      </c>
      <c r="AD2038" s="77" t="s">
        <v>10184</v>
      </c>
      <c r="AE2038" s="80" t="str">
        <f>HYPERLINK("https://twitter.com/thiagofeli12411/status/1706928241653448795")</f>
        <v>https://twitter.com/thiagofeli12411/status/1706928241653448795</v>
      </c>
      <c r="AF2038" s="79">
        <v>45196.296064814815</v>
      </c>
      <c r="AG2038" s="85">
        <v>45196</v>
      </c>
      <c r="AH2038" s="82" t="s">
        <v>12149</v>
      </c>
      <c r="AI2038" s="77" t="b">
        <v>0</v>
      </c>
      <c r="AJ2038" s="77"/>
      <c r="AK2038" s="77"/>
      <c r="AL2038" s="77"/>
      <c r="AM2038" s="77"/>
      <c r="AN2038" s="77"/>
      <c r="AO2038" s="77"/>
      <c r="AP2038" s="77"/>
      <c r="AQ2038" s="77"/>
      <c r="AR2038" s="77"/>
      <c r="AS2038" s="77"/>
      <c r="AT2038" s="77"/>
      <c r="AU2038" s="77"/>
      <c r="AV2038" s="80" t="str">
        <f>HYPERLINK("https://pbs.twimg.com/profile_images/1670904315236556801/OEXiAt-q_normal.jpg")</f>
        <v>https://pbs.twimg.com/profile_images/1670904315236556801/OEXiAt-q_normal.jpg</v>
      </c>
      <c r="AW2038" s="82" t="s">
        <v>18806</v>
      </c>
      <c r="AX2038" s="82" t="s">
        <v>18806</v>
      </c>
      <c r="AY2038" s="77"/>
      <c r="AZ2038" s="82" t="s">
        <v>20971</v>
      </c>
      <c r="BA2038" s="82" t="s">
        <v>18819</v>
      </c>
      <c r="BB2038" s="82" t="s">
        <v>18805</v>
      </c>
      <c r="BC2038" s="82" t="s">
        <v>18805</v>
      </c>
      <c r="BD2038" s="82" t="s">
        <v>20943</v>
      </c>
      <c r="BE2038" s="77"/>
      <c r="BF2038" s="77"/>
      <c r="BG2038" s="77"/>
      <c r="BH2038" s="77"/>
      <c r="BI2038" s="77"/>
    </row>
    <row r="2039" spans="1:61" x14ac:dyDescent="0.25">
      <c r="A2039" s="62" t="s">
        <v>724</v>
      </c>
      <c r="B2039" s="62" t="s">
        <v>724</v>
      </c>
      <c r="C2039" s="63"/>
      <c r="D2039" s="64"/>
      <c r="E2039" s="65"/>
      <c r="F2039" s="66"/>
      <c r="G2039" s="63"/>
      <c r="H2039" s="67"/>
      <c r="I2039" s="68"/>
      <c r="J2039" s="68"/>
      <c r="K2039" s="32"/>
      <c r="L2039" s="75">
        <v>2039</v>
      </c>
      <c r="M2039" s="75"/>
      <c r="N2039" s="70"/>
      <c r="O2039" s="77" t="s">
        <v>179</v>
      </c>
      <c r="P2039" s="79">
        <v>45193.803993055553</v>
      </c>
      <c r="Q2039" s="77" t="s">
        <v>3265</v>
      </c>
      <c r="R2039" s="77">
        <v>1</v>
      </c>
      <c r="S2039" s="77">
        <v>1</v>
      </c>
      <c r="T2039" s="77">
        <v>1</v>
      </c>
      <c r="U2039" s="77">
        <v>1</v>
      </c>
      <c r="V2039" s="77">
        <v>553</v>
      </c>
      <c r="W2039" s="82" t="s">
        <v>5725</v>
      </c>
      <c r="X2039" s="80" t="str">
        <f>HYPERLINK("https://www.triunfo777.com?TF=cjf6ch1")</f>
        <v>https://www.triunfo777.com?TF=cjf6ch1</v>
      </c>
      <c r="Y2039" s="77" t="s">
        <v>7385</v>
      </c>
      <c r="Z2039" s="77"/>
      <c r="AA2039" s="77" t="s">
        <v>8565</v>
      </c>
      <c r="AB2039" s="77" t="s">
        <v>10138</v>
      </c>
      <c r="AC2039" s="82" t="s">
        <v>10144</v>
      </c>
      <c r="AD2039" s="77" t="s">
        <v>10184</v>
      </c>
      <c r="AE2039" s="80" t="str">
        <f>HYPERLINK("https://twitter.com/thiagofeli12411/status/1706025144618004801")</f>
        <v>https://twitter.com/thiagofeli12411/status/1706025144618004801</v>
      </c>
      <c r="AF2039" s="79">
        <v>45193.803993055553</v>
      </c>
      <c r="AG2039" s="85">
        <v>45193</v>
      </c>
      <c r="AH2039" s="82" t="s">
        <v>12150</v>
      </c>
      <c r="AI2039" s="77" t="b">
        <v>0</v>
      </c>
      <c r="AJ2039" s="77"/>
      <c r="AK2039" s="77"/>
      <c r="AL2039" s="77"/>
      <c r="AM2039" s="77"/>
      <c r="AN2039" s="77"/>
      <c r="AO2039" s="77"/>
      <c r="AP2039" s="77"/>
      <c r="AQ2039" s="77" t="s">
        <v>15209</v>
      </c>
      <c r="AR2039" s="77" t="s">
        <v>16772</v>
      </c>
      <c r="AS2039" s="77"/>
      <c r="AT2039" s="77"/>
      <c r="AU2039" s="77"/>
      <c r="AV2039" s="80" t="str">
        <f>HYPERLINK("https://pbs.twimg.com/media/F60Ews5WsAEmfV8.jpg")</f>
        <v>https://pbs.twimg.com/media/F60Ews5WsAEmfV8.jpg</v>
      </c>
      <c r="AW2039" s="82" t="s">
        <v>18807</v>
      </c>
      <c r="AX2039" s="82" t="s">
        <v>18807</v>
      </c>
      <c r="AY2039" s="77"/>
      <c r="AZ2039" s="82" t="s">
        <v>20971</v>
      </c>
      <c r="BA2039" s="82" t="s">
        <v>20971</v>
      </c>
      <c r="BB2039" s="82" t="s">
        <v>20971</v>
      </c>
      <c r="BC2039" s="82" t="s">
        <v>18807</v>
      </c>
      <c r="BD2039" s="82" t="s">
        <v>20943</v>
      </c>
      <c r="BE2039" s="77"/>
      <c r="BF2039" s="77"/>
      <c r="BG2039" s="77"/>
      <c r="BH2039" s="77"/>
      <c r="BI2039" s="77"/>
    </row>
    <row r="2040" spans="1:61" x14ac:dyDescent="0.25">
      <c r="A2040" s="62" t="s">
        <v>724</v>
      </c>
      <c r="B2040" s="62" t="s">
        <v>724</v>
      </c>
      <c r="C2040" s="63"/>
      <c r="D2040" s="64"/>
      <c r="E2040" s="65"/>
      <c r="F2040" s="66"/>
      <c r="G2040" s="63"/>
      <c r="H2040" s="67"/>
      <c r="I2040" s="68"/>
      <c r="J2040" s="68"/>
      <c r="K2040" s="32"/>
      <c r="L2040" s="75">
        <v>2040</v>
      </c>
      <c r="M2040" s="75"/>
      <c r="N2040" s="70"/>
      <c r="O2040" s="77" t="s">
        <v>1286</v>
      </c>
      <c r="P2040" s="79">
        <v>45193.804212962961</v>
      </c>
      <c r="Q2040" s="77" t="s">
        <v>3260</v>
      </c>
      <c r="R2040" s="77">
        <v>1</v>
      </c>
      <c r="S2040" s="77">
        <v>0</v>
      </c>
      <c r="T2040" s="77">
        <v>0</v>
      </c>
      <c r="U2040" s="77">
        <v>0</v>
      </c>
      <c r="V2040" s="77">
        <v>172</v>
      </c>
      <c r="W2040" s="82" t="s">
        <v>5725</v>
      </c>
      <c r="X2040" s="80" t="str">
        <f>HYPERLINK("https://www.triunfo777.com?TF=cjf6ch1")</f>
        <v>https://www.triunfo777.com?TF=cjf6ch1</v>
      </c>
      <c r="Y2040" s="77" t="s">
        <v>7385</v>
      </c>
      <c r="Z2040" s="77"/>
      <c r="AA2040" s="77"/>
      <c r="AB2040" s="77"/>
      <c r="AC2040" s="82" t="s">
        <v>10144</v>
      </c>
      <c r="AD2040" s="77" t="s">
        <v>10184</v>
      </c>
      <c r="AE2040" s="80" t="str">
        <f>HYPERLINK("https://twitter.com/thiagofeli12411/status/1706025226046255376")</f>
        <v>https://twitter.com/thiagofeli12411/status/1706025226046255376</v>
      </c>
      <c r="AF2040" s="79">
        <v>45193.804212962961</v>
      </c>
      <c r="AG2040" s="85">
        <v>45193</v>
      </c>
      <c r="AH2040" s="82" t="s">
        <v>12151</v>
      </c>
      <c r="AI2040" s="77" t="b">
        <v>0</v>
      </c>
      <c r="AJ2040" s="77"/>
      <c r="AK2040" s="77"/>
      <c r="AL2040" s="77"/>
      <c r="AM2040" s="77"/>
      <c r="AN2040" s="77"/>
      <c r="AO2040" s="77"/>
      <c r="AP2040" s="77"/>
      <c r="AQ2040" s="77"/>
      <c r="AR2040" s="77"/>
      <c r="AS2040" s="77"/>
      <c r="AT2040" s="77"/>
      <c r="AU2040" s="77"/>
      <c r="AV2040" s="80" t="str">
        <f>HYPERLINK("https://pbs.twimg.com/profile_images/1670904315236556801/OEXiAt-q_normal.jpg")</f>
        <v>https://pbs.twimg.com/profile_images/1670904315236556801/OEXiAt-q_normal.jpg</v>
      </c>
      <c r="AW2040" s="82" t="s">
        <v>18808</v>
      </c>
      <c r="AX2040" s="82" t="s">
        <v>18808</v>
      </c>
      <c r="AY2040" s="77"/>
      <c r="AZ2040" s="82" t="s">
        <v>20971</v>
      </c>
      <c r="BA2040" s="82" t="s">
        <v>18807</v>
      </c>
      <c r="BB2040" s="82" t="s">
        <v>20971</v>
      </c>
      <c r="BC2040" s="82" t="s">
        <v>18807</v>
      </c>
      <c r="BD2040" s="82" t="s">
        <v>20943</v>
      </c>
      <c r="BE2040" s="77"/>
      <c r="BF2040" s="77"/>
      <c r="BG2040" s="77"/>
      <c r="BH2040" s="77"/>
      <c r="BI2040" s="77"/>
    </row>
    <row r="2041" spans="1:61" x14ac:dyDescent="0.25">
      <c r="A2041" s="62" t="s">
        <v>724</v>
      </c>
      <c r="B2041" s="62" t="s">
        <v>724</v>
      </c>
      <c r="C2041" s="63"/>
      <c r="D2041" s="64"/>
      <c r="E2041" s="65"/>
      <c r="F2041" s="66"/>
      <c r="G2041" s="63"/>
      <c r="H2041" s="67"/>
      <c r="I2041" s="68"/>
      <c r="J2041" s="68"/>
      <c r="K2041" s="32"/>
      <c r="L2041" s="75">
        <v>2041</v>
      </c>
      <c r="M2041" s="75"/>
      <c r="N2041" s="70"/>
      <c r="O2041" s="77" t="s">
        <v>179</v>
      </c>
      <c r="P2041" s="79">
        <v>45185.738796296297</v>
      </c>
      <c r="Q2041" s="77" t="s">
        <v>3266</v>
      </c>
      <c r="R2041" s="77">
        <v>1</v>
      </c>
      <c r="S2041" s="77">
        <v>3</v>
      </c>
      <c r="T2041" s="77">
        <v>1</v>
      </c>
      <c r="U2041" s="77">
        <v>1</v>
      </c>
      <c r="V2041" s="77">
        <v>528</v>
      </c>
      <c r="W2041" s="82" t="s">
        <v>5725</v>
      </c>
      <c r="X2041" s="80" t="str">
        <f>HYPERLINK("https://www.triunfo777.com?TF=cjf6ch1")</f>
        <v>https://www.triunfo777.com?TF=cjf6ch1</v>
      </c>
      <c r="Y2041" s="77" t="s">
        <v>7385</v>
      </c>
      <c r="Z2041" s="77"/>
      <c r="AA2041" s="77" t="s">
        <v>8566</v>
      </c>
      <c r="AB2041" s="77" t="s">
        <v>10131</v>
      </c>
      <c r="AC2041" s="82" t="s">
        <v>10144</v>
      </c>
      <c r="AD2041" s="77" t="s">
        <v>10184</v>
      </c>
      <c r="AE2041" s="80" t="str">
        <f>HYPERLINK("https://twitter.com/thiagofeli12411/status/1703102414121803901")</f>
        <v>https://twitter.com/thiagofeli12411/status/1703102414121803901</v>
      </c>
      <c r="AF2041" s="79">
        <v>45185.738796296297</v>
      </c>
      <c r="AG2041" s="85">
        <v>45185</v>
      </c>
      <c r="AH2041" s="82" t="s">
        <v>12152</v>
      </c>
      <c r="AI2041" s="77" t="b">
        <v>0</v>
      </c>
      <c r="AJ2041" s="77"/>
      <c r="AK2041" s="77"/>
      <c r="AL2041" s="77"/>
      <c r="AM2041" s="77"/>
      <c r="AN2041" s="77"/>
      <c r="AO2041" s="77"/>
      <c r="AP2041" s="77"/>
      <c r="AQ2041" s="77" t="s">
        <v>15210</v>
      </c>
      <c r="AR2041" s="77"/>
      <c r="AS2041" s="77"/>
      <c r="AT2041" s="77"/>
      <c r="AU2041" s="77"/>
      <c r="AV2041" s="80" t="str">
        <f>HYPERLINK("https://pbs.twimg.com/media/F6Kim9FWgAAC1cO.jpg")</f>
        <v>https://pbs.twimg.com/media/F6Kim9FWgAAC1cO.jpg</v>
      </c>
      <c r="AW2041" s="82" t="s">
        <v>18809</v>
      </c>
      <c r="AX2041" s="82" t="s">
        <v>18809</v>
      </c>
      <c r="AY2041" s="77"/>
      <c r="AZ2041" s="82" t="s">
        <v>20971</v>
      </c>
      <c r="BA2041" s="82" t="s">
        <v>20971</v>
      </c>
      <c r="BB2041" s="82" t="s">
        <v>20971</v>
      </c>
      <c r="BC2041" s="82" t="s">
        <v>18809</v>
      </c>
      <c r="BD2041" s="82" t="s">
        <v>20943</v>
      </c>
      <c r="BE2041" s="77"/>
      <c r="BF2041" s="77"/>
      <c r="BG2041" s="77"/>
      <c r="BH2041" s="77"/>
      <c r="BI2041" s="77"/>
    </row>
    <row r="2042" spans="1:61" x14ac:dyDescent="0.25">
      <c r="A2042" s="62" t="s">
        <v>724</v>
      </c>
      <c r="B2042" s="62" t="s">
        <v>724</v>
      </c>
      <c r="C2042" s="63"/>
      <c r="D2042" s="64"/>
      <c r="E2042" s="65"/>
      <c r="F2042" s="66"/>
      <c r="G2042" s="63"/>
      <c r="H2042" s="67"/>
      <c r="I2042" s="68"/>
      <c r="J2042" s="68"/>
      <c r="K2042" s="32"/>
      <c r="L2042" s="75">
        <v>2042</v>
      </c>
      <c r="M2042" s="75"/>
      <c r="N2042" s="70"/>
      <c r="O2042" s="77" t="s">
        <v>1287</v>
      </c>
      <c r="P2042" s="79">
        <v>45191.853576388887</v>
      </c>
      <c r="Q2042" s="77" t="s">
        <v>3261</v>
      </c>
      <c r="R2042" s="77">
        <v>1</v>
      </c>
      <c r="S2042" s="77">
        <v>0</v>
      </c>
      <c r="T2042" s="77">
        <v>0</v>
      </c>
      <c r="U2042" s="77">
        <v>0</v>
      </c>
      <c r="V2042" s="77"/>
      <c r="W2042" s="77"/>
      <c r="X2042" s="80" t="str">
        <f>HYPERLINK("https://www.triunfo777.com?TF=cjf6ch1")</f>
        <v>https://www.triunfo777.com?TF=cjf6ch1</v>
      </c>
      <c r="Y2042" s="77" t="s">
        <v>7385</v>
      </c>
      <c r="Z2042" s="77" t="s">
        <v>724</v>
      </c>
      <c r="AA2042" s="77"/>
      <c r="AB2042" s="77"/>
      <c r="AC2042" s="82" t="s">
        <v>10144</v>
      </c>
      <c r="AD2042" s="77" t="s">
        <v>10184</v>
      </c>
      <c r="AE2042" s="80" t="str">
        <f>HYPERLINK("https://twitter.com/thiagofeli12411/status/1705318338035892504")</f>
        <v>https://twitter.com/thiagofeli12411/status/1705318338035892504</v>
      </c>
      <c r="AF2042" s="79">
        <v>45191.853576388887</v>
      </c>
      <c r="AG2042" s="85">
        <v>45191</v>
      </c>
      <c r="AH2042" s="82" t="s">
        <v>10395</v>
      </c>
      <c r="AI2042" s="77" t="b">
        <v>0</v>
      </c>
      <c r="AJ2042" s="77"/>
      <c r="AK2042" s="77"/>
      <c r="AL2042" s="77"/>
      <c r="AM2042" s="77"/>
      <c r="AN2042" s="77"/>
      <c r="AO2042" s="77"/>
      <c r="AP2042" s="77"/>
      <c r="AQ2042" s="77"/>
      <c r="AR2042" s="77"/>
      <c r="AS2042" s="77"/>
      <c r="AT2042" s="77"/>
      <c r="AU2042" s="77"/>
      <c r="AV2042" s="80" t="str">
        <f>HYPERLINK("https://pbs.twimg.com/profile_images/1670904315236556801/OEXiAt-q_normal.jpg")</f>
        <v>https://pbs.twimg.com/profile_images/1670904315236556801/OEXiAt-q_normal.jpg</v>
      </c>
      <c r="AW2042" s="82" t="s">
        <v>18810</v>
      </c>
      <c r="AX2042" s="82" t="s">
        <v>18810</v>
      </c>
      <c r="AY2042" s="77"/>
      <c r="AZ2042" s="82" t="s">
        <v>20971</v>
      </c>
      <c r="BA2042" s="82" t="s">
        <v>20971</v>
      </c>
      <c r="BB2042" s="82" t="s">
        <v>18809</v>
      </c>
      <c r="BC2042" s="82" t="s">
        <v>18809</v>
      </c>
      <c r="BD2042" s="82" t="s">
        <v>20943</v>
      </c>
      <c r="BE2042" s="77"/>
      <c r="BF2042" s="77"/>
      <c r="BG2042" s="77"/>
      <c r="BH2042" s="77"/>
      <c r="BI2042" s="77"/>
    </row>
    <row r="2043" spans="1:61" x14ac:dyDescent="0.25">
      <c r="A2043" s="62" t="s">
        <v>724</v>
      </c>
      <c r="B2043" s="62" t="s">
        <v>724</v>
      </c>
      <c r="C2043" s="63"/>
      <c r="D2043" s="64"/>
      <c r="E2043" s="65"/>
      <c r="F2043" s="66"/>
      <c r="G2043" s="63"/>
      <c r="H2043" s="67"/>
      <c r="I2043" s="68"/>
      <c r="J2043" s="68"/>
      <c r="K2043" s="32"/>
      <c r="L2043" s="75">
        <v>2043</v>
      </c>
      <c r="M2043" s="75"/>
      <c r="N2043" s="70"/>
      <c r="O2043" s="77" t="s">
        <v>1286</v>
      </c>
      <c r="P2043" s="79">
        <v>45189.679201388892</v>
      </c>
      <c r="Q2043" s="77" t="s">
        <v>3260</v>
      </c>
      <c r="R2043" s="77">
        <v>1</v>
      </c>
      <c r="S2043" s="77">
        <v>2</v>
      </c>
      <c r="T2043" s="77">
        <v>2</v>
      </c>
      <c r="U2043" s="77">
        <v>1</v>
      </c>
      <c r="V2043" s="77">
        <v>348</v>
      </c>
      <c r="W2043" s="82" t="s">
        <v>5725</v>
      </c>
      <c r="X2043" s="80" t="str">
        <f>HYPERLINK("https://www.triunfo777.com?TF=cjf6ch1")</f>
        <v>https://www.triunfo777.com?TF=cjf6ch1</v>
      </c>
      <c r="Y2043" s="77" t="s">
        <v>7385</v>
      </c>
      <c r="Z2043" s="77"/>
      <c r="AA2043" s="77"/>
      <c r="AB2043" s="77"/>
      <c r="AC2043" s="82" t="s">
        <v>10144</v>
      </c>
      <c r="AD2043" s="77" t="s">
        <v>10184</v>
      </c>
      <c r="AE2043" s="80" t="str">
        <f>HYPERLINK("https://twitter.com/thiagofeli12411/status/1704530371948253569")</f>
        <v>https://twitter.com/thiagofeli12411/status/1704530371948253569</v>
      </c>
      <c r="AF2043" s="79">
        <v>45189.679201388892</v>
      </c>
      <c r="AG2043" s="85">
        <v>45189</v>
      </c>
      <c r="AH2043" s="82" t="s">
        <v>12153</v>
      </c>
      <c r="AI2043" s="77" t="b">
        <v>0</v>
      </c>
      <c r="AJ2043" s="77"/>
      <c r="AK2043" s="77"/>
      <c r="AL2043" s="77"/>
      <c r="AM2043" s="77"/>
      <c r="AN2043" s="77"/>
      <c r="AO2043" s="77"/>
      <c r="AP2043" s="77"/>
      <c r="AQ2043" s="77"/>
      <c r="AR2043" s="77"/>
      <c r="AS2043" s="77"/>
      <c r="AT2043" s="77"/>
      <c r="AU2043" s="77"/>
      <c r="AV2043" s="80" t="str">
        <f>HYPERLINK("https://pbs.twimg.com/profile_images/1670904315236556801/OEXiAt-q_normal.jpg")</f>
        <v>https://pbs.twimg.com/profile_images/1670904315236556801/OEXiAt-q_normal.jpg</v>
      </c>
      <c r="AW2043" s="82" t="s">
        <v>18811</v>
      </c>
      <c r="AX2043" s="82" t="s">
        <v>18811</v>
      </c>
      <c r="AY2043" s="77"/>
      <c r="AZ2043" s="82" t="s">
        <v>20971</v>
      </c>
      <c r="BA2043" s="82" t="s">
        <v>18825</v>
      </c>
      <c r="BB2043" s="82" t="s">
        <v>20971</v>
      </c>
      <c r="BC2043" s="82" t="s">
        <v>18825</v>
      </c>
      <c r="BD2043" s="82" t="s">
        <v>20943</v>
      </c>
      <c r="BE2043" s="77"/>
      <c r="BF2043" s="77"/>
      <c r="BG2043" s="77"/>
      <c r="BH2043" s="77"/>
      <c r="BI2043" s="77"/>
    </row>
    <row r="2044" spans="1:61" x14ac:dyDescent="0.25">
      <c r="A2044" s="62" t="s">
        <v>724</v>
      </c>
      <c r="B2044" s="62" t="s">
        <v>724</v>
      </c>
      <c r="C2044" s="63"/>
      <c r="D2044" s="64"/>
      <c r="E2044" s="65"/>
      <c r="F2044" s="66"/>
      <c r="G2044" s="63"/>
      <c r="H2044" s="67"/>
      <c r="I2044" s="68"/>
      <c r="J2044" s="68"/>
      <c r="K2044" s="32"/>
      <c r="L2044" s="75">
        <v>2044</v>
      </c>
      <c r="M2044" s="75"/>
      <c r="N2044" s="70"/>
      <c r="O2044" s="77" t="s">
        <v>1287</v>
      </c>
      <c r="P2044" s="79">
        <v>45189.682870370372</v>
      </c>
      <c r="Q2044" s="77" t="s">
        <v>3261</v>
      </c>
      <c r="R2044" s="77">
        <v>1</v>
      </c>
      <c r="S2044" s="77">
        <v>0</v>
      </c>
      <c r="T2044" s="77">
        <v>0</v>
      </c>
      <c r="U2044" s="77">
        <v>0</v>
      </c>
      <c r="V2044" s="77"/>
      <c r="W2044" s="77"/>
      <c r="X2044" s="80" t="str">
        <f>HYPERLINK("https://www.triunfo777.com?TF=cjf6ch1")</f>
        <v>https://www.triunfo777.com?TF=cjf6ch1</v>
      </c>
      <c r="Y2044" s="77" t="s">
        <v>7385</v>
      </c>
      <c r="Z2044" s="77" t="s">
        <v>724</v>
      </c>
      <c r="AA2044" s="77"/>
      <c r="AB2044" s="77"/>
      <c r="AC2044" s="82" t="s">
        <v>10144</v>
      </c>
      <c r="AD2044" s="77" t="s">
        <v>10184</v>
      </c>
      <c r="AE2044" s="80" t="str">
        <f>HYPERLINK("https://twitter.com/thiagofeli12411/status/1704531700691153153")</f>
        <v>https://twitter.com/thiagofeli12411/status/1704531700691153153</v>
      </c>
      <c r="AF2044" s="79">
        <v>45189.682870370372</v>
      </c>
      <c r="AG2044" s="85">
        <v>45189</v>
      </c>
      <c r="AH2044" s="82" t="s">
        <v>12154</v>
      </c>
      <c r="AI2044" s="77" t="b">
        <v>0</v>
      </c>
      <c r="AJ2044" s="77"/>
      <c r="AK2044" s="77"/>
      <c r="AL2044" s="77"/>
      <c r="AM2044" s="77"/>
      <c r="AN2044" s="77"/>
      <c r="AO2044" s="77"/>
      <c r="AP2044" s="77"/>
      <c r="AQ2044" s="77"/>
      <c r="AR2044" s="77"/>
      <c r="AS2044" s="77"/>
      <c r="AT2044" s="77"/>
      <c r="AU2044" s="77"/>
      <c r="AV2044" s="80" t="str">
        <f>HYPERLINK("https://pbs.twimg.com/profile_images/1670904315236556801/OEXiAt-q_normal.jpg")</f>
        <v>https://pbs.twimg.com/profile_images/1670904315236556801/OEXiAt-q_normal.jpg</v>
      </c>
      <c r="AW2044" s="82" t="s">
        <v>18812</v>
      </c>
      <c r="AX2044" s="82" t="s">
        <v>18812</v>
      </c>
      <c r="AY2044" s="77"/>
      <c r="AZ2044" s="82" t="s">
        <v>20971</v>
      </c>
      <c r="BA2044" s="82" t="s">
        <v>18825</v>
      </c>
      <c r="BB2044" s="82" t="s">
        <v>18811</v>
      </c>
      <c r="BC2044" s="82" t="s">
        <v>18811</v>
      </c>
      <c r="BD2044" s="82" t="s">
        <v>20943</v>
      </c>
      <c r="BE2044" s="77"/>
      <c r="BF2044" s="77"/>
      <c r="BG2044" s="77"/>
      <c r="BH2044" s="77"/>
      <c r="BI2044" s="77"/>
    </row>
    <row r="2045" spans="1:61" x14ac:dyDescent="0.25">
      <c r="A2045" s="62" t="s">
        <v>724</v>
      </c>
      <c r="B2045" s="62" t="s">
        <v>724</v>
      </c>
      <c r="C2045" s="63"/>
      <c r="D2045" s="64"/>
      <c r="E2045" s="65"/>
      <c r="F2045" s="66"/>
      <c r="G2045" s="63"/>
      <c r="H2045" s="67"/>
      <c r="I2045" s="68"/>
      <c r="J2045" s="68"/>
      <c r="K2045" s="32"/>
      <c r="L2045" s="75">
        <v>2045</v>
      </c>
      <c r="M2045" s="75"/>
      <c r="N2045" s="70"/>
      <c r="O2045" s="77" t="s">
        <v>1286</v>
      </c>
      <c r="P2045" s="79">
        <v>45185.739560185182</v>
      </c>
      <c r="Q2045" s="77" t="s">
        <v>3260</v>
      </c>
      <c r="R2045" s="77">
        <v>1</v>
      </c>
      <c r="S2045" s="77">
        <v>0</v>
      </c>
      <c r="T2045" s="77">
        <v>1</v>
      </c>
      <c r="U2045" s="77">
        <v>0</v>
      </c>
      <c r="V2045" s="77">
        <v>159</v>
      </c>
      <c r="W2045" s="82" t="s">
        <v>5725</v>
      </c>
      <c r="X2045" s="80" t="str">
        <f>HYPERLINK("https://www.triunfo777.com?TF=cjf6ch1")</f>
        <v>https://www.triunfo777.com?TF=cjf6ch1</v>
      </c>
      <c r="Y2045" s="77" t="s">
        <v>7385</v>
      </c>
      <c r="Z2045" s="77"/>
      <c r="AA2045" s="77"/>
      <c r="AB2045" s="77"/>
      <c r="AC2045" s="82" t="s">
        <v>10144</v>
      </c>
      <c r="AD2045" s="77" t="s">
        <v>10184</v>
      </c>
      <c r="AE2045" s="80" t="str">
        <f>HYPERLINK("https://twitter.com/thiagofeli12411/status/1703102690027348145")</f>
        <v>https://twitter.com/thiagofeli12411/status/1703102690027348145</v>
      </c>
      <c r="AF2045" s="79">
        <v>45185.739560185182</v>
      </c>
      <c r="AG2045" s="85">
        <v>45185</v>
      </c>
      <c r="AH2045" s="82" t="s">
        <v>12155</v>
      </c>
      <c r="AI2045" s="77" t="b">
        <v>0</v>
      </c>
      <c r="AJ2045" s="77"/>
      <c r="AK2045" s="77"/>
      <c r="AL2045" s="77"/>
      <c r="AM2045" s="77"/>
      <c r="AN2045" s="77"/>
      <c r="AO2045" s="77"/>
      <c r="AP2045" s="77"/>
      <c r="AQ2045" s="77"/>
      <c r="AR2045" s="77"/>
      <c r="AS2045" s="77"/>
      <c r="AT2045" s="77"/>
      <c r="AU2045" s="77"/>
      <c r="AV2045" s="80" t="str">
        <f>HYPERLINK("https://pbs.twimg.com/profile_images/1670904315236556801/OEXiAt-q_normal.jpg")</f>
        <v>https://pbs.twimg.com/profile_images/1670904315236556801/OEXiAt-q_normal.jpg</v>
      </c>
      <c r="AW2045" s="82" t="s">
        <v>18813</v>
      </c>
      <c r="AX2045" s="82" t="s">
        <v>18813</v>
      </c>
      <c r="AY2045" s="77"/>
      <c r="AZ2045" s="82" t="s">
        <v>20971</v>
      </c>
      <c r="BA2045" s="82" t="s">
        <v>18809</v>
      </c>
      <c r="BB2045" s="82" t="s">
        <v>20971</v>
      </c>
      <c r="BC2045" s="82" t="s">
        <v>18809</v>
      </c>
      <c r="BD2045" s="82" t="s">
        <v>20943</v>
      </c>
      <c r="BE2045" s="77"/>
      <c r="BF2045" s="77"/>
      <c r="BG2045" s="77"/>
      <c r="BH2045" s="77"/>
      <c r="BI2045" s="77"/>
    </row>
    <row r="2046" spans="1:61" x14ac:dyDescent="0.25">
      <c r="A2046" s="62" t="s">
        <v>724</v>
      </c>
      <c r="B2046" s="62" t="s">
        <v>724</v>
      </c>
      <c r="C2046" s="63"/>
      <c r="D2046" s="64"/>
      <c r="E2046" s="65"/>
      <c r="F2046" s="66"/>
      <c r="G2046" s="63"/>
      <c r="H2046" s="67"/>
      <c r="I2046" s="68"/>
      <c r="J2046" s="68"/>
      <c r="K2046" s="32"/>
      <c r="L2046" s="75">
        <v>2046</v>
      </c>
      <c r="M2046" s="75"/>
      <c r="N2046" s="70"/>
      <c r="O2046" s="77" t="s">
        <v>1287</v>
      </c>
      <c r="P2046" s="79">
        <v>45189.681006944447</v>
      </c>
      <c r="Q2046" s="77" t="s">
        <v>3261</v>
      </c>
      <c r="R2046" s="77">
        <v>1</v>
      </c>
      <c r="S2046" s="77">
        <v>0</v>
      </c>
      <c r="T2046" s="77">
        <v>0</v>
      </c>
      <c r="U2046" s="77">
        <v>0</v>
      </c>
      <c r="V2046" s="77"/>
      <c r="W2046" s="77"/>
      <c r="X2046" s="80" t="str">
        <f>HYPERLINK("https://www.triunfo777.com?TF=cjf6ch1")</f>
        <v>https://www.triunfo777.com?TF=cjf6ch1</v>
      </c>
      <c r="Y2046" s="77" t="s">
        <v>7385</v>
      </c>
      <c r="Z2046" s="77" t="s">
        <v>724</v>
      </c>
      <c r="AA2046" s="77"/>
      <c r="AB2046" s="77"/>
      <c r="AC2046" s="82" t="s">
        <v>10144</v>
      </c>
      <c r="AD2046" s="77" t="s">
        <v>10184</v>
      </c>
      <c r="AE2046" s="80" t="str">
        <f>HYPERLINK("https://twitter.com/thiagofeli12411/status/1704531026289037386")</f>
        <v>https://twitter.com/thiagofeli12411/status/1704531026289037386</v>
      </c>
      <c r="AF2046" s="79">
        <v>45189.681006944447</v>
      </c>
      <c r="AG2046" s="85">
        <v>45189</v>
      </c>
      <c r="AH2046" s="82" t="s">
        <v>12156</v>
      </c>
      <c r="AI2046" s="77" t="b">
        <v>0</v>
      </c>
      <c r="AJ2046" s="77"/>
      <c r="AK2046" s="77"/>
      <c r="AL2046" s="77"/>
      <c r="AM2046" s="77"/>
      <c r="AN2046" s="77"/>
      <c r="AO2046" s="77"/>
      <c r="AP2046" s="77"/>
      <c r="AQ2046" s="77"/>
      <c r="AR2046" s="77"/>
      <c r="AS2046" s="77"/>
      <c r="AT2046" s="77"/>
      <c r="AU2046" s="77"/>
      <c r="AV2046" s="80" t="str">
        <f>HYPERLINK("https://pbs.twimg.com/profile_images/1670904315236556801/OEXiAt-q_normal.jpg")</f>
        <v>https://pbs.twimg.com/profile_images/1670904315236556801/OEXiAt-q_normal.jpg</v>
      </c>
      <c r="AW2046" s="82" t="s">
        <v>18814</v>
      </c>
      <c r="AX2046" s="82" t="s">
        <v>18814</v>
      </c>
      <c r="AY2046" s="77"/>
      <c r="AZ2046" s="82" t="s">
        <v>20971</v>
      </c>
      <c r="BA2046" s="82" t="s">
        <v>18809</v>
      </c>
      <c r="BB2046" s="82" t="s">
        <v>18813</v>
      </c>
      <c r="BC2046" s="82" t="s">
        <v>18813</v>
      </c>
      <c r="BD2046" s="82" t="s">
        <v>20943</v>
      </c>
      <c r="BE2046" s="77"/>
      <c r="BF2046" s="77"/>
      <c r="BG2046" s="77"/>
      <c r="BH2046" s="77"/>
      <c r="BI2046" s="77"/>
    </row>
    <row r="2047" spans="1:61" x14ac:dyDescent="0.25">
      <c r="A2047" s="62" t="s">
        <v>724</v>
      </c>
      <c r="B2047" s="62" t="s">
        <v>724</v>
      </c>
      <c r="C2047" s="63"/>
      <c r="D2047" s="64"/>
      <c r="E2047" s="65"/>
      <c r="F2047" s="66"/>
      <c r="G2047" s="63"/>
      <c r="H2047" s="67"/>
      <c r="I2047" s="68"/>
      <c r="J2047" s="68"/>
      <c r="K2047" s="32"/>
      <c r="L2047" s="75">
        <v>2047</v>
      </c>
      <c r="M2047" s="75"/>
      <c r="N2047" s="70"/>
      <c r="O2047" s="77" t="s">
        <v>179</v>
      </c>
      <c r="P2047" s="79">
        <v>45185.743020833332</v>
      </c>
      <c r="Q2047" s="77" t="s">
        <v>3267</v>
      </c>
      <c r="R2047" s="77">
        <v>1</v>
      </c>
      <c r="S2047" s="77">
        <v>1</v>
      </c>
      <c r="T2047" s="77">
        <v>1</v>
      </c>
      <c r="U2047" s="77">
        <v>0</v>
      </c>
      <c r="V2047" s="77">
        <v>668</v>
      </c>
      <c r="W2047" s="82" t="s">
        <v>5725</v>
      </c>
      <c r="X2047" s="80" t="str">
        <f>HYPERLINK("https://www.triunfo777.com?TF=cjf6ch1")</f>
        <v>https://www.triunfo777.com?TF=cjf6ch1</v>
      </c>
      <c r="Y2047" s="77" t="s">
        <v>7385</v>
      </c>
      <c r="Z2047" s="77"/>
      <c r="AA2047" s="77" t="s">
        <v>8567</v>
      </c>
      <c r="AB2047" s="77" t="s">
        <v>10134</v>
      </c>
      <c r="AC2047" s="82" t="s">
        <v>10144</v>
      </c>
      <c r="AD2047" s="77" t="s">
        <v>10184</v>
      </c>
      <c r="AE2047" s="80" t="str">
        <f>HYPERLINK("https://twitter.com/thiagofeli12411/status/1703103946242363627")</f>
        <v>https://twitter.com/thiagofeli12411/status/1703103946242363627</v>
      </c>
      <c r="AF2047" s="79">
        <v>45185.743020833332</v>
      </c>
      <c r="AG2047" s="85">
        <v>45185</v>
      </c>
      <c r="AH2047" s="82" t="s">
        <v>12157</v>
      </c>
      <c r="AI2047" s="77" t="b">
        <v>0</v>
      </c>
      <c r="AJ2047" s="77"/>
      <c r="AK2047" s="77"/>
      <c r="AL2047" s="77"/>
      <c r="AM2047" s="77"/>
      <c r="AN2047" s="77"/>
      <c r="AO2047" s="77"/>
      <c r="AP2047" s="77"/>
      <c r="AQ2047" s="77" t="s">
        <v>15211</v>
      </c>
      <c r="AR2047" s="77">
        <v>11330</v>
      </c>
      <c r="AS2047" s="77"/>
      <c r="AT2047" s="77"/>
      <c r="AU2047" s="77"/>
      <c r="AV2047" s="80" t="str">
        <f>HYPERLINK("https://pbs.twimg.com/media/F6Kj-W2XcAAHRpL.jpg")</f>
        <v>https://pbs.twimg.com/media/F6Kj-W2XcAAHRpL.jpg</v>
      </c>
      <c r="AW2047" s="82" t="s">
        <v>18815</v>
      </c>
      <c r="AX2047" s="82" t="s">
        <v>18815</v>
      </c>
      <c r="AY2047" s="77"/>
      <c r="AZ2047" s="82" t="s">
        <v>20971</v>
      </c>
      <c r="BA2047" s="82" t="s">
        <v>20971</v>
      </c>
      <c r="BB2047" s="82" t="s">
        <v>20971</v>
      </c>
      <c r="BC2047" s="82" t="s">
        <v>18815</v>
      </c>
      <c r="BD2047" s="82" t="s">
        <v>20943</v>
      </c>
      <c r="BE2047" s="77"/>
      <c r="BF2047" s="77"/>
      <c r="BG2047" s="77"/>
      <c r="BH2047" s="77"/>
      <c r="BI2047" s="77"/>
    </row>
    <row r="2048" spans="1:61" x14ac:dyDescent="0.25">
      <c r="A2048" s="62" t="s">
        <v>724</v>
      </c>
      <c r="B2048" s="62" t="s">
        <v>724</v>
      </c>
      <c r="C2048" s="63"/>
      <c r="D2048" s="64"/>
      <c r="E2048" s="65"/>
      <c r="F2048" s="66"/>
      <c r="G2048" s="63"/>
      <c r="H2048" s="67"/>
      <c r="I2048" s="68"/>
      <c r="J2048" s="68"/>
      <c r="K2048" s="32"/>
      <c r="L2048" s="75">
        <v>2048</v>
      </c>
      <c r="M2048" s="75"/>
      <c r="N2048" s="70"/>
      <c r="O2048" s="77" t="s">
        <v>1287</v>
      </c>
      <c r="P2048" s="79">
        <v>45189.680960648147</v>
      </c>
      <c r="Q2048" s="77" t="s">
        <v>3261</v>
      </c>
      <c r="R2048" s="77">
        <v>1</v>
      </c>
      <c r="S2048" s="77">
        <v>0</v>
      </c>
      <c r="T2048" s="77">
        <v>0</v>
      </c>
      <c r="U2048" s="77">
        <v>0</v>
      </c>
      <c r="V2048" s="77"/>
      <c r="W2048" s="77"/>
      <c r="X2048" s="80" t="str">
        <f>HYPERLINK("https://www.triunfo777.com?TF=cjf6ch1")</f>
        <v>https://www.triunfo777.com?TF=cjf6ch1</v>
      </c>
      <c r="Y2048" s="77" t="s">
        <v>7385</v>
      </c>
      <c r="Z2048" s="77" t="s">
        <v>724</v>
      </c>
      <c r="AA2048" s="77"/>
      <c r="AB2048" s="77"/>
      <c r="AC2048" s="82" t="s">
        <v>10144</v>
      </c>
      <c r="AD2048" s="77" t="s">
        <v>10184</v>
      </c>
      <c r="AE2048" s="80" t="str">
        <f>HYPERLINK("https://twitter.com/thiagofeli12411/status/1704531009167913272")</f>
        <v>https://twitter.com/thiagofeli12411/status/1704531009167913272</v>
      </c>
      <c r="AF2048" s="79">
        <v>45189.680960648147</v>
      </c>
      <c r="AG2048" s="85">
        <v>45189</v>
      </c>
      <c r="AH2048" s="82" t="s">
        <v>12158</v>
      </c>
      <c r="AI2048" s="77" t="b">
        <v>0</v>
      </c>
      <c r="AJ2048" s="77"/>
      <c r="AK2048" s="77"/>
      <c r="AL2048" s="77"/>
      <c r="AM2048" s="77"/>
      <c r="AN2048" s="77"/>
      <c r="AO2048" s="77"/>
      <c r="AP2048" s="77"/>
      <c r="AQ2048" s="77"/>
      <c r="AR2048" s="77"/>
      <c r="AS2048" s="77"/>
      <c r="AT2048" s="77"/>
      <c r="AU2048" s="77"/>
      <c r="AV2048" s="80" t="str">
        <f>HYPERLINK("https://pbs.twimg.com/profile_images/1670904315236556801/OEXiAt-q_normal.jpg")</f>
        <v>https://pbs.twimg.com/profile_images/1670904315236556801/OEXiAt-q_normal.jpg</v>
      </c>
      <c r="AW2048" s="82" t="s">
        <v>18816</v>
      </c>
      <c r="AX2048" s="82" t="s">
        <v>18816</v>
      </c>
      <c r="AY2048" s="77"/>
      <c r="AZ2048" s="82" t="s">
        <v>20971</v>
      </c>
      <c r="BA2048" s="82" t="s">
        <v>20971</v>
      </c>
      <c r="BB2048" s="82" t="s">
        <v>18815</v>
      </c>
      <c r="BC2048" s="82" t="s">
        <v>18815</v>
      </c>
      <c r="BD2048" s="82" t="s">
        <v>20943</v>
      </c>
      <c r="BE2048" s="77"/>
      <c r="BF2048" s="77"/>
      <c r="BG2048" s="77"/>
      <c r="BH2048" s="77"/>
      <c r="BI2048" s="77"/>
    </row>
    <row r="2049" spans="1:61" x14ac:dyDescent="0.25">
      <c r="A2049" s="62" t="s">
        <v>724</v>
      </c>
      <c r="B2049" s="62" t="s">
        <v>724</v>
      </c>
      <c r="C2049" s="63"/>
      <c r="D2049" s="64"/>
      <c r="E2049" s="65"/>
      <c r="F2049" s="66"/>
      <c r="G2049" s="63"/>
      <c r="H2049" s="67"/>
      <c r="I2049" s="68"/>
      <c r="J2049" s="68"/>
      <c r="K2049" s="32"/>
      <c r="L2049" s="75">
        <v>2049</v>
      </c>
      <c r="M2049" s="75"/>
      <c r="N2049" s="70"/>
      <c r="O2049" s="77" t="s">
        <v>179</v>
      </c>
      <c r="P2049" s="79">
        <v>45163.758506944447</v>
      </c>
      <c r="Q2049" s="77" t="s">
        <v>3268</v>
      </c>
      <c r="R2049" s="77">
        <v>1</v>
      </c>
      <c r="S2049" s="77">
        <v>0</v>
      </c>
      <c r="T2049" s="77">
        <v>2</v>
      </c>
      <c r="U2049" s="77">
        <v>0</v>
      </c>
      <c r="V2049" s="77">
        <v>428</v>
      </c>
      <c r="W2049" s="82" t="s">
        <v>5725</v>
      </c>
      <c r="X2049" s="80" t="str">
        <f>HYPERLINK("http://triunfo777.com/?TF=cjf6ch1")</f>
        <v>http://triunfo777.com/?TF=cjf6ch1</v>
      </c>
      <c r="Y2049" s="77" t="s">
        <v>7385</v>
      </c>
      <c r="Z2049" s="77"/>
      <c r="AA2049" s="77" t="s">
        <v>8568</v>
      </c>
      <c r="AB2049" s="77" t="s">
        <v>10131</v>
      </c>
      <c r="AC2049" s="82" t="s">
        <v>10144</v>
      </c>
      <c r="AD2049" s="77" t="s">
        <v>10184</v>
      </c>
      <c r="AE2049" s="80" t="str">
        <f>HYPERLINK("https://twitter.com/thiagofeli12411/status/1695137024360001786")</f>
        <v>https://twitter.com/thiagofeli12411/status/1695137024360001786</v>
      </c>
      <c r="AF2049" s="79">
        <v>45163.758506944447</v>
      </c>
      <c r="AG2049" s="85">
        <v>45163</v>
      </c>
      <c r="AH2049" s="82" t="s">
        <v>12159</v>
      </c>
      <c r="AI2049" s="77" t="b">
        <v>0</v>
      </c>
      <c r="AJ2049" s="77"/>
      <c r="AK2049" s="77"/>
      <c r="AL2049" s="77"/>
      <c r="AM2049" s="77"/>
      <c r="AN2049" s="77"/>
      <c r="AO2049" s="77"/>
      <c r="AP2049" s="77"/>
      <c r="AQ2049" s="77" t="s">
        <v>15212</v>
      </c>
      <c r="AR2049" s="77"/>
      <c r="AS2049" s="77"/>
      <c r="AT2049" s="77"/>
      <c r="AU2049" s="77"/>
      <c r="AV2049" s="80" t="str">
        <f>HYPERLINK("https://pbs.twimg.com/media/F4ZWIWiW0AAczqF.jpg")</f>
        <v>https://pbs.twimg.com/media/F4ZWIWiW0AAczqF.jpg</v>
      </c>
      <c r="AW2049" s="82" t="s">
        <v>18817</v>
      </c>
      <c r="AX2049" s="82" t="s">
        <v>18817</v>
      </c>
      <c r="AY2049" s="77"/>
      <c r="AZ2049" s="82" t="s">
        <v>20971</v>
      </c>
      <c r="BA2049" s="82" t="s">
        <v>20971</v>
      </c>
      <c r="BB2049" s="82" t="s">
        <v>20971</v>
      </c>
      <c r="BC2049" s="82" t="s">
        <v>18817</v>
      </c>
      <c r="BD2049" s="82" t="s">
        <v>20943</v>
      </c>
      <c r="BE2049" s="77"/>
      <c r="BF2049" s="77"/>
      <c r="BG2049" s="77"/>
      <c r="BH2049" s="77"/>
      <c r="BI2049" s="77"/>
    </row>
    <row r="2050" spans="1:61" x14ac:dyDescent="0.25">
      <c r="A2050" s="62" t="s">
        <v>724</v>
      </c>
      <c r="B2050" s="62" t="s">
        <v>724</v>
      </c>
      <c r="C2050" s="63"/>
      <c r="D2050" s="64"/>
      <c r="E2050" s="65"/>
      <c r="F2050" s="66"/>
      <c r="G2050" s="63"/>
      <c r="H2050" s="67"/>
      <c r="I2050" s="68"/>
      <c r="J2050" s="68"/>
      <c r="K2050" s="32"/>
      <c r="L2050" s="75">
        <v>2050</v>
      </c>
      <c r="M2050" s="75"/>
      <c r="N2050" s="70"/>
      <c r="O2050" s="77" t="s">
        <v>1286</v>
      </c>
      <c r="P2050" s="79">
        <v>45145.824004629627</v>
      </c>
      <c r="Q2050" s="77" t="s">
        <v>3263</v>
      </c>
      <c r="R2050" s="77">
        <v>1</v>
      </c>
      <c r="S2050" s="77">
        <v>0</v>
      </c>
      <c r="T2050" s="77">
        <v>2</v>
      </c>
      <c r="U2050" s="77">
        <v>0</v>
      </c>
      <c r="V2050" s="77">
        <v>398</v>
      </c>
      <c r="W2050" s="82" t="s">
        <v>5725</v>
      </c>
      <c r="X2050" s="80" t="str">
        <f>HYPERLINK("https://www.triunfo777.com?TF=cjf6ch1")</f>
        <v>https://www.triunfo777.com?TF=cjf6ch1</v>
      </c>
      <c r="Y2050" s="77" t="s">
        <v>7385</v>
      </c>
      <c r="Z2050" s="77"/>
      <c r="AA2050" s="77"/>
      <c r="AB2050" s="77"/>
      <c r="AC2050" s="82" t="s">
        <v>10144</v>
      </c>
      <c r="AD2050" s="77" t="s">
        <v>10184</v>
      </c>
      <c r="AE2050" s="80" t="str">
        <f>HYPERLINK("https://twitter.com/thiagofeli12411/status/1688637776734896128")</f>
        <v>https://twitter.com/thiagofeli12411/status/1688637776734896128</v>
      </c>
      <c r="AF2050" s="79">
        <v>45145.824004629627</v>
      </c>
      <c r="AG2050" s="85">
        <v>45145</v>
      </c>
      <c r="AH2050" s="82" t="s">
        <v>12160</v>
      </c>
      <c r="AI2050" s="77" t="b">
        <v>0</v>
      </c>
      <c r="AJ2050" s="77"/>
      <c r="AK2050" s="77"/>
      <c r="AL2050" s="77"/>
      <c r="AM2050" s="77"/>
      <c r="AN2050" s="77"/>
      <c r="AO2050" s="77"/>
      <c r="AP2050" s="77"/>
      <c r="AQ2050" s="77"/>
      <c r="AR2050" s="77"/>
      <c r="AS2050" s="77"/>
      <c r="AT2050" s="77"/>
      <c r="AU2050" s="77"/>
      <c r="AV2050" s="80" t="str">
        <f>HYPERLINK("https://pbs.twimg.com/profile_images/1670904315236556801/OEXiAt-q_normal.jpg")</f>
        <v>https://pbs.twimg.com/profile_images/1670904315236556801/OEXiAt-q_normal.jpg</v>
      </c>
      <c r="AW2050" s="82" t="s">
        <v>18818</v>
      </c>
      <c r="AX2050" s="82" t="s">
        <v>18818</v>
      </c>
      <c r="AY2050" s="77"/>
      <c r="AZ2050" s="82" t="s">
        <v>20971</v>
      </c>
      <c r="BA2050" s="82" t="s">
        <v>21012</v>
      </c>
      <c r="BB2050" s="82" t="s">
        <v>20971</v>
      </c>
      <c r="BC2050" s="82" t="s">
        <v>21012</v>
      </c>
      <c r="BD2050" s="82" t="s">
        <v>20943</v>
      </c>
      <c r="BE2050" s="77"/>
      <c r="BF2050" s="77"/>
      <c r="BG2050" s="77"/>
      <c r="BH2050" s="77"/>
      <c r="BI2050" s="77"/>
    </row>
    <row r="2051" spans="1:61" x14ac:dyDescent="0.25">
      <c r="A2051" s="62" t="s">
        <v>724</v>
      </c>
      <c r="B2051" s="62" t="s">
        <v>724</v>
      </c>
      <c r="C2051" s="63"/>
      <c r="D2051" s="64"/>
      <c r="E2051" s="65"/>
      <c r="F2051" s="66"/>
      <c r="G2051" s="63"/>
      <c r="H2051" s="67"/>
      <c r="I2051" s="68"/>
      <c r="J2051" s="68"/>
      <c r="K2051" s="32"/>
      <c r="L2051" s="75">
        <v>2051</v>
      </c>
      <c r="M2051" s="75"/>
      <c r="N2051" s="70"/>
      <c r="O2051" s="77" t="s">
        <v>1284</v>
      </c>
      <c r="P2051" s="79">
        <v>45195.805243055554</v>
      </c>
      <c r="Q2051" s="77" t="s">
        <v>3269</v>
      </c>
      <c r="R2051" s="77">
        <v>0</v>
      </c>
      <c r="S2051" s="77">
        <v>0</v>
      </c>
      <c r="T2051" s="77">
        <v>0</v>
      </c>
      <c r="U2051" s="77">
        <v>1</v>
      </c>
      <c r="V2051" s="77">
        <v>110</v>
      </c>
      <c r="W2051" s="82" t="s">
        <v>5725</v>
      </c>
      <c r="X2051" s="80" t="str">
        <f>HYPERLINK("https://www.triunfo777.com?TF=cjf6ch1")</f>
        <v>https://www.triunfo777.com?TF=cjf6ch1</v>
      </c>
      <c r="Y2051" s="77" t="s">
        <v>7385</v>
      </c>
      <c r="Z2051" s="77"/>
      <c r="AA2051" s="77" t="s">
        <v>8569</v>
      </c>
      <c r="AB2051" s="77" t="s">
        <v>10130</v>
      </c>
      <c r="AC2051" s="82" t="s">
        <v>10144</v>
      </c>
      <c r="AD2051" s="77" t="s">
        <v>10184</v>
      </c>
      <c r="AE2051" s="80" t="str">
        <f>HYPERLINK("https://twitter.com/thiagofeli12411/status/1706750372646207752")</f>
        <v>https://twitter.com/thiagofeli12411/status/1706750372646207752</v>
      </c>
      <c r="AF2051" s="79">
        <v>45195.805243055554</v>
      </c>
      <c r="AG2051" s="85">
        <v>45195</v>
      </c>
      <c r="AH2051" s="82" t="s">
        <v>12161</v>
      </c>
      <c r="AI2051" s="77" t="b">
        <v>0</v>
      </c>
      <c r="AJ2051" s="77"/>
      <c r="AK2051" s="77"/>
      <c r="AL2051" s="77"/>
      <c r="AM2051" s="77"/>
      <c r="AN2051" s="77"/>
      <c r="AO2051" s="77"/>
      <c r="AP2051" s="77"/>
      <c r="AQ2051" s="77" t="s">
        <v>15213</v>
      </c>
      <c r="AR2051" s="77"/>
      <c r="AS2051" s="77"/>
      <c r="AT2051" s="77"/>
      <c r="AU2051" s="77"/>
      <c r="AV2051" s="80" t="str">
        <f>HYPERLINK("https://pbs.twimg.com/media/F6-YaGXXQAAYezw.jpg")</f>
        <v>https://pbs.twimg.com/media/F6-YaGXXQAAYezw.jpg</v>
      </c>
      <c r="AW2051" s="82" t="s">
        <v>18819</v>
      </c>
      <c r="AX2051" s="82" t="s">
        <v>18815</v>
      </c>
      <c r="AY2051" s="82" t="s">
        <v>20943</v>
      </c>
      <c r="AZ2051" s="82" t="s">
        <v>18788</v>
      </c>
      <c r="BA2051" s="82" t="s">
        <v>20971</v>
      </c>
      <c r="BB2051" s="82" t="s">
        <v>20971</v>
      </c>
      <c r="BC2051" s="82" t="s">
        <v>18788</v>
      </c>
      <c r="BD2051" s="82" t="s">
        <v>20943</v>
      </c>
      <c r="BE2051" s="77"/>
      <c r="BF2051" s="77"/>
      <c r="BG2051" s="77"/>
      <c r="BH2051" s="77"/>
      <c r="BI2051" s="77"/>
    </row>
    <row r="2052" spans="1:61" x14ac:dyDescent="0.25">
      <c r="A2052" s="62" t="s">
        <v>724</v>
      </c>
      <c r="B2052" s="62" t="s">
        <v>724</v>
      </c>
      <c r="C2052" s="63"/>
      <c r="D2052" s="64"/>
      <c r="E2052" s="65"/>
      <c r="F2052" s="66"/>
      <c r="G2052" s="63"/>
      <c r="H2052" s="67"/>
      <c r="I2052" s="68"/>
      <c r="J2052" s="68"/>
      <c r="K2052" s="32"/>
      <c r="L2052" s="75">
        <v>2052</v>
      </c>
      <c r="M2052" s="75"/>
      <c r="N2052" s="70"/>
      <c r="O2052" s="77" t="s">
        <v>1284</v>
      </c>
      <c r="P2052" s="79">
        <v>45195.804108796299</v>
      </c>
      <c r="Q2052" s="77" t="s">
        <v>3260</v>
      </c>
      <c r="R2052" s="77">
        <v>0</v>
      </c>
      <c r="S2052" s="77">
        <v>0</v>
      </c>
      <c r="T2052" s="77">
        <v>0</v>
      </c>
      <c r="U2052" s="77">
        <v>0</v>
      </c>
      <c r="V2052" s="77">
        <v>56</v>
      </c>
      <c r="W2052" s="82" t="s">
        <v>5725</v>
      </c>
      <c r="X2052" s="80" t="str">
        <f>HYPERLINK("https://www.triunfo777.com?TF=cjf6ch1")</f>
        <v>https://www.triunfo777.com?TF=cjf6ch1</v>
      </c>
      <c r="Y2052" s="77" t="s">
        <v>7385</v>
      </c>
      <c r="Z2052" s="77"/>
      <c r="AA2052" s="77"/>
      <c r="AB2052" s="77"/>
      <c r="AC2052" s="82" t="s">
        <v>10144</v>
      </c>
      <c r="AD2052" s="77" t="s">
        <v>10184</v>
      </c>
      <c r="AE2052" s="80" t="str">
        <f>HYPERLINK("https://twitter.com/thiagofeli12411/status/1706749962187415987")</f>
        <v>https://twitter.com/thiagofeli12411/status/1706749962187415987</v>
      </c>
      <c r="AF2052" s="79">
        <v>45195.804108796299</v>
      </c>
      <c r="AG2052" s="85">
        <v>45195</v>
      </c>
      <c r="AH2052" s="82" t="s">
        <v>12162</v>
      </c>
      <c r="AI2052" s="77" t="b">
        <v>0</v>
      </c>
      <c r="AJ2052" s="77"/>
      <c r="AK2052" s="77"/>
      <c r="AL2052" s="77"/>
      <c r="AM2052" s="77"/>
      <c r="AN2052" s="77"/>
      <c r="AO2052" s="77"/>
      <c r="AP2052" s="77"/>
      <c r="AQ2052" s="77"/>
      <c r="AR2052" s="77"/>
      <c r="AS2052" s="77"/>
      <c r="AT2052" s="77"/>
      <c r="AU2052" s="77"/>
      <c r="AV2052" s="80" t="str">
        <f>HYPERLINK("https://pbs.twimg.com/profile_images/1670904315236556801/OEXiAt-q_normal.jpg")</f>
        <v>https://pbs.twimg.com/profile_images/1670904315236556801/OEXiAt-q_normal.jpg</v>
      </c>
      <c r="AW2052" s="82" t="s">
        <v>18820</v>
      </c>
      <c r="AX2052" s="82" t="s">
        <v>18821</v>
      </c>
      <c r="AY2052" s="82" t="s">
        <v>20943</v>
      </c>
      <c r="AZ2052" s="82" t="s">
        <v>18821</v>
      </c>
      <c r="BA2052" s="82" t="s">
        <v>20971</v>
      </c>
      <c r="BB2052" s="82" t="s">
        <v>20971</v>
      </c>
      <c r="BC2052" s="82" t="s">
        <v>18821</v>
      </c>
      <c r="BD2052" s="82" t="s">
        <v>20943</v>
      </c>
      <c r="BE2052" s="77"/>
      <c r="BF2052" s="77"/>
      <c r="BG2052" s="77"/>
      <c r="BH2052" s="77"/>
      <c r="BI2052" s="77"/>
    </row>
    <row r="2053" spans="1:61" x14ac:dyDescent="0.25">
      <c r="A2053" s="62" t="s">
        <v>724</v>
      </c>
      <c r="B2053" s="62" t="s">
        <v>724</v>
      </c>
      <c r="C2053" s="63"/>
      <c r="D2053" s="64"/>
      <c r="E2053" s="65"/>
      <c r="F2053" s="66"/>
      <c r="G2053" s="63"/>
      <c r="H2053" s="67"/>
      <c r="I2053" s="68"/>
      <c r="J2053" s="68"/>
      <c r="K2053" s="32"/>
      <c r="L2053" s="75">
        <v>2053</v>
      </c>
      <c r="M2053" s="75"/>
      <c r="N2053" s="70"/>
      <c r="O2053" s="77" t="s">
        <v>179</v>
      </c>
      <c r="P2053" s="79">
        <v>45195.800474537034</v>
      </c>
      <c r="Q2053" s="77" t="s">
        <v>3270</v>
      </c>
      <c r="R2053" s="77">
        <v>1</v>
      </c>
      <c r="S2053" s="77">
        <v>0</v>
      </c>
      <c r="T2053" s="77">
        <v>1</v>
      </c>
      <c r="U2053" s="77">
        <v>1</v>
      </c>
      <c r="V2053" s="77">
        <v>296</v>
      </c>
      <c r="W2053" s="82" t="s">
        <v>5725</v>
      </c>
      <c r="X2053" s="80" t="str">
        <f>HYPERLINK("https://www.triunfo777.com?TF=cjf6ch1")</f>
        <v>https://www.triunfo777.com?TF=cjf6ch1</v>
      </c>
      <c r="Y2053" s="77" t="s">
        <v>7385</v>
      </c>
      <c r="Z2053" s="77"/>
      <c r="AA2053" s="77" t="s">
        <v>8570</v>
      </c>
      <c r="AB2053" s="77" t="s">
        <v>10134</v>
      </c>
      <c r="AC2053" s="82" t="s">
        <v>10144</v>
      </c>
      <c r="AD2053" s="77" t="s">
        <v>10184</v>
      </c>
      <c r="AE2053" s="80" t="str">
        <f>HYPERLINK("https://twitter.com/thiagofeli12411/status/1706748645758939606")</f>
        <v>https://twitter.com/thiagofeli12411/status/1706748645758939606</v>
      </c>
      <c r="AF2053" s="79">
        <v>45195.800474537034</v>
      </c>
      <c r="AG2053" s="85">
        <v>45195</v>
      </c>
      <c r="AH2053" s="82" t="s">
        <v>12163</v>
      </c>
      <c r="AI2053" s="77" t="b">
        <v>0</v>
      </c>
      <c r="AJ2053" s="77"/>
      <c r="AK2053" s="77"/>
      <c r="AL2053" s="77"/>
      <c r="AM2053" s="77"/>
      <c r="AN2053" s="77"/>
      <c r="AO2053" s="77"/>
      <c r="AP2053" s="77"/>
      <c r="AQ2053" s="77" t="s">
        <v>15214</v>
      </c>
      <c r="AR2053" s="77">
        <v>7221</v>
      </c>
      <c r="AS2053" s="77"/>
      <c r="AT2053" s="77"/>
      <c r="AU2053" s="77"/>
      <c r="AV2053" s="80" t="str">
        <f>HYPERLINK("https://pbs.twimg.com/media/F6-Wz_hWQAAWDCe.jpg")</f>
        <v>https://pbs.twimg.com/media/F6-Wz_hWQAAWDCe.jpg</v>
      </c>
      <c r="AW2053" s="82" t="s">
        <v>18821</v>
      </c>
      <c r="AX2053" s="82" t="s">
        <v>18821</v>
      </c>
      <c r="AY2053" s="77"/>
      <c r="AZ2053" s="82" t="s">
        <v>20971</v>
      </c>
      <c r="BA2053" s="82" t="s">
        <v>20971</v>
      </c>
      <c r="BB2053" s="82" t="s">
        <v>20971</v>
      </c>
      <c r="BC2053" s="82" t="s">
        <v>18821</v>
      </c>
      <c r="BD2053" s="82" t="s">
        <v>20943</v>
      </c>
      <c r="BE2053" s="77"/>
      <c r="BF2053" s="77"/>
      <c r="BG2053" s="77"/>
      <c r="BH2053" s="77"/>
      <c r="BI2053" s="77"/>
    </row>
    <row r="2054" spans="1:61" x14ac:dyDescent="0.25">
      <c r="A2054" s="62" t="s">
        <v>724</v>
      </c>
      <c r="B2054" s="62" t="s">
        <v>724</v>
      </c>
      <c r="C2054" s="63"/>
      <c r="D2054" s="64"/>
      <c r="E2054" s="65"/>
      <c r="F2054" s="66"/>
      <c r="G2054" s="63"/>
      <c r="H2054" s="67"/>
      <c r="I2054" s="68"/>
      <c r="J2054" s="68"/>
      <c r="K2054" s="32"/>
      <c r="L2054" s="75">
        <v>2054</v>
      </c>
      <c r="M2054" s="75"/>
      <c r="N2054" s="70"/>
      <c r="O2054" s="77" t="s">
        <v>1287</v>
      </c>
      <c r="P2054" s="79">
        <v>45195.802442129629</v>
      </c>
      <c r="Q2054" s="77" t="s">
        <v>3261</v>
      </c>
      <c r="R2054" s="77">
        <v>1</v>
      </c>
      <c r="S2054" s="77">
        <v>0</v>
      </c>
      <c r="T2054" s="77">
        <v>0</v>
      </c>
      <c r="U2054" s="77">
        <v>0</v>
      </c>
      <c r="V2054" s="77"/>
      <c r="W2054" s="77"/>
      <c r="X2054" s="80" t="str">
        <f>HYPERLINK("https://www.triunfo777.com?TF=cjf6ch1")</f>
        <v>https://www.triunfo777.com?TF=cjf6ch1</v>
      </c>
      <c r="Y2054" s="77" t="s">
        <v>7385</v>
      </c>
      <c r="Z2054" s="77" t="s">
        <v>724</v>
      </c>
      <c r="AA2054" s="77"/>
      <c r="AB2054" s="77"/>
      <c r="AC2054" s="82" t="s">
        <v>10144</v>
      </c>
      <c r="AD2054" s="77" t="s">
        <v>10184</v>
      </c>
      <c r="AE2054" s="80" t="str">
        <f>HYPERLINK("https://twitter.com/thiagofeli12411/status/1706749360023785761")</f>
        <v>https://twitter.com/thiagofeli12411/status/1706749360023785761</v>
      </c>
      <c r="AF2054" s="79">
        <v>45195.802442129629</v>
      </c>
      <c r="AG2054" s="85">
        <v>45195</v>
      </c>
      <c r="AH2054" s="82" t="s">
        <v>12164</v>
      </c>
      <c r="AI2054" s="77" t="b">
        <v>0</v>
      </c>
      <c r="AJ2054" s="77"/>
      <c r="AK2054" s="77"/>
      <c r="AL2054" s="77"/>
      <c r="AM2054" s="77"/>
      <c r="AN2054" s="77"/>
      <c r="AO2054" s="77"/>
      <c r="AP2054" s="77"/>
      <c r="AQ2054" s="77"/>
      <c r="AR2054" s="77"/>
      <c r="AS2054" s="77"/>
      <c r="AT2054" s="77"/>
      <c r="AU2054" s="77"/>
      <c r="AV2054" s="80" t="str">
        <f>HYPERLINK("https://pbs.twimg.com/profile_images/1670904315236556801/OEXiAt-q_normal.jpg")</f>
        <v>https://pbs.twimg.com/profile_images/1670904315236556801/OEXiAt-q_normal.jpg</v>
      </c>
      <c r="AW2054" s="82" t="s">
        <v>18822</v>
      </c>
      <c r="AX2054" s="82" t="s">
        <v>18822</v>
      </c>
      <c r="AY2054" s="77"/>
      <c r="AZ2054" s="82" t="s">
        <v>20971</v>
      </c>
      <c r="BA2054" s="82" t="s">
        <v>20971</v>
      </c>
      <c r="BB2054" s="82" t="s">
        <v>18821</v>
      </c>
      <c r="BC2054" s="82" t="s">
        <v>18821</v>
      </c>
      <c r="BD2054" s="82" t="s">
        <v>20943</v>
      </c>
      <c r="BE2054" s="77"/>
      <c r="BF2054" s="77"/>
      <c r="BG2054" s="77"/>
      <c r="BH2054" s="77"/>
      <c r="BI2054" s="77"/>
    </row>
    <row r="2055" spans="1:61" x14ac:dyDescent="0.25">
      <c r="A2055" s="62" t="s">
        <v>724</v>
      </c>
      <c r="B2055" s="62" t="s">
        <v>724</v>
      </c>
      <c r="C2055" s="63"/>
      <c r="D2055" s="64"/>
      <c r="E2055" s="65"/>
      <c r="F2055" s="66"/>
      <c r="G2055" s="63"/>
      <c r="H2055" s="67"/>
      <c r="I2055" s="68"/>
      <c r="J2055" s="68"/>
      <c r="K2055" s="32"/>
      <c r="L2055" s="75">
        <v>2055</v>
      </c>
      <c r="M2055" s="75"/>
      <c r="N2055" s="70"/>
      <c r="O2055" s="77" t="s">
        <v>1286</v>
      </c>
      <c r="P2055" s="79">
        <v>45195.800752314812</v>
      </c>
      <c r="Q2055" s="77" t="s">
        <v>3271</v>
      </c>
      <c r="R2055" s="77">
        <v>1</v>
      </c>
      <c r="S2055" s="77">
        <v>0</v>
      </c>
      <c r="T2055" s="77">
        <v>0</v>
      </c>
      <c r="U2055" s="77">
        <v>0</v>
      </c>
      <c r="V2055" s="77">
        <v>83</v>
      </c>
      <c r="W2055" s="82" t="s">
        <v>5725</v>
      </c>
      <c r="X2055" s="80" t="str">
        <f>HYPERLINK("https://www.triunfo777.com?TF=cjf6ch1")</f>
        <v>https://www.triunfo777.com?TF=cjf6ch1</v>
      </c>
      <c r="Y2055" s="77" t="s">
        <v>7385</v>
      </c>
      <c r="Z2055" s="77"/>
      <c r="AA2055" s="77"/>
      <c r="AB2055" s="77"/>
      <c r="AC2055" s="82" t="s">
        <v>10144</v>
      </c>
      <c r="AD2055" s="77" t="s">
        <v>10184</v>
      </c>
      <c r="AE2055" s="80" t="str">
        <f>HYPERLINK("https://twitter.com/thiagofeli12411/status/1706748747253006393")</f>
        <v>https://twitter.com/thiagofeli12411/status/1706748747253006393</v>
      </c>
      <c r="AF2055" s="79">
        <v>45195.800752314812</v>
      </c>
      <c r="AG2055" s="85">
        <v>45195</v>
      </c>
      <c r="AH2055" s="82" t="s">
        <v>12165</v>
      </c>
      <c r="AI2055" s="77" t="b">
        <v>0</v>
      </c>
      <c r="AJ2055" s="77"/>
      <c r="AK2055" s="77"/>
      <c r="AL2055" s="77"/>
      <c r="AM2055" s="77"/>
      <c r="AN2055" s="77"/>
      <c r="AO2055" s="77"/>
      <c r="AP2055" s="77"/>
      <c r="AQ2055" s="77"/>
      <c r="AR2055" s="77"/>
      <c r="AS2055" s="77"/>
      <c r="AT2055" s="77"/>
      <c r="AU2055" s="77"/>
      <c r="AV2055" s="80" t="str">
        <f>HYPERLINK("https://pbs.twimg.com/profile_images/1670904315236556801/OEXiAt-q_normal.jpg")</f>
        <v>https://pbs.twimg.com/profile_images/1670904315236556801/OEXiAt-q_normal.jpg</v>
      </c>
      <c r="AW2055" s="82" t="s">
        <v>18823</v>
      </c>
      <c r="AX2055" s="82" t="s">
        <v>18823</v>
      </c>
      <c r="AY2055" s="77"/>
      <c r="AZ2055" s="82" t="s">
        <v>20971</v>
      </c>
      <c r="BA2055" s="82" t="s">
        <v>18821</v>
      </c>
      <c r="BB2055" s="82" t="s">
        <v>20971</v>
      </c>
      <c r="BC2055" s="82" t="s">
        <v>18821</v>
      </c>
      <c r="BD2055" s="82" t="s">
        <v>20943</v>
      </c>
      <c r="BE2055" s="77"/>
      <c r="BF2055" s="77"/>
      <c r="BG2055" s="77"/>
      <c r="BH2055" s="77"/>
      <c r="BI2055" s="77"/>
    </row>
    <row r="2056" spans="1:61" x14ac:dyDescent="0.25">
      <c r="A2056" s="62" t="s">
        <v>724</v>
      </c>
      <c r="B2056" s="62" t="s">
        <v>724</v>
      </c>
      <c r="C2056" s="63"/>
      <c r="D2056" s="64"/>
      <c r="E2056" s="65"/>
      <c r="F2056" s="66"/>
      <c r="G2056" s="63"/>
      <c r="H2056" s="67"/>
      <c r="I2056" s="68"/>
      <c r="J2056" s="68"/>
      <c r="K2056" s="32"/>
      <c r="L2056" s="75">
        <v>2056</v>
      </c>
      <c r="M2056" s="75"/>
      <c r="N2056" s="70"/>
      <c r="O2056" s="77" t="s">
        <v>1287</v>
      </c>
      <c r="P2056" s="79">
        <v>45195.802407407406</v>
      </c>
      <c r="Q2056" s="77" t="s">
        <v>3272</v>
      </c>
      <c r="R2056" s="77">
        <v>1</v>
      </c>
      <c r="S2056" s="77">
        <v>0</v>
      </c>
      <c r="T2056" s="77">
        <v>0</v>
      </c>
      <c r="U2056" s="77">
        <v>0</v>
      </c>
      <c r="V2056" s="77"/>
      <c r="W2056" s="77"/>
      <c r="X2056" s="80" t="str">
        <f>HYPERLINK("https://www.triunfo777.com?TF=cjf6ch1")</f>
        <v>https://www.triunfo777.com?TF=cjf6ch1</v>
      </c>
      <c r="Y2056" s="77" t="s">
        <v>7385</v>
      </c>
      <c r="Z2056" s="77" t="s">
        <v>724</v>
      </c>
      <c r="AA2056" s="77"/>
      <c r="AB2056" s="77"/>
      <c r="AC2056" s="82" t="s">
        <v>10144</v>
      </c>
      <c r="AD2056" s="77" t="s">
        <v>10184</v>
      </c>
      <c r="AE2056" s="80" t="str">
        <f>HYPERLINK("https://twitter.com/thiagofeli12411/status/1706749345163292700")</f>
        <v>https://twitter.com/thiagofeli12411/status/1706749345163292700</v>
      </c>
      <c r="AF2056" s="79">
        <v>45195.802407407406</v>
      </c>
      <c r="AG2056" s="85">
        <v>45195</v>
      </c>
      <c r="AH2056" s="82" t="s">
        <v>12166</v>
      </c>
      <c r="AI2056" s="77" t="b">
        <v>0</v>
      </c>
      <c r="AJ2056" s="77"/>
      <c r="AK2056" s="77"/>
      <c r="AL2056" s="77"/>
      <c r="AM2056" s="77"/>
      <c r="AN2056" s="77"/>
      <c r="AO2056" s="77"/>
      <c r="AP2056" s="77"/>
      <c r="AQ2056" s="77"/>
      <c r="AR2056" s="77"/>
      <c r="AS2056" s="77"/>
      <c r="AT2056" s="77"/>
      <c r="AU2056" s="77"/>
      <c r="AV2056" s="80" t="str">
        <f>HYPERLINK("https://pbs.twimg.com/profile_images/1670904315236556801/OEXiAt-q_normal.jpg")</f>
        <v>https://pbs.twimg.com/profile_images/1670904315236556801/OEXiAt-q_normal.jpg</v>
      </c>
      <c r="AW2056" s="82" t="s">
        <v>18824</v>
      </c>
      <c r="AX2056" s="82" t="s">
        <v>18824</v>
      </c>
      <c r="AY2056" s="77"/>
      <c r="AZ2056" s="82" t="s">
        <v>20971</v>
      </c>
      <c r="BA2056" s="82" t="s">
        <v>18821</v>
      </c>
      <c r="BB2056" s="82" t="s">
        <v>18823</v>
      </c>
      <c r="BC2056" s="82" t="s">
        <v>18823</v>
      </c>
      <c r="BD2056" s="82" t="s">
        <v>20943</v>
      </c>
      <c r="BE2056" s="77"/>
      <c r="BF2056" s="77"/>
      <c r="BG2056" s="77"/>
      <c r="BH2056" s="77"/>
      <c r="BI2056" s="77"/>
    </row>
    <row r="2057" spans="1:61" x14ac:dyDescent="0.25">
      <c r="A2057" s="62" t="s">
        <v>724</v>
      </c>
      <c r="B2057" s="62" t="s">
        <v>724</v>
      </c>
      <c r="C2057" s="63"/>
      <c r="D2057" s="64"/>
      <c r="E2057" s="65"/>
      <c r="F2057" s="66"/>
      <c r="G2057" s="63"/>
      <c r="H2057" s="67"/>
      <c r="I2057" s="68"/>
      <c r="J2057" s="68"/>
      <c r="K2057" s="32"/>
      <c r="L2057" s="75">
        <v>2057</v>
      </c>
      <c r="M2057" s="75"/>
      <c r="N2057" s="70"/>
      <c r="O2057" s="77" t="s">
        <v>179</v>
      </c>
      <c r="P2057" s="79">
        <v>45189.634930555556</v>
      </c>
      <c r="Q2057" s="77" t="s">
        <v>3273</v>
      </c>
      <c r="R2057" s="77">
        <v>1</v>
      </c>
      <c r="S2057" s="77">
        <v>2</v>
      </c>
      <c r="T2057" s="77">
        <v>2</v>
      </c>
      <c r="U2057" s="77">
        <v>1</v>
      </c>
      <c r="V2057" s="77">
        <v>1009</v>
      </c>
      <c r="W2057" s="82" t="s">
        <v>5725</v>
      </c>
      <c r="X2057" s="80" t="str">
        <f>HYPERLINK("https://www.triunfo777.com?TF=cjf6ch1")</f>
        <v>https://www.triunfo777.com?TF=cjf6ch1</v>
      </c>
      <c r="Y2057" s="77" t="s">
        <v>7385</v>
      </c>
      <c r="Z2057" s="77"/>
      <c r="AA2057" s="77" t="s">
        <v>8571</v>
      </c>
      <c r="AB2057" s="77" t="s">
        <v>10139</v>
      </c>
      <c r="AC2057" s="82" t="s">
        <v>10144</v>
      </c>
      <c r="AD2057" s="77" t="s">
        <v>10184</v>
      </c>
      <c r="AE2057" s="80" t="str">
        <f>HYPERLINK("https://twitter.com/thiagofeli12411/status/1704514324666994927")</f>
        <v>https://twitter.com/thiagofeli12411/status/1704514324666994927</v>
      </c>
      <c r="AF2057" s="79">
        <v>45189.634930555556</v>
      </c>
      <c r="AG2057" s="85">
        <v>45189</v>
      </c>
      <c r="AH2057" s="82" t="s">
        <v>12167</v>
      </c>
      <c r="AI2057" s="77" t="b">
        <v>0</v>
      </c>
      <c r="AJ2057" s="77"/>
      <c r="AK2057" s="77"/>
      <c r="AL2057" s="77"/>
      <c r="AM2057" s="77"/>
      <c r="AN2057" s="77"/>
      <c r="AO2057" s="77"/>
      <c r="AP2057" s="77"/>
      <c r="AQ2057" s="77" t="s">
        <v>15215</v>
      </c>
      <c r="AR2057" s="77" t="s">
        <v>16773</v>
      </c>
      <c r="AS2057" s="77"/>
      <c r="AT2057" s="77"/>
      <c r="AU2057" s="77"/>
      <c r="AV2057" s="80" t="str">
        <f>HYPERLINK("https://pbs.twimg.com/media/F6emlk0WgAAAnxb.jpg")</f>
        <v>https://pbs.twimg.com/media/F6emlk0WgAAAnxb.jpg</v>
      </c>
      <c r="AW2057" s="82" t="s">
        <v>18825</v>
      </c>
      <c r="AX2057" s="82" t="s">
        <v>18825</v>
      </c>
      <c r="AY2057" s="77"/>
      <c r="AZ2057" s="82" t="s">
        <v>20971</v>
      </c>
      <c r="BA2057" s="82" t="s">
        <v>20971</v>
      </c>
      <c r="BB2057" s="82" t="s">
        <v>20971</v>
      </c>
      <c r="BC2057" s="82" t="s">
        <v>18825</v>
      </c>
      <c r="BD2057" s="82" t="s">
        <v>20943</v>
      </c>
      <c r="BE2057" s="77"/>
      <c r="BF2057" s="77"/>
      <c r="BG2057" s="77"/>
      <c r="BH2057" s="77"/>
      <c r="BI2057" s="77"/>
    </row>
    <row r="2058" spans="1:61" x14ac:dyDescent="0.25">
      <c r="A2058" s="62" t="s">
        <v>724</v>
      </c>
      <c r="B2058" s="62" t="s">
        <v>724</v>
      </c>
      <c r="C2058" s="63"/>
      <c r="D2058" s="64"/>
      <c r="E2058" s="65"/>
      <c r="F2058" s="66"/>
      <c r="G2058" s="63"/>
      <c r="H2058" s="67"/>
      <c r="I2058" s="68"/>
      <c r="J2058" s="68"/>
      <c r="K2058" s="32"/>
      <c r="L2058" s="75">
        <v>2058</v>
      </c>
      <c r="M2058" s="75"/>
      <c r="N2058" s="70"/>
      <c r="O2058" s="77" t="s">
        <v>1287</v>
      </c>
      <c r="P2058" s="79">
        <v>45195.802291666667</v>
      </c>
      <c r="Q2058" s="77" t="s">
        <v>3261</v>
      </c>
      <c r="R2058" s="77">
        <v>1</v>
      </c>
      <c r="S2058" s="77">
        <v>0</v>
      </c>
      <c r="T2058" s="77">
        <v>0</v>
      </c>
      <c r="U2058" s="77">
        <v>0</v>
      </c>
      <c r="V2058" s="77"/>
      <c r="W2058" s="77"/>
      <c r="X2058" s="80" t="str">
        <f>HYPERLINK("https://www.triunfo777.com?TF=cjf6ch1")</f>
        <v>https://www.triunfo777.com?TF=cjf6ch1</v>
      </c>
      <c r="Y2058" s="77" t="s">
        <v>7385</v>
      </c>
      <c r="Z2058" s="77" t="s">
        <v>724</v>
      </c>
      <c r="AA2058" s="77"/>
      <c r="AB2058" s="77"/>
      <c r="AC2058" s="82" t="s">
        <v>10144</v>
      </c>
      <c r="AD2058" s="77" t="s">
        <v>10184</v>
      </c>
      <c r="AE2058" s="80" t="str">
        <f>HYPERLINK("https://twitter.com/thiagofeli12411/status/1706749305220936160")</f>
        <v>https://twitter.com/thiagofeli12411/status/1706749305220936160</v>
      </c>
      <c r="AF2058" s="79">
        <v>45195.802291666667</v>
      </c>
      <c r="AG2058" s="85">
        <v>45195</v>
      </c>
      <c r="AH2058" s="82" t="s">
        <v>12168</v>
      </c>
      <c r="AI2058" s="77" t="b">
        <v>0</v>
      </c>
      <c r="AJ2058" s="77"/>
      <c r="AK2058" s="77"/>
      <c r="AL2058" s="77"/>
      <c r="AM2058" s="77"/>
      <c r="AN2058" s="77"/>
      <c r="AO2058" s="77"/>
      <c r="AP2058" s="77"/>
      <c r="AQ2058" s="77"/>
      <c r="AR2058" s="77"/>
      <c r="AS2058" s="77"/>
      <c r="AT2058" s="77"/>
      <c r="AU2058" s="77"/>
      <c r="AV2058" s="80" t="str">
        <f>HYPERLINK("https://pbs.twimg.com/profile_images/1670904315236556801/OEXiAt-q_normal.jpg")</f>
        <v>https://pbs.twimg.com/profile_images/1670904315236556801/OEXiAt-q_normal.jpg</v>
      </c>
      <c r="AW2058" s="82" t="s">
        <v>18826</v>
      </c>
      <c r="AX2058" s="82" t="s">
        <v>18826</v>
      </c>
      <c r="AY2058" s="77"/>
      <c r="AZ2058" s="82" t="s">
        <v>20971</v>
      </c>
      <c r="BA2058" s="82" t="s">
        <v>20971</v>
      </c>
      <c r="BB2058" s="82" t="s">
        <v>18825</v>
      </c>
      <c r="BC2058" s="82" t="s">
        <v>18825</v>
      </c>
      <c r="BD2058" s="82" t="s">
        <v>20943</v>
      </c>
      <c r="BE2058" s="77"/>
      <c r="BF2058" s="77"/>
      <c r="BG2058" s="77"/>
      <c r="BH2058" s="77"/>
      <c r="BI2058" s="77"/>
    </row>
    <row r="2059" spans="1:61" x14ac:dyDescent="0.25">
      <c r="A2059" s="62" t="s">
        <v>724</v>
      </c>
      <c r="B2059" s="62" t="s">
        <v>724</v>
      </c>
      <c r="C2059" s="63"/>
      <c r="D2059" s="64"/>
      <c r="E2059" s="65"/>
      <c r="F2059" s="66"/>
      <c r="G2059" s="63"/>
      <c r="H2059" s="67"/>
      <c r="I2059" s="68"/>
      <c r="J2059" s="68"/>
      <c r="K2059" s="32"/>
      <c r="L2059" s="75">
        <v>2059</v>
      </c>
      <c r="M2059" s="75"/>
      <c r="N2059" s="70"/>
      <c r="O2059" s="77" t="s">
        <v>1284</v>
      </c>
      <c r="P2059" s="79">
        <v>45184.513391203705</v>
      </c>
      <c r="Q2059" s="77" t="s">
        <v>3260</v>
      </c>
      <c r="R2059" s="77">
        <v>0</v>
      </c>
      <c r="S2059" s="77">
        <v>1</v>
      </c>
      <c r="T2059" s="77">
        <v>1</v>
      </c>
      <c r="U2059" s="77">
        <v>0</v>
      </c>
      <c r="V2059" s="77">
        <v>148</v>
      </c>
      <c r="W2059" s="82" t="s">
        <v>5725</v>
      </c>
      <c r="X2059" s="80" t="str">
        <f>HYPERLINK("https://www.triunfo777.com?TF=cjf6ch1")</f>
        <v>https://www.triunfo777.com?TF=cjf6ch1</v>
      </c>
      <c r="Y2059" s="77" t="s">
        <v>7385</v>
      </c>
      <c r="Z2059" s="77"/>
      <c r="AA2059" s="77"/>
      <c r="AB2059" s="77"/>
      <c r="AC2059" s="82" t="s">
        <v>10144</v>
      </c>
      <c r="AD2059" s="77" t="s">
        <v>10184</v>
      </c>
      <c r="AE2059" s="80" t="str">
        <f>HYPERLINK("https://twitter.com/thiagofeli12411/status/1702658341204267460")</f>
        <v>https://twitter.com/thiagofeli12411/status/1702658341204267460</v>
      </c>
      <c r="AF2059" s="79">
        <v>45184.513391203705</v>
      </c>
      <c r="AG2059" s="85">
        <v>45184</v>
      </c>
      <c r="AH2059" s="82" t="s">
        <v>12169</v>
      </c>
      <c r="AI2059" s="77" t="b">
        <v>0</v>
      </c>
      <c r="AJ2059" s="77"/>
      <c r="AK2059" s="77"/>
      <c r="AL2059" s="77"/>
      <c r="AM2059" s="77"/>
      <c r="AN2059" s="77"/>
      <c r="AO2059" s="77"/>
      <c r="AP2059" s="77"/>
      <c r="AQ2059" s="77"/>
      <c r="AR2059" s="77"/>
      <c r="AS2059" s="77"/>
      <c r="AT2059" s="77"/>
      <c r="AU2059" s="77"/>
      <c r="AV2059" s="80" t="str">
        <f>HYPERLINK("https://pbs.twimg.com/profile_images/1670904315236556801/OEXiAt-q_normal.jpg")</f>
        <v>https://pbs.twimg.com/profile_images/1670904315236556801/OEXiAt-q_normal.jpg</v>
      </c>
      <c r="AW2059" s="82" t="s">
        <v>18827</v>
      </c>
      <c r="AX2059" s="82" t="s">
        <v>20860</v>
      </c>
      <c r="AY2059" s="82" t="s">
        <v>20943</v>
      </c>
      <c r="AZ2059" s="82" t="s">
        <v>20860</v>
      </c>
      <c r="BA2059" s="82" t="s">
        <v>20971</v>
      </c>
      <c r="BB2059" s="82" t="s">
        <v>20971</v>
      </c>
      <c r="BC2059" s="82" t="s">
        <v>20860</v>
      </c>
      <c r="BD2059" s="82" t="s">
        <v>20943</v>
      </c>
      <c r="BE2059" s="77"/>
      <c r="BF2059" s="77"/>
      <c r="BG2059" s="77"/>
      <c r="BH2059" s="77"/>
      <c r="BI2059" s="77"/>
    </row>
    <row r="2060" spans="1:61" x14ac:dyDescent="0.25">
      <c r="A2060" s="62" t="s">
        <v>724</v>
      </c>
      <c r="B2060" s="62" t="s">
        <v>724</v>
      </c>
      <c r="C2060" s="63"/>
      <c r="D2060" s="64"/>
      <c r="E2060" s="65"/>
      <c r="F2060" s="66"/>
      <c r="G2060" s="63"/>
      <c r="H2060" s="67"/>
      <c r="I2060" s="68"/>
      <c r="J2060" s="68"/>
      <c r="K2060" s="32"/>
      <c r="L2060" s="75">
        <v>2060</v>
      </c>
      <c r="M2060" s="75"/>
      <c r="N2060" s="70"/>
      <c r="O2060" s="77" t="s">
        <v>179</v>
      </c>
      <c r="P2060" s="79">
        <v>45184.214201388888</v>
      </c>
      <c r="Q2060" s="77" t="s">
        <v>3274</v>
      </c>
      <c r="R2060" s="77">
        <v>0</v>
      </c>
      <c r="S2060" s="77">
        <v>0</v>
      </c>
      <c r="T2060" s="77">
        <v>1</v>
      </c>
      <c r="U2060" s="77">
        <v>1</v>
      </c>
      <c r="V2060" s="77">
        <v>307</v>
      </c>
      <c r="W2060" s="77"/>
      <c r="X2060" s="77"/>
      <c r="Y2060" s="77"/>
      <c r="Z2060" s="77"/>
      <c r="AA2060" s="77" t="s">
        <v>8572</v>
      </c>
      <c r="AB2060" s="77" t="s">
        <v>10130</v>
      </c>
      <c r="AC2060" s="82" t="s">
        <v>10144</v>
      </c>
      <c r="AD2060" s="77" t="s">
        <v>10184</v>
      </c>
      <c r="AE2060" s="80" t="str">
        <f>HYPERLINK("https://twitter.com/thiagofeli12411/status/1702549919804854614")</f>
        <v>https://twitter.com/thiagofeli12411/status/1702549919804854614</v>
      </c>
      <c r="AF2060" s="79">
        <v>45184.214201388888</v>
      </c>
      <c r="AG2060" s="85">
        <v>45184</v>
      </c>
      <c r="AH2060" s="82" t="s">
        <v>12170</v>
      </c>
      <c r="AI2060" s="77" t="b">
        <v>0</v>
      </c>
      <c r="AJ2060" s="77"/>
      <c r="AK2060" s="77"/>
      <c r="AL2060" s="77"/>
      <c r="AM2060" s="77"/>
      <c r="AN2060" s="77"/>
      <c r="AO2060" s="77"/>
      <c r="AP2060" s="77"/>
      <c r="AQ2060" s="77" t="s">
        <v>15216</v>
      </c>
      <c r="AR2060" s="77"/>
      <c r="AS2060" s="77"/>
      <c r="AT2060" s="77"/>
      <c r="AU2060" s="77"/>
      <c r="AV2060" s="80" t="str">
        <f>HYPERLINK("https://pbs.twimg.com/media/F6CsIRkXwAAOZaC.jpg")</f>
        <v>https://pbs.twimg.com/media/F6CsIRkXwAAOZaC.jpg</v>
      </c>
      <c r="AW2060" s="82" t="s">
        <v>18828</v>
      </c>
      <c r="AX2060" s="82" t="s">
        <v>18828</v>
      </c>
      <c r="AY2060" s="77"/>
      <c r="AZ2060" s="82" t="s">
        <v>20971</v>
      </c>
      <c r="BA2060" s="82" t="s">
        <v>20971</v>
      </c>
      <c r="BB2060" s="82" t="s">
        <v>20971</v>
      </c>
      <c r="BC2060" s="82" t="s">
        <v>18828</v>
      </c>
      <c r="BD2060" s="82" t="s">
        <v>20943</v>
      </c>
      <c r="BE2060" s="77"/>
      <c r="BF2060" s="77"/>
      <c r="BG2060" s="77"/>
      <c r="BH2060" s="77"/>
      <c r="BI2060" s="77"/>
    </row>
    <row r="2061" spans="1:61" x14ac:dyDescent="0.25">
      <c r="A2061" s="62" t="s">
        <v>724</v>
      </c>
      <c r="B2061" s="62" t="s">
        <v>724</v>
      </c>
      <c r="C2061" s="63"/>
      <c r="D2061" s="64"/>
      <c r="E2061" s="65"/>
      <c r="F2061" s="66"/>
      <c r="G2061" s="63"/>
      <c r="H2061" s="67"/>
      <c r="I2061" s="68"/>
      <c r="J2061" s="68"/>
      <c r="K2061" s="32"/>
      <c r="L2061" s="75">
        <v>2061</v>
      </c>
      <c r="M2061" s="75"/>
      <c r="N2061" s="70"/>
      <c r="O2061" s="77" t="s">
        <v>1286</v>
      </c>
      <c r="P2061" s="79">
        <v>45184.214675925927</v>
      </c>
      <c r="Q2061" s="77" t="s">
        <v>3260</v>
      </c>
      <c r="R2061" s="77">
        <v>0</v>
      </c>
      <c r="S2061" s="77">
        <v>0</v>
      </c>
      <c r="T2061" s="77">
        <v>1</v>
      </c>
      <c r="U2061" s="77">
        <v>0</v>
      </c>
      <c r="V2061" s="77">
        <v>159</v>
      </c>
      <c r="W2061" s="82" t="s">
        <v>5725</v>
      </c>
      <c r="X2061" s="80" t="str">
        <f>HYPERLINK("https://www.triunfo777.com?TF=cjf6ch1")</f>
        <v>https://www.triunfo777.com?TF=cjf6ch1</v>
      </c>
      <c r="Y2061" s="77" t="s">
        <v>7385</v>
      </c>
      <c r="Z2061" s="77"/>
      <c r="AA2061" s="77"/>
      <c r="AB2061" s="77"/>
      <c r="AC2061" s="82" t="s">
        <v>10144</v>
      </c>
      <c r="AD2061" s="77" t="s">
        <v>10184</v>
      </c>
      <c r="AE2061" s="80" t="str">
        <f>HYPERLINK("https://twitter.com/thiagofeli12411/status/1702550094199808006")</f>
        <v>https://twitter.com/thiagofeli12411/status/1702550094199808006</v>
      </c>
      <c r="AF2061" s="79">
        <v>45184.214675925927</v>
      </c>
      <c r="AG2061" s="85">
        <v>45184</v>
      </c>
      <c r="AH2061" s="82" t="s">
        <v>12171</v>
      </c>
      <c r="AI2061" s="77" t="b">
        <v>0</v>
      </c>
      <c r="AJ2061" s="77"/>
      <c r="AK2061" s="77"/>
      <c r="AL2061" s="77"/>
      <c r="AM2061" s="77"/>
      <c r="AN2061" s="77"/>
      <c r="AO2061" s="77"/>
      <c r="AP2061" s="77"/>
      <c r="AQ2061" s="77"/>
      <c r="AR2061" s="77"/>
      <c r="AS2061" s="77"/>
      <c r="AT2061" s="77"/>
      <c r="AU2061" s="77"/>
      <c r="AV2061" s="80" t="str">
        <f>HYPERLINK("https://pbs.twimg.com/profile_images/1670904315236556801/OEXiAt-q_normal.jpg")</f>
        <v>https://pbs.twimg.com/profile_images/1670904315236556801/OEXiAt-q_normal.jpg</v>
      </c>
      <c r="AW2061" s="82" t="s">
        <v>18829</v>
      </c>
      <c r="AX2061" s="82" t="s">
        <v>18829</v>
      </c>
      <c r="AY2061" s="77"/>
      <c r="AZ2061" s="82" t="s">
        <v>20971</v>
      </c>
      <c r="BA2061" s="82" t="s">
        <v>18828</v>
      </c>
      <c r="BB2061" s="82" t="s">
        <v>20971</v>
      </c>
      <c r="BC2061" s="82" t="s">
        <v>18828</v>
      </c>
      <c r="BD2061" s="82" t="s">
        <v>20943</v>
      </c>
      <c r="BE2061" s="77"/>
      <c r="BF2061" s="77"/>
      <c r="BG2061" s="77"/>
      <c r="BH2061" s="77"/>
      <c r="BI2061" s="77"/>
    </row>
    <row r="2062" spans="1:61" x14ac:dyDescent="0.25">
      <c r="A2062" s="62" t="s">
        <v>724</v>
      </c>
      <c r="B2062" s="62" t="s">
        <v>724</v>
      </c>
      <c r="C2062" s="63"/>
      <c r="D2062" s="64"/>
      <c r="E2062" s="65"/>
      <c r="F2062" s="66"/>
      <c r="G2062" s="63"/>
      <c r="H2062" s="67"/>
      <c r="I2062" s="68"/>
      <c r="J2062" s="68"/>
      <c r="K2062" s="32"/>
      <c r="L2062" s="75">
        <v>2062</v>
      </c>
      <c r="M2062" s="75"/>
      <c r="N2062" s="70"/>
      <c r="O2062" s="77" t="s">
        <v>1284</v>
      </c>
      <c r="P2062" s="79">
        <v>45184.214537037034</v>
      </c>
      <c r="Q2062" s="77" t="s">
        <v>3260</v>
      </c>
      <c r="R2062" s="77">
        <v>0</v>
      </c>
      <c r="S2062" s="77">
        <v>0</v>
      </c>
      <c r="T2062" s="77">
        <v>0</v>
      </c>
      <c r="U2062" s="77">
        <v>0</v>
      </c>
      <c r="V2062" s="77">
        <v>77</v>
      </c>
      <c r="W2062" s="82" t="s">
        <v>5725</v>
      </c>
      <c r="X2062" s="80" t="str">
        <f>HYPERLINK("https://www.triunfo777.com?TF=cjf6ch1")</f>
        <v>https://www.triunfo777.com?TF=cjf6ch1</v>
      </c>
      <c r="Y2062" s="77" t="s">
        <v>7385</v>
      </c>
      <c r="Z2062" s="77"/>
      <c r="AA2062" s="77"/>
      <c r="AB2062" s="77"/>
      <c r="AC2062" s="82" t="s">
        <v>10144</v>
      </c>
      <c r="AD2062" s="77" t="s">
        <v>10184</v>
      </c>
      <c r="AE2062" s="80" t="str">
        <f>HYPERLINK("https://twitter.com/thiagofeli12411/status/1702550040739233838")</f>
        <v>https://twitter.com/thiagofeli12411/status/1702550040739233838</v>
      </c>
      <c r="AF2062" s="79">
        <v>45184.214537037034</v>
      </c>
      <c r="AG2062" s="85">
        <v>45184</v>
      </c>
      <c r="AH2062" s="82" t="s">
        <v>12172</v>
      </c>
      <c r="AI2062" s="77" t="b">
        <v>0</v>
      </c>
      <c r="AJ2062" s="77"/>
      <c r="AK2062" s="77"/>
      <c r="AL2062" s="77"/>
      <c r="AM2062" s="77"/>
      <c r="AN2062" s="77"/>
      <c r="AO2062" s="77"/>
      <c r="AP2062" s="77"/>
      <c r="AQ2062" s="77"/>
      <c r="AR2062" s="77"/>
      <c r="AS2062" s="77"/>
      <c r="AT2062" s="77"/>
      <c r="AU2062" s="77"/>
      <c r="AV2062" s="80" t="str">
        <f>HYPERLINK("https://pbs.twimg.com/profile_images/1670904315236556801/OEXiAt-q_normal.jpg")</f>
        <v>https://pbs.twimg.com/profile_images/1670904315236556801/OEXiAt-q_normal.jpg</v>
      </c>
      <c r="AW2062" s="82" t="s">
        <v>18830</v>
      </c>
      <c r="AX2062" s="82" t="s">
        <v>18828</v>
      </c>
      <c r="AY2062" s="82" t="s">
        <v>20943</v>
      </c>
      <c r="AZ2062" s="82" t="s">
        <v>18828</v>
      </c>
      <c r="BA2062" s="82" t="s">
        <v>20971</v>
      </c>
      <c r="BB2062" s="82" t="s">
        <v>20971</v>
      </c>
      <c r="BC2062" s="82" t="s">
        <v>18828</v>
      </c>
      <c r="BD2062" s="82" t="s">
        <v>20943</v>
      </c>
      <c r="BE2062" s="77"/>
      <c r="BF2062" s="77"/>
      <c r="BG2062" s="77"/>
      <c r="BH2062" s="77"/>
      <c r="BI2062" s="77"/>
    </row>
    <row r="2063" spans="1:61" x14ac:dyDescent="0.25">
      <c r="A2063" s="62" t="s">
        <v>724</v>
      </c>
      <c r="B2063" s="62" t="s">
        <v>724</v>
      </c>
      <c r="C2063" s="63"/>
      <c r="D2063" s="64"/>
      <c r="E2063" s="65"/>
      <c r="F2063" s="66"/>
      <c r="G2063" s="63"/>
      <c r="H2063" s="67"/>
      <c r="I2063" s="68"/>
      <c r="J2063" s="68"/>
      <c r="K2063" s="32"/>
      <c r="L2063" s="75">
        <v>2063</v>
      </c>
      <c r="M2063" s="75"/>
      <c r="N2063" s="70"/>
      <c r="O2063" s="77" t="s">
        <v>179</v>
      </c>
      <c r="P2063" s="79">
        <v>45183.577962962961</v>
      </c>
      <c r="Q2063" s="77" t="s">
        <v>3275</v>
      </c>
      <c r="R2063" s="77">
        <v>1</v>
      </c>
      <c r="S2063" s="77">
        <v>0</v>
      </c>
      <c r="T2063" s="77">
        <v>2</v>
      </c>
      <c r="U2063" s="77">
        <v>0</v>
      </c>
      <c r="V2063" s="77">
        <v>1159</v>
      </c>
      <c r="W2063" s="82" t="s">
        <v>5725</v>
      </c>
      <c r="X2063" s="80" t="str">
        <f>HYPERLINK("https://www.triunfo777.com?TF=cjf6ch1")</f>
        <v>https://www.triunfo777.com?TF=cjf6ch1</v>
      </c>
      <c r="Y2063" s="77" t="s">
        <v>7385</v>
      </c>
      <c r="Z2063" s="77"/>
      <c r="AA2063" s="77" t="s">
        <v>8573</v>
      </c>
      <c r="AB2063" s="77" t="s">
        <v>10140</v>
      </c>
      <c r="AC2063" s="82" t="s">
        <v>10144</v>
      </c>
      <c r="AD2063" s="77" t="s">
        <v>10184</v>
      </c>
      <c r="AE2063" s="80" t="str">
        <f>HYPERLINK("https://twitter.com/thiagofeli12411/status/1702319356544536933")</f>
        <v>https://twitter.com/thiagofeli12411/status/1702319356544536933</v>
      </c>
      <c r="AF2063" s="79">
        <v>45183.577962962961</v>
      </c>
      <c r="AG2063" s="85">
        <v>45183</v>
      </c>
      <c r="AH2063" s="82" t="s">
        <v>12173</v>
      </c>
      <c r="AI2063" s="77" t="b">
        <v>0</v>
      </c>
      <c r="AJ2063" s="77"/>
      <c r="AK2063" s="77"/>
      <c r="AL2063" s="77"/>
      <c r="AM2063" s="77"/>
      <c r="AN2063" s="77"/>
      <c r="AO2063" s="77"/>
      <c r="AP2063" s="77"/>
      <c r="AQ2063" s="77" t="s">
        <v>15217</v>
      </c>
      <c r="AR2063" s="77" t="s">
        <v>16774</v>
      </c>
      <c r="AS2063" s="77"/>
      <c r="AT2063" s="77"/>
      <c r="AU2063" s="77"/>
      <c r="AV2063" s="80" t="str">
        <f>HYPERLINK("https://pbs.twimg.com/ext_tw_video_thumb/1702319260310368257/pu/img/cGPSb7XRhLRHtSGV.jpg")</f>
        <v>https://pbs.twimg.com/ext_tw_video_thumb/1702319260310368257/pu/img/cGPSb7XRhLRHtSGV.jpg</v>
      </c>
      <c r="AW2063" s="82" t="s">
        <v>18831</v>
      </c>
      <c r="AX2063" s="82" t="s">
        <v>18831</v>
      </c>
      <c r="AY2063" s="77"/>
      <c r="AZ2063" s="82" t="s">
        <v>20971</v>
      </c>
      <c r="BA2063" s="82" t="s">
        <v>20971</v>
      </c>
      <c r="BB2063" s="82" t="s">
        <v>20971</v>
      </c>
      <c r="BC2063" s="82" t="s">
        <v>18831</v>
      </c>
      <c r="BD2063" s="82" t="s">
        <v>20943</v>
      </c>
      <c r="BE2063" s="77"/>
      <c r="BF2063" s="77"/>
      <c r="BG2063" s="77"/>
      <c r="BH2063" s="77"/>
      <c r="BI2063" s="77"/>
    </row>
    <row r="2064" spans="1:61" x14ac:dyDescent="0.25">
      <c r="A2064" s="62" t="s">
        <v>724</v>
      </c>
      <c r="B2064" s="62" t="s">
        <v>724</v>
      </c>
      <c r="C2064" s="63"/>
      <c r="D2064" s="64"/>
      <c r="E2064" s="65"/>
      <c r="F2064" s="66"/>
      <c r="G2064" s="63"/>
      <c r="H2064" s="67"/>
      <c r="I2064" s="68"/>
      <c r="J2064" s="68"/>
      <c r="K2064" s="32"/>
      <c r="L2064" s="75">
        <v>2064</v>
      </c>
      <c r="M2064" s="75"/>
      <c r="N2064" s="70"/>
      <c r="O2064" s="77" t="s">
        <v>1286</v>
      </c>
      <c r="P2064" s="79">
        <v>45181.027060185188</v>
      </c>
      <c r="Q2064" s="77" t="s">
        <v>3260</v>
      </c>
      <c r="R2064" s="77">
        <v>1</v>
      </c>
      <c r="S2064" s="77">
        <v>0</v>
      </c>
      <c r="T2064" s="77">
        <v>0</v>
      </c>
      <c r="U2064" s="77">
        <v>1</v>
      </c>
      <c r="V2064" s="77">
        <v>473</v>
      </c>
      <c r="W2064" s="82" t="s">
        <v>5725</v>
      </c>
      <c r="X2064" s="80" t="str">
        <f>HYPERLINK("https://www.triunfo777.com?TF=cjf6ch1")</f>
        <v>https://www.triunfo777.com?TF=cjf6ch1</v>
      </c>
      <c r="Y2064" s="77" t="s">
        <v>7385</v>
      </c>
      <c r="Z2064" s="77"/>
      <c r="AA2064" s="77"/>
      <c r="AB2064" s="77"/>
      <c r="AC2064" s="82" t="s">
        <v>10144</v>
      </c>
      <c r="AD2064" s="77" t="s">
        <v>10184</v>
      </c>
      <c r="AE2064" s="80" t="str">
        <f>HYPERLINK("https://twitter.com/thiagofeli12411/status/1701394937760092349")</f>
        <v>https://twitter.com/thiagofeli12411/status/1701394937760092349</v>
      </c>
      <c r="AF2064" s="79">
        <v>45181.027060185188</v>
      </c>
      <c r="AG2064" s="85">
        <v>45181</v>
      </c>
      <c r="AH2064" s="82" t="s">
        <v>12174</v>
      </c>
      <c r="AI2064" s="77" t="b">
        <v>0</v>
      </c>
      <c r="AJ2064" s="77"/>
      <c r="AK2064" s="77"/>
      <c r="AL2064" s="77"/>
      <c r="AM2064" s="77"/>
      <c r="AN2064" s="77"/>
      <c r="AO2064" s="77"/>
      <c r="AP2064" s="77"/>
      <c r="AQ2064" s="77"/>
      <c r="AR2064" s="77"/>
      <c r="AS2064" s="77"/>
      <c r="AT2064" s="77"/>
      <c r="AU2064" s="77"/>
      <c r="AV2064" s="80" t="str">
        <f>HYPERLINK("https://pbs.twimg.com/profile_images/1670904315236556801/OEXiAt-q_normal.jpg")</f>
        <v>https://pbs.twimg.com/profile_images/1670904315236556801/OEXiAt-q_normal.jpg</v>
      </c>
      <c r="AW2064" s="82" t="s">
        <v>18832</v>
      </c>
      <c r="AX2064" s="82" t="s">
        <v>18832</v>
      </c>
      <c r="AY2064" s="77"/>
      <c r="AZ2064" s="82" t="s">
        <v>20971</v>
      </c>
      <c r="BA2064" s="82" t="s">
        <v>18835</v>
      </c>
      <c r="BB2064" s="82" t="s">
        <v>20971</v>
      </c>
      <c r="BC2064" s="82" t="s">
        <v>18835</v>
      </c>
      <c r="BD2064" s="82" t="s">
        <v>20943</v>
      </c>
      <c r="BE2064" s="77"/>
      <c r="BF2064" s="77"/>
      <c r="BG2064" s="77"/>
      <c r="BH2064" s="77"/>
      <c r="BI2064" s="77"/>
    </row>
    <row r="2065" spans="1:61" x14ac:dyDescent="0.25">
      <c r="A2065" s="62" t="s">
        <v>724</v>
      </c>
      <c r="B2065" s="62" t="s">
        <v>724</v>
      </c>
      <c r="C2065" s="63"/>
      <c r="D2065" s="64"/>
      <c r="E2065" s="65"/>
      <c r="F2065" s="66"/>
      <c r="G2065" s="63"/>
      <c r="H2065" s="67"/>
      <c r="I2065" s="68"/>
      <c r="J2065" s="68"/>
      <c r="K2065" s="32"/>
      <c r="L2065" s="75">
        <v>2065</v>
      </c>
      <c r="M2065" s="75"/>
      <c r="N2065" s="70"/>
      <c r="O2065" s="77" t="s">
        <v>1286</v>
      </c>
      <c r="P2065" s="79">
        <v>45181.027199074073</v>
      </c>
      <c r="Q2065" s="77" t="s">
        <v>3260</v>
      </c>
      <c r="R2065" s="77">
        <v>1</v>
      </c>
      <c r="S2065" s="77">
        <v>0</v>
      </c>
      <c r="T2065" s="77">
        <v>1</v>
      </c>
      <c r="U2065" s="77">
        <v>0</v>
      </c>
      <c r="V2065" s="77">
        <v>257</v>
      </c>
      <c r="W2065" s="82" t="s">
        <v>5725</v>
      </c>
      <c r="X2065" s="80" t="str">
        <f>HYPERLINK("https://www.triunfo777.com?TF=cjf6ch1")</f>
        <v>https://www.triunfo777.com?TF=cjf6ch1</v>
      </c>
      <c r="Y2065" s="77" t="s">
        <v>7385</v>
      </c>
      <c r="Z2065" s="77"/>
      <c r="AA2065" s="77"/>
      <c r="AB2065" s="77"/>
      <c r="AC2065" s="82" t="s">
        <v>10144</v>
      </c>
      <c r="AD2065" s="77" t="s">
        <v>10184</v>
      </c>
      <c r="AE2065" s="80" t="str">
        <f>HYPERLINK("https://twitter.com/thiagofeli12411/status/1701394988557328809")</f>
        <v>https://twitter.com/thiagofeli12411/status/1701394988557328809</v>
      </c>
      <c r="AF2065" s="79">
        <v>45181.027199074073</v>
      </c>
      <c r="AG2065" s="85">
        <v>45181</v>
      </c>
      <c r="AH2065" s="82" t="s">
        <v>12175</v>
      </c>
      <c r="AI2065" s="77" t="b">
        <v>0</v>
      </c>
      <c r="AJ2065" s="77"/>
      <c r="AK2065" s="77"/>
      <c r="AL2065" s="77"/>
      <c r="AM2065" s="77"/>
      <c r="AN2065" s="77"/>
      <c r="AO2065" s="77"/>
      <c r="AP2065" s="77"/>
      <c r="AQ2065" s="77"/>
      <c r="AR2065" s="77"/>
      <c r="AS2065" s="77"/>
      <c r="AT2065" s="77"/>
      <c r="AU2065" s="77"/>
      <c r="AV2065" s="80" t="str">
        <f>HYPERLINK("https://pbs.twimg.com/profile_images/1670904315236556801/OEXiAt-q_normal.jpg")</f>
        <v>https://pbs.twimg.com/profile_images/1670904315236556801/OEXiAt-q_normal.jpg</v>
      </c>
      <c r="AW2065" s="82" t="s">
        <v>18833</v>
      </c>
      <c r="AX2065" s="82" t="s">
        <v>18833</v>
      </c>
      <c r="AY2065" s="77"/>
      <c r="AZ2065" s="82" t="s">
        <v>20971</v>
      </c>
      <c r="BA2065" s="82" t="s">
        <v>18832</v>
      </c>
      <c r="BB2065" s="82" t="s">
        <v>20971</v>
      </c>
      <c r="BC2065" s="82" t="s">
        <v>18832</v>
      </c>
      <c r="BD2065" s="82" t="s">
        <v>20943</v>
      </c>
      <c r="BE2065" s="77"/>
      <c r="BF2065" s="77"/>
      <c r="BG2065" s="77"/>
      <c r="BH2065" s="77"/>
      <c r="BI2065" s="77"/>
    </row>
    <row r="2066" spans="1:61" x14ac:dyDescent="0.25">
      <c r="A2066" s="62" t="s">
        <v>724</v>
      </c>
      <c r="B2066" s="62" t="s">
        <v>724</v>
      </c>
      <c r="C2066" s="63"/>
      <c r="D2066" s="64"/>
      <c r="E2066" s="65"/>
      <c r="F2066" s="66"/>
      <c r="G2066" s="63"/>
      <c r="H2066" s="67"/>
      <c r="I2066" s="68"/>
      <c r="J2066" s="68"/>
      <c r="K2066" s="32"/>
      <c r="L2066" s="75">
        <v>2066</v>
      </c>
      <c r="M2066" s="75"/>
      <c r="N2066" s="70"/>
      <c r="O2066" s="77" t="s">
        <v>179</v>
      </c>
      <c r="P2066" s="79">
        <v>45181.027060185188</v>
      </c>
      <c r="Q2066" s="77" t="s">
        <v>3276</v>
      </c>
      <c r="R2066" s="77">
        <v>1</v>
      </c>
      <c r="S2066" s="77">
        <v>1</v>
      </c>
      <c r="T2066" s="77">
        <v>3</v>
      </c>
      <c r="U2066" s="77">
        <v>0</v>
      </c>
      <c r="V2066" s="77">
        <v>1808</v>
      </c>
      <c r="W2066" s="82" t="s">
        <v>5725</v>
      </c>
      <c r="X2066" s="80" t="str">
        <f>HYPERLINK("https://www.triunfo777.com?TF=cjf6ch1")</f>
        <v>https://www.triunfo777.com?TF=cjf6ch1</v>
      </c>
      <c r="Y2066" s="77" t="s">
        <v>7385</v>
      </c>
      <c r="Z2066" s="77"/>
      <c r="AA2066" s="77" t="s">
        <v>8574</v>
      </c>
      <c r="AB2066" s="77" t="s">
        <v>10141</v>
      </c>
      <c r="AC2066" s="82" t="s">
        <v>10144</v>
      </c>
      <c r="AD2066" s="77" t="s">
        <v>10184</v>
      </c>
      <c r="AE2066" s="80" t="str">
        <f>HYPERLINK("https://twitter.com/thiagofeli12411/status/1701394940679315764")</f>
        <v>https://twitter.com/thiagofeli12411/status/1701394940679315764</v>
      </c>
      <c r="AF2066" s="79">
        <v>45181.027060185188</v>
      </c>
      <c r="AG2066" s="85">
        <v>45181</v>
      </c>
      <c r="AH2066" s="82" t="s">
        <v>12174</v>
      </c>
      <c r="AI2066" s="77" t="b">
        <v>0</v>
      </c>
      <c r="AJ2066" s="77"/>
      <c r="AK2066" s="77"/>
      <c r="AL2066" s="77"/>
      <c r="AM2066" s="77"/>
      <c r="AN2066" s="77"/>
      <c r="AO2066" s="77"/>
      <c r="AP2066" s="77"/>
      <c r="AQ2066" s="77" t="s">
        <v>15218</v>
      </c>
      <c r="AR2066" s="77">
        <v>11330</v>
      </c>
      <c r="AS2066" s="77"/>
      <c r="AT2066" s="77"/>
      <c r="AU2066" s="77"/>
      <c r="AV2066" s="80" t="str">
        <f>HYPERLINK("https://pbs.twimg.com/media/F5yRoorXkAAvzfr.jpg")</f>
        <v>https://pbs.twimg.com/media/F5yRoorXkAAvzfr.jpg</v>
      </c>
      <c r="AW2066" s="82" t="s">
        <v>18834</v>
      </c>
      <c r="AX2066" s="82" t="s">
        <v>18834</v>
      </c>
      <c r="AY2066" s="77"/>
      <c r="AZ2066" s="82" t="s">
        <v>20971</v>
      </c>
      <c r="BA2066" s="82" t="s">
        <v>20971</v>
      </c>
      <c r="BB2066" s="82" t="s">
        <v>20971</v>
      </c>
      <c r="BC2066" s="82" t="s">
        <v>18834</v>
      </c>
      <c r="BD2066" s="82" t="s">
        <v>20943</v>
      </c>
      <c r="BE2066" s="77"/>
      <c r="BF2066" s="77"/>
      <c r="BG2066" s="77"/>
      <c r="BH2066" s="77"/>
      <c r="BI2066" s="77"/>
    </row>
    <row r="2067" spans="1:61" x14ac:dyDescent="0.25">
      <c r="A2067" s="62" t="s">
        <v>724</v>
      </c>
      <c r="B2067" s="62" t="s">
        <v>724</v>
      </c>
      <c r="C2067" s="63"/>
      <c r="D2067" s="64"/>
      <c r="E2067" s="65"/>
      <c r="F2067" s="66"/>
      <c r="G2067" s="63"/>
      <c r="H2067" s="67"/>
      <c r="I2067" s="68"/>
      <c r="J2067" s="68"/>
      <c r="K2067" s="32"/>
      <c r="L2067" s="75">
        <v>2067</v>
      </c>
      <c r="M2067" s="75"/>
      <c r="N2067" s="70"/>
      <c r="O2067" s="77" t="s">
        <v>179</v>
      </c>
      <c r="P2067" s="79">
        <v>45181.024872685186</v>
      </c>
      <c r="Q2067" s="77" t="s">
        <v>3277</v>
      </c>
      <c r="R2067" s="77">
        <v>1</v>
      </c>
      <c r="S2067" s="77">
        <v>0</v>
      </c>
      <c r="T2067" s="77">
        <v>0</v>
      </c>
      <c r="U2067" s="77">
        <v>1</v>
      </c>
      <c r="V2067" s="77">
        <v>251</v>
      </c>
      <c r="W2067" s="77"/>
      <c r="X2067" s="80" t="str">
        <f>HYPERLINK("https://www.triunfo777.com?TF=cjf6ch1")</f>
        <v>https://www.triunfo777.com?TF=cjf6ch1</v>
      </c>
      <c r="Y2067" s="77" t="s">
        <v>7385</v>
      </c>
      <c r="Z2067" s="77"/>
      <c r="AA2067" s="77" t="s">
        <v>8575</v>
      </c>
      <c r="AB2067" s="77" t="s">
        <v>10139</v>
      </c>
      <c r="AC2067" s="82" t="s">
        <v>10144</v>
      </c>
      <c r="AD2067" s="77" t="s">
        <v>10195</v>
      </c>
      <c r="AE2067" s="80" t="str">
        <f>HYPERLINK("https://twitter.com/thiagofeli12411/status/1701394145124712579")</f>
        <v>https://twitter.com/thiagofeli12411/status/1701394145124712579</v>
      </c>
      <c r="AF2067" s="79">
        <v>45181.024872685186</v>
      </c>
      <c r="AG2067" s="85">
        <v>45181</v>
      </c>
      <c r="AH2067" s="82" t="s">
        <v>12176</v>
      </c>
      <c r="AI2067" s="77" t="b">
        <v>0</v>
      </c>
      <c r="AJ2067" s="77"/>
      <c r="AK2067" s="77"/>
      <c r="AL2067" s="77"/>
      <c r="AM2067" s="77"/>
      <c r="AN2067" s="77"/>
      <c r="AO2067" s="77"/>
      <c r="AP2067" s="77"/>
      <c r="AQ2067" s="77" t="s">
        <v>15219</v>
      </c>
      <c r="AR2067" s="77" t="s">
        <v>16775</v>
      </c>
      <c r="AS2067" s="77"/>
      <c r="AT2067" s="77"/>
      <c r="AU2067" s="77"/>
      <c r="AV2067" s="80" t="str">
        <f>HYPERLINK("https://pbs.twimg.com/media/F5yQ4vIW0AA-mKK.jpg")</f>
        <v>https://pbs.twimg.com/media/F5yQ4vIW0AA-mKK.jpg</v>
      </c>
      <c r="AW2067" s="82" t="s">
        <v>18835</v>
      </c>
      <c r="AX2067" s="82" t="s">
        <v>18835</v>
      </c>
      <c r="AY2067" s="77"/>
      <c r="AZ2067" s="82" t="s">
        <v>20971</v>
      </c>
      <c r="BA2067" s="82" t="s">
        <v>20971</v>
      </c>
      <c r="BB2067" s="82" t="s">
        <v>20971</v>
      </c>
      <c r="BC2067" s="82" t="s">
        <v>18835</v>
      </c>
      <c r="BD2067" s="82" t="s">
        <v>20943</v>
      </c>
      <c r="BE2067" s="77"/>
      <c r="BF2067" s="77"/>
      <c r="BG2067" s="77"/>
      <c r="BH2067" s="77"/>
      <c r="BI2067" s="77"/>
    </row>
    <row r="2068" spans="1:61" x14ac:dyDescent="0.25">
      <c r="A2068" s="62" t="s">
        <v>725</v>
      </c>
      <c r="B2068" s="62" t="s">
        <v>725</v>
      </c>
      <c r="C2068" s="63"/>
      <c r="D2068" s="64"/>
      <c r="E2068" s="65"/>
      <c r="F2068" s="66"/>
      <c r="G2068" s="63"/>
      <c r="H2068" s="67"/>
      <c r="I2068" s="68"/>
      <c r="J2068" s="68"/>
      <c r="K2068" s="32"/>
      <c r="L2068" s="75">
        <v>2068</v>
      </c>
      <c r="M2068" s="75"/>
      <c r="N2068" s="70"/>
      <c r="O2068" s="77" t="s">
        <v>179</v>
      </c>
      <c r="P2068" s="79">
        <v>44985.297349537039</v>
      </c>
      <c r="Q2068" s="77" t="s">
        <v>3278</v>
      </c>
      <c r="R2068" s="77">
        <v>0</v>
      </c>
      <c r="S2068" s="77">
        <v>0</v>
      </c>
      <c r="T2068" s="77">
        <v>0</v>
      </c>
      <c r="U2068" s="77">
        <v>0</v>
      </c>
      <c r="V2068" s="77">
        <v>13</v>
      </c>
      <c r="W2068" s="82" t="s">
        <v>6163</v>
      </c>
      <c r="X2068" s="77"/>
      <c r="Y2068" s="77"/>
      <c r="Z2068" s="77"/>
      <c r="AA2068" s="77"/>
      <c r="AB2068" s="77"/>
      <c r="AC2068" s="82" t="s">
        <v>10146</v>
      </c>
      <c r="AD2068" s="77" t="s">
        <v>10184</v>
      </c>
      <c r="AE2068" s="80" t="str">
        <f>HYPERLINK("https://twitter.com/mulhermmilhoes/status/1630464866195591169")</f>
        <v>https://twitter.com/mulhermmilhoes/status/1630464866195591169</v>
      </c>
      <c r="AF2068" s="79">
        <v>44985.297349537039</v>
      </c>
      <c r="AG2068" s="85">
        <v>44985</v>
      </c>
      <c r="AH2068" s="82" t="s">
        <v>12177</v>
      </c>
      <c r="AI2068" s="77"/>
      <c r="AJ2068" s="77"/>
      <c r="AK2068" s="77"/>
      <c r="AL2068" s="77"/>
      <c r="AM2068" s="77"/>
      <c r="AN2068" s="77"/>
      <c r="AO2068" s="77"/>
      <c r="AP2068" s="77"/>
      <c r="AQ2068" s="77"/>
      <c r="AR2068" s="77"/>
      <c r="AS2068" s="77"/>
      <c r="AT2068" s="77"/>
      <c r="AU2068" s="77"/>
      <c r="AV2068" s="80" t="str">
        <f>HYPERLINK("https://pbs.twimg.com/profile_images/1630416595490156544/r2lW4cW9_normal.jpg")</f>
        <v>https://pbs.twimg.com/profile_images/1630416595490156544/r2lW4cW9_normal.jpg</v>
      </c>
      <c r="AW2068" s="82" t="s">
        <v>18836</v>
      </c>
      <c r="AX2068" s="82" t="s">
        <v>18836</v>
      </c>
      <c r="AY2068" s="77"/>
      <c r="AZ2068" s="82" t="s">
        <v>20971</v>
      </c>
      <c r="BA2068" s="82" t="s">
        <v>20971</v>
      </c>
      <c r="BB2068" s="82" t="s">
        <v>20971</v>
      </c>
      <c r="BC2068" s="82" t="s">
        <v>18836</v>
      </c>
      <c r="BD2068" s="82" t="s">
        <v>21385</v>
      </c>
      <c r="BE2068" s="77"/>
      <c r="BF2068" s="77"/>
      <c r="BG2068" s="77"/>
      <c r="BH2068" s="77"/>
      <c r="BI2068" s="77"/>
    </row>
    <row r="2069" spans="1:61" x14ac:dyDescent="0.25">
      <c r="A2069" s="62" t="s">
        <v>726</v>
      </c>
      <c r="B2069" s="62" t="s">
        <v>726</v>
      </c>
      <c r="C2069" s="63"/>
      <c r="D2069" s="64"/>
      <c r="E2069" s="65"/>
      <c r="F2069" s="66"/>
      <c r="G2069" s="63"/>
      <c r="H2069" s="67"/>
      <c r="I2069" s="68"/>
      <c r="J2069" s="68"/>
      <c r="K2069" s="32"/>
      <c r="L2069" s="75">
        <v>2069</v>
      </c>
      <c r="M2069" s="75"/>
      <c r="N2069" s="70"/>
      <c r="O2069" s="77" t="s">
        <v>179</v>
      </c>
      <c r="P2069" s="79">
        <v>45062.499988425923</v>
      </c>
      <c r="Q2069" s="77" t="s">
        <v>3279</v>
      </c>
      <c r="R2069" s="77">
        <v>0</v>
      </c>
      <c r="S2069" s="77">
        <v>0</v>
      </c>
      <c r="T2069" s="77">
        <v>0</v>
      </c>
      <c r="U2069" s="77">
        <v>1</v>
      </c>
      <c r="V2069" s="77">
        <v>269</v>
      </c>
      <c r="W2069" s="77"/>
      <c r="X2069" s="80" t="str">
        <f>HYPERLINK("https://www.brabet.com/?agentid=99667912")</f>
        <v>https://www.brabet.com/?agentid=99667912</v>
      </c>
      <c r="Y2069" s="77" t="s">
        <v>7331</v>
      </c>
      <c r="Z2069" s="77"/>
      <c r="AA2069" s="77" t="s">
        <v>8576</v>
      </c>
      <c r="AB2069" s="77" t="s">
        <v>10131</v>
      </c>
      <c r="AC2069" s="82" t="s">
        <v>10144</v>
      </c>
      <c r="AD2069" s="77" t="s">
        <v>10184</v>
      </c>
      <c r="AE2069" s="80" t="str">
        <f>HYPERLINK("https://twitter.com/juliaalvess0/status/1658442168036368384")</f>
        <v>https://twitter.com/juliaalvess0/status/1658442168036368384</v>
      </c>
      <c r="AF2069" s="79">
        <v>45062.499988425923</v>
      </c>
      <c r="AG2069" s="85">
        <v>45062</v>
      </c>
      <c r="AH2069" s="82" t="s">
        <v>12178</v>
      </c>
      <c r="AI2069" s="77" t="b">
        <v>0</v>
      </c>
      <c r="AJ2069" s="77"/>
      <c r="AK2069" s="77"/>
      <c r="AL2069" s="77"/>
      <c r="AM2069" s="77"/>
      <c r="AN2069" s="77"/>
      <c r="AO2069" s="77"/>
      <c r="AP2069" s="77"/>
      <c r="AQ2069" s="77" t="s">
        <v>15220</v>
      </c>
      <c r="AR2069" s="77"/>
      <c r="AS2069" s="77"/>
      <c r="AT2069" s="77"/>
      <c r="AU2069" s="77"/>
      <c r="AV2069" s="80" t="str">
        <f>HYPERLINK("https://pbs.twimg.com/media/FwP4WR8X0AEEA8x.jpg")</f>
        <v>https://pbs.twimg.com/media/FwP4WR8X0AEEA8x.jpg</v>
      </c>
      <c r="AW2069" s="82" t="s">
        <v>18837</v>
      </c>
      <c r="AX2069" s="82" t="s">
        <v>18837</v>
      </c>
      <c r="AY2069" s="77"/>
      <c r="AZ2069" s="82" t="s">
        <v>20971</v>
      </c>
      <c r="BA2069" s="82" t="s">
        <v>20971</v>
      </c>
      <c r="BB2069" s="82" t="s">
        <v>20971</v>
      </c>
      <c r="BC2069" s="82" t="s">
        <v>18837</v>
      </c>
      <c r="BD2069" s="82" t="s">
        <v>21386</v>
      </c>
      <c r="BE2069" s="77"/>
      <c r="BF2069" s="77"/>
      <c r="BG2069" s="77"/>
      <c r="BH2069" s="77"/>
      <c r="BI2069" s="77"/>
    </row>
    <row r="2070" spans="1:61" x14ac:dyDescent="0.25">
      <c r="A2070" s="62" t="s">
        <v>726</v>
      </c>
      <c r="B2070" s="62" t="s">
        <v>726</v>
      </c>
      <c r="C2070" s="63"/>
      <c r="D2070" s="64"/>
      <c r="E2070" s="65"/>
      <c r="F2070" s="66"/>
      <c r="G2070" s="63"/>
      <c r="H2070" s="67"/>
      <c r="I2070" s="68"/>
      <c r="J2070" s="68"/>
      <c r="K2070" s="32"/>
      <c r="L2070" s="75">
        <v>2070</v>
      </c>
      <c r="M2070" s="75"/>
      <c r="N2070" s="70"/>
      <c r="O2070" s="77" t="s">
        <v>1286</v>
      </c>
      <c r="P2070" s="79">
        <v>45062.501550925925</v>
      </c>
      <c r="Q2070" s="77" t="s">
        <v>3280</v>
      </c>
      <c r="R2070" s="77">
        <v>0</v>
      </c>
      <c r="S2070" s="77">
        <v>1</v>
      </c>
      <c r="T2070" s="77">
        <v>0</v>
      </c>
      <c r="U2070" s="77">
        <v>0</v>
      </c>
      <c r="V2070" s="77">
        <v>205</v>
      </c>
      <c r="W2070" s="82" t="s">
        <v>6164</v>
      </c>
      <c r="X2070" s="77"/>
      <c r="Y2070" s="77"/>
      <c r="Z2070" s="77"/>
      <c r="AA2070" s="77"/>
      <c r="AB2070" s="77"/>
      <c r="AC2070" s="82" t="s">
        <v>10144</v>
      </c>
      <c r="AD2070" s="77" t="s">
        <v>10186</v>
      </c>
      <c r="AE2070" s="80" t="str">
        <f>HYPERLINK("https://twitter.com/juliaalvess0/status/1658442733529227265")</f>
        <v>https://twitter.com/juliaalvess0/status/1658442733529227265</v>
      </c>
      <c r="AF2070" s="79">
        <v>45062.501550925925</v>
      </c>
      <c r="AG2070" s="85">
        <v>45062</v>
      </c>
      <c r="AH2070" s="82" t="s">
        <v>12179</v>
      </c>
      <c r="AI2070" s="77"/>
      <c r="AJ2070" s="77"/>
      <c r="AK2070" s="77"/>
      <c r="AL2070" s="77"/>
      <c r="AM2070" s="77"/>
      <c r="AN2070" s="77"/>
      <c r="AO2070" s="77"/>
      <c r="AP2070" s="77"/>
      <c r="AQ2070" s="77"/>
      <c r="AR2070" s="77"/>
      <c r="AS2070" s="77"/>
      <c r="AT2070" s="77"/>
      <c r="AU2070" s="77"/>
      <c r="AV2070" s="80" t="str">
        <f>HYPERLINK("https://pbs.twimg.com/profile_images/1595498974613573632/Mt5ZoZde_normal.jpg")</f>
        <v>https://pbs.twimg.com/profile_images/1595498974613573632/Mt5ZoZde_normal.jpg</v>
      </c>
      <c r="AW2070" s="82" t="s">
        <v>18838</v>
      </c>
      <c r="AX2070" s="82" t="s">
        <v>18838</v>
      </c>
      <c r="AY2070" s="77"/>
      <c r="AZ2070" s="82" t="s">
        <v>20971</v>
      </c>
      <c r="BA2070" s="82" t="s">
        <v>18837</v>
      </c>
      <c r="BB2070" s="82" t="s">
        <v>20971</v>
      </c>
      <c r="BC2070" s="82" t="s">
        <v>18837</v>
      </c>
      <c r="BD2070" s="82" t="s">
        <v>21386</v>
      </c>
      <c r="BE2070" s="77"/>
      <c r="BF2070" s="77"/>
      <c r="BG2070" s="77"/>
      <c r="BH2070" s="77"/>
      <c r="BI2070" s="77"/>
    </row>
    <row r="2071" spans="1:61" x14ac:dyDescent="0.25">
      <c r="A2071" s="62" t="s">
        <v>727</v>
      </c>
      <c r="B2071" s="62" t="s">
        <v>727</v>
      </c>
      <c r="C2071" s="63"/>
      <c r="D2071" s="64"/>
      <c r="E2071" s="65"/>
      <c r="F2071" s="66"/>
      <c r="G2071" s="63"/>
      <c r="H2071" s="67"/>
      <c r="I2071" s="68"/>
      <c r="J2071" s="68"/>
      <c r="K2071" s="32"/>
      <c r="L2071" s="75">
        <v>2071</v>
      </c>
      <c r="M2071" s="75"/>
      <c r="N2071" s="70"/>
      <c r="O2071" s="77" t="s">
        <v>179</v>
      </c>
      <c r="P2071" s="79">
        <v>45058.558182870373</v>
      </c>
      <c r="Q2071" s="77" t="s">
        <v>3281</v>
      </c>
      <c r="R2071" s="77">
        <v>0</v>
      </c>
      <c r="S2071" s="77">
        <v>0</v>
      </c>
      <c r="T2071" s="77">
        <v>0</v>
      </c>
      <c r="U2071" s="77">
        <v>0</v>
      </c>
      <c r="V2071" s="77">
        <v>38</v>
      </c>
      <c r="W2071" s="82" t="s">
        <v>5236</v>
      </c>
      <c r="X2071" s="80" t="str">
        <f>HYPERLINK("http://hotm.art/grps")</f>
        <v>http://hotm.art/grps</v>
      </c>
      <c r="Y2071" s="77" t="s">
        <v>7260</v>
      </c>
      <c r="Z2071" s="77"/>
      <c r="AA2071" s="77" t="s">
        <v>8577</v>
      </c>
      <c r="AB2071" s="77" t="s">
        <v>10129</v>
      </c>
      <c r="AC2071" s="82" t="s">
        <v>10144</v>
      </c>
      <c r="AD2071" s="77" t="s">
        <v>10184</v>
      </c>
      <c r="AE2071" s="80" t="str">
        <f>HYPERLINK("https://twitter.com/monalisabach/status/1657013705954009089")</f>
        <v>https://twitter.com/monalisabach/status/1657013705954009089</v>
      </c>
      <c r="AF2071" s="79">
        <v>45058.558182870373</v>
      </c>
      <c r="AG2071" s="85">
        <v>45058</v>
      </c>
      <c r="AH2071" s="82" t="s">
        <v>12180</v>
      </c>
      <c r="AI2071" s="77" t="b">
        <v>0</v>
      </c>
      <c r="AJ2071" s="77"/>
      <c r="AK2071" s="77"/>
      <c r="AL2071" s="77"/>
      <c r="AM2071" s="77"/>
      <c r="AN2071" s="77"/>
      <c r="AO2071" s="77"/>
      <c r="AP2071" s="77"/>
      <c r="AQ2071" s="77" t="s">
        <v>15221</v>
      </c>
      <c r="AR2071" s="77">
        <v>41007</v>
      </c>
      <c r="AS2071" s="77"/>
      <c r="AT2071" s="77"/>
      <c r="AU2071" s="77"/>
      <c r="AV2071" s="80" t="str">
        <f>HYPERLINK("https://pbs.twimg.com/ext_tw_video_thumb/1657013649402212352/pu/img/mMZ6uS2U9tjeGG4e.jpg")</f>
        <v>https://pbs.twimg.com/ext_tw_video_thumb/1657013649402212352/pu/img/mMZ6uS2U9tjeGG4e.jpg</v>
      </c>
      <c r="AW2071" s="82" t="s">
        <v>18839</v>
      </c>
      <c r="AX2071" s="82" t="s">
        <v>18839</v>
      </c>
      <c r="AY2071" s="77"/>
      <c r="AZ2071" s="82" t="s">
        <v>20971</v>
      </c>
      <c r="BA2071" s="82" t="s">
        <v>20971</v>
      </c>
      <c r="BB2071" s="82" t="s">
        <v>20971</v>
      </c>
      <c r="BC2071" s="82" t="s">
        <v>18839</v>
      </c>
      <c r="BD2071" s="77">
        <v>828040351</v>
      </c>
      <c r="BE2071" s="77"/>
      <c r="BF2071" s="77"/>
      <c r="BG2071" s="77"/>
      <c r="BH2071" s="77"/>
      <c r="BI2071" s="77"/>
    </row>
    <row r="2072" spans="1:61" x14ac:dyDescent="0.25">
      <c r="A2072" s="62" t="s">
        <v>728</v>
      </c>
      <c r="B2072" s="62" t="s">
        <v>728</v>
      </c>
      <c r="C2072" s="63"/>
      <c r="D2072" s="64"/>
      <c r="E2072" s="65"/>
      <c r="F2072" s="66"/>
      <c r="G2072" s="63"/>
      <c r="H2072" s="67"/>
      <c r="I2072" s="68"/>
      <c r="J2072" s="68"/>
      <c r="K2072" s="32"/>
      <c r="L2072" s="75">
        <v>2072</v>
      </c>
      <c r="M2072" s="75"/>
      <c r="N2072" s="70"/>
      <c r="O2072" s="77" t="s">
        <v>179</v>
      </c>
      <c r="P2072" s="79">
        <v>45072.576932870368</v>
      </c>
      <c r="Q2072" s="77" t="s">
        <v>3282</v>
      </c>
      <c r="R2072" s="77">
        <v>0</v>
      </c>
      <c r="S2072" s="77">
        <v>0</v>
      </c>
      <c r="T2072" s="77">
        <v>0</v>
      </c>
      <c r="U2072" s="77">
        <v>0</v>
      </c>
      <c r="V2072" s="77">
        <v>28</v>
      </c>
      <c r="W2072" s="82" t="s">
        <v>6165</v>
      </c>
      <c r="X2072" s="80" t="str">
        <f>HYPERLINK("https://www.blog.jogajunto.net/3-vantagens-de-investir-em-apostas/")</f>
        <v>https://www.blog.jogajunto.net/3-vantagens-de-investir-em-apostas/</v>
      </c>
      <c r="Y2072" s="77" t="s">
        <v>7386</v>
      </c>
      <c r="Z2072" s="77"/>
      <c r="AA2072" s="77"/>
      <c r="AB2072" s="77"/>
      <c r="AC2072" s="82" t="s">
        <v>10146</v>
      </c>
      <c r="AD2072" s="77" t="s">
        <v>10184</v>
      </c>
      <c r="AE2072" s="80" t="str">
        <f>HYPERLINK("https://twitter.com/jogajuntobet/status/1662093928785403904")</f>
        <v>https://twitter.com/jogajuntobet/status/1662093928785403904</v>
      </c>
      <c r="AF2072" s="79">
        <v>45072.576932870368</v>
      </c>
      <c r="AG2072" s="85">
        <v>45072</v>
      </c>
      <c r="AH2072" s="82" t="s">
        <v>12181</v>
      </c>
      <c r="AI2072" s="77" t="b">
        <v>0</v>
      </c>
      <c r="AJ2072" s="77"/>
      <c r="AK2072" s="77"/>
      <c r="AL2072" s="77"/>
      <c r="AM2072" s="77"/>
      <c r="AN2072" s="77"/>
      <c r="AO2072" s="77"/>
      <c r="AP2072" s="77"/>
      <c r="AQ2072" s="77"/>
      <c r="AR2072" s="77"/>
      <c r="AS2072" s="77"/>
      <c r="AT2072" s="77"/>
      <c r="AU2072" s="77"/>
      <c r="AV2072" s="80" t="str">
        <f>HYPERLINK("https://pbs.twimg.com/profile_images/1619074194200748033/CnR5KvBT_normal.jpg")</f>
        <v>https://pbs.twimg.com/profile_images/1619074194200748033/CnR5KvBT_normal.jpg</v>
      </c>
      <c r="AW2072" s="82" t="s">
        <v>18840</v>
      </c>
      <c r="AX2072" s="82" t="s">
        <v>18840</v>
      </c>
      <c r="AY2072" s="77"/>
      <c r="AZ2072" s="82" t="s">
        <v>20971</v>
      </c>
      <c r="BA2072" s="82" t="s">
        <v>20971</v>
      </c>
      <c r="BB2072" s="82" t="s">
        <v>20971</v>
      </c>
      <c r="BC2072" s="82" t="s">
        <v>18840</v>
      </c>
      <c r="BD2072" s="82" t="s">
        <v>21387</v>
      </c>
      <c r="BE2072" s="77"/>
      <c r="BF2072" s="77"/>
      <c r="BG2072" s="77"/>
      <c r="BH2072" s="77"/>
      <c r="BI2072" s="77"/>
    </row>
    <row r="2073" spans="1:61" x14ac:dyDescent="0.25">
      <c r="A2073" s="62" t="s">
        <v>728</v>
      </c>
      <c r="B2073" s="62" t="s">
        <v>728</v>
      </c>
      <c r="C2073" s="63"/>
      <c r="D2073" s="64"/>
      <c r="E2073" s="65"/>
      <c r="F2073" s="66"/>
      <c r="G2073" s="63"/>
      <c r="H2073" s="67"/>
      <c r="I2073" s="68"/>
      <c r="J2073" s="68"/>
      <c r="K2073" s="32"/>
      <c r="L2073" s="75">
        <v>2073</v>
      </c>
      <c r="M2073" s="75"/>
      <c r="N2073" s="70"/>
      <c r="O2073" s="77" t="s">
        <v>179</v>
      </c>
      <c r="P2073" s="79">
        <v>45071.784849537034</v>
      </c>
      <c r="Q2073" s="77" t="s">
        <v>3283</v>
      </c>
      <c r="R2073" s="77">
        <v>0</v>
      </c>
      <c r="S2073" s="77">
        <v>0</v>
      </c>
      <c r="T2073" s="77">
        <v>0</v>
      </c>
      <c r="U2073" s="77">
        <v>0</v>
      </c>
      <c r="V2073" s="77">
        <v>21</v>
      </c>
      <c r="W2073" s="82" t="s">
        <v>6166</v>
      </c>
      <c r="X2073" s="80" t="str">
        <f>HYPERLINK("https://www.blog.jogajunto.net/como-se-chama-o-apostador-profissional/?preview=true&amp;_thumbnail_id=1805")</f>
        <v>https://www.blog.jogajunto.net/como-se-chama-o-apostador-profissional/?preview=true&amp;_thumbnail_id=1805</v>
      </c>
      <c r="Y2073" s="77" t="s">
        <v>7386</v>
      </c>
      <c r="Z2073" s="77"/>
      <c r="AA2073" s="77"/>
      <c r="AB2073" s="77"/>
      <c r="AC2073" s="82" t="s">
        <v>10146</v>
      </c>
      <c r="AD2073" s="77" t="s">
        <v>10184</v>
      </c>
      <c r="AE2073" s="80" t="str">
        <f>HYPERLINK("https://twitter.com/jogajuntobet/status/1661806887212384281")</f>
        <v>https://twitter.com/jogajuntobet/status/1661806887212384281</v>
      </c>
      <c r="AF2073" s="79">
        <v>45071.784849537034</v>
      </c>
      <c r="AG2073" s="85">
        <v>45071</v>
      </c>
      <c r="AH2073" s="82" t="s">
        <v>12182</v>
      </c>
      <c r="AI2073" s="77" t="b">
        <v>0</v>
      </c>
      <c r="AJ2073" s="77"/>
      <c r="AK2073" s="77"/>
      <c r="AL2073" s="77"/>
      <c r="AM2073" s="77"/>
      <c r="AN2073" s="77"/>
      <c r="AO2073" s="77"/>
      <c r="AP2073" s="77"/>
      <c r="AQ2073" s="77"/>
      <c r="AR2073" s="77"/>
      <c r="AS2073" s="77"/>
      <c r="AT2073" s="77"/>
      <c r="AU2073" s="77"/>
      <c r="AV2073" s="80" t="str">
        <f>HYPERLINK("https://pbs.twimg.com/profile_images/1619074194200748033/CnR5KvBT_normal.jpg")</f>
        <v>https://pbs.twimg.com/profile_images/1619074194200748033/CnR5KvBT_normal.jpg</v>
      </c>
      <c r="AW2073" s="82" t="s">
        <v>18841</v>
      </c>
      <c r="AX2073" s="82" t="s">
        <v>18841</v>
      </c>
      <c r="AY2073" s="77"/>
      <c r="AZ2073" s="82" t="s">
        <v>20971</v>
      </c>
      <c r="BA2073" s="82" t="s">
        <v>20971</v>
      </c>
      <c r="BB2073" s="82" t="s">
        <v>20971</v>
      </c>
      <c r="BC2073" s="82" t="s">
        <v>18841</v>
      </c>
      <c r="BD2073" s="82" t="s">
        <v>21387</v>
      </c>
      <c r="BE2073" s="77"/>
      <c r="BF2073" s="77"/>
      <c r="BG2073" s="77"/>
      <c r="BH2073" s="77"/>
      <c r="BI2073" s="77"/>
    </row>
    <row r="2074" spans="1:61" x14ac:dyDescent="0.25">
      <c r="A2074" s="62" t="s">
        <v>729</v>
      </c>
      <c r="B2074" s="62" t="s">
        <v>729</v>
      </c>
      <c r="C2074" s="63"/>
      <c r="D2074" s="64"/>
      <c r="E2074" s="65"/>
      <c r="F2074" s="66"/>
      <c r="G2074" s="63"/>
      <c r="H2074" s="67"/>
      <c r="I2074" s="68"/>
      <c r="J2074" s="68"/>
      <c r="K2074" s="32"/>
      <c r="L2074" s="75">
        <v>2074</v>
      </c>
      <c r="M2074" s="75"/>
      <c r="N2074" s="70"/>
      <c r="O2074" s="77" t="s">
        <v>179</v>
      </c>
      <c r="P2074" s="79">
        <v>45195.48541666667</v>
      </c>
      <c r="Q2074" s="77" t="s">
        <v>3284</v>
      </c>
      <c r="R2074" s="77">
        <v>0</v>
      </c>
      <c r="S2074" s="77">
        <v>1</v>
      </c>
      <c r="T2074" s="77">
        <v>0</v>
      </c>
      <c r="U2074" s="77">
        <v>0</v>
      </c>
      <c r="V2074" s="77">
        <v>164</v>
      </c>
      <c r="W2074" s="82" t="s">
        <v>6167</v>
      </c>
      <c r="X2074" s="80" t="str">
        <f>HYPERLINK("https://bio.site/packdosplrs")</f>
        <v>https://bio.site/packdosplrs</v>
      </c>
      <c r="Y2074" s="77" t="s">
        <v>7387</v>
      </c>
      <c r="Z2074" s="77"/>
      <c r="AA2074" s="77" t="s">
        <v>8578</v>
      </c>
      <c r="AB2074" s="77" t="s">
        <v>10129</v>
      </c>
      <c r="AC2074" s="82" t="s">
        <v>10144</v>
      </c>
      <c r="AD2074" s="77" t="s">
        <v>10184</v>
      </c>
      <c r="AE2074" s="80" t="str">
        <f>HYPERLINK("https://twitter.com/kingofplrs/status/1706634473956053156")</f>
        <v>https://twitter.com/kingofplrs/status/1706634473956053156</v>
      </c>
      <c r="AF2074" s="79">
        <v>45195.48541666667</v>
      </c>
      <c r="AG2074" s="85">
        <v>45195</v>
      </c>
      <c r="AH2074" s="82" t="s">
        <v>12183</v>
      </c>
      <c r="AI2074" s="77" t="b">
        <v>0</v>
      </c>
      <c r="AJ2074" s="77"/>
      <c r="AK2074" s="77"/>
      <c r="AL2074" s="77"/>
      <c r="AM2074" s="77"/>
      <c r="AN2074" s="77"/>
      <c r="AO2074" s="77"/>
      <c r="AP2074" s="77"/>
      <c r="AQ2074" s="77" t="s">
        <v>15222</v>
      </c>
      <c r="AR2074" s="77">
        <v>58766</v>
      </c>
      <c r="AS2074" s="77"/>
      <c r="AT2074" s="77"/>
      <c r="AU2074" s="77"/>
      <c r="AV2074" s="80" t="str">
        <f>HYPERLINK("https://pbs.twimg.com/ext_tw_video_thumb/1706634351155281920/pu/img/xKfABYvd1ZEhbGPs.jpg")</f>
        <v>https://pbs.twimg.com/ext_tw_video_thumb/1706634351155281920/pu/img/xKfABYvd1ZEhbGPs.jpg</v>
      </c>
      <c r="AW2074" s="82" t="s">
        <v>18842</v>
      </c>
      <c r="AX2074" s="82" t="s">
        <v>18842</v>
      </c>
      <c r="AY2074" s="77"/>
      <c r="AZ2074" s="82" t="s">
        <v>20971</v>
      </c>
      <c r="BA2074" s="82" t="s">
        <v>20971</v>
      </c>
      <c r="BB2074" s="82" t="s">
        <v>20971</v>
      </c>
      <c r="BC2074" s="82" t="s">
        <v>18842</v>
      </c>
      <c r="BD2074" s="82" t="s">
        <v>21388</v>
      </c>
      <c r="BE2074" s="77"/>
      <c r="BF2074" s="77"/>
      <c r="BG2074" s="77"/>
      <c r="BH2074" s="77"/>
      <c r="BI2074" s="77"/>
    </row>
    <row r="2075" spans="1:61" x14ac:dyDescent="0.25">
      <c r="A2075" s="62" t="s">
        <v>729</v>
      </c>
      <c r="B2075" s="62" t="s">
        <v>729</v>
      </c>
      <c r="C2075" s="63"/>
      <c r="D2075" s="64"/>
      <c r="E2075" s="65"/>
      <c r="F2075" s="66"/>
      <c r="G2075" s="63"/>
      <c r="H2075" s="67"/>
      <c r="I2075" s="68"/>
      <c r="J2075" s="68"/>
      <c r="K2075" s="32"/>
      <c r="L2075" s="75">
        <v>2075</v>
      </c>
      <c r="M2075" s="75"/>
      <c r="N2075" s="70"/>
      <c r="O2075" s="77" t="s">
        <v>179</v>
      </c>
      <c r="P2075" s="79">
        <v>45196.57167824074</v>
      </c>
      <c r="Q2075" s="77" t="s">
        <v>3285</v>
      </c>
      <c r="R2075" s="77">
        <v>0</v>
      </c>
      <c r="S2075" s="77">
        <v>0</v>
      </c>
      <c r="T2075" s="77">
        <v>0</v>
      </c>
      <c r="U2075" s="77">
        <v>0</v>
      </c>
      <c r="V2075" s="77">
        <v>43</v>
      </c>
      <c r="W2075" s="82" t="s">
        <v>6168</v>
      </c>
      <c r="X2075" s="77"/>
      <c r="Y2075" s="77"/>
      <c r="Z2075" s="77"/>
      <c r="AA2075" s="77" t="s">
        <v>8579</v>
      </c>
      <c r="AB2075" s="77" t="s">
        <v>10129</v>
      </c>
      <c r="AC2075" s="82" t="s">
        <v>10144</v>
      </c>
      <c r="AD2075" s="77" t="s">
        <v>10184</v>
      </c>
      <c r="AE2075" s="80" t="str">
        <f>HYPERLINK("https://twitter.com/kingofplrs/status/1707028121302511892")</f>
        <v>https://twitter.com/kingofplrs/status/1707028121302511892</v>
      </c>
      <c r="AF2075" s="79">
        <v>45196.57167824074</v>
      </c>
      <c r="AG2075" s="85">
        <v>45196</v>
      </c>
      <c r="AH2075" s="82" t="s">
        <v>12184</v>
      </c>
      <c r="AI2075" s="77" t="b">
        <v>0</v>
      </c>
      <c r="AJ2075" s="77"/>
      <c r="AK2075" s="77"/>
      <c r="AL2075" s="77"/>
      <c r="AM2075" s="77"/>
      <c r="AN2075" s="77"/>
      <c r="AO2075" s="77"/>
      <c r="AP2075" s="77"/>
      <c r="AQ2075" s="77" t="s">
        <v>15223</v>
      </c>
      <c r="AR2075" s="77">
        <v>20266</v>
      </c>
      <c r="AS2075" s="77"/>
      <c r="AT2075" s="77"/>
      <c r="AU2075" s="77"/>
      <c r="AV2075" s="80" t="str">
        <f>HYPERLINK("https://pbs.twimg.com/ext_tw_video_thumb/1707028056894746624/pu/img/QV6uVLEwojNvLszN.jpg")</f>
        <v>https://pbs.twimg.com/ext_tw_video_thumb/1707028056894746624/pu/img/QV6uVLEwojNvLszN.jpg</v>
      </c>
      <c r="AW2075" s="82" t="s">
        <v>18843</v>
      </c>
      <c r="AX2075" s="82" t="s">
        <v>18843</v>
      </c>
      <c r="AY2075" s="77"/>
      <c r="AZ2075" s="82" t="s">
        <v>20971</v>
      </c>
      <c r="BA2075" s="82" t="s">
        <v>20971</v>
      </c>
      <c r="BB2075" s="82" t="s">
        <v>20971</v>
      </c>
      <c r="BC2075" s="82" t="s">
        <v>18843</v>
      </c>
      <c r="BD2075" s="82" t="s">
        <v>21388</v>
      </c>
      <c r="BE2075" s="77"/>
      <c r="BF2075" s="77"/>
      <c r="BG2075" s="77"/>
      <c r="BH2075" s="77"/>
      <c r="BI2075" s="77"/>
    </row>
    <row r="2076" spans="1:61" x14ac:dyDescent="0.25">
      <c r="A2076" s="62" t="s">
        <v>730</v>
      </c>
      <c r="B2076" s="62" t="s">
        <v>730</v>
      </c>
      <c r="C2076" s="63"/>
      <c r="D2076" s="64"/>
      <c r="E2076" s="65"/>
      <c r="F2076" s="66"/>
      <c r="G2076" s="63"/>
      <c r="H2076" s="67"/>
      <c r="I2076" s="68"/>
      <c r="J2076" s="68"/>
      <c r="K2076" s="32"/>
      <c r="L2076" s="75">
        <v>2076</v>
      </c>
      <c r="M2076" s="75"/>
      <c r="N2076" s="70"/>
      <c r="O2076" s="77" t="s">
        <v>179</v>
      </c>
      <c r="P2076" s="79">
        <v>44976.839699074073</v>
      </c>
      <c r="Q2076" s="77" t="s">
        <v>3286</v>
      </c>
      <c r="R2076" s="77">
        <v>0</v>
      </c>
      <c r="S2076" s="77">
        <v>3</v>
      </c>
      <c r="T2076" s="77">
        <v>0</v>
      </c>
      <c r="U2076" s="77">
        <v>0</v>
      </c>
      <c r="V2076" s="77">
        <v>46</v>
      </c>
      <c r="W2076" s="82" t="s">
        <v>6169</v>
      </c>
      <c r="X2076" s="80" t="str">
        <f>HYPERLINK("https://saiadozeromeindica.orbitpages.online/modelo-padrao-pagina-de-vendas?v=1676392125430")</f>
        <v>https://saiadozeromeindica.orbitpages.online/modelo-padrao-pagina-de-vendas?v=1676392125430</v>
      </c>
      <c r="Y2076" s="77" t="s">
        <v>7241</v>
      </c>
      <c r="Z2076" s="77"/>
      <c r="AA2076" s="77" t="s">
        <v>8580</v>
      </c>
      <c r="AB2076" s="77" t="s">
        <v>10129</v>
      </c>
      <c r="AC2076" s="82" t="s">
        <v>10146</v>
      </c>
      <c r="AD2076" s="77" t="s">
        <v>10184</v>
      </c>
      <c r="AE2076" s="80" t="str">
        <f>HYPERLINK("https://twitter.com/meindica87/status/1627399915885285377")</f>
        <v>https://twitter.com/meindica87/status/1627399915885285377</v>
      </c>
      <c r="AF2076" s="79">
        <v>44976.839699074073</v>
      </c>
      <c r="AG2076" s="85">
        <v>44976</v>
      </c>
      <c r="AH2076" s="82" t="s">
        <v>12185</v>
      </c>
      <c r="AI2076" s="77" t="b">
        <v>0</v>
      </c>
      <c r="AJ2076" s="77"/>
      <c r="AK2076" s="77"/>
      <c r="AL2076" s="77"/>
      <c r="AM2076" s="77"/>
      <c r="AN2076" s="77"/>
      <c r="AO2076" s="77"/>
      <c r="AP2076" s="77"/>
      <c r="AQ2076" s="77" t="s">
        <v>15224</v>
      </c>
      <c r="AR2076" s="77">
        <v>59759</v>
      </c>
      <c r="AS2076" s="77"/>
      <c r="AT2076" s="77"/>
      <c r="AU2076" s="77"/>
      <c r="AV2076" s="80" t="str">
        <f>HYPERLINK("https://pbs.twimg.com/ext_tw_video_thumb/1627399605053710337/pu/img/EoOd_hMZq2r6qcmT.jpg")</f>
        <v>https://pbs.twimg.com/ext_tw_video_thumb/1627399605053710337/pu/img/EoOd_hMZq2r6qcmT.jpg</v>
      </c>
      <c r="AW2076" s="82" t="s">
        <v>18844</v>
      </c>
      <c r="AX2076" s="82" t="s">
        <v>18844</v>
      </c>
      <c r="AY2076" s="77"/>
      <c r="AZ2076" s="82" t="s">
        <v>20971</v>
      </c>
      <c r="BA2076" s="82" t="s">
        <v>20971</v>
      </c>
      <c r="BB2076" s="82" t="s">
        <v>20971</v>
      </c>
      <c r="BC2076" s="82" t="s">
        <v>18844</v>
      </c>
      <c r="BD2076" s="82" t="s">
        <v>20944</v>
      </c>
      <c r="BE2076" s="77"/>
      <c r="BF2076" s="77"/>
      <c r="BG2076" s="77"/>
      <c r="BH2076" s="77"/>
      <c r="BI2076" s="77"/>
    </row>
    <row r="2077" spans="1:61" x14ac:dyDescent="0.25">
      <c r="A2077" s="62" t="s">
        <v>730</v>
      </c>
      <c r="B2077" s="62" t="s">
        <v>730</v>
      </c>
      <c r="C2077" s="63"/>
      <c r="D2077" s="64"/>
      <c r="E2077" s="65"/>
      <c r="F2077" s="66"/>
      <c r="G2077" s="63"/>
      <c r="H2077" s="67"/>
      <c r="I2077" s="68"/>
      <c r="J2077" s="68"/>
      <c r="K2077" s="32"/>
      <c r="L2077" s="75">
        <v>2077</v>
      </c>
      <c r="M2077" s="75"/>
      <c r="N2077" s="70"/>
      <c r="O2077" s="77" t="s">
        <v>179</v>
      </c>
      <c r="P2077" s="79">
        <v>45066.896921296298</v>
      </c>
      <c r="Q2077" s="77" t="s">
        <v>3287</v>
      </c>
      <c r="R2077" s="77">
        <v>0</v>
      </c>
      <c r="S2077" s="77">
        <v>1</v>
      </c>
      <c r="T2077" s="77">
        <v>0</v>
      </c>
      <c r="U2077" s="77">
        <v>0</v>
      </c>
      <c r="V2077" s="77">
        <v>15</v>
      </c>
      <c r="W2077" s="82" t="s">
        <v>6169</v>
      </c>
      <c r="X2077" s="80" t="str">
        <f>HYPERLINK("https://augusto-henrique-alves-weber.herospark.co/p/me-indica-premium")</f>
        <v>https://augusto-henrique-alves-weber.herospark.co/p/me-indica-premium</v>
      </c>
      <c r="Y2077" s="77" t="s">
        <v>7388</v>
      </c>
      <c r="Z2077" s="77"/>
      <c r="AA2077" s="77" t="s">
        <v>8581</v>
      </c>
      <c r="AB2077" s="77" t="s">
        <v>10130</v>
      </c>
      <c r="AC2077" s="82" t="s">
        <v>10146</v>
      </c>
      <c r="AD2077" s="77" t="s">
        <v>10184</v>
      </c>
      <c r="AE2077" s="80" t="str">
        <f>HYPERLINK("https://twitter.com/meindica87/status/1660035562223411206")</f>
        <v>https://twitter.com/meindica87/status/1660035562223411206</v>
      </c>
      <c r="AF2077" s="79">
        <v>45066.896921296298</v>
      </c>
      <c r="AG2077" s="85">
        <v>45066</v>
      </c>
      <c r="AH2077" s="82" t="s">
        <v>12186</v>
      </c>
      <c r="AI2077" s="77" t="b">
        <v>0</v>
      </c>
      <c r="AJ2077" s="77"/>
      <c r="AK2077" s="77"/>
      <c r="AL2077" s="77"/>
      <c r="AM2077" s="77"/>
      <c r="AN2077" s="77"/>
      <c r="AO2077" s="77"/>
      <c r="AP2077" s="77"/>
      <c r="AQ2077" s="77" t="s">
        <v>15225</v>
      </c>
      <c r="AR2077" s="77"/>
      <c r="AS2077" s="77"/>
      <c r="AT2077" s="77"/>
      <c r="AU2077" s="77"/>
      <c r="AV2077" s="80" t="str">
        <f>HYPERLINK("https://pbs.twimg.com/media/Fwmhg5KX0AIaSp3.jpg")</f>
        <v>https://pbs.twimg.com/media/Fwmhg5KX0AIaSp3.jpg</v>
      </c>
      <c r="AW2077" s="82" t="s">
        <v>18845</v>
      </c>
      <c r="AX2077" s="82" t="s">
        <v>18845</v>
      </c>
      <c r="AY2077" s="77"/>
      <c r="AZ2077" s="82" t="s">
        <v>20971</v>
      </c>
      <c r="BA2077" s="82" t="s">
        <v>20971</v>
      </c>
      <c r="BB2077" s="82" t="s">
        <v>20971</v>
      </c>
      <c r="BC2077" s="82" t="s">
        <v>18845</v>
      </c>
      <c r="BD2077" s="82" t="s">
        <v>20944</v>
      </c>
      <c r="BE2077" s="77"/>
      <c r="BF2077" s="77"/>
      <c r="BG2077" s="77"/>
      <c r="BH2077" s="77"/>
      <c r="BI2077" s="77"/>
    </row>
    <row r="2078" spans="1:61" x14ac:dyDescent="0.25">
      <c r="A2078" s="62" t="s">
        <v>730</v>
      </c>
      <c r="B2078" s="62" t="s">
        <v>730</v>
      </c>
      <c r="C2078" s="63"/>
      <c r="D2078" s="64"/>
      <c r="E2078" s="65"/>
      <c r="F2078" s="66"/>
      <c r="G2078" s="63"/>
      <c r="H2078" s="67"/>
      <c r="I2078" s="68"/>
      <c r="J2078" s="68"/>
      <c r="K2078" s="32"/>
      <c r="L2078" s="75">
        <v>2078</v>
      </c>
      <c r="M2078" s="75"/>
      <c r="N2078" s="70"/>
      <c r="O2078" s="77" t="s">
        <v>179</v>
      </c>
      <c r="P2078" s="79">
        <v>44987.000578703701</v>
      </c>
      <c r="Q2078" s="77" t="s">
        <v>3288</v>
      </c>
      <c r="R2078" s="77">
        <v>0</v>
      </c>
      <c r="S2078" s="77">
        <v>3</v>
      </c>
      <c r="T2078" s="77">
        <v>0</v>
      </c>
      <c r="U2078" s="77">
        <v>0</v>
      </c>
      <c r="V2078" s="77">
        <v>123</v>
      </c>
      <c r="W2078" s="82" t="s">
        <v>6170</v>
      </c>
      <c r="X2078" s="77"/>
      <c r="Y2078" s="77"/>
      <c r="Z2078" s="77"/>
      <c r="AA2078" s="77" t="s">
        <v>8582</v>
      </c>
      <c r="AB2078" s="77" t="s">
        <v>10129</v>
      </c>
      <c r="AC2078" s="82" t="s">
        <v>10144</v>
      </c>
      <c r="AD2078" s="77" t="s">
        <v>10184</v>
      </c>
      <c r="AE2078" s="80" t="str">
        <f>HYPERLINK("https://twitter.com/meindica87/status/1631082095069069312")</f>
        <v>https://twitter.com/meindica87/status/1631082095069069312</v>
      </c>
      <c r="AF2078" s="79">
        <v>44987.000578703701</v>
      </c>
      <c r="AG2078" s="85">
        <v>44987</v>
      </c>
      <c r="AH2078" s="82" t="s">
        <v>12187</v>
      </c>
      <c r="AI2078" s="77" t="b">
        <v>0</v>
      </c>
      <c r="AJ2078" s="77"/>
      <c r="AK2078" s="77"/>
      <c r="AL2078" s="77"/>
      <c r="AM2078" s="77"/>
      <c r="AN2078" s="77"/>
      <c r="AO2078" s="77"/>
      <c r="AP2078" s="77"/>
      <c r="AQ2078" s="77" t="s">
        <v>15226</v>
      </c>
      <c r="AR2078" s="77">
        <v>44975</v>
      </c>
      <c r="AS2078" s="77"/>
      <c r="AT2078" s="77"/>
      <c r="AU2078" s="77"/>
      <c r="AV2078" s="80" t="str">
        <f>HYPERLINK("https://pbs.twimg.com/ext_tw_video_thumb/1631082051595018243/pu/img/RA2XX3G126ZatwWu.jpg")</f>
        <v>https://pbs.twimg.com/ext_tw_video_thumb/1631082051595018243/pu/img/RA2XX3G126ZatwWu.jpg</v>
      </c>
      <c r="AW2078" s="82" t="s">
        <v>18846</v>
      </c>
      <c r="AX2078" s="82" t="s">
        <v>18846</v>
      </c>
      <c r="AY2078" s="77"/>
      <c r="AZ2078" s="82" t="s">
        <v>20971</v>
      </c>
      <c r="BA2078" s="82" t="s">
        <v>20971</v>
      </c>
      <c r="BB2078" s="82" t="s">
        <v>20971</v>
      </c>
      <c r="BC2078" s="82" t="s">
        <v>18846</v>
      </c>
      <c r="BD2078" s="82" t="s">
        <v>20944</v>
      </c>
      <c r="BE2078" s="77"/>
      <c r="BF2078" s="77"/>
      <c r="BG2078" s="77"/>
      <c r="BH2078" s="77"/>
      <c r="BI2078" s="77"/>
    </row>
    <row r="2079" spans="1:61" x14ac:dyDescent="0.25">
      <c r="A2079" s="62" t="s">
        <v>730</v>
      </c>
      <c r="B2079" s="62" t="s">
        <v>730</v>
      </c>
      <c r="C2079" s="63"/>
      <c r="D2079" s="64"/>
      <c r="E2079" s="65"/>
      <c r="F2079" s="66"/>
      <c r="G2079" s="63"/>
      <c r="H2079" s="67"/>
      <c r="I2079" s="68"/>
      <c r="J2079" s="68"/>
      <c r="K2079" s="32"/>
      <c r="L2079" s="75">
        <v>2079</v>
      </c>
      <c r="M2079" s="75"/>
      <c r="N2079" s="70"/>
      <c r="O2079" s="77" t="s">
        <v>179</v>
      </c>
      <c r="P2079" s="79">
        <v>45061.690717592595</v>
      </c>
      <c r="Q2079" s="77" t="s">
        <v>3289</v>
      </c>
      <c r="R2079" s="77">
        <v>0</v>
      </c>
      <c r="S2079" s="77">
        <v>1</v>
      </c>
      <c r="T2079" s="77">
        <v>1</v>
      </c>
      <c r="U2079" s="77">
        <v>0</v>
      </c>
      <c r="V2079" s="77">
        <v>16</v>
      </c>
      <c r="W2079" s="82" t="s">
        <v>6169</v>
      </c>
      <c r="X2079" s="80" t="str">
        <f>HYPERLINK("https://saiadozeromeindica.orbitpages.online/modelo-padrao-pagina-de-vendas?v=1676392125430")</f>
        <v>https://saiadozeromeindica.orbitpages.online/modelo-padrao-pagina-de-vendas?v=1676392125430</v>
      </c>
      <c r="Y2079" s="77" t="s">
        <v>7241</v>
      </c>
      <c r="Z2079" s="77"/>
      <c r="AA2079" s="77" t="s">
        <v>8583</v>
      </c>
      <c r="AB2079" s="77" t="s">
        <v>10131</v>
      </c>
      <c r="AC2079" s="82" t="s">
        <v>10146</v>
      </c>
      <c r="AD2079" s="77" t="s">
        <v>10184</v>
      </c>
      <c r="AE2079" s="80" t="str">
        <f>HYPERLINK("https://twitter.com/meindica87/status/1658148897724694529")</f>
        <v>https://twitter.com/meindica87/status/1658148897724694529</v>
      </c>
      <c r="AF2079" s="79">
        <v>45061.690717592595</v>
      </c>
      <c r="AG2079" s="85">
        <v>45061</v>
      </c>
      <c r="AH2079" s="82" t="s">
        <v>12188</v>
      </c>
      <c r="AI2079" s="77" t="b">
        <v>0</v>
      </c>
      <c r="AJ2079" s="77"/>
      <c r="AK2079" s="77"/>
      <c r="AL2079" s="77"/>
      <c r="AM2079" s="77"/>
      <c r="AN2079" s="77"/>
      <c r="AO2079" s="77"/>
      <c r="AP2079" s="77"/>
      <c r="AQ2079" s="77" t="s">
        <v>15227</v>
      </c>
      <c r="AR2079" s="77"/>
      <c r="AS2079" s="77"/>
      <c r="AT2079" s="77"/>
      <c r="AU2079" s="77"/>
      <c r="AV2079" s="80" t="str">
        <f>HYPERLINK("https://pbs.twimg.com/media/FwLtbzXXsAALOC5.jpg")</f>
        <v>https://pbs.twimg.com/media/FwLtbzXXsAALOC5.jpg</v>
      </c>
      <c r="AW2079" s="82" t="s">
        <v>18847</v>
      </c>
      <c r="AX2079" s="82" t="s">
        <v>18847</v>
      </c>
      <c r="AY2079" s="77"/>
      <c r="AZ2079" s="82" t="s">
        <v>20971</v>
      </c>
      <c r="BA2079" s="82" t="s">
        <v>20971</v>
      </c>
      <c r="BB2079" s="82" t="s">
        <v>20971</v>
      </c>
      <c r="BC2079" s="82" t="s">
        <v>18847</v>
      </c>
      <c r="BD2079" s="82" t="s">
        <v>20944</v>
      </c>
      <c r="BE2079" s="77"/>
      <c r="BF2079" s="77"/>
      <c r="BG2079" s="77"/>
      <c r="BH2079" s="77"/>
      <c r="BI2079" s="77"/>
    </row>
    <row r="2080" spans="1:61" x14ac:dyDescent="0.25">
      <c r="A2080" s="62" t="s">
        <v>730</v>
      </c>
      <c r="B2080" s="62" t="s">
        <v>730</v>
      </c>
      <c r="C2080" s="63"/>
      <c r="D2080" s="64"/>
      <c r="E2080" s="65"/>
      <c r="F2080" s="66"/>
      <c r="G2080" s="63"/>
      <c r="H2080" s="67"/>
      <c r="I2080" s="68"/>
      <c r="J2080" s="68"/>
      <c r="K2080" s="32"/>
      <c r="L2080" s="75">
        <v>2080</v>
      </c>
      <c r="M2080" s="75"/>
      <c r="N2080" s="70"/>
      <c r="O2080" s="77" t="s">
        <v>1284</v>
      </c>
      <c r="P2080" s="79">
        <v>45061.685173611113</v>
      </c>
      <c r="Q2080" s="77" t="s">
        <v>3290</v>
      </c>
      <c r="R2080" s="77">
        <v>0</v>
      </c>
      <c r="S2080" s="77">
        <v>1</v>
      </c>
      <c r="T2080" s="77">
        <v>0</v>
      </c>
      <c r="U2080" s="77">
        <v>0</v>
      </c>
      <c r="V2080" s="77">
        <v>3</v>
      </c>
      <c r="W2080" s="82" t="s">
        <v>6171</v>
      </c>
      <c r="X2080" s="80" t="str">
        <f>HYPERLINK("https://app.sapium.com.br/course/9055-do-zero-ao-sucesso-construa-sua-marca-no-ambiente-digital/about?utm_source=Teaching&amp;utm_medium=Publishing&amp;utm_campaign=ShareFriends")</f>
        <v>https://app.sapium.com.br/course/9055-do-zero-ao-sucesso-construa-sua-marca-no-ambiente-digital/about?utm_source=Teaching&amp;utm_medium=Publishing&amp;utm_campaign=ShareFriends</v>
      </c>
      <c r="Y2080" s="77" t="s">
        <v>7252</v>
      </c>
      <c r="Z2080" s="77"/>
      <c r="AA2080" s="77"/>
      <c r="AB2080" s="77"/>
      <c r="AC2080" s="82" t="s">
        <v>10146</v>
      </c>
      <c r="AD2080" s="77" t="s">
        <v>10184</v>
      </c>
      <c r="AE2080" s="80" t="str">
        <f>HYPERLINK("https://twitter.com/meindica87/status/1658146889232003083")</f>
        <v>https://twitter.com/meindica87/status/1658146889232003083</v>
      </c>
      <c r="AF2080" s="79">
        <v>45061.685173611113</v>
      </c>
      <c r="AG2080" s="85">
        <v>45061</v>
      </c>
      <c r="AH2080" s="82" t="s">
        <v>12189</v>
      </c>
      <c r="AI2080" s="77" t="b">
        <v>0</v>
      </c>
      <c r="AJ2080" s="77"/>
      <c r="AK2080" s="77"/>
      <c r="AL2080" s="77"/>
      <c r="AM2080" s="77"/>
      <c r="AN2080" s="77"/>
      <c r="AO2080" s="77"/>
      <c r="AP2080" s="77"/>
      <c r="AQ2080" s="77"/>
      <c r="AR2080" s="77"/>
      <c r="AS2080" s="77"/>
      <c r="AT2080" s="77"/>
      <c r="AU2080" s="77"/>
      <c r="AV2080" s="80" t="str">
        <f>HYPERLINK("https://pbs.twimg.com/profile_images/1594418436431659008/nbbClrUZ_normal.jpg")</f>
        <v>https://pbs.twimg.com/profile_images/1594418436431659008/nbbClrUZ_normal.jpg</v>
      </c>
      <c r="AW2080" s="82" t="s">
        <v>18848</v>
      </c>
      <c r="AX2080" s="82" t="s">
        <v>18849</v>
      </c>
      <c r="AY2080" s="82" t="s">
        <v>20944</v>
      </c>
      <c r="AZ2080" s="82" t="s">
        <v>18849</v>
      </c>
      <c r="BA2080" s="82" t="s">
        <v>20971</v>
      </c>
      <c r="BB2080" s="82" t="s">
        <v>20971</v>
      </c>
      <c r="BC2080" s="82" t="s">
        <v>18849</v>
      </c>
      <c r="BD2080" s="82" t="s">
        <v>20944</v>
      </c>
      <c r="BE2080" s="77"/>
      <c r="BF2080" s="77"/>
      <c r="BG2080" s="77"/>
      <c r="BH2080" s="77"/>
      <c r="BI2080" s="77"/>
    </row>
    <row r="2081" spans="1:61" x14ac:dyDescent="0.25">
      <c r="A2081" s="62" t="s">
        <v>730</v>
      </c>
      <c r="B2081" s="62" t="s">
        <v>730</v>
      </c>
      <c r="C2081" s="63"/>
      <c r="D2081" s="64"/>
      <c r="E2081" s="65"/>
      <c r="F2081" s="66"/>
      <c r="G2081" s="63"/>
      <c r="H2081" s="67"/>
      <c r="I2081" s="68"/>
      <c r="J2081" s="68"/>
      <c r="K2081" s="32"/>
      <c r="L2081" s="75">
        <v>2081</v>
      </c>
      <c r="M2081" s="75"/>
      <c r="N2081" s="70"/>
      <c r="O2081" s="77" t="s">
        <v>179</v>
      </c>
      <c r="P2081" s="79">
        <v>45061.685104166667</v>
      </c>
      <c r="Q2081" s="77" t="s">
        <v>3291</v>
      </c>
      <c r="R2081" s="77">
        <v>0</v>
      </c>
      <c r="S2081" s="77">
        <v>1</v>
      </c>
      <c r="T2081" s="77">
        <v>1</v>
      </c>
      <c r="U2081" s="77">
        <v>0</v>
      </c>
      <c r="V2081" s="77">
        <v>5</v>
      </c>
      <c r="W2081" s="82" t="s">
        <v>6171</v>
      </c>
      <c r="X2081" s="80" t="str">
        <f>HYPERLINK("https://app.sapium.com.br/course/9055-do-zero-ao-sucesso-construa-sua-marca-no-ambiente-digital/about?utm_source=Teaching&amp;utm_medium=Publishing&amp;utm_campaign=ShareFriends")</f>
        <v>https://app.sapium.com.br/course/9055-do-zero-ao-sucesso-construa-sua-marca-no-ambiente-digital/about?utm_source=Teaching&amp;utm_medium=Publishing&amp;utm_campaign=ShareFriends</v>
      </c>
      <c r="Y2081" s="77" t="s">
        <v>7252</v>
      </c>
      <c r="Z2081" s="77"/>
      <c r="AA2081" s="77" t="s">
        <v>8584</v>
      </c>
      <c r="AB2081" s="77" t="s">
        <v>10130</v>
      </c>
      <c r="AC2081" s="82" t="s">
        <v>10146</v>
      </c>
      <c r="AD2081" s="77" t="s">
        <v>10184</v>
      </c>
      <c r="AE2081" s="80" t="str">
        <f>HYPERLINK("https://twitter.com/meindica87/status/1658146861910302723")</f>
        <v>https://twitter.com/meindica87/status/1658146861910302723</v>
      </c>
      <c r="AF2081" s="79">
        <v>45061.685104166667</v>
      </c>
      <c r="AG2081" s="85">
        <v>45061</v>
      </c>
      <c r="AH2081" s="82" t="s">
        <v>12190</v>
      </c>
      <c r="AI2081" s="77" t="b">
        <v>0</v>
      </c>
      <c r="AJ2081" s="77"/>
      <c r="AK2081" s="77"/>
      <c r="AL2081" s="77"/>
      <c r="AM2081" s="77"/>
      <c r="AN2081" s="77"/>
      <c r="AO2081" s="77"/>
      <c r="AP2081" s="77"/>
      <c r="AQ2081" s="77" t="s">
        <v>15228</v>
      </c>
      <c r="AR2081" s="77"/>
      <c r="AS2081" s="77"/>
      <c r="AT2081" s="77"/>
      <c r="AU2081" s="77"/>
      <c r="AV2081" s="80" t="str">
        <f>HYPERLINK("https://pbs.twimg.com/media/FwLrpmeWwAEvCIB.jpg")</f>
        <v>https://pbs.twimg.com/media/FwLrpmeWwAEvCIB.jpg</v>
      </c>
      <c r="AW2081" s="82" t="s">
        <v>18849</v>
      </c>
      <c r="AX2081" s="82" t="s">
        <v>18849</v>
      </c>
      <c r="AY2081" s="77"/>
      <c r="AZ2081" s="82" t="s">
        <v>20971</v>
      </c>
      <c r="BA2081" s="82" t="s">
        <v>20971</v>
      </c>
      <c r="BB2081" s="82" t="s">
        <v>20971</v>
      </c>
      <c r="BC2081" s="82" t="s">
        <v>18849</v>
      </c>
      <c r="BD2081" s="82" t="s">
        <v>20944</v>
      </c>
      <c r="BE2081" s="77"/>
      <c r="BF2081" s="77"/>
      <c r="BG2081" s="77"/>
      <c r="BH2081" s="77"/>
      <c r="BI2081" s="77"/>
    </row>
    <row r="2082" spans="1:61" x14ac:dyDescent="0.25">
      <c r="A2082" s="62" t="s">
        <v>730</v>
      </c>
      <c r="B2082" s="62" t="s">
        <v>730</v>
      </c>
      <c r="C2082" s="63"/>
      <c r="D2082" s="64"/>
      <c r="E2082" s="65"/>
      <c r="F2082" s="66"/>
      <c r="G2082" s="63"/>
      <c r="H2082" s="67"/>
      <c r="I2082" s="68"/>
      <c r="J2082" s="68"/>
      <c r="K2082" s="32"/>
      <c r="L2082" s="75">
        <v>2082</v>
      </c>
      <c r="M2082" s="75"/>
      <c r="N2082" s="70"/>
      <c r="O2082" s="77" t="s">
        <v>179</v>
      </c>
      <c r="P2082" s="79">
        <v>44961.530219907407</v>
      </c>
      <c r="Q2082" s="77" t="s">
        <v>3292</v>
      </c>
      <c r="R2082" s="77">
        <v>0</v>
      </c>
      <c r="S2082" s="77">
        <v>3</v>
      </c>
      <c r="T2082" s="77">
        <v>0</v>
      </c>
      <c r="U2082" s="77">
        <v>0</v>
      </c>
      <c r="V2082" s="77">
        <v>36</v>
      </c>
      <c r="W2082" s="82" t="s">
        <v>6172</v>
      </c>
      <c r="X2082" s="80" t="str">
        <f>HYPERLINK("https://app.sapium.com.br/course/8090-saia-do-zero-me-indica/about?utm_source=Teaching&amp;utm_medium=Publishing&amp;utm_campaign=ShareFriends")</f>
        <v>https://app.sapium.com.br/course/8090-saia-do-zero-me-indica/about?utm_source=Teaching&amp;utm_medium=Publishing&amp;utm_campaign=ShareFriends</v>
      </c>
      <c r="Y2082" s="77" t="s">
        <v>7252</v>
      </c>
      <c r="Z2082" s="77"/>
      <c r="AA2082" s="77" t="s">
        <v>8585</v>
      </c>
      <c r="AB2082" s="77" t="s">
        <v>10130</v>
      </c>
      <c r="AC2082" s="82" t="s">
        <v>10146</v>
      </c>
      <c r="AD2082" s="77" t="s">
        <v>10184</v>
      </c>
      <c r="AE2082" s="80" t="str">
        <f>HYPERLINK("https://twitter.com/meindica87/status/1621851947102871554")</f>
        <v>https://twitter.com/meindica87/status/1621851947102871554</v>
      </c>
      <c r="AF2082" s="79">
        <v>44961.530219907407</v>
      </c>
      <c r="AG2082" s="85">
        <v>44961</v>
      </c>
      <c r="AH2082" s="82" t="s">
        <v>12191</v>
      </c>
      <c r="AI2082" s="77" t="b">
        <v>0</v>
      </c>
      <c r="AJ2082" s="77"/>
      <c r="AK2082" s="77"/>
      <c r="AL2082" s="77"/>
      <c r="AM2082" s="77"/>
      <c r="AN2082" s="77"/>
      <c r="AO2082" s="77"/>
      <c r="AP2082" s="77"/>
      <c r="AQ2082" s="77" t="s">
        <v>15229</v>
      </c>
      <c r="AR2082" s="77"/>
      <c r="AS2082" s="77"/>
      <c r="AT2082" s="77"/>
      <c r="AU2082" s="77"/>
      <c r="AV2082" s="80" t="str">
        <f>HYPERLINK("https://pbs.twimg.com/media/FoH5pceXoAMWqbe.png")</f>
        <v>https://pbs.twimg.com/media/FoH5pceXoAMWqbe.png</v>
      </c>
      <c r="AW2082" s="82" t="s">
        <v>18850</v>
      </c>
      <c r="AX2082" s="82" t="s">
        <v>18850</v>
      </c>
      <c r="AY2082" s="77"/>
      <c r="AZ2082" s="82" t="s">
        <v>20971</v>
      </c>
      <c r="BA2082" s="82" t="s">
        <v>20971</v>
      </c>
      <c r="BB2082" s="82" t="s">
        <v>20971</v>
      </c>
      <c r="BC2082" s="82" t="s">
        <v>18850</v>
      </c>
      <c r="BD2082" s="82" t="s">
        <v>20944</v>
      </c>
      <c r="BE2082" s="77"/>
      <c r="BF2082" s="77"/>
      <c r="BG2082" s="77"/>
      <c r="BH2082" s="77"/>
      <c r="BI2082" s="77"/>
    </row>
    <row r="2083" spans="1:61" x14ac:dyDescent="0.25">
      <c r="A2083" s="62" t="s">
        <v>730</v>
      </c>
      <c r="B2083" s="62" t="s">
        <v>730</v>
      </c>
      <c r="C2083" s="63"/>
      <c r="D2083" s="64"/>
      <c r="E2083" s="65"/>
      <c r="F2083" s="66"/>
      <c r="G2083" s="63"/>
      <c r="H2083" s="67"/>
      <c r="I2083" s="68"/>
      <c r="J2083" s="68"/>
      <c r="K2083" s="32"/>
      <c r="L2083" s="75">
        <v>2083</v>
      </c>
      <c r="M2083" s="75"/>
      <c r="N2083" s="70"/>
      <c r="O2083" s="77" t="s">
        <v>179</v>
      </c>
      <c r="P2083" s="79">
        <v>45081.530150462961</v>
      </c>
      <c r="Q2083" s="77" t="s">
        <v>3293</v>
      </c>
      <c r="R2083" s="77">
        <v>0</v>
      </c>
      <c r="S2083" s="77">
        <v>1</v>
      </c>
      <c r="T2083" s="77">
        <v>0</v>
      </c>
      <c r="U2083" s="77">
        <v>0</v>
      </c>
      <c r="V2083" s="77">
        <v>10</v>
      </c>
      <c r="W2083" s="82" t="s">
        <v>6173</v>
      </c>
      <c r="X2083" s="80" t="str">
        <f>HYPERLINK("https://shre.ink/whatsappmeindica")</f>
        <v>https://shre.ink/whatsappmeindica</v>
      </c>
      <c r="Y2083" s="77" t="s">
        <v>7377</v>
      </c>
      <c r="Z2083" s="77"/>
      <c r="AA2083" s="77" t="s">
        <v>8586</v>
      </c>
      <c r="AB2083" s="77" t="s">
        <v>10132</v>
      </c>
      <c r="AC2083" s="82" t="s">
        <v>10146</v>
      </c>
      <c r="AD2083" s="77" t="s">
        <v>10184</v>
      </c>
      <c r="AE2083" s="80" t="str">
        <f>HYPERLINK("https://twitter.com/meindica87/status/1665338466811387904")</f>
        <v>https://twitter.com/meindica87/status/1665338466811387904</v>
      </c>
      <c r="AF2083" s="79">
        <v>45081.530150462961</v>
      </c>
      <c r="AG2083" s="85">
        <v>45081</v>
      </c>
      <c r="AH2083" s="82" t="s">
        <v>12192</v>
      </c>
      <c r="AI2083" s="77" t="b">
        <v>0</v>
      </c>
      <c r="AJ2083" s="77"/>
      <c r="AK2083" s="77"/>
      <c r="AL2083" s="77"/>
      <c r="AM2083" s="77"/>
      <c r="AN2083" s="77"/>
      <c r="AO2083" s="77"/>
      <c r="AP2083" s="77"/>
      <c r="AQ2083" s="77" t="s">
        <v>15230</v>
      </c>
      <c r="AR2083" s="77"/>
      <c r="AS2083" s="77"/>
      <c r="AT2083" s="77"/>
      <c r="AU2083" s="77"/>
      <c r="AV2083" s="80" t="str">
        <f>HYPERLINK("https://pbs.twimg.com/media/Fxx4OPAXoAAEgEq.jpg")</f>
        <v>https://pbs.twimg.com/media/Fxx4OPAXoAAEgEq.jpg</v>
      </c>
      <c r="AW2083" s="82" t="s">
        <v>18851</v>
      </c>
      <c r="AX2083" s="82" t="s">
        <v>18851</v>
      </c>
      <c r="AY2083" s="77"/>
      <c r="AZ2083" s="82" t="s">
        <v>20971</v>
      </c>
      <c r="BA2083" s="82" t="s">
        <v>20971</v>
      </c>
      <c r="BB2083" s="82" t="s">
        <v>20971</v>
      </c>
      <c r="BC2083" s="82" t="s">
        <v>18851</v>
      </c>
      <c r="BD2083" s="82" t="s">
        <v>20944</v>
      </c>
      <c r="BE2083" s="77"/>
      <c r="BF2083" s="77"/>
      <c r="BG2083" s="77"/>
      <c r="BH2083" s="77"/>
      <c r="BI2083" s="77"/>
    </row>
    <row r="2084" spans="1:61" x14ac:dyDescent="0.25">
      <c r="A2084" s="62" t="s">
        <v>731</v>
      </c>
      <c r="B2084" s="62" t="s">
        <v>731</v>
      </c>
      <c r="C2084" s="63"/>
      <c r="D2084" s="64"/>
      <c r="E2084" s="65"/>
      <c r="F2084" s="66"/>
      <c r="G2084" s="63"/>
      <c r="H2084" s="67"/>
      <c r="I2084" s="68"/>
      <c r="J2084" s="68"/>
      <c r="K2084" s="32"/>
      <c r="L2084" s="75">
        <v>2084</v>
      </c>
      <c r="M2084" s="75"/>
      <c r="N2084" s="70"/>
      <c r="O2084" s="77" t="s">
        <v>179</v>
      </c>
      <c r="P2084" s="79">
        <v>45001.875949074078</v>
      </c>
      <c r="Q2084" s="77" t="s">
        <v>3294</v>
      </c>
      <c r="R2084" s="77">
        <v>0</v>
      </c>
      <c r="S2084" s="77">
        <v>0</v>
      </c>
      <c r="T2084" s="77">
        <v>0</v>
      </c>
      <c r="U2084" s="77">
        <v>0</v>
      </c>
      <c r="V2084" s="77">
        <v>95</v>
      </c>
      <c r="W2084" s="82" t="s">
        <v>6174</v>
      </c>
      <c r="X2084" s="77"/>
      <c r="Y2084" s="77"/>
      <c r="Z2084" s="77"/>
      <c r="AA2084" s="77" t="s">
        <v>8587</v>
      </c>
      <c r="AB2084" s="77" t="s">
        <v>10130</v>
      </c>
      <c r="AC2084" s="82" t="s">
        <v>10145</v>
      </c>
      <c r="AD2084" s="77" t="s">
        <v>10184</v>
      </c>
      <c r="AE2084" s="80" t="str">
        <f>HYPERLINK("https://twitter.com/milhasnews/status/1636472748510674945")</f>
        <v>https://twitter.com/milhasnews/status/1636472748510674945</v>
      </c>
      <c r="AF2084" s="79">
        <v>45001.875949074078</v>
      </c>
      <c r="AG2084" s="85">
        <v>45001</v>
      </c>
      <c r="AH2084" s="82" t="s">
        <v>10467</v>
      </c>
      <c r="AI2084" s="77" t="b">
        <v>0</v>
      </c>
      <c r="AJ2084" s="77"/>
      <c r="AK2084" s="77"/>
      <c r="AL2084" s="77"/>
      <c r="AM2084" s="77"/>
      <c r="AN2084" s="77"/>
      <c r="AO2084" s="77"/>
      <c r="AP2084" s="77"/>
      <c r="AQ2084" s="77" t="s">
        <v>15231</v>
      </c>
      <c r="AR2084" s="77"/>
      <c r="AS2084" s="77"/>
      <c r="AT2084" s="77"/>
      <c r="AU2084" s="77"/>
      <c r="AV2084" s="80" t="str">
        <f>HYPERLINK("https://pbs.twimg.com/media/FrXrSaJXsAAWmHR.jpg")</f>
        <v>https://pbs.twimg.com/media/FrXrSaJXsAAWmHR.jpg</v>
      </c>
      <c r="AW2084" s="82" t="s">
        <v>18852</v>
      </c>
      <c r="AX2084" s="82" t="s">
        <v>18852</v>
      </c>
      <c r="AY2084" s="77"/>
      <c r="AZ2084" s="82" t="s">
        <v>20971</v>
      </c>
      <c r="BA2084" s="82" t="s">
        <v>20971</v>
      </c>
      <c r="BB2084" s="82" t="s">
        <v>20971</v>
      </c>
      <c r="BC2084" s="82" t="s">
        <v>18852</v>
      </c>
      <c r="BD2084" s="82" t="s">
        <v>21389</v>
      </c>
      <c r="BE2084" s="77"/>
      <c r="BF2084" s="77"/>
      <c r="BG2084" s="77"/>
      <c r="BH2084" s="77"/>
      <c r="BI2084" s="77"/>
    </row>
    <row r="2085" spans="1:61" x14ac:dyDescent="0.25">
      <c r="A2085" s="62" t="s">
        <v>731</v>
      </c>
      <c r="B2085" s="62" t="s">
        <v>731</v>
      </c>
      <c r="C2085" s="63"/>
      <c r="D2085" s="64"/>
      <c r="E2085" s="65"/>
      <c r="F2085" s="66"/>
      <c r="G2085" s="63"/>
      <c r="H2085" s="67"/>
      <c r="I2085" s="68"/>
      <c r="J2085" s="68"/>
      <c r="K2085" s="32"/>
      <c r="L2085" s="75">
        <v>2085</v>
      </c>
      <c r="M2085" s="75"/>
      <c r="N2085" s="70"/>
      <c r="O2085" s="77" t="s">
        <v>179</v>
      </c>
      <c r="P2085" s="79">
        <v>45014.694861111115</v>
      </c>
      <c r="Q2085" s="77" t="s">
        <v>3295</v>
      </c>
      <c r="R2085" s="77">
        <v>1</v>
      </c>
      <c r="S2085" s="77">
        <v>0</v>
      </c>
      <c r="T2085" s="77">
        <v>0</v>
      </c>
      <c r="U2085" s="77">
        <v>0</v>
      </c>
      <c r="V2085" s="77">
        <v>280</v>
      </c>
      <c r="W2085" s="82" t="s">
        <v>6175</v>
      </c>
      <c r="X2085" s="77"/>
      <c r="Y2085" s="77"/>
      <c r="Z2085" s="77"/>
      <c r="AA2085" s="77" t="s">
        <v>8588</v>
      </c>
      <c r="AB2085" s="77" t="s">
        <v>10129</v>
      </c>
      <c r="AC2085" s="82" t="s">
        <v>10145</v>
      </c>
      <c r="AD2085" s="77" t="s">
        <v>10184</v>
      </c>
      <c r="AE2085" s="80" t="str">
        <f>HYPERLINK("https://twitter.com/milhasnews/status/1641118167836631041")</f>
        <v>https://twitter.com/milhasnews/status/1641118167836631041</v>
      </c>
      <c r="AF2085" s="79">
        <v>45014.694861111115</v>
      </c>
      <c r="AG2085" s="85">
        <v>45014</v>
      </c>
      <c r="AH2085" s="82" t="s">
        <v>12193</v>
      </c>
      <c r="AI2085" s="77" t="b">
        <v>0</v>
      </c>
      <c r="AJ2085" s="77"/>
      <c r="AK2085" s="77"/>
      <c r="AL2085" s="77"/>
      <c r="AM2085" s="77"/>
      <c r="AN2085" s="77"/>
      <c r="AO2085" s="77"/>
      <c r="AP2085" s="77"/>
      <c r="AQ2085" s="77" t="s">
        <v>15232</v>
      </c>
      <c r="AR2085" s="77">
        <v>48076</v>
      </c>
      <c r="AS2085" s="77"/>
      <c r="AT2085" s="77"/>
      <c r="AU2085" s="77"/>
      <c r="AV2085" s="80" t="str">
        <f>HYPERLINK("https://pbs.twimg.com/ext_tw_video_thumb/1641117982259658755/pu/img/vUHoHcYJpjSzbGBI.jpg")</f>
        <v>https://pbs.twimg.com/ext_tw_video_thumb/1641117982259658755/pu/img/vUHoHcYJpjSzbGBI.jpg</v>
      </c>
      <c r="AW2085" s="82" t="s">
        <v>18853</v>
      </c>
      <c r="AX2085" s="82" t="s">
        <v>18853</v>
      </c>
      <c r="AY2085" s="77"/>
      <c r="AZ2085" s="82" t="s">
        <v>20971</v>
      </c>
      <c r="BA2085" s="82" t="s">
        <v>20971</v>
      </c>
      <c r="BB2085" s="82" t="s">
        <v>20971</v>
      </c>
      <c r="BC2085" s="82" t="s">
        <v>18853</v>
      </c>
      <c r="BD2085" s="82" t="s">
        <v>21389</v>
      </c>
      <c r="BE2085" s="77"/>
      <c r="BF2085" s="77"/>
      <c r="BG2085" s="77"/>
      <c r="BH2085" s="77"/>
      <c r="BI2085" s="77"/>
    </row>
    <row r="2086" spans="1:61" x14ac:dyDescent="0.25">
      <c r="A2086" s="62" t="s">
        <v>731</v>
      </c>
      <c r="B2086" s="62" t="s">
        <v>731</v>
      </c>
      <c r="C2086" s="63"/>
      <c r="D2086" s="64"/>
      <c r="E2086" s="65"/>
      <c r="F2086" s="66"/>
      <c r="G2086" s="63"/>
      <c r="H2086" s="67"/>
      <c r="I2086" s="68"/>
      <c r="J2086" s="68"/>
      <c r="K2086" s="32"/>
      <c r="L2086" s="75">
        <v>2086</v>
      </c>
      <c r="M2086" s="75"/>
      <c r="N2086" s="70"/>
      <c r="O2086" s="77" t="s">
        <v>179</v>
      </c>
      <c r="P2086" s="79">
        <v>45014.69427083333</v>
      </c>
      <c r="Q2086" s="77" t="s">
        <v>3296</v>
      </c>
      <c r="R2086" s="77">
        <v>1</v>
      </c>
      <c r="S2086" s="77">
        <v>0</v>
      </c>
      <c r="T2086" s="77">
        <v>0</v>
      </c>
      <c r="U2086" s="77">
        <v>0</v>
      </c>
      <c r="V2086" s="77">
        <v>136</v>
      </c>
      <c r="W2086" s="82" t="s">
        <v>6175</v>
      </c>
      <c r="X2086" s="77"/>
      <c r="Y2086" s="77"/>
      <c r="Z2086" s="77"/>
      <c r="AA2086" s="77" t="s">
        <v>8589</v>
      </c>
      <c r="AB2086" s="77" t="s">
        <v>10129</v>
      </c>
      <c r="AC2086" s="82" t="s">
        <v>10145</v>
      </c>
      <c r="AD2086" s="77" t="s">
        <v>10184</v>
      </c>
      <c r="AE2086" s="80" t="str">
        <f>HYPERLINK("https://twitter.com/milhasnews/status/1641117953155383299")</f>
        <v>https://twitter.com/milhasnews/status/1641117953155383299</v>
      </c>
      <c r="AF2086" s="79">
        <v>45014.69427083333</v>
      </c>
      <c r="AG2086" s="85">
        <v>45014</v>
      </c>
      <c r="AH2086" s="82" t="s">
        <v>12194</v>
      </c>
      <c r="AI2086" s="77" t="b">
        <v>0</v>
      </c>
      <c r="AJ2086" s="77"/>
      <c r="AK2086" s="77"/>
      <c r="AL2086" s="77"/>
      <c r="AM2086" s="77"/>
      <c r="AN2086" s="77"/>
      <c r="AO2086" s="77"/>
      <c r="AP2086" s="77"/>
      <c r="AQ2086" s="77" t="s">
        <v>15233</v>
      </c>
      <c r="AR2086" s="77">
        <v>59066</v>
      </c>
      <c r="AS2086" s="77"/>
      <c r="AT2086" s="77"/>
      <c r="AU2086" s="77"/>
      <c r="AV2086" s="80" t="str">
        <f>HYPERLINK("https://pbs.twimg.com/ext_tw_video_thumb/1641117797915807746/pu/img/sC-d1PNQjizkk5lT.jpg")</f>
        <v>https://pbs.twimg.com/ext_tw_video_thumb/1641117797915807746/pu/img/sC-d1PNQjizkk5lT.jpg</v>
      </c>
      <c r="AW2086" s="82" t="s">
        <v>18854</v>
      </c>
      <c r="AX2086" s="82" t="s">
        <v>18854</v>
      </c>
      <c r="AY2086" s="77"/>
      <c r="AZ2086" s="82" t="s">
        <v>20971</v>
      </c>
      <c r="BA2086" s="82" t="s">
        <v>20971</v>
      </c>
      <c r="BB2086" s="82" t="s">
        <v>20971</v>
      </c>
      <c r="BC2086" s="82" t="s">
        <v>18854</v>
      </c>
      <c r="BD2086" s="82" t="s">
        <v>21389</v>
      </c>
      <c r="BE2086" s="77"/>
      <c r="BF2086" s="77"/>
      <c r="BG2086" s="77"/>
      <c r="BH2086" s="77"/>
      <c r="BI2086" s="77"/>
    </row>
    <row r="2087" spans="1:61" x14ac:dyDescent="0.25">
      <c r="A2087" s="62" t="s">
        <v>731</v>
      </c>
      <c r="B2087" s="62" t="s">
        <v>731</v>
      </c>
      <c r="C2087" s="63"/>
      <c r="D2087" s="64"/>
      <c r="E2087" s="65"/>
      <c r="F2087" s="66"/>
      <c r="G2087" s="63"/>
      <c r="H2087" s="67"/>
      <c r="I2087" s="68"/>
      <c r="J2087" s="68"/>
      <c r="K2087" s="32"/>
      <c r="L2087" s="75">
        <v>2087</v>
      </c>
      <c r="M2087" s="75"/>
      <c r="N2087" s="70"/>
      <c r="O2087" s="77" t="s">
        <v>179</v>
      </c>
      <c r="P2087" s="79">
        <v>44990.126388888886</v>
      </c>
      <c r="Q2087" s="77" t="s">
        <v>3297</v>
      </c>
      <c r="R2087" s="77">
        <v>0</v>
      </c>
      <c r="S2087" s="77">
        <v>0</v>
      </c>
      <c r="T2087" s="77">
        <v>0</v>
      </c>
      <c r="U2087" s="77">
        <v>0</v>
      </c>
      <c r="V2087" s="77">
        <v>102</v>
      </c>
      <c r="W2087" s="82" t="s">
        <v>6176</v>
      </c>
      <c r="X2087" s="77"/>
      <c r="Y2087" s="77"/>
      <c r="Z2087" s="77"/>
      <c r="AA2087" s="77" t="s">
        <v>8590</v>
      </c>
      <c r="AB2087" s="77" t="s">
        <v>10129</v>
      </c>
      <c r="AC2087" s="82" t="s">
        <v>10145</v>
      </c>
      <c r="AD2087" s="77" t="s">
        <v>10184</v>
      </c>
      <c r="AE2087" s="80" t="str">
        <f>HYPERLINK("https://twitter.com/milhasnews/status/1632214852046340096")</f>
        <v>https://twitter.com/milhasnews/status/1632214852046340096</v>
      </c>
      <c r="AF2087" s="79">
        <v>44990.126388888886</v>
      </c>
      <c r="AG2087" s="85">
        <v>44990</v>
      </c>
      <c r="AH2087" s="82" t="s">
        <v>12195</v>
      </c>
      <c r="AI2087" s="77" t="b">
        <v>0</v>
      </c>
      <c r="AJ2087" s="77"/>
      <c r="AK2087" s="77"/>
      <c r="AL2087" s="77"/>
      <c r="AM2087" s="77"/>
      <c r="AN2087" s="77"/>
      <c r="AO2087" s="77"/>
      <c r="AP2087" s="77"/>
      <c r="AQ2087" s="77" t="s">
        <v>15234</v>
      </c>
      <c r="AR2087" s="77">
        <v>45000</v>
      </c>
      <c r="AS2087" s="77"/>
      <c r="AT2087" s="77"/>
      <c r="AU2087" s="77"/>
      <c r="AV2087" s="80" t="str">
        <f>HYPERLINK("https://pbs.twimg.com/ext_tw_video_thumb/1632214761248096258/pu/img/3emK9CB_fmoP5QFE.jpg")</f>
        <v>https://pbs.twimg.com/ext_tw_video_thumb/1632214761248096258/pu/img/3emK9CB_fmoP5QFE.jpg</v>
      </c>
      <c r="AW2087" s="82" t="s">
        <v>18855</v>
      </c>
      <c r="AX2087" s="82" t="s">
        <v>18855</v>
      </c>
      <c r="AY2087" s="77"/>
      <c r="AZ2087" s="82" t="s">
        <v>20971</v>
      </c>
      <c r="BA2087" s="82" t="s">
        <v>20971</v>
      </c>
      <c r="BB2087" s="82" t="s">
        <v>20971</v>
      </c>
      <c r="BC2087" s="82" t="s">
        <v>18855</v>
      </c>
      <c r="BD2087" s="82" t="s">
        <v>21389</v>
      </c>
      <c r="BE2087" s="77"/>
      <c r="BF2087" s="77"/>
      <c r="BG2087" s="77"/>
      <c r="BH2087" s="77"/>
      <c r="BI2087" s="77"/>
    </row>
    <row r="2088" spans="1:61" x14ac:dyDescent="0.25">
      <c r="A2088" s="62" t="s">
        <v>731</v>
      </c>
      <c r="B2088" s="62" t="s">
        <v>731</v>
      </c>
      <c r="C2088" s="63"/>
      <c r="D2088" s="64"/>
      <c r="E2088" s="65"/>
      <c r="F2088" s="66"/>
      <c r="G2088" s="63"/>
      <c r="H2088" s="67"/>
      <c r="I2088" s="68"/>
      <c r="J2088" s="68"/>
      <c r="K2088" s="32"/>
      <c r="L2088" s="75">
        <v>2088</v>
      </c>
      <c r="M2088" s="75"/>
      <c r="N2088" s="70"/>
      <c r="O2088" s="77" t="s">
        <v>179</v>
      </c>
      <c r="P2088" s="79">
        <v>44987.98133101852</v>
      </c>
      <c r="Q2088" s="77" t="s">
        <v>3298</v>
      </c>
      <c r="R2088" s="77">
        <v>0</v>
      </c>
      <c r="S2088" s="77">
        <v>0</v>
      </c>
      <c r="T2088" s="77">
        <v>0</v>
      </c>
      <c r="U2088" s="77">
        <v>0</v>
      </c>
      <c r="V2088" s="77">
        <v>124</v>
      </c>
      <c r="W2088" s="82" t="s">
        <v>6177</v>
      </c>
      <c r="X2088" s="80" t="str">
        <f>HYPERLINK("https://www.smiles.com.br/bancos-bonus-ate-80-02-03")</f>
        <v>https://www.smiles.com.br/bancos-bonus-ate-80-02-03</v>
      </c>
      <c r="Y2088" s="77" t="s">
        <v>7252</v>
      </c>
      <c r="Z2088" s="77"/>
      <c r="AA2088" s="77" t="s">
        <v>8591</v>
      </c>
      <c r="AB2088" s="77" t="s">
        <v>10130</v>
      </c>
      <c r="AC2088" s="82" t="s">
        <v>10146</v>
      </c>
      <c r="AD2088" s="77" t="s">
        <v>10184</v>
      </c>
      <c r="AE2088" s="80" t="str">
        <f>HYPERLINK("https://twitter.com/milhasnews/status/1631437509308698626")</f>
        <v>https://twitter.com/milhasnews/status/1631437509308698626</v>
      </c>
      <c r="AF2088" s="79">
        <v>44987.98133101852</v>
      </c>
      <c r="AG2088" s="85">
        <v>44987</v>
      </c>
      <c r="AH2088" s="82" t="s">
        <v>12196</v>
      </c>
      <c r="AI2088" s="77" t="b">
        <v>0</v>
      </c>
      <c r="AJ2088" s="77"/>
      <c r="AK2088" s="77"/>
      <c r="AL2088" s="77"/>
      <c r="AM2088" s="77"/>
      <c r="AN2088" s="77"/>
      <c r="AO2088" s="77"/>
      <c r="AP2088" s="77"/>
      <c r="AQ2088" s="77" t="s">
        <v>15235</v>
      </c>
      <c r="AR2088" s="77"/>
      <c r="AS2088" s="77"/>
      <c r="AT2088" s="77"/>
      <c r="AU2088" s="77"/>
      <c r="AV2088" s="80" t="str">
        <f>HYPERLINK("https://pbs.twimg.com/media/FqQHerkWAAEHzVP.jpg")</f>
        <v>https://pbs.twimg.com/media/FqQHerkWAAEHzVP.jpg</v>
      </c>
      <c r="AW2088" s="82" t="s">
        <v>18856</v>
      </c>
      <c r="AX2088" s="82" t="s">
        <v>18856</v>
      </c>
      <c r="AY2088" s="77"/>
      <c r="AZ2088" s="82" t="s">
        <v>20971</v>
      </c>
      <c r="BA2088" s="82" t="s">
        <v>20971</v>
      </c>
      <c r="BB2088" s="82" t="s">
        <v>20971</v>
      </c>
      <c r="BC2088" s="82" t="s">
        <v>18856</v>
      </c>
      <c r="BD2088" s="82" t="s">
        <v>21389</v>
      </c>
      <c r="BE2088" s="77"/>
      <c r="BF2088" s="77"/>
      <c r="BG2088" s="77"/>
      <c r="BH2088" s="77"/>
      <c r="BI2088" s="77"/>
    </row>
    <row r="2089" spans="1:61" x14ac:dyDescent="0.25">
      <c r="A2089" s="62" t="s">
        <v>731</v>
      </c>
      <c r="B2089" s="62" t="s">
        <v>731</v>
      </c>
      <c r="C2089" s="63"/>
      <c r="D2089" s="64"/>
      <c r="E2089" s="65"/>
      <c r="F2089" s="66"/>
      <c r="G2089" s="63"/>
      <c r="H2089" s="67"/>
      <c r="I2089" s="68"/>
      <c r="J2089" s="68"/>
      <c r="K2089" s="32"/>
      <c r="L2089" s="75">
        <v>2089</v>
      </c>
      <c r="M2089" s="75"/>
      <c r="N2089" s="70"/>
      <c r="O2089" s="77" t="s">
        <v>179</v>
      </c>
      <c r="P2089" s="79">
        <v>45044.010983796295</v>
      </c>
      <c r="Q2089" s="77" t="s">
        <v>3299</v>
      </c>
      <c r="R2089" s="77">
        <v>0</v>
      </c>
      <c r="S2089" s="77">
        <v>0</v>
      </c>
      <c r="T2089" s="77">
        <v>0</v>
      </c>
      <c r="U2089" s="77">
        <v>0</v>
      </c>
      <c r="V2089" s="77">
        <v>66</v>
      </c>
      <c r="W2089" s="82" t="s">
        <v>6178</v>
      </c>
      <c r="X2089" s="77"/>
      <c r="Y2089" s="77"/>
      <c r="Z2089" s="77"/>
      <c r="AA2089" s="77" t="s">
        <v>8592</v>
      </c>
      <c r="AB2089" s="77" t="s">
        <v>10130</v>
      </c>
      <c r="AC2089" s="82" t="s">
        <v>10145</v>
      </c>
      <c r="AD2089" s="77" t="s">
        <v>10184</v>
      </c>
      <c r="AE2089" s="80" t="str">
        <f>HYPERLINK("https://twitter.com/milhasnews/status/1651741974469173253")</f>
        <v>https://twitter.com/milhasnews/status/1651741974469173253</v>
      </c>
      <c r="AF2089" s="79">
        <v>45044.010983796295</v>
      </c>
      <c r="AG2089" s="85">
        <v>45044</v>
      </c>
      <c r="AH2089" s="82" t="s">
        <v>12197</v>
      </c>
      <c r="AI2089" s="77" t="b">
        <v>0</v>
      </c>
      <c r="AJ2089" s="77"/>
      <c r="AK2089" s="77"/>
      <c r="AL2089" s="77"/>
      <c r="AM2089" s="77"/>
      <c r="AN2089" s="77"/>
      <c r="AO2089" s="77"/>
      <c r="AP2089" s="77"/>
      <c r="AQ2089" s="77" t="s">
        <v>15236</v>
      </c>
      <c r="AR2089" s="77"/>
      <c r="AS2089" s="77"/>
      <c r="AT2089" s="77"/>
      <c r="AU2089" s="77"/>
      <c r="AV2089" s="80" t="str">
        <f>HYPERLINK("https://pbs.twimg.com/media/FuwqkfuWYAEODZu.jpg")</f>
        <v>https://pbs.twimg.com/media/FuwqkfuWYAEODZu.jpg</v>
      </c>
      <c r="AW2089" s="82" t="s">
        <v>18857</v>
      </c>
      <c r="AX2089" s="82" t="s">
        <v>18857</v>
      </c>
      <c r="AY2089" s="77"/>
      <c r="AZ2089" s="82" t="s">
        <v>20971</v>
      </c>
      <c r="BA2089" s="82" t="s">
        <v>20971</v>
      </c>
      <c r="BB2089" s="82" t="s">
        <v>20971</v>
      </c>
      <c r="BC2089" s="82" t="s">
        <v>18857</v>
      </c>
      <c r="BD2089" s="82" t="s">
        <v>21389</v>
      </c>
      <c r="BE2089" s="77"/>
      <c r="BF2089" s="77"/>
      <c r="BG2089" s="77"/>
      <c r="BH2089" s="77"/>
      <c r="BI2089" s="77"/>
    </row>
    <row r="2090" spans="1:61" x14ac:dyDescent="0.25">
      <c r="A2090" s="62" t="s">
        <v>731</v>
      </c>
      <c r="B2090" s="62" t="s">
        <v>731</v>
      </c>
      <c r="C2090" s="63"/>
      <c r="D2090" s="64"/>
      <c r="E2090" s="65"/>
      <c r="F2090" s="66"/>
      <c r="G2090" s="63"/>
      <c r="H2090" s="67"/>
      <c r="I2090" s="68"/>
      <c r="J2090" s="68"/>
      <c r="K2090" s="32"/>
      <c r="L2090" s="75">
        <v>2090</v>
      </c>
      <c r="M2090" s="75"/>
      <c r="N2090" s="70"/>
      <c r="O2090" s="77" t="s">
        <v>179</v>
      </c>
      <c r="P2090" s="79">
        <v>44985.049212962964</v>
      </c>
      <c r="Q2090" s="77" t="s">
        <v>3300</v>
      </c>
      <c r="R2090" s="77">
        <v>0</v>
      </c>
      <c r="S2090" s="77">
        <v>0</v>
      </c>
      <c r="T2090" s="77">
        <v>0</v>
      </c>
      <c r="U2090" s="77">
        <v>0</v>
      </c>
      <c r="V2090" s="77">
        <v>153</v>
      </c>
      <c r="W2090" s="82" t="s">
        <v>6179</v>
      </c>
      <c r="X2090" s="77"/>
      <c r="Y2090" s="77"/>
      <c r="Z2090" s="77"/>
      <c r="AA2090" s="77" t="s">
        <v>8593</v>
      </c>
      <c r="AB2090" s="77" t="s">
        <v>10130</v>
      </c>
      <c r="AC2090" s="82" t="s">
        <v>10146</v>
      </c>
      <c r="AD2090" s="77" t="s">
        <v>10184</v>
      </c>
      <c r="AE2090" s="80" t="str">
        <f>HYPERLINK("https://twitter.com/milhasnews/status/1630374943157280768")</f>
        <v>https://twitter.com/milhasnews/status/1630374943157280768</v>
      </c>
      <c r="AF2090" s="79">
        <v>44985.049212962964</v>
      </c>
      <c r="AG2090" s="85">
        <v>44985</v>
      </c>
      <c r="AH2090" s="82" t="s">
        <v>12198</v>
      </c>
      <c r="AI2090" s="77" t="b">
        <v>0</v>
      </c>
      <c r="AJ2090" s="77"/>
      <c r="AK2090" s="77"/>
      <c r="AL2090" s="77"/>
      <c r="AM2090" s="77"/>
      <c r="AN2090" s="77"/>
      <c r="AO2090" s="77"/>
      <c r="AP2090" s="77"/>
      <c r="AQ2090" s="77" t="s">
        <v>15237</v>
      </c>
      <c r="AR2090" s="77"/>
      <c r="AS2090" s="77"/>
      <c r="AT2090" s="77"/>
      <c r="AU2090" s="77"/>
      <c r="AV2090" s="80" t="str">
        <f>HYPERLINK("https://pbs.twimg.com/media/FqA85eUWwAIcylU.jpg")</f>
        <v>https://pbs.twimg.com/media/FqA85eUWwAIcylU.jpg</v>
      </c>
      <c r="AW2090" s="82" t="s">
        <v>18858</v>
      </c>
      <c r="AX2090" s="82" t="s">
        <v>18858</v>
      </c>
      <c r="AY2090" s="77"/>
      <c r="AZ2090" s="82" t="s">
        <v>20971</v>
      </c>
      <c r="BA2090" s="82" t="s">
        <v>20971</v>
      </c>
      <c r="BB2090" s="82" t="s">
        <v>20971</v>
      </c>
      <c r="BC2090" s="82" t="s">
        <v>18858</v>
      </c>
      <c r="BD2090" s="82" t="s">
        <v>21389</v>
      </c>
      <c r="BE2090" s="77"/>
      <c r="BF2090" s="77"/>
      <c r="BG2090" s="77"/>
      <c r="BH2090" s="77"/>
      <c r="BI2090" s="77"/>
    </row>
    <row r="2091" spans="1:61" x14ac:dyDescent="0.25">
      <c r="A2091" s="62" t="s">
        <v>731</v>
      </c>
      <c r="B2091" s="62" t="s">
        <v>731</v>
      </c>
      <c r="C2091" s="63"/>
      <c r="D2091" s="64"/>
      <c r="E2091" s="65"/>
      <c r="F2091" s="66"/>
      <c r="G2091" s="63"/>
      <c r="H2091" s="67"/>
      <c r="I2091" s="68"/>
      <c r="J2091" s="68"/>
      <c r="K2091" s="32"/>
      <c r="L2091" s="75">
        <v>2091</v>
      </c>
      <c r="M2091" s="75"/>
      <c r="N2091" s="70"/>
      <c r="O2091" s="77" t="s">
        <v>179</v>
      </c>
      <c r="P2091" s="79">
        <v>45101.752013888887</v>
      </c>
      <c r="Q2091" s="77" t="s">
        <v>3301</v>
      </c>
      <c r="R2091" s="77">
        <v>0</v>
      </c>
      <c r="S2091" s="77">
        <v>1</v>
      </c>
      <c r="T2091" s="77">
        <v>0</v>
      </c>
      <c r="U2091" s="77">
        <v>0</v>
      </c>
      <c r="V2091" s="77">
        <v>90</v>
      </c>
      <c r="W2091" s="82" t="s">
        <v>6180</v>
      </c>
      <c r="X2091" s="77"/>
      <c r="Y2091" s="77"/>
      <c r="Z2091" s="77"/>
      <c r="AA2091" s="77" t="s">
        <v>8594</v>
      </c>
      <c r="AB2091" s="77" t="s">
        <v>10129</v>
      </c>
      <c r="AC2091" s="82" t="s">
        <v>10145</v>
      </c>
      <c r="AD2091" s="77" t="s">
        <v>10184</v>
      </c>
      <c r="AE2091" s="80" t="str">
        <f>HYPERLINK("https://twitter.com/milhasnews/status/1672666625135243265")</f>
        <v>https://twitter.com/milhasnews/status/1672666625135243265</v>
      </c>
      <c r="AF2091" s="79">
        <v>45101.752013888887</v>
      </c>
      <c r="AG2091" s="85">
        <v>45101</v>
      </c>
      <c r="AH2091" s="82" t="s">
        <v>12199</v>
      </c>
      <c r="AI2091" s="77" t="b">
        <v>0</v>
      </c>
      <c r="AJ2091" s="77"/>
      <c r="AK2091" s="77"/>
      <c r="AL2091" s="77"/>
      <c r="AM2091" s="77"/>
      <c r="AN2091" s="77"/>
      <c r="AO2091" s="77"/>
      <c r="AP2091" s="77"/>
      <c r="AQ2091" s="77" t="s">
        <v>15238</v>
      </c>
      <c r="AR2091" s="77">
        <v>89666</v>
      </c>
      <c r="AS2091" s="77"/>
      <c r="AT2091" s="77"/>
      <c r="AU2091" s="77"/>
      <c r="AV2091" s="80" t="str">
        <f>HYPERLINK("https://pbs.twimg.com/ext_tw_video_thumb/1672666490951159809/pu/img/mzDn_buMtfbbKDo7.jpg")</f>
        <v>https://pbs.twimg.com/ext_tw_video_thumb/1672666490951159809/pu/img/mzDn_buMtfbbKDo7.jpg</v>
      </c>
      <c r="AW2091" s="82" t="s">
        <v>18859</v>
      </c>
      <c r="AX2091" s="82" t="s">
        <v>18859</v>
      </c>
      <c r="AY2091" s="77"/>
      <c r="AZ2091" s="82" t="s">
        <v>20971</v>
      </c>
      <c r="BA2091" s="82" t="s">
        <v>20971</v>
      </c>
      <c r="BB2091" s="82" t="s">
        <v>20971</v>
      </c>
      <c r="BC2091" s="82" t="s">
        <v>18859</v>
      </c>
      <c r="BD2091" s="82" t="s">
        <v>21389</v>
      </c>
      <c r="BE2091" s="77"/>
      <c r="BF2091" s="77"/>
      <c r="BG2091" s="77"/>
      <c r="BH2091" s="77"/>
      <c r="BI2091" s="77"/>
    </row>
    <row r="2092" spans="1:61" x14ac:dyDescent="0.25">
      <c r="A2092" s="62" t="s">
        <v>731</v>
      </c>
      <c r="B2092" s="62" t="s">
        <v>731</v>
      </c>
      <c r="C2092" s="63"/>
      <c r="D2092" s="64"/>
      <c r="E2092" s="65"/>
      <c r="F2092" s="66"/>
      <c r="G2092" s="63"/>
      <c r="H2092" s="67"/>
      <c r="I2092" s="68"/>
      <c r="J2092" s="68"/>
      <c r="K2092" s="32"/>
      <c r="L2092" s="75">
        <v>2092</v>
      </c>
      <c r="M2092" s="75"/>
      <c r="N2092" s="70"/>
      <c r="O2092" s="77" t="s">
        <v>179</v>
      </c>
      <c r="P2092" s="79">
        <v>44977.675254629627</v>
      </c>
      <c r="Q2092" s="77" t="s">
        <v>3302</v>
      </c>
      <c r="R2092" s="77">
        <v>0</v>
      </c>
      <c r="S2092" s="77">
        <v>0</v>
      </c>
      <c r="T2092" s="77">
        <v>0</v>
      </c>
      <c r="U2092" s="77">
        <v>0</v>
      </c>
      <c r="V2092" s="77">
        <v>52</v>
      </c>
      <c r="W2092" s="82" t="s">
        <v>6181</v>
      </c>
      <c r="X2092" s="77"/>
      <c r="Y2092" s="77"/>
      <c r="Z2092" s="77"/>
      <c r="AA2092" s="77" t="s">
        <v>8595</v>
      </c>
      <c r="AB2092" s="77" t="s">
        <v>10130</v>
      </c>
      <c r="AC2092" s="82" t="s">
        <v>10145</v>
      </c>
      <c r="AD2092" s="77" t="s">
        <v>10184</v>
      </c>
      <c r="AE2092" s="80" t="str">
        <f>HYPERLINK("https://twitter.com/milhasnews/status/1627702711071260674")</f>
        <v>https://twitter.com/milhasnews/status/1627702711071260674</v>
      </c>
      <c r="AF2092" s="79">
        <v>44977.675254629627</v>
      </c>
      <c r="AG2092" s="85">
        <v>44977</v>
      </c>
      <c r="AH2092" s="82" t="s">
        <v>12200</v>
      </c>
      <c r="AI2092" s="77" t="b">
        <v>0</v>
      </c>
      <c r="AJ2092" s="77"/>
      <c r="AK2092" s="77"/>
      <c r="AL2092" s="77"/>
      <c r="AM2092" s="77"/>
      <c r="AN2092" s="77"/>
      <c r="AO2092" s="77"/>
      <c r="AP2092" s="77"/>
      <c r="AQ2092" s="77" t="s">
        <v>15239</v>
      </c>
      <c r="AR2092" s="77"/>
      <c r="AS2092" s="77"/>
      <c r="AT2092" s="77"/>
      <c r="AU2092" s="77"/>
      <c r="AV2092" s="80" t="str">
        <f>HYPERLINK("https://pbs.twimg.com/media/FpbC_NLXoAE6dBv.jpg")</f>
        <v>https://pbs.twimg.com/media/FpbC_NLXoAE6dBv.jpg</v>
      </c>
      <c r="AW2092" s="82" t="s">
        <v>18860</v>
      </c>
      <c r="AX2092" s="82" t="s">
        <v>18860</v>
      </c>
      <c r="AY2092" s="77"/>
      <c r="AZ2092" s="82" t="s">
        <v>20971</v>
      </c>
      <c r="BA2092" s="82" t="s">
        <v>20971</v>
      </c>
      <c r="BB2092" s="82" t="s">
        <v>20971</v>
      </c>
      <c r="BC2092" s="82" t="s">
        <v>18860</v>
      </c>
      <c r="BD2092" s="82" t="s">
        <v>21389</v>
      </c>
      <c r="BE2092" s="77"/>
      <c r="BF2092" s="77"/>
      <c r="BG2092" s="77"/>
      <c r="BH2092" s="77"/>
      <c r="BI2092" s="77"/>
    </row>
    <row r="2093" spans="1:61" x14ac:dyDescent="0.25">
      <c r="A2093" s="62" t="s">
        <v>731</v>
      </c>
      <c r="B2093" s="62" t="s">
        <v>731</v>
      </c>
      <c r="C2093" s="63"/>
      <c r="D2093" s="64"/>
      <c r="E2093" s="65"/>
      <c r="F2093" s="66"/>
      <c r="G2093" s="63"/>
      <c r="H2093" s="67"/>
      <c r="I2093" s="68"/>
      <c r="J2093" s="68"/>
      <c r="K2093" s="32"/>
      <c r="L2093" s="75">
        <v>2093</v>
      </c>
      <c r="M2093" s="75"/>
      <c r="N2093" s="70"/>
      <c r="O2093" s="77" t="s">
        <v>179</v>
      </c>
      <c r="P2093" s="79">
        <v>44976.904131944444</v>
      </c>
      <c r="Q2093" s="77" t="s">
        <v>3303</v>
      </c>
      <c r="R2093" s="77">
        <v>0</v>
      </c>
      <c r="S2093" s="77">
        <v>0</v>
      </c>
      <c r="T2093" s="77">
        <v>0</v>
      </c>
      <c r="U2093" s="77">
        <v>0</v>
      </c>
      <c r="V2093" s="77">
        <v>40</v>
      </c>
      <c r="W2093" s="82" t="s">
        <v>6182</v>
      </c>
      <c r="X2093" s="77"/>
      <c r="Y2093" s="77"/>
      <c r="Z2093" s="77"/>
      <c r="AA2093" s="77" t="s">
        <v>8596</v>
      </c>
      <c r="AB2093" s="77" t="s">
        <v>10129</v>
      </c>
      <c r="AC2093" s="82" t="s">
        <v>10145</v>
      </c>
      <c r="AD2093" s="77" t="s">
        <v>10183</v>
      </c>
      <c r="AE2093" s="80" t="str">
        <f>HYPERLINK("https://twitter.com/milhasnews/status/1627423266976432130")</f>
        <v>https://twitter.com/milhasnews/status/1627423266976432130</v>
      </c>
      <c r="AF2093" s="79">
        <v>44976.904131944444</v>
      </c>
      <c r="AG2093" s="85">
        <v>44976</v>
      </c>
      <c r="AH2093" s="82" t="s">
        <v>12201</v>
      </c>
      <c r="AI2093" s="77" t="b">
        <v>0</v>
      </c>
      <c r="AJ2093" s="77"/>
      <c r="AK2093" s="77"/>
      <c r="AL2093" s="77"/>
      <c r="AM2093" s="77"/>
      <c r="AN2093" s="77"/>
      <c r="AO2093" s="77"/>
      <c r="AP2093" s="77"/>
      <c r="AQ2093" s="77" t="s">
        <v>15240</v>
      </c>
      <c r="AR2093" s="77">
        <v>5000</v>
      </c>
      <c r="AS2093" s="77"/>
      <c r="AT2093" s="77"/>
      <c r="AU2093" s="77"/>
      <c r="AV2093" s="80" t="str">
        <f>HYPERLINK("https://pbs.twimg.com/ext_tw_video_thumb/1627423247301058560/pu/img/oqAK8oplIZ3mwd18.jpg")</f>
        <v>https://pbs.twimg.com/ext_tw_video_thumb/1627423247301058560/pu/img/oqAK8oplIZ3mwd18.jpg</v>
      </c>
      <c r="AW2093" s="82" t="s">
        <v>18861</v>
      </c>
      <c r="AX2093" s="82" t="s">
        <v>18861</v>
      </c>
      <c r="AY2093" s="77"/>
      <c r="AZ2093" s="82" t="s">
        <v>20971</v>
      </c>
      <c r="BA2093" s="82" t="s">
        <v>20971</v>
      </c>
      <c r="BB2093" s="82" t="s">
        <v>20971</v>
      </c>
      <c r="BC2093" s="82" t="s">
        <v>18861</v>
      </c>
      <c r="BD2093" s="82" t="s">
        <v>21389</v>
      </c>
      <c r="BE2093" s="77"/>
      <c r="BF2093" s="77"/>
      <c r="BG2093" s="77"/>
      <c r="BH2093" s="77"/>
      <c r="BI2093" s="77"/>
    </row>
    <row r="2094" spans="1:61" x14ac:dyDescent="0.25">
      <c r="A2094" s="62" t="s">
        <v>732</v>
      </c>
      <c r="B2094" s="62" t="s">
        <v>732</v>
      </c>
      <c r="C2094" s="63"/>
      <c r="D2094" s="64"/>
      <c r="E2094" s="65"/>
      <c r="F2094" s="66"/>
      <c r="G2094" s="63"/>
      <c r="H2094" s="67"/>
      <c r="I2094" s="68"/>
      <c r="J2094" s="68"/>
      <c r="K2094" s="32"/>
      <c r="L2094" s="75">
        <v>2094</v>
      </c>
      <c r="M2094" s="75"/>
      <c r="N2094" s="70"/>
      <c r="O2094" s="77" t="s">
        <v>179</v>
      </c>
      <c r="P2094" s="79">
        <v>45127.508020833331</v>
      </c>
      <c r="Q2094" s="77" t="s">
        <v>3304</v>
      </c>
      <c r="R2094" s="77">
        <v>0</v>
      </c>
      <c r="S2094" s="77">
        <v>1</v>
      </c>
      <c r="T2094" s="77">
        <v>0</v>
      </c>
      <c r="U2094" s="77">
        <v>0</v>
      </c>
      <c r="V2094" s="77">
        <v>363</v>
      </c>
      <c r="W2094" s="82" t="s">
        <v>6183</v>
      </c>
      <c r="X2094" s="77"/>
      <c r="Y2094" s="77"/>
      <c r="Z2094" s="77"/>
      <c r="AA2094" s="77" t="s">
        <v>8597</v>
      </c>
      <c r="AB2094" s="77" t="s">
        <v>10129</v>
      </c>
      <c r="AC2094" s="82" t="s">
        <v>10144</v>
      </c>
      <c r="AD2094" s="77" t="s">
        <v>10184</v>
      </c>
      <c r="AE2094" s="80" t="str">
        <f>HYPERLINK("https://twitter.com/raphael_tesla/status/1682000287941132289")</f>
        <v>https://twitter.com/raphael_tesla/status/1682000287941132289</v>
      </c>
      <c r="AF2094" s="79">
        <v>45127.508020833331</v>
      </c>
      <c r="AG2094" s="85">
        <v>45127</v>
      </c>
      <c r="AH2094" s="82" t="s">
        <v>12202</v>
      </c>
      <c r="AI2094" s="77" t="b">
        <v>0</v>
      </c>
      <c r="AJ2094" s="77" t="s">
        <v>13998</v>
      </c>
      <c r="AK2094" s="77" t="s">
        <v>14033</v>
      </c>
      <c r="AL2094" s="77" t="s">
        <v>14035</v>
      </c>
      <c r="AM2094" s="77" t="s">
        <v>14040</v>
      </c>
      <c r="AN2094" s="77" t="s">
        <v>14077</v>
      </c>
      <c r="AO2094" s="77" t="s">
        <v>14115</v>
      </c>
      <c r="AP2094" s="77" t="s">
        <v>14149</v>
      </c>
      <c r="AQ2094" s="77" t="s">
        <v>15241</v>
      </c>
      <c r="AR2094" s="77">
        <v>42073</v>
      </c>
      <c r="AS2094" s="77"/>
      <c r="AT2094" s="77"/>
      <c r="AU2094" s="77"/>
      <c r="AV2094" s="80" t="str">
        <f>HYPERLINK("https://pbs.twimg.com/ext_tw_video_thumb/1682000247818530817/pu/img/1V3uciMmvnQkXfLQ.jpg")</f>
        <v>https://pbs.twimg.com/ext_tw_video_thumb/1682000247818530817/pu/img/1V3uciMmvnQkXfLQ.jpg</v>
      </c>
      <c r="AW2094" s="82" t="s">
        <v>18862</v>
      </c>
      <c r="AX2094" s="82" t="s">
        <v>18862</v>
      </c>
      <c r="AY2094" s="77"/>
      <c r="AZ2094" s="82" t="s">
        <v>20971</v>
      </c>
      <c r="BA2094" s="82" t="s">
        <v>20971</v>
      </c>
      <c r="BB2094" s="82" t="s">
        <v>20971</v>
      </c>
      <c r="BC2094" s="82" t="s">
        <v>18862</v>
      </c>
      <c r="BD2094" s="82" t="s">
        <v>21390</v>
      </c>
      <c r="BE2094" s="77"/>
      <c r="BF2094" s="77"/>
      <c r="BG2094" s="77"/>
      <c r="BH2094" s="77"/>
      <c r="BI2094" s="77"/>
    </row>
    <row r="2095" spans="1:61" x14ac:dyDescent="0.25">
      <c r="A2095" s="62" t="s">
        <v>733</v>
      </c>
      <c r="B2095" s="62" t="s">
        <v>733</v>
      </c>
      <c r="C2095" s="63"/>
      <c r="D2095" s="64"/>
      <c r="E2095" s="65"/>
      <c r="F2095" s="66"/>
      <c r="G2095" s="63"/>
      <c r="H2095" s="67"/>
      <c r="I2095" s="68"/>
      <c r="J2095" s="68"/>
      <c r="K2095" s="32"/>
      <c r="L2095" s="75">
        <v>2095</v>
      </c>
      <c r="M2095" s="75"/>
      <c r="N2095" s="70"/>
      <c r="O2095" s="77" t="s">
        <v>179</v>
      </c>
      <c r="P2095" s="79">
        <v>45026.597199074073</v>
      </c>
      <c r="Q2095" s="77" t="s">
        <v>3305</v>
      </c>
      <c r="R2095" s="77">
        <v>0</v>
      </c>
      <c r="S2095" s="77">
        <v>0</v>
      </c>
      <c r="T2095" s="77">
        <v>0</v>
      </c>
      <c r="U2095" s="77">
        <v>0</v>
      </c>
      <c r="V2095" s="77">
        <v>8</v>
      </c>
      <c r="W2095" s="82" t="s">
        <v>6184</v>
      </c>
      <c r="X2095" s="80" t="str">
        <f>HYPERLINK("https://blog.realmidiacenter.com/")</f>
        <v>https://blog.realmidiacenter.com/</v>
      </c>
      <c r="Y2095" s="77" t="s">
        <v>7389</v>
      </c>
      <c r="Z2095" s="77"/>
      <c r="AA2095" s="77"/>
      <c r="AB2095" s="77"/>
      <c r="AC2095" s="82" t="s">
        <v>10146</v>
      </c>
      <c r="AD2095" s="77" t="s">
        <v>10184</v>
      </c>
      <c r="AE2095" s="80" t="str">
        <f>HYPERLINK("https://twitter.com/realmidiacenter/status/1645431430590222342")</f>
        <v>https://twitter.com/realmidiacenter/status/1645431430590222342</v>
      </c>
      <c r="AF2095" s="79">
        <v>45026.597199074073</v>
      </c>
      <c r="AG2095" s="85">
        <v>45026</v>
      </c>
      <c r="AH2095" s="82" t="s">
        <v>12203</v>
      </c>
      <c r="AI2095" s="77" t="b">
        <v>0</v>
      </c>
      <c r="AJ2095" s="77"/>
      <c r="AK2095" s="77"/>
      <c r="AL2095" s="77"/>
      <c r="AM2095" s="77"/>
      <c r="AN2095" s="77"/>
      <c r="AO2095" s="77"/>
      <c r="AP2095" s="77"/>
      <c r="AQ2095" s="77"/>
      <c r="AR2095" s="77"/>
      <c r="AS2095" s="77"/>
      <c r="AT2095" s="77"/>
      <c r="AU2095" s="77"/>
      <c r="AV2095" s="80" t="str">
        <f>HYPERLINK("https://pbs.twimg.com/profile_images/1638264717645955080/nt1kSw-N_normal.jpg")</f>
        <v>https://pbs.twimg.com/profile_images/1638264717645955080/nt1kSw-N_normal.jpg</v>
      </c>
      <c r="AW2095" s="82" t="s">
        <v>18863</v>
      </c>
      <c r="AX2095" s="82" t="s">
        <v>18863</v>
      </c>
      <c r="AY2095" s="77"/>
      <c r="AZ2095" s="82" t="s">
        <v>20971</v>
      </c>
      <c r="BA2095" s="82" t="s">
        <v>20971</v>
      </c>
      <c r="BB2095" s="82" t="s">
        <v>20971</v>
      </c>
      <c r="BC2095" s="82" t="s">
        <v>18863</v>
      </c>
      <c r="BD2095" s="82" t="s">
        <v>21391</v>
      </c>
      <c r="BE2095" s="77"/>
      <c r="BF2095" s="77"/>
      <c r="BG2095" s="77"/>
      <c r="BH2095" s="77"/>
      <c r="BI2095" s="77"/>
    </row>
    <row r="2096" spans="1:61" x14ac:dyDescent="0.25">
      <c r="A2096" s="62" t="s">
        <v>733</v>
      </c>
      <c r="B2096" s="62" t="s">
        <v>733</v>
      </c>
      <c r="C2096" s="63"/>
      <c r="D2096" s="64"/>
      <c r="E2096" s="65"/>
      <c r="F2096" s="66"/>
      <c r="G2096" s="63"/>
      <c r="H2096" s="67"/>
      <c r="I2096" s="68"/>
      <c r="J2096" s="68"/>
      <c r="K2096" s="32"/>
      <c r="L2096" s="75">
        <v>2096</v>
      </c>
      <c r="M2096" s="75"/>
      <c r="N2096" s="70"/>
      <c r="O2096" s="77" t="s">
        <v>179</v>
      </c>
      <c r="P2096" s="79">
        <v>45016.650520833333</v>
      </c>
      <c r="Q2096" s="77" t="s">
        <v>3306</v>
      </c>
      <c r="R2096" s="77">
        <v>0</v>
      </c>
      <c r="S2096" s="77">
        <v>0</v>
      </c>
      <c r="T2096" s="77">
        <v>0</v>
      </c>
      <c r="U2096" s="77">
        <v>0</v>
      </c>
      <c r="V2096" s="77">
        <v>23</v>
      </c>
      <c r="W2096" s="82" t="s">
        <v>6185</v>
      </c>
      <c r="X2096" s="80" t="str">
        <f>HYPERLINK("https://bit.ly/Artigo_Web_Designer")</f>
        <v>https://bit.ly/Artigo_Web_Designer</v>
      </c>
      <c r="Y2096" s="77" t="s">
        <v>7268</v>
      </c>
      <c r="Z2096" s="77"/>
      <c r="AA2096" s="77"/>
      <c r="AB2096" s="77"/>
      <c r="AC2096" s="82" t="s">
        <v>10146</v>
      </c>
      <c r="AD2096" s="77" t="s">
        <v>10184</v>
      </c>
      <c r="AE2096" s="80" t="str">
        <f>HYPERLINK("https://twitter.com/realmidiacenter/status/1641826877261094912")</f>
        <v>https://twitter.com/realmidiacenter/status/1641826877261094912</v>
      </c>
      <c r="AF2096" s="79">
        <v>45016.650520833333</v>
      </c>
      <c r="AG2096" s="85">
        <v>45016</v>
      </c>
      <c r="AH2096" s="82" t="s">
        <v>12204</v>
      </c>
      <c r="AI2096" s="77" t="b">
        <v>0</v>
      </c>
      <c r="AJ2096" s="77"/>
      <c r="AK2096" s="77"/>
      <c r="AL2096" s="77"/>
      <c r="AM2096" s="77"/>
      <c r="AN2096" s="77"/>
      <c r="AO2096" s="77"/>
      <c r="AP2096" s="77"/>
      <c r="AQ2096" s="77"/>
      <c r="AR2096" s="77"/>
      <c r="AS2096" s="77"/>
      <c r="AT2096" s="77"/>
      <c r="AU2096" s="77"/>
      <c r="AV2096" s="80" t="str">
        <f>HYPERLINK("https://pbs.twimg.com/profile_images/1638264717645955080/nt1kSw-N_normal.jpg")</f>
        <v>https://pbs.twimg.com/profile_images/1638264717645955080/nt1kSw-N_normal.jpg</v>
      </c>
      <c r="AW2096" s="82" t="s">
        <v>18864</v>
      </c>
      <c r="AX2096" s="82" t="s">
        <v>18864</v>
      </c>
      <c r="AY2096" s="77"/>
      <c r="AZ2096" s="82" t="s">
        <v>20971</v>
      </c>
      <c r="BA2096" s="82" t="s">
        <v>20971</v>
      </c>
      <c r="BB2096" s="82" t="s">
        <v>20971</v>
      </c>
      <c r="BC2096" s="82" t="s">
        <v>18864</v>
      </c>
      <c r="BD2096" s="82" t="s">
        <v>21391</v>
      </c>
      <c r="BE2096" s="77"/>
      <c r="BF2096" s="77"/>
      <c r="BG2096" s="77"/>
      <c r="BH2096" s="77"/>
      <c r="BI2096" s="77"/>
    </row>
    <row r="2097" spans="1:61" x14ac:dyDescent="0.25">
      <c r="A2097" s="62" t="s">
        <v>734</v>
      </c>
      <c r="B2097" s="62" t="s">
        <v>734</v>
      </c>
      <c r="C2097" s="63"/>
      <c r="D2097" s="64"/>
      <c r="E2097" s="65"/>
      <c r="F2097" s="66"/>
      <c r="G2097" s="63"/>
      <c r="H2097" s="67"/>
      <c r="I2097" s="68"/>
      <c r="J2097" s="68"/>
      <c r="K2097" s="32"/>
      <c r="L2097" s="75">
        <v>2097</v>
      </c>
      <c r="M2097" s="75"/>
      <c r="N2097" s="70"/>
      <c r="O2097" s="77" t="s">
        <v>179</v>
      </c>
      <c r="P2097" s="79">
        <v>44960.94090277778</v>
      </c>
      <c r="Q2097" s="77" t="s">
        <v>3307</v>
      </c>
      <c r="R2097" s="77">
        <v>0</v>
      </c>
      <c r="S2097" s="77">
        <v>0</v>
      </c>
      <c r="T2097" s="77">
        <v>0</v>
      </c>
      <c r="U2097" s="77">
        <v>0</v>
      </c>
      <c r="V2097" s="77">
        <v>80</v>
      </c>
      <c r="W2097" s="82" t="s">
        <v>6186</v>
      </c>
      <c r="X2097" s="77"/>
      <c r="Y2097" s="77"/>
      <c r="Z2097" s="77"/>
      <c r="AA2097" s="77" t="s">
        <v>8598</v>
      </c>
      <c r="AB2097" s="77" t="s">
        <v>10130</v>
      </c>
      <c r="AC2097" s="82" t="s">
        <v>10144</v>
      </c>
      <c r="AD2097" s="77" t="s">
        <v>10184</v>
      </c>
      <c r="AE2097" s="80" t="str">
        <f>HYPERLINK("https://twitter.com/gcmreis/status/1621638385013035009")</f>
        <v>https://twitter.com/gcmreis/status/1621638385013035009</v>
      </c>
      <c r="AF2097" s="79">
        <v>44960.94090277778</v>
      </c>
      <c r="AG2097" s="85">
        <v>44960</v>
      </c>
      <c r="AH2097" s="82" t="s">
        <v>12205</v>
      </c>
      <c r="AI2097" s="77" t="b">
        <v>0</v>
      </c>
      <c r="AJ2097" s="77"/>
      <c r="AK2097" s="77"/>
      <c r="AL2097" s="77"/>
      <c r="AM2097" s="77"/>
      <c r="AN2097" s="77"/>
      <c r="AO2097" s="77"/>
      <c r="AP2097" s="77"/>
      <c r="AQ2097" s="77" t="s">
        <v>15242</v>
      </c>
      <c r="AR2097" s="77"/>
      <c r="AS2097" s="77"/>
      <c r="AT2097" s="77"/>
      <c r="AU2097" s="77"/>
      <c r="AV2097" s="80" t="str">
        <f>HYPERLINK("https://pbs.twimg.com/media/FoE3hEhWQAERvVK.jpg")</f>
        <v>https://pbs.twimg.com/media/FoE3hEhWQAERvVK.jpg</v>
      </c>
      <c r="AW2097" s="82" t="s">
        <v>18865</v>
      </c>
      <c r="AX2097" s="82" t="s">
        <v>18865</v>
      </c>
      <c r="AY2097" s="77"/>
      <c r="AZ2097" s="82" t="s">
        <v>20971</v>
      </c>
      <c r="BA2097" s="82" t="s">
        <v>20971</v>
      </c>
      <c r="BB2097" s="82" t="s">
        <v>20971</v>
      </c>
      <c r="BC2097" s="82" t="s">
        <v>18865</v>
      </c>
      <c r="BD2097" s="77">
        <v>178353470</v>
      </c>
      <c r="BE2097" s="77"/>
      <c r="BF2097" s="77"/>
      <c r="BG2097" s="77"/>
      <c r="BH2097" s="77"/>
      <c r="BI2097" s="77"/>
    </row>
    <row r="2098" spans="1:61" x14ac:dyDescent="0.25">
      <c r="A2098" s="62" t="s">
        <v>735</v>
      </c>
      <c r="B2098" s="62" t="s">
        <v>1243</v>
      </c>
      <c r="C2098" s="63"/>
      <c r="D2098" s="64"/>
      <c r="E2098" s="65"/>
      <c r="F2098" s="66"/>
      <c r="G2098" s="63"/>
      <c r="H2098" s="67"/>
      <c r="I2098" s="68"/>
      <c r="J2098" s="68"/>
      <c r="K2098" s="32"/>
      <c r="L2098" s="75">
        <v>2098</v>
      </c>
      <c r="M2098" s="75"/>
      <c r="N2098" s="70"/>
      <c r="O2098" s="77" t="s">
        <v>1284</v>
      </c>
      <c r="P2098" s="79">
        <v>45171.70789351852</v>
      </c>
      <c r="Q2098" s="77" t="s">
        <v>3308</v>
      </c>
      <c r="R2098" s="77">
        <v>0</v>
      </c>
      <c r="S2098" s="77">
        <v>0</v>
      </c>
      <c r="T2098" s="77">
        <v>1</v>
      </c>
      <c r="U2098" s="77">
        <v>0</v>
      </c>
      <c r="V2098" s="77">
        <v>326</v>
      </c>
      <c r="W2098" s="82" t="s">
        <v>6187</v>
      </c>
      <c r="X2098" s="77"/>
      <c r="Y2098" s="77"/>
      <c r="Z2098" s="77" t="s">
        <v>1243</v>
      </c>
      <c r="AA2098" s="77"/>
      <c r="AB2098" s="77"/>
      <c r="AC2098" s="82" t="s">
        <v>10146</v>
      </c>
      <c r="AD2098" s="77" t="s">
        <v>10183</v>
      </c>
      <c r="AE2098" s="80" t="str">
        <f>HYPERLINK("https://twitter.com/willian_evangel/status/1698017785429799215")</f>
        <v>https://twitter.com/willian_evangel/status/1698017785429799215</v>
      </c>
      <c r="AF2098" s="79">
        <v>45171.70789351852</v>
      </c>
      <c r="AG2098" s="85">
        <v>45171</v>
      </c>
      <c r="AH2098" s="82" t="s">
        <v>12206</v>
      </c>
      <c r="AI2098" s="77"/>
      <c r="AJ2098" s="77"/>
      <c r="AK2098" s="77"/>
      <c r="AL2098" s="77"/>
      <c r="AM2098" s="77"/>
      <c r="AN2098" s="77"/>
      <c r="AO2098" s="77"/>
      <c r="AP2098" s="77"/>
      <c r="AQ2098" s="77"/>
      <c r="AR2098" s="77"/>
      <c r="AS2098" s="77"/>
      <c r="AT2098" s="77"/>
      <c r="AU2098" s="77"/>
      <c r="AV2098" s="80" t="str">
        <f>HYPERLINK("https://pbs.twimg.com/profile_images/1540722991587176451/BVwerEbb_normal.jpg")</f>
        <v>https://pbs.twimg.com/profile_images/1540722991587176451/BVwerEbb_normal.jpg</v>
      </c>
      <c r="AW2098" s="82" t="s">
        <v>18866</v>
      </c>
      <c r="AX2098" s="82" t="s">
        <v>20796</v>
      </c>
      <c r="AY2098" s="82" t="s">
        <v>20906</v>
      </c>
      <c r="AZ2098" s="82" t="s">
        <v>20796</v>
      </c>
      <c r="BA2098" s="82" t="s">
        <v>20971</v>
      </c>
      <c r="BB2098" s="82" t="s">
        <v>20971</v>
      </c>
      <c r="BC2098" s="82" t="s">
        <v>20796</v>
      </c>
      <c r="BD2098" s="77">
        <v>711067830</v>
      </c>
      <c r="BE2098" s="77"/>
      <c r="BF2098" s="77"/>
      <c r="BG2098" s="77"/>
      <c r="BH2098" s="77"/>
      <c r="BI2098" s="77"/>
    </row>
    <row r="2099" spans="1:61" x14ac:dyDescent="0.25">
      <c r="A2099" s="62" t="s">
        <v>736</v>
      </c>
      <c r="B2099" s="62" t="s">
        <v>736</v>
      </c>
      <c r="C2099" s="63"/>
      <c r="D2099" s="64"/>
      <c r="E2099" s="65"/>
      <c r="F2099" s="66"/>
      <c r="G2099" s="63"/>
      <c r="H2099" s="67"/>
      <c r="I2099" s="68"/>
      <c r="J2099" s="68"/>
      <c r="K2099" s="32"/>
      <c r="L2099" s="75">
        <v>2099</v>
      </c>
      <c r="M2099" s="75"/>
      <c r="N2099" s="70"/>
      <c r="O2099" s="77" t="s">
        <v>179</v>
      </c>
      <c r="P2099" s="79">
        <v>45013.682476851849</v>
      </c>
      <c r="Q2099" s="77" t="s">
        <v>3309</v>
      </c>
      <c r="R2099" s="77">
        <v>0</v>
      </c>
      <c r="S2099" s="77">
        <v>1</v>
      </c>
      <c r="T2099" s="77">
        <v>0</v>
      </c>
      <c r="U2099" s="77">
        <v>0</v>
      </c>
      <c r="V2099" s="77">
        <v>127</v>
      </c>
      <c r="W2099" s="82" t="s">
        <v>6188</v>
      </c>
      <c r="X2099" s="80" t="str">
        <f>HYPERLINK("https://mkt.egoi.page/8ege6fsf/ebook")</f>
        <v>https://mkt.egoi.page/8ege6fsf/ebook</v>
      </c>
      <c r="Y2099" s="77" t="s">
        <v>7390</v>
      </c>
      <c r="Z2099" s="77"/>
      <c r="AA2099" s="77" t="s">
        <v>8599</v>
      </c>
      <c r="AB2099" s="77" t="s">
        <v>10130</v>
      </c>
      <c r="AC2099" s="82" t="s">
        <v>10146</v>
      </c>
      <c r="AD2099" s="77" t="s">
        <v>10184</v>
      </c>
      <c r="AE2099" s="80" t="str">
        <f>HYPERLINK("https://twitter.com/misticozen/status/1640751290891350016")</f>
        <v>https://twitter.com/misticozen/status/1640751290891350016</v>
      </c>
      <c r="AF2099" s="79">
        <v>45013.682476851849</v>
      </c>
      <c r="AG2099" s="85">
        <v>45013</v>
      </c>
      <c r="AH2099" s="82" t="s">
        <v>12207</v>
      </c>
      <c r="AI2099" s="77" t="b">
        <v>0</v>
      </c>
      <c r="AJ2099" s="77"/>
      <c r="AK2099" s="77"/>
      <c r="AL2099" s="77"/>
      <c r="AM2099" s="77"/>
      <c r="AN2099" s="77"/>
      <c r="AO2099" s="77"/>
      <c r="AP2099" s="77"/>
      <c r="AQ2099" s="77" t="s">
        <v>15243</v>
      </c>
      <c r="AR2099" s="77"/>
      <c r="AS2099" s="77"/>
      <c r="AT2099" s="77"/>
      <c r="AU2099" s="77"/>
      <c r="AV2099" s="80" t="str">
        <f>HYPERLINK("https://pbs.twimg.com/media/FsUeJ4dXsAMrwxL.png")</f>
        <v>https://pbs.twimg.com/media/FsUeJ4dXsAMrwxL.png</v>
      </c>
      <c r="AW2099" s="82" t="s">
        <v>18867</v>
      </c>
      <c r="AX2099" s="82" t="s">
        <v>18867</v>
      </c>
      <c r="AY2099" s="77"/>
      <c r="AZ2099" s="82" t="s">
        <v>20971</v>
      </c>
      <c r="BA2099" s="82" t="s">
        <v>20971</v>
      </c>
      <c r="BB2099" s="82" t="s">
        <v>20971</v>
      </c>
      <c r="BC2099" s="82" t="s">
        <v>18867</v>
      </c>
      <c r="BD2099" s="82" t="s">
        <v>21392</v>
      </c>
      <c r="BE2099" s="77"/>
      <c r="BF2099" s="77"/>
      <c r="BG2099" s="77"/>
      <c r="BH2099" s="77"/>
      <c r="BI2099" s="77"/>
    </row>
    <row r="2100" spans="1:61" x14ac:dyDescent="0.25">
      <c r="A2100" s="62" t="s">
        <v>737</v>
      </c>
      <c r="B2100" s="62" t="s">
        <v>737</v>
      </c>
      <c r="C2100" s="63"/>
      <c r="D2100" s="64"/>
      <c r="E2100" s="65"/>
      <c r="F2100" s="66"/>
      <c r="G2100" s="63"/>
      <c r="H2100" s="67"/>
      <c r="I2100" s="68"/>
      <c r="J2100" s="68"/>
      <c r="K2100" s="32"/>
      <c r="L2100" s="75">
        <v>2100</v>
      </c>
      <c r="M2100" s="75"/>
      <c r="N2100" s="70"/>
      <c r="O2100" s="77" t="s">
        <v>179</v>
      </c>
      <c r="P2100" s="79">
        <v>45196.900208333333</v>
      </c>
      <c r="Q2100" s="77" t="s">
        <v>3310</v>
      </c>
      <c r="R2100" s="77">
        <v>0</v>
      </c>
      <c r="S2100" s="77">
        <v>0</v>
      </c>
      <c r="T2100" s="77">
        <v>0</v>
      </c>
      <c r="U2100" s="77">
        <v>0</v>
      </c>
      <c r="V2100" s="77">
        <v>165</v>
      </c>
      <c r="W2100" s="82" t="s">
        <v>6189</v>
      </c>
      <c r="X2100" s="77"/>
      <c r="Y2100" s="77"/>
      <c r="Z2100" s="77"/>
      <c r="AA2100" s="77" t="s">
        <v>8600</v>
      </c>
      <c r="AB2100" s="77" t="s">
        <v>10129</v>
      </c>
      <c r="AC2100" s="82" t="s">
        <v>10144</v>
      </c>
      <c r="AD2100" s="77" t="s">
        <v>10183</v>
      </c>
      <c r="AE2100" s="80" t="str">
        <f>HYPERLINK("https://twitter.com/inkproducoes/status/1707147174604079138")</f>
        <v>https://twitter.com/inkproducoes/status/1707147174604079138</v>
      </c>
      <c r="AF2100" s="79">
        <v>45196.900208333333</v>
      </c>
      <c r="AG2100" s="85">
        <v>45196</v>
      </c>
      <c r="AH2100" s="82" t="s">
        <v>12208</v>
      </c>
      <c r="AI2100" s="77" t="b">
        <v>1</v>
      </c>
      <c r="AJ2100" s="77"/>
      <c r="AK2100" s="77"/>
      <c r="AL2100" s="77"/>
      <c r="AM2100" s="77"/>
      <c r="AN2100" s="77"/>
      <c r="AO2100" s="77"/>
      <c r="AP2100" s="77"/>
      <c r="AQ2100" s="77" t="s">
        <v>15244</v>
      </c>
      <c r="AR2100" s="77">
        <v>11284</v>
      </c>
      <c r="AS2100" s="77"/>
      <c r="AT2100" s="77"/>
      <c r="AU2100" s="77"/>
      <c r="AV2100" s="80" t="str">
        <f>HYPERLINK("https://pbs.twimg.com/ext_tw_video_thumb/1707147121357422592/pu/img/d2DGgKJqO9eQkJmC.jpg")</f>
        <v>https://pbs.twimg.com/ext_tw_video_thumb/1707147121357422592/pu/img/d2DGgKJqO9eQkJmC.jpg</v>
      </c>
      <c r="AW2100" s="82" t="s">
        <v>18868</v>
      </c>
      <c r="AX2100" s="82" t="s">
        <v>18868</v>
      </c>
      <c r="AY2100" s="77"/>
      <c r="AZ2100" s="82" t="s">
        <v>20971</v>
      </c>
      <c r="BA2100" s="82" t="s">
        <v>20971</v>
      </c>
      <c r="BB2100" s="82" t="s">
        <v>20971</v>
      </c>
      <c r="BC2100" s="82" t="s">
        <v>18868</v>
      </c>
      <c r="BD2100" s="82" t="s">
        <v>21393</v>
      </c>
      <c r="BE2100" s="77"/>
      <c r="BF2100" s="77"/>
      <c r="BG2100" s="77"/>
      <c r="BH2100" s="77"/>
      <c r="BI2100" s="77"/>
    </row>
    <row r="2101" spans="1:61" x14ac:dyDescent="0.25">
      <c r="A2101" s="62" t="s">
        <v>738</v>
      </c>
      <c r="B2101" s="62" t="s">
        <v>738</v>
      </c>
      <c r="C2101" s="63"/>
      <c r="D2101" s="64"/>
      <c r="E2101" s="65"/>
      <c r="F2101" s="66"/>
      <c r="G2101" s="63"/>
      <c r="H2101" s="67"/>
      <c r="I2101" s="68"/>
      <c r="J2101" s="68"/>
      <c r="K2101" s="32"/>
      <c r="L2101" s="75">
        <v>2101</v>
      </c>
      <c r="M2101" s="75"/>
      <c r="N2101" s="70"/>
      <c r="O2101" s="77" t="s">
        <v>179</v>
      </c>
      <c r="P2101" s="79">
        <v>45133.539988425924</v>
      </c>
      <c r="Q2101" s="77" t="s">
        <v>3311</v>
      </c>
      <c r="R2101" s="77">
        <v>0</v>
      </c>
      <c r="S2101" s="77">
        <v>1</v>
      </c>
      <c r="T2101" s="77">
        <v>2</v>
      </c>
      <c r="U2101" s="77">
        <v>0</v>
      </c>
      <c r="V2101" s="77">
        <v>27</v>
      </c>
      <c r="W2101" s="82" t="s">
        <v>6190</v>
      </c>
      <c r="X2101" s="80" t="str">
        <f>HYPERLINK("https://btclucrox.com.br/aprenda-agora-mesmo-como-ganhar-dinheiro-no-mercado-futuro-da-binance/")</f>
        <v>https://btclucrox.com.br/aprenda-agora-mesmo-como-ganhar-dinheiro-no-mercado-futuro-da-binance/</v>
      </c>
      <c r="Y2101" s="77" t="s">
        <v>7252</v>
      </c>
      <c r="Z2101" s="77"/>
      <c r="AA2101" s="77"/>
      <c r="AB2101" s="77"/>
      <c r="AC2101" s="82" t="s">
        <v>10146</v>
      </c>
      <c r="AD2101" s="77" t="s">
        <v>10184</v>
      </c>
      <c r="AE2101" s="80" t="str">
        <f>HYPERLINK("https://twitter.com/btclucrox/status/1684186199747952642")</f>
        <v>https://twitter.com/btclucrox/status/1684186199747952642</v>
      </c>
      <c r="AF2101" s="79">
        <v>45133.539988425924</v>
      </c>
      <c r="AG2101" s="85">
        <v>45133</v>
      </c>
      <c r="AH2101" s="82" t="s">
        <v>12209</v>
      </c>
      <c r="AI2101" s="77" t="b">
        <v>0</v>
      </c>
      <c r="AJ2101" s="77"/>
      <c r="AK2101" s="77"/>
      <c r="AL2101" s="77"/>
      <c r="AM2101" s="77"/>
      <c r="AN2101" s="77"/>
      <c r="AO2101" s="77"/>
      <c r="AP2101" s="77"/>
      <c r="AQ2101" s="77"/>
      <c r="AR2101" s="77"/>
      <c r="AS2101" s="77"/>
      <c r="AT2101" s="77"/>
      <c r="AU2101" s="77"/>
      <c r="AV2101" s="80" t="str">
        <f>HYPERLINK("https://pbs.twimg.com/profile_images/1589744847237300230/YZyLfl5t_normal.jpg")</f>
        <v>https://pbs.twimg.com/profile_images/1589744847237300230/YZyLfl5t_normal.jpg</v>
      </c>
      <c r="AW2101" s="82" t="s">
        <v>18869</v>
      </c>
      <c r="AX2101" s="82" t="s">
        <v>18869</v>
      </c>
      <c r="AY2101" s="77"/>
      <c r="AZ2101" s="82" t="s">
        <v>20971</v>
      </c>
      <c r="BA2101" s="82" t="s">
        <v>20971</v>
      </c>
      <c r="BB2101" s="82" t="s">
        <v>20971</v>
      </c>
      <c r="BC2101" s="82" t="s">
        <v>18869</v>
      </c>
      <c r="BD2101" s="82" t="s">
        <v>21394</v>
      </c>
      <c r="BE2101" s="77"/>
      <c r="BF2101" s="77"/>
      <c r="BG2101" s="77"/>
      <c r="BH2101" s="77"/>
      <c r="BI2101" s="77"/>
    </row>
    <row r="2102" spans="1:61" x14ac:dyDescent="0.25">
      <c r="A2102" s="62" t="s">
        <v>739</v>
      </c>
      <c r="B2102" s="62" t="s">
        <v>739</v>
      </c>
      <c r="C2102" s="63"/>
      <c r="D2102" s="64"/>
      <c r="E2102" s="65"/>
      <c r="F2102" s="66"/>
      <c r="G2102" s="63"/>
      <c r="H2102" s="67"/>
      <c r="I2102" s="68"/>
      <c r="J2102" s="68"/>
      <c r="K2102" s="32"/>
      <c r="L2102" s="75">
        <v>2102</v>
      </c>
      <c r="M2102" s="75"/>
      <c r="N2102" s="70"/>
      <c r="O2102" s="77" t="s">
        <v>179</v>
      </c>
      <c r="P2102" s="79">
        <v>45142.021909722222</v>
      </c>
      <c r="Q2102" s="77" t="s">
        <v>3312</v>
      </c>
      <c r="R2102" s="77">
        <v>0</v>
      </c>
      <c r="S2102" s="77">
        <v>1</v>
      </c>
      <c r="T2102" s="77">
        <v>0</v>
      </c>
      <c r="U2102" s="77">
        <v>0</v>
      </c>
      <c r="V2102" s="77">
        <v>30</v>
      </c>
      <c r="W2102" s="82" t="s">
        <v>6191</v>
      </c>
      <c r="X2102" s="77"/>
      <c r="Y2102" s="77"/>
      <c r="Z2102" s="77"/>
      <c r="AA2102" s="77" t="s">
        <v>8601</v>
      </c>
      <c r="AB2102" s="77" t="s">
        <v>10129</v>
      </c>
      <c r="AC2102" s="82" t="s">
        <v>10146</v>
      </c>
      <c r="AD2102" s="77" t="s">
        <v>10184</v>
      </c>
      <c r="AE2102" s="80" t="str">
        <f>HYPERLINK("https://twitter.com/cortesreiratao/status/1687259946281283584")</f>
        <v>https://twitter.com/cortesreiratao/status/1687259946281283584</v>
      </c>
      <c r="AF2102" s="79">
        <v>45142.021909722222</v>
      </c>
      <c r="AG2102" s="85">
        <v>45142</v>
      </c>
      <c r="AH2102" s="82" t="s">
        <v>12210</v>
      </c>
      <c r="AI2102" s="77" t="b">
        <v>0</v>
      </c>
      <c r="AJ2102" s="77"/>
      <c r="AK2102" s="77"/>
      <c r="AL2102" s="77"/>
      <c r="AM2102" s="77"/>
      <c r="AN2102" s="77"/>
      <c r="AO2102" s="77"/>
      <c r="AP2102" s="77"/>
      <c r="AQ2102" s="77" t="s">
        <v>15245</v>
      </c>
      <c r="AR2102" s="77">
        <v>50480</v>
      </c>
      <c r="AS2102" s="77"/>
      <c r="AT2102" s="77"/>
      <c r="AU2102" s="77"/>
      <c r="AV2102" s="80" t="str">
        <f>HYPERLINK("https://pbs.twimg.com/ext_tw_video_thumb/1687259879054958592/pu/img/2YWDBMNzSlR-ByP0.jpg")</f>
        <v>https://pbs.twimg.com/ext_tw_video_thumb/1687259879054958592/pu/img/2YWDBMNzSlR-ByP0.jpg</v>
      </c>
      <c r="AW2102" s="82" t="s">
        <v>18870</v>
      </c>
      <c r="AX2102" s="82" t="s">
        <v>18870</v>
      </c>
      <c r="AY2102" s="77"/>
      <c r="AZ2102" s="82" t="s">
        <v>20971</v>
      </c>
      <c r="BA2102" s="82" t="s">
        <v>20971</v>
      </c>
      <c r="BB2102" s="82" t="s">
        <v>20971</v>
      </c>
      <c r="BC2102" s="82" t="s">
        <v>18870</v>
      </c>
      <c r="BD2102" s="82" t="s">
        <v>21395</v>
      </c>
      <c r="BE2102" s="77"/>
      <c r="BF2102" s="77"/>
      <c r="BG2102" s="77"/>
      <c r="BH2102" s="77"/>
      <c r="BI2102" s="77"/>
    </row>
    <row r="2103" spans="1:61" x14ac:dyDescent="0.25">
      <c r="A2103" s="62" t="s">
        <v>740</v>
      </c>
      <c r="B2103" s="62" t="s">
        <v>740</v>
      </c>
      <c r="C2103" s="63"/>
      <c r="D2103" s="64"/>
      <c r="E2103" s="65"/>
      <c r="F2103" s="66"/>
      <c r="G2103" s="63"/>
      <c r="H2103" s="67"/>
      <c r="I2103" s="68"/>
      <c r="J2103" s="68"/>
      <c r="K2103" s="32"/>
      <c r="L2103" s="75">
        <v>2103</v>
      </c>
      <c r="M2103" s="75"/>
      <c r="N2103" s="70"/>
      <c r="O2103" s="77" t="s">
        <v>179</v>
      </c>
      <c r="P2103" s="79">
        <v>45006.604745370372</v>
      </c>
      <c r="Q2103" s="77" t="s">
        <v>3313</v>
      </c>
      <c r="R2103" s="77">
        <v>0</v>
      </c>
      <c r="S2103" s="77">
        <v>0</v>
      </c>
      <c r="T2103" s="77">
        <v>0</v>
      </c>
      <c r="U2103" s="77">
        <v>0</v>
      </c>
      <c r="V2103" s="77">
        <v>3</v>
      </c>
      <c r="W2103" s="82" t="s">
        <v>6192</v>
      </c>
      <c r="X2103" s="80" t="str">
        <f>HYPERLINK("http://instagram.com/doces.lucrativos.1")</f>
        <v>http://instagram.com/doces.lucrativos.1</v>
      </c>
      <c r="Y2103" s="77" t="s">
        <v>7250</v>
      </c>
      <c r="Z2103" s="77"/>
      <c r="AA2103" s="77" t="s">
        <v>8602</v>
      </c>
      <c r="AB2103" s="77" t="s">
        <v>10130</v>
      </c>
      <c r="AC2103" s="82" t="s">
        <v>10144</v>
      </c>
      <c r="AD2103" s="77" t="s">
        <v>10184</v>
      </c>
      <c r="AE2103" s="80" t="str">
        <f>HYPERLINK("https://twitter.com/doceslucrativos/status/1638186407360442368")</f>
        <v>https://twitter.com/doceslucrativos/status/1638186407360442368</v>
      </c>
      <c r="AF2103" s="79">
        <v>45006.604745370372</v>
      </c>
      <c r="AG2103" s="85">
        <v>45006</v>
      </c>
      <c r="AH2103" s="82" t="s">
        <v>12211</v>
      </c>
      <c r="AI2103" s="77" t="b">
        <v>0</v>
      </c>
      <c r="AJ2103" s="77"/>
      <c r="AK2103" s="77"/>
      <c r="AL2103" s="77"/>
      <c r="AM2103" s="77"/>
      <c r="AN2103" s="77"/>
      <c r="AO2103" s="77"/>
      <c r="AP2103" s="77"/>
      <c r="AQ2103" s="77" t="s">
        <v>15246</v>
      </c>
      <c r="AR2103" s="77"/>
      <c r="AS2103" s="77"/>
      <c r="AT2103" s="77"/>
      <c r="AU2103" s="77"/>
      <c r="AV2103" s="80" t="str">
        <f>HYPERLINK("https://pbs.twimg.com/media/FrwB2suXsAAinhQ.jpg")</f>
        <v>https://pbs.twimg.com/media/FrwB2suXsAAinhQ.jpg</v>
      </c>
      <c r="AW2103" s="82" t="s">
        <v>18871</v>
      </c>
      <c r="AX2103" s="82" t="s">
        <v>18871</v>
      </c>
      <c r="AY2103" s="77"/>
      <c r="AZ2103" s="82" t="s">
        <v>20971</v>
      </c>
      <c r="BA2103" s="82" t="s">
        <v>20971</v>
      </c>
      <c r="BB2103" s="82" t="s">
        <v>20971</v>
      </c>
      <c r="BC2103" s="82" t="s">
        <v>18871</v>
      </c>
      <c r="BD2103" s="82" t="s">
        <v>21396</v>
      </c>
      <c r="BE2103" s="77"/>
      <c r="BF2103" s="77"/>
      <c r="BG2103" s="77"/>
      <c r="BH2103" s="77"/>
      <c r="BI2103" s="77"/>
    </row>
    <row r="2104" spans="1:61" x14ac:dyDescent="0.25">
      <c r="A2104" s="62" t="s">
        <v>741</v>
      </c>
      <c r="B2104" s="62" t="s">
        <v>741</v>
      </c>
      <c r="C2104" s="63"/>
      <c r="D2104" s="64"/>
      <c r="E2104" s="65"/>
      <c r="F2104" s="66"/>
      <c r="G2104" s="63"/>
      <c r="H2104" s="67"/>
      <c r="I2104" s="68"/>
      <c r="J2104" s="68"/>
      <c r="K2104" s="32"/>
      <c r="L2104" s="75">
        <v>2104</v>
      </c>
      <c r="M2104" s="75"/>
      <c r="N2104" s="70"/>
      <c r="O2104" s="77" t="s">
        <v>179</v>
      </c>
      <c r="P2104" s="79">
        <v>44964.383981481478</v>
      </c>
      <c r="Q2104" s="77" t="s">
        <v>3314</v>
      </c>
      <c r="R2104" s="77">
        <v>1</v>
      </c>
      <c r="S2104" s="77">
        <v>1</v>
      </c>
      <c r="T2104" s="77">
        <v>0</v>
      </c>
      <c r="U2104" s="77">
        <v>0</v>
      </c>
      <c r="V2104" s="77">
        <v>93</v>
      </c>
      <c r="W2104" s="82" t="s">
        <v>6193</v>
      </c>
      <c r="X2104" s="77"/>
      <c r="Y2104" s="77"/>
      <c r="Z2104" s="77"/>
      <c r="AA2104" s="77" t="s">
        <v>8603</v>
      </c>
      <c r="AB2104" s="77" t="s">
        <v>10129</v>
      </c>
      <c r="AC2104" s="82" t="s">
        <v>10146</v>
      </c>
      <c r="AD2104" s="77" t="s">
        <v>10184</v>
      </c>
      <c r="AE2104" s="80" t="str">
        <f>HYPERLINK("https://twitter.com/nr_novocaminho/status/1622886115316318208")</f>
        <v>https://twitter.com/nr_novocaminho/status/1622886115316318208</v>
      </c>
      <c r="AF2104" s="79">
        <v>44964.383981481478</v>
      </c>
      <c r="AG2104" s="85">
        <v>44964</v>
      </c>
      <c r="AH2104" s="82" t="s">
        <v>12212</v>
      </c>
      <c r="AI2104" s="77" t="b">
        <v>0</v>
      </c>
      <c r="AJ2104" s="77"/>
      <c r="AK2104" s="77"/>
      <c r="AL2104" s="77"/>
      <c r="AM2104" s="77"/>
      <c r="AN2104" s="77"/>
      <c r="AO2104" s="77"/>
      <c r="AP2104" s="77"/>
      <c r="AQ2104" s="77" t="s">
        <v>15247</v>
      </c>
      <c r="AR2104" s="77">
        <v>45000</v>
      </c>
      <c r="AS2104" s="77"/>
      <c r="AT2104" s="77"/>
      <c r="AU2104" s="77"/>
      <c r="AV2104" s="80" t="str">
        <f>HYPERLINK("https://pbs.twimg.com/ext_tw_video_thumb/1622884808853532674/pu/img/9hSHzHAUAYuAca9A.jpg")</f>
        <v>https://pbs.twimg.com/ext_tw_video_thumb/1622884808853532674/pu/img/9hSHzHAUAYuAca9A.jpg</v>
      </c>
      <c r="AW2104" s="82" t="s">
        <v>18872</v>
      </c>
      <c r="AX2104" s="82" t="s">
        <v>18872</v>
      </c>
      <c r="AY2104" s="77"/>
      <c r="AZ2104" s="82" t="s">
        <v>20971</v>
      </c>
      <c r="BA2104" s="82" t="s">
        <v>20971</v>
      </c>
      <c r="BB2104" s="82" t="s">
        <v>20971</v>
      </c>
      <c r="BC2104" s="82" t="s">
        <v>18872</v>
      </c>
      <c r="BD2104" s="82" t="s">
        <v>21397</v>
      </c>
      <c r="BE2104" s="77"/>
      <c r="BF2104" s="77"/>
      <c r="BG2104" s="77"/>
      <c r="BH2104" s="77"/>
      <c r="BI2104" s="77"/>
    </row>
    <row r="2105" spans="1:61" x14ac:dyDescent="0.25">
      <c r="A2105" s="62" t="s">
        <v>741</v>
      </c>
      <c r="B2105" s="62" t="s">
        <v>741</v>
      </c>
      <c r="C2105" s="63"/>
      <c r="D2105" s="64"/>
      <c r="E2105" s="65"/>
      <c r="F2105" s="66"/>
      <c r="G2105" s="63"/>
      <c r="H2105" s="67"/>
      <c r="I2105" s="68"/>
      <c r="J2105" s="68"/>
      <c r="K2105" s="32"/>
      <c r="L2105" s="75">
        <v>2105</v>
      </c>
      <c r="M2105" s="75"/>
      <c r="N2105" s="70"/>
      <c r="O2105" s="77" t="s">
        <v>179</v>
      </c>
      <c r="P2105" s="79">
        <v>44969.414571759262</v>
      </c>
      <c r="Q2105" s="77" t="s">
        <v>3315</v>
      </c>
      <c r="R2105" s="77">
        <v>1</v>
      </c>
      <c r="S2105" s="77">
        <v>1</v>
      </c>
      <c r="T2105" s="77">
        <v>0</v>
      </c>
      <c r="U2105" s="77">
        <v>0</v>
      </c>
      <c r="V2105" s="77">
        <v>70</v>
      </c>
      <c r="W2105" s="82" t="s">
        <v>6194</v>
      </c>
      <c r="X2105" s="77" t="s">
        <v>7206</v>
      </c>
      <c r="Y2105" s="77" t="s">
        <v>7391</v>
      </c>
      <c r="Z2105" s="77"/>
      <c r="AA2105" s="77" t="s">
        <v>8604</v>
      </c>
      <c r="AB2105" s="77" t="s">
        <v>10129</v>
      </c>
      <c r="AC2105" s="82" t="s">
        <v>10146</v>
      </c>
      <c r="AD2105" s="77" t="s">
        <v>10184</v>
      </c>
      <c r="AE2105" s="80" t="str">
        <f>HYPERLINK("https://twitter.com/nr_novocaminho/status/1624709142031003653")</f>
        <v>https://twitter.com/nr_novocaminho/status/1624709142031003653</v>
      </c>
      <c r="AF2105" s="79">
        <v>44969.414571759262</v>
      </c>
      <c r="AG2105" s="85">
        <v>44969</v>
      </c>
      <c r="AH2105" s="82" t="s">
        <v>12213</v>
      </c>
      <c r="AI2105" s="77" t="b">
        <v>0</v>
      </c>
      <c r="AJ2105" s="77"/>
      <c r="AK2105" s="77"/>
      <c r="AL2105" s="77"/>
      <c r="AM2105" s="77"/>
      <c r="AN2105" s="77"/>
      <c r="AO2105" s="77"/>
      <c r="AP2105" s="77"/>
      <c r="AQ2105" s="77" t="s">
        <v>15248</v>
      </c>
      <c r="AR2105" s="77">
        <v>30000</v>
      </c>
      <c r="AS2105" s="77"/>
      <c r="AT2105" s="77"/>
      <c r="AU2105" s="77"/>
      <c r="AV2105" s="80" t="str">
        <f>HYPERLINK("https://pbs.twimg.com/ext_tw_video_thumb/1624707553115398144/pu/img/Xy5xhh7ZPIVz4_uP.jpg")</f>
        <v>https://pbs.twimg.com/ext_tw_video_thumb/1624707553115398144/pu/img/Xy5xhh7ZPIVz4_uP.jpg</v>
      </c>
      <c r="AW2105" s="82" t="s">
        <v>18873</v>
      </c>
      <c r="AX2105" s="82" t="s">
        <v>18873</v>
      </c>
      <c r="AY2105" s="77"/>
      <c r="AZ2105" s="82" t="s">
        <v>20971</v>
      </c>
      <c r="BA2105" s="82" t="s">
        <v>20971</v>
      </c>
      <c r="BB2105" s="82" t="s">
        <v>20971</v>
      </c>
      <c r="BC2105" s="82" t="s">
        <v>18873</v>
      </c>
      <c r="BD2105" s="82" t="s">
        <v>21397</v>
      </c>
      <c r="BE2105" s="77"/>
      <c r="BF2105" s="77"/>
      <c r="BG2105" s="77"/>
      <c r="BH2105" s="77"/>
      <c r="BI2105" s="77"/>
    </row>
    <row r="2106" spans="1:61" x14ac:dyDescent="0.25">
      <c r="A2106" s="62" t="s">
        <v>742</v>
      </c>
      <c r="B2106" s="62" t="s">
        <v>742</v>
      </c>
      <c r="C2106" s="63"/>
      <c r="D2106" s="64"/>
      <c r="E2106" s="65"/>
      <c r="F2106" s="66"/>
      <c r="G2106" s="63"/>
      <c r="H2106" s="67"/>
      <c r="I2106" s="68"/>
      <c r="J2106" s="68"/>
      <c r="K2106" s="32"/>
      <c r="L2106" s="75">
        <v>2106</v>
      </c>
      <c r="M2106" s="75"/>
      <c r="N2106" s="70"/>
      <c r="O2106" s="77" t="s">
        <v>179</v>
      </c>
      <c r="P2106" s="79">
        <v>44980.770532407405</v>
      </c>
      <c r="Q2106" s="77" t="s">
        <v>3316</v>
      </c>
      <c r="R2106" s="77">
        <v>0</v>
      </c>
      <c r="S2106" s="77">
        <v>0</v>
      </c>
      <c r="T2106" s="77">
        <v>0</v>
      </c>
      <c r="U2106" s="77">
        <v>0</v>
      </c>
      <c r="V2106" s="77">
        <v>111</v>
      </c>
      <c r="W2106" s="82" t="s">
        <v>6195</v>
      </c>
      <c r="X2106" s="77"/>
      <c r="Y2106" s="77"/>
      <c r="Z2106" s="77"/>
      <c r="AA2106" s="77" t="s">
        <v>8605</v>
      </c>
      <c r="AB2106" s="77" t="s">
        <v>10129</v>
      </c>
      <c r="AC2106" s="82" t="s">
        <v>10144</v>
      </c>
      <c r="AD2106" s="77" t="s">
        <v>10184</v>
      </c>
      <c r="AE2106" s="80" t="str">
        <f>HYPERLINK("https://twitter.com/oronhaleticia/status/1628824403785007107")</f>
        <v>https://twitter.com/oronhaleticia/status/1628824403785007107</v>
      </c>
      <c r="AF2106" s="79">
        <v>44980.770532407405</v>
      </c>
      <c r="AG2106" s="85">
        <v>44980</v>
      </c>
      <c r="AH2106" s="82" t="s">
        <v>12214</v>
      </c>
      <c r="AI2106" s="77" t="b">
        <v>0</v>
      </c>
      <c r="AJ2106" s="77"/>
      <c r="AK2106" s="77"/>
      <c r="AL2106" s="77"/>
      <c r="AM2106" s="77"/>
      <c r="AN2106" s="77"/>
      <c r="AO2106" s="77"/>
      <c r="AP2106" s="77"/>
      <c r="AQ2106" s="77" t="s">
        <v>15249</v>
      </c>
      <c r="AR2106" s="77">
        <v>44954</v>
      </c>
      <c r="AS2106" s="77"/>
      <c r="AT2106" s="77"/>
      <c r="AU2106" s="77"/>
      <c r="AV2106" s="80" t="str">
        <f>HYPERLINK("https://pbs.twimg.com/ext_tw_video_thumb/1628824017359577090/pu/img/MlThxcK_OGtzt_b9.jpg")</f>
        <v>https://pbs.twimg.com/ext_tw_video_thumb/1628824017359577090/pu/img/MlThxcK_OGtzt_b9.jpg</v>
      </c>
      <c r="AW2106" s="82" t="s">
        <v>18874</v>
      </c>
      <c r="AX2106" s="82" t="s">
        <v>18874</v>
      </c>
      <c r="AY2106" s="77"/>
      <c r="AZ2106" s="82" t="s">
        <v>20971</v>
      </c>
      <c r="BA2106" s="82" t="s">
        <v>20971</v>
      </c>
      <c r="BB2106" s="82" t="s">
        <v>20971</v>
      </c>
      <c r="BC2106" s="82" t="s">
        <v>18874</v>
      </c>
      <c r="BD2106" s="77">
        <v>2440223932</v>
      </c>
      <c r="BE2106" s="77"/>
      <c r="BF2106" s="77"/>
      <c r="BG2106" s="77"/>
      <c r="BH2106" s="77"/>
      <c r="BI2106" s="77"/>
    </row>
    <row r="2107" spans="1:61" x14ac:dyDescent="0.25">
      <c r="A2107" s="62" t="s">
        <v>743</v>
      </c>
      <c r="B2107" s="62" t="s">
        <v>743</v>
      </c>
      <c r="C2107" s="63"/>
      <c r="D2107" s="64"/>
      <c r="E2107" s="65"/>
      <c r="F2107" s="66"/>
      <c r="G2107" s="63"/>
      <c r="H2107" s="67"/>
      <c r="I2107" s="68"/>
      <c r="J2107" s="68"/>
      <c r="K2107" s="32"/>
      <c r="L2107" s="75">
        <v>2107</v>
      </c>
      <c r="M2107" s="75"/>
      <c r="N2107" s="70"/>
      <c r="O2107" s="77" t="s">
        <v>179</v>
      </c>
      <c r="P2107" s="79">
        <v>45007.172743055555</v>
      </c>
      <c r="Q2107" s="77" t="s">
        <v>3317</v>
      </c>
      <c r="R2107" s="77">
        <v>0</v>
      </c>
      <c r="S2107" s="77">
        <v>0</v>
      </c>
      <c r="T2107" s="77">
        <v>0</v>
      </c>
      <c r="U2107" s="77">
        <v>0</v>
      </c>
      <c r="V2107" s="77">
        <v>5</v>
      </c>
      <c r="W2107" s="82" t="s">
        <v>6196</v>
      </c>
      <c r="X2107" s="80" t="str">
        <f>HYPERLINK("https://s.kwai.app/w/O5rqHddf")</f>
        <v>https://s.kwai.app/w/O5rqHddf</v>
      </c>
      <c r="Y2107" s="77" t="s">
        <v>7292</v>
      </c>
      <c r="Z2107" s="77"/>
      <c r="AA2107" s="77"/>
      <c r="AB2107" s="77"/>
      <c r="AC2107" s="82" t="s">
        <v>10144</v>
      </c>
      <c r="AD2107" s="77" t="s">
        <v>10183</v>
      </c>
      <c r="AE2107" s="80" t="str">
        <f>HYPERLINK("https://twitter.com/nfts_dp/status/1638392243881902080")</f>
        <v>https://twitter.com/nfts_dp/status/1638392243881902080</v>
      </c>
      <c r="AF2107" s="79">
        <v>45007.172743055555</v>
      </c>
      <c r="AG2107" s="85">
        <v>45007</v>
      </c>
      <c r="AH2107" s="82" t="s">
        <v>12215</v>
      </c>
      <c r="AI2107" s="77" t="b">
        <v>0</v>
      </c>
      <c r="AJ2107" s="77"/>
      <c r="AK2107" s="77"/>
      <c r="AL2107" s="77"/>
      <c r="AM2107" s="77"/>
      <c r="AN2107" s="77"/>
      <c r="AO2107" s="77"/>
      <c r="AP2107" s="77"/>
      <c r="AQ2107" s="77"/>
      <c r="AR2107" s="77"/>
      <c r="AS2107" s="77"/>
      <c r="AT2107" s="77"/>
      <c r="AU2107" s="77"/>
      <c r="AV2107" s="80" t="str">
        <f>HYPERLINK("https://pbs.twimg.com/profile_images/1600293136294707200/5bcxjppv_normal.png")</f>
        <v>https://pbs.twimg.com/profile_images/1600293136294707200/5bcxjppv_normal.png</v>
      </c>
      <c r="AW2107" s="82" t="s">
        <v>18875</v>
      </c>
      <c r="AX2107" s="82" t="s">
        <v>18875</v>
      </c>
      <c r="AY2107" s="77"/>
      <c r="AZ2107" s="82" t="s">
        <v>20971</v>
      </c>
      <c r="BA2107" s="82" t="s">
        <v>20971</v>
      </c>
      <c r="BB2107" s="82" t="s">
        <v>20971</v>
      </c>
      <c r="BC2107" s="82" t="s">
        <v>18875</v>
      </c>
      <c r="BD2107" s="82" t="s">
        <v>21398</v>
      </c>
      <c r="BE2107" s="77"/>
      <c r="BF2107" s="77"/>
      <c r="BG2107" s="77"/>
      <c r="BH2107" s="77"/>
      <c r="BI2107" s="77"/>
    </row>
    <row r="2108" spans="1:61" x14ac:dyDescent="0.25">
      <c r="A2108" s="62" t="s">
        <v>744</v>
      </c>
      <c r="B2108" s="62" t="s">
        <v>744</v>
      </c>
      <c r="C2108" s="63"/>
      <c r="D2108" s="64"/>
      <c r="E2108" s="65"/>
      <c r="F2108" s="66"/>
      <c r="G2108" s="63"/>
      <c r="H2108" s="67"/>
      <c r="I2108" s="68"/>
      <c r="J2108" s="68"/>
      <c r="K2108" s="32"/>
      <c r="L2108" s="75">
        <v>2108</v>
      </c>
      <c r="M2108" s="75"/>
      <c r="N2108" s="70"/>
      <c r="O2108" s="77" t="s">
        <v>1284</v>
      </c>
      <c r="P2108" s="79">
        <v>44958.028946759259</v>
      </c>
      <c r="Q2108" s="77" t="s">
        <v>3318</v>
      </c>
      <c r="R2108" s="77">
        <v>0</v>
      </c>
      <c r="S2108" s="77">
        <v>0</v>
      </c>
      <c r="T2108" s="77">
        <v>0</v>
      </c>
      <c r="U2108" s="77">
        <v>0</v>
      </c>
      <c r="V2108" s="77">
        <v>25</v>
      </c>
      <c r="W2108" s="82" t="s">
        <v>6197</v>
      </c>
      <c r="X2108" s="77"/>
      <c r="Y2108" s="77"/>
      <c r="Z2108" s="77"/>
      <c r="AA2108" s="77"/>
      <c r="AB2108" s="77"/>
      <c r="AC2108" s="82" t="s">
        <v>10145</v>
      </c>
      <c r="AD2108" s="77" t="s">
        <v>10186</v>
      </c>
      <c r="AE2108" s="80" t="str">
        <f>HYPERLINK("https://twitter.com/brunoberanko/status/1620583128246124553")</f>
        <v>https://twitter.com/brunoberanko/status/1620583128246124553</v>
      </c>
      <c r="AF2108" s="79">
        <v>44958.028946759259</v>
      </c>
      <c r="AG2108" s="85">
        <v>44958</v>
      </c>
      <c r="AH2108" s="82" t="s">
        <v>12216</v>
      </c>
      <c r="AI2108" s="77"/>
      <c r="AJ2108" s="77"/>
      <c r="AK2108" s="77"/>
      <c r="AL2108" s="77"/>
      <c r="AM2108" s="77"/>
      <c r="AN2108" s="77"/>
      <c r="AO2108" s="77"/>
      <c r="AP2108" s="77"/>
      <c r="AQ2108" s="77"/>
      <c r="AR2108" s="77"/>
      <c r="AS2108" s="77"/>
      <c r="AT2108" s="77"/>
      <c r="AU2108" s="77"/>
      <c r="AV2108" s="80" t="str">
        <f>HYPERLINK("https://pbs.twimg.com/profile_images/1616546627661053953/G4wVwdy9_normal.jpg")</f>
        <v>https://pbs.twimg.com/profile_images/1616546627661053953/G4wVwdy9_normal.jpg</v>
      </c>
      <c r="AW2108" s="82" t="s">
        <v>18876</v>
      </c>
      <c r="AX2108" s="82" t="s">
        <v>20861</v>
      </c>
      <c r="AY2108" s="82" t="s">
        <v>20945</v>
      </c>
      <c r="AZ2108" s="82" t="s">
        <v>20861</v>
      </c>
      <c r="BA2108" s="82" t="s">
        <v>20971</v>
      </c>
      <c r="BB2108" s="82" t="s">
        <v>20971</v>
      </c>
      <c r="BC2108" s="82" t="s">
        <v>20861</v>
      </c>
      <c r="BD2108" s="77">
        <v>41928738</v>
      </c>
      <c r="BE2108" s="77"/>
      <c r="BF2108" s="77"/>
      <c r="BG2108" s="77"/>
      <c r="BH2108" s="77"/>
      <c r="BI2108" s="77"/>
    </row>
    <row r="2109" spans="1:61" x14ac:dyDescent="0.25">
      <c r="A2109" s="62" t="s">
        <v>744</v>
      </c>
      <c r="B2109" s="62" t="s">
        <v>744</v>
      </c>
      <c r="C2109" s="63"/>
      <c r="D2109" s="64"/>
      <c r="E2109" s="65"/>
      <c r="F2109" s="66"/>
      <c r="G2109" s="63"/>
      <c r="H2109" s="67"/>
      <c r="I2109" s="68"/>
      <c r="J2109" s="68"/>
      <c r="K2109" s="32"/>
      <c r="L2109" s="75">
        <v>2109</v>
      </c>
      <c r="M2109" s="75"/>
      <c r="N2109" s="70"/>
      <c r="O2109" s="77" t="s">
        <v>179</v>
      </c>
      <c r="P2109" s="79">
        <v>44957.602175925924</v>
      </c>
      <c r="Q2109" s="77" t="s">
        <v>3319</v>
      </c>
      <c r="R2109" s="77">
        <v>0</v>
      </c>
      <c r="S2109" s="77">
        <v>1</v>
      </c>
      <c r="T2109" s="77">
        <v>1</v>
      </c>
      <c r="U2109" s="77">
        <v>0</v>
      </c>
      <c r="V2109" s="77">
        <v>53</v>
      </c>
      <c r="W2109" s="82" t="s">
        <v>6198</v>
      </c>
      <c r="X2109" s="77"/>
      <c r="Y2109" s="77"/>
      <c r="Z2109" s="77"/>
      <c r="AA2109" s="77" t="s">
        <v>8606</v>
      </c>
      <c r="AB2109" s="77" t="s">
        <v>10130</v>
      </c>
      <c r="AC2109" s="82" t="s">
        <v>10145</v>
      </c>
      <c r="AD2109" s="77" t="s">
        <v>10184</v>
      </c>
      <c r="AE2109" s="80" t="str">
        <f>HYPERLINK("https://twitter.com/brunoberanko/status/1620428470986866689")</f>
        <v>https://twitter.com/brunoberanko/status/1620428470986866689</v>
      </c>
      <c r="AF2109" s="79">
        <v>44957.602175925924</v>
      </c>
      <c r="AG2109" s="85">
        <v>44957</v>
      </c>
      <c r="AH2109" s="82" t="s">
        <v>12217</v>
      </c>
      <c r="AI2109" s="77" t="b">
        <v>0</v>
      </c>
      <c r="AJ2109" s="77"/>
      <c r="AK2109" s="77"/>
      <c r="AL2109" s="77"/>
      <c r="AM2109" s="77"/>
      <c r="AN2109" s="77"/>
      <c r="AO2109" s="77"/>
      <c r="AP2109" s="77"/>
      <c r="AQ2109" s="77" t="s">
        <v>15250</v>
      </c>
      <c r="AR2109" s="77"/>
      <c r="AS2109" s="77"/>
      <c r="AT2109" s="77"/>
      <c r="AU2109" s="77"/>
      <c r="AV2109" s="80" t="str">
        <f>HYPERLINK("https://pbs.twimg.com/media/FnzrGsPXkAYipQZ.jpg")</f>
        <v>https://pbs.twimg.com/media/FnzrGsPXkAYipQZ.jpg</v>
      </c>
      <c r="AW2109" s="82" t="s">
        <v>18877</v>
      </c>
      <c r="AX2109" s="82" t="s">
        <v>18877</v>
      </c>
      <c r="AY2109" s="77"/>
      <c r="AZ2109" s="82" t="s">
        <v>20971</v>
      </c>
      <c r="BA2109" s="82" t="s">
        <v>20971</v>
      </c>
      <c r="BB2109" s="82" t="s">
        <v>20971</v>
      </c>
      <c r="BC2109" s="82" t="s">
        <v>18877</v>
      </c>
      <c r="BD2109" s="77">
        <v>41928738</v>
      </c>
      <c r="BE2109" s="77"/>
      <c r="BF2109" s="77"/>
      <c r="BG2109" s="77"/>
      <c r="BH2109" s="77"/>
      <c r="BI2109" s="77"/>
    </row>
    <row r="2110" spans="1:61" x14ac:dyDescent="0.25">
      <c r="A2110" s="62" t="s">
        <v>744</v>
      </c>
      <c r="B2110" s="62" t="s">
        <v>744</v>
      </c>
      <c r="C2110" s="63"/>
      <c r="D2110" s="64"/>
      <c r="E2110" s="65"/>
      <c r="F2110" s="66"/>
      <c r="G2110" s="63"/>
      <c r="H2110" s="67"/>
      <c r="I2110" s="68"/>
      <c r="J2110" s="68"/>
      <c r="K2110" s="32"/>
      <c r="L2110" s="75">
        <v>2110</v>
      </c>
      <c r="M2110" s="75"/>
      <c r="N2110" s="70"/>
      <c r="O2110" s="77" t="s">
        <v>179</v>
      </c>
      <c r="P2110" s="79">
        <v>44957.598344907405</v>
      </c>
      <c r="Q2110" s="77" t="s">
        <v>3320</v>
      </c>
      <c r="R2110" s="77">
        <v>0</v>
      </c>
      <c r="S2110" s="77">
        <v>2</v>
      </c>
      <c r="T2110" s="77">
        <v>0</v>
      </c>
      <c r="U2110" s="77">
        <v>0</v>
      </c>
      <c r="V2110" s="77">
        <v>58</v>
      </c>
      <c r="W2110" s="82" t="s">
        <v>5429</v>
      </c>
      <c r="X2110" s="77"/>
      <c r="Y2110" s="77"/>
      <c r="Z2110" s="77"/>
      <c r="AA2110" s="77" t="s">
        <v>8607</v>
      </c>
      <c r="AB2110" s="77" t="s">
        <v>10130</v>
      </c>
      <c r="AC2110" s="82" t="s">
        <v>10145</v>
      </c>
      <c r="AD2110" s="77" t="s">
        <v>10184</v>
      </c>
      <c r="AE2110" s="80" t="str">
        <f>HYPERLINK("https://twitter.com/brunoberanko/status/1620427083313995782")</f>
        <v>https://twitter.com/brunoberanko/status/1620427083313995782</v>
      </c>
      <c r="AF2110" s="79">
        <v>44957.598344907405</v>
      </c>
      <c r="AG2110" s="85">
        <v>44957</v>
      </c>
      <c r="AH2110" s="82" t="s">
        <v>12218</v>
      </c>
      <c r="AI2110" s="77" t="b">
        <v>0</v>
      </c>
      <c r="AJ2110" s="77"/>
      <c r="AK2110" s="77"/>
      <c r="AL2110" s="77"/>
      <c r="AM2110" s="77"/>
      <c r="AN2110" s="77"/>
      <c r="AO2110" s="77"/>
      <c r="AP2110" s="77"/>
      <c r="AQ2110" s="77" t="s">
        <v>15251</v>
      </c>
      <c r="AR2110" s="77"/>
      <c r="AS2110" s="77"/>
      <c r="AT2110" s="77"/>
      <c r="AU2110" s="77"/>
      <c r="AV2110" s="80" t="str">
        <f>HYPERLINK("https://pbs.twimg.com/media/Fnzp168XkAc_Qxz.jpg")</f>
        <v>https://pbs.twimg.com/media/Fnzp168XkAc_Qxz.jpg</v>
      </c>
      <c r="AW2110" s="82" t="s">
        <v>18878</v>
      </c>
      <c r="AX2110" s="82" t="s">
        <v>18878</v>
      </c>
      <c r="AY2110" s="77"/>
      <c r="AZ2110" s="82" t="s">
        <v>20971</v>
      </c>
      <c r="BA2110" s="82" t="s">
        <v>20971</v>
      </c>
      <c r="BB2110" s="82" t="s">
        <v>20971</v>
      </c>
      <c r="BC2110" s="82" t="s">
        <v>18878</v>
      </c>
      <c r="BD2110" s="77">
        <v>41928738</v>
      </c>
      <c r="BE2110" s="77"/>
      <c r="BF2110" s="77"/>
      <c r="BG2110" s="77"/>
      <c r="BH2110" s="77"/>
      <c r="BI2110" s="77"/>
    </row>
    <row r="2111" spans="1:61" x14ac:dyDescent="0.25">
      <c r="A2111" s="62" t="s">
        <v>744</v>
      </c>
      <c r="B2111" s="62" t="s">
        <v>744</v>
      </c>
      <c r="C2111" s="63"/>
      <c r="D2111" s="64"/>
      <c r="E2111" s="65"/>
      <c r="F2111" s="66"/>
      <c r="G2111" s="63"/>
      <c r="H2111" s="67"/>
      <c r="I2111" s="68"/>
      <c r="J2111" s="68"/>
      <c r="K2111" s="32"/>
      <c r="L2111" s="75">
        <v>2111</v>
      </c>
      <c r="M2111" s="75"/>
      <c r="N2111" s="70"/>
      <c r="O2111" s="77" t="s">
        <v>1284</v>
      </c>
      <c r="P2111" s="79">
        <v>44960.034108796295</v>
      </c>
      <c r="Q2111" s="77" t="s">
        <v>3321</v>
      </c>
      <c r="R2111" s="77">
        <v>0</v>
      </c>
      <c r="S2111" s="77">
        <v>0</v>
      </c>
      <c r="T2111" s="77">
        <v>1</v>
      </c>
      <c r="U2111" s="77">
        <v>0</v>
      </c>
      <c r="V2111" s="77">
        <v>63</v>
      </c>
      <c r="W2111" s="82" t="s">
        <v>6199</v>
      </c>
      <c r="X2111" s="77"/>
      <c r="Y2111" s="77"/>
      <c r="Z2111" s="77"/>
      <c r="AA2111" s="77"/>
      <c r="AB2111" s="77"/>
      <c r="AC2111" s="82" t="s">
        <v>10145</v>
      </c>
      <c r="AD2111" s="77" t="s">
        <v>10186</v>
      </c>
      <c r="AE2111" s="80" t="str">
        <f>HYPERLINK("https://twitter.com/brunoberanko/status/1621309775576272896")</f>
        <v>https://twitter.com/brunoberanko/status/1621309775576272896</v>
      </c>
      <c r="AF2111" s="79">
        <v>44960.034108796295</v>
      </c>
      <c r="AG2111" s="85">
        <v>44960</v>
      </c>
      <c r="AH2111" s="82" t="s">
        <v>12219</v>
      </c>
      <c r="AI2111" s="77"/>
      <c r="AJ2111" s="77"/>
      <c r="AK2111" s="77"/>
      <c r="AL2111" s="77"/>
      <c r="AM2111" s="77"/>
      <c r="AN2111" s="77"/>
      <c r="AO2111" s="77"/>
      <c r="AP2111" s="77"/>
      <c r="AQ2111" s="77"/>
      <c r="AR2111" s="77"/>
      <c r="AS2111" s="77"/>
      <c r="AT2111" s="77"/>
      <c r="AU2111" s="77"/>
      <c r="AV2111" s="80" t="str">
        <f>HYPERLINK("https://pbs.twimg.com/profile_images/1616546627661053953/G4wVwdy9_normal.jpg")</f>
        <v>https://pbs.twimg.com/profile_images/1616546627661053953/G4wVwdy9_normal.jpg</v>
      </c>
      <c r="AW2111" s="82" t="s">
        <v>18879</v>
      </c>
      <c r="AX2111" s="82" t="s">
        <v>20862</v>
      </c>
      <c r="AY2111" s="82" t="s">
        <v>20945</v>
      </c>
      <c r="AZ2111" s="82" t="s">
        <v>20862</v>
      </c>
      <c r="BA2111" s="82" t="s">
        <v>20971</v>
      </c>
      <c r="BB2111" s="82" t="s">
        <v>20971</v>
      </c>
      <c r="BC2111" s="82" t="s">
        <v>20862</v>
      </c>
      <c r="BD2111" s="77">
        <v>41928738</v>
      </c>
      <c r="BE2111" s="77"/>
      <c r="BF2111" s="77"/>
      <c r="BG2111" s="77"/>
      <c r="BH2111" s="77"/>
      <c r="BI2111" s="77"/>
    </row>
    <row r="2112" spans="1:61" x14ac:dyDescent="0.25">
      <c r="A2112" s="62" t="s">
        <v>745</v>
      </c>
      <c r="B2112" s="62" t="s">
        <v>745</v>
      </c>
      <c r="C2112" s="63"/>
      <c r="D2112" s="64"/>
      <c r="E2112" s="65"/>
      <c r="F2112" s="66"/>
      <c r="G2112" s="63"/>
      <c r="H2112" s="67"/>
      <c r="I2112" s="68"/>
      <c r="J2112" s="68"/>
      <c r="K2112" s="32"/>
      <c r="L2112" s="75">
        <v>2112</v>
      </c>
      <c r="M2112" s="75"/>
      <c r="N2112" s="70"/>
      <c r="O2112" s="77" t="s">
        <v>179</v>
      </c>
      <c r="P2112" s="79">
        <v>45090.015590277777</v>
      </c>
      <c r="Q2112" s="77" t="s">
        <v>3322</v>
      </c>
      <c r="R2112" s="77">
        <v>0</v>
      </c>
      <c r="S2112" s="77">
        <v>0</v>
      </c>
      <c r="T2112" s="77">
        <v>0</v>
      </c>
      <c r="U2112" s="77">
        <v>0</v>
      </c>
      <c r="V2112" s="77">
        <v>4</v>
      </c>
      <c r="W2112" s="82" t="s">
        <v>6200</v>
      </c>
      <c r="X2112" s="80" t="str">
        <f>HYPERLINK("https://hotm.art/4MBwmy")</f>
        <v>https://hotm.art/4MBwmy</v>
      </c>
      <c r="Y2112" s="77" t="s">
        <v>7260</v>
      </c>
      <c r="Z2112" s="77"/>
      <c r="AA2112" s="77" t="s">
        <v>8608</v>
      </c>
      <c r="AB2112" s="77" t="s">
        <v>10130</v>
      </c>
      <c r="AC2112" s="82" t="s">
        <v>10146</v>
      </c>
      <c r="AD2112" s="77" t="s">
        <v>10184</v>
      </c>
      <c r="AE2112" s="80" t="str">
        <f>HYPERLINK("https://twitter.com/sandras50213490/status/1668413486680924162")</f>
        <v>https://twitter.com/sandras50213490/status/1668413486680924162</v>
      </c>
      <c r="AF2112" s="79">
        <v>45090.015590277777</v>
      </c>
      <c r="AG2112" s="85">
        <v>45090</v>
      </c>
      <c r="AH2112" s="82" t="s">
        <v>12220</v>
      </c>
      <c r="AI2112" s="77" t="b">
        <v>0</v>
      </c>
      <c r="AJ2112" s="77"/>
      <c r="AK2112" s="77"/>
      <c r="AL2112" s="77"/>
      <c r="AM2112" s="77"/>
      <c r="AN2112" s="77"/>
      <c r="AO2112" s="77"/>
      <c r="AP2112" s="77"/>
      <c r="AQ2112" s="77" t="s">
        <v>15252</v>
      </c>
      <c r="AR2112" s="77"/>
      <c r="AS2112" s="77"/>
      <c r="AT2112" s="77"/>
      <c r="AU2112" s="77"/>
      <c r="AV2112" s="80" t="str">
        <f>HYPERLINK("https://pbs.twimg.com/media/Fydk7hDXsAENK6Z.png")</f>
        <v>https://pbs.twimg.com/media/Fydk7hDXsAENK6Z.png</v>
      </c>
      <c r="AW2112" s="82" t="s">
        <v>18880</v>
      </c>
      <c r="AX2112" s="82" t="s">
        <v>18880</v>
      </c>
      <c r="AY2112" s="77"/>
      <c r="AZ2112" s="82" t="s">
        <v>20971</v>
      </c>
      <c r="BA2112" s="82" t="s">
        <v>20971</v>
      </c>
      <c r="BB2112" s="82" t="s">
        <v>20971</v>
      </c>
      <c r="BC2112" s="82" t="s">
        <v>18880</v>
      </c>
      <c r="BD2112" s="82" t="s">
        <v>21399</v>
      </c>
      <c r="BE2112" s="77"/>
      <c r="BF2112" s="77"/>
      <c r="BG2112" s="77"/>
      <c r="BH2112" s="77"/>
      <c r="BI2112" s="77"/>
    </row>
    <row r="2113" spans="1:61" x14ac:dyDescent="0.25">
      <c r="A2113" s="62" t="s">
        <v>746</v>
      </c>
      <c r="B2113" s="62" t="s">
        <v>746</v>
      </c>
      <c r="C2113" s="63"/>
      <c r="D2113" s="64"/>
      <c r="E2113" s="65"/>
      <c r="F2113" s="66"/>
      <c r="G2113" s="63"/>
      <c r="H2113" s="67"/>
      <c r="I2113" s="68"/>
      <c r="J2113" s="68"/>
      <c r="K2113" s="32"/>
      <c r="L2113" s="75">
        <v>2113</v>
      </c>
      <c r="M2113" s="75"/>
      <c r="N2113" s="70"/>
      <c r="O2113" s="77" t="s">
        <v>179</v>
      </c>
      <c r="P2113" s="79">
        <v>44991.02820601852</v>
      </c>
      <c r="Q2113" s="77" t="s">
        <v>3323</v>
      </c>
      <c r="R2113" s="77">
        <v>0</v>
      </c>
      <c r="S2113" s="77">
        <v>0</v>
      </c>
      <c r="T2113" s="77">
        <v>0</v>
      </c>
      <c r="U2113" s="77">
        <v>0</v>
      </c>
      <c r="V2113" s="77">
        <v>26</v>
      </c>
      <c r="W2113" s="82" t="s">
        <v>6201</v>
      </c>
      <c r="X2113" s="80" t="str">
        <f>HYPERLINK("https://linktr.ee/liadiogo")</f>
        <v>https://linktr.ee/liadiogo</v>
      </c>
      <c r="Y2113" s="77" t="s">
        <v>7300</v>
      </c>
      <c r="Z2113" s="77"/>
      <c r="AA2113" s="77" t="s">
        <v>8609</v>
      </c>
      <c r="AB2113" s="77" t="s">
        <v>10130</v>
      </c>
      <c r="AC2113" s="82" t="s">
        <v>10144</v>
      </c>
      <c r="AD2113" s="77" t="s">
        <v>10183</v>
      </c>
      <c r="AE2113" s="80" t="str">
        <f>HYPERLINK("https://twitter.com/lialollirbd/status/1632541660260253696")</f>
        <v>https://twitter.com/lialollirbd/status/1632541660260253696</v>
      </c>
      <c r="AF2113" s="79">
        <v>44991.02820601852</v>
      </c>
      <c r="AG2113" s="85">
        <v>44991</v>
      </c>
      <c r="AH2113" s="82" t="s">
        <v>12221</v>
      </c>
      <c r="AI2113" s="77" t="b">
        <v>0</v>
      </c>
      <c r="AJ2113" s="77"/>
      <c r="AK2113" s="77"/>
      <c r="AL2113" s="77"/>
      <c r="AM2113" s="77"/>
      <c r="AN2113" s="77"/>
      <c r="AO2113" s="77"/>
      <c r="AP2113" s="77"/>
      <c r="AQ2113" s="77" t="s">
        <v>15253</v>
      </c>
      <c r="AR2113" s="77"/>
      <c r="AS2113" s="77"/>
      <c r="AT2113" s="77"/>
      <c r="AU2113" s="77"/>
      <c r="AV2113" s="80" t="str">
        <f>HYPERLINK("https://pbs.twimg.com/media/Fqfz_NAWYAEUTZi.jpg")</f>
        <v>https://pbs.twimg.com/media/Fqfz_NAWYAEUTZi.jpg</v>
      </c>
      <c r="AW2113" s="82" t="s">
        <v>18881</v>
      </c>
      <c r="AX2113" s="82" t="s">
        <v>18881</v>
      </c>
      <c r="AY2113" s="77"/>
      <c r="AZ2113" s="82" t="s">
        <v>20971</v>
      </c>
      <c r="BA2113" s="82" t="s">
        <v>20971</v>
      </c>
      <c r="BB2113" s="82" t="s">
        <v>20971</v>
      </c>
      <c r="BC2113" s="82" t="s">
        <v>18881</v>
      </c>
      <c r="BD2113" s="77">
        <v>739277881</v>
      </c>
      <c r="BE2113" s="77"/>
      <c r="BF2113" s="77"/>
      <c r="BG2113" s="77"/>
      <c r="BH2113" s="77"/>
      <c r="BI2113" s="77"/>
    </row>
    <row r="2114" spans="1:61" x14ac:dyDescent="0.25">
      <c r="A2114" s="62" t="s">
        <v>747</v>
      </c>
      <c r="B2114" s="62" t="s">
        <v>747</v>
      </c>
      <c r="C2114" s="63"/>
      <c r="D2114" s="64"/>
      <c r="E2114" s="65"/>
      <c r="F2114" s="66"/>
      <c r="G2114" s="63"/>
      <c r="H2114" s="67"/>
      <c r="I2114" s="68"/>
      <c r="J2114" s="68"/>
      <c r="K2114" s="32"/>
      <c r="L2114" s="75">
        <v>2114</v>
      </c>
      <c r="M2114" s="75"/>
      <c r="N2114" s="70"/>
      <c r="O2114" s="77" t="s">
        <v>179</v>
      </c>
      <c r="P2114" s="79">
        <v>45031.170451388891</v>
      </c>
      <c r="Q2114" s="77" t="s">
        <v>3324</v>
      </c>
      <c r="R2114" s="77">
        <v>0</v>
      </c>
      <c r="S2114" s="77">
        <v>0</v>
      </c>
      <c r="T2114" s="77">
        <v>0</v>
      </c>
      <c r="U2114" s="77">
        <v>0</v>
      </c>
      <c r="V2114" s="77">
        <v>21</v>
      </c>
      <c r="W2114" s="82" t="s">
        <v>6202</v>
      </c>
      <c r="X2114" s="80" t="str">
        <f>HYPERLINK("http://paidviewpoint.com/?r=guig84")</f>
        <v>http://paidviewpoint.com/?r=guig84</v>
      </c>
      <c r="Y2114" s="77" t="s">
        <v>7392</v>
      </c>
      <c r="Z2114" s="77"/>
      <c r="AA2114" s="77"/>
      <c r="AB2114" s="77"/>
      <c r="AC2114" s="82" t="s">
        <v>10145</v>
      </c>
      <c r="AD2114" s="77" t="s">
        <v>10184</v>
      </c>
      <c r="AE2114" s="80" t="str">
        <f>HYPERLINK("https://twitter.com/guig_cbf/status/1647088720347119616")</f>
        <v>https://twitter.com/guig_cbf/status/1647088720347119616</v>
      </c>
      <c r="AF2114" s="79">
        <v>45031.170451388891</v>
      </c>
      <c r="AG2114" s="85">
        <v>45031</v>
      </c>
      <c r="AH2114" s="82" t="s">
        <v>12222</v>
      </c>
      <c r="AI2114" s="77" t="b">
        <v>0</v>
      </c>
      <c r="AJ2114" s="77"/>
      <c r="AK2114" s="77"/>
      <c r="AL2114" s="77"/>
      <c r="AM2114" s="77"/>
      <c r="AN2114" s="77"/>
      <c r="AO2114" s="77"/>
      <c r="AP2114" s="77"/>
      <c r="AQ2114" s="77"/>
      <c r="AR2114" s="77"/>
      <c r="AS2114" s="77"/>
      <c r="AT2114" s="77"/>
      <c r="AU2114" s="77"/>
      <c r="AV2114" s="80" t="str">
        <f>HYPERLINK("https://pbs.twimg.com/profile_images/803615391457148928/_SCT76h1_normal.jpg")</f>
        <v>https://pbs.twimg.com/profile_images/803615391457148928/_SCT76h1_normal.jpg</v>
      </c>
      <c r="AW2114" s="82" t="s">
        <v>18882</v>
      </c>
      <c r="AX2114" s="82" t="s">
        <v>18882</v>
      </c>
      <c r="AY2114" s="77"/>
      <c r="AZ2114" s="82" t="s">
        <v>20971</v>
      </c>
      <c r="BA2114" s="82" t="s">
        <v>20971</v>
      </c>
      <c r="BB2114" s="82" t="s">
        <v>20971</v>
      </c>
      <c r="BC2114" s="82" t="s">
        <v>18882</v>
      </c>
      <c r="BD2114" s="77">
        <v>50683851</v>
      </c>
      <c r="BE2114" s="77"/>
      <c r="BF2114" s="77"/>
      <c r="BG2114" s="77"/>
      <c r="BH2114" s="77"/>
      <c r="BI2114" s="77"/>
    </row>
    <row r="2115" spans="1:61" x14ac:dyDescent="0.25">
      <c r="A2115" s="62" t="s">
        <v>748</v>
      </c>
      <c r="B2115" s="62" t="s">
        <v>748</v>
      </c>
      <c r="C2115" s="63"/>
      <c r="D2115" s="64"/>
      <c r="E2115" s="65"/>
      <c r="F2115" s="66"/>
      <c r="G2115" s="63"/>
      <c r="H2115" s="67"/>
      <c r="I2115" s="68"/>
      <c r="J2115" s="68"/>
      <c r="K2115" s="32"/>
      <c r="L2115" s="75">
        <v>2115</v>
      </c>
      <c r="M2115" s="75"/>
      <c r="N2115" s="70"/>
      <c r="O2115" s="77" t="s">
        <v>179</v>
      </c>
      <c r="P2115" s="79">
        <v>44972.50818287037</v>
      </c>
      <c r="Q2115" s="77" t="s">
        <v>3325</v>
      </c>
      <c r="R2115" s="77">
        <v>0</v>
      </c>
      <c r="S2115" s="77">
        <v>0</v>
      </c>
      <c r="T2115" s="77">
        <v>0</v>
      </c>
      <c r="U2115" s="77">
        <v>0</v>
      </c>
      <c r="V2115" s="77">
        <v>37</v>
      </c>
      <c r="W2115" s="82" t="s">
        <v>5581</v>
      </c>
      <c r="X2115" s="77"/>
      <c r="Y2115" s="77"/>
      <c r="Z2115" s="77"/>
      <c r="AA2115" s="77" t="s">
        <v>8610</v>
      </c>
      <c r="AB2115" s="77" t="s">
        <v>10130</v>
      </c>
      <c r="AC2115" s="82" t="s">
        <v>10144</v>
      </c>
      <c r="AD2115" s="77" t="s">
        <v>10184</v>
      </c>
      <c r="AE2115" s="80" t="str">
        <f>HYPERLINK("https://twitter.com/franmarcolino7/status/1625830229657755651")</f>
        <v>https://twitter.com/franmarcolino7/status/1625830229657755651</v>
      </c>
      <c r="AF2115" s="79">
        <v>44972.50818287037</v>
      </c>
      <c r="AG2115" s="85">
        <v>44972</v>
      </c>
      <c r="AH2115" s="82" t="s">
        <v>12223</v>
      </c>
      <c r="AI2115" s="77" t="b">
        <v>0</v>
      </c>
      <c r="AJ2115" s="77"/>
      <c r="AK2115" s="77"/>
      <c r="AL2115" s="77"/>
      <c r="AM2115" s="77"/>
      <c r="AN2115" s="77"/>
      <c r="AO2115" s="77"/>
      <c r="AP2115" s="77"/>
      <c r="AQ2115" s="77" t="s">
        <v>15254</v>
      </c>
      <c r="AR2115" s="77"/>
      <c r="AS2115" s="77"/>
      <c r="AT2115" s="77"/>
      <c r="AU2115" s="77"/>
      <c r="AV2115" s="80" t="str">
        <f>HYPERLINK("https://pbs.twimg.com/media/FpAb-dvWYAIdB_A.jpg")</f>
        <v>https://pbs.twimg.com/media/FpAb-dvWYAIdB_A.jpg</v>
      </c>
      <c r="AW2115" s="82" t="s">
        <v>18883</v>
      </c>
      <c r="AX2115" s="82" t="s">
        <v>18883</v>
      </c>
      <c r="AY2115" s="77"/>
      <c r="AZ2115" s="82" t="s">
        <v>20971</v>
      </c>
      <c r="BA2115" s="82" t="s">
        <v>20971</v>
      </c>
      <c r="BB2115" s="82" t="s">
        <v>20971</v>
      </c>
      <c r="BC2115" s="82" t="s">
        <v>18883</v>
      </c>
      <c r="BD2115" s="82" t="s">
        <v>21400</v>
      </c>
      <c r="BE2115" s="77"/>
      <c r="BF2115" s="77"/>
      <c r="BG2115" s="77"/>
      <c r="BH2115" s="77"/>
      <c r="BI2115" s="77"/>
    </row>
    <row r="2116" spans="1:61" x14ac:dyDescent="0.25">
      <c r="A2116" s="62" t="s">
        <v>749</v>
      </c>
      <c r="B2116" s="62" t="s">
        <v>749</v>
      </c>
      <c r="C2116" s="63"/>
      <c r="D2116" s="64"/>
      <c r="E2116" s="65"/>
      <c r="F2116" s="66"/>
      <c r="G2116" s="63"/>
      <c r="H2116" s="67"/>
      <c r="I2116" s="68"/>
      <c r="J2116" s="68"/>
      <c r="K2116" s="32"/>
      <c r="L2116" s="75">
        <v>2116</v>
      </c>
      <c r="M2116" s="75"/>
      <c r="N2116" s="70"/>
      <c r="O2116" s="77" t="s">
        <v>179</v>
      </c>
      <c r="P2116" s="79">
        <v>45073.396192129629</v>
      </c>
      <c r="Q2116" s="77" t="s">
        <v>3326</v>
      </c>
      <c r="R2116" s="77">
        <v>0</v>
      </c>
      <c r="S2116" s="77">
        <v>0</v>
      </c>
      <c r="T2116" s="77">
        <v>0</v>
      </c>
      <c r="U2116" s="77">
        <v>0</v>
      </c>
      <c r="V2116" s="77">
        <v>104</v>
      </c>
      <c r="W2116" s="82" t="s">
        <v>6203</v>
      </c>
      <c r="X2116" s="80" t="str">
        <f>HYPERLINK("https://youtu.be/zcrQfZGuryU")</f>
        <v>https://youtu.be/zcrQfZGuryU</v>
      </c>
      <c r="Y2116" s="77" t="s">
        <v>7248</v>
      </c>
      <c r="Z2116" s="77"/>
      <c r="AA2116" s="77"/>
      <c r="AB2116" s="77"/>
      <c r="AC2116" s="82" t="s">
        <v>10144</v>
      </c>
      <c r="AD2116" s="77" t="s">
        <v>10184</v>
      </c>
      <c r="AE2116" s="80" t="str">
        <f>HYPERLINK("https://twitter.com/eddyesteinford/status/1662390817082753025")</f>
        <v>https://twitter.com/eddyesteinford/status/1662390817082753025</v>
      </c>
      <c r="AF2116" s="79">
        <v>45073.396192129629</v>
      </c>
      <c r="AG2116" s="85">
        <v>45073</v>
      </c>
      <c r="AH2116" s="82" t="s">
        <v>12224</v>
      </c>
      <c r="AI2116" s="77" t="b">
        <v>1</v>
      </c>
      <c r="AJ2116" s="77"/>
      <c r="AK2116" s="77"/>
      <c r="AL2116" s="77"/>
      <c r="AM2116" s="77"/>
      <c r="AN2116" s="77"/>
      <c r="AO2116" s="77"/>
      <c r="AP2116" s="77"/>
      <c r="AQ2116" s="77"/>
      <c r="AR2116" s="77"/>
      <c r="AS2116" s="77"/>
      <c r="AT2116" s="77"/>
      <c r="AU2116" s="77"/>
      <c r="AV2116" s="80" t="str">
        <f>HYPERLINK("https://pbs.twimg.com/profile_images/1546362298624839680/3nSKZ6KH_normal.jpg")</f>
        <v>https://pbs.twimg.com/profile_images/1546362298624839680/3nSKZ6KH_normal.jpg</v>
      </c>
      <c r="AW2116" s="82" t="s">
        <v>18884</v>
      </c>
      <c r="AX2116" s="82" t="s">
        <v>18884</v>
      </c>
      <c r="AY2116" s="77"/>
      <c r="AZ2116" s="82" t="s">
        <v>20971</v>
      </c>
      <c r="BA2116" s="82" t="s">
        <v>20971</v>
      </c>
      <c r="BB2116" s="82" t="s">
        <v>20971</v>
      </c>
      <c r="BC2116" s="82" t="s">
        <v>18884</v>
      </c>
      <c r="BD2116" s="82" t="s">
        <v>21401</v>
      </c>
      <c r="BE2116" s="77"/>
      <c r="BF2116" s="77"/>
      <c r="BG2116" s="77"/>
      <c r="BH2116" s="77"/>
      <c r="BI2116" s="77"/>
    </row>
    <row r="2117" spans="1:61" x14ac:dyDescent="0.25">
      <c r="A2117" s="62" t="s">
        <v>750</v>
      </c>
      <c r="B2117" s="62" t="s">
        <v>750</v>
      </c>
      <c r="C2117" s="63"/>
      <c r="D2117" s="64"/>
      <c r="E2117" s="65"/>
      <c r="F2117" s="66"/>
      <c r="G2117" s="63"/>
      <c r="H2117" s="67"/>
      <c r="I2117" s="68"/>
      <c r="J2117" s="68"/>
      <c r="K2117" s="32"/>
      <c r="L2117" s="75">
        <v>2117</v>
      </c>
      <c r="M2117" s="75"/>
      <c r="N2117" s="70"/>
      <c r="O2117" s="77" t="s">
        <v>179</v>
      </c>
      <c r="P2117" s="79">
        <v>45191.763356481482</v>
      </c>
      <c r="Q2117" s="77" t="s">
        <v>3327</v>
      </c>
      <c r="R2117" s="77">
        <v>0</v>
      </c>
      <c r="S2117" s="77">
        <v>0</v>
      </c>
      <c r="T2117" s="77">
        <v>0</v>
      </c>
      <c r="U2117" s="77">
        <v>0</v>
      </c>
      <c r="V2117" s="77">
        <v>56</v>
      </c>
      <c r="W2117" s="82" t="s">
        <v>6204</v>
      </c>
      <c r="X2117" s="80" t="str">
        <f>HYPERLINK("https://bit.ly/Ebookdotrader")</f>
        <v>https://bit.ly/Ebookdotrader</v>
      </c>
      <c r="Y2117" s="77" t="s">
        <v>7268</v>
      </c>
      <c r="Z2117" s="77"/>
      <c r="AA2117" s="77" t="s">
        <v>8611</v>
      </c>
      <c r="AB2117" s="77" t="s">
        <v>10129</v>
      </c>
      <c r="AC2117" s="82" t="s">
        <v>10144</v>
      </c>
      <c r="AD2117" s="77" t="s">
        <v>10184</v>
      </c>
      <c r="AE2117" s="80" t="str">
        <f>HYPERLINK("https://twitter.com/aleffaugustov/status/1705285642362429564")</f>
        <v>https://twitter.com/aleffaugustov/status/1705285642362429564</v>
      </c>
      <c r="AF2117" s="79">
        <v>45191.763356481482</v>
      </c>
      <c r="AG2117" s="85">
        <v>45191</v>
      </c>
      <c r="AH2117" s="82" t="s">
        <v>12225</v>
      </c>
      <c r="AI2117" s="77" t="b">
        <v>0</v>
      </c>
      <c r="AJ2117" s="77"/>
      <c r="AK2117" s="77"/>
      <c r="AL2117" s="77"/>
      <c r="AM2117" s="77"/>
      <c r="AN2117" s="77"/>
      <c r="AO2117" s="77"/>
      <c r="AP2117" s="77"/>
      <c r="AQ2117" s="77" t="s">
        <v>15255</v>
      </c>
      <c r="AR2117" s="77">
        <v>44790</v>
      </c>
      <c r="AS2117" s="77"/>
      <c r="AT2117" s="77"/>
      <c r="AU2117" s="77"/>
      <c r="AV2117" s="80" t="str">
        <f>HYPERLINK("https://pbs.twimg.com/ext_tw_video_thumb/1705285570593792001/pu/img/MLYZtCkjUpjE2VkO.jpg")</f>
        <v>https://pbs.twimg.com/ext_tw_video_thumb/1705285570593792001/pu/img/MLYZtCkjUpjE2VkO.jpg</v>
      </c>
      <c r="AW2117" s="82" t="s">
        <v>18885</v>
      </c>
      <c r="AX2117" s="82" t="s">
        <v>18885</v>
      </c>
      <c r="AY2117" s="77"/>
      <c r="AZ2117" s="82" t="s">
        <v>20971</v>
      </c>
      <c r="BA2117" s="82" t="s">
        <v>20971</v>
      </c>
      <c r="BB2117" s="82" t="s">
        <v>20971</v>
      </c>
      <c r="BC2117" s="82" t="s">
        <v>18885</v>
      </c>
      <c r="BD2117" s="82" t="s">
        <v>21402</v>
      </c>
      <c r="BE2117" s="77"/>
      <c r="BF2117" s="77"/>
      <c r="BG2117" s="77"/>
      <c r="BH2117" s="77"/>
      <c r="BI2117" s="77"/>
    </row>
    <row r="2118" spans="1:61" x14ac:dyDescent="0.25">
      <c r="A2118" s="62" t="s">
        <v>750</v>
      </c>
      <c r="B2118" s="62" t="s">
        <v>750</v>
      </c>
      <c r="C2118" s="63"/>
      <c r="D2118" s="64"/>
      <c r="E2118" s="65"/>
      <c r="F2118" s="66"/>
      <c r="G2118" s="63"/>
      <c r="H2118" s="67"/>
      <c r="I2118" s="68"/>
      <c r="J2118" s="68"/>
      <c r="K2118" s="32"/>
      <c r="L2118" s="75">
        <v>2118</v>
      </c>
      <c r="M2118" s="75"/>
      <c r="N2118" s="70"/>
      <c r="O2118" s="77" t="s">
        <v>179</v>
      </c>
      <c r="P2118" s="79">
        <v>45190.025949074072</v>
      </c>
      <c r="Q2118" s="77" t="s">
        <v>3328</v>
      </c>
      <c r="R2118" s="77">
        <v>0</v>
      </c>
      <c r="S2118" s="77">
        <v>0</v>
      </c>
      <c r="T2118" s="77">
        <v>0</v>
      </c>
      <c r="U2118" s="77">
        <v>0</v>
      </c>
      <c r="V2118" s="77">
        <v>84</v>
      </c>
      <c r="W2118" s="82" t="s">
        <v>6205</v>
      </c>
      <c r="X2118" s="80" t="str">
        <f>HYPERLINK("https://pay.kiwify.com.br/gUdbKaC?afid=Uzh2CYdp")</f>
        <v>https://pay.kiwify.com.br/gUdbKaC?afid=Uzh2CYdp</v>
      </c>
      <c r="Y2118" s="77" t="s">
        <v>7252</v>
      </c>
      <c r="Z2118" s="77"/>
      <c r="AA2118" s="77" t="s">
        <v>8612</v>
      </c>
      <c r="AB2118" s="77" t="s">
        <v>10130</v>
      </c>
      <c r="AC2118" s="82" t="s">
        <v>10144</v>
      </c>
      <c r="AD2118" s="77" t="s">
        <v>10184</v>
      </c>
      <c r="AE2118" s="80" t="str">
        <f>HYPERLINK("https://twitter.com/aleffaugustov/status/1704656027830870165")</f>
        <v>https://twitter.com/aleffaugustov/status/1704656027830870165</v>
      </c>
      <c r="AF2118" s="79">
        <v>45190.025949074072</v>
      </c>
      <c r="AG2118" s="85">
        <v>45190</v>
      </c>
      <c r="AH2118" s="82" t="s">
        <v>12226</v>
      </c>
      <c r="AI2118" s="77" t="b">
        <v>0</v>
      </c>
      <c r="AJ2118" s="77"/>
      <c r="AK2118" s="77"/>
      <c r="AL2118" s="77"/>
      <c r="AM2118" s="77"/>
      <c r="AN2118" s="77"/>
      <c r="AO2118" s="77"/>
      <c r="AP2118" s="77"/>
      <c r="AQ2118" s="77" t="s">
        <v>15256</v>
      </c>
      <c r="AR2118" s="77"/>
      <c r="AS2118" s="77"/>
      <c r="AT2118" s="77"/>
      <c r="AU2118" s="77"/>
      <c r="AV2118" s="80" t="str">
        <f>HYPERLINK("https://pbs.twimg.com/media/F6gnn6rWcAAxZZK.jpg")</f>
        <v>https://pbs.twimg.com/media/F6gnn6rWcAAxZZK.jpg</v>
      </c>
      <c r="AW2118" s="82" t="s">
        <v>18886</v>
      </c>
      <c r="AX2118" s="82" t="s">
        <v>18886</v>
      </c>
      <c r="AY2118" s="77"/>
      <c r="AZ2118" s="82" t="s">
        <v>20971</v>
      </c>
      <c r="BA2118" s="82" t="s">
        <v>20971</v>
      </c>
      <c r="BB2118" s="82" t="s">
        <v>20971</v>
      </c>
      <c r="BC2118" s="82" t="s">
        <v>18886</v>
      </c>
      <c r="BD2118" s="82" t="s">
        <v>21402</v>
      </c>
      <c r="BE2118" s="77"/>
      <c r="BF2118" s="77"/>
      <c r="BG2118" s="77"/>
      <c r="BH2118" s="77"/>
      <c r="BI2118" s="77"/>
    </row>
    <row r="2119" spans="1:61" x14ac:dyDescent="0.25">
      <c r="A2119" s="62" t="s">
        <v>750</v>
      </c>
      <c r="B2119" s="62" t="s">
        <v>750</v>
      </c>
      <c r="C2119" s="63"/>
      <c r="D2119" s="64"/>
      <c r="E2119" s="65"/>
      <c r="F2119" s="66"/>
      <c r="G2119" s="63"/>
      <c r="H2119" s="67"/>
      <c r="I2119" s="68"/>
      <c r="J2119" s="68"/>
      <c r="K2119" s="32"/>
      <c r="L2119" s="75">
        <v>2119</v>
      </c>
      <c r="M2119" s="75"/>
      <c r="N2119" s="70"/>
      <c r="O2119" s="77" t="s">
        <v>179</v>
      </c>
      <c r="P2119" s="79">
        <v>45193.592962962961</v>
      </c>
      <c r="Q2119" s="77" t="s">
        <v>3329</v>
      </c>
      <c r="R2119" s="77">
        <v>0</v>
      </c>
      <c r="S2119" s="77">
        <v>0</v>
      </c>
      <c r="T2119" s="77">
        <v>0</v>
      </c>
      <c r="U2119" s="77">
        <v>0</v>
      </c>
      <c r="V2119" s="77">
        <v>64</v>
      </c>
      <c r="W2119" s="82" t="s">
        <v>6206</v>
      </c>
      <c r="X2119" s="80" t="str">
        <f>HYPERLINK("http://blaze-1.com/r/jZYD7")</f>
        <v>http://blaze-1.com/r/jZYD7</v>
      </c>
      <c r="Y2119" s="77" t="s">
        <v>7393</v>
      </c>
      <c r="Z2119" s="77"/>
      <c r="AA2119" s="77" t="s">
        <v>8613</v>
      </c>
      <c r="AB2119" s="77" t="s">
        <v>10129</v>
      </c>
      <c r="AC2119" s="82" t="s">
        <v>10144</v>
      </c>
      <c r="AD2119" s="77" t="s">
        <v>10184</v>
      </c>
      <c r="AE2119" s="80" t="str">
        <f>HYPERLINK("https://twitter.com/aleffaugustov/status/1705948670607200592")</f>
        <v>https://twitter.com/aleffaugustov/status/1705948670607200592</v>
      </c>
      <c r="AF2119" s="79">
        <v>45193.592962962961</v>
      </c>
      <c r="AG2119" s="85">
        <v>45193</v>
      </c>
      <c r="AH2119" s="82" t="s">
        <v>12227</v>
      </c>
      <c r="AI2119" s="77" t="b">
        <v>0</v>
      </c>
      <c r="AJ2119" s="77"/>
      <c r="AK2119" s="77"/>
      <c r="AL2119" s="77"/>
      <c r="AM2119" s="77"/>
      <c r="AN2119" s="77"/>
      <c r="AO2119" s="77"/>
      <c r="AP2119" s="77"/>
      <c r="AQ2119" s="77" t="s">
        <v>15257</v>
      </c>
      <c r="AR2119" s="77">
        <v>43303</v>
      </c>
      <c r="AS2119" s="77"/>
      <c r="AT2119" s="77"/>
      <c r="AU2119" s="77"/>
      <c r="AV2119" s="80" t="str">
        <f>HYPERLINK("https://pbs.twimg.com/ext_tw_video_thumb/1705948630199275520/pu/img/XgTxs7BKXWu3kGVI.jpg")</f>
        <v>https://pbs.twimg.com/ext_tw_video_thumb/1705948630199275520/pu/img/XgTxs7BKXWu3kGVI.jpg</v>
      </c>
      <c r="AW2119" s="82" t="s">
        <v>18887</v>
      </c>
      <c r="AX2119" s="82" t="s">
        <v>18887</v>
      </c>
      <c r="AY2119" s="77"/>
      <c r="AZ2119" s="82" t="s">
        <v>20971</v>
      </c>
      <c r="BA2119" s="82" t="s">
        <v>20971</v>
      </c>
      <c r="BB2119" s="82" t="s">
        <v>20971</v>
      </c>
      <c r="BC2119" s="82" t="s">
        <v>18887</v>
      </c>
      <c r="BD2119" s="82" t="s">
        <v>21402</v>
      </c>
      <c r="BE2119" s="77"/>
      <c r="BF2119" s="77"/>
      <c r="BG2119" s="77"/>
      <c r="BH2119" s="77"/>
      <c r="BI2119" s="77"/>
    </row>
    <row r="2120" spans="1:61" x14ac:dyDescent="0.25">
      <c r="A2120" s="62" t="s">
        <v>751</v>
      </c>
      <c r="B2120" s="62" t="s">
        <v>751</v>
      </c>
      <c r="C2120" s="63"/>
      <c r="D2120" s="64"/>
      <c r="E2120" s="65"/>
      <c r="F2120" s="66"/>
      <c r="G2120" s="63"/>
      <c r="H2120" s="67"/>
      <c r="I2120" s="68"/>
      <c r="J2120" s="68"/>
      <c r="K2120" s="32"/>
      <c r="L2120" s="75">
        <v>2120</v>
      </c>
      <c r="M2120" s="75"/>
      <c r="N2120" s="70"/>
      <c r="O2120" s="77" t="s">
        <v>179</v>
      </c>
      <c r="P2120" s="79">
        <v>45071.169282407405</v>
      </c>
      <c r="Q2120" s="77" t="s">
        <v>3330</v>
      </c>
      <c r="R2120" s="77">
        <v>0</v>
      </c>
      <c r="S2120" s="77">
        <v>0</v>
      </c>
      <c r="T2120" s="77">
        <v>0</v>
      </c>
      <c r="U2120" s="77">
        <v>0</v>
      </c>
      <c r="V2120" s="77">
        <v>10</v>
      </c>
      <c r="W2120" s="82" t="s">
        <v>6207</v>
      </c>
      <c r="X2120" s="80" t="str">
        <f>HYPERLINK("https://todosnospodemos.com.br/cadastro/43604")</f>
        <v>https://todosnospodemos.com.br/cadastro/43604</v>
      </c>
      <c r="Y2120" s="77" t="s">
        <v>7252</v>
      </c>
      <c r="Z2120" s="77"/>
      <c r="AA2120" s="77" t="s">
        <v>8614</v>
      </c>
      <c r="AB2120" s="77" t="s">
        <v>10130</v>
      </c>
      <c r="AC2120" s="82" t="s">
        <v>10145</v>
      </c>
      <c r="AD2120" s="77" t="s">
        <v>10184</v>
      </c>
      <c r="AE2120" s="80" t="str">
        <f>HYPERLINK("https://twitter.com/nilsongarciar/status/1661583813137293313")</f>
        <v>https://twitter.com/nilsongarciar/status/1661583813137293313</v>
      </c>
      <c r="AF2120" s="79">
        <v>45071.169282407405</v>
      </c>
      <c r="AG2120" s="85">
        <v>45071</v>
      </c>
      <c r="AH2120" s="82" t="s">
        <v>12228</v>
      </c>
      <c r="AI2120" s="77" t="b">
        <v>0</v>
      </c>
      <c r="AJ2120" s="77"/>
      <c r="AK2120" s="77"/>
      <c r="AL2120" s="77"/>
      <c r="AM2120" s="77"/>
      <c r="AN2120" s="77"/>
      <c r="AO2120" s="77"/>
      <c r="AP2120" s="77"/>
      <c r="AQ2120" s="77" t="s">
        <v>15258</v>
      </c>
      <c r="AR2120" s="77"/>
      <c r="AS2120" s="77"/>
      <c r="AT2120" s="77"/>
      <c r="AU2120" s="77"/>
      <c r="AV2120" s="80" t="str">
        <f>HYPERLINK("https://pbs.twimg.com/media/Fw8hqsCXoAAawUJ.jpg")</f>
        <v>https://pbs.twimg.com/media/Fw8hqsCXoAAawUJ.jpg</v>
      </c>
      <c r="AW2120" s="82" t="s">
        <v>18888</v>
      </c>
      <c r="AX2120" s="82" t="s">
        <v>18888</v>
      </c>
      <c r="AY2120" s="77"/>
      <c r="AZ2120" s="82" t="s">
        <v>20971</v>
      </c>
      <c r="BA2120" s="82" t="s">
        <v>20971</v>
      </c>
      <c r="BB2120" s="82" t="s">
        <v>20971</v>
      </c>
      <c r="BC2120" s="82" t="s">
        <v>18888</v>
      </c>
      <c r="BD2120" s="77">
        <v>223127376</v>
      </c>
      <c r="BE2120" s="77"/>
      <c r="BF2120" s="77"/>
      <c r="BG2120" s="77"/>
      <c r="BH2120" s="77"/>
      <c r="BI2120" s="77"/>
    </row>
    <row r="2121" spans="1:61" x14ac:dyDescent="0.25">
      <c r="A2121" s="62" t="s">
        <v>752</v>
      </c>
      <c r="B2121" s="62" t="s">
        <v>752</v>
      </c>
      <c r="C2121" s="63"/>
      <c r="D2121" s="64"/>
      <c r="E2121" s="65"/>
      <c r="F2121" s="66"/>
      <c r="G2121" s="63"/>
      <c r="H2121" s="67"/>
      <c r="I2121" s="68"/>
      <c r="J2121" s="68"/>
      <c r="K2121" s="32"/>
      <c r="L2121" s="75">
        <v>2121</v>
      </c>
      <c r="M2121" s="75"/>
      <c r="N2121" s="70"/>
      <c r="O2121" s="77" t="s">
        <v>179</v>
      </c>
      <c r="P2121" s="79">
        <v>45062.180590277778</v>
      </c>
      <c r="Q2121" s="77" t="s">
        <v>3331</v>
      </c>
      <c r="R2121" s="77">
        <v>1</v>
      </c>
      <c r="S2121" s="77">
        <v>2</v>
      </c>
      <c r="T2121" s="77">
        <v>0</v>
      </c>
      <c r="U2121" s="77">
        <v>0</v>
      </c>
      <c r="V2121" s="77">
        <v>55</v>
      </c>
      <c r="W2121" s="82" t="s">
        <v>6208</v>
      </c>
      <c r="X2121" s="80" t="str">
        <f>HYPERLINK("https://hotm.art/CursoVasos")</f>
        <v>https://hotm.art/CursoVasos</v>
      </c>
      <c r="Y2121" s="77" t="s">
        <v>7260</v>
      </c>
      <c r="Z2121" s="77"/>
      <c r="AA2121" s="77" t="s">
        <v>8615</v>
      </c>
      <c r="AB2121" s="77" t="s">
        <v>10129</v>
      </c>
      <c r="AC2121" s="82" t="s">
        <v>10144</v>
      </c>
      <c r="AD2121" s="77" t="s">
        <v>10184</v>
      </c>
      <c r="AE2121" s="80" t="str">
        <f>HYPERLINK("https://twitter.com/vasosplantas/status/1658326421842927616")</f>
        <v>https://twitter.com/vasosplantas/status/1658326421842927616</v>
      </c>
      <c r="AF2121" s="79">
        <v>45062.180590277778</v>
      </c>
      <c r="AG2121" s="85">
        <v>45062</v>
      </c>
      <c r="AH2121" s="82" t="s">
        <v>12229</v>
      </c>
      <c r="AI2121" s="77" t="b">
        <v>0</v>
      </c>
      <c r="AJ2121" s="77"/>
      <c r="AK2121" s="77"/>
      <c r="AL2121" s="77"/>
      <c r="AM2121" s="77"/>
      <c r="AN2121" s="77"/>
      <c r="AO2121" s="77"/>
      <c r="AP2121" s="77"/>
      <c r="AQ2121" s="77" t="s">
        <v>15259</v>
      </c>
      <c r="AR2121" s="77">
        <v>8900</v>
      </c>
      <c r="AS2121" s="77"/>
      <c r="AT2121" s="77"/>
      <c r="AU2121" s="77"/>
      <c r="AV2121" s="80" t="str">
        <f>HYPERLINK("https://pbs.twimg.com/ext_tw_video_thumb/1658326382043099139/pu/img/JCnLw_9UjSM7Msni.jpg")</f>
        <v>https://pbs.twimg.com/ext_tw_video_thumb/1658326382043099139/pu/img/JCnLw_9UjSM7Msni.jpg</v>
      </c>
      <c r="AW2121" s="82" t="s">
        <v>18889</v>
      </c>
      <c r="AX2121" s="82" t="s">
        <v>18889</v>
      </c>
      <c r="AY2121" s="77"/>
      <c r="AZ2121" s="82" t="s">
        <v>20971</v>
      </c>
      <c r="BA2121" s="82" t="s">
        <v>20971</v>
      </c>
      <c r="BB2121" s="82" t="s">
        <v>20971</v>
      </c>
      <c r="BC2121" s="82" t="s">
        <v>18889</v>
      </c>
      <c r="BD2121" s="82" t="s">
        <v>21403</v>
      </c>
      <c r="BE2121" s="77"/>
      <c r="BF2121" s="77"/>
      <c r="BG2121" s="77"/>
      <c r="BH2121" s="77"/>
      <c r="BI2121" s="77"/>
    </row>
    <row r="2122" spans="1:61" x14ac:dyDescent="0.25">
      <c r="A2122" s="62" t="s">
        <v>753</v>
      </c>
      <c r="B2122" s="62" t="s">
        <v>753</v>
      </c>
      <c r="C2122" s="63"/>
      <c r="D2122" s="64"/>
      <c r="E2122" s="65"/>
      <c r="F2122" s="66"/>
      <c r="G2122" s="63"/>
      <c r="H2122" s="67"/>
      <c r="I2122" s="68"/>
      <c r="J2122" s="68"/>
      <c r="K2122" s="32"/>
      <c r="L2122" s="75">
        <v>2122</v>
      </c>
      <c r="M2122" s="75"/>
      <c r="N2122" s="70"/>
      <c r="O2122" s="77" t="s">
        <v>179</v>
      </c>
      <c r="P2122" s="79">
        <v>45020.750567129631</v>
      </c>
      <c r="Q2122" s="77" t="s">
        <v>3332</v>
      </c>
      <c r="R2122" s="77">
        <v>0</v>
      </c>
      <c r="S2122" s="77">
        <v>0</v>
      </c>
      <c r="T2122" s="77">
        <v>0</v>
      </c>
      <c r="U2122" s="77">
        <v>0</v>
      </c>
      <c r="V2122" s="77">
        <v>43</v>
      </c>
      <c r="W2122" s="82" t="s">
        <v>6209</v>
      </c>
      <c r="X2122" s="77"/>
      <c r="Y2122" s="77"/>
      <c r="Z2122" s="77"/>
      <c r="AA2122" s="77" t="s">
        <v>8616</v>
      </c>
      <c r="AB2122" s="77" t="s">
        <v>10130</v>
      </c>
      <c r="AC2122" s="82" t="s">
        <v>10147</v>
      </c>
      <c r="AD2122" s="77" t="s">
        <v>10184</v>
      </c>
      <c r="AE2122" s="80" t="str">
        <f>HYPERLINK("https://twitter.com/gcf_brasil/status/1643312680822775810")</f>
        <v>https://twitter.com/gcf_brasil/status/1643312680822775810</v>
      </c>
      <c r="AF2122" s="79">
        <v>45020.750567129631</v>
      </c>
      <c r="AG2122" s="85">
        <v>45020</v>
      </c>
      <c r="AH2122" s="82" t="s">
        <v>12230</v>
      </c>
      <c r="AI2122" s="77" t="b">
        <v>0</v>
      </c>
      <c r="AJ2122" s="77"/>
      <c r="AK2122" s="77"/>
      <c r="AL2122" s="77"/>
      <c r="AM2122" s="77"/>
      <c r="AN2122" s="77"/>
      <c r="AO2122" s="77"/>
      <c r="AP2122" s="77"/>
      <c r="AQ2122" s="77" t="s">
        <v>15260</v>
      </c>
      <c r="AR2122" s="77"/>
      <c r="AS2122" s="77"/>
      <c r="AT2122" s="77"/>
      <c r="AU2122" s="77"/>
      <c r="AV2122" s="80" t="str">
        <f>HYPERLINK("https://pbs.twimg.com/media/Fs44LL5WIBMkYNZ.jpg")</f>
        <v>https://pbs.twimg.com/media/Fs44LL5WIBMkYNZ.jpg</v>
      </c>
      <c r="AW2122" s="82" t="s">
        <v>18890</v>
      </c>
      <c r="AX2122" s="82" t="s">
        <v>18890</v>
      </c>
      <c r="AY2122" s="77"/>
      <c r="AZ2122" s="82" t="s">
        <v>20971</v>
      </c>
      <c r="BA2122" s="82" t="s">
        <v>20971</v>
      </c>
      <c r="BB2122" s="82" t="s">
        <v>20971</v>
      </c>
      <c r="BC2122" s="82" t="s">
        <v>18890</v>
      </c>
      <c r="BD2122" s="82" t="s">
        <v>21404</v>
      </c>
      <c r="BE2122" s="77"/>
      <c r="BF2122" s="77"/>
      <c r="BG2122" s="77"/>
      <c r="BH2122" s="77"/>
      <c r="BI2122" s="77"/>
    </row>
    <row r="2123" spans="1:61" x14ac:dyDescent="0.25">
      <c r="A2123" s="62" t="s">
        <v>754</v>
      </c>
      <c r="B2123" s="62" t="s">
        <v>754</v>
      </c>
      <c r="C2123" s="63"/>
      <c r="D2123" s="64"/>
      <c r="E2123" s="65"/>
      <c r="F2123" s="66"/>
      <c r="G2123" s="63"/>
      <c r="H2123" s="67"/>
      <c r="I2123" s="68"/>
      <c r="J2123" s="68"/>
      <c r="K2123" s="32"/>
      <c r="L2123" s="75">
        <v>2123</v>
      </c>
      <c r="M2123" s="75"/>
      <c r="N2123" s="70"/>
      <c r="O2123" s="77" t="s">
        <v>1284</v>
      </c>
      <c r="P2123" s="79">
        <v>44984.569027777776</v>
      </c>
      <c r="Q2123" s="77" t="s">
        <v>3333</v>
      </c>
      <c r="R2123" s="77">
        <v>0</v>
      </c>
      <c r="S2123" s="77">
        <v>1</v>
      </c>
      <c r="T2123" s="77">
        <v>0</v>
      </c>
      <c r="U2123" s="77">
        <v>0</v>
      </c>
      <c r="V2123" s="77">
        <v>41</v>
      </c>
      <c r="W2123" s="82" t="s">
        <v>6210</v>
      </c>
      <c r="X2123" s="77"/>
      <c r="Y2123" s="77"/>
      <c r="Z2123" s="77"/>
      <c r="AA2123" s="77"/>
      <c r="AB2123" s="77"/>
      <c r="AC2123" s="82" t="s">
        <v>10144</v>
      </c>
      <c r="AD2123" s="77" t="s">
        <v>10184</v>
      </c>
      <c r="AE2123" s="80" t="str">
        <f>HYPERLINK("https://twitter.com/semchefe_/status/1630200933224267778")</f>
        <v>https://twitter.com/semchefe_/status/1630200933224267778</v>
      </c>
      <c r="AF2123" s="79">
        <v>44984.569027777776</v>
      </c>
      <c r="AG2123" s="85">
        <v>44984</v>
      </c>
      <c r="AH2123" s="82" t="s">
        <v>12231</v>
      </c>
      <c r="AI2123" s="77"/>
      <c r="AJ2123" s="77"/>
      <c r="AK2123" s="77"/>
      <c r="AL2123" s="77"/>
      <c r="AM2123" s="77"/>
      <c r="AN2123" s="77"/>
      <c r="AO2123" s="77"/>
      <c r="AP2123" s="77"/>
      <c r="AQ2123" s="77"/>
      <c r="AR2123" s="77"/>
      <c r="AS2123" s="77"/>
      <c r="AT2123" s="77"/>
      <c r="AU2123" s="77"/>
      <c r="AV2123" s="80" t="str">
        <f>HYPERLINK("https://pbs.twimg.com/profile_images/1549035851241426944/2ALbpz5D_normal.jpg")</f>
        <v>https://pbs.twimg.com/profile_images/1549035851241426944/2ALbpz5D_normal.jpg</v>
      </c>
      <c r="AW2123" s="82" t="s">
        <v>18891</v>
      </c>
      <c r="AX2123" s="82" t="s">
        <v>20863</v>
      </c>
      <c r="AY2123" s="82" t="s">
        <v>20946</v>
      </c>
      <c r="AZ2123" s="82" t="s">
        <v>20993</v>
      </c>
      <c r="BA2123" s="82" t="s">
        <v>20971</v>
      </c>
      <c r="BB2123" s="82" t="s">
        <v>20971</v>
      </c>
      <c r="BC2123" s="82" t="s">
        <v>20993</v>
      </c>
      <c r="BD2123" s="82" t="s">
        <v>20946</v>
      </c>
      <c r="BE2123" s="77"/>
      <c r="BF2123" s="77"/>
      <c r="BG2123" s="77"/>
      <c r="BH2123" s="77"/>
      <c r="BI2123" s="77"/>
    </row>
    <row r="2124" spans="1:61" x14ac:dyDescent="0.25">
      <c r="A2124" s="62" t="s">
        <v>754</v>
      </c>
      <c r="B2124" s="62" t="s">
        <v>754</v>
      </c>
      <c r="C2124" s="63"/>
      <c r="D2124" s="64"/>
      <c r="E2124" s="65"/>
      <c r="F2124" s="66"/>
      <c r="G2124" s="63"/>
      <c r="H2124" s="67"/>
      <c r="I2124" s="68"/>
      <c r="J2124" s="68"/>
      <c r="K2124" s="32"/>
      <c r="L2124" s="75">
        <v>2124</v>
      </c>
      <c r="M2124" s="75"/>
      <c r="N2124" s="70"/>
      <c r="O2124" s="77" t="s">
        <v>1284</v>
      </c>
      <c r="P2124" s="79">
        <v>45019.523668981485</v>
      </c>
      <c r="Q2124" s="77" t="s">
        <v>3334</v>
      </c>
      <c r="R2124" s="77">
        <v>0</v>
      </c>
      <c r="S2124" s="77">
        <v>0</v>
      </c>
      <c r="T2124" s="77">
        <v>1</v>
      </c>
      <c r="U2124" s="77">
        <v>1</v>
      </c>
      <c r="V2124" s="77">
        <v>45</v>
      </c>
      <c r="W2124" s="82" t="s">
        <v>6211</v>
      </c>
      <c r="X2124" s="77"/>
      <c r="Y2124" s="77"/>
      <c r="Z2124" s="77"/>
      <c r="AA2124" s="77"/>
      <c r="AB2124" s="77"/>
      <c r="AC2124" s="82" t="s">
        <v>10144</v>
      </c>
      <c r="AD2124" s="77" t="s">
        <v>10184</v>
      </c>
      <c r="AE2124" s="80" t="str">
        <f>HYPERLINK("https://twitter.com/semchefe_/status/1642868071395213313")</f>
        <v>https://twitter.com/semchefe_/status/1642868071395213313</v>
      </c>
      <c r="AF2124" s="79">
        <v>45019.523668981485</v>
      </c>
      <c r="AG2124" s="85">
        <v>45019</v>
      </c>
      <c r="AH2124" s="82" t="s">
        <v>12232</v>
      </c>
      <c r="AI2124" s="77"/>
      <c r="AJ2124" s="77"/>
      <c r="AK2124" s="77"/>
      <c r="AL2124" s="77"/>
      <c r="AM2124" s="77"/>
      <c r="AN2124" s="77"/>
      <c r="AO2124" s="77"/>
      <c r="AP2124" s="77"/>
      <c r="AQ2124" s="77"/>
      <c r="AR2124" s="77"/>
      <c r="AS2124" s="77"/>
      <c r="AT2124" s="77"/>
      <c r="AU2124" s="77"/>
      <c r="AV2124" s="80" t="str">
        <f>HYPERLINK("https://pbs.twimg.com/profile_images/1549035851241426944/2ALbpz5D_normal.jpg")</f>
        <v>https://pbs.twimg.com/profile_images/1549035851241426944/2ALbpz5D_normal.jpg</v>
      </c>
      <c r="AW2124" s="82" t="s">
        <v>18892</v>
      </c>
      <c r="AX2124" s="82" t="s">
        <v>20864</v>
      </c>
      <c r="AY2124" s="82" t="s">
        <v>20946</v>
      </c>
      <c r="AZ2124" s="82" t="s">
        <v>20994</v>
      </c>
      <c r="BA2124" s="82" t="s">
        <v>20971</v>
      </c>
      <c r="BB2124" s="82" t="s">
        <v>20971</v>
      </c>
      <c r="BC2124" s="82" t="s">
        <v>20994</v>
      </c>
      <c r="BD2124" s="82" t="s">
        <v>20946</v>
      </c>
      <c r="BE2124" s="77"/>
      <c r="BF2124" s="77"/>
      <c r="BG2124" s="77"/>
      <c r="BH2124" s="77"/>
      <c r="BI2124" s="77"/>
    </row>
    <row r="2125" spans="1:61" x14ac:dyDescent="0.25">
      <c r="A2125" s="62" t="s">
        <v>755</v>
      </c>
      <c r="B2125" s="62" t="s">
        <v>755</v>
      </c>
      <c r="C2125" s="63"/>
      <c r="D2125" s="64"/>
      <c r="E2125" s="65"/>
      <c r="F2125" s="66"/>
      <c r="G2125" s="63"/>
      <c r="H2125" s="67"/>
      <c r="I2125" s="68"/>
      <c r="J2125" s="68"/>
      <c r="K2125" s="32"/>
      <c r="L2125" s="75">
        <v>2125</v>
      </c>
      <c r="M2125" s="75"/>
      <c r="N2125" s="70"/>
      <c r="O2125" s="77" t="s">
        <v>179</v>
      </c>
      <c r="P2125" s="79">
        <v>45196.637511574074</v>
      </c>
      <c r="Q2125" s="77" t="s">
        <v>3335</v>
      </c>
      <c r="R2125" s="77">
        <v>0</v>
      </c>
      <c r="S2125" s="77">
        <v>0</v>
      </c>
      <c r="T2125" s="77">
        <v>0</v>
      </c>
      <c r="U2125" s="77">
        <v>0</v>
      </c>
      <c r="V2125" s="77">
        <v>26</v>
      </c>
      <c r="W2125" s="82" t="s">
        <v>6212</v>
      </c>
      <c r="X2125" s="80" t="str">
        <f>HYPERLINK("https://t.me/rendaextraonlineslots")</f>
        <v>https://t.me/rendaextraonlineslots</v>
      </c>
      <c r="Y2125" s="77" t="s">
        <v>7312</v>
      </c>
      <c r="Z2125" s="77"/>
      <c r="AA2125" s="77" t="s">
        <v>8617</v>
      </c>
      <c r="AB2125" s="77" t="s">
        <v>10130</v>
      </c>
      <c r="AC2125" s="82" t="s">
        <v>10144</v>
      </c>
      <c r="AD2125" s="77" t="s">
        <v>10184</v>
      </c>
      <c r="AE2125" s="80" t="str">
        <f>HYPERLINK("https://twitter.com/vihcaldas/status/1707051979074113754")</f>
        <v>https://twitter.com/vihcaldas/status/1707051979074113754</v>
      </c>
      <c r="AF2125" s="79">
        <v>45196.637511574074</v>
      </c>
      <c r="AG2125" s="85">
        <v>45196</v>
      </c>
      <c r="AH2125" s="82" t="s">
        <v>11429</v>
      </c>
      <c r="AI2125" s="77" t="b">
        <v>0</v>
      </c>
      <c r="AJ2125" s="77"/>
      <c r="AK2125" s="77"/>
      <c r="AL2125" s="77"/>
      <c r="AM2125" s="77"/>
      <c r="AN2125" s="77"/>
      <c r="AO2125" s="77"/>
      <c r="AP2125" s="77"/>
      <c r="AQ2125" s="77" t="s">
        <v>15261</v>
      </c>
      <c r="AR2125" s="77"/>
      <c r="AS2125" s="77"/>
      <c r="AT2125" s="77"/>
      <c r="AU2125" s="77"/>
      <c r="AV2125" s="80" t="str">
        <f>HYPERLINK("https://pbs.twimg.com/media/F7CqulEX0AAYmY9.jpg")</f>
        <v>https://pbs.twimg.com/media/F7CqulEX0AAYmY9.jpg</v>
      </c>
      <c r="AW2125" s="82" t="s">
        <v>18893</v>
      </c>
      <c r="AX2125" s="82" t="s">
        <v>18893</v>
      </c>
      <c r="AY2125" s="77"/>
      <c r="AZ2125" s="82" t="s">
        <v>20971</v>
      </c>
      <c r="BA2125" s="82" t="s">
        <v>20971</v>
      </c>
      <c r="BB2125" s="82" t="s">
        <v>20971</v>
      </c>
      <c r="BC2125" s="82" t="s">
        <v>18893</v>
      </c>
      <c r="BD2125" s="82" t="s">
        <v>21405</v>
      </c>
      <c r="BE2125" s="77"/>
      <c r="BF2125" s="77"/>
      <c r="BG2125" s="77"/>
      <c r="BH2125" s="77"/>
      <c r="BI2125" s="77"/>
    </row>
    <row r="2126" spans="1:61" x14ac:dyDescent="0.25">
      <c r="A2126" s="62" t="s">
        <v>756</v>
      </c>
      <c r="B2126" s="62" t="s">
        <v>756</v>
      </c>
      <c r="C2126" s="63"/>
      <c r="D2126" s="64"/>
      <c r="E2126" s="65"/>
      <c r="F2126" s="66"/>
      <c r="G2126" s="63"/>
      <c r="H2126" s="67"/>
      <c r="I2126" s="68"/>
      <c r="J2126" s="68"/>
      <c r="K2126" s="32"/>
      <c r="L2126" s="75">
        <v>2126</v>
      </c>
      <c r="M2126" s="75"/>
      <c r="N2126" s="70"/>
      <c r="O2126" s="77" t="s">
        <v>179</v>
      </c>
      <c r="P2126" s="79">
        <v>44995.603472222225</v>
      </c>
      <c r="Q2126" s="77" t="s">
        <v>3336</v>
      </c>
      <c r="R2126" s="77">
        <v>0</v>
      </c>
      <c r="S2126" s="77">
        <v>0</v>
      </c>
      <c r="T2126" s="77">
        <v>0</v>
      </c>
      <c r="U2126" s="77">
        <v>0</v>
      </c>
      <c r="V2126" s="77">
        <v>30</v>
      </c>
      <c r="W2126" s="82" t="s">
        <v>5236</v>
      </c>
      <c r="X2126" s="80" t="str">
        <f>HYPERLINK("https://youtu.be/BQXvMCZxuu0")</f>
        <v>https://youtu.be/BQXvMCZxuu0</v>
      </c>
      <c r="Y2126" s="77" t="s">
        <v>7248</v>
      </c>
      <c r="Z2126" s="77"/>
      <c r="AA2126" s="77"/>
      <c r="AB2126" s="77"/>
      <c r="AC2126" s="82" t="s">
        <v>10145</v>
      </c>
      <c r="AD2126" s="77" t="s">
        <v>10184</v>
      </c>
      <c r="AE2126" s="80" t="str">
        <f>HYPERLINK("https://twitter.com/itaboraisantos/status/1634199680815964163")</f>
        <v>https://twitter.com/itaboraisantos/status/1634199680815964163</v>
      </c>
      <c r="AF2126" s="79">
        <v>44995.603472222225</v>
      </c>
      <c r="AG2126" s="85">
        <v>44995</v>
      </c>
      <c r="AH2126" s="82" t="s">
        <v>12233</v>
      </c>
      <c r="AI2126" s="77" t="b">
        <v>0</v>
      </c>
      <c r="AJ2126" s="77"/>
      <c r="AK2126" s="77"/>
      <c r="AL2126" s="77"/>
      <c r="AM2126" s="77"/>
      <c r="AN2126" s="77"/>
      <c r="AO2126" s="77"/>
      <c r="AP2126" s="77"/>
      <c r="AQ2126" s="77"/>
      <c r="AR2126" s="77"/>
      <c r="AS2126" s="77"/>
      <c r="AT2126" s="77"/>
      <c r="AU2126" s="77"/>
      <c r="AV2126" s="80" t="str">
        <f>HYPERLINK("https://pbs.twimg.com/profile_images/2226889686/Ita_Discursando_Bovespa_normal.JPG")</f>
        <v>https://pbs.twimg.com/profile_images/2226889686/Ita_Discursando_Bovespa_normal.JPG</v>
      </c>
      <c r="AW2126" s="82" t="s">
        <v>18894</v>
      </c>
      <c r="AX2126" s="82" t="s">
        <v>18894</v>
      </c>
      <c r="AY2126" s="77"/>
      <c r="AZ2126" s="82" t="s">
        <v>20971</v>
      </c>
      <c r="BA2126" s="82" t="s">
        <v>20971</v>
      </c>
      <c r="BB2126" s="82" t="s">
        <v>20971</v>
      </c>
      <c r="BC2126" s="82" t="s">
        <v>18894</v>
      </c>
      <c r="BD2126" s="77">
        <v>583023355</v>
      </c>
      <c r="BE2126" s="77"/>
      <c r="BF2126" s="77"/>
      <c r="BG2126" s="77"/>
      <c r="BH2126" s="77"/>
      <c r="BI2126" s="77"/>
    </row>
    <row r="2127" spans="1:61" x14ac:dyDescent="0.25">
      <c r="A2127" s="62" t="s">
        <v>756</v>
      </c>
      <c r="B2127" s="62" t="s">
        <v>756</v>
      </c>
      <c r="C2127" s="63"/>
      <c r="D2127" s="64"/>
      <c r="E2127" s="65"/>
      <c r="F2127" s="66"/>
      <c r="G2127" s="63"/>
      <c r="H2127" s="67"/>
      <c r="I2127" s="68"/>
      <c r="J2127" s="68"/>
      <c r="K2127" s="32"/>
      <c r="L2127" s="75">
        <v>2127</v>
      </c>
      <c r="M2127" s="75"/>
      <c r="N2127" s="70"/>
      <c r="O2127" s="77" t="s">
        <v>179</v>
      </c>
      <c r="P2127" s="79">
        <v>45004.941319444442</v>
      </c>
      <c r="Q2127" s="77" t="s">
        <v>3337</v>
      </c>
      <c r="R2127" s="77">
        <v>0</v>
      </c>
      <c r="S2127" s="77">
        <v>1</v>
      </c>
      <c r="T2127" s="77">
        <v>0</v>
      </c>
      <c r="U2127" s="77">
        <v>0</v>
      </c>
      <c r="V2127" s="77">
        <v>43</v>
      </c>
      <c r="W2127" s="82" t="s">
        <v>5236</v>
      </c>
      <c r="X2127" s="80" t="str">
        <f>HYPERLINK("https://youtu.be/ky0_XN0i9ew")</f>
        <v>https://youtu.be/ky0_XN0i9ew</v>
      </c>
      <c r="Y2127" s="77" t="s">
        <v>7248</v>
      </c>
      <c r="Z2127" s="77"/>
      <c r="AA2127" s="77"/>
      <c r="AB2127" s="77"/>
      <c r="AC2127" s="82" t="s">
        <v>10145</v>
      </c>
      <c r="AD2127" s="77" t="s">
        <v>10184</v>
      </c>
      <c r="AE2127" s="80" t="str">
        <f>HYPERLINK("https://twitter.com/itaboraisantos/status/1637583602065068034")</f>
        <v>https://twitter.com/itaboraisantos/status/1637583602065068034</v>
      </c>
      <c r="AF2127" s="79">
        <v>45004.941319444442</v>
      </c>
      <c r="AG2127" s="85">
        <v>45004</v>
      </c>
      <c r="AH2127" s="82" t="s">
        <v>12234</v>
      </c>
      <c r="AI2127" s="77" t="b">
        <v>0</v>
      </c>
      <c r="AJ2127" s="77"/>
      <c r="AK2127" s="77"/>
      <c r="AL2127" s="77"/>
      <c r="AM2127" s="77"/>
      <c r="AN2127" s="77"/>
      <c r="AO2127" s="77"/>
      <c r="AP2127" s="77"/>
      <c r="AQ2127" s="77"/>
      <c r="AR2127" s="77"/>
      <c r="AS2127" s="77"/>
      <c r="AT2127" s="77"/>
      <c r="AU2127" s="77"/>
      <c r="AV2127" s="80" t="str">
        <f>HYPERLINK("https://pbs.twimg.com/profile_images/2226889686/Ita_Discursando_Bovespa_normal.JPG")</f>
        <v>https://pbs.twimg.com/profile_images/2226889686/Ita_Discursando_Bovespa_normal.JPG</v>
      </c>
      <c r="AW2127" s="82" t="s">
        <v>18895</v>
      </c>
      <c r="AX2127" s="82" t="s">
        <v>18895</v>
      </c>
      <c r="AY2127" s="77"/>
      <c r="AZ2127" s="82" t="s">
        <v>20971</v>
      </c>
      <c r="BA2127" s="82" t="s">
        <v>20971</v>
      </c>
      <c r="BB2127" s="82" t="s">
        <v>20971</v>
      </c>
      <c r="BC2127" s="82" t="s">
        <v>18895</v>
      </c>
      <c r="BD2127" s="77">
        <v>583023355</v>
      </c>
      <c r="BE2127" s="77"/>
      <c r="BF2127" s="77"/>
      <c r="BG2127" s="77"/>
      <c r="BH2127" s="77"/>
      <c r="BI2127" s="77"/>
    </row>
    <row r="2128" spans="1:61" x14ac:dyDescent="0.25">
      <c r="A2128" s="62" t="s">
        <v>757</v>
      </c>
      <c r="B2128" s="62" t="s">
        <v>757</v>
      </c>
      <c r="C2128" s="63"/>
      <c r="D2128" s="64"/>
      <c r="E2128" s="65"/>
      <c r="F2128" s="66"/>
      <c r="G2128" s="63"/>
      <c r="H2128" s="67"/>
      <c r="I2128" s="68"/>
      <c r="J2128" s="68"/>
      <c r="K2128" s="32"/>
      <c r="L2128" s="75">
        <v>2128</v>
      </c>
      <c r="M2128" s="75"/>
      <c r="N2128" s="70"/>
      <c r="O2128" s="77" t="s">
        <v>179</v>
      </c>
      <c r="P2128" s="79">
        <v>45113.685682870368</v>
      </c>
      <c r="Q2128" s="77" t="s">
        <v>3338</v>
      </c>
      <c r="R2128" s="77">
        <v>1</v>
      </c>
      <c r="S2128" s="77">
        <v>2</v>
      </c>
      <c r="T2128" s="77">
        <v>1</v>
      </c>
      <c r="U2128" s="77">
        <v>0</v>
      </c>
      <c r="V2128" s="77">
        <v>70</v>
      </c>
      <c r="W2128" s="82" t="s">
        <v>6213</v>
      </c>
      <c r="X2128" s="80" t="str">
        <f>HYPERLINK("https://suarifa.digital/rifa/1-acesso-ao-curso-profissao-expert-digital")</f>
        <v>https://suarifa.digital/rifa/1-acesso-ao-curso-profissao-expert-digital</v>
      </c>
      <c r="Y2128" s="77" t="s">
        <v>7394</v>
      </c>
      <c r="Z2128" s="77"/>
      <c r="AA2128" s="77" t="s">
        <v>8618</v>
      </c>
      <c r="AB2128" s="77" t="s">
        <v>10130</v>
      </c>
      <c r="AC2128" s="82" t="s">
        <v>10144</v>
      </c>
      <c r="AD2128" s="77" t="s">
        <v>10183</v>
      </c>
      <c r="AE2128" s="80" t="str">
        <f>HYPERLINK("https://twitter.com/joao_gorreis/status/1676991240141668355")</f>
        <v>https://twitter.com/joao_gorreis/status/1676991240141668355</v>
      </c>
      <c r="AF2128" s="79">
        <v>45113.685682870368</v>
      </c>
      <c r="AG2128" s="85">
        <v>45113</v>
      </c>
      <c r="AH2128" s="82" t="s">
        <v>12235</v>
      </c>
      <c r="AI2128" s="77" t="b">
        <v>0</v>
      </c>
      <c r="AJ2128" s="77"/>
      <c r="AK2128" s="77"/>
      <c r="AL2128" s="77"/>
      <c r="AM2128" s="77"/>
      <c r="AN2128" s="77"/>
      <c r="AO2128" s="77"/>
      <c r="AP2128" s="77"/>
      <c r="AQ2128" s="77" t="s">
        <v>15262</v>
      </c>
      <c r="AR2128" s="77"/>
      <c r="AS2128" s="77"/>
      <c r="AT2128" s="77"/>
      <c r="AU2128" s="77"/>
      <c r="AV2128" s="80" t="str">
        <f>HYPERLINK("https://pbs.twimg.com/media/F0XepVTWcAEFWZk.jpg")</f>
        <v>https://pbs.twimg.com/media/F0XepVTWcAEFWZk.jpg</v>
      </c>
      <c r="AW2128" s="82" t="s">
        <v>18896</v>
      </c>
      <c r="AX2128" s="82" t="s">
        <v>18896</v>
      </c>
      <c r="AY2128" s="77"/>
      <c r="AZ2128" s="82" t="s">
        <v>20971</v>
      </c>
      <c r="BA2128" s="82" t="s">
        <v>20971</v>
      </c>
      <c r="BB2128" s="82" t="s">
        <v>20971</v>
      </c>
      <c r="BC2128" s="82" t="s">
        <v>18896</v>
      </c>
      <c r="BD2128" s="82" t="s">
        <v>21406</v>
      </c>
      <c r="BE2128" s="77"/>
      <c r="BF2128" s="77"/>
      <c r="BG2128" s="77"/>
      <c r="BH2128" s="77"/>
      <c r="BI2128" s="77"/>
    </row>
    <row r="2129" spans="1:61" x14ac:dyDescent="0.25">
      <c r="A2129" s="62" t="s">
        <v>758</v>
      </c>
      <c r="B2129" s="62" t="s">
        <v>758</v>
      </c>
      <c r="C2129" s="63"/>
      <c r="D2129" s="64"/>
      <c r="E2129" s="65"/>
      <c r="F2129" s="66"/>
      <c r="G2129" s="63"/>
      <c r="H2129" s="67"/>
      <c r="I2129" s="68"/>
      <c r="J2129" s="68"/>
      <c r="K2129" s="32"/>
      <c r="L2129" s="75">
        <v>2129</v>
      </c>
      <c r="M2129" s="75"/>
      <c r="N2129" s="70"/>
      <c r="O2129" s="77" t="s">
        <v>179</v>
      </c>
      <c r="P2129" s="79">
        <v>45021.664942129632</v>
      </c>
      <c r="Q2129" s="77" t="s">
        <v>3339</v>
      </c>
      <c r="R2129" s="77">
        <v>0</v>
      </c>
      <c r="S2129" s="77">
        <v>0</v>
      </c>
      <c r="T2129" s="77">
        <v>1</v>
      </c>
      <c r="U2129" s="77">
        <v>0</v>
      </c>
      <c r="V2129" s="77">
        <v>66</v>
      </c>
      <c r="W2129" s="82" t="s">
        <v>6214</v>
      </c>
      <c r="X2129" s="77"/>
      <c r="Y2129" s="77"/>
      <c r="Z2129" s="77"/>
      <c r="AA2129" s="77" t="s">
        <v>8619</v>
      </c>
      <c r="AB2129" s="77" t="s">
        <v>10129</v>
      </c>
      <c r="AC2129" s="82" t="s">
        <v>10144</v>
      </c>
      <c r="AD2129" s="77" t="s">
        <v>10184</v>
      </c>
      <c r="AE2129" s="80" t="str">
        <f>HYPERLINK("https://twitter.com/meryen1234/status/1643644039307177985")</f>
        <v>https://twitter.com/meryen1234/status/1643644039307177985</v>
      </c>
      <c r="AF2129" s="79">
        <v>45021.664942129632</v>
      </c>
      <c r="AG2129" s="85">
        <v>45021</v>
      </c>
      <c r="AH2129" s="82" t="s">
        <v>12236</v>
      </c>
      <c r="AI2129" s="77" t="b">
        <v>0</v>
      </c>
      <c r="AJ2129" s="77"/>
      <c r="AK2129" s="77"/>
      <c r="AL2129" s="77"/>
      <c r="AM2129" s="77"/>
      <c r="AN2129" s="77"/>
      <c r="AO2129" s="77"/>
      <c r="AP2129" s="77"/>
      <c r="AQ2129" s="77" t="s">
        <v>15263</v>
      </c>
      <c r="AR2129" s="77">
        <v>44838</v>
      </c>
      <c r="AS2129" s="77"/>
      <c r="AT2129" s="77"/>
      <c r="AU2129" s="77"/>
      <c r="AV2129" s="80" t="str">
        <f>HYPERLINK("https://pbs.twimg.com/ext_tw_video_thumb/1643643378783907842/pu/img/b77QK7njxc_2FEZT.jpg")</f>
        <v>https://pbs.twimg.com/ext_tw_video_thumb/1643643378783907842/pu/img/b77QK7njxc_2FEZT.jpg</v>
      </c>
      <c r="AW2129" s="82" t="s">
        <v>18897</v>
      </c>
      <c r="AX2129" s="82" t="s">
        <v>18897</v>
      </c>
      <c r="AY2129" s="77"/>
      <c r="AZ2129" s="82" t="s">
        <v>20971</v>
      </c>
      <c r="BA2129" s="82" t="s">
        <v>20971</v>
      </c>
      <c r="BB2129" s="82" t="s">
        <v>20971</v>
      </c>
      <c r="BC2129" s="82" t="s">
        <v>18897</v>
      </c>
      <c r="BD2129" s="82" t="s">
        <v>21407</v>
      </c>
      <c r="BE2129" s="77"/>
      <c r="BF2129" s="77"/>
      <c r="BG2129" s="77"/>
      <c r="BH2129" s="77"/>
      <c r="BI2129" s="77"/>
    </row>
    <row r="2130" spans="1:61" x14ac:dyDescent="0.25">
      <c r="A2130" s="62" t="s">
        <v>759</v>
      </c>
      <c r="B2130" s="62" t="s">
        <v>759</v>
      </c>
      <c r="C2130" s="63"/>
      <c r="D2130" s="64"/>
      <c r="E2130" s="65"/>
      <c r="F2130" s="66"/>
      <c r="G2130" s="63"/>
      <c r="H2130" s="67"/>
      <c r="I2130" s="68"/>
      <c r="J2130" s="68"/>
      <c r="K2130" s="32"/>
      <c r="L2130" s="75">
        <v>2130</v>
      </c>
      <c r="M2130" s="75"/>
      <c r="N2130" s="70"/>
      <c r="O2130" s="77" t="s">
        <v>179</v>
      </c>
      <c r="P2130" s="79">
        <v>45114.560833333337</v>
      </c>
      <c r="Q2130" s="77" t="s">
        <v>3340</v>
      </c>
      <c r="R2130" s="77">
        <v>0</v>
      </c>
      <c r="S2130" s="77">
        <v>0</v>
      </c>
      <c r="T2130" s="77">
        <v>0</v>
      </c>
      <c r="U2130" s="77">
        <v>0</v>
      </c>
      <c r="V2130" s="77">
        <v>15</v>
      </c>
      <c r="W2130" s="82" t="s">
        <v>6215</v>
      </c>
      <c r="X2130" s="80" t="str">
        <f>HYPERLINK("https://bit.ly/Renda_com_bolosMiniaulaJR")</f>
        <v>https://bit.ly/Renda_com_bolosMiniaulaJR</v>
      </c>
      <c r="Y2130" s="77" t="s">
        <v>7268</v>
      </c>
      <c r="Z2130" s="77"/>
      <c r="AA2130" s="77" t="s">
        <v>8620</v>
      </c>
      <c r="AB2130" s="77" t="s">
        <v>10133</v>
      </c>
      <c r="AC2130" s="82" t="s">
        <v>10144</v>
      </c>
      <c r="AD2130" s="77" t="s">
        <v>10184</v>
      </c>
      <c r="AE2130" s="80" t="str">
        <f>HYPERLINK("https://twitter.com/maholliver13/status/1677308385308340227")</f>
        <v>https://twitter.com/maholliver13/status/1677308385308340227</v>
      </c>
      <c r="AF2130" s="79">
        <v>45114.560833333337</v>
      </c>
      <c r="AG2130" s="85">
        <v>45114</v>
      </c>
      <c r="AH2130" s="82" t="s">
        <v>12237</v>
      </c>
      <c r="AI2130" s="77" t="b">
        <v>0</v>
      </c>
      <c r="AJ2130" s="77"/>
      <c r="AK2130" s="77"/>
      <c r="AL2130" s="77"/>
      <c r="AM2130" s="77"/>
      <c r="AN2130" s="77"/>
      <c r="AO2130" s="77"/>
      <c r="AP2130" s="77"/>
      <c r="AQ2130" s="77" t="s">
        <v>15264</v>
      </c>
      <c r="AR2130" s="77"/>
      <c r="AS2130" s="77"/>
      <c r="AT2130" s="77"/>
      <c r="AU2130" s="77"/>
      <c r="AV2130" s="80" t="str">
        <f>HYPERLINK("https://pbs.twimg.com/tweet_video_thumb/F0b_FMcXwAE7wvF.jpg")</f>
        <v>https://pbs.twimg.com/tweet_video_thumb/F0b_FMcXwAE7wvF.jpg</v>
      </c>
      <c r="AW2130" s="82" t="s">
        <v>18898</v>
      </c>
      <c r="AX2130" s="82" t="s">
        <v>18898</v>
      </c>
      <c r="AY2130" s="77"/>
      <c r="AZ2130" s="82" t="s">
        <v>20971</v>
      </c>
      <c r="BA2130" s="82" t="s">
        <v>20971</v>
      </c>
      <c r="BB2130" s="82" t="s">
        <v>20971</v>
      </c>
      <c r="BC2130" s="82" t="s">
        <v>18898</v>
      </c>
      <c r="BD2130" s="82" t="s">
        <v>21408</v>
      </c>
      <c r="BE2130" s="77"/>
      <c r="BF2130" s="77"/>
      <c r="BG2130" s="77"/>
      <c r="BH2130" s="77"/>
      <c r="BI2130" s="77"/>
    </row>
    <row r="2131" spans="1:61" x14ac:dyDescent="0.25">
      <c r="A2131" s="62" t="s">
        <v>760</v>
      </c>
      <c r="B2131" s="62" t="s">
        <v>760</v>
      </c>
      <c r="C2131" s="63"/>
      <c r="D2131" s="64"/>
      <c r="E2131" s="65"/>
      <c r="F2131" s="66"/>
      <c r="G2131" s="63"/>
      <c r="H2131" s="67"/>
      <c r="I2131" s="68"/>
      <c r="J2131" s="68"/>
      <c r="K2131" s="32"/>
      <c r="L2131" s="75">
        <v>2131</v>
      </c>
      <c r="M2131" s="75"/>
      <c r="N2131" s="70"/>
      <c r="O2131" s="77" t="s">
        <v>179</v>
      </c>
      <c r="P2131" s="79">
        <v>45046.170034722221</v>
      </c>
      <c r="Q2131" s="77" t="s">
        <v>3341</v>
      </c>
      <c r="R2131" s="77">
        <v>0</v>
      </c>
      <c r="S2131" s="77">
        <v>0</v>
      </c>
      <c r="T2131" s="77">
        <v>0</v>
      </c>
      <c r="U2131" s="77">
        <v>0</v>
      </c>
      <c r="V2131" s="77">
        <v>84</v>
      </c>
      <c r="W2131" s="82" t="s">
        <v>6216</v>
      </c>
      <c r="X2131" s="80" t="str">
        <f>HYPERLINK("http://bit.ly/3LFKDL4")</f>
        <v>http://bit.ly/3LFKDL4</v>
      </c>
      <c r="Y2131" s="77" t="s">
        <v>7268</v>
      </c>
      <c r="Z2131" s="77"/>
      <c r="AA2131" s="77" t="s">
        <v>8621</v>
      </c>
      <c r="AB2131" s="77" t="s">
        <v>10130</v>
      </c>
      <c r="AC2131" s="82" t="s">
        <v>10144</v>
      </c>
      <c r="AD2131" s="77" t="s">
        <v>10184</v>
      </c>
      <c r="AE2131" s="80" t="str">
        <f>HYPERLINK("https://twitter.com/vendas_onup/status/1652524387508133888")</f>
        <v>https://twitter.com/vendas_onup/status/1652524387508133888</v>
      </c>
      <c r="AF2131" s="79">
        <v>45046.170034722221</v>
      </c>
      <c r="AG2131" s="85">
        <v>45046</v>
      </c>
      <c r="AH2131" s="82" t="s">
        <v>12238</v>
      </c>
      <c r="AI2131" s="77" t="b">
        <v>0</v>
      </c>
      <c r="AJ2131" s="77"/>
      <c r="AK2131" s="77"/>
      <c r="AL2131" s="77"/>
      <c r="AM2131" s="77"/>
      <c r="AN2131" s="77"/>
      <c r="AO2131" s="77"/>
      <c r="AP2131" s="77"/>
      <c r="AQ2131" s="77" t="s">
        <v>15265</v>
      </c>
      <c r="AR2131" s="77"/>
      <c r="AS2131" s="77"/>
      <c r="AT2131" s="77"/>
      <c r="AU2131" s="77"/>
      <c r="AV2131" s="80" t="str">
        <f>HYPERLINK("https://pbs.twimg.com/media/Fu7yLCoX0AMbAfQ.jpg")</f>
        <v>https://pbs.twimg.com/media/Fu7yLCoX0AMbAfQ.jpg</v>
      </c>
      <c r="AW2131" s="82" t="s">
        <v>18899</v>
      </c>
      <c r="AX2131" s="82" t="s">
        <v>18899</v>
      </c>
      <c r="AY2131" s="77"/>
      <c r="AZ2131" s="82" t="s">
        <v>20971</v>
      </c>
      <c r="BA2131" s="82" t="s">
        <v>20971</v>
      </c>
      <c r="BB2131" s="82" t="s">
        <v>20971</v>
      </c>
      <c r="BC2131" s="82" t="s">
        <v>18899</v>
      </c>
      <c r="BD2131" s="82" t="s">
        <v>21409</v>
      </c>
      <c r="BE2131" s="77"/>
      <c r="BF2131" s="77"/>
      <c r="BG2131" s="77"/>
      <c r="BH2131" s="77"/>
      <c r="BI2131" s="77"/>
    </row>
    <row r="2132" spans="1:61" x14ac:dyDescent="0.25">
      <c r="A2132" s="62" t="s">
        <v>761</v>
      </c>
      <c r="B2132" s="62" t="s">
        <v>761</v>
      </c>
      <c r="C2132" s="63"/>
      <c r="D2132" s="64"/>
      <c r="E2132" s="65"/>
      <c r="F2132" s="66"/>
      <c r="G2132" s="63"/>
      <c r="H2132" s="67"/>
      <c r="I2132" s="68"/>
      <c r="J2132" s="68"/>
      <c r="K2132" s="32"/>
      <c r="L2132" s="75">
        <v>2132</v>
      </c>
      <c r="M2132" s="75"/>
      <c r="N2132" s="70"/>
      <c r="O2132" s="77" t="s">
        <v>179</v>
      </c>
      <c r="P2132" s="79">
        <v>45144.088321759256</v>
      </c>
      <c r="Q2132" s="77" t="s">
        <v>3342</v>
      </c>
      <c r="R2132" s="77">
        <v>0</v>
      </c>
      <c r="S2132" s="77">
        <v>0</v>
      </c>
      <c r="T2132" s="77">
        <v>0</v>
      </c>
      <c r="U2132" s="77">
        <v>0</v>
      </c>
      <c r="V2132" s="77">
        <v>8</v>
      </c>
      <c r="W2132" s="82" t="s">
        <v>6217</v>
      </c>
      <c r="X2132" s="77"/>
      <c r="Y2132" s="77"/>
      <c r="Z2132" s="77"/>
      <c r="AA2132" s="77" t="s">
        <v>8622</v>
      </c>
      <c r="AB2132" s="77" t="s">
        <v>10130</v>
      </c>
      <c r="AC2132" s="82" t="s">
        <v>10144</v>
      </c>
      <c r="AD2132" s="77" t="s">
        <v>10183</v>
      </c>
      <c r="AE2132" s="80" t="str">
        <f>HYPERLINK("https://twitter.com/gessica72692130/status/1688008790275145728")</f>
        <v>https://twitter.com/gessica72692130/status/1688008790275145728</v>
      </c>
      <c r="AF2132" s="79">
        <v>45144.088321759256</v>
      </c>
      <c r="AG2132" s="85">
        <v>45144</v>
      </c>
      <c r="AH2132" s="82" t="s">
        <v>12239</v>
      </c>
      <c r="AI2132" s="77" t="b">
        <v>0</v>
      </c>
      <c r="AJ2132" s="77"/>
      <c r="AK2132" s="77"/>
      <c r="AL2132" s="77"/>
      <c r="AM2132" s="77"/>
      <c r="AN2132" s="77"/>
      <c r="AO2132" s="77"/>
      <c r="AP2132" s="77"/>
      <c r="AQ2132" s="77" t="s">
        <v>15266</v>
      </c>
      <c r="AR2132" s="77"/>
      <c r="AS2132" s="77"/>
      <c r="AT2132" s="77"/>
      <c r="AU2132" s="77"/>
      <c r="AV2132" s="80" t="str">
        <f>HYPERLINK("https://pbs.twimg.com/media/F20DDDqX0AA7BfY.jpg")</f>
        <v>https://pbs.twimg.com/media/F20DDDqX0AA7BfY.jpg</v>
      </c>
      <c r="AW2132" s="82" t="s">
        <v>18900</v>
      </c>
      <c r="AX2132" s="82" t="s">
        <v>18900</v>
      </c>
      <c r="AY2132" s="77"/>
      <c r="AZ2132" s="82" t="s">
        <v>20971</v>
      </c>
      <c r="BA2132" s="82" t="s">
        <v>20971</v>
      </c>
      <c r="BB2132" s="82" t="s">
        <v>20971</v>
      </c>
      <c r="BC2132" s="82" t="s">
        <v>18900</v>
      </c>
      <c r="BD2132" s="82" t="s">
        <v>21410</v>
      </c>
      <c r="BE2132" s="77"/>
      <c r="BF2132" s="77"/>
      <c r="BG2132" s="77"/>
      <c r="BH2132" s="77"/>
      <c r="BI2132" s="77"/>
    </row>
    <row r="2133" spans="1:61" x14ac:dyDescent="0.25">
      <c r="A2133" s="62" t="s">
        <v>762</v>
      </c>
      <c r="B2133" s="62" t="s">
        <v>762</v>
      </c>
      <c r="C2133" s="63"/>
      <c r="D2133" s="64"/>
      <c r="E2133" s="65"/>
      <c r="F2133" s="66"/>
      <c r="G2133" s="63"/>
      <c r="H2133" s="67"/>
      <c r="I2133" s="68"/>
      <c r="J2133" s="68"/>
      <c r="K2133" s="32"/>
      <c r="L2133" s="75">
        <v>2133</v>
      </c>
      <c r="M2133" s="75"/>
      <c r="N2133" s="70"/>
      <c r="O2133" s="77" t="s">
        <v>179</v>
      </c>
      <c r="P2133" s="79">
        <v>45021.74832175926</v>
      </c>
      <c r="Q2133" s="77" t="s">
        <v>3343</v>
      </c>
      <c r="R2133" s="77">
        <v>0</v>
      </c>
      <c r="S2133" s="77">
        <v>0</v>
      </c>
      <c r="T2133" s="77">
        <v>0</v>
      </c>
      <c r="U2133" s="77">
        <v>0</v>
      </c>
      <c r="V2133" s="77">
        <v>66</v>
      </c>
      <c r="W2133" s="82" t="s">
        <v>6218</v>
      </c>
      <c r="X2133" s="77"/>
      <c r="Y2133" s="77"/>
      <c r="Z2133" s="77"/>
      <c r="AA2133" s="77" t="s">
        <v>8623</v>
      </c>
      <c r="AB2133" s="77" t="s">
        <v>10130</v>
      </c>
      <c r="AC2133" s="82" t="s">
        <v>10145</v>
      </c>
      <c r="AD2133" s="77" t="s">
        <v>10184</v>
      </c>
      <c r="AE2133" s="80" t="str">
        <f>HYPERLINK("https://twitter.com/isabelc13652223/status/1643674255958188039")</f>
        <v>https://twitter.com/isabelc13652223/status/1643674255958188039</v>
      </c>
      <c r="AF2133" s="79">
        <v>45021.74832175926</v>
      </c>
      <c r="AG2133" s="85">
        <v>45021</v>
      </c>
      <c r="AH2133" s="82" t="s">
        <v>12240</v>
      </c>
      <c r="AI2133" s="77" t="b">
        <v>0</v>
      </c>
      <c r="AJ2133" s="77"/>
      <c r="AK2133" s="77"/>
      <c r="AL2133" s="77"/>
      <c r="AM2133" s="77"/>
      <c r="AN2133" s="77"/>
      <c r="AO2133" s="77"/>
      <c r="AP2133" s="77"/>
      <c r="AQ2133" s="77" t="s">
        <v>15267</v>
      </c>
      <c r="AR2133" s="77"/>
      <c r="AS2133" s="77"/>
      <c r="AT2133" s="77"/>
      <c r="AU2133" s="77"/>
      <c r="AV2133" s="80" t="str">
        <f>HYPERLINK("https://pbs.twimg.com/media/Fs-BBeSXoAUpRKC.jpg")</f>
        <v>https://pbs.twimg.com/media/Fs-BBeSXoAUpRKC.jpg</v>
      </c>
      <c r="AW2133" s="82" t="s">
        <v>18901</v>
      </c>
      <c r="AX2133" s="82" t="s">
        <v>18901</v>
      </c>
      <c r="AY2133" s="77"/>
      <c r="AZ2133" s="82" t="s">
        <v>20971</v>
      </c>
      <c r="BA2133" s="82" t="s">
        <v>20971</v>
      </c>
      <c r="BB2133" s="82" t="s">
        <v>20971</v>
      </c>
      <c r="BC2133" s="82" t="s">
        <v>18901</v>
      </c>
      <c r="BD2133" s="82" t="s">
        <v>21411</v>
      </c>
      <c r="BE2133" s="77"/>
      <c r="BF2133" s="77"/>
      <c r="BG2133" s="77"/>
      <c r="BH2133" s="77"/>
      <c r="BI2133" s="77"/>
    </row>
    <row r="2134" spans="1:61" x14ac:dyDescent="0.25">
      <c r="A2134" s="62" t="s">
        <v>763</v>
      </c>
      <c r="B2134" s="62" t="s">
        <v>763</v>
      </c>
      <c r="C2134" s="63"/>
      <c r="D2134" s="64"/>
      <c r="E2134" s="65"/>
      <c r="F2134" s="66"/>
      <c r="G2134" s="63"/>
      <c r="H2134" s="67"/>
      <c r="I2134" s="68"/>
      <c r="J2134" s="68"/>
      <c r="K2134" s="32"/>
      <c r="L2134" s="75">
        <v>2134</v>
      </c>
      <c r="M2134" s="75"/>
      <c r="N2134" s="70"/>
      <c r="O2134" s="77" t="s">
        <v>179</v>
      </c>
      <c r="P2134" s="79">
        <v>44998.104768518519</v>
      </c>
      <c r="Q2134" s="77" t="s">
        <v>3344</v>
      </c>
      <c r="R2134" s="77">
        <v>0</v>
      </c>
      <c r="S2134" s="77">
        <v>0</v>
      </c>
      <c r="T2134" s="77">
        <v>0</v>
      </c>
      <c r="U2134" s="77">
        <v>0</v>
      </c>
      <c r="V2134" s="77">
        <v>53</v>
      </c>
      <c r="W2134" s="82" t="s">
        <v>6219</v>
      </c>
      <c r="X2134" s="80" t="str">
        <f>HYPERLINK("https://bit.ly/3LmjI7o")</f>
        <v>https://bit.ly/3LmjI7o</v>
      </c>
      <c r="Y2134" s="77" t="s">
        <v>7268</v>
      </c>
      <c r="Z2134" s="77"/>
      <c r="AA2134" s="77" t="s">
        <v>8624</v>
      </c>
      <c r="AB2134" s="77" t="s">
        <v>10129</v>
      </c>
      <c r="AC2134" s="82" t="s">
        <v>10146</v>
      </c>
      <c r="AD2134" s="77" t="s">
        <v>10184</v>
      </c>
      <c r="AE2134" s="80" t="str">
        <f>HYPERLINK("https://twitter.com/brbabeto77/status/1635106119973756929")</f>
        <v>https://twitter.com/brbabeto77/status/1635106119973756929</v>
      </c>
      <c r="AF2134" s="79">
        <v>44998.104768518519</v>
      </c>
      <c r="AG2134" s="85">
        <v>44998</v>
      </c>
      <c r="AH2134" s="82" t="s">
        <v>12241</v>
      </c>
      <c r="AI2134" s="77" t="b">
        <v>0</v>
      </c>
      <c r="AJ2134" s="77"/>
      <c r="AK2134" s="77"/>
      <c r="AL2134" s="77"/>
      <c r="AM2134" s="77"/>
      <c r="AN2134" s="77"/>
      <c r="AO2134" s="77"/>
      <c r="AP2134" s="77"/>
      <c r="AQ2134" s="77" t="s">
        <v>15268</v>
      </c>
      <c r="AR2134" s="77">
        <v>40797</v>
      </c>
      <c r="AS2134" s="77"/>
      <c r="AT2134" s="77"/>
      <c r="AU2134" s="77"/>
      <c r="AV2134" s="80" t="str">
        <f>HYPERLINK("https://pbs.twimg.com/ext_tw_video_thumb/1635105839953465344/pu/img/Mp0C-e-ieanRAcRm.jpg")</f>
        <v>https://pbs.twimg.com/ext_tw_video_thumb/1635105839953465344/pu/img/Mp0C-e-ieanRAcRm.jpg</v>
      </c>
      <c r="AW2134" s="82" t="s">
        <v>18902</v>
      </c>
      <c r="AX2134" s="82" t="s">
        <v>18902</v>
      </c>
      <c r="AY2134" s="77"/>
      <c r="AZ2134" s="82" t="s">
        <v>20971</v>
      </c>
      <c r="BA2134" s="82" t="s">
        <v>20971</v>
      </c>
      <c r="BB2134" s="82" t="s">
        <v>20971</v>
      </c>
      <c r="BC2134" s="82" t="s">
        <v>18902</v>
      </c>
      <c r="BD2134" s="77">
        <v>226001601</v>
      </c>
      <c r="BE2134" s="77"/>
      <c r="BF2134" s="77"/>
      <c r="BG2134" s="77"/>
      <c r="BH2134" s="77"/>
      <c r="BI2134" s="77"/>
    </row>
    <row r="2135" spans="1:61" x14ac:dyDescent="0.25">
      <c r="A2135" s="62" t="s">
        <v>764</v>
      </c>
      <c r="B2135" s="62" t="s">
        <v>764</v>
      </c>
      <c r="C2135" s="63"/>
      <c r="D2135" s="64"/>
      <c r="E2135" s="65"/>
      <c r="F2135" s="66"/>
      <c r="G2135" s="63"/>
      <c r="H2135" s="67"/>
      <c r="I2135" s="68"/>
      <c r="J2135" s="68"/>
      <c r="K2135" s="32"/>
      <c r="L2135" s="75">
        <v>2135</v>
      </c>
      <c r="M2135" s="75"/>
      <c r="N2135" s="70"/>
      <c r="O2135" s="77" t="s">
        <v>179</v>
      </c>
      <c r="P2135" s="79">
        <v>45142.724849537037</v>
      </c>
      <c r="Q2135" s="77" t="s">
        <v>3345</v>
      </c>
      <c r="R2135" s="77">
        <v>0</v>
      </c>
      <c r="S2135" s="77">
        <v>0</v>
      </c>
      <c r="T2135" s="77">
        <v>0</v>
      </c>
      <c r="U2135" s="77">
        <v>0</v>
      </c>
      <c r="V2135" s="77">
        <v>16</v>
      </c>
      <c r="W2135" s="82" t="s">
        <v>6220</v>
      </c>
      <c r="X2135" s="77" t="s">
        <v>7207</v>
      </c>
      <c r="Y2135" s="77" t="s">
        <v>7395</v>
      </c>
      <c r="Z2135" s="77"/>
      <c r="AA2135" s="77"/>
      <c r="AB2135" s="77"/>
      <c r="AC2135" s="82" t="s">
        <v>10146</v>
      </c>
      <c r="AD2135" s="77" t="s">
        <v>10184</v>
      </c>
      <c r="AE2135" s="80" t="str">
        <f>HYPERLINK("https://twitter.com/vinnyvads/status/1687514681554980876")</f>
        <v>https://twitter.com/vinnyvads/status/1687514681554980876</v>
      </c>
      <c r="AF2135" s="79">
        <v>45142.724849537037</v>
      </c>
      <c r="AG2135" s="85">
        <v>45142</v>
      </c>
      <c r="AH2135" s="82" t="s">
        <v>12242</v>
      </c>
      <c r="AI2135" s="77" t="b">
        <v>0</v>
      </c>
      <c r="AJ2135" s="77"/>
      <c r="AK2135" s="77"/>
      <c r="AL2135" s="77"/>
      <c r="AM2135" s="77"/>
      <c r="AN2135" s="77"/>
      <c r="AO2135" s="77"/>
      <c r="AP2135" s="77"/>
      <c r="AQ2135" s="77"/>
      <c r="AR2135" s="77"/>
      <c r="AS2135" s="77"/>
      <c r="AT2135" s="77"/>
      <c r="AU2135" s="77"/>
      <c r="AV2135" s="80" t="str">
        <f>HYPERLINK("https://pbs.twimg.com/profile_images/1688706720007163905/3kLSwxjF_normal.jpg")</f>
        <v>https://pbs.twimg.com/profile_images/1688706720007163905/3kLSwxjF_normal.jpg</v>
      </c>
      <c r="AW2135" s="82" t="s">
        <v>18903</v>
      </c>
      <c r="AX2135" s="82" t="s">
        <v>18903</v>
      </c>
      <c r="AY2135" s="77"/>
      <c r="AZ2135" s="82" t="s">
        <v>20971</v>
      </c>
      <c r="BA2135" s="82" t="s">
        <v>20971</v>
      </c>
      <c r="BB2135" s="82" t="s">
        <v>20971</v>
      </c>
      <c r="BC2135" s="82" t="s">
        <v>18903</v>
      </c>
      <c r="BD2135" s="82" t="s">
        <v>21412</v>
      </c>
      <c r="BE2135" s="77"/>
      <c r="BF2135" s="77"/>
      <c r="BG2135" s="77"/>
      <c r="BH2135" s="77"/>
      <c r="BI2135" s="77"/>
    </row>
    <row r="2136" spans="1:61" x14ac:dyDescent="0.25">
      <c r="A2136" s="62" t="s">
        <v>765</v>
      </c>
      <c r="B2136" s="62" t="s">
        <v>765</v>
      </c>
      <c r="C2136" s="63"/>
      <c r="D2136" s="64"/>
      <c r="E2136" s="65"/>
      <c r="F2136" s="66"/>
      <c r="G2136" s="63"/>
      <c r="H2136" s="67"/>
      <c r="I2136" s="68"/>
      <c r="J2136" s="68"/>
      <c r="K2136" s="32"/>
      <c r="L2136" s="75">
        <v>2136</v>
      </c>
      <c r="M2136" s="75"/>
      <c r="N2136" s="70"/>
      <c r="O2136" s="77" t="s">
        <v>179</v>
      </c>
      <c r="P2136" s="79">
        <v>44986.814039351855</v>
      </c>
      <c r="Q2136" s="77" t="s">
        <v>3346</v>
      </c>
      <c r="R2136" s="77">
        <v>0</v>
      </c>
      <c r="S2136" s="77">
        <v>0</v>
      </c>
      <c r="T2136" s="77">
        <v>0</v>
      </c>
      <c r="U2136" s="77">
        <v>0</v>
      </c>
      <c r="V2136" s="77">
        <v>53</v>
      </c>
      <c r="W2136" s="82" t="s">
        <v>5973</v>
      </c>
      <c r="X2136" s="80" t="str">
        <f>HYPERLINK("https://secure.doppus.com/sale/SB9953EOZ533E39HBHO")</f>
        <v>https://secure.doppus.com/sale/SB9953EOZ533E39HBHO</v>
      </c>
      <c r="Y2136" s="77" t="s">
        <v>7285</v>
      </c>
      <c r="Z2136" s="77"/>
      <c r="AA2136" s="77" t="s">
        <v>8625</v>
      </c>
      <c r="AB2136" s="77" t="s">
        <v>10130</v>
      </c>
      <c r="AC2136" s="82" t="s">
        <v>10146</v>
      </c>
      <c r="AD2136" s="77" t="s">
        <v>10184</v>
      </c>
      <c r="AE2136" s="80" t="str">
        <f>HYPERLINK("https://twitter.com/premiosganhe1/status/1631014498285891584")</f>
        <v>https://twitter.com/premiosganhe1/status/1631014498285891584</v>
      </c>
      <c r="AF2136" s="79">
        <v>44986.814039351855</v>
      </c>
      <c r="AG2136" s="85">
        <v>44986</v>
      </c>
      <c r="AH2136" s="82" t="s">
        <v>12243</v>
      </c>
      <c r="AI2136" s="77" t="b">
        <v>0</v>
      </c>
      <c r="AJ2136" s="77"/>
      <c r="AK2136" s="77"/>
      <c r="AL2136" s="77"/>
      <c r="AM2136" s="77"/>
      <c r="AN2136" s="77"/>
      <c r="AO2136" s="77"/>
      <c r="AP2136" s="77"/>
      <c r="AQ2136" s="77" t="s">
        <v>15269</v>
      </c>
      <c r="AR2136" s="77"/>
      <c r="AS2136" s="77"/>
      <c r="AT2136" s="77"/>
      <c r="AU2136" s="77"/>
      <c r="AV2136" s="80" t="str">
        <f>HYPERLINK("https://pbs.twimg.com/media/FqKGuWuWIAAZh8F.jpg")</f>
        <v>https://pbs.twimg.com/media/FqKGuWuWIAAZh8F.jpg</v>
      </c>
      <c r="AW2136" s="82" t="s">
        <v>18904</v>
      </c>
      <c r="AX2136" s="82" t="s">
        <v>18904</v>
      </c>
      <c r="AY2136" s="77"/>
      <c r="AZ2136" s="82" t="s">
        <v>20971</v>
      </c>
      <c r="BA2136" s="82" t="s">
        <v>20971</v>
      </c>
      <c r="BB2136" s="82" t="s">
        <v>20971</v>
      </c>
      <c r="BC2136" s="82" t="s">
        <v>18904</v>
      </c>
      <c r="BD2136" s="82" t="s">
        <v>21413</v>
      </c>
      <c r="BE2136" s="77"/>
      <c r="BF2136" s="77"/>
      <c r="BG2136" s="77"/>
      <c r="BH2136" s="77"/>
      <c r="BI2136" s="77"/>
    </row>
    <row r="2137" spans="1:61" x14ac:dyDescent="0.25">
      <c r="A2137" s="62" t="s">
        <v>766</v>
      </c>
      <c r="B2137" s="62" t="s">
        <v>766</v>
      </c>
      <c r="C2137" s="63"/>
      <c r="D2137" s="64"/>
      <c r="E2137" s="65"/>
      <c r="F2137" s="66"/>
      <c r="G2137" s="63"/>
      <c r="H2137" s="67"/>
      <c r="I2137" s="68"/>
      <c r="J2137" s="68"/>
      <c r="K2137" s="32"/>
      <c r="L2137" s="75">
        <v>2137</v>
      </c>
      <c r="M2137" s="75"/>
      <c r="N2137" s="70"/>
      <c r="O2137" s="77" t="s">
        <v>1284</v>
      </c>
      <c r="P2137" s="79">
        <v>45103.885509259257</v>
      </c>
      <c r="Q2137" s="77" t="s">
        <v>3347</v>
      </c>
      <c r="R2137" s="77">
        <v>0</v>
      </c>
      <c r="S2137" s="77">
        <v>1</v>
      </c>
      <c r="T2137" s="77">
        <v>0</v>
      </c>
      <c r="U2137" s="77">
        <v>0</v>
      </c>
      <c r="V2137" s="77">
        <v>10</v>
      </c>
      <c r="W2137" s="82" t="s">
        <v>6221</v>
      </c>
      <c r="X2137" s="77"/>
      <c r="Y2137" s="77"/>
      <c r="Z2137" s="77"/>
      <c r="AA2137" s="77"/>
      <c r="AB2137" s="77"/>
      <c r="AC2137" s="82" t="s">
        <v>10145</v>
      </c>
      <c r="AD2137" s="77" t="s">
        <v>10186</v>
      </c>
      <c r="AE2137" s="80" t="str">
        <f>HYPERLINK("https://twitter.com/afiliadoboss/status/1673439776572162048")</f>
        <v>https://twitter.com/afiliadoboss/status/1673439776572162048</v>
      </c>
      <c r="AF2137" s="79">
        <v>45103.885509259257</v>
      </c>
      <c r="AG2137" s="85">
        <v>45103</v>
      </c>
      <c r="AH2137" s="82" t="s">
        <v>12244</v>
      </c>
      <c r="AI2137" s="77"/>
      <c r="AJ2137" s="77"/>
      <c r="AK2137" s="77"/>
      <c r="AL2137" s="77"/>
      <c r="AM2137" s="77"/>
      <c r="AN2137" s="77"/>
      <c r="AO2137" s="77"/>
      <c r="AP2137" s="77"/>
      <c r="AQ2137" s="77"/>
      <c r="AR2137" s="77"/>
      <c r="AS2137" s="77"/>
      <c r="AT2137" s="77"/>
      <c r="AU2137" s="77"/>
      <c r="AV2137" s="80" t="str">
        <f>HYPERLINK("https://pbs.twimg.com/profile_images/1673438599310704642/i5ZkccPk_normal.jpg")</f>
        <v>https://pbs.twimg.com/profile_images/1673438599310704642/i5ZkccPk_normal.jpg</v>
      </c>
      <c r="AW2137" s="82" t="s">
        <v>18905</v>
      </c>
      <c r="AX2137" s="82" t="s">
        <v>20865</v>
      </c>
      <c r="AY2137" s="82" t="s">
        <v>20947</v>
      </c>
      <c r="AZ2137" s="82" t="s">
        <v>20865</v>
      </c>
      <c r="BA2137" s="82" t="s">
        <v>20971</v>
      </c>
      <c r="BB2137" s="82" t="s">
        <v>20971</v>
      </c>
      <c r="BC2137" s="82" t="s">
        <v>20865</v>
      </c>
      <c r="BD2137" s="82" t="s">
        <v>20947</v>
      </c>
      <c r="BE2137" s="77"/>
      <c r="BF2137" s="77"/>
      <c r="BG2137" s="77"/>
      <c r="BH2137" s="77"/>
      <c r="BI2137" s="77"/>
    </row>
    <row r="2138" spans="1:61" x14ac:dyDescent="0.25">
      <c r="A2138" s="62" t="s">
        <v>767</v>
      </c>
      <c r="B2138" s="62" t="s">
        <v>767</v>
      </c>
      <c r="C2138" s="63"/>
      <c r="D2138" s="64"/>
      <c r="E2138" s="65"/>
      <c r="F2138" s="66"/>
      <c r="G2138" s="63"/>
      <c r="H2138" s="67"/>
      <c r="I2138" s="68"/>
      <c r="J2138" s="68"/>
      <c r="K2138" s="32"/>
      <c r="L2138" s="75">
        <v>2138</v>
      </c>
      <c r="M2138" s="75"/>
      <c r="N2138" s="70"/>
      <c r="O2138" s="77" t="s">
        <v>179</v>
      </c>
      <c r="P2138" s="79">
        <v>44991.79074074074</v>
      </c>
      <c r="Q2138" s="77" t="s">
        <v>3348</v>
      </c>
      <c r="R2138" s="77">
        <v>0</v>
      </c>
      <c r="S2138" s="77">
        <v>0</v>
      </c>
      <c r="T2138" s="77">
        <v>0</v>
      </c>
      <c r="U2138" s="77">
        <v>0</v>
      </c>
      <c r="V2138" s="77">
        <v>581</v>
      </c>
      <c r="W2138" s="82" t="s">
        <v>6222</v>
      </c>
      <c r="X2138" s="77"/>
      <c r="Y2138" s="77"/>
      <c r="Z2138" s="77"/>
      <c r="AA2138" s="77" t="s">
        <v>8626</v>
      </c>
      <c r="AB2138" s="77" t="s">
        <v>10129</v>
      </c>
      <c r="AC2138" s="82" t="s">
        <v>10145</v>
      </c>
      <c r="AD2138" s="77" t="s">
        <v>10184</v>
      </c>
      <c r="AE2138" s="80" t="str">
        <f>HYPERLINK("https://twitter.com/israelpinveste/status/1632817992777039872")</f>
        <v>https://twitter.com/israelpinveste/status/1632817992777039872</v>
      </c>
      <c r="AF2138" s="79">
        <v>44991.79074074074</v>
      </c>
      <c r="AG2138" s="85">
        <v>44991</v>
      </c>
      <c r="AH2138" s="82" t="s">
        <v>12245</v>
      </c>
      <c r="AI2138" s="77" t="b">
        <v>0</v>
      </c>
      <c r="AJ2138" s="77"/>
      <c r="AK2138" s="77"/>
      <c r="AL2138" s="77"/>
      <c r="AM2138" s="77"/>
      <c r="AN2138" s="77"/>
      <c r="AO2138" s="77"/>
      <c r="AP2138" s="77"/>
      <c r="AQ2138" s="77" t="s">
        <v>15270</v>
      </c>
      <c r="AR2138" s="77">
        <v>5401</v>
      </c>
      <c r="AS2138" s="77"/>
      <c r="AT2138" s="77"/>
      <c r="AU2138" s="77"/>
      <c r="AV2138" s="80" t="str">
        <f>HYPERLINK("https://pbs.twimg.com/amplify_video_thumb/1632817928478367744/img/xfg7FWfEG50_26C6.jpg")</f>
        <v>https://pbs.twimg.com/amplify_video_thumb/1632817928478367744/img/xfg7FWfEG50_26C6.jpg</v>
      </c>
      <c r="AW2138" s="82" t="s">
        <v>18906</v>
      </c>
      <c r="AX2138" s="82" t="s">
        <v>18906</v>
      </c>
      <c r="AY2138" s="77"/>
      <c r="AZ2138" s="82" t="s">
        <v>20971</v>
      </c>
      <c r="BA2138" s="82" t="s">
        <v>20971</v>
      </c>
      <c r="BB2138" s="82" t="s">
        <v>20971</v>
      </c>
      <c r="BC2138" s="82" t="s">
        <v>18906</v>
      </c>
      <c r="BD2138" s="82" t="s">
        <v>21414</v>
      </c>
      <c r="BE2138" s="77"/>
      <c r="BF2138" s="77"/>
      <c r="BG2138" s="77"/>
      <c r="BH2138" s="77"/>
      <c r="BI2138" s="77"/>
    </row>
    <row r="2139" spans="1:61" x14ac:dyDescent="0.25">
      <c r="A2139" s="62" t="s">
        <v>767</v>
      </c>
      <c r="B2139" s="62" t="s">
        <v>767</v>
      </c>
      <c r="C2139" s="63"/>
      <c r="D2139" s="64"/>
      <c r="E2139" s="65"/>
      <c r="F2139" s="66"/>
      <c r="G2139" s="63"/>
      <c r="H2139" s="67"/>
      <c r="I2139" s="68"/>
      <c r="J2139" s="68"/>
      <c r="K2139" s="32"/>
      <c r="L2139" s="75">
        <v>2139</v>
      </c>
      <c r="M2139" s="75"/>
      <c r="N2139" s="70"/>
      <c r="O2139" s="77" t="s">
        <v>179</v>
      </c>
      <c r="P2139" s="79">
        <v>45042.092731481483</v>
      </c>
      <c r="Q2139" s="77" t="s">
        <v>3349</v>
      </c>
      <c r="R2139" s="77">
        <v>0</v>
      </c>
      <c r="S2139" s="77">
        <v>0</v>
      </c>
      <c r="T2139" s="77">
        <v>0</v>
      </c>
      <c r="U2139" s="77">
        <v>0</v>
      </c>
      <c r="V2139" s="77">
        <v>127</v>
      </c>
      <c r="W2139" s="82" t="s">
        <v>6223</v>
      </c>
      <c r="X2139" s="77"/>
      <c r="Y2139" s="77"/>
      <c r="Z2139" s="77"/>
      <c r="AA2139" s="77" t="s">
        <v>8627</v>
      </c>
      <c r="AB2139" s="77" t="s">
        <v>10129</v>
      </c>
      <c r="AC2139" s="82" t="s">
        <v>10145</v>
      </c>
      <c r="AD2139" s="77" t="s">
        <v>10184</v>
      </c>
      <c r="AE2139" s="80" t="str">
        <f>HYPERLINK("https://twitter.com/israelpinveste/status/1651046824604516355")</f>
        <v>https://twitter.com/israelpinveste/status/1651046824604516355</v>
      </c>
      <c r="AF2139" s="79">
        <v>45042.092731481483</v>
      </c>
      <c r="AG2139" s="85">
        <v>45042</v>
      </c>
      <c r="AH2139" s="82" t="s">
        <v>12246</v>
      </c>
      <c r="AI2139" s="77" t="b">
        <v>0</v>
      </c>
      <c r="AJ2139" s="77" t="s">
        <v>13998</v>
      </c>
      <c r="AK2139" s="77" t="s">
        <v>14033</v>
      </c>
      <c r="AL2139" s="77" t="s">
        <v>14035</v>
      </c>
      <c r="AM2139" s="77" t="s">
        <v>14040</v>
      </c>
      <c r="AN2139" s="77" t="s">
        <v>14077</v>
      </c>
      <c r="AO2139" s="77" t="s">
        <v>14115</v>
      </c>
      <c r="AP2139" s="77" t="s">
        <v>14149</v>
      </c>
      <c r="AQ2139" s="77" t="s">
        <v>15271</v>
      </c>
      <c r="AR2139" s="77">
        <v>40358</v>
      </c>
      <c r="AS2139" s="77"/>
      <c r="AT2139" s="77"/>
      <c r="AU2139" s="77"/>
      <c r="AV2139" s="80" t="str">
        <f>HYPERLINK("https://pbs.twimg.com/amplify_video_thumb/1651046591342452736/img/rVnH9gjuzHIGLjY6.jpg")</f>
        <v>https://pbs.twimg.com/amplify_video_thumb/1651046591342452736/img/rVnH9gjuzHIGLjY6.jpg</v>
      </c>
      <c r="AW2139" s="82" t="s">
        <v>18907</v>
      </c>
      <c r="AX2139" s="82" t="s">
        <v>18907</v>
      </c>
      <c r="AY2139" s="77"/>
      <c r="AZ2139" s="82" t="s">
        <v>20971</v>
      </c>
      <c r="BA2139" s="82" t="s">
        <v>20971</v>
      </c>
      <c r="BB2139" s="82" t="s">
        <v>20971</v>
      </c>
      <c r="BC2139" s="82" t="s">
        <v>18907</v>
      </c>
      <c r="BD2139" s="82" t="s">
        <v>21414</v>
      </c>
      <c r="BE2139" s="77"/>
      <c r="BF2139" s="77"/>
      <c r="BG2139" s="77"/>
      <c r="BH2139" s="77"/>
      <c r="BI2139" s="77"/>
    </row>
    <row r="2140" spans="1:61" x14ac:dyDescent="0.25">
      <c r="A2140" s="62" t="s">
        <v>767</v>
      </c>
      <c r="B2140" s="62" t="s">
        <v>767</v>
      </c>
      <c r="C2140" s="63"/>
      <c r="D2140" s="64"/>
      <c r="E2140" s="65"/>
      <c r="F2140" s="66"/>
      <c r="G2140" s="63"/>
      <c r="H2140" s="67"/>
      <c r="I2140" s="68"/>
      <c r="J2140" s="68"/>
      <c r="K2140" s="32"/>
      <c r="L2140" s="75">
        <v>2140</v>
      </c>
      <c r="M2140" s="75"/>
      <c r="N2140" s="70"/>
      <c r="O2140" s="77" t="s">
        <v>179</v>
      </c>
      <c r="P2140" s="79">
        <v>45042.092523148145</v>
      </c>
      <c r="Q2140" s="77" t="s">
        <v>3350</v>
      </c>
      <c r="R2140" s="77">
        <v>0</v>
      </c>
      <c r="S2140" s="77">
        <v>0</v>
      </c>
      <c r="T2140" s="77">
        <v>0</v>
      </c>
      <c r="U2140" s="77">
        <v>0</v>
      </c>
      <c r="V2140" s="77">
        <v>115</v>
      </c>
      <c r="W2140" s="82" t="s">
        <v>6223</v>
      </c>
      <c r="X2140" s="77"/>
      <c r="Y2140" s="77"/>
      <c r="Z2140" s="77"/>
      <c r="AA2140" s="77" t="s">
        <v>8628</v>
      </c>
      <c r="AB2140" s="77" t="s">
        <v>10129</v>
      </c>
      <c r="AC2140" s="82" t="s">
        <v>10145</v>
      </c>
      <c r="AD2140" s="77" t="s">
        <v>10184</v>
      </c>
      <c r="AE2140" s="80" t="str">
        <f>HYPERLINK("https://twitter.com/israelpinveste/status/1651046749727870981")</f>
        <v>https://twitter.com/israelpinveste/status/1651046749727870981</v>
      </c>
      <c r="AF2140" s="79">
        <v>45042.092523148145</v>
      </c>
      <c r="AG2140" s="85">
        <v>45042</v>
      </c>
      <c r="AH2140" s="82" t="s">
        <v>12247</v>
      </c>
      <c r="AI2140" s="77" t="b">
        <v>0</v>
      </c>
      <c r="AJ2140" s="77" t="s">
        <v>13998</v>
      </c>
      <c r="AK2140" s="77" t="s">
        <v>14033</v>
      </c>
      <c r="AL2140" s="77" t="s">
        <v>14035</v>
      </c>
      <c r="AM2140" s="77" t="s">
        <v>14040</v>
      </c>
      <c r="AN2140" s="77" t="s">
        <v>14077</v>
      </c>
      <c r="AO2140" s="77" t="s">
        <v>14115</v>
      </c>
      <c r="AP2140" s="77" t="s">
        <v>14149</v>
      </c>
      <c r="AQ2140" s="77" t="s">
        <v>15271</v>
      </c>
      <c r="AR2140" s="77">
        <v>40358</v>
      </c>
      <c r="AS2140" s="77"/>
      <c r="AT2140" s="77"/>
      <c r="AU2140" s="77"/>
      <c r="AV2140" s="80" t="str">
        <f>HYPERLINK("https://pbs.twimg.com/amplify_video_thumb/1651046591342452736/img/rVnH9gjuzHIGLjY6.jpg")</f>
        <v>https://pbs.twimg.com/amplify_video_thumb/1651046591342452736/img/rVnH9gjuzHIGLjY6.jpg</v>
      </c>
      <c r="AW2140" s="82" t="s">
        <v>18908</v>
      </c>
      <c r="AX2140" s="82" t="s">
        <v>18908</v>
      </c>
      <c r="AY2140" s="77"/>
      <c r="AZ2140" s="82" t="s">
        <v>20971</v>
      </c>
      <c r="BA2140" s="82" t="s">
        <v>20971</v>
      </c>
      <c r="BB2140" s="82" t="s">
        <v>20971</v>
      </c>
      <c r="BC2140" s="82" t="s">
        <v>18908</v>
      </c>
      <c r="BD2140" s="82" t="s">
        <v>21414</v>
      </c>
      <c r="BE2140" s="77"/>
      <c r="BF2140" s="77"/>
      <c r="BG2140" s="77"/>
      <c r="BH2140" s="77"/>
      <c r="BI2140" s="77"/>
    </row>
    <row r="2141" spans="1:61" x14ac:dyDescent="0.25">
      <c r="A2141" s="62" t="s">
        <v>767</v>
      </c>
      <c r="B2141" s="62" t="s">
        <v>767</v>
      </c>
      <c r="C2141" s="63"/>
      <c r="D2141" s="64"/>
      <c r="E2141" s="65"/>
      <c r="F2141" s="66"/>
      <c r="G2141" s="63"/>
      <c r="H2141" s="67"/>
      <c r="I2141" s="68"/>
      <c r="J2141" s="68"/>
      <c r="K2141" s="32"/>
      <c r="L2141" s="75">
        <v>2141</v>
      </c>
      <c r="M2141" s="75"/>
      <c r="N2141" s="70"/>
      <c r="O2141" s="77" t="s">
        <v>179</v>
      </c>
      <c r="P2141" s="79">
        <v>45156.654861111114</v>
      </c>
      <c r="Q2141" s="77" t="s">
        <v>3351</v>
      </c>
      <c r="R2141" s="77">
        <v>0</v>
      </c>
      <c r="S2141" s="77">
        <v>3</v>
      </c>
      <c r="T2141" s="77">
        <v>0</v>
      </c>
      <c r="U2141" s="77">
        <v>0</v>
      </c>
      <c r="V2141" s="77">
        <v>1071</v>
      </c>
      <c r="W2141" s="82" t="s">
        <v>6224</v>
      </c>
      <c r="X2141" s="80" t="str">
        <f>HYPERLINK("https://coinsday.com.br/10-dicas-incriveis-da-geracao-z-para-gerar-renda-extra/")</f>
        <v>https://coinsday.com.br/10-dicas-incriveis-da-geracao-z-para-gerar-renda-extra/</v>
      </c>
      <c r="Y2141" s="77" t="s">
        <v>7252</v>
      </c>
      <c r="Z2141" s="77"/>
      <c r="AA2141" s="77"/>
      <c r="AB2141" s="77"/>
      <c r="AC2141" s="82" t="s">
        <v>10146</v>
      </c>
      <c r="AD2141" s="77" t="s">
        <v>10184</v>
      </c>
      <c r="AE2141" s="80" t="str">
        <f>HYPERLINK("https://twitter.com/israelpinveste/status/1692562750164123998")</f>
        <v>https://twitter.com/israelpinveste/status/1692562750164123998</v>
      </c>
      <c r="AF2141" s="79">
        <v>45156.654861111114</v>
      </c>
      <c r="AG2141" s="85">
        <v>45156</v>
      </c>
      <c r="AH2141" s="82" t="s">
        <v>12248</v>
      </c>
      <c r="AI2141" s="77" t="b">
        <v>0</v>
      </c>
      <c r="AJ2141" s="77"/>
      <c r="AK2141" s="77"/>
      <c r="AL2141" s="77"/>
      <c r="AM2141" s="77"/>
      <c r="AN2141" s="77"/>
      <c r="AO2141" s="77"/>
      <c r="AP2141" s="77"/>
      <c r="AQ2141" s="77"/>
      <c r="AR2141" s="77"/>
      <c r="AS2141" s="77"/>
      <c r="AT2141" s="77"/>
      <c r="AU2141" s="77"/>
      <c r="AV2141" s="80" t="str">
        <f>HYPERLINK("https://pbs.twimg.com/profile_images/1615508002567512064/72hXrP_U_normal.jpg")</f>
        <v>https://pbs.twimg.com/profile_images/1615508002567512064/72hXrP_U_normal.jpg</v>
      </c>
      <c r="AW2141" s="82" t="s">
        <v>18909</v>
      </c>
      <c r="AX2141" s="82" t="s">
        <v>18909</v>
      </c>
      <c r="AY2141" s="77"/>
      <c r="AZ2141" s="82" t="s">
        <v>20971</v>
      </c>
      <c r="BA2141" s="82" t="s">
        <v>20971</v>
      </c>
      <c r="BB2141" s="82" t="s">
        <v>20971</v>
      </c>
      <c r="BC2141" s="82" t="s">
        <v>18909</v>
      </c>
      <c r="BD2141" s="82" t="s">
        <v>21414</v>
      </c>
      <c r="BE2141" s="77"/>
      <c r="BF2141" s="77"/>
      <c r="BG2141" s="77"/>
      <c r="BH2141" s="77"/>
      <c r="BI2141" s="77"/>
    </row>
    <row r="2142" spans="1:61" x14ac:dyDescent="0.25">
      <c r="A2142" s="62" t="s">
        <v>767</v>
      </c>
      <c r="B2142" s="62" t="s">
        <v>767</v>
      </c>
      <c r="C2142" s="63"/>
      <c r="D2142" s="64"/>
      <c r="E2142" s="65"/>
      <c r="F2142" s="66"/>
      <c r="G2142" s="63"/>
      <c r="H2142" s="67"/>
      <c r="I2142" s="68"/>
      <c r="J2142" s="68"/>
      <c r="K2142" s="32"/>
      <c r="L2142" s="75">
        <v>2142</v>
      </c>
      <c r="M2142" s="75"/>
      <c r="N2142" s="70"/>
      <c r="O2142" s="77" t="s">
        <v>179</v>
      </c>
      <c r="P2142" s="79">
        <v>45154.810266203705</v>
      </c>
      <c r="Q2142" s="77" t="s">
        <v>3352</v>
      </c>
      <c r="R2142" s="77">
        <v>0</v>
      </c>
      <c r="S2142" s="77">
        <v>1</v>
      </c>
      <c r="T2142" s="77">
        <v>0</v>
      </c>
      <c r="U2142" s="77">
        <v>0</v>
      </c>
      <c r="V2142" s="77">
        <v>1740</v>
      </c>
      <c r="W2142" s="82" t="s">
        <v>6225</v>
      </c>
      <c r="X2142" s="80" t="str">
        <f>HYPERLINK("https://www.youtube.com/watch?v=55lDBzi2Xzk")</f>
        <v>https://www.youtube.com/watch?v=55lDBzi2Xzk</v>
      </c>
      <c r="Y2142" s="77" t="s">
        <v>7303</v>
      </c>
      <c r="Z2142" s="77"/>
      <c r="AA2142" s="77"/>
      <c r="AB2142" s="77"/>
      <c r="AC2142" s="82" t="s">
        <v>10146</v>
      </c>
      <c r="AD2142" s="77" t="s">
        <v>10184</v>
      </c>
      <c r="AE2142" s="80" t="str">
        <f>HYPERLINK("https://twitter.com/israelpinveste/status/1691894289087730014")</f>
        <v>https://twitter.com/israelpinveste/status/1691894289087730014</v>
      </c>
      <c r="AF2142" s="79">
        <v>45154.810266203705</v>
      </c>
      <c r="AG2142" s="85">
        <v>45154</v>
      </c>
      <c r="AH2142" s="82" t="s">
        <v>12249</v>
      </c>
      <c r="AI2142" s="77" t="b">
        <v>0</v>
      </c>
      <c r="AJ2142" s="77"/>
      <c r="AK2142" s="77"/>
      <c r="AL2142" s="77"/>
      <c r="AM2142" s="77"/>
      <c r="AN2142" s="77"/>
      <c r="AO2142" s="77"/>
      <c r="AP2142" s="77"/>
      <c r="AQ2142" s="77"/>
      <c r="AR2142" s="77"/>
      <c r="AS2142" s="77"/>
      <c r="AT2142" s="77"/>
      <c r="AU2142" s="77"/>
      <c r="AV2142" s="80" t="str">
        <f>HYPERLINK("https://pbs.twimg.com/profile_images/1615508002567512064/72hXrP_U_normal.jpg")</f>
        <v>https://pbs.twimg.com/profile_images/1615508002567512064/72hXrP_U_normal.jpg</v>
      </c>
      <c r="AW2142" s="82" t="s">
        <v>18910</v>
      </c>
      <c r="AX2142" s="82" t="s">
        <v>18910</v>
      </c>
      <c r="AY2142" s="77"/>
      <c r="AZ2142" s="82" t="s">
        <v>20971</v>
      </c>
      <c r="BA2142" s="82" t="s">
        <v>20971</v>
      </c>
      <c r="BB2142" s="82" t="s">
        <v>20971</v>
      </c>
      <c r="BC2142" s="82" t="s">
        <v>18910</v>
      </c>
      <c r="BD2142" s="82" t="s">
        <v>21414</v>
      </c>
      <c r="BE2142" s="77"/>
      <c r="BF2142" s="77"/>
      <c r="BG2142" s="77"/>
      <c r="BH2142" s="77"/>
      <c r="BI2142" s="77"/>
    </row>
    <row r="2143" spans="1:61" x14ac:dyDescent="0.25">
      <c r="A2143" s="62" t="s">
        <v>768</v>
      </c>
      <c r="B2143" s="62" t="s">
        <v>768</v>
      </c>
      <c r="C2143" s="63"/>
      <c r="D2143" s="64"/>
      <c r="E2143" s="65"/>
      <c r="F2143" s="66"/>
      <c r="G2143" s="63"/>
      <c r="H2143" s="67"/>
      <c r="I2143" s="68"/>
      <c r="J2143" s="68"/>
      <c r="K2143" s="32"/>
      <c r="L2143" s="75">
        <v>2143</v>
      </c>
      <c r="M2143" s="75"/>
      <c r="N2143" s="70"/>
      <c r="O2143" s="77" t="s">
        <v>179</v>
      </c>
      <c r="P2143" s="79">
        <v>45097.651122685187</v>
      </c>
      <c r="Q2143" s="77" t="s">
        <v>3353</v>
      </c>
      <c r="R2143" s="77">
        <v>0</v>
      </c>
      <c r="S2143" s="77">
        <v>1</v>
      </c>
      <c r="T2143" s="77">
        <v>0</v>
      </c>
      <c r="U2143" s="77">
        <v>0</v>
      </c>
      <c r="V2143" s="77">
        <v>126</v>
      </c>
      <c r="W2143" s="82" t="s">
        <v>6226</v>
      </c>
      <c r="X2143" s="77"/>
      <c r="Y2143" s="77"/>
      <c r="Z2143" s="77"/>
      <c r="AA2143" s="77" t="s">
        <v>8629</v>
      </c>
      <c r="AB2143" s="77" t="s">
        <v>10130</v>
      </c>
      <c r="AC2143" s="82" t="s">
        <v>10146</v>
      </c>
      <c r="AD2143" s="77" t="s">
        <v>10184</v>
      </c>
      <c r="AE2143" s="80" t="str">
        <f>HYPERLINK("https://twitter.com/falaipesquisas/status/1671180511362859012")</f>
        <v>https://twitter.com/falaipesquisas/status/1671180511362859012</v>
      </c>
      <c r="AF2143" s="79">
        <v>45097.651122685187</v>
      </c>
      <c r="AG2143" s="85">
        <v>45097</v>
      </c>
      <c r="AH2143" s="82" t="s">
        <v>12250</v>
      </c>
      <c r="AI2143" s="77" t="b">
        <v>0</v>
      </c>
      <c r="AJ2143" s="77"/>
      <c r="AK2143" s="77"/>
      <c r="AL2143" s="77"/>
      <c r="AM2143" s="77"/>
      <c r="AN2143" s="77"/>
      <c r="AO2143" s="77"/>
      <c r="AP2143" s="77"/>
      <c r="AQ2143" s="77" t="s">
        <v>15272</v>
      </c>
      <c r="AR2143" s="77"/>
      <c r="AS2143" s="77"/>
      <c r="AT2143" s="77"/>
      <c r="AU2143" s="77"/>
      <c r="AV2143" s="80" t="str">
        <f>HYPERLINK("https://pbs.twimg.com/media/FzE5yTcX0AIDNik.jpg")</f>
        <v>https://pbs.twimg.com/media/FzE5yTcX0AIDNik.jpg</v>
      </c>
      <c r="AW2143" s="82" t="s">
        <v>18911</v>
      </c>
      <c r="AX2143" s="82" t="s">
        <v>18911</v>
      </c>
      <c r="AY2143" s="77"/>
      <c r="AZ2143" s="82" t="s">
        <v>20971</v>
      </c>
      <c r="BA2143" s="82" t="s">
        <v>20971</v>
      </c>
      <c r="BB2143" s="82" t="s">
        <v>20971</v>
      </c>
      <c r="BC2143" s="82" t="s">
        <v>18911</v>
      </c>
      <c r="BD2143" s="82" t="s">
        <v>21415</v>
      </c>
      <c r="BE2143" s="77"/>
      <c r="BF2143" s="77"/>
      <c r="BG2143" s="77"/>
      <c r="BH2143" s="77"/>
      <c r="BI2143" s="77"/>
    </row>
    <row r="2144" spans="1:61" x14ac:dyDescent="0.25">
      <c r="A2144" s="62" t="s">
        <v>768</v>
      </c>
      <c r="B2144" s="62" t="s">
        <v>768</v>
      </c>
      <c r="C2144" s="63"/>
      <c r="D2144" s="64"/>
      <c r="E2144" s="65"/>
      <c r="F2144" s="66"/>
      <c r="G2144" s="63"/>
      <c r="H2144" s="67"/>
      <c r="I2144" s="68"/>
      <c r="J2144" s="68"/>
      <c r="K2144" s="32"/>
      <c r="L2144" s="75">
        <v>2144</v>
      </c>
      <c r="M2144" s="75"/>
      <c r="N2144" s="70"/>
      <c r="O2144" s="77" t="s">
        <v>179</v>
      </c>
      <c r="P2144" s="79">
        <v>45083.699548611112</v>
      </c>
      <c r="Q2144" s="77" t="s">
        <v>3354</v>
      </c>
      <c r="R2144" s="77">
        <v>0</v>
      </c>
      <c r="S2144" s="77">
        <v>2</v>
      </c>
      <c r="T2144" s="77">
        <v>0</v>
      </c>
      <c r="U2144" s="77">
        <v>0</v>
      </c>
      <c r="V2144" s="77">
        <v>102</v>
      </c>
      <c r="W2144" s="82" t="s">
        <v>6226</v>
      </c>
      <c r="X2144" s="80" t="str">
        <f>HYPERLINK("https://abre.ai/ghm9")</f>
        <v>https://abre.ai/ghm9</v>
      </c>
      <c r="Y2144" s="77" t="s">
        <v>7396</v>
      </c>
      <c r="Z2144" s="77"/>
      <c r="AA2144" s="77" t="s">
        <v>8630</v>
      </c>
      <c r="AB2144" s="77" t="s">
        <v>10130</v>
      </c>
      <c r="AC2144" s="82" t="s">
        <v>10146</v>
      </c>
      <c r="AD2144" s="77" t="s">
        <v>10184</v>
      </c>
      <c r="AE2144" s="80" t="str">
        <f>HYPERLINK("https://twitter.com/falaipesquisas/status/1666124627968512000")</f>
        <v>https://twitter.com/falaipesquisas/status/1666124627968512000</v>
      </c>
      <c r="AF2144" s="79">
        <v>45083.699548611112</v>
      </c>
      <c r="AG2144" s="85">
        <v>45083</v>
      </c>
      <c r="AH2144" s="82" t="s">
        <v>12251</v>
      </c>
      <c r="AI2144" s="77" t="b">
        <v>0</v>
      </c>
      <c r="AJ2144" s="77"/>
      <c r="AK2144" s="77"/>
      <c r="AL2144" s="77"/>
      <c r="AM2144" s="77"/>
      <c r="AN2144" s="77"/>
      <c r="AO2144" s="77"/>
      <c r="AP2144" s="77"/>
      <c r="AQ2144" s="77" t="s">
        <v>15273</v>
      </c>
      <c r="AR2144" s="77"/>
      <c r="AS2144" s="77"/>
      <c r="AT2144" s="77"/>
      <c r="AU2144" s="77"/>
      <c r="AV2144" s="80" t="str">
        <f>HYPERLINK("https://pbs.twimg.com/media/Fx9DYP9XsAA17nq.jpg")</f>
        <v>https://pbs.twimg.com/media/Fx9DYP9XsAA17nq.jpg</v>
      </c>
      <c r="AW2144" s="82" t="s">
        <v>18912</v>
      </c>
      <c r="AX2144" s="82" t="s">
        <v>18912</v>
      </c>
      <c r="AY2144" s="77"/>
      <c r="AZ2144" s="82" t="s">
        <v>20971</v>
      </c>
      <c r="BA2144" s="82" t="s">
        <v>20971</v>
      </c>
      <c r="BB2144" s="82" t="s">
        <v>20971</v>
      </c>
      <c r="BC2144" s="82" t="s">
        <v>18912</v>
      </c>
      <c r="BD2144" s="82" t="s">
        <v>21415</v>
      </c>
      <c r="BE2144" s="77"/>
      <c r="BF2144" s="77"/>
      <c r="BG2144" s="77"/>
      <c r="BH2144" s="77"/>
      <c r="BI2144" s="77"/>
    </row>
    <row r="2145" spans="1:61" x14ac:dyDescent="0.25">
      <c r="A2145" s="62" t="s">
        <v>768</v>
      </c>
      <c r="B2145" s="62" t="s">
        <v>768</v>
      </c>
      <c r="C2145" s="63"/>
      <c r="D2145" s="64"/>
      <c r="E2145" s="65"/>
      <c r="F2145" s="66"/>
      <c r="G2145" s="63"/>
      <c r="H2145" s="67"/>
      <c r="I2145" s="68"/>
      <c r="J2145" s="68"/>
      <c r="K2145" s="32"/>
      <c r="L2145" s="75">
        <v>2145</v>
      </c>
      <c r="M2145" s="75"/>
      <c r="N2145" s="70"/>
      <c r="O2145" s="77" t="s">
        <v>179</v>
      </c>
      <c r="P2145" s="79">
        <v>45113.65556712963</v>
      </c>
      <c r="Q2145" s="77" t="s">
        <v>3355</v>
      </c>
      <c r="R2145" s="77">
        <v>0</v>
      </c>
      <c r="S2145" s="77">
        <v>0</v>
      </c>
      <c r="T2145" s="77">
        <v>0</v>
      </c>
      <c r="U2145" s="77">
        <v>0</v>
      </c>
      <c r="V2145" s="77">
        <v>152</v>
      </c>
      <c r="W2145" s="82" t="s">
        <v>6227</v>
      </c>
      <c r="X2145" s="77"/>
      <c r="Y2145" s="77"/>
      <c r="Z2145" s="77"/>
      <c r="AA2145" s="77" t="s">
        <v>8631</v>
      </c>
      <c r="AB2145" s="77" t="s">
        <v>10130</v>
      </c>
      <c r="AC2145" s="82" t="s">
        <v>10146</v>
      </c>
      <c r="AD2145" s="77" t="s">
        <v>10184</v>
      </c>
      <c r="AE2145" s="80" t="str">
        <f>HYPERLINK("https://twitter.com/falaipesquisas/status/1676980326298529793")</f>
        <v>https://twitter.com/falaipesquisas/status/1676980326298529793</v>
      </c>
      <c r="AF2145" s="79">
        <v>45113.65556712963</v>
      </c>
      <c r="AG2145" s="85">
        <v>45113</v>
      </c>
      <c r="AH2145" s="82" t="s">
        <v>12252</v>
      </c>
      <c r="AI2145" s="77" t="b">
        <v>0</v>
      </c>
      <c r="AJ2145" s="77"/>
      <c r="AK2145" s="77"/>
      <c r="AL2145" s="77"/>
      <c r="AM2145" s="77"/>
      <c r="AN2145" s="77"/>
      <c r="AO2145" s="77"/>
      <c r="AP2145" s="77"/>
      <c r="AQ2145" s="77" t="s">
        <v>15274</v>
      </c>
      <c r="AR2145" s="77"/>
      <c r="AS2145" s="77"/>
      <c r="AT2145" s="77"/>
      <c r="AU2145" s="77"/>
      <c r="AV2145" s="80" t="str">
        <f>HYPERLINK("https://pbs.twimg.com/media/F0XUrUjXgAA5_31.jpg")</f>
        <v>https://pbs.twimg.com/media/F0XUrUjXgAA5_31.jpg</v>
      </c>
      <c r="AW2145" s="82" t="s">
        <v>18913</v>
      </c>
      <c r="AX2145" s="82" t="s">
        <v>18913</v>
      </c>
      <c r="AY2145" s="77"/>
      <c r="AZ2145" s="82" t="s">
        <v>20971</v>
      </c>
      <c r="BA2145" s="82" t="s">
        <v>20971</v>
      </c>
      <c r="BB2145" s="82" t="s">
        <v>20971</v>
      </c>
      <c r="BC2145" s="82" t="s">
        <v>18913</v>
      </c>
      <c r="BD2145" s="82" t="s">
        <v>21415</v>
      </c>
      <c r="BE2145" s="77"/>
      <c r="BF2145" s="77"/>
      <c r="BG2145" s="77"/>
      <c r="BH2145" s="77"/>
      <c r="BI2145" s="77"/>
    </row>
    <row r="2146" spans="1:61" x14ac:dyDescent="0.25">
      <c r="A2146" s="62" t="s">
        <v>768</v>
      </c>
      <c r="B2146" s="62" t="s">
        <v>768</v>
      </c>
      <c r="C2146" s="63"/>
      <c r="D2146" s="64"/>
      <c r="E2146" s="65"/>
      <c r="F2146" s="66"/>
      <c r="G2146" s="63"/>
      <c r="H2146" s="67"/>
      <c r="I2146" s="68"/>
      <c r="J2146" s="68"/>
      <c r="K2146" s="32"/>
      <c r="L2146" s="75">
        <v>2146</v>
      </c>
      <c r="M2146" s="75"/>
      <c r="N2146" s="70"/>
      <c r="O2146" s="77" t="s">
        <v>179</v>
      </c>
      <c r="P2146" s="79">
        <v>45090.652048611111</v>
      </c>
      <c r="Q2146" s="77" t="s">
        <v>3356</v>
      </c>
      <c r="R2146" s="77">
        <v>0</v>
      </c>
      <c r="S2146" s="77">
        <v>1</v>
      </c>
      <c r="T2146" s="77">
        <v>0</v>
      </c>
      <c r="U2146" s="77">
        <v>0</v>
      </c>
      <c r="V2146" s="77">
        <v>88</v>
      </c>
      <c r="W2146" s="82" t="s">
        <v>6226</v>
      </c>
      <c r="X2146" s="77"/>
      <c r="Y2146" s="77"/>
      <c r="Z2146" s="77"/>
      <c r="AA2146" s="77" t="s">
        <v>8632</v>
      </c>
      <c r="AB2146" s="77" t="s">
        <v>10130</v>
      </c>
      <c r="AC2146" s="82" t="s">
        <v>10146</v>
      </c>
      <c r="AD2146" s="77" t="s">
        <v>10184</v>
      </c>
      <c r="AE2146" s="80" t="str">
        <f>HYPERLINK("https://twitter.com/falaipesquisas/status/1668644130090516480")</f>
        <v>https://twitter.com/falaipesquisas/status/1668644130090516480</v>
      </c>
      <c r="AF2146" s="79">
        <v>45090.652048611111</v>
      </c>
      <c r="AG2146" s="85">
        <v>45090</v>
      </c>
      <c r="AH2146" s="82" t="s">
        <v>12253</v>
      </c>
      <c r="AI2146" s="77" t="b">
        <v>0</v>
      </c>
      <c r="AJ2146" s="77"/>
      <c r="AK2146" s="77"/>
      <c r="AL2146" s="77"/>
      <c r="AM2146" s="77"/>
      <c r="AN2146" s="77"/>
      <c r="AO2146" s="77"/>
      <c r="AP2146" s="77"/>
      <c r="AQ2146" s="77" t="s">
        <v>15275</v>
      </c>
      <c r="AR2146" s="77"/>
      <c r="AS2146" s="77"/>
      <c r="AT2146" s="77"/>
      <c r="AU2146" s="77"/>
      <c r="AV2146" s="80" t="str">
        <f>HYPERLINK("https://pbs.twimg.com/media/Fyg29ldWcAANu-m.jpg")</f>
        <v>https://pbs.twimg.com/media/Fyg29ldWcAANu-m.jpg</v>
      </c>
      <c r="AW2146" s="82" t="s">
        <v>18914</v>
      </c>
      <c r="AX2146" s="82" t="s">
        <v>18914</v>
      </c>
      <c r="AY2146" s="77"/>
      <c r="AZ2146" s="82" t="s">
        <v>20971</v>
      </c>
      <c r="BA2146" s="82" t="s">
        <v>20971</v>
      </c>
      <c r="BB2146" s="82" t="s">
        <v>20971</v>
      </c>
      <c r="BC2146" s="82" t="s">
        <v>18914</v>
      </c>
      <c r="BD2146" s="82" t="s">
        <v>21415</v>
      </c>
      <c r="BE2146" s="77"/>
      <c r="BF2146" s="77"/>
      <c r="BG2146" s="77"/>
      <c r="BH2146" s="77"/>
      <c r="BI2146" s="77"/>
    </row>
    <row r="2147" spans="1:61" x14ac:dyDescent="0.25">
      <c r="A2147" s="62" t="s">
        <v>768</v>
      </c>
      <c r="B2147" s="62" t="s">
        <v>768</v>
      </c>
      <c r="C2147" s="63"/>
      <c r="D2147" s="64"/>
      <c r="E2147" s="65"/>
      <c r="F2147" s="66"/>
      <c r="G2147" s="63"/>
      <c r="H2147" s="67"/>
      <c r="I2147" s="68"/>
      <c r="J2147" s="68"/>
      <c r="K2147" s="32"/>
      <c r="L2147" s="75">
        <v>2147</v>
      </c>
      <c r="M2147" s="75"/>
      <c r="N2147" s="70"/>
      <c r="O2147" s="77" t="s">
        <v>179</v>
      </c>
      <c r="P2147" s="79">
        <v>45125.797465277778</v>
      </c>
      <c r="Q2147" s="77" t="s">
        <v>3357</v>
      </c>
      <c r="R2147" s="77">
        <v>0</v>
      </c>
      <c r="S2147" s="77">
        <v>0</v>
      </c>
      <c r="T2147" s="77">
        <v>0</v>
      </c>
      <c r="U2147" s="77">
        <v>0</v>
      </c>
      <c r="V2147" s="77">
        <v>132</v>
      </c>
      <c r="W2147" s="82" t="s">
        <v>6227</v>
      </c>
      <c r="X2147" s="77"/>
      <c r="Y2147" s="77"/>
      <c r="Z2147" s="77"/>
      <c r="AA2147" s="77" t="s">
        <v>8633</v>
      </c>
      <c r="AB2147" s="77" t="s">
        <v>10130</v>
      </c>
      <c r="AC2147" s="82" t="s">
        <v>10146</v>
      </c>
      <c r="AD2147" s="77" t="s">
        <v>10184</v>
      </c>
      <c r="AE2147" s="80" t="str">
        <f>HYPERLINK("https://twitter.com/falaipesquisas/status/1681380403775406083")</f>
        <v>https://twitter.com/falaipesquisas/status/1681380403775406083</v>
      </c>
      <c r="AF2147" s="79">
        <v>45125.797465277778</v>
      </c>
      <c r="AG2147" s="85">
        <v>45125</v>
      </c>
      <c r="AH2147" s="82" t="s">
        <v>12254</v>
      </c>
      <c r="AI2147" s="77" t="b">
        <v>0</v>
      </c>
      <c r="AJ2147" s="77"/>
      <c r="AK2147" s="77"/>
      <c r="AL2147" s="77"/>
      <c r="AM2147" s="77"/>
      <c r="AN2147" s="77"/>
      <c r="AO2147" s="77"/>
      <c r="AP2147" s="77"/>
      <c r="AQ2147" s="77" t="s">
        <v>15276</v>
      </c>
      <c r="AR2147" s="77"/>
      <c r="AS2147" s="77"/>
      <c r="AT2147" s="77"/>
      <c r="AU2147" s="77"/>
      <c r="AV2147" s="80" t="str">
        <f>HYPERLINK("https://pbs.twimg.com/media/F1V2jPmWcAA5pyL.jpg")</f>
        <v>https://pbs.twimg.com/media/F1V2jPmWcAA5pyL.jpg</v>
      </c>
      <c r="AW2147" s="82" t="s">
        <v>18915</v>
      </c>
      <c r="AX2147" s="82" t="s">
        <v>18915</v>
      </c>
      <c r="AY2147" s="77"/>
      <c r="AZ2147" s="82" t="s">
        <v>20971</v>
      </c>
      <c r="BA2147" s="82" t="s">
        <v>20971</v>
      </c>
      <c r="BB2147" s="82" t="s">
        <v>20971</v>
      </c>
      <c r="BC2147" s="82" t="s">
        <v>18915</v>
      </c>
      <c r="BD2147" s="82" t="s">
        <v>21415</v>
      </c>
      <c r="BE2147" s="77"/>
      <c r="BF2147" s="77"/>
      <c r="BG2147" s="77"/>
      <c r="BH2147" s="77"/>
      <c r="BI2147" s="77"/>
    </row>
    <row r="2148" spans="1:61" x14ac:dyDescent="0.25">
      <c r="A2148" s="62" t="s">
        <v>768</v>
      </c>
      <c r="B2148" s="62" t="s">
        <v>768</v>
      </c>
      <c r="C2148" s="63"/>
      <c r="D2148" s="64"/>
      <c r="E2148" s="65"/>
      <c r="F2148" s="66"/>
      <c r="G2148" s="63"/>
      <c r="H2148" s="67"/>
      <c r="I2148" s="68"/>
      <c r="J2148" s="68"/>
      <c r="K2148" s="32"/>
      <c r="L2148" s="75">
        <v>2148</v>
      </c>
      <c r="M2148" s="75"/>
      <c r="N2148" s="70"/>
      <c r="O2148" s="77" t="s">
        <v>179</v>
      </c>
      <c r="P2148" s="79">
        <v>45106.690069444441</v>
      </c>
      <c r="Q2148" s="77" t="s">
        <v>3358</v>
      </c>
      <c r="R2148" s="77">
        <v>0</v>
      </c>
      <c r="S2148" s="77">
        <v>3</v>
      </c>
      <c r="T2148" s="77">
        <v>1</v>
      </c>
      <c r="U2148" s="77">
        <v>0</v>
      </c>
      <c r="V2148" s="77">
        <v>205</v>
      </c>
      <c r="W2148" s="82" t="s">
        <v>6228</v>
      </c>
      <c r="X2148" s="77"/>
      <c r="Y2148" s="77"/>
      <c r="Z2148" s="77"/>
      <c r="AA2148" s="77" t="s">
        <v>8634</v>
      </c>
      <c r="AB2148" s="77" t="s">
        <v>10128</v>
      </c>
      <c r="AC2148" s="82" t="s">
        <v>10146</v>
      </c>
      <c r="AD2148" s="77" t="s">
        <v>10184</v>
      </c>
      <c r="AE2148" s="80" t="str">
        <f>HYPERLINK("https://twitter.com/falaipesquisas/status/1674456117668204546")</f>
        <v>https://twitter.com/falaipesquisas/status/1674456117668204546</v>
      </c>
      <c r="AF2148" s="79">
        <v>45106.690069444441</v>
      </c>
      <c r="AG2148" s="85">
        <v>45106</v>
      </c>
      <c r="AH2148" s="82" t="s">
        <v>12255</v>
      </c>
      <c r="AI2148" s="77" t="b">
        <v>0</v>
      </c>
      <c r="AJ2148" s="77"/>
      <c r="AK2148" s="77"/>
      <c r="AL2148" s="77"/>
      <c r="AM2148" s="77"/>
      <c r="AN2148" s="77"/>
      <c r="AO2148" s="77"/>
      <c r="AP2148" s="77"/>
      <c r="AQ2148" s="77" t="s">
        <v>15277</v>
      </c>
      <c r="AR2148" s="77"/>
      <c r="AS2148" s="77"/>
      <c r="AT2148" s="77"/>
      <c r="AU2148" s="77"/>
      <c r="AV2148" s="80" t="str">
        <f>HYPERLINK("https://pbs.twimg.com/media/Fzzc8UpWwAAu2Pt.jpg")</f>
        <v>https://pbs.twimg.com/media/Fzzc8UpWwAAu2Pt.jpg</v>
      </c>
      <c r="AW2148" s="82" t="s">
        <v>18916</v>
      </c>
      <c r="AX2148" s="82" t="s">
        <v>18916</v>
      </c>
      <c r="AY2148" s="77"/>
      <c r="AZ2148" s="82" t="s">
        <v>20971</v>
      </c>
      <c r="BA2148" s="82" t="s">
        <v>20971</v>
      </c>
      <c r="BB2148" s="82" t="s">
        <v>20971</v>
      </c>
      <c r="BC2148" s="82" t="s">
        <v>18916</v>
      </c>
      <c r="BD2148" s="82" t="s">
        <v>21415</v>
      </c>
      <c r="BE2148" s="77"/>
      <c r="BF2148" s="77"/>
      <c r="BG2148" s="77"/>
      <c r="BH2148" s="77"/>
      <c r="BI2148" s="77"/>
    </row>
    <row r="2149" spans="1:61" x14ac:dyDescent="0.25">
      <c r="A2149" s="62" t="s">
        <v>768</v>
      </c>
      <c r="B2149" s="62" t="s">
        <v>768</v>
      </c>
      <c r="C2149" s="63"/>
      <c r="D2149" s="64"/>
      <c r="E2149" s="65"/>
      <c r="F2149" s="66"/>
      <c r="G2149" s="63"/>
      <c r="H2149" s="67"/>
      <c r="I2149" s="68"/>
      <c r="J2149" s="68"/>
      <c r="K2149" s="32"/>
      <c r="L2149" s="75">
        <v>2149</v>
      </c>
      <c r="M2149" s="75"/>
      <c r="N2149" s="70"/>
      <c r="O2149" s="77" t="s">
        <v>179</v>
      </c>
      <c r="P2149" s="79">
        <v>45104.679432870369</v>
      </c>
      <c r="Q2149" s="77" t="s">
        <v>3359</v>
      </c>
      <c r="R2149" s="77">
        <v>1</v>
      </c>
      <c r="S2149" s="77">
        <v>1</v>
      </c>
      <c r="T2149" s="77">
        <v>1</v>
      </c>
      <c r="U2149" s="77">
        <v>0</v>
      </c>
      <c r="V2149" s="77">
        <v>235</v>
      </c>
      <c r="W2149" s="82" t="s">
        <v>6226</v>
      </c>
      <c r="X2149" s="80" t="str">
        <f>HYPERLINK("https://www.falai.com.vc/")</f>
        <v>https://www.falai.com.vc/</v>
      </c>
      <c r="Y2149" s="77" t="s">
        <v>7397</v>
      </c>
      <c r="Z2149" s="77"/>
      <c r="AA2149" s="77" t="s">
        <v>8635</v>
      </c>
      <c r="AB2149" s="77" t="s">
        <v>10130</v>
      </c>
      <c r="AC2149" s="82" t="s">
        <v>10146</v>
      </c>
      <c r="AD2149" s="77" t="s">
        <v>10184</v>
      </c>
      <c r="AE2149" s="80" t="str">
        <f>HYPERLINK("https://twitter.com/falaipesquisas/status/1673727486469849094")</f>
        <v>https://twitter.com/falaipesquisas/status/1673727486469849094</v>
      </c>
      <c r="AF2149" s="79">
        <v>45104.679432870369</v>
      </c>
      <c r="AG2149" s="85">
        <v>45104</v>
      </c>
      <c r="AH2149" s="82" t="s">
        <v>12256</v>
      </c>
      <c r="AI2149" s="77" t="b">
        <v>0</v>
      </c>
      <c r="AJ2149" s="77"/>
      <c r="AK2149" s="77"/>
      <c r="AL2149" s="77"/>
      <c r="AM2149" s="77"/>
      <c r="AN2149" s="77"/>
      <c r="AO2149" s="77"/>
      <c r="AP2149" s="77"/>
      <c r="AQ2149" s="77" t="s">
        <v>15278</v>
      </c>
      <c r="AR2149" s="77"/>
      <c r="AS2149" s="77"/>
      <c r="AT2149" s="77"/>
      <c r="AU2149" s="77"/>
      <c r="AV2149" s="80" t="str">
        <f>HYPERLINK("https://pbs.twimg.com/media/FzpGQRTWIAMp1Bb.jpg")</f>
        <v>https://pbs.twimg.com/media/FzpGQRTWIAMp1Bb.jpg</v>
      </c>
      <c r="AW2149" s="82" t="s">
        <v>18917</v>
      </c>
      <c r="AX2149" s="82" t="s">
        <v>18917</v>
      </c>
      <c r="AY2149" s="77"/>
      <c r="AZ2149" s="82" t="s">
        <v>20971</v>
      </c>
      <c r="BA2149" s="82" t="s">
        <v>20971</v>
      </c>
      <c r="BB2149" s="82" t="s">
        <v>20971</v>
      </c>
      <c r="BC2149" s="82" t="s">
        <v>18917</v>
      </c>
      <c r="BD2149" s="82" t="s">
        <v>21415</v>
      </c>
      <c r="BE2149" s="77"/>
      <c r="BF2149" s="77"/>
      <c r="BG2149" s="77"/>
      <c r="BH2149" s="77"/>
      <c r="BI2149" s="77"/>
    </row>
    <row r="2150" spans="1:61" x14ac:dyDescent="0.25">
      <c r="A2150" s="62" t="s">
        <v>768</v>
      </c>
      <c r="B2150" s="62" t="s">
        <v>768</v>
      </c>
      <c r="C2150" s="63"/>
      <c r="D2150" s="64"/>
      <c r="E2150" s="65"/>
      <c r="F2150" s="66"/>
      <c r="G2150" s="63"/>
      <c r="H2150" s="67"/>
      <c r="I2150" s="68"/>
      <c r="J2150" s="68"/>
      <c r="K2150" s="32"/>
      <c r="L2150" s="75">
        <v>2150</v>
      </c>
      <c r="M2150" s="75"/>
      <c r="N2150" s="70"/>
      <c r="O2150" s="77" t="s">
        <v>179</v>
      </c>
      <c r="P2150" s="79">
        <v>45085.625798611109</v>
      </c>
      <c r="Q2150" s="77" t="s">
        <v>3360</v>
      </c>
      <c r="R2150" s="77">
        <v>0</v>
      </c>
      <c r="S2150" s="77">
        <v>0</v>
      </c>
      <c r="T2150" s="77">
        <v>0</v>
      </c>
      <c r="U2150" s="77">
        <v>0</v>
      </c>
      <c r="V2150" s="77">
        <v>88</v>
      </c>
      <c r="W2150" s="82" t="s">
        <v>6226</v>
      </c>
      <c r="X2150" s="80" t="str">
        <f>HYPERLINK("https://www.falai.com.vc/")</f>
        <v>https://www.falai.com.vc/</v>
      </c>
      <c r="Y2150" s="77" t="s">
        <v>7397</v>
      </c>
      <c r="Z2150" s="77"/>
      <c r="AA2150" s="77" t="s">
        <v>8636</v>
      </c>
      <c r="AB2150" s="77" t="s">
        <v>10130</v>
      </c>
      <c r="AC2150" s="82" t="s">
        <v>10154</v>
      </c>
      <c r="AD2150" s="77" t="s">
        <v>10184</v>
      </c>
      <c r="AE2150" s="80" t="str">
        <f>HYPERLINK("https://twitter.com/falaipesquisas/status/1666822679528374276")</f>
        <v>https://twitter.com/falaipesquisas/status/1666822679528374276</v>
      </c>
      <c r="AF2150" s="79">
        <v>45085.625798611109</v>
      </c>
      <c r="AG2150" s="85">
        <v>45085</v>
      </c>
      <c r="AH2150" s="82" t="s">
        <v>12257</v>
      </c>
      <c r="AI2150" s="77" t="b">
        <v>0</v>
      </c>
      <c r="AJ2150" s="77"/>
      <c r="AK2150" s="77"/>
      <c r="AL2150" s="77"/>
      <c r="AM2150" s="77"/>
      <c r="AN2150" s="77"/>
      <c r="AO2150" s="77"/>
      <c r="AP2150" s="77"/>
      <c r="AQ2150" s="77" t="s">
        <v>15279</v>
      </c>
      <c r="AR2150" s="77"/>
      <c r="AS2150" s="77"/>
      <c r="AT2150" s="77"/>
      <c r="AU2150" s="77"/>
      <c r="AV2150" s="80" t="str">
        <f>HYPERLINK("https://pbs.twimg.com/media/FyG-ZLfakAUA1tQ.jpg")</f>
        <v>https://pbs.twimg.com/media/FyG-ZLfakAUA1tQ.jpg</v>
      </c>
      <c r="AW2150" s="82" t="s">
        <v>18918</v>
      </c>
      <c r="AX2150" s="82" t="s">
        <v>18918</v>
      </c>
      <c r="AY2150" s="77"/>
      <c r="AZ2150" s="82" t="s">
        <v>20971</v>
      </c>
      <c r="BA2150" s="82" t="s">
        <v>20971</v>
      </c>
      <c r="BB2150" s="82" t="s">
        <v>20971</v>
      </c>
      <c r="BC2150" s="82" t="s">
        <v>18918</v>
      </c>
      <c r="BD2150" s="82" t="s">
        <v>21415</v>
      </c>
      <c r="BE2150" s="77"/>
      <c r="BF2150" s="77"/>
      <c r="BG2150" s="77"/>
      <c r="BH2150" s="77"/>
      <c r="BI2150" s="77"/>
    </row>
    <row r="2151" spans="1:61" x14ac:dyDescent="0.25">
      <c r="A2151" s="62" t="s">
        <v>768</v>
      </c>
      <c r="B2151" s="62" t="s">
        <v>768</v>
      </c>
      <c r="C2151" s="63"/>
      <c r="D2151" s="64"/>
      <c r="E2151" s="65"/>
      <c r="F2151" s="66"/>
      <c r="G2151" s="63"/>
      <c r="H2151" s="67"/>
      <c r="I2151" s="68"/>
      <c r="J2151" s="68"/>
      <c r="K2151" s="32"/>
      <c r="L2151" s="75">
        <v>2151</v>
      </c>
      <c r="M2151" s="75"/>
      <c r="N2151" s="70"/>
      <c r="O2151" s="77" t="s">
        <v>179</v>
      </c>
      <c r="P2151" s="79">
        <v>45134.642395833333</v>
      </c>
      <c r="Q2151" s="77" t="s">
        <v>3361</v>
      </c>
      <c r="R2151" s="77">
        <v>0</v>
      </c>
      <c r="S2151" s="77">
        <v>1</v>
      </c>
      <c r="T2151" s="77">
        <v>0</v>
      </c>
      <c r="U2151" s="77">
        <v>0</v>
      </c>
      <c r="V2151" s="77">
        <v>167</v>
      </c>
      <c r="W2151" s="82" t="s">
        <v>6227</v>
      </c>
      <c r="X2151" s="77"/>
      <c r="Y2151" s="77"/>
      <c r="Z2151" s="77"/>
      <c r="AA2151" s="77" t="s">
        <v>8637</v>
      </c>
      <c r="AB2151" s="77" t="s">
        <v>10130</v>
      </c>
      <c r="AC2151" s="82" t="s">
        <v>10154</v>
      </c>
      <c r="AD2151" s="77" t="s">
        <v>10184</v>
      </c>
      <c r="AE2151" s="80" t="str">
        <f>HYPERLINK("https://twitter.com/falaipesquisas/status/1684585699058634753")</f>
        <v>https://twitter.com/falaipesquisas/status/1684585699058634753</v>
      </c>
      <c r="AF2151" s="79">
        <v>45134.642395833333</v>
      </c>
      <c r="AG2151" s="85">
        <v>45134</v>
      </c>
      <c r="AH2151" s="82" t="s">
        <v>12258</v>
      </c>
      <c r="AI2151" s="77" t="b">
        <v>0</v>
      </c>
      <c r="AJ2151" s="77"/>
      <c r="AK2151" s="77"/>
      <c r="AL2151" s="77"/>
      <c r="AM2151" s="77"/>
      <c r="AN2151" s="77"/>
      <c r="AO2151" s="77"/>
      <c r="AP2151" s="77"/>
      <c r="AQ2151" s="77" t="s">
        <v>15280</v>
      </c>
      <c r="AR2151" s="77"/>
      <c r="AS2151" s="77"/>
      <c r="AT2151" s="77"/>
      <c r="AU2151" s="77"/>
      <c r="AV2151" s="80" t="str">
        <f>HYPERLINK("https://pbs.twimg.com/media/F2DZxDDXwAAXq0X.jpg")</f>
        <v>https://pbs.twimg.com/media/F2DZxDDXwAAXq0X.jpg</v>
      </c>
      <c r="AW2151" s="82" t="s">
        <v>18919</v>
      </c>
      <c r="AX2151" s="82" t="s">
        <v>18919</v>
      </c>
      <c r="AY2151" s="77"/>
      <c r="AZ2151" s="82" t="s">
        <v>20971</v>
      </c>
      <c r="BA2151" s="82" t="s">
        <v>20971</v>
      </c>
      <c r="BB2151" s="82" t="s">
        <v>20971</v>
      </c>
      <c r="BC2151" s="82" t="s">
        <v>18919</v>
      </c>
      <c r="BD2151" s="82" t="s">
        <v>21415</v>
      </c>
      <c r="BE2151" s="77"/>
      <c r="BF2151" s="77"/>
      <c r="BG2151" s="77"/>
      <c r="BH2151" s="77"/>
      <c r="BI2151" s="77"/>
    </row>
    <row r="2152" spans="1:61" x14ac:dyDescent="0.25">
      <c r="A2152" s="62" t="s">
        <v>768</v>
      </c>
      <c r="B2152" s="62" t="s">
        <v>768</v>
      </c>
      <c r="C2152" s="63"/>
      <c r="D2152" s="64"/>
      <c r="E2152" s="65"/>
      <c r="F2152" s="66"/>
      <c r="G2152" s="63"/>
      <c r="H2152" s="67"/>
      <c r="I2152" s="68"/>
      <c r="J2152" s="68"/>
      <c r="K2152" s="32"/>
      <c r="L2152" s="75">
        <v>2152</v>
      </c>
      <c r="M2152" s="75"/>
      <c r="N2152" s="70"/>
      <c r="O2152" s="77" t="s">
        <v>179</v>
      </c>
      <c r="P2152" s="79">
        <v>45092.638923611114</v>
      </c>
      <c r="Q2152" s="77" t="s">
        <v>3362</v>
      </c>
      <c r="R2152" s="77">
        <v>0</v>
      </c>
      <c r="S2152" s="77">
        <v>1</v>
      </c>
      <c r="T2152" s="77">
        <v>0</v>
      </c>
      <c r="U2152" s="77">
        <v>0</v>
      </c>
      <c r="V2152" s="77">
        <v>113</v>
      </c>
      <c r="W2152" s="82" t="s">
        <v>6226</v>
      </c>
      <c r="X2152" s="80" t="str">
        <f>HYPERLINK("https://www.falai.com.vc/")</f>
        <v>https://www.falai.com.vc/</v>
      </c>
      <c r="Y2152" s="77" t="s">
        <v>7397</v>
      </c>
      <c r="Z2152" s="77"/>
      <c r="AA2152" s="77" t="s">
        <v>8638</v>
      </c>
      <c r="AB2152" s="77" t="s">
        <v>10130</v>
      </c>
      <c r="AC2152" s="82" t="s">
        <v>10154</v>
      </c>
      <c r="AD2152" s="77" t="s">
        <v>10184</v>
      </c>
      <c r="AE2152" s="80" t="str">
        <f>HYPERLINK("https://twitter.com/falaipesquisas/status/1669364151813132289")</f>
        <v>https://twitter.com/falaipesquisas/status/1669364151813132289</v>
      </c>
      <c r="AF2152" s="79">
        <v>45092.638923611114</v>
      </c>
      <c r="AG2152" s="85">
        <v>45092</v>
      </c>
      <c r="AH2152" s="82" t="s">
        <v>12259</v>
      </c>
      <c r="AI2152" s="77" t="b">
        <v>0</v>
      </c>
      <c r="AJ2152" s="77"/>
      <c r="AK2152" s="77"/>
      <c r="AL2152" s="77"/>
      <c r="AM2152" s="77"/>
      <c r="AN2152" s="77"/>
      <c r="AO2152" s="77"/>
      <c r="AP2152" s="77"/>
      <c r="AQ2152" s="77" t="s">
        <v>15281</v>
      </c>
      <c r="AR2152" s="77"/>
      <c r="AS2152" s="77"/>
      <c r="AT2152" s="77"/>
      <c r="AU2152" s="77"/>
      <c r="AV2152" s="80" t="str">
        <f>HYPERLINK("https://pbs.twimg.com/media/FyrF2TvWIAAIFYq.jpg")</f>
        <v>https://pbs.twimg.com/media/FyrF2TvWIAAIFYq.jpg</v>
      </c>
      <c r="AW2152" s="82" t="s">
        <v>18920</v>
      </c>
      <c r="AX2152" s="82" t="s">
        <v>18920</v>
      </c>
      <c r="AY2152" s="77"/>
      <c r="AZ2152" s="82" t="s">
        <v>20971</v>
      </c>
      <c r="BA2152" s="82" t="s">
        <v>20971</v>
      </c>
      <c r="BB2152" s="82" t="s">
        <v>20971</v>
      </c>
      <c r="BC2152" s="82" t="s">
        <v>18920</v>
      </c>
      <c r="BD2152" s="82" t="s">
        <v>21415</v>
      </c>
      <c r="BE2152" s="77"/>
      <c r="BF2152" s="77"/>
      <c r="BG2152" s="77"/>
      <c r="BH2152" s="77"/>
      <c r="BI2152" s="77"/>
    </row>
    <row r="2153" spans="1:61" x14ac:dyDescent="0.25">
      <c r="A2153" s="62" t="s">
        <v>768</v>
      </c>
      <c r="B2153" s="62" t="s">
        <v>768</v>
      </c>
      <c r="C2153" s="63"/>
      <c r="D2153" s="64"/>
      <c r="E2153" s="65"/>
      <c r="F2153" s="66"/>
      <c r="G2153" s="63"/>
      <c r="H2153" s="67"/>
      <c r="I2153" s="68"/>
      <c r="J2153" s="68"/>
      <c r="K2153" s="32"/>
      <c r="L2153" s="75">
        <v>2153</v>
      </c>
      <c r="M2153" s="75"/>
      <c r="N2153" s="70"/>
      <c r="O2153" s="77" t="s">
        <v>179</v>
      </c>
      <c r="P2153" s="79">
        <v>45155.626446759263</v>
      </c>
      <c r="Q2153" s="77" t="s">
        <v>3363</v>
      </c>
      <c r="R2153" s="77">
        <v>0</v>
      </c>
      <c r="S2153" s="77">
        <v>0</v>
      </c>
      <c r="T2153" s="77">
        <v>0</v>
      </c>
      <c r="U2153" s="77">
        <v>0</v>
      </c>
      <c r="V2153" s="77">
        <v>192</v>
      </c>
      <c r="W2153" s="82" t="s">
        <v>6227</v>
      </c>
      <c r="X2153" s="80" t="str">
        <f>HYPERLINK("https://www.falai.com.vc/")</f>
        <v>https://www.falai.com.vc/</v>
      </c>
      <c r="Y2153" s="77" t="s">
        <v>7397</v>
      </c>
      <c r="Z2153" s="77"/>
      <c r="AA2153" s="77" t="s">
        <v>8639</v>
      </c>
      <c r="AB2153" s="77" t="s">
        <v>10130</v>
      </c>
      <c r="AC2153" s="82" t="s">
        <v>10154</v>
      </c>
      <c r="AD2153" s="77" t="s">
        <v>10184</v>
      </c>
      <c r="AE2153" s="80" t="str">
        <f>HYPERLINK("https://twitter.com/falaipesquisas/status/1692190064640479319")</f>
        <v>https://twitter.com/falaipesquisas/status/1692190064640479319</v>
      </c>
      <c r="AF2153" s="79">
        <v>45155.626446759263</v>
      </c>
      <c r="AG2153" s="85">
        <v>45155</v>
      </c>
      <c r="AH2153" s="82" t="s">
        <v>12260</v>
      </c>
      <c r="AI2153" s="77" t="b">
        <v>0</v>
      </c>
      <c r="AJ2153" s="77"/>
      <c r="AK2153" s="77"/>
      <c r="AL2153" s="77"/>
      <c r="AM2153" s="77"/>
      <c r="AN2153" s="77"/>
      <c r="AO2153" s="77"/>
      <c r="AP2153" s="77"/>
      <c r="AQ2153" s="77" t="s">
        <v>15282</v>
      </c>
      <c r="AR2153" s="77"/>
      <c r="AS2153" s="77"/>
      <c r="AT2153" s="77"/>
      <c r="AU2153" s="77"/>
      <c r="AV2153" s="80" t="str">
        <f>HYPERLINK("https://pbs.twimg.com/media/F3vd5XsWIAE7NYb.jpg")</f>
        <v>https://pbs.twimg.com/media/F3vd5XsWIAE7NYb.jpg</v>
      </c>
      <c r="AW2153" s="82" t="s">
        <v>18921</v>
      </c>
      <c r="AX2153" s="82" t="s">
        <v>18921</v>
      </c>
      <c r="AY2153" s="77"/>
      <c r="AZ2153" s="82" t="s">
        <v>20971</v>
      </c>
      <c r="BA2153" s="82" t="s">
        <v>20971</v>
      </c>
      <c r="BB2153" s="82" t="s">
        <v>20971</v>
      </c>
      <c r="BC2153" s="82" t="s">
        <v>18921</v>
      </c>
      <c r="BD2153" s="82" t="s">
        <v>21415</v>
      </c>
      <c r="BE2153" s="77"/>
      <c r="BF2153" s="77"/>
      <c r="BG2153" s="77"/>
      <c r="BH2153" s="77"/>
      <c r="BI2153" s="77"/>
    </row>
    <row r="2154" spans="1:61" x14ac:dyDescent="0.25">
      <c r="A2154" s="62" t="s">
        <v>768</v>
      </c>
      <c r="B2154" s="62" t="s">
        <v>768</v>
      </c>
      <c r="C2154" s="63"/>
      <c r="D2154" s="64"/>
      <c r="E2154" s="65"/>
      <c r="F2154" s="66"/>
      <c r="G2154" s="63"/>
      <c r="H2154" s="67"/>
      <c r="I2154" s="68"/>
      <c r="J2154" s="68"/>
      <c r="K2154" s="32"/>
      <c r="L2154" s="75">
        <v>2154</v>
      </c>
      <c r="M2154" s="75"/>
      <c r="N2154" s="70"/>
      <c r="O2154" s="77" t="s">
        <v>179</v>
      </c>
      <c r="P2154" s="79">
        <v>45162.626458333332</v>
      </c>
      <c r="Q2154" s="77" t="s">
        <v>3364</v>
      </c>
      <c r="R2154" s="77">
        <v>0</v>
      </c>
      <c r="S2154" s="77">
        <v>3</v>
      </c>
      <c r="T2154" s="77">
        <v>1</v>
      </c>
      <c r="U2154" s="77">
        <v>0</v>
      </c>
      <c r="V2154" s="77">
        <v>328</v>
      </c>
      <c r="W2154" s="82" t="s">
        <v>6229</v>
      </c>
      <c r="X2154" s="80" t="str">
        <f>HYPERLINK("https://www.falai.com.vc/")</f>
        <v>https://www.falai.com.vc/</v>
      </c>
      <c r="Y2154" s="77" t="s">
        <v>7397</v>
      </c>
      <c r="Z2154" s="77"/>
      <c r="AA2154" s="77" t="s">
        <v>8640</v>
      </c>
      <c r="AB2154" s="77" t="s">
        <v>10130</v>
      </c>
      <c r="AC2154" s="82" t="s">
        <v>10154</v>
      </c>
      <c r="AD2154" s="77" t="s">
        <v>10184</v>
      </c>
      <c r="AE2154" s="80" t="str">
        <f>HYPERLINK("https://twitter.com/falaipesquisas/status/1694726785941098795")</f>
        <v>https://twitter.com/falaipesquisas/status/1694726785941098795</v>
      </c>
      <c r="AF2154" s="79">
        <v>45162.626458333332</v>
      </c>
      <c r="AG2154" s="85">
        <v>45162</v>
      </c>
      <c r="AH2154" s="82" t="s">
        <v>12261</v>
      </c>
      <c r="AI2154" s="77" t="b">
        <v>0</v>
      </c>
      <c r="AJ2154" s="77"/>
      <c r="AK2154" s="77"/>
      <c r="AL2154" s="77"/>
      <c r="AM2154" s="77"/>
      <c r="AN2154" s="77"/>
      <c r="AO2154" s="77"/>
      <c r="AP2154" s="77"/>
      <c r="AQ2154" s="77" t="s">
        <v>15283</v>
      </c>
      <c r="AR2154" s="77"/>
      <c r="AS2154" s="77"/>
      <c r="AT2154" s="77"/>
      <c r="AU2154" s="77"/>
      <c r="AV2154" s="80" t="str">
        <f>HYPERLINK("https://pbs.twimg.com/media/F4ThB79a4AAtpt0.jpg")</f>
        <v>https://pbs.twimg.com/media/F4ThB79a4AAtpt0.jpg</v>
      </c>
      <c r="AW2154" s="82" t="s">
        <v>18922</v>
      </c>
      <c r="AX2154" s="82" t="s">
        <v>18922</v>
      </c>
      <c r="AY2154" s="77"/>
      <c r="AZ2154" s="82" t="s">
        <v>20971</v>
      </c>
      <c r="BA2154" s="82" t="s">
        <v>20971</v>
      </c>
      <c r="BB2154" s="82" t="s">
        <v>20971</v>
      </c>
      <c r="BC2154" s="82" t="s">
        <v>18922</v>
      </c>
      <c r="BD2154" s="82" t="s">
        <v>21415</v>
      </c>
      <c r="BE2154" s="77"/>
      <c r="BF2154" s="77"/>
      <c r="BG2154" s="77"/>
      <c r="BH2154" s="77"/>
      <c r="BI2154" s="77"/>
    </row>
    <row r="2155" spans="1:61" x14ac:dyDescent="0.25">
      <c r="A2155" s="62" t="s">
        <v>768</v>
      </c>
      <c r="B2155" s="62" t="s">
        <v>768</v>
      </c>
      <c r="C2155" s="63"/>
      <c r="D2155" s="64"/>
      <c r="E2155" s="65"/>
      <c r="F2155" s="66"/>
      <c r="G2155" s="63"/>
      <c r="H2155" s="67"/>
      <c r="I2155" s="68"/>
      <c r="J2155" s="68"/>
      <c r="K2155" s="32"/>
      <c r="L2155" s="75">
        <v>2155</v>
      </c>
      <c r="M2155" s="75"/>
      <c r="N2155" s="70"/>
      <c r="O2155" s="77" t="s">
        <v>179</v>
      </c>
      <c r="P2155" s="79">
        <v>45127.711493055554</v>
      </c>
      <c r="Q2155" s="77" t="s">
        <v>3365</v>
      </c>
      <c r="R2155" s="77">
        <v>0</v>
      </c>
      <c r="S2155" s="77">
        <v>1</v>
      </c>
      <c r="T2155" s="77">
        <v>0</v>
      </c>
      <c r="U2155" s="77">
        <v>0</v>
      </c>
      <c r="V2155" s="77">
        <v>233</v>
      </c>
      <c r="W2155" s="82" t="s">
        <v>6230</v>
      </c>
      <c r="X2155" s="77"/>
      <c r="Y2155" s="77"/>
      <c r="Z2155" s="77"/>
      <c r="AA2155" s="77" t="s">
        <v>8641</v>
      </c>
      <c r="AB2155" s="77" t="s">
        <v>10130</v>
      </c>
      <c r="AC2155" s="82" t="s">
        <v>10146</v>
      </c>
      <c r="AD2155" s="77" t="s">
        <v>10184</v>
      </c>
      <c r="AE2155" s="80" t="str">
        <f>HYPERLINK("https://twitter.com/falaipesquisas/status/1682074025269379091")</f>
        <v>https://twitter.com/falaipesquisas/status/1682074025269379091</v>
      </c>
      <c r="AF2155" s="79">
        <v>45127.711493055554</v>
      </c>
      <c r="AG2155" s="85">
        <v>45127</v>
      </c>
      <c r="AH2155" s="82" t="s">
        <v>12262</v>
      </c>
      <c r="AI2155" s="77" t="b">
        <v>0</v>
      </c>
      <c r="AJ2155" s="77"/>
      <c r="AK2155" s="77"/>
      <c r="AL2155" s="77"/>
      <c r="AM2155" s="77"/>
      <c r="AN2155" s="77"/>
      <c r="AO2155" s="77"/>
      <c r="AP2155" s="77"/>
      <c r="AQ2155" s="77" t="s">
        <v>15284</v>
      </c>
      <c r="AR2155" s="77"/>
      <c r="AS2155" s="77"/>
      <c r="AT2155" s="77"/>
      <c r="AU2155" s="77"/>
      <c r="AV2155" s="80" t="str">
        <f>HYPERLINK("https://pbs.twimg.com/media/F1ftZHAWAAA-WsP.jpg")</f>
        <v>https://pbs.twimg.com/media/F1ftZHAWAAA-WsP.jpg</v>
      </c>
      <c r="AW2155" s="82" t="s">
        <v>18923</v>
      </c>
      <c r="AX2155" s="82" t="s">
        <v>18923</v>
      </c>
      <c r="AY2155" s="77"/>
      <c r="AZ2155" s="82" t="s">
        <v>20971</v>
      </c>
      <c r="BA2155" s="82" t="s">
        <v>20971</v>
      </c>
      <c r="BB2155" s="82" t="s">
        <v>20971</v>
      </c>
      <c r="BC2155" s="82" t="s">
        <v>18923</v>
      </c>
      <c r="BD2155" s="82" t="s">
        <v>21415</v>
      </c>
      <c r="BE2155" s="77"/>
      <c r="BF2155" s="77"/>
      <c r="BG2155" s="77"/>
      <c r="BH2155" s="77"/>
      <c r="BI2155" s="77"/>
    </row>
    <row r="2156" spans="1:61" x14ac:dyDescent="0.25">
      <c r="A2156" s="62" t="s">
        <v>768</v>
      </c>
      <c r="B2156" s="62" t="s">
        <v>768</v>
      </c>
      <c r="C2156" s="63"/>
      <c r="D2156" s="64"/>
      <c r="E2156" s="65"/>
      <c r="F2156" s="66"/>
      <c r="G2156" s="63"/>
      <c r="H2156" s="67"/>
      <c r="I2156" s="68"/>
      <c r="J2156" s="68"/>
      <c r="K2156" s="32"/>
      <c r="L2156" s="75">
        <v>2156</v>
      </c>
      <c r="M2156" s="75"/>
      <c r="N2156" s="70"/>
      <c r="O2156" s="77" t="s">
        <v>179</v>
      </c>
      <c r="P2156" s="79">
        <v>45099.678923611114</v>
      </c>
      <c r="Q2156" s="77" t="s">
        <v>3366</v>
      </c>
      <c r="R2156" s="77">
        <v>0</v>
      </c>
      <c r="S2156" s="77">
        <v>0</v>
      </c>
      <c r="T2156" s="77">
        <v>0</v>
      </c>
      <c r="U2156" s="77">
        <v>0</v>
      </c>
      <c r="V2156" s="77">
        <v>138</v>
      </c>
      <c r="W2156" s="82" t="s">
        <v>6226</v>
      </c>
      <c r="X2156" s="80" t="str">
        <f>HYPERLINK("https://www.falai.com.vc/")</f>
        <v>https://www.falai.com.vc/</v>
      </c>
      <c r="Y2156" s="77" t="s">
        <v>7397</v>
      </c>
      <c r="Z2156" s="77"/>
      <c r="AA2156" s="77" t="s">
        <v>8642</v>
      </c>
      <c r="AB2156" s="77" t="s">
        <v>10130</v>
      </c>
      <c r="AC2156" s="82" t="s">
        <v>10146</v>
      </c>
      <c r="AD2156" s="77" t="s">
        <v>10184</v>
      </c>
      <c r="AE2156" s="80" t="str">
        <f>HYPERLINK("https://twitter.com/falaipesquisas/status/1671915363401973807")</f>
        <v>https://twitter.com/falaipesquisas/status/1671915363401973807</v>
      </c>
      <c r="AF2156" s="79">
        <v>45099.678923611114</v>
      </c>
      <c r="AG2156" s="85">
        <v>45099</v>
      </c>
      <c r="AH2156" s="82" t="s">
        <v>12263</v>
      </c>
      <c r="AI2156" s="77" t="b">
        <v>0</v>
      </c>
      <c r="AJ2156" s="77"/>
      <c r="AK2156" s="77"/>
      <c r="AL2156" s="77"/>
      <c r="AM2156" s="77"/>
      <c r="AN2156" s="77"/>
      <c r="AO2156" s="77"/>
      <c r="AP2156" s="77"/>
      <c r="AQ2156" s="77" t="s">
        <v>15285</v>
      </c>
      <c r="AR2156" s="77"/>
      <c r="AS2156" s="77"/>
      <c r="AT2156" s="77"/>
      <c r="AU2156" s="77"/>
      <c r="AV2156" s="80" t="str">
        <f>HYPERLINK("https://pbs.twimg.com/media/FzPWJWSWwAApPpL.jpg")</f>
        <v>https://pbs.twimg.com/media/FzPWJWSWwAApPpL.jpg</v>
      </c>
      <c r="AW2156" s="82" t="s">
        <v>18924</v>
      </c>
      <c r="AX2156" s="82" t="s">
        <v>18924</v>
      </c>
      <c r="AY2156" s="77"/>
      <c r="AZ2156" s="82" t="s">
        <v>20971</v>
      </c>
      <c r="BA2156" s="82" t="s">
        <v>20971</v>
      </c>
      <c r="BB2156" s="82" t="s">
        <v>20971</v>
      </c>
      <c r="BC2156" s="82" t="s">
        <v>18924</v>
      </c>
      <c r="BD2156" s="82" t="s">
        <v>21415</v>
      </c>
      <c r="BE2156" s="77"/>
      <c r="BF2156" s="77"/>
      <c r="BG2156" s="77"/>
      <c r="BH2156" s="77"/>
      <c r="BI2156" s="77"/>
    </row>
    <row r="2157" spans="1:61" x14ac:dyDescent="0.25">
      <c r="A2157" s="62" t="s">
        <v>769</v>
      </c>
      <c r="B2157" s="62" t="s">
        <v>769</v>
      </c>
      <c r="C2157" s="63"/>
      <c r="D2157" s="64"/>
      <c r="E2157" s="65"/>
      <c r="F2157" s="66"/>
      <c r="G2157" s="63"/>
      <c r="H2157" s="67"/>
      <c r="I2157" s="68"/>
      <c r="J2157" s="68"/>
      <c r="K2157" s="32"/>
      <c r="L2157" s="75">
        <v>2157</v>
      </c>
      <c r="M2157" s="75"/>
      <c r="N2157" s="70"/>
      <c r="O2157" s="77" t="s">
        <v>179</v>
      </c>
      <c r="P2157" s="79">
        <v>45188.435474537036</v>
      </c>
      <c r="Q2157" s="77" t="s">
        <v>3367</v>
      </c>
      <c r="R2157" s="77">
        <v>0</v>
      </c>
      <c r="S2157" s="77">
        <v>0</v>
      </c>
      <c r="T2157" s="77">
        <v>0</v>
      </c>
      <c r="U2157" s="77">
        <v>0</v>
      </c>
      <c r="V2157" s="77">
        <v>17</v>
      </c>
      <c r="W2157" s="82" t="s">
        <v>6231</v>
      </c>
      <c r="X2157" s="80" t="str">
        <f>HYPERLINK("http://www.clinicawashingtonamancio.com/")</f>
        <v>http://www.clinicawashingtonamancio.com/</v>
      </c>
      <c r="Y2157" s="77" t="s">
        <v>7398</v>
      </c>
      <c r="Z2157" s="77"/>
      <c r="AA2157" s="77" t="s">
        <v>8643</v>
      </c>
      <c r="AB2157" s="77" t="s">
        <v>10130</v>
      </c>
      <c r="AC2157" s="82" t="s">
        <v>10146</v>
      </c>
      <c r="AD2157" s="77" t="s">
        <v>10183</v>
      </c>
      <c r="AE2157" s="80" t="str">
        <f>HYPERLINK("https://twitter.com/marcia23403/status/1704079658260549892")</f>
        <v>https://twitter.com/marcia23403/status/1704079658260549892</v>
      </c>
      <c r="AF2157" s="79">
        <v>45188.435474537036</v>
      </c>
      <c r="AG2157" s="85">
        <v>45188</v>
      </c>
      <c r="AH2157" s="82" t="s">
        <v>12264</v>
      </c>
      <c r="AI2157" s="77" t="b">
        <v>0</v>
      </c>
      <c r="AJ2157" s="77"/>
      <c r="AK2157" s="77"/>
      <c r="AL2157" s="77"/>
      <c r="AM2157" s="77"/>
      <c r="AN2157" s="77"/>
      <c r="AO2157" s="77"/>
      <c r="AP2157" s="77"/>
      <c r="AQ2157" s="77" t="s">
        <v>15286</v>
      </c>
      <c r="AR2157" s="77"/>
      <c r="AS2157" s="77"/>
      <c r="AT2157" s="77"/>
      <c r="AU2157" s="77"/>
      <c r="AV2157" s="80" t="str">
        <f>HYPERLINK("https://pbs.twimg.com/media/F6YbR_cW0AAmrzA.jpg")</f>
        <v>https://pbs.twimg.com/media/F6YbR_cW0AAmrzA.jpg</v>
      </c>
      <c r="AW2157" s="82" t="s">
        <v>18925</v>
      </c>
      <c r="AX2157" s="82" t="s">
        <v>18925</v>
      </c>
      <c r="AY2157" s="77"/>
      <c r="AZ2157" s="82" t="s">
        <v>20971</v>
      </c>
      <c r="BA2157" s="82" t="s">
        <v>20971</v>
      </c>
      <c r="BB2157" s="82" t="s">
        <v>20971</v>
      </c>
      <c r="BC2157" s="82" t="s">
        <v>18925</v>
      </c>
      <c r="BD2157" s="82" t="s">
        <v>21416</v>
      </c>
      <c r="BE2157" s="77"/>
      <c r="BF2157" s="77"/>
      <c r="BG2157" s="77"/>
      <c r="BH2157" s="77"/>
      <c r="BI2157" s="77"/>
    </row>
    <row r="2158" spans="1:61" x14ac:dyDescent="0.25">
      <c r="A2158" s="62" t="s">
        <v>770</v>
      </c>
      <c r="B2158" s="62" t="s">
        <v>770</v>
      </c>
      <c r="C2158" s="63"/>
      <c r="D2158" s="64"/>
      <c r="E2158" s="65"/>
      <c r="F2158" s="66"/>
      <c r="G2158" s="63"/>
      <c r="H2158" s="67"/>
      <c r="I2158" s="68"/>
      <c r="J2158" s="68"/>
      <c r="K2158" s="32"/>
      <c r="L2158" s="75">
        <v>2158</v>
      </c>
      <c r="M2158" s="75"/>
      <c r="N2158" s="70"/>
      <c r="O2158" s="77" t="s">
        <v>179</v>
      </c>
      <c r="P2158" s="79">
        <v>45049.400729166664</v>
      </c>
      <c r="Q2158" s="77" t="s">
        <v>3368</v>
      </c>
      <c r="R2158" s="77">
        <v>0</v>
      </c>
      <c r="S2158" s="77">
        <v>0</v>
      </c>
      <c r="T2158" s="77">
        <v>0</v>
      </c>
      <c r="U2158" s="77">
        <v>0</v>
      </c>
      <c r="V2158" s="77">
        <v>28</v>
      </c>
      <c r="W2158" s="82" t="s">
        <v>6232</v>
      </c>
      <c r="X2158" s="80" t="str">
        <f>HYPERLINK("https://www.instagram.com/reel/CrxqtLLsKzB/?igshid=YTgzYjQ4ZTY=")</f>
        <v>https://www.instagram.com/reel/CrxqtLLsKzB/?igshid=YTgzYjQ4ZTY=</v>
      </c>
      <c r="Y2158" s="77" t="s">
        <v>7250</v>
      </c>
      <c r="Z2158" s="77"/>
      <c r="AA2158" s="77"/>
      <c r="AB2158" s="77"/>
      <c r="AC2158" s="82" t="s">
        <v>10144</v>
      </c>
      <c r="AD2158" s="77" t="s">
        <v>10184</v>
      </c>
      <c r="AE2158" s="80" t="str">
        <f>HYPERLINK("https://twitter.com/ildacristina8/status/1653695155344486401")</f>
        <v>https://twitter.com/ildacristina8/status/1653695155344486401</v>
      </c>
      <c r="AF2158" s="79">
        <v>45049.400729166664</v>
      </c>
      <c r="AG2158" s="85">
        <v>45049</v>
      </c>
      <c r="AH2158" s="82" t="s">
        <v>12265</v>
      </c>
      <c r="AI2158" s="77" t="b">
        <v>0</v>
      </c>
      <c r="AJ2158" s="77" t="s">
        <v>14021</v>
      </c>
      <c r="AK2158" s="77" t="s">
        <v>14034</v>
      </c>
      <c r="AL2158" s="77" t="s">
        <v>14036</v>
      </c>
      <c r="AM2158" s="77" t="s">
        <v>14062</v>
      </c>
      <c r="AN2158" s="77" t="s">
        <v>14100</v>
      </c>
      <c r="AO2158" s="77" t="s">
        <v>14137</v>
      </c>
      <c r="AP2158" s="77" t="s">
        <v>14149</v>
      </c>
      <c r="AQ2158" s="77"/>
      <c r="AR2158" s="77"/>
      <c r="AS2158" s="77"/>
      <c r="AT2158" s="77"/>
      <c r="AU2158" s="77"/>
      <c r="AV2158" s="80" t="str">
        <f>HYPERLINK("https://pbs.twimg.com/profile_images/1063189466800668672/LFGgyksZ_normal.jpg")</f>
        <v>https://pbs.twimg.com/profile_images/1063189466800668672/LFGgyksZ_normal.jpg</v>
      </c>
      <c r="AW2158" s="82" t="s">
        <v>18926</v>
      </c>
      <c r="AX2158" s="82" t="s">
        <v>18926</v>
      </c>
      <c r="AY2158" s="77"/>
      <c r="AZ2158" s="82" t="s">
        <v>20971</v>
      </c>
      <c r="BA2158" s="82" t="s">
        <v>20971</v>
      </c>
      <c r="BB2158" s="82" t="s">
        <v>20971</v>
      </c>
      <c r="BC2158" s="82" t="s">
        <v>18926</v>
      </c>
      <c r="BD2158" s="82" t="s">
        <v>21417</v>
      </c>
      <c r="BE2158" s="77"/>
      <c r="BF2158" s="77"/>
      <c r="BG2158" s="77"/>
      <c r="BH2158" s="77"/>
      <c r="BI2158" s="77"/>
    </row>
    <row r="2159" spans="1:61" x14ac:dyDescent="0.25">
      <c r="A2159" s="62" t="s">
        <v>771</v>
      </c>
      <c r="B2159" s="62" t="s">
        <v>771</v>
      </c>
      <c r="C2159" s="63"/>
      <c r="D2159" s="64"/>
      <c r="E2159" s="65"/>
      <c r="F2159" s="66"/>
      <c r="G2159" s="63"/>
      <c r="H2159" s="67"/>
      <c r="I2159" s="68"/>
      <c r="J2159" s="68"/>
      <c r="K2159" s="32"/>
      <c r="L2159" s="75">
        <v>2159</v>
      </c>
      <c r="M2159" s="75"/>
      <c r="N2159" s="70"/>
      <c r="O2159" s="77" t="s">
        <v>179</v>
      </c>
      <c r="P2159" s="79">
        <v>44966.701018518521</v>
      </c>
      <c r="Q2159" s="77" t="s">
        <v>3369</v>
      </c>
      <c r="R2159" s="77">
        <v>0</v>
      </c>
      <c r="S2159" s="77">
        <v>0</v>
      </c>
      <c r="T2159" s="77">
        <v>0</v>
      </c>
      <c r="U2159" s="77">
        <v>0</v>
      </c>
      <c r="V2159" s="77">
        <v>13</v>
      </c>
      <c r="W2159" s="82" t="s">
        <v>5236</v>
      </c>
      <c r="X2159" s="80" t="str">
        <f>HYPERLINK("https://go.hotmart.com/B77468619P")</f>
        <v>https://go.hotmart.com/B77468619P</v>
      </c>
      <c r="Y2159" s="77" t="s">
        <v>7251</v>
      </c>
      <c r="Z2159" s="77"/>
      <c r="AA2159" s="77" t="s">
        <v>8644</v>
      </c>
      <c r="AB2159" s="77" t="s">
        <v>10130</v>
      </c>
      <c r="AC2159" s="82" t="s">
        <v>10164</v>
      </c>
      <c r="AD2159" s="77" t="s">
        <v>10184</v>
      </c>
      <c r="AE2159" s="80" t="str">
        <f>HYPERLINK("https://twitter.com/concursos_publ/status/1623725783381430272")</f>
        <v>https://twitter.com/concursos_publ/status/1623725783381430272</v>
      </c>
      <c r="AF2159" s="79">
        <v>44966.701018518521</v>
      </c>
      <c r="AG2159" s="85">
        <v>44966</v>
      </c>
      <c r="AH2159" s="82" t="s">
        <v>12266</v>
      </c>
      <c r="AI2159" s="77" t="b">
        <v>0</v>
      </c>
      <c r="AJ2159" s="77"/>
      <c r="AK2159" s="77"/>
      <c r="AL2159" s="77"/>
      <c r="AM2159" s="77"/>
      <c r="AN2159" s="77"/>
      <c r="AO2159" s="77"/>
      <c r="AP2159" s="77"/>
      <c r="AQ2159" s="77" t="s">
        <v>15287</v>
      </c>
      <c r="AR2159" s="77"/>
      <c r="AS2159" s="77"/>
      <c r="AT2159" s="77"/>
      <c r="AU2159" s="77"/>
      <c r="AV2159" s="80" t="str">
        <f>HYPERLINK("https://pbs.twimg.com/media/Foih7G3WAAgnVZQ.jpg")</f>
        <v>https://pbs.twimg.com/media/Foih7G3WAAgnVZQ.jpg</v>
      </c>
      <c r="AW2159" s="82" t="s">
        <v>18927</v>
      </c>
      <c r="AX2159" s="82" t="s">
        <v>18927</v>
      </c>
      <c r="AY2159" s="77"/>
      <c r="AZ2159" s="82" t="s">
        <v>20971</v>
      </c>
      <c r="BA2159" s="82" t="s">
        <v>20971</v>
      </c>
      <c r="BB2159" s="82" t="s">
        <v>20971</v>
      </c>
      <c r="BC2159" s="82" t="s">
        <v>18927</v>
      </c>
      <c r="BD2159" s="82" t="s">
        <v>21418</v>
      </c>
      <c r="BE2159" s="77"/>
      <c r="BF2159" s="77"/>
      <c r="BG2159" s="77"/>
      <c r="BH2159" s="77"/>
      <c r="BI2159" s="77"/>
    </row>
    <row r="2160" spans="1:61" x14ac:dyDescent="0.25">
      <c r="A2160" s="62" t="s">
        <v>771</v>
      </c>
      <c r="B2160" s="62" t="s">
        <v>771</v>
      </c>
      <c r="C2160" s="63"/>
      <c r="D2160" s="64"/>
      <c r="E2160" s="65"/>
      <c r="F2160" s="66"/>
      <c r="G2160" s="63"/>
      <c r="H2160" s="67"/>
      <c r="I2160" s="68"/>
      <c r="J2160" s="68"/>
      <c r="K2160" s="32"/>
      <c r="L2160" s="75">
        <v>2160</v>
      </c>
      <c r="M2160" s="75"/>
      <c r="N2160" s="70"/>
      <c r="O2160" s="77" t="s">
        <v>179</v>
      </c>
      <c r="P2160" s="79">
        <v>44966.025219907409</v>
      </c>
      <c r="Q2160" s="77" t="s">
        <v>3370</v>
      </c>
      <c r="R2160" s="77">
        <v>0</v>
      </c>
      <c r="S2160" s="77">
        <v>0</v>
      </c>
      <c r="T2160" s="77">
        <v>0</v>
      </c>
      <c r="U2160" s="77">
        <v>0</v>
      </c>
      <c r="V2160" s="77">
        <v>13</v>
      </c>
      <c r="W2160" s="82" t="s">
        <v>5236</v>
      </c>
      <c r="X2160" s="80" t="str">
        <f>HYPERLINK("https://go.hotmart.com/B77468619P")</f>
        <v>https://go.hotmart.com/B77468619P</v>
      </c>
      <c r="Y2160" s="77" t="s">
        <v>7251</v>
      </c>
      <c r="Z2160" s="77"/>
      <c r="AA2160" s="77" t="s">
        <v>8645</v>
      </c>
      <c r="AB2160" s="77" t="s">
        <v>10130</v>
      </c>
      <c r="AC2160" s="82" t="s">
        <v>10164</v>
      </c>
      <c r="AD2160" s="77" t="s">
        <v>10184</v>
      </c>
      <c r="AE2160" s="80" t="str">
        <f>HYPERLINK("https://twitter.com/concursos_publ/status/1623480881124966401")</f>
        <v>https://twitter.com/concursos_publ/status/1623480881124966401</v>
      </c>
      <c r="AF2160" s="79">
        <v>44966.025219907409</v>
      </c>
      <c r="AG2160" s="85">
        <v>44966</v>
      </c>
      <c r="AH2160" s="82" t="s">
        <v>12267</v>
      </c>
      <c r="AI2160" s="77" t="b">
        <v>0</v>
      </c>
      <c r="AJ2160" s="77"/>
      <c r="AK2160" s="77"/>
      <c r="AL2160" s="77"/>
      <c r="AM2160" s="77"/>
      <c r="AN2160" s="77"/>
      <c r="AO2160" s="77"/>
      <c r="AP2160" s="77"/>
      <c r="AQ2160" s="77" t="s">
        <v>15288</v>
      </c>
      <c r="AR2160" s="77"/>
      <c r="AS2160" s="77"/>
      <c r="AT2160" s="77"/>
      <c r="AU2160" s="77"/>
      <c r="AV2160" s="80" t="str">
        <f>HYPERLINK("https://pbs.twimg.com/media/FofDOajXwAArrFl.jpg")</f>
        <v>https://pbs.twimg.com/media/FofDOajXwAArrFl.jpg</v>
      </c>
      <c r="AW2160" s="82" t="s">
        <v>18928</v>
      </c>
      <c r="AX2160" s="82" t="s">
        <v>18928</v>
      </c>
      <c r="AY2160" s="77"/>
      <c r="AZ2160" s="82" t="s">
        <v>20971</v>
      </c>
      <c r="BA2160" s="82" t="s">
        <v>20971</v>
      </c>
      <c r="BB2160" s="82" t="s">
        <v>20971</v>
      </c>
      <c r="BC2160" s="82" t="s">
        <v>18928</v>
      </c>
      <c r="BD2160" s="82" t="s">
        <v>21418</v>
      </c>
      <c r="BE2160" s="77"/>
      <c r="BF2160" s="77"/>
      <c r="BG2160" s="77"/>
      <c r="BH2160" s="77"/>
      <c r="BI2160" s="77"/>
    </row>
    <row r="2161" spans="1:61" x14ac:dyDescent="0.25">
      <c r="A2161" s="62" t="s">
        <v>771</v>
      </c>
      <c r="B2161" s="62" t="s">
        <v>771</v>
      </c>
      <c r="C2161" s="63"/>
      <c r="D2161" s="64"/>
      <c r="E2161" s="65"/>
      <c r="F2161" s="66"/>
      <c r="G2161" s="63"/>
      <c r="H2161" s="67"/>
      <c r="I2161" s="68"/>
      <c r="J2161" s="68"/>
      <c r="K2161" s="32"/>
      <c r="L2161" s="75">
        <v>2161</v>
      </c>
      <c r="M2161" s="75"/>
      <c r="N2161" s="70"/>
      <c r="O2161" s="77" t="s">
        <v>179</v>
      </c>
      <c r="P2161" s="79">
        <v>44965.351238425923</v>
      </c>
      <c r="Q2161" s="77" t="s">
        <v>3371</v>
      </c>
      <c r="R2161" s="77">
        <v>0</v>
      </c>
      <c r="S2161" s="77">
        <v>0</v>
      </c>
      <c r="T2161" s="77">
        <v>0</v>
      </c>
      <c r="U2161" s="77">
        <v>0</v>
      </c>
      <c r="V2161" s="77">
        <v>24</v>
      </c>
      <c r="W2161" s="82" t="s">
        <v>5236</v>
      </c>
      <c r="X2161" s="80" t="str">
        <f>HYPERLINK("https://go.hotmart.com/B77468619P")</f>
        <v>https://go.hotmart.com/B77468619P</v>
      </c>
      <c r="Y2161" s="77" t="s">
        <v>7251</v>
      </c>
      <c r="Z2161" s="77"/>
      <c r="AA2161" s="77" t="s">
        <v>8646</v>
      </c>
      <c r="AB2161" s="77" t="s">
        <v>10130</v>
      </c>
      <c r="AC2161" s="82" t="s">
        <v>10164</v>
      </c>
      <c r="AD2161" s="77" t="s">
        <v>10184</v>
      </c>
      <c r="AE2161" s="80" t="str">
        <f>HYPERLINK("https://twitter.com/concursos_publ/status/1623236636212445184")</f>
        <v>https://twitter.com/concursos_publ/status/1623236636212445184</v>
      </c>
      <c r="AF2161" s="79">
        <v>44965.351238425923</v>
      </c>
      <c r="AG2161" s="85">
        <v>44965</v>
      </c>
      <c r="AH2161" s="82" t="s">
        <v>12268</v>
      </c>
      <c r="AI2161" s="77" t="b">
        <v>0</v>
      </c>
      <c r="AJ2161" s="77"/>
      <c r="AK2161" s="77"/>
      <c r="AL2161" s="77"/>
      <c r="AM2161" s="77"/>
      <c r="AN2161" s="77"/>
      <c r="AO2161" s="77"/>
      <c r="AP2161" s="77"/>
      <c r="AQ2161" s="77" t="s">
        <v>15289</v>
      </c>
      <c r="AR2161" s="77"/>
      <c r="AS2161" s="77"/>
      <c r="AT2161" s="77"/>
      <c r="AU2161" s="77"/>
      <c r="AV2161" s="80" t="str">
        <f>HYPERLINK("https://pbs.twimg.com/media/FoblFW0XoAcb7u0.jpg")</f>
        <v>https://pbs.twimg.com/media/FoblFW0XoAcb7u0.jpg</v>
      </c>
      <c r="AW2161" s="82" t="s">
        <v>18929</v>
      </c>
      <c r="AX2161" s="82" t="s">
        <v>18929</v>
      </c>
      <c r="AY2161" s="77"/>
      <c r="AZ2161" s="82" t="s">
        <v>20971</v>
      </c>
      <c r="BA2161" s="82" t="s">
        <v>20971</v>
      </c>
      <c r="BB2161" s="82" t="s">
        <v>20971</v>
      </c>
      <c r="BC2161" s="82" t="s">
        <v>18929</v>
      </c>
      <c r="BD2161" s="82" t="s">
        <v>21418</v>
      </c>
      <c r="BE2161" s="77"/>
      <c r="BF2161" s="77"/>
      <c r="BG2161" s="77"/>
      <c r="BH2161" s="77"/>
      <c r="BI2161" s="77"/>
    </row>
    <row r="2162" spans="1:61" x14ac:dyDescent="0.25">
      <c r="A2162" s="62" t="s">
        <v>771</v>
      </c>
      <c r="B2162" s="62" t="s">
        <v>771</v>
      </c>
      <c r="C2162" s="63"/>
      <c r="D2162" s="64"/>
      <c r="E2162" s="65"/>
      <c r="F2162" s="66"/>
      <c r="G2162" s="63"/>
      <c r="H2162" s="67"/>
      <c r="I2162" s="68"/>
      <c r="J2162" s="68"/>
      <c r="K2162" s="32"/>
      <c r="L2162" s="75">
        <v>2162</v>
      </c>
      <c r="M2162" s="75"/>
      <c r="N2162" s="70"/>
      <c r="O2162" s="77" t="s">
        <v>179</v>
      </c>
      <c r="P2162" s="79">
        <v>44972.692106481481</v>
      </c>
      <c r="Q2162" s="77" t="s">
        <v>3372</v>
      </c>
      <c r="R2162" s="77">
        <v>0</v>
      </c>
      <c r="S2162" s="77">
        <v>0</v>
      </c>
      <c r="T2162" s="77">
        <v>0</v>
      </c>
      <c r="U2162" s="77">
        <v>0</v>
      </c>
      <c r="V2162" s="77">
        <v>15</v>
      </c>
      <c r="W2162" s="82" t="s">
        <v>5236</v>
      </c>
      <c r="X2162" s="80" t="str">
        <f>HYPERLINK("https://go.hotmart.com/B77468619P")</f>
        <v>https://go.hotmart.com/B77468619P</v>
      </c>
      <c r="Y2162" s="77" t="s">
        <v>7251</v>
      </c>
      <c r="Z2162" s="77"/>
      <c r="AA2162" s="77" t="s">
        <v>8647</v>
      </c>
      <c r="AB2162" s="77" t="s">
        <v>10130</v>
      </c>
      <c r="AC2162" s="82" t="s">
        <v>10164</v>
      </c>
      <c r="AD2162" s="77" t="s">
        <v>10184</v>
      </c>
      <c r="AE2162" s="80" t="str">
        <f>HYPERLINK("https://twitter.com/concursos_publ/status/1625896880407281664")</f>
        <v>https://twitter.com/concursos_publ/status/1625896880407281664</v>
      </c>
      <c r="AF2162" s="79">
        <v>44972.692106481481</v>
      </c>
      <c r="AG2162" s="85">
        <v>44972</v>
      </c>
      <c r="AH2162" s="82" t="s">
        <v>12269</v>
      </c>
      <c r="AI2162" s="77" t="b">
        <v>0</v>
      </c>
      <c r="AJ2162" s="77"/>
      <c r="AK2162" s="77"/>
      <c r="AL2162" s="77"/>
      <c r="AM2162" s="77"/>
      <c r="AN2162" s="77"/>
      <c r="AO2162" s="77"/>
      <c r="AP2162" s="77"/>
      <c r="AQ2162" s="77" t="s">
        <v>15290</v>
      </c>
      <c r="AR2162" s="77"/>
      <c r="AS2162" s="77"/>
      <c r="AT2162" s="77"/>
      <c r="AU2162" s="77"/>
      <c r="AV2162" s="80" t="str">
        <f>HYPERLINK("https://pbs.twimg.com/media/FpBYkHlXsAsv5Ih.jpg")</f>
        <v>https://pbs.twimg.com/media/FpBYkHlXsAsv5Ih.jpg</v>
      </c>
      <c r="AW2162" s="82" t="s">
        <v>18930</v>
      </c>
      <c r="AX2162" s="82" t="s">
        <v>18930</v>
      </c>
      <c r="AY2162" s="77"/>
      <c r="AZ2162" s="82" t="s">
        <v>20971</v>
      </c>
      <c r="BA2162" s="82" t="s">
        <v>20971</v>
      </c>
      <c r="BB2162" s="82" t="s">
        <v>20971</v>
      </c>
      <c r="BC2162" s="82" t="s">
        <v>18930</v>
      </c>
      <c r="BD2162" s="82" t="s">
        <v>21418</v>
      </c>
      <c r="BE2162" s="77"/>
      <c r="BF2162" s="77"/>
      <c r="BG2162" s="77"/>
      <c r="BH2162" s="77"/>
      <c r="BI2162" s="77"/>
    </row>
    <row r="2163" spans="1:61" x14ac:dyDescent="0.25">
      <c r="A2163" s="62" t="s">
        <v>771</v>
      </c>
      <c r="B2163" s="62" t="s">
        <v>771</v>
      </c>
      <c r="C2163" s="63"/>
      <c r="D2163" s="64"/>
      <c r="E2163" s="65"/>
      <c r="F2163" s="66"/>
      <c r="G2163" s="63"/>
      <c r="H2163" s="67"/>
      <c r="I2163" s="68"/>
      <c r="J2163" s="68"/>
      <c r="K2163" s="32"/>
      <c r="L2163" s="75">
        <v>2163</v>
      </c>
      <c r="M2163" s="75"/>
      <c r="N2163" s="70"/>
      <c r="O2163" s="77" t="s">
        <v>179</v>
      </c>
      <c r="P2163" s="79">
        <v>44970.011064814818</v>
      </c>
      <c r="Q2163" s="77" t="s">
        <v>3373</v>
      </c>
      <c r="R2163" s="77">
        <v>0</v>
      </c>
      <c r="S2163" s="77">
        <v>0</v>
      </c>
      <c r="T2163" s="77">
        <v>0</v>
      </c>
      <c r="U2163" s="77">
        <v>0</v>
      </c>
      <c r="V2163" s="77">
        <v>21</v>
      </c>
      <c r="W2163" s="82" t="s">
        <v>5236</v>
      </c>
      <c r="X2163" s="80" t="str">
        <f>HYPERLINK("https://go.hotmart.com/B77468619P")</f>
        <v>https://go.hotmart.com/B77468619P</v>
      </c>
      <c r="Y2163" s="77" t="s">
        <v>7251</v>
      </c>
      <c r="Z2163" s="77"/>
      <c r="AA2163" s="77" t="s">
        <v>8648</v>
      </c>
      <c r="AB2163" s="77" t="s">
        <v>10130</v>
      </c>
      <c r="AC2163" s="82" t="s">
        <v>10164</v>
      </c>
      <c r="AD2163" s="77" t="s">
        <v>10184</v>
      </c>
      <c r="AE2163" s="80" t="str">
        <f>HYPERLINK("https://twitter.com/concursos_publ/status/1624925304362860546")</f>
        <v>https://twitter.com/concursos_publ/status/1624925304362860546</v>
      </c>
      <c r="AF2163" s="79">
        <v>44970.011064814818</v>
      </c>
      <c r="AG2163" s="85">
        <v>44970</v>
      </c>
      <c r="AH2163" s="82" t="s">
        <v>12270</v>
      </c>
      <c r="AI2163" s="77" t="b">
        <v>0</v>
      </c>
      <c r="AJ2163" s="77"/>
      <c r="AK2163" s="77"/>
      <c r="AL2163" s="77"/>
      <c r="AM2163" s="77"/>
      <c r="AN2163" s="77"/>
      <c r="AO2163" s="77"/>
      <c r="AP2163" s="77"/>
      <c r="AQ2163" s="77" t="s">
        <v>15291</v>
      </c>
      <c r="AR2163" s="77"/>
      <c r="AS2163" s="77"/>
      <c r="AT2163" s="77"/>
      <c r="AU2163" s="77"/>
      <c r="AV2163" s="80" t="str">
        <f>HYPERLINK("https://pbs.twimg.com/media/Fozk8A3WcAErQe-.jpg")</f>
        <v>https://pbs.twimg.com/media/Fozk8A3WcAErQe-.jpg</v>
      </c>
      <c r="AW2163" s="82" t="s">
        <v>18931</v>
      </c>
      <c r="AX2163" s="82" t="s">
        <v>18931</v>
      </c>
      <c r="AY2163" s="77"/>
      <c r="AZ2163" s="82" t="s">
        <v>20971</v>
      </c>
      <c r="BA2163" s="82" t="s">
        <v>20971</v>
      </c>
      <c r="BB2163" s="82" t="s">
        <v>20971</v>
      </c>
      <c r="BC2163" s="82" t="s">
        <v>18931</v>
      </c>
      <c r="BD2163" s="82" t="s">
        <v>21418</v>
      </c>
      <c r="BE2163" s="77"/>
      <c r="BF2163" s="77"/>
      <c r="BG2163" s="77"/>
      <c r="BH2163" s="77"/>
      <c r="BI2163" s="77"/>
    </row>
    <row r="2164" spans="1:61" x14ac:dyDescent="0.25">
      <c r="A2164" s="62" t="s">
        <v>771</v>
      </c>
      <c r="B2164" s="62" t="s">
        <v>771</v>
      </c>
      <c r="C2164" s="63"/>
      <c r="D2164" s="64"/>
      <c r="E2164" s="65"/>
      <c r="F2164" s="66"/>
      <c r="G2164" s="63"/>
      <c r="H2164" s="67"/>
      <c r="I2164" s="68"/>
      <c r="J2164" s="68"/>
      <c r="K2164" s="32"/>
      <c r="L2164" s="75">
        <v>2164</v>
      </c>
      <c r="M2164" s="75"/>
      <c r="N2164" s="70"/>
      <c r="O2164" s="77" t="s">
        <v>179</v>
      </c>
      <c r="P2164" s="79">
        <v>44968.062789351854</v>
      </c>
      <c r="Q2164" s="77" t="s">
        <v>3374</v>
      </c>
      <c r="R2164" s="77">
        <v>0</v>
      </c>
      <c r="S2164" s="77">
        <v>0</v>
      </c>
      <c r="T2164" s="77">
        <v>0</v>
      </c>
      <c r="U2164" s="77">
        <v>0</v>
      </c>
      <c r="V2164" s="77">
        <v>12</v>
      </c>
      <c r="W2164" s="82" t="s">
        <v>5236</v>
      </c>
      <c r="X2164" s="80" t="str">
        <f>HYPERLINK("https://go.hotmart.com/B77468619P")</f>
        <v>https://go.hotmart.com/B77468619P</v>
      </c>
      <c r="Y2164" s="77" t="s">
        <v>7251</v>
      </c>
      <c r="Z2164" s="77"/>
      <c r="AA2164" s="77" t="s">
        <v>8649</v>
      </c>
      <c r="AB2164" s="77" t="s">
        <v>10130</v>
      </c>
      <c r="AC2164" s="82" t="s">
        <v>10164</v>
      </c>
      <c r="AD2164" s="77" t="s">
        <v>10184</v>
      </c>
      <c r="AE2164" s="80" t="str">
        <f>HYPERLINK("https://twitter.com/concursos_publ/status/1624219271285940230")</f>
        <v>https://twitter.com/concursos_publ/status/1624219271285940230</v>
      </c>
      <c r="AF2164" s="79">
        <v>44968.062789351854</v>
      </c>
      <c r="AG2164" s="85">
        <v>44968</v>
      </c>
      <c r="AH2164" s="82" t="s">
        <v>12271</v>
      </c>
      <c r="AI2164" s="77" t="b">
        <v>0</v>
      </c>
      <c r="AJ2164" s="77"/>
      <c r="AK2164" s="77"/>
      <c r="AL2164" s="77"/>
      <c r="AM2164" s="77"/>
      <c r="AN2164" s="77"/>
      <c r="AO2164" s="77"/>
      <c r="AP2164" s="77"/>
      <c r="AQ2164" s="77" t="s">
        <v>15292</v>
      </c>
      <c r="AR2164" s="77"/>
      <c r="AS2164" s="77"/>
      <c r="AT2164" s="77"/>
      <c r="AU2164" s="77"/>
      <c r="AV2164" s="80" t="str">
        <f>HYPERLINK("https://pbs.twimg.com/media/FopizS9WYAE3xpV.jpg")</f>
        <v>https://pbs.twimg.com/media/FopizS9WYAE3xpV.jpg</v>
      </c>
      <c r="AW2164" s="82" t="s">
        <v>18932</v>
      </c>
      <c r="AX2164" s="82" t="s">
        <v>18932</v>
      </c>
      <c r="AY2164" s="77"/>
      <c r="AZ2164" s="82" t="s">
        <v>20971</v>
      </c>
      <c r="BA2164" s="82" t="s">
        <v>20971</v>
      </c>
      <c r="BB2164" s="82" t="s">
        <v>20971</v>
      </c>
      <c r="BC2164" s="82" t="s">
        <v>18932</v>
      </c>
      <c r="BD2164" s="82" t="s">
        <v>21418</v>
      </c>
      <c r="BE2164" s="77"/>
      <c r="BF2164" s="77"/>
      <c r="BG2164" s="77"/>
      <c r="BH2164" s="77"/>
      <c r="BI2164" s="77"/>
    </row>
    <row r="2165" spans="1:61" x14ac:dyDescent="0.25">
      <c r="A2165" s="62" t="s">
        <v>771</v>
      </c>
      <c r="B2165" s="62" t="s">
        <v>771</v>
      </c>
      <c r="C2165" s="63"/>
      <c r="D2165" s="64"/>
      <c r="E2165" s="65"/>
      <c r="F2165" s="66"/>
      <c r="G2165" s="63"/>
      <c r="H2165" s="67"/>
      <c r="I2165" s="68"/>
      <c r="J2165" s="68"/>
      <c r="K2165" s="32"/>
      <c r="L2165" s="75">
        <v>2165</v>
      </c>
      <c r="M2165" s="75"/>
      <c r="N2165" s="70"/>
      <c r="O2165" s="77" t="s">
        <v>179</v>
      </c>
      <c r="P2165" s="79">
        <v>44977.514189814814</v>
      </c>
      <c r="Q2165" s="77" t="s">
        <v>3375</v>
      </c>
      <c r="R2165" s="77">
        <v>0</v>
      </c>
      <c r="S2165" s="77">
        <v>0</v>
      </c>
      <c r="T2165" s="77">
        <v>0</v>
      </c>
      <c r="U2165" s="77">
        <v>0</v>
      </c>
      <c r="V2165" s="77">
        <v>14</v>
      </c>
      <c r="W2165" s="82" t="s">
        <v>5236</v>
      </c>
      <c r="X2165" s="80" t="str">
        <f>HYPERLINK("https://go.hotmart.com/B77468619P")</f>
        <v>https://go.hotmart.com/B77468619P</v>
      </c>
      <c r="Y2165" s="77" t="s">
        <v>7251</v>
      </c>
      <c r="Z2165" s="77"/>
      <c r="AA2165" s="77" t="s">
        <v>8650</v>
      </c>
      <c r="AB2165" s="77" t="s">
        <v>10130</v>
      </c>
      <c r="AC2165" s="82" t="s">
        <v>10164</v>
      </c>
      <c r="AD2165" s="77" t="s">
        <v>10184</v>
      </c>
      <c r="AE2165" s="80" t="str">
        <f>HYPERLINK("https://twitter.com/concursos_publ/status/1627644345628209152")</f>
        <v>https://twitter.com/concursos_publ/status/1627644345628209152</v>
      </c>
      <c r="AF2165" s="79">
        <v>44977.514189814814</v>
      </c>
      <c r="AG2165" s="85">
        <v>44977</v>
      </c>
      <c r="AH2165" s="82" t="s">
        <v>12272</v>
      </c>
      <c r="AI2165" s="77" t="b">
        <v>0</v>
      </c>
      <c r="AJ2165" s="77"/>
      <c r="AK2165" s="77"/>
      <c r="AL2165" s="77"/>
      <c r="AM2165" s="77"/>
      <c r="AN2165" s="77"/>
      <c r="AO2165" s="77"/>
      <c r="AP2165" s="77"/>
      <c r="AQ2165" s="77" t="s">
        <v>15293</v>
      </c>
      <c r="AR2165" s="77"/>
      <c r="AS2165" s="77"/>
      <c r="AT2165" s="77"/>
      <c r="AU2165" s="77"/>
      <c r="AV2165" s="80" t="str">
        <f>HYPERLINK("https://pbs.twimg.com/media/FpaN31CXwAAJL53.jpg")</f>
        <v>https://pbs.twimg.com/media/FpaN31CXwAAJL53.jpg</v>
      </c>
      <c r="AW2165" s="82" t="s">
        <v>18933</v>
      </c>
      <c r="AX2165" s="82" t="s">
        <v>18933</v>
      </c>
      <c r="AY2165" s="77"/>
      <c r="AZ2165" s="82" t="s">
        <v>20971</v>
      </c>
      <c r="BA2165" s="82" t="s">
        <v>20971</v>
      </c>
      <c r="BB2165" s="82" t="s">
        <v>20971</v>
      </c>
      <c r="BC2165" s="82" t="s">
        <v>18933</v>
      </c>
      <c r="BD2165" s="82" t="s">
        <v>21418</v>
      </c>
      <c r="BE2165" s="77"/>
      <c r="BF2165" s="77"/>
      <c r="BG2165" s="77"/>
      <c r="BH2165" s="77"/>
      <c r="BI2165" s="77"/>
    </row>
    <row r="2166" spans="1:61" x14ac:dyDescent="0.25">
      <c r="A2166" s="62" t="s">
        <v>771</v>
      </c>
      <c r="B2166" s="62" t="s">
        <v>771</v>
      </c>
      <c r="C2166" s="63"/>
      <c r="D2166" s="64"/>
      <c r="E2166" s="65"/>
      <c r="F2166" s="66"/>
      <c r="G2166" s="63"/>
      <c r="H2166" s="67"/>
      <c r="I2166" s="68"/>
      <c r="J2166" s="68"/>
      <c r="K2166" s="32"/>
      <c r="L2166" s="75">
        <v>2166</v>
      </c>
      <c r="M2166" s="75"/>
      <c r="N2166" s="70"/>
      <c r="O2166" s="77" t="s">
        <v>179</v>
      </c>
      <c r="P2166" s="79">
        <v>44976.083321759259</v>
      </c>
      <c r="Q2166" s="77" t="s">
        <v>3376</v>
      </c>
      <c r="R2166" s="77">
        <v>0</v>
      </c>
      <c r="S2166" s="77">
        <v>0</v>
      </c>
      <c r="T2166" s="77">
        <v>0</v>
      </c>
      <c r="U2166" s="77">
        <v>0</v>
      </c>
      <c r="V2166" s="77">
        <v>9</v>
      </c>
      <c r="W2166" s="82" t="s">
        <v>5236</v>
      </c>
      <c r="X2166" s="80" t="str">
        <f>HYPERLINK("https://go.hotmart.com/B77468619P")</f>
        <v>https://go.hotmart.com/B77468619P</v>
      </c>
      <c r="Y2166" s="77" t="s">
        <v>7251</v>
      </c>
      <c r="Z2166" s="77"/>
      <c r="AA2166" s="77" t="s">
        <v>8651</v>
      </c>
      <c r="AB2166" s="77" t="s">
        <v>10130</v>
      </c>
      <c r="AC2166" s="82" t="s">
        <v>10164</v>
      </c>
      <c r="AD2166" s="77" t="s">
        <v>10184</v>
      </c>
      <c r="AE2166" s="80" t="str">
        <f>HYPERLINK("https://twitter.com/concursos_publ/status/1627125817070260224")</f>
        <v>https://twitter.com/concursos_publ/status/1627125817070260224</v>
      </c>
      <c r="AF2166" s="79">
        <v>44976.083321759259</v>
      </c>
      <c r="AG2166" s="85">
        <v>44976</v>
      </c>
      <c r="AH2166" s="82" t="s">
        <v>12273</v>
      </c>
      <c r="AI2166" s="77" t="b">
        <v>0</v>
      </c>
      <c r="AJ2166" s="77"/>
      <c r="AK2166" s="77"/>
      <c r="AL2166" s="77"/>
      <c r="AM2166" s="77"/>
      <c r="AN2166" s="77"/>
      <c r="AO2166" s="77"/>
      <c r="AP2166" s="77"/>
      <c r="AQ2166" s="77" t="s">
        <v>15294</v>
      </c>
      <c r="AR2166" s="77"/>
      <c r="AS2166" s="77"/>
      <c r="AT2166" s="77"/>
      <c r="AU2166" s="77"/>
      <c r="AV2166" s="80" t="str">
        <f>HYPERLINK("https://pbs.twimg.com/media/FpS2RaIWcAEHhjE.jpg")</f>
        <v>https://pbs.twimg.com/media/FpS2RaIWcAEHhjE.jpg</v>
      </c>
      <c r="AW2166" s="82" t="s">
        <v>18934</v>
      </c>
      <c r="AX2166" s="82" t="s">
        <v>18934</v>
      </c>
      <c r="AY2166" s="77"/>
      <c r="AZ2166" s="82" t="s">
        <v>20971</v>
      </c>
      <c r="BA2166" s="82" t="s">
        <v>20971</v>
      </c>
      <c r="BB2166" s="82" t="s">
        <v>20971</v>
      </c>
      <c r="BC2166" s="82" t="s">
        <v>18934</v>
      </c>
      <c r="BD2166" s="82" t="s">
        <v>21418</v>
      </c>
      <c r="BE2166" s="77"/>
      <c r="BF2166" s="77"/>
      <c r="BG2166" s="77"/>
      <c r="BH2166" s="77"/>
      <c r="BI2166" s="77"/>
    </row>
    <row r="2167" spans="1:61" x14ac:dyDescent="0.25">
      <c r="A2167" s="62" t="s">
        <v>771</v>
      </c>
      <c r="B2167" s="62" t="s">
        <v>771</v>
      </c>
      <c r="C2167" s="63"/>
      <c r="D2167" s="64"/>
      <c r="E2167" s="65"/>
      <c r="F2167" s="66"/>
      <c r="G2167" s="63"/>
      <c r="H2167" s="67"/>
      <c r="I2167" s="68"/>
      <c r="J2167" s="68"/>
      <c r="K2167" s="32"/>
      <c r="L2167" s="75">
        <v>2167</v>
      </c>
      <c r="M2167" s="75"/>
      <c r="N2167" s="70"/>
      <c r="O2167" s="77" t="s">
        <v>179</v>
      </c>
      <c r="P2167" s="79">
        <v>44984.636087962965</v>
      </c>
      <c r="Q2167" s="77" t="s">
        <v>3377</v>
      </c>
      <c r="R2167" s="77">
        <v>0</v>
      </c>
      <c r="S2167" s="77">
        <v>0</v>
      </c>
      <c r="T2167" s="77">
        <v>0</v>
      </c>
      <c r="U2167" s="77">
        <v>0</v>
      </c>
      <c r="V2167" s="77">
        <v>15</v>
      </c>
      <c r="W2167" s="82" t="s">
        <v>5236</v>
      </c>
      <c r="X2167" s="80" t="str">
        <f>HYPERLINK("https://go.hotmart.com/B77468619P")</f>
        <v>https://go.hotmart.com/B77468619P</v>
      </c>
      <c r="Y2167" s="77" t="s">
        <v>7251</v>
      </c>
      <c r="Z2167" s="77"/>
      <c r="AA2167" s="77" t="s">
        <v>8652</v>
      </c>
      <c r="AB2167" s="77" t="s">
        <v>10130</v>
      </c>
      <c r="AC2167" s="82" t="s">
        <v>10164</v>
      </c>
      <c r="AD2167" s="77" t="s">
        <v>10184</v>
      </c>
      <c r="AE2167" s="80" t="str">
        <f>HYPERLINK("https://twitter.com/concursos_publ/status/1630225233880686600")</f>
        <v>https://twitter.com/concursos_publ/status/1630225233880686600</v>
      </c>
      <c r="AF2167" s="79">
        <v>44984.636087962965</v>
      </c>
      <c r="AG2167" s="85">
        <v>44984</v>
      </c>
      <c r="AH2167" s="82" t="s">
        <v>12274</v>
      </c>
      <c r="AI2167" s="77" t="b">
        <v>0</v>
      </c>
      <c r="AJ2167" s="77"/>
      <c r="AK2167" s="77"/>
      <c r="AL2167" s="77"/>
      <c r="AM2167" s="77"/>
      <c r="AN2167" s="77"/>
      <c r="AO2167" s="77"/>
      <c r="AP2167" s="77"/>
      <c r="AQ2167" s="77" t="s">
        <v>15295</v>
      </c>
      <c r="AR2167" s="77"/>
      <c r="AS2167" s="77"/>
      <c r="AT2167" s="77"/>
      <c r="AU2167" s="77"/>
      <c r="AV2167" s="80" t="str">
        <f>HYPERLINK("https://pbs.twimg.com/media/Fp-5LEtWwAA8qEZ.jpg")</f>
        <v>https://pbs.twimg.com/media/Fp-5LEtWwAA8qEZ.jpg</v>
      </c>
      <c r="AW2167" s="82" t="s">
        <v>18935</v>
      </c>
      <c r="AX2167" s="82" t="s">
        <v>18935</v>
      </c>
      <c r="AY2167" s="77"/>
      <c r="AZ2167" s="82" t="s">
        <v>20971</v>
      </c>
      <c r="BA2167" s="82" t="s">
        <v>20971</v>
      </c>
      <c r="BB2167" s="82" t="s">
        <v>20971</v>
      </c>
      <c r="BC2167" s="82" t="s">
        <v>18935</v>
      </c>
      <c r="BD2167" s="82" t="s">
        <v>21418</v>
      </c>
      <c r="BE2167" s="77"/>
      <c r="BF2167" s="77"/>
      <c r="BG2167" s="77"/>
      <c r="BH2167" s="77"/>
      <c r="BI2167" s="77"/>
    </row>
    <row r="2168" spans="1:61" x14ac:dyDescent="0.25">
      <c r="A2168" s="62" t="s">
        <v>771</v>
      </c>
      <c r="B2168" s="62" t="s">
        <v>771</v>
      </c>
      <c r="C2168" s="63"/>
      <c r="D2168" s="64"/>
      <c r="E2168" s="65"/>
      <c r="F2168" s="66"/>
      <c r="G2168" s="63"/>
      <c r="H2168" s="67"/>
      <c r="I2168" s="68"/>
      <c r="J2168" s="68"/>
      <c r="K2168" s="32"/>
      <c r="L2168" s="75">
        <v>2168</v>
      </c>
      <c r="M2168" s="75"/>
      <c r="N2168" s="70"/>
      <c r="O2168" s="77" t="s">
        <v>179</v>
      </c>
      <c r="P2168" s="79">
        <v>44980.360451388886</v>
      </c>
      <c r="Q2168" s="77" t="s">
        <v>3378</v>
      </c>
      <c r="R2168" s="77">
        <v>0</v>
      </c>
      <c r="S2168" s="77">
        <v>0</v>
      </c>
      <c r="T2168" s="77">
        <v>0</v>
      </c>
      <c r="U2168" s="77">
        <v>0</v>
      </c>
      <c r="V2168" s="77">
        <v>12</v>
      </c>
      <c r="W2168" s="82" t="s">
        <v>5236</v>
      </c>
      <c r="X2168" s="80" t="str">
        <f>HYPERLINK("https://go.hotmart.com/B77468619P")</f>
        <v>https://go.hotmart.com/B77468619P</v>
      </c>
      <c r="Y2168" s="77" t="s">
        <v>7251</v>
      </c>
      <c r="Z2168" s="77"/>
      <c r="AA2168" s="77" t="s">
        <v>8653</v>
      </c>
      <c r="AB2168" s="77" t="s">
        <v>10130</v>
      </c>
      <c r="AC2168" s="82" t="s">
        <v>10164</v>
      </c>
      <c r="AD2168" s="77" t="s">
        <v>10184</v>
      </c>
      <c r="AE2168" s="80" t="str">
        <f>HYPERLINK("https://twitter.com/concursos_publ/status/1628675796263919616")</f>
        <v>https://twitter.com/concursos_publ/status/1628675796263919616</v>
      </c>
      <c r="AF2168" s="79">
        <v>44980.360451388886</v>
      </c>
      <c r="AG2168" s="85">
        <v>44980</v>
      </c>
      <c r="AH2168" s="82" t="s">
        <v>12275</v>
      </c>
      <c r="AI2168" s="77" t="b">
        <v>0</v>
      </c>
      <c r="AJ2168" s="77"/>
      <c r="AK2168" s="77"/>
      <c r="AL2168" s="77"/>
      <c r="AM2168" s="77"/>
      <c r="AN2168" s="77"/>
      <c r="AO2168" s="77"/>
      <c r="AP2168" s="77"/>
      <c r="AQ2168" s="77" t="s">
        <v>15296</v>
      </c>
      <c r="AR2168" s="77"/>
      <c r="AS2168" s="77"/>
      <c r="AT2168" s="77"/>
      <c r="AU2168" s="77"/>
      <c r="AV2168" s="80" t="str">
        <f>HYPERLINK("https://pbs.twimg.com/media/Fpo38_4X0AkCoOO.jpg")</f>
        <v>https://pbs.twimg.com/media/Fpo38_4X0AkCoOO.jpg</v>
      </c>
      <c r="AW2168" s="82" t="s">
        <v>18936</v>
      </c>
      <c r="AX2168" s="82" t="s">
        <v>18936</v>
      </c>
      <c r="AY2168" s="77"/>
      <c r="AZ2168" s="82" t="s">
        <v>20971</v>
      </c>
      <c r="BA2168" s="82" t="s">
        <v>20971</v>
      </c>
      <c r="BB2168" s="82" t="s">
        <v>20971</v>
      </c>
      <c r="BC2168" s="82" t="s">
        <v>18936</v>
      </c>
      <c r="BD2168" s="82" t="s">
        <v>21418</v>
      </c>
      <c r="BE2168" s="77"/>
      <c r="BF2168" s="77"/>
      <c r="BG2168" s="77"/>
      <c r="BH2168" s="77"/>
      <c r="BI2168" s="77"/>
    </row>
    <row r="2169" spans="1:61" x14ac:dyDescent="0.25">
      <c r="A2169" s="62" t="s">
        <v>771</v>
      </c>
      <c r="B2169" s="62" t="s">
        <v>771</v>
      </c>
      <c r="C2169" s="63"/>
      <c r="D2169" s="64"/>
      <c r="E2169" s="65"/>
      <c r="F2169" s="66"/>
      <c r="G2169" s="63"/>
      <c r="H2169" s="67"/>
      <c r="I2169" s="68"/>
      <c r="J2169" s="68"/>
      <c r="K2169" s="32"/>
      <c r="L2169" s="75">
        <v>2169</v>
      </c>
      <c r="M2169" s="75"/>
      <c r="N2169" s="70"/>
      <c r="O2169" s="77" t="s">
        <v>179</v>
      </c>
      <c r="P2169" s="79">
        <v>44978.936678240738</v>
      </c>
      <c r="Q2169" s="77" t="s">
        <v>3379</v>
      </c>
      <c r="R2169" s="77">
        <v>0</v>
      </c>
      <c r="S2169" s="77">
        <v>0</v>
      </c>
      <c r="T2169" s="77">
        <v>0</v>
      </c>
      <c r="U2169" s="77">
        <v>0</v>
      </c>
      <c r="V2169" s="77">
        <v>20</v>
      </c>
      <c r="W2169" s="82" t="s">
        <v>5236</v>
      </c>
      <c r="X2169" s="80" t="str">
        <f>HYPERLINK("https://go.hotmart.com/B77468619P")</f>
        <v>https://go.hotmart.com/B77468619P</v>
      </c>
      <c r="Y2169" s="77" t="s">
        <v>7251</v>
      </c>
      <c r="Z2169" s="77"/>
      <c r="AA2169" s="77" t="s">
        <v>8654</v>
      </c>
      <c r="AB2169" s="77" t="s">
        <v>10130</v>
      </c>
      <c r="AC2169" s="82" t="s">
        <v>10164</v>
      </c>
      <c r="AD2169" s="77" t="s">
        <v>10184</v>
      </c>
      <c r="AE2169" s="80" t="str">
        <f>HYPERLINK("https://twitter.com/concursos_publ/status/1628159837703122945")</f>
        <v>https://twitter.com/concursos_publ/status/1628159837703122945</v>
      </c>
      <c r="AF2169" s="79">
        <v>44978.936678240738</v>
      </c>
      <c r="AG2169" s="85">
        <v>44978</v>
      </c>
      <c r="AH2169" s="82" t="s">
        <v>12276</v>
      </c>
      <c r="AI2169" s="77" t="b">
        <v>0</v>
      </c>
      <c r="AJ2169" s="77"/>
      <c r="AK2169" s="77"/>
      <c r="AL2169" s="77"/>
      <c r="AM2169" s="77"/>
      <c r="AN2169" s="77"/>
      <c r="AO2169" s="77"/>
      <c r="AP2169" s="77"/>
      <c r="AQ2169" s="77" t="s">
        <v>15297</v>
      </c>
      <c r="AR2169" s="77"/>
      <c r="AS2169" s="77"/>
      <c r="AT2169" s="77"/>
      <c r="AU2169" s="77"/>
      <c r="AV2169" s="80" t="str">
        <f>HYPERLINK("https://pbs.twimg.com/media/FphitXDXwAEFQQr.jpg")</f>
        <v>https://pbs.twimg.com/media/FphitXDXwAEFQQr.jpg</v>
      </c>
      <c r="AW2169" s="82" t="s">
        <v>18937</v>
      </c>
      <c r="AX2169" s="82" t="s">
        <v>18937</v>
      </c>
      <c r="AY2169" s="77"/>
      <c r="AZ2169" s="82" t="s">
        <v>20971</v>
      </c>
      <c r="BA2169" s="82" t="s">
        <v>20971</v>
      </c>
      <c r="BB2169" s="82" t="s">
        <v>20971</v>
      </c>
      <c r="BC2169" s="82" t="s">
        <v>18937</v>
      </c>
      <c r="BD2169" s="82" t="s">
        <v>21418</v>
      </c>
      <c r="BE2169" s="77"/>
      <c r="BF2169" s="77"/>
      <c r="BG2169" s="77"/>
      <c r="BH2169" s="77"/>
      <c r="BI2169" s="77"/>
    </row>
    <row r="2170" spans="1:61" x14ac:dyDescent="0.25">
      <c r="A2170" s="62" t="s">
        <v>772</v>
      </c>
      <c r="B2170" s="62" t="s">
        <v>772</v>
      </c>
      <c r="C2170" s="63"/>
      <c r="D2170" s="64"/>
      <c r="E2170" s="65"/>
      <c r="F2170" s="66"/>
      <c r="G2170" s="63"/>
      <c r="H2170" s="67"/>
      <c r="I2170" s="68"/>
      <c r="J2170" s="68"/>
      <c r="K2170" s="32"/>
      <c r="L2170" s="75">
        <v>2170</v>
      </c>
      <c r="M2170" s="75"/>
      <c r="N2170" s="70"/>
      <c r="O2170" s="77" t="s">
        <v>179</v>
      </c>
      <c r="P2170" s="79">
        <v>44974.656701388885</v>
      </c>
      <c r="Q2170" s="77" t="s">
        <v>3380</v>
      </c>
      <c r="R2170" s="77">
        <v>0</v>
      </c>
      <c r="S2170" s="77">
        <v>0</v>
      </c>
      <c r="T2170" s="77">
        <v>1</v>
      </c>
      <c r="U2170" s="77">
        <v>0</v>
      </c>
      <c r="V2170" s="77">
        <v>156</v>
      </c>
      <c r="W2170" s="82" t="s">
        <v>6233</v>
      </c>
      <c r="X2170" s="77"/>
      <c r="Y2170" s="77"/>
      <c r="Z2170" s="77"/>
      <c r="AA2170" s="77" t="s">
        <v>8655</v>
      </c>
      <c r="AB2170" s="77" t="s">
        <v>10129</v>
      </c>
      <c r="AC2170" s="82" t="s">
        <v>10145</v>
      </c>
      <c r="AD2170" s="77" t="s">
        <v>10184</v>
      </c>
      <c r="AE2170" s="80" t="str">
        <f>HYPERLINK("https://twitter.com/samuk889/status/1626608823136927746")</f>
        <v>https://twitter.com/samuk889/status/1626608823136927746</v>
      </c>
      <c r="AF2170" s="79">
        <v>44974.656701388885</v>
      </c>
      <c r="AG2170" s="85">
        <v>44974</v>
      </c>
      <c r="AH2170" s="82" t="s">
        <v>12277</v>
      </c>
      <c r="AI2170" s="77" t="b">
        <v>0</v>
      </c>
      <c r="AJ2170" s="77"/>
      <c r="AK2170" s="77"/>
      <c r="AL2170" s="77"/>
      <c r="AM2170" s="77"/>
      <c r="AN2170" s="77"/>
      <c r="AO2170" s="77"/>
      <c r="AP2170" s="77"/>
      <c r="AQ2170" s="77" t="s">
        <v>15298</v>
      </c>
      <c r="AR2170" s="77">
        <v>35100</v>
      </c>
      <c r="AS2170" s="77"/>
      <c r="AT2170" s="77"/>
      <c r="AU2170" s="77"/>
      <c r="AV2170" s="80" t="str">
        <f>HYPERLINK("https://pbs.twimg.com/ext_tw_video_thumb/1626608760700522497/pu/img/80Scya632-tsxUd8.jpg")</f>
        <v>https://pbs.twimg.com/ext_tw_video_thumb/1626608760700522497/pu/img/80Scya632-tsxUd8.jpg</v>
      </c>
      <c r="AW2170" s="82" t="s">
        <v>18938</v>
      </c>
      <c r="AX2170" s="82" t="s">
        <v>18938</v>
      </c>
      <c r="AY2170" s="77"/>
      <c r="AZ2170" s="82" t="s">
        <v>20971</v>
      </c>
      <c r="BA2170" s="82" t="s">
        <v>20971</v>
      </c>
      <c r="BB2170" s="82" t="s">
        <v>20971</v>
      </c>
      <c r="BC2170" s="82" t="s">
        <v>18938</v>
      </c>
      <c r="BD2170" s="82" t="s">
        <v>21419</v>
      </c>
      <c r="BE2170" s="77"/>
      <c r="BF2170" s="77"/>
      <c r="BG2170" s="77"/>
      <c r="BH2170" s="77"/>
      <c r="BI2170" s="77"/>
    </row>
    <row r="2171" spans="1:61" x14ac:dyDescent="0.25">
      <c r="A2171" s="62" t="s">
        <v>773</v>
      </c>
      <c r="B2171" s="62" t="s">
        <v>773</v>
      </c>
      <c r="C2171" s="63"/>
      <c r="D2171" s="64"/>
      <c r="E2171" s="65"/>
      <c r="F2171" s="66"/>
      <c r="G2171" s="63"/>
      <c r="H2171" s="67"/>
      <c r="I2171" s="68"/>
      <c r="J2171" s="68"/>
      <c r="K2171" s="32"/>
      <c r="L2171" s="75">
        <v>2171</v>
      </c>
      <c r="M2171" s="75"/>
      <c r="N2171" s="70"/>
      <c r="O2171" s="77" t="s">
        <v>179</v>
      </c>
      <c r="P2171" s="79">
        <v>45118.925474537034</v>
      </c>
      <c r="Q2171" s="77" t="s">
        <v>3381</v>
      </c>
      <c r="R2171" s="77">
        <v>0</v>
      </c>
      <c r="S2171" s="77">
        <v>1</v>
      </c>
      <c r="T2171" s="77">
        <v>0</v>
      </c>
      <c r="U2171" s="77">
        <v>0</v>
      </c>
      <c r="V2171" s="77">
        <v>18</v>
      </c>
      <c r="W2171" s="82" t="s">
        <v>6234</v>
      </c>
      <c r="X2171" s="80" t="str">
        <f>HYPERLINK("https://rvazstudio.blogspot.com/2023/07/como-vender-ilustracoes-caricaturas-e.html")</f>
        <v>https://rvazstudio.blogspot.com/2023/07/como-vender-ilustracoes-caricaturas-e.html</v>
      </c>
      <c r="Y2171" s="77" t="s">
        <v>7261</v>
      </c>
      <c r="Z2171" s="77"/>
      <c r="AA2171" s="77"/>
      <c r="AB2171" s="77"/>
      <c r="AC2171" s="82" t="s">
        <v>10145</v>
      </c>
      <c r="AD2171" s="77" t="s">
        <v>10184</v>
      </c>
      <c r="AE2171" s="80" t="str">
        <f>HYPERLINK("https://twitter.com/rvazstudio/status/1678890075977916417")</f>
        <v>https://twitter.com/rvazstudio/status/1678890075977916417</v>
      </c>
      <c r="AF2171" s="79">
        <v>45118.925474537034</v>
      </c>
      <c r="AG2171" s="85">
        <v>45118</v>
      </c>
      <c r="AH2171" s="82" t="s">
        <v>11385</v>
      </c>
      <c r="AI2171" s="77" t="b">
        <v>0</v>
      </c>
      <c r="AJ2171" s="77"/>
      <c r="AK2171" s="77"/>
      <c r="AL2171" s="77"/>
      <c r="AM2171" s="77"/>
      <c r="AN2171" s="77"/>
      <c r="AO2171" s="77"/>
      <c r="AP2171" s="77"/>
      <c r="AQ2171" s="77"/>
      <c r="AR2171" s="77"/>
      <c r="AS2171" s="77"/>
      <c r="AT2171" s="77"/>
      <c r="AU2171" s="77"/>
      <c r="AV2171" s="80" t="str">
        <f>HYPERLINK("https://pbs.twimg.com/profile_images/1461175074782953475/EO3P9-dr_normal.jpg")</f>
        <v>https://pbs.twimg.com/profile_images/1461175074782953475/EO3P9-dr_normal.jpg</v>
      </c>
      <c r="AW2171" s="82" t="s">
        <v>18939</v>
      </c>
      <c r="AX2171" s="82" t="s">
        <v>18939</v>
      </c>
      <c r="AY2171" s="77"/>
      <c r="AZ2171" s="82" t="s">
        <v>20971</v>
      </c>
      <c r="BA2171" s="82" t="s">
        <v>20971</v>
      </c>
      <c r="BB2171" s="82" t="s">
        <v>20971</v>
      </c>
      <c r="BC2171" s="82" t="s">
        <v>18939</v>
      </c>
      <c r="BD2171" s="77">
        <v>145380021</v>
      </c>
      <c r="BE2171" s="77"/>
      <c r="BF2171" s="77"/>
      <c r="BG2171" s="77"/>
      <c r="BH2171" s="77"/>
      <c r="BI2171" s="77"/>
    </row>
    <row r="2172" spans="1:61" x14ac:dyDescent="0.25">
      <c r="A2172" s="62" t="s">
        <v>774</v>
      </c>
      <c r="B2172" s="62" t="s">
        <v>1241</v>
      </c>
      <c r="C2172" s="63"/>
      <c r="D2172" s="64"/>
      <c r="E2172" s="65"/>
      <c r="F2172" s="66"/>
      <c r="G2172" s="63"/>
      <c r="H2172" s="67"/>
      <c r="I2172" s="68"/>
      <c r="J2172" s="68"/>
      <c r="K2172" s="32"/>
      <c r="L2172" s="75">
        <v>2172</v>
      </c>
      <c r="M2172" s="75"/>
      <c r="N2172" s="70"/>
      <c r="O2172" s="77" t="s">
        <v>1285</v>
      </c>
      <c r="P2172" s="79">
        <v>45166.060960648145</v>
      </c>
      <c r="Q2172" s="77" t="s">
        <v>3382</v>
      </c>
      <c r="R2172" s="77">
        <v>0</v>
      </c>
      <c r="S2172" s="77">
        <v>0</v>
      </c>
      <c r="T2172" s="77">
        <v>0</v>
      </c>
      <c r="U2172" s="77">
        <v>0</v>
      </c>
      <c r="V2172" s="77">
        <v>4</v>
      </c>
      <c r="W2172" s="82" t="s">
        <v>6235</v>
      </c>
      <c r="X2172" s="80" t="str">
        <f>HYPERLINK("https://youtube.com/shorts/5dfpfEUSOZ4?si=aP6I0uqs6wYZYKYv")</f>
        <v>https://youtube.com/shorts/5dfpfEUSOZ4?si=aP6I0uqs6wYZYKYv</v>
      </c>
      <c r="Y2172" s="77" t="s">
        <v>7303</v>
      </c>
      <c r="Z2172" s="77" t="s">
        <v>1241</v>
      </c>
      <c r="AA2172" s="77"/>
      <c r="AB2172" s="77"/>
      <c r="AC2172" s="82" t="s">
        <v>10146</v>
      </c>
      <c r="AD2172" s="77" t="s">
        <v>10184</v>
      </c>
      <c r="AE2172" s="80" t="str">
        <f>HYPERLINK("https://twitter.com/antoniocsa10761/status/1695971406746460588")</f>
        <v>https://twitter.com/antoniocsa10761/status/1695971406746460588</v>
      </c>
      <c r="AF2172" s="79">
        <v>45166.060960648145</v>
      </c>
      <c r="AG2172" s="85">
        <v>45166</v>
      </c>
      <c r="AH2172" s="82" t="s">
        <v>12278</v>
      </c>
      <c r="AI2172" s="77" t="b">
        <v>0</v>
      </c>
      <c r="AJ2172" s="77"/>
      <c r="AK2172" s="77"/>
      <c r="AL2172" s="77"/>
      <c r="AM2172" s="77"/>
      <c r="AN2172" s="77"/>
      <c r="AO2172" s="77"/>
      <c r="AP2172" s="77"/>
      <c r="AQ2172" s="77"/>
      <c r="AR2172" s="77"/>
      <c r="AS2172" s="77"/>
      <c r="AT2172" s="77"/>
      <c r="AU2172" s="77"/>
      <c r="AV2172" s="80" t="str">
        <f>HYPERLINK("https://pbs.twimg.com/profile_images/1692273494673801217/IVwi9DRS_normal.jpg")</f>
        <v>https://pbs.twimg.com/profile_images/1692273494673801217/IVwi9DRS_normal.jpg</v>
      </c>
      <c r="AW2172" s="82" t="s">
        <v>18940</v>
      </c>
      <c r="AX2172" s="82" t="s">
        <v>18940</v>
      </c>
      <c r="AY2172" s="77"/>
      <c r="AZ2172" s="82" t="s">
        <v>20971</v>
      </c>
      <c r="BA2172" s="82" t="s">
        <v>20971</v>
      </c>
      <c r="BB2172" s="82" t="s">
        <v>20971</v>
      </c>
      <c r="BC2172" s="82" t="s">
        <v>18940</v>
      </c>
      <c r="BD2172" s="82" t="s">
        <v>21420</v>
      </c>
      <c r="BE2172" s="77"/>
      <c r="BF2172" s="77"/>
      <c r="BG2172" s="77"/>
      <c r="BH2172" s="77"/>
      <c r="BI2172" s="77"/>
    </row>
    <row r="2173" spans="1:61" x14ac:dyDescent="0.25">
      <c r="A2173" s="62" t="s">
        <v>775</v>
      </c>
      <c r="B2173" s="62" t="s">
        <v>775</v>
      </c>
      <c r="C2173" s="63"/>
      <c r="D2173" s="64"/>
      <c r="E2173" s="65"/>
      <c r="F2173" s="66"/>
      <c r="G2173" s="63"/>
      <c r="H2173" s="67"/>
      <c r="I2173" s="68"/>
      <c r="J2173" s="68"/>
      <c r="K2173" s="32"/>
      <c r="L2173" s="75">
        <v>2173</v>
      </c>
      <c r="M2173" s="75"/>
      <c r="N2173" s="70"/>
      <c r="O2173" s="77" t="s">
        <v>179</v>
      </c>
      <c r="P2173" s="79">
        <v>45148.125775462962</v>
      </c>
      <c r="Q2173" s="77" t="s">
        <v>3383</v>
      </c>
      <c r="R2173" s="77">
        <v>0</v>
      </c>
      <c r="S2173" s="77">
        <v>0</v>
      </c>
      <c r="T2173" s="77">
        <v>0</v>
      </c>
      <c r="U2173" s="77">
        <v>0</v>
      </c>
      <c r="V2173" s="77">
        <v>36</v>
      </c>
      <c r="W2173" s="82" t="s">
        <v>6236</v>
      </c>
      <c r="X2173" s="80" t="str">
        <f>HYPERLINK("https://go.aff.estrelabetpartners.com/lrg9p6uz")</f>
        <v>https://go.aff.estrelabetpartners.com/lrg9p6uz</v>
      </c>
      <c r="Y2173" s="77" t="s">
        <v>7399</v>
      </c>
      <c r="Z2173" s="77"/>
      <c r="AA2173" s="77" t="s">
        <v>8656</v>
      </c>
      <c r="AB2173" s="77" t="s">
        <v>10130</v>
      </c>
      <c r="AC2173" s="82" t="s">
        <v>10145</v>
      </c>
      <c r="AD2173" s="77" t="s">
        <v>10184</v>
      </c>
      <c r="AE2173" s="80" t="str">
        <f>HYPERLINK("https://twitter.com/informa_rio/status/1689471912659861505")</f>
        <v>https://twitter.com/informa_rio/status/1689471912659861505</v>
      </c>
      <c r="AF2173" s="79">
        <v>45148.125775462962</v>
      </c>
      <c r="AG2173" s="85">
        <v>45148</v>
      </c>
      <c r="AH2173" s="82" t="s">
        <v>12279</v>
      </c>
      <c r="AI2173" s="77" t="b">
        <v>0</v>
      </c>
      <c r="AJ2173" s="77"/>
      <c r="AK2173" s="77"/>
      <c r="AL2173" s="77"/>
      <c r="AM2173" s="77"/>
      <c r="AN2173" s="77"/>
      <c r="AO2173" s="77"/>
      <c r="AP2173" s="77"/>
      <c r="AQ2173" s="77" t="s">
        <v>15299</v>
      </c>
      <c r="AR2173" s="77"/>
      <c r="AS2173" s="77"/>
      <c r="AT2173" s="77"/>
      <c r="AU2173" s="77"/>
      <c r="AV2173" s="80" t="str">
        <f>HYPERLINK("https://pbs.twimg.com/media/F3I1v0OXwAAPAnE.jpg")</f>
        <v>https://pbs.twimg.com/media/F3I1v0OXwAAPAnE.jpg</v>
      </c>
      <c r="AW2173" s="82" t="s">
        <v>18941</v>
      </c>
      <c r="AX2173" s="82" t="s">
        <v>18941</v>
      </c>
      <c r="AY2173" s="77"/>
      <c r="AZ2173" s="82" t="s">
        <v>20971</v>
      </c>
      <c r="BA2173" s="82" t="s">
        <v>20971</v>
      </c>
      <c r="BB2173" s="82" t="s">
        <v>20971</v>
      </c>
      <c r="BC2173" s="82" t="s">
        <v>18941</v>
      </c>
      <c r="BD2173" s="82" t="s">
        <v>21421</v>
      </c>
      <c r="BE2173" s="77"/>
      <c r="BF2173" s="77"/>
      <c r="BG2173" s="77"/>
      <c r="BH2173" s="77"/>
      <c r="BI2173" s="77"/>
    </row>
    <row r="2174" spans="1:61" x14ac:dyDescent="0.25">
      <c r="A2174" s="62" t="s">
        <v>776</v>
      </c>
      <c r="B2174" s="62" t="s">
        <v>776</v>
      </c>
      <c r="C2174" s="63"/>
      <c r="D2174" s="64"/>
      <c r="E2174" s="65"/>
      <c r="F2174" s="66"/>
      <c r="G2174" s="63"/>
      <c r="H2174" s="67"/>
      <c r="I2174" s="68"/>
      <c r="J2174" s="68"/>
      <c r="K2174" s="32"/>
      <c r="L2174" s="75">
        <v>2174</v>
      </c>
      <c r="M2174" s="75"/>
      <c r="N2174" s="70"/>
      <c r="O2174" s="77" t="s">
        <v>179</v>
      </c>
      <c r="P2174" s="79">
        <v>44991.570868055554</v>
      </c>
      <c r="Q2174" s="77" t="s">
        <v>3384</v>
      </c>
      <c r="R2174" s="77">
        <v>0</v>
      </c>
      <c r="S2174" s="77">
        <v>1</v>
      </c>
      <c r="T2174" s="77">
        <v>0</v>
      </c>
      <c r="U2174" s="77">
        <v>0</v>
      </c>
      <c r="V2174" s="77">
        <v>77</v>
      </c>
      <c r="W2174" s="82" t="s">
        <v>6237</v>
      </c>
      <c r="X2174" s="80" t="str">
        <f>HYPERLINK("https://youtu.be/aH6j9TQH7OU")</f>
        <v>https://youtu.be/aH6j9TQH7OU</v>
      </c>
      <c r="Y2174" s="77" t="s">
        <v>7248</v>
      </c>
      <c r="Z2174" s="77"/>
      <c r="AA2174" s="77"/>
      <c r="AB2174" s="77"/>
      <c r="AC2174" s="82" t="s">
        <v>10146</v>
      </c>
      <c r="AD2174" s="77" t="s">
        <v>10184</v>
      </c>
      <c r="AE2174" s="80" t="str">
        <f>HYPERLINK("https://twitter.com/jefinhoboratti/status/1632738315349680128")</f>
        <v>https://twitter.com/jefinhoboratti/status/1632738315349680128</v>
      </c>
      <c r="AF2174" s="79">
        <v>44991.570868055554</v>
      </c>
      <c r="AG2174" s="85">
        <v>44991</v>
      </c>
      <c r="AH2174" s="82" t="s">
        <v>12280</v>
      </c>
      <c r="AI2174" s="77" t="b">
        <v>0</v>
      </c>
      <c r="AJ2174" s="77" t="s">
        <v>14022</v>
      </c>
      <c r="AK2174" s="77" t="s">
        <v>14033</v>
      </c>
      <c r="AL2174" s="77" t="s">
        <v>14035</v>
      </c>
      <c r="AM2174" s="77" t="s">
        <v>14063</v>
      </c>
      <c r="AN2174" s="82" t="s">
        <v>14101</v>
      </c>
      <c r="AO2174" s="77" t="s">
        <v>14138</v>
      </c>
      <c r="AP2174" s="77" t="s">
        <v>14149</v>
      </c>
      <c r="AQ2174" s="77"/>
      <c r="AR2174" s="77"/>
      <c r="AS2174" s="77"/>
      <c r="AT2174" s="77"/>
      <c r="AU2174" s="77"/>
      <c r="AV2174" s="80" t="str">
        <f>HYPERLINK("https://pbs.twimg.com/profile_images/592619667233099776/_Carpslm_normal.jpg")</f>
        <v>https://pbs.twimg.com/profile_images/592619667233099776/_Carpslm_normal.jpg</v>
      </c>
      <c r="AW2174" s="82" t="s">
        <v>18942</v>
      </c>
      <c r="AX2174" s="82" t="s">
        <v>18942</v>
      </c>
      <c r="AY2174" s="77"/>
      <c r="AZ2174" s="82" t="s">
        <v>20971</v>
      </c>
      <c r="BA2174" s="82" t="s">
        <v>20971</v>
      </c>
      <c r="BB2174" s="82" t="s">
        <v>20971</v>
      </c>
      <c r="BC2174" s="82" t="s">
        <v>18942</v>
      </c>
      <c r="BD2174" s="77">
        <v>733793012</v>
      </c>
      <c r="BE2174" s="77"/>
      <c r="BF2174" s="77"/>
      <c r="BG2174" s="77"/>
      <c r="BH2174" s="77"/>
      <c r="BI2174" s="77"/>
    </row>
    <row r="2175" spans="1:61" x14ac:dyDescent="0.25">
      <c r="A2175" s="62" t="s">
        <v>777</v>
      </c>
      <c r="B2175" s="62" t="s">
        <v>777</v>
      </c>
      <c r="C2175" s="63"/>
      <c r="D2175" s="64"/>
      <c r="E2175" s="65"/>
      <c r="F2175" s="66"/>
      <c r="G2175" s="63"/>
      <c r="H2175" s="67"/>
      <c r="I2175" s="68"/>
      <c r="J2175" s="68"/>
      <c r="K2175" s="32"/>
      <c r="L2175" s="75">
        <v>2175</v>
      </c>
      <c r="M2175" s="75"/>
      <c r="N2175" s="70"/>
      <c r="O2175" s="77" t="s">
        <v>179</v>
      </c>
      <c r="P2175" s="79">
        <v>45027.706956018519</v>
      </c>
      <c r="Q2175" s="77" t="s">
        <v>3385</v>
      </c>
      <c r="R2175" s="77">
        <v>0</v>
      </c>
      <c r="S2175" s="77">
        <v>1</v>
      </c>
      <c r="T2175" s="77">
        <v>0</v>
      </c>
      <c r="U2175" s="77">
        <v>0</v>
      </c>
      <c r="V2175" s="77">
        <v>262</v>
      </c>
      <c r="W2175" s="82" t="s">
        <v>6238</v>
      </c>
      <c r="X2175" s="77"/>
      <c r="Y2175" s="77"/>
      <c r="Z2175" s="77"/>
      <c r="AA2175" s="77" t="s">
        <v>8657</v>
      </c>
      <c r="AB2175" s="77" t="s">
        <v>10129</v>
      </c>
      <c r="AC2175" s="82" t="s">
        <v>10144</v>
      </c>
      <c r="AD2175" s="77" t="s">
        <v>10184</v>
      </c>
      <c r="AE2175" s="80" t="str">
        <f>HYPERLINK("https://twitter.com/loja_dinka/status/1645833591744495627")</f>
        <v>https://twitter.com/loja_dinka/status/1645833591744495627</v>
      </c>
      <c r="AF2175" s="79">
        <v>45027.706956018519</v>
      </c>
      <c r="AG2175" s="85">
        <v>45027</v>
      </c>
      <c r="AH2175" s="82" t="s">
        <v>12281</v>
      </c>
      <c r="AI2175" s="77" t="b">
        <v>0</v>
      </c>
      <c r="AJ2175" s="77"/>
      <c r="AK2175" s="77"/>
      <c r="AL2175" s="77"/>
      <c r="AM2175" s="77"/>
      <c r="AN2175" s="77"/>
      <c r="AO2175" s="77"/>
      <c r="AP2175" s="77"/>
      <c r="AQ2175" s="77" t="s">
        <v>15300</v>
      </c>
      <c r="AR2175" s="77">
        <v>6933</v>
      </c>
      <c r="AS2175" s="77"/>
      <c r="AT2175" s="77"/>
      <c r="AU2175" s="77"/>
      <c r="AV2175" s="80" t="str">
        <f>HYPERLINK("https://pbs.twimg.com/ext_tw_video_thumb/1645833515324276758/pu/img/NQcUWNibwokk8i0C.jpg")</f>
        <v>https://pbs.twimg.com/ext_tw_video_thumb/1645833515324276758/pu/img/NQcUWNibwokk8i0C.jpg</v>
      </c>
      <c r="AW2175" s="82" t="s">
        <v>18943</v>
      </c>
      <c r="AX2175" s="82" t="s">
        <v>18943</v>
      </c>
      <c r="AY2175" s="77"/>
      <c r="AZ2175" s="82" t="s">
        <v>20971</v>
      </c>
      <c r="BA2175" s="82" t="s">
        <v>20971</v>
      </c>
      <c r="BB2175" s="82" t="s">
        <v>20971</v>
      </c>
      <c r="BC2175" s="82" t="s">
        <v>18943</v>
      </c>
      <c r="BD2175" s="82" t="s">
        <v>21422</v>
      </c>
      <c r="BE2175" s="77"/>
      <c r="BF2175" s="77"/>
      <c r="BG2175" s="77"/>
      <c r="BH2175" s="77"/>
      <c r="BI2175" s="77"/>
    </row>
    <row r="2176" spans="1:61" x14ac:dyDescent="0.25">
      <c r="A2176" s="62" t="s">
        <v>777</v>
      </c>
      <c r="B2176" s="62" t="s">
        <v>777</v>
      </c>
      <c r="C2176" s="63"/>
      <c r="D2176" s="64"/>
      <c r="E2176" s="65"/>
      <c r="F2176" s="66"/>
      <c r="G2176" s="63"/>
      <c r="H2176" s="67"/>
      <c r="I2176" s="68"/>
      <c r="J2176" s="68"/>
      <c r="K2176" s="32"/>
      <c r="L2176" s="75">
        <v>2176</v>
      </c>
      <c r="M2176" s="75"/>
      <c r="N2176" s="70"/>
      <c r="O2176" s="77" t="s">
        <v>179</v>
      </c>
      <c r="P2176" s="79">
        <v>45026.532557870371</v>
      </c>
      <c r="Q2176" s="77" t="s">
        <v>3386</v>
      </c>
      <c r="R2176" s="77">
        <v>0</v>
      </c>
      <c r="S2176" s="77">
        <v>1</v>
      </c>
      <c r="T2176" s="77">
        <v>0</v>
      </c>
      <c r="U2176" s="77">
        <v>0</v>
      </c>
      <c r="V2176" s="77">
        <v>165</v>
      </c>
      <c r="W2176" s="82" t="s">
        <v>6238</v>
      </c>
      <c r="X2176" s="77"/>
      <c r="Y2176" s="77"/>
      <c r="Z2176" s="77"/>
      <c r="AA2176" s="77" t="s">
        <v>8658</v>
      </c>
      <c r="AB2176" s="77" t="s">
        <v>10129</v>
      </c>
      <c r="AC2176" s="82" t="s">
        <v>10144</v>
      </c>
      <c r="AD2176" s="77" t="s">
        <v>10184</v>
      </c>
      <c r="AE2176" s="80" t="str">
        <f>HYPERLINK("https://twitter.com/loja_dinka/status/1645408007709249538")</f>
        <v>https://twitter.com/loja_dinka/status/1645408007709249538</v>
      </c>
      <c r="AF2176" s="79">
        <v>45026.532557870371</v>
      </c>
      <c r="AG2176" s="85">
        <v>45026</v>
      </c>
      <c r="AH2176" s="82" t="s">
        <v>12282</v>
      </c>
      <c r="AI2176" s="77" t="b">
        <v>0</v>
      </c>
      <c r="AJ2176" s="77"/>
      <c r="AK2176" s="77"/>
      <c r="AL2176" s="77"/>
      <c r="AM2176" s="77"/>
      <c r="AN2176" s="77"/>
      <c r="AO2176" s="77"/>
      <c r="AP2176" s="77"/>
      <c r="AQ2176" s="77" t="s">
        <v>15301</v>
      </c>
      <c r="AR2176" s="77">
        <v>6966</v>
      </c>
      <c r="AS2176" s="77"/>
      <c r="AT2176" s="77"/>
      <c r="AU2176" s="77"/>
      <c r="AV2176" s="80" t="str">
        <f>HYPERLINK("https://pbs.twimg.com/ext_tw_video_thumb/1645407913874210817/pu/img/Akf7DL5GflFu7QwW.jpg")</f>
        <v>https://pbs.twimg.com/ext_tw_video_thumb/1645407913874210817/pu/img/Akf7DL5GflFu7QwW.jpg</v>
      </c>
      <c r="AW2176" s="82" t="s">
        <v>18944</v>
      </c>
      <c r="AX2176" s="82" t="s">
        <v>18944</v>
      </c>
      <c r="AY2176" s="77"/>
      <c r="AZ2176" s="82" t="s">
        <v>20971</v>
      </c>
      <c r="BA2176" s="82" t="s">
        <v>20971</v>
      </c>
      <c r="BB2176" s="82" t="s">
        <v>20971</v>
      </c>
      <c r="BC2176" s="82" t="s">
        <v>18944</v>
      </c>
      <c r="BD2176" s="82" t="s">
        <v>21422</v>
      </c>
      <c r="BE2176" s="77"/>
      <c r="BF2176" s="77"/>
      <c r="BG2176" s="77"/>
      <c r="BH2176" s="77"/>
      <c r="BI2176" s="77"/>
    </row>
    <row r="2177" spans="1:61" x14ac:dyDescent="0.25">
      <c r="A2177" s="62" t="s">
        <v>777</v>
      </c>
      <c r="B2177" s="62" t="s">
        <v>777</v>
      </c>
      <c r="C2177" s="63"/>
      <c r="D2177" s="64"/>
      <c r="E2177" s="65"/>
      <c r="F2177" s="66"/>
      <c r="G2177" s="63"/>
      <c r="H2177" s="67"/>
      <c r="I2177" s="68"/>
      <c r="J2177" s="68"/>
      <c r="K2177" s="32"/>
      <c r="L2177" s="75">
        <v>2177</v>
      </c>
      <c r="M2177" s="75"/>
      <c r="N2177" s="70"/>
      <c r="O2177" s="77" t="s">
        <v>179</v>
      </c>
      <c r="P2177" s="79">
        <v>45033.988935185182</v>
      </c>
      <c r="Q2177" s="77" t="s">
        <v>3387</v>
      </c>
      <c r="R2177" s="77">
        <v>0</v>
      </c>
      <c r="S2177" s="77">
        <v>0</v>
      </c>
      <c r="T2177" s="77">
        <v>0</v>
      </c>
      <c r="U2177" s="77">
        <v>0</v>
      </c>
      <c r="V2177" s="77">
        <v>257</v>
      </c>
      <c r="W2177" s="82" t="s">
        <v>6238</v>
      </c>
      <c r="X2177" s="77"/>
      <c r="Y2177" s="77"/>
      <c r="Z2177" s="77"/>
      <c r="AA2177" s="77" t="s">
        <v>8659</v>
      </c>
      <c r="AB2177" s="77" t="s">
        <v>10129</v>
      </c>
      <c r="AC2177" s="82" t="s">
        <v>10144</v>
      </c>
      <c r="AD2177" s="77" t="s">
        <v>10184</v>
      </c>
      <c r="AE2177" s="80" t="str">
        <f>HYPERLINK("https://twitter.com/loja_dinka/status/1648110105471139840")</f>
        <v>https://twitter.com/loja_dinka/status/1648110105471139840</v>
      </c>
      <c r="AF2177" s="79">
        <v>45033.988935185182</v>
      </c>
      <c r="AG2177" s="85">
        <v>45033</v>
      </c>
      <c r="AH2177" s="82" t="s">
        <v>12283</v>
      </c>
      <c r="AI2177" s="77" t="b">
        <v>0</v>
      </c>
      <c r="AJ2177" s="77"/>
      <c r="AK2177" s="77"/>
      <c r="AL2177" s="77"/>
      <c r="AM2177" s="77"/>
      <c r="AN2177" s="77"/>
      <c r="AO2177" s="77"/>
      <c r="AP2177" s="77"/>
      <c r="AQ2177" s="77" t="s">
        <v>15302</v>
      </c>
      <c r="AR2177" s="77">
        <v>6933</v>
      </c>
      <c r="AS2177" s="77"/>
      <c r="AT2177" s="77"/>
      <c r="AU2177" s="77"/>
      <c r="AV2177" s="80" t="str">
        <f>HYPERLINK("https://pbs.twimg.com/ext_tw_video_thumb/1648110063410728963/pu/img/GFzgjntOgfBEquGj.jpg")</f>
        <v>https://pbs.twimg.com/ext_tw_video_thumb/1648110063410728963/pu/img/GFzgjntOgfBEquGj.jpg</v>
      </c>
      <c r="AW2177" s="82" t="s">
        <v>18945</v>
      </c>
      <c r="AX2177" s="82" t="s">
        <v>18945</v>
      </c>
      <c r="AY2177" s="77"/>
      <c r="AZ2177" s="82" t="s">
        <v>20971</v>
      </c>
      <c r="BA2177" s="82" t="s">
        <v>20971</v>
      </c>
      <c r="BB2177" s="82" t="s">
        <v>20971</v>
      </c>
      <c r="BC2177" s="82" t="s">
        <v>18945</v>
      </c>
      <c r="BD2177" s="82" t="s">
        <v>21422</v>
      </c>
      <c r="BE2177" s="77"/>
      <c r="BF2177" s="77"/>
      <c r="BG2177" s="77"/>
      <c r="BH2177" s="77"/>
      <c r="BI2177" s="77"/>
    </row>
    <row r="2178" spans="1:61" x14ac:dyDescent="0.25">
      <c r="A2178" s="62" t="s">
        <v>777</v>
      </c>
      <c r="B2178" s="62" t="s">
        <v>777</v>
      </c>
      <c r="C2178" s="63"/>
      <c r="D2178" s="64"/>
      <c r="E2178" s="65"/>
      <c r="F2178" s="66"/>
      <c r="G2178" s="63"/>
      <c r="H2178" s="67"/>
      <c r="I2178" s="68"/>
      <c r="J2178" s="68"/>
      <c r="K2178" s="32"/>
      <c r="L2178" s="75">
        <v>2178</v>
      </c>
      <c r="M2178" s="75"/>
      <c r="N2178" s="70"/>
      <c r="O2178" s="77" t="s">
        <v>179</v>
      </c>
      <c r="P2178" s="79">
        <v>45041.934606481482</v>
      </c>
      <c r="Q2178" s="77" t="s">
        <v>3388</v>
      </c>
      <c r="R2178" s="77">
        <v>0</v>
      </c>
      <c r="S2178" s="77">
        <v>2</v>
      </c>
      <c r="T2178" s="77">
        <v>0</v>
      </c>
      <c r="U2178" s="77">
        <v>0</v>
      </c>
      <c r="V2178" s="77">
        <v>389</v>
      </c>
      <c r="W2178" s="82" t="s">
        <v>6238</v>
      </c>
      <c r="X2178" s="77"/>
      <c r="Y2178" s="77"/>
      <c r="Z2178" s="77"/>
      <c r="AA2178" s="77" t="s">
        <v>8660</v>
      </c>
      <c r="AB2178" s="77" t="s">
        <v>10129</v>
      </c>
      <c r="AC2178" s="82" t="s">
        <v>10144</v>
      </c>
      <c r="AD2178" s="77" t="s">
        <v>10184</v>
      </c>
      <c r="AE2178" s="80" t="str">
        <f>HYPERLINK("https://twitter.com/loja_dinka/status/1650989523558359041")</f>
        <v>https://twitter.com/loja_dinka/status/1650989523558359041</v>
      </c>
      <c r="AF2178" s="79">
        <v>45041.934606481482</v>
      </c>
      <c r="AG2178" s="85">
        <v>45041</v>
      </c>
      <c r="AH2178" s="82" t="s">
        <v>12284</v>
      </c>
      <c r="AI2178" s="77" t="b">
        <v>0</v>
      </c>
      <c r="AJ2178" s="77"/>
      <c r="AK2178" s="77"/>
      <c r="AL2178" s="77"/>
      <c r="AM2178" s="77"/>
      <c r="AN2178" s="77"/>
      <c r="AO2178" s="77"/>
      <c r="AP2178" s="77"/>
      <c r="AQ2178" s="77" t="s">
        <v>15303</v>
      </c>
      <c r="AR2178" s="77">
        <v>7133</v>
      </c>
      <c r="AS2178" s="77"/>
      <c r="AT2178" s="77"/>
      <c r="AU2178" s="77"/>
      <c r="AV2178" s="80" t="str">
        <f>HYPERLINK("https://pbs.twimg.com/ext_tw_video_thumb/1650989481082617856/pu/img/Wv7NFRpQ7f6d6a1X.jpg")</f>
        <v>https://pbs.twimg.com/ext_tw_video_thumb/1650989481082617856/pu/img/Wv7NFRpQ7f6d6a1X.jpg</v>
      </c>
      <c r="AW2178" s="82" t="s">
        <v>18946</v>
      </c>
      <c r="AX2178" s="82" t="s">
        <v>18946</v>
      </c>
      <c r="AY2178" s="77"/>
      <c r="AZ2178" s="82" t="s">
        <v>20971</v>
      </c>
      <c r="BA2178" s="82" t="s">
        <v>20971</v>
      </c>
      <c r="BB2178" s="82" t="s">
        <v>20971</v>
      </c>
      <c r="BC2178" s="82" t="s">
        <v>18946</v>
      </c>
      <c r="BD2178" s="82" t="s">
        <v>21422</v>
      </c>
      <c r="BE2178" s="77"/>
      <c r="BF2178" s="77"/>
      <c r="BG2178" s="77"/>
      <c r="BH2178" s="77"/>
      <c r="BI2178" s="77"/>
    </row>
    <row r="2179" spans="1:61" x14ac:dyDescent="0.25">
      <c r="A2179" s="62" t="s">
        <v>777</v>
      </c>
      <c r="B2179" s="62" t="s">
        <v>777</v>
      </c>
      <c r="C2179" s="63"/>
      <c r="D2179" s="64"/>
      <c r="E2179" s="65"/>
      <c r="F2179" s="66"/>
      <c r="G2179" s="63"/>
      <c r="H2179" s="67"/>
      <c r="I2179" s="68"/>
      <c r="J2179" s="68"/>
      <c r="K2179" s="32"/>
      <c r="L2179" s="75">
        <v>2179</v>
      </c>
      <c r="M2179" s="75"/>
      <c r="N2179" s="70"/>
      <c r="O2179" s="77" t="s">
        <v>179</v>
      </c>
      <c r="P2179" s="79">
        <v>45040.675532407404</v>
      </c>
      <c r="Q2179" s="77" t="s">
        <v>3389</v>
      </c>
      <c r="R2179" s="77">
        <v>0</v>
      </c>
      <c r="S2179" s="77">
        <v>0</v>
      </c>
      <c r="T2179" s="77">
        <v>0</v>
      </c>
      <c r="U2179" s="77">
        <v>0</v>
      </c>
      <c r="V2179" s="77">
        <v>294</v>
      </c>
      <c r="W2179" s="82" t="s">
        <v>6238</v>
      </c>
      <c r="X2179" s="77"/>
      <c r="Y2179" s="77"/>
      <c r="Z2179" s="77"/>
      <c r="AA2179" s="77" t="s">
        <v>8661</v>
      </c>
      <c r="AB2179" s="77" t="s">
        <v>10129</v>
      </c>
      <c r="AC2179" s="82" t="s">
        <v>10144</v>
      </c>
      <c r="AD2179" s="77" t="s">
        <v>10184</v>
      </c>
      <c r="AE2179" s="80" t="str">
        <f>HYPERLINK("https://twitter.com/loja_dinka/status/1650533246864687104")</f>
        <v>https://twitter.com/loja_dinka/status/1650533246864687104</v>
      </c>
      <c r="AF2179" s="79">
        <v>45040.675532407404</v>
      </c>
      <c r="AG2179" s="85">
        <v>45040</v>
      </c>
      <c r="AH2179" s="82" t="s">
        <v>12285</v>
      </c>
      <c r="AI2179" s="77" t="b">
        <v>0</v>
      </c>
      <c r="AJ2179" s="77"/>
      <c r="AK2179" s="77"/>
      <c r="AL2179" s="77"/>
      <c r="AM2179" s="77"/>
      <c r="AN2179" s="77"/>
      <c r="AO2179" s="77"/>
      <c r="AP2179" s="77"/>
      <c r="AQ2179" s="77" t="s">
        <v>15304</v>
      </c>
      <c r="AR2179" s="77">
        <v>7233</v>
      </c>
      <c r="AS2179" s="77"/>
      <c r="AT2179" s="77"/>
      <c r="AU2179" s="77"/>
      <c r="AV2179" s="80" t="str">
        <f>HYPERLINK("https://pbs.twimg.com/ext_tw_video_thumb/1650533177054593025/pu/img/VYPB7i458UxtnRRG.jpg")</f>
        <v>https://pbs.twimg.com/ext_tw_video_thumb/1650533177054593025/pu/img/VYPB7i458UxtnRRG.jpg</v>
      </c>
      <c r="AW2179" s="82" t="s">
        <v>18947</v>
      </c>
      <c r="AX2179" s="82" t="s">
        <v>18947</v>
      </c>
      <c r="AY2179" s="77"/>
      <c r="AZ2179" s="82" t="s">
        <v>20971</v>
      </c>
      <c r="BA2179" s="82" t="s">
        <v>20971</v>
      </c>
      <c r="BB2179" s="82" t="s">
        <v>20971</v>
      </c>
      <c r="BC2179" s="82" t="s">
        <v>18947</v>
      </c>
      <c r="BD2179" s="82" t="s">
        <v>21422</v>
      </c>
      <c r="BE2179" s="77"/>
      <c r="BF2179" s="77"/>
      <c r="BG2179" s="77"/>
      <c r="BH2179" s="77"/>
      <c r="BI2179" s="77"/>
    </row>
    <row r="2180" spans="1:61" x14ac:dyDescent="0.25">
      <c r="A2180" s="62" t="s">
        <v>777</v>
      </c>
      <c r="B2180" s="62" t="s">
        <v>777</v>
      </c>
      <c r="C2180" s="63"/>
      <c r="D2180" s="64"/>
      <c r="E2180" s="65"/>
      <c r="F2180" s="66"/>
      <c r="G2180" s="63"/>
      <c r="H2180" s="67"/>
      <c r="I2180" s="68"/>
      <c r="J2180" s="68"/>
      <c r="K2180" s="32"/>
      <c r="L2180" s="75">
        <v>2180</v>
      </c>
      <c r="M2180" s="75"/>
      <c r="N2180" s="70"/>
      <c r="O2180" s="77" t="s">
        <v>179</v>
      </c>
      <c r="P2180" s="79">
        <v>45036.616168981483</v>
      </c>
      <c r="Q2180" s="77" t="s">
        <v>3390</v>
      </c>
      <c r="R2180" s="77">
        <v>0</v>
      </c>
      <c r="S2180" s="77">
        <v>0</v>
      </c>
      <c r="T2180" s="77">
        <v>0</v>
      </c>
      <c r="U2180" s="77">
        <v>0</v>
      </c>
      <c r="V2180" s="77">
        <v>216</v>
      </c>
      <c r="W2180" s="82" t="s">
        <v>6238</v>
      </c>
      <c r="X2180" s="77"/>
      <c r="Y2180" s="77"/>
      <c r="Z2180" s="77"/>
      <c r="AA2180" s="77" t="s">
        <v>8662</v>
      </c>
      <c r="AB2180" s="77" t="s">
        <v>10129</v>
      </c>
      <c r="AC2180" s="82" t="s">
        <v>10144</v>
      </c>
      <c r="AD2180" s="77" t="s">
        <v>10184</v>
      </c>
      <c r="AE2180" s="80" t="str">
        <f>HYPERLINK("https://twitter.com/loja_dinka/status/1649062182695337984")</f>
        <v>https://twitter.com/loja_dinka/status/1649062182695337984</v>
      </c>
      <c r="AF2180" s="79">
        <v>45036.616168981483</v>
      </c>
      <c r="AG2180" s="85">
        <v>45036</v>
      </c>
      <c r="AH2180" s="82" t="s">
        <v>12286</v>
      </c>
      <c r="AI2180" s="77" t="b">
        <v>0</v>
      </c>
      <c r="AJ2180" s="77"/>
      <c r="AK2180" s="77"/>
      <c r="AL2180" s="77"/>
      <c r="AM2180" s="77"/>
      <c r="AN2180" s="77"/>
      <c r="AO2180" s="77"/>
      <c r="AP2180" s="77"/>
      <c r="AQ2180" s="77" t="s">
        <v>15305</v>
      </c>
      <c r="AR2180" s="77">
        <v>7133</v>
      </c>
      <c r="AS2180" s="77"/>
      <c r="AT2180" s="77"/>
      <c r="AU2180" s="77"/>
      <c r="AV2180" s="80" t="str">
        <f>HYPERLINK("https://pbs.twimg.com/ext_tw_video_thumb/1649062135228506119/pu/img/lRvf84E-XWtCc8a6.jpg")</f>
        <v>https://pbs.twimg.com/ext_tw_video_thumb/1649062135228506119/pu/img/lRvf84E-XWtCc8a6.jpg</v>
      </c>
      <c r="AW2180" s="82" t="s">
        <v>18948</v>
      </c>
      <c r="AX2180" s="82" t="s">
        <v>18948</v>
      </c>
      <c r="AY2180" s="77"/>
      <c r="AZ2180" s="82" t="s">
        <v>20971</v>
      </c>
      <c r="BA2180" s="82" t="s">
        <v>20971</v>
      </c>
      <c r="BB2180" s="82" t="s">
        <v>20971</v>
      </c>
      <c r="BC2180" s="82" t="s">
        <v>18948</v>
      </c>
      <c r="BD2180" s="82" t="s">
        <v>21422</v>
      </c>
      <c r="BE2180" s="77"/>
      <c r="BF2180" s="77"/>
      <c r="BG2180" s="77"/>
      <c r="BH2180" s="77"/>
      <c r="BI2180" s="77"/>
    </row>
    <row r="2181" spans="1:61" x14ac:dyDescent="0.25">
      <c r="A2181" s="62" t="s">
        <v>777</v>
      </c>
      <c r="B2181" s="62" t="s">
        <v>777</v>
      </c>
      <c r="C2181" s="63"/>
      <c r="D2181" s="64"/>
      <c r="E2181" s="65"/>
      <c r="F2181" s="66"/>
      <c r="G2181" s="63"/>
      <c r="H2181" s="67"/>
      <c r="I2181" s="68"/>
      <c r="J2181" s="68"/>
      <c r="K2181" s="32"/>
      <c r="L2181" s="75">
        <v>2181</v>
      </c>
      <c r="M2181" s="75"/>
      <c r="N2181" s="70"/>
      <c r="O2181" s="77" t="s">
        <v>179</v>
      </c>
      <c r="P2181" s="79">
        <v>45062.614699074074</v>
      </c>
      <c r="Q2181" s="77" t="s">
        <v>3391</v>
      </c>
      <c r="R2181" s="77">
        <v>0</v>
      </c>
      <c r="S2181" s="77">
        <v>1</v>
      </c>
      <c r="T2181" s="77">
        <v>0</v>
      </c>
      <c r="U2181" s="77">
        <v>0</v>
      </c>
      <c r="V2181" s="77">
        <v>280</v>
      </c>
      <c r="W2181" s="82" t="s">
        <v>6239</v>
      </c>
      <c r="X2181" s="77"/>
      <c r="Y2181" s="77"/>
      <c r="Z2181" s="77"/>
      <c r="AA2181" s="77" t="s">
        <v>8663</v>
      </c>
      <c r="AB2181" s="77" t="s">
        <v>10129</v>
      </c>
      <c r="AC2181" s="82" t="s">
        <v>10144</v>
      </c>
      <c r="AD2181" s="77" t="s">
        <v>10184</v>
      </c>
      <c r="AE2181" s="80" t="str">
        <f>HYPERLINK("https://twitter.com/loja_dinka/status/1658483737804558337")</f>
        <v>https://twitter.com/loja_dinka/status/1658483737804558337</v>
      </c>
      <c r="AF2181" s="79">
        <v>45062.614699074074</v>
      </c>
      <c r="AG2181" s="85">
        <v>45062</v>
      </c>
      <c r="AH2181" s="82" t="s">
        <v>12287</v>
      </c>
      <c r="AI2181" s="77" t="b">
        <v>0</v>
      </c>
      <c r="AJ2181" s="77"/>
      <c r="AK2181" s="77"/>
      <c r="AL2181" s="77"/>
      <c r="AM2181" s="77"/>
      <c r="AN2181" s="77"/>
      <c r="AO2181" s="77"/>
      <c r="AP2181" s="77"/>
      <c r="AQ2181" s="77" t="s">
        <v>15306</v>
      </c>
      <c r="AR2181" s="77">
        <v>6933</v>
      </c>
      <c r="AS2181" s="77"/>
      <c r="AT2181" s="77"/>
      <c r="AU2181" s="77"/>
      <c r="AV2181" s="80" t="str">
        <f>HYPERLINK("https://pbs.twimg.com/ext_tw_video_thumb/1658483654635692035/pu/img/fgDrvFs_W-ct_Uyb.jpg")</f>
        <v>https://pbs.twimg.com/ext_tw_video_thumb/1658483654635692035/pu/img/fgDrvFs_W-ct_Uyb.jpg</v>
      </c>
      <c r="AW2181" s="82" t="s">
        <v>18949</v>
      </c>
      <c r="AX2181" s="82" t="s">
        <v>18949</v>
      </c>
      <c r="AY2181" s="77"/>
      <c r="AZ2181" s="82" t="s">
        <v>20971</v>
      </c>
      <c r="BA2181" s="82" t="s">
        <v>20971</v>
      </c>
      <c r="BB2181" s="82" t="s">
        <v>20971</v>
      </c>
      <c r="BC2181" s="82" t="s">
        <v>18949</v>
      </c>
      <c r="BD2181" s="82" t="s">
        <v>21422</v>
      </c>
      <c r="BE2181" s="77"/>
      <c r="BF2181" s="77"/>
      <c r="BG2181" s="77"/>
      <c r="BH2181" s="77"/>
      <c r="BI2181" s="77"/>
    </row>
    <row r="2182" spans="1:61" x14ac:dyDescent="0.25">
      <c r="A2182" s="62" t="s">
        <v>777</v>
      </c>
      <c r="B2182" s="62" t="s">
        <v>777</v>
      </c>
      <c r="C2182" s="63"/>
      <c r="D2182" s="64"/>
      <c r="E2182" s="65"/>
      <c r="F2182" s="66"/>
      <c r="G2182" s="63"/>
      <c r="H2182" s="67"/>
      <c r="I2182" s="68"/>
      <c r="J2182" s="68"/>
      <c r="K2182" s="32"/>
      <c r="L2182" s="75">
        <v>2182</v>
      </c>
      <c r="M2182" s="75"/>
      <c r="N2182" s="70"/>
      <c r="O2182" s="77" t="s">
        <v>179</v>
      </c>
      <c r="P2182" s="79">
        <v>45029.493935185186</v>
      </c>
      <c r="Q2182" s="77" t="s">
        <v>3392</v>
      </c>
      <c r="R2182" s="77">
        <v>0</v>
      </c>
      <c r="S2182" s="77">
        <v>0</v>
      </c>
      <c r="T2182" s="77">
        <v>0</v>
      </c>
      <c r="U2182" s="77">
        <v>0</v>
      </c>
      <c r="V2182" s="77">
        <v>210</v>
      </c>
      <c r="W2182" s="82" t="s">
        <v>6240</v>
      </c>
      <c r="X2182" s="77"/>
      <c r="Y2182" s="77"/>
      <c r="Z2182" s="77"/>
      <c r="AA2182" s="77" t="s">
        <v>8664</v>
      </c>
      <c r="AB2182" s="77" t="s">
        <v>10129</v>
      </c>
      <c r="AC2182" s="82" t="s">
        <v>10144</v>
      </c>
      <c r="AD2182" s="77" t="s">
        <v>10184</v>
      </c>
      <c r="AE2182" s="80" t="str">
        <f>HYPERLINK("https://twitter.com/loja_dinka/status/1646481175056195586")</f>
        <v>https://twitter.com/loja_dinka/status/1646481175056195586</v>
      </c>
      <c r="AF2182" s="79">
        <v>45029.493935185186</v>
      </c>
      <c r="AG2182" s="85">
        <v>45029</v>
      </c>
      <c r="AH2182" s="82" t="s">
        <v>12288</v>
      </c>
      <c r="AI2182" s="77" t="b">
        <v>0</v>
      </c>
      <c r="AJ2182" s="77"/>
      <c r="AK2182" s="77"/>
      <c r="AL2182" s="77"/>
      <c r="AM2182" s="77"/>
      <c r="AN2182" s="77"/>
      <c r="AO2182" s="77"/>
      <c r="AP2182" s="77"/>
      <c r="AQ2182" s="77" t="s">
        <v>15307</v>
      </c>
      <c r="AR2182" s="77">
        <v>6933</v>
      </c>
      <c r="AS2182" s="77"/>
      <c r="AT2182" s="77"/>
      <c r="AU2182" s="77"/>
      <c r="AV2182" s="80" t="str">
        <f>HYPERLINK("https://pbs.twimg.com/ext_tw_video_thumb/1646481131481579529/pu/img/t1qF_G1quV7bjA56.jpg")</f>
        <v>https://pbs.twimg.com/ext_tw_video_thumb/1646481131481579529/pu/img/t1qF_G1quV7bjA56.jpg</v>
      </c>
      <c r="AW2182" s="82" t="s">
        <v>18950</v>
      </c>
      <c r="AX2182" s="82" t="s">
        <v>18950</v>
      </c>
      <c r="AY2182" s="77"/>
      <c r="AZ2182" s="82" t="s">
        <v>20971</v>
      </c>
      <c r="BA2182" s="82" t="s">
        <v>20971</v>
      </c>
      <c r="BB2182" s="82" t="s">
        <v>20971</v>
      </c>
      <c r="BC2182" s="82" t="s">
        <v>18950</v>
      </c>
      <c r="BD2182" s="82" t="s">
        <v>21422</v>
      </c>
      <c r="BE2182" s="77"/>
      <c r="BF2182" s="77"/>
      <c r="BG2182" s="77"/>
      <c r="BH2182" s="77"/>
      <c r="BI2182" s="77"/>
    </row>
    <row r="2183" spans="1:61" x14ac:dyDescent="0.25">
      <c r="A2183" s="62" t="s">
        <v>778</v>
      </c>
      <c r="B2183" s="62" t="s">
        <v>778</v>
      </c>
      <c r="C2183" s="63"/>
      <c r="D2183" s="64"/>
      <c r="E2183" s="65"/>
      <c r="F2183" s="66"/>
      <c r="G2183" s="63"/>
      <c r="H2183" s="67"/>
      <c r="I2183" s="68"/>
      <c r="J2183" s="68"/>
      <c r="K2183" s="32"/>
      <c r="L2183" s="75">
        <v>2183</v>
      </c>
      <c r="M2183" s="75"/>
      <c r="N2183" s="70"/>
      <c r="O2183" s="77" t="s">
        <v>179</v>
      </c>
      <c r="P2183" s="79">
        <v>45060.541319444441</v>
      </c>
      <c r="Q2183" s="77" t="s">
        <v>3393</v>
      </c>
      <c r="R2183" s="77">
        <v>0</v>
      </c>
      <c r="S2183" s="77">
        <v>0</v>
      </c>
      <c r="T2183" s="77">
        <v>0</v>
      </c>
      <c r="U2183" s="77">
        <v>0</v>
      </c>
      <c r="V2183" s="77">
        <v>217</v>
      </c>
      <c r="W2183" s="82" t="s">
        <v>6241</v>
      </c>
      <c r="X2183" s="77"/>
      <c r="Y2183" s="77"/>
      <c r="Z2183" s="77"/>
      <c r="AA2183" s="77"/>
      <c r="AB2183" s="77"/>
      <c r="AC2183" s="82" t="s">
        <v>10146</v>
      </c>
      <c r="AD2183" s="77" t="s">
        <v>10184</v>
      </c>
      <c r="AE2183" s="80" t="str">
        <f>HYPERLINK("https://twitter.com/aviatorautomate/status/1657732368226975745")</f>
        <v>https://twitter.com/aviatorautomate/status/1657732368226975745</v>
      </c>
      <c r="AF2183" s="79">
        <v>45060.541319444441</v>
      </c>
      <c r="AG2183" s="85">
        <v>45060</v>
      </c>
      <c r="AH2183" s="82" t="s">
        <v>12289</v>
      </c>
      <c r="AI2183" s="77"/>
      <c r="AJ2183" s="77"/>
      <c r="AK2183" s="77"/>
      <c r="AL2183" s="77"/>
      <c r="AM2183" s="77"/>
      <c r="AN2183" s="77"/>
      <c r="AO2183" s="77"/>
      <c r="AP2183" s="77"/>
      <c r="AQ2183" s="77"/>
      <c r="AR2183" s="77"/>
      <c r="AS2183" s="77"/>
      <c r="AT2183" s="77"/>
      <c r="AU2183" s="77"/>
      <c r="AV2183" s="80" t="str">
        <f>HYPERLINK("https://pbs.twimg.com/profile_images/1654487617684078597/lwhBeIti_normal.jpg")</f>
        <v>https://pbs.twimg.com/profile_images/1654487617684078597/lwhBeIti_normal.jpg</v>
      </c>
      <c r="AW2183" s="82" t="s">
        <v>18951</v>
      </c>
      <c r="AX2183" s="82" t="s">
        <v>18951</v>
      </c>
      <c r="AY2183" s="77"/>
      <c r="AZ2183" s="82" t="s">
        <v>20971</v>
      </c>
      <c r="BA2183" s="82" t="s">
        <v>20971</v>
      </c>
      <c r="BB2183" s="82" t="s">
        <v>20971</v>
      </c>
      <c r="BC2183" s="82" t="s">
        <v>18951</v>
      </c>
      <c r="BD2183" s="82" t="s">
        <v>21423</v>
      </c>
      <c r="BE2183" s="77"/>
      <c r="BF2183" s="77"/>
      <c r="BG2183" s="77"/>
      <c r="BH2183" s="77"/>
      <c r="BI2183" s="77"/>
    </row>
    <row r="2184" spans="1:61" x14ac:dyDescent="0.25">
      <c r="A2184" s="62" t="s">
        <v>778</v>
      </c>
      <c r="B2184" s="62" t="s">
        <v>778</v>
      </c>
      <c r="C2184" s="63"/>
      <c r="D2184" s="64"/>
      <c r="E2184" s="65"/>
      <c r="F2184" s="66"/>
      <c r="G2184" s="63"/>
      <c r="H2184" s="67"/>
      <c r="I2184" s="68"/>
      <c r="J2184" s="68"/>
      <c r="K2184" s="32"/>
      <c r="L2184" s="75">
        <v>2184</v>
      </c>
      <c r="M2184" s="75"/>
      <c r="N2184" s="70"/>
      <c r="O2184" s="77" t="s">
        <v>179</v>
      </c>
      <c r="P2184" s="79">
        <v>45059.961226851854</v>
      </c>
      <c r="Q2184" s="77" t="s">
        <v>3394</v>
      </c>
      <c r="R2184" s="77">
        <v>0</v>
      </c>
      <c r="S2184" s="77">
        <v>0</v>
      </c>
      <c r="T2184" s="77">
        <v>0</v>
      </c>
      <c r="U2184" s="77">
        <v>0</v>
      </c>
      <c r="V2184" s="77">
        <v>143</v>
      </c>
      <c r="W2184" s="82" t="s">
        <v>6242</v>
      </c>
      <c r="X2184" s="77"/>
      <c r="Y2184" s="77"/>
      <c r="Z2184" s="77"/>
      <c r="AA2184" s="77" t="s">
        <v>8665</v>
      </c>
      <c r="AB2184" s="77" t="s">
        <v>10129</v>
      </c>
      <c r="AC2184" s="82" t="s">
        <v>10146</v>
      </c>
      <c r="AD2184" s="77" t="s">
        <v>10184</v>
      </c>
      <c r="AE2184" s="80" t="str">
        <f>HYPERLINK("https://twitter.com/aviatorautomate/status/1657522152097083393")</f>
        <v>https://twitter.com/aviatorautomate/status/1657522152097083393</v>
      </c>
      <c r="AF2184" s="79">
        <v>45059.961226851854</v>
      </c>
      <c r="AG2184" s="85">
        <v>45059</v>
      </c>
      <c r="AH2184" s="82" t="s">
        <v>12290</v>
      </c>
      <c r="AI2184" s="77" t="b">
        <v>0</v>
      </c>
      <c r="AJ2184" s="77"/>
      <c r="AK2184" s="77"/>
      <c r="AL2184" s="77"/>
      <c r="AM2184" s="77"/>
      <c r="AN2184" s="77"/>
      <c r="AO2184" s="77"/>
      <c r="AP2184" s="77"/>
      <c r="AQ2184" s="77" t="s">
        <v>15308</v>
      </c>
      <c r="AR2184" s="77">
        <v>57091</v>
      </c>
      <c r="AS2184" s="77"/>
      <c r="AT2184" s="77"/>
      <c r="AU2184" s="77"/>
      <c r="AV2184" s="80" t="str">
        <f>HYPERLINK("https://pbs.twimg.com/ext_tw_video_thumb/1657521886337572866/pu/img/d6p5vRkf2Vvo0rAw.jpg")</f>
        <v>https://pbs.twimg.com/ext_tw_video_thumb/1657521886337572866/pu/img/d6p5vRkf2Vvo0rAw.jpg</v>
      </c>
      <c r="AW2184" s="82" t="s">
        <v>18952</v>
      </c>
      <c r="AX2184" s="82" t="s">
        <v>18952</v>
      </c>
      <c r="AY2184" s="77"/>
      <c r="AZ2184" s="82" t="s">
        <v>20971</v>
      </c>
      <c r="BA2184" s="82" t="s">
        <v>20971</v>
      </c>
      <c r="BB2184" s="82" t="s">
        <v>20971</v>
      </c>
      <c r="BC2184" s="82" t="s">
        <v>18952</v>
      </c>
      <c r="BD2184" s="82" t="s">
        <v>21423</v>
      </c>
      <c r="BE2184" s="77"/>
      <c r="BF2184" s="77"/>
      <c r="BG2184" s="77"/>
      <c r="BH2184" s="77"/>
      <c r="BI2184" s="77"/>
    </row>
    <row r="2185" spans="1:61" x14ac:dyDescent="0.25">
      <c r="A2185" s="62" t="s">
        <v>778</v>
      </c>
      <c r="B2185" s="62" t="s">
        <v>778</v>
      </c>
      <c r="C2185" s="63"/>
      <c r="D2185" s="64"/>
      <c r="E2185" s="65"/>
      <c r="F2185" s="66"/>
      <c r="G2185" s="63"/>
      <c r="H2185" s="67"/>
      <c r="I2185" s="68"/>
      <c r="J2185" s="68"/>
      <c r="K2185" s="32"/>
      <c r="L2185" s="75">
        <v>2185</v>
      </c>
      <c r="M2185" s="75"/>
      <c r="N2185" s="70"/>
      <c r="O2185" s="77" t="s">
        <v>179</v>
      </c>
      <c r="P2185" s="79">
        <v>45093.637314814812</v>
      </c>
      <c r="Q2185" s="77" t="s">
        <v>3395</v>
      </c>
      <c r="R2185" s="77">
        <v>0</v>
      </c>
      <c r="S2185" s="77">
        <v>0</v>
      </c>
      <c r="T2185" s="77">
        <v>0</v>
      </c>
      <c r="U2185" s="77">
        <v>0</v>
      </c>
      <c r="V2185" s="77">
        <v>377</v>
      </c>
      <c r="W2185" s="82" t="s">
        <v>6243</v>
      </c>
      <c r="X2185" s="77"/>
      <c r="Y2185" s="77"/>
      <c r="Z2185" s="77"/>
      <c r="AA2185" s="77" t="s">
        <v>8666</v>
      </c>
      <c r="AB2185" s="77" t="s">
        <v>10130</v>
      </c>
      <c r="AC2185" s="82" t="s">
        <v>10144</v>
      </c>
      <c r="AD2185" s="77" t="s">
        <v>10184</v>
      </c>
      <c r="AE2185" s="80" t="str">
        <f>HYPERLINK("https://twitter.com/aviatorautomate/status/1669725957710643201")</f>
        <v>https://twitter.com/aviatorautomate/status/1669725957710643201</v>
      </c>
      <c r="AF2185" s="79">
        <v>45093.637314814812</v>
      </c>
      <c r="AG2185" s="85">
        <v>45093</v>
      </c>
      <c r="AH2185" s="82" t="s">
        <v>12291</v>
      </c>
      <c r="AI2185" s="77" t="b">
        <v>0</v>
      </c>
      <c r="AJ2185" s="77"/>
      <c r="AK2185" s="77"/>
      <c r="AL2185" s="77"/>
      <c r="AM2185" s="77"/>
      <c r="AN2185" s="77"/>
      <c r="AO2185" s="77"/>
      <c r="AP2185" s="77"/>
      <c r="AQ2185" s="77" t="s">
        <v>15309</v>
      </c>
      <c r="AR2185" s="77"/>
      <c r="AS2185" s="77"/>
      <c r="AT2185" s="77"/>
      <c r="AU2185" s="77"/>
      <c r="AV2185" s="80" t="str">
        <f>HYPERLINK("https://pbs.twimg.com/media/FywO6OvWwAAdfM_.jpg")</f>
        <v>https://pbs.twimg.com/media/FywO6OvWwAAdfM_.jpg</v>
      </c>
      <c r="AW2185" s="82" t="s">
        <v>18953</v>
      </c>
      <c r="AX2185" s="82" t="s">
        <v>18953</v>
      </c>
      <c r="AY2185" s="77"/>
      <c r="AZ2185" s="82" t="s">
        <v>20971</v>
      </c>
      <c r="BA2185" s="82" t="s">
        <v>20971</v>
      </c>
      <c r="BB2185" s="82" t="s">
        <v>20971</v>
      </c>
      <c r="BC2185" s="82" t="s">
        <v>18953</v>
      </c>
      <c r="BD2185" s="82" t="s">
        <v>21423</v>
      </c>
      <c r="BE2185" s="77"/>
      <c r="BF2185" s="77"/>
      <c r="BG2185" s="77"/>
      <c r="BH2185" s="77"/>
      <c r="BI2185" s="77"/>
    </row>
    <row r="2186" spans="1:61" x14ac:dyDescent="0.25">
      <c r="A2186" s="62" t="s">
        <v>778</v>
      </c>
      <c r="B2186" s="62" t="s">
        <v>778</v>
      </c>
      <c r="C2186" s="63"/>
      <c r="D2186" s="64"/>
      <c r="E2186" s="65"/>
      <c r="F2186" s="66"/>
      <c r="G2186" s="63"/>
      <c r="H2186" s="67"/>
      <c r="I2186" s="68"/>
      <c r="J2186" s="68"/>
      <c r="K2186" s="32"/>
      <c r="L2186" s="75">
        <v>2186</v>
      </c>
      <c r="M2186" s="75"/>
      <c r="N2186" s="70"/>
      <c r="O2186" s="77" t="s">
        <v>179</v>
      </c>
      <c r="P2186" s="79">
        <v>45073.109618055554</v>
      </c>
      <c r="Q2186" s="77" t="s">
        <v>3396</v>
      </c>
      <c r="R2186" s="77">
        <v>0</v>
      </c>
      <c r="S2186" s="77">
        <v>0</v>
      </c>
      <c r="T2186" s="77">
        <v>0</v>
      </c>
      <c r="U2186" s="77">
        <v>0</v>
      </c>
      <c r="V2186" s="77">
        <v>708</v>
      </c>
      <c r="W2186" s="82" t="s">
        <v>6244</v>
      </c>
      <c r="X2186" s="77"/>
      <c r="Y2186" s="77"/>
      <c r="Z2186" s="77"/>
      <c r="AA2186" s="77" t="s">
        <v>8667</v>
      </c>
      <c r="AB2186" s="77" t="s">
        <v>10129</v>
      </c>
      <c r="AC2186" s="82" t="s">
        <v>10144</v>
      </c>
      <c r="AD2186" s="77" t="s">
        <v>10184</v>
      </c>
      <c r="AE2186" s="80" t="str">
        <f>HYPERLINK("https://twitter.com/aviatorautomate/status/1662286968057733126")</f>
        <v>https://twitter.com/aviatorautomate/status/1662286968057733126</v>
      </c>
      <c r="AF2186" s="79">
        <v>45073.109618055554</v>
      </c>
      <c r="AG2186" s="85">
        <v>45073</v>
      </c>
      <c r="AH2186" s="82" t="s">
        <v>12292</v>
      </c>
      <c r="AI2186" s="77" t="b">
        <v>0</v>
      </c>
      <c r="AJ2186" s="77"/>
      <c r="AK2186" s="77"/>
      <c r="AL2186" s="77"/>
      <c r="AM2186" s="77"/>
      <c r="AN2186" s="77"/>
      <c r="AO2186" s="77"/>
      <c r="AP2186" s="77"/>
      <c r="AQ2186" s="77" t="s">
        <v>15310</v>
      </c>
      <c r="AR2186" s="77">
        <v>93900</v>
      </c>
      <c r="AS2186" s="77"/>
      <c r="AT2186" s="77"/>
      <c r="AU2186" s="77"/>
      <c r="AV2186" s="80" t="str">
        <f>HYPERLINK("https://pbs.twimg.com/ext_tw_video_thumb/1662286277436223488/pu/img/CAzvVnU4et3sMBqo.jpg")</f>
        <v>https://pbs.twimg.com/ext_tw_video_thumb/1662286277436223488/pu/img/CAzvVnU4et3sMBqo.jpg</v>
      </c>
      <c r="AW2186" s="82" t="s">
        <v>18954</v>
      </c>
      <c r="AX2186" s="82" t="s">
        <v>18954</v>
      </c>
      <c r="AY2186" s="77"/>
      <c r="AZ2186" s="82" t="s">
        <v>20971</v>
      </c>
      <c r="BA2186" s="82" t="s">
        <v>20971</v>
      </c>
      <c r="BB2186" s="82" t="s">
        <v>20971</v>
      </c>
      <c r="BC2186" s="82" t="s">
        <v>18954</v>
      </c>
      <c r="BD2186" s="82" t="s">
        <v>21423</v>
      </c>
      <c r="BE2186" s="77"/>
      <c r="BF2186" s="77"/>
      <c r="BG2186" s="77"/>
      <c r="BH2186" s="77"/>
      <c r="BI2186" s="77"/>
    </row>
    <row r="2187" spans="1:61" x14ac:dyDescent="0.25">
      <c r="A2187" s="62" t="s">
        <v>778</v>
      </c>
      <c r="B2187" s="62" t="s">
        <v>778</v>
      </c>
      <c r="C2187" s="63"/>
      <c r="D2187" s="64"/>
      <c r="E2187" s="65"/>
      <c r="F2187" s="66"/>
      <c r="G2187" s="63"/>
      <c r="H2187" s="67"/>
      <c r="I2187" s="68"/>
      <c r="J2187" s="68"/>
      <c r="K2187" s="32"/>
      <c r="L2187" s="75">
        <v>2187</v>
      </c>
      <c r="M2187" s="75"/>
      <c r="N2187" s="70"/>
      <c r="O2187" s="77" t="s">
        <v>179</v>
      </c>
      <c r="P2187" s="79">
        <v>45072.860509259262</v>
      </c>
      <c r="Q2187" s="77" t="s">
        <v>3397</v>
      </c>
      <c r="R2187" s="77">
        <v>0</v>
      </c>
      <c r="S2187" s="77">
        <v>0</v>
      </c>
      <c r="T2187" s="77">
        <v>0</v>
      </c>
      <c r="U2187" s="77">
        <v>0</v>
      </c>
      <c r="V2187" s="77">
        <v>373</v>
      </c>
      <c r="W2187" s="82" t="s">
        <v>6245</v>
      </c>
      <c r="X2187" s="77"/>
      <c r="Y2187" s="77"/>
      <c r="Z2187" s="77"/>
      <c r="AA2187" s="77" t="s">
        <v>8668</v>
      </c>
      <c r="AB2187" s="77" t="s">
        <v>10129</v>
      </c>
      <c r="AC2187" s="82" t="s">
        <v>10144</v>
      </c>
      <c r="AD2187" s="77" t="s">
        <v>10184</v>
      </c>
      <c r="AE2187" s="80" t="str">
        <f>HYPERLINK("https://twitter.com/aviatorautomate/status/1662196692509237249")</f>
        <v>https://twitter.com/aviatorautomate/status/1662196692509237249</v>
      </c>
      <c r="AF2187" s="79">
        <v>45072.860509259262</v>
      </c>
      <c r="AG2187" s="85">
        <v>45072</v>
      </c>
      <c r="AH2187" s="82" t="s">
        <v>12293</v>
      </c>
      <c r="AI2187" s="77" t="b">
        <v>0</v>
      </c>
      <c r="AJ2187" s="77"/>
      <c r="AK2187" s="77"/>
      <c r="AL2187" s="77"/>
      <c r="AM2187" s="77"/>
      <c r="AN2187" s="77"/>
      <c r="AO2187" s="77"/>
      <c r="AP2187" s="77"/>
      <c r="AQ2187" s="77" t="s">
        <v>15311</v>
      </c>
      <c r="AR2187" s="77">
        <v>56039</v>
      </c>
      <c r="AS2187" s="77"/>
      <c r="AT2187" s="77"/>
      <c r="AU2187" s="77"/>
      <c r="AV2187" s="80" t="str">
        <f>HYPERLINK("https://pbs.twimg.com/ext_tw_video_thumb/1662196559277174786/pu/img/NQ6yJ4soywHDZsC0.jpg")</f>
        <v>https://pbs.twimg.com/ext_tw_video_thumb/1662196559277174786/pu/img/NQ6yJ4soywHDZsC0.jpg</v>
      </c>
      <c r="AW2187" s="82" t="s">
        <v>18955</v>
      </c>
      <c r="AX2187" s="82" t="s">
        <v>18955</v>
      </c>
      <c r="AY2187" s="77"/>
      <c r="AZ2187" s="82" t="s">
        <v>20971</v>
      </c>
      <c r="BA2187" s="82" t="s">
        <v>20971</v>
      </c>
      <c r="BB2187" s="82" t="s">
        <v>20971</v>
      </c>
      <c r="BC2187" s="82" t="s">
        <v>18955</v>
      </c>
      <c r="BD2187" s="82" t="s">
        <v>21423</v>
      </c>
      <c r="BE2187" s="77"/>
      <c r="BF2187" s="77"/>
      <c r="BG2187" s="77"/>
      <c r="BH2187" s="77"/>
      <c r="BI2187" s="77"/>
    </row>
    <row r="2188" spans="1:61" x14ac:dyDescent="0.25">
      <c r="A2188" s="62" t="s">
        <v>778</v>
      </c>
      <c r="B2188" s="62" t="s">
        <v>778</v>
      </c>
      <c r="C2188" s="63"/>
      <c r="D2188" s="64"/>
      <c r="E2188" s="65"/>
      <c r="F2188" s="66"/>
      <c r="G2188" s="63"/>
      <c r="H2188" s="67"/>
      <c r="I2188" s="68"/>
      <c r="J2188" s="68"/>
      <c r="K2188" s="32"/>
      <c r="L2188" s="75">
        <v>2188</v>
      </c>
      <c r="M2188" s="75"/>
      <c r="N2188" s="70"/>
      <c r="O2188" s="77" t="s">
        <v>179</v>
      </c>
      <c r="P2188" s="79">
        <v>45072.74145833333</v>
      </c>
      <c r="Q2188" s="77" t="s">
        <v>3398</v>
      </c>
      <c r="R2188" s="77">
        <v>0</v>
      </c>
      <c r="S2188" s="77">
        <v>0</v>
      </c>
      <c r="T2188" s="77">
        <v>2</v>
      </c>
      <c r="U2188" s="77">
        <v>0</v>
      </c>
      <c r="V2188" s="77">
        <v>716</v>
      </c>
      <c r="W2188" s="82" t="s">
        <v>6246</v>
      </c>
      <c r="X2188" s="77"/>
      <c r="Y2188" s="77"/>
      <c r="Z2188" s="77"/>
      <c r="AA2188" s="77" t="s">
        <v>8669</v>
      </c>
      <c r="AB2188" s="77" t="s">
        <v>10129</v>
      </c>
      <c r="AC2188" s="82" t="s">
        <v>10144</v>
      </c>
      <c r="AD2188" s="77" t="s">
        <v>10184</v>
      </c>
      <c r="AE2188" s="80" t="str">
        <f>HYPERLINK("https://twitter.com/aviatorautomate/status/1662153551575908368")</f>
        <v>https://twitter.com/aviatorautomate/status/1662153551575908368</v>
      </c>
      <c r="AF2188" s="79">
        <v>45072.74145833333</v>
      </c>
      <c r="AG2188" s="85">
        <v>45072</v>
      </c>
      <c r="AH2188" s="82" t="s">
        <v>12294</v>
      </c>
      <c r="AI2188" s="77" t="b">
        <v>0</v>
      </c>
      <c r="AJ2188" s="77"/>
      <c r="AK2188" s="77"/>
      <c r="AL2188" s="77"/>
      <c r="AM2188" s="77"/>
      <c r="AN2188" s="77"/>
      <c r="AO2188" s="77"/>
      <c r="AP2188" s="77"/>
      <c r="AQ2188" s="77" t="s">
        <v>15312</v>
      </c>
      <c r="AR2188" s="77">
        <v>93460</v>
      </c>
      <c r="AS2188" s="77"/>
      <c r="AT2188" s="77"/>
      <c r="AU2188" s="77"/>
      <c r="AV2188" s="80" t="str">
        <f>HYPERLINK("https://pbs.twimg.com/ext_tw_video_thumb/1662153398827745282/pu/img/i8wfnYmEyZI8rjLi.jpg")</f>
        <v>https://pbs.twimg.com/ext_tw_video_thumb/1662153398827745282/pu/img/i8wfnYmEyZI8rjLi.jpg</v>
      </c>
      <c r="AW2188" s="82" t="s">
        <v>18956</v>
      </c>
      <c r="AX2188" s="82" t="s">
        <v>18956</v>
      </c>
      <c r="AY2188" s="77"/>
      <c r="AZ2188" s="82" t="s">
        <v>20971</v>
      </c>
      <c r="BA2188" s="82" t="s">
        <v>20971</v>
      </c>
      <c r="BB2188" s="82" t="s">
        <v>20971</v>
      </c>
      <c r="BC2188" s="82" t="s">
        <v>18956</v>
      </c>
      <c r="BD2188" s="82" t="s">
        <v>21423</v>
      </c>
      <c r="BE2188" s="77"/>
      <c r="BF2188" s="77"/>
      <c r="BG2188" s="77"/>
      <c r="BH2188" s="77"/>
      <c r="BI2188" s="77"/>
    </row>
    <row r="2189" spans="1:61" x14ac:dyDescent="0.25">
      <c r="A2189" s="62" t="s">
        <v>778</v>
      </c>
      <c r="B2189" s="62" t="s">
        <v>778</v>
      </c>
      <c r="C2189" s="63"/>
      <c r="D2189" s="64"/>
      <c r="E2189" s="65"/>
      <c r="F2189" s="66"/>
      <c r="G2189" s="63"/>
      <c r="H2189" s="67"/>
      <c r="I2189" s="68"/>
      <c r="J2189" s="68"/>
      <c r="K2189" s="32"/>
      <c r="L2189" s="75">
        <v>2189</v>
      </c>
      <c r="M2189" s="75"/>
      <c r="N2189" s="70"/>
      <c r="O2189" s="77" t="s">
        <v>179</v>
      </c>
      <c r="P2189" s="79">
        <v>45100.928344907406</v>
      </c>
      <c r="Q2189" s="77" t="s">
        <v>3399</v>
      </c>
      <c r="R2189" s="77">
        <v>0</v>
      </c>
      <c r="S2189" s="77">
        <v>0</v>
      </c>
      <c r="T2189" s="77">
        <v>0</v>
      </c>
      <c r="U2189" s="77">
        <v>0</v>
      </c>
      <c r="V2189" s="77">
        <v>463</v>
      </c>
      <c r="W2189" s="82" t="s">
        <v>6247</v>
      </c>
      <c r="X2189" s="77"/>
      <c r="Y2189" s="77"/>
      <c r="Z2189" s="77"/>
      <c r="AA2189" s="77" t="s">
        <v>8670</v>
      </c>
      <c r="AB2189" s="77" t="s">
        <v>10130</v>
      </c>
      <c r="AC2189" s="82" t="s">
        <v>10144</v>
      </c>
      <c r="AD2189" s="77" t="s">
        <v>10184</v>
      </c>
      <c r="AE2189" s="80" t="str">
        <f>HYPERLINK("https://twitter.com/aviatorautomate/status/1672368134580207617")</f>
        <v>https://twitter.com/aviatorautomate/status/1672368134580207617</v>
      </c>
      <c r="AF2189" s="79">
        <v>45100.928344907406</v>
      </c>
      <c r="AG2189" s="85">
        <v>45100</v>
      </c>
      <c r="AH2189" s="82" t="s">
        <v>12295</v>
      </c>
      <c r="AI2189" s="77" t="b">
        <v>0</v>
      </c>
      <c r="AJ2189" s="77"/>
      <c r="AK2189" s="77"/>
      <c r="AL2189" s="77"/>
      <c r="AM2189" s="77"/>
      <c r="AN2189" s="77"/>
      <c r="AO2189" s="77"/>
      <c r="AP2189" s="77"/>
      <c r="AQ2189" s="77" t="s">
        <v>15313</v>
      </c>
      <c r="AR2189" s="77"/>
      <c r="AS2189" s="77"/>
      <c r="AT2189" s="77"/>
      <c r="AU2189" s="77"/>
      <c r="AV2189" s="80" t="str">
        <f>HYPERLINK("https://pbs.twimg.com/media/FzVx9K-XoAQWmLH.jpg")</f>
        <v>https://pbs.twimg.com/media/FzVx9K-XoAQWmLH.jpg</v>
      </c>
      <c r="AW2189" s="82" t="s">
        <v>18957</v>
      </c>
      <c r="AX2189" s="82" t="s">
        <v>18957</v>
      </c>
      <c r="AY2189" s="77"/>
      <c r="AZ2189" s="82" t="s">
        <v>20971</v>
      </c>
      <c r="BA2189" s="82" t="s">
        <v>20971</v>
      </c>
      <c r="BB2189" s="82" t="s">
        <v>20971</v>
      </c>
      <c r="BC2189" s="82" t="s">
        <v>18957</v>
      </c>
      <c r="BD2189" s="82" t="s">
        <v>21423</v>
      </c>
      <c r="BE2189" s="77"/>
      <c r="BF2189" s="77"/>
      <c r="BG2189" s="77"/>
      <c r="BH2189" s="77"/>
      <c r="BI2189" s="77"/>
    </row>
    <row r="2190" spans="1:61" x14ac:dyDescent="0.25">
      <c r="A2190" s="62" t="s">
        <v>778</v>
      </c>
      <c r="B2190" s="62" t="s">
        <v>778</v>
      </c>
      <c r="C2190" s="63"/>
      <c r="D2190" s="64"/>
      <c r="E2190" s="65"/>
      <c r="F2190" s="66"/>
      <c r="G2190" s="63"/>
      <c r="H2190" s="67"/>
      <c r="I2190" s="68"/>
      <c r="J2190" s="68"/>
      <c r="K2190" s="32"/>
      <c r="L2190" s="75">
        <v>2190</v>
      </c>
      <c r="M2190" s="75"/>
      <c r="N2190" s="70"/>
      <c r="O2190" s="77" t="s">
        <v>179</v>
      </c>
      <c r="P2190" s="79">
        <v>45089.97483796296</v>
      </c>
      <c r="Q2190" s="77" t="s">
        <v>3400</v>
      </c>
      <c r="R2190" s="77">
        <v>0</v>
      </c>
      <c r="S2190" s="77">
        <v>1</v>
      </c>
      <c r="T2190" s="77">
        <v>0</v>
      </c>
      <c r="U2190" s="77">
        <v>0</v>
      </c>
      <c r="V2190" s="77">
        <v>390</v>
      </c>
      <c r="W2190" s="82" t="s">
        <v>6248</v>
      </c>
      <c r="X2190" s="77"/>
      <c r="Y2190" s="77"/>
      <c r="Z2190" s="77"/>
      <c r="AA2190" s="77" t="s">
        <v>8671</v>
      </c>
      <c r="AB2190" s="77" t="s">
        <v>10130</v>
      </c>
      <c r="AC2190" s="82" t="s">
        <v>10144</v>
      </c>
      <c r="AD2190" s="77" t="s">
        <v>10184</v>
      </c>
      <c r="AE2190" s="80" t="str">
        <f>HYPERLINK("https://twitter.com/aviatorautomate/status/1668398719849447426")</f>
        <v>https://twitter.com/aviatorautomate/status/1668398719849447426</v>
      </c>
      <c r="AF2190" s="79">
        <v>45089.97483796296</v>
      </c>
      <c r="AG2190" s="85">
        <v>45089</v>
      </c>
      <c r="AH2190" s="82" t="s">
        <v>12296</v>
      </c>
      <c r="AI2190" s="77" t="b">
        <v>0</v>
      </c>
      <c r="AJ2190" s="77"/>
      <c r="AK2190" s="77"/>
      <c r="AL2190" s="77"/>
      <c r="AM2190" s="77"/>
      <c r="AN2190" s="77"/>
      <c r="AO2190" s="77"/>
      <c r="AP2190" s="77"/>
      <c r="AQ2190" s="77" t="s">
        <v>15314</v>
      </c>
      <c r="AR2190" s="77"/>
      <c r="AS2190" s="77"/>
      <c r="AT2190" s="77"/>
      <c r="AU2190" s="77"/>
      <c r="AV2190" s="80" t="str">
        <f>HYPERLINK("https://pbs.twimg.com/media/FydXyyBXsAIN7kv.jpg")</f>
        <v>https://pbs.twimg.com/media/FydXyyBXsAIN7kv.jpg</v>
      </c>
      <c r="AW2190" s="82" t="s">
        <v>18958</v>
      </c>
      <c r="AX2190" s="82" t="s">
        <v>18958</v>
      </c>
      <c r="AY2190" s="77"/>
      <c r="AZ2190" s="82" t="s">
        <v>20971</v>
      </c>
      <c r="BA2190" s="82" t="s">
        <v>20971</v>
      </c>
      <c r="BB2190" s="82" t="s">
        <v>20971</v>
      </c>
      <c r="BC2190" s="82" t="s">
        <v>18958</v>
      </c>
      <c r="BD2190" s="82" t="s">
        <v>21423</v>
      </c>
      <c r="BE2190" s="77"/>
      <c r="BF2190" s="77"/>
      <c r="BG2190" s="77"/>
      <c r="BH2190" s="77"/>
      <c r="BI2190" s="77"/>
    </row>
    <row r="2191" spans="1:61" x14ac:dyDescent="0.25">
      <c r="A2191" s="62" t="s">
        <v>778</v>
      </c>
      <c r="B2191" s="62" t="s">
        <v>778</v>
      </c>
      <c r="C2191" s="63"/>
      <c r="D2191" s="64"/>
      <c r="E2191" s="65"/>
      <c r="F2191" s="66"/>
      <c r="G2191" s="63"/>
      <c r="H2191" s="67"/>
      <c r="I2191" s="68"/>
      <c r="J2191" s="68"/>
      <c r="K2191" s="32"/>
      <c r="L2191" s="75">
        <v>2191</v>
      </c>
      <c r="M2191" s="75"/>
      <c r="N2191" s="70"/>
      <c r="O2191" s="77" t="s">
        <v>179</v>
      </c>
      <c r="P2191" s="79">
        <v>45082.955497685187</v>
      </c>
      <c r="Q2191" s="77" t="s">
        <v>3401</v>
      </c>
      <c r="R2191" s="77">
        <v>0</v>
      </c>
      <c r="S2191" s="77">
        <v>1</v>
      </c>
      <c r="T2191" s="77">
        <v>0</v>
      </c>
      <c r="U2191" s="77">
        <v>0</v>
      </c>
      <c r="V2191" s="77">
        <v>217</v>
      </c>
      <c r="W2191" s="82" t="s">
        <v>6249</v>
      </c>
      <c r="X2191" s="77"/>
      <c r="Y2191" s="77"/>
      <c r="Z2191" s="77"/>
      <c r="AA2191" s="77" t="s">
        <v>8672</v>
      </c>
      <c r="AB2191" s="77" t="s">
        <v>10129</v>
      </c>
      <c r="AC2191" s="82" t="s">
        <v>10146</v>
      </c>
      <c r="AD2191" s="77" t="s">
        <v>10184</v>
      </c>
      <c r="AE2191" s="80" t="str">
        <f>HYPERLINK("https://twitter.com/aviatorautomate/status/1665854996754190336")</f>
        <v>https://twitter.com/aviatorautomate/status/1665854996754190336</v>
      </c>
      <c r="AF2191" s="79">
        <v>45082.955497685187</v>
      </c>
      <c r="AG2191" s="85">
        <v>45082</v>
      </c>
      <c r="AH2191" s="82" t="s">
        <v>12297</v>
      </c>
      <c r="AI2191" s="77" t="b">
        <v>0</v>
      </c>
      <c r="AJ2191" s="77"/>
      <c r="AK2191" s="77"/>
      <c r="AL2191" s="77"/>
      <c r="AM2191" s="77"/>
      <c r="AN2191" s="77"/>
      <c r="AO2191" s="77"/>
      <c r="AP2191" s="77"/>
      <c r="AQ2191" s="77" t="s">
        <v>15315</v>
      </c>
      <c r="AR2191" s="77">
        <v>71939</v>
      </c>
      <c r="AS2191" s="77"/>
      <c r="AT2191" s="77"/>
      <c r="AU2191" s="77"/>
      <c r="AV2191" s="80" t="str">
        <f>HYPERLINK("https://pbs.twimg.com/ext_tw_video_thumb/1665854774837669888/pu/img/q6oSBS98-4Tl6GZ7.jpg")</f>
        <v>https://pbs.twimg.com/ext_tw_video_thumb/1665854774837669888/pu/img/q6oSBS98-4Tl6GZ7.jpg</v>
      </c>
      <c r="AW2191" s="82" t="s">
        <v>18959</v>
      </c>
      <c r="AX2191" s="82" t="s">
        <v>18959</v>
      </c>
      <c r="AY2191" s="77"/>
      <c r="AZ2191" s="82" t="s">
        <v>20971</v>
      </c>
      <c r="BA2191" s="82" t="s">
        <v>20971</v>
      </c>
      <c r="BB2191" s="82" t="s">
        <v>20971</v>
      </c>
      <c r="BC2191" s="82" t="s">
        <v>18959</v>
      </c>
      <c r="BD2191" s="82" t="s">
        <v>21423</v>
      </c>
      <c r="BE2191" s="77"/>
      <c r="BF2191" s="77"/>
      <c r="BG2191" s="77"/>
      <c r="BH2191" s="77"/>
      <c r="BI2191" s="77"/>
    </row>
    <row r="2192" spans="1:61" x14ac:dyDescent="0.25">
      <c r="A2192" s="62" t="s">
        <v>778</v>
      </c>
      <c r="B2192" s="62" t="s">
        <v>778</v>
      </c>
      <c r="C2192" s="63"/>
      <c r="D2192" s="64"/>
      <c r="E2192" s="65"/>
      <c r="F2192" s="66"/>
      <c r="G2192" s="63"/>
      <c r="H2192" s="67"/>
      <c r="I2192" s="68"/>
      <c r="J2192" s="68"/>
      <c r="K2192" s="32"/>
      <c r="L2192" s="75">
        <v>2192</v>
      </c>
      <c r="M2192" s="75"/>
      <c r="N2192" s="70"/>
      <c r="O2192" s="77" t="s">
        <v>179</v>
      </c>
      <c r="P2192" s="79">
        <v>45082.954687500001</v>
      </c>
      <c r="Q2192" s="77" t="s">
        <v>3402</v>
      </c>
      <c r="R2192" s="77">
        <v>0</v>
      </c>
      <c r="S2192" s="77">
        <v>0</v>
      </c>
      <c r="T2192" s="77">
        <v>0</v>
      </c>
      <c r="U2192" s="77">
        <v>0</v>
      </c>
      <c r="V2192" s="77">
        <v>214</v>
      </c>
      <c r="W2192" s="82" t="s">
        <v>6250</v>
      </c>
      <c r="X2192" s="77"/>
      <c r="Y2192" s="77"/>
      <c r="Z2192" s="77"/>
      <c r="AA2192" s="77" t="s">
        <v>8673</v>
      </c>
      <c r="AB2192" s="77" t="s">
        <v>10129</v>
      </c>
      <c r="AC2192" s="82" t="s">
        <v>10146</v>
      </c>
      <c r="AD2192" s="77" t="s">
        <v>10184</v>
      </c>
      <c r="AE2192" s="80" t="str">
        <f>HYPERLINK("https://twitter.com/aviatorautomate/status/1665854701999472643")</f>
        <v>https://twitter.com/aviatorautomate/status/1665854701999472643</v>
      </c>
      <c r="AF2192" s="79">
        <v>45082.954687500001</v>
      </c>
      <c r="AG2192" s="85">
        <v>45082</v>
      </c>
      <c r="AH2192" s="82" t="s">
        <v>12298</v>
      </c>
      <c r="AI2192" s="77" t="b">
        <v>0</v>
      </c>
      <c r="AJ2192" s="77"/>
      <c r="AK2192" s="77"/>
      <c r="AL2192" s="77"/>
      <c r="AM2192" s="77"/>
      <c r="AN2192" s="77"/>
      <c r="AO2192" s="77"/>
      <c r="AP2192" s="77"/>
      <c r="AQ2192" s="77" t="s">
        <v>15316</v>
      </c>
      <c r="AR2192" s="77">
        <v>61729</v>
      </c>
      <c r="AS2192" s="77"/>
      <c r="AT2192" s="77"/>
      <c r="AU2192" s="77"/>
      <c r="AV2192" s="80" t="str">
        <f>HYPERLINK("https://pbs.twimg.com/ext_tw_video_thumb/1665854331625537536/pu/img/hFI0N9_INR_QSzJq.jpg")</f>
        <v>https://pbs.twimg.com/ext_tw_video_thumb/1665854331625537536/pu/img/hFI0N9_INR_QSzJq.jpg</v>
      </c>
      <c r="AW2192" s="82" t="s">
        <v>18960</v>
      </c>
      <c r="AX2192" s="82" t="s">
        <v>18960</v>
      </c>
      <c r="AY2192" s="77"/>
      <c r="AZ2192" s="82" t="s">
        <v>20971</v>
      </c>
      <c r="BA2192" s="82" t="s">
        <v>20971</v>
      </c>
      <c r="BB2192" s="82" t="s">
        <v>20971</v>
      </c>
      <c r="BC2192" s="82" t="s">
        <v>18960</v>
      </c>
      <c r="BD2192" s="82" t="s">
        <v>21423</v>
      </c>
      <c r="BE2192" s="77"/>
      <c r="BF2192" s="77"/>
      <c r="BG2192" s="77"/>
      <c r="BH2192" s="77"/>
      <c r="BI2192" s="77"/>
    </row>
    <row r="2193" spans="1:61" x14ac:dyDescent="0.25">
      <c r="A2193" s="62" t="s">
        <v>778</v>
      </c>
      <c r="B2193" s="62" t="s">
        <v>778</v>
      </c>
      <c r="C2193" s="63"/>
      <c r="D2193" s="64"/>
      <c r="E2193" s="65"/>
      <c r="F2193" s="66"/>
      <c r="G2193" s="63"/>
      <c r="H2193" s="67"/>
      <c r="I2193" s="68"/>
      <c r="J2193" s="68"/>
      <c r="K2193" s="32"/>
      <c r="L2193" s="75">
        <v>2193</v>
      </c>
      <c r="M2193" s="75"/>
      <c r="N2193" s="70"/>
      <c r="O2193" s="77" t="s">
        <v>179</v>
      </c>
      <c r="P2193" s="79">
        <v>45064.83488425926</v>
      </c>
      <c r="Q2193" s="77" t="s">
        <v>3403</v>
      </c>
      <c r="R2193" s="77">
        <v>0</v>
      </c>
      <c r="S2193" s="77">
        <v>0</v>
      </c>
      <c r="T2193" s="77">
        <v>0</v>
      </c>
      <c r="U2193" s="77">
        <v>0</v>
      </c>
      <c r="V2193" s="77">
        <v>213</v>
      </c>
      <c r="W2193" s="82" t="s">
        <v>6251</v>
      </c>
      <c r="X2193" s="77"/>
      <c r="Y2193" s="77"/>
      <c r="Z2193" s="77"/>
      <c r="AA2193" s="77" t="s">
        <v>8674</v>
      </c>
      <c r="AB2193" s="77" t="s">
        <v>10130</v>
      </c>
      <c r="AC2193" s="82" t="s">
        <v>10146</v>
      </c>
      <c r="AD2193" s="77" t="s">
        <v>10184</v>
      </c>
      <c r="AE2193" s="80" t="str">
        <f>HYPERLINK("https://twitter.com/aviatorautomate/status/1659288302929735684")</f>
        <v>https://twitter.com/aviatorautomate/status/1659288302929735684</v>
      </c>
      <c r="AF2193" s="79">
        <v>45064.83488425926</v>
      </c>
      <c r="AG2193" s="85">
        <v>45064</v>
      </c>
      <c r="AH2193" s="82" t="s">
        <v>11173</v>
      </c>
      <c r="AI2193" s="77" t="b">
        <v>0</v>
      </c>
      <c r="AJ2193" s="77"/>
      <c r="AK2193" s="77"/>
      <c r="AL2193" s="77"/>
      <c r="AM2193" s="77"/>
      <c r="AN2193" s="77"/>
      <c r="AO2193" s="77"/>
      <c r="AP2193" s="77"/>
      <c r="AQ2193" s="77" t="s">
        <v>15317</v>
      </c>
      <c r="AR2193" s="77"/>
      <c r="AS2193" s="77"/>
      <c r="AT2193" s="77"/>
      <c r="AU2193" s="77"/>
      <c r="AV2193" s="80" t="str">
        <f>HYPERLINK("https://pbs.twimg.com/media/Fwb5teqWcBM2b-1.png")</f>
        <v>https://pbs.twimg.com/media/Fwb5teqWcBM2b-1.png</v>
      </c>
      <c r="AW2193" s="82" t="s">
        <v>18961</v>
      </c>
      <c r="AX2193" s="82" t="s">
        <v>18961</v>
      </c>
      <c r="AY2193" s="77"/>
      <c r="AZ2193" s="82" t="s">
        <v>20971</v>
      </c>
      <c r="BA2193" s="82" t="s">
        <v>20971</v>
      </c>
      <c r="BB2193" s="82" t="s">
        <v>20971</v>
      </c>
      <c r="BC2193" s="82" t="s">
        <v>18961</v>
      </c>
      <c r="BD2193" s="82" t="s">
        <v>21423</v>
      </c>
      <c r="BE2193" s="77"/>
      <c r="BF2193" s="77"/>
      <c r="BG2193" s="77"/>
      <c r="BH2193" s="77"/>
      <c r="BI2193" s="77"/>
    </row>
    <row r="2194" spans="1:61" x14ac:dyDescent="0.25">
      <c r="A2194" s="62" t="s">
        <v>778</v>
      </c>
      <c r="B2194" s="62" t="s">
        <v>778</v>
      </c>
      <c r="C2194" s="63"/>
      <c r="D2194" s="64"/>
      <c r="E2194" s="65"/>
      <c r="F2194" s="66"/>
      <c r="G2194" s="63"/>
      <c r="H2194" s="67"/>
      <c r="I2194" s="68"/>
      <c r="J2194" s="68"/>
      <c r="K2194" s="32"/>
      <c r="L2194" s="75">
        <v>2194</v>
      </c>
      <c r="M2194" s="75"/>
      <c r="N2194" s="70"/>
      <c r="O2194" s="77" t="s">
        <v>179</v>
      </c>
      <c r="P2194" s="79">
        <v>45057.129363425927</v>
      </c>
      <c r="Q2194" s="77" t="s">
        <v>3404</v>
      </c>
      <c r="R2194" s="77">
        <v>0</v>
      </c>
      <c r="S2194" s="77">
        <v>0</v>
      </c>
      <c r="T2194" s="77">
        <v>0</v>
      </c>
      <c r="U2194" s="77">
        <v>0</v>
      </c>
      <c r="V2194" s="77">
        <v>485</v>
      </c>
      <c r="W2194" s="82" t="s">
        <v>6242</v>
      </c>
      <c r="X2194" s="77"/>
      <c r="Y2194" s="77"/>
      <c r="Z2194" s="77"/>
      <c r="AA2194" s="77" t="s">
        <v>8675</v>
      </c>
      <c r="AB2194" s="77" t="s">
        <v>10129</v>
      </c>
      <c r="AC2194" s="82" t="s">
        <v>10144</v>
      </c>
      <c r="AD2194" s="77" t="s">
        <v>10184</v>
      </c>
      <c r="AE2194" s="80" t="str">
        <f>HYPERLINK("https://twitter.com/aviatorautomate/status/1656495916138872832")</f>
        <v>https://twitter.com/aviatorautomate/status/1656495916138872832</v>
      </c>
      <c r="AF2194" s="79">
        <v>45057.129363425927</v>
      </c>
      <c r="AG2194" s="85">
        <v>45057</v>
      </c>
      <c r="AH2194" s="82" t="s">
        <v>12299</v>
      </c>
      <c r="AI2194" s="77" t="b">
        <v>0</v>
      </c>
      <c r="AJ2194" s="77"/>
      <c r="AK2194" s="77"/>
      <c r="AL2194" s="77"/>
      <c r="AM2194" s="77"/>
      <c r="AN2194" s="77"/>
      <c r="AO2194" s="77"/>
      <c r="AP2194" s="77"/>
      <c r="AQ2194" s="77" t="s">
        <v>15318</v>
      </c>
      <c r="AR2194" s="77">
        <v>84925</v>
      </c>
      <c r="AS2194" s="77"/>
      <c r="AT2194" s="77"/>
      <c r="AU2194" s="77"/>
      <c r="AV2194" s="80" t="str">
        <f>HYPERLINK("https://pbs.twimg.com/ext_tw_video_thumb/1656495627922964489/pu/img/aI81vK_u-znz2WXo.jpg")</f>
        <v>https://pbs.twimg.com/ext_tw_video_thumb/1656495627922964489/pu/img/aI81vK_u-znz2WXo.jpg</v>
      </c>
      <c r="AW2194" s="82" t="s">
        <v>18962</v>
      </c>
      <c r="AX2194" s="82" t="s">
        <v>18962</v>
      </c>
      <c r="AY2194" s="77"/>
      <c r="AZ2194" s="82" t="s">
        <v>20971</v>
      </c>
      <c r="BA2194" s="82" t="s">
        <v>20971</v>
      </c>
      <c r="BB2194" s="82" t="s">
        <v>20971</v>
      </c>
      <c r="BC2194" s="82" t="s">
        <v>18962</v>
      </c>
      <c r="BD2194" s="82" t="s">
        <v>21423</v>
      </c>
      <c r="BE2194" s="77"/>
      <c r="BF2194" s="77"/>
      <c r="BG2194" s="77"/>
      <c r="BH2194" s="77"/>
      <c r="BI2194" s="77"/>
    </row>
    <row r="2195" spans="1:61" x14ac:dyDescent="0.25">
      <c r="A2195" s="62" t="s">
        <v>778</v>
      </c>
      <c r="B2195" s="62" t="s">
        <v>778</v>
      </c>
      <c r="C2195" s="63"/>
      <c r="D2195" s="64"/>
      <c r="E2195" s="65"/>
      <c r="F2195" s="66"/>
      <c r="G2195" s="63"/>
      <c r="H2195" s="67"/>
      <c r="I2195" s="68"/>
      <c r="J2195" s="68"/>
      <c r="K2195" s="32"/>
      <c r="L2195" s="75">
        <v>2195</v>
      </c>
      <c r="M2195" s="75"/>
      <c r="N2195" s="70"/>
      <c r="O2195" s="77" t="s">
        <v>179</v>
      </c>
      <c r="P2195" s="79">
        <v>45056.893182870372</v>
      </c>
      <c r="Q2195" s="77" t="s">
        <v>3405</v>
      </c>
      <c r="R2195" s="77">
        <v>0</v>
      </c>
      <c r="S2195" s="77">
        <v>1</v>
      </c>
      <c r="T2195" s="77">
        <v>0</v>
      </c>
      <c r="U2195" s="77">
        <v>0</v>
      </c>
      <c r="V2195" s="77">
        <v>106</v>
      </c>
      <c r="W2195" s="82" t="s">
        <v>6242</v>
      </c>
      <c r="X2195" s="77"/>
      <c r="Y2195" s="77"/>
      <c r="Z2195" s="77"/>
      <c r="AA2195" s="77" t="s">
        <v>8676</v>
      </c>
      <c r="AB2195" s="77" t="s">
        <v>10129</v>
      </c>
      <c r="AC2195" s="82" t="s">
        <v>10144</v>
      </c>
      <c r="AD2195" s="77" t="s">
        <v>10183</v>
      </c>
      <c r="AE2195" s="80" t="str">
        <f>HYPERLINK("https://twitter.com/aviatorautomate/status/1656410329360859136")</f>
        <v>https://twitter.com/aviatorautomate/status/1656410329360859136</v>
      </c>
      <c r="AF2195" s="79">
        <v>45056.893182870372</v>
      </c>
      <c r="AG2195" s="85">
        <v>45056</v>
      </c>
      <c r="AH2195" s="82" t="s">
        <v>12300</v>
      </c>
      <c r="AI2195" s="77" t="b">
        <v>0</v>
      </c>
      <c r="AJ2195" s="77"/>
      <c r="AK2195" s="77"/>
      <c r="AL2195" s="77"/>
      <c r="AM2195" s="77"/>
      <c r="AN2195" s="77"/>
      <c r="AO2195" s="77"/>
      <c r="AP2195" s="77"/>
      <c r="AQ2195" s="77" t="s">
        <v>15319</v>
      </c>
      <c r="AR2195" s="77">
        <v>54500</v>
      </c>
      <c r="AS2195" s="77"/>
      <c r="AT2195" s="77"/>
      <c r="AU2195" s="77"/>
      <c r="AV2195" s="80" t="str">
        <f>HYPERLINK("https://pbs.twimg.com/ext_tw_video_thumb/1656410242144518147/pu/img/jW44OUG6hrRyzb90.jpg")</f>
        <v>https://pbs.twimg.com/ext_tw_video_thumb/1656410242144518147/pu/img/jW44OUG6hrRyzb90.jpg</v>
      </c>
      <c r="AW2195" s="82" t="s">
        <v>18963</v>
      </c>
      <c r="AX2195" s="82" t="s">
        <v>18963</v>
      </c>
      <c r="AY2195" s="77"/>
      <c r="AZ2195" s="82" t="s">
        <v>20971</v>
      </c>
      <c r="BA2195" s="82" t="s">
        <v>20971</v>
      </c>
      <c r="BB2195" s="82" t="s">
        <v>20971</v>
      </c>
      <c r="BC2195" s="82" t="s">
        <v>18963</v>
      </c>
      <c r="BD2195" s="82" t="s">
        <v>21423</v>
      </c>
      <c r="BE2195" s="77"/>
      <c r="BF2195" s="77"/>
      <c r="BG2195" s="77"/>
      <c r="BH2195" s="77"/>
      <c r="BI2195" s="77"/>
    </row>
    <row r="2196" spans="1:61" x14ac:dyDescent="0.25">
      <c r="A2196" s="62" t="s">
        <v>778</v>
      </c>
      <c r="B2196" s="62" t="s">
        <v>778</v>
      </c>
      <c r="C2196" s="63"/>
      <c r="D2196" s="64"/>
      <c r="E2196" s="65"/>
      <c r="F2196" s="66"/>
      <c r="G2196" s="63"/>
      <c r="H2196" s="67"/>
      <c r="I2196" s="68"/>
      <c r="J2196" s="68"/>
      <c r="K2196" s="32"/>
      <c r="L2196" s="75">
        <v>2196</v>
      </c>
      <c r="M2196" s="75"/>
      <c r="N2196" s="70"/>
      <c r="O2196" s="77" t="s">
        <v>179</v>
      </c>
      <c r="P2196" s="79">
        <v>45056.886863425927</v>
      </c>
      <c r="Q2196" s="77" t="s">
        <v>3406</v>
      </c>
      <c r="R2196" s="77">
        <v>0</v>
      </c>
      <c r="S2196" s="77">
        <v>0</v>
      </c>
      <c r="T2196" s="77">
        <v>0</v>
      </c>
      <c r="U2196" s="77">
        <v>0</v>
      </c>
      <c r="V2196" s="77">
        <v>249</v>
      </c>
      <c r="W2196" s="82" t="s">
        <v>6242</v>
      </c>
      <c r="X2196" s="77"/>
      <c r="Y2196" s="77"/>
      <c r="Z2196" s="77"/>
      <c r="AA2196" s="77" t="s">
        <v>8677</v>
      </c>
      <c r="AB2196" s="77" t="s">
        <v>10129</v>
      </c>
      <c r="AC2196" s="82" t="s">
        <v>10144</v>
      </c>
      <c r="AD2196" s="77" t="s">
        <v>10184</v>
      </c>
      <c r="AE2196" s="80" t="str">
        <f>HYPERLINK("https://twitter.com/aviatorautomate/status/1656408038767558663")</f>
        <v>https://twitter.com/aviatorautomate/status/1656408038767558663</v>
      </c>
      <c r="AF2196" s="79">
        <v>45056.886863425927</v>
      </c>
      <c r="AG2196" s="85">
        <v>45056</v>
      </c>
      <c r="AH2196" s="82" t="s">
        <v>12301</v>
      </c>
      <c r="AI2196" s="77" t="b">
        <v>0</v>
      </c>
      <c r="AJ2196" s="77"/>
      <c r="AK2196" s="77"/>
      <c r="AL2196" s="77"/>
      <c r="AM2196" s="77"/>
      <c r="AN2196" s="77"/>
      <c r="AO2196" s="77"/>
      <c r="AP2196" s="77"/>
      <c r="AQ2196" s="77" t="s">
        <v>15320</v>
      </c>
      <c r="AR2196" s="77">
        <v>135127</v>
      </c>
      <c r="AS2196" s="77"/>
      <c r="AT2196" s="77"/>
      <c r="AU2196" s="77"/>
      <c r="AV2196" s="80" t="str">
        <f>HYPERLINK("https://pbs.twimg.com/ext_tw_video_thumb/1656407161323307008/pu/img/SQtET0rPRstr-E7W.jpg")</f>
        <v>https://pbs.twimg.com/ext_tw_video_thumb/1656407161323307008/pu/img/SQtET0rPRstr-E7W.jpg</v>
      </c>
      <c r="AW2196" s="82" t="s">
        <v>18964</v>
      </c>
      <c r="AX2196" s="82" t="s">
        <v>18964</v>
      </c>
      <c r="AY2196" s="77"/>
      <c r="AZ2196" s="82" t="s">
        <v>20971</v>
      </c>
      <c r="BA2196" s="82" t="s">
        <v>20971</v>
      </c>
      <c r="BB2196" s="82" t="s">
        <v>20971</v>
      </c>
      <c r="BC2196" s="82" t="s">
        <v>18964</v>
      </c>
      <c r="BD2196" s="82" t="s">
        <v>21423</v>
      </c>
      <c r="BE2196" s="77"/>
      <c r="BF2196" s="77"/>
      <c r="BG2196" s="77"/>
      <c r="BH2196" s="77"/>
      <c r="BI2196" s="77"/>
    </row>
    <row r="2197" spans="1:61" x14ac:dyDescent="0.25">
      <c r="A2197" s="62" t="s">
        <v>778</v>
      </c>
      <c r="B2197" s="62" t="s">
        <v>778</v>
      </c>
      <c r="C2197" s="63"/>
      <c r="D2197" s="64"/>
      <c r="E2197" s="65"/>
      <c r="F2197" s="66"/>
      <c r="G2197" s="63"/>
      <c r="H2197" s="67"/>
      <c r="I2197" s="68"/>
      <c r="J2197" s="68"/>
      <c r="K2197" s="32"/>
      <c r="L2197" s="75">
        <v>2197</v>
      </c>
      <c r="M2197" s="75"/>
      <c r="N2197" s="70"/>
      <c r="O2197" s="77" t="s">
        <v>179</v>
      </c>
      <c r="P2197" s="79">
        <v>45056.857662037037</v>
      </c>
      <c r="Q2197" s="77" t="s">
        <v>3407</v>
      </c>
      <c r="R2197" s="77">
        <v>0</v>
      </c>
      <c r="S2197" s="77">
        <v>0</v>
      </c>
      <c r="T2197" s="77">
        <v>0</v>
      </c>
      <c r="U2197" s="77">
        <v>0</v>
      </c>
      <c r="V2197" s="77">
        <v>114</v>
      </c>
      <c r="W2197" s="82" t="s">
        <v>6242</v>
      </c>
      <c r="X2197" s="77"/>
      <c r="Y2197" s="77"/>
      <c r="Z2197" s="77"/>
      <c r="AA2197" s="77"/>
      <c r="AB2197" s="77"/>
      <c r="AC2197" s="82" t="s">
        <v>10144</v>
      </c>
      <c r="AD2197" s="77" t="s">
        <v>10184</v>
      </c>
      <c r="AE2197" s="80" t="str">
        <f>HYPERLINK("https://twitter.com/aviatorautomate/status/1656397457146642432")</f>
        <v>https://twitter.com/aviatorautomate/status/1656397457146642432</v>
      </c>
      <c r="AF2197" s="79">
        <v>45056.857662037037</v>
      </c>
      <c r="AG2197" s="85">
        <v>45056</v>
      </c>
      <c r="AH2197" s="82" t="s">
        <v>12302</v>
      </c>
      <c r="AI2197" s="77"/>
      <c r="AJ2197" s="77"/>
      <c r="AK2197" s="77"/>
      <c r="AL2197" s="77"/>
      <c r="AM2197" s="77"/>
      <c r="AN2197" s="77"/>
      <c r="AO2197" s="77"/>
      <c r="AP2197" s="77"/>
      <c r="AQ2197" s="77"/>
      <c r="AR2197" s="77"/>
      <c r="AS2197" s="77"/>
      <c r="AT2197" s="77"/>
      <c r="AU2197" s="77"/>
      <c r="AV2197" s="80" t="str">
        <f>HYPERLINK("https://pbs.twimg.com/profile_images/1654487617684078597/lwhBeIti_normal.jpg")</f>
        <v>https://pbs.twimg.com/profile_images/1654487617684078597/lwhBeIti_normal.jpg</v>
      </c>
      <c r="AW2197" s="82" t="s">
        <v>18965</v>
      </c>
      <c r="AX2197" s="82" t="s">
        <v>18965</v>
      </c>
      <c r="AY2197" s="77"/>
      <c r="AZ2197" s="82" t="s">
        <v>20971</v>
      </c>
      <c r="BA2197" s="82" t="s">
        <v>20971</v>
      </c>
      <c r="BB2197" s="82" t="s">
        <v>20971</v>
      </c>
      <c r="BC2197" s="82" t="s">
        <v>18965</v>
      </c>
      <c r="BD2197" s="82" t="s">
        <v>21423</v>
      </c>
      <c r="BE2197" s="77"/>
      <c r="BF2197" s="77"/>
      <c r="BG2197" s="77"/>
      <c r="BH2197" s="77"/>
      <c r="BI2197" s="77"/>
    </row>
    <row r="2198" spans="1:61" x14ac:dyDescent="0.25">
      <c r="A2198" s="62" t="s">
        <v>778</v>
      </c>
      <c r="B2198" s="62" t="s">
        <v>778</v>
      </c>
      <c r="C2198" s="63"/>
      <c r="D2198" s="64"/>
      <c r="E2198" s="65"/>
      <c r="F2198" s="66"/>
      <c r="G2198" s="63"/>
      <c r="H2198" s="67"/>
      <c r="I2198" s="68"/>
      <c r="J2198" s="68"/>
      <c r="K2198" s="32"/>
      <c r="L2198" s="75">
        <v>2198</v>
      </c>
      <c r="M2198" s="75"/>
      <c r="N2198" s="70"/>
      <c r="O2198" s="77" t="s">
        <v>179</v>
      </c>
      <c r="P2198" s="79">
        <v>45056.530243055553</v>
      </c>
      <c r="Q2198" s="77" t="s">
        <v>3408</v>
      </c>
      <c r="R2198" s="77">
        <v>0</v>
      </c>
      <c r="S2198" s="77">
        <v>0</v>
      </c>
      <c r="T2198" s="77">
        <v>0</v>
      </c>
      <c r="U2198" s="77">
        <v>0</v>
      </c>
      <c r="V2198" s="77">
        <v>123</v>
      </c>
      <c r="W2198" s="82" t="s">
        <v>6242</v>
      </c>
      <c r="X2198" s="80" t="str">
        <f>HYPERLINK("https://t.me/aviatorAutomate")</f>
        <v>https://t.me/aviatorAutomate</v>
      </c>
      <c r="Y2198" s="77" t="s">
        <v>7312</v>
      </c>
      <c r="Z2198" s="77"/>
      <c r="AA2198" s="77" t="s">
        <v>8678</v>
      </c>
      <c r="AB2198" s="77" t="s">
        <v>10129</v>
      </c>
      <c r="AC2198" s="82" t="s">
        <v>10144</v>
      </c>
      <c r="AD2198" s="77" t="s">
        <v>10184</v>
      </c>
      <c r="AE2198" s="80" t="str">
        <f>HYPERLINK("https://twitter.com/aviatorautomate/status/1656278804921188352")</f>
        <v>https://twitter.com/aviatorautomate/status/1656278804921188352</v>
      </c>
      <c r="AF2198" s="79">
        <v>45056.530243055553</v>
      </c>
      <c r="AG2198" s="85">
        <v>45056</v>
      </c>
      <c r="AH2198" s="82" t="s">
        <v>12303</v>
      </c>
      <c r="AI2198" s="77" t="b">
        <v>0</v>
      </c>
      <c r="AJ2198" s="77"/>
      <c r="AK2198" s="77"/>
      <c r="AL2198" s="77"/>
      <c r="AM2198" s="77"/>
      <c r="AN2198" s="77"/>
      <c r="AO2198" s="77"/>
      <c r="AP2198" s="77"/>
      <c r="AQ2198" s="77" t="s">
        <v>15321</v>
      </c>
      <c r="AR2198" s="77">
        <v>139987</v>
      </c>
      <c r="AS2198" s="77"/>
      <c r="AT2198" s="77"/>
      <c r="AU2198" s="77"/>
      <c r="AV2198" s="80" t="str">
        <f>HYPERLINK("https://pbs.twimg.com/ext_tw_video_thumb/1656278473365749761/pu/img/B7DCUpbzxXW7oiw4.jpg")</f>
        <v>https://pbs.twimg.com/ext_tw_video_thumb/1656278473365749761/pu/img/B7DCUpbzxXW7oiw4.jpg</v>
      </c>
      <c r="AW2198" s="82" t="s">
        <v>18966</v>
      </c>
      <c r="AX2198" s="82" t="s">
        <v>18966</v>
      </c>
      <c r="AY2198" s="77"/>
      <c r="AZ2198" s="82" t="s">
        <v>20971</v>
      </c>
      <c r="BA2198" s="82" t="s">
        <v>20971</v>
      </c>
      <c r="BB2198" s="82" t="s">
        <v>20971</v>
      </c>
      <c r="BC2198" s="82" t="s">
        <v>18966</v>
      </c>
      <c r="BD2198" s="82" t="s">
        <v>21423</v>
      </c>
      <c r="BE2198" s="77"/>
      <c r="BF2198" s="77"/>
      <c r="BG2198" s="77"/>
      <c r="BH2198" s="77"/>
      <c r="BI2198" s="77"/>
    </row>
    <row r="2199" spans="1:61" x14ac:dyDescent="0.25">
      <c r="A2199" s="62" t="s">
        <v>778</v>
      </c>
      <c r="B2199" s="62" t="s">
        <v>778</v>
      </c>
      <c r="C2199" s="63"/>
      <c r="D2199" s="64"/>
      <c r="E2199" s="65"/>
      <c r="F2199" s="66"/>
      <c r="G2199" s="63"/>
      <c r="H2199" s="67"/>
      <c r="I2199" s="68"/>
      <c r="J2199" s="68"/>
      <c r="K2199" s="32"/>
      <c r="L2199" s="75">
        <v>2199</v>
      </c>
      <c r="M2199" s="75"/>
      <c r="N2199" s="70"/>
      <c r="O2199" s="77" t="s">
        <v>179</v>
      </c>
      <c r="P2199" s="79">
        <v>45124.96603009259</v>
      </c>
      <c r="Q2199" s="77" t="s">
        <v>3409</v>
      </c>
      <c r="R2199" s="77">
        <v>0</v>
      </c>
      <c r="S2199" s="77">
        <v>0</v>
      </c>
      <c r="T2199" s="77">
        <v>0</v>
      </c>
      <c r="U2199" s="77">
        <v>0</v>
      </c>
      <c r="V2199" s="77">
        <v>148</v>
      </c>
      <c r="W2199" s="82" t="s">
        <v>6252</v>
      </c>
      <c r="X2199" s="77"/>
      <c r="Y2199" s="77"/>
      <c r="Z2199" s="77"/>
      <c r="AA2199" s="77" t="s">
        <v>8679</v>
      </c>
      <c r="AB2199" s="77" t="s">
        <v>10130</v>
      </c>
      <c r="AC2199" s="82" t="s">
        <v>10144</v>
      </c>
      <c r="AD2199" s="77" t="s">
        <v>10184</v>
      </c>
      <c r="AE2199" s="80" t="str">
        <f>HYPERLINK("https://twitter.com/aviatorautomate/status/1681079101770145793")</f>
        <v>https://twitter.com/aviatorautomate/status/1681079101770145793</v>
      </c>
      <c r="AF2199" s="79">
        <v>45124.96603009259</v>
      </c>
      <c r="AG2199" s="85">
        <v>45124</v>
      </c>
      <c r="AH2199" s="82" t="s">
        <v>12304</v>
      </c>
      <c r="AI2199" s="77" t="b">
        <v>0</v>
      </c>
      <c r="AJ2199" s="77"/>
      <c r="AK2199" s="77"/>
      <c r="AL2199" s="77"/>
      <c r="AM2199" s="77"/>
      <c r="AN2199" s="77"/>
      <c r="AO2199" s="77"/>
      <c r="AP2199" s="77"/>
      <c r="AQ2199" s="77" t="s">
        <v>15322</v>
      </c>
      <c r="AR2199" s="77"/>
      <c r="AS2199" s="77"/>
      <c r="AT2199" s="77"/>
      <c r="AU2199" s="77"/>
      <c r="AV2199" s="80" t="str">
        <f>HYPERLINK("https://pbs.twimg.com/media/F1RkiIwWwAcjtOr.jpg")</f>
        <v>https://pbs.twimg.com/media/F1RkiIwWwAcjtOr.jpg</v>
      </c>
      <c r="AW2199" s="82" t="s">
        <v>18967</v>
      </c>
      <c r="AX2199" s="82" t="s">
        <v>18967</v>
      </c>
      <c r="AY2199" s="77"/>
      <c r="AZ2199" s="82" t="s">
        <v>20971</v>
      </c>
      <c r="BA2199" s="82" t="s">
        <v>20971</v>
      </c>
      <c r="BB2199" s="82" t="s">
        <v>20971</v>
      </c>
      <c r="BC2199" s="82" t="s">
        <v>18967</v>
      </c>
      <c r="BD2199" s="82" t="s">
        <v>21423</v>
      </c>
      <c r="BE2199" s="77"/>
      <c r="BF2199" s="77"/>
      <c r="BG2199" s="77"/>
      <c r="BH2199" s="77"/>
      <c r="BI2199" s="77"/>
    </row>
    <row r="2200" spans="1:61" x14ac:dyDescent="0.25">
      <c r="A2200" s="62" t="s">
        <v>778</v>
      </c>
      <c r="B2200" s="62" t="s">
        <v>778</v>
      </c>
      <c r="C2200" s="63"/>
      <c r="D2200" s="64"/>
      <c r="E2200" s="65"/>
      <c r="F2200" s="66"/>
      <c r="G2200" s="63"/>
      <c r="H2200" s="67"/>
      <c r="I2200" s="68"/>
      <c r="J2200" s="68"/>
      <c r="K2200" s="32"/>
      <c r="L2200" s="75">
        <v>2200</v>
      </c>
      <c r="M2200" s="75"/>
      <c r="N2200" s="70"/>
      <c r="O2200" s="77" t="s">
        <v>179</v>
      </c>
      <c r="P2200" s="79">
        <v>45097.865983796299</v>
      </c>
      <c r="Q2200" s="77" t="s">
        <v>3410</v>
      </c>
      <c r="R2200" s="77">
        <v>0</v>
      </c>
      <c r="S2200" s="77">
        <v>0</v>
      </c>
      <c r="T2200" s="77">
        <v>0</v>
      </c>
      <c r="U2200" s="77">
        <v>0</v>
      </c>
      <c r="V2200" s="77">
        <v>295</v>
      </c>
      <c r="W2200" s="82" t="s">
        <v>6253</v>
      </c>
      <c r="X2200" s="77"/>
      <c r="Y2200" s="77"/>
      <c r="Z2200" s="77"/>
      <c r="AA2200" s="77" t="s">
        <v>8680</v>
      </c>
      <c r="AB2200" s="77" t="s">
        <v>10130</v>
      </c>
      <c r="AC2200" s="82" t="s">
        <v>10144</v>
      </c>
      <c r="AD2200" s="77" t="s">
        <v>10184</v>
      </c>
      <c r="AE2200" s="80" t="str">
        <f>HYPERLINK("https://twitter.com/aviatorautomate/status/1671258373281701889")</f>
        <v>https://twitter.com/aviatorautomate/status/1671258373281701889</v>
      </c>
      <c r="AF2200" s="79">
        <v>45097.865983796299</v>
      </c>
      <c r="AG2200" s="85">
        <v>45097</v>
      </c>
      <c r="AH2200" s="82" t="s">
        <v>12305</v>
      </c>
      <c r="AI2200" s="77" t="b">
        <v>0</v>
      </c>
      <c r="AJ2200" s="77"/>
      <c r="AK2200" s="77"/>
      <c r="AL2200" s="77"/>
      <c r="AM2200" s="77"/>
      <c r="AN2200" s="77"/>
      <c r="AO2200" s="77"/>
      <c r="AP2200" s="77"/>
      <c r="AQ2200" s="77" t="s">
        <v>15323</v>
      </c>
      <c r="AR2200" s="77"/>
      <c r="AS2200" s="77"/>
      <c r="AT2200" s="77"/>
      <c r="AU2200" s="77"/>
      <c r="AV2200" s="80" t="str">
        <f>HYPERLINK("https://pbs.twimg.com/media/FzGAogrXoAEMbSc.jpg")</f>
        <v>https://pbs.twimg.com/media/FzGAogrXoAEMbSc.jpg</v>
      </c>
      <c r="AW2200" s="82" t="s">
        <v>18968</v>
      </c>
      <c r="AX2200" s="82" t="s">
        <v>18968</v>
      </c>
      <c r="AY2200" s="77"/>
      <c r="AZ2200" s="82" t="s">
        <v>20971</v>
      </c>
      <c r="BA2200" s="82" t="s">
        <v>20971</v>
      </c>
      <c r="BB2200" s="82" t="s">
        <v>20971</v>
      </c>
      <c r="BC2200" s="82" t="s">
        <v>18968</v>
      </c>
      <c r="BD2200" s="82" t="s">
        <v>21423</v>
      </c>
      <c r="BE2200" s="77"/>
      <c r="BF2200" s="77"/>
      <c r="BG2200" s="77"/>
      <c r="BH2200" s="77"/>
      <c r="BI2200" s="77"/>
    </row>
    <row r="2201" spans="1:61" x14ac:dyDescent="0.25">
      <c r="A2201" s="62" t="s">
        <v>778</v>
      </c>
      <c r="B2201" s="62" t="s">
        <v>778</v>
      </c>
      <c r="C2201" s="63"/>
      <c r="D2201" s="64"/>
      <c r="E2201" s="65"/>
      <c r="F2201" s="66"/>
      <c r="G2201" s="63"/>
      <c r="H2201" s="67"/>
      <c r="I2201" s="68"/>
      <c r="J2201" s="68"/>
      <c r="K2201" s="32"/>
      <c r="L2201" s="75">
        <v>2201</v>
      </c>
      <c r="M2201" s="75"/>
      <c r="N2201" s="70"/>
      <c r="O2201" s="77" t="s">
        <v>179</v>
      </c>
      <c r="P2201" s="79">
        <v>45080.742604166669</v>
      </c>
      <c r="Q2201" s="77" t="s">
        <v>3411</v>
      </c>
      <c r="R2201" s="77">
        <v>0</v>
      </c>
      <c r="S2201" s="77">
        <v>0</v>
      </c>
      <c r="T2201" s="77">
        <v>0</v>
      </c>
      <c r="U2201" s="77">
        <v>0</v>
      </c>
      <c r="V2201" s="77">
        <v>612</v>
      </c>
      <c r="W2201" s="82" t="s">
        <v>6254</v>
      </c>
      <c r="X2201" s="77" t="s">
        <v>7208</v>
      </c>
      <c r="Y2201" s="77" t="s">
        <v>7400</v>
      </c>
      <c r="Z2201" s="77"/>
      <c r="AA2201" s="77" t="s">
        <v>8681</v>
      </c>
      <c r="AB2201" s="77" t="s">
        <v>10129</v>
      </c>
      <c r="AC2201" s="82" t="s">
        <v>10146</v>
      </c>
      <c r="AD2201" s="77" t="s">
        <v>10184</v>
      </c>
      <c r="AE2201" s="80" t="str">
        <f>HYPERLINK("https://twitter.com/aviatorautomate/status/1665053070852587520")</f>
        <v>https://twitter.com/aviatorautomate/status/1665053070852587520</v>
      </c>
      <c r="AF2201" s="79">
        <v>45080.742604166669</v>
      </c>
      <c r="AG2201" s="85">
        <v>45080</v>
      </c>
      <c r="AH2201" s="82" t="s">
        <v>12306</v>
      </c>
      <c r="AI2201" s="77" t="b">
        <v>0</v>
      </c>
      <c r="AJ2201" s="77"/>
      <c r="AK2201" s="77"/>
      <c r="AL2201" s="77"/>
      <c r="AM2201" s="77"/>
      <c r="AN2201" s="77"/>
      <c r="AO2201" s="77"/>
      <c r="AP2201" s="77"/>
      <c r="AQ2201" s="77" t="s">
        <v>15324</v>
      </c>
      <c r="AR2201" s="77">
        <v>95229</v>
      </c>
      <c r="AS2201" s="77"/>
      <c r="AT2201" s="77"/>
      <c r="AU2201" s="77"/>
      <c r="AV2201" s="80" t="str">
        <f>HYPERLINK("https://pbs.twimg.com/ext_tw_video_thumb/1665051753081974788/pu/img/5l_9cHwnSiz_dyde.jpg")</f>
        <v>https://pbs.twimg.com/ext_tw_video_thumb/1665051753081974788/pu/img/5l_9cHwnSiz_dyde.jpg</v>
      </c>
      <c r="AW2201" s="82" t="s">
        <v>18969</v>
      </c>
      <c r="AX2201" s="82" t="s">
        <v>18969</v>
      </c>
      <c r="AY2201" s="77"/>
      <c r="AZ2201" s="82" t="s">
        <v>20971</v>
      </c>
      <c r="BA2201" s="82" t="s">
        <v>20971</v>
      </c>
      <c r="BB2201" s="82" t="s">
        <v>20971</v>
      </c>
      <c r="BC2201" s="82" t="s">
        <v>18969</v>
      </c>
      <c r="BD2201" s="82" t="s">
        <v>21423</v>
      </c>
      <c r="BE2201" s="77"/>
      <c r="BF2201" s="77"/>
      <c r="BG2201" s="77"/>
      <c r="BH2201" s="77"/>
      <c r="BI2201" s="77"/>
    </row>
    <row r="2202" spans="1:61" x14ac:dyDescent="0.25">
      <c r="A2202" s="62" t="s">
        <v>778</v>
      </c>
      <c r="B2202" s="62" t="s">
        <v>778</v>
      </c>
      <c r="C2202" s="63"/>
      <c r="D2202" s="64"/>
      <c r="E2202" s="65"/>
      <c r="F2202" s="66"/>
      <c r="G2202" s="63"/>
      <c r="H2202" s="67"/>
      <c r="I2202" s="68"/>
      <c r="J2202" s="68"/>
      <c r="K2202" s="32"/>
      <c r="L2202" s="75">
        <v>2202</v>
      </c>
      <c r="M2202" s="75"/>
      <c r="N2202" s="70"/>
      <c r="O2202" s="77" t="s">
        <v>179</v>
      </c>
      <c r="P2202" s="79">
        <v>45138.854062500002</v>
      </c>
      <c r="Q2202" s="77" t="s">
        <v>3412</v>
      </c>
      <c r="R2202" s="77">
        <v>0</v>
      </c>
      <c r="S2202" s="77">
        <v>0</v>
      </c>
      <c r="T2202" s="77">
        <v>0</v>
      </c>
      <c r="U2202" s="77">
        <v>0</v>
      </c>
      <c r="V2202" s="77">
        <v>169</v>
      </c>
      <c r="W2202" s="82" t="s">
        <v>6255</v>
      </c>
      <c r="X2202" s="80" t="str">
        <f>HYPERLINK("https://t.me/aviatorAutomate")</f>
        <v>https://t.me/aviatorAutomate</v>
      </c>
      <c r="Y2202" s="77" t="s">
        <v>7312</v>
      </c>
      <c r="Z2202" s="77"/>
      <c r="AA2202" s="77" t="s">
        <v>8682</v>
      </c>
      <c r="AB2202" s="77" t="s">
        <v>10130</v>
      </c>
      <c r="AC2202" s="82" t="s">
        <v>10144</v>
      </c>
      <c r="AD2202" s="77" t="s">
        <v>10184</v>
      </c>
      <c r="AE2202" s="80" t="str">
        <f>HYPERLINK("https://twitter.com/aviatorautomate/status/1686111954937483264")</f>
        <v>https://twitter.com/aviatorautomate/status/1686111954937483264</v>
      </c>
      <c r="AF2202" s="79">
        <v>45138.854062500002</v>
      </c>
      <c r="AG2202" s="85">
        <v>45138</v>
      </c>
      <c r="AH2202" s="82" t="s">
        <v>12307</v>
      </c>
      <c r="AI2202" s="77" t="b">
        <v>0</v>
      </c>
      <c r="AJ2202" s="77"/>
      <c r="AK2202" s="77"/>
      <c r="AL2202" s="77"/>
      <c r="AM2202" s="77"/>
      <c r="AN2202" s="77"/>
      <c r="AO2202" s="77"/>
      <c r="AP2202" s="77"/>
      <c r="AQ2202" s="77" t="s">
        <v>15325</v>
      </c>
      <c r="AR2202" s="77"/>
      <c r="AS2202" s="77"/>
      <c r="AT2202" s="77"/>
      <c r="AU2202" s="77"/>
      <c r="AV2202" s="80" t="str">
        <f>HYPERLINK("https://pbs.twimg.com/media/F2ZF4yOXIAARaFv.jpg")</f>
        <v>https://pbs.twimg.com/media/F2ZF4yOXIAARaFv.jpg</v>
      </c>
      <c r="AW2202" s="82" t="s">
        <v>18970</v>
      </c>
      <c r="AX2202" s="82" t="s">
        <v>18970</v>
      </c>
      <c r="AY2202" s="77"/>
      <c r="AZ2202" s="82" t="s">
        <v>20971</v>
      </c>
      <c r="BA2202" s="82" t="s">
        <v>20971</v>
      </c>
      <c r="BB2202" s="82" t="s">
        <v>20971</v>
      </c>
      <c r="BC2202" s="82" t="s">
        <v>18970</v>
      </c>
      <c r="BD2202" s="82" t="s">
        <v>21423</v>
      </c>
      <c r="BE2202" s="77"/>
      <c r="BF2202" s="77"/>
      <c r="BG2202" s="77"/>
      <c r="BH2202" s="77"/>
      <c r="BI2202" s="77"/>
    </row>
    <row r="2203" spans="1:61" x14ac:dyDescent="0.25">
      <c r="A2203" s="62" t="s">
        <v>778</v>
      </c>
      <c r="B2203" s="62" t="s">
        <v>778</v>
      </c>
      <c r="C2203" s="63"/>
      <c r="D2203" s="64"/>
      <c r="E2203" s="65"/>
      <c r="F2203" s="66"/>
      <c r="G2203" s="63"/>
      <c r="H2203" s="67"/>
      <c r="I2203" s="68"/>
      <c r="J2203" s="68"/>
      <c r="K2203" s="32"/>
      <c r="L2203" s="75">
        <v>2203</v>
      </c>
      <c r="M2203" s="75"/>
      <c r="N2203" s="70"/>
      <c r="O2203" s="77" t="s">
        <v>179</v>
      </c>
      <c r="P2203" s="79">
        <v>45119.720277777778</v>
      </c>
      <c r="Q2203" s="77" t="s">
        <v>3413</v>
      </c>
      <c r="R2203" s="77">
        <v>0</v>
      </c>
      <c r="S2203" s="77">
        <v>0</v>
      </c>
      <c r="T2203" s="77">
        <v>0</v>
      </c>
      <c r="U2203" s="77">
        <v>0</v>
      </c>
      <c r="V2203" s="77">
        <v>204</v>
      </c>
      <c r="W2203" s="82" t="s">
        <v>6256</v>
      </c>
      <c r="X2203" s="77"/>
      <c r="Y2203" s="77"/>
      <c r="Z2203" s="77"/>
      <c r="AA2203" s="77" t="s">
        <v>8683</v>
      </c>
      <c r="AB2203" s="77" t="s">
        <v>10130</v>
      </c>
      <c r="AC2203" s="82" t="s">
        <v>10144</v>
      </c>
      <c r="AD2203" s="77" t="s">
        <v>10184</v>
      </c>
      <c r="AE2203" s="80" t="str">
        <f>HYPERLINK("https://twitter.com/aviatorautomate/status/1679178106072973317")</f>
        <v>https://twitter.com/aviatorautomate/status/1679178106072973317</v>
      </c>
      <c r="AF2203" s="79">
        <v>45119.720277777778</v>
      </c>
      <c r="AG2203" s="85">
        <v>45119</v>
      </c>
      <c r="AH2203" s="82" t="s">
        <v>12308</v>
      </c>
      <c r="AI2203" s="77" t="b">
        <v>0</v>
      </c>
      <c r="AJ2203" s="77"/>
      <c r="AK2203" s="77"/>
      <c r="AL2203" s="77"/>
      <c r="AM2203" s="77"/>
      <c r="AN2203" s="77"/>
      <c r="AO2203" s="77"/>
      <c r="AP2203" s="77"/>
      <c r="AQ2203" s="77" t="s">
        <v>15326</v>
      </c>
      <c r="AR2203" s="77"/>
      <c r="AS2203" s="77"/>
      <c r="AT2203" s="77"/>
      <c r="AU2203" s="77"/>
      <c r="AV2203" s="80" t="str">
        <f>HYPERLINK("https://pbs.twimg.com/media/F02jlBXXwAwytjT.jpg")</f>
        <v>https://pbs.twimg.com/media/F02jlBXXwAwytjT.jpg</v>
      </c>
      <c r="AW2203" s="82" t="s">
        <v>18971</v>
      </c>
      <c r="AX2203" s="82" t="s">
        <v>18971</v>
      </c>
      <c r="AY2203" s="77"/>
      <c r="AZ2203" s="82" t="s">
        <v>20971</v>
      </c>
      <c r="BA2203" s="82" t="s">
        <v>20971</v>
      </c>
      <c r="BB2203" s="82" t="s">
        <v>20971</v>
      </c>
      <c r="BC2203" s="82" t="s">
        <v>18971</v>
      </c>
      <c r="BD2203" s="82" t="s">
        <v>21423</v>
      </c>
      <c r="BE2203" s="77"/>
      <c r="BF2203" s="77"/>
      <c r="BG2203" s="77"/>
      <c r="BH2203" s="77"/>
      <c r="BI2203" s="77"/>
    </row>
    <row r="2204" spans="1:61" x14ac:dyDescent="0.25">
      <c r="A2204" s="62" t="s">
        <v>778</v>
      </c>
      <c r="B2204" s="62" t="s">
        <v>778</v>
      </c>
      <c r="C2204" s="63"/>
      <c r="D2204" s="64"/>
      <c r="E2204" s="65"/>
      <c r="F2204" s="66"/>
      <c r="G2204" s="63"/>
      <c r="H2204" s="67"/>
      <c r="I2204" s="68"/>
      <c r="J2204" s="68"/>
      <c r="K2204" s="32"/>
      <c r="L2204" s="75">
        <v>2204</v>
      </c>
      <c r="M2204" s="75"/>
      <c r="N2204" s="70"/>
      <c r="O2204" s="77" t="s">
        <v>179</v>
      </c>
      <c r="P2204" s="79">
        <v>45118.067800925928</v>
      </c>
      <c r="Q2204" s="77" t="s">
        <v>3414</v>
      </c>
      <c r="R2204" s="77">
        <v>0</v>
      </c>
      <c r="S2204" s="77">
        <v>0</v>
      </c>
      <c r="T2204" s="77">
        <v>0</v>
      </c>
      <c r="U2204" s="77">
        <v>0</v>
      </c>
      <c r="V2204" s="77">
        <v>632</v>
      </c>
      <c r="W2204" s="82" t="s">
        <v>6257</v>
      </c>
      <c r="X2204" s="77"/>
      <c r="Y2204" s="77"/>
      <c r="Z2204" s="77"/>
      <c r="AA2204" s="77" t="s">
        <v>8684</v>
      </c>
      <c r="AB2204" s="77" t="s">
        <v>10130</v>
      </c>
      <c r="AC2204" s="82" t="s">
        <v>10144</v>
      </c>
      <c r="AD2204" s="77" t="s">
        <v>10184</v>
      </c>
      <c r="AE2204" s="80" t="str">
        <f>HYPERLINK("https://twitter.com/aviatorautomate/status/1678579267116867589")</f>
        <v>https://twitter.com/aviatorautomate/status/1678579267116867589</v>
      </c>
      <c r="AF2204" s="79">
        <v>45118.067800925928</v>
      </c>
      <c r="AG2204" s="85">
        <v>45118</v>
      </c>
      <c r="AH2204" s="82" t="s">
        <v>12309</v>
      </c>
      <c r="AI2204" s="77" t="b">
        <v>0</v>
      </c>
      <c r="AJ2204" s="77"/>
      <c r="AK2204" s="77"/>
      <c r="AL2204" s="77"/>
      <c r="AM2204" s="77"/>
      <c r="AN2204" s="77"/>
      <c r="AO2204" s="77"/>
      <c r="AP2204" s="77"/>
      <c r="AQ2204" s="77" t="s">
        <v>15327</v>
      </c>
      <c r="AR2204" s="77"/>
      <c r="AS2204" s="77"/>
      <c r="AT2204" s="77"/>
      <c r="AU2204" s="77"/>
      <c r="AV2204" s="80" t="str">
        <f>HYPERLINK("https://pbs.twimg.com/media/F0uC8YmWYAEipT7.jpg")</f>
        <v>https://pbs.twimg.com/media/F0uC8YmWYAEipT7.jpg</v>
      </c>
      <c r="AW2204" s="82" t="s">
        <v>18972</v>
      </c>
      <c r="AX2204" s="82" t="s">
        <v>18972</v>
      </c>
      <c r="AY2204" s="77"/>
      <c r="AZ2204" s="82" t="s">
        <v>20971</v>
      </c>
      <c r="BA2204" s="82" t="s">
        <v>20971</v>
      </c>
      <c r="BB2204" s="82" t="s">
        <v>20971</v>
      </c>
      <c r="BC2204" s="82" t="s">
        <v>18972</v>
      </c>
      <c r="BD2204" s="82" t="s">
        <v>21423</v>
      </c>
      <c r="BE2204" s="77"/>
      <c r="BF2204" s="77"/>
      <c r="BG2204" s="77"/>
      <c r="BH2204" s="77"/>
      <c r="BI2204" s="77"/>
    </row>
    <row r="2205" spans="1:61" x14ac:dyDescent="0.25">
      <c r="A2205" s="62" t="s">
        <v>778</v>
      </c>
      <c r="B2205" s="62" t="s">
        <v>778</v>
      </c>
      <c r="C2205" s="63"/>
      <c r="D2205" s="64"/>
      <c r="E2205" s="65"/>
      <c r="F2205" s="66"/>
      <c r="G2205" s="63"/>
      <c r="H2205" s="67"/>
      <c r="I2205" s="68"/>
      <c r="J2205" s="68"/>
      <c r="K2205" s="32"/>
      <c r="L2205" s="75">
        <v>2205</v>
      </c>
      <c r="M2205" s="75"/>
      <c r="N2205" s="70"/>
      <c r="O2205" s="77" t="s">
        <v>179</v>
      </c>
      <c r="P2205" s="79">
        <v>45079.012835648151</v>
      </c>
      <c r="Q2205" s="77" t="s">
        <v>3415</v>
      </c>
      <c r="R2205" s="77">
        <v>0</v>
      </c>
      <c r="S2205" s="77">
        <v>0</v>
      </c>
      <c r="T2205" s="77">
        <v>0</v>
      </c>
      <c r="U2205" s="77">
        <v>0</v>
      </c>
      <c r="V2205" s="77">
        <v>658</v>
      </c>
      <c r="W2205" s="82" t="s">
        <v>6258</v>
      </c>
      <c r="X2205" s="77"/>
      <c r="Y2205" s="77"/>
      <c r="Z2205" s="77"/>
      <c r="AA2205" s="77" t="s">
        <v>8685</v>
      </c>
      <c r="AB2205" s="77" t="s">
        <v>10130</v>
      </c>
      <c r="AC2205" s="82" t="s">
        <v>10144</v>
      </c>
      <c r="AD2205" s="77" t="s">
        <v>10184</v>
      </c>
      <c r="AE2205" s="80" t="str">
        <f>HYPERLINK("https://twitter.com/aviatorautomate/status/1664426220740661248")</f>
        <v>https://twitter.com/aviatorautomate/status/1664426220740661248</v>
      </c>
      <c r="AF2205" s="79">
        <v>45079.012835648151</v>
      </c>
      <c r="AG2205" s="85">
        <v>45079</v>
      </c>
      <c r="AH2205" s="82" t="s">
        <v>12310</v>
      </c>
      <c r="AI2205" s="77" t="b">
        <v>0</v>
      </c>
      <c r="AJ2205" s="77"/>
      <c r="AK2205" s="77"/>
      <c r="AL2205" s="77"/>
      <c r="AM2205" s="77"/>
      <c r="AN2205" s="77"/>
      <c r="AO2205" s="77"/>
      <c r="AP2205" s="77"/>
      <c r="AQ2205" s="77" t="s">
        <v>15328</v>
      </c>
      <c r="AR2205" s="77"/>
      <c r="AS2205" s="77"/>
      <c r="AT2205" s="77"/>
      <c r="AU2205" s="77"/>
      <c r="AV2205" s="80" t="str">
        <f>HYPERLINK("https://pbs.twimg.com/media/Fxk604EXgAAMngz.jpg")</f>
        <v>https://pbs.twimg.com/media/Fxk604EXgAAMngz.jpg</v>
      </c>
      <c r="AW2205" s="82" t="s">
        <v>18973</v>
      </c>
      <c r="AX2205" s="82" t="s">
        <v>18973</v>
      </c>
      <c r="AY2205" s="77"/>
      <c r="AZ2205" s="82" t="s">
        <v>20971</v>
      </c>
      <c r="BA2205" s="82" t="s">
        <v>20971</v>
      </c>
      <c r="BB2205" s="82" t="s">
        <v>20971</v>
      </c>
      <c r="BC2205" s="82" t="s">
        <v>18973</v>
      </c>
      <c r="BD2205" s="82" t="s">
        <v>21423</v>
      </c>
      <c r="BE2205" s="77"/>
      <c r="BF2205" s="77"/>
      <c r="BG2205" s="77"/>
      <c r="BH2205" s="77"/>
      <c r="BI2205" s="77"/>
    </row>
    <row r="2206" spans="1:61" x14ac:dyDescent="0.25">
      <c r="A2206" s="62" t="s">
        <v>778</v>
      </c>
      <c r="B2206" s="62" t="s">
        <v>778</v>
      </c>
      <c r="C2206" s="63"/>
      <c r="D2206" s="64"/>
      <c r="E2206" s="65"/>
      <c r="F2206" s="66"/>
      <c r="G2206" s="63"/>
      <c r="H2206" s="67"/>
      <c r="I2206" s="68"/>
      <c r="J2206" s="68"/>
      <c r="K2206" s="32"/>
      <c r="L2206" s="75">
        <v>2206</v>
      </c>
      <c r="M2206" s="75"/>
      <c r="N2206" s="70"/>
      <c r="O2206" s="77" t="s">
        <v>179</v>
      </c>
      <c r="P2206" s="79">
        <v>45077.911203703705</v>
      </c>
      <c r="Q2206" s="77" t="s">
        <v>3416</v>
      </c>
      <c r="R2206" s="77">
        <v>0</v>
      </c>
      <c r="S2206" s="77">
        <v>2</v>
      </c>
      <c r="T2206" s="77">
        <v>0</v>
      </c>
      <c r="U2206" s="77">
        <v>0</v>
      </c>
      <c r="V2206" s="77">
        <v>674</v>
      </c>
      <c r="W2206" s="82" t="s">
        <v>6259</v>
      </c>
      <c r="X2206" s="77"/>
      <c r="Y2206" s="77"/>
      <c r="Z2206" s="77"/>
      <c r="AA2206" s="77" t="s">
        <v>8686</v>
      </c>
      <c r="AB2206" s="77" t="s">
        <v>10129</v>
      </c>
      <c r="AC2206" s="82" t="s">
        <v>10146</v>
      </c>
      <c r="AD2206" s="77" t="s">
        <v>10184</v>
      </c>
      <c r="AE2206" s="80" t="str">
        <f>HYPERLINK("https://twitter.com/aviatorautomate/status/1664027005229191169")</f>
        <v>https://twitter.com/aviatorautomate/status/1664027005229191169</v>
      </c>
      <c r="AF2206" s="79">
        <v>45077.911203703705</v>
      </c>
      <c r="AG2206" s="85">
        <v>45077</v>
      </c>
      <c r="AH2206" s="82" t="s">
        <v>12311</v>
      </c>
      <c r="AI2206" s="77" t="b">
        <v>0</v>
      </c>
      <c r="AJ2206" s="77"/>
      <c r="AK2206" s="77"/>
      <c r="AL2206" s="77"/>
      <c r="AM2206" s="77"/>
      <c r="AN2206" s="77"/>
      <c r="AO2206" s="77"/>
      <c r="AP2206" s="77"/>
      <c r="AQ2206" s="77" t="s">
        <v>15329</v>
      </c>
      <c r="AR2206" s="77">
        <v>87621</v>
      </c>
      <c r="AS2206" s="77"/>
      <c r="AT2206" s="77"/>
      <c r="AU2206" s="77"/>
      <c r="AV2206" s="80" t="str">
        <f>HYPERLINK("https://pbs.twimg.com/ext_tw_video_thumb/1664026851960844288/pu/img/bbfeNeSs1Sfd-vdg.jpg")</f>
        <v>https://pbs.twimg.com/ext_tw_video_thumb/1664026851960844288/pu/img/bbfeNeSs1Sfd-vdg.jpg</v>
      </c>
      <c r="AW2206" s="82" t="s">
        <v>18974</v>
      </c>
      <c r="AX2206" s="82" t="s">
        <v>18974</v>
      </c>
      <c r="AY2206" s="77"/>
      <c r="AZ2206" s="82" t="s">
        <v>20971</v>
      </c>
      <c r="BA2206" s="82" t="s">
        <v>20971</v>
      </c>
      <c r="BB2206" s="82" t="s">
        <v>20971</v>
      </c>
      <c r="BC2206" s="82" t="s">
        <v>18974</v>
      </c>
      <c r="BD2206" s="82" t="s">
        <v>21423</v>
      </c>
      <c r="BE2206" s="77"/>
      <c r="BF2206" s="77"/>
      <c r="BG2206" s="77"/>
      <c r="BH2206" s="77"/>
      <c r="BI2206" s="77"/>
    </row>
    <row r="2207" spans="1:61" x14ac:dyDescent="0.25">
      <c r="A2207" s="62" t="s">
        <v>778</v>
      </c>
      <c r="B2207" s="62" t="s">
        <v>778</v>
      </c>
      <c r="C2207" s="63"/>
      <c r="D2207" s="64"/>
      <c r="E2207" s="65"/>
      <c r="F2207" s="66"/>
      <c r="G2207" s="63"/>
      <c r="H2207" s="67"/>
      <c r="I2207" s="68"/>
      <c r="J2207" s="68"/>
      <c r="K2207" s="32"/>
      <c r="L2207" s="75">
        <v>2207</v>
      </c>
      <c r="M2207" s="75"/>
      <c r="N2207" s="70"/>
      <c r="O2207" s="77" t="s">
        <v>179</v>
      </c>
      <c r="P2207" s="79">
        <v>45076.830636574072</v>
      </c>
      <c r="Q2207" s="77" t="s">
        <v>3417</v>
      </c>
      <c r="R2207" s="77">
        <v>0</v>
      </c>
      <c r="S2207" s="77">
        <v>1</v>
      </c>
      <c r="T2207" s="77">
        <v>0</v>
      </c>
      <c r="U2207" s="77">
        <v>0</v>
      </c>
      <c r="V2207" s="77">
        <v>332</v>
      </c>
      <c r="W2207" s="82" t="s">
        <v>6260</v>
      </c>
      <c r="X2207" s="77"/>
      <c r="Y2207" s="77"/>
      <c r="Z2207" s="77"/>
      <c r="AA2207" s="77" t="s">
        <v>8687</v>
      </c>
      <c r="AB2207" s="77" t="s">
        <v>10130</v>
      </c>
      <c r="AC2207" s="82" t="s">
        <v>10144</v>
      </c>
      <c r="AD2207" s="77" t="s">
        <v>10184</v>
      </c>
      <c r="AE2207" s="80" t="str">
        <f>HYPERLINK("https://twitter.com/aviatorautomate/status/1663635420750520325")</f>
        <v>https://twitter.com/aviatorautomate/status/1663635420750520325</v>
      </c>
      <c r="AF2207" s="79">
        <v>45076.830636574072</v>
      </c>
      <c r="AG2207" s="85">
        <v>45076</v>
      </c>
      <c r="AH2207" s="82" t="s">
        <v>12312</v>
      </c>
      <c r="AI2207" s="77" t="b">
        <v>0</v>
      </c>
      <c r="AJ2207" s="77"/>
      <c r="AK2207" s="77"/>
      <c r="AL2207" s="77"/>
      <c r="AM2207" s="77"/>
      <c r="AN2207" s="77"/>
      <c r="AO2207" s="77"/>
      <c r="AP2207" s="77"/>
      <c r="AQ2207" s="77" t="s">
        <v>15330</v>
      </c>
      <c r="AR2207" s="77"/>
      <c r="AS2207" s="77"/>
      <c r="AT2207" s="77"/>
      <c r="AU2207" s="77"/>
      <c r="AV2207" s="80" t="str">
        <f>HYPERLINK("https://pbs.twimg.com/media/FxZrmV8WYAQhsib.jpg")</f>
        <v>https://pbs.twimg.com/media/FxZrmV8WYAQhsib.jpg</v>
      </c>
      <c r="AW2207" s="82" t="s">
        <v>18975</v>
      </c>
      <c r="AX2207" s="82" t="s">
        <v>18975</v>
      </c>
      <c r="AY2207" s="77"/>
      <c r="AZ2207" s="82" t="s">
        <v>20971</v>
      </c>
      <c r="BA2207" s="82" t="s">
        <v>20971</v>
      </c>
      <c r="BB2207" s="82" t="s">
        <v>20971</v>
      </c>
      <c r="BC2207" s="82" t="s">
        <v>18975</v>
      </c>
      <c r="BD2207" s="82" t="s">
        <v>21423</v>
      </c>
      <c r="BE2207" s="77"/>
      <c r="BF2207" s="77"/>
      <c r="BG2207" s="77"/>
      <c r="BH2207" s="77"/>
      <c r="BI2207" s="77"/>
    </row>
    <row r="2208" spans="1:61" x14ac:dyDescent="0.25">
      <c r="A2208" s="62" t="s">
        <v>778</v>
      </c>
      <c r="B2208" s="62" t="s">
        <v>778</v>
      </c>
      <c r="C2208" s="63"/>
      <c r="D2208" s="64"/>
      <c r="E2208" s="65"/>
      <c r="F2208" s="66"/>
      <c r="G2208" s="63"/>
      <c r="H2208" s="67"/>
      <c r="I2208" s="68"/>
      <c r="J2208" s="68"/>
      <c r="K2208" s="32"/>
      <c r="L2208" s="75">
        <v>2208</v>
      </c>
      <c r="M2208" s="75"/>
      <c r="N2208" s="70"/>
      <c r="O2208" s="77" t="s">
        <v>179</v>
      </c>
      <c r="P2208" s="79">
        <v>45149.040775462963</v>
      </c>
      <c r="Q2208" s="77" t="s">
        <v>3418</v>
      </c>
      <c r="R2208" s="77">
        <v>0</v>
      </c>
      <c r="S2208" s="77">
        <v>0</v>
      </c>
      <c r="T2208" s="77">
        <v>0</v>
      </c>
      <c r="U2208" s="77">
        <v>0</v>
      </c>
      <c r="V2208" s="77">
        <v>319</v>
      </c>
      <c r="W2208" s="82" t="s">
        <v>6261</v>
      </c>
      <c r="X2208" s="77"/>
      <c r="Y2208" s="77"/>
      <c r="Z2208" s="77"/>
      <c r="AA2208" s="77" t="s">
        <v>8688</v>
      </c>
      <c r="AB2208" s="77" t="s">
        <v>10130</v>
      </c>
      <c r="AC2208" s="82" t="s">
        <v>10144</v>
      </c>
      <c r="AD2208" s="77" t="s">
        <v>10184</v>
      </c>
      <c r="AE2208" s="80" t="str">
        <f>HYPERLINK("https://twitter.com/aviatorautomate/status/1689803497816883200")</f>
        <v>https://twitter.com/aviatorautomate/status/1689803497816883200</v>
      </c>
      <c r="AF2208" s="79">
        <v>45149.040775462963</v>
      </c>
      <c r="AG2208" s="85">
        <v>45149</v>
      </c>
      <c r="AH2208" s="82" t="s">
        <v>12313</v>
      </c>
      <c r="AI2208" s="77" t="b">
        <v>0</v>
      </c>
      <c r="AJ2208" s="77"/>
      <c r="AK2208" s="77"/>
      <c r="AL2208" s="77"/>
      <c r="AM2208" s="77"/>
      <c r="AN2208" s="77"/>
      <c r="AO2208" s="77"/>
      <c r="AP2208" s="77"/>
      <c r="AQ2208" s="77" t="s">
        <v>15331</v>
      </c>
      <c r="AR2208" s="77"/>
      <c r="AS2208" s="77"/>
      <c r="AT2208" s="77"/>
      <c r="AU2208" s="77"/>
      <c r="AV2208" s="80" t="str">
        <f>HYPERLINK("https://pbs.twimg.com/media/F3NjUt1X0AAUD1w.jpg")</f>
        <v>https://pbs.twimg.com/media/F3NjUt1X0AAUD1w.jpg</v>
      </c>
      <c r="AW2208" s="82" t="s">
        <v>18976</v>
      </c>
      <c r="AX2208" s="82" t="s">
        <v>18976</v>
      </c>
      <c r="AY2208" s="77"/>
      <c r="AZ2208" s="82" t="s">
        <v>20971</v>
      </c>
      <c r="BA2208" s="82" t="s">
        <v>20971</v>
      </c>
      <c r="BB2208" s="82" t="s">
        <v>20971</v>
      </c>
      <c r="BC2208" s="82" t="s">
        <v>18976</v>
      </c>
      <c r="BD2208" s="82" t="s">
        <v>21423</v>
      </c>
      <c r="BE2208" s="77"/>
      <c r="BF2208" s="77"/>
      <c r="BG2208" s="77"/>
      <c r="BH2208" s="77"/>
      <c r="BI2208" s="77"/>
    </row>
    <row r="2209" spans="1:61" x14ac:dyDescent="0.25">
      <c r="A2209" s="62" t="s">
        <v>778</v>
      </c>
      <c r="B2209" s="62" t="s">
        <v>778</v>
      </c>
      <c r="C2209" s="63"/>
      <c r="D2209" s="64"/>
      <c r="E2209" s="65"/>
      <c r="F2209" s="66"/>
      <c r="G2209" s="63"/>
      <c r="H2209" s="67"/>
      <c r="I2209" s="68"/>
      <c r="J2209" s="68"/>
      <c r="K2209" s="32"/>
      <c r="L2209" s="75">
        <v>2209</v>
      </c>
      <c r="M2209" s="75"/>
      <c r="N2209" s="70"/>
      <c r="O2209" s="77" t="s">
        <v>179</v>
      </c>
      <c r="P2209" s="79">
        <v>45086.759270833332</v>
      </c>
      <c r="Q2209" s="77" t="s">
        <v>3419</v>
      </c>
      <c r="R2209" s="77">
        <v>0</v>
      </c>
      <c r="S2209" s="77">
        <v>0</v>
      </c>
      <c r="T2209" s="77">
        <v>0</v>
      </c>
      <c r="U2209" s="77">
        <v>0</v>
      </c>
      <c r="V2209" s="77">
        <v>361</v>
      </c>
      <c r="W2209" s="82" t="s">
        <v>6262</v>
      </c>
      <c r="X2209" s="77"/>
      <c r="Y2209" s="77"/>
      <c r="Z2209" s="77"/>
      <c r="AA2209" s="77" t="s">
        <v>8689</v>
      </c>
      <c r="AB2209" s="77" t="s">
        <v>10130</v>
      </c>
      <c r="AC2209" s="82" t="s">
        <v>10146</v>
      </c>
      <c r="AD2209" s="77" t="s">
        <v>10184</v>
      </c>
      <c r="AE2209" s="80" t="str">
        <f>HYPERLINK("https://twitter.com/aviatorautomate/status/1667233437168615426")</f>
        <v>https://twitter.com/aviatorautomate/status/1667233437168615426</v>
      </c>
      <c r="AF2209" s="79">
        <v>45086.759270833332</v>
      </c>
      <c r="AG2209" s="85">
        <v>45086</v>
      </c>
      <c r="AH2209" s="82" t="s">
        <v>12314</v>
      </c>
      <c r="AI2209" s="77" t="b">
        <v>0</v>
      </c>
      <c r="AJ2209" s="77"/>
      <c r="AK2209" s="77"/>
      <c r="AL2209" s="77"/>
      <c r="AM2209" s="77"/>
      <c r="AN2209" s="77"/>
      <c r="AO2209" s="77"/>
      <c r="AP2209" s="77"/>
      <c r="AQ2209" s="77" t="s">
        <v>15332</v>
      </c>
      <c r="AR2209" s="77"/>
      <c r="AS2209" s="77"/>
      <c r="AT2209" s="77"/>
      <c r="AU2209" s="77"/>
      <c r="AV2209" s="80" t="str">
        <f>HYPERLINK("https://pbs.twimg.com/media/FyMzic4WcAAl31n.jpg")</f>
        <v>https://pbs.twimg.com/media/FyMzic4WcAAl31n.jpg</v>
      </c>
      <c r="AW2209" s="82" t="s">
        <v>18977</v>
      </c>
      <c r="AX2209" s="82" t="s">
        <v>18977</v>
      </c>
      <c r="AY2209" s="77"/>
      <c r="AZ2209" s="82" t="s">
        <v>20971</v>
      </c>
      <c r="BA2209" s="82" t="s">
        <v>20971</v>
      </c>
      <c r="BB2209" s="82" t="s">
        <v>20971</v>
      </c>
      <c r="BC2209" s="82" t="s">
        <v>18977</v>
      </c>
      <c r="BD2209" s="82" t="s">
        <v>21423</v>
      </c>
      <c r="BE2209" s="77"/>
      <c r="BF2209" s="77"/>
      <c r="BG2209" s="77"/>
      <c r="BH2209" s="77"/>
      <c r="BI2209" s="77"/>
    </row>
    <row r="2210" spans="1:61" x14ac:dyDescent="0.25">
      <c r="A2210" s="62" t="s">
        <v>778</v>
      </c>
      <c r="B2210" s="62" t="s">
        <v>778</v>
      </c>
      <c r="C2210" s="63"/>
      <c r="D2210" s="64"/>
      <c r="E2210" s="65"/>
      <c r="F2210" s="66"/>
      <c r="G2210" s="63"/>
      <c r="H2210" s="67"/>
      <c r="I2210" s="68"/>
      <c r="J2210" s="68"/>
      <c r="K2210" s="32"/>
      <c r="L2210" s="75">
        <v>2210</v>
      </c>
      <c r="M2210" s="75"/>
      <c r="N2210" s="70"/>
      <c r="O2210" s="77" t="s">
        <v>179</v>
      </c>
      <c r="P2210" s="79">
        <v>45084.666643518518</v>
      </c>
      <c r="Q2210" s="77" t="s">
        <v>3420</v>
      </c>
      <c r="R2210" s="77">
        <v>0</v>
      </c>
      <c r="S2210" s="77">
        <v>0</v>
      </c>
      <c r="T2210" s="77">
        <v>0</v>
      </c>
      <c r="U2210" s="77">
        <v>0</v>
      </c>
      <c r="V2210" s="77">
        <v>263</v>
      </c>
      <c r="W2210" s="82" t="s">
        <v>6263</v>
      </c>
      <c r="X2210" s="80" t="str">
        <f>HYPERLINK("https://pay.hotmart.com/E82565042E?checkoutMode=10")</f>
        <v>https://pay.hotmart.com/E82565042E?checkoutMode=10</v>
      </c>
      <c r="Y2210" s="77" t="s">
        <v>7251</v>
      </c>
      <c r="Z2210" s="77"/>
      <c r="AA2210" s="77" t="s">
        <v>8690</v>
      </c>
      <c r="AB2210" s="77" t="s">
        <v>10130</v>
      </c>
      <c r="AC2210" s="82" t="s">
        <v>10146</v>
      </c>
      <c r="AD2210" s="77" t="s">
        <v>10184</v>
      </c>
      <c r="AE2210" s="80" t="str">
        <f>HYPERLINK("https://twitter.com/aviatorautomate/status/1666475093520789506")</f>
        <v>https://twitter.com/aviatorautomate/status/1666475093520789506</v>
      </c>
      <c r="AF2210" s="79">
        <v>45084.666643518518</v>
      </c>
      <c r="AG2210" s="85">
        <v>45084</v>
      </c>
      <c r="AH2210" s="82" t="s">
        <v>12315</v>
      </c>
      <c r="AI2210" s="77" t="b">
        <v>0</v>
      </c>
      <c r="AJ2210" s="77"/>
      <c r="AK2210" s="77"/>
      <c r="AL2210" s="77"/>
      <c r="AM2210" s="77"/>
      <c r="AN2210" s="77"/>
      <c r="AO2210" s="77"/>
      <c r="AP2210" s="77"/>
      <c r="AQ2210" s="77" t="s">
        <v>15333</v>
      </c>
      <c r="AR2210" s="77"/>
      <c r="AS2210" s="77"/>
      <c r="AT2210" s="77"/>
      <c r="AU2210" s="77"/>
      <c r="AV2210" s="80" t="str">
        <f>HYPERLINK("https://pbs.twimg.com/media/FyCB5z8XsAEvbRw.jpg")</f>
        <v>https://pbs.twimg.com/media/FyCB5z8XsAEvbRw.jpg</v>
      </c>
      <c r="AW2210" s="82" t="s">
        <v>18978</v>
      </c>
      <c r="AX2210" s="82" t="s">
        <v>18978</v>
      </c>
      <c r="AY2210" s="77"/>
      <c r="AZ2210" s="82" t="s">
        <v>20971</v>
      </c>
      <c r="BA2210" s="82" t="s">
        <v>20971</v>
      </c>
      <c r="BB2210" s="82" t="s">
        <v>20971</v>
      </c>
      <c r="BC2210" s="82" t="s">
        <v>18978</v>
      </c>
      <c r="BD2210" s="82" t="s">
        <v>21423</v>
      </c>
      <c r="BE2210" s="77"/>
      <c r="BF2210" s="77"/>
      <c r="BG2210" s="77"/>
      <c r="BH2210" s="77"/>
      <c r="BI2210" s="77"/>
    </row>
    <row r="2211" spans="1:61" x14ac:dyDescent="0.25">
      <c r="A2211" s="62" t="s">
        <v>778</v>
      </c>
      <c r="B2211" s="62" t="s">
        <v>778</v>
      </c>
      <c r="C2211" s="63"/>
      <c r="D2211" s="64"/>
      <c r="E2211" s="65"/>
      <c r="F2211" s="66"/>
      <c r="G2211" s="63"/>
      <c r="H2211" s="67"/>
      <c r="I2211" s="68"/>
      <c r="J2211" s="68"/>
      <c r="K2211" s="32"/>
      <c r="L2211" s="75">
        <v>2211</v>
      </c>
      <c r="M2211" s="75"/>
      <c r="N2211" s="70"/>
      <c r="O2211" s="77" t="s">
        <v>179</v>
      </c>
      <c r="P2211" s="79">
        <v>45059.615601851852</v>
      </c>
      <c r="Q2211" s="77" t="s">
        <v>3421</v>
      </c>
      <c r="R2211" s="77">
        <v>0</v>
      </c>
      <c r="S2211" s="77">
        <v>2</v>
      </c>
      <c r="T2211" s="77">
        <v>0</v>
      </c>
      <c r="U2211" s="77">
        <v>0</v>
      </c>
      <c r="V2211" s="77">
        <v>538</v>
      </c>
      <c r="W2211" s="82" t="s">
        <v>6264</v>
      </c>
      <c r="X2211" s="77"/>
      <c r="Y2211" s="77"/>
      <c r="Z2211" s="77"/>
      <c r="AA2211" s="77" t="s">
        <v>8691</v>
      </c>
      <c r="AB2211" s="77" t="s">
        <v>10129</v>
      </c>
      <c r="AC2211" s="82" t="s">
        <v>10144</v>
      </c>
      <c r="AD2211" s="77" t="s">
        <v>10184</v>
      </c>
      <c r="AE2211" s="80" t="str">
        <f>HYPERLINK("https://twitter.com/aviatorautomate/status/1657396900675346432")</f>
        <v>https://twitter.com/aviatorautomate/status/1657396900675346432</v>
      </c>
      <c r="AF2211" s="79">
        <v>45059.615601851852</v>
      </c>
      <c r="AG2211" s="85">
        <v>45059</v>
      </c>
      <c r="AH2211" s="82" t="s">
        <v>12316</v>
      </c>
      <c r="AI2211" s="77" t="b">
        <v>0</v>
      </c>
      <c r="AJ2211" s="77"/>
      <c r="AK2211" s="77"/>
      <c r="AL2211" s="77"/>
      <c r="AM2211" s="77"/>
      <c r="AN2211" s="77"/>
      <c r="AO2211" s="77"/>
      <c r="AP2211" s="77"/>
      <c r="AQ2211" s="77" t="s">
        <v>15334</v>
      </c>
      <c r="AR2211" s="77">
        <v>57900</v>
      </c>
      <c r="AS2211" s="77"/>
      <c r="AT2211" s="77"/>
      <c r="AU2211" s="77"/>
      <c r="AV2211" s="80" t="str">
        <f>HYPERLINK("https://pbs.twimg.com/ext_tw_video_thumb/1657396745045696514/pu/img/wmHMIOD8kDcuTIs6.jpg")</f>
        <v>https://pbs.twimg.com/ext_tw_video_thumb/1657396745045696514/pu/img/wmHMIOD8kDcuTIs6.jpg</v>
      </c>
      <c r="AW2211" s="82" t="s">
        <v>18979</v>
      </c>
      <c r="AX2211" s="82" t="s">
        <v>18979</v>
      </c>
      <c r="AY2211" s="77"/>
      <c r="AZ2211" s="82" t="s">
        <v>20971</v>
      </c>
      <c r="BA2211" s="82" t="s">
        <v>20971</v>
      </c>
      <c r="BB2211" s="82" t="s">
        <v>20971</v>
      </c>
      <c r="BC2211" s="82" t="s">
        <v>18979</v>
      </c>
      <c r="BD2211" s="82" t="s">
        <v>21423</v>
      </c>
      <c r="BE2211" s="77"/>
      <c r="BF2211" s="77"/>
      <c r="BG2211" s="77"/>
      <c r="BH2211" s="77"/>
      <c r="BI2211" s="77"/>
    </row>
    <row r="2212" spans="1:61" x14ac:dyDescent="0.25">
      <c r="A2212" s="62" t="s">
        <v>778</v>
      </c>
      <c r="B2212" s="62" t="s">
        <v>778</v>
      </c>
      <c r="C2212" s="63"/>
      <c r="D2212" s="64"/>
      <c r="E2212" s="65"/>
      <c r="F2212" s="66"/>
      <c r="G2212" s="63"/>
      <c r="H2212" s="67"/>
      <c r="I2212" s="68"/>
      <c r="J2212" s="68"/>
      <c r="K2212" s="32"/>
      <c r="L2212" s="75">
        <v>2212</v>
      </c>
      <c r="M2212" s="75"/>
      <c r="N2212" s="70"/>
      <c r="O2212" s="77" t="s">
        <v>179</v>
      </c>
      <c r="P2212" s="79">
        <v>45059.054490740738</v>
      </c>
      <c r="Q2212" s="77" t="s">
        <v>3422</v>
      </c>
      <c r="R2212" s="77">
        <v>0</v>
      </c>
      <c r="S2212" s="77">
        <v>0</v>
      </c>
      <c r="T2212" s="77">
        <v>0</v>
      </c>
      <c r="U2212" s="77">
        <v>0</v>
      </c>
      <c r="V2212" s="77">
        <v>259</v>
      </c>
      <c r="W2212" s="82" t="s">
        <v>6265</v>
      </c>
      <c r="X2212" s="77"/>
      <c r="Y2212" s="77"/>
      <c r="Z2212" s="77"/>
      <c r="AA2212" s="77" t="s">
        <v>8692</v>
      </c>
      <c r="AB2212" s="77" t="s">
        <v>10130</v>
      </c>
      <c r="AC2212" s="82" t="s">
        <v>10146</v>
      </c>
      <c r="AD2212" s="77" t="s">
        <v>10184</v>
      </c>
      <c r="AE2212" s="80" t="str">
        <f>HYPERLINK("https://twitter.com/aviatorautomate/status/1657193558992887809")</f>
        <v>https://twitter.com/aviatorautomate/status/1657193558992887809</v>
      </c>
      <c r="AF2212" s="79">
        <v>45059.054490740738</v>
      </c>
      <c r="AG2212" s="85">
        <v>45059</v>
      </c>
      <c r="AH2212" s="82" t="s">
        <v>12317</v>
      </c>
      <c r="AI2212" s="77" t="b">
        <v>0</v>
      </c>
      <c r="AJ2212" s="77"/>
      <c r="AK2212" s="77"/>
      <c r="AL2212" s="77"/>
      <c r="AM2212" s="77"/>
      <c r="AN2212" s="77"/>
      <c r="AO2212" s="77"/>
      <c r="AP2212" s="77"/>
      <c r="AQ2212" s="77" t="s">
        <v>15335</v>
      </c>
      <c r="AR2212" s="77"/>
      <c r="AS2212" s="77"/>
      <c r="AT2212" s="77"/>
      <c r="AU2212" s="77"/>
      <c r="AV2212" s="80" t="str">
        <f>HYPERLINK("https://pbs.twimg.com/media/Fv-IchZXgAAhbB-.png")</f>
        <v>https://pbs.twimg.com/media/Fv-IchZXgAAhbB-.png</v>
      </c>
      <c r="AW2212" s="82" t="s">
        <v>18980</v>
      </c>
      <c r="AX2212" s="82" t="s">
        <v>18980</v>
      </c>
      <c r="AY2212" s="77"/>
      <c r="AZ2212" s="82" t="s">
        <v>20971</v>
      </c>
      <c r="BA2212" s="82" t="s">
        <v>20971</v>
      </c>
      <c r="BB2212" s="82" t="s">
        <v>20971</v>
      </c>
      <c r="BC2212" s="82" t="s">
        <v>18980</v>
      </c>
      <c r="BD2212" s="82" t="s">
        <v>21423</v>
      </c>
      <c r="BE2212" s="77"/>
      <c r="BF2212" s="77"/>
      <c r="BG2212" s="77"/>
      <c r="BH2212" s="77"/>
      <c r="BI2212" s="77"/>
    </row>
    <row r="2213" spans="1:61" x14ac:dyDescent="0.25">
      <c r="A2213" s="62" t="s">
        <v>778</v>
      </c>
      <c r="B2213" s="62" t="s">
        <v>778</v>
      </c>
      <c r="C2213" s="63"/>
      <c r="D2213" s="64"/>
      <c r="E2213" s="65"/>
      <c r="F2213" s="66"/>
      <c r="G2213" s="63"/>
      <c r="H2213" s="67"/>
      <c r="I2213" s="68"/>
      <c r="J2213" s="68"/>
      <c r="K2213" s="32"/>
      <c r="L2213" s="75">
        <v>2213</v>
      </c>
      <c r="M2213" s="75"/>
      <c r="N2213" s="70"/>
      <c r="O2213" s="77" t="s">
        <v>179</v>
      </c>
      <c r="P2213" s="79">
        <v>45058.909398148149</v>
      </c>
      <c r="Q2213" s="77" t="s">
        <v>3423</v>
      </c>
      <c r="R2213" s="77">
        <v>0</v>
      </c>
      <c r="S2213" s="77">
        <v>0</v>
      </c>
      <c r="T2213" s="77">
        <v>0</v>
      </c>
      <c r="U2213" s="77">
        <v>0</v>
      </c>
      <c r="V2213" s="77">
        <v>485</v>
      </c>
      <c r="W2213" s="82" t="s">
        <v>6266</v>
      </c>
      <c r="X2213" s="77"/>
      <c r="Y2213" s="77"/>
      <c r="Z2213" s="77"/>
      <c r="AA2213" s="77" t="s">
        <v>8693</v>
      </c>
      <c r="AB2213" s="77" t="s">
        <v>10129</v>
      </c>
      <c r="AC2213" s="82" t="s">
        <v>10144</v>
      </c>
      <c r="AD2213" s="77" t="s">
        <v>10184</v>
      </c>
      <c r="AE2213" s="80" t="str">
        <f>HYPERLINK("https://twitter.com/aviatorautomate/status/1657140980808577026")</f>
        <v>https://twitter.com/aviatorautomate/status/1657140980808577026</v>
      </c>
      <c r="AF2213" s="79">
        <v>45058.909398148149</v>
      </c>
      <c r="AG2213" s="85">
        <v>45058</v>
      </c>
      <c r="AH2213" s="82" t="s">
        <v>12318</v>
      </c>
      <c r="AI2213" s="77" t="b">
        <v>0</v>
      </c>
      <c r="AJ2213" s="77"/>
      <c r="AK2213" s="77"/>
      <c r="AL2213" s="77"/>
      <c r="AM2213" s="77"/>
      <c r="AN2213" s="77"/>
      <c r="AO2213" s="77"/>
      <c r="AP2213" s="77"/>
      <c r="AQ2213" s="77" t="s">
        <v>15336</v>
      </c>
      <c r="AR2213" s="77">
        <v>108957</v>
      </c>
      <c r="AS2213" s="77"/>
      <c r="AT2213" s="77"/>
      <c r="AU2213" s="77"/>
      <c r="AV2213" s="80" t="str">
        <f>HYPERLINK("https://pbs.twimg.com/ext_tw_video_thumb/1657140767696076801/pu/img/IO08YClhPNAvrxAn.jpg")</f>
        <v>https://pbs.twimg.com/ext_tw_video_thumb/1657140767696076801/pu/img/IO08YClhPNAvrxAn.jpg</v>
      </c>
      <c r="AW2213" s="82" t="s">
        <v>18981</v>
      </c>
      <c r="AX2213" s="82" t="s">
        <v>18981</v>
      </c>
      <c r="AY2213" s="77"/>
      <c r="AZ2213" s="82" t="s">
        <v>20971</v>
      </c>
      <c r="BA2213" s="82" t="s">
        <v>20971</v>
      </c>
      <c r="BB2213" s="82" t="s">
        <v>20971</v>
      </c>
      <c r="BC2213" s="82" t="s">
        <v>18981</v>
      </c>
      <c r="BD2213" s="82" t="s">
        <v>21423</v>
      </c>
      <c r="BE2213" s="77"/>
      <c r="BF2213" s="77"/>
      <c r="BG2213" s="77"/>
      <c r="BH2213" s="77"/>
      <c r="BI2213" s="77"/>
    </row>
    <row r="2214" spans="1:61" x14ac:dyDescent="0.25">
      <c r="A2214" s="62" t="s">
        <v>778</v>
      </c>
      <c r="B2214" s="62" t="s">
        <v>778</v>
      </c>
      <c r="C2214" s="63"/>
      <c r="D2214" s="64"/>
      <c r="E2214" s="65"/>
      <c r="F2214" s="66"/>
      <c r="G2214" s="63"/>
      <c r="H2214" s="67"/>
      <c r="I2214" s="68"/>
      <c r="J2214" s="68"/>
      <c r="K2214" s="32"/>
      <c r="L2214" s="75">
        <v>2214</v>
      </c>
      <c r="M2214" s="75"/>
      <c r="N2214" s="70"/>
      <c r="O2214" s="77" t="s">
        <v>179</v>
      </c>
      <c r="P2214" s="79">
        <v>45058.604027777779</v>
      </c>
      <c r="Q2214" s="77" t="s">
        <v>3424</v>
      </c>
      <c r="R2214" s="77">
        <v>0</v>
      </c>
      <c r="S2214" s="77">
        <v>1</v>
      </c>
      <c r="T2214" s="77">
        <v>0</v>
      </c>
      <c r="U2214" s="77">
        <v>0</v>
      </c>
      <c r="V2214" s="77">
        <v>271</v>
      </c>
      <c r="W2214" s="82" t="s">
        <v>6267</v>
      </c>
      <c r="X2214" s="77"/>
      <c r="Y2214" s="77"/>
      <c r="Z2214" s="77"/>
      <c r="AA2214" s="77" t="s">
        <v>8694</v>
      </c>
      <c r="AB2214" s="77" t="s">
        <v>10129</v>
      </c>
      <c r="AC2214" s="82" t="s">
        <v>10146</v>
      </c>
      <c r="AD2214" s="77" t="s">
        <v>10184</v>
      </c>
      <c r="AE2214" s="80" t="str">
        <f>HYPERLINK("https://twitter.com/aviatorautomate/status/1657030318807822336")</f>
        <v>https://twitter.com/aviatorautomate/status/1657030318807822336</v>
      </c>
      <c r="AF2214" s="79">
        <v>45058.604027777779</v>
      </c>
      <c r="AG2214" s="85">
        <v>45058</v>
      </c>
      <c r="AH2214" s="82" t="s">
        <v>10796</v>
      </c>
      <c r="AI2214" s="77" t="b">
        <v>0</v>
      </c>
      <c r="AJ2214" s="77"/>
      <c r="AK2214" s="77"/>
      <c r="AL2214" s="77"/>
      <c r="AM2214" s="77"/>
      <c r="AN2214" s="77"/>
      <c r="AO2214" s="77"/>
      <c r="AP2214" s="77"/>
      <c r="AQ2214" s="77" t="s">
        <v>15337</v>
      </c>
      <c r="AR2214" s="77">
        <v>96664</v>
      </c>
      <c r="AS2214" s="77"/>
      <c r="AT2214" s="77"/>
      <c r="AU2214" s="77"/>
      <c r="AV2214" s="80" t="str">
        <f>HYPERLINK("https://pbs.twimg.com/ext_tw_video_thumb/1657029818796371971/pu/img/Yy0FLz71JkM3yhl0.jpg")</f>
        <v>https://pbs.twimg.com/ext_tw_video_thumb/1657029818796371971/pu/img/Yy0FLz71JkM3yhl0.jpg</v>
      </c>
      <c r="AW2214" s="82" t="s">
        <v>18982</v>
      </c>
      <c r="AX2214" s="82" t="s">
        <v>18982</v>
      </c>
      <c r="AY2214" s="77"/>
      <c r="AZ2214" s="82" t="s">
        <v>20971</v>
      </c>
      <c r="BA2214" s="82" t="s">
        <v>20971</v>
      </c>
      <c r="BB2214" s="82" t="s">
        <v>20971</v>
      </c>
      <c r="BC2214" s="82" t="s">
        <v>18982</v>
      </c>
      <c r="BD2214" s="82" t="s">
        <v>21423</v>
      </c>
      <c r="BE2214" s="77"/>
      <c r="BF2214" s="77"/>
      <c r="BG2214" s="77"/>
      <c r="BH2214" s="77"/>
      <c r="BI2214" s="77"/>
    </row>
    <row r="2215" spans="1:61" x14ac:dyDescent="0.25">
      <c r="A2215" s="62" t="s">
        <v>778</v>
      </c>
      <c r="B2215" s="62" t="s">
        <v>778</v>
      </c>
      <c r="C2215" s="63"/>
      <c r="D2215" s="64"/>
      <c r="E2215" s="65"/>
      <c r="F2215" s="66"/>
      <c r="G2215" s="63"/>
      <c r="H2215" s="67"/>
      <c r="I2215" s="68"/>
      <c r="J2215" s="68"/>
      <c r="K2215" s="32"/>
      <c r="L2215" s="75">
        <v>2215</v>
      </c>
      <c r="M2215" s="75"/>
      <c r="N2215" s="70"/>
      <c r="O2215" s="77" t="s">
        <v>179</v>
      </c>
      <c r="P2215" s="79">
        <v>45058.587592592594</v>
      </c>
      <c r="Q2215" s="77" t="s">
        <v>3425</v>
      </c>
      <c r="R2215" s="77">
        <v>0</v>
      </c>
      <c r="S2215" s="77">
        <v>1</v>
      </c>
      <c r="T2215" s="77">
        <v>0</v>
      </c>
      <c r="U2215" s="77">
        <v>0</v>
      </c>
      <c r="V2215" s="77">
        <v>371</v>
      </c>
      <c r="W2215" s="82" t="s">
        <v>6268</v>
      </c>
      <c r="X2215" s="77"/>
      <c r="Y2215" s="77"/>
      <c r="Z2215" s="77"/>
      <c r="AA2215" s="77" t="s">
        <v>8695</v>
      </c>
      <c r="AB2215" s="77" t="s">
        <v>10129</v>
      </c>
      <c r="AC2215" s="82" t="s">
        <v>10144</v>
      </c>
      <c r="AD2215" s="77" t="s">
        <v>10184</v>
      </c>
      <c r="AE2215" s="80" t="str">
        <f>HYPERLINK("https://twitter.com/aviatorautomate/status/1657024360773738497")</f>
        <v>https://twitter.com/aviatorautomate/status/1657024360773738497</v>
      </c>
      <c r="AF2215" s="79">
        <v>45058.587592592594</v>
      </c>
      <c r="AG2215" s="85">
        <v>45058</v>
      </c>
      <c r="AH2215" s="82" t="s">
        <v>12319</v>
      </c>
      <c r="AI2215" s="77" t="b">
        <v>0</v>
      </c>
      <c r="AJ2215" s="77"/>
      <c r="AK2215" s="77"/>
      <c r="AL2215" s="77"/>
      <c r="AM2215" s="77"/>
      <c r="AN2215" s="77"/>
      <c r="AO2215" s="77"/>
      <c r="AP2215" s="77"/>
      <c r="AQ2215" s="77" t="s">
        <v>15338</v>
      </c>
      <c r="AR2215" s="77">
        <v>33505</v>
      </c>
      <c r="AS2215" s="77"/>
      <c r="AT2215" s="77"/>
      <c r="AU2215" s="77"/>
      <c r="AV2215" s="80" t="str">
        <f>HYPERLINK("https://pbs.twimg.com/ext_tw_video_thumb/1657024081571479552/pu/img/0YOHDJ6d_PKwj2kL.jpg")</f>
        <v>https://pbs.twimg.com/ext_tw_video_thumb/1657024081571479552/pu/img/0YOHDJ6d_PKwj2kL.jpg</v>
      </c>
      <c r="AW2215" s="82" t="s">
        <v>18983</v>
      </c>
      <c r="AX2215" s="82" t="s">
        <v>18983</v>
      </c>
      <c r="AY2215" s="77"/>
      <c r="AZ2215" s="82" t="s">
        <v>20971</v>
      </c>
      <c r="BA2215" s="82" t="s">
        <v>20971</v>
      </c>
      <c r="BB2215" s="82" t="s">
        <v>20971</v>
      </c>
      <c r="BC2215" s="82" t="s">
        <v>18983</v>
      </c>
      <c r="BD2215" s="82" t="s">
        <v>21423</v>
      </c>
      <c r="BE2215" s="77"/>
      <c r="BF2215" s="77"/>
      <c r="BG2215" s="77"/>
      <c r="BH2215" s="77"/>
      <c r="BI2215" s="77"/>
    </row>
    <row r="2216" spans="1:61" x14ac:dyDescent="0.25">
      <c r="A2216" s="62" t="s">
        <v>778</v>
      </c>
      <c r="B2216" s="62" t="s">
        <v>778</v>
      </c>
      <c r="C2216" s="63"/>
      <c r="D2216" s="64"/>
      <c r="E2216" s="65"/>
      <c r="F2216" s="66"/>
      <c r="G2216" s="63"/>
      <c r="H2216" s="67"/>
      <c r="I2216" s="68"/>
      <c r="J2216" s="68"/>
      <c r="K2216" s="32"/>
      <c r="L2216" s="75">
        <v>2216</v>
      </c>
      <c r="M2216" s="75"/>
      <c r="N2216" s="70"/>
      <c r="O2216" s="77" t="s">
        <v>179</v>
      </c>
      <c r="P2216" s="79">
        <v>45057.992511574077</v>
      </c>
      <c r="Q2216" s="77" t="s">
        <v>3426</v>
      </c>
      <c r="R2216" s="77">
        <v>0</v>
      </c>
      <c r="S2216" s="77">
        <v>2</v>
      </c>
      <c r="T2216" s="77">
        <v>1</v>
      </c>
      <c r="U2216" s="77">
        <v>0</v>
      </c>
      <c r="V2216" s="77">
        <v>605</v>
      </c>
      <c r="W2216" s="82" t="s">
        <v>6269</v>
      </c>
      <c r="X2216" s="77"/>
      <c r="Y2216" s="77"/>
      <c r="Z2216" s="77"/>
      <c r="AA2216" s="77" t="s">
        <v>8696</v>
      </c>
      <c r="AB2216" s="77" t="s">
        <v>10129</v>
      </c>
      <c r="AC2216" s="82" t="s">
        <v>10144</v>
      </c>
      <c r="AD2216" s="77" t="s">
        <v>10184</v>
      </c>
      <c r="AE2216" s="80" t="str">
        <f>HYPERLINK("https://twitter.com/aviatorautomate/status/1656808710537109504")</f>
        <v>https://twitter.com/aviatorautomate/status/1656808710537109504</v>
      </c>
      <c r="AF2216" s="79">
        <v>45057.992511574077</v>
      </c>
      <c r="AG2216" s="85">
        <v>45057</v>
      </c>
      <c r="AH2216" s="82" t="s">
        <v>12320</v>
      </c>
      <c r="AI2216" s="77" t="b">
        <v>0</v>
      </c>
      <c r="AJ2216" s="77"/>
      <c r="AK2216" s="77"/>
      <c r="AL2216" s="77"/>
      <c r="AM2216" s="77"/>
      <c r="AN2216" s="77"/>
      <c r="AO2216" s="77"/>
      <c r="AP2216" s="77"/>
      <c r="AQ2216" s="77" t="s">
        <v>15339</v>
      </c>
      <c r="AR2216" s="77">
        <v>139606</v>
      </c>
      <c r="AS2216" s="77"/>
      <c r="AT2216" s="77"/>
      <c r="AU2216" s="77"/>
      <c r="AV2216" s="80" t="str">
        <f>HYPERLINK("https://pbs.twimg.com/ext_tw_video_thumb/1656808498439548929/pu/img/m9m0uG2GTzxEcsM9.jpg")</f>
        <v>https://pbs.twimg.com/ext_tw_video_thumb/1656808498439548929/pu/img/m9m0uG2GTzxEcsM9.jpg</v>
      </c>
      <c r="AW2216" s="82" t="s">
        <v>18984</v>
      </c>
      <c r="AX2216" s="82" t="s">
        <v>18984</v>
      </c>
      <c r="AY2216" s="77"/>
      <c r="AZ2216" s="82" t="s">
        <v>20971</v>
      </c>
      <c r="BA2216" s="82" t="s">
        <v>20971</v>
      </c>
      <c r="BB2216" s="82" t="s">
        <v>20971</v>
      </c>
      <c r="BC2216" s="82" t="s">
        <v>18984</v>
      </c>
      <c r="BD2216" s="82" t="s">
        <v>21423</v>
      </c>
      <c r="BE2216" s="77"/>
      <c r="BF2216" s="77"/>
      <c r="BG2216" s="77"/>
      <c r="BH2216" s="77"/>
      <c r="BI2216" s="77"/>
    </row>
    <row r="2217" spans="1:61" x14ac:dyDescent="0.25">
      <c r="A2217" s="62" t="s">
        <v>778</v>
      </c>
      <c r="B2217" s="62" t="s">
        <v>778</v>
      </c>
      <c r="C2217" s="63"/>
      <c r="D2217" s="64"/>
      <c r="E2217" s="65"/>
      <c r="F2217" s="66"/>
      <c r="G2217" s="63"/>
      <c r="H2217" s="67"/>
      <c r="I2217" s="68"/>
      <c r="J2217" s="68"/>
      <c r="K2217" s="32"/>
      <c r="L2217" s="75">
        <v>2217</v>
      </c>
      <c r="M2217" s="75"/>
      <c r="N2217" s="70"/>
      <c r="O2217" s="77" t="s">
        <v>179</v>
      </c>
      <c r="P2217" s="79">
        <v>45057.933506944442</v>
      </c>
      <c r="Q2217" s="77" t="s">
        <v>3427</v>
      </c>
      <c r="R2217" s="77">
        <v>0</v>
      </c>
      <c r="S2217" s="77">
        <v>0</v>
      </c>
      <c r="T2217" s="77">
        <v>0</v>
      </c>
      <c r="U2217" s="77">
        <v>0</v>
      </c>
      <c r="V2217" s="77">
        <v>270</v>
      </c>
      <c r="W2217" s="82" t="s">
        <v>6242</v>
      </c>
      <c r="X2217" s="77"/>
      <c r="Y2217" s="77"/>
      <c r="Z2217" s="77"/>
      <c r="AA2217" s="77" t="s">
        <v>8697</v>
      </c>
      <c r="AB2217" s="77" t="s">
        <v>10129</v>
      </c>
      <c r="AC2217" s="82" t="s">
        <v>10144</v>
      </c>
      <c r="AD2217" s="77" t="s">
        <v>10184</v>
      </c>
      <c r="AE2217" s="80" t="str">
        <f>HYPERLINK("https://twitter.com/aviatorautomate/status/1656787330022162432")</f>
        <v>https://twitter.com/aviatorautomate/status/1656787330022162432</v>
      </c>
      <c r="AF2217" s="79">
        <v>45057.933506944442</v>
      </c>
      <c r="AG2217" s="85">
        <v>45057</v>
      </c>
      <c r="AH2217" s="82" t="s">
        <v>11547</v>
      </c>
      <c r="AI2217" s="77" t="b">
        <v>0</v>
      </c>
      <c r="AJ2217" s="77"/>
      <c r="AK2217" s="77"/>
      <c r="AL2217" s="77"/>
      <c r="AM2217" s="77"/>
      <c r="AN2217" s="77"/>
      <c r="AO2217" s="77"/>
      <c r="AP2217" s="77"/>
      <c r="AQ2217" s="77" t="s">
        <v>15340</v>
      </c>
      <c r="AR2217" s="77">
        <v>63829</v>
      </c>
      <c r="AS2217" s="77"/>
      <c r="AT2217" s="77"/>
      <c r="AU2217" s="77"/>
      <c r="AV2217" s="80" t="str">
        <f>HYPERLINK("https://pbs.twimg.com/ext_tw_video_thumb/1656787097699733505/pu/img/2jPb_uz7K4V1JE1O.jpg")</f>
        <v>https://pbs.twimg.com/ext_tw_video_thumb/1656787097699733505/pu/img/2jPb_uz7K4V1JE1O.jpg</v>
      </c>
      <c r="AW2217" s="82" t="s">
        <v>18985</v>
      </c>
      <c r="AX2217" s="82" t="s">
        <v>18985</v>
      </c>
      <c r="AY2217" s="77"/>
      <c r="AZ2217" s="82" t="s">
        <v>20971</v>
      </c>
      <c r="BA2217" s="82" t="s">
        <v>20971</v>
      </c>
      <c r="BB2217" s="82" t="s">
        <v>20971</v>
      </c>
      <c r="BC2217" s="82" t="s">
        <v>18985</v>
      </c>
      <c r="BD2217" s="82" t="s">
        <v>21423</v>
      </c>
      <c r="BE2217" s="77"/>
      <c r="BF2217" s="77"/>
      <c r="BG2217" s="77"/>
      <c r="BH2217" s="77"/>
      <c r="BI2217" s="77"/>
    </row>
    <row r="2218" spans="1:61" x14ac:dyDescent="0.25">
      <c r="A2218" s="62" t="s">
        <v>778</v>
      </c>
      <c r="B2218" s="62" t="s">
        <v>778</v>
      </c>
      <c r="C2218" s="63"/>
      <c r="D2218" s="64"/>
      <c r="E2218" s="65"/>
      <c r="F2218" s="66"/>
      <c r="G2218" s="63"/>
      <c r="H2218" s="67"/>
      <c r="I2218" s="68"/>
      <c r="J2218" s="68"/>
      <c r="K2218" s="32"/>
      <c r="L2218" s="75">
        <v>2218</v>
      </c>
      <c r="M2218" s="75"/>
      <c r="N2218" s="70"/>
      <c r="O2218" s="77" t="s">
        <v>179</v>
      </c>
      <c r="P2218" s="79">
        <v>45152.726782407408</v>
      </c>
      <c r="Q2218" s="77" t="s">
        <v>3428</v>
      </c>
      <c r="R2218" s="77">
        <v>0</v>
      </c>
      <c r="S2218" s="77">
        <v>0</v>
      </c>
      <c r="T2218" s="77">
        <v>0</v>
      </c>
      <c r="U2218" s="77">
        <v>0</v>
      </c>
      <c r="V2218" s="77">
        <v>246</v>
      </c>
      <c r="W2218" s="82" t="s">
        <v>6270</v>
      </c>
      <c r="X2218" s="77"/>
      <c r="Y2218" s="77"/>
      <c r="Z2218" s="77"/>
      <c r="AA2218" s="77" t="s">
        <v>8698</v>
      </c>
      <c r="AB2218" s="77" t="s">
        <v>10130</v>
      </c>
      <c r="AC2218" s="82" t="s">
        <v>10144</v>
      </c>
      <c r="AD2218" s="77" t="s">
        <v>10184</v>
      </c>
      <c r="AE2218" s="80" t="str">
        <f>HYPERLINK("https://twitter.com/aviatorautomate/status/1691139260252827648")</f>
        <v>https://twitter.com/aviatorautomate/status/1691139260252827648</v>
      </c>
      <c r="AF2218" s="79">
        <v>45152.726782407408</v>
      </c>
      <c r="AG2218" s="85">
        <v>45152</v>
      </c>
      <c r="AH2218" s="82" t="s">
        <v>12321</v>
      </c>
      <c r="AI2218" s="77" t="b">
        <v>0</v>
      </c>
      <c r="AJ2218" s="77"/>
      <c r="AK2218" s="77"/>
      <c r="AL2218" s="77"/>
      <c r="AM2218" s="77"/>
      <c r="AN2218" s="77"/>
      <c r="AO2218" s="77"/>
      <c r="AP2218" s="77"/>
      <c r="AQ2218" s="77" t="s">
        <v>15341</v>
      </c>
      <c r="AR2218" s="77"/>
      <c r="AS2218" s="77"/>
      <c r="AT2218" s="77"/>
      <c r="AU2218" s="77"/>
      <c r="AV2218" s="80" t="str">
        <f>HYPERLINK("https://pbs.twimg.com/media/F3giMbrWMBAjh_y.jpg")</f>
        <v>https://pbs.twimg.com/media/F3giMbrWMBAjh_y.jpg</v>
      </c>
      <c r="AW2218" s="82" t="s">
        <v>18986</v>
      </c>
      <c r="AX2218" s="82" t="s">
        <v>18986</v>
      </c>
      <c r="AY2218" s="77"/>
      <c r="AZ2218" s="82" t="s">
        <v>20971</v>
      </c>
      <c r="BA2218" s="82" t="s">
        <v>20971</v>
      </c>
      <c r="BB2218" s="82" t="s">
        <v>20971</v>
      </c>
      <c r="BC2218" s="82" t="s">
        <v>18986</v>
      </c>
      <c r="BD2218" s="82" t="s">
        <v>21423</v>
      </c>
      <c r="BE2218" s="77"/>
      <c r="BF2218" s="77"/>
      <c r="BG2218" s="77"/>
      <c r="BH2218" s="77"/>
      <c r="BI2218" s="77"/>
    </row>
    <row r="2219" spans="1:61" x14ac:dyDescent="0.25">
      <c r="A2219" s="62" t="s">
        <v>778</v>
      </c>
      <c r="B2219" s="62" t="s">
        <v>778</v>
      </c>
      <c r="C2219" s="63"/>
      <c r="D2219" s="64"/>
      <c r="E2219" s="65"/>
      <c r="F2219" s="66"/>
      <c r="G2219" s="63"/>
      <c r="H2219" s="67"/>
      <c r="I2219" s="68"/>
      <c r="J2219" s="68"/>
      <c r="K2219" s="32"/>
      <c r="L2219" s="75">
        <v>2219</v>
      </c>
      <c r="M2219" s="75"/>
      <c r="N2219" s="70"/>
      <c r="O2219" s="77" t="s">
        <v>179</v>
      </c>
      <c r="P2219" s="79">
        <v>45109.874699074076</v>
      </c>
      <c r="Q2219" s="77" t="s">
        <v>3429</v>
      </c>
      <c r="R2219" s="77">
        <v>0</v>
      </c>
      <c r="S2219" s="77">
        <v>0</v>
      </c>
      <c r="T2219" s="77">
        <v>0</v>
      </c>
      <c r="U2219" s="77">
        <v>0</v>
      </c>
      <c r="V2219" s="77">
        <v>699</v>
      </c>
      <c r="W2219" s="82" t="s">
        <v>6271</v>
      </c>
      <c r="X2219" s="77"/>
      <c r="Y2219" s="77"/>
      <c r="Z2219" s="77"/>
      <c r="AA2219" s="77" t="s">
        <v>8699</v>
      </c>
      <c r="AB2219" s="77" t="s">
        <v>10129</v>
      </c>
      <c r="AC2219" s="82" t="s">
        <v>10144</v>
      </c>
      <c r="AD2219" s="77" t="s">
        <v>10184</v>
      </c>
      <c r="AE2219" s="80" t="str">
        <f>HYPERLINK("https://twitter.com/aviatorautomate/status/1675610185753141249")</f>
        <v>https://twitter.com/aviatorautomate/status/1675610185753141249</v>
      </c>
      <c r="AF2219" s="79">
        <v>45109.874699074076</v>
      </c>
      <c r="AG2219" s="85">
        <v>45109</v>
      </c>
      <c r="AH2219" s="82" t="s">
        <v>12322</v>
      </c>
      <c r="AI2219" s="77" t="b">
        <v>0</v>
      </c>
      <c r="AJ2219" s="77"/>
      <c r="AK2219" s="77"/>
      <c r="AL2219" s="77"/>
      <c r="AM2219" s="77"/>
      <c r="AN2219" s="77"/>
      <c r="AO2219" s="77"/>
      <c r="AP2219" s="77"/>
      <c r="AQ2219" s="77" t="s">
        <v>15342</v>
      </c>
      <c r="AR2219" s="77">
        <v>88388</v>
      </c>
      <c r="AS2219" s="77"/>
      <c r="AT2219" s="77"/>
      <c r="AU2219" s="77"/>
      <c r="AV2219" s="80" t="str">
        <f>HYPERLINK("https://pbs.twimg.com/ext_tw_video_thumb/1675610055171878912/pu/img/IBS2mjtyJMg48Vdt.jpg")</f>
        <v>https://pbs.twimg.com/ext_tw_video_thumb/1675610055171878912/pu/img/IBS2mjtyJMg48Vdt.jpg</v>
      </c>
      <c r="AW2219" s="82" t="s">
        <v>18987</v>
      </c>
      <c r="AX2219" s="82" t="s">
        <v>18987</v>
      </c>
      <c r="AY2219" s="77"/>
      <c r="AZ2219" s="82" t="s">
        <v>20971</v>
      </c>
      <c r="BA2219" s="82" t="s">
        <v>20971</v>
      </c>
      <c r="BB2219" s="82" t="s">
        <v>20971</v>
      </c>
      <c r="BC2219" s="82" t="s">
        <v>18987</v>
      </c>
      <c r="BD2219" s="82" t="s">
        <v>21423</v>
      </c>
      <c r="BE2219" s="77"/>
      <c r="BF2219" s="77"/>
      <c r="BG2219" s="77"/>
      <c r="BH2219" s="77"/>
      <c r="BI2219" s="77"/>
    </row>
    <row r="2220" spans="1:61" x14ac:dyDescent="0.25">
      <c r="A2220" s="62" t="s">
        <v>778</v>
      </c>
      <c r="B2220" s="62" t="s">
        <v>778</v>
      </c>
      <c r="C2220" s="63"/>
      <c r="D2220" s="64"/>
      <c r="E2220" s="65"/>
      <c r="F2220" s="66"/>
      <c r="G2220" s="63"/>
      <c r="H2220" s="67"/>
      <c r="I2220" s="68"/>
      <c r="J2220" s="68"/>
      <c r="K2220" s="32"/>
      <c r="L2220" s="75">
        <v>2220</v>
      </c>
      <c r="M2220" s="75"/>
      <c r="N2220" s="70"/>
      <c r="O2220" s="77" t="s">
        <v>179</v>
      </c>
      <c r="P2220" s="79">
        <v>45109.80872685185</v>
      </c>
      <c r="Q2220" s="77" t="s">
        <v>3430</v>
      </c>
      <c r="R2220" s="77">
        <v>0</v>
      </c>
      <c r="S2220" s="77">
        <v>0</v>
      </c>
      <c r="T2220" s="77">
        <v>0</v>
      </c>
      <c r="U2220" s="77">
        <v>0</v>
      </c>
      <c r="V2220" s="77">
        <v>301</v>
      </c>
      <c r="W2220" s="82" t="s">
        <v>6272</v>
      </c>
      <c r="X2220" s="77"/>
      <c r="Y2220" s="77"/>
      <c r="Z2220" s="77"/>
      <c r="AA2220" s="77"/>
      <c r="AB2220" s="77"/>
      <c r="AC2220" s="82" t="s">
        <v>10144</v>
      </c>
      <c r="AD2220" s="77" t="s">
        <v>10184</v>
      </c>
      <c r="AE2220" s="80" t="str">
        <f>HYPERLINK("https://twitter.com/aviatorautomate/status/1675586277947633664")</f>
        <v>https://twitter.com/aviatorautomate/status/1675586277947633664</v>
      </c>
      <c r="AF2220" s="79">
        <v>45109.80872685185</v>
      </c>
      <c r="AG2220" s="85">
        <v>45109</v>
      </c>
      <c r="AH2220" s="82" t="s">
        <v>12323</v>
      </c>
      <c r="AI2220" s="77"/>
      <c r="AJ2220" s="77"/>
      <c r="AK2220" s="77"/>
      <c r="AL2220" s="77"/>
      <c r="AM2220" s="77"/>
      <c r="AN2220" s="77"/>
      <c r="AO2220" s="77"/>
      <c r="AP2220" s="77"/>
      <c r="AQ2220" s="77"/>
      <c r="AR2220" s="77"/>
      <c r="AS2220" s="77"/>
      <c r="AT2220" s="77"/>
      <c r="AU2220" s="77"/>
      <c r="AV2220" s="80" t="str">
        <f>HYPERLINK("https://pbs.twimg.com/profile_images/1654487617684078597/lwhBeIti_normal.jpg")</f>
        <v>https://pbs.twimg.com/profile_images/1654487617684078597/lwhBeIti_normal.jpg</v>
      </c>
      <c r="AW2220" s="82" t="s">
        <v>18988</v>
      </c>
      <c r="AX2220" s="82" t="s">
        <v>18988</v>
      </c>
      <c r="AY2220" s="77"/>
      <c r="AZ2220" s="82" t="s">
        <v>20971</v>
      </c>
      <c r="BA2220" s="82" t="s">
        <v>20971</v>
      </c>
      <c r="BB2220" s="82" t="s">
        <v>20971</v>
      </c>
      <c r="BC2220" s="82" t="s">
        <v>18988</v>
      </c>
      <c r="BD2220" s="82" t="s">
        <v>21423</v>
      </c>
      <c r="BE2220" s="77"/>
      <c r="BF2220" s="77"/>
      <c r="BG2220" s="77"/>
      <c r="BH2220" s="77"/>
      <c r="BI2220" s="77"/>
    </row>
    <row r="2221" spans="1:61" x14ac:dyDescent="0.25">
      <c r="A2221" s="62" t="s">
        <v>778</v>
      </c>
      <c r="B2221" s="62" t="s">
        <v>778</v>
      </c>
      <c r="C2221" s="63"/>
      <c r="D2221" s="64"/>
      <c r="E2221" s="65"/>
      <c r="F2221" s="66"/>
      <c r="G2221" s="63"/>
      <c r="H2221" s="67"/>
      <c r="I2221" s="68"/>
      <c r="J2221" s="68"/>
      <c r="K2221" s="32"/>
      <c r="L2221" s="75">
        <v>2221</v>
      </c>
      <c r="M2221" s="75"/>
      <c r="N2221" s="70"/>
      <c r="O2221" s="77" t="s">
        <v>179</v>
      </c>
      <c r="P2221" s="79">
        <v>45069.877835648149</v>
      </c>
      <c r="Q2221" s="77" t="s">
        <v>3431</v>
      </c>
      <c r="R2221" s="77">
        <v>0</v>
      </c>
      <c r="S2221" s="77">
        <v>1</v>
      </c>
      <c r="T2221" s="77">
        <v>1</v>
      </c>
      <c r="U2221" s="77">
        <v>0</v>
      </c>
      <c r="V2221" s="77">
        <v>112</v>
      </c>
      <c r="W2221" s="82" t="s">
        <v>6273</v>
      </c>
      <c r="X2221" s="77"/>
      <c r="Y2221" s="77"/>
      <c r="Z2221" s="77"/>
      <c r="AA2221" s="77" t="s">
        <v>8700</v>
      </c>
      <c r="AB2221" s="77" t="s">
        <v>10130</v>
      </c>
      <c r="AC2221" s="82" t="s">
        <v>10144</v>
      </c>
      <c r="AD2221" s="77" t="s">
        <v>10183</v>
      </c>
      <c r="AE2221" s="80" t="str">
        <f>HYPERLINK("https://twitter.com/aviatorautomate/status/1661115807122726947")</f>
        <v>https://twitter.com/aviatorautomate/status/1661115807122726947</v>
      </c>
      <c r="AF2221" s="79">
        <v>45069.877835648149</v>
      </c>
      <c r="AG2221" s="85">
        <v>45069</v>
      </c>
      <c r="AH2221" s="82" t="s">
        <v>12324</v>
      </c>
      <c r="AI2221" s="77" t="b">
        <v>0</v>
      </c>
      <c r="AJ2221" s="77"/>
      <c r="AK2221" s="77"/>
      <c r="AL2221" s="77"/>
      <c r="AM2221" s="77"/>
      <c r="AN2221" s="77"/>
      <c r="AO2221" s="77"/>
      <c r="AP2221" s="77"/>
      <c r="AQ2221" s="77" t="s">
        <v>15343</v>
      </c>
      <c r="AR2221" s="77"/>
      <c r="AS2221" s="77"/>
      <c r="AT2221" s="77"/>
      <c r="AU2221" s="77"/>
      <c r="AV2221" s="80" t="str">
        <f>HYPERLINK("https://pbs.twimg.com/media/Fw14Bg6WICEKhiK.jpg")</f>
        <v>https://pbs.twimg.com/media/Fw14Bg6WICEKhiK.jpg</v>
      </c>
      <c r="AW2221" s="82" t="s">
        <v>18989</v>
      </c>
      <c r="AX2221" s="82" t="s">
        <v>18989</v>
      </c>
      <c r="AY2221" s="77"/>
      <c r="AZ2221" s="82" t="s">
        <v>20971</v>
      </c>
      <c r="BA2221" s="82" t="s">
        <v>20971</v>
      </c>
      <c r="BB2221" s="82" t="s">
        <v>20971</v>
      </c>
      <c r="BC2221" s="82" t="s">
        <v>18989</v>
      </c>
      <c r="BD2221" s="82" t="s">
        <v>21423</v>
      </c>
      <c r="BE2221" s="77"/>
      <c r="BF2221" s="77"/>
      <c r="BG2221" s="77"/>
      <c r="BH2221" s="77"/>
      <c r="BI2221" s="77"/>
    </row>
    <row r="2222" spans="1:61" x14ac:dyDescent="0.25">
      <c r="A2222" s="62" t="s">
        <v>778</v>
      </c>
      <c r="B2222" s="62" t="s">
        <v>778</v>
      </c>
      <c r="C2222" s="63"/>
      <c r="D2222" s="64"/>
      <c r="E2222" s="65"/>
      <c r="F2222" s="66"/>
      <c r="G2222" s="63"/>
      <c r="H2222" s="67"/>
      <c r="I2222" s="68"/>
      <c r="J2222" s="68"/>
      <c r="K2222" s="32"/>
      <c r="L2222" s="75">
        <v>2222</v>
      </c>
      <c r="M2222" s="75"/>
      <c r="N2222" s="70"/>
      <c r="O2222" s="77" t="s">
        <v>179</v>
      </c>
      <c r="P2222" s="79">
        <v>45066.804618055554</v>
      </c>
      <c r="Q2222" s="77" t="s">
        <v>3432</v>
      </c>
      <c r="R2222" s="77">
        <v>0</v>
      </c>
      <c r="S2222" s="77">
        <v>1</v>
      </c>
      <c r="T2222" s="77">
        <v>0</v>
      </c>
      <c r="U2222" s="77">
        <v>0</v>
      </c>
      <c r="V2222" s="77">
        <v>637</v>
      </c>
      <c r="W2222" s="82" t="s">
        <v>6242</v>
      </c>
      <c r="X2222" s="77"/>
      <c r="Y2222" s="77"/>
      <c r="Z2222" s="77"/>
      <c r="AA2222" s="77" t="s">
        <v>8701</v>
      </c>
      <c r="AB2222" s="77" t="s">
        <v>10129</v>
      </c>
      <c r="AC2222" s="82" t="s">
        <v>10146</v>
      </c>
      <c r="AD2222" s="77" t="s">
        <v>10184</v>
      </c>
      <c r="AE2222" s="80" t="str">
        <f>HYPERLINK("https://twitter.com/aviatorautomate/status/1660002110308593666")</f>
        <v>https://twitter.com/aviatorautomate/status/1660002110308593666</v>
      </c>
      <c r="AF2222" s="79">
        <v>45066.804618055554</v>
      </c>
      <c r="AG2222" s="85">
        <v>45066</v>
      </c>
      <c r="AH2222" s="82" t="s">
        <v>12325</v>
      </c>
      <c r="AI2222" s="77" t="b">
        <v>0</v>
      </c>
      <c r="AJ2222" s="77"/>
      <c r="AK2222" s="77"/>
      <c r="AL2222" s="77"/>
      <c r="AM2222" s="77"/>
      <c r="AN2222" s="77"/>
      <c r="AO2222" s="77"/>
      <c r="AP2222" s="77"/>
      <c r="AQ2222" s="77" t="s">
        <v>15344</v>
      </c>
      <c r="AR2222" s="77">
        <v>71071</v>
      </c>
      <c r="AS2222" s="77"/>
      <c r="AT2222" s="77"/>
      <c r="AU2222" s="77"/>
      <c r="AV2222" s="80" t="str">
        <f>HYPERLINK("https://pbs.twimg.com/ext_tw_video_thumb/1660001880175435777/pu/img/S8GB5d0cENg2e4rN.jpg")</f>
        <v>https://pbs.twimg.com/ext_tw_video_thumb/1660001880175435777/pu/img/S8GB5d0cENg2e4rN.jpg</v>
      </c>
      <c r="AW2222" s="82" t="s">
        <v>18990</v>
      </c>
      <c r="AX2222" s="82" t="s">
        <v>18990</v>
      </c>
      <c r="AY2222" s="77"/>
      <c r="AZ2222" s="82" t="s">
        <v>20971</v>
      </c>
      <c r="BA2222" s="82" t="s">
        <v>20971</v>
      </c>
      <c r="BB2222" s="82" t="s">
        <v>20971</v>
      </c>
      <c r="BC2222" s="82" t="s">
        <v>18990</v>
      </c>
      <c r="BD2222" s="82" t="s">
        <v>21423</v>
      </c>
      <c r="BE2222" s="77"/>
      <c r="BF2222" s="77"/>
      <c r="BG2222" s="77"/>
      <c r="BH2222" s="77"/>
      <c r="BI2222" s="77"/>
    </row>
    <row r="2223" spans="1:61" x14ac:dyDescent="0.25">
      <c r="A2223" s="62" t="s">
        <v>778</v>
      </c>
      <c r="B2223" s="62" t="s">
        <v>778</v>
      </c>
      <c r="C2223" s="63"/>
      <c r="D2223" s="64"/>
      <c r="E2223" s="65"/>
      <c r="F2223" s="66"/>
      <c r="G2223" s="63"/>
      <c r="H2223" s="67"/>
      <c r="I2223" s="68"/>
      <c r="J2223" s="68"/>
      <c r="K2223" s="32"/>
      <c r="L2223" s="75">
        <v>2223</v>
      </c>
      <c r="M2223" s="75"/>
      <c r="N2223" s="70"/>
      <c r="O2223" s="77" t="s">
        <v>179</v>
      </c>
      <c r="P2223" s="79">
        <v>45066.803749999999</v>
      </c>
      <c r="Q2223" s="77" t="s">
        <v>3433</v>
      </c>
      <c r="R2223" s="77">
        <v>0</v>
      </c>
      <c r="S2223" s="77">
        <v>1</v>
      </c>
      <c r="T2223" s="77">
        <v>0</v>
      </c>
      <c r="U2223" s="77">
        <v>0</v>
      </c>
      <c r="V2223" s="77">
        <v>638</v>
      </c>
      <c r="W2223" s="82" t="s">
        <v>6242</v>
      </c>
      <c r="X2223" s="77"/>
      <c r="Y2223" s="77"/>
      <c r="Z2223" s="77"/>
      <c r="AA2223" s="77" t="s">
        <v>8702</v>
      </c>
      <c r="AB2223" s="77" t="s">
        <v>10129</v>
      </c>
      <c r="AC2223" s="82" t="s">
        <v>10146</v>
      </c>
      <c r="AD2223" s="77" t="s">
        <v>10184</v>
      </c>
      <c r="AE2223" s="80" t="str">
        <f>HYPERLINK("https://twitter.com/aviatorautomate/status/1660001798151630864")</f>
        <v>https://twitter.com/aviatorautomate/status/1660001798151630864</v>
      </c>
      <c r="AF2223" s="79">
        <v>45066.803749999999</v>
      </c>
      <c r="AG2223" s="85">
        <v>45066</v>
      </c>
      <c r="AH2223" s="82" t="s">
        <v>12326</v>
      </c>
      <c r="AI2223" s="77" t="b">
        <v>0</v>
      </c>
      <c r="AJ2223" s="77"/>
      <c r="AK2223" s="77"/>
      <c r="AL2223" s="77"/>
      <c r="AM2223" s="77"/>
      <c r="AN2223" s="77"/>
      <c r="AO2223" s="77"/>
      <c r="AP2223" s="77"/>
      <c r="AQ2223" s="77" t="s">
        <v>15345</v>
      </c>
      <c r="AR2223" s="77">
        <v>58159</v>
      </c>
      <c r="AS2223" s="77"/>
      <c r="AT2223" s="77"/>
      <c r="AU2223" s="77"/>
      <c r="AV2223" s="80" t="str">
        <f>HYPERLINK("https://pbs.twimg.com/ext_tw_video_thumb/1660001346391621633/pu/img/qDVYR7FOsIsas5om.jpg")</f>
        <v>https://pbs.twimg.com/ext_tw_video_thumb/1660001346391621633/pu/img/qDVYR7FOsIsas5om.jpg</v>
      </c>
      <c r="AW2223" s="82" t="s">
        <v>18991</v>
      </c>
      <c r="AX2223" s="82" t="s">
        <v>18991</v>
      </c>
      <c r="AY2223" s="77"/>
      <c r="AZ2223" s="82" t="s">
        <v>20971</v>
      </c>
      <c r="BA2223" s="82" t="s">
        <v>20971</v>
      </c>
      <c r="BB2223" s="82" t="s">
        <v>20971</v>
      </c>
      <c r="BC2223" s="82" t="s">
        <v>18991</v>
      </c>
      <c r="BD2223" s="82" t="s">
        <v>21423</v>
      </c>
      <c r="BE2223" s="77"/>
      <c r="BF2223" s="77"/>
      <c r="BG2223" s="77"/>
      <c r="BH2223" s="77"/>
      <c r="BI2223" s="77"/>
    </row>
    <row r="2224" spans="1:61" x14ac:dyDescent="0.25">
      <c r="A2224" s="62" t="s">
        <v>778</v>
      </c>
      <c r="B2224" s="62" t="s">
        <v>778</v>
      </c>
      <c r="C2224" s="63"/>
      <c r="D2224" s="64"/>
      <c r="E2224" s="65"/>
      <c r="F2224" s="66"/>
      <c r="G2224" s="63"/>
      <c r="H2224" s="67"/>
      <c r="I2224" s="68"/>
      <c r="J2224" s="68"/>
      <c r="K2224" s="32"/>
      <c r="L2224" s="75">
        <v>2224</v>
      </c>
      <c r="M2224" s="75"/>
      <c r="N2224" s="70"/>
      <c r="O2224" s="77" t="s">
        <v>179</v>
      </c>
      <c r="P2224" s="79">
        <v>45154.898946759262</v>
      </c>
      <c r="Q2224" s="77" t="s">
        <v>3434</v>
      </c>
      <c r="R2224" s="77">
        <v>0</v>
      </c>
      <c r="S2224" s="77">
        <v>0</v>
      </c>
      <c r="T2224" s="77">
        <v>0</v>
      </c>
      <c r="U2224" s="77">
        <v>0</v>
      </c>
      <c r="V2224" s="77">
        <v>950</v>
      </c>
      <c r="W2224" s="82" t="s">
        <v>6274</v>
      </c>
      <c r="X2224" s="77"/>
      <c r="Y2224" s="77"/>
      <c r="Z2224" s="77"/>
      <c r="AA2224" s="77" t="s">
        <v>8703</v>
      </c>
      <c r="AB2224" s="77" t="s">
        <v>10129</v>
      </c>
      <c r="AC2224" s="82" t="s">
        <v>10144</v>
      </c>
      <c r="AD2224" s="77" t="s">
        <v>10184</v>
      </c>
      <c r="AE2224" s="80" t="str">
        <f>HYPERLINK("https://twitter.com/aviatorautomate/status/1691926429309571477")</f>
        <v>https://twitter.com/aviatorautomate/status/1691926429309571477</v>
      </c>
      <c r="AF2224" s="79">
        <v>45154.898946759262</v>
      </c>
      <c r="AG2224" s="85">
        <v>45154</v>
      </c>
      <c r="AH2224" s="82" t="s">
        <v>12327</v>
      </c>
      <c r="AI2224" s="77" t="b">
        <v>0</v>
      </c>
      <c r="AJ2224" s="77"/>
      <c r="AK2224" s="77"/>
      <c r="AL2224" s="77"/>
      <c r="AM2224" s="77"/>
      <c r="AN2224" s="77"/>
      <c r="AO2224" s="77"/>
      <c r="AP2224" s="77"/>
      <c r="AQ2224" s="77" t="s">
        <v>15346</v>
      </c>
      <c r="AR2224" s="77">
        <v>14366</v>
      </c>
      <c r="AS2224" s="77"/>
      <c r="AT2224" s="77"/>
      <c r="AU2224" s="77"/>
      <c r="AV2224" s="80" t="str">
        <f>HYPERLINK("https://pbs.twimg.com/ext_tw_video_thumb/1691926397323763713/pu/img/SLoZ6JUhpeENZRBv.jpg")</f>
        <v>https://pbs.twimg.com/ext_tw_video_thumb/1691926397323763713/pu/img/SLoZ6JUhpeENZRBv.jpg</v>
      </c>
      <c r="AW2224" s="82" t="s">
        <v>18992</v>
      </c>
      <c r="AX2224" s="82" t="s">
        <v>18992</v>
      </c>
      <c r="AY2224" s="77"/>
      <c r="AZ2224" s="82" t="s">
        <v>20971</v>
      </c>
      <c r="BA2224" s="82" t="s">
        <v>20971</v>
      </c>
      <c r="BB2224" s="82" t="s">
        <v>20971</v>
      </c>
      <c r="BC2224" s="82" t="s">
        <v>18992</v>
      </c>
      <c r="BD2224" s="82" t="s">
        <v>21423</v>
      </c>
      <c r="BE2224" s="77"/>
      <c r="BF2224" s="77"/>
      <c r="BG2224" s="77"/>
      <c r="BH2224" s="77"/>
      <c r="BI2224" s="77"/>
    </row>
    <row r="2225" spans="1:61" x14ac:dyDescent="0.25">
      <c r="A2225" s="62" t="s">
        <v>778</v>
      </c>
      <c r="B2225" s="62" t="s">
        <v>778</v>
      </c>
      <c r="C2225" s="63"/>
      <c r="D2225" s="64"/>
      <c r="E2225" s="65"/>
      <c r="F2225" s="66"/>
      <c r="G2225" s="63"/>
      <c r="H2225" s="67"/>
      <c r="I2225" s="68"/>
      <c r="J2225" s="68"/>
      <c r="K2225" s="32"/>
      <c r="L2225" s="75">
        <v>2225</v>
      </c>
      <c r="M2225" s="75"/>
      <c r="N2225" s="70"/>
      <c r="O2225" s="77" t="s">
        <v>179</v>
      </c>
      <c r="P2225" s="79">
        <v>45147.970995370371</v>
      </c>
      <c r="Q2225" s="77" t="s">
        <v>3435</v>
      </c>
      <c r="R2225" s="77">
        <v>0</v>
      </c>
      <c r="S2225" s="77">
        <v>0</v>
      </c>
      <c r="T2225" s="77">
        <v>0</v>
      </c>
      <c r="U2225" s="77">
        <v>0</v>
      </c>
      <c r="V2225" s="77">
        <v>139</v>
      </c>
      <c r="W2225" s="82" t="s">
        <v>6275</v>
      </c>
      <c r="X2225" s="77"/>
      <c r="Y2225" s="77"/>
      <c r="Z2225" s="77"/>
      <c r="AA2225" s="77" t="s">
        <v>8704</v>
      </c>
      <c r="AB2225" s="77" t="s">
        <v>10130</v>
      </c>
      <c r="AC2225" s="82" t="s">
        <v>10144</v>
      </c>
      <c r="AD2225" s="77" t="s">
        <v>10184</v>
      </c>
      <c r="AE2225" s="80" t="str">
        <f>HYPERLINK("https://twitter.com/aviatorautomate/status/1689415823805333504")</f>
        <v>https://twitter.com/aviatorautomate/status/1689415823805333504</v>
      </c>
      <c r="AF2225" s="79">
        <v>45147.970995370371</v>
      </c>
      <c r="AG2225" s="85">
        <v>45147</v>
      </c>
      <c r="AH2225" s="82" t="s">
        <v>12328</v>
      </c>
      <c r="AI2225" s="77" t="b">
        <v>0</v>
      </c>
      <c r="AJ2225" s="77"/>
      <c r="AK2225" s="77"/>
      <c r="AL2225" s="77"/>
      <c r="AM2225" s="77"/>
      <c r="AN2225" s="77"/>
      <c r="AO2225" s="77"/>
      <c r="AP2225" s="77"/>
      <c r="AQ2225" s="77" t="s">
        <v>15347</v>
      </c>
      <c r="AR2225" s="77"/>
      <c r="AS2225" s="77"/>
      <c r="AT2225" s="77"/>
      <c r="AU2225" s="77"/>
      <c r="AV2225" s="80" t="str">
        <f>HYPERLINK("https://pbs.twimg.com/media/F3ICvOBXsAAXDfg.jpg")</f>
        <v>https://pbs.twimg.com/media/F3ICvOBXsAAXDfg.jpg</v>
      </c>
      <c r="AW2225" s="82" t="s">
        <v>18993</v>
      </c>
      <c r="AX2225" s="82" t="s">
        <v>18993</v>
      </c>
      <c r="AY2225" s="77"/>
      <c r="AZ2225" s="82" t="s">
        <v>20971</v>
      </c>
      <c r="BA2225" s="82" t="s">
        <v>20971</v>
      </c>
      <c r="BB2225" s="82" t="s">
        <v>20971</v>
      </c>
      <c r="BC2225" s="82" t="s">
        <v>18993</v>
      </c>
      <c r="BD2225" s="82" t="s">
        <v>21423</v>
      </c>
      <c r="BE2225" s="77"/>
      <c r="BF2225" s="77"/>
      <c r="BG2225" s="77"/>
      <c r="BH2225" s="77"/>
      <c r="BI2225" s="77"/>
    </row>
    <row r="2226" spans="1:61" x14ac:dyDescent="0.25">
      <c r="A2226" s="62" t="s">
        <v>778</v>
      </c>
      <c r="B2226" s="62" t="s">
        <v>778</v>
      </c>
      <c r="C2226" s="63"/>
      <c r="D2226" s="64"/>
      <c r="E2226" s="65"/>
      <c r="F2226" s="66"/>
      <c r="G2226" s="63"/>
      <c r="H2226" s="67"/>
      <c r="I2226" s="68"/>
      <c r="J2226" s="68"/>
      <c r="K2226" s="32"/>
      <c r="L2226" s="75">
        <v>2226</v>
      </c>
      <c r="M2226" s="75"/>
      <c r="N2226" s="70"/>
      <c r="O2226" s="77" t="s">
        <v>179</v>
      </c>
      <c r="P2226" s="79">
        <v>45146.878217592595</v>
      </c>
      <c r="Q2226" s="77" t="s">
        <v>3436</v>
      </c>
      <c r="R2226" s="77">
        <v>0</v>
      </c>
      <c r="S2226" s="77">
        <v>0</v>
      </c>
      <c r="T2226" s="77">
        <v>0</v>
      </c>
      <c r="U2226" s="77">
        <v>0</v>
      </c>
      <c r="V2226" s="77">
        <v>170</v>
      </c>
      <c r="W2226" s="82" t="s">
        <v>6276</v>
      </c>
      <c r="X2226" s="77"/>
      <c r="Y2226" s="77"/>
      <c r="Z2226" s="77"/>
      <c r="AA2226" s="77" t="s">
        <v>8705</v>
      </c>
      <c r="AB2226" s="77" t="s">
        <v>10130</v>
      </c>
      <c r="AC2226" s="82" t="s">
        <v>10144</v>
      </c>
      <c r="AD2226" s="77" t="s">
        <v>10184</v>
      </c>
      <c r="AE2226" s="80" t="str">
        <f>HYPERLINK("https://twitter.com/aviatorautomate/status/1689019813069307904")</f>
        <v>https://twitter.com/aviatorautomate/status/1689019813069307904</v>
      </c>
      <c r="AF2226" s="79">
        <v>45146.878217592595</v>
      </c>
      <c r="AG2226" s="85">
        <v>45146</v>
      </c>
      <c r="AH2226" s="82" t="s">
        <v>12329</v>
      </c>
      <c r="AI2226" s="77" t="b">
        <v>0</v>
      </c>
      <c r="AJ2226" s="77"/>
      <c r="AK2226" s="77"/>
      <c r="AL2226" s="77"/>
      <c r="AM2226" s="77"/>
      <c r="AN2226" s="77"/>
      <c r="AO2226" s="77"/>
      <c r="AP2226" s="77"/>
      <c r="AQ2226" s="77" t="s">
        <v>15348</v>
      </c>
      <c r="AR2226" s="77"/>
      <c r="AS2226" s="77"/>
      <c r="AT2226" s="77"/>
      <c r="AU2226" s="77"/>
      <c r="AV2226" s="80" t="str">
        <f>HYPERLINK("https://pbs.twimg.com/media/F3CakayWYAM-z0Y.jpg")</f>
        <v>https://pbs.twimg.com/media/F3CakayWYAM-z0Y.jpg</v>
      </c>
      <c r="AW2226" s="82" t="s">
        <v>18994</v>
      </c>
      <c r="AX2226" s="82" t="s">
        <v>18994</v>
      </c>
      <c r="AY2226" s="77"/>
      <c r="AZ2226" s="82" t="s">
        <v>20971</v>
      </c>
      <c r="BA2226" s="82" t="s">
        <v>20971</v>
      </c>
      <c r="BB2226" s="82" t="s">
        <v>20971</v>
      </c>
      <c r="BC2226" s="82" t="s">
        <v>18994</v>
      </c>
      <c r="BD2226" s="82" t="s">
        <v>21423</v>
      </c>
      <c r="BE2226" s="77"/>
      <c r="BF2226" s="77"/>
      <c r="BG2226" s="77"/>
      <c r="BH2226" s="77"/>
      <c r="BI2226" s="77"/>
    </row>
    <row r="2227" spans="1:61" x14ac:dyDescent="0.25">
      <c r="A2227" s="62" t="s">
        <v>778</v>
      </c>
      <c r="B2227" s="62" t="s">
        <v>778</v>
      </c>
      <c r="C2227" s="63"/>
      <c r="D2227" s="64"/>
      <c r="E2227" s="65"/>
      <c r="F2227" s="66"/>
      <c r="G2227" s="63"/>
      <c r="H2227" s="67"/>
      <c r="I2227" s="68"/>
      <c r="J2227" s="68"/>
      <c r="K2227" s="32"/>
      <c r="L2227" s="75">
        <v>2227</v>
      </c>
      <c r="M2227" s="75"/>
      <c r="N2227" s="70"/>
      <c r="O2227" s="77" t="s">
        <v>179</v>
      </c>
      <c r="P2227" s="79">
        <v>45146.577870370369</v>
      </c>
      <c r="Q2227" s="77" t="s">
        <v>3437</v>
      </c>
      <c r="R2227" s="77">
        <v>0</v>
      </c>
      <c r="S2227" s="77">
        <v>0</v>
      </c>
      <c r="T2227" s="77">
        <v>0</v>
      </c>
      <c r="U2227" s="77">
        <v>0</v>
      </c>
      <c r="V2227" s="77">
        <v>103</v>
      </c>
      <c r="W2227" s="82" t="s">
        <v>6277</v>
      </c>
      <c r="X2227" s="77"/>
      <c r="Y2227" s="77"/>
      <c r="Z2227" s="77"/>
      <c r="AA2227" s="77" t="s">
        <v>8706</v>
      </c>
      <c r="AB2227" s="77" t="s">
        <v>10130</v>
      </c>
      <c r="AC2227" s="82" t="s">
        <v>10144</v>
      </c>
      <c r="AD2227" s="77" t="s">
        <v>10184</v>
      </c>
      <c r="AE2227" s="80" t="str">
        <f>HYPERLINK("https://twitter.com/aviatorautomate/status/1688910972147404800")</f>
        <v>https://twitter.com/aviatorautomate/status/1688910972147404800</v>
      </c>
      <c r="AF2227" s="79">
        <v>45146.577870370369</v>
      </c>
      <c r="AG2227" s="85">
        <v>45146</v>
      </c>
      <c r="AH2227" s="82" t="s">
        <v>12330</v>
      </c>
      <c r="AI2227" s="77" t="b">
        <v>0</v>
      </c>
      <c r="AJ2227" s="77"/>
      <c r="AK2227" s="77"/>
      <c r="AL2227" s="77"/>
      <c r="AM2227" s="77"/>
      <c r="AN2227" s="77"/>
      <c r="AO2227" s="77"/>
      <c r="AP2227" s="77"/>
      <c r="AQ2227" s="77" t="s">
        <v>15349</v>
      </c>
      <c r="AR2227" s="77"/>
      <c r="AS2227" s="77"/>
      <c r="AT2227" s="77"/>
      <c r="AU2227" s="77"/>
      <c r="AV2227" s="80" t="str">
        <f>HYPERLINK("https://pbs.twimg.com/media/F3A3k93a0AAoIex.jpg")</f>
        <v>https://pbs.twimg.com/media/F3A3k93a0AAoIex.jpg</v>
      </c>
      <c r="AW2227" s="82" t="s">
        <v>18995</v>
      </c>
      <c r="AX2227" s="82" t="s">
        <v>18995</v>
      </c>
      <c r="AY2227" s="77"/>
      <c r="AZ2227" s="82" t="s">
        <v>20971</v>
      </c>
      <c r="BA2227" s="82" t="s">
        <v>20971</v>
      </c>
      <c r="BB2227" s="82" t="s">
        <v>20971</v>
      </c>
      <c r="BC2227" s="82" t="s">
        <v>18995</v>
      </c>
      <c r="BD2227" s="82" t="s">
        <v>21423</v>
      </c>
      <c r="BE2227" s="77"/>
      <c r="BF2227" s="77"/>
      <c r="BG2227" s="77"/>
      <c r="BH2227" s="77"/>
      <c r="BI2227" s="77"/>
    </row>
    <row r="2228" spans="1:61" x14ac:dyDescent="0.25">
      <c r="A2228" s="62" t="s">
        <v>778</v>
      </c>
      <c r="B2228" s="62" t="s">
        <v>778</v>
      </c>
      <c r="C2228" s="63"/>
      <c r="D2228" s="64"/>
      <c r="E2228" s="65"/>
      <c r="F2228" s="66"/>
      <c r="G2228" s="63"/>
      <c r="H2228" s="67"/>
      <c r="I2228" s="68"/>
      <c r="J2228" s="68"/>
      <c r="K2228" s="32"/>
      <c r="L2228" s="75">
        <v>2228</v>
      </c>
      <c r="M2228" s="75"/>
      <c r="N2228" s="70"/>
      <c r="O2228" s="77" t="s">
        <v>179</v>
      </c>
      <c r="P2228" s="79">
        <v>45072.000104166669</v>
      </c>
      <c r="Q2228" s="77" t="s">
        <v>3438</v>
      </c>
      <c r="R2228" s="77">
        <v>0</v>
      </c>
      <c r="S2228" s="77">
        <v>0</v>
      </c>
      <c r="T2228" s="77">
        <v>0</v>
      </c>
      <c r="U2228" s="77">
        <v>0</v>
      </c>
      <c r="V2228" s="77">
        <v>465</v>
      </c>
      <c r="W2228" s="82" t="s">
        <v>6278</v>
      </c>
      <c r="X2228" s="77"/>
      <c r="Y2228" s="77"/>
      <c r="Z2228" s="77"/>
      <c r="AA2228" s="77" t="s">
        <v>8707</v>
      </c>
      <c r="AB2228" s="77" t="s">
        <v>10129</v>
      </c>
      <c r="AC2228" s="82" t="s">
        <v>10146</v>
      </c>
      <c r="AD2228" s="77" t="s">
        <v>10184</v>
      </c>
      <c r="AE2228" s="80" t="str">
        <f>HYPERLINK("https://twitter.com/aviatorautomate/status/1661884892391546881")</f>
        <v>https://twitter.com/aviatorautomate/status/1661884892391546881</v>
      </c>
      <c r="AF2228" s="79">
        <v>45072.000104166669</v>
      </c>
      <c r="AG2228" s="85">
        <v>45072</v>
      </c>
      <c r="AH2228" s="82" t="s">
        <v>12331</v>
      </c>
      <c r="AI2228" s="77" t="b">
        <v>0</v>
      </c>
      <c r="AJ2228" s="77"/>
      <c r="AK2228" s="77"/>
      <c r="AL2228" s="77"/>
      <c r="AM2228" s="77"/>
      <c r="AN2228" s="77"/>
      <c r="AO2228" s="77"/>
      <c r="AP2228" s="77"/>
      <c r="AQ2228" s="77" t="s">
        <v>15350</v>
      </c>
      <c r="AR2228" s="77">
        <v>95062</v>
      </c>
      <c r="AS2228" s="77"/>
      <c r="AT2228" s="77"/>
      <c r="AU2228" s="77"/>
      <c r="AV2228" s="80" t="str">
        <f>HYPERLINK("https://pbs.twimg.com/ext_tw_video_thumb/1661883166624301059/pu/img/NJwIObxBGzb7F45P.jpg")</f>
        <v>https://pbs.twimg.com/ext_tw_video_thumb/1661883166624301059/pu/img/NJwIObxBGzb7F45P.jpg</v>
      </c>
      <c r="AW2228" s="82" t="s">
        <v>18996</v>
      </c>
      <c r="AX2228" s="82" t="s">
        <v>18996</v>
      </c>
      <c r="AY2228" s="77"/>
      <c r="AZ2228" s="82" t="s">
        <v>20971</v>
      </c>
      <c r="BA2228" s="82" t="s">
        <v>20971</v>
      </c>
      <c r="BB2228" s="82" t="s">
        <v>20971</v>
      </c>
      <c r="BC2228" s="82" t="s">
        <v>18996</v>
      </c>
      <c r="BD2228" s="82" t="s">
        <v>21423</v>
      </c>
      <c r="BE2228" s="77"/>
      <c r="BF2228" s="77"/>
      <c r="BG2228" s="77"/>
      <c r="BH2228" s="77"/>
      <c r="BI2228" s="77"/>
    </row>
    <row r="2229" spans="1:61" x14ac:dyDescent="0.25">
      <c r="A2229" s="62" t="s">
        <v>778</v>
      </c>
      <c r="B2229" s="62" t="s">
        <v>778</v>
      </c>
      <c r="C2229" s="63"/>
      <c r="D2229" s="64"/>
      <c r="E2229" s="65"/>
      <c r="F2229" s="66"/>
      <c r="G2229" s="63"/>
      <c r="H2229" s="67"/>
      <c r="I2229" s="68"/>
      <c r="J2229" s="68"/>
      <c r="K2229" s="32"/>
      <c r="L2229" s="75">
        <v>2229</v>
      </c>
      <c r="M2229" s="75"/>
      <c r="N2229" s="70"/>
      <c r="O2229" s="77" t="s">
        <v>179</v>
      </c>
      <c r="P2229" s="79">
        <v>45071.695474537039</v>
      </c>
      <c r="Q2229" s="77" t="s">
        <v>3439</v>
      </c>
      <c r="R2229" s="77">
        <v>0</v>
      </c>
      <c r="S2229" s="77">
        <v>1</v>
      </c>
      <c r="T2229" s="77">
        <v>0</v>
      </c>
      <c r="U2229" s="77">
        <v>0</v>
      </c>
      <c r="V2229" s="77">
        <v>525</v>
      </c>
      <c r="W2229" s="82" t="s">
        <v>6279</v>
      </c>
      <c r="X2229" s="77"/>
      <c r="Y2229" s="77"/>
      <c r="Z2229" s="77"/>
      <c r="AA2229" s="77" t="s">
        <v>8708</v>
      </c>
      <c r="AB2229" s="77" t="s">
        <v>10129</v>
      </c>
      <c r="AC2229" s="82" t="s">
        <v>10146</v>
      </c>
      <c r="AD2229" s="77" t="s">
        <v>10184</v>
      </c>
      <c r="AE2229" s="80" t="str">
        <f>HYPERLINK("https://twitter.com/aviatorautomate/status/1661774497991491584")</f>
        <v>https://twitter.com/aviatorautomate/status/1661774497991491584</v>
      </c>
      <c r="AF2229" s="79">
        <v>45071.695474537039</v>
      </c>
      <c r="AG2229" s="85">
        <v>45071</v>
      </c>
      <c r="AH2229" s="82" t="s">
        <v>12332</v>
      </c>
      <c r="AI2229" s="77" t="b">
        <v>0</v>
      </c>
      <c r="AJ2229" s="77"/>
      <c r="AK2229" s="77"/>
      <c r="AL2229" s="77"/>
      <c r="AM2229" s="77"/>
      <c r="AN2229" s="77"/>
      <c r="AO2229" s="77"/>
      <c r="AP2229" s="77"/>
      <c r="AQ2229" s="77" t="s">
        <v>15351</v>
      </c>
      <c r="AR2229" s="77">
        <v>19787</v>
      </c>
      <c r="AS2229" s="77"/>
      <c r="AT2229" s="77"/>
      <c r="AU2229" s="77"/>
      <c r="AV2229" s="80" t="str">
        <f>HYPERLINK("https://pbs.twimg.com/ext_tw_video_thumb/1661773815590924302/pu/img/WhLlIEHXXvQqGnLL.jpg")</f>
        <v>https://pbs.twimg.com/ext_tw_video_thumb/1661773815590924302/pu/img/WhLlIEHXXvQqGnLL.jpg</v>
      </c>
      <c r="AW2229" s="82" t="s">
        <v>18997</v>
      </c>
      <c r="AX2229" s="82" t="s">
        <v>18997</v>
      </c>
      <c r="AY2229" s="77"/>
      <c r="AZ2229" s="82" t="s">
        <v>20971</v>
      </c>
      <c r="BA2229" s="82" t="s">
        <v>20971</v>
      </c>
      <c r="BB2229" s="82" t="s">
        <v>20971</v>
      </c>
      <c r="BC2229" s="82" t="s">
        <v>18997</v>
      </c>
      <c r="BD2229" s="82" t="s">
        <v>21423</v>
      </c>
      <c r="BE2229" s="77"/>
      <c r="BF2229" s="77"/>
      <c r="BG2229" s="77"/>
      <c r="BH2229" s="77"/>
      <c r="BI2229" s="77"/>
    </row>
    <row r="2230" spans="1:61" x14ac:dyDescent="0.25">
      <c r="A2230" s="62" t="s">
        <v>778</v>
      </c>
      <c r="B2230" s="62" t="s">
        <v>778</v>
      </c>
      <c r="C2230" s="63"/>
      <c r="D2230" s="64"/>
      <c r="E2230" s="65"/>
      <c r="F2230" s="66"/>
      <c r="G2230" s="63"/>
      <c r="H2230" s="67"/>
      <c r="I2230" s="68"/>
      <c r="J2230" s="68"/>
      <c r="K2230" s="32"/>
      <c r="L2230" s="75">
        <v>2230</v>
      </c>
      <c r="M2230" s="75"/>
      <c r="N2230" s="70"/>
      <c r="O2230" s="77" t="s">
        <v>179</v>
      </c>
      <c r="P2230" s="79">
        <v>45070.847361111111</v>
      </c>
      <c r="Q2230" s="77" t="s">
        <v>3440</v>
      </c>
      <c r="R2230" s="77">
        <v>0</v>
      </c>
      <c r="S2230" s="77">
        <v>0</v>
      </c>
      <c r="T2230" s="77">
        <v>0</v>
      </c>
      <c r="U2230" s="77">
        <v>0</v>
      </c>
      <c r="V2230" s="77">
        <v>203</v>
      </c>
      <c r="W2230" s="82" t="s">
        <v>6280</v>
      </c>
      <c r="X2230" s="80" t="str">
        <f>HYPERLINK("https://pay.hotmart.com/E82565042E?checkoutMode=1")</f>
        <v>https://pay.hotmart.com/E82565042E?checkoutMode=1</v>
      </c>
      <c r="Y2230" s="77" t="s">
        <v>7251</v>
      </c>
      <c r="Z2230" s="77"/>
      <c r="AA2230" s="77" t="s">
        <v>8709</v>
      </c>
      <c r="AB2230" s="77" t="s">
        <v>10129</v>
      </c>
      <c r="AC2230" s="82" t="s">
        <v>10144</v>
      </c>
      <c r="AD2230" s="77" t="s">
        <v>10184</v>
      </c>
      <c r="AE2230" s="80" t="str">
        <f>HYPERLINK("https://twitter.com/aviatorautomate/status/1661467153982169093")</f>
        <v>https://twitter.com/aviatorautomate/status/1661467153982169093</v>
      </c>
      <c r="AF2230" s="79">
        <v>45070.847361111111</v>
      </c>
      <c r="AG2230" s="85">
        <v>45070</v>
      </c>
      <c r="AH2230" s="82" t="s">
        <v>12333</v>
      </c>
      <c r="AI2230" s="77" t="b">
        <v>0</v>
      </c>
      <c r="AJ2230" s="77"/>
      <c r="AK2230" s="77"/>
      <c r="AL2230" s="77"/>
      <c r="AM2230" s="77"/>
      <c r="AN2230" s="77"/>
      <c r="AO2230" s="77"/>
      <c r="AP2230" s="77"/>
      <c r="AQ2230" s="77" t="s">
        <v>15352</v>
      </c>
      <c r="AR2230" s="77">
        <v>36536</v>
      </c>
      <c r="AS2230" s="77"/>
      <c r="AT2230" s="77"/>
      <c r="AU2230" s="77"/>
      <c r="AV2230" s="80" t="str">
        <f>HYPERLINK("https://pbs.twimg.com/ext_tw_video_thumb/1661467099066253315/pu/img/lKUzgB6SuWGWPYFh.jpg")</f>
        <v>https://pbs.twimg.com/ext_tw_video_thumb/1661467099066253315/pu/img/lKUzgB6SuWGWPYFh.jpg</v>
      </c>
      <c r="AW2230" s="82" t="s">
        <v>18998</v>
      </c>
      <c r="AX2230" s="82" t="s">
        <v>18998</v>
      </c>
      <c r="AY2230" s="77"/>
      <c r="AZ2230" s="82" t="s">
        <v>20971</v>
      </c>
      <c r="BA2230" s="82" t="s">
        <v>20971</v>
      </c>
      <c r="BB2230" s="82" t="s">
        <v>20971</v>
      </c>
      <c r="BC2230" s="82" t="s">
        <v>18998</v>
      </c>
      <c r="BD2230" s="82" t="s">
        <v>21423</v>
      </c>
      <c r="BE2230" s="77"/>
      <c r="BF2230" s="77"/>
      <c r="BG2230" s="77"/>
      <c r="BH2230" s="77"/>
      <c r="BI2230" s="77"/>
    </row>
    <row r="2231" spans="1:61" x14ac:dyDescent="0.25">
      <c r="A2231" s="62" t="s">
        <v>778</v>
      </c>
      <c r="B2231" s="62" t="s">
        <v>778</v>
      </c>
      <c r="C2231" s="63"/>
      <c r="D2231" s="64"/>
      <c r="E2231" s="65"/>
      <c r="F2231" s="66"/>
      <c r="G2231" s="63"/>
      <c r="H2231" s="67"/>
      <c r="I2231" s="68"/>
      <c r="J2231" s="68"/>
      <c r="K2231" s="32"/>
      <c r="L2231" s="75">
        <v>2231</v>
      </c>
      <c r="M2231" s="75"/>
      <c r="N2231" s="70"/>
      <c r="O2231" s="77" t="s">
        <v>179</v>
      </c>
      <c r="P2231" s="79">
        <v>45070.598576388889</v>
      </c>
      <c r="Q2231" s="77" t="s">
        <v>3441</v>
      </c>
      <c r="R2231" s="77">
        <v>0</v>
      </c>
      <c r="S2231" s="77">
        <v>0</v>
      </c>
      <c r="T2231" s="77">
        <v>0</v>
      </c>
      <c r="U2231" s="77">
        <v>0</v>
      </c>
      <c r="V2231" s="77">
        <v>106</v>
      </c>
      <c r="W2231" s="82" t="s">
        <v>6281</v>
      </c>
      <c r="X2231" s="80" t="str">
        <f>HYPERLINK("https://pay.hotmart.com/E82565042E?checkoutMode=10")</f>
        <v>https://pay.hotmart.com/E82565042E?checkoutMode=10</v>
      </c>
      <c r="Y2231" s="77" t="s">
        <v>7251</v>
      </c>
      <c r="Z2231" s="77"/>
      <c r="AA2231" s="77" t="s">
        <v>8710</v>
      </c>
      <c r="AB2231" s="77" t="s">
        <v>10130</v>
      </c>
      <c r="AC2231" s="82" t="s">
        <v>10144</v>
      </c>
      <c r="AD2231" s="77" t="s">
        <v>10184</v>
      </c>
      <c r="AE2231" s="80" t="str">
        <f>HYPERLINK("https://twitter.com/aviatorautomate/status/1661376996742496263")</f>
        <v>https://twitter.com/aviatorautomate/status/1661376996742496263</v>
      </c>
      <c r="AF2231" s="79">
        <v>45070.598576388889</v>
      </c>
      <c r="AG2231" s="85">
        <v>45070</v>
      </c>
      <c r="AH2231" s="82" t="s">
        <v>12106</v>
      </c>
      <c r="AI2231" s="77" t="b">
        <v>0</v>
      </c>
      <c r="AJ2231" s="77"/>
      <c r="AK2231" s="77"/>
      <c r="AL2231" s="77"/>
      <c r="AM2231" s="77"/>
      <c r="AN2231" s="77"/>
      <c r="AO2231" s="77"/>
      <c r="AP2231" s="77"/>
      <c r="AQ2231" s="77" t="s">
        <v>15353</v>
      </c>
      <c r="AR2231" s="77"/>
      <c r="AS2231" s="77"/>
      <c r="AT2231" s="77"/>
      <c r="AU2231" s="77"/>
      <c r="AV2231" s="80" t="str">
        <f>HYPERLINK("https://pbs.twimg.com/media/Fw5lkxBXwAAS9RB.jpg")</f>
        <v>https://pbs.twimg.com/media/Fw5lkxBXwAAS9RB.jpg</v>
      </c>
      <c r="AW2231" s="82" t="s">
        <v>18999</v>
      </c>
      <c r="AX2231" s="82" t="s">
        <v>18999</v>
      </c>
      <c r="AY2231" s="77"/>
      <c r="AZ2231" s="82" t="s">
        <v>20971</v>
      </c>
      <c r="BA2231" s="82" t="s">
        <v>20971</v>
      </c>
      <c r="BB2231" s="82" t="s">
        <v>20971</v>
      </c>
      <c r="BC2231" s="82" t="s">
        <v>18999</v>
      </c>
      <c r="BD2231" s="82" t="s">
        <v>21423</v>
      </c>
      <c r="BE2231" s="77"/>
      <c r="BF2231" s="77"/>
      <c r="BG2231" s="77"/>
      <c r="BH2231" s="77"/>
      <c r="BI2231" s="77"/>
    </row>
    <row r="2232" spans="1:61" x14ac:dyDescent="0.25">
      <c r="A2232" s="62" t="s">
        <v>779</v>
      </c>
      <c r="B2232" s="62" t="s">
        <v>779</v>
      </c>
      <c r="C2232" s="63"/>
      <c r="D2232" s="64"/>
      <c r="E2232" s="65"/>
      <c r="F2232" s="66"/>
      <c r="G2232" s="63"/>
      <c r="H2232" s="67"/>
      <c r="I2232" s="68"/>
      <c r="J2232" s="68"/>
      <c r="K2232" s="32"/>
      <c r="L2232" s="75">
        <v>2232</v>
      </c>
      <c r="M2232" s="75"/>
      <c r="N2232" s="70"/>
      <c r="O2232" s="77" t="s">
        <v>179</v>
      </c>
      <c r="P2232" s="79">
        <v>44998.530081018522</v>
      </c>
      <c r="Q2232" s="77" t="s">
        <v>3442</v>
      </c>
      <c r="R2232" s="77">
        <v>0</v>
      </c>
      <c r="S2232" s="77">
        <v>0</v>
      </c>
      <c r="T2232" s="77">
        <v>0</v>
      </c>
      <c r="U2232" s="77">
        <v>0</v>
      </c>
      <c r="V2232" s="77">
        <v>29</v>
      </c>
      <c r="W2232" s="82" t="s">
        <v>6282</v>
      </c>
      <c r="X2232" s="80" t="str">
        <f>HYPERLINK("https://office.imetway.com/painel/cadastro/index/1")</f>
        <v>https://office.imetway.com/painel/cadastro/index/1</v>
      </c>
      <c r="Y2232" s="77" t="s">
        <v>7401</v>
      </c>
      <c r="Z2232" s="77"/>
      <c r="AA2232" s="77" t="s">
        <v>8711</v>
      </c>
      <c r="AB2232" s="77" t="s">
        <v>10129</v>
      </c>
      <c r="AC2232" s="82" t="s">
        <v>10146</v>
      </c>
      <c r="AD2232" s="77" t="s">
        <v>10184</v>
      </c>
      <c r="AE2232" s="80" t="str">
        <f>HYPERLINK("https://twitter.com/imetway_/status/1635260249732161542")</f>
        <v>https://twitter.com/imetway_/status/1635260249732161542</v>
      </c>
      <c r="AF2232" s="79">
        <v>44998.530081018522</v>
      </c>
      <c r="AG2232" s="85">
        <v>44998</v>
      </c>
      <c r="AH2232" s="82" t="s">
        <v>12334</v>
      </c>
      <c r="AI2232" s="77" t="b">
        <v>0</v>
      </c>
      <c r="AJ2232" s="77"/>
      <c r="AK2232" s="77"/>
      <c r="AL2232" s="77"/>
      <c r="AM2232" s="77"/>
      <c r="AN2232" s="77"/>
      <c r="AO2232" s="77"/>
      <c r="AP2232" s="77"/>
      <c r="AQ2232" s="77" t="s">
        <v>15354</v>
      </c>
      <c r="AR2232" s="77">
        <v>6000</v>
      </c>
      <c r="AS2232" s="77"/>
      <c r="AT2232" s="77"/>
      <c r="AU2232" s="77"/>
      <c r="AV2232" s="80" t="str">
        <f>HYPERLINK("https://pbs.twimg.com/ext_tw_video_thumb/1635260078340153344/pu/img/BXJyWwBWnOmp95F9.jpg")</f>
        <v>https://pbs.twimg.com/ext_tw_video_thumb/1635260078340153344/pu/img/BXJyWwBWnOmp95F9.jpg</v>
      </c>
      <c r="AW2232" s="82" t="s">
        <v>19000</v>
      </c>
      <c r="AX2232" s="82" t="s">
        <v>19000</v>
      </c>
      <c r="AY2232" s="77"/>
      <c r="AZ2232" s="82" t="s">
        <v>20971</v>
      </c>
      <c r="BA2232" s="82" t="s">
        <v>20971</v>
      </c>
      <c r="BB2232" s="82" t="s">
        <v>20971</v>
      </c>
      <c r="BC2232" s="82" t="s">
        <v>19000</v>
      </c>
      <c r="BD2232" s="82" t="s">
        <v>21424</v>
      </c>
      <c r="BE2232" s="77"/>
      <c r="BF2232" s="77"/>
      <c r="BG2232" s="77"/>
      <c r="BH2232" s="77"/>
      <c r="BI2232" s="77"/>
    </row>
    <row r="2233" spans="1:61" x14ac:dyDescent="0.25">
      <c r="A2233" s="62" t="s">
        <v>780</v>
      </c>
      <c r="B2233" s="62" t="s">
        <v>780</v>
      </c>
      <c r="C2233" s="63"/>
      <c r="D2233" s="64"/>
      <c r="E2233" s="65"/>
      <c r="F2233" s="66"/>
      <c r="G2233" s="63"/>
      <c r="H2233" s="67"/>
      <c r="I2233" s="68"/>
      <c r="J2233" s="68"/>
      <c r="K2233" s="32"/>
      <c r="L2233" s="75">
        <v>2233</v>
      </c>
      <c r="M2233" s="75"/>
      <c r="N2233" s="70"/>
      <c r="O2233" s="77" t="s">
        <v>179</v>
      </c>
      <c r="P2233" s="79">
        <v>45094.069594907407</v>
      </c>
      <c r="Q2233" s="77" t="s">
        <v>3443</v>
      </c>
      <c r="R2233" s="77">
        <v>0</v>
      </c>
      <c r="S2233" s="77">
        <v>0</v>
      </c>
      <c r="T2233" s="77">
        <v>0</v>
      </c>
      <c r="U2233" s="77">
        <v>0</v>
      </c>
      <c r="V2233" s="77">
        <v>12</v>
      </c>
      <c r="W2233" s="82" t="s">
        <v>6283</v>
      </c>
      <c r="X2233" s="80" t="str">
        <f>HYPERLINK("https://instagram.com/thainashoes?igshid=OGQ5ZDc2ODk2ZA==")</f>
        <v>https://instagram.com/thainashoes?igshid=OGQ5ZDc2ODk2ZA==</v>
      </c>
      <c r="Y2233" s="77" t="s">
        <v>7250</v>
      </c>
      <c r="Z2233" s="77"/>
      <c r="AA2233" s="77"/>
      <c r="AB2233" s="77"/>
      <c r="AC2233" s="82" t="s">
        <v>10145</v>
      </c>
      <c r="AD2233" s="77" t="s">
        <v>10184</v>
      </c>
      <c r="AE2233" s="80" t="str">
        <f>HYPERLINK("https://twitter.com/thaina_rocha21/status/1669882608409247746")</f>
        <v>https://twitter.com/thaina_rocha21/status/1669882608409247746</v>
      </c>
      <c r="AF2233" s="79">
        <v>45094.069594907407</v>
      </c>
      <c r="AG2233" s="85">
        <v>45094</v>
      </c>
      <c r="AH2233" s="82" t="s">
        <v>12335</v>
      </c>
      <c r="AI2233" s="77" t="b">
        <v>0</v>
      </c>
      <c r="AJ2233" s="77"/>
      <c r="AK2233" s="77"/>
      <c r="AL2233" s="77"/>
      <c r="AM2233" s="77"/>
      <c r="AN2233" s="77"/>
      <c r="AO2233" s="77"/>
      <c r="AP2233" s="77"/>
      <c r="AQ2233" s="77"/>
      <c r="AR2233" s="77"/>
      <c r="AS2233" s="77"/>
      <c r="AT2233" s="77"/>
      <c r="AU2233" s="77"/>
      <c r="AV2233" s="80" t="str">
        <f>HYPERLINK("https://pbs.twimg.com/profile_images/1356674678216130560/skzA15NY_normal.jpg")</f>
        <v>https://pbs.twimg.com/profile_images/1356674678216130560/skzA15NY_normal.jpg</v>
      </c>
      <c r="AW2233" s="82" t="s">
        <v>19001</v>
      </c>
      <c r="AX2233" s="82" t="s">
        <v>19001</v>
      </c>
      <c r="AY2233" s="77"/>
      <c r="AZ2233" s="82" t="s">
        <v>20971</v>
      </c>
      <c r="BA2233" s="82" t="s">
        <v>20971</v>
      </c>
      <c r="BB2233" s="82" t="s">
        <v>20971</v>
      </c>
      <c r="BC2233" s="82" t="s">
        <v>19001</v>
      </c>
      <c r="BD2233" s="82" t="s">
        <v>21425</v>
      </c>
      <c r="BE2233" s="77"/>
      <c r="BF2233" s="77"/>
      <c r="BG2233" s="77"/>
      <c r="BH2233" s="77"/>
      <c r="BI2233" s="77"/>
    </row>
    <row r="2234" spans="1:61" x14ac:dyDescent="0.25">
      <c r="A2234" s="62" t="s">
        <v>781</v>
      </c>
      <c r="B2234" s="62" t="s">
        <v>781</v>
      </c>
      <c r="C2234" s="63"/>
      <c r="D2234" s="64"/>
      <c r="E2234" s="65"/>
      <c r="F2234" s="66"/>
      <c r="G2234" s="63"/>
      <c r="H2234" s="67"/>
      <c r="I2234" s="68"/>
      <c r="J2234" s="68"/>
      <c r="K2234" s="32"/>
      <c r="L2234" s="75">
        <v>2234</v>
      </c>
      <c r="M2234" s="75"/>
      <c r="N2234" s="70"/>
      <c r="O2234" s="77" t="s">
        <v>179</v>
      </c>
      <c r="P2234" s="79">
        <v>44990.824953703705</v>
      </c>
      <c r="Q2234" s="77" t="s">
        <v>3444</v>
      </c>
      <c r="R2234" s="77">
        <v>0</v>
      </c>
      <c r="S2234" s="77">
        <v>0</v>
      </c>
      <c r="T2234" s="77">
        <v>0</v>
      </c>
      <c r="U2234" s="77">
        <v>0</v>
      </c>
      <c r="V2234" s="77">
        <v>22</v>
      </c>
      <c r="W2234" s="82" t="s">
        <v>6284</v>
      </c>
      <c r="X2234" s="77"/>
      <c r="Y2234" s="77"/>
      <c r="Z2234" s="77"/>
      <c r="AA2234" s="77" t="s">
        <v>8712</v>
      </c>
      <c r="AB2234" s="77" t="s">
        <v>10129</v>
      </c>
      <c r="AC2234" s="82" t="s">
        <v>10144</v>
      </c>
      <c r="AD2234" s="77" t="s">
        <v>10184</v>
      </c>
      <c r="AE2234" s="80" t="str">
        <f>HYPERLINK("https://twitter.com/ederlorenzobr/status/1632468005664768000")</f>
        <v>https://twitter.com/ederlorenzobr/status/1632468005664768000</v>
      </c>
      <c r="AF2234" s="79">
        <v>44990.824953703705</v>
      </c>
      <c r="AG2234" s="85">
        <v>44990</v>
      </c>
      <c r="AH2234" s="82" t="s">
        <v>12336</v>
      </c>
      <c r="AI2234" s="77" t="b">
        <v>0</v>
      </c>
      <c r="AJ2234" s="77"/>
      <c r="AK2234" s="77"/>
      <c r="AL2234" s="77"/>
      <c r="AM2234" s="77"/>
      <c r="AN2234" s="77"/>
      <c r="AO2234" s="77"/>
      <c r="AP2234" s="77"/>
      <c r="AQ2234" s="77" t="s">
        <v>15355</v>
      </c>
      <c r="AR2234" s="77">
        <v>8800</v>
      </c>
      <c r="AS2234" s="77"/>
      <c r="AT2234" s="77"/>
      <c r="AU2234" s="77"/>
      <c r="AV2234" s="80" t="str">
        <f>HYPERLINK("https://pbs.twimg.com/ext_tw_video_thumb/1632467968037646336/pu/img/AFD4nK0lhLcMote_.jpg")</f>
        <v>https://pbs.twimg.com/ext_tw_video_thumb/1632467968037646336/pu/img/AFD4nK0lhLcMote_.jpg</v>
      </c>
      <c r="AW2234" s="82" t="s">
        <v>19002</v>
      </c>
      <c r="AX2234" s="82" t="s">
        <v>19002</v>
      </c>
      <c r="AY2234" s="77"/>
      <c r="AZ2234" s="82" t="s">
        <v>20971</v>
      </c>
      <c r="BA2234" s="82" t="s">
        <v>20971</v>
      </c>
      <c r="BB2234" s="82" t="s">
        <v>20971</v>
      </c>
      <c r="BC2234" s="82" t="s">
        <v>19002</v>
      </c>
      <c r="BD2234" s="82" t="s">
        <v>21426</v>
      </c>
      <c r="BE2234" s="77"/>
      <c r="BF2234" s="77"/>
      <c r="BG2234" s="77"/>
      <c r="BH2234" s="77"/>
      <c r="BI2234" s="77"/>
    </row>
    <row r="2235" spans="1:61" x14ac:dyDescent="0.25">
      <c r="A2235" s="62" t="s">
        <v>781</v>
      </c>
      <c r="B2235" s="62" t="s">
        <v>781</v>
      </c>
      <c r="C2235" s="63"/>
      <c r="D2235" s="64"/>
      <c r="E2235" s="65"/>
      <c r="F2235" s="66"/>
      <c r="G2235" s="63"/>
      <c r="H2235" s="67"/>
      <c r="I2235" s="68"/>
      <c r="J2235" s="68"/>
      <c r="K2235" s="32"/>
      <c r="L2235" s="75">
        <v>2235</v>
      </c>
      <c r="M2235" s="75"/>
      <c r="N2235" s="70"/>
      <c r="O2235" s="77" t="s">
        <v>179</v>
      </c>
      <c r="P2235" s="79">
        <v>45032.51667824074</v>
      </c>
      <c r="Q2235" s="77" t="s">
        <v>3445</v>
      </c>
      <c r="R2235" s="77">
        <v>0</v>
      </c>
      <c r="S2235" s="77">
        <v>2</v>
      </c>
      <c r="T2235" s="77">
        <v>1</v>
      </c>
      <c r="U2235" s="77">
        <v>0</v>
      </c>
      <c r="V2235" s="77">
        <v>342</v>
      </c>
      <c r="W2235" s="82" t="s">
        <v>5285</v>
      </c>
      <c r="X2235" s="77"/>
      <c r="Y2235" s="77"/>
      <c r="Z2235" s="77"/>
      <c r="AA2235" s="77" t="s">
        <v>8713</v>
      </c>
      <c r="AB2235" s="77" t="s">
        <v>10129</v>
      </c>
      <c r="AC2235" s="82" t="s">
        <v>10144</v>
      </c>
      <c r="AD2235" s="77" t="s">
        <v>10184</v>
      </c>
      <c r="AE2235" s="80" t="str">
        <f>HYPERLINK("https://twitter.com/ederlorenzobr/status/1647576576756686848")</f>
        <v>https://twitter.com/ederlorenzobr/status/1647576576756686848</v>
      </c>
      <c r="AF2235" s="79">
        <v>45032.51667824074</v>
      </c>
      <c r="AG2235" s="85">
        <v>45032</v>
      </c>
      <c r="AH2235" s="82" t="s">
        <v>12337</v>
      </c>
      <c r="AI2235" s="77" t="b">
        <v>0</v>
      </c>
      <c r="AJ2235" s="77"/>
      <c r="AK2235" s="77"/>
      <c r="AL2235" s="77"/>
      <c r="AM2235" s="77"/>
      <c r="AN2235" s="77"/>
      <c r="AO2235" s="77"/>
      <c r="AP2235" s="77"/>
      <c r="AQ2235" s="77" t="s">
        <v>15356</v>
      </c>
      <c r="AR2235" s="77">
        <v>21733</v>
      </c>
      <c r="AS2235" s="77"/>
      <c r="AT2235" s="77"/>
      <c r="AU2235" s="77"/>
      <c r="AV2235" s="80" t="str">
        <f>HYPERLINK("https://pbs.twimg.com/ext_tw_video_thumb/1647576546721296384/pu/img/5O__xbpdIbqNC9Eq.jpg")</f>
        <v>https://pbs.twimg.com/ext_tw_video_thumb/1647576546721296384/pu/img/5O__xbpdIbqNC9Eq.jpg</v>
      </c>
      <c r="AW2235" s="82" t="s">
        <v>19003</v>
      </c>
      <c r="AX2235" s="82" t="s">
        <v>19003</v>
      </c>
      <c r="AY2235" s="77"/>
      <c r="AZ2235" s="82" t="s">
        <v>20971</v>
      </c>
      <c r="BA2235" s="82" t="s">
        <v>20971</v>
      </c>
      <c r="BB2235" s="82" t="s">
        <v>20971</v>
      </c>
      <c r="BC2235" s="82" t="s">
        <v>19003</v>
      </c>
      <c r="BD2235" s="82" t="s">
        <v>21426</v>
      </c>
      <c r="BE2235" s="77"/>
      <c r="BF2235" s="77"/>
      <c r="BG2235" s="77"/>
      <c r="BH2235" s="77"/>
      <c r="BI2235" s="77"/>
    </row>
    <row r="2236" spans="1:61" x14ac:dyDescent="0.25">
      <c r="A2236" s="62" t="s">
        <v>781</v>
      </c>
      <c r="B2236" s="62" t="s">
        <v>781</v>
      </c>
      <c r="C2236" s="63"/>
      <c r="D2236" s="64"/>
      <c r="E2236" s="65"/>
      <c r="F2236" s="66"/>
      <c r="G2236" s="63"/>
      <c r="H2236" s="67"/>
      <c r="I2236" s="68"/>
      <c r="J2236" s="68"/>
      <c r="K2236" s="32"/>
      <c r="L2236" s="75">
        <v>2236</v>
      </c>
      <c r="M2236" s="75"/>
      <c r="N2236" s="70"/>
      <c r="O2236" s="77" t="s">
        <v>179</v>
      </c>
      <c r="P2236" s="79">
        <v>45032.515509259261</v>
      </c>
      <c r="Q2236" s="77" t="s">
        <v>3446</v>
      </c>
      <c r="R2236" s="77">
        <v>0</v>
      </c>
      <c r="S2236" s="77">
        <v>0</v>
      </c>
      <c r="T2236" s="77">
        <v>0</v>
      </c>
      <c r="U2236" s="77">
        <v>0</v>
      </c>
      <c r="V2236" s="77">
        <v>193</v>
      </c>
      <c r="W2236" s="82" t="s">
        <v>5285</v>
      </c>
      <c r="X2236" s="77"/>
      <c r="Y2236" s="77"/>
      <c r="Z2236" s="77"/>
      <c r="AA2236" s="77" t="s">
        <v>8714</v>
      </c>
      <c r="AB2236" s="77" t="s">
        <v>10129</v>
      </c>
      <c r="AC2236" s="82" t="s">
        <v>10144</v>
      </c>
      <c r="AD2236" s="77" t="s">
        <v>10184</v>
      </c>
      <c r="AE2236" s="80" t="str">
        <f>HYPERLINK("https://twitter.com/ederlorenzobr/status/1647576153438277633")</f>
        <v>https://twitter.com/ederlorenzobr/status/1647576153438277633</v>
      </c>
      <c r="AF2236" s="79">
        <v>45032.515509259261</v>
      </c>
      <c r="AG2236" s="85">
        <v>45032</v>
      </c>
      <c r="AH2236" s="82" t="s">
        <v>12338</v>
      </c>
      <c r="AI2236" s="77" t="b">
        <v>0</v>
      </c>
      <c r="AJ2236" s="77"/>
      <c r="AK2236" s="77"/>
      <c r="AL2236" s="77"/>
      <c r="AM2236" s="77"/>
      <c r="AN2236" s="77"/>
      <c r="AO2236" s="77"/>
      <c r="AP2236" s="77"/>
      <c r="AQ2236" s="77" t="s">
        <v>15357</v>
      </c>
      <c r="AR2236" s="77">
        <v>21733</v>
      </c>
      <c r="AS2236" s="77"/>
      <c r="AT2236" s="77"/>
      <c r="AU2236" s="77"/>
      <c r="AV2236" s="80" t="str">
        <f>HYPERLINK("https://pbs.twimg.com/ext_tw_video_thumb/1647576108546547712/pu/img/y8Owvxe5zafgXZYf.jpg")</f>
        <v>https://pbs.twimg.com/ext_tw_video_thumb/1647576108546547712/pu/img/y8Owvxe5zafgXZYf.jpg</v>
      </c>
      <c r="AW2236" s="82" t="s">
        <v>19004</v>
      </c>
      <c r="AX2236" s="82" t="s">
        <v>19004</v>
      </c>
      <c r="AY2236" s="77"/>
      <c r="AZ2236" s="82" t="s">
        <v>20971</v>
      </c>
      <c r="BA2236" s="82" t="s">
        <v>20971</v>
      </c>
      <c r="BB2236" s="82" t="s">
        <v>20971</v>
      </c>
      <c r="BC2236" s="82" t="s">
        <v>19004</v>
      </c>
      <c r="BD2236" s="82" t="s">
        <v>21426</v>
      </c>
      <c r="BE2236" s="77"/>
      <c r="BF2236" s="77"/>
      <c r="BG2236" s="77"/>
      <c r="BH2236" s="77"/>
      <c r="BI2236" s="77"/>
    </row>
    <row r="2237" spans="1:61" x14ac:dyDescent="0.25">
      <c r="A2237" s="62" t="s">
        <v>782</v>
      </c>
      <c r="B2237" s="62" t="s">
        <v>782</v>
      </c>
      <c r="C2237" s="63"/>
      <c r="D2237" s="64"/>
      <c r="E2237" s="65"/>
      <c r="F2237" s="66"/>
      <c r="G2237" s="63"/>
      <c r="H2237" s="67"/>
      <c r="I2237" s="68"/>
      <c r="J2237" s="68"/>
      <c r="K2237" s="32"/>
      <c r="L2237" s="75">
        <v>2237</v>
      </c>
      <c r="M2237" s="75"/>
      <c r="N2237" s="70"/>
      <c r="O2237" s="77" t="s">
        <v>179</v>
      </c>
      <c r="P2237" s="79">
        <v>45150.393125000002</v>
      </c>
      <c r="Q2237" s="77" t="s">
        <v>3447</v>
      </c>
      <c r="R2237" s="77">
        <v>0</v>
      </c>
      <c r="S2237" s="77">
        <v>0</v>
      </c>
      <c r="T2237" s="77">
        <v>0</v>
      </c>
      <c r="U2237" s="77">
        <v>0</v>
      </c>
      <c r="V2237" s="77">
        <v>9</v>
      </c>
      <c r="W2237" s="82" t="s">
        <v>6285</v>
      </c>
      <c r="X2237" s="77"/>
      <c r="Y2237" s="77"/>
      <c r="Z2237" s="77"/>
      <c r="AA2237" s="77" t="s">
        <v>8715</v>
      </c>
      <c r="AB2237" s="77" t="s">
        <v>10130</v>
      </c>
      <c r="AC2237" s="82" t="s">
        <v>10144</v>
      </c>
      <c r="AD2237" s="77" t="s">
        <v>10184</v>
      </c>
      <c r="AE2237" s="80" t="str">
        <f>HYPERLINK("https://twitter.com/luisalvescoach/status/1690293572271022080")</f>
        <v>https://twitter.com/luisalvescoach/status/1690293572271022080</v>
      </c>
      <c r="AF2237" s="79">
        <v>45150.393125000002</v>
      </c>
      <c r="AG2237" s="85">
        <v>45150</v>
      </c>
      <c r="AH2237" s="82" t="s">
        <v>12339</v>
      </c>
      <c r="AI2237" s="77" t="b">
        <v>0</v>
      </c>
      <c r="AJ2237" s="77"/>
      <c r="AK2237" s="77"/>
      <c r="AL2237" s="77"/>
      <c r="AM2237" s="77"/>
      <c r="AN2237" s="77"/>
      <c r="AO2237" s="77"/>
      <c r="AP2237" s="77"/>
      <c r="AQ2237" s="77" t="s">
        <v>15358</v>
      </c>
      <c r="AR2237" s="77"/>
      <c r="AS2237" s="77"/>
      <c r="AT2237" s="77"/>
      <c r="AU2237" s="77"/>
      <c r="AV2237" s="80" t="str">
        <f>HYPERLINK("https://pbs.twimg.com/media/F3UhC98WUAE-wah.jpg")</f>
        <v>https://pbs.twimg.com/media/F3UhC98WUAE-wah.jpg</v>
      </c>
      <c r="AW2237" s="82" t="s">
        <v>19005</v>
      </c>
      <c r="AX2237" s="82" t="s">
        <v>19005</v>
      </c>
      <c r="AY2237" s="77"/>
      <c r="AZ2237" s="82" t="s">
        <v>20971</v>
      </c>
      <c r="BA2237" s="82" t="s">
        <v>20971</v>
      </c>
      <c r="BB2237" s="82" t="s">
        <v>20971</v>
      </c>
      <c r="BC2237" s="82" t="s">
        <v>19005</v>
      </c>
      <c r="BD2237" s="77">
        <v>2330731333</v>
      </c>
      <c r="BE2237" s="77"/>
      <c r="BF2237" s="77"/>
      <c r="BG2237" s="77"/>
      <c r="BH2237" s="77"/>
      <c r="BI2237" s="77"/>
    </row>
    <row r="2238" spans="1:61" x14ac:dyDescent="0.25">
      <c r="A2238" s="62" t="s">
        <v>783</v>
      </c>
      <c r="B2238" s="62" t="s">
        <v>783</v>
      </c>
      <c r="C2238" s="63"/>
      <c r="D2238" s="64"/>
      <c r="E2238" s="65"/>
      <c r="F2238" s="66"/>
      <c r="G2238" s="63"/>
      <c r="H2238" s="67"/>
      <c r="I2238" s="68"/>
      <c r="J2238" s="68"/>
      <c r="K2238" s="32"/>
      <c r="L2238" s="75">
        <v>2238</v>
      </c>
      <c r="M2238" s="75"/>
      <c r="N2238" s="70"/>
      <c r="O2238" s="77" t="s">
        <v>179</v>
      </c>
      <c r="P2238" s="79">
        <v>45019.504259259258</v>
      </c>
      <c r="Q2238" s="77" t="s">
        <v>3448</v>
      </c>
      <c r="R2238" s="77">
        <v>0</v>
      </c>
      <c r="S2238" s="77">
        <v>0</v>
      </c>
      <c r="T2238" s="77">
        <v>0</v>
      </c>
      <c r="U2238" s="77">
        <v>0</v>
      </c>
      <c r="V2238" s="77">
        <v>92</v>
      </c>
      <c r="W2238" s="82" t="s">
        <v>6286</v>
      </c>
      <c r="X2238" s="80" t="str">
        <f>HYPERLINK("https://ift.tt/3ahGrdL")</f>
        <v>https://ift.tt/3ahGrdL</v>
      </c>
      <c r="Y2238" s="77" t="s">
        <v>7330</v>
      </c>
      <c r="Z2238" s="77"/>
      <c r="AA2238" s="77"/>
      <c r="AB2238" s="77"/>
      <c r="AC2238" s="82" t="s">
        <v>10157</v>
      </c>
      <c r="AD2238" s="77" t="s">
        <v>10184</v>
      </c>
      <c r="AE2238" s="80" t="str">
        <f>HYPERLINK("https://twitter.com/milintops/status/1642861036490350594")</f>
        <v>https://twitter.com/milintops/status/1642861036490350594</v>
      </c>
      <c r="AF2238" s="79">
        <v>45019.504259259258</v>
      </c>
      <c r="AG2238" s="85">
        <v>45019</v>
      </c>
      <c r="AH2238" s="82" t="s">
        <v>12340</v>
      </c>
      <c r="AI2238" s="77" t="b">
        <v>0</v>
      </c>
      <c r="AJ2238" s="77"/>
      <c r="AK2238" s="77"/>
      <c r="AL2238" s="77"/>
      <c r="AM2238" s="77"/>
      <c r="AN2238" s="77"/>
      <c r="AO2238" s="77"/>
      <c r="AP2238" s="77"/>
      <c r="AQ2238" s="77"/>
      <c r="AR2238" s="77"/>
      <c r="AS2238" s="77"/>
      <c r="AT2238" s="77"/>
      <c r="AU2238" s="77"/>
      <c r="AV2238" s="80" t="str">
        <f>HYPERLINK("https://pbs.twimg.com/profile_images/1568990898817482752/qko2gq2Q_normal.png")</f>
        <v>https://pbs.twimg.com/profile_images/1568990898817482752/qko2gq2Q_normal.png</v>
      </c>
      <c r="AW2238" s="82" t="s">
        <v>19006</v>
      </c>
      <c r="AX2238" s="82" t="s">
        <v>19006</v>
      </c>
      <c r="AY2238" s="77"/>
      <c r="AZ2238" s="82" t="s">
        <v>20971</v>
      </c>
      <c r="BA2238" s="82" t="s">
        <v>20971</v>
      </c>
      <c r="BB2238" s="82" t="s">
        <v>20971</v>
      </c>
      <c r="BC2238" s="82" t="s">
        <v>19006</v>
      </c>
      <c r="BD2238" s="82" t="s">
        <v>21427</v>
      </c>
      <c r="BE2238" s="77"/>
      <c r="BF2238" s="77"/>
      <c r="BG2238" s="77"/>
      <c r="BH2238" s="77"/>
      <c r="BI2238" s="77"/>
    </row>
    <row r="2239" spans="1:61" x14ac:dyDescent="0.25">
      <c r="A2239" s="62" t="s">
        <v>784</v>
      </c>
      <c r="B2239" s="62" t="s">
        <v>784</v>
      </c>
      <c r="C2239" s="63"/>
      <c r="D2239" s="64"/>
      <c r="E2239" s="65"/>
      <c r="F2239" s="66"/>
      <c r="G2239" s="63"/>
      <c r="H2239" s="67"/>
      <c r="I2239" s="68"/>
      <c r="J2239" s="68"/>
      <c r="K2239" s="32"/>
      <c r="L2239" s="75">
        <v>2239</v>
      </c>
      <c r="M2239" s="75"/>
      <c r="N2239" s="70"/>
      <c r="O2239" s="77" t="s">
        <v>179</v>
      </c>
      <c r="P2239" s="79">
        <v>45012.744583333333</v>
      </c>
      <c r="Q2239" s="77" t="s">
        <v>3449</v>
      </c>
      <c r="R2239" s="77">
        <v>0</v>
      </c>
      <c r="S2239" s="77">
        <v>0</v>
      </c>
      <c r="T2239" s="77">
        <v>0</v>
      </c>
      <c r="U2239" s="77">
        <v>1</v>
      </c>
      <c r="V2239" s="77">
        <v>20</v>
      </c>
      <c r="W2239" s="82" t="s">
        <v>6287</v>
      </c>
      <c r="X2239" s="80" t="str">
        <f>HYPERLINK("https://www.instagram.com/p/CpOGpfTMW47/")</f>
        <v>https://www.instagram.com/p/CpOGpfTMW47/</v>
      </c>
      <c r="Y2239" s="77" t="s">
        <v>7250</v>
      </c>
      <c r="Z2239" s="77"/>
      <c r="AA2239" s="77" t="s">
        <v>8716</v>
      </c>
      <c r="AB2239" s="77" t="s">
        <v>10130</v>
      </c>
      <c r="AC2239" s="82" t="s">
        <v>10146</v>
      </c>
      <c r="AD2239" s="77" t="s">
        <v>10184</v>
      </c>
      <c r="AE2239" s="80" t="str">
        <f>HYPERLINK("https://twitter.com/leoprioficial/status/1640411412093861889")</f>
        <v>https://twitter.com/leoprioficial/status/1640411412093861889</v>
      </c>
      <c r="AF2239" s="79">
        <v>45012.744583333333</v>
      </c>
      <c r="AG2239" s="85">
        <v>45012</v>
      </c>
      <c r="AH2239" s="82" t="s">
        <v>12341</v>
      </c>
      <c r="AI2239" s="77" t="b">
        <v>0</v>
      </c>
      <c r="AJ2239" s="77"/>
      <c r="AK2239" s="77"/>
      <c r="AL2239" s="77"/>
      <c r="AM2239" s="77"/>
      <c r="AN2239" s="77"/>
      <c r="AO2239" s="77"/>
      <c r="AP2239" s="77"/>
      <c r="AQ2239" s="77" t="s">
        <v>15359</v>
      </c>
      <c r="AR2239" s="77"/>
      <c r="AS2239" s="77"/>
      <c r="AT2239" s="77"/>
      <c r="AU2239" s="77"/>
      <c r="AV2239" s="80" t="str">
        <f>HYPERLINK("https://pbs.twimg.com/media/FsPpFG_WIAI0ezi.jpg")</f>
        <v>https://pbs.twimg.com/media/FsPpFG_WIAI0ezi.jpg</v>
      </c>
      <c r="AW2239" s="82" t="s">
        <v>19007</v>
      </c>
      <c r="AX2239" s="82" t="s">
        <v>19007</v>
      </c>
      <c r="AY2239" s="77"/>
      <c r="AZ2239" s="82" t="s">
        <v>20971</v>
      </c>
      <c r="BA2239" s="82" t="s">
        <v>20971</v>
      </c>
      <c r="BB2239" s="82" t="s">
        <v>20971</v>
      </c>
      <c r="BC2239" s="82" t="s">
        <v>19007</v>
      </c>
      <c r="BD2239" s="82" t="s">
        <v>21428</v>
      </c>
      <c r="BE2239" s="77"/>
      <c r="BF2239" s="77"/>
      <c r="BG2239" s="77"/>
      <c r="BH2239" s="77"/>
      <c r="BI2239" s="77"/>
    </row>
    <row r="2240" spans="1:61" x14ac:dyDescent="0.25">
      <c r="A2240" s="62" t="s">
        <v>785</v>
      </c>
      <c r="B2240" s="62" t="s">
        <v>785</v>
      </c>
      <c r="C2240" s="63"/>
      <c r="D2240" s="64"/>
      <c r="E2240" s="65"/>
      <c r="F2240" s="66"/>
      <c r="G2240" s="63"/>
      <c r="H2240" s="67"/>
      <c r="I2240" s="68"/>
      <c r="J2240" s="68"/>
      <c r="K2240" s="32"/>
      <c r="L2240" s="75">
        <v>2240</v>
      </c>
      <c r="M2240" s="75"/>
      <c r="N2240" s="70"/>
      <c r="O2240" s="77" t="s">
        <v>179</v>
      </c>
      <c r="P2240" s="79">
        <v>45070.064444444448</v>
      </c>
      <c r="Q2240" s="77" t="s">
        <v>3450</v>
      </c>
      <c r="R2240" s="77">
        <v>1</v>
      </c>
      <c r="S2240" s="77">
        <v>0</v>
      </c>
      <c r="T2240" s="77">
        <v>0</v>
      </c>
      <c r="U2240" s="77">
        <v>0</v>
      </c>
      <c r="V2240" s="77">
        <v>155</v>
      </c>
      <c r="W2240" s="82" t="s">
        <v>6288</v>
      </c>
      <c r="X2240" s="77"/>
      <c r="Y2240" s="77"/>
      <c r="Z2240" s="77"/>
      <c r="AA2240" s="77" t="s">
        <v>8717</v>
      </c>
      <c r="AB2240" s="77" t="s">
        <v>10129</v>
      </c>
      <c r="AC2240" s="82" t="s">
        <v>10145</v>
      </c>
      <c r="AD2240" s="77" t="s">
        <v>10184</v>
      </c>
      <c r="AE2240" s="80" t="str">
        <f>HYPERLINK("https://twitter.com/riicknho01/status/1661183434985709573")</f>
        <v>https://twitter.com/riicknho01/status/1661183434985709573</v>
      </c>
      <c r="AF2240" s="79">
        <v>45070.064444444448</v>
      </c>
      <c r="AG2240" s="85">
        <v>45070</v>
      </c>
      <c r="AH2240" s="82" t="s">
        <v>12342</v>
      </c>
      <c r="AI2240" s="77" t="b">
        <v>0</v>
      </c>
      <c r="AJ2240" s="77"/>
      <c r="AK2240" s="77"/>
      <c r="AL2240" s="77"/>
      <c r="AM2240" s="77"/>
      <c r="AN2240" s="77"/>
      <c r="AO2240" s="77"/>
      <c r="AP2240" s="77"/>
      <c r="AQ2240" s="77" t="s">
        <v>15360</v>
      </c>
      <c r="AR2240" s="77">
        <v>10850</v>
      </c>
      <c r="AS2240" s="77"/>
      <c r="AT2240" s="77"/>
      <c r="AU2240" s="77"/>
      <c r="AV2240" s="80" t="str">
        <f>HYPERLINK("https://pbs.twimg.com/ext_tw_video_thumb/1661183300180799490/pu/img/qydvU0hL02YUgdR3.jpg")</f>
        <v>https://pbs.twimg.com/ext_tw_video_thumb/1661183300180799490/pu/img/qydvU0hL02YUgdR3.jpg</v>
      </c>
      <c r="AW2240" s="82" t="s">
        <v>19008</v>
      </c>
      <c r="AX2240" s="82" t="s">
        <v>19008</v>
      </c>
      <c r="AY2240" s="77"/>
      <c r="AZ2240" s="82" t="s">
        <v>20971</v>
      </c>
      <c r="BA2240" s="82" t="s">
        <v>20971</v>
      </c>
      <c r="BB2240" s="82" t="s">
        <v>20971</v>
      </c>
      <c r="BC2240" s="82" t="s">
        <v>19008</v>
      </c>
      <c r="BD2240" s="82" t="s">
        <v>21429</v>
      </c>
      <c r="BE2240" s="77"/>
      <c r="BF2240" s="77"/>
      <c r="BG2240" s="77"/>
      <c r="BH2240" s="77"/>
      <c r="BI2240" s="77"/>
    </row>
    <row r="2241" spans="1:61" x14ac:dyDescent="0.25">
      <c r="A2241" s="62" t="s">
        <v>786</v>
      </c>
      <c r="B2241" s="62" t="s">
        <v>786</v>
      </c>
      <c r="C2241" s="63"/>
      <c r="D2241" s="64"/>
      <c r="E2241" s="65"/>
      <c r="F2241" s="66"/>
      <c r="G2241" s="63"/>
      <c r="H2241" s="67"/>
      <c r="I2241" s="68"/>
      <c r="J2241" s="68"/>
      <c r="K2241" s="32"/>
      <c r="L2241" s="75">
        <v>2241</v>
      </c>
      <c r="M2241" s="75"/>
      <c r="N2241" s="70"/>
      <c r="O2241" s="77" t="s">
        <v>179</v>
      </c>
      <c r="P2241" s="79">
        <v>44993.749432870369</v>
      </c>
      <c r="Q2241" s="77" t="s">
        <v>3451</v>
      </c>
      <c r="R2241" s="77">
        <v>0</v>
      </c>
      <c r="S2241" s="77">
        <v>0</v>
      </c>
      <c r="T2241" s="77">
        <v>0</v>
      </c>
      <c r="U2241" s="77">
        <v>0</v>
      </c>
      <c r="V2241" s="77">
        <v>10</v>
      </c>
      <c r="W2241" s="82" t="s">
        <v>6289</v>
      </c>
      <c r="X2241" s="80" t="str">
        <f>HYPERLINK("https://rafaelcarvalho.tv/competencias-do-empreendedor-da-economia-da-paixao/?feed_id=4677&amp;_unique_id=6408cceece053&amp;utm_source=Twitter")</f>
        <v>https://rafaelcarvalho.tv/competencias-do-empreendedor-da-economia-da-paixao/?feed_id=4677&amp;_unique_id=6408cceece053&amp;utm_source=Twitter</v>
      </c>
      <c r="Y2241" s="77" t="s">
        <v>7402</v>
      </c>
      <c r="Z2241" s="77"/>
      <c r="AA2241" s="77"/>
      <c r="AB2241" s="77"/>
      <c r="AC2241" s="82" t="s">
        <v>10165</v>
      </c>
      <c r="AD2241" s="77" t="s">
        <v>10184</v>
      </c>
      <c r="AE2241" s="80" t="str">
        <f>HYPERLINK("https://twitter.com/carvalho_rafael/status/1633527797766582278")</f>
        <v>https://twitter.com/carvalho_rafael/status/1633527797766582278</v>
      </c>
      <c r="AF2241" s="79">
        <v>44993.749432870369</v>
      </c>
      <c r="AG2241" s="85">
        <v>44993</v>
      </c>
      <c r="AH2241" s="82" t="s">
        <v>12343</v>
      </c>
      <c r="AI2241" s="77" t="b">
        <v>1</v>
      </c>
      <c r="AJ2241" s="77"/>
      <c r="AK2241" s="77"/>
      <c r="AL2241" s="77"/>
      <c r="AM2241" s="77"/>
      <c r="AN2241" s="77"/>
      <c r="AO2241" s="77"/>
      <c r="AP2241" s="77"/>
      <c r="AQ2241" s="77"/>
      <c r="AR2241" s="77"/>
      <c r="AS2241" s="77"/>
      <c r="AT2241" s="77"/>
      <c r="AU2241" s="77"/>
      <c r="AV2241" s="80" t="str">
        <f>HYPERLINK("https://pbs.twimg.com/profile_images/1284265233691926528/89s0a3ar_normal.jpg")</f>
        <v>https://pbs.twimg.com/profile_images/1284265233691926528/89s0a3ar_normal.jpg</v>
      </c>
      <c r="AW2241" s="82" t="s">
        <v>19009</v>
      </c>
      <c r="AX2241" s="82" t="s">
        <v>19009</v>
      </c>
      <c r="AY2241" s="77"/>
      <c r="AZ2241" s="82" t="s">
        <v>20971</v>
      </c>
      <c r="BA2241" s="82" t="s">
        <v>20971</v>
      </c>
      <c r="BB2241" s="82" t="s">
        <v>20971</v>
      </c>
      <c r="BC2241" s="82" t="s">
        <v>19009</v>
      </c>
      <c r="BD2241" s="77">
        <v>60191703</v>
      </c>
      <c r="BE2241" s="77"/>
      <c r="BF2241" s="77"/>
      <c r="BG2241" s="77"/>
      <c r="BH2241" s="77"/>
      <c r="BI2241" s="77"/>
    </row>
    <row r="2242" spans="1:61" x14ac:dyDescent="0.25">
      <c r="A2242" s="62" t="s">
        <v>786</v>
      </c>
      <c r="B2242" s="62" t="s">
        <v>786</v>
      </c>
      <c r="C2242" s="63"/>
      <c r="D2242" s="64"/>
      <c r="E2242" s="65"/>
      <c r="F2242" s="66"/>
      <c r="G2242" s="63"/>
      <c r="H2242" s="67"/>
      <c r="I2242" s="68"/>
      <c r="J2242" s="68"/>
      <c r="K2242" s="32"/>
      <c r="L2242" s="75">
        <v>2242</v>
      </c>
      <c r="M2242" s="75"/>
      <c r="N2242" s="70"/>
      <c r="O2242" s="77" t="s">
        <v>179</v>
      </c>
      <c r="P2242" s="79">
        <v>44972.504247685189</v>
      </c>
      <c r="Q2242" s="77" t="s">
        <v>3452</v>
      </c>
      <c r="R2242" s="77">
        <v>0</v>
      </c>
      <c r="S2242" s="77">
        <v>0</v>
      </c>
      <c r="T2242" s="77">
        <v>0</v>
      </c>
      <c r="U2242" s="77">
        <v>0</v>
      </c>
      <c r="V2242" s="77">
        <v>11</v>
      </c>
      <c r="W2242" s="82" t="s">
        <v>6290</v>
      </c>
      <c r="X2242" s="80" t="str">
        <f>HYPERLINK("https://bit.ly/3IseghD")</f>
        <v>https://bit.ly/3IseghD</v>
      </c>
      <c r="Y2242" s="77" t="s">
        <v>7268</v>
      </c>
      <c r="Z2242" s="77"/>
      <c r="AA2242" s="77"/>
      <c r="AB2242" s="77"/>
      <c r="AC2242" s="82" t="s">
        <v>10165</v>
      </c>
      <c r="AD2242" s="77" t="s">
        <v>10184</v>
      </c>
      <c r="AE2242" s="80" t="str">
        <f>HYPERLINK("https://twitter.com/carvalho_rafael/status/1625828802495488000")</f>
        <v>https://twitter.com/carvalho_rafael/status/1625828802495488000</v>
      </c>
      <c r="AF2242" s="79">
        <v>44972.504247685189</v>
      </c>
      <c r="AG2242" s="85">
        <v>44972</v>
      </c>
      <c r="AH2242" s="82" t="s">
        <v>12344</v>
      </c>
      <c r="AI2242" s="77" t="b">
        <v>1</v>
      </c>
      <c r="AJ2242" s="77"/>
      <c r="AK2242" s="77"/>
      <c r="AL2242" s="77"/>
      <c r="AM2242" s="77"/>
      <c r="AN2242" s="77"/>
      <c r="AO2242" s="77"/>
      <c r="AP2242" s="77"/>
      <c r="AQ2242" s="77"/>
      <c r="AR2242" s="77"/>
      <c r="AS2242" s="77"/>
      <c r="AT2242" s="77"/>
      <c r="AU2242" s="77"/>
      <c r="AV2242" s="80" t="str">
        <f>HYPERLINK("https://pbs.twimg.com/profile_images/1284265233691926528/89s0a3ar_normal.jpg")</f>
        <v>https://pbs.twimg.com/profile_images/1284265233691926528/89s0a3ar_normal.jpg</v>
      </c>
      <c r="AW2242" s="82" t="s">
        <v>19010</v>
      </c>
      <c r="AX2242" s="82" t="s">
        <v>19010</v>
      </c>
      <c r="AY2242" s="77"/>
      <c r="AZ2242" s="82" t="s">
        <v>20971</v>
      </c>
      <c r="BA2242" s="82" t="s">
        <v>20971</v>
      </c>
      <c r="BB2242" s="82" t="s">
        <v>20971</v>
      </c>
      <c r="BC2242" s="82" t="s">
        <v>19010</v>
      </c>
      <c r="BD2242" s="77">
        <v>60191703</v>
      </c>
      <c r="BE2242" s="77"/>
      <c r="BF2242" s="77"/>
      <c r="BG2242" s="77"/>
      <c r="BH2242" s="77"/>
      <c r="BI2242" s="77"/>
    </row>
    <row r="2243" spans="1:61" x14ac:dyDescent="0.25">
      <c r="A2243" s="62" t="s">
        <v>786</v>
      </c>
      <c r="B2243" s="62" t="s">
        <v>786</v>
      </c>
      <c r="C2243" s="63"/>
      <c r="D2243" s="64"/>
      <c r="E2243" s="65"/>
      <c r="F2243" s="66"/>
      <c r="G2243" s="63"/>
      <c r="H2243" s="67"/>
      <c r="I2243" s="68"/>
      <c r="J2243" s="68"/>
      <c r="K2243" s="32"/>
      <c r="L2243" s="75">
        <v>2243</v>
      </c>
      <c r="M2243" s="75"/>
      <c r="N2243" s="70"/>
      <c r="O2243" s="77" t="s">
        <v>179</v>
      </c>
      <c r="P2243" s="79">
        <v>45012.756377314814</v>
      </c>
      <c r="Q2243" s="77" t="s">
        <v>3453</v>
      </c>
      <c r="R2243" s="77">
        <v>0</v>
      </c>
      <c r="S2243" s="77">
        <v>0</v>
      </c>
      <c r="T2243" s="77">
        <v>0</v>
      </c>
      <c r="U2243" s="77">
        <v>0</v>
      </c>
      <c r="V2243" s="77">
        <v>8</v>
      </c>
      <c r="W2243" s="82" t="s">
        <v>6291</v>
      </c>
      <c r="X2243" s="80" t="str">
        <f>HYPERLINK("https://rafaelcarvalho.tv/vendas-online-o-que-sao-e-como-funcionam/?feed_id=4861&amp;_unique_id=6421dbc73d744&amp;utm_source=Twitter")</f>
        <v>https://rafaelcarvalho.tv/vendas-online-o-que-sao-e-como-funcionam/?feed_id=4861&amp;_unique_id=6421dbc73d744&amp;utm_source=Twitter</v>
      </c>
      <c r="Y2243" s="77" t="s">
        <v>7402</v>
      </c>
      <c r="Z2243" s="77"/>
      <c r="AA2243" s="77"/>
      <c r="AB2243" s="77"/>
      <c r="AC2243" s="82" t="s">
        <v>10165</v>
      </c>
      <c r="AD2243" s="77" t="s">
        <v>10184</v>
      </c>
      <c r="AE2243" s="80" t="str">
        <f>HYPERLINK("https://twitter.com/carvalho_rafael/status/1640415685401518080")</f>
        <v>https://twitter.com/carvalho_rafael/status/1640415685401518080</v>
      </c>
      <c r="AF2243" s="79">
        <v>45012.756377314814</v>
      </c>
      <c r="AG2243" s="85">
        <v>45012</v>
      </c>
      <c r="AH2243" s="82" t="s">
        <v>12345</v>
      </c>
      <c r="AI2243" s="77" t="b">
        <v>1</v>
      </c>
      <c r="AJ2243" s="77"/>
      <c r="AK2243" s="77"/>
      <c r="AL2243" s="77"/>
      <c r="AM2243" s="77"/>
      <c r="AN2243" s="77"/>
      <c r="AO2243" s="77"/>
      <c r="AP2243" s="77"/>
      <c r="AQ2243" s="77"/>
      <c r="AR2243" s="77"/>
      <c r="AS2243" s="77"/>
      <c r="AT2243" s="77"/>
      <c r="AU2243" s="77"/>
      <c r="AV2243" s="80" t="str">
        <f>HYPERLINK("https://pbs.twimg.com/profile_images/1284265233691926528/89s0a3ar_normal.jpg")</f>
        <v>https://pbs.twimg.com/profile_images/1284265233691926528/89s0a3ar_normal.jpg</v>
      </c>
      <c r="AW2243" s="82" t="s">
        <v>19011</v>
      </c>
      <c r="AX2243" s="82" t="s">
        <v>19011</v>
      </c>
      <c r="AY2243" s="77"/>
      <c r="AZ2243" s="82" t="s">
        <v>20971</v>
      </c>
      <c r="BA2243" s="82" t="s">
        <v>20971</v>
      </c>
      <c r="BB2243" s="82" t="s">
        <v>20971</v>
      </c>
      <c r="BC2243" s="82" t="s">
        <v>19011</v>
      </c>
      <c r="BD2243" s="77">
        <v>60191703</v>
      </c>
      <c r="BE2243" s="77"/>
      <c r="BF2243" s="77"/>
      <c r="BG2243" s="77"/>
      <c r="BH2243" s="77"/>
      <c r="BI2243" s="77"/>
    </row>
    <row r="2244" spans="1:61" x14ac:dyDescent="0.25">
      <c r="A2244" s="62" t="s">
        <v>786</v>
      </c>
      <c r="B2244" s="62" t="s">
        <v>786</v>
      </c>
      <c r="C2244" s="63"/>
      <c r="D2244" s="64"/>
      <c r="E2244" s="65"/>
      <c r="F2244" s="66"/>
      <c r="G2244" s="63"/>
      <c r="H2244" s="67"/>
      <c r="I2244" s="68"/>
      <c r="J2244" s="68"/>
      <c r="K2244" s="32"/>
      <c r="L2244" s="75">
        <v>2244</v>
      </c>
      <c r="M2244" s="75"/>
      <c r="N2244" s="70"/>
      <c r="O2244" s="77" t="s">
        <v>179</v>
      </c>
      <c r="P2244" s="79">
        <v>45057.775775462964</v>
      </c>
      <c r="Q2244" s="77" t="s">
        <v>3454</v>
      </c>
      <c r="R2244" s="77">
        <v>0</v>
      </c>
      <c r="S2244" s="77">
        <v>0</v>
      </c>
      <c r="T2244" s="77">
        <v>0</v>
      </c>
      <c r="U2244" s="77">
        <v>0</v>
      </c>
      <c r="V2244" s="77">
        <v>9</v>
      </c>
      <c r="W2244" s="82" t="s">
        <v>6292</v>
      </c>
      <c r="X2244" s="80" t="str">
        <f>HYPERLINK("https://bit.ly/41t1pBS")</f>
        <v>https://bit.ly/41t1pBS</v>
      </c>
      <c r="Y2244" s="77" t="s">
        <v>7268</v>
      </c>
      <c r="Z2244" s="77"/>
      <c r="AA2244" s="77"/>
      <c r="AB2244" s="77"/>
      <c r="AC2244" s="82" t="s">
        <v>10165</v>
      </c>
      <c r="AD2244" s="77" t="s">
        <v>10184</v>
      </c>
      <c r="AE2244" s="80" t="str">
        <f>HYPERLINK("https://twitter.com/carvalho_rafael/status/1656730167014719489")</f>
        <v>https://twitter.com/carvalho_rafael/status/1656730167014719489</v>
      </c>
      <c r="AF2244" s="79">
        <v>45057.775775462964</v>
      </c>
      <c r="AG2244" s="85">
        <v>45057</v>
      </c>
      <c r="AH2244" s="82" t="s">
        <v>12346</v>
      </c>
      <c r="AI2244" s="77" t="b">
        <v>1</v>
      </c>
      <c r="AJ2244" s="77"/>
      <c r="AK2244" s="77"/>
      <c r="AL2244" s="77"/>
      <c r="AM2244" s="77"/>
      <c r="AN2244" s="77"/>
      <c r="AO2244" s="77"/>
      <c r="AP2244" s="77"/>
      <c r="AQ2244" s="77"/>
      <c r="AR2244" s="77"/>
      <c r="AS2244" s="77"/>
      <c r="AT2244" s="77"/>
      <c r="AU2244" s="77"/>
      <c r="AV2244" s="80" t="str">
        <f>HYPERLINK("https://pbs.twimg.com/profile_images/1284265233691926528/89s0a3ar_normal.jpg")</f>
        <v>https://pbs.twimg.com/profile_images/1284265233691926528/89s0a3ar_normal.jpg</v>
      </c>
      <c r="AW2244" s="82" t="s">
        <v>19012</v>
      </c>
      <c r="AX2244" s="82" t="s">
        <v>19012</v>
      </c>
      <c r="AY2244" s="77"/>
      <c r="AZ2244" s="82" t="s">
        <v>20971</v>
      </c>
      <c r="BA2244" s="82" t="s">
        <v>20971</v>
      </c>
      <c r="BB2244" s="82" t="s">
        <v>20971</v>
      </c>
      <c r="BC2244" s="82" t="s">
        <v>19012</v>
      </c>
      <c r="BD2244" s="77">
        <v>60191703</v>
      </c>
      <c r="BE2244" s="77"/>
      <c r="BF2244" s="77"/>
      <c r="BG2244" s="77"/>
      <c r="BH2244" s="77"/>
      <c r="BI2244" s="77"/>
    </row>
    <row r="2245" spans="1:61" x14ac:dyDescent="0.25">
      <c r="A2245" s="62" t="s">
        <v>786</v>
      </c>
      <c r="B2245" s="62" t="s">
        <v>786</v>
      </c>
      <c r="C2245" s="63"/>
      <c r="D2245" s="64"/>
      <c r="E2245" s="65"/>
      <c r="F2245" s="66"/>
      <c r="G2245" s="63"/>
      <c r="H2245" s="67"/>
      <c r="I2245" s="68"/>
      <c r="J2245" s="68"/>
      <c r="K2245" s="32"/>
      <c r="L2245" s="75">
        <v>2245</v>
      </c>
      <c r="M2245" s="75"/>
      <c r="N2245" s="70"/>
      <c r="O2245" s="77" t="s">
        <v>179</v>
      </c>
      <c r="P2245" s="79">
        <v>45032.766053240739</v>
      </c>
      <c r="Q2245" s="77" t="s">
        <v>3455</v>
      </c>
      <c r="R2245" s="77">
        <v>0</v>
      </c>
      <c r="S2245" s="77">
        <v>0</v>
      </c>
      <c r="T2245" s="77">
        <v>0</v>
      </c>
      <c r="U2245" s="77">
        <v>0</v>
      </c>
      <c r="V2245" s="77">
        <v>11</v>
      </c>
      <c r="W2245" s="82" t="s">
        <v>6293</v>
      </c>
      <c r="X2245" s="80" t="str">
        <f>HYPERLINK("https://bit.ly/3MOpbVl")</f>
        <v>https://bit.ly/3MOpbVl</v>
      </c>
      <c r="Y2245" s="77" t="s">
        <v>7268</v>
      </c>
      <c r="Z2245" s="77"/>
      <c r="AA2245" s="77"/>
      <c r="AB2245" s="77"/>
      <c r="AC2245" s="82" t="s">
        <v>10165</v>
      </c>
      <c r="AD2245" s="77" t="s">
        <v>10184</v>
      </c>
      <c r="AE2245" s="80" t="str">
        <f>HYPERLINK("https://twitter.com/carvalho_rafael/status/1647666948090523649")</f>
        <v>https://twitter.com/carvalho_rafael/status/1647666948090523649</v>
      </c>
      <c r="AF2245" s="79">
        <v>45032.766053240739</v>
      </c>
      <c r="AG2245" s="85">
        <v>45032</v>
      </c>
      <c r="AH2245" s="82" t="s">
        <v>10342</v>
      </c>
      <c r="AI2245" s="77" t="b">
        <v>1</v>
      </c>
      <c r="AJ2245" s="77"/>
      <c r="AK2245" s="77"/>
      <c r="AL2245" s="77"/>
      <c r="AM2245" s="77"/>
      <c r="AN2245" s="77"/>
      <c r="AO2245" s="77"/>
      <c r="AP2245" s="77"/>
      <c r="AQ2245" s="77"/>
      <c r="AR2245" s="77"/>
      <c r="AS2245" s="77"/>
      <c r="AT2245" s="77"/>
      <c r="AU2245" s="77"/>
      <c r="AV2245" s="80" t="str">
        <f>HYPERLINK("https://pbs.twimg.com/profile_images/1284265233691926528/89s0a3ar_normal.jpg")</f>
        <v>https://pbs.twimg.com/profile_images/1284265233691926528/89s0a3ar_normal.jpg</v>
      </c>
      <c r="AW2245" s="82" t="s">
        <v>19013</v>
      </c>
      <c r="AX2245" s="82" t="s">
        <v>19013</v>
      </c>
      <c r="AY2245" s="77"/>
      <c r="AZ2245" s="82" t="s">
        <v>20971</v>
      </c>
      <c r="BA2245" s="82" t="s">
        <v>20971</v>
      </c>
      <c r="BB2245" s="82" t="s">
        <v>20971</v>
      </c>
      <c r="BC2245" s="82" t="s">
        <v>19013</v>
      </c>
      <c r="BD2245" s="77">
        <v>60191703</v>
      </c>
      <c r="BE2245" s="77"/>
      <c r="BF2245" s="77"/>
      <c r="BG2245" s="77"/>
      <c r="BH2245" s="77"/>
      <c r="BI2245" s="77"/>
    </row>
    <row r="2246" spans="1:61" x14ac:dyDescent="0.25">
      <c r="A2246" s="62" t="s">
        <v>786</v>
      </c>
      <c r="B2246" s="62" t="s">
        <v>786</v>
      </c>
      <c r="C2246" s="63"/>
      <c r="D2246" s="64"/>
      <c r="E2246" s="65"/>
      <c r="F2246" s="66"/>
      <c r="G2246" s="63"/>
      <c r="H2246" s="67"/>
      <c r="I2246" s="68"/>
      <c r="J2246" s="68"/>
      <c r="K2246" s="32"/>
      <c r="L2246" s="75">
        <v>2246</v>
      </c>
      <c r="M2246" s="75"/>
      <c r="N2246" s="70"/>
      <c r="O2246" s="77" t="s">
        <v>179</v>
      </c>
      <c r="P2246" s="79">
        <v>45089.507071759261</v>
      </c>
      <c r="Q2246" s="77" t="s">
        <v>3456</v>
      </c>
      <c r="R2246" s="77">
        <v>0</v>
      </c>
      <c r="S2246" s="77">
        <v>0</v>
      </c>
      <c r="T2246" s="77">
        <v>1</v>
      </c>
      <c r="U2246" s="77">
        <v>0</v>
      </c>
      <c r="V2246" s="77">
        <v>15</v>
      </c>
      <c r="W2246" s="82" t="s">
        <v>6294</v>
      </c>
      <c r="X2246" s="77"/>
      <c r="Y2246" s="77"/>
      <c r="Z2246" s="77"/>
      <c r="AA2246" s="77"/>
      <c r="AB2246" s="77"/>
      <c r="AC2246" s="82" t="s">
        <v>10166</v>
      </c>
      <c r="AD2246" s="77" t="s">
        <v>10184</v>
      </c>
      <c r="AE2246" s="80" t="str">
        <f>HYPERLINK("https://twitter.com/carvalho_rafael/status/1668229206931656704")</f>
        <v>https://twitter.com/carvalho_rafael/status/1668229206931656704</v>
      </c>
      <c r="AF2246" s="79">
        <v>45089.507071759261</v>
      </c>
      <c r="AG2246" s="85">
        <v>45089</v>
      </c>
      <c r="AH2246" s="82" t="s">
        <v>12347</v>
      </c>
      <c r="AI2246" s="77"/>
      <c r="AJ2246" s="77"/>
      <c r="AK2246" s="77"/>
      <c r="AL2246" s="77"/>
      <c r="AM2246" s="77"/>
      <c r="AN2246" s="77"/>
      <c r="AO2246" s="77"/>
      <c r="AP2246" s="77"/>
      <c r="AQ2246" s="77"/>
      <c r="AR2246" s="77"/>
      <c r="AS2246" s="77"/>
      <c r="AT2246" s="77"/>
      <c r="AU2246" s="77"/>
      <c r="AV2246" s="80" t="str">
        <f>HYPERLINK("https://pbs.twimg.com/profile_images/1284265233691926528/89s0a3ar_normal.jpg")</f>
        <v>https://pbs.twimg.com/profile_images/1284265233691926528/89s0a3ar_normal.jpg</v>
      </c>
      <c r="AW2246" s="82" t="s">
        <v>19014</v>
      </c>
      <c r="AX2246" s="82" t="s">
        <v>19014</v>
      </c>
      <c r="AY2246" s="77"/>
      <c r="AZ2246" s="82" t="s">
        <v>20971</v>
      </c>
      <c r="BA2246" s="82" t="s">
        <v>20971</v>
      </c>
      <c r="BB2246" s="82" t="s">
        <v>20971</v>
      </c>
      <c r="BC2246" s="82" t="s">
        <v>19014</v>
      </c>
      <c r="BD2246" s="77">
        <v>60191703</v>
      </c>
      <c r="BE2246" s="77"/>
      <c r="BF2246" s="77"/>
      <c r="BG2246" s="77"/>
      <c r="BH2246" s="77"/>
      <c r="BI2246" s="77"/>
    </row>
    <row r="2247" spans="1:61" x14ac:dyDescent="0.25">
      <c r="A2247" s="62" t="s">
        <v>786</v>
      </c>
      <c r="B2247" s="62" t="s">
        <v>786</v>
      </c>
      <c r="C2247" s="63"/>
      <c r="D2247" s="64"/>
      <c r="E2247" s="65"/>
      <c r="F2247" s="66"/>
      <c r="G2247" s="63"/>
      <c r="H2247" s="67"/>
      <c r="I2247" s="68"/>
      <c r="J2247" s="68"/>
      <c r="K2247" s="32"/>
      <c r="L2247" s="75">
        <v>2247</v>
      </c>
      <c r="M2247" s="75"/>
      <c r="N2247" s="70"/>
      <c r="O2247" s="77" t="s">
        <v>179</v>
      </c>
      <c r="P2247" s="79">
        <v>44992.749374999999</v>
      </c>
      <c r="Q2247" s="77" t="s">
        <v>3457</v>
      </c>
      <c r="R2247" s="77">
        <v>0</v>
      </c>
      <c r="S2247" s="77">
        <v>0</v>
      </c>
      <c r="T2247" s="77">
        <v>0</v>
      </c>
      <c r="U2247" s="77">
        <v>0</v>
      </c>
      <c r="V2247" s="77">
        <v>12</v>
      </c>
      <c r="W2247" s="82" t="s">
        <v>6291</v>
      </c>
      <c r="X2247" s="80" t="str">
        <f>HYPERLINK("https://rafaelcarvalho.tv/vendas-online-o-que-sao-e-como-funcionam/?feed_id=4662&amp;_unique_id=64077b6a9c9cd&amp;utm_source=Twitter")</f>
        <v>https://rafaelcarvalho.tv/vendas-online-o-que-sao-e-como-funcionam/?feed_id=4662&amp;_unique_id=64077b6a9c9cd&amp;utm_source=Twitter</v>
      </c>
      <c r="Y2247" s="77" t="s">
        <v>7402</v>
      </c>
      <c r="Z2247" s="77"/>
      <c r="AA2247" s="77"/>
      <c r="AB2247" s="77"/>
      <c r="AC2247" s="82" t="s">
        <v>10165</v>
      </c>
      <c r="AD2247" s="77" t="s">
        <v>10184</v>
      </c>
      <c r="AE2247" s="80" t="str">
        <f>HYPERLINK("https://twitter.com/carvalho_rafael/status/1633165392251342848")</f>
        <v>https://twitter.com/carvalho_rafael/status/1633165392251342848</v>
      </c>
      <c r="AF2247" s="79">
        <v>44992.749374999999</v>
      </c>
      <c r="AG2247" s="85">
        <v>44992</v>
      </c>
      <c r="AH2247" s="82" t="s">
        <v>12348</v>
      </c>
      <c r="AI2247" s="77" t="b">
        <v>1</v>
      </c>
      <c r="AJ2247" s="77"/>
      <c r="AK2247" s="77"/>
      <c r="AL2247" s="77"/>
      <c r="AM2247" s="77"/>
      <c r="AN2247" s="77"/>
      <c r="AO2247" s="77"/>
      <c r="AP2247" s="77"/>
      <c r="AQ2247" s="77"/>
      <c r="AR2247" s="77"/>
      <c r="AS2247" s="77"/>
      <c r="AT2247" s="77"/>
      <c r="AU2247" s="77"/>
      <c r="AV2247" s="80" t="str">
        <f>HYPERLINK("https://pbs.twimg.com/profile_images/1284265233691926528/89s0a3ar_normal.jpg")</f>
        <v>https://pbs.twimg.com/profile_images/1284265233691926528/89s0a3ar_normal.jpg</v>
      </c>
      <c r="AW2247" s="82" t="s">
        <v>19015</v>
      </c>
      <c r="AX2247" s="82" t="s">
        <v>19015</v>
      </c>
      <c r="AY2247" s="77"/>
      <c r="AZ2247" s="82" t="s">
        <v>20971</v>
      </c>
      <c r="BA2247" s="82" t="s">
        <v>20971</v>
      </c>
      <c r="BB2247" s="82" t="s">
        <v>20971</v>
      </c>
      <c r="BC2247" s="82" t="s">
        <v>19015</v>
      </c>
      <c r="BD2247" s="77">
        <v>60191703</v>
      </c>
      <c r="BE2247" s="77"/>
      <c r="BF2247" s="77"/>
      <c r="BG2247" s="77"/>
      <c r="BH2247" s="77"/>
      <c r="BI2247" s="77"/>
    </row>
    <row r="2248" spans="1:61" x14ac:dyDescent="0.25">
      <c r="A2248" s="62" t="s">
        <v>787</v>
      </c>
      <c r="B2248" s="62" t="s">
        <v>787</v>
      </c>
      <c r="C2248" s="63"/>
      <c r="D2248" s="64"/>
      <c r="E2248" s="65"/>
      <c r="F2248" s="66"/>
      <c r="G2248" s="63"/>
      <c r="H2248" s="67"/>
      <c r="I2248" s="68"/>
      <c r="J2248" s="68"/>
      <c r="K2248" s="32"/>
      <c r="L2248" s="75">
        <v>2248</v>
      </c>
      <c r="M2248" s="75"/>
      <c r="N2248" s="70"/>
      <c r="O2248" s="77" t="s">
        <v>179</v>
      </c>
      <c r="P2248" s="79">
        <v>44987.662349537037</v>
      </c>
      <c r="Q2248" s="77" t="s">
        <v>3458</v>
      </c>
      <c r="R2248" s="77">
        <v>0</v>
      </c>
      <c r="S2248" s="77">
        <v>0</v>
      </c>
      <c r="T2248" s="77">
        <v>0</v>
      </c>
      <c r="U2248" s="77">
        <v>0</v>
      </c>
      <c r="V2248" s="77">
        <v>26</v>
      </c>
      <c r="W2248" s="82" t="s">
        <v>6295</v>
      </c>
      <c r="X2248" s="80" t="str">
        <f>HYPERLINK("http://Bit.ly/Fórmula-Feo")</f>
        <v>http://Bit.ly/Fórmula-Feo</v>
      </c>
      <c r="Y2248" s="77" t="s">
        <v>7268</v>
      </c>
      <c r="Z2248" s="77"/>
      <c r="AA2248" s="77" t="s">
        <v>8718</v>
      </c>
      <c r="AB2248" s="77" t="s">
        <v>10130</v>
      </c>
      <c r="AC2248" s="82" t="s">
        <v>10144</v>
      </c>
      <c r="AD2248" s="77" t="s">
        <v>10184</v>
      </c>
      <c r="AE2248" s="80" t="str">
        <f>HYPERLINK("https://twitter.com/cvendas011/status/1631321916265955330")</f>
        <v>https://twitter.com/cvendas011/status/1631321916265955330</v>
      </c>
      <c r="AF2248" s="79">
        <v>44987.662349537037</v>
      </c>
      <c r="AG2248" s="85">
        <v>44987</v>
      </c>
      <c r="AH2248" s="82" t="s">
        <v>12349</v>
      </c>
      <c r="AI2248" s="77" t="b">
        <v>0</v>
      </c>
      <c r="AJ2248" s="77"/>
      <c r="AK2248" s="77"/>
      <c r="AL2248" s="77"/>
      <c r="AM2248" s="77"/>
      <c r="AN2248" s="77"/>
      <c r="AO2248" s="77"/>
      <c r="AP2248" s="77"/>
      <c r="AQ2248" s="77" t="s">
        <v>15361</v>
      </c>
      <c r="AR2248" s="77"/>
      <c r="AS2248" s="77"/>
      <c r="AT2248" s="77"/>
      <c r="AU2248" s="77"/>
      <c r="AV2248" s="80" t="str">
        <f>HYPERLINK("https://pbs.twimg.com/media/FqOejaZWYAImUI2.jpg")</f>
        <v>https://pbs.twimg.com/media/FqOejaZWYAImUI2.jpg</v>
      </c>
      <c r="AW2248" s="82" t="s">
        <v>19016</v>
      </c>
      <c r="AX2248" s="82" t="s">
        <v>19016</v>
      </c>
      <c r="AY2248" s="77"/>
      <c r="AZ2248" s="82" t="s">
        <v>20971</v>
      </c>
      <c r="BA2248" s="82" t="s">
        <v>20971</v>
      </c>
      <c r="BB2248" s="82" t="s">
        <v>20971</v>
      </c>
      <c r="BC2248" s="82" t="s">
        <v>19016</v>
      </c>
      <c r="BD2248" s="82" t="s">
        <v>21430</v>
      </c>
      <c r="BE2248" s="77"/>
      <c r="BF2248" s="77"/>
      <c r="BG2248" s="77"/>
      <c r="BH2248" s="77"/>
      <c r="BI2248" s="77"/>
    </row>
    <row r="2249" spans="1:61" x14ac:dyDescent="0.25">
      <c r="A2249" s="62" t="s">
        <v>787</v>
      </c>
      <c r="B2249" s="62" t="s">
        <v>787</v>
      </c>
      <c r="C2249" s="63"/>
      <c r="D2249" s="64"/>
      <c r="E2249" s="65"/>
      <c r="F2249" s="66"/>
      <c r="G2249" s="63"/>
      <c r="H2249" s="67"/>
      <c r="I2249" s="68"/>
      <c r="J2249" s="68"/>
      <c r="K2249" s="32"/>
      <c r="L2249" s="75">
        <v>2249</v>
      </c>
      <c r="M2249" s="75"/>
      <c r="N2249" s="70"/>
      <c r="O2249" s="77" t="s">
        <v>179</v>
      </c>
      <c r="P2249" s="79">
        <v>44976.748020833336</v>
      </c>
      <c r="Q2249" s="77" t="s">
        <v>3459</v>
      </c>
      <c r="R2249" s="77">
        <v>0</v>
      </c>
      <c r="S2249" s="77">
        <v>0</v>
      </c>
      <c r="T2249" s="77">
        <v>0</v>
      </c>
      <c r="U2249" s="77">
        <v>0</v>
      </c>
      <c r="V2249" s="77">
        <v>9</v>
      </c>
      <c r="W2249" s="82" t="s">
        <v>6296</v>
      </c>
      <c r="X2249" s="80" t="str">
        <f>HYPERLINK("http://Bit.ly/Fórmula-Feo")</f>
        <v>http://Bit.ly/Fórmula-Feo</v>
      </c>
      <c r="Y2249" s="77" t="s">
        <v>7268</v>
      </c>
      <c r="Z2249" s="77"/>
      <c r="AA2249" s="77"/>
      <c r="AB2249" s="77"/>
      <c r="AC2249" s="82" t="s">
        <v>10144</v>
      </c>
      <c r="AD2249" s="77" t="s">
        <v>10184</v>
      </c>
      <c r="AE2249" s="80" t="str">
        <f>HYPERLINK("https://twitter.com/cvendas011/status/1627366692249563138")</f>
        <v>https://twitter.com/cvendas011/status/1627366692249563138</v>
      </c>
      <c r="AF2249" s="79">
        <v>44976.748020833336</v>
      </c>
      <c r="AG2249" s="85">
        <v>44976</v>
      </c>
      <c r="AH2249" s="82" t="s">
        <v>12350</v>
      </c>
      <c r="AI2249" s="77" t="b">
        <v>0</v>
      </c>
      <c r="AJ2249" s="77"/>
      <c r="AK2249" s="77"/>
      <c r="AL2249" s="77"/>
      <c r="AM2249" s="77"/>
      <c r="AN2249" s="77"/>
      <c r="AO2249" s="77"/>
      <c r="AP2249" s="77"/>
      <c r="AQ2249" s="77"/>
      <c r="AR2249" s="77"/>
      <c r="AS2249" s="77"/>
      <c r="AT2249" s="77"/>
      <c r="AU2249" s="77"/>
      <c r="AV2249" s="80" t="str">
        <f>HYPERLINK("https://pbs.twimg.com/profile_images/1528202434249646081/obWi78PN_normal.jpg")</f>
        <v>https://pbs.twimg.com/profile_images/1528202434249646081/obWi78PN_normal.jpg</v>
      </c>
      <c r="AW2249" s="82" t="s">
        <v>19017</v>
      </c>
      <c r="AX2249" s="82" t="s">
        <v>19017</v>
      </c>
      <c r="AY2249" s="77"/>
      <c r="AZ2249" s="82" t="s">
        <v>20971</v>
      </c>
      <c r="BA2249" s="82" t="s">
        <v>20971</v>
      </c>
      <c r="BB2249" s="82" t="s">
        <v>20971</v>
      </c>
      <c r="BC2249" s="82" t="s">
        <v>19017</v>
      </c>
      <c r="BD2249" s="82" t="s">
        <v>21430</v>
      </c>
      <c r="BE2249" s="77"/>
      <c r="BF2249" s="77"/>
      <c r="BG2249" s="77"/>
      <c r="BH2249" s="77"/>
      <c r="BI2249" s="77"/>
    </row>
    <row r="2250" spans="1:61" x14ac:dyDescent="0.25">
      <c r="A2250" s="62" t="s">
        <v>787</v>
      </c>
      <c r="B2250" s="62" t="s">
        <v>787</v>
      </c>
      <c r="C2250" s="63"/>
      <c r="D2250" s="64"/>
      <c r="E2250" s="65"/>
      <c r="F2250" s="66"/>
      <c r="G2250" s="63"/>
      <c r="H2250" s="67"/>
      <c r="I2250" s="68"/>
      <c r="J2250" s="68"/>
      <c r="K2250" s="32"/>
      <c r="L2250" s="75">
        <v>2250</v>
      </c>
      <c r="M2250" s="75"/>
      <c r="N2250" s="70"/>
      <c r="O2250" s="77" t="s">
        <v>179</v>
      </c>
      <c r="P2250" s="79">
        <v>45073.346030092594</v>
      </c>
      <c r="Q2250" s="77" t="s">
        <v>3460</v>
      </c>
      <c r="R2250" s="77">
        <v>0</v>
      </c>
      <c r="S2250" s="77">
        <v>0</v>
      </c>
      <c r="T2250" s="77">
        <v>0</v>
      </c>
      <c r="U2250" s="77">
        <v>0</v>
      </c>
      <c r="V2250" s="77">
        <v>76</v>
      </c>
      <c r="W2250" s="82" t="s">
        <v>6297</v>
      </c>
      <c r="X2250" s="80" t="str">
        <f>HYPERLINK("http://bit.ly/Feoon")</f>
        <v>http://bit.ly/Feoon</v>
      </c>
      <c r="Y2250" s="77" t="s">
        <v>7268</v>
      </c>
      <c r="Z2250" s="77"/>
      <c r="AA2250" s="77"/>
      <c r="AB2250" s="77"/>
      <c r="AC2250" s="82" t="s">
        <v>10145</v>
      </c>
      <c r="AD2250" s="77" t="s">
        <v>10184</v>
      </c>
      <c r="AE2250" s="80" t="str">
        <f>HYPERLINK("https://twitter.com/cvendas011/status/1662372638499414016")</f>
        <v>https://twitter.com/cvendas011/status/1662372638499414016</v>
      </c>
      <c r="AF2250" s="79">
        <v>45073.346030092594</v>
      </c>
      <c r="AG2250" s="85">
        <v>45073</v>
      </c>
      <c r="AH2250" s="82" t="s">
        <v>12351</v>
      </c>
      <c r="AI2250" s="77" t="b">
        <v>0</v>
      </c>
      <c r="AJ2250" s="77"/>
      <c r="AK2250" s="77"/>
      <c r="AL2250" s="77"/>
      <c r="AM2250" s="77"/>
      <c r="AN2250" s="77"/>
      <c r="AO2250" s="77"/>
      <c r="AP2250" s="77"/>
      <c r="AQ2250" s="77"/>
      <c r="AR2250" s="77"/>
      <c r="AS2250" s="77"/>
      <c r="AT2250" s="77"/>
      <c r="AU2250" s="77"/>
      <c r="AV2250" s="80" t="str">
        <f>HYPERLINK("https://pbs.twimg.com/profile_images/1528202434249646081/obWi78PN_normal.jpg")</f>
        <v>https://pbs.twimg.com/profile_images/1528202434249646081/obWi78PN_normal.jpg</v>
      </c>
      <c r="AW2250" s="82" t="s">
        <v>19018</v>
      </c>
      <c r="AX2250" s="82" t="s">
        <v>19018</v>
      </c>
      <c r="AY2250" s="77"/>
      <c r="AZ2250" s="82" t="s">
        <v>20971</v>
      </c>
      <c r="BA2250" s="82" t="s">
        <v>20971</v>
      </c>
      <c r="BB2250" s="82" t="s">
        <v>20971</v>
      </c>
      <c r="BC2250" s="82" t="s">
        <v>19018</v>
      </c>
      <c r="BD2250" s="82" t="s">
        <v>21430</v>
      </c>
      <c r="BE2250" s="77"/>
      <c r="BF2250" s="77"/>
      <c r="BG2250" s="77"/>
      <c r="BH2250" s="77"/>
      <c r="BI2250" s="77"/>
    </row>
    <row r="2251" spans="1:61" x14ac:dyDescent="0.25">
      <c r="A2251" s="62" t="s">
        <v>787</v>
      </c>
      <c r="B2251" s="62" t="s">
        <v>787</v>
      </c>
      <c r="C2251" s="63"/>
      <c r="D2251" s="64"/>
      <c r="E2251" s="65"/>
      <c r="F2251" s="66"/>
      <c r="G2251" s="63"/>
      <c r="H2251" s="67"/>
      <c r="I2251" s="68"/>
      <c r="J2251" s="68"/>
      <c r="K2251" s="32"/>
      <c r="L2251" s="75">
        <v>2251</v>
      </c>
      <c r="M2251" s="75"/>
      <c r="N2251" s="70"/>
      <c r="O2251" s="77" t="s">
        <v>179</v>
      </c>
      <c r="P2251" s="79">
        <v>45077.612500000003</v>
      </c>
      <c r="Q2251" s="80" t="str">
        <f>HYPERLINK("https://t.co/0Fy3SwR8Oz
#rendaextra")</f>
        <v>https://t.co/0Fy3SwR8Oz
#rendaextra</v>
      </c>
      <c r="R2251" s="77">
        <v>0</v>
      </c>
      <c r="S2251" s="77">
        <v>0</v>
      </c>
      <c r="T2251" s="77">
        <v>0</v>
      </c>
      <c r="U2251" s="77">
        <v>0</v>
      </c>
      <c r="V2251" s="77">
        <v>4</v>
      </c>
      <c r="W2251" s="82" t="s">
        <v>5236</v>
      </c>
      <c r="X2251" s="80" t="str">
        <f>HYPERLINK("http://Bit.ly/Feoon")</f>
        <v>http://Bit.ly/Feoon</v>
      </c>
      <c r="Y2251" s="77" t="s">
        <v>7268</v>
      </c>
      <c r="Z2251" s="77"/>
      <c r="AA2251" s="77"/>
      <c r="AB2251" s="77"/>
      <c r="AC2251" s="82" t="s">
        <v>10145</v>
      </c>
      <c r="AD2251" s="77" t="s">
        <v>10183</v>
      </c>
      <c r="AE2251" s="80" t="str">
        <f>HYPERLINK("https://twitter.com/cvendas011/status/1663918757436063744")</f>
        <v>https://twitter.com/cvendas011/status/1663918757436063744</v>
      </c>
      <c r="AF2251" s="79">
        <v>45077.612500000003</v>
      </c>
      <c r="AG2251" s="85">
        <v>45077</v>
      </c>
      <c r="AH2251" s="82" t="s">
        <v>12352</v>
      </c>
      <c r="AI2251" s="77" t="b">
        <v>0</v>
      </c>
      <c r="AJ2251" s="77"/>
      <c r="AK2251" s="77"/>
      <c r="AL2251" s="77"/>
      <c r="AM2251" s="77"/>
      <c r="AN2251" s="77"/>
      <c r="AO2251" s="77"/>
      <c r="AP2251" s="77"/>
      <c r="AQ2251" s="77"/>
      <c r="AR2251" s="77"/>
      <c r="AS2251" s="77"/>
      <c r="AT2251" s="77"/>
      <c r="AU2251" s="77"/>
      <c r="AV2251" s="80" t="str">
        <f>HYPERLINK("https://pbs.twimg.com/profile_images/1528202434249646081/obWi78PN_normal.jpg")</f>
        <v>https://pbs.twimg.com/profile_images/1528202434249646081/obWi78PN_normal.jpg</v>
      </c>
      <c r="AW2251" s="82" t="s">
        <v>19019</v>
      </c>
      <c r="AX2251" s="82" t="s">
        <v>19019</v>
      </c>
      <c r="AY2251" s="77"/>
      <c r="AZ2251" s="82" t="s">
        <v>20971</v>
      </c>
      <c r="BA2251" s="82" t="s">
        <v>20971</v>
      </c>
      <c r="BB2251" s="82" t="s">
        <v>20971</v>
      </c>
      <c r="BC2251" s="82" t="s">
        <v>19019</v>
      </c>
      <c r="BD2251" s="82" t="s">
        <v>21430</v>
      </c>
      <c r="BE2251" s="77"/>
      <c r="BF2251" s="77"/>
      <c r="BG2251" s="77"/>
      <c r="BH2251" s="77"/>
      <c r="BI2251" s="77"/>
    </row>
    <row r="2252" spans="1:61" x14ac:dyDescent="0.25">
      <c r="A2252" s="62" t="s">
        <v>787</v>
      </c>
      <c r="B2252" s="62" t="s">
        <v>787</v>
      </c>
      <c r="C2252" s="63"/>
      <c r="D2252" s="64"/>
      <c r="E2252" s="65"/>
      <c r="F2252" s="66"/>
      <c r="G2252" s="63"/>
      <c r="H2252" s="67"/>
      <c r="I2252" s="68"/>
      <c r="J2252" s="68"/>
      <c r="K2252" s="32"/>
      <c r="L2252" s="75">
        <v>2252</v>
      </c>
      <c r="M2252" s="75"/>
      <c r="N2252" s="70"/>
      <c r="O2252" s="77" t="s">
        <v>179</v>
      </c>
      <c r="P2252" s="79">
        <v>45077.6096875</v>
      </c>
      <c r="Q2252" s="77" t="s">
        <v>3461</v>
      </c>
      <c r="R2252" s="77">
        <v>0</v>
      </c>
      <c r="S2252" s="77">
        <v>0</v>
      </c>
      <c r="T2252" s="77">
        <v>0</v>
      </c>
      <c r="U2252" s="77">
        <v>0</v>
      </c>
      <c r="V2252" s="77">
        <v>13</v>
      </c>
      <c r="W2252" s="82" t="s">
        <v>6298</v>
      </c>
      <c r="X2252" s="80" t="str">
        <f>HYPERLINK("http://bit.ly/Meucelularinteligente")</f>
        <v>http://bit.ly/Meucelularinteligente</v>
      </c>
      <c r="Y2252" s="77" t="s">
        <v>7268</v>
      </c>
      <c r="Z2252" s="77"/>
      <c r="AA2252" s="77"/>
      <c r="AB2252" s="77"/>
      <c r="AC2252" s="82" t="s">
        <v>10145</v>
      </c>
      <c r="AD2252" s="77" t="s">
        <v>10184</v>
      </c>
      <c r="AE2252" s="80" t="str">
        <f>HYPERLINK("https://twitter.com/cvendas011/status/1663917736148234240")</f>
        <v>https://twitter.com/cvendas011/status/1663917736148234240</v>
      </c>
      <c r="AF2252" s="79">
        <v>45077.6096875</v>
      </c>
      <c r="AG2252" s="85">
        <v>45077</v>
      </c>
      <c r="AH2252" s="82" t="s">
        <v>12353</v>
      </c>
      <c r="AI2252" s="77" t="b">
        <v>0</v>
      </c>
      <c r="AJ2252" s="77"/>
      <c r="AK2252" s="77"/>
      <c r="AL2252" s="77"/>
      <c r="AM2252" s="77"/>
      <c r="AN2252" s="77"/>
      <c r="AO2252" s="77"/>
      <c r="AP2252" s="77"/>
      <c r="AQ2252" s="77"/>
      <c r="AR2252" s="77"/>
      <c r="AS2252" s="77"/>
      <c r="AT2252" s="77"/>
      <c r="AU2252" s="77"/>
      <c r="AV2252" s="80" t="str">
        <f>HYPERLINK("https://pbs.twimg.com/profile_images/1528202434249646081/obWi78PN_normal.jpg")</f>
        <v>https://pbs.twimg.com/profile_images/1528202434249646081/obWi78PN_normal.jpg</v>
      </c>
      <c r="AW2252" s="82" t="s">
        <v>19020</v>
      </c>
      <c r="AX2252" s="82" t="s">
        <v>19020</v>
      </c>
      <c r="AY2252" s="77"/>
      <c r="AZ2252" s="82" t="s">
        <v>20971</v>
      </c>
      <c r="BA2252" s="82" t="s">
        <v>20971</v>
      </c>
      <c r="BB2252" s="82" t="s">
        <v>20971</v>
      </c>
      <c r="BC2252" s="82" t="s">
        <v>19020</v>
      </c>
      <c r="BD2252" s="82" t="s">
        <v>21430</v>
      </c>
      <c r="BE2252" s="77"/>
      <c r="BF2252" s="77"/>
      <c r="BG2252" s="77"/>
      <c r="BH2252" s="77"/>
      <c r="BI2252" s="77"/>
    </row>
    <row r="2253" spans="1:61" x14ac:dyDescent="0.25">
      <c r="A2253" s="62" t="s">
        <v>787</v>
      </c>
      <c r="B2253" s="62" t="s">
        <v>787</v>
      </c>
      <c r="C2253" s="63"/>
      <c r="D2253" s="64"/>
      <c r="E2253" s="65"/>
      <c r="F2253" s="66"/>
      <c r="G2253" s="63"/>
      <c r="H2253" s="67"/>
      <c r="I2253" s="68"/>
      <c r="J2253" s="68"/>
      <c r="K2253" s="32"/>
      <c r="L2253" s="75">
        <v>2253</v>
      </c>
      <c r="M2253" s="75"/>
      <c r="N2253" s="70"/>
      <c r="O2253" s="77" t="s">
        <v>179</v>
      </c>
      <c r="P2253" s="79">
        <v>45072.02416666667</v>
      </c>
      <c r="Q2253" s="77" t="s">
        <v>3462</v>
      </c>
      <c r="R2253" s="77">
        <v>0</v>
      </c>
      <c r="S2253" s="77">
        <v>0</v>
      </c>
      <c r="T2253" s="77">
        <v>0</v>
      </c>
      <c r="U2253" s="77">
        <v>0</v>
      </c>
      <c r="V2253" s="77">
        <v>28</v>
      </c>
      <c r="W2253" s="82" t="s">
        <v>6299</v>
      </c>
      <c r="X2253" s="80" t="str">
        <f>HYPERLINK("http://Bit.ly/Meucelularinteligente")</f>
        <v>http://Bit.ly/Meucelularinteligente</v>
      </c>
      <c r="Y2253" s="77" t="s">
        <v>7268</v>
      </c>
      <c r="Z2253" s="77"/>
      <c r="AA2253" s="77" t="s">
        <v>8719</v>
      </c>
      <c r="AB2253" s="77" t="s">
        <v>10128</v>
      </c>
      <c r="AC2253" s="82" t="s">
        <v>10145</v>
      </c>
      <c r="AD2253" s="77" t="s">
        <v>10184</v>
      </c>
      <c r="AE2253" s="80" t="str">
        <f>HYPERLINK("https://twitter.com/cvendas011/status/1661893613725384704")</f>
        <v>https://twitter.com/cvendas011/status/1661893613725384704</v>
      </c>
      <c r="AF2253" s="79">
        <v>45072.02416666667</v>
      </c>
      <c r="AG2253" s="85">
        <v>45072</v>
      </c>
      <c r="AH2253" s="82" t="s">
        <v>12354</v>
      </c>
      <c r="AI2253" s="77" t="b">
        <v>0</v>
      </c>
      <c r="AJ2253" s="77"/>
      <c r="AK2253" s="77"/>
      <c r="AL2253" s="77"/>
      <c r="AM2253" s="77"/>
      <c r="AN2253" s="77"/>
      <c r="AO2253" s="77"/>
      <c r="AP2253" s="77"/>
      <c r="AQ2253" s="77" t="s">
        <v>15362</v>
      </c>
      <c r="AR2253" s="77"/>
      <c r="AS2253" s="77"/>
      <c r="AT2253" s="77"/>
      <c r="AU2253" s="77"/>
      <c r="AV2253" s="80" t="str">
        <f>HYPERLINK("https://pbs.twimg.com/media/FxA7a52WwAEphIQ.jpg")</f>
        <v>https://pbs.twimg.com/media/FxA7a52WwAEphIQ.jpg</v>
      </c>
      <c r="AW2253" s="82" t="s">
        <v>19021</v>
      </c>
      <c r="AX2253" s="82" t="s">
        <v>19021</v>
      </c>
      <c r="AY2253" s="77"/>
      <c r="AZ2253" s="82" t="s">
        <v>20971</v>
      </c>
      <c r="BA2253" s="82" t="s">
        <v>20971</v>
      </c>
      <c r="BB2253" s="82" t="s">
        <v>20971</v>
      </c>
      <c r="BC2253" s="82" t="s">
        <v>19021</v>
      </c>
      <c r="BD2253" s="82" t="s">
        <v>21430</v>
      </c>
      <c r="BE2253" s="77"/>
      <c r="BF2253" s="77"/>
      <c r="BG2253" s="77"/>
      <c r="BH2253" s="77"/>
      <c r="BI2253" s="77"/>
    </row>
    <row r="2254" spans="1:61" x14ac:dyDescent="0.25">
      <c r="A2254" s="62" t="s">
        <v>787</v>
      </c>
      <c r="B2254" s="62" t="s">
        <v>787</v>
      </c>
      <c r="C2254" s="63"/>
      <c r="D2254" s="64"/>
      <c r="E2254" s="65"/>
      <c r="F2254" s="66"/>
      <c r="G2254" s="63"/>
      <c r="H2254" s="67"/>
      <c r="I2254" s="68"/>
      <c r="J2254" s="68"/>
      <c r="K2254" s="32"/>
      <c r="L2254" s="75">
        <v>2254</v>
      </c>
      <c r="M2254" s="75"/>
      <c r="N2254" s="70"/>
      <c r="O2254" s="77" t="s">
        <v>179</v>
      </c>
      <c r="P2254" s="79">
        <v>45072.021145833336</v>
      </c>
      <c r="Q2254" s="77" t="s">
        <v>3463</v>
      </c>
      <c r="R2254" s="77">
        <v>0</v>
      </c>
      <c r="S2254" s="77">
        <v>0</v>
      </c>
      <c r="T2254" s="77">
        <v>0</v>
      </c>
      <c r="U2254" s="77">
        <v>0</v>
      </c>
      <c r="V2254" s="77">
        <v>46</v>
      </c>
      <c r="W2254" s="82" t="s">
        <v>6300</v>
      </c>
      <c r="X2254" s="77" t="s">
        <v>7209</v>
      </c>
      <c r="Y2254" s="77" t="s">
        <v>7268</v>
      </c>
      <c r="Z2254" s="77"/>
      <c r="AA2254" s="77"/>
      <c r="AB2254" s="77"/>
      <c r="AC2254" s="82" t="s">
        <v>10145</v>
      </c>
      <c r="AD2254" s="77" t="s">
        <v>10184</v>
      </c>
      <c r="AE2254" s="80" t="str">
        <f>HYPERLINK("https://twitter.com/cvendas011/status/1661892519171424258")</f>
        <v>https://twitter.com/cvendas011/status/1661892519171424258</v>
      </c>
      <c r="AF2254" s="79">
        <v>45072.021145833336</v>
      </c>
      <c r="AG2254" s="85">
        <v>45072</v>
      </c>
      <c r="AH2254" s="82" t="s">
        <v>12355</v>
      </c>
      <c r="AI2254" s="77" t="b">
        <v>0</v>
      </c>
      <c r="AJ2254" s="77"/>
      <c r="AK2254" s="77"/>
      <c r="AL2254" s="77"/>
      <c r="AM2254" s="77"/>
      <c r="AN2254" s="77"/>
      <c r="AO2254" s="77"/>
      <c r="AP2254" s="77"/>
      <c r="AQ2254" s="77"/>
      <c r="AR2254" s="77"/>
      <c r="AS2254" s="77"/>
      <c r="AT2254" s="77"/>
      <c r="AU2254" s="77"/>
      <c r="AV2254" s="80" t="str">
        <f>HYPERLINK("https://pbs.twimg.com/profile_images/1528202434249646081/obWi78PN_normal.jpg")</f>
        <v>https://pbs.twimg.com/profile_images/1528202434249646081/obWi78PN_normal.jpg</v>
      </c>
      <c r="AW2254" s="82" t="s">
        <v>19022</v>
      </c>
      <c r="AX2254" s="82" t="s">
        <v>19022</v>
      </c>
      <c r="AY2254" s="77"/>
      <c r="AZ2254" s="82" t="s">
        <v>20971</v>
      </c>
      <c r="BA2254" s="82" t="s">
        <v>20971</v>
      </c>
      <c r="BB2254" s="82" t="s">
        <v>20971</v>
      </c>
      <c r="BC2254" s="82" t="s">
        <v>19022</v>
      </c>
      <c r="BD2254" s="82" t="s">
        <v>21430</v>
      </c>
      <c r="BE2254" s="77"/>
      <c r="BF2254" s="77"/>
      <c r="BG2254" s="77"/>
      <c r="BH2254" s="77"/>
      <c r="BI2254" s="77"/>
    </row>
    <row r="2255" spans="1:61" x14ac:dyDescent="0.25">
      <c r="A2255" s="62" t="s">
        <v>788</v>
      </c>
      <c r="B2255" s="62" t="s">
        <v>1264</v>
      </c>
      <c r="C2255" s="63"/>
      <c r="D2255" s="64"/>
      <c r="E2255" s="65"/>
      <c r="F2255" s="66"/>
      <c r="G2255" s="63"/>
      <c r="H2255" s="67"/>
      <c r="I2255" s="68"/>
      <c r="J2255" s="68"/>
      <c r="K2255" s="32"/>
      <c r="L2255" s="75">
        <v>2255</v>
      </c>
      <c r="M2255" s="75"/>
      <c r="N2255" s="70"/>
      <c r="O2255" s="77" t="s">
        <v>1285</v>
      </c>
      <c r="P2255" s="79">
        <v>45092.878877314812</v>
      </c>
      <c r="Q2255" s="77" t="s">
        <v>3464</v>
      </c>
      <c r="R2255" s="77">
        <v>0</v>
      </c>
      <c r="S2255" s="77">
        <v>1</v>
      </c>
      <c r="T2255" s="77">
        <v>0</v>
      </c>
      <c r="U2255" s="77">
        <v>0</v>
      </c>
      <c r="V2255" s="77">
        <v>149</v>
      </c>
      <c r="W2255" s="82" t="s">
        <v>6301</v>
      </c>
      <c r="X2255" s="80" t="str">
        <f>HYPERLINK("https://youtu.be/Ov9jW45gPQc")</f>
        <v>https://youtu.be/Ov9jW45gPQc</v>
      </c>
      <c r="Y2255" s="77" t="s">
        <v>7248</v>
      </c>
      <c r="Z2255" s="77" t="s">
        <v>7504</v>
      </c>
      <c r="AA2255" s="77"/>
      <c r="AB2255" s="77"/>
      <c r="AC2255" s="82" t="s">
        <v>10144</v>
      </c>
      <c r="AD2255" s="77" t="s">
        <v>10184</v>
      </c>
      <c r="AE2255" s="80" t="str">
        <f>HYPERLINK("https://twitter.com/qqcleber/status/1669451107767140355")</f>
        <v>https://twitter.com/qqcleber/status/1669451107767140355</v>
      </c>
      <c r="AF2255" s="79">
        <v>45092.878877314812</v>
      </c>
      <c r="AG2255" s="85">
        <v>45092</v>
      </c>
      <c r="AH2255" s="82" t="s">
        <v>12356</v>
      </c>
      <c r="AI2255" s="77" t="b">
        <v>0</v>
      </c>
      <c r="AJ2255" s="77"/>
      <c r="AK2255" s="77"/>
      <c r="AL2255" s="77"/>
      <c r="AM2255" s="77"/>
      <c r="AN2255" s="77"/>
      <c r="AO2255" s="77"/>
      <c r="AP2255" s="77"/>
      <c r="AQ2255" s="77"/>
      <c r="AR2255" s="77"/>
      <c r="AS2255" s="77"/>
      <c r="AT2255" s="77"/>
      <c r="AU2255" s="77"/>
      <c r="AV2255" s="80" t="str">
        <f>HYPERLINK("https://pbs.twimg.com/profile_images/1461456235308404740/D3elQ9u7_normal.jpg")</f>
        <v>https://pbs.twimg.com/profile_images/1461456235308404740/D3elQ9u7_normal.jpg</v>
      </c>
      <c r="AW2255" s="82" t="s">
        <v>19023</v>
      </c>
      <c r="AX2255" s="82" t="s">
        <v>19023</v>
      </c>
      <c r="AY2255" s="77"/>
      <c r="AZ2255" s="82" t="s">
        <v>20971</v>
      </c>
      <c r="BA2255" s="82" t="s">
        <v>20971</v>
      </c>
      <c r="BB2255" s="82" t="s">
        <v>20971</v>
      </c>
      <c r="BC2255" s="82" t="s">
        <v>19023</v>
      </c>
      <c r="BD2255" s="77">
        <v>2809333119</v>
      </c>
      <c r="BE2255" s="77"/>
      <c r="BF2255" s="77"/>
      <c r="BG2255" s="77"/>
      <c r="BH2255" s="77"/>
      <c r="BI2255" s="77"/>
    </row>
    <row r="2256" spans="1:61" x14ac:dyDescent="0.25">
      <c r="A2256" s="62" t="s">
        <v>788</v>
      </c>
      <c r="B2256" s="62" t="s">
        <v>788</v>
      </c>
      <c r="C2256" s="63"/>
      <c r="D2256" s="64"/>
      <c r="E2256" s="65"/>
      <c r="F2256" s="66"/>
      <c r="G2256" s="63"/>
      <c r="H2256" s="67"/>
      <c r="I2256" s="68"/>
      <c r="J2256" s="68"/>
      <c r="K2256" s="32"/>
      <c r="L2256" s="75">
        <v>2256</v>
      </c>
      <c r="M2256" s="75"/>
      <c r="N2256" s="70"/>
      <c r="O2256" s="77" t="s">
        <v>179</v>
      </c>
      <c r="P2256" s="79">
        <v>45085.763090277775</v>
      </c>
      <c r="Q2256" s="77" t="s">
        <v>3465</v>
      </c>
      <c r="R2256" s="77">
        <v>0</v>
      </c>
      <c r="S2256" s="77">
        <v>1</v>
      </c>
      <c r="T2256" s="77">
        <v>1</v>
      </c>
      <c r="U2256" s="77">
        <v>0</v>
      </c>
      <c r="V2256" s="77">
        <v>297</v>
      </c>
      <c r="W2256" s="82" t="s">
        <v>6302</v>
      </c>
      <c r="X2256" s="77"/>
      <c r="Y2256" s="77"/>
      <c r="Z2256" s="77"/>
      <c r="AA2256" s="77" t="s">
        <v>8720</v>
      </c>
      <c r="AB2256" s="77" t="s">
        <v>10130</v>
      </c>
      <c r="AC2256" s="82" t="s">
        <v>10144</v>
      </c>
      <c r="AD2256" s="77" t="s">
        <v>10184</v>
      </c>
      <c r="AE2256" s="80" t="str">
        <f>HYPERLINK("https://twitter.com/qqcleber/status/1666872432609701888")</f>
        <v>https://twitter.com/qqcleber/status/1666872432609701888</v>
      </c>
      <c r="AF2256" s="79">
        <v>45085.763090277775</v>
      </c>
      <c r="AG2256" s="85">
        <v>45085</v>
      </c>
      <c r="AH2256" s="82" t="s">
        <v>12357</v>
      </c>
      <c r="AI2256" s="77" t="b">
        <v>0</v>
      </c>
      <c r="AJ2256" s="77"/>
      <c r="AK2256" s="77"/>
      <c r="AL2256" s="77"/>
      <c r="AM2256" s="77"/>
      <c r="AN2256" s="77"/>
      <c r="AO2256" s="77"/>
      <c r="AP2256" s="77"/>
      <c r="AQ2256" s="77" t="s">
        <v>15363</v>
      </c>
      <c r="AR2256" s="77"/>
      <c r="AS2256" s="77"/>
      <c r="AT2256" s="77"/>
      <c r="AU2256" s="77"/>
      <c r="AV2256" s="80" t="str">
        <f>HYPERLINK("https://pbs.twimg.com/media/FyHrpOzWAAAxKhw.jpg")</f>
        <v>https://pbs.twimg.com/media/FyHrpOzWAAAxKhw.jpg</v>
      </c>
      <c r="AW2256" s="82" t="s">
        <v>19024</v>
      </c>
      <c r="AX2256" s="82" t="s">
        <v>19024</v>
      </c>
      <c r="AY2256" s="77"/>
      <c r="AZ2256" s="82" t="s">
        <v>20971</v>
      </c>
      <c r="BA2256" s="82" t="s">
        <v>20971</v>
      </c>
      <c r="BB2256" s="82" t="s">
        <v>20971</v>
      </c>
      <c r="BC2256" s="82" t="s">
        <v>19024</v>
      </c>
      <c r="BD2256" s="77">
        <v>2809333119</v>
      </c>
      <c r="BE2256" s="77"/>
      <c r="BF2256" s="77"/>
      <c r="BG2256" s="77"/>
      <c r="BH2256" s="77"/>
      <c r="BI2256" s="77"/>
    </row>
    <row r="2257" spans="1:61" x14ac:dyDescent="0.25">
      <c r="A2257" s="62" t="s">
        <v>788</v>
      </c>
      <c r="B2257" s="62" t="s">
        <v>1240</v>
      </c>
      <c r="C2257" s="63"/>
      <c r="D2257" s="64"/>
      <c r="E2257" s="65"/>
      <c r="F2257" s="66"/>
      <c r="G2257" s="63"/>
      <c r="H2257" s="67"/>
      <c r="I2257" s="68"/>
      <c r="J2257" s="68"/>
      <c r="K2257" s="32"/>
      <c r="L2257" s="75">
        <v>2257</v>
      </c>
      <c r="M2257" s="75"/>
      <c r="N2257" s="70"/>
      <c r="O2257" s="77" t="s">
        <v>1285</v>
      </c>
      <c r="P2257" s="79">
        <v>45093.698425925926</v>
      </c>
      <c r="Q2257" s="77" t="s">
        <v>3466</v>
      </c>
      <c r="R2257" s="77">
        <v>0</v>
      </c>
      <c r="S2257" s="77">
        <v>1</v>
      </c>
      <c r="T2257" s="77">
        <v>0</v>
      </c>
      <c r="U2257" s="77">
        <v>0</v>
      </c>
      <c r="V2257" s="77">
        <v>208</v>
      </c>
      <c r="W2257" s="82" t="s">
        <v>5571</v>
      </c>
      <c r="X2257" s="77"/>
      <c r="Y2257" s="77"/>
      <c r="Z2257" s="77" t="s">
        <v>1240</v>
      </c>
      <c r="AA2257" s="77"/>
      <c r="AB2257" s="77"/>
      <c r="AC2257" s="82" t="s">
        <v>10144</v>
      </c>
      <c r="AD2257" s="77" t="s">
        <v>10184</v>
      </c>
      <c r="AE2257" s="80" t="str">
        <f>HYPERLINK("https://twitter.com/qqcleber/status/1669748101769318401")</f>
        <v>https://twitter.com/qqcleber/status/1669748101769318401</v>
      </c>
      <c r="AF2257" s="79">
        <v>45093.698425925926</v>
      </c>
      <c r="AG2257" s="85">
        <v>45093</v>
      </c>
      <c r="AH2257" s="82" t="s">
        <v>12358</v>
      </c>
      <c r="AI2257" s="77"/>
      <c r="AJ2257" s="77"/>
      <c r="AK2257" s="77"/>
      <c r="AL2257" s="77"/>
      <c r="AM2257" s="77"/>
      <c r="AN2257" s="77"/>
      <c r="AO2257" s="77"/>
      <c r="AP2257" s="77"/>
      <c r="AQ2257" s="77"/>
      <c r="AR2257" s="77"/>
      <c r="AS2257" s="77"/>
      <c r="AT2257" s="77"/>
      <c r="AU2257" s="77"/>
      <c r="AV2257" s="80" t="str">
        <f>HYPERLINK("https://pbs.twimg.com/profile_images/1461456235308404740/D3elQ9u7_normal.jpg")</f>
        <v>https://pbs.twimg.com/profile_images/1461456235308404740/D3elQ9u7_normal.jpg</v>
      </c>
      <c r="AW2257" s="82" t="s">
        <v>19025</v>
      </c>
      <c r="AX2257" s="82" t="s">
        <v>19025</v>
      </c>
      <c r="AY2257" s="77"/>
      <c r="AZ2257" s="82" t="s">
        <v>20971</v>
      </c>
      <c r="BA2257" s="82" t="s">
        <v>20971</v>
      </c>
      <c r="BB2257" s="82" t="s">
        <v>20971</v>
      </c>
      <c r="BC2257" s="82" t="s">
        <v>19025</v>
      </c>
      <c r="BD2257" s="77">
        <v>2809333119</v>
      </c>
      <c r="BE2257" s="77"/>
      <c r="BF2257" s="77"/>
      <c r="BG2257" s="77"/>
      <c r="BH2257" s="77"/>
      <c r="BI2257" s="77"/>
    </row>
    <row r="2258" spans="1:61" x14ac:dyDescent="0.25">
      <c r="A2258" s="62" t="s">
        <v>788</v>
      </c>
      <c r="B2258" s="62" t="s">
        <v>1240</v>
      </c>
      <c r="C2258" s="63"/>
      <c r="D2258" s="64"/>
      <c r="E2258" s="65"/>
      <c r="F2258" s="66"/>
      <c r="G2258" s="63"/>
      <c r="H2258" s="67"/>
      <c r="I2258" s="68"/>
      <c r="J2258" s="68"/>
      <c r="K2258" s="32"/>
      <c r="L2258" s="75">
        <v>2258</v>
      </c>
      <c r="M2258" s="75"/>
      <c r="N2258" s="70"/>
      <c r="O2258" s="77" t="s">
        <v>1285</v>
      </c>
      <c r="P2258" s="79">
        <v>45092.878877314812</v>
      </c>
      <c r="Q2258" s="77" t="s">
        <v>3464</v>
      </c>
      <c r="R2258" s="77">
        <v>0</v>
      </c>
      <c r="S2258" s="77">
        <v>1</v>
      </c>
      <c r="T2258" s="77">
        <v>0</v>
      </c>
      <c r="U2258" s="77">
        <v>0</v>
      </c>
      <c r="V2258" s="77">
        <v>149</v>
      </c>
      <c r="W2258" s="82" t="s">
        <v>6301</v>
      </c>
      <c r="X2258" s="80" t="str">
        <f>HYPERLINK("https://youtu.be/Ov9jW45gPQc")</f>
        <v>https://youtu.be/Ov9jW45gPQc</v>
      </c>
      <c r="Y2258" s="77" t="s">
        <v>7248</v>
      </c>
      <c r="Z2258" s="77" t="s">
        <v>7504</v>
      </c>
      <c r="AA2258" s="77"/>
      <c r="AB2258" s="77"/>
      <c r="AC2258" s="82" t="s">
        <v>10144</v>
      </c>
      <c r="AD2258" s="77" t="s">
        <v>10184</v>
      </c>
      <c r="AE2258" s="80" t="str">
        <f>HYPERLINK("https://twitter.com/qqcleber/status/1669451107767140355")</f>
        <v>https://twitter.com/qqcleber/status/1669451107767140355</v>
      </c>
      <c r="AF2258" s="79">
        <v>45092.878877314812</v>
      </c>
      <c r="AG2258" s="85">
        <v>45092</v>
      </c>
      <c r="AH2258" s="82" t="s">
        <v>12356</v>
      </c>
      <c r="AI2258" s="77" t="b">
        <v>0</v>
      </c>
      <c r="AJ2258" s="77"/>
      <c r="AK2258" s="77"/>
      <c r="AL2258" s="77"/>
      <c r="AM2258" s="77"/>
      <c r="AN2258" s="77"/>
      <c r="AO2258" s="77"/>
      <c r="AP2258" s="77"/>
      <c r="AQ2258" s="77"/>
      <c r="AR2258" s="77"/>
      <c r="AS2258" s="77"/>
      <c r="AT2258" s="77"/>
      <c r="AU2258" s="77"/>
      <c r="AV2258" s="80" t="str">
        <f>HYPERLINK("https://pbs.twimg.com/profile_images/1461456235308404740/D3elQ9u7_normal.jpg")</f>
        <v>https://pbs.twimg.com/profile_images/1461456235308404740/D3elQ9u7_normal.jpg</v>
      </c>
      <c r="AW2258" s="82" t="s">
        <v>19023</v>
      </c>
      <c r="AX2258" s="82" t="s">
        <v>19023</v>
      </c>
      <c r="AY2258" s="77"/>
      <c r="AZ2258" s="82" t="s">
        <v>20971</v>
      </c>
      <c r="BA2258" s="82" t="s">
        <v>20971</v>
      </c>
      <c r="BB2258" s="82" t="s">
        <v>20971</v>
      </c>
      <c r="BC2258" s="82" t="s">
        <v>19023</v>
      </c>
      <c r="BD2258" s="77">
        <v>2809333119</v>
      </c>
      <c r="BE2258" s="77"/>
      <c r="BF2258" s="77"/>
      <c r="BG2258" s="77"/>
      <c r="BH2258" s="77"/>
      <c r="BI2258" s="77"/>
    </row>
    <row r="2259" spans="1:61" x14ac:dyDescent="0.25">
      <c r="A2259" s="62" t="s">
        <v>789</v>
      </c>
      <c r="B2259" s="62" t="s">
        <v>789</v>
      </c>
      <c r="C2259" s="63"/>
      <c r="D2259" s="64"/>
      <c r="E2259" s="65"/>
      <c r="F2259" s="66"/>
      <c r="G2259" s="63"/>
      <c r="H2259" s="67"/>
      <c r="I2259" s="68"/>
      <c r="J2259" s="68"/>
      <c r="K2259" s="32"/>
      <c r="L2259" s="75">
        <v>2259</v>
      </c>
      <c r="M2259" s="75"/>
      <c r="N2259" s="70"/>
      <c r="O2259" s="77" t="s">
        <v>179</v>
      </c>
      <c r="P2259" s="79">
        <v>45014.066979166666</v>
      </c>
      <c r="Q2259" s="77" t="s">
        <v>3467</v>
      </c>
      <c r="R2259" s="77">
        <v>0</v>
      </c>
      <c r="S2259" s="77">
        <v>0</v>
      </c>
      <c r="T2259" s="77">
        <v>0</v>
      </c>
      <c r="U2259" s="77">
        <v>0</v>
      </c>
      <c r="V2259" s="77">
        <v>48</v>
      </c>
      <c r="W2259" s="82" t="s">
        <v>6303</v>
      </c>
      <c r="X2259" s="77"/>
      <c r="Y2259" s="77"/>
      <c r="Z2259" s="77"/>
      <c r="AA2259" s="77" t="s">
        <v>8721</v>
      </c>
      <c r="AB2259" s="77" t="s">
        <v>10130</v>
      </c>
      <c r="AC2259" s="82" t="s">
        <v>10144</v>
      </c>
      <c r="AD2259" s="77" t="s">
        <v>10183</v>
      </c>
      <c r="AE2259" s="80" t="str">
        <f>HYPERLINK("https://twitter.com/joaoeva11725348/status/1640890632481697793")</f>
        <v>https://twitter.com/joaoeva11725348/status/1640890632481697793</v>
      </c>
      <c r="AF2259" s="79">
        <v>45014.066979166666</v>
      </c>
      <c r="AG2259" s="85">
        <v>45014</v>
      </c>
      <c r="AH2259" s="82" t="s">
        <v>12359</v>
      </c>
      <c r="AI2259" s="77" t="b">
        <v>0</v>
      </c>
      <c r="AJ2259" s="77"/>
      <c r="AK2259" s="77"/>
      <c r="AL2259" s="77"/>
      <c r="AM2259" s="77"/>
      <c r="AN2259" s="77"/>
      <c r="AO2259" s="77"/>
      <c r="AP2259" s="77"/>
      <c r="AQ2259" s="77" t="s">
        <v>15364</v>
      </c>
      <c r="AR2259" s="77"/>
      <c r="AS2259" s="77"/>
      <c r="AT2259" s="77"/>
      <c r="AU2259" s="77"/>
      <c r="AV2259" s="80" t="str">
        <f>HYPERLINK("https://pbs.twimg.com/media/FsWdVZsWYAADoRE.jpg")</f>
        <v>https://pbs.twimg.com/media/FsWdVZsWYAADoRE.jpg</v>
      </c>
      <c r="AW2259" s="82" t="s">
        <v>19026</v>
      </c>
      <c r="AX2259" s="82" t="s">
        <v>19026</v>
      </c>
      <c r="AY2259" s="77"/>
      <c r="AZ2259" s="82" t="s">
        <v>20971</v>
      </c>
      <c r="BA2259" s="82" t="s">
        <v>20971</v>
      </c>
      <c r="BB2259" s="82" t="s">
        <v>20971</v>
      </c>
      <c r="BC2259" s="82" t="s">
        <v>19026</v>
      </c>
      <c r="BD2259" s="82" t="s">
        <v>21431</v>
      </c>
      <c r="BE2259" s="77"/>
      <c r="BF2259" s="77"/>
      <c r="BG2259" s="77"/>
      <c r="BH2259" s="77"/>
      <c r="BI2259" s="77"/>
    </row>
    <row r="2260" spans="1:61" x14ac:dyDescent="0.25">
      <c r="A2260" s="62" t="s">
        <v>790</v>
      </c>
      <c r="B2260" s="62" t="s">
        <v>790</v>
      </c>
      <c r="C2260" s="63"/>
      <c r="D2260" s="64"/>
      <c r="E2260" s="65"/>
      <c r="F2260" s="66"/>
      <c r="G2260" s="63"/>
      <c r="H2260" s="67"/>
      <c r="I2260" s="68"/>
      <c r="J2260" s="68"/>
      <c r="K2260" s="32"/>
      <c r="L2260" s="75">
        <v>2260</v>
      </c>
      <c r="M2260" s="75"/>
      <c r="N2260" s="70"/>
      <c r="O2260" s="77" t="s">
        <v>179</v>
      </c>
      <c r="P2260" s="79">
        <v>45182.679444444446</v>
      </c>
      <c r="Q2260" s="77" t="s">
        <v>3468</v>
      </c>
      <c r="R2260" s="77">
        <v>0</v>
      </c>
      <c r="S2260" s="77">
        <v>0</v>
      </c>
      <c r="T2260" s="77">
        <v>0</v>
      </c>
      <c r="U2260" s="77">
        <v>0</v>
      </c>
      <c r="V2260" s="77">
        <v>7</v>
      </c>
      <c r="W2260" s="82" t="s">
        <v>6304</v>
      </c>
      <c r="X2260" s="77"/>
      <c r="Y2260" s="77"/>
      <c r="Z2260" s="77"/>
      <c r="AA2260" s="77" t="s">
        <v>8722</v>
      </c>
      <c r="AB2260" s="77" t="s">
        <v>10129</v>
      </c>
      <c r="AC2260" s="82" t="s">
        <v>10144</v>
      </c>
      <c r="AD2260" s="77" t="s">
        <v>10184</v>
      </c>
      <c r="AE2260" s="80" t="str">
        <f>HYPERLINK("https://twitter.com/mentemilionar23/status/1701993742125695099")</f>
        <v>https://twitter.com/mentemilionar23/status/1701993742125695099</v>
      </c>
      <c r="AF2260" s="79">
        <v>45182.679444444446</v>
      </c>
      <c r="AG2260" s="85">
        <v>45182</v>
      </c>
      <c r="AH2260" s="82" t="s">
        <v>12360</v>
      </c>
      <c r="AI2260" s="77" t="b">
        <v>0</v>
      </c>
      <c r="AJ2260" s="77"/>
      <c r="AK2260" s="77"/>
      <c r="AL2260" s="77"/>
      <c r="AM2260" s="77"/>
      <c r="AN2260" s="77"/>
      <c r="AO2260" s="77"/>
      <c r="AP2260" s="77"/>
      <c r="AQ2260" s="77" t="s">
        <v>15365</v>
      </c>
      <c r="AR2260" s="77">
        <v>13434</v>
      </c>
      <c r="AS2260" s="77"/>
      <c r="AT2260" s="77"/>
      <c r="AU2260" s="77"/>
      <c r="AV2260" s="80" t="str">
        <f>HYPERLINK("https://pbs.twimg.com/ext_tw_video_thumb/1701993690145673216/pu/img/RCKD9c5wbZ-TQSOq.jpg")</f>
        <v>https://pbs.twimg.com/ext_tw_video_thumb/1701993690145673216/pu/img/RCKD9c5wbZ-TQSOq.jpg</v>
      </c>
      <c r="AW2260" s="82" t="s">
        <v>19027</v>
      </c>
      <c r="AX2260" s="82" t="s">
        <v>19027</v>
      </c>
      <c r="AY2260" s="77"/>
      <c r="AZ2260" s="82" t="s">
        <v>20971</v>
      </c>
      <c r="BA2260" s="82" t="s">
        <v>20971</v>
      </c>
      <c r="BB2260" s="82" t="s">
        <v>20971</v>
      </c>
      <c r="BC2260" s="82" t="s">
        <v>19027</v>
      </c>
      <c r="BD2260" s="82" t="s">
        <v>21432</v>
      </c>
      <c r="BE2260" s="77"/>
      <c r="BF2260" s="77"/>
      <c r="BG2260" s="77"/>
      <c r="BH2260" s="77"/>
      <c r="BI2260" s="77"/>
    </row>
    <row r="2261" spans="1:61" x14ac:dyDescent="0.25">
      <c r="A2261" s="62" t="s">
        <v>790</v>
      </c>
      <c r="B2261" s="62" t="s">
        <v>790</v>
      </c>
      <c r="C2261" s="63"/>
      <c r="D2261" s="64"/>
      <c r="E2261" s="65"/>
      <c r="F2261" s="66"/>
      <c r="G2261" s="63"/>
      <c r="H2261" s="67"/>
      <c r="I2261" s="68"/>
      <c r="J2261" s="68"/>
      <c r="K2261" s="32"/>
      <c r="L2261" s="75">
        <v>2261</v>
      </c>
      <c r="M2261" s="75"/>
      <c r="N2261" s="70"/>
      <c r="O2261" s="77" t="s">
        <v>179</v>
      </c>
      <c r="P2261" s="79">
        <v>45181.609872685185</v>
      </c>
      <c r="Q2261" s="77" t="s">
        <v>3469</v>
      </c>
      <c r="R2261" s="77">
        <v>0</v>
      </c>
      <c r="S2261" s="77">
        <v>0</v>
      </c>
      <c r="T2261" s="77">
        <v>0</v>
      </c>
      <c r="U2261" s="77">
        <v>0</v>
      </c>
      <c r="V2261" s="77">
        <v>8</v>
      </c>
      <c r="W2261" s="82" t="s">
        <v>6305</v>
      </c>
      <c r="X2261" s="77"/>
      <c r="Y2261" s="77"/>
      <c r="Z2261" s="77"/>
      <c r="AA2261" s="77" t="s">
        <v>8723</v>
      </c>
      <c r="AB2261" s="77" t="s">
        <v>10129</v>
      </c>
      <c r="AC2261" s="82" t="s">
        <v>10144</v>
      </c>
      <c r="AD2261" s="77" t="s">
        <v>10184</v>
      </c>
      <c r="AE2261" s="80" t="str">
        <f>HYPERLINK("https://twitter.com/mentemilionar23/status/1701606142965944485")</f>
        <v>https://twitter.com/mentemilionar23/status/1701606142965944485</v>
      </c>
      <c r="AF2261" s="79">
        <v>45181.609872685185</v>
      </c>
      <c r="AG2261" s="85">
        <v>45181</v>
      </c>
      <c r="AH2261" s="82" t="s">
        <v>12361</v>
      </c>
      <c r="AI2261" s="77" t="b">
        <v>0</v>
      </c>
      <c r="AJ2261" s="77"/>
      <c r="AK2261" s="77"/>
      <c r="AL2261" s="77"/>
      <c r="AM2261" s="77"/>
      <c r="AN2261" s="77"/>
      <c r="AO2261" s="77"/>
      <c r="AP2261" s="77"/>
      <c r="AQ2261" s="77" t="s">
        <v>15366</v>
      </c>
      <c r="AR2261" s="77">
        <v>15366</v>
      </c>
      <c r="AS2261" s="77"/>
      <c r="AT2261" s="77"/>
      <c r="AU2261" s="77"/>
      <c r="AV2261" s="80" t="str">
        <f>HYPERLINK("https://pbs.twimg.com/ext_tw_video_thumb/1701606024388714496/pu/img/SzertQ7VtkapX-Q9.jpg")</f>
        <v>https://pbs.twimg.com/ext_tw_video_thumb/1701606024388714496/pu/img/SzertQ7VtkapX-Q9.jpg</v>
      </c>
      <c r="AW2261" s="82" t="s">
        <v>19028</v>
      </c>
      <c r="AX2261" s="82" t="s">
        <v>19028</v>
      </c>
      <c r="AY2261" s="77"/>
      <c r="AZ2261" s="82" t="s">
        <v>20971</v>
      </c>
      <c r="BA2261" s="82" t="s">
        <v>20971</v>
      </c>
      <c r="BB2261" s="82" t="s">
        <v>20971</v>
      </c>
      <c r="BC2261" s="82" t="s">
        <v>19028</v>
      </c>
      <c r="BD2261" s="82" t="s">
        <v>21432</v>
      </c>
      <c r="BE2261" s="77"/>
      <c r="BF2261" s="77"/>
      <c r="BG2261" s="77"/>
      <c r="BH2261" s="77"/>
      <c r="BI2261" s="77"/>
    </row>
    <row r="2262" spans="1:61" x14ac:dyDescent="0.25">
      <c r="A2262" s="62" t="s">
        <v>791</v>
      </c>
      <c r="B2262" s="62" t="s">
        <v>791</v>
      </c>
      <c r="C2262" s="63"/>
      <c r="D2262" s="64"/>
      <c r="E2262" s="65"/>
      <c r="F2262" s="66"/>
      <c r="G2262" s="63"/>
      <c r="H2262" s="67"/>
      <c r="I2262" s="68"/>
      <c r="J2262" s="68"/>
      <c r="K2262" s="32"/>
      <c r="L2262" s="75">
        <v>2262</v>
      </c>
      <c r="M2262" s="75"/>
      <c r="N2262" s="70"/>
      <c r="O2262" s="77" t="s">
        <v>179</v>
      </c>
      <c r="P2262" s="79">
        <v>45065.788611111115</v>
      </c>
      <c r="Q2262" s="77" t="s">
        <v>3470</v>
      </c>
      <c r="R2262" s="77">
        <v>0</v>
      </c>
      <c r="S2262" s="77">
        <v>0</v>
      </c>
      <c r="T2262" s="77">
        <v>0</v>
      </c>
      <c r="U2262" s="77">
        <v>1</v>
      </c>
      <c r="V2262" s="77">
        <v>15</v>
      </c>
      <c r="W2262" s="82" t="s">
        <v>6306</v>
      </c>
      <c r="X2262" s="80" t="str">
        <f>HYPERLINK("https://kwai-video.com/w/qidKGp1s")</f>
        <v>https://kwai-video.com/w/qidKGp1s</v>
      </c>
      <c r="Y2262" s="77" t="s">
        <v>7299</v>
      </c>
      <c r="Z2262" s="77"/>
      <c r="AA2262" s="77"/>
      <c r="AB2262" s="77"/>
      <c r="AC2262" s="82" t="s">
        <v>10144</v>
      </c>
      <c r="AD2262" s="77" t="s">
        <v>10184</v>
      </c>
      <c r="AE2262" s="80" t="str">
        <f>HYPERLINK("https://twitter.com/ric_darkland/status/1659633923117162503")</f>
        <v>https://twitter.com/ric_darkland/status/1659633923117162503</v>
      </c>
      <c r="AF2262" s="79">
        <v>45065.788611111115</v>
      </c>
      <c r="AG2262" s="85">
        <v>45065</v>
      </c>
      <c r="AH2262" s="82" t="s">
        <v>12362</v>
      </c>
      <c r="AI2262" s="77" t="b">
        <v>0</v>
      </c>
      <c r="AJ2262" s="77"/>
      <c r="AK2262" s="77"/>
      <c r="AL2262" s="77"/>
      <c r="AM2262" s="77"/>
      <c r="AN2262" s="77"/>
      <c r="AO2262" s="77"/>
      <c r="AP2262" s="77"/>
      <c r="AQ2262" s="77"/>
      <c r="AR2262" s="77"/>
      <c r="AS2262" s="77"/>
      <c r="AT2262" s="77"/>
      <c r="AU2262" s="77"/>
      <c r="AV2262" s="80" t="str">
        <f>HYPERLINK("https://pbs.twimg.com/profile_images/1505689343188418562/VKrnMfQD_normal.jpg")</f>
        <v>https://pbs.twimg.com/profile_images/1505689343188418562/VKrnMfQD_normal.jpg</v>
      </c>
      <c r="AW2262" s="82" t="s">
        <v>19029</v>
      </c>
      <c r="AX2262" s="82" t="s">
        <v>19029</v>
      </c>
      <c r="AY2262" s="77"/>
      <c r="AZ2262" s="82" t="s">
        <v>20971</v>
      </c>
      <c r="BA2262" s="82" t="s">
        <v>20971</v>
      </c>
      <c r="BB2262" s="82" t="s">
        <v>20971</v>
      </c>
      <c r="BC2262" s="82" t="s">
        <v>19029</v>
      </c>
      <c r="BD2262" s="77">
        <v>4715625135</v>
      </c>
      <c r="BE2262" s="77"/>
      <c r="BF2262" s="77"/>
      <c r="BG2262" s="77"/>
      <c r="BH2262" s="77"/>
      <c r="BI2262" s="77"/>
    </row>
    <row r="2263" spans="1:61" x14ac:dyDescent="0.25">
      <c r="A2263" s="62" t="s">
        <v>792</v>
      </c>
      <c r="B2263" s="62" t="s">
        <v>792</v>
      </c>
      <c r="C2263" s="63"/>
      <c r="D2263" s="64"/>
      <c r="E2263" s="65"/>
      <c r="F2263" s="66"/>
      <c r="G2263" s="63"/>
      <c r="H2263" s="67"/>
      <c r="I2263" s="68"/>
      <c r="J2263" s="68"/>
      <c r="K2263" s="32"/>
      <c r="L2263" s="75">
        <v>2263</v>
      </c>
      <c r="M2263" s="75"/>
      <c r="N2263" s="70"/>
      <c r="O2263" s="77" t="s">
        <v>179</v>
      </c>
      <c r="P2263" s="79">
        <v>45139.102858796294</v>
      </c>
      <c r="Q2263" s="77" t="s">
        <v>3471</v>
      </c>
      <c r="R2263" s="77">
        <v>0</v>
      </c>
      <c r="S2263" s="77">
        <v>0</v>
      </c>
      <c r="T2263" s="77">
        <v>0</v>
      </c>
      <c r="U2263" s="77">
        <v>0</v>
      </c>
      <c r="V2263" s="77">
        <v>40</v>
      </c>
      <c r="W2263" s="82" t="s">
        <v>6307</v>
      </c>
      <c r="X2263" s="80" t="str">
        <f>HYPERLINK("https://checkout.mycheckout.com.br/checkout/64c6608927449f16bb4b197b")</f>
        <v>https://checkout.mycheckout.com.br/checkout/64c6608927449f16bb4b197b</v>
      </c>
      <c r="Y2263" s="77" t="s">
        <v>7252</v>
      </c>
      <c r="Z2263" s="77"/>
      <c r="AA2263" s="77" t="s">
        <v>8724</v>
      </c>
      <c r="AB2263" s="77" t="s">
        <v>10130</v>
      </c>
      <c r="AC2263" s="82" t="s">
        <v>10144</v>
      </c>
      <c r="AD2263" s="77" t="s">
        <v>10184</v>
      </c>
      <c r="AE2263" s="80" t="str">
        <f>HYPERLINK("https://twitter.com/sandriellysan20/status/1686202117185302528")</f>
        <v>https://twitter.com/sandriellysan20/status/1686202117185302528</v>
      </c>
      <c r="AF2263" s="79">
        <v>45139.102858796294</v>
      </c>
      <c r="AG2263" s="85">
        <v>45139</v>
      </c>
      <c r="AH2263" s="82" t="s">
        <v>12363</v>
      </c>
      <c r="AI2263" s="77" t="b">
        <v>0</v>
      </c>
      <c r="AJ2263" s="77"/>
      <c r="AK2263" s="77"/>
      <c r="AL2263" s="77"/>
      <c r="AM2263" s="77"/>
      <c r="AN2263" s="77"/>
      <c r="AO2263" s="77"/>
      <c r="AP2263" s="77"/>
      <c r="AQ2263" s="77" t="s">
        <v>15367</v>
      </c>
      <c r="AR2263" s="77"/>
      <c r="AS2263" s="77"/>
      <c r="AT2263" s="77"/>
      <c r="AU2263" s="77"/>
      <c r="AV2263" s="80" t="str">
        <f>HYPERLINK("https://pbs.twimg.com/media/F2aX47uWUAA-t6P.jpg")</f>
        <v>https://pbs.twimg.com/media/F2aX47uWUAA-t6P.jpg</v>
      </c>
      <c r="AW2263" s="82" t="s">
        <v>19030</v>
      </c>
      <c r="AX2263" s="82" t="s">
        <v>19030</v>
      </c>
      <c r="AY2263" s="77"/>
      <c r="AZ2263" s="82" t="s">
        <v>20971</v>
      </c>
      <c r="BA2263" s="82" t="s">
        <v>20971</v>
      </c>
      <c r="BB2263" s="82" t="s">
        <v>20971</v>
      </c>
      <c r="BC2263" s="82" t="s">
        <v>19030</v>
      </c>
      <c r="BD2263" s="82" t="s">
        <v>21433</v>
      </c>
      <c r="BE2263" s="77"/>
      <c r="BF2263" s="77"/>
      <c r="BG2263" s="77"/>
      <c r="BH2263" s="77"/>
      <c r="BI2263" s="77"/>
    </row>
    <row r="2264" spans="1:61" x14ac:dyDescent="0.25">
      <c r="A2264" s="62" t="s">
        <v>793</v>
      </c>
      <c r="B2264" s="62" t="s">
        <v>793</v>
      </c>
      <c r="C2264" s="63"/>
      <c r="D2264" s="64"/>
      <c r="E2264" s="65"/>
      <c r="F2264" s="66"/>
      <c r="G2264" s="63"/>
      <c r="H2264" s="67"/>
      <c r="I2264" s="68"/>
      <c r="J2264" s="68"/>
      <c r="K2264" s="32"/>
      <c r="L2264" s="75">
        <v>2264</v>
      </c>
      <c r="M2264" s="75"/>
      <c r="N2264" s="70"/>
      <c r="O2264" s="77" t="s">
        <v>179</v>
      </c>
      <c r="P2264" s="79">
        <v>45065.921469907407</v>
      </c>
      <c r="Q2264" s="77" t="s">
        <v>3472</v>
      </c>
      <c r="R2264" s="77">
        <v>0</v>
      </c>
      <c r="S2264" s="77">
        <v>0</v>
      </c>
      <c r="T2264" s="77">
        <v>0</v>
      </c>
      <c r="U2264" s="77">
        <v>0</v>
      </c>
      <c r="V2264" s="77">
        <v>175</v>
      </c>
      <c r="W2264" s="82" t="s">
        <v>6308</v>
      </c>
      <c r="X2264" s="80" t="str">
        <f>HYPERLINK("http://wa.me/5511994831805")</f>
        <v>http://wa.me/5511994831805</v>
      </c>
      <c r="Y2264" s="77" t="s">
        <v>7279</v>
      </c>
      <c r="Z2264" s="77"/>
      <c r="AA2264" s="77" t="s">
        <v>8725</v>
      </c>
      <c r="AB2264" s="77" t="s">
        <v>10130</v>
      </c>
      <c r="AC2264" s="82" t="s">
        <v>10146</v>
      </c>
      <c r="AD2264" s="77" t="s">
        <v>10184</v>
      </c>
      <c r="AE2264" s="80" t="str">
        <f>HYPERLINK("https://twitter.com/miltonsantana21/status/1659682071088885761")</f>
        <v>https://twitter.com/miltonsantana21/status/1659682071088885761</v>
      </c>
      <c r="AF2264" s="79">
        <v>45065.921469907407</v>
      </c>
      <c r="AG2264" s="85">
        <v>45065</v>
      </c>
      <c r="AH2264" s="82" t="s">
        <v>12364</v>
      </c>
      <c r="AI2264" s="77" t="b">
        <v>0</v>
      </c>
      <c r="AJ2264" s="77"/>
      <c r="AK2264" s="77"/>
      <c r="AL2264" s="77"/>
      <c r="AM2264" s="77"/>
      <c r="AN2264" s="77"/>
      <c r="AO2264" s="77"/>
      <c r="AP2264" s="77"/>
      <c r="AQ2264" s="77" t="s">
        <v>15368</v>
      </c>
      <c r="AR2264" s="77"/>
      <c r="AS2264" s="77"/>
      <c r="AT2264" s="77"/>
      <c r="AU2264" s="77"/>
      <c r="AV2264" s="80" t="str">
        <f>HYPERLINK("https://pbs.twimg.com/media/FwhgBp0XoAQ2P9h.jpg")</f>
        <v>https://pbs.twimg.com/media/FwhgBp0XoAQ2P9h.jpg</v>
      </c>
      <c r="AW2264" s="82" t="s">
        <v>19031</v>
      </c>
      <c r="AX2264" s="82" t="s">
        <v>19031</v>
      </c>
      <c r="AY2264" s="77"/>
      <c r="AZ2264" s="82" t="s">
        <v>20971</v>
      </c>
      <c r="BA2264" s="82" t="s">
        <v>20971</v>
      </c>
      <c r="BB2264" s="82" t="s">
        <v>20971</v>
      </c>
      <c r="BC2264" s="82" t="s">
        <v>19031</v>
      </c>
      <c r="BD2264" s="82" t="s">
        <v>21434</v>
      </c>
      <c r="BE2264" s="77"/>
      <c r="BF2264" s="77"/>
      <c r="BG2264" s="77"/>
      <c r="BH2264" s="77"/>
      <c r="BI2264" s="77"/>
    </row>
    <row r="2265" spans="1:61" x14ac:dyDescent="0.25">
      <c r="A2265" s="62" t="s">
        <v>794</v>
      </c>
      <c r="B2265" s="62" t="s">
        <v>794</v>
      </c>
      <c r="C2265" s="63"/>
      <c r="D2265" s="64"/>
      <c r="E2265" s="65"/>
      <c r="F2265" s="66"/>
      <c r="G2265" s="63"/>
      <c r="H2265" s="67"/>
      <c r="I2265" s="68"/>
      <c r="J2265" s="68"/>
      <c r="K2265" s="32"/>
      <c r="L2265" s="75">
        <v>2265</v>
      </c>
      <c r="M2265" s="75"/>
      <c r="N2265" s="70"/>
      <c r="O2265" s="77" t="s">
        <v>179</v>
      </c>
      <c r="P2265" s="79">
        <v>45139.523865740739</v>
      </c>
      <c r="Q2265" s="77" t="s">
        <v>3473</v>
      </c>
      <c r="R2265" s="77">
        <v>0</v>
      </c>
      <c r="S2265" s="77">
        <v>0</v>
      </c>
      <c r="T2265" s="77">
        <v>1</v>
      </c>
      <c r="U2265" s="77">
        <v>0</v>
      </c>
      <c r="V2265" s="77">
        <v>61</v>
      </c>
      <c r="W2265" s="82" t="s">
        <v>6309</v>
      </c>
      <c r="X2265" s="77"/>
      <c r="Y2265" s="77"/>
      <c r="Z2265" s="77"/>
      <c r="AA2265" s="77" t="s">
        <v>8726</v>
      </c>
      <c r="AB2265" s="77" t="s">
        <v>10129</v>
      </c>
      <c r="AC2265" s="82" t="s">
        <v>10144</v>
      </c>
      <c r="AD2265" s="77" t="s">
        <v>10184</v>
      </c>
      <c r="AE2265" s="80" t="str">
        <f>HYPERLINK("https://twitter.com/alessandro39941/status/1686354683357446144")</f>
        <v>https://twitter.com/alessandro39941/status/1686354683357446144</v>
      </c>
      <c r="AF2265" s="79">
        <v>45139.523865740739</v>
      </c>
      <c r="AG2265" s="85">
        <v>45139</v>
      </c>
      <c r="AH2265" s="82" t="s">
        <v>12365</v>
      </c>
      <c r="AI2265" s="77" t="b">
        <v>0</v>
      </c>
      <c r="AJ2265" s="77"/>
      <c r="AK2265" s="77"/>
      <c r="AL2265" s="77"/>
      <c r="AM2265" s="77"/>
      <c r="AN2265" s="77"/>
      <c r="AO2265" s="77"/>
      <c r="AP2265" s="77"/>
      <c r="AQ2265" s="77" t="s">
        <v>15369</v>
      </c>
      <c r="AR2265" s="77">
        <v>16485</v>
      </c>
      <c r="AS2265" s="77"/>
      <c r="AT2265" s="77"/>
      <c r="AU2265" s="77"/>
      <c r="AV2265" s="80" t="str">
        <f>HYPERLINK("https://pbs.twimg.com/ext_tw_video_thumb/1686354621428613120/pu/img/rIZm5WsqPmy635S1.jpg")</f>
        <v>https://pbs.twimg.com/ext_tw_video_thumb/1686354621428613120/pu/img/rIZm5WsqPmy635S1.jpg</v>
      </c>
      <c r="AW2265" s="82" t="s">
        <v>19032</v>
      </c>
      <c r="AX2265" s="82" t="s">
        <v>19032</v>
      </c>
      <c r="AY2265" s="77"/>
      <c r="AZ2265" s="82" t="s">
        <v>20971</v>
      </c>
      <c r="BA2265" s="82" t="s">
        <v>20971</v>
      </c>
      <c r="BB2265" s="82" t="s">
        <v>20971</v>
      </c>
      <c r="BC2265" s="82" t="s">
        <v>19032</v>
      </c>
      <c r="BD2265" s="82" t="s">
        <v>21435</v>
      </c>
      <c r="BE2265" s="77"/>
      <c r="BF2265" s="77"/>
      <c r="BG2265" s="77"/>
      <c r="BH2265" s="77"/>
      <c r="BI2265" s="77"/>
    </row>
    <row r="2266" spans="1:61" x14ac:dyDescent="0.25">
      <c r="A2266" s="62" t="s">
        <v>795</v>
      </c>
      <c r="B2266" s="62" t="s">
        <v>795</v>
      </c>
      <c r="C2266" s="63"/>
      <c r="D2266" s="64"/>
      <c r="E2266" s="65"/>
      <c r="F2266" s="66"/>
      <c r="G2266" s="63"/>
      <c r="H2266" s="67"/>
      <c r="I2266" s="68"/>
      <c r="J2266" s="68"/>
      <c r="K2266" s="32"/>
      <c r="L2266" s="75">
        <v>2266</v>
      </c>
      <c r="M2266" s="75"/>
      <c r="N2266" s="70"/>
      <c r="O2266" s="77" t="s">
        <v>179</v>
      </c>
      <c r="P2266" s="79">
        <v>45184.692418981482</v>
      </c>
      <c r="Q2266" s="77" t="s">
        <v>3474</v>
      </c>
      <c r="R2266" s="77">
        <v>1</v>
      </c>
      <c r="S2266" s="77">
        <v>0</v>
      </c>
      <c r="T2266" s="77">
        <v>0</v>
      </c>
      <c r="U2266" s="77">
        <v>0</v>
      </c>
      <c r="V2266" s="77">
        <v>109</v>
      </c>
      <c r="W2266" s="82" t="s">
        <v>6310</v>
      </c>
      <c r="X2266" s="80" t="str">
        <f>HYPERLINK("https://www.wingdas6.com/?code=bmomkc")</f>
        <v>https://www.wingdas6.com/?code=bmomkc</v>
      </c>
      <c r="Y2266" s="77" t="s">
        <v>7403</v>
      </c>
      <c r="Z2266" s="77"/>
      <c r="AA2266" s="77" t="s">
        <v>8727</v>
      </c>
      <c r="AB2266" s="77" t="s">
        <v>10130</v>
      </c>
      <c r="AC2266" s="82" t="s">
        <v>10144</v>
      </c>
      <c r="AD2266" s="77" t="s">
        <v>10184</v>
      </c>
      <c r="AE2266" s="80" t="str">
        <f>HYPERLINK("https://twitter.com/bebelli_chris/status/1702723219914924177")</f>
        <v>https://twitter.com/bebelli_chris/status/1702723219914924177</v>
      </c>
      <c r="AF2266" s="79">
        <v>45184.692418981482</v>
      </c>
      <c r="AG2266" s="85">
        <v>45184</v>
      </c>
      <c r="AH2266" s="82" t="s">
        <v>12366</v>
      </c>
      <c r="AI2266" s="77" t="b">
        <v>0</v>
      </c>
      <c r="AJ2266" s="77"/>
      <c r="AK2266" s="77"/>
      <c r="AL2266" s="77"/>
      <c r="AM2266" s="77"/>
      <c r="AN2266" s="77"/>
      <c r="AO2266" s="77"/>
      <c r="AP2266" s="77"/>
      <c r="AQ2266" s="77" t="s">
        <v>15370</v>
      </c>
      <c r="AR2266" s="77"/>
      <c r="AS2266" s="77"/>
      <c r="AT2266" s="77"/>
      <c r="AU2266" s="77"/>
      <c r="AV2266" s="80" t="str">
        <f>HYPERLINK("https://pbs.twimg.com/media/F6FJvqlWYAAABfF.jpg")</f>
        <v>https://pbs.twimg.com/media/F6FJvqlWYAAABfF.jpg</v>
      </c>
      <c r="AW2266" s="82" t="s">
        <v>19033</v>
      </c>
      <c r="AX2266" s="82" t="s">
        <v>19033</v>
      </c>
      <c r="AY2266" s="77"/>
      <c r="AZ2266" s="82" t="s">
        <v>20971</v>
      </c>
      <c r="BA2266" s="82" t="s">
        <v>20971</v>
      </c>
      <c r="BB2266" s="82" t="s">
        <v>20971</v>
      </c>
      <c r="BC2266" s="82" t="s">
        <v>19033</v>
      </c>
      <c r="BD2266" s="82" t="s">
        <v>21436</v>
      </c>
      <c r="BE2266" s="77"/>
      <c r="BF2266" s="77"/>
      <c r="BG2266" s="77"/>
      <c r="BH2266" s="77"/>
      <c r="BI2266" s="77"/>
    </row>
    <row r="2267" spans="1:61" x14ac:dyDescent="0.25">
      <c r="A2267" s="62" t="s">
        <v>796</v>
      </c>
      <c r="B2267" s="62" t="s">
        <v>796</v>
      </c>
      <c r="C2267" s="63"/>
      <c r="D2267" s="64"/>
      <c r="E2267" s="65"/>
      <c r="F2267" s="66"/>
      <c r="G2267" s="63"/>
      <c r="H2267" s="67"/>
      <c r="I2267" s="68"/>
      <c r="J2267" s="68"/>
      <c r="K2267" s="32"/>
      <c r="L2267" s="75">
        <v>2267</v>
      </c>
      <c r="M2267" s="75"/>
      <c r="N2267" s="70"/>
      <c r="O2267" s="77" t="s">
        <v>179</v>
      </c>
      <c r="P2267" s="79">
        <v>45121.613009259258</v>
      </c>
      <c r="Q2267" s="77" t="s">
        <v>3475</v>
      </c>
      <c r="R2267" s="77">
        <v>0</v>
      </c>
      <c r="S2267" s="77">
        <v>0</v>
      </c>
      <c r="T2267" s="77">
        <v>0</v>
      </c>
      <c r="U2267" s="77">
        <v>0</v>
      </c>
      <c r="V2267" s="77">
        <v>51</v>
      </c>
      <c r="W2267" s="82" t="s">
        <v>6311</v>
      </c>
      <c r="X2267" s="80" t="str">
        <f>HYPERLINK("https://affiliate.justtrack.io/android/online.appflame.app/b81795e4-52ee-4e1c-bc21-d4d047917a2b?channel=intent")</f>
        <v>https://affiliate.justtrack.io/android/online.appflame.app/b81795e4-52ee-4e1c-bc21-d4d047917a2b?channel=intent</v>
      </c>
      <c r="Y2267" s="77" t="s">
        <v>7404</v>
      </c>
      <c r="Z2267" s="77"/>
      <c r="AA2267" s="77" t="s">
        <v>8728</v>
      </c>
      <c r="AB2267" s="77" t="s">
        <v>10129</v>
      </c>
      <c r="AC2267" s="82" t="s">
        <v>10144</v>
      </c>
      <c r="AD2267" s="77" t="s">
        <v>10184</v>
      </c>
      <c r="AE2267" s="80" t="str">
        <f>HYPERLINK("https://twitter.com/emooff_/status/1679864007300112385")</f>
        <v>https://twitter.com/emooff_/status/1679864007300112385</v>
      </c>
      <c r="AF2267" s="79">
        <v>45121.613009259258</v>
      </c>
      <c r="AG2267" s="85">
        <v>45121</v>
      </c>
      <c r="AH2267" s="82" t="s">
        <v>12367</v>
      </c>
      <c r="AI2267" s="77" t="b">
        <v>0</v>
      </c>
      <c r="AJ2267" s="77"/>
      <c r="AK2267" s="77"/>
      <c r="AL2267" s="77"/>
      <c r="AM2267" s="77"/>
      <c r="AN2267" s="77"/>
      <c r="AO2267" s="77"/>
      <c r="AP2267" s="77"/>
      <c r="AQ2267" s="77" t="s">
        <v>15371</v>
      </c>
      <c r="AR2267" s="77">
        <v>44979</v>
      </c>
      <c r="AS2267" s="77"/>
      <c r="AT2267" s="77"/>
      <c r="AU2267" s="77"/>
      <c r="AV2267" s="80" t="str">
        <f>HYPERLINK("https://pbs.twimg.com/ext_tw_video_thumb/1679863958310617089/pu/img/5i9laNQR5PJBRUfP.jpg")</f>
        <v>https://pbs.twimg.com/ext_tw_video_thumb/1679863958310617089/pu/img/5i9laNQR5PJBRUfP.jpg</v>
      </c>
      <c r="AW2267" s="82" t="s">
        <v>19034</v>
      </c>
      <c r="AX2267" s="82" t="s">
        <v>19034</v>
      </c>
      <c r="AY2267" s="77"/>
      <c r="AZ2267" s="82" t="s">
        <v>20971</v>
      </c>
      <c r="BA2267" s="82" t="s">
        <v>20971</v>
      </c>
      <c r="BB2267" s="82" t="s">
        <v>20971</v>
      </c>
      <c r="BC2267" s="82" t="s">
        <v>19034</v>
      </c>
      <c r="BD2267" s="82" t="s">
        <v>21437</v>
      </c>
      <c r="BE2267" s="77"/>
      <c r="BF2267" s="77"/>
      <c r="BG2267" s="77"/>
      <c r="BH2267" s="77"/>
      <c r="BI2267" s="77"/>
    </row>
    <row r="2268" spans="1:61" x14ac:dyDescent="0.25">
      <c r="A2268" s="62" t="s">
        <v>797</v>
      </c>
      <c r="B2268" s="62" t="s">
        <v>797</v>
      </c>
      <c r="C2268" s="63"/>
      <c r="D2268" s="64"/>
      <c r="E2268" s="65"/>
      <c r="F2268" s="66"/>
      <c r="G2268" s="63"/>
      <c r="H2268" s="67"/>
      <c r="I2268" s="68"/>
      <c r="J2268" s="68"/>
      <c r="K2268" s="32"/>
      <c r="L2268" s="75">
        <v>2268</v>
      </c>
      <c r="M2268" s="75"/>
      <c r="N2268" s="70"/>
      <c r="O2268" s="77" t="s">
        <v>179</v>
      </c>
      <c r="P2268" s="79">
        <v>45002.460497685184</v>
      </c>
      <c r="Q2268" s="77" t="s">
        <v>3476</v>
      </c>
      <c r="R2268" s="77">
        <v>1</v>
      </c>
      <c r="S2268" s="77">
        <v>1</v>
      </c>
      <c r="T2268" s="77">
        <v>1</v>
      </c>
      <c r="U2268" s="77">
        <v>0</v>
      </c>
      <c r="V2268" s="77">
        <v>54</v>
      </c>
      <c r="W2268" s="82" t="s">
        <v>6312</v>
      </c>
      <c r="X2268" s="80" t="str">
        <f>HYPERLINK("https://aajogo.com?referralcode=63af06d0fb6ff6e422075622")</f>
        <v>https://aajogo.com?referralcode=63af06d0fb6ff6e422075622</v>
      </c>
      <c r="Y2268" s="77" t="s">
        <v>7405</v>
      </c>
      <c r="Z2268" s="77"/>
      <c r="AA2268" s="77" t="s">
        <v>8729</v>
      </c>
      <c r="AB2268" s="77" t="s">
        <v>10130</v>
      </c>
      <c r="AC2268" s="82" t="s">
        <v>10144</v>
      </c>
      <c r="AD2268" s="77" t="s">
        <v>10184</v>
      </c>
      <c r="AE2268" s="80" t="str">
        <f>HYPERLINK("https://twitter.com/apazvidas21/status/1636684585374212096")</f>
        <v>https://twitter.com/apazvidas21/status/1636684585374212096</v>
      </c>
      <c r="AF2268" s="79">
        <v>45002.460497685184</v>
      </c>
      <c r="AG2268" s="85">
        <v>45002</v>
      </c>
      <c r="AH2268" s="82" t="s">
        <v>12368</v>
      </c>
      <c r="AI2268" s="77" t="b">
        <v>0</v>
      </c>
      <c r="AJ2268" s="77"/>
      <c r="AK2268" s="77"/>
      <c r="AL2268" s="77"/>
      <c r="AM2268" s="77"/>
      <c r="AN2268" s="77"/>
      <c r="AO2268" s="77"/>
      <c r="AP2268" s="77"/>
      <c r="AQ2268" s="77" t="s">
        <v>15372</v>
      </c>
      <c r="AR2268" s="77"/>
      <c r="AS2268" s="77"/>
      <c r="AT2268" s="77"/>
      <c r="AU2268" s="77"/>
      <c r="AV2268" s="80" t="str">
        <f>HYPERLINK("https://pbs.twimg.com/media/Frar9NvXwAA_CBL.jpg")</f>
        <v>https://pbs.twimg.com/media/Frar9NvXwAA_CBL.jpg</v>
      </c>
      <c r="AW2268" s="82" t="s">
        <v>19035</v>
      </c>
      <c r="AX2268" s="82" t="s">
        <v>19035</v>
      </c>
      <c r="AY2268" s="77"/>
      <c r="AZ2268" s="82" t="s">
        <v>20971</v>
      </c>
      <c r="BA2268" s="82" t="s">
        <v>20971</v>
      </c>
      <c r="BB2268" s="82" t="s">
        <v>20971</v>
      </c>
      <c r="BC2268" s="82" t="s">
        <v>19035</v>
      </c>
      <c r="BD2268" s="82" t="s">
        <v>21438</v>
      </c>
      <c r="BE2268" s="77"/>
      <c r="BF2268" s="77"/>
      <c r="BG2268" s="77"/>
      <c r="BH2268" s="77"/>
      <c r="BI2268" s="77"/>
    </row>
    <row r="2269" spans="1:61" x14ac:dyDescent="0.25">
      <c r="A2269" s="62" t="s">
        <v>797</v>
      </c>
      <c r="B2269" s="62" t="s">
        <v>797</v>
      </c>
      <c r="C2269" s="63"/>
      <c r="D2269" s="64"/>
      <c r="E2269" s="65"/>
      <c r="F2269" s="66"/>
      <c r="G2269" s="63"/>
      <c r="H2269" s="67"/>
      <c r="I2269" s="68"/>
      <c r="J2269" s="68"/>
      <c r="K2269" s="32"/>
      <c r="L2269" s="75">
        <v>2269</v>
      </c>
      <c r="M2269" s="75"/>
      <c r="N2269" s="70"/>
      <c r="O2269" s="77" t="s">
        <v>179</v>
      </c>
      <c r="P2269" s="79">
        <v>44926.680266203701</v>
      </c>
      <c r="Q2269" s="77" t="s">
        <v>3477</v>
      </c>
      <c r="R2269" s="77">
        <v>1</v>
      </c>
      <c r="S2269" s="77">
        <v>1</v>
      </c>
      <c r="T2269" s="77">
        <v>0</v>
      </c>
      <c r="U2269" s="77">
        <v>1</v>
      </c>
      <c r="V2269" s="77">
        <v>1748</v>
      </c>
      <c r="W2269" s="77"/>
      <c r="X2269" s="80" t="str">
        <f>HYPERLINK("https://aajogo.com?referralcode=63af06d0fb6ff6e422075622")</f>
        <v>https://aajogo.com?referralcode=63af06d0fb6ff6e422075622</v>
      </c>
      <c r="Y2269" s="77" t="s">
        <v>7405</v>
      </c>
      <c r="Z2269" s="77"/>
      <c r="AA2269" s="77" t="s">
        <v>8730</v>
      </c>
      <c r="AB2269" s="77" t="s">
        <v>10130</v>
      </c>
      <c r="AC2269" s="82" t="s">
        <v>10144</v>
      </c>
      <c r="AD2269" s="77" t="s">
        <v>10184</v>
      </c>
      <c r="AE2269" s="80" t="str">
        <f>HYPERLINK("https://twitter.com/apazvidas21/status/1609222747913076739")</f>
        <v>https://twitter.com/apazvidas21/status/1609222747913076739</v>
      </c>
      <c r="AF2269" s="79">
        <v>44926.680266203701</v>
      </c>
      <c r="AG2269" s="85">
        <v>44926</v>
      </c>
      <c r="AH2269" s="82" t="s">
        <v>12369</v>
      </c>
      <c r="AI2269" s="77" t="b">
        <v>0</v>
      </c>
      <c r="AJ2269" s="77"/>
      <c r="AK2269" s="77"/>
      <c r="AL2269" s="77"/>
      <c r="AM2269" s="77"/>
      <c r="AN2269" s="77"/>
      <c r="AO2269" s="77"/>
      <c r="AP2269" s="77"/>
      <c r="AQ2269" s="77" t="s">
        <v>15373</v>
      </c>
      <c r="AR2269" s="77"/>
      <c r="AS2269" s="77"/>
      <c r="AT2269" s="77"/>
      <c r="AU2269" s="77"/>
      <c r="AV2269" s="80" t="str">
        <f>HYPERLINK("https://pbs.twimg.com/media/FlUbj5gWYAMIdMb.jpg")</f>
        <v>https://pbs.twimg.com/media/FlUbj5gWYAMIdMb.jpg</v>
      </c>
      <c r="AW2269" s="82" t="s">
        <v>19036</v>
      </c>
      <c r="AX2269" s="82" t="s">
        <v>19036</v>
      </c>
      <c r="AY2269" s="77"/>
      <c r="AZ2269" s="82" t="s">
        <v>20971</v>
      </c>
      <c r="BA2269" s="82" t="s">
        <v>20971</v>
      </c>
      <c r="BB2269" s="82" t="s">
        <v>20971</v>
      </c>
      <c r="BC2269" s="82" t="s">
        <v>19036</v>
      </c>
      <c r="BD2269" s="82" t="s">
        <v>21438</v>
      </c>
      <c r="BE2269" s="77"/>
      <c r="BF2269" s="77"/>
      <c r="BG2269" s="77"/>
      <c r="BH2269" s="77"/>
      <c r="BI2269" s="77"/>
    </row>
    <row r="2270" spans="1:61" x14ac:dyDescent="0.25">
      <c r="A2270" s="62" t="s">
        <v>797</v>
      </c>
      <c r="B2270" s="62" t="s">
        <v>797</v>
      </c>
      <c r="C2270" s="63"/>
      <c r="D2270" s="64"/>
      <c r="E2270" s="65"/>
      <c r="F2270" s="66"/>
      <c r="G2270" s="63"/>
      <c r="H2270" s="67"/>
      <c r="I2270" s="68"/>
      <c r="J2270" s="68"/>
      <c r="K2270" s="32"/>
      <c r="L2270" s="75">
        <v>2270</v>
      </c>
      <c r="M2270" s="75"/>
      <c r="N2270" s="70"/>
      <c r="O2270" s="77" t="s">
        <v>1286</v>
      </c>
      <c r="P2270" s="79">
        <v>45022.519432870373</v>
      </c>
      <c r="Q2270" s="77" t="s">
        <v>3478</v>
      </c>
      <c r="R2270" s="77">
        <v>1</v>
      </c>
      <c r="S2270" s="77">
        <v>1</v>
      </c>
      <c r="T2270" s="77">
        <v>0</v>
      </c>
      <c r="U2270" s="77">
        <v>0</v>
      </c>
      <c r="V2270" s="77">
        <v>34</v>
      </c>
      <c r="W2270" s="82" t="s">
        <v>5236</v>
      </c>
      <c r="X2270" s="77"/>
      <c r="Y2270" s="77"/>
      <c r="Z2270" s="77"/>
      <c r="AA2270" s="77"/>
      <c r="AB2270" s="77"/>
      <c r="AC2270" s="82" t="s">
        <v>10144</v>
      </c>
      <c r="AD2270" s="77" t="s">
        <v>10184</v>
      </c>
      <c r="AE2270" s="80" t="str">
        <f>HYPERLINK("https://twitter.com/apazvidas21/status/1643953697892839427")</f>
        <v>https://twitter.com/apazvidas21/status/1643953697892839427</v>
      </c>
      <c r="AF2270" s="79">
        <v>45022.519432870373</v>
      </c>
      <c r="AG2270" s="85">
        <v>45022</v>
      </c>
      <c r="AH2270" s="82" t="s">
        <v>12370</v>
      </c>
      <c r="AI2270" s="77"/>
      <c r="AJ2270" s="77"/>
      <c r="AK2270" s="77"/>
      <c r="AL2270" s="77"/>
      <c r="AM2270" s="77"/>
      <c r="AN2270" s="77"/>
      <c r="AO2270" s="77"/>
      <c r="AP2270" s="77"/>
      <c r="AQ2270" s="77"/>
      <c r="AR2270" s="77"/>
      <c r="AS2270" s="77"/>
      <c r="AT2270" s="77"/>
      <c r="AU2270" s="77"/>
      <c r="AV2270" s="80" t="str">
        <f>HYPERLINK("https://pbs.twimg.com/profile_images/1492593014560153602/E0on3Fpf_normal.jpg")</f>
        <v>https://pbs.twimg.com/profile_images/1492593014560153602/E0on3Fpf_normal.jpg</v>
      </c>
      <c r="AW2270" s="82" t="s">
        <v>19037</v>
      </c>
      <c r="AX2270" s="82" t="s">
        <v>19037</v>
      </c>
      <c r="AY2270" s="77"/>
      <c r="AZ2270" s="82" t="s">
        <v>20971</v>
      </c>
      <c r="BA2270" s="82" t="s">
        <v>19036</v>
      </c>
      <c r="BB2270" s="82" t="s">
        <v>20971</v>
      </c>
      <c r="BC2270" s="82" t="s">
        <v>19036</v>
      </c>
      <c r="BD2270" s="82" t="s">
        <v>21438</v>
      </c>
      <c r="BE2270" s="77"/>
      <c r="BF2270" s="77"/>
      <c r="BG2270" s="77"/>
      <c r="BH2270" s="77"/>
      <c r="BI2270" s="77"/>
    </row>
    <row r="2271" spans="1:61" x14ac:dyDescent="0.25">
      <c r="A2271" s="62" t="s">
        <v>797</v>
      </c>
      <c r="B2271" s="62" t="s">
        <v>797</v>
      </c>
      <c r="C2271" s="63"/>
      <c r="D2271" s="64"/>
      <c r="E2271" s="65"/>
      <c r="F2271" s="66"/>
      <c r="G2271" s="63"/>
      <c r="H2271" s="67"/>
      <c r="I2271" s="68"/>
      <c r="J2271" s="68"/>
      <c r="K2271" s="32"/>
      <c r="L2271" s="75">
        <v>2271</v>
      </c>
      <c r="M2271" s="75"/>
      <c r="N2271" s="70"/>
      <c r="O2271" s="77" t="s">
        <v>1286</v>
      </c>
      <c r="P2271" s="79">
        <v>45014.524143518516</v>
      </c>
      <c r="Q2271" s="77" t="s">
        <v>3479</v>
      </c>
      <c r="R2271" s="77">
        <v>0</v>
      </c>
      <c r="S2271" s="77">
        <v>0</v>
      </c>
      <c r="T2271" s="77">
        <v>0</v>
      </c>
      <c r="U2271" s="77">
        <v>0</v>
      </c>
      <c r="V2271" s="77">
        <v>96</v>
      </c>
      <c r="W2271" s="82" t="s">
        <v>6313</v>
      </c>
      <c r="X2271" s="77"/>
      <c r="Y2271" s="77"/>
      <c r="Z2271" s="77"/>
      <c r="AA2271" s="77"/>
      <c r="AB2271" s="77"/>
      <c r="AC2271" s="82" t="s">
        <v>10146</v>
      </c>
      <c r="AD2271" s="77" t="s">
        <v>10184</v>
      </c>
      <c r="AE2271" s="80" t="str">
        <f>HYPERLINK("https://twitter.com/apazvidas21/status/1641056304281124867")</f>
        <v>https://twitter.com/apazvidas21/status/1641056304281124867</v>
      </c>
      <c r="AF2271" s="79">
        <v>45014.524143518516</v>
      </c>
      <c r="AG2271" s="85">
        <v>45014</v>
      </c>
      <c r="AH2271" s="82" t="s">
        <v>12371</v>
      </c>
      <c r="AI2271" s="77"/>
      <c r="AJ2271" s="77"/>
      <c r="AK2271" s="77"/>
      <c r="AL2271" s="77"/>
      <c r="AM2271" s="77"/>
      <c r="AN2271" s="77"/>
      <c r="AO2271" s="77"/>
      <c r="AP2271" s="77"/>
      <c r="AQ2271" s="77"/>
      <c r="AR2271" s="77"/>
      <c r="AS2271" s="77"/>
      <c r="AT2271" s="77"/>
      <c r="AU2271" s="77"/>
      <c r="AV2271" s="80" t="str">
        <f>HYPERLINK("https://pbs.twimg.com/profile_images/1492593014560153602/E0on3Fpf_normal.jpg")</f>
        <v>https://pbs.twimg.com/profile_images/1492593014560153602/E0on3Fpf_normal.jpg</v>
      </c>
      <c r="AW2271" s="82" t="s">
        <v>19038</v>
      </c>
      <c r="AX2271" s="82" t="s">
        <v>19038</v>
      </c>
      <c r="AY2271" s="77"/>
      <c r="AZ2271" s="82" t="s">
        <v>20971</v>
      </c>
      <c r="BA2271" s="82" t="s">
        <v>19036</v>
      </c>
      <c r="BB2271" s="82" t="s">
        <v>20971</v>
      </c>
      <c r="BC2271" s="82" t="s">
        <v>19036</v>
      </c>
      <c r="BD2271" s="82" t="s">
        <v>21438</v>
      </c>
      <c r="BE2271" s="77"/>
      <c r="BF2271" s="77"/>
      <c r="BG2271" s="77"/>
      <c r="BH2271" s="77"/>
      <c r="BI2271" s="77"/>
    </row>
    <row r="2272" spans="1:61" x14ac:dyDescent="0.25">
      <c r="A2272" s="62" t="s">
        <v>797</v>
      </c>
      <c r="B2272" s="62" t="s">
        <v>797</v>
      </c>
      <c r="C2272" s="63"/>
      <c r="D2272" s="64"/>
      <c r="E2272" s="65"/>
      <c r="F2272" s="66"/>
      <c r="G2272" s="63"/>
      <c r="H2272" s="67"/>
      <c r="I2272" s="68"/>
      <c r="J2272" s="68"/>
      <c r="K2272" s="32"/>
      <c r="L2272" s="75">
        <v>2272</v>
      </c>
      <c r="M2272" s="75"/>
      <c r="N2272" s="70"/>
      <c r="O2272" s="77" t="s">
        <v>179</v>
      </c>
      <c r="P2272" s="79">
        <v>45010.579004629632</v>
      </c>
      <c r="Q2272" s="77" t="s">
        <v>3480</v>
      </c>
      <c r="R2272" s="77">
        <v>1</v>
      </c>
      <c r="S2272" s="77">
        <v>1</v>
      </c>
      <c r="T2272" s="77">
        <v>0</v>
      </c>
      <c r="U2272" s="77">
        <v>0</v>
      </c>
      <c r="V2272" s="77">
        <v>36</v>
      </c>
      <c r="W2272" s="82" t="s">
        <v>6314</v>
      </c>
      <c r="X2272" s="80" t="str">
        <f>HYPERLINK("https://aajogo.com?referralcode=63af06d0fb6ff6e422075622")</f>
        <v>https://aajogo.com?referralcode=63af06d0fb6ff6e422075622</v>
      </c>
      <c r="Y2272" s="77" t="s">
        <v>7405</v>
      </c>
      <c r="Z2272" s="77"/>
      <c r="AA2272" s="77" t="s">
        <v>8731</v>
      </c>
      <c r="AB2272" s="77" t="s">
        <v>10130</v>
      </c>
      <c r="AC2272" s="82" t="s">
        <v>10144</v>
      </c>
      <c r="AD2272" s="77" t="s">
        <v>10184</v>
      </c>
      <c r="AE2272" s="80" t="str">
        <f>HYPERLINK("https://twitter.com/apazvidas21/status/1639626632183808000")</f>
        <v>https://twitter.com/apazvidas21/status/1639626632183808000</v>
      </c>
      <c r="AF2272" s="79">
        <v>45010.579004629632</v>
      </c>
      <c r="AG2272" s="85">
        <v>45010</v>
      </c>
      <c r="AH2272" s="82" t="s">
        <v>12372</v>
      </c>
      <c r="AI2272" s="77" t="b">
        <v>0</v>
      </c>
      <c r="AJ2272" s="77"/>
      <c r="AK2272" s="77"/>
      <c r="AL2272" s="77"/>
      <c r="AM2272" s="77"/>
      <c r="AN2272" s="77"/>
      <c r="AO2272" s="77"/>
      <c r="AP2272" s="77"/>
      <c r="AQ2272" s="77" t="s">
        <v>15374</v>
      </c>
      <c r="AR2272" s="77"/>
      <c r="AS2272" s="77"/>
      <c r="AT2272" s="77"/>
      <c r="AU2272" s="77"/>
      <c r="AV2272" s="80" t="str">
        <f>HYPERLINK("https://pbs.twimg.com/media/FsEfu4_WIAAmaPU.jpg")</f>
        <v>https://pbs.twimg.com/media/FsEfu4_WIAAmaPU.jpg</v>
      </c>
      <c r="AW2272" s="82" t="s">
        <v>19039</v>
      </c>
      <c r="AX2272" s="82" t="s">
        <v>19039</v>
      </c>
      <c r="AY2272" s="77"/>
      <c r="AZ2272" s="82" t="s">
        <v>20971</v>
      </c>
      <c r="BA2272" s="82" t="s">
        <v>20971</v>
      </c>
      <c r="BB2272" s="82" t="s">
        <v>20971</v>
      </c>
      <c r="BC2272" s="82" t="s">
        <v>19039</v>
      </c>
      <c r="BD2272" s="82" t="s">
        <v>21438</v>
      </c>
      <c r="BE2272" s="77"/>
      <c r="BF2272" s="77"/>
      <c r="BG2272" s="77"/>
      <c r="BH2272" s="77"/>
      <c r="BI2272" s="77"/>
    </row>
    <row r="2273" spans="1:61" x14ac:dyDescent="0.25">
      <c r="A2273" s="62" t="s">
        <v>797</v>
      </c>
      <c r="B2273" s="62" t="s">
        <v>797</v>
      </c>
      <c r="C2273" s="63"/>
      <c r="D2273" s="64"/>
      <c r="E2273" s="65"/>
      <c r="F2273" s="66"/>
      <c r="G2273" s="63"/>
      <c r="H2273" s="67"/>
      <c r="I2273" s="68"/>
      <c r="J2273" s="68"/>
      <c r="K2273" s="32"/>
      <c r="L2273" s="75">
        <v>2273</v>
      </c>
      <c r="M2273" s="75"/>
      <c r="N2273" s="70"/>
      <c r="O2273" s="77" t="s">
        <v>179</v>
      </c>
      <c r="P2273" s="79">
        <v>45009.610011574077</v>
      </c>
      <c r="Q2273" s="77" t="s">
        <v>3481</v>
      </c>
      <c r="R2273" s="77">
        <v>0</v>
      </c>
      <c r="S2273" s="77">
        <v>1</v>
      </c>
      <c r="T2273" s="77">
        <v>0</v>
      </c>
      <c r="U2273" s="77">
        <v>0</v>
      </c>
      <c r="V2273" s="77">
        <v>16</v>
      </c>
      <c r="W2273" s="82" t="s">
        <v>6315</v>
      </c>
      <c r="X2273" s="80" t="str">
        <f>HYPERLINK("https://aajogo.com?referralcode=63af06d0fb6ff6e422075622")</f>
        <v>https://aajogo.com?referralcode=63af06d0fb6ff6e422075622</v>
      </c>
      <c r="Y2273" s="77" t="s">
        <v>7405</v>
      </c>
      <c r="Z2273" s="77"/>
      <c r="AA2273" s="77" t="s">
        <v>8732</v>
      </c>
      <c r="AB2273" s="77" t="s">
        <v>10130</v>
      </c>
      <c r="AC2273" s="82" t="s">
        <v>10144</v>
      </c>
      <c r="AD2273" s="77" t="s">
        <v>10184</v>
      </c>
      <c r="AE2273" s="80" t="str">
        <f>HYPERLINK("https://twitter.com/apazvidas21/status/1639275481206775808")</f>
        <v>https://twitter.com/apazvidas21/status/1639275481206775808</v>
      </c>
      <c r="AF2273" s="79">
        <v>45009.610011574077</v>
      </c>
      <c r="AG2273" s="85">
        <v>45009</v>
      </c>
      <c r="AH2273" s="82" t="s">
        <v>12373</v>
      </c>
      <c r="AI2273" s="77" t="b">
        <v>0</v>
      </c>
      <c r="AJ2273" s="77"/>
      <c r="AK2273" s="77"/>
      <c r="AL2273" s="77"/>
      <c r="AM2273" s="77"/>
      <c r="AN2273" s="77"/>
      <c r="AO2273" s="77"/>
      <c r="AP2273" s="77"/>
      <c r="AQ2273" s="77" t="s">
        <v>15375</v>
      </c>
      <c r="AR2273" s="77"/>
      <c r="AS2273" s="77"/>
      <c r="AT2273" s="77"/>
      <c r="AU2273" s="77"/>
      <c r="AV2273" s="80" t="str">
        <f>HYPERLINK("https://pbs.twimg.com/media/Fr_gXA6WwAgAwam.jpg")</f>
        <v>https://pbs.twimg.com/media/Fr_gXA6WwAgAwam.jpg</v>
      </c>
      <c r="AW2273" s="82" t="s">
        <v>19040</v>
      </c>
      <c r="AX2273" s="82" t="s">
        <v>19040</v>
      </c>
      <c r="AY2273" s="77"/>
      <c r="AZ2273" s="82" t="s">
        <v>20971</v>
      </c>
      <c r="BA2273" s="82" t="s">
        <v>20971</v>
      </c>
      <c r="BB2273" s="82" t="s">
        <v>20971</v>
      </c>
      <c r="BC2273" s="82" t="s">
        <v>19040</v>
      </c>
      <c r="BD2273" s="82" t="s">
        <v>21438</v>
      </c>
      <c r="BE2273" s="77"/>
      <c r="BF2273" s="77"/>
      <c r="BG2273" s="77"/>
      <c r="BH2273" s="77"/>
      <c r="BI2273" s="77"/>
    </row>
    <row r="2274" spans="1:61" x14ac:dyDescent="0.25">
      <c r="A2274" s="62" t="s">
        <v>797</v>
      </c>
      <c r="B2274" s="62" t="s">
        <v>797</v>
      </c>
      <c r="C2274" s="63"/>
      <c r="D2274" s="64"/>
      <c r="E2274" s="65"/>
      <c r="F2274" s="66"/>
      <c r="G2274" s="63"/>
      <c r="H2274" s="67"/>
      <c r="I2274" s="68"/>
      <c r="J2274" s="68"/>
      <c r="K2274" s="32"/>
      <c r="L2274" s="75">
        <v>2274</v>
      </c>
      <c r="M2274" s="75"/>
      <c r="N2274" s="70"/>
      <c r="O2274" s="77" t="s">
        <v>1286</v>
      </c>
      <c r="P2274" s="79">
        <v>45020.74590277778</v>
      </c>
      <c r="Q2274" s="77" t="s">
        <v>3482</v>
      </c>
      <c r="R2274" s="77">
        <v>0</v>
      </c>
      <c r="S2274" s="77">
        <v>1</v>
      </c>
      <c r="T2274" s="77">
        <v>0</v>
      </c>
      <c r="U2274" s="77">
        <v>0</v>
      </c>
      <c r="V2274" s="77">
        <v>57</v>
      </c>
      <c r="W2274" s="82" t="s">
        <v>6316</v>
      </c>
      <c r="X2274" s="77"/>
      <c r="Y2274" s="77"/>
      <c r="Z2274" s="77"/>
      <c r="AA2274" s="77"/>
      <c r="AB2274" s="77"/>
      <c r="AC2274" s="82" t="s">
        <v>10144</v>
      </c>
      <c r="AD2274" s="77" t="s">
        <v>10184</v>
      </c>
      <c r="AE2274" s="80" t="str">
        <f>HYPERLINK("https://twitter.com/apazvidas21/status/1643310992502169611")</f>
        <v>https://twitter.com/apazvidas21/status/1643310992502169611</v>
      </c>
      <c r="AF2274" s="79">
        <v>45020.74590277778</v>
      </c>
      <c r="AG2274" s="85">
        <v>45020</v>
      </c>
      <c r="AH2274" s="82" t="s">
        <v>12374</v>
      </c>
      <c r="AI2274" s="77"/>
      <c r="AJ2274" s="77"/>
      <c r="AK2274" s="77"/>
      <c r="AL2274" s="77"/>
      <c r="AM2274" s="77"/>
      <c r="AN2274" s="77"/>
      <c r="AO2274" s="77"/>
      <c r="AP2274" s="77"/>
      <c r="AQ2274" s="77"/>
      <c r="AR2274" s="77"/>
      <c r="AS2274" s="77"/>
      <c r="AT2274" s="77"/>
      <c r="AU2274" s="77"/>
      <c r="AV2274" s="80" t="str">
        <f>HYPERLINK("https://pbs.twimg.com/profile_images/1492593014560153602/E0on3Fpf_normal.jpg")</f>
        <v>https://pbs.twimg.com/profile_images/1492593014560153602/E0on3Fpf_normal.jpg</v>
      </c>
      <c r="AW2274" s="82" t="s">
        <v>19041</v>
      </c>
      <c r="AX2274" s="82" t="s">
        <v>19041</v>
      </c>
      <c r="AY2274" s="77"/>
      <c r="AZ2274" s="82" t="s">
        <v>20971</v>
      </c>
      <c r="BA2274" s="82" t="s">
        <v>19036</v>
      </c>
      <c r="BB2274" s="82" t="s">
        <v>20971</v>
      </c>
      <c r="BC2274" s="82" t="s">
        <v>19036</v>
      </c>
      <c r="BD2274" s="82" t="s">
        <v>21438</v>
      </c>
      <c r="BE2274" s="77"/>
      <c r="BF2274" s="77"/>
      <c r="BG2274" s="77"/>
      <c r="BH2274" s="77"/>
      <c r="BI2274" s="77"/>
    </row>
    <row r="2275" spans="1:61" x14ac:dyDescent="0.25">
      <c r="A2275" s="62" t="s">
        <v>797</v>
      </c>
      <c r="B2275" s="62" t="s">
        <v>797</v>
      </c>
      <c r="C2275" s="63"/>
      <c r="D2275" s="64"/>
      <c r="E2275" s="65"/>
      <c r="F2275" s="66"/>
      <c r="G2275" s="63"/>
      <c r="H2275" s="67"/>
      <c r="I2275" s="68"/>
      <c r="J2275" s="68"/>
      <c r="K2275" s="32"/>
      <c r="L2275" s="75">
        <v>2275</v>
      </c>
      <c r="M2275" s="75"/>
      <c r="N2275" s="70"/>
      <c r="O2275" s="77" t="s">
        <v>1286</v>
      </c>
      <c r="P2275" s="79">
        <v>45019.780312499999</v>
      </c>
      <c r="Q2275" s="77" t="s">
        <v>3483</v>
      </c>
      <c r="R2275" s="77">
        <v>0</v>
      </c>
      <c r="S2275" s="77">
        <v>1</v>
      </c>
      <c r="T2275" s="77">
        <v>0</v>
      </c>
      <c r="U2275" s="77">
        <v>0</v>
      </c>
      <c r="V2275" s="77">
        <v>18</v>
      </c>
      <c r="W2275" s="82" t="s">
        <v>6317</v>
      </c>
      <c r="X2275" s="77"/>
      <c r="Y2275" s="77"/>
      <c r="Z2275" s="77"/>
      <c r="AA2275" s="77"/>
      <c r="AB2275" s="77"/>
      <c r="AC2275" s="82" t="s">
        <v>10146</v>
      </c>
      <c r="AD2275" s="77" t="s">
        <v>10184</v>
      </c>
      <c r="AE2275" s="80" t="str">
        <f>HYPERLINK("https://twitter.com/apazvidas21/status/1642961075955200000")</f>
        <v>https://twitter.com/apazvidas21/status/1642961075955200000</v>
      </c>
      <c r="AF2275" s="79">
        <v>45019.780312499999</v>
      </c>
      <c r="AG2275" s="85">
        <v>45019</v>
      </c>
      <c r="AH2275" s="82" t="s">
        <v>12375</v>
      </c>
      <c r="AI2275" s="77"/>
      <c r="AJ2275" s="77"/>
      <c r="AK2275" s="77"/>
      <c r="AL2275" s="77"/>
      <c r="AM2275" s="77"/>
      <c r="AN2275" s="77"/>
      <c r="AO2275" s="77"/>
      <c r="AP2275" s="77"/>
      <c r="AQ2275" s="77"/>
      <c r="AR2275" s="77"/>
      <c r="AS2275" s="77"/>
      <c r="AT2275" s="77"/>
      <c r="AU2275" s="77"/>
      <c r="AV2275" s="80" t="str">
        <f>HYPERLINK("https://pbs.twimg.com/profile_images/1492593014560153602/E0on3Fpf_normal.jpg")</f>
        <v>https://pbs.twimg.com/profile_images/1492593014560153602/E0on3Fpf_normal.jpg</v>
      </c>
      <c r="AW2275" s="82" t="s">
        <v>19042</v>
      </c>
      <c r="AX2275" s="82" t="s">
        <v>19042</v>
      </c>
      <c r="AY2275" s="77"/>
      <c r="AZ2275" s="82" t="s">
        <v>20971</v>
      </c>
      <c r="BA2275" s="82" t="s">
        <v>19036</v>
      </c>
      <c r="BB2275" s="82" t="s">
        <v>20971</v>
      </c>
      <c r="BC2275" s="82" t="s">
        <v>19036</v>
      </c>
      <c r="BD2275" s="82" t="s">
        <v>21438</v>
      </c>
      <c r="BE2275" s="77"/>
      <c r="BF2275" s="77"/>
      <c r="BG2275" s="77"/>
      <c r="BH2275" s="77"/>
      <c r="BI2275" s="77"/>
    </row>
    <row r="2276" spans="1:61" x14ac:dyDescent="0.25">
      <c r="A2276" s="62" t="s">
        <v>797</v>
      </c>
      <c r="B2276" s="62" t="s">
        <v>797</v>
      </c>
      <c r="C2276" s="63"/>
      <c r="D2276" s="64"/>
      <c r="E2276" s="65"/>
      <c r="F2276" s="66"/>
      <c r="G2276" s="63"/>
      <c r="H2276" s="67"/>
      <c r="I2276" s="68"/>
      <c r="J2276" s="68"/>
      <c r="K2276" s="32"/>
      <c r="L2276" s="75">
        <v>2276</v>
      </c>
      <c r="M2276" s="75"/>
      <c r="N2276" s="70"/>
      <c r="O2276" s="77" t="s">
        <v>179</v>
      </c>
      <c r="P2276" s="79">
        <v>45001.079270833332</v>
      </c>
      <c r="Q2276" s="77" t="s">
        <v>3484</v>
      </c>
      <c r="R2276" s="77">
        <v>1</v>
      </c>
      <c r="S2276" s="77">
        <v>1</v>
      </c>
      <c r="T2276" s="77">
        <v>0</v>
      </c>
      <c r="U2276" s="77">
        <v>0</v>
      </c>
      <c r="V2276" s="77">
        <v>54</v>
      </c>
      <c r="W2276" s="82" t="s">
        <v>5236</v>
      </c>
      <c r="X2276" s="80" t="str">
        <f>HYPERLINK("https://aajogo.com?referralcode=63af06d0fb6ff6e422075622")</f>
        <v>https://aajogo.com?referralcode=63af06d0fb6ff6e422075622</v>
      </c>
      <c r="Y2276" s="77" t="s">
        <v>7405</v>
      </c>
      <c r="Z2276" s="77"/>
      <c r="AA2276" s="77" t="s">
        <v>8733</v>
      </c>
      <c r="AB2276" s="77" t="s">
        <v>10130</v>
      </c>
      <c r="AC2276" s="82" t="s">
        <v>10144</v>
      </c>
      <c r="AD2276" s="77" t="s">
        <v>10184</v>
      </c>
      <c r="AE2276" s="80" t="str">
        <f>HYPERLINK("https://twitter.com/apazvidas21/status/1636184044726624264")</f>
        <v>https://twitter.com/apazvidas21/status/1636184044726624264</v>
      </c>
      <c r="AF2276" s="79">
        <v>45001.079270833332</v>
      </c>
      <c r="AG2276" s="85">
        <v>45001</v>
      </c>
      <c r="AH2276" s="82" t="s">
        <v>12376</v>
      </c>
      <c r="AI2276" s="77" t="b">
        <v>0</v>
      </c>
      <c r="AJ2276" s="77"/>
      <c r="AK2276" s="77"/>
      <c r="AL2276" s="77"/>
      <c r="AM2276" s="77"/>
      <c r="AN2276" s="77"/>
      <c r="AO2276" s="77"/>
      <c r="AP2276" s="77"/>
      <c r="AQ2276" s="77" t="s">
        <v>15376</v>
      </c>
      <c r="AR2276" s="77"/>
      <c r="AS2276" s="77"/>
      <c r="AT2276" s="77"/>
      <c r="AU2276" s="77"/>
      <c r="AV2276" s="80" t="str">
        <f>HYPERLINK("https://pbs.twimg.com/media/FrTkt7OX0AUciDa.jpg")</f>
        <v>https://pbs.twimg.com/media/FrTkt7OX0AUciDa.jpg</v>
      </c>
      <c r="AW2276" s="82" t="s">
        <v>19043</v>
      </c>
      <c r="AX2276" s="82" t="s">
        <v>19043</v>
      </c>
      <c r="AY2276" s="77"/>
      <c r="AZ2276" s="82" t="s">
        <v>20971</v>
      </c>
      <c r="BA2276" s="82" t="s">
        <v>20971</v>
      </c>
      <c r="BB2276" s="82" t="s">
        <v>20971</v>
      </c>
      <c r="BC2276" s="82" t="s">
        <v>19043</v>
      </c>
      <c r="BD2276" s="82" t="s">
        <v>21438</v>
      </c>
      <c r="BE2276" s="77"/>
      <c r="BF2276" s="77"/>
      <c r="BG2276" s="77"/>
      <c r="BH2276" s="77"/>
      <c r="BI2276" s="77"/>
    </row>
    <row r="2277" spans="1:61" x14ac:dyDescent="0.25">
      <c r="A2277" s="62" t="s">
        <v>798</v>
      </c>
      <c r="B2277" s="62" t="s">
        <v>798</v>
      </c>
      <c r="C2277" s="63"/>
      <c r="D2277" s="64"/>
      <c r="E2277" s="65"/>
      <c r="F2277" s="66"/>
      <c r="G2277" s="63"/>
      <c r="H2277" s="67"/>
      <c r="I2277" s="68"/>
      <c r="J2277" s="68"/>
      <c r="K2277" s="32"/>
      <c r="L2277" s="75">
        <v>2277</v>
      </c>
      <c r="M2277" s="75"/>
      <c r="N2277" s="70"/>
      <c r="O2277" s="77" t="s">
        <v>179</v>
      </c>
      <c r="P2277" s="79">
        <v>45194.867928240739</v>
      </c>
      <c r="Q2277" s="77" t="s">
        <v>3485</v>
      </c>
      <c r="R2277" s="77">
        <v>0</v>
      </c>
      <c r="S2277" s="77">
        <v>3</v>
      </c>
      <c r="T2277" s="77">
        <v>0</v>
      </c>
      <c r="U2277" s="77">
        <v>0</v>
      </c>
      <c r="V2277" s="77">
        <v>74</v>
      </c>
      <c r="W2277" s="82" t="s">
        <v>6318</v>
      </c>
      <c r="X2277" s="80" t="str">
        <f>HYPERLINK("https://go.hotmart.com/A86969848G")</f>
        <v>https://go.hotmart.com/A86969848G</v>
      </c>
      <c r="Y2277" s="77" t="s">
        <v>7251</v>
      </c>
      <c r="Z2277" s="77"/>
      <c r="AA2277" s="77" t="s">
        <v>8734</v>
      </c>
      <c r="AB2277" s="77" t="s">
        <v>10130</v>
      </c>
      <c r="AC2277" s="82" t="s">
        <v>10146</v>
      </c>
      <c r="AD2277" s="77" t="s">
        <v>10184</v>
      </c>
      <c r="AE2277" s="80" t="str">
        <f>HYPERLINK("https://twitter.com/delanjos75/status/1706410699700703476")</f>
        <v>https://twitter.com/delanjos75/status/1706410699700703476</v>
      </c>
      <c r="AF2277" s="79">
        <v>45194.867928240739</v>
      </c>
      <c r="AG2277" s="85">
        <v>45194</v>
      </c>
      <c r="AH2277" s="82" t="s">
        <v>12377</v>
      </c>
      <c r="AI2277" s="77" t="b">
        <v>0</v>
      </c>
      <c r="AJ2277" s="77"/>
      <c r="AK2277" s="77"/>
      <c r="AL2277" s="77"/>
      <c r="AM2277" s="77"/>
      <c r="AN2277" s="77"/>
      <c r="AO2277" s="77"/>
      <c r="AP2277" s="77"/>
      <c r="AQ2277" s="77" t="s">
        <v>15377</v>
      </c>
      <c r="AR2277" s="77"/>
      <c r="AS2277" s="77"/>
      <c r="AT2277" s="77"/>
      <c r="AU2277" s="77"/>
      <c r="AV2277" s="80" t="str">
        <f>HYPERLINK("https://pbs.twimg.com/media/F65jXchW4AAoAfO.jpg")</f>
        <v>https://pbs.twimg.com/media/F65jXchW4AAoAfO.jpg</v>
      </c>
      <c r="AW2277" s="82" t="s">
        <v>19044</v>
      </c>
      <c r="AX2277" s="82" t="s">
        <v>19044</v>
      </c>
      <c r="AY2277" s="77"/>
      <c r="AZ2277" s="82" t="s">
        <v>20971</v>
      </c>
      <c r="BA2277" s="82" t="s">
        <v>20971</v>
      </c>
      <c r="BB2277" s="82" t="s">
        <v>20971</v>
      </c>
      <c r="BC2277" s="82" t="s">
        <v>19044</v>
      </c>
      <c r="BD2277" s="82" t="s">
        <v>21439</v>
      </c>
      <c r="BE2277" s="77"/>
      <c r="BF2277" s="77"/>
      <c r="BG2277" s="77"/>
      <c r="BH2277" s="77"/>
      <c r="BI2277" s="77"/>
    </row>
    <row r="2278" spans="1:61" x14ac:dyDescent="0.25">
      <c r="A2278" s="62" t="s">
        <v>798</v>
      </c>
      <c r="B2278" s="62" t="s">
        <v>798</v>
      </c>
      <c r="C2278" s="63"/>
      <c r="D2278" s="64"/>
      <c r="E2278" s="65"/>
      <c r="F2278" s="66"/>
      <c r="G2278" s="63"/>
      <c r="H2278" s="67"/>
      <c r="I2278" s="68"/>
      <c r="J2278" s="68"/>
      <c r="K2278" s="32"/>
      <c r="L2278" s="75">
        <v>2278</v>
      </c>
      <c r="M2278" s="75"/>
      <c r="N2278" s="70"/>
      <c r="O2278" s="77" t="s">
        <v>179</v>
      </c>
      <c r="P2278" s="79">
        <v>45184.810011574074</v>
      </c>
      <c r="Q2278" s="77" t="s">
        <v>3486</v>
      </c>
      <c r="R2278" s="77">
        <v>0</v>
      </c>
      <c r="S2278" s="77">
        <v>2</v>
      </c>
      <c r="T2278" s="77">
        <v>0</v>
      </c>
      <c r="U2278" s="77">
        <v>0</v>
      </c>
      <c r="V2278" s="77">
        <v>114</v>
      </c>
      <c r="W2278" s="82" t="s">
        <v>6319</v>
      </c>
      <c r="X2278" s="80" t="str">
        <f>HYPERLINK("https://secure.doppus.com/sale/SBZJO3ZEBJBH09EOHHBZO")</f>
        <v>https://secure.doppus.com/sale/SBZJO3ZEBJBH09EOHHBZO</v>
      </c>
      <c r="Y2278" s="77" t="s">
        <v>7285</v>
      </c>
      <c r="Z2278" s="77"/>
      <c r="AA2278" s="77" t="s">
        <v>8735</v>
      </c>
      <c r="AB2278" s="77" t="s">
        <v>10130</v>
      </c>
      <c r="AC2278" s="82" t="s">
        <v>10146</v>
      </c>
      <c r="AD2278" s="77" t="s">
        <v>10184</v>
      </c>
      <c r="AE2278" s="80" t="str">
        <f>HYPERLINK("https://twitter.com/delanjos75/status/1702765834081349849")</f>
        <v>https://twitter.com/delanjos75/status/1702765834081349849</v>
      </c>
      <c r="AF2278" s="79">
        <v>45184.810011574074</v>
      </c>
      <c r="AG2278" s="85">
        <v>45184</v>
      </c>
      <c r="AH2278" s="82" t="s">
        <v>12378</v>
      </c>
      <c r="AI2278" s="77" t="b">
        <v>0</v>
      </c>
      <c r="AJ2278" s="77"/>
      <c r="AK2278" s="77"/>
      <c r="AL2278" s="77"/>
      <c r="AM2278" s="77"/>
      <c r="AN2278" s="77"/>
      <c r="AO2278" s="77"/>
      <c r="AP2278" s="77"/>
      <c r="AQ2278" s="77" t="s">
        <v>15378</v>
      </c>
      <c r="AR2278" s="77"/>
      <c r="AS2278" s="77"/>
      <c r="AT2278" s="77"/>
      <c r="AU2278" s="77"/>
      <c r="AV2278" s="80" t="str">
        <f>HYPERLINK("https://pbs.twimg.com/media/F6FwYvxWAAAxxPr.jpg")</f>
        <v>https://pbs.twimg.com/media/F6FwYvxWAAAxxPr.jpg</v>
      </c>
      <c r="AW2278" s="82" t="s">
        <v>19045</v>
      </c>
      <c r="AX2278" s="82" t="s">
        <v>19045</v>
      </c>
      <c r="AY2278" s="77"/>
      <c r="AZ2278" s="82" t="s">
        <v>20971</v>
      </c>
      <c r="BA2278" s="82" t="s">
        <v>20971</v>
      </c>
      <c r="BB2278" s="82" t="s">
        <v>20971</v>
      </c>
      <c r="BC2278" s="82" t="s">
        <v>19045</v>
      </c>
      <c r="BD2278" s="82" t="s">
        <v>21439</v>
      </c>
      <c r="BE2278" s="77"/>
      <c r="BF2278" s="77"/>
      <c r="BG2278" s="77"/>
      <c r="BH2278" s="77"/>
      <c r="BI2278" s="77"/>
    </row>
    <row r="2279" spans="1:61" x14ac:dyDescent="0.25">
      <c r="A2279" s="62" t="s">
        <v>799</v>
      </c>
      <c r="B2279" s="62" t="s">
        <v>799</v>
      </c>
      <c r="C2279" s="63"/>
      <c r="D2279" s="64"/>
      <c r="E2279" s="65"/>
      <c r="F2279" s="66"/>
      <c r="G2279" s="63"/>
      <c r="H2279" s="67"/>
      <c r="I2279" s="68"/>
      <c r="J2279" s="68"/>
      <c r="K2279" s="32"/>
      <c r="L2279" s="75">
        <v>2279</v>
      </c>
      <c r="M2279" s="75"/>
      <c r="N2279" s="70"/>
      <c r="O2279" s="77" t="s">
        <v>179</v>
      </c>
      <c r="P2279" s="79">
        <v>45084.541759259257</v>
      </c>
      <c r="Q2279" s="77" t="s">
        <v>3487</v>
      </c>
      <c r="R2279" s="77">
        <v>0</v>
      </c>
      <c r="S2279" s="77">
        <v>1</v>
      </c>
      <c r="T2279" s="77">
        <v>0</v>
      </c>
      <c r="U2279" s="77">
        <v>0</v>
      </c>
      <c r="V2279" s="77">
        <v>5</v>
      </c>
      <c r="W2279" s="82" t="s">
        <v>6320</v>
      </c>
      <c r="X2279" s="80" t="str">
        <f>HYPERLINK("https://lnkd.in/dj6b_zkz")</f>
        <v>https://lnkd.in/dj6b_zkz</v>
      </c>
      <c r="Y2279" s="77" t="s">
        <v>7324</v>
      </c>
      <c r="Z2279" s="77"/>
      <c r="AA2279" s="77"/>
      <c r="AB2279" s="77"/>
      <c r="AC2279" s="82" t="s">
        <v>10167</v>
      </c>
      <c r="AD2279" s="77" t="s">
        <v>10184</v>
      </c>
      <c r="AE2279" s="80" t="str">
        <f>HYPERLINK("https://twitter.com/plantao10/status/1666429835407769602")</f>
        <v>https://twitter.com/plantao10/status/1666429835407769602</v>
      </c>
      <c r="AF2279" s="79">
        <v>45084.541759259257</v>
      </c>
      <c r="AG2279" s="85">
        <v>45084</v>
      </c>
      <c r="AH2279" s="82" t="s">
        <v>12379</v>
      </c>
      <c r="AI2279" s="77" t="b">
        <v>0</v>
      </c>
      <c r="AJ2279" s="77"/>
      <c r="AK2279" s="77"/>
      <c r="AL2279" s="77"/>
      <c r="AM2279" s="77"/>
      <c r="AN2279" s="77"/>
      <c r="AO2279" s="77"/>
      <c r="AP2279" s="77"/>
      <c r="AQ2279" s="77"/>
      <c r="AR2279" s="77"/>
      <c r="AS2279" s="77"/>
      <c r="AT2279" s="77"/>
      <c r="AU2279" s="77"/>
      <c r="AV2279" s="80" t="str">
        <f>HYPERLINK("https://pbs.twimg.com/profile_images/593540892113424384/rx8GObLR_normal.jpg")</f>
        <v>https://pbs.twimg.com/profile_images/593540892113424384/rx8GObLR_normal.jpg</v>
      </c>
      <c r="AW2279" s="82" t="s">
        <v>19046</v>
      </c>
      <c r="AX2279" s="82" t="s">
        <v>19046</v>
      </c>
      <c r="AY2279" s="77"/>
      <c r="AZ2279" s="82" t="s">
        <v>20971</v>
      </c>
      <c r="BA2279" s="82" t="s">
        <v>20971</v>
      </c>
      <c r="BB2279" s="82" t="s">
        <v>20971</v>
      </c>
      <c r="BC2279" s="82" t="s">
        <v>19046</v>
      </c>
      <c r="BD2279" s="77">
        <v>270959576</v>
      </c>
      <c r="BE2279" s="77"/>
      <c r="BF2279" s="77"/>
      <c r="BG2279" s="77"/>
      <c r="BH2279" s="77"/>
      <c r="BI2279" s="77"/>
    </row>
    <row r="2280" spans="1:61" x14ac:dyDescent="0.25">
      <c r="A2280" s="62" t="s">
        <v>799</v>
      </c>
      <c r="B2280" s="62" t="s">
        <v>799</v>
      </c>
      <c r="C2280" s="63"/>
      <c r="D2280" s="64"/>
      <c r="E2280" s="65"/>
      <c r="F2280" s="66"/>
      <c r="G2280" s="63"/>
      <c r="H2280" s="67"/>
      <c r="I2280" s="68"/>
      <c r="J2280" s="68"/>
      <c r="K2280" s="32"/>
      <c r="L2280" s="75">
        <v>2280</v>
      </c>
      <c r="M2280" s="75"/>
      <c r="N2280" s="70"/>
      <c r="O2280" s="77" t="s">
        <v>179</v>
      </c>
      <c r="P2280" s="79">
        <v>45095.175486111111</v>
      </c>
      <c r="Q2280" s="77" t="s">
        <v>3488</v>
      </c>
      <c r="R2280" s="77">
        <v>0</v>
      </c>
      <c r="S2280" s="77">
        <v>0</v>
      </c>
      <c r="T2280" s="77">
        <v>0</v>
      </c>
      <c r="U2280" s="77">
        <v>0</v>
      </c>
      <c r="V2280" s="77">
        <v>5</v>
      </c>
      <c r="W2280" s="82" t="s">
        <v>6321</v>
      </c>
      <c r="X2280" s="80" t="str">
        <f>HYPERLINK("https://lnkd.in/dg6v3-Y6")</f>
        <v>https://lnkd.in/dg6v3-Y6</v>
      </c>
      <c r="Y2280" s="77" t="s">
        <v>7324</v>
      </c>
      <c r="Z2280" s="77"/>
      <c r="AA2280" s="77"/>
      <c r="AB2280" s="77"/>
      <c r="AC2280" s="82" t="s">
        <v>10167</v>
      </c>
      <c r="AD2280" s="77" t="s">
        <v>10183</v>
      </c>
      <c r="AE2280" s="80" t="str">
        <f>HYPERLINK("https://twitter.com/plantao10/status/1670283370880720898")</f>
        <v>https://twitter.com/plantao10/status/1670283370880720898</v>
      </c>
      <c r="AF2280" s="79">
        <v>45095.175486111111</v>
      </c>
      <c r="AG2280" s="85">
        <v>45095</v>
      </c>
      <c r="AH2280" s="82" t="s">
        <v>12380</v>
      </c>
      <c r="AI2280" s="77" t="b">
        <v>0</v>
      </c>
      <c r="AJ2280" s="77"/>
      <c r="AK2280" s="77"/>
      <c r="AL2280" s="77"/>
      <c r="AM2280" s="77"/>
      <c r="AN2280" s="77"/>
      <c r="AO2280" s="77"/>
      <c r="AP2280" s="77"/>
      <c r="AQ2280" s="77"/>
      <c r="AR2280" s="77"/>
      <c r="AS2280" s="77"/>
      <c r="AT2280" s="77"/>
      <c r="AU2280" s="77"/>
      <c r="AV2280" s="80" t="str">
        <f>HYPERLINK("https://pbs.twimg.com/profile_images/593540892113424384/rx8GObLR_normal.jpg")</f>
        <v>https://pbs.twimg.com/profile_images/593540892113424384/rx8GObLR_normal.jpg</v>
      </c>
      <c r="AW2280" s="82" t="s">
        <v>19047</v>
      </c>
      <c r="AX2280" s="82" t="s">
        <v>19047</v>
      </c>
      <c r="AY2280" s="77"/>
      <c r="AZ2280" s="82" t="s">
        <v>20971</v>
      </c>
      <c r="BA2280" s="82" t="s">
        <v>20971</v>
      </c>
      <c r="BB2280" s="82" t="s">
        <v>20971</v>
      </c>
      <c r="BC2280" s="82" t="s">
        <v>19047</v>
      </c>
      <c r="BD2280" s="77">
        <v>270959576</v>
      </c>
      <c r="BE2280" s="77"/>
      <c r="BF2280" s="77"/>
      <c r="BG2280" s="77"/>
      <c r="BH2280" s="77"/>
      <c r="BI2280" s="77"/>
    </row>
    <row r="2281" spans="1:61" x14ac:dyDescent="0.25">
      <c r="A2281" s="62" t="s">
        <v>800</v>
      </c>
      <c r="B2281" s="62" t="s">
        <v>800</v>
      </c>
      <c r="C2281" s="63"/>
      <c r="D2281" s="64"/>
      <c r="E2281" s="65"/>
      <c r="F2281" s="66"/>
      <c r="G2281" s="63"/>
      <c r="H2281" s="67"/>
      <c r="I2281" s="68"/>
      <c r="J2281" s="68"/>
      <c r="K2281" s="32"/>
      <c r="L2281" s="75">
        <v>2281</v>
      </c>
      <c r="M2281" s="75"/>
      <c r="N2281" s="70"/>
      <c r="O2281" s="77" t="s">
        <v>179</v>
      </c>
      <c r="P2281" s="79">
        <v>45007.809340277781</v>
      </c>
      <c r="Q2281" s="77" t="s">
        <v>3489</v>
      </c>
      <c r="R2281" s="77">
        <v>0</v>
      </c>
      <c r="S2281" s="77">
        <v>0</v>
      </c>
      <c r="T2281" s="77">
        <v>0</v>
      </c>
      <c r="U2281" s="77">
        <v>0</v>
      </c>
      <c r="V2281" s="77">
        <v>69</v>
      </c>
      <c r="W2281" s="82" t="s">
        <v>6322</v>
      </c>
      <c r="X2281" s="80" t="str">
        <f>HYPERLINK("http://afun.io/0elff")</f>
        <v>http://afun.io/0elff</v>
      </c>
      <c r="Y2281" s="77" t="s">
        <v>7406</v>
      </c>
      <c r="Z2281" s="77"/>
      <c r="AA2281" s="77" t="s">
        <v>8736</v>
      </c>
      <c r="AB2281" s="77" t="s">
        <v>10130</v>
      </c>
      <c r="AC2281" s="82" t="s">
        <v>10150</v>
      </c>
      <c r="AD2281" s="77" t="s">
        <v>10184</v>
      </c>
      <c r="AE2281" s="80" t="str">
        <f>HYPERLINK("https://twitter.com/afun_to_earn/status/1638622938885701632")</f>
        <v>https://twitter.com/afun_to_earn/status/1638622938885701632</v>
      </c>
      <c r="AF2281" s="79">
        <v>45007.809340277781</v>
      </c>
      <c r="AG2281" s="85">
        <v>45007</v>
      </c>
      <c r="AH2281" s="82" t="s">
        <v>12381</v>
      </c>
      <c r="AI2281" s="77" t="b">
        <v>0</v>
      </c>
      <c r="AJ2281" s="77"/>
      <c r="AK2281" s="77"/>
      <c r="AL2281" s="77"/>
      <c r="AM2281" s="77"/>
      <c r="AN2281" s="77"/>
      <c r="AO2281" s="77"/>
      <c r="AP2281" s="77"/>
      <c r="AQ2281" s="77" t="s">
        <v>15379</v>
      </c>
      <c r="AR2281" s="77"/>
      <c r="AS2281" s="77"/>
      <c r="AT2281" s="77"/>
      <c r="AU2281" s="77"/>
      <c r="AV2281" s="80" t="str">
        <f>HYPERLINK("https://pbs.twimg.com/media/Fr2O0exWIAsQikp.jpg")</f>
        <v>https://pbs.twimg.com/media/Fr2O0exWIAsQikp.jpg</v>
      </c>
      <c r="AW2281" s="82" t="s">
        <v>19048</v>
      </c>
      <c r="AX2281" s="82" t="s">
        <v>19048</v>
      </c>
      <c r="AY2281" s="77"/>
      <c r="AZ2281" s="82" t="s">
        <v>20971</v>
      </c>
      <c r="BA2281" s="82" t="s">
        <v>20971</v>
      </c>
      <c r="BB2281" s="82" t="s">
        <v>20971</v>
      </c>
      <c r="BC2281" s="82" t="s">
        <v>19048</v>
      </c>
      <c r="BD2281" s="82" t="s">
        <v>21440</v>
      </c>
      <c r="BE2281" s="77"/>
      <c r="BF2281" s="77"/>
      <c r="BG2281" s="77"/>
      <c r="BH2281" s="77"/>
      <c r="BI2281" s="77"/>
    </row>
    <row r="2282" spans="1:61" x14ac:dyDescent="0.25">
      <c r="A2282" s="62" t="s">
        <v>800</v>
      </c>
      <c r="B2282" s="62" t="s">
        <v>800</v>
      </c>
      <c r="C2282" s="63"/>
      <c r="D2282" s="64"/>
      <c r="E2282" s="65"/>
      <c r="F2282" s="66"/>
      <c r="G2282" s="63"/>
      <c r="H2282" s="67"/>
      <c r="I2282" s="68"/>
      <c r="J2282" s="68"/>
      <c r="K2282" s="32"/>
      <c r="L2282" s="75">
        <v>2282</v>
      </c>
      <c r="M2282" s="75"/>
      <c r="N2282" s="70"/>
      <c r="O2282" s="77" t="s">
        <v>179</v>
      </c>
      <c r="P2282" s="79">
        <v>45005.550266203703</v>
      </c>
      <c r="Q2282" s="77" t="s">
        <v>3490</v>
      </c>
      <c r="R2282" s="77">
        <v>0</v>
      </c>
      <c r="S2282" s="77">
        <v>0</v>
      </c>
      <c r="T2282" s="77">
        <v>0</v>
      </c>
      <c r="U2282" s="77">
        <v>0</v>
      </c>
      <c r="V2282" s="77">
        <v>82</v>
      </c>
      <c r="W2282" s="82" t="s">
        <v>6323</v>
      </c>
      <c r="X2282" s="80" t="str">
        <f>HYPERLINK("http://afun.io/0elff")</f>
        <v>http://afun.io/0elff</v>
      </c>
      <c r="Y2282" s="77" t="s">
        <v>7406</v>
      </c>
      <c r="Z2282" s="77"/>
      <c r="AA2282" s="77" t="s">
        <v>8737</v>
      </c>
      <c r="AB2282" s="77" t="s">
        <v>10130</v>
      </c>
      <c r="AC2282" s="82" t="s">
        <v>10150</v>
      </c>
      <c r="AD2282" s="77" t="s">
        <v>10184</v>
      </c>
      <c r="AE2282" s="80" t="str">
        <f>HYPERLINK("https://twitter.com/afun_to_earn/status/1637804278197747717")</f>
        <v>https://twitter.com/afun_to_earn/status/1637804278197747717</v>
      </c>
      <c r="AF2282" s="79">
        <v>45005.550266203703</v>
      </c>
      <c r="AG2282" s="85">
        <v>45005</v>
      </c>
      <c r="AH2282" s="82" t="s">
        <v>12382</v>
      </c>
      <c r="AI2282" s="77" t="b">
        <v>0</v>
      </c>
      <c r="AJ2282" s="77"/>
      <c r="AK2282" s="77"/>
      <c r="AL2282" s="77"/>
      <c r="AM2282" s="77"/>
      <c r="AN2282" s="77"/>
      <c r="AO2282" s="77"/>
      <c r="AP2282" s="77"/>
      <c r="AQ2282" s="77" t="s">
        <v>15380</v>
      </c>
      <c r="AR2282" s="77"/>
      <c r="AS2282" s="77"/>
      <c r="AT2282" s="77"/>
      <c r="AU2282" s="77"/>
      <c r="AV2282" s="80" t="str">
        <f>HYPERLINK("https://pbs.twimg.com/media/FrqmS5OXgAUClIn.jpg")</f>
        <v>https://pbs.twimg.com/media/FrqmS5OXgAUClIn.jpg</v>
      </c>
      <c r="AW2282" s="82" t="s">
        <v>19049</v>
      </c>
      <c r="AX2282" s="82" t="s">
        <v>19049</v>
      </c>
      <c r="AY2282" s="77"/>
      <c r="AZ2282" s="82" t="s">
        <v>20971</v>
      </c>
      <c r="BA2282" s="82" t="s">
        <v>20971</v>
      </c>
      <c r="BB2282" s="82" t="s">
        <v>20971</v>
      </c>
      <c r="BC2282" s="82" t="s">
        <v>19049</v>
      </c>
      <c r="BD2282" s="82" t="s">
        <v>21440</v>
      </c>
      <c r="BE2282" s="77"/>
      <c r="BF2282" s="77"/>
      <c r="BG2282" s="77"/>
      <c r="BH2282" s="77"/>
      <c r="BI2282" s="77"/>
    </row>
    <row r="2283" spans="1:61" x14ac:dyDescent="0.25">
      <c r="A2283" s="62" t="s">
        <v>800</v>
      </c>
      <c r="B2283" s="62" t="s">
        <v>800</v>
      </c>
      <c r="C2283" s="63"/>
      <c r="D2283" s="64"/>
      <c r="E2283" s="65"/>
      <c r="F2283" s="66"/>
      <c r="G2283" s="63"/>
      <c r="H2283" s="67"/>
      <c r="I2283" s="68"/>
      <c r="J2283" s="68"/>
      <c r="K2283" s="32"/>
      <c r="L2283" s="75">
        <v>2283</v>
      </c>
      <c r="M2283" s="75"/>
      <c r="N2283" s="70"/>
      <c r="O2283" s="77" t="s">
        <v>179</v>
      </c>
      <c r="P2283" s="79">
        <v>45014.732152777775</v>
      </c>
      <c r="Q2283" s="77" t="s">
        <v>3491</v>
      </c>
      <c r="R2283" s="77">
        <v>0</v>
      </c>
      <c r="S2283" s="77">
        <v>0</v>
      </c>
      <c r="T2283" s="77">
        <v>0</v>
      </c>
      <c r="U2283" s="77">
        <v>0</v>
      </c>
      <c r="V2283" s="77">
        <v>117</v>
      </c>
      <c r="W2283" s="82" t="s">
        <v>6322</v>
      </c>
      <c r="X2283" s="80" t="str">
        <f>HYPERLINK("http://bit.ly/3lL7Txk")</f>
        <v>http://bit.ly/3lL7Txk</v>
      </c>
      <c r="Y2283" s="77" t="s">
        <v>7268</v>
      </c>
      <c r="Z2283" s="77"/>
      <c r="AA2283" s="77" t="s">
        <v>8738</v>
      </c>
      <c r="AB2283" s="77" t="s">
        <v>10130</v>
      </c>
      <c r="AC2283" s="82" t="s">
        <v>10150</v>
      </c>
      <c r="AD2283" s="77" t="s">
        <v>10184</v>
      </c>
      <c r="AE2283" s="80" t="str">
        <f>HYPERLINK("https://twitter.com/afun_to_earn/status/1641131683809312786")</f>
        <v>https://twitter.com/afun_to_earn/status/1641131683809312786</v>
      </c>
      <c r="AF2283" s="79">
        <v>45014.732152777775</v>
      </c>
      <c r="AG2283" s="85">
        <v>45014</v>
      </c>
      <c r="AH2283" s="82" t="s">
        <v>12383</v>
      </c>
      <c r="AI2283" s="77" t="b">
        <v>0</v>
      </c>
      <c r="AJ2283" s="77"/>
      <c r="AK2283" s="77"/>
      <c r="AL2283" s="77"/>
      <c r="AM2283" s="77"/>
      <c r="AN2283" s="77"/>
      <c r="AO2283" s="77"/>
      <c r="AP2283" s="77"/>
      <c r="AQ2283" s="77" t="s">
        <v>15381</v>
      </c>
      <c r="AR2283" s="77"/>
      <c r="AS2283" s="77"/>
      <c r="AT2283" s="77"/>
      <c r="AU2283" s="77"/>
      <c r="AV2283" s="80" t="str">
        <f>HYPERLINK("https://pbs.twimg.com/media/FsZ4it5XwAktpEE.jpg")</f>
        <v>https://pbs.twimg.com/media/FsZ4it5XwAktpEE.jpg</v>
      </c>
      <c r="AW2283" s="82" t="s">
        <v>19050</v>
      </c>
      <c r="AX2283" s="82" t="s">
        <v>19050</v>
      </c>
      <c r="AY2283" s="77"/>
      <c r="AZ2283" s="82" t="s">
        <v>20971</v>
      </c>
      <c r="BA2283" s="82" t="s">
        <v>20971</v>
      </c>
      <c r="BB2283" s="82" t="s">
        <v>20971</v>
      </c>
      <c r="BC2283" s="82" t="s">
        <v>19050</v>
      </c>
      <c r="BD2283" s="82" t="s">
        <v>21440</v>
      </c>
      <c r="BE2283" s="77"/>
      <c r="BF2283" s="77"/>
      <c r="BG2283" s="77"/>
      <c r="BH2283" s="77"/>
      <c r="BI2283" s="77"/>
    </row>
    <row r="2284" spans="1:61" x14ac:dyDescent="0.25">
      <c r="A2284" s="62" t="s">
        <v>800</v>
      </c>
      <c r="B2284" s="62" t="s">
        <v>800</v>
      </c>
      <c r="C2284" s="63"/>
      <c r="D2284" s="64"/>
      <c r="E2284" s="65"/>
      <c r="F2284" s="66"/>
      <c r="G2284" s="63"/>
      <c r="H2284" s="67"/>
      <c r="I2284" s="68"/>
      <c r="J2284" s="68"/>
      <c r="K2284" s="32"/>
      <c r="L2284" s="75">
        <v>2284</v>
      </c>
      <c r="M2284" s="75"/>
      <c r="N2284" s="70"/>
      <c r="O2284" s="77" t="s">
        <v>179</v>
      </c>
      <c r="P2284" s="79">
        <v>44992.542256944442</v>
      </c>
      <c r="Q2284" s="77" t="s">
        <v>3492</v>
      </c>
      <c r="R2284" s="77">
        <v>0</v>
      </c>
      <c r="S2284" s="77">
        <v>0</v>
      </c>
      <c r="T2284" s="77">
        <v>0</v>
      </c>
      <c r="U2284" s="77">
        <v>0</v>
      </c>
      <c r="V2284" s="77">
        <v>67</v>
      </c>
      <c r="W2284" s="82" t="s">
        <v>6324</v>
      </c>
      <c r="X2284" s="80" t="str">
        <f>HYPERLINK("http://afun.io/0elff")</f>
        <v>http://afun.io/0elff</v>
      </c>
      <c r="Y2284" s="77" t="s">
        <v>7406</v>
      </c>
      <c r="Z2284" s="77"/>
      <c r="AA2284" s="77" t="s">
        <v>8739</v>
      </c>
      <c r="AB2284" s="77" t="s">
        <v>10130</v>
      </c>
      <c r="AC2284" s="82" t="s">
        <v>10146</v>
      </c>
      <c r="AD2284" s="77" t="s">
        <v>10184</v>
      </c>
      <c r="AE2284" s="80" t="str">
        <f>HYPERLINK("https://twitter.com/afun_to_earn/status/1633090333000048641")</f>
        <v>https://twitter.com/afun_to_earn/status/1633090333000048641</v>
      </c>
      <c r="AF2284" s="79">
        <v>44992.542256944442</v>
      </c>
      <c r="AG2284" s="85">
        <v>44992</v>
      </c>
      <c r="AH2284" s="82" t="s">
        <v>12384</v>
      </c>
      <c r="AI2284" s="77" t="b">
        <v>0</v>
      </c>
      <c r="AJ2284" s="77"/>
      <c r="AK2284" s="77"/>
      <c r="AL2284" s="77"/>
      <c r="AM2284" s="77"/>
      <c r="AN2284" s="77"/>
      <c r="AO2284" s="77"/>
      <c r="AP2284" s="77"/>
      <c r="AQ2284" s="77" t="s">
        <v>15382</v>
      </c>
      <c r="AR2284" s="77"/>
      <c r="AS2284" s="77"/>
      <c r="AT2284" s="77"/>
      <c r="AU2284" s="77"/>
      <c r="AV2284" s="80" t="str">
        <f>HYPERLINK("https://pbs.twimg.com/media/Fqnm_a7X0AQAPlR.jpg")</f>
        <v>https://pbs.twimg.com/media/Fqnm_a7X0AQAPlR.jpg</v>
      </c>
      <c r="AW2284" s="82" t="s">
        <v>19051</v>
      </c>
      <c r="AX2284" s="82" t="s">
        <v>19051</v>
      </c>
      <c r="AY2284" s="77"/>
      <c r="AZ2284" s="82" t="s">
        <v>20971</v>
      </c>
      <c r="BA2284" s="82" t="s">
        <v>20971</v>
      </c>
      <c r="BB2284" s="82" t="s">
        <v>20971</v>
      </c>
      <c r="BC2284" s="82" t="s">
        <v>19051</v>
      </c>
      <c r="BD2284" s="82" t="s">
        <v>21440</v>
      </c>
      <c r="BE2284" s="77"/>
      <c r="BF2284" s="77"/>
      <c r="BG2284" s="77"/>
      <c r="BH2284" s="77"/>
      <c r="BI2284" s="77"/>
    </row>
    <row r="2285" spans="1:61" x14ac:dyDescent="0.25">
      <c r="A2285" s="62" t="s">
        <v>800</v>
      </c>
      <c r="B2285" s="62" t="s">
        <v>800</v>
      </c>
      <c r="C2285" s="63"/>
      <c r="D2285" s="64"/>
      <c r="E2285" s="65"/>
      <c r="F2285" s="66"/>
      <c r="G2285" s="63"/>
      <c r="H2285" s="67"/>
      <c r="I2285" s="68"/>
      <c r="J2285" s="68"/>
      <c r="K2285" s="32"/>
      <c r="L2285" s="75">
        <v>2285</v>
      </c>
      <c r="M2285" s="75"/>
      <c r="N2285" s="70"/>
      <c r="O2285" s="77" t="s">
        <v>179</v>
      </c>
      <c r="P2285" s="79">
        <v>44991.523865740739</v>
      </c>
      <c r="Q2285" s="77" t="s">
        <v>3493</v>
      </c>
      <c r="R2285" s="77">
        <v>0</v>
      </c>
      <c r="S2285" s="77">
        <v>0</v>
      </c>
      <c r="T2285" s="77">
        <v>0</v>
      </c>
      <c r="U2285" s="77">
        <v>0</v>
      </c>
      <c r="V2285" s="77">
        <v>81</v>
      </c>
      <c r="W2285" s="82" t="s">
        <v>6325</v>
      </c>
      <c r="X2285" s="80" t="str">
        <f>HYPERLINK("https://afun.io/0elff")</f>
        <v>https://afun.io/0elff</v>
      </c>
      <c r="Y2285" s="77" t="s">
        <v>7406</v>
      </c>
      <c r="Z2285" s="77"/>
      <c r="AA2285" s="77" t="s">
        <v>8740</v>
      </c>
      <c r="AB2285" s="77" t="s">
        <v>10129</v>
      </c>
      <c r="AC2285" s="82" t="s">
        <v>10146</v>
      </c>
      <c r="AD2285" s="77" t="s">
        <v>10184</v>
      </c>
      <c r="AE2285" s="80" t="str">
        <f>HYPERLINK("https://twitter.com/afun_to_earn/status/1632721279198408704")</f>
        <v>https://twitter.com/afun_to_earn/status/1632721279198408704</v>
      </c>
      <c r="AF2285" s="79">
        <v>44991.523865740739</v>
      </c>
      <c r="AG2285" s="85">
        <v>44991</v>
      </c>
      <c r="AH2285" s="82" t="s">
        <v>12365</v>
      </c>
      <c r="AI2285" s="77" t="b">
        <v>0</v>
      </c>
      <c r="AJ2285" s="77"/>
      <c r="AK2285" s="77"/>
      <c r="AL2285" s="77"/>
      <c r="AM2285" s="77"/>
      <c r="AN2285" s="77"/>
      <c r="AO2285" s="77"/>
      <c r="AP2285" s="77"/>
      <c r="AQ2285" s="77" t="s">
        <v>15383</v>
      </c>
      <c r="AR2285" s="77">
        <v>19319</v>
      </c>
      <c r="AS2285" s="77"/>
      <c r="AT2285" s="77"/>
      <c r="AU2285" s="77"/>
      <c r="AV2285" s="80" t="str">
        <f>HYPERLINK("https://pbs.twimg.com/ext_tw_video_thumb/1632721085794754563/pu/img/QQloJWC-a5g2ROed.jpg")</f>
        <v>https://pbs.twimg.com/ext_tw_video_thumb/1632721085794754563/pu/img/QQloJWC-a5g2ROed.jpg</v>
      </c>
      <c r="AW2285" s="82" t="s">
        <v>19052</v>
      </c>
      <c r="AX2285" s="82" t="s">
        <v>19052</v>
      </c>
      <c r="AY2285" s="77"/>
      <c r="AZ2285" s="82" t="s">
        <v>20971</v>
      </c>
      <c r="BA2285" s="82" t="s">
        <v>20971</v>
      </c>
      <c r="BB2285" s="82" t="s">
        <v>20971</v>
      </c>
      <c r="BC2285" s="82" t="s">
        <v>19052</v>
      </c>
      <c r="BD2285" s="82" t="s">
        <v>21440</v>
      </c>
      <c r="BE2285" s="77"/>
      <c r="BF2285" s="77"/>
      <c r="BG2285" s="77"/>
      <c r="BH2285" s="77"/>
      <c r="BI2285" s="77"/>
    </row>
    <row r="2286" spans="1:61" x14ac:dyDescent="0.25">
      <c r="A2286" s="62" t="s">
        <v>800</v>
      </c>
      <c r="B2286" s="62" t="s">
        <v>800</v>
      </c>
      <c r="C2286" s="63"/>
      <c r="D2286" s="64"/>
      <c r="E2286" s="65"/>
      <c r="F2286" s="66"/>
      <c r="G2286" s="63"/>
      <c r="H2286" s="67"/>
      <c r="I2286" s="68"/>
      <c r="J2286" s="68"/>
      <c r="K2286" s="32"/>
      <c r="L2286" s="75">
        <v>2286</v>
      </c>
      <c r="M2286" s="75"/>
      <c r="N2286" s="70"/>
      <c r="O2286" s="77" t="s">
        <v>179</v>
      </c>
      <c r="P2286" s="79">
        <v>44988.549178240741</v>
      </c>
      <c r="Q2286" s="77" t="s">
        <v>3494</v>
      </c>
      <c r="R2286" s="77">
        <v>0</v>
      </c>
      <c r="S2286" s="77">
        <v>0</v>
      </c>
      <c r="T2286" s="77">
        <v>0</v>
      </c>
      <c r="U2286" s="77">
        <v>0</v>
      </c>
      <c r="V2286" s="77">
        <v>165</v>
      </c>
      <c r="W2286" s="82" t="s">
        <v>6326</v>
      </c>
      <c r="X2286" s="80" t="str">
        <f>HYPERLINK("http://afun.io/0elff")</f>
        <v>http://afun.io/0elff</v>
      </c>
      <c r="Y2286" s="77" t="s">
        <v>7406</v>
      </c>
      <c r="Z2286" s="77"/>
      <c r="AA2286" s="77" t="s">
        <v>8741</v>
      </c>
      <c r="AB2286" s="77" t="s">
        <v>10130</v>
      </c>
      <c r="AC2286" s="82" t="s">
        <v>10146</v>
      </c>
      <c r="AD2286" s="77" t="s">
        <v>10184</v>
      </c>
      <c r="AE2286" s="80" t="str">
        <f>HYPERLINK("https://twitter.com/afun_to_earn/status/1631643288456384512")</f>
        <v>https://twitter.com/afun_to_earn/status/1631643288456384512</v>
      </c>
      <c r="AF2286" s="79">
        <v>44988.549178240741</v>
      </c>
      <c r="AG2286" s="85">
        <v>44988</v>
      </c>
      <c r="AH2286" s="82" t="s">
        <v>12385</v>
      </c>
      <c r="AI2286" s="77" t="b">
        <v>0</v>
      </c>
      <c r="AJ2286" s="77"/>
      <c r="AK2286" s="77"/>
      <c r="AL2286" s="77"/>
      <c r="AM2286" s="77"/>
      <c r="AN2286" s="77"/>
      <c r="AO2286" s="77"/>
      <c r="AP2286" s="77"/>
      <c r="AQ2286" s="77" t="s">
        <v>15384</v>
      </c>
      <c r="AR2286" s="77"/>
      <c r="AS2286" s="77"/>
      <c r="AT2286" s="77"/>
      <c r="AU2286" s="77"/>
      <c r="AV2286" s="80" t="str">
        <f>HYPERLINK("https://pbs.twimg.com/media/FqTC2rrWAAMyUo6.jpg")</f>
        <v>https://pbs.twimg.com/media/FqTC2rrWAAMyUo6.jpg</v>
      </c>
      <c r="AW2286" s="82" t="s">
        <v>19053</v>
      </c>
      <c r="AX2286" s="82" t="s">
        <v>19053</v>
      </c>
      <c r="AY2286" s="77"/>
      <c r="AZ2286" s="82" t="s">
        <v>20971</v>
      </c>
      <c r="BA2286" s="82" t="s">
        <v>20971</v>
      </c>
      <c r="BB2286" s="82" t="s">
        <v>20971</v>
      </c>
      <c r="BC2286" s="82" t="s">
        <v>19053</v>
      </c>
      <c r="BD2286" s="82" t="s">
        <v>21440</v>
      </c>
      <c r="BE2286" s="77"/>
      <c r="BF2286" s="77"/>
      <c r="BG2286" s="77"/>
      <c r="BH2286" s="77"/>
      <c r="BI2286" s="77"/>
    </row>
    <row r="2287" spans="1:61" x14ac:dyDescent="0.25">
      <c r="A2287" s="62" t="s">
        <v>800</v>
      </c>
      <c r="B2287" s="62" t="s">
        <v>800</v>
      </c>
      <c r="C2287" s="63"/>
      <c r="D2287" s="64"/>
      <c r="E2287" s="65"/>
      <c r="F2287" s="66"/>
      <c r="G2287" s="63"/>
      <c r="H2287" s="67"/>
      <c r="I2287" s="68"/>
      <c r="J2287" s="68"/>
      <c r="K2287" s="32"/>
      <c r="L2287" s="75">
        <v>2287</v>
      </c>
      <c r="M2287" s="75"/>
      <c r="N2287" s="70"/>
      <c r="O2287" s="77" t="s">
        <v>179</v>
      </c>
      <c r="P2287" s="79">
        <v>44986.677511574075</v>
      </c>
      <c r="Q2287" s="77" t="s">
        <v>3495</v>
      </c>
      <c r="R2287" s="77">
        <v>0</v>
      </c>
      <c r="S2287" s="77">
        <v>1</v>
      </c>
      <c r="T2287" s="77">
        <v>0</v>
      </c>
      <c r="U2287" s="77">
        <v>0</v>
      </c>
      <c r="V2287" s="77">
        <v>173</v>
      </c>
      <c r="W2287" s="82" t="s">
        <v>6327</v>
      </c>
      <c r="X2287" s="77"/>
      <c r="Y2287" s="77"/>
      <c r="Z2287" s="77"/>
      <c r="AA2287" s="77" t="s">
        <v>8742</v>
      </c>
      <c r="AB2287" s="77" t="s">
        <v>10129</v>
      </c>
      <c r="AC2287" s="82" t="s">
        <v>10146</v>
      </c>
      <c r="AD2287" s="77" t="s">
        <v>10184</v>
      </c>
      <c r="AE2287" s="80" t="str">
        <f>HYPERLINK("https://twitter.com/afun_to_earn/status/1630965022926028802")</f>
        <v>https://twitter.com/afun_to_earn/status/1630965022926028802</v>
      </c>
      <c r="AF2287" s="79">
        <v>44986.677511574075</v>
      </c>
      <c r="AG2287" s="85">
        <v>44986</v>
      </c>
      <c r="AH2287" s="82" t="s">
        <v>12386</v>
      </c>
      <c r="AI2287" s="77" t="b">
        <v>0</v>
      </c>
      <c r="AJ2287" s="77"/>
      <c r="AK2287" s="77"/>
      <c r="AL2287" s="77"/>
      <c r="AM2287" s="77"/>
      <c r="AN2287" s="77"/>
      <c r="AO2287" s="77"/>
      <c r="AP2287" s="77"/>
      <c r="AQ2287" s="77" t="s">
        <v>15385</v>
      </c>
      <c r="AR2287" s="77">
        <v>13072</v>
      </c>
      <c r="AS2287" s="77"/>
      <c r="AT2287" s="77"/>
      <c r="AU2287" s="77"/>
      <c r="AV2287" s="80" t="str">
        <f>HYPERLINK("https://pbs.twimg.com/ext_tw_video_thumb/1630964720717922305/pu/img/lVFbO9j3l_JvEORM.jpg")</f>
        <v>https://pbs.twimg.com/ext_tw_video_thumb/1630964720717922305/pu/img/lVFbO9j3l_JvEORM.jpg</v>
      </c>
      <c r="AW2287" s="82" t="s">
        <v>19054</v>
      </c>
      <c r="AX2287" s="82" t="s">
        <v>19054</v>
      </c>
      <c r="AY2287" s="77"/>
      <c r="AZ2287" s="82" t="s">
        <v>20971</v>
      </c>
      <c r="BA2287" s="82" t="s">
        <v>20971</v>
      </c>
      <c r="BB2287" s="82" t="s">
        <v>20971</v>
      </c>
      <c r="BC2287" s="82" t="s">
        <v>19054</v>
      </c>
      <c r="BD2287" s="82" t="s">
        <v>21440</v>
      </c>
      <c r="BE2287" s="77"/>
      <c r="BF2287" s="77"/>
      <c r="BG2287" s="77"/>
      <c r="BH2287" s="77"/>
      <c r="BI2287" s="77"/>
    </row>
    <row r="2288" spans="1:61" x14ac:dyDescent="0.25">
      <c r="A2288" s="62" t="s">
        <v>800</v>
      </c>
      <c r="B2288" s="62" t="s">
        <v>800</v>
      </c>
      <c r="C2288" s="63"/>
      <c r="D2288" s="64"/>
      <c r="E2288" s="65"/>
      <c r="F2288" s="66"/>
      <c r="G2288" s="63"/>
      <c r="H2288" s="67"/>
      <c r="I2288" s="68"/>
      <c r="J2288" s="68"/>
      <c r="K2288" s="32"/>
      <c r="L2288" s="75">
        <v>2288</v>
      </c>
      <c r="M2288" s="75"/>
      <c r="N2288" s="70"/>
      <c r="O2288" s="77" t="s">
        <v>179</v>
      </c>
      <c r="P2288" s="79">
        <v>45012.615104166667</v>
      </c>
      <c r="Q2288" s="77" t="s">
        <v>3496</v>
      </c>
      <c r="R2288" s="77">
        <v>0</v>
      </c>
      <c r="S2288" s="77">
        <v>0</v>
      </c>
      <c r="T2288" s="77">
        <v>0</v>
      </c>
      <c r="U2288" s="77">
        <v>0</v>
      </c>
      <c r="V2288" s="77">
        <v>82</v>
      </c>
      <c r="W2288" s="82" t="s">
        <v>6328</v>
      </c>
      <c r="X2288" s="80" t="str">
        <f>HYPERLINK("http://afun.io/0elff")</f>
        <v>http://afun.io/0elff</v>
      </c>
      <c r="Y2288" s="77" t="s">
        <v>7406</v>
      </c>
      <c r="Z2288" s="77"/>
      <c r="AA2288" s="77" t="s">
        <v>8743</v>
      </c>
      <c r="AB2288" s="77" t="s">
        <v>10129</v>
      </c>
      <c r="AC2288" s="82" t="s">
        <v>10150</v>
      </c>
      <c r="AD2288" s="77" t="s">
        <v>10184</v>
      </c>
      <c r="AE2288" s="80" t="str">
        <f>HYPERLINK("https://twitter.com/afun_to_earn/status/1640364488573558788")</f>
        <v>https://twitter.com/afun_to_earn/status/1640364488573558788</v>
      </c>
      <c r="AF2288" s="79">
        <v>45012.615104166667</v>
      </c>
      <c r="AG2288" s="85">
        <v>45012</v>
      </c>
      <c r="AH2288" s="82" t="s">
        <v>12387</v>
      </c>
      <c r="AI2288" s="77" t="b">
        <v>0</v>
      </c>
      <c r="AJ2288" s="77"/>
      <c r="AK2288" s="77"/>
      <c r="AL2288" s="77"/>
      <c r="AM2288" s="77"/>
      <c r="AN2288" s="77"/>
      <c r="AO2288" s="77"/>
      <c r="AP2288" s="77"/>
      <c r="AQ2288" s="77" t="s">
        <v>15386</v>
      </c>
      <c r="AR2288" s="77">
        <v>22801</v>
      </c>
      <c r="AS2288" s="77"/>
      <c r="AT2288" s="77"/>
      <c r="AU2288" s="77"/>
      <c r="AV2288" s="80" t="str">
        <f>HYPERLINK("https://pbs.twimg.com/ext_tw_video_thumb/1640364267462352896/pu/img/7K_1wnCdd6VJPZpr.jpg")</f>
        <v>https://pbs.twimg.com/ext_tw_video_thumb/1640364267462352896/pu/img/7K_1wnCdd6VJPZpr.jpg</v>
      </c>
      <c r="AW2288" s="82" t="s">
        <v>19055</v>
      </c>
      <c r="AX2288" s="82" t="s">
        <v>19055</v>
      </c>
      <c r="AY2288" s="77"/>
      <c r="AZ2288" s="82" t="s">
        <v>20971</v>
      </c>
      <c r="BA2288" s="82" t="s">
        <v>20971</v>
      </c>
      <c r="BB2288" s="82" t="s">
        <v>20971</v>
      </c>
      <c r="BC2288" s="82" t="s">
        <v>19055</v>
      </c>
      <c r="BD2288" s="82" t="s">
        <v>21440</v>
      </c>
      <c r="BE2288" s="77"/>
      <c r="BF2288" s="77"/>
      <c r="BG2288" s="77"/>
      <c r="BH2288" s="77"/>
      <c r="BI2288" s="77"/>
    </row>
    <row r="2289" spans="1:61" x14ac:dyDescent="0.25">
      <c r="A2289" s="62" t="s">
        <v>800</v>
      </c>
      <c r="B2289" s="62" t="s">
        <v>800</v>
      </c>
      <c r="C2289" s="63"/>
      <c r="D2289" s="64"/>
      <c r="E2289" s="65"/>
      <c r="F2289" s="66"/>
      <c r="G2289" s="63"/>
      <c r="H2289" s="67"/>
      <c r="I2289" s="68"/>
      <c r="J2289" s="68"/>
      <c r="K2289" s="32"/>
      <c r="L2289" s="75">
        <v>2289</v>
      </c>
      <c r="M2289" s="75"/>
      <c r="N2289" s="70"/>
      <c r="O2289" s="77" t="s">
        <v>179</v>
      </c>
      <c r="P2289" s="79">
        <v>45009.808310185188</v>
      </c>
      <c r="Q2289" s="77" t="s">
        <v>3497</v>
      </c>
      <c r="R2289" s="77">
        <v>0</v>
      </c>
      <c r="S2289" s="77">
        <v>0</v>
      </c>
      <c r="T2289" s="77">
        <v>0</v>
      </c>
      <c r="U2289" s="77">
        <v>0</v>
      </c>
      <c r="V2289" s="77">
        <v>105</v>
      </c>
      <c r="W2289" s="82" t="s">
        <v>6329</v>
      </c>
      <c r="X2289" s="80" t="str">
        <f>HYPERLINK("http://afun.io/0elff")</f>
        <v>http://afun.io/0elff</v>
      </c>
      <c r="Y2289" s="77" t="s">
        <v>7406</v>
      </c>
      <c r="Z2289" s="77"/>
      <c r="AA2289" s="77" t="s">
        <v>8744</v>
      </c>
      <c r="AB2289" s="77" t="s">
        <v>10130</v>
      </c>
      <c r="AC2289" s="82" t="s">
        <v>10150</v>
      </c>
      <c r="AD2289" s="77" t="s">
        <v>10184</v>
      </c>
      <c r="AE2289" s="80" t="str">
        <f>HYPERLINK("https://twitter.com/afun_to_earn/status/1639347342066212875")</f>
        <v>https://twitter.com/afun_to_earn/status/1639347342066212875</v>
      </c>
      <c r="AF2289" s="79">
        <v>45009.808310185188</v>
      </c>
      <c r="AG2289" s="85">
        <v>45009</v>
      </c>
      <c r="AH2289" s="82" t="s">
        <v>12388</v>
      </c>
      <c r="AI2289" s="77" t="b">
        <v>0</v>
      </c>
      <c r="AJ2289" s="77"/>
      <c r="AK2289" s="77"/>
      <c r="AL2289" s="77"/>
      <c r="AM2289" s="77"/>
      <c r="AN2289" s="77"/>
      <c r="AO2289" s="77"/>
      <c r="AP2289" s="77"/>
      <c r="AQ2289" s="77" t="s">
        <v>15387</v>
      </c>
      <c r="AR2289" s="77"/>
      <c r="AS2289" s="77"/>
      <c r="AT2289" s="77"/>
      <c r="AU2289" s="77"/>
      <c r="AV2289" s="80" t="str">
        <f>HYPERLINK("https://pbs.twimg.com/media/FsAhqNXWYAcisO6.jpg")</f>
        <v>https://pbs.twimg.com/media/FsAhqNXWYAcisO6.jpg</v>
      </c>
      <c r="AW2289" s="82" t="s">
        <v>19056</v>
      </c>
      <c r="AX2289" s="82" t="s">
        <v>19056</v>
      </c>
      <c r="AY2289" s="77"/>
      <c r="AZ2289" s="82" t="s">
        <v>20971</v>
      </c>
      <c r="BA2289" s="82" t="s">
        <v>20971</v>
      </c>
      <c r="BB2289" s="82" t="s">
        <v>20971</v>
      </c>
      <c r="BC2289" s="82" t="s">
        <v>19056</v>
      </c>
      <c r="BD2289" s="82" t="s">
        <v>21440</v>
      </c>
      <c r="BE2289" s="77"/>
      <c r="BF2289" s="77"/>
      <c r="BG2289" s="77"/>
      <c r="BH2289" s="77"/>
      <c r="BI2289" s="77"/>
    </row>
    <row r="2290" spans="1:61" x14ac:dyDescent="0.25">
      <c r="A2290" s="62" t="s">
        <v>800</v>
      </c>
      <c r="B2290" s="62" t="s">
        <v>800</v>
      </c>
      <c r="C2290" s="63"/>
      <c r="D2290" s="64"/>
      <c r="E2290" s="65"/>
      <c r="F2290" s="66"/>
      <c r="G2290" s="63"/>
      <c r="H2290" s="67"/>
      <c r="I2290" s="68"/>
      <c r="J2290" s="68"/>
      <c r="K2290" s="32"/>
      <c r="L2290" s="75">
        <v>2290</v>
      </c>
      <c r="M2290" s="75"/>
      <c r="N2290" s="70"/>
      <c r="O2290" s="77" t="s">
        <v>179</v>
      </c>
      <c r="P2290" s="79">
        <v>45041.552256944444</v>
      </c>
      <c r="Q2290" s="77" t="s">
        <v>3498</v>
      </c>
      <c r="R2290" s="77">
        <v>0</v>
      </c>
      <c r="S2290" s="77">
        <v>1</v>
      </c>
      <c r="T2290" s="77">
        <v>0</v>
      </c>
      <c r="U2290" s="77">
        <v>0</v>
      </c>
      <c r="V2290" s="77">
        <v>109</v>
      </c>
      <c r="W2290" s="82" t="s">
        <v>6330</v>
      </c>
      <c r="X2290" s="80" t="str">
        <f>HYPERLINK("http://bit.ly/3KKrSo9")</f>
        <v>http://bit.ly/3KKrSo9</v>
      </c>
      <c r="Y2290" s="77" t="s">
        <v>7268</v>
      </c>
      <c r="Z2290" s="77"/>
      <c r="AA2290" s="77" t="s">
        <v>8745</v>
      </c>
      <c r="AB2290" s="77" t="s">
        <v>10130</v>
      </c>
      <c r="AC2290" s="82" t="s">
        <v>10150</v>
      </c>
      <c r="AD2290" s="77" t="s">
        <v>10184</v>
      </c>
      <c r="AE2290" s="80" t="str">
        <f>HYPERLINK("https://twitter.com/afun_to_earn/status/1650850961420607488")</f>
        <v>https://twitter.com/afun_to_earn/status/1650850961420607488</v>
      </c>
      <c r="AF2290" s="79">
        <v>45041.552256944444</v>
      </c>
      <c r="AG2290" s="85">
        <v>45041</v>
      </c>
      <c r="AH2290" s="82" t="s">
        <v>11804</v>
      </c>
      <c r="AI2290" s="77" t="b">
        <v>0</v>
      </c>
      <c r="AJ2290" s="77"/>
      <c r="AK2290" s="77"/>
      <c r="AL2290" s="77"/>
      <c r="AM2290" s="77"/>
      <c r="AN2290" s="77"/>
      <c r="AO2290" s="77"/>
      <c r="AP2290" s="77"/>
      <c r="AQ2290" s="77" t="s">
        <v>15388</v>
      </c>
      <c r="AR2290" s="77"/>
      <c r="AS2290" s="77"/>
      <c r="AT2290" s="77"/>
      <c r="AU2290" s="77"/>
      <c r="AV2290" s="80" t="str">
        <f>HYPERLINK("https://pbs.twimg.com/media/FukAHCKWwAIO0ld.jpg")</f>
        <v>https://pbs.twimg.com/media/FukAHCKWwAIO0ld.jpg</v>
      </c>
      <c r="AW2290" s="82" t="s">
        <v>19057</v>
      </c>
      <c r="AX2290" s="82" t="s">
        <v>19057</v>
      </c>
      <c r="AY2290" s="77"/>
      <c r="AZ2290" s="82" t="s">
        <v>20971</v>
      </c>
      <c r="BA2290" s="82" t="s">
        <v>20971</v>
      </c>
      <c r="BB2290" s="82" t="s">
        <v>20971</v>
      </c>
      <c r="BC2290" s="82" t="s">
        <v>19057</v>
      </c>
      <c r="BD2290" s="82" t="s">
        <v>21440</v>
      </c>
      <c r="BE2290" s="77"/>
      <c r="BF2290" s="77"/>
      <c r="BG2290" s="77"/>
      <c r="BH2290" s="77"/>
      <c r="BI2290" s="77"/>
    </row>
    <row r="2291" spans="1:61" x14ac:dyDescent="0.25">
      <c r="A2291" s="62" t="s">
        <v>800</v>
      </c>
      <c r="B2291" s="62" t="s">
        <v>800</v>
      </c>
      <c r="C2291" s="63"/>
      <c r="D2291" s="64"/>
      <c r="E2291" s="65"/>
      <c r="F2291" s="66"/>
      <c r="G2291" s="63"/>
      <c r="H2291" s="67"/>
      <c r="I2291" s="68"/>
      <c r="J2291" s="68"/>
      <c r="K2291" s="32"/>
      <c r="L2291" s="75">
        <v>2291</v>
      </c>
      <c r="M2291" s="75"/>
      <c r="N2291" s="70"/>
      <c r="O2291" s="77" t="s">
        <v>179</v>
      </c>
      <c r="P2291" s="79">
        <v>45013.801122685189</v>
      </c>
      <c r="Q2291" s="77" t="s">
        <v>3499</v>
      </c>
      <c r="R2291" s="77">
        <v>0</v>
      </c>
      <c r="S2291" s="77">
        <v>0</v>
      </c>
      <c r="T2291" s="77">
        <v>0</v>
      </c>
      <c r="U2291" s="77">
        <v>0</v>
      </c>
      <c r="V2291" s="77">
        <v>85</v>
      </c>
      <c r="W2291" s="82" t="s">
        <v>6322</v>
      </c>
      <c r="X2291" s="80" t="str">
        <f>HYPERLINK("http://bit.ly/3lL7Txk")</f>
        <v>http://bit.ly/3lL7Txk</v>
      </c>
      <c r="Y2291" s="77" t="s">
        <v>7268</v>
      </c>
      <c r="Z2291" s="77"/>
      <c r="AA2291" s="77" t="s">
        <v>8746</v>
      </c>
      <c r="AB2291" s="77" t="s">
        <v>10129</v>
      </c>
      <c r="AC2291" s="82" t="s">
        <v>10150</v>
      </c>
      <c r="AD2291" s="77" t="s">
        <v>10184</v>
      </c>
      <c r="AE2291" s="80" t="str">
        <f>HYPERLINK("https://twitter.com/afun_to_earn/status/1640794287515357195")</f>
        <v>https://twitter.com/afun_to_earn/status/1640794287515357195</v>
      </c>
      <c r="AF2291" s="79">
        <v>45013.801122685189</v>
      </c>
      <c r="AG2291" s="85">
        <v>45013</v>
      </c>
      <c r="AH2291" s="82" t="s">
        <v>12389</v>
      </c>
      <c r="AI2291" s="77" t="b">
        <v>0</v>
      </c>
      <c r="AJ2291" s="77"/>
      <c r="AK2291" s="77"/>
      <c r="AL2291" s="77"/>
      <c r="AM2291" s="77"/>
      <c r="AN2291" s="77"/>
      <c r="AO2291" s="77"/>
      <c r="AP2291" s="77"/>
      <c r="AQ2291" s="77" t="s">
        <v>15389</v>
      </c>
      <c r="AR2291" s="77">
        <v>34556</v>
      </c>
      <c r="AS2291" s="77"/>
      <c r="AT2291" s="77"/>
      <c r="AU2291" s="77"/>
      <c r="AV2291" s="80" t="str">
        <f>HYPERLINK("https://pbs.twimg.com/ext_tw_video_thumb/1640794243412238341/pu/img/nGTgaPEihGj2qYZH.jpg")</f>
        <v>https://pbs.twimg.com/ext_tw_video_thumb/1640794243412238341/pu/img/nGTgaPEihGj2qYZH.jpg</v>
      </c>
      <c r="AW2291" s="82" t="s">
        <v>19058</v>
      </c>
      <c r="AX2291" s="82" t="s">
        <v>19058</v>
      </c>
      <c r="AY2291" s="77"/>
      <c r="AZ2291" s="82" t="s">
        <v>20971</v>
      </c>
      <c r="BA2291" s="82" t="s">
        <v>20971</v>
      </c>
      <c r="BB2291" s="82" t="s">
        <v>20971</v>
      </c>
      <c r="BC2291" s="82" t="s">
        <v>19058</v>
      </c>
      <c r="BD2291" s="82" t="s">
        <v>21440</v>
      </c>
      <c r="BE2291" s="77"/>
      <c r="BF2291" s="77"/>
      <c r="BG2291" s="77"/>
      <c r="BH2291" s="77"/>
      <c r="BI2291" s="77"/>
    </row>
    <row r="2292" spans="1:61" x14ac:dyDescent="0.25">
      <c r="A2292" s="62" t="s">
        <v>800</v>
      </c>
      <c r="B2292" s="62" t="s">
        <v>800</v>
      </c>
      <c r="C2292" s="63"/>
      <c r="D2292" s="64"/>
      <c r="E2292" s="65"/>
      <c r="F2292" s="66"/>
      <c r="G2292" s="63"/>
      <c r="H2292" s="67"/>
      <c r="I2292" s="68"/>
      <c r="J2292" s="68"/>
      <c r="K2292" s="32"/>
      <c r="L2292" s="75">
        <v>2292</v>
      </c>
      <c r="M2292" s="75"/>
      <c r="N2292" s="70"/>
      <c r="O2292" s="77" t="s">
        <v>179</v>
      </c>
      <c r="P2292" s="79">
        <v>44985.570509259262</v>
      </c>
      <c r="Q2292" s="77" t="s">
        <v>3500</v>
      </c>
      <c r="R2292" s="77">
        <v>0</v>
      </c>
      <c r="S2292" s="77">
        <v>1</v>
      </c>
      <c r="T2292" s="77">
        <v>0</v>
      </c>
      <c r="U2292" s="77">
        <v>0</v>
      </c>
      <c r="V2292" s="77">
        <v>107</v>
      </c>
      <c r="W2292" s="82" t="s">
        <v>6331</v>
      </c>
      <c r="X2292" s="77"/>
      <c r="Y2292" s="77"/>
      <c r="Z2292" s="77"/>
      <c r="AA2292" s="77" t="s">
        <v>8747</v>
      </c>
      <c r="AB2292" s="77" t="s">
        <v>10130</v>
      </c>
      <c r="AC2292" s="82" t="s">
        <v>10146</v>
      </c>
      <c r="AD2292" s="77" t="s">
        <v>10184</v>
      </c>
      <c r="AE2292" s="80" t="str">
        <f>HYPERLINK("https://twitter.com/afun_to_earn/status/1630563855175647234")</f>
        <v>https://twitter.com/afun_to_earn/status/1630563855175647234</v>
      </c>
      <c r="AF2292" s="79">
        <v>44985.570509259262</v>
      </c>
      <c r="AG2292" s="85">
        <v>44985</v>
      </c>
      <c r="AH2292" s="82" t="s">
        <v>12390</v>
      </c>
      <c r="AI2292" s="77" t="b">
        <v>0</v>
      </c>
      <c r="AJ2292" s="77"/>
      <c r="AK2292" s="77"/>
      <c r="AL2292" s="77"/>
      <c r="AM2292" s="77"/>
      <c r="AN2292" s="77"/>
      <c r="AO2292" s="77"/>
      <c r="AP2292" s="77"/>
      <c r="AQ2292" s="77" t="s">
        <v>15390</v>
      </c>
      <c r="AR2292" s="77"/>
      <c r="AS2292" s="77"/>
      <c r="AT2292" s="77"/>
      <c r="AU2292" s="77"/>
      <c r="AV2292" s="80" t="str">
        <f>HYPERLINK("https://pbs.twimg.com/media/FqDtKKJXgAM_6wc.jpg")</f>
        <v>https://pbs.twimg.com/media/FqDtKKJXgAM_6wc.jpg</v>
      </c>
      <c r="AW2292" s="82" t="s">
        <v>19059</v>
      </c>
      <c r="AX2292" s="82" t="s">
        <v>19059</v>
      </c>
      <c r="AY2292" s="77"/>
      <c r="AZ2292" s="82" t="s">
        <v>20971</v>
      </c>
      <c r="BA2292" s="82" t="s">
        <v>20971</v>
      </c>
      <c r="BB2292" s="82" t="s">
        <v>20971</v>
      </c>
      <c r="BC2292" s="82" t="s">
        <v>19059</v>
      </c>
      <c r="BD2292" s="82" t="s">
        <v>21440</v>
      </c>
      <c r="BE2292" s="77"/>
      <c r="BF2292" s="77"/>
      <c r="BG2292" s="77"/>
      <c r="BH2292" s="77"/>
      <c r="BI2292" s="77"/>
    </row>
    <row r="2293" spans="1:61" x14ac:dyDescent="0.25">
      <c r="A2293" s="62" t="s">
        <v>800</v>
      </c>
      <c r="B2293" s="62" t="s">
        <v>800</v>
      </c>
      <c r="C2293" s="63"/>
      <c r="D2293" s="64"/>
      <c r="E2293" s="65"/>
      <c r="F2293" s="66"/>
      <c r="G2293" s="63"/>
      <c r="H2293" s="67"/>
      <c r="I2293" s="68"/>
      <c r="J2293" s="68"/>
      <c r="K2293" s="32"/>
      <c r="L2293" s="75">
        <v>2293</v>
      </c>
      <c r="M2293" s="75"/>
      <c r="N2293" s="70"/>
      <c r="O2293" s="77" t="s">
        <v>179</v>
      </c>
      <c r="P2293" s="79">
        <v>44984.542511574073</v>
      </c>
      <c r="Q2293" s="77" t="s">
        <v>3501</v>
      </c>
      <c r="R2293" s="77">
        <v>0</v>
      </c>
      <c r="S2293" s="77">
        <v>0</v>
      </c>
      <c r="T2293" s="77">
        <v>0</v>
      </c>
      <c r="U2293" s="77">
        <v>0</v>
      </c>
      <c r="V2293" s="77">
        <v>248</v>
      </c>
      <c r="W2293" s="82" t="s">
        <v>6332</v>
      </c>
      <c r="X2293" s="77"/>
      <c r="Y2293" s="77"/>
      <c r="Z2293" s="77"/>
      <c r="AA2293" s="77" t="s">
        <v>8748</v>
      </c>
      <c r="AB2293" s="77" t="s">
        <v>10129</v>
      </c>
      <c r="AC2293" s="82" t="s">
        <v>10146</v>
      </c>
      <c r="AD2293" s="77" t="s">
        <v>10184</v>
      </c>
      <c r="AE2293" s="80" t="str">
        <f>HYPERLINK("https://twitter.com/afun_to_earn/status/1630191324707028993")</f>
        <v>https://twitter.com/afun_to_earn/status/1630191324707028993</v>
      </c>
      <c r="AF2293" s="79">
        <v>44984.542511574073</v>
      </c>
      <c r="AG2293" s="85">
        <v>44984</v>
      </c>
      <c r="AH2293" s="82" t="s">
        <v>12391</v>
      </c>
      <c r="AI2293" s="77" t="b">
        <v>0</v>
      </c>
      <c r="AJ2293" s="77"/>
      <c r="AK2293" s="77"/>
      <c r="AL2293" s="77"/>
      <c r="AM2293" s="77"/>
      <c r="AN2293" s="77"/>
      <c r="AO2293" s="77"/>
      <c r="AP2293" s="77"/>
      <c r="AQ2293" s="77" t="s">
        <v>15391</v>
      </c>
      <c r="AR2293" s="77">
        <v>22313</v>
      </c>
      <c r="AS2293" s="77"/>
      <c r="AT2293" s="77"/>
      <c r="AU2293" s="77"/>
      <c r="AV2293" s="80" t="str">
        <f>HYPERLINK("https://pbs.twimg.com/ext_tw_video_thumb/1630189718724812802/pu/img/CZlaHACwHkIarByQ.jpg")</f>
        <v>https://pbs.twimg.com/ext_tw_video_thumb/1630189718724812802/pu/img/CZlaHACwHkIarByQ.jpg</v>
      </c>
      <c r="AW2293" s="82" t="s">
        <v>19060</v>
      </c>
      <c r="AX2293" s="82" t="s">
        <v>19060</v>
      </c>
      <c r="AY2293" s="77"/>
      <c r="AZ2293" s="82" t="s">
        <v>20971</v>
      </c>
      <c r="BA2293" s="82" t="s">
        <v>20971</v>
      </c>
      <c r="BB2293" s="82" t="s">
        <v>20971</v>
      </c>
      <c r="BC2293" s="82" t="s">
        <v>19060</v>
      </c>
      <c r="BD2293" s="82" t="s">
        <v>21440</v>
      </c>
      <c r="BE2293" s="77"/>
      <c r="BF2293" s="77"/>
      <c r="BG2293" s="77"/>
      <c r="BH2293" s="77"/>
      <c r="BI2293" s="77"/>
    </row>
    <row r="2294" spans="1:61" x14ac:dyDescent="0.25">
      <c r="A2294" s="62" t="s">
        <v>800</v>
      </c>
      <c r="B2294" s="62" t="s">
        <v>800</v>
      </c>
      <c r="C2294" s="63"/>
      <c r="D2294" s="64"/>
      <c r="E2294" s="65"/>
      <c r="F2294" s="66"/>
      <c r="G2294" s="63"/>
      <c r="H2294" s="67"/>
      <c r="I2294" s="68"/>
      <c r="J2294" s="68"/>
      <c r="K2294" s="32"/>
      <c r="L2294" s="75">
        <v>2294</v>
      </c>
      <c r="M2294" s="75"/>
      <c r="N2294" s="70"/>
      <c r="O2294" s="77" t="s">
        <v>179</v>
      </c>
      <c r="P2294" s="79">
        <v>45030.872476851851</v>
      </c>
      <c r="Q2294" s="77" t="s">
        <v>3502</v>
      </c>
      <c r="R2294" s="77">
        <v>0</v>
      </c>
      <c r="S2294" s="77">
        <v>0</v>
      </c>
      <c r="T2294" s="77">
        <v>0</v>
      </c>
      <c r="U2294" s="77">
        <v>0</v>
      </c>
      <c r="V2294" s="77">
        <v>88</v>
      </c>
      <c r="W2294" s="82" t="s">
        <v>6333</v>
      </c>
      <c r="X2294" s="80" t="str">
        <f>HYPERLINK("http://bit.ly/3lL7Txk")</f>
        <v>http://bit.ly/3lL7Txk</v>
      </c>
      <c r="Y2294" s="77" t="s">
        <v>7268</v>
      </c>
      <c r="Z2294" s="77"/>
      <c r="AA2294" s="77" t="s">
        <v>8749</v>
      </c>
      <c r="AB2294" s="77" t="s">
        <v>10129</v>
      </c>
      <c r="AC2294" s="82" t="s">
        <v>10150</v>
      </c>
      <c r="AD2294" s="77" t="s">
        <v>10184</v>
      </c>
      <c r="AE2294" s="80" t="str">
        <f>HYPERLINK("https://twitter.com/afun_to_earn/status/1646980740029063171")</f>
        <v>https://twitter.com/afun_to_earn/status/1646980740029063171</v>
      </c>
      <c r="AF2294" s="79">
        <v>45030.872476851851</v>
      </c>
      <c r="AG2294" s="85">
        <v>45030</v>
      </c>
      <c r="AH2294" s="82" t="s">
        <v>12392</v>
      </c>
      <c r="AI2294" s="77" t="b">
        <v>0</v>
      </c>
      <c r="AJ2294" s="77"/>
      <c r="AK2294" s="77"/>
      <c r="AL2294" s="77"/>
      <c r="AM2294" s="77"/>
      <c r="AN2294" s="77"/>
      <c r="AO2294" s="77"/>
      <c r="AP2294" s="77"/>
      <c r="AQ2294" s="77" t="s">
        <v>15392</v>
      </c>
      <c r="AR2294" s="77">
        <v>40541</v>
      </c>
      <c r="AS2294" s="77"/>
      <c r="AT2294" s="77"/>
      <c r="AU2294" s="77"/>
      <c r="AV2294" s="80" t="str">
        <f>HYPERLINK("https://pbs.twimg.com/ext_tw_video_thumb/1646980326420299776/pu/img/ZGY8lVdyNsS9Ls_J.jpg")</f>
        <v>https://pbs.twimg.com/ext_tw_video_thumb/1646980326420299776/pu/img/ZGY8lVdyNsS9Ls_J.jpg</v>
      </c>
      <c r="AW2294" s="82" t="s">
        <v>19061</v>
      </c>
      <c r="AX2294" s="82" t="s">
        <v>19061</v>
      </c>
      <c r="AY2294" s="77"/>
      <c r="AZ2294" s="82" t="s">
        <v>20971</v>
      </c>
      <c r="BA2294" s="82" t="s">
        <v>20971</v>
      </c>
      <c r="BB2294" s="82" t="s">
        <v>20971</v>
      </c>
      <c r="BC2294" s="82" t="s">
        <v>19061</v>
      </c>
      <c r="BD2294" s="82" t="s">
        <v>21440</v>
      </c>
      <c r="BE2294" s="77"/>
      <c r="BF2294" s="77"/>
      <c r="BG2294" s="77"/>
      <c r="BH2294" s="77"/>
      <c r="BI2294" s="77"/>
    </row>
    <row r="2295" spans="1:61" x14ac:dyDescent="0.25">
      <c r="A2295" s="62" t="s">
        <v>800</v>
      </c>
      <c r="B2295" s="62" t="s">
        <v>800</v>
      </c>
      <c r="C2295" s="63"/>
      <c r="D2295" s="64"/>
      <c r="E2295" s="65"/>
      <c r="F2295" s="66"/>
      <c r="G2295" s="63"/>
      <c r="H2295" s="67"/>
      <c r="I2295" s="68"/>
      <c r="J2295" s="68"/>
      <c r="K2295" s="32"/>
      <c r="L2295" s="75">
        <v>2295</v>
      </c>
      <c r="M2295" s="75"/>
      <c r="N2295" s="70"/>
      <c r="O2295" s="77" t="s">
        <v>179</v>
      </c>
      <c r="P2295" s="79">
        <v>45002.627557870372</v>
      </c>
      <c r="Q2295" s="77" t="s">
        <v>3503</v>
      </c>
      <c r="R2295" s="77">
        <v>0</v>
      </c>
      <c r="S2295" s="77">
        <v>0</v>
      </c>
      <c r="T2295" s="77">
        <v>0</v>
      </c>
      <c r="U2295" s="77">
        <v>0</v>
      </c>
      <c r="V2295" s="77">
        <v>101</v>
      </c>
      <c r="W2295" s="82" t="s">
        <v>5236</v>
      </c>
      <c r="X2295" s="80" t="str">
        <f>HYPERLINK("http://afun.io/0elff")</f>
        <v>http://afun.io/0elff</v>
      </c>
      <c r="Y2295" s="77" t="s">
        <v>7406</v>
      </c>
      <c r="Z2295" s="77"/>
      <c r="AA2295" s="77" t="s">
        <v>8750</v>
      </c>
      <c r="AB2295" s="77" t="s">
        <v>10129</v>
      </c>
      <c r="AC2295" s="82" t="s">
        <v>10150</v>
      </c>
      <c r="AD2295" s="77" t="s">
        <v>10184</v>
      </c>
      <c r="AE2295" s="80" t="str">
        <f>HYPERLINK("https://twitter.com/afun_to_earn/status/1636745123185795072")</f>
        <v>https://twitter.com/afun_to_earn/status/1636745123185795072</v>
      </c>
      <c r="AF2295" s="79">
        <v>45002.627557870372</v>
      </c>
      <c r="AG2295" s="85">
        <v>45002</v>
      </c>
      <c r="AH2295" s="82" t="s">
        <v>12393</v>
      </c>
      <c r="AI2295" s="77" t="b">
        <v>0</v>
      </c>
      <c r="AJ2295" s="77"/>
      <c r="AK2295" s="77"/>
      <c r="AL2295" s="77"/>
      <c r="AM2295" s="77"/>
      <c r="AN2295" s="77"/>
      <c r="AO2295" s="77"/>
      <c r="AP2295" s="77"/>
      <c r="AQ2295" s="77" t="s">
        <v>15393</v>
      </c>
      <c r="AR2295" s="77">
        <v>56196</v>
      </c>
      <c r="AS2295" s="77"/>
      <c r="AT2295" s="77"/>
      <c r="AU2295" s="77"/>
      <c r="AV2295" s="80" t="str">
        <f>HYPERLINK("https://pbs.twimg.com/ext_tw_video_thumb/1636744973172330496/pu/img/mUVcOm4NkQFjvsyP.jpg")</f>
        <v>https://pbs.twimg.com/ext_tw_video_thumb/1636744973172330496/pu/img/mUVcOm4NkQFjvsyP.jpg</v>
      </c>
      <c r="AW2295" s="82" t="s">
        <v>19062</v>
      </c>
      <c r="AX2295" s="82" t="s">
        <v>19062</v>
      </c>
      <c r="AY2295" s="77"/>
      <c r="AZ2295" s="82" t="s">
        <v>20971</v>
      </c>
      <c r="BA2295" s="82" t="s">
        <v>20971</v>
      </c>
      <c r="BB2295" s="82" t="s">
        <v>20971</v>
      </c>
      <c r="BC2295" s="82" t="s">
        <v>19062</v>
      </c>
      <c r="BD2295" s="82" t="s">
        <v>21440</v>
      </c>
      <c r="BE2295" s="77"/>
      <c r="BF2295" s="77"/>
      <c r="BG2295" s="77"/>
      <c r="BH2295" s="77"/>
      <c r="BI2295" s="77"/>
    </row>
    <row r="2296" spans="1:61" x14ac:dyDescent="0.25">
      <c r="A2296" s="62" t="s">
        <v>800</v>
      </c>
      <c r="B2296" s="62" t="s">
        <v>800</v>
      </c>
      <c r="C2296" s="63"/>
      <c r="D2296" s="64"/>
      <c r="E2296" s="65"/>
      <c r="F2296" s="66"/>
      <c r="G2296" s="63"/>
      <c r="H2296" s="67"/>
      <c r="I2296" s="68"/>
      <c r="J2296" s="68"/>
      <c r="K2296" s="32"/>
      <c r="L2296" s="75">
        <v>2296</v>
      </c>
      <c r="M2296" s="75"/>
      <c r="N2296" s="70"/>
      <c r="O2296" s="77" t="s">
        <v>179</v>
      </c>
      <c r="P2296" s="79">
        <v>45034.705706018518</v>
      </c>
      <c r="Q2296" s="77" t="s">
        <v>3504</v>
      </c>
      <c r="R2296" s="77">
        <v>0</v>
      </c>
      <c r="S2296" s="77">
        <v>0</v>
      </c>
      <c r="T2296" s="77">
        <v>0</v>
      </c>
      <c r="U2296" s="77">
        <v>0</v>
      </c>
      <c r="V2296" s="77">
        <v>78</v>
      </c>
      <c r="W2296" s="82" t="s">
        <v>6329</v>
      </c>
      <c r="X2296" s="80" t="str">
        <f>HYPERLINK("https://bit.ly/3KKrSo9r")</f>
        <v>https://bit.ly/3KKrSo9r</v>
      </c>
      <c r="Y2296" s="77" t="s">
        <v>7268</v>
      </c>
      <c r="Z2296" s="77"/>
      <c r="AA2296" s="77" t="s">
        <v>8751</v>
      </c>
      <c r="AB2296" s="77" t="s">
        <v>10130</v>
      </c>
      <c r="AC2296" s="82" t="s">
        <v>10150</v>
      </c>
      <c r="AD2296" s="77" t="s">
        <v>10184</v>
      </c>
      <c r="AE2296" s="80" t="str">
        <f>HYPERLINK("https://twitter.com/afun_to_earn/status/1648369853684674561")</f>
        <v>https://twitter.com/afun_to_earn/status/1648369853684674561</v>
      </c>
      <c r="AF2296" s="79">
        <v>45034.705706018518</v>
      </c>
      <c r="AG2296" s="85">
        <v>45034</v>
      </c>
      <c r="AH2296" s="82" t="s">
        <v>12394</v>
      </c>
      <c r="AI2296" s="77" t="b">
        <v>0</v>
      </c>
      <c r="AJ2296" s="77"/>
      <c r="AK2296" s="77"/>
      <c r="AL2296" s="77"/>
      <c r="AM2296" s="77"/>
      <c r="AN2296" s="77"/>
      <c r="AO2296" s="77"/>
      <c r="AP2296" s="77"/>
      <c r="AQ2296" s="77" t="s">
        <v>15394</v>
      </c>
      <c r="AR2296" s="77"/>
      <c r="AS2296" s="77"/>
      <c r="AT2296" s="77"/>
      <c r="AU2296" s="77"/>
      <c r="AV2296" s="80" t="str">
        <f>HYPERLINK("https://pbs.twimg.com/media/FuAvQhhX0AARahs.jpg")</f>
        <v>https://pbs.twimg.com/media/FuAvQhhX0AARahs.jpg</v>
      </c>
      <c r="AW2296" s="82" t="s">
        <v>19063</v>
      </c>
      <c r="AX2296" s="82" t="s">
        <v>19063</v>
      </c>
      <c r="AY2296" s="77"/>
      <c r="AZ2296" s="82" t="s">
        <v>20971</v>
      </c>
      <c r="BA2296" s="82" t="s">
        <v>20971</v>
      </c>
      <c r="BB2296" s="82" t="s">
        <v>20971</v>
      </c>
      <c r="BC2296" s="82" t="s">
        <v>19063</v>
      </c>
      <c r="BD2296" s="82" t="s">
        <v>21440</v>
      </c>
      <c r="BE2296" s="77"/>
      <c r="BF2296" s="77"/>
      <c r="BG2296" s="77"/>
      <c r="BH2296" s="77"/>
      <c r="BI2296" s="77"/>
    </row>
    <row r="2297" spans="1:61" x14ac:dyDescent="0.25">
      <c r="A2297" s="62" t="s">
        <v>800</v>
      </c>
      <c r="B2297" s="62" t="s">
        <v>800</v>
      </c>
      <c r="C2297" s="63"/>
      <c r="D2297" s="64"/>
      <c r="E2297" s="65"/>
      <c r="F2297" s="66"/>
      <c r="G2297" s="63"/>
      <c r="H2297" s="67"/>
      <c r="I2297" s="68"/>
      <c r="J2297" s="68"/>
      <c r="K2297" s="32"/>
      <c r="L2297" s="75">
        <v>2297</v>
      </c>
      <c r="M2297" s="75"/>
      <c r="N2297" s="70"/>
      <c r="O2297" s="77" t="s">
        <v>179</v>
      </c>
      <c r="P2297" s="79">
        <v>45019.84207175926</v>
      </c>
      <c r="Q2297" s="77" t="s">
        <v>3505</v>
      </c>
      <c r="R2297" s="77">
        <v>0</v>
      </c>
      <c r="S2297" s="77">
        <v>1</v>
      </c>
      <c r="T2297" s="77">
        <v>0</v>
      </c>
      <c r="U2297" s="77">
        <v>0</v>
      </c>
      <c r="V2297" s="77">
        <v>85</v>
      </c>
      <c r="W2297" s="82" t="s">
        <v>6334</v>
      </c>
      <c r="X2297" s="80" t="str">
        <f>HYPERLINK("http://bit.ly/3lL7Txk")</f>
        <v>http://bit.ly/3lL7Txk</v>
      </c>
      <c r="Y2297" s="77" t="s">
        <v>7268</v>
      </c>
      <c r="Z2297" s="77"/>
      <c r="AA2297" s="77" t="s">
        <v>8752</v>
      </c>
      <c r="AB2297" s="77" t="s">
        <v>10130</v>
      </c>
      <c r="AC2297" s="82" t="s">
        <v>10150</v>
      </c>
      <c r="AD2297" s="77" t="s">
        <v>10184</v>
      </c>
      <c r="AE2297" s="80" t="str">
        <f>HYPERLINK("https://twitter.com/afun_to_earn/status/1642983455431569411")</f>
        <v>https://twitter.com/afun_to_earn/status/1642983455431569411</v>
      </c>
      <c r="AF2297" s="79">
        <v>45019.84207175926</v>
      </c>
      <c r="AG2297" s="85">
        <v>45019</v>
      </c>
      <c r="AH2297" s="82" t="s">
        <v>12395</v>
      </c>
      <c r="AI2297" s="77" t="b">
        <v>0</v>
      </c>
      <c r="AJ2297" s="77"/>
      <c r="AK2297" s="77"/>
      <c r="AL2297" s="77"/>
      <c r="AM2297" s="77"/>
      <c r="AN2297" s="77"/>
      <c r="AO2297" s="77"/>
      <c r="AP2297" s="77"/>
      <c r="AQ2297" s="77" t="s">
        <v>15395</v>
      </c>
      <c r="AR2297" s="77"/>
      <c r="AS2297" s="77"/>
      <c r="AT2297" s="77"/>
      <c r="AU2297" s="77"/>
      <c r="AV2297" s="80" t="str">
        <f>HYPERLINK("https://pbs.twimg.com/media/Fs0MU8fWIAEPTxH.jpg")</f>
        <v>https://pbs.twimg.com/media/Fs0MU8fWIAEPTxH.jpg</v>
      </c>
      <c r="AW2297" s="82" t="s">
        <v>19064</v>
      </c>
      <c r="AX2297" s="82" t="s">
        <v>19064</v>
      </c>
      <c r="AY2297" s="77"/>
      <c r="AZ2297" s="82" t="s">
        <v>20971</v>
      </c>
      <c r="BA2297" s="82" t="s">
        <v>20971</v>
      </c>
      <c r="BB2297" s="82" t="s">
        <v>20971</v>
      </c>
      <c r="BC2297" s="82" t="s">
        <v>19064</v>
      </c>
      <c r="BD2297" s="82" t="s">
        <v>21440</v>
      </c>
      <c r="BE2297" s="77"/>
      <c r="BF2297" s="77"/>
      <c r="BG2297" s="77"/>
      <c r="BH2297" s="77"/>
      <c r="BI2297" s="77"/>
    </row>
    <row r="2298" spans="1:61" x14ac:dyDescent="0.25">
      <c r="A2298" s="62" t="s">
        <v>800</v>
      </c>
      <c r="B2298" s="62" t="s">
        <v>800</v>
      </c>
      <c r="C2298" s="63"/>
      <c r="D2298" s="64"/>
      <c r="E2298" s="65"/>
      <c r="F2298" s="66"/>
      <c r="G2298" s="63"/>
      <c r="H2298" s="67"/>
      <c r="I2298" s="68"/>
      <c r="J2298" s="68"/>
      <c r="K2298" s="32"/>
      <c r="L2298" s="75">
        <v>2298</v>
      </c>
      <c r="M2298" s="75"/>
      <c r="N2298" s="70"/>
      <c r="O2298" s="77" t="s">
        <v>179</v>
      </c>
      <c r="P2298" s="79">
        <v>45001.599965277775</v>
      </c>
      <c r="Q2298" s="77" t="s">
        <v>3506</v>
      </c>
      <c r="R2298" s="77">
        <v>0</v>
      </c>
      <c r="S2298" s="77">
        <v>0</v>
      </c>
      <c r="T2298" s="77">
        <v>1</v>
      </c>
      <c r="U2298" s="77">
        <v>0</v>
      </c>
      <c r="V2298" s="77">
        <v>325</v>
      </c>
      <c r="W2298" s="82" t="s">
        <v>6335</v>
      </c>
      <c r="X2298" s="80" t="str">
        <f>HYPERLINK("http://afun.io/0elff")</f>
        <v>http://afun.io/0elff</v>
      </c>
      <c r="Y2298" s="77" t="s">
        <v>7406</v>
      </c>
      <c r="Z2298" s="77"/>
      <c r="AA2298" s="77" t="s">
        <v>8753</v>
      </c>
      <c r="AB2298" s="77" t="s">
        <v>10130</v>
      </c>
      <c r="AC2298" s="82" t="s">
        <v>10150</v>
      </c>
      <c r="AD2298" s="77" t="s">
        <v>10184</v>
      </c>
      <c r="AE2298" s="80" t="str">
        <f>HYPERLINK("https://twitter.com/afun_to_earn/status/1636372735986380802")</f>
        <v>https://twitter.com/afun_to_earn/status/1636372735986380802</v>
      </c>
      <c r="AF2298" s="79">
        <v>45001.599965277775</v>
      </c>
      <c r="AG2298" s="85">
        <v>45001</v>
      </c>
      <c r="AH2298" s="82" t="s">
        <v>12396</v>
      </c>
      <c r="AI2298" s="77" t="b">
        <v>0</v>
      </c>
      <c r="AJ2298" s="77"/>
      <c r="AK2298" s="77"/>
      <c r="AL2298" s="77"/>
      <c r="AM2298" s="77"/>
      <c r="AN2298" s="77"/>
      <c r="AO2298" s="77"/>
      <c r="AP2298" s="77"/>
      <c r="AQ2298" s="77" t="s">
        <v>15396</v>
      </c>
      <c r="AR2298" s="77"/>
      <c r="AS2298" s="77"/>
      <c r="AT2298" s="77"/>
      <c r="AU2298" s="77"/>
      <c r="AV2298" s="80" t="str">
        <f>HYPERLINK("https://pbs.twimg.com/media/FrWQUwFaIAo0oE6.jpg")</f>
        <v>https://pbs.twimg.com/media/FrWQUwFaIAo0oE6.jpg</v>
      </c>
      <c r="AW2298" s="82" t="s">
        <v>19065</v>
      </c>
      <c r="AX2298" s="82" t="s">
        <v>19065</v>
      </c>
      <c r="AY2298" s="77"/>
      <c r="AZ2298" s="82" t="s">
        <v>20971</v>
      </c>
      <c r="BA2298" s="82" t="s">
        <v>20971</v>
      </c>
      <c r="BB2298" s="82" t="s">
        <v>20971</v>
      </c>
      <c r="BC2298" s="82" t="s">
        <v>19065</v>
      </c>
      <c r="BD2298" s="82" t="s">
        <v>21440</v>
      </c>
      <c r="BE2298" s="77"/>
      <c r="BF2298" s="77"/>
      <c r="BG2298" s="77"/>
      <c r="BH2298" s="77"/>
      <c r="BI2298" s="77"/>
    </row>
    <row r="2299" spans="1:61" x14ac:dyDescent="0.25">
      <c r="A2299" s="62" t="s">
        <v>800</v>
      </c>
      <c r="B2299" s="62" t="s">
        <v>800</v>
      </c>
      <c r="C2299" s="63"/>
      <c r="D2299" s="64"/>
      <c r="E2299" s="65"/>
      <c r="F2299" s="66"/>
      <c r="G2299" s="63"/>
      <c r="H2299" s="67"/>
      <c r="I2299" s="68"/>
      <c r="J2299" s="68"/>
      <c r="K2299" s="32"/>
      <c r="L2299" s="75">
        <v>2299</v>
      </c>
      <c r="M2299" s="75"/>
      <c r="N2299" s="70"/>
      <c r="O2299" s="77" t="s">
        <v>179</v>
      </c>
      <c r="P2299" s="79">
        <v>45000.561574074076</v>
      </c>
      <c r="Q2299" s="77" t="s">
        <v>3507</v>
      </c>
      <c r="R2299" s="77">
        <v>0</v>
      </c>
      <c r="S2299" s="77">
        <v>0</v>
      </c>
      <c r="T2299" s="77">
        <v>1</v>
      </c>
      <c r="U2299" s="77">
        <v>0</v>
      </c>
      <c r="V2299" s="77">
        <v>83</v>
      </c>
      <c r="W2299" s="82" t="s">
        <v>6333</v>
      </c>
      <c r="X2299" s="80" t="str">
        <f>HYPERLINK("http://afun.io/0elff")</f>
        <v>http://afun.io/0elff</v>
      </c>
      <c r="Y2299" s="77" t="s">
        <v>7406</v>
      </c>
      <c r="Z2299" s="77"/>
      <c r="AA2299" s="77" t="s">
        <v>8754</v>
      </c>
      <c r="AB2299" s="77" t="s">
        <v>10130</v>
      </c>
      <c r="AC2299" s="82" t="s">
        <v>10150</v>
      </c>
      <c r="AD2299" s="77" t="s">
        <v>10184</v>
      </c>
      <c r="AE2299" s="80" t="str">
        <f>HYPERLINK("https://twitter.com/afun_to_earn/status/1635996437044502532")</f>
        <v>https://twitter.com/afun_to_earn/status/1635996437044502532</v>
      </c>
      <c r="AF2299" s="79">
        <v>45000.561574074076</v>
      </c>
      <c r="AG2299" s="85">
        <v>45000</v>
      </c>
      <c r="AH2299" s="82" t="s">
        <v>12397</v>
      </c>
      <c r="AI2299" s="77" t="b">
        <v>0</v>
      </c>
      <c r="AJ2299" s="77"/>
      <c r="AK2299" s="77"/>
      <c r="AL2299" s="77"/>
      <c r="AM2299" s="77"/>
      <c r="AN2299" s="77"/>
      <c r="AO2299" s="77"/>
      <c r="AP2299" s="77"/>
      <c r="AQ2299" s="77" t="s">
        <v>15397</v>
      </c>
      <c r="AR2299" s="77"/>
      <c r="AS2299" s="77"/>
      <c r="AT2299" s="77"/>
      <c r="AU2299" s="77"/>
      <c r="AV2299" s="80" t="str">
        <f>HYPERLINK("https://pbs.twimg.com/media/FrQ6ExoWAAk4ehE.jpg")</f>
        <v>https://pbs.twimg.com/media/FrQ6ExoWAAk4ehE.jpg</v>
      </c>
      <c r="AW2299" s="82" t="s">
        <v>19066</v>
      </c>
      <c r="AX2299" s="82" t="s">
        <v>19066</v>
      </c>
      <c r="AY2299" s="77"/>
      <c r="AZ2299" s="82" t="s">
        <v>20971</v>
      </c>
      <c r="BA2299" s="82" t="s">
        <v>20971</v>
      </c>
      <c r="BB2299" s="82" t="s">
        <v>20971</v>
      </c>
      <c r="BC2299" s="82" t="s">
        <v>19066</v>
      </c>
      <c r="BD2299" s="82" t="s">
        <v>21440</v>
      </c>
      <c r="BE2299" s="77"/>
      <c r="BF2299" s="77"/>
      <c r="BG2299" s="77"/>
      <c r="BH2299" s="77"/>
      <c r="BI2299" s="77"/>
    </row>
    <row r="2300" spans="1:61" x14ac:dyDescent="0.25">
      <c r="A2300" s="62" t="s">
        <v>800</v>
      </c>
      <c r="B2300" s="62" t="s">
        <v>800</v>
      </c>
      <c r="C2300" s="63"/>
      <c r="D2300" s="64"/>
      <c r="E2300" s="65"/>
      <c r="F2300" s="66"/>
      <c r="G2300" s="63"/>
      <c r="H2300" s="67"/>
      <c r="I2300" s="68"/>
      <c r="J2300" s="68"/>
      <c r="K2300" s="32"/>
      <c r="L2300" s="75">
        <v>2300</v>
      </c>
      <c r="M2300" s="75"/>
      <c r="N2300" s="70"/>
      <c r="O2300" s="77" t="s">
        <v>179</v>
      </c>
      <c r="P2300" s="79">
        <v>45077.782835648148</v>
      </c>
      <c r="Q2300" s="77" t="s">
        <v>3508</v>
      </c>
      <c r="R2300" s="77">
        <v>0</v>
      </c>
      <c r="S2300" s="77">
        <v>1</v>
      </c>
      <c r="T2300" s="77">
        <v>0</v>
      </c>
      <c r="U2300" s="77">
        <v>0</v>
      </c>
      <c r="V2300" s="77">
        <v>120</v>
      </c>
      <c r="W2300" s="82" t="s">
        <v>6336</v>
      </c>
      <c r="X2300" s="80" t="str">
        <f>HYPERLINK("http://bit.ly/AFUNofficial")</f>
        <v>http://bit.ly/AFUNofficial</v>
      </c>
      <c r="Y2300" s="77" t="s">
        <v>7268</v>
      </c>
      <c r="Z2300" s="77"/>
      <c r="AA2300" s="77" t="s">
        <v>8755</v>
      </c>
      <c r="AB2300" s="77" t="s">
        <v>10129</v>
      </c>
      <c r="AC2300" s="82" t="s">
        <v>10150</v>
      </c>
      <c r="AD2300" s="77" t="s">
        <v>10184</v>
      </c>
      <c r="AE2300" s="80" t="str">
        <f>HYPERLINK("https://twitter.com/afun_to_earn/status/1663980484936777729")</f>
        <v>https://twitter.com/afun_to_earn/status/1663980484936777729</v>
      </c>
      <c r="AF2300" s="79">
        <v>45077.782835648148</v>
      </c>
      <c r="AG2300" s="85">
        <v>45077</v>
      </c>
      <c r="AH2300" s="82" t="s">
        <v>12398</v>
      </c>
      <c r="AI2300" s="77" t="b">
        <v>0</v>
      </c>
      <c r="AJ2300" s="77"/>
      <c r="AK2300" s="77"/>
      <c r="AL2300" s="77"/>
      <c r="AM2300" s="77"/>
      <c r="AN2300" s="77"/>
      <c r="AO2300" s="77"/>
      <c r="AP2300" s="77"/>
      <c r="AQ2300" s="77" t="s">
        <v>15398</v>
      </c>
      <c r="AR2300" s="77">
        <v>28746</v>
      </c>
      <c r="AS2300" s="77"/>
      <c r="AT2300" s="77"/>
      <c r="AU2300" s="77"/>
      <c r="AV2300" s="80" t="str">
        <f>HYPERLINK("https://pbs.twimg.com/ext_tw_video_thumb/1663980424203255816/pu/img/1ETquCQo1N8kX17R.jpg")</f>
        <v>https://pbs.twimg.com/ext_tw_video_thumb/1663980424203255816/pu/img/1ETquCQo1N8kX17R.jpg</v>
      </c>
      <c r="AW2300" s="82" t="s">
        <v>19067</v>
      </c>
      <c r="AX2300" s="82" t="s">
        <v>19067</v>
      </c>
      <c r="AY2300" s="77"/>
      <c r="AZ2300" s="82" t="s">
        <v>20971</v>
      </c>
      <c r="BA2300" s="82" t="s">
        <v>20971</v>
      </c>
      <c r="BB2300" s="82" t="s">
        <v>20971</v>
      </c>
      <c r="BC2300" s="82" t="s">
        <v>19067</v>
      </c>
      <c r="BD2300" s="82" t="s">
        <v>21440</v>
      </c>
      <c r="BE2300" s="77"/>
      <c r="BF2300" s="77"/>
      <c r="BG2300" s="77"/>
      <c r="BH2300" s="77"/>
      <c r="BI2300" s="77"/>
    </row>
    <row r="2301" spans="1:61" x14ac:dyDescent="0.25">
      <c r="A2301" s="62" t="s">
        <v>800</v>
      </c>
      <c r="B2301" s="62" t="s">
        <v>800</v>
      </c>
      <c r="C2301" s="63"/>
      <c r="D2301" s="64"/>
      <c r="E2301" s="65"/>
      <c r="F2301" s="66"/>
      <c r="G2301" s="63"/>
      <c r="H2301" s="67"/>
      <c r="I2301" s="68"/>
      <c r="J2301" s="68"/>
      <c r="K2301" s="32"/>
      <c r="L2301" s="75">
        <v>2301</v>
      </c>
      <c r="M2301" s="75"/>
      <c r="N2301" s="70"/>
      <c r="O2301" s="77" t="s">
        <v>179</v>
      </c>
      <c r="P2301" s="79">
        <v>45026.737962962965</v>
      </c>
      <c r="Q2301" s="77" t="s">
        <v>3509</v>
      </c>
      <c r="R2301" s="77">
        <v>0</v>
      </c>
      <c r="S2301" s="77">
        <v>0</v>
      </c>
      <c r="T2301" s="77">
        <v>0</v>
      </c>
      <c r="U2301" s="77">
        <v>0</v>
      </c>
      <c r="V2301" s="77">
        <v>74</v>
      </c>
      <c r="W2301" s="82" t="s">
        <v>6337</v>
      </c>
      <c r="X2301" s="80" t="str">
        <f>HYPERLINK("http://bit.ly/3lL7Txk")</f>
        <v>http://bit.ly/3lL7Txk</v>
      </c>
      <c r="Y2301" s="77" t="s">
        <v>7268</v>
      </c>
      <c r="Z2301" s="77"/>
      <c r="AA2301" s="77" t="s">
        <v>8756</v>
      </c>
      <c r="AB2301" s="77" t="s">
        <v>10129</v>
      </c>
      <c r="AC2301" s="82" t="s">
        <v>10150</v>
      </c>
      <c r="AD2301" s="77" t="s">
        <v>10184</v>
      </c>
      <c r="AE2301" s="80" t="str">
        <f>HYPERLINK("https://twitter.com/afun_to_earn/status/1645482443611283476")</f>
        <v>https://twitter.com/afun_to_earn/status/1645482443611283476</v>
      </c>
      <c r="AF2301" s="79">
        <v>45026.737962962965</v>
      </c>
      <c r="AG2301" s="85">
        <v>45026</v>
      </c>
      <c r="AH2301" s="82" t="s">
        <v>12399</v>
      </c>
      <c r="AI2301" s="77" t="b">
        <v>0</v>
      </c>
      <c r="AJ2301" s="77"/>
      <c r="AK2301" s="77"/>
      <c r="AL2301" s="77"/>
      <c r="AM2301" s="77"/>
      <c r="AN2301" s="77"/>
      <c r="AO2301" s="77"/>
      <c r="AP2301" s="77"/>
      <c r="AQ2301" s="77" t="s">
        <v>15399</v>
      </c>
      <c r="AR2301" s="77">
        <v>91033</v>
      </c>
      <c r="AS2301" s="77"/>
      <c r="AT2301" s="77"/>
      <c r="AU2301" s="77"/>
      <c r="AV2301" s="80" t="str">
        <f>HYPERLINK("https://pbs.twimg.com/ext_tw_video_thumb/1645482329660432390/pu/img/FP2gEuNunWTaWl6w.jpg")</f>
        <v>https://pbs.twimg.com/ext_tw_video_thumb/1645482329660432390/pu/img/FP2gEuNunWTaWl6w.jpg</v>
      </c>
      <c r="AW2301" s="82" t="s">
        <v>19068</v>
      </c>
      <c r="AX2301" s="82" t="s">
        <v>19068</v>
      </c>
      <c r="AY2301" s="77"/>
      <c r="AZ2301" s="82" t="s">
        <v>20971</v>
      </c>
      <c r="BA2301" s="82" t="s">
        <v>20971</v>
      </c>
      <c r="BB2301" s="82" t="s">
        <v>20971</v>
      </c>
      <c r="BC2301" s="82" t="s">
        <v>19068</v>
      </c>
      <c r="BD2301" s="82" t="s">
        <v>21440</v>
      </c>
      <c r="BE2301" s="77"/>
      <c r="BF2301" s="77"/>
      <c r="BG2301" s="77"/>
      <c r="BH2301" s="77"/>
      <c r="BI2301" s="77"/>
    </row>
    <row r="2302" spans="1:61" x14ac:dyDescent="0.25">
      <c r="A2302" s="62" t="s">
        <v>800</v>
      </c>
      <c r="B2302" s="62" t="s">
        <v>800</v>
      </c>
      <c r="C2302" s="63"/>
      <c r="D2302" s="64"/>
      <c r="E2302" s="65"/>
      <c r="F2302" s="66"/>
      <c r="G2302" s="63"/>
      <c r="H2302" s="67"/>
      <c r="I2302" s="68"/>
      <c r="J2302" s="68"/>
      <c r="K2302" s="32"/>
      <c r="L2302" s="75">
        <v>2302</v>
      </c>
      <c r="M2302" s="75"/>
      <c r="N2302" s="70"/>
      <c r="O2302" s="77" t="s">
        <v>179</v>
      </c>
      <c r="P2302" s="79">
        <v>45022.761631944442</v>
      </c>
      <c r="Q2302" s="77" t="s">
        <v>3510</v>
      </c>
      <c r="R2302" s="77">
        <v>0</v>
      </c>
      <c r="S2302" s="77">
        <v>0</v>
      </c>
      <c r="T2302" s="77">
        <v>0</v>
      </c>
      <c r="U2302" s="77">
        <v>0</v>
      </c>
      <c r="V2302" s="77">
        <v>81</v>
      </c>
      <c r="W2302" s="82" t="s">
        <v>6329</v>
      </c>
      <c r="X2302" s="80" t="str">
        <f>HYPERLINK("http://bit.ly/3lL7Txk")</f>
        <v>http://bit.ly/3lL7Txk</v>
      </c>
      <c r="Y2302" s="77" t="s">
        <v>7268</v>
      </c>
      <c r="Z2302" s="77"/>
      <c r="AA2302" s="77" t="s">
        <v>8757</v>
      </c>
      <c r="AB2302" s="77" t="s">
        <v>10129</v>
      </c>
      <c r="AC2302" s="82" t="s">
        <v>10150</v>
      </c>
      <c r="AD2302" s="77" t="s">
        <v>10184</v>
      </c>
      <c r="AE2302" s="80" t="str">
        <f>HYPERLINK("https://twitter.com/afun_to_earn/status/1644041468040888320")</f>
        <v>https://twitter.com/afun_to_earn/status/1644041468040888320</v>
      </c>
      <c r="AF2302" s="79">
        <v>45022.761631944442</v>
      </c>
      <c r="AG2302" s="85">
        <v>45022</v>
      </c>
      <c r="AH2302" s="82" t="s">
        <v>12400</v>
      </c>
      <c r="AI2302" s="77" t="b">
        <v>0</v>
      </c>
      <c r="AJ2302" s="77"/>
      <c r="AK2302" s="77"/>
      <c r="AL2302" s="77"/>
      <c r="AM2302" s="77"/>
      <c r="AN2302" s="77"/>
      <c r="AO2302" s="77"/>
      <c r="AP2302" s="77"/>
      <c r="AQ2302" s="77" t="s">
        <v>15400</v>
      </c>
      <c r="AR2302" s="77">
        <v>25750</v>
      </c>
      <c r="AS2302" s="77"/>
      <c r="AT2302" s="77"/>
      <c r="AU2302" s="77"/>
      <c r="AV2302" s="80" t="str">
        <f>HYPERLINK("https://pbs.twimg.com/ext_tw_video_thumb/1644041217489924108/pu/img/ruhHbxxbs0ll25T4.jpg")</f>
        <v>https://pbs.twimg.com/ext_tw_video_thumb/1644041217489924108/pu/img/ruhHbxxbs0ll25T4.jpg</v>
      </c>
      <c r="AW2302" s="82" t="s">
        <v>19069</v>
      </c>
      <c r="AX2302" s="82" t="s">
        <v>19069</v>
      </c>
      <c r="AY2302" s="77"/>
      <c r="AZ2302" s="82" t="s">
        <v>20971</v>
      </c>
      <c r="BA2302" s="82" t="s">
        <v>20971</v>
      </c>
      <c r="BB2302" s="82" t="s">
        <v>20971</v>
      </c>
      <c r="BC2302" s="82" t="s">
        <v>19069</v>
      </c>
      <c r="BD2302" s="82" t="s">
        <v>21440</v>
      </c>
      <c r="BE2302" s="77"/>
      <c r="BF2302" s="77"/>
      <c r="BG2302" s="77"/>
      <c r="BH2302" s="77"/>
      <c r="BI2302" s="77"/>
    </row>
    <row r="2303" spans="1:61" x14ac:dyDescent="0.25">
      <c r="A2303" s="62" t="s">
        <v>800</v>
      </c>
      <c r="B2303" s="62" t="s">
        <v>800</v>
      </c>
      <c r="C2303" s="63"/>
      <c r="D2303" s="64"/>
      <c r="E2303" s="65"/>
      <c r="F2303" s="66"/>
      <c r="G2303" s="63"/>
      <c r="H2303" s="67"/>
      <c r="I2303" s="68"/>
      <c r="J2303" s="68"/>
      <c r="K2303" s="32"/>
      <c r="L2303" s="75">
        <v>2303</v>
      </c>
      <c r="M2303" s="75"/>
      <c r="N2303" s="70"/>
      <c r="O2303" s="77" t="s">
        <v>179</v>
      </c>
      <c r="P2303" s="79">
        <v>45070.885393518518</v>
      </c>
      <c r="Q2303" s="77" t="s">
        <v>3511</v>
      </c>
      <c r="R2303" s="77">
        <v>0</v>
      </c>
      <c r="S2303" s="77">
        <v>1</v>
      </c>
      <c r="T2303" s="77">
        <v>1</v>
      </c>
      <c r="U2303" s="77">
        <v>0</v>
      </c>
      <c r="V2303" s="77">
        <v>156</v>
      </c>
      <c r="W2303" s="82" t="s">
        <v>6338</v>
      </c>
      <c r="X2303" s="80" t="str">
        <f>HYPERLINK("http://bit.ly/AFUNofficial")</f>
        <v>http://bit.ly/AFUNofficial</v>
      </c>
      <c r="Y2303" s="77" t="s">
        <v>7268</v>
      </c>
      <c r="Z2303" s="77"/>
      <c r="AA2303" s="77" t="s">
        <v>8758</v>
      </c>
      <c r="AB2303" s="77" t="s">
        <v>10129</v>
      </c>
      <c r="AC2303" s="82" t="s">
        <v>10150</v>
      </c>
      <c r="AD2303" s="77" t="s">
        <v>10184</v>
      </c>
      <c r="AE2303" s="80" t="str">
        <f>HYPERLINK("https://twitter.com/afun_to_earn/status/1661480934124953600")</f>
        <v>https://twitter.com/afun_to_earn/status/1661480934124953600</v>
      </c>
      <c r="AF2303" s="79">
        <v>45070.885393518518</v>
      </c>
      <c r="AG2303" s="85">
        <v>45070</v>
      </c>
      <c r="AH2303" s="82" t="s">
        <v>12401</v>
      </c>
      <c r="AI2303" s="77" t="b">
        <v>0</v>
      </c>
      <c r="AJ2303" s="77"/>
      <c r="AK2303" s="77"/>
      <c r="AL2303" s="77"/>
      <c r="AM2303" s="77"/>
      <c r="AN2303" s="77"/>
      <c r="AO2303" s="77"/>
      <c r="AP2303" s="77"/>
      <c r="AQ2303" s="77" t="s">
        <v>15401</v>
      </c>
      <c r="AR2303" s="77">
        <v>18552</v>
      </c>
      <c r="AS2303" s="77"/>
      <c r="AT2303" s="77"/>
      <c r="AU2303" s="77"/>
      <c r="AV2303" s="80" t="str">
        <f>HYPERLINK("https://pbs.twimg.com/ext_tw_video_thumb/1661480412256915457/pu/img/yzvdWGaSC4M_G6m9.jpg")</f>
        <v>https://pbs.twimg.com/ext_tw_video_thumb/1661480412256915457/pu/img/yzvdWGaSC4M_G6m9.jpg</v>
      </c>
      <c r="AW2303" s="82" t="s">
        <v>19070</v>
      </c>
      <c r="AX2303" s="82" t="s">
        <v>19070</v>
      </c>
      <c r="AY2303" s="77"/>
      <c r="AZ2303" s="82" t="s">
        <v>20971</v>
      </c>
      <c r="BA2303" s="82" t="s">
        <v>20971</v>
      </c>
      <c r="BB2303" s="82" t="s">
        <v>20971</v>
      </c>
      <c r="BC2303" s="82" t="s">
        <v>19070</v>
      </c>
      <c r="BD2303" s="82" t="s">
        <v>21440</v>
      </c>
      <c r="BE2303" s="77"/>
      <c r="BF2303" s="77"/>
      <c r="BG2303" s="77"/>
      <c r="BH2303" s="77"/>
      <c r="BI2303" s="77"/>
    </row>
    <row r="2304" spans="1:61" x14ac:dyDescent="0.25">
      <c r="A2304" s="62" t="s">
        <v>800</v>
      </c>
      <c r="B2304" s="62" t="s">
        <v>800</v>
      </c>
      <c r="C2304" s="63"/>
      <c r="D2304" s="64"/>
      <c r="E2304" s="65"/>
      <c r="F2304" s="66"/>
      <c r="G2304" s="63"/>
      <c r="H2304" s="67"/>
      <c r="I2304" s="68"/>
      <c r="J2304" s="68"/>
      <c r="K2304" s="32"/>
      <c r="L2304" s="75">
        <v>2304</v>
      </c>
      <c r="M2304" s="75"/>
      <c r="N2304" s="70"/>
      <c r="O2304" s="77" t="s">
        <v>179</v>
      </c>
      <c r="P2304" s="79">
        <v>45044.617048611108</v>
      </c>
      <c r="Q2304" s="77" t="s">
        <v>3512</v>
      </c>
      <c r="R2304" s="77">
        <v>1</v>
      </c>
      <c r="S2304" s="77">
        <v>1</v>
      </c>
      <c r="T2304" s="77">
        <v>0</v>
      </c>
      <c r="U2304" s="77">
        <v>0</v>
      </c>
      <c r="V2304" s="77">
        <v>103</v>
      </c>
      <c r="W2304" s="82" t="s">
        <v>6339</v>
      </c>
      <c r="X2304" s="80" t="str">
        <f>HYPERLINK("http://bit.ly/3KKrSo9")</f>
        <v>http://bit.ly/3KKrSo9</v>
      </c>
      <c r="Y2304" s="77" t="s">
        <v>7268</v>
      </c>
      <c r="Z2304" s="77"/>
      <c r="AA2304" s="77" t="s">
        <v>8759</v>
      </c>
      <c r="AB2304" s="77" t="s">
        <v>10129</v>
      </c>
      <c r="AC2304" s="82" t="s">
        <v>10150</v>
      </c>
      <c r="AD2304" s="77" t="s">
        <v>10184</v>
      </c>
      <c r="AE2304" s="80" t="str">
        <f>HYPERLINK("https://twitter.com/afun_to_earn/status/1651961605242986498")</f>
        <v>https://twitter.com/afun_to_earn/status/1651961605242986498</v>
      </c>
      <c r="AF2304" s="79">
        <v>45044.617048611108</v>
      </c>
      <c r="AG2304" s="85">
        <v>45044</v>
      </c>
      <c r="AH2304" s="82" t="s">
        <v>12402</v>
      </c>
      <c r="AI2304" s="77" t="b">
        <v>0</v>
      </c>
      <c r="AJ2304" s="77"/>
      <c r="AK2304" s="77"/>
      <c r="AL2304" s="77"/>
      <c r="AM2304" s="77"/>
      <c r="AN2304" s="77"/>
      <c r="AO2304" s="77"/>
      <c r="AP2304" s="77"/>
      <c r="AQ2304" s="77" t="s">
        <v>15402</v>
      </c>
      <c r="AR2304" s="77">
        <v>29698</v>
      </c>
      <c r="AS2304" s="77"/>
      <c r="AT2304" s="77"/>
      <c r="AU2304" s="77"/>
      <c r="AV2304" s="80" t="str">
        <f>HYPERLINK("https://pbs.twimg.com/ext_tw_video_thumb/1651961560095502341/pu/img/WU2p3dd3bUmwQxf7.jpg")</f>
        <v>https://pbs.twimg.com/ext_tw_video_thumb/1651961560095502341/pu/img/WU2p3dd3bUmwQxf7.jpg</v>
      </c>
      <c r="AW2304" s="82" t="s">
        <v>19071</v>
      </c>
      <c r="AX2304" s="82" t="s">
        <v>19071</v>
      </c>
      <c r="AY2304" s="77"/>
      <c r="AZ2304" s="82" t="s">
        <v>20971</v>
      </c>
      <c r="BA2304" s="82" t="s">
        <v>20971</v>
      </c>
      <c r="BB2304" s="82" t="s">
        <v>20971</v>
      </c>
      <c r="BC2304" s="82" t="s">
        <v>19071</v>
      </c>
      <c r="BD2304" s="82" t="s">
        <v>21440</v>
      </c>
      <c r="BE2304" s="77"/>
      <c r="BF2304" s="77"/>
      <c r="BG2304" s="77"/>
      <c r="BH2304" s="77"/>
      <c r="BI2304" s="77"/>
    </row>
    <row r="2305" spans="1:61" x14ac:dyDescent="0.25">
      <c r="A2305" s="62" t="s">
        <v>800</v>
      </c>
      <c r="B2305" s="62" t="s">
        <v>800</v>
      </c>
      <c r="C2305" s="63"/>
      <c r="D2305" s="64"/>
      <c r="E2305" s="65"/>
      <c r="F2305" s="66"/>
      <c r="G2305" s="63"/>
      <c r="H2305" s="67"/>
      <c r="I2305" s="68"/>
      <c r="J2305" s="68"/>
      <c r="K2305" s="32"/>
      <c r="L2305" s="75">
        <v>2305</v>
      </c>
      <c r="M2305" s="75"/>
      <c r="N2305" s="70"/>
      <c r="O2305" s="77" t="s">
        <v>179</v>
      </c>
      <c r="P2305" s="79">
        <v>45016.848391203705</v>
      </c>
      <c r="Q2305" s="77" t="s">
        <v>3513</v>
      </c>
      <c r="R2305" s="77">
        <v>0</v>
      </c>
      <c r="S2305" s="77">
        <v>0</v>
      </c>
      <c r="T2305" s="77">
        <v>0</v>
      </c>
      <c r="U2305" s="77">
        <v>0</v>
      </c>
      <c r="V2305" s="77">
        <v>85</v>
      </c>
      <c r="W2305" s="82" t="s">
        <v>6322</v>
      </c>
      <c r="X2305" s="80" t="str">
        <f>HYPERLINK("http://bit.ly/3lL7Txk")</f>
        <v>http://bit.ly/3lL7Txk</v>
      </c>
      <c r="Y2305" s="77" t="s">
        <v>7268</v>
      </c>
      <c r="Z2305" s="77"/>
      <c r="AA2305" s="77" t="s">
        <v>8760</v>
      </c>
      <c r="AB2305" s="77" t="s">
        <v>10130</v>
      </c>
      <c r="AC2305" s="82" t="s">
        <v>10150</v>
      </c>
      <c r="AD2305" s="77" t="s">
        <v>10184</v>
      </c>
      <c r="AE2305" s="80" t="str">
        <f>HYPERLINK("https://twitter.com/afun_to_earn/status/1641898581475971076")</f>
        <v>https://twitter.com/afun_to_earn/status/1641898581475971076</v>
      </c>
      <c r="AF2305" s="79">
        <v>45016.848391203705</v>
      </c>
      <c r="AG2305" s="85">
        <v>45016</v>
      </c>
      <c r="AH2305" s="82" t="s">
        <v>12403</v>
      </c>
      <c r="AI2305" s="77" t="b">
        <v>0</v>
      </c>
      <c r="AJ2305" s="77"/>
      <c r="AK2305" s="77"/>
      <c r="AL2305" s="77"/>
      <c r="AM2305" s="77"/>
      <c r="AN2305" s="77"/>
      <c r="AO2305" s="77"/>
      <c r="AP2305" s="77"/>
      <c r="AQ2305" s="77" t="s">
        <v>15403</v>
      </c>
      <c r="AR2305" s="77"/>
      <c r="AS2305" s="77"/>
      <c r="AT2305" s="77"/>
      <c r="AU2305" s="77"/>
      <c r="AV2305" s="80" t="str">
        <f>HYPERLINK("https://pbs.twimg.com/media/FskyB3-X0BEacIZ.jpg")</f>
        <v>https://pbs.twimg.com/media/FskyB3-X0BEacIZ.jpg</v>
      </c>
      <c r="AW2305" s="82" t="s">
        <v>19072</v>
      </c>
      <c r="AX2305" s="82" t="s">
        <v>19072</v>
      </c>
      <c r="AY2305" s="77"/>
      <c r="AZ2305" s="82" t="s">
        <v>20971</v>
      </c>
      <c r="BA2305" s="82" t="s">
        <v>20971</v>
      </c>
      <c r="BB2305" s="82" t="s">
        <v>20971</v>
      </c>
      <c r="BC2305" s="82" t="s">
        <v>19072</v>
      </c>
      <c r="BD2305" s="82" t="s">
        <v>21440</v>
      </c>
      <c r="BE2305" s="77"/>
      <c r="BF2305" s="77"/>
      <c r="BG2305" s="77"/>
      <c r="BH2305" s="77"/>
      <c r="BI2305" s="77"/>
    </row>
    <row r="2306" spans="1:61" x14ac:dyDescent="0.25">
      <c r="A2306" s="62" t="s">
        <v>800</v>
      </c>
      <c r="B2306" s="62" t="s">
        <v>800</v>
      </c>
      <c r="C2306" s="63"/>
      <c r="D2306" s="64"/>
      <c r="E2306" s="65"/>
      <c r="F2306" s="66"/>
      <c r="G2306" s="63"/>
      <c r="H2306" s="67"/>
      <c r="I2306" s="68"/>
      <c r="J2306" s="68"/>
      <c r="K2306" s="32"/>
      <c r="L2306" s="75">
        <v>2306</v>
      </c>
      <c r="M2306" s="75"/>
      <c r="N2306" s="70"/>
      <c r="O2306" s="77" t="s">
        <v>179</v>
      </c>
      <c r="P2306" s="79">
        <v>45015.800763888888</v>
      </c>
      <c r="Q2306" s="77" t="s">
        <v>3514</v>
      </c>
      <c r="R2306" s="77">
        <v>0</v>
      </c>
      <c r="S2306" s="77">
        <v>0</v>
      </c>
      <c r="T2306" s="77">
        <v>0</v>
      </c>
      <c r="U2306" s="77">
        <v>0</v>
      </c>
      <c r="V2306" s="77">
        <v>125</v>
      </c>
      <c r="W2306" s="82" t="s">
        <v>6340</v>
      </c>
      <c r="X2306" s="80" t="str">
        <f>HYPERLINK("http://bit.ly/3lL7Txk")</f>
        <v>http://bit.ly/3lL7Txk</v>
      </c>
      <c r="Y2306" s="77" t="s">
        <v>7268</v>
      </c>
      <c r="Z2306" s="77"/>
      <c r="AA2306" s="77" t="s">
        <v>8761</v>
      </c>
      <c r="AB2306" s="77" t="s">
        <v>10129</v>
      </c>
      <c r="AC2306" s="82" t="s">
        <v>10150</v>
      </c>
      <c r="AD2306" s="77" t="s">
        <v>10184</v>
      </c>
      <c r="AE2306" s="80" t="str">
        <f>HYPERLINK("https://twitter.com/afun_to_earn/status/1641518933239910401")</f>
        <v>https://twitter.com/afun_to_earn/status/1641518933239910401</v>
      </c>
      <c r="AF2306" s="79">
        <v>45015.800763888888</v>
      </c>
      <c r="AG2306" s="85">
        <v>45015</v>
      </c>
      <c r="AH2306" s="82" t="s">
        <v>12404</v>
      </c>
      <c r="AI2306" s="77" t="b">
        <v>0</v>
      </c>
      <c r="AJ2306" s="77"/>
      <c r="AK2306" s="77"/>
      <c r="AL2306" s="77"/>
      <c r="AM2306" s="77"/>
      <c r="AN2306" s="77"/>
      <c r="AO2306" s="77"/>
      <c r="AP2306" s="77"/>
      <c r="AQ2306" s="77" t="s">
        <v>15404</v>
      </c>
      <c r="AR2306" s="77">
        <v>21153</v>
      </c>
      <c r="AS2306" s="77"/>
      <c r="AT2306" s="77"/>
      <c r="AU2306" s="77"/>
      <c r="AV2306" s="80" t="str">
        <f>HYPERLINK("https://pbs.twimg.com/ext_tw_video_thumb/1641518889400934405/pu/img/LirJZsfN16zjkEQQ.jpg")</f>
        <v>https://pbs.twimg.com/ext_tw_video_thumb/1641518889400934405/pu/img/LirJZsfN16zjkEQQ.jpg</v>
      </c>
      <c r="AW2306" s="82" t="s">
        <v>19073</v>
      </c>
      <c r="AX2306" s="82" t="s">
        <v>19073</v>
      </c>
      <c r="AY2306" s="77"/>
      <c r="AZ2306" s="82" t="s">
        <v>20971</v>
      </c>
      <c r="BA2306" s="82" t="s">
        <v>20971</v>
      </c>
      <c r="BB2306" s="82" t="s">
        <v>20971</v>
      </c>
      <c r="BC2306" s="82" t="s">
        <v>19073</v>
      </c>
      <c r="BD2306" s="82" t="s">
        <v>21440</v>
      </c>
      <c r="BE2306" s="77"/>
      <c r="BF2306" s="77"/>
      <c r="BG2306" s="77"/>
      <c r="BH2306" s="77"/>
      <c r="BI2306" s="77"/>
    </row>
    <row r="2307" spans="1:61" x14ac:dyDescent="0.25">
      <c r="A2307" s="62" t="s">
        <v>800</v>
      </c>
      <c r="B2307" s="62" t="s">
        <v>800</v>
      </c>
      <c r="C2307" s="63"/>
      <c r="D2307" s="64"/>
      <c r="E2307" s="65"/>
      <c r="F2307" s="66"/>
      <c r="G2307" s="63"/>
      <c r="H2307" s="67"/>
      <c r="I2307" s="68"/>
      <c r="J2307" s="68"/>
      <c r="K2307" s="32"/>
      <c r="L2307" s="75">
        <v>2307</v>
      </c>
      <c r="M2307" s="75"/>
      <c r="N2307" s="70"/>
      <c r="O2307" s="77" t="s">
        <v>179</v>
      </c>
      <c r="P2307" s="79">
        <v>44998.540601851855</v>
      </c>
      <c r="Q2307" s="77" t="s">
        <v>3515</v>
      </c>
      <c r="R2307" s="77">
        <v>0</v>
      </c>
      <c r="S2307" s="77">
        <v>0</v>
      </c>
      <c r="T2307" s="77">
        <v>0</v>
      </c>
      <c r="U2307" s="77">
        <v>0</v>
      </c>
      <c r="V2307" s="77">
        <v>83</v>
      </c>
      <c r="W2307" s="82" t="s">
        <v>6340</v>
      </c>
      <c r="X2307" s="80" t="str">
        <f>HYPERLINK("http://afun.io/0elf")</f>
        <v>http://afun.io/0elf</v>
      </c>
      <c r="Y2307" s="77" t="s">
        <v>7406</v>
      </c>
      <c r="Z2307" s="77"/>
      <c r="AA2307" s="77" t="s">
        <v>8762</v>
      </c>
      <c r="AB2307" s="77" t="s">
        <v>10129</v>
      </c>
      <c r="AC2307" s="82" t="s">
        <v>10150</v>
      </c>
      <c r="AD2307" s="77" t="s">
        <v>10184</v>
      </c>
      <c r="AE2307" s="80" t="str">
        <f>HYPERLINK("https://twitter.com/afun_to_earn/status/1635264061238833153")</f>
        <v>https://twitter.com/afun_to_earn/status/1635264061238833153</v>
      </c>
      <c r="AF2307" s="79">
        <v>44998.540601851855</v>
      </c>
      <c r="AG2307" s="85">
        <v>44998</v>
      </c>
      <c r="AH2307" s="82" t="s">
        <v>12405</v>
      </c>
      <c r="AI2307" s="77" t="b">
        <v>0</v>
      </c>
      <c r="AJ2307" s="77"/>
      <c r="AK2307" s="77"/>
      <c r="AL2307" s="77"/>
      <c r="AM2307" s="77"/>
      <c r="AN2307" s="77"/>
      <c r="AO2307" s="77"/>
      <c r="AP2307" s="77"/>
      <c r="AQ2307" s="77" t="s">
        <v>15405</v>
      </c>
      <c r="AR2307" s="77">
        <v>23521</v>
      </c>
      <c r="AS2307" s="77"/>
      <c r="AT2307" s="77"/>
      <c r="AU2307" s="77"/>
      <c r="AV2307" s="80" t="str">
        <f>HYPERLINK("https://pbs.twimg.com/ext_tw_video_thumb/1635262562387279873/pu/img/on36BKhq_ylOpl98.jpg")</f>
        <v>https://pbs.twimg.com/ext_tw_video_thumb/1635262562387279873/pu/img/on36BKhq_ylOpl98.jpg</v>
      </c>
      <c r="AW2307" s="82" t="s">
        <v>19074</v>
      </c>
      <c r="AX2307" s="82" t="s">
        <v>19074</v>
      </c>
      <c r="AY2307" s="77"/>
      <c r="AZ2307" s="82" t="s">
        <v>20971</v>
      </c>
      <c r="BA2307" s="82" t="s">
        <v>20971</v>
      </c>
      <c r="BB2307" s="82" t="s">
        <v>20971</v>
      </c>
      <c r="BC2307" s="82" t="s">
        <v>19074</v>
      </c>
      <c r="BD2307" s="82" t="s">
        <v>21440</v>
      </c>
      <c r="BE2307" s="77"/>
      <c r="BF2307" s="77"/>
      <c r="BG2307" s="77"/>
      <c r="BH2307" s="77"/>
      <c r="BI2307" s="77"/>
    </row>
    <row r="2308" spans="1:61" x14ac:dyDescent="0.25">
      <c r="A2308" s="62" t="s">
        <v>800</v>
      </c>
      <c r="B2308" s="62" t="s">
        <v>800</v>
      </c>
      <c r="C2308" s="63"/>
      <c r="D2308" s="64"/>
      <c r="E2308" s="65"/>
      <c r="F2308" s="66"/>
      <c r="G2308" s="63"/>
      <c r="H2308" s="67"/>
      <c r="I2308" s="68"/>
      <c r="J2308" s="68"/>
      <c r="K2308" s="32"/>
      <c r="L2308" s="75">
        <v>2308</v>
      </c>
      <c r="M2308" s="75"/>
      <c r="N2308" s="70"/>
      <c r="O2308" s="77" t="s">
        <v>179</v>
      </c>
      <c r="P2308" s="79">
        <v>44994.530555555553</v>
      </c>
      <c r="Q2308" s="77" t="s">
        <v>3516</v>
      </c>
      <c r="R2308" s="77">
        <v>0</v>
      </c>
      <c r="S2308" s="77">
        <v>0</v>
      </c>
      <c r="T2308" s="77">
        <v>0</v>
      </c>
      <c r="U2308" s="77">
        <v>0</v>
      </c>
      <c r="V2308" s="77">
        <v>74</v>
      </c>
      <c r="W2308" s="82" t="s">
        <v>6341</v>
      </c>
      <c r="X2308" s="80" t="str">
        <f>HYPERLINK("https://afun.io/0elff")</f>
        <v>https://afun.io/0elff</v>
      </c>
      <c r="Y2308" s="77" t="s">
        <v>7406</v>
      </c>
      <c r="Z2308" s="77"/>
      <c r="AA2308" s="77" t="s">
        <v>8763</v>
      </c>
      <c r="AB2308" s="77" t="s">
        <v>10130</v>
      </c>
      <c r="AC2308" s="82" t="s">
        <v>10146</v>
      </c>
      <c r="AD2308" s="77" t="s">
        <v>10184</v>
      </c>
      <c r="AE2308" s="80" t="str">
        <f>HYPERLINK("https://twitter.com/afun_to_earn/status/1633810867178307588")</f>
        <v>https://twitter.com/afun_to_earn/status/1633810867178307588</v>
      </c>
      <c r="AF2308" s="79">
        <v>44994.530555555553</v>
      </c>
      <c r="AG2308" s="85">
        <v>44994</v>
      </c>
      <c r="AH2308" s="82" t="s">
        <v>12406</v>
      </c>
      <c r="AI2308" s="77" t="b">
        <v>0</v>
      </c>
      <c r="AJ2308" s="77"/>
      <c r="AK2308" s="77"/>
      <c r="AL2308" s="77"/>
      <c r="AM2308" s="77"/>
      <c r="AN2308" s="77"/>
      <c r="AO2308" s="77"/>
      <c r="AP2308" s="77"/>
      <c r="AQ2308" s="77" t="s">
        <v>15406</v>
      </c>
      <c r="AR2308" s="77"/>
      <c r="AS2308" s="77"/>
      <c r="AT2308" s="77"/>
      <c r="AU2308" s="77"/>
      <c r="AV2308" s="80" t="str">
        <f>HYPERLINK("https://pbs.twimg.com/media/Fqx2TtZX0AQU3vG.jpg")</f>
        <v>https://pbs.twimg.com/media/Fqx2TtZX0AQU3vG.jpg</v>
      </c>
      <c r="AW2308" s="82" t="s">
        <v>19075</v>
      </c>
      <c r="AX2308" s="82" t="s">
        <v>19075</v>
      </c>
      <c r="AY2308" s="77"/>
      <c r="AZ2308" s="82" t="s">
        <v>20971</v>
      </c>
      <c r="BA2308" s="82" t="s">
        <v>20971</v>
      </c>
      <c r="BB2308" s="82" t="s">
        <v>20971</v>
      </c>
      <c r="BC2308" s="82" t="s">
        <v>19075</v>
      </c>
      <c r="BD2308" s="82" t="s">
        <v>21440</v>
      </c>
      <c r="BE2308" s="77"/>
      <c r="BF2308" s="77"/>
      <c r="BG2308" s="77"/>
      <c r="BH2308" s="77"/>
      <c r="BI2308" s="77"/>
    </row>
    <row r="2309" spans="1:61" x14ac:dyDescent="0.25">
      <c r="A2309" s="62" t="s">
        <v>800</v>
      </c>
      <c r="B2309" s="62" t="s">
        <v>800</v>
      </c>
      <c r="C2309" s="63"/>
      <c r="D2309" s="64"/>
      <c r="E2309" s="65"/>
      <c r="F2309" s="66"/>
      <c r="G2309" s="63"/>
      <c r="H2309" s="67"/>
      <c r="I2309" s="68"/>
      <c r="J2309" s="68"/>
      <c r="K2309" s="32"/>
      <c r="L2309" s="75">
        <v>2309</v>
      </c>
      <c r="M2309" s="75"/>
      <c r="N2309" s="70"/>
      <c r="O2309" s="77" t="s">
        <v>179</v>
      </c>
      <c r="P2309" s="79">
        <v>44993.545960648145</v>
      </c>
      <c r="Q2309" s="77" t="s">
        <v>3517</v>
      </c>
      <c r="R2309" s="77">
        <v>0</v>
      </c>
      <c r="S2309" s="77">
        <v>3</v>
      </c>
      <c r="T2309" s="77">
        <v>2</v>
      </c>
      <c r="U2309" s="77">
        <v>0</v>
      </c>
      <c r="V2309" s="77">
        <v>754</v>
      </c>
      <c r="W2309" s="82" t="s">
        <v>6342</v>
      </c>
      <c r="X2309" s="80" t="str">
        <f>HYPERLINK("http://afun.io/0elff")</f>
        <v>http://afun.io/0elff</v>
      </c>
      <c r="Y2309" s="77" t="s">
        <v>7406</v>
      </c>
      <c r="Z2309" s="77"/>
      <c r="AA2309" s="77" t="s">
        <v>8764</v>
      </c>
      <c r="AB2309" s="77" t="s">
        <v>10130</v>
      </c>
      <c r="AC2309" s="82" t="s">
        <v>10146</v>
      </c>
      <c r="AD2309" s="77" t="s">
        <v>10184</v>
      </c>
      <c r="AE2309" s="80" t="str">
        <f>HYPERLINK("https://twitter.com/afun_to_earn/status/1633454063630032896")</f>
        <v>https://twitter.com/afun_to_earn/status/1633454063630032896</v>
      </c>
      <c r="AF2309" s="79">
        <v>44993.545960648145</v>
      </c>
      <c r="AG2309" s="85">
        <v>44993</v>
      </c>
      <c r="AH2309" s="82" t="s">
        <v>12407</v>
      </c>
      <c r="AI2309" s="77" t="b">
        <v>0</v>
      </c>
      <c r="AJ2309" s="77"/>
      <c r="AK2309" s="77"/>
      <c r="AL2309" s="77"/>
      <c r="AM2309" s="77"/>
      <c r="AN2309" s="77"/>
      <c r="AO2309" s="77"/>
      <c r="AP2309" s="77"/>
      <c r="AQ2309" s="77" t="s">
        <v>15407</v>
      </c>
      <c r="AR2309" s="77"/>
      <c r="AS2309" s="77"/>
      <c r="AT2309" s="77"/>
      <c r="AU2309" s="77"/>
      <c r="AV2309" s="80" t="str">
        <f>HYPERLINK("https://pbs.twimg.com/media/Fqsxc2iWwAMt1QA.jpg")</f>
        <v>https://pbs.twimg.com/media/Fqsxc2iWwAMt1QA.jpg</v>
      </c>
      <c r="AW2309" s="82" t="s">
        <v>19076</v>
      </c>
      <c r="AX2309" s="82" t="s">
        <v>19076</v>
      </c>
      <c r="AY2309" s="77"/>
      <c r="AZ2309" s="82" t="s">
        <v>20971</v>
      </c>
      <c r="BA2309" s="82" t="s">
        <v>20971</v>
      </c>
      <c r="BB2309" s="82" t="s">
        <v>20971</v>
      </c>
      <c r="BC2309" s="82" t="s">
        <v>19076</v>
      </c>
      <c r="BD2309" s="82" t="s">
        <v>21440</v>
      </c>
      <c r="BE2309" s="77"/>
      <c r="BF2309" s="77"/>
      <c r="BG2309" s="77"/>
      <c r="BH2309" s="77"/>
      <c r="BI2309" s="77"/>
    </row>
    <row r="2310" spans="1:61" x14ac:dyDescent="0.25">
      <c r="A2310" s="62" t="s">
        <v>801</v>
      </c>
      <c r="B2310" s="62" t="s">
        <v>801</v>
      </c>
      <c r="C2310" s="63"/>
      <c r="D2310" s="64"/>
      <c r="E2310" s="65"/>
      <c r="F2310" s="66"/>
      <c r="G2310" s="63"/>
      <c r="H2310" s="67"/>
      <c r="I2310" s="68"/>
      <c r="J2310" s="68"/>
      <c r="K2310" s="32"/>
      <c r="L2310" s="75">
        <v>2310</v>
      </c>
      <c r="M2310" s="75"/>
      <c r="N2310" s="70"/>
      <c r="O2310" s="77" t="s">
        <v>179</v>
      </c>
      <c r="P2310" s="79">
        <v>45015.033842592595</v>
      </c>
      <c r="Q2310" s="77" t="s">
        <v>3518</v>
      </c>
      <c r="R2310" s="77">
        <v>0</v>
      </c>
      <c r="S2310" s="77">
        <v>0</v>
      </c>
      <c r="T2310" s="77">
        <v>0</v>
      </c>
      <c r="U2310" s="77">
        <v>0</v>
      </c>
      <c r="V2310" s="77">
        <v>14</v>
      </c>
      <c r="W2310" s="82" t="s">
        <v>5236</v>
      </c>
      <c r="X2310" s="77"/>
      <c r="Y2310" s="77"/>
      <c r="Z2310" s="77"/>
      <c r="AA2310" s="77" t="s">
        <v>8765</v>
      </c>
      <c r="AB2310" s="77" t="s">
        <v>10130</v>
      </c>
      <c r="AC2310" s="82" t="s">
        <v>10146</v>
      </c>
      <c r="AD2310" s="77" t="s">
        <v>10184</v>
      </c>
      <c r="AE2310" s="80" t="str">
        <f>HYPERLINK("https://twitter.com/thassou44121865/status/1641241011266498561")</f>
        <v>https://twitter.com/thassou44121865/status/1641241011266498561</v>
      </c>
      <c r="AF2310" s="79">
        <v>45015.033842592595</v>
      </c>
      <c r="AG2310" s="85">
        <v>45015</v>
      </c>
      <c r="AH2310" s="82" t="s">
        <v>12408</v>
      </c>
      <c r="AI2310" s="77" t="b">
        <v>0</v>
      </c>
      <c r="AJ2310" s="77"/>
      <c r="AK2310" s="77"/>
      <c r="AL2310" s="77"/>
      <c r="AM2310" s="77"/>
      <c r="AN2310" s="77"/>
      <c r="AO2310" s="77"/>
      <c r="AP2310" s="77"/>
      <c r="AQ2310" s="77" t="s">
        <v>15408</v>
      </c>
      <c r="AR2310" s="77"/>
      <c r="AS2310" s="77"/>
      <c r="AT2310" s="77"/>
      <c r="AU2310" s="77"/>
      <c r="AV2310" s="80" t="str">
        <f>HYPERLINK("https://pbs.twimg.com/media/Fsbb73KWIAAKKvQ.jpg")</f>
        <v>https://pbs.twimg.com/media/Fsbb73KWIAAKKvQ.jpg</v>
      </c>
      <c r="AW2310" s="82" t="s">
        <v>19077</v>
      </c>
      <c r="AX2310" s="82" t="s">
        <v>19077</v>
      </c>
      <c r="AY2310" s="77"/>
      <c r="AZ2310" s="82" t="s">
        <v>20971</v>
      </c>
      <c r="BA2310" s="82" t="s">
        <v>20971</v>
      </c>
      <c r="BB2310" s="82" t="s">
        <v>20971</v>
      </c>
      <c r="BC2310" s="82" t="s">
        <v>19077</v>
      </c>
      <c r="BD2310" s="82" t="s">
        <v>21441</v>
      </c>
      <c r="BE2310" s="77"/>
      <c r="BF2310" s="77"/>
      <c r="BG2310" s="77"/>
      <c r="BH2310" s="77"/>
      <c r="BI2310" s="77"/>
    </row>
    <row r="2311" spans="1:61" x14ac:dyDescent="0.25">
      <c r="A2311" s="62" t="s">
        <v>801</v>
      </c>
      <c r="B2311" s="62" t="s">
        <v>801</v>
      </c>
      <c r="C2311" s="63"/>
      <c r="D2311" s="64"/>
      <c r="E2311" s="65"/>
      <c r="F2311" s="66"/>
      <c r="G2311" s="63"/>
      <c r="H2311" s="67"/>
      <c r="I2311" s="68"/>
      <c r="J2311" s="68"/>
      <c r="K2311" s="32"/>
      <c r="L2311" s="75">
        <v>2311</v>
      </c>
      <c r="M2311" s="75"/>
      <c r="N2311" s="70"/>
      <c r="O2311" s="77" t="s">
        <v>179</v>
      </c>
      <c r="P2311" s="79">
        <v>45015.030729166669</v>
      </c>
      <c r="Q2311" s="77" t="s">
        <v>3519</v>
      </c>
      <c r="R2311" s="77">
        <v>0</v>
      </c>
      <c r="S2311" s="77">
        <v>0</v>
      </c>
      <c r="T2311" s="77">
        <v>0</v>
      </c>
      <c r="U2311" s="77">
        <v>0</v>
      </c>
      <c r="V2311" s="77">
        <v>11</v>
      </c>
      <c r="W2311" s="82" t="s">
        <v>5236</v>
      </c>
      <c r="X2311" s="77"/>
      <c r="Y2311" s="77"/>
      <c r="Z2311" s="77"/>
      <c r="AA2311" s="77"/>
      <c r="AB2311" s="77"/>
      <c r="AC2311" s="82" t="s">
        <v>10146</v>
      </c>
      <c r="AD2311" s="77" t="s">
        <v>10184</v>
      </c>
      <c r="AE2311" s="80" t="str">
        <f>HYPERLINK("https://twitter.com/thassou44121865/status/1641239883862646785")</f>
        <v>https://twitter.com/thassou44121865/status/1641239883862646785</v>
      </c>
      <c r="AF2311" s="79">
        <v>45015.030729166669</v>
      </c>
      <c r="AG2311" s="85">
        <v>45015</v>
      </c>
      <c r="AH2311" s="82" t="s">
        <v>12409</v>
      </c>
      <c r="AI2311" s="77"/>
      <c r="AJ2311" s="77"/>
      <c r="AK2311" s="77"/>
      <c r="AL2311" s="77"/>
      <c r="AM2311" s="77"/>
      <c r="AN2311" s="77"/>
      <c r="AO2311" s="77"/>
      <c r="AP2311" s="77"/>
      <c r="AQ2311" s="77"/>
      <c r="AR2311" s="77"/>
      <c r="AS2311" s="77"/>
      <c r="AT2311" s="77"/>
      <c r="AU2311" s="77"/>
      <c r="AV2311" s="80" t="str">
        <f>HYPERLINK("https://pbs.twimg.com/profile_images/1641244881505902593/BLg3URBa_normal.jpg")</f>
        <v>https://pbs.twimg.com/profile_images/1641244881505902593/BLg3URBa_normal.jpg</v>
      </c>
      <c r="AW2311" s="82" t="s">
        <v>19078</v>
      </c>
      <c r="AX2311" s="82" t="s">
        <v>19078</v>
      </c>
      <c r="AY2311" s="77"/>
      <c r="AZ2311" s="82" t="s">
        <v>20971</v>
      </c>
      <c r="BA2311" s="82" t="s">
        <v>20971</v>
      </c>
      <c r="BB2311" s="82" t="s">
        <v>20971</v>
      </c>
      <c r="BC2311" s="82" t="s">
        <v>19078</v>
      </c>
      <c r="BD2311" s="82" t="s">
        <v>21441</v>
      </c>
      <c r="BE2311" s="77"/>
      <c r="BF2311" s="77"/>
      <c r="BG2311" s="77"/>
      <c r="BH2311" s="77"/>
      <c r="BI2311" s="77"/>
    </row>
    <row r="2312" spans="1:61" x14ac:dyDescent="0.25">
      <c r="A2312" s="62" t="s">
        <v>802</v>
      </c>
      <c r="B2312" s="62" t="s">
        <v>802</v>
      </c>
      <c r="C2312" s="63"/>
      <c r="D2312" s="64"/>
      <c r="E2312" s="65"/>
      <c r="F2312" s="66"/>
      <c r="G2312" s="63"/>
      <c r="H2312" s="67"/>
      <c r="I2312" s="68"/>
      <c r="J2312" s="68"/>
      <c r="K2312" s="32"/>
      <c r="L2312" s="75">
        <v>2312</v>
      </c>
      <c r="M2312" s="75"/>
      <c r="N2312" s="70"/>
      <c r="O2312" s="77" t="s">
        <v>179</v>
      </c>
      <c r="P2312" s="79">
        <v>45027.373391203706</v>
      </c>
      <c r="Q2312" s="77" t="s">
        <v>3520</v>
      </c>
      <c r="R2312" s="77">
        <v>1</v>
      </c>
      <c r="S2312" s="77">
        <v>1</v>
      </c>
      <c r="T2312" s="77">
        <v>1</v>
      </c>
      <c r="U2312" s="77">
        <v>0</v>
      </c>
      <c r="V2312" s="77">
        <v>82</v>
      </c>
      <c r="W2312" s="82" t="s">
        <v>6343</v>
      </c>
      <c r="X2312" s="77"/>
      <c r="Y2312" s="77"/>
      <c r="Z2312" s="77"/>
      <c r="AA2312" s="77" t="s">
        <v>8766</v>
      </c>
      <c r="AB2312" s="77" t="s">
        <v>10130</v>
      </c>
      <c r="AC2312" s="82" t="s">
        <v>10146</v>
      </c>
      <c r="AD2312" s="77" t="s">
        <v>10184</v>
      </c>
      <c r="AE2312" s="80" t="str">
        <f>HYPERLINK("https://twitter.com/shopmultverso/status/1645712713706795011")</f>
        <v>https://twitter.com/shopmultverso/status/1645712713706795011</v>
      </c>
      <c r="AF2312" s="79">
        <v>45027.373391203706</v>
      </c>
      <c r="AG2312" s="85">
        <v>45027</v>
      </c>
      <c r="AH2312" s="82" t="s">
        <v>12410</v>
      </c>
      <c r="AI2312" s="77" t="b">
        <v>0</v>
      </c>
      <c r="AJ2312" s="77"/>
      <c r="AK2312" s="77"/>
      <c r="AL2312" s="77"/>
      <c r="AM2312" s="77"/>
      <c r="AN2312" s="77"/>
      <c r="AO2312" s="77"/>
      <c r="AP2312" s="77"/>
      <c r="AQ2312" s="77" t="s">
        <v>15409</v>
      </c>
      <c r="AR2312" s="77"/>
      <c r="AS2312" s="77"/>
      <c r="AT2312" s="77"/>
      <c r="AU2312" s="77"/>
      <c r="AV2312" s="80" t="str">
        <f>HYPERLINK("https://pbs.twimg.com/media/Fta92RIWwAAeVTv.jpg")</f>
        <v>https://pbs.twimg.com/media/Fta92RIWwAAeVTv.jpg</v>
      </c>
      <c r="AW2312" s="82" t="s">
        <v>19079</v>
      </c>
      <c r="AX2312" s="82" t="s">
        <v>19079</v>
      </c>
      <c r="AY2312" s="77"/>
      <c r="AZ2312" s="82" t="s">
        <v>20971</v>
      </c>
      <c r="BA2312" s="82" t="s">
        <v>20971</v>
      </c>
      <c r="BB2312" s="82" t="s">
        <v>20971</v>
      </c>
      <c r="BC2312" s="82" t="s">
        <v>19079</v>
      </c>
      <c r="BD2312" s="82" t="s">
        <v>21442</v>
      </c>
      <c r="BE2312" s="77"/>
      <c r="BF2312" s="77"/>
      <c r="BG2312" s="77"/>
      <c r="BH2312" s="77"/>
      <c r="BI2312" s="77"/>
    </row>
    <row r="2313" spans="1:61" x14ac:dyDescent="0.25">
      <c r="A2313" s="62" t="s">
        <v>803</v>
      </c>
      <c r="B2313" s="62" t="s">
        <v>803</v>
      </c>
      <c r="C2313" s="63"/>
      <c r="D2313" s="64"/>
      <c r="E2313" s="65"/>
      <c r="F2313" s="66"/>
      <c r="G2313" s="63"/>
      <c r="H2313" s="67"/>
      <c r="I2313" s="68"/>
      <c r="J2313" s="68"/>
      <c r="K2313" s="32"/>
      <c r="L2313" s="75">
        <v>2313</v>
      </c>
      <c r="M2313" s="75"/>
      <c r="N2313" s="70"/>
      <c r="O2313" s="77" t="s">
        <v>179</v>
      </c>
      <c r="P2313" s="79">
        <v>44965.017754629633</v>
      </c>
      <c r="Q2313" s="77" t="s">
        <v>3521</v>
      </c>
      <c r="R2313" s="77">
        <v>0</v>
      </c>
      <c r="S2313" s="77">
        <v>0</v>
      </c>
      <c r="T2313" s="77">
        <v>0</v>
      </c>
      <c r="U2313" s="77">
        <v>0</v>
      </c>
      <c r="V2313" s="77">
        <v>49</v>
      </c>
      <c r="W2313" s="82" t="s">
        <v>6344</v>
      </c>
      <c r="X2313" s="77"/>
      <c r="Y2313" s="77"/>
      <c r="Z2313" s="77"/>
      <c r="AA2313" s="77" t="s">
        <v>8767</v>
      </c>
      <c r="AB2313" s="77" t="s">
        <v>10129</v>
      </c>
      <c r="AC2313" s="82" t="s">
        <v>10145</v>
      </c>
      <c r="AD2313" s="77" t="s">
        <v>10183</v>
      </c>
      <c r="AE2313" s="80" t="str">
        <f>HYPERLINK("https://twitter.com/gabrielviolaa/status/1623115788042346496")</f>
        <v>https://twitter.com/gabrielviolaa/status/1623115788042346496</v>
      </c>
      <c r="AF2313" s="79">
        <v>44965.017754629633</v>
      </c>
      <c r="AG2313" s="85">
        <v>44965</v>
      </c>
      <c r="AH2313" s="82" t="s">
        <v>12411</v>
      </c>
      <c r="AI2313" s="77" t="b">
        <v>0</v>
      </c>
      <c r="AJ2313" s="77"/>
      <c r="AK2313" s="77"/>
      <c r="AL2313" s="77"/>
      <c r="AM2313" s="77"/>
      <c r="AN2313" s="77"/>
      <c r="AO2313" s="77"/>
      <c r="AP2313" s="77"/>
      <c r="AQ2313" s="77" t="s">
        <v>15410</v>
      </c>
      <c r="AR2313" s="77">
        <v>6533</v>
      </c>
      <c r="AS2313" s="77"/>
      <c r="AT2313" s="77"/>
      <c r="AU2313" s="77"/>
      <c r="AV2313" s="80" t="str">
        <f>HYPERLINK("https://pbs.twimg.com/ext_tw_video_thumb/1623115731356291074/pu/img/J_30JOsrDB4OZvBx.jpg")</f>
        <v>https://pbs.twimg.com/ext_tw_video_thumb/1623115731356291074/pu/img/J_30JOsrDB4OZvBx.jpg</v>
      </c>
      <c r="AW2313" s="82" t="s">
        <v>19080</v>
      </c>
      <c r="AX2313" s="82" t="s">
        <v>19080</v>
      </c>
      <c r="AY2313" s="77"/>
      <c r="AZ2313" s="82" t="s">
        <v>20971</v>
      </c>
      <c r="BA2313" s="82" t="s">
        <v>20971</v>
      </c>
      <c r="BB2313" s="82" t="s">
        <v>20971</v>
      </c>
      <c r="BC2313" s="82" t="s">
        <v>19080</v>
      </c>
      <c r="BD2313" s="77">
        <v>184603554</v>
      </c>
      <c r="BE2313" s="77"/>
      <c r="BF2313" s="77"/>
      <c r="BG2313" s="77"/>
      <c r="BH2313" s="77"/>
      <c r="BI2313" s="77"/>
    </row>
    <row r="2314" spans="1:61" x14ac:dyDescent="0.25">
      <c r="A2314" s="62" t="s">
        <v>804</v>
      </c>
      <c r="B2314" s="62" t="s">
        <v>804</v>
      </c>
      <c r="C2314" s="63"/>
      <c r="D2314" s="64"/>
      <c r="E2314" s="65"/>
      <c r="F2314" s="66"/>
      <c r="G2314" s="63"/>
      <c r="H2314" s="67"/>
      <c r="I2314" s="68"/>
      <c r="J2314" s="68"/>
      <c r="K2314" s="32"/>
      <c r="L2314" s="75">
        <v>2314</v>
      </c>
      <c r="M2314" s="75"/>
      <c r="N2314" s="70"/>
      <c r="O2314" s="77" t="s">
        <v>179</v>
      </c>
      <c r="P2314" s="79">
        <v>45110.936435185184</v>
      </c>
      <c r="Q2314" s="77" t="s">
        <v>3522</v>
      </c>
      <c r="R2314" s="77">
        <v>0</v>
      </c>
      <c r="S2314" s="77">
        <v>0</v>
      </c>
      <c r="T2314" s="77">
        <v>0</v>
      </c>
      <c r="U2314" s="77">
        <v>0</v>
      </c>
      <c r="V2314" s="77">
        <v>329</v>
      </c>
      <c r="W2314" s="82" t="s">
        <v>6345</v>
      </c>
      <c r="X2314" s="80" t="str">
        <f>HYPERLINK("https://pay.kiwify.com.br/uCLeQjG?afid=ortyYuY8")</f>
        <v>https://pay.kiwify.com.br/uCLeQjG?afid=ortyYuY8</v>
      </c>
      <c r="Y2314" s="77" t="s">
        <v>7252</v>
      </c>
      <c r="Z2314" s="77"/>
      <c r="AA2314" s="77" t="s">
        <v>8768</v>
      </c>
      <c r="AB2314" s="77" t="s">
        <v>10130</v>
      </c>
      <c r="AC2314" s="82" t="s">
        <v>10144</v>
      </c>
      <c r="AD2314" s="77" t="s">
        <v>10184</v>
      </c>
      <c r="AE2314" s="80" t="str">
        <f>HYPERLINK("https://twitter.com/mamaedopablo/status/1675994947894358016")</f>
        <v>https://twitter.com/mamaedopablo/status/1675994947894358016</v>
      </c>
      <c r="AF2314" s="79">
        <v>45110.936435185184</v>
      </c>
      <c r="AG2314" s="85">
        <v>45110</v>
      </c>
      <c r="AH2314" s="82" t="s">
        <v>12412</v>
      </c>
      <c r="AI2314" s="77" t="b">
        <v>0</v>
      </c>
      <c r="AJ2314" s="77"/>
      <c r="AK2314" s="77"/>
      <c r="AL2314" s="77"/>
      <c r="AM2314" s="77"/>
      <c r="AN2314" s="77"/>
      <c r="AO2314" s="77"/>
      <c r="AP2314" s="77"/>
      <c r="AQ2314" s="77" t="s">
        <v>15411</v>
      </c>
      <c r="AR2314" s="77"/>
      <c r="AS2314" s="77"/>
      <c r="AT2314" s="77"/>
      <c r="AU2314" s="77"/>
      <c r="AV2314" s="80" t="str">
        <f>HYPERLINK("https://pbs.twimg.com/media/F0JUhfyX0AQj_cZ.jpg")</f>
        <v>https://pbs.twimg.com/media/F0JUhfyX0AQj_cZ.jpg</v>
      </c>
      <c r="AW2314" s="82" t="s">
        <v>19081</v>
      </c>
      <c r="AX2314" s="82" t="s">
        <v>19081</v>
      </c>
      <c r="AY2314" s="77"/>
      <c r="AZ2314" s="82" t="s">
        <v>20971</v>
      </c>
      <c r="BA2314" s="82" t="s">
        <v>20971</v>
      </c>
      <c r="BB2314" s="82" t="s">
        <v>20971</v>
      </c>
      <c r="BC2314" s="82" t="s">
        <v>19081</v>
      </c>
      <c r="BD2314" s="82" t="s">
        <v>21443</v>
      </c>
      <c r="BE2314" s="77"/>
      <c r="BF2314" s="77"/>
      <c r="BG2314" s="77"/>
      <c r="BH2314" s="77"/>
      <c r="BI2314" s="77"/>
    </row>
    <row r="2315" spans="1:61" x14ac:dyDescent="0.25">
      <c r="A2315" s="62" t="s">
        <v>804</v>
      </c>
      <c r="B2315" s="62" t="s">
        <v>804</v>
      </c>
      <c r="C2315" s="63"/>
      <c r="D2315" s="64"/>
      <c r="E2315" s="65"/>
      <c r="F2315" s="66"/>
      <c r="G2315" s="63"/>
      <c r="H2315" s="67"/>
      <c r="I2315" s="68"/>
      <c r="J2315" s="68"/>
      <c r="K2315" s="32"/>
      <c r="L2315" s="75">
        <v>2315</v>
      </c>
      <c r="M2315" s="75"/>
      <c r="N2315" s="70"/>
      <c r="O2315" s="77" t="s">
        <v>179</v>
      </c>
      <c r="P2315" s="79">
        <v>45110.935104166667</v>
      </c>
      <c r="Q2315" s="77" t="s">
        <v>3523</v>
      </c>
      <c r="R2315" s="77">
        <v>0</v>
      </c>
      <c r="S2315" s="77">
        <v>0</v>
      </c>
      <c r="T2315" s="77">
        <v>0</v>
      </c>
      <c r="U2315" s="77">
        <v>0</v>
      </c>
      <c r="V2315" s="77">
        <v>267</v>
      </c>
      <c r="W2315" s="82" t="s">
        <v>6345</v>
      </c>
      <c r="X2315" s="80" t="str">
        <f>HYPERLINK("https://pay.kiwify.com.br/uCLeQjG?afid=ortyYuY8")</f>
        <v>https://pay.kiwify.com.br/uCLeQjG?afid=ortyYuY8</v>
      </c>
      <c r="Y2315" s="77" t="s">
        <v>7252</v>
      </c>
      <c r="Z2315" s="77"/>
      <c r="AA2315" s="77" t="s">
        <v>8769</v>
      </c>
      <c r="AB2315" s="77" t="s">
        <v>10130</v>
      </c>
      <c r="AC2315" s="82" t="s">
        <v>10144</v>
      </c>
      <c r="AD2315" s="77" t="s">
        <v>10184</v>
      </c>
      <c r="AE2315" s="80" t="str">
        <f>HYPERLINK("https://twitter.com/mamaedopablo/status/1675994464085594115")</f>
        <v>https://twitter.com/mamaedopablo/status/1675994464085594115</v>
      </c>
      <c r="AF2315" s="79">
        <v>45110.935104166667</v>
      </c>
      <c r="AG2315" s="85">
        <v>45110</v>
      </c>
      <c r="AH2315" s="82" t="s">
        <v>12413</v>
      </c>
      <c r="AI2315" s="77" t="b">
        <v>0</v>
      </c>
      <c r="AJ2315" s="77"/>
      <c r="AK2315" s="77"/>
      <c r="AL2315" s="77"/>
      <c r="AM2315" s="77"/>
      <c r="AN2315" s="77"/>
      <c r="AO2315" s="77"/>
      <c r="AP2315" s="77"/>
      <c r="AQ2315" s="77" t="s">
        <v>15412</v>
      </c>
      <c r="AR2315" s="77"/>
      <c r="AS2315" s="77"/>
      <c r="AT2315" s="77"/>
      <c r="AU2315" s="77"/>
      <c r="AV2315" s="80" t="str">
        <f>HYPERLINK("https://pbs.twimg.com/media/F0JUFVCWYAAkQEc.jpg")</f>
        <v>https://pbs.twimg.com/media/F0JUFVCWYAAkQEc.jpg</v>
      </c>
      <c r="AW2315" s="82" t="s">
        <v>19082</v>
      </c>
      <c r="AX2315" s="82" t="s">
        <v>19082</v>
      </c>
      <c r="AY2315" s="77"/>
      <c r="AZ2315" s="82" t="s">
        <v>20971</v>
      </c>
      <c r="BA2315" s="82" t="s">
        <v>20971</v>
      </c>
      <c r="BB2315" s="82" t="s">
        <v>20971</v>
      </c>
      <c r="BC2315" s="82" t="s">
        <v>19082</v>
      </c>
      <c r="BD2315" s="82" t="s">
        <v>21443</v>
      </c>
      <c r="BE2315" s="77"/>
      <c r="BF2315" s="77"/>
      <c r="BG2315" s="77"/>
      <c r="BH2315" s="77"/>
      <c r="BI2315" s="77"/>
    </row>
    <row r="2316" spans="1:61" x14ac:dyDescent="0.25">
      <c r="A2316" s="62" t="s">
        <v>805</v>
      </c>
      <c r="B2316" s="62" t="s">
        <v>805</v>
      </c>
      <c r="C2316" s="63"/>
      <c r="D2316" s="64"/>
      <c r="E2316" s="65"/>
      <c r="F2316" s="66"/>
      <c r="G2316" s="63"/>
      <c r="H2316" s="67"/>
      <c r="I2316" s="68"/>
      <c r="J2316" s="68"/>
      <c r="K2316" s="32"/>
      <c r="L2316" s="75">
        <v>2316</v>
      </c>
      <c r="M2316" s="75"/>
      <c r="N2316" s="70"/>
      <c r="O2316" s="77" t="s">
        <v>179</v>
      </c>
      <c r="P2316" s="79">
        <v>45000.984120370369</v>
      </c>
      <c r="Q2316" s="77" t="s">
        <v>3524</v>
      </c>
      <c r="R2316" s="77">
        <v>0</v>
      </c>
      <c r="S2316" s="77">
        <v>0</v>
      </c>
      <c r="T2316" s="77">
        <v>1</v>
      </c>
      <c r="U2316" s="77">
        <v>0</v>
      </c>
      <c r="V2316" s="77">
        <v>37</v>
      </c>
      <c r="W2316" s="82" t="s">
        <v>6346</v>
      </c>
      <c r="X2316" s="80" t="str">
        <f>HYPERLINK("https://s.kwai.app/s1/n9Uj-IGl")</f>
        <v>https://s.kwai.app/s1/n9Uj-IGl</v>
      </c>
      <c r="Y2316" s="77" t="s">
        <v>7292</v>
      </c>
      <c r="Z2316" s="77"/>
      <c r="AA2316" s="77"/>
      <c r="AB2316" s="77"/>
      <c r="AC2316" s="82" t="s">
        <v>10144</v>
      </c>
      <c r="AD2316" s="77" t="s">
        <v>10184</v>
      </c>
      <c r="AE2316" s="80" t="str">
        <f>HYPERLINK("https://twitter.com/marcinho_029/status/1636149560916492291")</f>
        <v>https://twitter.com/marcinho_029/status/1636149560916492291</v>
      </c>
      <c r="AF2316" s="79">
        <v>45000.984120370369</v>
      </c>
      <c r="AG2316" s="85">
        <v>45000</v>
      </c>
      <c r="AH2316" s="82" t="s">
        <v>12414</v>
      </c>
      <c r="AI2316" s="77" t="b">
        <v>0</v>
      </c>
      <c r="AJ2316" s="77" t="s">
        <v>13999</v>
      </c>
      <c r="AK2316" s="77" t="s">
        <v>14033</v>
      </c>
      <c r="AL2316" s="77" t="s">
        <v>14035</v>
      </c>
      <c r="AM2316" s="77" t="s">
        <v>14041</v>
      </c>
      <c r="AN2316" s="77" t="s">
        <v>14078</v>
      </c>
      <c r="AO2316" s="77" t="s">
        <v>14116</v>
      </c>
      <c r="AP2316" s="77" t="s">
        <v>14149</v>
      </c>
      <c r="AQ2316" s="77"/>
      <c r="AR2316" s="77"/>
      <c r="AS2316" s="77"/>
      <c r="AT2316" s="77"/>
      <c r="AU2316" s="77"/>
      <c r="AV2316" s="80" t="str">
        <f>HYPERLINK("https://pbs.twimg.com/profile_images/1637573894872735744/Npf_z3S2_normal.jpg")</f>
        <v>https://pbs.twimg.com/profile_images/1637573894872735744/Npf_z3S2_normal.jpg</v>
      </c>
      <c r="AW2316" s="82" t="s">
        <v>19083</v>
      </c>
      <c r="AX2316" s="82" t="s">
        <v>19083</v>
      </c>
      <c r="AY2316" s="77"/>
      <c r="AZ2316" s="82" t="s">
        <v>20971</v>
      </c>
      <c r="BA2316" s="82" t="s">
        <v>20971</v>
      </c>
      <c r="BB2316" s="82" t="s">
        <v>20971</v>
      </c>
      <c r="BC2316" s="82" t="s">
        <v>19083</v>
      </c>
      <c r="BD2316" s="77">
        <v>276220917</v>
      </c>
      <c r="BE2316" s="77"/>
      <c r="BF2316" s="77"/>
      <c r="BG2316" s="77"/>
      <c r="BH2316" s="77"/>
      <c r="BI2316" s="77"/>
    </row>
    <row r="2317" spans="1:61" x14ac:dyDescent="0.25">
      <c r="A2317" s="62" t="s">
        <v>806</v>
      </c>
      <c r="B2317" s="62" t="s">
        <v>806</v>
      </c>
      <c r="C2317" s="63"/>
      <c r="D2317" s="64"/>
      <c r="E2317" s="65"/>
      <c r="F2317" s="66"/>
      <c r="G2317" s="63"/>
      <c r="H2317" s="67"/>
      <c r="I2317" s="68"/>
      <c r="J2317" s="68"/>
      <c r="K2317" s="32"/>
      <c r="L2317" s="75">
        <v>2317</v>
      </c>
      <c r="M2317" s="75"/>
      <c r="N2317" s="70"/>
      <c r="O2317" s="77" t="s">
        <v>179</v>
      </c>
      <c r="P2317" s="79">
        <v>44989.500335648147</v>
      </c>
      <c r="Q2317" s="77" t="s">
        <v>3525</v>
      </c>
      <c r="R2317" s="77">
        <v>0</v>
      </c>
      <c r="S2317" s="77">
        <v>0</v>
      </c>
      <c r="T2317" s="77">
        <v>0</v>
      </c>
      <c r="U2317" s="77">
        <v>0</v>
      </c>
      <c r="V2317" s="77">
        <v>55</v>
      </c>
      <c r="W2317" s="82" t="s">
        <v>6347</v>
      </c>
      <c r="X2317" s="77"/>
      <c r="Y2317" s="77"/>
      <c r="Z2317" s="77"/>
      <c r="AA2317" s="77" t="s">
        <v>8770</v>
      </c>
      <c r="AB2317" s="77" t="s">
        <v>10130</v>
      </c>
      <c r="AC2317" s="82" t="s">
        <v>10147</v>
      </c>
      <c r="AD2317" s="77" t="s">
        <v>10184</v>
      </c>
      <c r="AE2317" s="80" t="str">
        <f>HYPERLINK("https://twitter.com/essencias_ss/status/1631987976963076096")</f>
        <v>https://twitter.com/essencias_ss/status/1631987976963076096</v>
      </c>
      <c r="AF2317" s="79">
        <v>44989.500335648147</v>
      </c>
      <c r="AG2317" s="85">
        <v>44989</v>
      </c>
      <c r="AH2317" s="82" t="s">
        <v>12415</v>
      </c>
      <c r="AI2317" s="77" t="b">
        <v>0</v>
      </c>
      <c r="AJ2317" s="77"/>
      <c r="AK2317" s="77"/>
      <c r="AL2317" s="77"/>
      <c r="AM2317" s="77"/>
      <c r="AN2317" s="77"/>
      <c r="AO2317" s="77"/>
      <c r="AP2317" s="77"/>
      <c r="AQ2317" s="77" t="s">
        <v>15413</v>
      </c>
      <c r="AR2317" s="77"/>
      <c r="AS2317" s="77"/>
      <c r="AT2317" s="77"/>
      <c r="AU2317" s="77"/>
      <c r="AV2317" s="80" t="str">
        <f>HYPERLINK("https://pbs.twimg.com/media/FqX8asPXoAATjNz.jpg")</f>
        <v>https://pbs.twimg.com/media/FqX8asPXoAATjNz.jpg</v>
      </c>
      <c r="AW2317" s="82" t="s">
        <v>19084</v>
      </c>
      <c r="AX2317" s="82" t="s">
        <v>19084</v>
      </c>
      <c r="AY2317" s="77"/>
      <c r="AZ2317" s="82" t="s">
        <v>20971</v>
      </c>
      <c r="BA2317" s="82" t="s">
        <v>20971</v>
      </c>
      <c r="BB2317" s="82" t="s">
        <v>20971</v>
      </c>
      <c r="BC2317" s="82" t="s">
        <v>19084</v>
      </c>
      <c r="BD2317" s="82" t="s">
        <v>21444</v>
      </c>
      <c r="BE2317" s="77"/>
      <c r="BF2317" s="77"/>
      <c r="BG2317" s="77"/>
      <c r="BH2317" s="77"/>
      <c r="BI2317" s="77"/>
    </row>
    <row r="2318" spans="1:61" x14ac:dyDescent="0.25">
      <c r="A2318" s="62" t="s">
        <v>806</v>
      </c>
      <c r="B2318" s="62" t="s">
        <v>806</v>
      </c>
      <c r="C2318" s="63"/>
      <c r="D2318" s="64"/>
      <c r="E2318" s="65"/>
      <c r="F2318" s="66"/>
      <c r="G2318" s="63"/>
      <c r="H2318" s="67"/>
      <c r="I2318" s="68"/>
      <c r="J2318" s="68"/>
      <c r="K2318" s="32"/>
      <c r="L2318" s="75">
        <v>2318</v>
      </c>
      <c r="M2318" s="75"/>
      <c r="N2318" s="70"/>
      <c r="O2318" s="77" t="s">
        <v>179</v>
      </c>
      <c r="P2318" s="79">
        <v>44982.500393518516</v>
      </c>
      <c r="Q2318" s="77" t="s">
        <v>3526</v>
      </c>
      <c r="R2318" s="77">
        <v>0</v>
      </c>
      <c r="S2318" s="77">
        <v>0</v>
      </c>
      <c r="T2318" s="77">
        <v>0</v>
      </c>
      <c r="U2318" s="77">
        <v>0</v>
      </c>
      <c r="V2318" s="77">
        <v>43</v>
      </c>
      <c r="W2318" s="82" t="s">
        <v>6347</v>
      </c>
      <c r="X2318" s="77"/>
      <c r="Y2318" s="77"/>
      <c r="Z2318" s="77"/>
      <c r="AA2318" s="77" t="s">
        <v>8771</v>
      </c>
      <c r="AB2318" s="77" t="s">
        <v>10130</v>
      </c>
      <c r="AC2318" s="82" t="s">
        <v>10147</v>
      </c>
      <c r="AD2318" s="77" t="s">
        <v>10184</v>
      </c>
      <c r="AE2318" s="80" t="str">
        <f>HYPERLINK("https://twitter.com/essencias_ss/status/1629451283550593025")</f>
        <v>https://twitter.com/essencias_ss/status/1629451283550593025</v>
      </c>
      <c r="AF2318" s="79">
        <v>44982.500393518516</v>
      </c>
      <c r="AG2318" s="85">
        <v>44982</v>
      </c>
      <c r="AH2318" s="82" t="s">
        <v>12416</v>
      </c>
      <c r="AI2318" s="77" t="b">
        <v>0</v>
      </c>
      <c r="AJ2318" s="77"/>
      <c r="AK2318" s="77"/>
      <c r="AL2318" s="77"/>
      <c r="AM2318" s="77"/>
      <c r="AN2318" s="77"/>
      <c r="AO2318" s="77"/>
      <c r="AP2318" s="77"/>
      <c r="AQ2318" s="77" t="s">
        <v>15414</v>
      </c>
      <c r="AR2318" s="77"/>
      <c r="AS2318" s="77"/>
      <c r="AT2318" s="77"/>
      <c r="AU2318" s="77"/>
      <c r="AV2318" s="80" t="str">
        <f>HYPERLINK("https://pbs.twimg.com/media/Fpz5TruWAAAjnvB.jpg")</f>
        <v>https://pbs.twimg.com/media/Fpz5TruWAAAjnvB.jpg</v>
      </c>
      <c r="AW2318" s="82" t="s">
        <v>19085</v>
      </c>
      <c r="AX2318" s="82" t="s">
        <v>19085</v>
      </c>
      <c r="AY2318" s="77"/>
      <c r="AZ2318" s="82" t="s">
        <v>20971</v>
      </c>
      <c r="BA2318" s="82" t="s">
        <v>20971</v>
      </c>
      <c r="BB2318" s="82" t="s">
        <v>20971</v>
      </c>
      <c r="BC2318" s="82" t="s">
        <v>19085</v>
      </c>
      <c r="BD2318" s="82" t="s">
        <v>21444</v>
      </c>
      <c r="BE2318" s="77"/>
      <c r="BF2318" s="77"/>
      <c r="BG2318" s="77"/>
      <c r="BH2318" s="77"/>
      <c r="BI2318" s="77"/>
    </row>
    <row r="2319" spans="1:61" x14ac:dyDescent="0.25">
      <c r="A2319" s="62" t="s">
        <v>807</v>
      </c>
      <c r="B2319" s="62" t="s">
        <v>807</v>
      </c>
      <c r="C2319" s="63"/>
      <c r="D2319" s="64"/>
      <c r="E2319" s="65"/>
      <c r="F2319" s="66"/>
      <c r="G2319" s="63"/>
      <c r="H2319" s="67"/>
      <c r="I2319" s="68"/>
      <c r="J2319" s="68"/>
      <c r="K2319" s="32"/>
      <c r="L2319" s="75">
        <v>2319</v>
      </c>
      <c r="M2319" s="75"/>
      <c r="N2319" s="70"/>
      <c r="O2319" s="77" t="s">
        <v>179</v>
      </c>
      <c r="P2319" s="79">
        <v>45169.999131944445</v>
      </c>
      <c r="Q2319" s="77" t="s">
        <v>3527</v>
      </c>
      <c r="R2319" s="77">
        <v>0</v>
      </c>
      <c r="S2319" s="77">
        <v>0</v>
      </c>
      <c r="T2319" s="77">
        <v>0</v>
      </c>
      <c r="U2319" s="77">
        <v>0</v>
      </c>
      <c r="V2319" s="77">
        <v>220</v>
      </c>
      <c r="W2319" s="82" t="s">
        <v>6348</v>
      </c>
      <c r="X2319" s="77"/>
      <c r="Y2319" s="77"/>
      <c r="Z2319" s="77"/>
      <c r="AA2319" s="77"/>
      <c r="AB2319" s="77"/>
      <c r="AC2319" s="82" t="s">
        <v>10145</v>
      </c>
      <c r="AD2319" s="77" t="s">
        <v>10184</v>
      </c>
      <c r="AE2319" s="80" t="str">
        <f>HYPERLINK("https://twitter.com/diaaass_/status/1697398549657338168")</f>
        <v>https://twitter.com/diaaass_/status/1697398549657338168</v>
      </c>
      <c r="AF2319" s="79">
        <v>45169.999131944445</v>
      </c>
      <c r="AG2319" s="85">
        <v>45169</v>
      </c>
      <c r="AH2319" s="82" t="s">
        <v>12417</v>
      </c>
      <c r="AI2319" s="77"/>
      <c r="AJ2319" s="77"/>
      <c r="AK2319" s="77"/>
      <c r="AL2319" s="77"/>
      <c r="AM2319" s="77"/>
      <c r="AN2319" s="77"/>
      <c r="AO2319" s="77"/>
      <c r="AP2319" s="77"/>
      <c r="AQ2319" s="77"/>
      <c r="AR2319" s="77"/>
      <c r="AS2319" s="77"/>
      <c r="AT2319" s="77"/>
      <c r="AU2319" s="77"/>
      <c r="AV2319" s="80" t="str">
        <f>HYPERLINK("https://pbs.twimg.com/profile_images/1668084931015192576/10-yXLAu_normal.jpg")</f>
        <v>https://pbs.twimg.com/profile_images/1668084931015192576/10-yXLAu_normal.jpg</v>
      </c>
      <c r="AW2319" s="82" t="s">
        <v>19086</v>
      </c>
      <c r="AX2319" s="82" t="s">
        <v>19086</v>
      </c>
      <c r="AY2319" s="77"/>
      <c r="AZ2319" s="82" t="s">
        <v>20971</v>
      </c>
      <c r="BA2319" s="82" t="s">
        <v>20971</v>
      </c>
      <c r="BB2319" s="82" t="s">
        <v>20971</v>
      </c>
      <c r="BC2319" s="82" t="s">
        <v>19086</v>
      </c>
      <c r="BD2319" s="82" t="s">
        <v>21445</v>
      </c>
      <c r="BE2319" s="77"/>
      <c r="BF2319" s="77"/>
      <c r="BG2319" s="77"/>
      <c r="BH2319" s="77"/>
      <c r="BI2319" s="77"/>
    </row>
    <row r="2320" spans="1:61" x14ac:dyDescent="0.25">
      <c r="A2320" s="62" t="s">
        <v>808</v>
      </c>
      <c r="B2320" s="62" t="s">
        <v>808</v>
      </c>
      <c r="C2320" s="63"/>
      <c r="D2320" s="64"/>
      <c r="E2320" s="65"/>
      <c r="F2320" s="66"/>
      <c r="G2320" s="63"/>
      <c r="H2320" s="67"/>
      <c r="I2320" s="68"/>
      <c r="J2320" s="68"/>
      <c r="K2320" s="32"/>
      <c r="L2320" s="75">
        <v>2320</v>
      </c>
      <c r="M2320" s="75"/>
      <c r="N2320" s="70"/>
      <c r="O2320" s="77" t="s">
        <v>179</v>
      </c>
      <c r="P2320" s="79">
        <v>44988.842187499999</v>
      </c>
      <c r="Q2320" s="77" t="s">
        <v>3528</v>
      </c>
      <c r="R2320" s="77">
        <v>0</v>
      </c>
      <c r="S2320" s="77">
        <v>1</v>
      </c>
      <c r="T2320" s="77">
        <v>0</v>
      </c>
      <c r="U2320" s="77">
        <v>0</v>
      </c>
      <c r="V2320" s="77">
        <v>58</v>
      </c>
      <c r="W2320" s="82" t="s">
        <v>6349</v>
      </c>
      <c r="X2320" s="77"/>
      <c r="Y2320" s="77"/>
      <c r="Z2320" s="77"/>
      <c r="AA2320" s="77" t="s">
        <v>8772</v>
      </c>
      <c r="AB2320" s="77" t="s">
        <v>10129</v>
      </c>
      <c r="AC2320" s="82" t="s">
        <v>10144</v>
      </c>
      <c r="AD2320" s="77" t="s">
        <v>10184</v>
      </c>
      <c r="AE2320" s="80" t="str">
        <f>HYPERLINK("https://twitter.com/vitordblack092/status/1631749474799288324")</f>
        <v>https://twitter.com/vitordblack092/status/1631749474799288324</v>
      </c>
      <c r="AF2320" s="79">
        <v>44988.842187499999</v>
      </c>
      <c r="AG2320" s="85">
        <v>44988</v>
      </c>
      <c r="AH2320" s="82" t="s">
        <v>12418</v>
      </c>
      <c r="AI2320" s="77" t="b">
        <v>0</v>
      </c>
      <c r="AJ2320" s="77"/>
      <c r="AK2320" s="77"/>
      <c r="AL2320" s="77"/>
      <c r="AM2320" s="77"/>
      <c r="AN2320" s="77"/>
      <c r="AO2320" s="77"/>
      <c r="AP2320" s="77"/>
      <c r="AQ2320" s="77" t="s">
        <v>15415</v>
      </c>
      <c r="AR2320" s="77">
        <v>60021</v>
      </c>
      <c r="AS2320" s="77"/>
      <c r="AT2320" s="77"/>
      <c r="AU2320" s="77"/>
      <c r="AV2320" s="80" t="str">
        <f>HYPERLINK("https://pbs.twimg.com/ext_tw_video_thumb/1631749334642425875/pu/img/LTkVslyY1imWos2U.jpg")</f>
        <v>https://pbs.twimg.com/ext_tw_video_thumb/1631749334642425875/pu/img/LTkVslyY1imWos2U.jpg</v>
      </c>
      <c r="AW2320" s="82" t="s">
        <v>19087</v>
      </c>
      <c r="AX2320" s="82" t="s">
        <v>19087</v>
      </c>
      <c r="AY2320" s="77"/>
      <c r="AZ2320" s="82" t="s">
        <v>20971</v>
      </c>
      <c r="BA2320" s="82" t="s">
        <v>20971</v>
      </c>
      <c r="BB2320" s="82" t="s">
        <v>20971</v>
      </c>
      <c r="BC2320" s="82" t="s">
        <v>19087</v>
      </c>
      <c r="BD2320" s="82" t="s">
        <v>21446</v>
      </c>
      <c r="BE2320" s="77"/>
      <c r="BF2320" s="77"/>
      <c r="BG2320" s="77"/>
      <c r="BH2320" s="77"/>
      <c r="BI2320" s="77"/>
    </row>
    <row r="2321" spans="1:61" x14ac:dyDescent="0.25">
      <c r="A2321" s="62" t="s">
        <v>808</v>
      </c>
      <c r="B2321" s="62" t="s">
        <v>808</v>
      </c>
      <c r="C2321" s="63"/>
      <c r="D2321" s="64"/>
      <c r="E2321" s="65"/>
      <c r="F2321" s="66"/>
      <c r="G2321" s="63"/>
      <c r="H2321" s="67"/>
      <c r="I2321" s="68"/>
      <c r="J2321" s="68"/>
      <c r="K2321" s="32"/>
      <c r="L2321" s="75">
        <v>2321</v>
      </c>
      <c r="M2321" s="75"/>
      <c r="N2321" s="70"/>
      <c r="O2321" s="77" t="s">
        <v>179</v>
      </c>
      <c r="P2321" s="79">
        <v>44988.48028935185</v>
      </c>
      <c r="Q2321" s="77" t="s">
        <v>3529</v>
      </c>
      <c r="R2321" s="77">
        <v>0</v>
      </c>
      <c r="S2321" s="77">
        <v>1</v>
      </c>
      <c r="T2321" s="77">
        <v>0</v>
      </c>
      <c r="U2321" s="77">
        <v>0</v>
      </c>
      <c r="V2321" s="77">
        <v>20</v>
      </c>
      <c r="W2321" s="82" t="s">
        <v>6350</v>
      </c>
      <c r="X2321" s="77"/>
      <c r="Y2321" s="77"/>
      <c r="Z2321" s="77"/>
      <c r="AA2321" s="77" t="s">
        <v>8773</v>
      </c>
      <c r="AB2321" s="77" t="s">
        <v>10129</v>
      </c>
      <c r="AC2321" s="82" t="s">
        <v>10144</v>
      </c>
      <c r="AD2321" s="77" t="s">
        <v>10184</v>
      </c>
      <c r="AE2321" s="80" t="str">
        <f>HYPERLINK("https://twitter.com/vitordblack092/status/1631618324202156038")</f>
        <v>https://twitter.com/vitordblack092/status/1631618324202156038</v>
      </c>
      <c r="AF2321" s="79">
        <v>44988.48028935185</v>
      </c>
      <c r="AG2321" s="85">
        <v>44988</v>
      </c>
      <c r="AH2321" s="82" t="s">
        <v>12419</v>
      </c>
      <c r="AI2321" s="77" t="b">
        <v>0</v>
      </c>
      <c r="AJ2321" s="77"/>
      <c r="AK2321" s="77"/>
      <c r="AL2321" s="77"/>
      <c r="AM2321" s="77"/>
      <c r="AN2321" s="77"/>
      <c r="AO2321" s="77"/>
      <c r="AP2321" s="77"/>
      <c r="AQ2321" s="77" t="s">
        <v>15416</v>
      </c>
      <c r="AR2321" s="77">
        <v>60021</v>
      </c>
      <c r="AS2321" s="77"/>
      <c r="AT2321" s="77"/>
      <c r="AU2321" s="77"/>
      <c r="AV2321" s="80" t="str">
        <f>HYPERLINK("https://pbs.twimg.com/ext_tw_video_thumb/1631618224461688833/pu/img/FjLvxuvHnpWx0Rwa.jpg")</f>
        <v>https://pbs.twimg.com/ext_tw_video_thumb/1631618224461688833/pu/img/FjLvxuvHnpWx0Rwa.jpg</v>
      </c>
      <c r="AW2321" s="82" t="s">
        <v>19088</v>
      </c>
      <c r="AX2321" s="82" t="s">
        <v>19088</v>
      </c>
      <c r="AY2321" s="77"/>
      <c r="AZ2321" s="82" t="s">
        <v>20971</v>
      </c>
      <c r="BA2321" s="82" t="s">
        <v>20971</v>
      </c>
      <c r="BB2321" s="82" t="s">
        <v>20971</v>
      </c>
      <c r="BC2321" s="82" t="s">
        <v>19088</v>
      </c>
      <c r="BD2321" s="82" t="s">
        <v>21446</v>
      </c>
      <c r="BE2321" s="77"/>
      <c r="BF2321" s="77"/>
      <c r="BG2321" s="77"/>
      <c r="BH2321" s="77"/>
      <c r="BI2321" s="77"/>
    </row>
    <row r="2322" spans="1:61" x14ac:dyDescent="0.25">
      <c r="A2322" s="62" t="s">
        <v>809</v>
      </c>
      <c r="B2322" s="62" t="s">
        <v>809</v>
      </c>
      <c r="C2322" s="63"/>
      <c r="D2322" s="64"/>
      <c r="E2322" s="65"/>
      <c r="F2322" s="66"/>
      <c r="G2322" s="63"/>
      <c r="H2322" s="67"/>
      <c r="I2322" s="68"/>
      <c r="J2322" s="68"/>
      <c r="K2322" s="32"/>
      <c r="L2322" s="75">
        <v>2322</v>
      </c>
      <c r="M2322" s="75"/>
      <c r="N2322" s="70"/>
      <c r="O2322" s="77" t="s">
        <v>179</v>
      </c>
      <c r="P2322" s="79">
        <v>45187.458333333336</v>
      </c>
      <c r="Q2322" s="77" t="s">
        <v>3530</v>
      </c>
      <c r="R2322" s="77">
        <v>0</v>
      </c>
      <c r="S2322" s="77">
        <v>0</v>
      </c>
      <c r="T2322" s="77">
        <v>0</v>
      </c>
      <c r="U2322" s="77">
        <v>0</v>
      </c>
      <c r="V2322" s="77">
        <v>4</v>
      </c>
      <c r="W2322" s="82" t="s">
        <v>6351</v>
      </c>
      <c r="X2322" s="77"/>
      <c r="Y2322" s="77"/>
      <c r="Z2322" s="77"/>
      <c r="AA2322" s="77" t="s">
        <v>8774</v>
      </c>
      <c r="AB2322" s="77" t="s">
        <v>10128</v>
      </c>
      <c r="AC2322" s="82" t="s">
        <v>10146</v>
      </c>
      <c r="AD2322" s="77" t="s">
        <v>10184</v>
      </c>
      <c r="AE2322" s="80" t="str">
        <f>HYPERLINK("https://twitter.com/ci_da_gow/status/1703725553059246101")</f>
        <v>https://twitter.com/ci_da_gow/status/1703725553059246101</v>
      </c>
      <c r="AF2322" s="79">
        <v>45187.458333333336</v>
      </c>
      <c r="AG2322" s="85">
        <v>45187</v>
      </c>
      <c r="AH2322" s="82" t="s">
        <v>12420</v>
      </c>
      <c r="AI2322" s="77" t="b">
        <v>0</v>
      </c>
      <c r="AJ2322" s="77"/>
      <c r="AK2322" s="77"/>
      <c r="AL2322" s="77"/>
      <c r="AM2322" s="77"/>
      <c r="AN2322" s="77"/>
      <c r="AO2322" s="77"/>
      <c r="AP2322" s="77"/>
      <c r="AQ2322" s="77" t="s">
        <v>15417</v>
      </c>
      <c r="AR2322" s="77"/>
      <c r="AS2322" s="77"/>
      <c r="AT2322" s="77"/>
      <c r="AU2322" s="77"/>
      <c r="AV2322" s="80" t="str">
        <f>HYPERLINK("https://pbs.twimg.com/media/F6QqQUuW0AAly5j.jpg")</f>
        <v>https://pbs.twimg.com/media/F6QqQUuW0AAly5j.jpg</v>
      </c>
      <c r="AW2322" s="82" t="s">
        <v>19089</v>
      </c>
      <c r="AX2322" s="82" t="s">
        <v>19089</v>
      </c>
      <c r="AY2322" s="77"/>
      <c r="AZ2322" s="82" t="s">
        <v>20971</v>
      </c>
      <c r="BA2322" s="82" t="s">
        <v>20971</v>
      </c>
      <c r="BB2322" s="82" t="s">
        <v>20971</v>
      </c>
      <c r="BC2322" s="82" t="s">
        <v>19089</v>
      </c>
      <c r="BD2322" s="82" t="s">
        <v>21447</v>
      </c>
      <c r="BE2322" s="77"/>
      <c r="BF2322" s="77"/>
      <c r="BG2322" s="77"/>
      <c r="BH2322" s="77"/>
      <c r="BI2322" s="77"/>
    </row>
    <row r="2323" spans="1:61" x14ac:dyDescent="0.25">
      <c r="A2323" s="62" t="s">
        <v>809</v>
      </c>
      <c r="B2323" s="62" t="s">
        <v>809</v>
      </c>
      <c r="C2323" s="63"/>
      <c r="D2323" s="64"/>
      <c r="E2323" s="65"/>
      <c r="F2323" s="66"/>
      <c r="G2323" s="63"/>
      <c r="H2323" s="67"/>
      <c r="I2323" s="68"/>
      <c r="J2323" s="68"/>
      <c r="K2323" s="32"/>
      <c r="L2323" s="75">
        <v>2323</v>
      </c>
      <c r="M2323" s="75"/>
      <c r="N2323" s="70"/>
      <c r="O2323" s="77" t="s">
        <v>179</v>
      </c>
      <c r="P2323" s="79">
        <v>45190.458333333336</v>
      </c>
      <c r="Q2323" s="77" t="s">
        <v>3531</v>
      </c>
      <c r="R2323" s="77">
        <v>0</v>
      </c>
      <c r="S2323" s="77">
        <v>0</v>
      </c>
      <c r="T2323" s="77">
        <v>0</v>
      </c>
      <c r="U2323" s="77">
        <v>0</v>
      </c>
      <c r="V2323" s="77">
        <v>7</v>
      </c>
      <c r="W2323" s="82" t="s">
        <v>6352</v>
      </c>
      <c r="X2323" s="77"/>
      <c r="Y2323" s="77"/>
      <c r="Z2323" s="77"/>
      <c r="AA2323" s="77" t="s">
        <v>8775</v>
      </c>
      <c r="AB2323" s="77" t="s">
        <v>10129</v>
      </c>
      <c r="AC2323" s="82" t="s">
        <v>10146</v>
      </c>
      <c r="AD2323" s="77" t="s">
        <v>10184</v>
      </c>
      <c r="AE2323" s="80" t="str">
        <f>HYPERLINK("https://twitter.com/ci_da_gow/status/1704812719407325570")</f>
        <v>https://twitter.com/ci_da_gow/status/1704812719407325570</v>
      </c>
      <c r="AF2323" s="79">
        <v>45190.458333333336</v>
      </c>
      <c r="AG2323" s="85">
        <v>45190</v>
      </c>
      <c r="AH2323" s="82" t="s">
        <v>12420</v>
      </c>
      <c r="AI2323" s="77" t="b">
        <v>0</v>
      </c>
      <c r="AJ2323" s="77"/>
      <c r="AK2323" s="77"/>
      <c r="AL2323" s="77"/>
      <c r="AM2323" s="77"/>
      <c r="AN2323" s="77"/>
      <c r="AO2323" s="77"/>
      <c r="AP2323" s="77"/>
      <c r="AQ2323" s="77" t="s">
        <v>15418</v>
      </c>
      <c r="AR2323" s="77">
        <v>12143</v>
      </c>
      <c r="AS2323" s="77"/>
      <c r="AT2323" s="77"/>
      <c r="AU2323" s="77"/>
      <c r="AV2323" s="80" t="str">
        <f>HYPERLINK("https://pbs.twimg.com/ext_tw_video_thumb/1703551733031403520/pu/img/HiyeoR_P0IFntElM.jpg")</f>
        <v>https://pbs.twimg.com/ext_tw_video_thumb/1703551733031403520/pu/img/HiyeoR_P0IFntElM.jpg</v>
      </c>
      <c r="AW2323" s="82" t="s">
        <v>19090</v>
      </c>
      <c r="AX2323" s="82" t="s">
        <v>19090</v>
      </c>
      <c r="AY2323" s="77"/>
      <c r="AZ2323" s="82" t="s">
        <v>20971</v>
      </c>
      <c r="BA2323" s="82" t="s">
        <v>20971</v>
      </c>
      <c r="BB2323" s="82" t="s">
        <v>20971</v>
      </c>
      <c r="BC2323" s="82" t="s">
        <v>19090</v>
      </c>
      <c r="BD2323" s="82" t="s">
        <v>21447</v>
      </c>
      <c r="BE2323" s="77"/>
      <c r="BF2323" s="77"/>
      <c r="BG2323" s="77"/>
      <c r="BH2323" s="77"/>
      <c r="BI2323" s="77"/>
    </row>
    <row r="2324" spans="1:61" x14ac:dyDescent="0.25">
      <c r="A2324" s="62" t="s">
        <v>809</v>
      </c>
      <c r="B2324" s="62" t="s">
        <v>809</v>
      </c>
      <c r="C2324" s="63"/>
      <c r="D2324" s="64"/>
      <c r="E2324" s="65"/>
      <c r="F2324" s="66"/>
      <c r="G2324" s="63"/>
      <c r="H2324" s="67"/>
      <c r="I2324" s="68"/>
      <c r="J2324" s="68"/>
      <c r="K2324" s="32"/>
      <c r="L2324" s="75">
        <v>2324</v>
      </c>
      <c r="M2324" s="75"/>
      <c r="N2324" s="70"/>
      <c r="O2324" s="77" t="s">
        <v>179</v>
      </c>
      <c r="P2324" s="79">
        <v>45195.458333333336</v>
      </c>
      <c r="Q2324" s="77" t="s">
        <v>3532</v>
      </c>
      <c r="R2324" s="77">
        <v>0</v>
      </c>
      <c r="S2324" s="77">
        <v>0</v>
      </c>
      <c r="T2324" s="77">
        <v>0</v>
      </c>
      <c r="U2324" s="77">
        <v>0</v>
      </c>
      <c r="V2324" s="77">
        <v>2</v>
      </c>
      <c r="W2324" s="82" t="s">
        <v>6353</v>
      </c>
      <c r="X2324" s="80" t="str">
        <f>HYPERLINK("https://oclub.io/gow_empresas/8C1N")</f>
        <v>https://oclub.io/gow_empresas/8C1N</v>
      </c>
      <c r="Y2324" s="77" t="s">
        <v>7407</v>
      </c>
      <c r="Z2324" s="77"/>
      <c r="AA2324" s="77" t="s">
        <v>8776</v>
      </c>
      <c r="AB2324" s="77" t="s">
        <v>10129</v>
      </c>
      <c r="AC2324" s="82" t="s">
        <v>10146</v>
      </c>
      <c r="AD2324" s="77" t="s">
        <v>10184</v>
      </c>
      <c r="AE2324" s="80" t="str">
        <f>HYPERLINK("https://twitter.com/ci_da_gow/status/1706624655950577690")</f>
        <v>https://twitter.com/ci_da_gow/status/1706624655950577690</v>
      </c>
      <c r="AF2324" s="79">
        <v>45195.458333333336</v>
      </c>
      <c r="AG2324" s="85">
        <v>45195</v>
      </c>
      <c r="AH2324" s="82" t="s">
        <v>12420</v>
      </c>
      <c r="AI2324" s="77" t="b">
        <v>0</v>
      </c>
      <c r="AJ2324" s="77"/>
      <c r="AK2324" s="77"/>
      <c r="AL2324" s="77"/>
      <c r="AM2324" s="77"/>
      <c r="AN2324" s="77"/>
      <c r="AO2324" s="77"/>
      <c r="AP2324" s="77"/>
      <c r="AQ2324" s="77" t="s">
        <v>15419</v>
      </c>
      <c r="AR2324" s="77">
        <v>11932</v>
      </c>
      <c r="AS2324" s="77"/>
      <c r="AT2324" s="77"/>
      <c r="AU2324" s="77"/>
      <c r="AV2324" s="80" t="str">
        <f>HYPERLINK("https://pbs.twimg.com/ext_tw_video_thumb/1705809188121722880/pu/img/Q4fAXp-x8o9BWU0z.jpg")</f>
        <v>https://pbs.twimg.com/ext_tw_video_thumb/1705809188121722880/pu/img/Q4fAXp-x8o9BWU0z.jpg</v>
      </c>
      <c r="AW2324" s="82" t="s">
        <v>19091</v>
      </c>
      <c r="AX2324" s="82" t="s">
        <v>19091</v>
      </c>
      <c r="AY2324" s="77"/>
      <c r="AZ2324" s="82" t="s">
        <v>20971</v>
      </c>
      <c r="BA2324" s="82" t="s">
        <v>20971</v>
      </c>
      <c r="BB2324" s="82" t="s">
        <v>20971</v>
      </c>
      <c r="BC2324" s="82" t="s">
        <v>19091</v>
      </c>
      <c r="BD2324" s="82" t="s">
        <v>21447</v>
      </c>
      <c r="BE2324" s="77"/>
      <c r="BF2324" s="77"/>
      <c r="BG2324" s="77"/>
      <c r="BH2324" s="77"/>
      <c r="BI2324" s="77"/>
    </row>
    <row r="2325" spans="1:61" x14ac:dyDescent="0.25">
      <c r="A2325" s="62" t="s">
        <v>809</v>
      </c>
      <c r="B2325" s="62" t="s">
        <v>809</v>
      </c>
      <c r="C2325" s="63"/>
      <c r="D2325" s="64"/>
      <c r="E2325" s="65"/>
      <c r="F2325" s="66"/>
      <c r="G2325" s="63"/>
      <c r="H2325" s="67"/>
      <c r="I2325" s="68"/>
      <c r="J2325" s="68"/>
      <c r="K2325" s="32"/>
      <c r="L2325" s="75">
        <v>2325</v>
      </c>
      <c r="M2325" s="75"/>
      <c r="N2325" s="70"/>
      <c r="O2325" s="77" t="s">
        <v>179</v>
      </c>
      <c r="P2325" s="79">
        <v>45194.458344907405</v>
      </c>
      <c r="Q2325" s="77" t="s">
        <v>3533</v>
      </c>
      <c r="R2325" s="77">
        <v>0</v>
      </c>
      <c r="S2325" s="77">
        <v>0</v>
      </c>
      <c r="T2325" s="77">
        <v>0</v>
      </c>
      <c r="U2325" s="77">
        <v>0</v>
      </c>
      <c r="V2325" s="77">
        <v>4</v>
      </c>
      <c r="W2325" s="82" t="s">
        <v>6354</v>
      </c>
      <c r="X2325" s="77"/>
      <c r="Y2325" s="77"/>
      <c r="Z2325" s="77"/>
      <c r="AA2325" s="77" t="s">
        <v>8777</v>
      </c>
      <c r="AB2325" s="77" t="s">
        <v>10128</v>
      </c>
      <c r="AC2325" s="82" t="s">
        <v>10146</v>
      </c>
      <c r="AD2325" s="77" t="s">
        <v>10184</v>
      </c>
      <c r="AE2325" s="80" t="str">
        <f>HYPERLINK("https://twitter.com/ci_da_gow/status/1706262274963607798")</f>
        <v>https://twitter.com/ci_da_gow/status/1706262274963607798</v>
      </c>
      <c r="AF2325" s="79">
        <v>45194.458344907405</v>
      </c>
      <c r="AG2325" s="85">
        <v>45194</v>
      </c>
      <c r="AH2325" s="82" t="s">
        <v>12421</v>
      </c>
      <c r="AI2325" s="77" t="b">
        <v>0</v>
      </c>
      <c r="AJ2325" s="77"/>
      <c r="AK2325" s="77"/>
      <c r="AL2325" s="77"/>
      <c r="AM2325" s="77"/>
      <c r="AN2325" s="77"/>
      <c r="AO2325" s="77"/>
      <c r="AP2325" s="77"/>
      <c r="AQ2325" s="77" t="s">
        <v>15420</v>
      </c>
      <c r="AR2325" s="77"/>
      <c r="AS2325" s="77"/>
      <c r="AT2325" s="77"/>
      <c r="AU2325" s="77"/>
      <c r="AV2325" s="80" t="str">
        <f>HYPERLINK("https://pbs.twimg.com/media/F6w69dyWAAAxOS7.jpg")</f>
        <v>https://pbs.twimg.com/media/F6w69dyWAAAxOS7.jpg</v>
      </c>
      <c r="AW2325" s="82" t="s">
        <v>19092</v>
      </c>
      <c r="AX2325" s="82" t="s">
        <v>19092</v>
      </c>
      <c r="AY2325" s="77"/>
      <c r="AZ2325" s="82" t="s">
        <v>20971</v>
      </c>
      <c r="BA2325" s="82" t="s">
        <v>20971</v>
      </c>
      <c r="BB2325" s="82" t="s">
        <v>20971</v>
      </c>
      <c r="BC2325" s="82" t="s">
        <v>19092</v>
      </c>
      <c r="BD2325" s="82" t="s">
        <v>21447</v>
      </c>
      <c r="BE2325" s="77"/>
      <c r="BF2325" s="77"/>
      <c r="BG2325" s="77"/>
      <c r="BH2325" s="77"/>
      <c r="BI2325" s="77"/>
    </row>
    <row r="2326" spans="1:61" x14ac:dyDescent="0.25">
      <c r="A2326" s="62" t="s">
        <v>809</v>
      </c>
      <c r="B2326" s="62" t="s">
        <v>809</v>
      </c>
      <c r="C2326" s="63"/>
      <c r="D2326" s="64"/>
      <c r="E2326" s="65"/>
      <c r="F2326" s="66"/>
      <c r="G2326" s="63"/>
      <c r="H2326" s="67"/>
      <c r="I2326" s="68"/>
      <c r="J2326" s="68"/>
      <c r="K2326" s="32"/>
      <c r="L2326" s="75">
        <v>2326</v>
      </c>
      <c r="M2326" s="75"/>
      <c r="N2326" s="70"/>
      <c r="O2326" s="77" t="s">
        <v>179</v>
      </c>
      <c r="P2326" s="79">
        <v>45196.458356481482</v>
      </c>
      <c r="Q2326" s="77" t="s">
        <v>3534</v>
      </c>
      <c r="R2326" s="77">
        <v>0</v>
      </c>
      <c r="S2326" s="77">
        <v>0</v>
      </c>
      <c r="T2326" s="77">
        <v>0</v>
      </c>
      <c r="U2326" s="77">
        <v>0</v>
      </c>
      <c r="V2326" s="77">
        <v>2</v>
      </c>
      <c r="W2326" s="82" t="s">
        <v>6352</v>
      </c>
      <c r="X2326" s="80" t="str">
        <f>HYPERLINK("https://oclub.io/gow_empresas/8C1N")</f>
        <v>https://oclub.io/gow_empresas/8C1N</v>
      </c>
      <c r="Y2326" s="77" t="s">
        <v>7407</v>
      </c>
      <c r="Z2326" s="77"/>
      <c r="AA2326" s="77" t="s">
        <v>8778</v>
      </c>
      <c r="AB2326" s="77" t="s">
        <v>10131</v>
      </c>
      <c r="AC2326" s="82" t="s">
        <v>10146</v>
      </c>
      <c r="AD2326" s="77" t="s">
        <v>10184</v>
      </c>
      <c r="AE2326" s="80" t="str">
        <f>HYPERLINK("https://twitter.com/ci_da_gow/status/1706987051562733797")</f>
        <v>https://twitter.com/ci_da_gow/status/1706987051562733797</v>
      </c>
      <c r="AF2326" s="79">
        <v>45196.458356481482</v>
      </c>
      <c r="AG2326" s="85">
        <v>45196</v>
      </c>
      <c r="AH2326" s="82" t="s">
        <v>10398</v>
      </c>
      <c r="AI2326" s="77" t="b">
        <v>0</v>
      </c>
      <c r="AJ2326" s="77"/>
      <c r="AK2326" s="77"/>
      <c r="AL2326" s="77"/>
      <c r="AM2326" s="77"/>
      <c r="AN2326" s="77"/>
      <c r="AO2326" s="77"/>
      <c r="AP2326" s="77"/>
      <c r="AQ2326" s="77" t="s">
        <v>15421</v>
      </c>
      <c r="AR2326" s="77"/>
      <c r="AS2326" s="77"/>
      <c r="AT2326" s="77"/>
      <c r="AU2326" s="77"/>
      <c r="AV2326" s="80" t="str">
        <f>HYPERLINK("https://pbs.twimg.com/media/F65_qF6WwAA_-U-.jpg")</f>
        <v>https://pbs.twimg.com/media/F65_qF6WwAA_-U-.jpg</v>
      </c>
      <c r="AW2326" s="82" t="s">
        <v>19093</v>
      </c>
      <c r="AX2326" s="82" t="s">
        <v>19093</v>
      </c>
      <c r="AY2326" s="77"/>
      <c r="AZ2326" s="82" t="s">
        <v>20971</v>
      </c>
      <c r="BA2326" s="82" t="s">
        <v>20971</v>
      </c>
      <c r="BB2326" s="82" t="s">
        <v>20971</v>
      </c>
      <c r="BC2326" s="82" t="s">
        <v>19093</v>
      </c>
      <c r="BD2326" s="82" t="s">
        <v>21447</v>
      </c>
      <c r="BE2326" s="77"/>
      <c r="BF2326" s="77"/>
      <c r="BG2326" s="77"/>
      <c r="BH2326" s="77"/>
      <c r="BI2326" s="77"/>
    </row>
    <row r="2327" spans="1:61" x14ac:dyDescent="0.25">
      <c r="A2327" s="62" t="s">
        <v>809</v>
      </c>
      <c r="B2327" s="62" t="s">
        <v>809</v>
      </c>
      <c r="C2327" s="63"/>
      <c r="D2327" s="64"/>
      <c r="E2327" s="65"/>
      <c r="F2327" s="66"/>
      <c r="G2327" s="63"/>
      <c r="H2327" s="67"/>
      <c r="I2327" s="68"/>
      <c r="J2327" s="68"/>
      <c r="K2327" s="32"/>
      <c r="L2327" s="75">
        <v>2327</v>
      </c>
      <c r="M2327" s="75"/>
      <c r="N2327" s="70"/>
      <c r="O2327" s="77" t="s">
        <v>179</v>
      </c>
      <c r="P2327" s="79">
        <v>45188.458344907405</v>
      </c>
      <c r="Q2327" s="77" t="s">
        <v>3535</v>
      </c>
      <c r="R2327" s="77">
        <v>0</v>
      </c>
      <c r="S2327" s="77">
        <v>0</v>
      </c>
      <c r="T2327" s="77">
        <v>0</v>
      </c>
      <c r="U2327" s="77">
        <v>0</v>
      </c>
      <c r="V2327" s="77">
        <v>5</v>
      </c>
      <c r="W2327" s="82" t="s">
        <v>6352</v>
      </c>
      <c r="X2327" s="77"/>
      <c r="Y2327" s="77"/>
      <c r="Z2327" s="77"/>
      <c r="AA2327" s="77" t="s">
        <v>8779</v>
      </c>
      <c r="AB2327" s="77" t="s">
        <v>10129</v>
      </c>
      <c r="AC2327" s="82" t="s">
        <v>10146</v>
      </c>
      <c r="AD2327" s="77" t="s">
        <v>10184</v>
      </c>
      <c r="AE2327" s="80" t="str">
        <f>HYPERLINK("https://twitter.com/ci_da_gow/status/1704087944385196144")</f>
        <v>https://twitter.com/ci_da_gow/status/1704087944385196144</v>
      </c>
      <c r="AF2327" s="79">
        <v>45188.458344907405</v>
      </c>
      <c r="AG2327" s="85">
        <v>45188</v>
      </c>
      <c r="AH2327" s="82" t="s">
        <v>12421</v>
      </c>
      <c r="AI2327" s="77" t="b">
        <v>0</v>
      </c>
      <c r="AJ2327" s="77"/>
      <c r="AK2327" s="77"/>
      <c r="AL2327" s="77"/>
      <c r="AM2327" s="77"/>
      <c r="AN2327" s="77"/>
      <c r="AO2327" s="77"/>
      <c r="AP2327" s="77"/>
      <c r="AQ2327" s="77" t="s">
        <v>15422</v>
      </c>
      <c r="AR2327" s="77">
        <v>8266</v>
      </c>
      <c r="AS2327" s="77"/>
      <c r="AT2327" s="77"/>
      <c r="AU2327" s="77"/>
      <c r="AV2327" s="80" t="str">
        <f>HYPERLINK("https://pbs.twimg.com/ext_tw_video_thumb/1703544686210646016/pu/img/xG87NiXIscM1Lqjf.jpg")</f>
        <v>https://pbs.twimg.com/ext_tw_video_thumb/1703544686210646016/pu/img/xG87NiXIscM1Lqjf.jpg</v>
      </c>
      <c r="AW2327" s="82" t="s">
        <v>19094</v>
      </c>
      <c r="AX2327" s="82" t="s">
        <v>19094</v>
      </c>
      <c r="AY2327" s="77"/>
      <c r="AZ2327" s="82" t="s">
        <v>20971</v>
      </c>
      <c r="BA2327" s="82" t="s">
        <v>20971</v>
      </c>
      <c r="BB2327" s="82" t="s">
        <v>20971</v>
      </c>
      <c r="BC2327" s="82" t="s">
        <v>19094</v>
      </c>
      <c r="BD2327" s="82" t="s">
        <v>21447</v>
      </c>
      <c r="BE2327" s="77"/>
      <c r="BF2327" s="77"/>
      <c r="BG2327" s="77"/>
      <c r="BH2327" s="77"/>
      <c r="BI2327" s="77"/>
    </row>
    <row r="2328" spans="1:61" x14ac:dyDescent="0.25">
      <c r="A2328" s="62" t="s">
        <v>810</v>
      </c>
      <c r="B2328" s="62" t="s">
        <v>928</v>
      </c>
      <c r="C2328" s="63"/>
      <c r="D2328" s="64"/>
      <c r="E2328" s="65"/>
      <c r="F2328" s="66"/>
      <c r="G2328" s="63"/>
      <c r="H2328" s="67"/>
      <c r="I2328" s="68"/>
      <c r="J2328" s="68"/>
      <c r="K2328" s="32"/>
      <c r="L2328" s="75">
        <v>2328</v>
      </c>
      <c r="M2328" s="75"/>
      <c r="N2328" s="70"/>
      <c r="O2328" s="77" t="s">
        <v>1286</v>
      </c>
      <c r="P2328" s="79">
        <v>45015.969560185185</v>
      </c>
      <c r="Q2328" s="77" t="s">
        <v>3536</v>
      </c>
      <c r="R2328" s="77">
        <v>0</v>
      </c>
      <c r="S2328" s="77">
        <v>0</v>
      </c>
      <c r="T2328" s="77">
        <v>0</v>
      </c>
      <c r="U2328" s="77">
        <v>0</v>
      </c>
      <c r="V2328" s="77">
        <v>56</v>
      </c>
      <c r="W2328" s="82" t="s">
        <v>6355</v>
      </c>
      <c r="X2328" s="77"/>
      <c r="Y2328" s="77"/>
      <c r="Z2328" s="77"/>
      <c r="AA2328" s="77"/>
      <c r="AB2328" s="77"/>
      <c r="AC2328" s="82" t="s">
        <v>10146</v>
      </c>
      <c r="AD2328" s="77" t="s">
        <v>10184</v>
      </c>
      <c r="AE2328" s="80" t="str">
        <f>HYPERLINK("https://twitter.com/ozkar_ulloa/status/1641580104563212288")</f>
        <v>https://twitter.com/ozkar_ulloa/status/1641580104563212288</v>
      </c>
      <c r="AF2328" s="79">
        <v>45015.969560185185</v>
      </c>
      <c r="AG2328" s="85">
        <v>45015</v>
      </c>
      <c r="AH2328" s="82" t="s">
        <v>12422</v>
      </c>
      <c r="AI2328" s="77"/>
      <c r="AJ2328" s="77"/>
      <c r="AK2328" s="77"/>
      <c r="AL2328" s="77"/>
      <c r="AM2328" s="77"/>
      <c r="AN2328" s="77"/>
      <c r="AO2328" s="77"/>
      <c r="AP2328" s="77"/>
      <c r="AQ2328" s="77"/>
      <c r="AR2328" s="77"/>
      <c r="AS2328" s="77"/>
      <c r="AT2328" s="77"/>
      <c r="AU2328" s="77"/>
      <c r="AV2328" s="80" t="str">
        <f>HYPERLINK("https://pbs.twimg.com/profile_images/1370162773745938433/smV0OXq7_normal.jpg")</f>
        <v>https://pbs.twimg.com/profile_images/1370162773745938433/smV0OXq7_normal.jpg</v>
      </c>
      <c r="AW2328" s="82" t="s">
        <v>19095</v>
      </c>
      <c r="AX2328" s="82" t="s">
        <v>19095</v>
      </c>
      <c r="AY2328" s="77"/>
      <c r="AZ2328" s="82" t="s">
        <v>20971</v>
      </c>
      <c r="BA2328" s="82" t="s">
        <v>19514</v>
      </c>
      <c r="BB2328" s="82" t="s">
        <v>20971</v>
      </c>
      <c r="BC2328" s="82" t="s">
        <v>19514</v>
      </c>
      <c r="BD2328" s="77">
        <v>146064053</v>
      </c>
      <c r="BE2328" s="77"/>
      <c r="BF2328" s="77"/>
      <c r="BG2328" s="77"/>
      <c r="BH2328" s="77"/>
      <c r="BI2328" s="77"/>
    </row>
    <row r="2329" spans="1:61" x14ac:dyDescent="0.25">
      <c r="A2329" s="62" t="s">
        <v>811</v>
      </c>
      <c r="B2329" s="62" t="s">
        <v>811</v>
      </c>
      <c r="C2329" s="63"/>
      <c r="D2329" s="64"/>
      <c r="E2329" s="65"/>
      <c r="F2329" s="66"/>
      <c r="G2329" s="63"/>
      <c r="H2329" s="67"/>
      <c r="I2329" s="68"/>
      <c r="J2329" s="68"/>
      <c r="K2329" s="32"/>
      <c r="L2329" s="75">
        <v>2329</v>
      </c>
      <c r="M2329" s="75"/>
      <c r="N2329" s="70"/>
      <c r="O2329" s="77" t="s">
        <v>179</v>
      </c>
      <c r="P2329" s="79">
        <v>45163.041145833333</v>
      </c>
      <c r="Q2329" s="77" t="s">
        <v>3537</v>
      </c>
      <c r="R2329" s="77">
        <v>0</v>
      </c>
      <c r="S2329" s="77">
        <v>0</v>
      </c>
      <c r="T2329" s="77">
        <v>0</v>
      </c>
      <c r="U2329" s="77">
        <v>0</v>
      </c>
      <c r="V2329" s="77">
        <v>68</v>
      </c>
      <c r="W2329" s="82" t="s">
        <v>6356</v>
      </c>
      <c r="X2329" s="77"/>
      <c r="Y2329" s="77"/>
      <c r="Z2329" s="77"/>
      <c r="AA2329" s="77" t="s">
        <v>8780</v>
      </c>
      <c r="AB2329" s="77" t="s">
        <v>10129</v>
      </c>
      <c r="AC2329" s="82" t="s">
        <v>10145</v>
      </c>
      <c r="AD2329" s="77" t="s">
        <v>10184</v>
      </c>
      <c r="AE2329" s="80" t="str">
        <f>HYPERLINK("https://twitter.com/digitalblack_/status/1694877063520428106")</f>
        <v>https://twitter.com/digitalblack_/status/1694877063520428106</v>
      </c>
      <c r="AF2329" s="79">
        <v>45163.041145833333</v>
      </c>
      <c r="AG2329" s="85">
        <v>45163</v>
      </c>
      <c r="AH2329" s="82" t="s">
        <v>12423</v>
      </c>
      <c r="AI2329" s="77" t="b">
        <v>0</v>
      </c>
      <c r="AJ2329" s="77"/>
      <c r="AK2329" s="77"/>
      <c r="AL2329" s="77"/>
      <c r="AM2329" s="77"/>
      <c r="AN2329" s="77"/>
      <c r="AO2329" s="77"/>
      <c r="AP2329" s="77"/>
      <c r="AQ2329" s="77" t="s">
        <v>15423</v>
      </c>
      <c r="AR2329" s="77">
        <v>12400</v>
      </c>
      <c r="AS2329" s="77"/>
      <c r="AT2329" s="77"/>
      <c r="AU2329" s="77"/>
      <c r="AV2329" s="80" t="str">
        <f>HYPERLINK("https://pbs.twimg.com/ext_tw_video_thumb/1694876999888588800/pu/img/pePaqE7pyJCBtDRB.jpg")</f>
        <v>https://pbs.twimg.com/ext_tw_video_thumb/1694876999888588800/pu/img/pePaqE7pyJCBtDRB.jpg</v>
      </c>
      <c r="AW2329" s="82" t="s">
        <v>19096</v>
      </c>
      <c r="AX2329" s="82" t="s">
        <v>19096</v>
      </c>
      <c r="AY2329" s="77"/>
      <c r="AZ2329" s="82" t="s">
        <v>20971</v>
      </c>
      <c r="BA2329" s="82" t="s">
        <v>20971</v>
      </c>
      <c r="BB2329" s="82" t="s">
        <v>20971</v>
      </c>
      <c r="BC2329" s="82" t="s">
        <v>19096</v>
      </c>
      <c r="BD2329" s="82" t="s">
        <v>21448</v>
      </c>
      <c r="BE2329" s="77"/>
      <c r="BF2329" s="77"/>
      <c r="BG2329" s="77"/>
      <c r="BH2329" s="77"/>
      <c r="BI2329" s="77"/>
    </row>
    <row r="2330" spans="1:61" x14ac:dyDescent="0.25">
      <c r="A2330" s="62" t="s">
        <v>812</v>
      </c>
      <c r="B2330" s="62" t="s">
        <v>812</v>
      </c>
      <c r="C2330" s="63"/>
      <c r="D2330" s="64"/>
      <c r="E2330" s="65"/>
      <c r="F2330" s="66"/>
      <c r="G2330" s="63"/>
      <c r="H2330" s="67"/>
      <c r="I2330" s="68"/>
      <c r="J2330" s="68"/>
      <c r="K2330" s="32"/>
      <c r="L2330" s="75">
        <v>2330</v>
      </c>
      <c r="M2330" s="75"/>
      <c r="N2330" s="70"/>
      <c r="O2330" s="77" t="s">
        <v>179</v>
      </c>
      <c r="P2330" s="79">
        <v>45196.588275462964</v>
      </c>
      <c r="Q2330" s="77" t="s">
        <v>3538</v>
      </c>
      <c r="R2330" s="77">
        <v>0</v>
      </c>
      <c r="S2330" s="77">
        <v>0</v>
      </c>
      <c r="T2330" s="77">
        <v>0</v>
      </c>
      <c r="U2330" s="77">
        <v>0</v>
      </c>
      <c r="V2330" s="77">
        <v>23</v>
      </c>
      <c r="W2330" s="82" t="s">
        <v>6357</v>
      </c>
      <c r="X2330" s="80" t="str">
        <f>HYPERLINK("https://bkjh.wgbet555.com/?id=78138226")</f>
        <v>https://bkjh.wgbet555.com/?id=78138226</v>
      </c>
      <c r="Y2330" s="77" t="s">
        <v>7408</v>
      </c>
      <c r="Z2330" s="77"/>
      <c r="AA2330" s="77" t="s">
        <v>8781</v>
      </c>
      <c r="AB2330" s="77" t="s">
        <v>10130</v>
      </c>
      <c r="AC2330" s="82" t="s">
        <v>10144</v>
      </c>
      <c r="AD2330" s="77" t="s">
        <v>10184</v>
      </c>
      <c r="AE2330" s="80" t="str">
        <f>HYPERLINK("https://twitter.com/wgslots/status/1707034134160269574")</f>
        <v>https://twitter.com/wgslots/status/1707034134160269574</v>
      </c>
      <c r="AF2330" s="79">
        <v>45196.588275462964</v>
      </c>
      <c r="AG2330" s="85">
        <v>45196</v>
      </c>
      <c r="AH2330" s="82" t="s">
        <v>12424</v>
      </c>
      <c r="AI2330" s="77" t="b">
        <v>0</v>
      </c>
      <c r="AJ2330" s="77"/>
      <c r="AK2330" s="77"/>
      <c r="AL2330" s="77"/>
      <c r="AM2330" s="77"/>
      <c r="AN2330" s="77"/>
      <c r="AO2330" s="77"/>
      <c r="AP2330" s="77"/>
      <c r="AQ2330" s="77" t="s">
        <v>15424</v>
      </c>
      <c r="AR2330" s="77"/>
      <c r="AS2330" s="77"/>
      <c r="AT2330" s="77"/>
      <c r="AU2330" s="77"/>
      <c r="AV2330" s="80" t="str">
        <f>HYPERLINK("https://pbs.twimg.com/media/F7CafjHWIAAzjMd.jpg")</f>
        <v>https://pbs.twimg.com/media/F7CafjHWIAAzjMd.jpg</v>
      </c>
      <c r="AW2330" s="82" t="s">
        <v>19097</v>
      </c>
      <c r="AX2330" s="82" t="s">
        <v>19097</v>
      </c>
      <c r="AY2330" s="77"/>
      <c r="AZ2330" s="82" t="s">
        <v>20971</v>
      </c>
      <c r="BA2330" s="82" t="s">
        <v>20971</v>
      </c>
      <c r="BB2330" s="82" t="s">
        <v>20971</v>
      </c>
      <c r="BC2330" s="82" t="s">
        <v>19097</v>
      </c>
      <c r="BD2330" s="82" t="s">
        <v>21449</v>
      </c>
      <c r="BE2330" s="77"/>
      <c r="BF2330" s="77"/>
      <c r="BG2330" s="77"/>
      <c r="BH2330" s="77"/>
      <c r="BI2330" s="77"/>
    </row>
    <row r="2331" spans="1:61" x14ac:dyDescent="0.25">
      <c r="A2331" s="62" t="s">
        <v>812</v>
      </c>
      <c r="B2331" s="62" t="s">
        <v>812</v>
      </c>
      <c r="C2331" s="63"/>
      <c r="D2331" s="64"/>
      <c r="E2331" s="65"/>
      <c r="F2331" s="66"/>
      <c r="G2331" s="63"/>
      <c r="H2331" s="67"/>
      <c r="I2331" s="68"/>
      <c r="J2331" s="68"/>
      <c r="K2331" s="32"/>
      <c r="L2331" s="75">
        <v>2331</v>
      </c>
      <c r="M2331" s="75"/>
      <c r="N2331" s="70"/>
      <c r="O2331" s="77" t="s">
        <v>179</v>
      </c>
      <c r="P2331" s="79">
        <v>45196.614016203705</v>
      </c>
      <c r="Q2331" s="77" t="s">
        <v>3539</v>
      </c>
      <c r="R2331" s="77">
        <v>0</v>
      </c>
      <c r="S2331" s="77">
        <v>0</v>
      </c>
      <c r="T2331" s="77">
        <v>0</v>
      </c>
      <c r="U2331" s="77">
        <v>0</v>
      </c>
      <c r="V2331" s="77">
        <v>14</v>
      </c>
      <c r="W2331" s="82" t="s">
        <v>6358</v>
      </c>
      <c r="X2331" s="77"/>
      <c r="Y2331" s="77"/>
      <c r="Z2331" s="77"/>
      <c r="AA2331" s="77" t="s">
        <v>8782</v>
      </c>
      <c r="AB2331" s="77" t="s">
        <v>10130</v>
      </c>
      <c r="AC2331" s="82" t="s">
        <v>10144</v>
      </c>
      <c r="AD2331" s="77" t="s">
        <v>10184</v>
      </c>
      <c r="AE2331" s="80" t="str">
        <f>HYPERLINK("https://twitter.com/wgslots/status/1707043460748890274")</f>
        <v>https://twitter.com/wgslots/status/1707043460748890274</v>
      </c>
      <c r="AF2331" s="79">
        <v>45196.614016203705</v>
      </c>
      <c r="AG2331" s="85">
        <v>45196</v>
      </c>
      <c r="AH2331" s="82" t="s">
        <v>12425</v>
      </c>
      <c r="AI2331" s="77" t="b">
        <v>0</v>
      </c>
      <c r="AJ2331" s="77"/>
      <c r="AK2331" s="77"/>
      <c r="AL2331" s="77"/>
      <c r="AM2331" s="77"/>
      <c r="AN2331" s="77"/>
      <c r="AO2331" s="77"/>
      <c r="AP2331" s="77"/>
      <c r="AQ2331" s="77" t="s">
        <v>15425</v>
      </c>
      <c r="AR2331" s="77"/>
      <c r="AS2331" s="77"/>
      <c r="AT2331" s="77"/>
      <c r="AU2331" s="77"/>
      <c r="AV2331" s="80" t="str">
        <f>HYPERLINK("https://pbs.twimg.com/media/F7Ci-gMXIAAj6yy.jpg")</f>
        <v>https://pbs.twimg.com/media/F7Ci-gMXIAAj6yy.jpg</v>
      </c>
      <c r="AW2331" s="82" t="s">
        <v>19098</v>
      </c>
      <c r="AX2331" s="82" t="s">
        <v>19098</v>
      </c>
      <c r="AY2331" s="77"/>
      <c r="AZ2331" s="82" t="s">
        <v>20971</v>
      </c>
      <c r="BA2331" s="82" t="s">
        <v>20971</v>
      </c>
      <c r="BB2331" s="82" t="s">
        <v>20971</v>
      </c>
      <c r="BC2331" s="82" t="s">
        <v>19098</v>
      </c>
      <c r="BD2331" s="82" t="s">
        <v>21449</v>
      </c>
      <c r="BE2331" s="77"/>
      <c r="BF2331" s="77"/>
      <c r="BG2331" s="77"/>
      <c r="BH2331" s="77"/>
      <c r="BI2331" s="77"/>
    </row>
    <row r="2332" spans="1:61" x14ac:dyDescent="0.25">
      <c r="A2332" s="62" t="s">
        <v>812</v>
      </c>
      <c r="B2332" s="62" t="s">
        <v>812</v>
      </c>
      <c r="C2332" s="63"/>
      <c r="D2332" s="64"/>
      <c r="E2332" s="65"/>
      <c r="F2332" s="66"/>
      <c r="G2332" s="63"/>
      <c r="H2332" s="67"/>
      <c r="I2332" s="68"/>
      <c r="J2332" s="68"/>
      <c r="K2332" s="32"/>
      <c r="L2332" s="75">
        <v>2332</v>
      </c>
      <c r="M2332" s="75"/>
      <c r="N2332" s="70"/>
      <c r="O2332" s="77" t="s">
        <v>179</v>
      </c>
      <c r="P2332" s="79">
        <v>45197.042256944442</v>
      </c>
      <c r="Q2332" s="77" t="s">
        <v>3540</v>
      </c>
      <c r="R2332" s="77">
        <v>0</v>
      </c>
      <c r="S2332" s="77">
        <v>0</v>
      </c>
      <c r="T2332" s="77">
        <v>0</v>
      </c>
      <c r="U2332" s="77">
        <v>0</v>
      </c>
      <c r="V2332" s="77">
        <v>3</v>
      </c>
      <c r="W2332" s="82" t="s">
        <v>6359</v>
      </c>
      <c r="X2332" s="80" t="str">
        <f>HYPERLINK("https://bkjh.wgbet555.com/?id=78138226")</f>
        <v>https://bkjh.wgbet555.com/?id=78138226</v>
      </c>
      <c r="Y2332" s="77" t="s">
        <v>7408</v>
      </c>
      <c r="Z2332" s="77"/>
      <c r="AA2332" s="77" t="s">
        <v>8783</v>
      </c>
      <c r="AB2332" s="77" t="s">
        <v>10130</v>
      </c>
      <c r="AC2332" s="82" t="s">
        <v>10144</v>
      </c>
      <c r="AD2332" s="77" t="s">
        <v>10184</v>
      </c>
      <c r="AE2332" s="80" t="str">
        <f>HYPERLINK("https://twitter.com/wgslots/status/1707198651007717506")</f>
        <v>https://twitter.com/wgslots/status/1707198651007717506</v>
      </c>
      <c r="AF2332" s="79">
        <v>45197.042256944442</v>
      </c>
      <c r="AG2332" s="85">
        <v>45197</v>
      </c>
      <c r="AH2332" s="82" t="s">
        <v>12426</v>
      </c>
      <c r="AI2332" s="77" t="b">
        <v>0</v>
      </c>
      <c r="AJ2332" s="77"/>
      <c r="AK2332" s="77"/>
      <c r="AL2332" s="77"/>
      <c r="AM2332" s="77"/>
      <c r="AN2332" s="77"/>
      <c r="AO2332" s="77"/>
      <c r="AP2332" s="77"/>
      <c r="AQ2332" s="77" t="s">
        <v>15426</v>
      </c>
      <c r="AR2332" s="77"/>
      <c r="AS2332" s="77"/>
      <c r="AT2332" s="77"/>
      <c r="AU2332" s="77"/>
      <c r="AV2332" s="80" t="str">
        <f>HYPERLINK("https://pbs.twimg.com/media/F7EwICyWwAAxKae.jpg")</f>
        <v>https://pbs.twimg.com/media/F7EwICyWwAAxKae.jpg</v>
      </c>
      <c r="AW2332" s="82" t="s">
        <v>19099</v>
      </c>
      <c r="AX2332" s="82" t="s">
        <v>19099</v>
      </c>
      <c r="AY2332" s="77"/>
      <c r="AZ2332" s="82" t="s">
        <v>20971</v>
      </c>
      <c r="BA2332" s="82" t="s">
        <v>20971</v>
      </c>
      <c r="BB2332" s="82" t="s">
        <v>20971</v>
      </c>
      <c r="BC2332" s="82" t="s">
        <v>19099</v>
      </c>
      <c r="BD2332" s="82" t="s">
        <v>21449</v>
      </c>
      <c r="BE2332" s="77"/>
      <c r="BF2332" s="77"/>
      <c r="BG2332" s="77"/>
      <c r="BH2332" s="77"/>
      <c r="BI2332" s="77"/>
    </row>
    <row r="2333" spans="1:61" x14ac:dyDescent="0.25">
      <c r="A2333" s="62" t="s">
        <v>813</v>
      </c>
      <c r="B2333" s="62" t="s">
        <v>813</v>
      </c>
      <c r="C2333" s="63"/>
      <c r="D2333" s="64"/>
      <c r="E2333" s="65"/>
      <c r="F2333" s="66"/>
      <c r="G2333" s="63"/>
      <c r="H2333" s="67"/>
      <c r="I2333" s="68"/>
      <c r="J2333" s="68"/>
      <c r="K2333" s="32"/>
      <c r="L2333" s="75">
        <v>2333</v>
      </c>
      <c r="M2333" s="75"/>
      <c r="N2333" s="70"/>
      <c r="O2333" s="77" t="s">
        <v>1284</v>
      </c>
      <c r="P2333" s="79">
        <v>45003.315451388888</v>
      </c>
      <c r="Q2333" s="77" t="s">
        <v>3541</v>
      </c>
      <c r="R2333" s="77">
        <v>0</v>
      </c>
      <c r="S2333" s="77">
        <v>0</v>
      </c>
      <c r="T2333" s="77">
        <v>0</v>
      </c>
      <c r="U2333" s="77">
        <v>0</v>
      </c>
      <c r="V2333" s="77">
        <v>77</v>
      </c>
      <c r="W2333" s="82" t="s">
        <v>6360</v>
      </c>
      <c r="X2333" s="80" t="str">
        <f>HYPERLINK("https://bit.ly/MentoriaDoBranco")</f>
        <v>https://bit.ly/MentoriaDoBranco</v>
      </c>
      <c r="Y2333" s="77" t="s">
        <v>7268</v>
      </c>
      <c r="Z2333" s="77"/>
      <c r="AA2333" s="77"/>
      <c r="AB2333" s="77"/>
      <c r="AC2333" s="82" t="s">
        <v>10144</v>
      </c>
      <c r="AD2333" s="77" t="s">
        <v>10184</v>
      </c>
      <c r="AE2333" s="80" t="str">
        <f>HYPERLINK("https://twitter.com/snatan1928/status/1636994409563561984")</f>
        <v>https://twitter.com/snatan1928/status/1636994409563561984</v>
      </c>
      <c r="AF2333" s="79">
        <v>45003.315451388888</v>
      </c>
      <c r="AG2333" s="85">
        <v>45003</v>
      </c>
      <c r="AH2333" s="82" t="s">
        <v>12427</v>
      </c>
      <c r="AI2333" s="77" t="b">
        <v>0</v>
      </c>
      <c r="AJ2333" s="77"/>
      <c r="AK2333" s="77"/>
      <c r="AL2333" s="77"/>
      <c r="AM2333" s="77"/>
      <c r="AN2333" s="77"/>
      <c r="AO2333" s="77"/>
      <c r="AP2333" s="77"/>
      <c r="AQ2333" s="77"/>
      <c r="AR2333" s="77"/>
      <c r="AS2333" s="77"/>
      <c r="AT2333" s="77"/>
      <c r="AU2333" s="77"/>
      <c r="AV2333" s="80" t="str">
        <f>HYPERLINK("https://pbs.twimg.com/profile_images/1635888687673139204/tR3GQ5Bv_normal.jpg")</f>
        <v>https://pbs.twimg.com/profile_images/1635888687673139204/tR3GQ5Bv_normal.jpg</v>
      </c>
      <c r="AW2333" s="82" t="s">
        <v>19100</v>
      </c>
      <c r="AX2333" s="82" t="s">
        <v>20866</v>
      </c>
      <c r="AY2333" s="82" t="s">
        <v>20948</v>
      </c>
      <c r="AZ2333" s="82" t="s">
        <v>20995</v>
      </c>
      <c r="BA2333" s="82" t="s">
        <v>20971</v>
      </c>
      <c r="BB2333" s="82" t="s">
        <v>20971</v>
      </c>
      <c r="BC2333" s="82" t="s">
        <v>20995</v>
      </c>
      <c r="BD2333" s="82" t="s">
        <v>20948</v>
      </c>
      <c r="BE2333" s="77"/>
      <c r="BF2333" s="77"/>
      <c r="BG2333" s="77"/>
      <c r="BH2333" s="77"/>
      <c r="BI2333" s="77"/>
    </row>
    <row r="2334" spans="1:61" x14ac:dyDescent="0.25">
      <c r="A2334" s="62" t="s">
        <v>814</v>
      </c>
      <c r="B2334" s="62" t="s">
        <v>814</v>
      </c>
      <c r="C2334" s="63"/>
      <c r="D2334" s="64"/>
      <c r="E2334" s="65"/>
      <c r="F2334" s="66"/>
      <c r="G2334" s="63"/>
      <c r="H2334" s="67"/>
      <c r="I2334" s="68"/>
      <c r="J2334" s="68"/>
      <c r="K2334" s="32"/>
      <c r="L2334" s="75">
        <v>2334</v>
      </c>
      <c r="M2334" s="75"/>
      <c r="N2334" s="70"/>
      <c r="O2334" s="77" t="s">
        <v>1284</v>
      </c>
      <c r="P2334" s="79">
        <v>45078.89634259259</v>
      </c>
      <c r="Q2334" s="77" t="s">
        <v>3542</v>
      </c>
      <c r="R2334" s="77">
        <v>0</v>
      </c>
      <c r="S2334" s="77">
        <v>0</v>
      </c>
      <c r="T2334" s="77">
        <v>1</v>
      </c>
      <c r="U2334" s="77">
        <v>0</v>
      </c>
      <c r="V2334" s="77">
        <v>17</v>
      </c>
      <c r="W2334" s="82" t="s">
        <v>6361</v>
      </c>
      <c r="X2334" s="77"/>
      <c r="Y2334" s="77"/>
      <c r="Z2334" s="77"/>
      <c r="AA2334" s="77" t="s">
        <v>8784</v>
      </c>
      <c r="AB2334" s="77" t="s">
        <v>10130</v>
      </c>
      <c r="AC2334" s="82" t="s">
        <v>10146</v>
      </c>
      <c r="AD2334" s="77" t="s">
        <v>10184</v>
      </c>
      <c r="AE2334" s="80" t="str">
        <f>HYPERLINK("https://twitter.com/zapplus/status/1664384005007892485")</f>
        <v>https://twitter.com/zapplus/status/1664384005007892485</v>
      </c>
      <c r="AF2334" s="79">
        <v>45078.89634259259</v>
      </c>
      <c r="AG2334" s="85">
        <v>45078</v>
      </c>
      <c r="AH2334" s="82" t="s">
        <v>11583</v>
      </c>
      <c r="AI2334" s="77" t="b">
        <v>0</v>
      </c>
      <c r="AJ2334" s="77"/>
      <c r="AK2334" s="77"/>
      <c r="AL2334" s="77"/>
      <c r="AM2334" s="77"/>
      <c r="AN2334" s="77"/>
      <c r="AO2334" s="77"/>
      <c r="AP2334" s="77"/>
      <c r="AQ2334" s="77" t="s">
        <v>15427</v>
      </c>
      <c r="AR2334" s="77"/>
      <c r="AS2334" s="77"/>
      <c r="AT2334" s="77"/>
      <c r="AU2334" s="77"/>
      <c r="AV2334" s="80" t="str">
        <f>HYPERLINK("https://pbs.twimg.com/media/FxkUMLaWIAASNG7.jpg")</f>
        <v>https://pbs.twimg.com/media/FxkUMLaWIAASNG7.jpg</v>
      </c>
      <c r="AW2334" s="82" t="s">
        <v>19101</v>
      </c>
      <c r="AX2334" s="82" t="s">
        <v>19102</v>
      </c>
      <c r="AY2334" s="82" t="s">
        <v>20949</v>
      </c>
      <c r="AZ2334" s="82" t="s">
        <v>20996</v>
      </c>
      <c r="BA2334" s="82" t="s">
        <v>20971</v>
      </c>
      <c r="BB2334" s="82" t="s">
        <v>20971</v>
      </c>
      <c r="BC2334" s="82" t="s">
        <v>20996</v>
      </c>
      <c r="BD2334" s="82" t="s">
        <v>20949</v>
      </c>
      <c r="BE2334" s="77"/>
      <c r="BF2334" s="77"/>
      <c r="BG2334" s="77"/>
      <c r="BH2334" s="77"/>
      <c r="BI2334" s="77"/>
    </row>
    <row r="2335" spans="1:61" x14ac:dyDescent="0.25">
      <c r="A2335" s="62" t="s">
        <v>814</v>
      </c>
      <c r="B2335" s="62" t="s">
        <v>814</v>
      </c>
      <c r="C2335" s="63"/>
      <c r="D2335" s="64"/>
      <c r="E2335" s="65"/>
      <c r="F2335" s="66"/>
      <c r="G2335" s="63"/>
      <c r="H2335" s="67"/>
      <c r="I2335" s="68"/>
      <c r="J2335" s="68"/>
      <c r="K2335" s="32"/>
      <c r="L2335" s="75">
        <v>2335</v>
      </c>
      <c r="M2335" s="75"/>
      <c r="N2335" s="70"/>
      <c r="O2335" s="77" t="s">
        <v>179</v>
      </c>
      <c r="P2335" s="79">
        <v>45078.89335648148</v>
      </c>
      <c r="Q2335" s="77" t="s">
        <v>3543</v>
      </c>
      <c r="R2335" s="77">
        <v>0</v>
      </c>
      <c r="S2335" s="77">
        <v>0</v>
      </c>
      <c r="T2335" s="77">
        <v>1</v>
      </c>
      <c r="U2335" s="77">
        <v>0</v>
      </c>
      <c r="V2335" s="77">
        <v>9</v>
      </c>
      <c r="W2335" s="82" t="s">
        <v>6362</v>
      </c>
      <c r="X2335" s="77"/>
      <c r="Y2335" s="77"/>
      <c r="Z2335" s="77"/>
      <c r="AA2335" s="77" t="s">
        <v>8785</v>
      </c>
      <c r="AB2335" s="77" t="s">
        <v>10130</v>
      </c>
      <c r="AC2335" s="82" t="s">
        <v>10146</v>
      </c>
      <c r="AD2335" s="77" t="s">
        <v>10184</v>
      </c>
      <c r="AE2335" s="80" t="str">
        <f>HYPERLINK("https://twitter.com/zapplus/status/1664382924861440004")</f>
        <v>https://twitter.com/zapplus/status/1664382924861440004</v>
      </c>
      <c r="AF2335" s="79">
        <v>45078.89335648148</v>
      </c>
      <c r="AG2335" s="85">
        <v>45078</v>
      </c>
      <c r="AH2335" s="82" t="s">
        <v>12428</v>
      </c>
      <c r="AI2335" s="77" t="b">
        <v>0</v>
      </c>
      <c r="AJ2335" s="77"/>
      <c r="AK2335" s="77"/>
      <c r="AL2335" s="77"/>
      <c r="AM2335" s="77"/>
      <c r="AN2335" s="77"/>
      <c r="AO2335" s="77"/>
      <c r="AP2335" s="77"/>
      <c r="AQ2335" s="77" t="s">
        <v>15428</v>
      </c>
      <c r="AR2335" s="77"/>
      <c r="AS2335" s="77"/>
      <c r="AT2335" s="77"/>
      <c r="AU2335" s="77"/>
      <c r="AV2335" s="80" t="str">
        <f>HYPERLINK("https://pbs.twimg.com/media/FxkTao7WYAI3lgN.jpg")</f>
        <v>https://pbs.twimg.com/media/FxkTao7WYAI3lgN.jpg</v>
      </c>
      <c r="AW2335" s="82" t="s">
        <v>19102</v>
      </c>
      <c r="AX2335" s="82" t="s">
        <v>19102</v>
      </c>
      <c r="AY2335" s="77"/>
      <c r="AZ2335" s="82" t="s">
        <v>20971</v>
      </c>
      <c r="BA2335" s="82" t="s">
        <v>20971</v>
      </c>
      <c r="BB2335" s="82" t="s">
        <v>20971</v>
      </c>
      <c r="BC2335" s="82" t="s">
        <v>19102</v>
      </c>
      <c r="BD2335" s="82" t="s">
        <v>20949</v>
      </c>
      <c r="BE2335" s="77"/>
      <c r="BF2335" s="77"/>
      <c r="BG2335" s="77"/>
      <c r="BH2335" s="77"/>
      <c r="BI2335" s="77"/>
    </row>
    <row r="2336" spans="1:61" x14ac:dyDescent="0.25">
      <c r="A2336" s="62" t="s">
        <v>815</v>
      </c>
      <c r="B2336" s="62" t="s">
        <v>1265</v>
      </c>
      <c r="C2336" s="63"/>
      <c r="D2336" s="64"/>
      <c r="E2336" s="65"/>
      <c r="F2336" s="66"/>
      <c r="G2336" s="63"/>
      <c r="H2336" s="67"/>
      <c r="I2336" s="68"/>
      <c r="J2336" s="68"/>
      <c r="K2336" s="32"/>
      <c r="L2336" s="75">
        <v>2336</v>
      </c>
      <c r="M2336" s="75"/>
      <c r="N2336" s="70"/>
      <c r="O2336" s="77" t="s">
        <v>1284</v>
      </c>
      <c r="P2336" s="79">
        <v>45157.703553240739</v>
      </c>
      <c r="Q2336" s="77" t="s">
        <v>3544</v>
      </c>
      <c r="R2336" s="77">
        <v>0</v>
      </c>
      <c r="S2336" s="77">
        <v>0</v>
      </c>
      <c r="T2336" s="77">
        <v>0</v>
      </c>
      <c r="U2336" s="77">
        <v>0</v>
      </c>
      <c r="V2336" s="77">
        <v>43</v>
      </c>
      <c r="W2336" s="82" t="s">
        <v>5236</v>
      </c>
      <c r="X2336" s="77"/>
      <c r="Y2336" s="77"/>
      <c r="Z2336" s="77" t="s">
        <v>1265</v>
      </c>
      <c r="AA2336" s="77"/>
      <c r="AB2336" s="77"/>
      <c r="AC2336" s="82" t="s">
        <v>10144</v>
      </c>
      <c r="AD2336" s="77" t="s">
        <v>10184</v>
      </c>
      <c r="AE2336" s="80" t="str">
        <f>HYPERLINK("https://twitter.com/anarcocomunist6/status/1692942783143645387")</f>
        <v>https://twitter.com/anarcocomunist6/status/1692942783143645387</v>
      </c>
      <c r="AF2336" s="79">
        <v>45157.703553240739</v>
      </c>
      <c r="AG2336" s="85">
        <v>45157</v>
      </c>
      <c r="AH2336" s="82" t="s">
        <v>12429</v>
      </c>
      <c r="AI2336" s="77"/>
      <c r="AJ2336" s="77"/>
      <c r="AK2336" s="77"/>
      <c r="AL2336" s="77"/>
      <c r="AM2336" s="77"/>
      <c r="AN2336" s="77"/>
      <c r="AO2336" s="77"/>
      <c r="AP2336" s="77"/>
      <c r="AQ2336" s="77"/>
      <c r="AR2336" s="77"/>
      <c r="AS2336" s="77"/>
      <c r="AT2336" s="77"/>
      <c r="AU2336" s="77"/>
      <c r="AV2336" s="80" t="str">
        <f>HYPERLINK("https://abs.twimg.com/sticky/default_profile_images/default_profile_normal.png")</f>
        <v>https://abs.twimg.com/sticky/default_profile_images/default_profile_normal.png</v>
      </c>
      <c r="AW2336" s="82" t="s">
        <v>19103</v>
      </c>
      <c r="AX2336" s="82" t="s">
        <v>20867</v>
      </c>
      <c r="AY2336" s="82" t="s">
        <v>20950</v>
      </c>
      <c r="AZ2336" s="82" t="s">
        <v>20867</v>
      </c>
      <c r="BA2336" s="82" t="s">
        <v>20971</v>
      </c>
      <c r="BB2336" s="82" t="s">
        <v>20971</v>
      </c>
      <c r="BC2336" s="82" t="s">
        <v>20867</v>
      </c>
      <c r="BD2336" s="82" t="s">
        <v>21450</v>
      </c>
      <c r="BE2336" s="77"/>
      <c r="BF2336" s="77"/>
      <c r="BG2336" s="77"/>
      <c r="BH2336" s="77"/>
      <c r="BI2336" s="77"/>
    </row>
    <row r="2337" spans="1:61" x14ac:dyDescent="0.25">
      <c r="A2337" s="62" t="s">
        <v>816</v>
      </c>
      <c r="B2337" s="62" t="s">
        <v>816</v>
      </c>
      <c r="C2337" s="63"/>
      <c r="D2337" s="64"/>
      <c r="E2337" s="65"/>
      <c r="F2337" s="66"/>
      <c r="G2337" s="63"/>
      <c r="H2337" s="67"/>
      <c r="I2337" s="68"/>
      <c r="J2337" s="68"/>
      <c r="K2337" s="32"/>
      <c r="L2337" s="75">
        <v>2337</v>
      </c>
      <c r="M2337" s="75"/>
      <c r="N2337" s="70"/>
      <c r="O2337" s="77" t="s">
        <v>179</v>
      </c>
      <c r="P2337" s="79">
        <v>44979.020601851851</v>
      </c>
      <c r="Q2337" s="77" t="s">
        <v>3545</v>
      </c>
      <c r="R2337" s="77">
        <v>0</v>
      </c>
      <c r="S2337" s="77">
        <v>0</v>
      </c>
      <c r="T2337" s="77">
        <v>0</v>
      </c>
      <c r="U2337" s="77">
        <v>0</v>
      </c>
      <c r="V2337" s="77">
        <v>4</v>
      </c>
      <c r="W2337" s="82" t="s">
        <v>5236</v>
      </c>
      <c r="X2337" s="80" t="str">
        <f>HYPERLINK("https://go.hotmart.com/B77468619P")</f>
        <v>https://go.hotmart.com/B77468619P</v>
      </c>
      <c r="Y2337" s="77" t="s">
        <v>7251</v>
      </c>
      <c r="Z2337" s="77"/>
      <c r="AA2337" s="77" t="s">
        <v>8786</v>
      </c>
      <c r="AB2337" s="77" t="s">
        <v>10130</v>
      </c>
      <c r="AC2337" s="82" t="s">
        <v>10168</v>
      </c>
      <c r="AD2337" s="77" t="s">
        <v>10184</v>
      </c>
      <c r="AE2337" s="80" t="str">
        <f>HYPERLINK("https://twitter.com/politicabr5/status/1628190251054145537")</f>
        <v>https://twitter.com/politicabr5/status/1628190251054145537</v>
      </c>
      <c r="AF2337" s="79">
        <v>44979.020601851851</v>
      </c>
      <c r="AG2337" s="85">
        <v>44979</v>
      </c>
      <c r="AH2337" s="82" t="s">
        <v>12430</v>
      </c>
      <c r="AI2337" s="77" t="b">
        <v>0</v>
      </c>
      <c r="AJ2337" s="77"/>
      <c r="AK2337" s="77"/>
      <c r="AL2337" s="77"/>
      <c r="AM2337" s="77"/>
      <c r="AN2337" s="77"/>
      <c r="AO2337" s="77"/>
      <c r="AP2337" s="77"/>
      <c r="AQ2337" s="77" t="s">
        <v>15429</v>
      </c>
      <c r="AR2337" s="77"/>
      <c r="AS2337" s="77"/>
      <c r="AT2337" s="77"/>
      <c r="AU2337" s="77"/>
      <c r="AV2337" s="80" t="str">
        <f>HYPERLINK("https://pbs.twimg.com/media/Fph-XnqX0AAe8wz.jpg")</f>
        <v>https://pbs.twimg.com/media/Fph-XnqX0AAe8wz.jpg</v>
      </c>
      <c r="AW2337" s="82" t="s">
        <v>19104</v>
      </c>
      <c r="AX2337" s="82" t="s">
        <v>19104</v>
      </c>
      <c r="AY2337" s="77"/>
      <c r="AZ2337" s="82" t="s">
        <v>20971</v>
      </c>
      <c r="BA2337" s="82" t="s">
        <v>20971</v>
      </c>
      <c r="BB2337" s="82" t="s">
        <v>20971</v>
      </c>
      <c r="BC2337" s="82" t="s">
        <v>19104</v>
      </c>
      <c r="BD2337" s="82" t="s">
        <v>21451</v>
      </c>
      <c r="BE2337" s="77"/>
      <c r="BF2337" s="77"/>
      <c r="BG2337" s="77"/>
      <c r="BH2337" s="77"/>
      <c r="BI2337" s="77"/>
    </row>
    <row r="2338" spans="1:61" x14ac:dyDescent="0.25">
      <c r="A2338" s="62" t="s">
        <v>816</v>
      </c>
      <c r="B2338" s="62" t="s">
        <v>816</v>
      </c>
      <c r="C2338" s="63"/>
      <c r="D2338" s="64"/>
      <c r="E2338" s="65"/>
      <c r="F2338" s="66"/>
      <c r="G2338" s="63"/>
      <c r="H2338" s="67"/>
      <c r="I2338" s="68"/>
      <c r="J2338" s="68"/>
      <c r="K2338" s="32"/>
      <c r="L2338" s="75">
        <v>2338</v>
      </c>
      <c r="M2338" s="75"/>
      <c r="N2338" s="70"/>
      <c r="O2338" s="77" t="s">
        <v>179</v>
      </c>
      <c r="P2338" s="79">
        <v>45016.718414351853</v>
      </c>
      <c r="Q2338" s="77" t="s">
        <v>3546</v>
      </c>
      <c r="R2338" s="77">
        <v>0</v>
      </c>
      <c r="S2338" s="77">
        <v>0</v>
      </c>
      <c r="T2338" s="77">
        <v>0</v>
      </c>
      <c r="U2338" s="77">
        <v>0</v>
      </c>
      <c r="V2338" s="77">
        <v>1</v>
      </c>
      <c r="W2338" s="82" t="s">
        <v>5236</v>
      </c>
      <c r="X2338" s="80" t="str">
        <f>HYPERLINK("https://go.hotmart.com/B77468619P")</f>
        <v>https://go.hotmart.com/B77468619P</v>
      </c>
      <c r="Y2338" s="77" t="s">
        <v>7251</v>
      </c>
      <c r="Z2338" s="77"/>
      <c r="AA2338" s="77" t="s">
        <v>8787</v>
      </c>
      <c r="AB2338" s="77" t="s">
        <v>10130</v>
      </c>
      <c r="AC2338" s="82" t="s">
        <v>10168</v>
      </c>
      <c r="AD2338" s="77" t="s">
        <v>10184</v>
      </c>
      <c r="AE2338" s="80" t="str">
        <f>HYPERLINK("https://twitter.com/politicabr5/status/1641851477650964493")</f>
        <v>https://twitter.com/politicabr5/status/1641851477650964493</v>
      </c>
      <c r="AF2338" s="79">
        <v>45016.718414351853</v>
      </c>
      <c r="AG2338" s="85">
        <v>45016</v>
      </c>
      <c r="AH2338" s="82" t="s">
        <v>12431</v>
      </c>
      <c r="AI2338" s="77" t="b">
        <v>0</v>
      </c>
      <c r="AJ2338" s="77"/>
      <c r="AK2338" s="77"/>
      <c r="AL2338" s="77"/>
      <c r="AM2338" s="77"/>
      <c r="AN2338" s="77"/>
      <c r="AO2338" s="77"/>
      <c r="AP2338" s="77"/>
      <c r="AQ2338" s="77" t="s">
        <v>15430</v>
      </c>
      <c r="AR2338" s="77"/>
      <c r="AS2338" s="77"/>
      <c r="AT2338" s="77"/>
      <c r="AU2338" s="77"/>
      <c r="AV2338" s="80" t="str">
        <f>HYPERLINK("https://pbs.twimg.com/media/FskHLzHWACUkMTd.jpg")</f>
        <v>https://pbs.twimg.com/media/FskHLzHWACUkMTd.jpg</v>
      </c>
      <c r="AW2338" s="82" t="s">
        <v>19105</v>
      </c>
      <c r="AX2338" s="82" t="s">
        <v>19105</v>
      </c>
      <c r="AY2338" s="77"/>
      <c r="AZ2338" s="82" t="s">
        <v>20971</v>
      </c>
      <c r="BA2338" s="82" t="s">
        <v>20971</v>
      </c>
      <c r="BB2338" s="82" t="s">
        <v>20971</v>
      </c>
      <c r="BC2338" s="82" t="s">
        <v>19105</v>
      </c>
      <c r="BD2338" s="82" t="s">
        <v>21451</v>
      </c>
      <c r="BE2338" s="77"/>
      <c r="BF2338" s="77"/>
      <c r="BG2338" s="77"/>
      <c r="BH2338" s="77"/>
      <c r="BI2338" s="77"/>
    </row>
    <row r="2339" spans="1:61" x14ac:dyDescent="0.25">
      <c r="A2339" s="62" t="s">
        <v>816</v>
      </c>
      <c r="B2339" s="62" t="s">
        <v>816</v>
      </c>
      <c r="C2339" s="63"/>
      <c r="D2339" s="64"/>
      <c r="E2339" s="65"/>
      <c r="F2339" s="66"/>
      <c r="G2339" s="63"/>
      <c r="H2339" s="67"/>
      <c r="I2339" s="68"/>
      <c r="J2339" s="68"/>
      <c r="K2339" s="32"/>
      <c r="L2339" s="75">
        <v>2339</v>
      </c>
      <c r="M2339" s="75"/>
      <c r="N2339" s="70"/>
      <c r="O2339" s="77" t="s">
        <v>179</v>
      </c>
      <c r="P2339" s="79">
        <v>45029.873032407406</v>
      </c>
      <c r="Q2339" s="77" t="s">
        <v>3547</v>
      </c>
      <c r="R2339" s="77">
        <v>0</v>
      </c>
      <c r="S2339" s="77">
        <v>1</v>
      </c>
      <c r="T2339" s="77">
        <v>0</v>
      </c>
      <c r="U2339" s="77">
        <v>0</v>
      </c>
      <c r="V2339" s="77">
        <v>3</v>
      </c>
      <c r="W2339" s="82" t="s">
        <v>5236</v>
      </c>
      <c r="X2339" s="80" t="str">
        <f>HYPERLINK("https://go.hotmart.com/B77468619P")</f>
        <v>https://go.hotmart.com/B77468619P</v>
      </c>
      <c r="Y2339" s="77" t="s">
        <v>7251</v>
      </c>
      <c r="Z2339" s="77"/>
      <c r="AA2339" s="77" t="s">
        <v>8788</v>
      </c>
      <c r="AB2339" s="77" t="s">
        <v>10130</v>
      </c>
      <c r="AC2339" s="82" t="s">
        <v>10168</v>
      </c>
      <c r="AD2339" s="77" t="s">
        <v>10184</v>
      </c>
      <c r="AE2339" s="80" t="str">
        <f>HYPERLINK("https://twitter.com/politicabr5/status/1646618552441479168")</f>
        <v>https://twitter.com/politicabr5/status/1646618552441479168</v>
      </c>
      <c r="AF2339" s="79">
        <v>45029.873032407406</v>
      </c>
      <c r="AG2339" s="85">
        <v>45029</v>
      </c>
      <c r="AH2339" s="82" t="s">
        <v>12432</v>
      </c>
      <c r="AI2339" s="77" t="b">
        <v>0</v>
      </c>
      <c r="AJ2339" s="77"/>
      <c r="AK2339" s="77"/>
      <c r="AL2339" s="77"/>
      <c r="AM2339" s="77"/>
      <c r="AN2339" s="77"/>
      <c r="AO2339" s="77"/>
      <c r="AP2339" s="77"/>
      <c r="AQ2339" s="77" t="s">
        <v>15431</v>
      </c>
      <c r="AR2339" s="77"/>
      <c r="AS2339" s="77"/>
      <c r="AT2339" s="77"/>
      <c r="AU2339" s="77"/>
      <c r="AV2339" s="80" t="str">
        <f>HYPERLINK("https://pbs.twimg.com/media/Ftn2z0fXgAE75Wi.jpg")</f>
        <v>https://pbs.twimg.com/media/Ftn2z0fXgAE75Wi.jpg</v>
      </c>
      <c r="AW2339" s="82" t="s">
        <v>19106</v>
      </c>
      <c r="AX2339" s="82" t="s">
        <v>19106</v>
      </c>
      <c r="AY2339" s="77"/>
      <c r="AZ2339" s="82" t="s">
        <v>20971</v>
      </c>
      <c r="BA2339" s="82" t="s">
        <v>20971</v>
      </c>
      <c r="BB2339" s="82" t="s">
        <v>20971</v>
      </c>
      <c r="BC2339" s="82" t="s">
        <v>19106</v>
      </c>
      <c r="BD2339" s="82" t="s">
        <v>21451</v>
      </c>
      <c r="BE2339" s="77"/>
      <c r="BF2339" s="77"/>
      <c r="BG2339" s="77"/>
      <c r="BH2339" s="77"/>
      <c r="BI2339" s="77"/>
    </row>
    <row r="2340" spans="1:61" x14ac:dyDescent="0.25">
      <c r="A2340" s="62" t="s">
        <v>816</v>
      </c>
      <c r="B2340" s="62" t="s">
        <v>816</v>
      </c>
      <c r="C2340" s="63"/>
      <c r="D2340" s="64"/>
      <c r="E2340" s="65"/>
      <c r="F2340" s="66"/>
      <c r="G2340" s="63"/>
      <c r="H2340" s="67"/>
      <c r="I2340" s="68"/>
      <c r="J2340" s="68"/>
      <c r="K2340" s="32"/>
      <c r="L2340" s="75">
        <v>2340</v>
      </c>
      <c r="M2340" s="75"/>
      <c r="N2340" s="70"/>
      <c r="O2340" s="77" t="s">
        <v>179</v>
      </c>
      <c r="P2340" s="79">
        <v>45034.133263888885</v>
      </c>
      <c r="Q2340" s="77" t="s">
        <v>3548</v>
      </c>
      <c r="R2340" s="77">
        <v>0</v>
      </c>
      <c r="S2340" s="77">
        <v>0</v>
      </c>
      <c r="T2340" s="77">
        <v>0</v>
      </c>
      <c r="U2340" s="77">
        <v>0</v>
      </c>
      <c r="V2340" s="77">
        <v>1</v>
      </c>
      <c r="W2340" s="82" t="s">
        <v>5236</v>
      </c>
      <c r="X2340" s="80" t="str">
        <f>HYPERLINK("https://go.hotmart.com/B77468619P")</f>
        <v>https://go.hotmart.com/B77468619P</v>
      </c>
      <c r="Y2340" s="77" t="s">
        <v>7251</v>
      </c>
      <c r="Z2340" s="77"/>
      <c r="AA2340" s="77" t="s">
        <v>8789</v>
      </c>
      <c r="AB2340" s="77" t="s">
        <v>10130</v>
      </c>
      <c r="AC2340" s="82" t="s">
        <v>10168</v>
      </c>
      <c r="AD2340" s="77" t="s">
        <v>10184</v>
      </c>
      <c r="AE2340" s="80" t="str">
        <f>HYPERLINK("https://twitter.com/politicabr5/status/1648162410765615104")</f>
        <v>https://twitter.com/politicabr5/status/1648162410765615104</v>
      </c>
      <c r="AF2340" s="79">
        <v>45034.133263888885</v>
      </c>
      <c r="AG2340" s="85">
        <v>45034</v>
      </c>
      <c r="AH2340" s="82" t="s">
        <v>12433</v>
      </c>
      <c r="AI2340" s="77" t="b">
        <v>0</v>
      </c>
      <c r="AJ2340" s="77"/>
      <c r="AK2340" s="77"/>
      <c r="AL2340" s="77"/>
      <c r="AM2340" s="77"/>
      <c r="AN2340" s="77"/>
      <c r="AO2340" s="77"/>
      <c r="AP2340" s="77"/>
      <c r="AQ2340" s="77" t="s">
        <v>15432</v>
      </c>
      <c r="AR2340" s="77"/>
      <c r="AS2340" s="77"/>
      <c r="AT2340" s="77"/>
      <c r="AU2340" s="77"/>
      <c r="AV2340" s="80" t="str">
        <f>HYPERLINK("https://pbs.twimg.com/media/Ft9y8m0WcAAKBpK.jpg")</f>
        <v>https://pbs.twimg.com/media/Ft9y8m0WcAAKBpK.jpg</v>
      </c>
      <c r="AW2340" s="82" t="s">
        <v>19107</v>
      </c>
      <c r="AX2340" s="82" t="s">
        <v>19107</v>
      </c>
      <c r="AY2340" s="77"/>
      <c r="AZ2340" s="82" t="s">
        <v>20971</v>
      </c>
      <c r="BA2340" s="82" t="s">
        <v>20971</v>
      </c>
      <c r="BB2340" s="82" t="s">
        <v>20971</v>
      </c>
      <c r="BC2340" s="82" t="s">
        <v>19107</v>
      </c>
      <c r="BD2340" s="82" t="s">
        <v>21451</v>
      </c>
      <c r="BE2340" s="77"/>
      <c r="BF2340" s="77"/>
      <c r="BG2340" s="77"/>
      <c r="BH2340" s="77"/>
      <c r="BI2340" s="77"/>
    </row>
    <row r="2341" spans="1:61" x14ac:dyDescent="0.25">
      <c r="A2341" s="62" t="s">
        <v>816</v>
      </c>
      <c r="B2341" s="62" t="s">
        <v>816</v>
      </c>
      <c r="C2341" s="63"/>
      <c r="D2341" s="64"/>
      <c r="E2341" s="65"/>
      <c r="F2341" s="66"/>
      <c r="G2341" s="63"/>
      <c r="H2341" s="67"/>
      <c r="I2341" s="68"/>
      <c r="J2341" s="68"/>
      <c r="K2341" s="32"/>
      <c r="L2341" s="75">
        <v>2341</v>
      </c>
      <c r="M2341" s="75"/>
      <c r="N2341" s="70"/>
      <c r="O2341" s="77" t="s">
        <v>179</v>
      </c>
      <c r="P2341" s="79">
        <v>45021.27</v>
      </c>
      <c r="Q2341" s="77" t="s">
        <v>3549</v>
      </c>
      <c r="R2341" s="77">
        <v>0</v>
      </c>
      <c r="S2341" s="77">
        <v>0</v>
      </c>
      <c r="T2341" s="77">
        <v>0</v>
      </c>
      <c r="U2341" s="77">
        <v>0</v>
      </c>
      <c r="V2341" s="77"/>
      <c r="W2341" s="82" t="s">
        <v>5236</v>
      </c>
      <c r="X2341" s="80" t="str">
        <f>HYPERLINK("https://go.hotmart.com/B77468619P")</f>
        <v>https://go.hotmart.com/B77468619P</v>
      </c>
      <c r="Y2341" s="77" t="s">
        <v>7251</v>
      </c>
      <c r="Z2341" s="77"/>
      <c r="AA2341" s="77" t="s">
        <v>8790</v>
      </c>
      <c r="AB2341" s="77" t="s">
        <v>10130</v>
      </c>
      <c r="AC2341" s="82" t="s">
        <v>10168</v>
      </c>
      <c r="AD2341" s="77" t="s">
        <v>10184</v>
      </c>
      <c r="AE2341" s="80" t="str">
        <f>HYPERLINK("https://twitter.com/politicabr5/status/1643500919605063680")</f>
        <v>https://twitter.com/politicabr5/status/1643500919605063680</v>
      </c>
      <c r="AF2341" s="79">
        <v>45021.27</v>
      </c>
      <c r="AG2341" s="85">
        <v>45021</v>
      </c>
      <c r="AH2341" s="82" t="s">
        <v>12434</v>
      </c>
      <c r="AI2341" s="77" t="b">
        <v>0</v>
      </c>
      <c r="AJ2341" s="77"/>
      <c r="AK2341" s="77"/>
      <c r="AL2341" s="77"/>
      <c r="AM2341" s="77"/>
      <c r="AN2341" s="77"/>
      <c r="AO2341" s="77"/>
      <c r="AP2341" s="77"/>
      <c r="AQ2341" s="77" t="s">
        <v>15433</v>
      </c>
      <c r="AR2341" s="77"/>
      <c r="AS2341" s="77"/>
      <c r="AT2341" s="77"/>
      <c r="AU2341" s="77"/>
      <c r="AV2341" s="80" t="str">
        <f>HYPERLINK("https://pbs.twimg.com/media/Fs7jXEzWwAAC8P8.jpg")</f>
        <v>https://pbs.twimg.com/media/Fs7jXEzWwAAC8P8.jpg</v>
      </c>
      <c r="AW2341" s="82" t="s">
        <v>19108</v>
      </c>
      <c r="AX2341" s="82" t="s">
        <v>19108</v>
      </c>
      <c r="AY2341" s="77"/>
      <c r="AZ2341" s="82" t="s">
        <v>20971</v>
      </c>
      <c r="BA2341" s="82" t="s">
        <v>20971</v>
      </c>
      <c r="BB2341" s="82" t="s">
        <v>20971</v>
      </c>
      <c r="BC2341" s="82" t="s">
        <v>19108</v>
      </c>
      <c r="BD2341" s="82" t="s">
        <v>21451</v>
      </c>
      <c r="BE2341" s="77"/>
      <c r="BF2341" s="77"/>
      <c r="BG2341" s="77"/>
      <c r="BH2341" s="77"/>
      <c r="BI2341" s="77"/>
    </row>
    <row r="2342" spans="1:61" x14ac:dyDescent="0.25">
      <c r="A2342" s="62" t="s">
        <v>817</v>
      </c>
      <c r="B2342" s="62" t="s">
        <v>817</v>
      </c>
      <c r="C2342" s="63"/>
      <c r="D2342" s="64"/>
      <c r="E2342" s="65"/>
      <c r="F2342" s="66"/>
      <c r="G2342" s="63"/>
      <c r="H2342" s="67"/>
      <c r="I2342" s="68"/>
      <c r="J2342" s="68"/>
      <c r="K2342" s="32"/>
      <c r="L2342" s="75">
        <v>2342</v>
      </c>
      <c r="M2342" s="75"/>
      <c r="N2342" s="70"/>
      <c r="O2342" s="77" t="s">
        <v>179</v>
      </c>
      <c r="P2342" s="79">
        <v>45125.809155092589</v>
      </c>
      <c r="Q2342" s="77" t="s">
        <v>3550</v>
      </c>
      <c r="R2342" s="77">
        <v>0</v>
      </c>
      <c r="S2342" s="77">
        <v>0</v>
      </c>
      <c r="T2342" s="77">
        <v>0</v>
      </c>
      <c r="U2342" s="77">
        <v>0</v>
      </c>
      <c r="V2342" s="77">
        <v>113</v>
      </c>
      <c r="W2342" s="82" t="s">
        <v>6363</v>
      </c>
      <c r="X2342" s="80" t="str">
        <f>HYPERLINK("https://kiwify.app/EYQmOq1?afid=OIP9w7lu")</f>
        <v>https://kiwify.app/EYQmOq1?afid=OIP9w7lu</v>
      </c>
      <c r="Y2342" s="77" t="s">
        <v>7269</v>
      </c>
      <c r="Z2342" s="77"/>
      <c r="AA2342" s="77" t="s">
        <v>8791</v>
      </c>
      <c r="AB2342" s="77" t="s">
        <v>10130</v>
      </c>
      <c r="AC2342" s="82" t="s">
        <v>10144</v>
      </c>
      <c r="AD2342" s="77" t="s">
        <v>10184</v>
      </c>
      <c r="AE2342" s="80" t="str">
        <f>HYPERLINK("https://twitter.com/douradogamer2/status/1681384638269227008")</f>
        <v>https://twitter.com/douradogamer2/status/1681384638269227008</v>
      </c>
      <c r="AF2342" s="79">
        <v>45125.809155092589</v>
      </c>
      <c r="AG2342" s="85">
        <v>45125</v>
      </c>
      <c r="AH2342" s="82" t="s">
        <v>12435</v>
      </c>
      <c r="AI2342" s="77" t="b">
        <v>0</v>
      </c>
      <c r="AJ2342" s="77"/>
      <c r="AK2342" s="77"/>
      <c r="AL2342" s="77"/>
      <c r="AM2342" s="77"/>
      <c r="AN2342" s="77"/>
      <c r="AO2342" s="77"/>
      <c r="AP2342" s="77"/>
      <c r="AQ2342" s="77" t="s">
        <v>15434</v>
      </c>
      <c r="AR2342" s="77"/>
      <c r="AS2342" s="77"/>
      <c r="AT2342" s="77"/>
      <c r="AU2342" s="77"/>
      <c r="AV2342" s="80" t="str">
        <f>HYPERLINK("https://pbs.twimg.com/media/F1V6auGXwAAEnDD.jpg")</f>
        <v>https://pbs.twimg.com/media/F1V6auGXwAAEnDD.jpg</v>
      </c>
      <c r="AW2342" s="82" t="s">
        <v>19109</v>
      </c>
      <c r="AX2342" s="82" t="s">
        <v>19109</v>
      </c>
      <c r="AY2342" s="77"/>
      <c r="AZ2342" s="82" t="s">
        <v>20971</v>
      </c>
      <c r="BA2342" s="82" t="s">
        <v>20971</v>
      </c>
      <c r="BB2342" s="82" t="s">
        <v>20971</v>
      </c>
      <c r="BC2342" s="82" t="s">
        <v>19109</v>
      </c>
      <c r="BD2342" s="82" t="s">
        <v>21452</v>
      </c>
      <c r="BE2342" s="77"/>
      <c r="BF2342" s="77"/>
      <c r="BG2342" s="77"/>
      <c r="BH2342" s="77"/>
      <c r="BI2342" s="77"/>
    </row>
    <row r="2343" spans="1:61" x14ac:dyDescent="0.25">
      <c r="A2343" s="62" t="s">
        <v>817</v>
      </c>
      <c r="B2343" s="62" t="s">
        <v>817</v>
      </c>
      <c r="C2343" s="63"/>
      <c r="D2343" s="64"/>
      <c r="E2343" s="65"/>
      <c r="F2343" s="66"/>
      <c r="G2343" s="63"/>
      <c r="H2343" s="67"/>
      <c r="I2343" s="68"/>
      <c r="J2343" s="68"/>
      <c r="K2343" s="32"/>
      <c r="L2343" s="75">
        <v>2343</v>
      </c>
      <c r="M2343" s="75"/>
      <c r="N2343" s="70"/>
      <c r="O2343" s="77" t="s">
        <v>179</v>
      </c>
      <c r="P2343" s="79">
        <v>45104.828773148147</v>
      </c>
      <c r="Q2343" s="77" t="s">
        <v>3551</v>
      </c>
      <c r="R2343" s="77">
        <v>0</v>
      </c>
      <c r="S2343" s="77">
        <v>0</v>
      </c>
      <c r="T2343" s="77">
        <v>0</v>
      </c>
      <c r="U2343" s="77">
        <v>0</v>
      </c>
      <c r="V2343" s="77">
        <v>40</v>
      </c>
      <c r="W2343" s="82" t="s">
        <v>6364</v>
      </c>
      <c r="X2343" s="80" t="str">
        <f>HYPERLINK("https://pay.kiwify.com.br/a25IhiN?afid=jfuWUlz5")</f>
        <v>https://pay.kiwify.com.br/a25IhiN?afid=jfuWUlz5</v>
      </c>
      <c r="Y2343" s="77" t="s">
        <v>7252</v>
      </c>
      <c r="Z2343" s="77"/>
      <c r="AA2343" s="77" t="s">
        <v>8792</v>
      </c>
      <c r="AB2343" s="77" t="s">
        <v>10130</v>
      </c>
      <c r="AC2343" s="82" t="s">
        <v>10144</v>
      </c>
      <c r="AD2343" s="77" t="s">
        <v>10184</v>
      </c>
      <c r="AE2343" s="80" t="str">
        <f>HYPERLINK("https://twitter.com/douradogamer2/status/1673781602550259721")</f>
        <v>https://twitter.com/douradogamer2/status/1673781602550259721</v>
      </c>
      <c r="AF2343" s="79">
        <v>45104.828773148147</v>
      </c>
      <c r="AG2343" s="85">
        <v>45104</v>
      </c>
      <c r="AH2343" s="82" t="s">
        <v>12436</v>
      </c>
      <c r="AI2343" s="77" t="b">
        <v>0</v>
      </c>
      <c r="AJ2343" s="77"/>
      <c r="AK2343" s="77"/>
      <c r="AL2343" s="77"/>
      <c r="AM2343" s="77"/>
      <c r="AN2343" s="77"/>
      <c r="AO2343" s="77"/>
      <c r="AP2343" s="77"/>
      <c r="AQ2343" s="77" t="s">
        <v>15435</v>
      </c>
      <c r="AR2343" s="77"/>
      <c r="AS2343" s="77"/>
      <c r="AT2343" s="77"/>
      <c r="AU2343" s="77"/>
      <c r="AV2343" s="80" t="str">
        <f>HYPERLINK("https://pbs.twimg.com/media/Fzp3fweWYAAC1dU.jpg")</f>
        <v>https://pbs.twimg.com/media/Fzp3fweWYAAC1dU.jpg</v>
      </c>
      <c r="AW2343" s="82" t="s">
        <v>19110</v>
      </c>
      <c r="AX2343" s="82" t="s">
        <v>19110</v>
      </c>
      <c r="AY2343" s="77"/>
      <c r="AZ2343" s="82" t="s">
        <v>20971</v>
      </c>
      <c r="BA2343" s="82" t="s">
        <v>20971</v>
      </c>
      <c r="BB2343" s="82" t="s">
        <v>20971</v>
      </c>
      <c r="BC2343" s="82" t="s">
        <v>19110</v>
      </c>
      <c r="BD2343" s="82" t="s">
        <v>21452</v>
      </c>
      <c r="BE2343" s="77"/>
      <c r="BF2343" s="77"/>
      <c r="BG2343" s="77"/>
      <c r="BH2343" s="77"/>
      <c r="BI2343" s="77"/>
    </row>
    <row r="2344" spans="1:61" x14ac:dyDescent="0.25">
      <c r="A2344" s="62" t="s">
        <v>818</v>
      </c>
      <c r="B2344" s="62" t="s">
        <v>818</v>
      </c>
      <c r="C2344" s="63"/>
      <c r="D2344" s="64"/>
      <c r="E2344" s="65"/>
      <c r="F2344" s="66"/>
      <c r="G2344" s="63"/>
      <c r="H2344" s="67"/>
      <c r="I2344" s="68"/>
      <c r="J2344" s="68"/>
      <c r="K2344" s="32"/>
      <c r="L2344" s="75">
        <v>2344</v>
      </c>
      <c r="M2344" s="75"/>
      <c r="N2344" s="70"/>
      <c r="O2344" s="77" t="s">
        <v>179</v>
      </c>
      <c r="P2344" s="79">
        <v>45087.452175925922</v>
      </c>
      <c r="Q2344" s="77" t="s">
        <v>3552</v>
      </c>
      <c r="R2344" s="77">
        <v>0</v>
      </c>
      <c r="S2344" s="77">
        <v>0</v>
      </c>
      <c r="T2344" s="77">
        <v>0</v>
      </c>
      <c r="U2344" s="77">
        <v>0</v>
      </c>
      <c r="V2344" s="77">
        <v>313</v>
      </c>
      <c r="W2344" s="82" t="s">
        <v>6365</v>
      </c>
      <c r="X2344" s="77"/>
      <c r="Y2344" s="77"/>
      <c r="Z2344" s="77"/>
      <c r="AA2344" s="77" t="s">
        <v>8793</v>
      </c>
      <c r="AB2344" s="77" t="s">
        <v>10129</v>
      </c>
      <c r="AC2344" s="82" t="s">
        <v>10145</v>
      </c>
      <c r="AD2344" s="77" t="s">
        <v>10184</v>
      </c>
      <c r="AE2344" s="80" t="str">
        <f>HYPERLINK("https://twitter.com/pantera_tips365/status/1667484536832229376")</f>
        <v>https://twitter.com/pantera_tips365/status/1667484536832229376</v>
      </c>
      <c r="AF2344" s="79">
        <v>45087.452175925922</v>
      </c>
      <c r="AG2344" s="85">
        <v>45087</v>
      </c>
      <c r="AH2344" s="82" t="s">
        <v>12437</v>
      </c>
      <c r="AI2344" s="77" t="b">
        <v>0</v>
      </c>
      <c r="AJ2344" s="77"/>
      <c r="AK2344" s="77"/>
      <c r="AL2344" s="77"/>
      <c r="AM2344" s="77"/>
      <c r="AN2344" s="77"/>
      <c r="AO2344" s="77"/>
      <c r="AP2344" s="77"/>
      <c r="AQ2344" s="77" t="s">
        <v>15436</v>
      </c>
      <c r="AR2344" s="77">
        <v>15033</v>
      </c>
      <c r="AS2344" s="77"/>
      <c r="AT2344" s="77"/>
      <c r="AU2344" s="77"/>
      <c r="AV2344" s="80" t="str">
        <f>HYPERLINK("https://pbs.twimg.com/ext_tw_video_thumb/1667484462735581185/pu/img/STqt3G6iWhP66m0D.jpg")</f>
        <v>https://pbs.twimg.com/ext_tw_video_thumb/1667484462735581185/pu/img/STqt3G6iWhP66m0D.jpg</v>
      </c>
      <c r="AW2344" s="82" t="s">
        <v>19111</v>
      </c>
      <c r="AX2344" s="82" t="s">
        <v>19111</v>
      </c>
      <c r="AY2344" s="77"/>
      <c r="AZ2344" s="82" t="s">
        <v>20971</v>
      </c>
      <c r="BA2344" s="82" t="s">
        <v>20971</v>
      </c>
      <c r="BB2344" s="82" t="s">
        <v>20971</v>
      </c>
      <c r="BC2344" s="82" t="s">
        <v>19111</v>
      </c>
      <c r="BD2344" s="82" t="s">
        <v>21453</v>
      </c>
      <c r="BE2344" s="77"/>
      <c r="BF2344" s="77"/>
      <c r="BG2344" s="77"/>
      <c r="BH2344" s="77"/>
      <c r="BI2344" s="77"/>
    </row>
    <row r="2345" spans="1:61" x14ac:dyDescent="0.25">
      <c r="A2345" s="62" t="s">
        <v>819</v>
      </c>
      <c r="B2345" s="62" t="s">
        <v>819</v>
      </c>
      <c r="C2345" s="63"/>
      <c r="D2345" s="64"/>
      <c r="E2345" s="65"/>
      <c r="F2345" s="66"/>
      <c r="G2345" s="63"/>
      <c r="H2345" s="67"/>
      <c r="I2345" s="68"/>
      <c r="J2345" s="68"/>
      <c r="K2345" s="32"/>
      <c r="L2345" s="75">
        <v>2345</v>
      </c>
      <c r="M2345" s="75"/>
      <c r="N2345" s="70"/>
      <c r="O2345" s="77" t="s">
        <v>179</v>
      </c>
      <c r="P2345" s="79">
        <v>45045.595578703702</v>
      </c>
      <c r="Q2345" s="77" t="s">
        <v>3553</v>
      </c>
      <c r="R2345" s="77">
        <v>0</v>
      </c>
      <c r="S2345" s="77">
        <v>0</v>
      </c>
      <c r="T2345" s="77">
        <v>1</v>
      </c>
      <c r="U2345" s="77">
        <v>0</v>
      </c>
      <c r="V2345" s="77">
        <v>14</v>
      </c>
      <c r="W2345" s="82" t="s">
        <v>5236</v>
      </c>
      <c r="X2345" s="80" t="str">
        <f>HYPERLINK("https://dashboard.peer2profit.app/dashboard")</f>
        <v>https://dashboard.peer2profit.app/dashboard</v>
      </c>
      <c r="Y2345" s="77" t="s">
        <v>7409</v>
      </c>
      <c r="Z2345" s="77"/>
      <c r="AA2345" s="77"/>
      <c r="AB2345" s="77"/>
      <c r="AC2345" s="82" t="s">
        <v>10144</v>
      </c>
      <c r="AD2345" s="77" t="s">
        <v>10184</v>
      </c>
      <c r="AE2345" s="80" t="str">
        <f>HYPERLINK("https://twitter.com/abraaocbscripto/status/1652316213685485569")</f>
        <v>https://twitter.com/abraaocbscripto/status/1652316213685485569</v>
      </c>
      <c r="AF2345" s="79">
        <v>45045.595578703702</v>
      </c>
      <c r="AG2345" s="85">
        <v>45045</v>
      </c>
      <c r="AH2345" s="82" t="s">
        <v>12438</v>
      </c>
      <c r="AI2345" s="77" t="b">
        <v>0</v>
      </c>
      <c r="AJ2345" s="77"/>
      <c r="AK2345" s="77"/>
      <c r="AL2345" s="77"/>
      <c r="AM2345" s="77"/>
      <c r="AN2345" s="77"/>
      <c r="AO2345" s="77"/>
      <c r="AP2345" s="77"/>
      <c r="AQ2345" s="77"/>
      <c r="AR2345" s="77"/>
      <c r="AS2345" s="77"/>
      <c r="AT2345" s="77"/>
      <c r="AU2345" s="77"/>
      <c r="AV2345" s="80" t="str">
        <f>HYPERLINK("https://pbs.twimg.com/profile_images/1649373042148007938/WlI68ljE_normal.png")</f>
        <v>https://pbs.twimg.com/profile_images/1649373042148007938/WlI68ljE_normal.png</v>
      </c>
      <c r="AW2345" s="82" t="s">
        <v>19112</v>
      </c>
      <c r="AX2345" s="82" t="s">
        <v>19112</v>
      </c>
      <c r="AY2345" s="77"/>
      <c r="AZ2345" s="82" t="s">
        <v>20971</v>
      </c>
      <c r="BA2345" s="82" t="s">
        <v>20971</v>
      </c>
      <c r="BB2345" s="82" t="s">
        <v>20971</v>
      </c>
      <c r="BC2345" s="82" t="s">
        <v>19112</v>
      </c>
      <c r="BD2345" s="82" t="s">
        <v>21454</v>
      </c>
      <c r="BE2345" s="77"/>
      <c r="BF2345" s="77"/>
      <c r="BG2345" s="77"/>
      <c r="BH2345" s="77"/>
      <c r="BI2345" s="77"/>
    </row>
    <row r="2346" spans="1:61" x14ac:dyDescent="0.25">
      <c r="A2346" s="62" t="s">
        <v>820</v>
      </c>
      <c r="B2346" s="62" t="s">
        <v>820</v>
      </c>
      <c r="C2346" s="63"/>
      <c r="D2346" s="64"/>
      <c r="E2346" s="65"/>
      <c r="F2346" s="66"/>
      <c r="G2346" s="63"/>
      <c r="H2346" s="67"/>
      <c r="I2346" s="68"/>
      <c r="J2346" s="68"/>
      <c r="K2346" s="32"/>
      <c r="L2346" s="75">
        <v>2346</v>
      </c>
      <c r="M2346" s="75"/>
      <c r="N2346" s="70"/>
      <c r="O2346" s="77" t="s">
        <v>179</v>
      </c>
      <c r="P2346" s="79">
        <v>45130.004699074074</v>
      </c>
      <c r="Q2346" s="77" t="s">
        <v>3554</v>
      </c>
      <c r="R2346" s="77">
        <v>0</v>
      </c>
      <c r="S2346" s="77">
        <v>0</v>
      </c>
      <c r="T2346" s="77">
        <v>0</v>
      </c>
      <c r="U2346" s="77">
        <v>0</v>
      </c>
      <c r="V2346" s="77">
        <v>25</v>
      </c>
      <c r="W2346" s="82" t="s">
        <v>6366</v>
      </c>
      <c r="X2346" s="80" t="str">
        <f>HYPERLINK("https://bc.ai/i-brliqn4l3nn-n/?p=https://raf.bc.ai/")</f>
        <v>https://bc.ai/i-brliqn4l3nn-n/?p=https://raf.bc.ai/</v>
      </c>
      <c r="Y2346" s="77" t="s">
        <v>7277</v>
      </c>
      <c r="Z2346" s="77"/>
      <c r="AA2346" s="77"/>
      <c r="AB2346" s="77"/>
      <c r="AC2346" s="82" t="s">
        <v>10144</v>
      </c>
      <c r="AD2346" s="77" t="s">
        <v>10184</v>
      </c>
      <c r="AE2346" s="80" t="str">
        <f>HYPERLINK("https://twitter.com/renatarabachim/status/1682905053282091008")</f>
        <v>https://twitter.com/renatarabachim/status/1682905053282091008</v>
      </c>
      <c r="AF2346" s="79">
        <v>45130.004699074074</v>
      </c>
      <c r="AG2346" s="85">
        <v>45130</v>
      </c>
      <c r="AH2346" s="82" t="s">
        <v>12439</v>
      </c>
      <c r="AI2346" s="77" t="b">
        <v>0</v>
      </c>
      <c r="AJ2346" s="77"/>
      <c r="AK2346" s="77"/>
      <c r="AL2346" s="77"/>
      <c r="AM2346" s="77"/>
      <c r="AN2346" s="77"/>
      <c r="AO2346" s="77"/>
      <c r="AP2346" s="77"/>
      <c r="AQ2346" s="77"/>
      <c r="AR2346" s="77"/>
      <c r="AS2346" s="77"/>
      <c r="AT2346" s="77"/>
      <c r="AU2346" s="77"/>
      <c r="AV2346" s="80" t="str">
        <f>HYPERLINK("https://pbs.twimg.com/profile_images/1575908570134085632/r-a37Dms_normal.jpg")</f>
        <v>https://pbs.twimg.com/profile_images/1575908570134085632/r-a37Dms_normal.jpg</v>
      </c>
      <c r="AW2346" s="82" t="s">
        <v>19113</v>
      </c>
      <c r="AX2346" s="82" t="s">
        <v>19113</v>
      </c>
      <c r="AY2346" s="77"/>
      <c r="AZ2346" s="82" t="s">
        <v>20971</v>
      </c>
      <c r="BA2346" s="82" t="s">
        <v>20971</v>
      </c>
      <c r="BB2346" s="82" t="s">
        <v>20971</v>
      </c>
      <c r="BC2346" s="82" t="s">
        <v>19113</v>
      </c>
      <c r="BD2346" s="77">
        <v>194067566</v>
      </c>
      <c r="BE2346" s="77"/>
      <c r="BF2346" s="77"/>
      <c r="BG2346" s="77"/>
      <c r="BH2346" s="77"/>
      <c r="BI2346" s="77"/>
    </row>
    <row r="2347" spans="1:61" x14ac:dyDescent="0.25">
      <c r="A2347" s="62" t="s">
        <v>821</v>
      </c>
      <c r="B2347" s="62" t="s">
        <v>821</v>
      </c>
      <c r="C2347" s="63"/>
      <c r="D2347" s="64"/>
      <c r="E2347" s="65"/>
      <c r="F2347" s="66"/>
      <c r="G2347" s="63"/>
      <c r="H2347" s="67"/>
      <c r="I2347" s="68"/>
      <c r="J2347" s="68"/>
      <c r="K2347" s="32"/>
      <c r="L2347" s="75">
        <v>2347</v>
      </c>
      <c r="M2347" s="75"/>
      <c r="N2347" s="70"/>
      <c r="O2347" s="77" t="s">
        <v>179</v>
      </c>
      <c r="P2347" s="79">
        <v>45130.901550925926</v>
      </c>
      <c r="Q2347" s="77" t="s">
        <v>3555</v>
      </c>
      <c r="R2347" s="77">
        <v>0</v>
      </c>
      <c r="S2347" s="77">
        <v>0</v>
      </c>
      <c r="T2347" s="77">
        <v>0</v>
      </c>
      <c r="U2347" s="77">
        <v>0</v>
      </c>
      <c r="V2347" s="77">
        <v>11</v>
      </c>
      <c r="W2347" s="82" t="s">
        <v>6367</v>
      </c>
      <c r="X2347" s="80" t="str">
        <f>HYPERLINK("https://felinodelia.com/2023/07/23/ganhe-dinheiro-indicando-produtos-pet/")</f>
        <v>https://felinodelia.com/2023/07/23/ganhe-dinheiro-indicando-produtos-pet/</v>
      </c>
      <c r="Y2347" s="77" t="s">
        <v>7410</v>
      </c>
      <c r="Z2347" s="77"/>
      <c r="AA2347" s="77"/>
      <c r="AB2347" s="77"/>
      <c r="AC2347" s="82" t="s">
        <v>10144</v>
      </c>
      <c r="AD2347" s="77" t="s">
        <v>10184</v>
      </c>
      <c r="AE2347" s="80" t="str">
        <f>HYPERLINK("https://twitter.com/felinodelia/status/1683230061577609218")</f>
        <v>https://twitter.com/felinodelia/status/1683230061577609218</v>
      </c>
      <c r="AF2347" s="79">
        <v>45130.901550925926</v>
      </c>
      <c r="AG2347" s="85">
        <v>45130</v>
      </c>
      <c r="AH2347" s="82" t="s">
        <v>12440</v>
      </c>
      <c r="AI2347" s="77" t="b">
        <v>0</v>
      </c>
      <c r="AJ2347" s="77"/>
      <c r="AK2347" s="77"/>
      <c r="AL2347" s="77"/>
      <c r="AM2347" s="77"/>
      <c r="AN2347" s="77"/>
      <c r="AO2347" s="77"/>
      <c r="AP2347" s="77"/>
      <c r="AQ2347" s="77"/>
      <c r="AR2347" s="77"/>
      <c r="AS2347" s="77"/>
      <c r="AT2347" s="77"/>
      <c r="AU2347" s="77"/>
      <c r="AV2347" s="80" t="str">
        <f>HYPERLINK("https://pbs.twimg.com/profile_images/1166434579131064320/qXowbHuA_normal.jpg")</f>
        <v>https://pbs.twimg.com/profile_images/1166434579131064320/qXowbHuA_normal.jpg</v>
      </c>
      <c r="AW2347" s="82" t="s">
        <v>19114</v>
      </c>
      <c r="AX2347" s="82" t="s">
        <v>19114</v>
      </c>
      <c r="AY2347" s="77"/>
      <c r="AZ2347" s="82" t="s">
        <v>20971</v>
      </c>
      <c r="BA2347" s="82" t="s">
        <v>20971</v>
      </c>
      <c r="BB2347" s="82" t="s">
        <v>20971</v>
      </c>
      <c r="BC2347" s="82" t="s">
        <v>19114</v>
      </c>
      <c r="BD2347" s="82" t="s">
        <v>21455</v>
      </c>
      <c r="BE2347" s="77"/>
      <c r="BF2347" s="77"/>
      <c r="BG2347" s="77"/>
      <c r="BH2347" s="77"/>
      <c r="BI2347" s="77"/>
    </row>
    <row r="2348" spans="1:61" x14ac:dyDescent="0.25">
      <c r="A2348" s="62" t="s">
        <v>822</v>
      </c>
      <c r="B2348" s="62" t="s">
        <v>1266</v>
      </c>
      <c r="C2348" s="63"/>
      <c r="D2348" s="64"/>
      <c r="E2348" s="65"/>
      <c r="F2348" s="66"/>
      <c r="G2348" s="63"/>
      <c r="H2348" s="67"/>
      <c r="I2348" s="68"/>
      <c r="J2348" s="68"/>
      <c r="K2348" s="32"/>
      <c r="L2348" s="75">
        <v>2348</v>
      </c>
      <c r="M2348" s="75"/>
      <c r="N2348" s="70"/>
      <c r="O2348" s="77" t="s">
        <v>1284</v>
      </c>
      <c r="P2348" s="79">
        <v>45085.95553240741</v>
      </c>
      <c r="Q2348" s="77" t="s">
        <v>3556</v>
      </c>
      <c r="R2348" s="77">
        <v>0</v>
      </c>
      <c r="S2348" s="77">
        <v>12</v>
      </c>
      <c r="T2348" s="77">
        <v>1</v>
      </c>
      <c r="U2348" s="77">
        <v>0</v>
      </c>
      <c r="V2348" s="77">
        <v>261</v>
      </c>
      <c r="W2348" s="82" t="s">
        <v>5252</v>
      </c>
      <c r="X2348" s="77"/>
      <c r="Y2348" s="77"/>
      <c r="Z2348" s="77" t="s">
        <v>7505</v>
      </c>
      <c r="AA2348" s="77"/>
      <c r="AB2348" s="77"/>
      <c r="AC2348" s="82" t="s">
        <v>10144</v>
      </c>
      <c r="AD2348" s="77" t="s">
        <v>10184</v>
      </c>
      <c r="AE2348" s="80" t="str">
        <f>HYPERLINK("https://twitter.com/ayeskacarriao1/status/1666942170824056843")</f>
        <v>https://twitter.com/ayeskacarriao1/status/1666942170824056843</v>
      </c>
      <c r="AF2348" s="79">
        <v>45085.95553240741</v>
      </c>
      <c r="AG2348" s="85">
        <v>45085</v>
      </c>
      <c r="AH2348" s="82" t="s">
        <v>12441</v>
      </c>
      <c r="AI2348" s="77"/>
      <c r="AJ2348" s="77"/>
      <c r="AK2348" s="77"/>
      <c r="AL2348" s="77"/>
      <c r="AM2348" s="77"/>
      <c r="AN2348" s="77"/>
      <c r="AO2348" s="77"/>
      <c r="AP2348" s="77"/>
      <c r="AQ2348" s="77"/>
      <c r="AR2348" s="77"/>
      <c r="AS2348" s="77"/>
      <c r="AT2348" s="77"/>
      <c r="AU2348" s="77"/>
      <c r="AV2348" s="80" t="str">
        <f>HYPERLINK("https://pbs.twimg.com/profile_images/1583147966847762433/FIslCnNa_normal.jpg")</f>
        <v>https://pbs.twimg.com/profile_images/1583147966847762433/FIslCnNa_normal.jpg</v>
      </c>
      <c r="AW2348" s="82" t="s">
        <v>19115</v>
      </c>
      <c r="AX2348" s="82" t="s">
        <v>20868</v>
      </c>
      <c r="AY2348" s="82" t="s">
        <v>20951</v>
      </c>
      <c r="AZ2348" s="82" t="s">
        <v>20868</v>
      </c>
      <c r="BA2348" s="82" t="s">
        <v>20971</v>
      </c>
      <c r="BB2348" s="82" t="s">
        <v>20971</v>
      </c>
      <c r="BC2348" s="82" t="s">
        <v>20868</v>
      </c>
      <c r="BD2348" s="82" t="s">
        <v>21456</v>
      </c>
      <c r="BE2348" s="77"/>
      <c r="BF2348" s="77"/>
      <c r="BG2348" s="77"/>
      <c r="BH2348" s="77"/>
      <c r="BI2348" s="77"/>
    </row>
    <row r="2349" spans="1:61" x14ac:dyDescent="0.25">
      <c r="A2349" s="62" t="s">
        <v>822</v>
      </c>
      <c r="B2349" s="62" t="s">
        <v>1240</v>
      </c>
      <c r="C2349" s="63"/>
      <c r="D2349" s="64"/>
      <c r="E2349" s="65"/>
      <c r="F2349" s="66"/>
      <c r="G2349" s="63"/>
      <c r="H2349" s="67"/>
      <c r="I2349" s="68"/>
      <c r="J2349" s="68"/>
      <c r="K2349" s="32"/>
      <c r="L2349" s="75">
        <v>2349</v>
      </c>
      <c r="M2349" s="75"/>
      <c r="N2349" s="70"/>
      <c r="O2349" s="77" t="s">
        <v>1288</v>
      </c>
      <c r="P2349" s="79">
        <v>45085.95553240741</v>
      </c>
      <c r="Q2349" s="77" t="s">
        <v>3556</v>
      </c>
      <c r="R2349" s="77">
        <v>0</v>
      </c>
      <c r="S2349" s="77">
        <v>12</v>
      </c>
      <c r="T2349" s="77">
        <v>1</v>
      </c>
      <c r="U2349" s="77">
        <v>0</v>
      </c>
      <c r="V2349" s="77">
        <v>261</v>
      </c>
      <c r="W2349" s="82" t="s">
        <v>5252</v>
      </c>
      <c r="X2349" s="77"/>
      <c r="Y2349" s="77"/>
      <c r="Z2349" s="77" t="s">
        <v>7505</v>
      </c>
      <c r="AA2349" s="77"/>
      <c r="AB2349" s="77"/>
      <c r="AC2349" s="82" t="s">
        <v>10144</v>
      </c>
      <c r="AD2349" s="77" t="s">
        <v>10184</v>
      </c>
      <c r="AE2349" s="80" t="str">
        <f>HYPERLINK("https://twitter.com/ayeskacarriao1/status/1666942170824056843")</f>
        <v>https://twitter.com/ayeskacarriao1/status/1666942170824056843</v>
      </c>
      <c r="AF2349" s="79">
        <v>45085.95553240741</v>
      </c>
      <c r="AG2349" s="85">
        <v>45085</v>
      </c>
      <c r="AH2349" s="82" t="s">
        <v>12441</v>
      </c>
      <c r="AI2349" s="77"/>
      <c r="AJ2349" s="77"/>
      <c r="AK2349" s="77"/>
      <c r="AL2349" s="77"/>
      <c r="AM2349" s="77"/>
      <c r="AN2349" s="77"/>
      <c r="AO2349" s="77"/>
      <c r="AP2349" s="77"/>
      <c r="AQ2349" s="77"/>
      <c r="AR2349" s="77"/>
      <c r="AS2349" s="77"/>
      <c r="AT2349" s="77"/>
      <c r="AU2349" s="77"/>
      <c r="AV2349" s="80" t="str">
        <f>HYPERLINK("https://pbs.twimg.com/profile_images/1583147966847762433/FIslCnNa_normal.jpg")</f>
        <v>https://pbs.twimg.com/profile_images/1583147966847762433/FIslCnNa_normal.jpg</v>
      </c>
      <c r="AW2349" s="82" t="s">
        <v>19115</v>
      </c>
      <c r="AX2349" s="82" t="s">
        <v>20868</v>
      </c>
      <c r="AY2349" s="82" t="s">
        <v>20951</v>
      </c>
      <c r="AZ2349" s="82" t="s">
        <v>20868</v>
      </c>
      <c r="BA2349" s="82" t="s">
        <v>20971</v>
      </c>
      <c r="BB2349" s="82" t="s">
        <v>20971</v>
      </c>
      <c r="BC2349" s="82" t="s">
        <v>20868</v>
      </c>
      <c r="BD2349" s="82" t="s">
        <v>21456</v>
      </c>
      <c r="BE2349" s="77"/>
      <c r="BF2349" s="77"/>
      <c r="BG2349" s="77"/>
      <c r="BH2349" s="77"/>
      <c r="BI2349" s="77"/>
    </row>
    <row r="2350" spans="1:61" x14ac:dyDescent="0.25">
      <c r="A2350" s="62" t="s">
        <v>823</v>
      </c>
      <c r="B2350" s="62" t="s">
        <v>823</v>
      </c>
      <c r="C2350" s="63"/>
      <c r="D2350" s="64"/>
      <c r="E2350" s="65"/>
      <c r="F2350" s="66"/>
      <c r="G2350" s="63"/>
      <c r="H2350" s="67"/>
      <c r="I2350" s="68"/>
      <c r="J2350" s="68"/>
      <c r="K2350" s="32"/>
      <c r="L2350" s="75">
        <v>2350</v>
      </c>
      <c r="M2350" s="75"/>
      <c r="N2350" s="70"/>
      <c r="O2350" s="77" t="s">
        <v>179</v>
      </c>
      <c r="P2350" s="79">
        <v>45002.217361111114</v>
      </c>
      <c r="Q2350" s="77" t="s">
        <v>3557</v>
      </c>
      <c r="R2350" s="77">
        <v>0</v>
      </c>
      <c r="S2350" s="77">
        <v>0</v>
      </c>
      <c r="T2350" s="77">
        <v>1</v>
      </c>
      <c r="U2350" s="77">
        <v>0</v>
      </c>
      <c r="V2350" s="77">
        <v>74</v>
      </c>
      <c r="W2350" s="82" t="s">
        <v>6368</v>
      </c>
      <c r="X2350" s="77"/>
      <c r="Y2350" s="77"/>
      <c r="Z2350" s="77"/>
      <c r="AA2350" s="77" t="s">
        <v>8794</v>
      </c>
      <c r="AB2350" s="77" t="s">
        <v>10129</v>
      </c>
      <c r="AC2350" s="82" t="s">
        <v>10144</v>
      </c>
      <c r="AD2350" s="77" t="s">
        <v>10184</v>
      </c>
      <c r="AE2350" s="80" t="str">
        <f>HYPERLINK("https://twitter.com/sales_marketi/status/1636596472199233537")</f>
        <v>https://twitter.com/sales_marketi/status/1636596472199233537</v>
      </c>
      <c r="AF2350" s="79">
        <v>45002.217361111114</v>
      </c>
      <c r="AG2350" s="85">
        <v>45002</v>
      </c>
      <c r="AH2350" s="82" t="s">
        <v>12442</v>
      </c>
      <c r="AI2350" s="77" t="b">
        <v>0</v>
      </c>
      <c r="AJ2350" s="77"/>
      <c r="AK2350" s="77"/>
      <c r="AL2350" s="77"/>
      <c r="AM2350" s="77"/>
      <c r="AN2350" s="77"/>
      <c r="AO2350" s="77"/>
      <c r="AP2350" s="77"/>
      <c r="AQ2350" s="77" t="s">
        <v>15437</v>
      </c>
      <c r="AR2350" s="77">
        <v>14966</v>
      </c>
      <c r="AS2350" s="77"/>
      <c r="AT2350" s="77"/>
      <c r="AU2350" s="77"/>
      <c r="AV2350" s="80" t="str">
        <f>HYPERLINK("https://pbs.twimg.com/ext_tw_video_thumb/1636596439114448896/pu/img/unjAGa5ftd7nVKmS.jpg")</f>
        <v>https://pbs.twimg.com/ext_tw_video_thumb/1636596439114448896/pu/img/unjAGa5ftd7nVKmS.jpg</v>
      </c>
      <c r="AW2350" s="82" t="s">
        <v>19116</v>
      </c>
      <c r="AX2350" s="82" t="s">
        <v>19116</v>
      </c>
      <c r="AY2350" s="77"/>
      <c r="AZ2350" s="82" t="s">
        <v>20971</v>
      </c>
      <c r="BA2350" s="82" t="s">
        <v>20971</v>
      </c>
      <c r="BB2350" s="82" t="s">
        <v>20971</v>
      </c>
      <c r="BC2350" s="82" t="s">
        <v>19116</v>
      </c>
      <c r="BD2350" s="82" t="s">
        <v>21457</v>
      </c>
      <c r="BE2350" s="77"/>
      <c r="BF2350" s="77"/>
      <c r="BG2350" s="77"/>
      <c r="BH2350" s="77"/>
      <c r="BI2350" s="77"/>
    </row>
    <row r="2351" spans="1:61" x14ac:dyDescent="0.25">
      <c r="A2351" s="62" t="s">
        <v>823</v>
      </c>
      <c r="B2351" s="62" t="s">
        <v>823</v>
      </c>
      <c r="C2351" s="63"/>
      <c r="D2351" s="64"/>
      <c r="E2351" s="65"/>
      <c r="F2351" s="66"/>
      <c r="G2351" s="63"/>
      <c r="H2351" s="67"/>
      <c r="I2351" s="68"/>
      <c r="J2351" s="68"/>
      <c r="K2351" s="32"/>
      <c r="L2351" s="75">
        <v>2351</v>
      </c>
      <c r="M2351" s="75"/>
      <c r="N2351" s="70"/>
      <c r="O2351" s="77" t="s">
        <v>179</v>
      </c>
      <c r="P2351" s="79">
        <v>45002.215532407405</v>
      </c>
      <c r="Q2351" s="77" t="s">
        <v>3558</v>
      </c>
      <c r="R2351" s="77">
        <v>1</v>
      </c>
      <c r="S2351" s="77">
        <v>1</v>
      </c>
      <c r="T2351" s="77">
        <v>2</v>
      </c>
      <c r="U2351" s="77">
        <v>0</v>
      </c>
      <c r="V2351" s="77">
        <v>162</v>
      </c>
      <c r="W2351" s="82" t="s">
        <v>6369</v>
      </c>
      <c r="X2351" s="77"/>
      <c r="Y2351" s="77"/>
      <c r="Z2351" s="77"/>
      <c r="AA2351" s="77" t="s">
        <v>8795</v>
      </c>
      <c r="AB2351" s="77" t="s">
        <v>10129</v>
      </c>
      <c r="AC2351" s="82" t="s">
        <v>10144</v>
      </c>
      <c r="AD2351" s="77" t="s">
        <v>10184</v>
      </c>
      <c r="AE2351" s="80" t="str">
        <f>HYPERLINK("https://twitter.com/sales_marketi/status/1636595812598796288")</f>
        <v>https://twitter.com/sales_marketi/status/1636595812598796288</v>
      </c>
      <c r="AF2351" s="79">
        <v>45002.215532407405</v>
      </c>
      <c r="AG2351" s="85">
        <v>45002</v>
      </c>
      <c r="AH2351" s="82" t="s">
        <v>12443</v>
      </c>
      <c r="AI2351" s="77" t="b">
        <v>0</v>
      </c>
      <c r="AJ2351" s="77"/>
      <c r="AK2351" s="77"/>
      <c r="AL2351" s="77"/>
      <c r="AM2351" s="77"/>
      <c r="AN2351" s="77"/>
      <c r="AO2351" s="77"/>
      <c r="AP2351" s="77"/>
      <c r="AQ2351" s="77" t="s">
        <v>15438</v>
      </c>
      <c r="AR2351" s="77">
        <v>10066</v>
      </c>
      <c r="AS2351" s="77"/>
      <c r="AT2351" s="77"/>
      <c r="AU2351" s="77"/>
      <c r="AV2351" s="80" t="str">
        <f>HYPERLINK("https://pbs.twimg.com/ext_tw_video_thumb/1636595771133788165/pu/img/WmqVf1h2YksqMrV0.jpg")</f>
        <v>https://pbs.twimg.com/ext_tw_video_thumb/1636595771133788165/pu/img/WmqVf1h2YksqMrV0.jpg</v>
      </c>
      <c r="AW2351" s="82" t="s">
        <v>19117</v>
      </c>
      <c r="AX2351" s="82" t="s">
        <v>19117</v>
      </c>
      <c r="AY2351" s="77"/>
      <c r="AZ2351" s="82" t="s">
        <v>20971</v>
      </c>
      <c r="BA2351" s="82" t="s">
        <v>20971</v>
      </c>
      <c r="BB2351" s="82" t="s">
        <v>20971</v>
      </c>
      <c r="BC2351" s="82" t="s">
        <v>19117</v>
      </c>
      <c r="BD2351" s="82" t="s">
        <v>21457</v>
      </c>
      <c r="BE2351" s="77"/>
      <c r="BF2351" s="77"/>
      <c r="BG2351" s="77"/>
      <c r="BH2351" s="77"/>
      <c r="BI2351" s="77"/>
    </row>
    <row r="2352" spans="1:61" x14ac:dyDescent="0.25">
      <c r="A2352" s="62" t="s">
        <v>824</v>
      </c>
      <c r="B2352" s="62" t="s">
        <v>824</v>
      </c>
      <c r="C2352" s="63"/>
      <c r="D2352" s="64"/>
      <c r="E2352" s="65"/>
      <c r="F2352" s="66"/>
      <c r="G2352" s="63"/>
      <c r="H2352" s="67"/>
      <c r="I2352" s="68"/>
      <c r="J2352" s="68"/>
      <c r="K2352" s="32"/>
      <c r="L2352" s="75">
        <v>2352</v>
      </c>
      <c r="M2352" s="75"/>
      <c r="N2352" s="70"/>
      <c r="O2352" s="77" t="s">
        <v>179</v>
      </c>
      <c r="P2352" s="79">
        <v>45145.650578703702</v>
      </c>
      <c r="Q2352" s="77" t="s">
        <v>3559</v>
      </c>
      <c r="R2352" s="77">
        <v>0</v>
      </c>
      <c r="S2352" s="77">
        <v>0</v>
      </c>
      <c r="T2352" s="77">
        <v>0</v>
      </c>
      <c r="U2352" s="77">
        <v>0</v>
      </c>
      <c r="V2352" s="77">
        <v>72</v>
      </c>
      <c r="W2352" s="82" t="s">
        <v>6370</v>
      </c>
      <c r="X2352" s="80" t="str">
        <f>HYPERLINK("https://www.144bet6.com/?id=66407890")</f>
        <v>https://www.144bet6.com/?id=66407890</v>
      </c>
      <c r="Y2352" s="77" t="s">
        <v>7411</v>
      </c>
      <c r="Z2352" s="77"/>
      <c r="AA2352" s="77" t="s">
        <v>8796</v>
      </c>
      <c r="AB2352" s="77" t="s">
        <v>10128</v>
      </c>
      <c r="AC2352" s="82" t="s">
        <v>10146</v>
      </c>
      <c r="AD2352" s="77" t="s">
        <v>10184</v>
      </c>
      <c r="AE2352" s="80" t="str">
        <f>HYPERLINK("https://twitter.com/joaoclashroyal2/status/1688574931229913088")</f>
        <v>https://twitter.com/joaoclashroyal2/status/1688574931229913088</v>
      </c>
      <c r="AF2352" s="79">
        <v>45145.650578703702</v>
      </c>
      <c r="AG2352" s="85">
        <v>45145</v>
      </c>
      <c r="AH2352" s="82" t="s">
        <v>12444</v>
      </c>
      <c r="AI2352" s="77" t="b">
        <v>0</v>
      </c>
      <c r="AJ2352" s="77"/>
      <c r="AK2352" s="77"/>
      <c r="AL2352" s="77"/>
      <c r="AM2352" s="77"/>
      <c r="AN2352" s="77"/>
      <c r="AO2352" s="77"/>
      <c r="AP2352" s="77"/>
      <c r="AQ2352" s="77" t="s">
        <v>15439</v>
      </c>
      <c r="AR2352" s="77"/>
      <c r="AS2352" s="77"/>
      <c r="AT2352" s="77"/>
      <c r="AU2352" s="77"/>
      <c r="AV2352" s="80" t="str">
        <f>HYPERLINK("https://pbs.twimg.com/media/F28Fl5XXYAAqeVM.jpg")</f>
        <v>https://pbs.twimg.com/media/F28Fl5XXYAAqeVM.jpg</v>
      </c>
      <c r="AW2352" s="82" t="s">
        <v>19118</v>
      </c>
      <c r="AX2352" s="82" t="s">
        <v>19118</v>
      </c>
      <c r="AY2352" s="77"/>
      <c r="AZ2352" s="82" t="s">
        <v>20971</v>
      </c>
      <c r="BA2352" s="82" t="s">
        <v>20971</v>
      </c>
      <c r="BB2352" s="82" t="s">
        <v>20971</v>
      </c>
      <c r="BC2352" s="82" t="s">
        <v>19118</v>
      </c>
      <c r="BD2352" s="82" t="s">
        <v>21458</v>
      </c>
      <c r="BE2352" s="77"/>
      <c r="BF2352" s="77"/>
      <c r="BG2352" s="77"/>
      <c r="BH2352" s="77"/>
      <c r="BI2352" s="77"/>
    </row>
    <row r="2353" spans="1:61" x14ac:dyDescent="0.25">
      <c r="A2353" s="62" t="s">
        <v>825</v>
      </c>
      <c r="B2353" s="62" t="s">
        <v>825</v>
      </c>
      <c r="C2353" s="63"/>
      <c r="D2353" s="64"/>
      <c r="E2353" s="65"/>
      <c r="F2353" s="66"/>
      <c r="G2353" s="63"/>
      <c r="H2353" s="67"/>
      <c r="I2353" s="68"/>
      <c r="J2353" s="68"/>
      <c r="K2353" s="32"/>
      <c r="L2353" s="75">
        <v>2353</v>
      </c>
      <c r="M2353" s="75"/>
      <c r="N2353" s="70"/>
      <c r="O2353" s="77" t="s">
        <v>179</v>
      </c>
      <c r="P2353" s="79">
        <v>45147.859699074077</v>
      </c>
      <c r="Q2353" s="77" t="s">
        <v>3560</v>
      </c>
      <c r="R2353" s="77">
        <v>0</v>
      </c>
      <c r="S2353" s="77">
        <v>0</v>
      </c>
      <c r="T2353" s="77">
        <v>0</v>
      </c>
      <c r="U2353" s="77">
        <v>0</v>
      </c>
      <c r="V2353" s="77">
        <v>16</v>
      </c>
      <c r="W2353" s="82" t="s">
        <v>6371</v>
      </c>
      <c r="X2353" s="77" t="s">
        <v>7210</v>
      </c>
      <c r="Y2353" s="77" t="s">
        <v>7412</v>
      </c>
      <c r="Z2353" s="77"/>
      <c r="AA2353" s="77" t="s">
        <v>8797</v>
      </c>
      <c r="AB2353" s="77" t="s">
        <v>10130</v>
      </c>
      <c r="AC2353" s="82" t="s">
        <v>10146</v>
      </c>
      <c r="AD2353" s="77" t="s">
        <v>10184</v>
      </c>
      <c r="AE2353" s="80" t="str">
        <f>HYPERLINK("https://twitter.com/top_achadinhos_/status/1689375489708773377")</f>
        <v>https://twitter.com/top_achadinhos_/status/1689375489708773377</v>
      </c>
      <c r="AF2353" s="79">
        <v>45147.859699074077</v>
      </c>
      <c r="AG2353" s="85">
        <v>45147</v>
      </c>
      <c r="AH2353" s="82" t="s">
        <v>12445</v>
      </c>
      <c r="AI2353" s="77" t="b">
        <v>0</v>
      </c>
      <c r="AJ2353" s="77"/>
      <c r="AK2353" s="77"/>
      <c r="AL2353" s="77"/>
      <c r="AM2353" s="77"/>
      <c r="AN2353" s="77"/>
      <c r="AO2353" s="77"/>
      <c r="AP2353" s="77"/>
      <c r="AQ2353" s="77" t="s">
        <v>15440</v>
      </c>
      <c r="AR2353" s="77"/>
      <c r="AS2353" s="77"/>
      <c r="AT2353" s="77"/>
      <c r="AU2353" s="77"/>
      <c r="AV2353" s="80" t="str">
        <f>HYPERLINK("https://pbs.twimg.com/media/F3Hc8YwXwAA6Rk3.jpg")</f>
        <v>https://pbs.twimg.com/media/F3Hc8YwXwAA6Rk3.jpg</v>
      </c>
      <c r="AW2353" s="82" t="s">
        <v>19119</v>
      </c>
      <c r="AX2353" s="82" t="s">
        <v>19119</v>
      </c>
      <c r="AY2353" s="77"/>
      <c r="AZ2353" s="82" t="s">
        <v>20971</v>
      </c>
      <c r="BA2353" s="82" t="s">
        <v>20971</v>
      </c>
      <c r="BB2353" s="82" t="s">
        <v>20971</v>
      </c>
      <c r="BC2353" s="82" t="s">
        <v>19119</v>
      </c>
      <c r="BD2353" s="82" t="s">
        <v>21459</v>
      </c>
      <c r="BE2353" s="77"/>
      <c r="BF2353" s="77"/>
      <c r="BG2353" s="77"/>
      <c r="BH2353" s="77"/>
      <c r="BI2353" s="77"/>
    </row>
    <row r="2354" spans="1:61" x14ac:dyDescent="0.25">
      <c r="A2354" s="62" t="s">
        <v>825</v>
      </c>
      <c r="B2354" s="62" t="s">
        <v>825</v>
      </c>
      <c r="C2354" s="63"/>
      <c r="D2354" s="64"/>
      <c r="E2354" s="65"/>
      <c r="F2354" s="66"/>
      <c r="G2354" s="63"/>
      <c r="H2354" s="67"/>
      <c r="I2354" s="68"/>
      <c r="J2354" s="68"/>
      <c r="K2354" s="32"/>
      <c r="L2354" s="75">
        <v>2354</v>
      </c>
      <c r="M2354" s="75"/>
      <c r="N2354" s="70"/>
      <c r="O2354" s="77" t="s">
        <v>179</v>
      </c>
      <c r="P2354" s="79">
        <v>45143.86996527778</v>
      </c>
      <c r="Q2354" s="77" t="s">
        <v>3561</v>
      </c>
      <c r="R2354" s="77">
        <v>0</v>
      </c>
      <c r="S2354" s="77">
        <v>0</v>
      </c>
      <c r="T2354" s="77">
        <v>0</v>
      </c>
      <c r="U2354" s="77">
        <v>0</v>
      </c>
      <c r="V2354" s="77">
        <v>57</v>
      </c>
      <c r="W2354" s="82" t="s">
        <v>6372</v>
      </c>
      <c r="X2354" s="80" t="str">
        <f>HYPERLINK("https://go.hotmart.com/N85222259U")</f>
        <v>https://go.hotmart.com/N85222259U</v>
      </c>
      <c r="Y2354" s="77" t="s">
        <v>7251</v>
      </c>
      <c r="Z2354" s="77"/>
      <c r="AA2354" s="77" t="s">
        <v>8798</v>
      </c>
      <c r="AB2354" s="77" t="s">
        <v>10130</v>
      </c>
      <c r="AC2354" s="82" t="s">
        <v>10146</v>
      </c>
      <c r="AD2354" s="77" t="s">
        <v>10184</v>
      </c>
      <c r="AE2354" s="80" t="str">
        <f>HYPERLINK("https://twitter.com/top_achadinhos_/status/1687929657918668800")</f>
        <v>https://twitter.com/top_achadinhos_/status/1687929657918668800</v>
      </c>
      <c r="AF2354" s="79">
        <v>45143.86996527778</v>
      </c>
      <c r="AG2354" s="85">
        <v>45143</v>
      </c>
      <c r="AH2354" s="82" t="s">
        <v>12446</v>
      </c>
      <c r="AI2354" s="77" t="b">
        <v>0</v>
      </c>
      <c r="AJ2354" s="77"/>
      <c r="AK2354" s="77"/>
      <c r="AL2354" s="77"/>
      <c r="AM2354" s="77"/>
      <c r="AN2354" s="77"/>
      <c r="AO2354" s="77"/>
      <c r="AP2354" s="77"/>
      <c r="AQ2354" s="77" t="s">
        <v>15441</v>
      </c>
      <c r="AR2354" s="77"/>
      <c r="AS2354" s="77"/>
      <c r="AT2354" s="77"/>
      <c r="AU2354" s="77"/>
      <c r="AV2354" s="80" t="str">
        <f>HYPERLINK("https://pbs.twimg.com/media/F2y6hocWcAEtEYH.jpg")</f>
        <v>https://pbs.twimg.com/media/F2y6hocWcAEtEYH.jpg</v>
      </c>
      <c r="AW2354" s="82" t="s">
        <v>19120</v>
      </c>
      <c r="AX2354" s="82" t="s">
        <v>19120</v>
      </c>
      <c r="AY2354" s="77"/>
      <c r="AZ2354" s="82" t="s">
        <v>20971</v>
      </c>
      <c r="BA2354" s="82" t="s">
        <v>20971</v>
      </c>
      <c r="BB2354" s="82" t="s">
        <v>20971</v>
      </c>
      <c r="BC2354" s="82" t="s">
        <v>19120</v>
      </c>
      <c r="BD2354" s="82" t="s">
        <v>21459</v>
      </c>
      <c r="BE2354" s="77"/>
      <c r="BF2354" s="77"/>
      <c r="BG2354" s="77"/>
      <c r="BH2354" s="77"/>
      <c r="BI2354" s="77"/>
    </row>
    <row r="2355" spans="1:61" x14ac:dyDescent="0.25">
      <c r="A2355" s="62" t="s">
        <v>825</v>
      </c>
      <c r="B2355" s="62" t="s">
        <v>825</v>
      </c>
      <c r="C2355" s="63"/>
      <c r="D2355" s="64"/>
      <c r="E2355" s="65"/>
      <c r="F2355" s="66"/>
      <c r="G2355" s="63"/>
      <c r="H2355" s="67"/>
      <c r="I2355" s="68"/>
      <c r="J2355" s="68"/>
      <c r="K2355" s="32"/>
      <c r="L2355" s="75">
        <v>2355</v>
      </c>
      <c r="M2355" s="75"/>
      <c r="N2355" s="70"/>
      <c r="O2355" s="77" t="s">
        <v>179</v>
      </c>
      <c r="P2355" s="79">
        <v>45143.866030092591</v>
      </c>
      <c r="Q2355" s="77" t="s">
        <v>3562</v>
      </c>
      <c r="R2355" s="77">
        <v>0</v>
      </c>
      <c r="S2355" s="77">
        <v>0</v>
      </c>
      <c r="T2355" s="77">
        <v>0</v>
      </c>
      <c r="U2355" s="77">
        <v>0</v>
      </c>
      <c r="V2355" s="77">
        <v>70</v>
      </c>
      <c r="W2355" s="82" t="s">
        <v>6373</v>
      </c>
      <c r="X2355" s="80" t="str">
        <f>HYPERLINK("https://hotm.art/receitas_tops")</f>
        <v>https://hotm.art/receitas_tops</v>
      </c>
      <c r="Y2355" s="77" t="s">
        <v>7260</v>
      </c>
      <c r="Z2355" s="77"/>
      <c r="AA2355" s="77" t="s">
        <v>8799</v>
      </c>
      <c r="AB2355" s="77" t="s">
        <v>10130</v>
      </c>
      <c r="AC2355" s="82" t="s">
        <v>10146</v>
      </c>
      <c r="AD2355" s="77" t="s">
        <v>10184</v>
      </c>
      <c r="AE2355" s="80" t="str">
        <f>HYPERLINK("https://twitter.com/top_achadinhos_/status/1687928232748675072")</f>
        <v>https://twitter.com/top_achadinhos_/status/1687928232748675072</v>
      </c>
      <c r="AF2355" s="79">
        <v>45143.866030092591</v>
      </c>
      <c r="AG2355" s="85">
        <v>45143</v>
      </c>
      <c r="AH2355" s="82" t="s">
        <v>12447</v>
      </c>
      <c r="AI2355" s="77" t="b">
        <v>0</v>
      </c>
      <c r="AJ2355" s="77"/>
      <c r="AK2355" s="77"/>
      <c r="AL2355" s="77"/>
      <c r="AM2355" s="77"/>
      <c r="AN2355" s="77"/>
      <c r="AO2355" s="77"/>
      <c r="AP2355" s="77"/>
      <c r="AQ2355" s="77" t="s">
        <v>15442</v>
      </c>
      <c r="AR2355" s="77"/>
      <c r="AS2355" s="77"/>
      <c r="AT2355" s="77"/>
      <c r="AU2355" s="77"/>
      <c r="AV2355" s="80" t="str">
        <f>HYPERLINK("https://pbs.twimg.com/media/F2y5RQsX0AAgHLK.jpg")</f>
        <v>https://pbs.twimg.com/media/F2y5RQsX0AAgHLK.jpg</v>
      </c>
      <c r="AW2355" s="82" t="s">
        <v>19121</v>
      </c>
      <c r="AX2355" s="82" t="s">
        <v>19121</v>
      </c>
      <c r="AY2355" s="77"/>
      <c r="AZ2355" s="82" t="s">
        <v>20971</v>
      </c>
      <c r="BA2355" s="82" t="s">
        <v>20971</v>
      </c>
      <c r="BB2355" s="82" t="s">
        <v>20971</v>
      </c>
      <c r="BC2355" s="82" t="s">
        <v>19121</v>
      </c>
      <c r="BD2355" s="82" t="s">
        <v>21459</v>
      </c>
      <c r="BE2355" s="77"/>
      <c r="BF2355" s="77"/>
      <c r="BG2355" s="77"/>
      <c r="BH2355" s="77"/>
      <c r="BI2355" s="77"/>
    </row>
    <row r="2356" spans="1:61" x14ac:dyDescent="0.25">
      <c r="A2356" s="62" t="s">
        <v>825</v>
      </c>
      <c r="B2356" s="62" t="s">
        <v>825</v>
      </c>
      <c r="C2356" s="63"/>
      <c r="D2356" s="64"/>
      <c r="E2356" s="65"/>
      <c r="F2356" s="66"/>
      <c r="G2356" s="63"/>
      <c r="H2356" s="67"/>
      <c r="I2356" s="68"/>
      <c r="J2356" s="68"/>
      <c r="K2356" s="32"/>
      <c r="L2356" s="75">
        <v>2356</v>
      </c>
      <c r="M2356" s="75"/>
      <c r="N2356" s="70"/>
      <c r="O2356" s="77" t="s">
        <v>179</v>
      </c>
      <c r="P2356" s="79">
        <v>45143.585763888892</v>
      </c>
      <c r="Q2356" s="77" t="s">
        <v>3563</v>
      </c>
      <c r="R2356" s="77">
        <v>0</v>
      </c>
      <c r="S2356" s="77">
        <v>0</v>
      </c>
      <c r="T2356" s="77">
        <v>0</v>
      </c>
      <c r="U2356" s="77">
        <v>0</v>
      </c>
      <c r="V2356" s="77">
        <v>34</v>
      </c>
      <c r="W2356" s="82" t="s">
        <v>6374</v>
      </c>
      <c r="X2356" s="80" t="str">
        <f>HYPERLINK("https://hotm.art/unhasf1")</f>
        <v>https://hotm.art/unhasf1</v>
      </c>
      <c r="Y2356" s="77" t="s">
        <v>7260</v>
      </c>
      <c r="Z2356" s="77"/>
      <c r="AA2356" s="77" t="s">
        <v>8800</v>
      </c>
      <c r="AB2356" s="77" t="s">
        <v>10130</v>
      </c>
      <c r="AC2356" s="82" t="s">
        <v>10146</v>
      </c>
      <c r="AD2356" s="77" t="s">
        <v>10184</v>
      </c>
      <c r="AE2356" s="80" t="str">
        <f>HYPERLINK("https://twitter.com/top_achadinhos_/status/1687826669367644160")</f>
        <v>https://twitter.com/top_achadinhos_/status/1687826669367644160</v>
      </c>
      <c r="AF2356" s="79">
        <v>45143.585763888892</v>
      </c>
      <c r="AG2356" s="85">
        <v>45143</v>
      </c>
      <c r="AH2356" s="82" t="s">
        <v>12448</v>
      </c>
      <c r="AI2356" s="77" t="b">
        <v>0</v>
      </c>
      <c r="AJ2356" s="77"/>
      <c r="AK2356" s="77"/>
      <c r="AL2356" s="77"/>
      <c r="AM2356" s="77"/>
      <c r="AN2356" s="77"/>
      <c r="AO2356" s="77"/>
      <c r="AP2356" s="77"/>
      <c r="AQ2356" s="77" t="s">
        <v>15443</v>
      </c>
      <c r="AR2356" s="77"/>
      <c r="AS2356" s="77"/>
      <c r="AT2356" s="77"/>
      <c r="AU2356" s="77"/>
      <c r="AV2356" s="80" t="str">
        <f>HYPERLINK("https://pbs.twimg.com/media/F2xcvcuWIAERdE1.jpg")</f>
        <v>https://pbs.twimg.com/media/F2xcvcuWIAERdE1.jpg</v>
      </c>
      <c r="AW2356" s="82" t="s">
        <v>19122</v>
      </c>
      <c r="AX2356" s="82" t="s">
        <v>19122</v>
      </c>
      <c r="AY2356" s="77"/>
      <c r="AZ2356" s="82" t="s">
        <v>20971</v>
      </c>
      <c r="BA2356" s="82" t="s">
        <v>20971</v>
      </c>
      <c r="BB2356" s="82" t="s">
        <v>20971</v>
      </c>
      <c r="BC2356" s="82" t="s">
        <v>19122</v>
      </c>
      <c r="BD2356" s="82" t="s">
        <v>21459</v>
      </c>
      <c r="BE2356" s="77"/>
      <c r="BF2356" s="77"/>
      <c r="BG2356" s="77"/>
      <c r="BH2356" s="77"/>
      <c r="BI2356" s="77"/>
    </row>
    <row r="2357" spans="1:61" x14ac:dyDescent="0.25">
      <c r="A2357" s="62" t="s">
        <v>826</v>
      </c>
      <c r="B2357" s="62" t="s">
        <v>826</v>
      </c>
      <c r="C2357" s="63"/>
      <c r="D2357" s="64"/>
      <c r="E2357" s="65"/>
      <c r="F2357" s="66"/>
      <c r="G2357" s="63"/>
      <c r="H2357" s="67"/>
      <c r="I2357" s="68"/>
      <c r="J2357" s="68"/>
      <c r="K2357" s="32"/>
      <c r="L2357" s="75">
        <v>2357</v>
      </c>
      <c r="M2357" s="75"/>
      <c r="N2357" s="70"/>
      <c r="O2357" s="77" t="s">
        <v>179</v>
      </c>
      <c r="P2357" s="79">
        <v>45057.055266203701</v>
      </c>
      <c r="Q2357" s="77" t="s">
        <v>3564</v>
      </c>
      <c r="R2357" s="77">
        <v>0</v>
      </c>
      <c r="S2357" s="77">
        <v>0</v>
      </c>
      <c r="T2357" s="77">
        <v>0</v>
      </c>
      <c r="U2357" s="77">
        <v>0</v>
      </c>
      <c r="V2357" s="77">
        <v>41</v>
      </c>
      <c r="W2357" s="82" t="s">
        <v>6375</v>
      </c>
      <c r="X2357" s="80" t="str">
        <f>HYPERLINK("https://www.instagram.com/reel/CsEnxo1Av6c/?igshid=MTc4MmM1YmI2Ng==")</f>
        <v>https://www.instagram.com/reel/CsEnxo1Av6c/?igshid=MTc4MmM1YmI2Ng==</v>
      </c>
      <c r="Y2357" s="77" t="s">
        <v>7250</v>
      </c>
      <c r="Z2357" s="77"/>
      <c r="AA2357" s="77"/>
      <c r="AB2357" s="77"/>
      <c r="AC2357" s="82" t="s">
        <v>10144</v>
      </c>
      <c r="AD2357" s="77" t="s">
        <v>10184</v>
      </c>
      <c r="AE2357" s="80" t="str">
        <f>HYPERLINK("https://twitter.com/abner_ramos01/status/1656469063671992320")</f>
        <v>https://twitter.com/abner_ramos01/status/1656469063671992320</v>
      </c>
      <c r="AF2357" s="79">
        <v>45057.055266203701</v>
      </c>
      <c r="AG2357" s="85">
        <v>45057</v>
      </c>
      <c r="AH2357" s="82" t="s">
        <v>12449</v>
      </c>
      <c r="AI2357" s="77" t="b">
        <v>0</v>
      </c>
      <c r="AJ2357" s="77"/>
      <c r="AK2357" s="77"/>
      <c r="AL2357" s="77"/>
      <c r="AM2357" s="77"/>
      <c r="AN2357" s="77"/>
      <c r="AO2357" s="77"/>
      <c r="AP2357" s="77"/>
      <c r="AQ2357" s="77"/>
      <c r="AR2357" s="77"/>
      <c r="AS2357" s="77"/>
      <c r="AT2357" s="77"/>
      <c r="AU2357" s="77"/>
      <c r="AV2357" s="80" t="str">
        <f>HYPERLINK("https://pbs.twimg.com/profile_images/1705999133968928768/t834vTyy_normal.jpg")</f>
        <v>https://pbs.twimg.com/profile_images/1705999133968928768/t834vTyy_normal.jpg</v>
      </c>
      <c r="AW2357" s="82" t="s">
        <v>19123</v>
      </c>
      <c r="AX2357" s="82" t="s">
        <v>19123</v>
      </c>
      <c r="AY2357" s="77"/>
      <c r="AZ2357" s="82" t="s">
        <v>20971</v>
      </c>
      <c r="BA2357" s="82" t="s">
        <v>20971</v>
      </c>
      <c r="BB2357" s="82" t="s">
        <v>20971</v>
      </c>
      <c r="BC2357" s="82" t="s">
        <v>19123</v>
      </c>
      <c r="BD2357" s="82" t="s">
        <v>21460</v>
      </c>
      <c r="BE2357" s="77"/>
      <c r="BF2357" s="77"/>
      <c r="BG2357" s="77"/>
      <c r="BH2357" s="77"/>
      <c r="BI2357" s="77"/>
    </row>
    <row r="2358" spans="1:61" x14ac:dyDescent="0.25">
      <c r="A2358" s="62" t="s">
        <v>826</v>
      </c>
      <c r="B2358" s="62" t="s">
        <v>826</v>
      </c>
      <c r="C2358" s="63"/>
      <c r="D2358" s="64"/>
      <c r="E2358" s="65"/>
      <c r="F2358" s="66"/>
      <c r="G2358" s="63"/>
      <c r="H2358" s="67"/>
      <c r="I2358" s="68"/>
      <c r="J2358" s="68"/>
      <c r="K2358" s="32"/>
      <c r="L2358" s="75">
        <v>2358</v>
      </c>
      <c r="M2358" s="75"/>
      <c r="N2358" s="70"/>
      <c r="O2358" s="77" t="s">
        <v>179</v>
      </c>
      <c r="P2358" s="79">
        <v>45125.795810185184</v>
      </c>
      <c r="Q2358" s="77" t="s">
        <v>3565</v>
      </c>
      <c r="R2358" s="77">
        <v>0</v>
      </c>
      <c r="S2358" s="77">
        <v>0</v>
      </c>
      <c r="T2358" s="77">
        <v>0</v>
      </c>
      <c r="U2358" s="77">
        <v>0</v>
      </c>
      <c r="V2358" s="77">
        <v>67</v>
      </c>
      <c r="W2358" s="82" t="s">
        <v>6376</v>
      </c>
      <c r="X2358" s="77"/>
      <c r="Y2358" s="77"/>
      <c r="Z2358" s="77"/>
      <c r="AA2358" s="77" t="s">
        <v>8801</v>
      </c>
      <c r="AB2358" s="77" t="s">
        <v>10130</v>
      </c>
      <c r="AC2358" s="82" t="s">
        <v>10144</v>
      </c>
      <c r="AD2358" s="77" t="s">
        <v>10184</v>
      </c>
      <c r="AE2358" s="80" t="str">
        <f>HYPERLINK("https://twitter.com/abner_ramos01/status/1681379804933763072")</f>
        <v>https://twitter.com/abner_ramos01/status/1681379804933763072</v>
      </c>
      <c r="AF2358" s="79">
        <v>45125.795810185184</v>
      </c>
      <c r="AG2358" s="85">
        <v>45125</v>
      </c>
      <c r="AH2358" s="82" t="s">
        <v>12450</v>
      </c>
      <c r="AI2358" s="77" t="b">
        <v>0</v>
      </c>
      <c r="AJ2358" s="77"/>
      <c r="AK2358" s="77"/>
      <c r="AL2358" s="77"/>
      <c r="AM2358" s="77"/>
      <c r="AN2358" s="77"/>
      <c r="AO2358" s="77"/>
      <c r="AP2358" s="77"/>
      <c r="AQ2358" s="77" t="s">
        <v>15444</v>
      </c>
      <c r="AR2358" s="77"/>
      <c r="AS2358" s="77"/>
      <c r="AT2358" s="77"/>
      <c r="AU2358" s="77"/>
      <c r="AV2358" s="80" t="str">
        <f>HYPERLINK("https://pbs.twimg.com/media/F1V2BX_XoAAzHGY.jpg")</f>
        <v>https://pbs.twimg.com/media/F1V2BX_XoAAzHGY.jpg</v>
      </c>
      <c r="AW2358" s="82" t="s">
        <v>19124</v>
      </c>
      <c r="AX2358" s="82" t="s">
        <v>19124</v>
      </c>
      <c r="AY2358" s="77"/>
      <c r="AZ2358" s="82" t="s">
        <v>20971</v>
      </c>
      <c r="BA2358" s="82" t="s">
        <v>20971</v>
      </c>
      <c r="BB2358" s="82" t="s">
        <v>20971</v>
      </c>
      <c r="BC2358" s="82" t="s">
        <v>19124</v>
      </c>
      <c r="BD2358" s="82" t="s">
        <v>21460</v>
      </c>
      <c r="BE2358" s="77"/>
      <c r="BF2358" s="77"/>
      <c r="BG2358" s="77"/>
      <c r="BH2358" s="77"/>
      <c r="BI2358" s="77"/>
    </row>
    <row r="2359" spans="1:61" x14ac:dyDescent="0.25">
      <c r="A2359" s="62" t="s">
        <v>827</v>
      </c>
      <c r="B2359" s="62" t="s">
        <v>827</v>
      </c>
      <c r="C2359" s="63"/>
      <c r="D2359" s="64"/>
      <c r="E2359" s="65"/>
      <c r="F2359" s="66"/>
      <c r="G2359" s="63"/>
      <c r="H2359" s="67"/>
      <c r="I2359" s="68"/>
      <c r="J2359" s="68"/>
      <c r="K2359" s="32"/>
      <c r="L2359" s="75">
        <v>2359</v>
      </c>
      <c r="M2359" s="75"/>
      <c r="N2359" s="70"/>
      <c r="O2359" s="77" t="s">
        <v>179</v>
      </c>
      <c r="P2359" s="79">
        <v>45042.887662037036</v>
      </c>
      <c r="Q2359" s="77" t="s">
        <v>3566</v>
      </c>
      <c r="R2359" s="77">
        <v>0</v>
      </c>
      <c r="S2359" s="77">
        <v>0</v>
      </c>
      <c r="T2359" s="77">
        <v>1</v>
      </c>
      <c r="U2359" s="77">
        <v>0</v>
      </c>
      <c r="V2359" s="77">
        <v>157</v>
      </c>
      <c r="W2359" s="82" t="s">
        <v>6377</v>
      </c>
      <c r="X2359" s="77"/>
      <c r="Y2359" s="77"/>
      <c r="Z2359" s="77"/>
      <c r="AA2359" s="77" t="s">
        <v>8802</v>
      </c>
      <c r="AB2359" s="77" t="s">
        <v>10129</v>
      </c>
      <c r="AC2359" s="82" t="s">
        <v>10144</v>
      </c>
      <c r="AD2359" s="77" t="s">
        <v>10184</v>
      </c>
      <c r="AE2359" s="80" t="str">
        <f>HYPERLINK("https://twitter.com/prin_milionaria/status/1651334898689482757")</f>
        <v>https://twitter.com/prin_milionaria/status/1651334898689482757</v>
      </c>
      <c r="AF2359" s="79">
        <v>45042.887662037036</v>
      </c>
      <c r="AG2359" s="85">
        <v>45042</v>
      </c>
      <c r="AH2359" s="82" t="s">
        <v>12451</v>
      </c>
      <c r="AI2359" s="77" t="b">
        <v>0</v>
      </c>
      <c r="AJ2359" s="77"/>
      <c r="AK2359" s="77"/>
      <c r="AL2359" s="77"/>
      <c r="AM2359" s="77"/>
      <c r="AN2359" s="77"/>
      <c r="AO2359" s="77"/>
      <c r="AP2359" s="77"/>
      <c r="AQ2359" s="77" t="s">
        <v>15445</v>
      </c>
      <c r="AR2359" s="77">
        <v>15719</v>
      </c>
      <c r="AS2359" s="77"/>
      <c r="AT2359" s="77"/>
      <c r="AU2359" s="77"/>
      <c r="AV2359" s="80" t="str">
        <f>HYPERLINK("https://pbs.twimg.com/ext_tw_video_thumb/1651334812785864706/pu/img/PuWaYAzOOOIZx0gE.jpg")</f>
        <v>https://pbs.twimg.com/ext_tw_video_thumb/1651334812785864706/pu/img/PuWaYAzOOOIZx0gE.jpg</v>
      </c>
      <c r="AW2359" s="82" t="s">
        <v>19125</v>
      </c>
      <c r="AX2359" s="82" t="s">
        <v>19125</v>
      </c>
      <c r="AY2359" s="77"/>
      <c r="AZ2359" s="82" t="s">
        <v>20971</v>
      </c>
      <c r="BA2359" s="82" t="s">
        <v>20971</v>
      </c>
      <c r="BB2359" s="82" t="s">
        <v>20971</v>
      </c>
      <c r="BC2359" s="82" t="s">
        <v>19125</v>
      </c>
      <c r="BD2359" s="82" t="s">
        <v>21461</v>
      </c>
      <c r="BE2359" s="77"/>
      <c r="BF2359" s="77"/>
      <c r="BG2359" s="77"/>
      <c r="BH2359" s="77"/>
      <c r="BI2359" s="77"/>
    </row>
    <row r="2360" spans="1:61" x14ac:dyDescent="0.25">
      <c r="A2360" s="62" t="s">
        <v>828</v>
      </c>
      <c r="B2360" s="62" t="s">
        <v>828</v>
      </c>
      <c r="C2360" s="63"/>
      <c r="D2360" s="64"/>
      <c r="E2360" s="65"/>
      <c r="F2360" s="66"/>
      <c r="G2360" s="63"/>
      <c r="H2360" s="67"/>
      <c r="I2360" s="68"/>
      <c r="J2360" s="68"/>
      <c r="K2360" s="32"/>
      <c r="L2360" s="75">
        <v>2360</v>
      </c>
      <c r="M2360" s="75"/>
      <c r="N2360" s="70"/>
      <c r="O2360" s="77" t="s">
        <v>179</v>
      </c>
      <c r="P2360" s="79">
        <v>45101.397743055553</v>
      </c>
      <c r="Q2360" s="77" t="s">
        <v>3567</v>
      </c>
      <c r="R2360" s="77">
        <v>0</v>
      </c>
      <c r="S2360" s="77">
        <v>2</v>
      </c>
      <c r="T2360" s="77">
        <v>0</v>
      </c>
      <c r="U2360" s="77">
        <v>0</v>
      </c>
      <c r="V2360" s="77">
        <v>1723</v>
      </c>
      <c r="W2360" s="82" t="s">
        <v>6378</v>
      </c>
      <c r="X2360" s="80" t="str">
        <f>HYPERLINK("https://bit.ly/3pt6zAO")</f>
        <v>https://bit.ly/3pt6zAO</v>
      </c>
      <c r="Y2360" s="77" t="s">
        <v>7268</v>
      </c>
      <c r="Z2360" s="77"/>
      <c r="AA2360" s="77" t="s">
        <v>8803</v>
      </c>
      <c r="AB2360" s="77" t="s">
        <v>10129</v>
      </c>
      <c r="AC2360" s="82" t="s">
        <v>10144</v>
      </c>
      <c r="AD2360" s="77" t="s">
        <v>10184</v>
      </c>
      <c r="AE2360" s="80" t="str">
        <f>HYPERLINK("https://twitter.com/jogodotigre/status/1672538240576782338")</f>
        <v>https://twitter.com/jogodotigre/status/1672538240576782338</v>
      </c>
      <c r="AF2360" s="79">
        <v>45101.397743055553</v>
      </c>
      <c r="AG2360" s="85">
        <v>45101</v>
      </c>
      <c r="AH2360" s="82" t="s">
        <v>12452</v>
      </c>
      <c r="AI2360" s="77" t="b">
        <v>0</v>
      </c>
      <c r="AJ2360" s="77"/>
      <c r="AK2360" s="77"/>
      <c r="AL2360" s="77"/>
      <c r="AM2360" s="77"/>
      <c r="AN2360" s="77"/>
      <c r="AO2360" s="77"/>
      <c r="AP2360" s="77"/>
      <c r="AQ2360" s="77" t="s">
        <v>15446</v>
      </c>
      <c r="AR2360" s="77">
        <v>44975</v>
      </c>
      <c r="AS2360" s="77"/>
      <c r="AT2360" s="77"/>
      <c r="AU2360" s="77"/>
      <c r="AV2360" s="80" t="str">
        <f>HYPERLINK("https://pbs.twimg.com/ext_tw_video_thumb/1672538197706915841/pu/img/xU0wEDoq05sWpsMV.jpg")</f>
        <v>https://pbs.twimg.com/ext_tw_video_thumb/1672538197706915841/pu/img/xU0wEDoq05sWpsMV.jpg</v>
      </c>
      <c r="AW2360" s="82" t="s">
        <v>19126</v>
      </c>
      <c r="AX2360" s="82" t="s">
        <v>19126</v>
      </c>
      <c r="AY2360" s="77"/>
      <c r="AZ2360" s="82" t="s">
        <v>20971</v>
      </c>
      <c r="BA2360" s="82" t="s">
        <v>20971</v>
      </c>
      <c r="BB2360" s="82" t="s">
        <v>20971</v>
      </c>
      <c r="BC2360" s="82" t="s">
        <v>19126</v>
      </c>
      <c r="BD2360" s="82" t="s">
        <v>21462</v>
      </c>
      <c r="BE2360" s="77"/>
      <c r="BF2360" s="77"/>
      <c r="BG2360" s="77"/>
      <c r="BH2360" s="77"/>
      <c r="BI2360" s="77"/>
    </row>
    <row r="2361" spans="1:61" x14ac:dyDescent="0.25">
      <c r="A2361" s="62" t="s">
        <v>828</v>
      </c>
      <c r="B2361" s="62" t="s">
        <v>828</v>
      </c>
      <c r="C2361" s="63"/>
      <c r="D2361" s="64"/>
      <c r="E2361" s="65"/>
      <c r="F2361" s="66"/>
      <c r="G2361" s="63"/>
      <c r="H2361" s="67"/>
      <c r="I2361" s="68"/>
      <c r="J2361" s="68"/>
      <c r="K2361" s="32"/>
      <c r="L2361" s="75">
        <v>2361</v>
      </c>
      <c r="M2361" s="75"/>
      <c r="N2361" s="70"/>
      <c r="O2361" s="77" t="s">
        <v>179</v>
      </c>
      <c r="P2361" s="79">
        <v>45101.390289351853</v>
      </c>
      <c r="Q2361" s="77" t="s">
        <v>3568</v>
      </c>
      <c r="R2361" s="77">
        <v>0</v>
      </c>
      <c r="S2361" s="77">
        <v>5</v>
      </c>
      <c r="T2361" s="77">
        <v>7</v>
      </c>
      <c r="U2361" s="77">
        <v>0</v>
      </c>
      <c r="V2361" s="77">
        <v>5436</v>
      </c>
      <c r="W2361" s="82" t="s">
        <v>5725</v>
      </c>
      <c r="X2361" s="80" t="str">
        <f>HYPERLINK("https://bit.ly/3pt6zAO")</f>
        <v>https://bit.ly/3pt6zAO</v>
      </c>
      <c r="Y2361" s="77" t="s">
        <v>7268</v>
      </c>
      <c r="Z2361" s="77"/>
      <c r="AA2361" s="77" t="s">
        <v>8804</v>
      </c>
      <c r="AB2361" s="77" t="s">
        <v>10134</v>
      </c>
      <c r="AC2361" s="82" t="s">
        <v>10144</v>
      </c>
      <c r="AD2361" s="77" t="s">
        <v>10184</v>
      </c>
      <c r="AE2361" s="80" t="str">
        <f>HYPERLINK("https://twitter.com/jogodotigre/status/1672535539889631235")</f>
        <v>https://twitter.com/jogodotigre/status/1672535539889631235</v>
      </c>
      <c r="AF2361" s="79">
        <v>45101.390289351853</v>
      </c>
      <c r="AG2361" s="85">
        <v>45101</v>
      </c>
      <c r="AH2361" s="82" t="s">
        <v>12453</v>
      </c>
      <c r="AI2361" s="77" t="b">
        <v>0</v>
      </c>
      <c r="AJ2361" s="77"/>
      <c r="AK2361" s="77"/>
      <c r="AL2361" s="77"/>
      <c r="AM2361" s="77"/>
      <c r="AN2361" s="77"/>
      <c r="AO2361" s="77"/>
      <c r="AP2361" s="77"/>
      <c r="AQ2361" s="77" t="s">
        <v>15447</v>
      </c>
      <c r="AR2361" s="77">
        <v>101954</v>
      </c>
      <c r="AS2361" s="77"/>
      <c r="AT2361" s="77"/>
      <c r="AU2361" s="77"/>
      <c r="AV2361" s="80" t="str">
        <f>HYPERLINK("https://pbs.twimg.com/media/FzYKGGQXgAAQ5ZA.jpg")</f>
        <v>https://pbs.twimg.com/media/FzYKGGQXgAAQ5ZA.jpg</v>
      </c>
      <c r="AW2361" s="82" t="s">
        <v>19127</v>
      </c>
      <c r="AX2361" s="82" t="s">
        <v>19127</v>
      </c>
      <c r="AY2361" s="77"/>
      <c r="AZ2361" s="82" t="s">
        <v>20971</v>
      </c>
      <c r="BA2361" s="82" t="s">
        <v>20971</v>
      </c>
      <c r="BB2361" s="82" t="s">
        <v>20971</v>
      </c>
      <c r="BC2361" s="82" t="s">
        <v>19127</v>
      </c>
      <c r="BD2361" s="82" t="s">
        <v>21462</v>
      </c>
      <c r="BE2361" s="77"/>
      <c r="BF2361" s="77"/>
      <c r="BG2361" s="77"/>
      <c r="BH2361" s="77"/>
      <c r="BI2361" s="77"/>
    </row>
    <row r="2362" spans="1:61" x14ac:dyDescent="0.25">
      <c r="A2362" s="62" t="s">
        <v>829</v>
      </c>
      <c r="B2362" s="62" t="s">
        <v>829</v>
      </c>
      <c r="C2362" s="63"/>
      <c r="D2362" s="64"/>
      <c r="E2362" s="65"/>
      <c r="F2362" s="66"/>
      <c r="G2362" s="63"/>
      <c r="H2362" s="67"/>
      <c r="I2362" s="68"/>
      <c r="J2362" s="68"/>
      <c r="K2362" s="32"/>
      <c r="L2362" s="75">
        <v>2362</v>
      </c>
      <c r="M2362" s="75"/>
      <c r="N2362" s="70"/>
      <c r="O2362" s="77" t="s">
        <v>179</v>
      </c>
      <c r="P2362" s="79">
        <v>45055.468009259261</v>
      </c>
      <c r="Q2362" s="77" t="s">
        <v>3569</v>
      </c>
      <c r="R2362" s="77">
        <v>0</v>
      </c>
      <c r="S2362" s="77">
        <v>2</v>
      </c>
      <c r="T2362" s="77">
        <v>0</v>
      </c>
      <c r="U2362" s="77">
        <v>0</v>
      </c>
      <c r="V2362" s="77">
        <v>44</v>
      </c>
      <c r="W2362" s="82" t="s">
        <v>6379</v>
      </c>
      <c r="X2362" s="77"/>
      <c r="Y2362" s="77"/>
      <c r="Z2362" s="77"/>
      <c r="AA2362" s="77" t="s">
        <v>8805</v>
      </c>
      <c r="AB2362" s="77" t="s">
        <v>10130</v>
      </c>
      <c r="AC2362" s="82" t="s">
        <v>10146</v>
      </c>
      <c r="AD2362" s="77" t="s">
        <v>10184</v>
      </c>
      <c r="AE2362" s="80" t="str">
        <f>HYPERLINK("https://twitter.com/santiagorosant/status/1655893863083507714")</f>
        <v>https://twitter.com/santiagorosant/status/1655893863083507714</v>
      </c>
      <c r="AF2362" s="79">
        <v>45055.468009259261</v>
      </c>
      <c r="AG2362" s="85">
        <v>45055</v>
      </c>
      <c r="AH2362" s="82" t="s">
        <v>12454</v>
      </c>
      <c r="AI2362" s="77" t="b">
        <v>0</v>
      </c>
      <c r="AJ2362" s="77"/>
      <c r="AK2362" s="77"/>
      <c r="AL2362" s="77"/>
      <c r="AM2362" s="77"/>
      <c r="AN2362" s="77"/>
      <c r="AO2362" s="77"/>
      <c r="AP2362" s="77"/>
      <c r="AQ2362" s="77" t="s">
        <v>15448</v>
      </c>
      <c r="AR2362" s="77"/>
      <c r="AS2362" s="77"/>
      <c r="AT2362" s="77"/>
      <c r="AU2362" s="77"/>
      <c r="AV2362" s="80" t="str">
        <f>HYPERLINK("https://pbs.twimg.com/media/FvrpwflXsAAuuVz.jpg")</f>
        <v>https://pbs.twimg.com/media/FvrpwflXsAAuuVz.jpg</v>
      </c>
      <c r="AW2362" s="82" t="s">
        <v>19128</v>
      </c>
      <c r="AX2362" s="82" t="s">
        <v>19128</v>
      </c>
      <c r="AY2362" s="77"/>
      <c r="AZ2362" s="82" t="s">
        <v>20971</v>
      </c>
      <c r="BA2362" s="82" t="s">
        <v>20971</v>
      </c>
      <c r="BB2362" s="82" t="s">
        <v>20971</v>
      </c>
      <c r="BC2362" s="82" t="s">
        <v>19128</v>
      </c>
      <c r="BD2362" s="82" t="s">
        <v>21463</v>
      </c>
      <c r="BE2362" s="77"/>
      <c r="BF2362" s="77"/>
      <c r="BG2362" s="77"/>
      <c r="BH2362" s="77"/>
      <c r="BI2362" s="77"/>
    </row>
    <row r="2363" spans="1:61" x14ac:dyDescent="0.25">
      <c r="A2363" s="62" t="s">
        <v>829</v>
      </c>
      <c r="B2363" s="62" t="s">
        <v>829</v>
      </c>
      <c r="C2363" s="63"/>
      <c r="D2363" s="64"/>
      <c r="E2363" s="65"/>
      <c r="F2363" s="66"/>
      <c r="G2363" s="63"/>
      <c r="H2363" s="67"/>
      <c r="I2363" s="68"/>
      <c r="J2363" s="68"/>
      <c r="K2363" s="32"/>
      <c r="L2363" s="75">
        <v>2363</v>
      </c>
      <c r="M2363" s="75"/>
      <c r="N2363" s="70"/>
      <c r="O2363" s="77" t="s">
        <v>179</v>
      </c>
      <c r="P2363" s="79">
        <v>45068.550520833334</v>
      </c>
      <c r="Q2363" s="77" t="s">
        <v>3570</v>
      </c>
      <c r="R2363" s="77">
        <v>0</v>
      </c>
      <c r="S2363" s="77">
        <v>0</v>
      </c>
      <c r="T2363" s="77">
        <v>1</v>
      </c>
      <c r="U2363" s="77">
        <v>0</v>
      </c>
      <c r="V2363" s="77">
        <v>18</v>
      </c>
      <c r="W2363" s="82" t="s">
        <v>6380</v>
      </c>
      <c r="X2363" s="77"/>
      <c r="Y2363" s="77"/>
      <c r="Z2363" s="77"/>
      <c r="AA2363" s="77"/>
      <c r="AB2363" s="77"/>
      <c r="AC2363" s="82" t="s">
        <v>10146</v>
      </c>
      <c r="AD2363" s="77" t="s">
        <v>10184</v>
      </c>
      <c r="AE2363" s="80" t="str">
        <f>HYPERLINK("https://twitter.com/santiagorosant/status/1660634805531181056")</f>
        <v>https://twitter.com/santiagorosant/status/1660634805531181056</v>
      </c>
      <c r="AF2363" s="79">
        <v>45068.550520833334</v>
      </c>
      <c r="AG2363" s="85">
        <v>45068</v>
      </c>
      <c r="AH2363" s="82" t="s">
        <v>12455</v>
      </c>
      <c r="AI2363" s="77"/>
      <c r="AJ2363" s="77"/>
      <c r="AK2363" s="77"/>
      <c r="AL2363" s="77"/>
      <c r="AM2363" s="77"/>
      <c r="AN2363" s="77"/>
      <c r="AO2363" s="77"/>
      <c r="AP2363" s="77"/>
      <c r="AQ2363" s="77"/>
      <c r="AR2363" s="77"/>
      <c r="AS2363" s="77"/>
      <c r="AT2363" s="77"/>
      <c r="AU2363" s="77"/>
      <c r="AV2363" s="80" t="str">
        <f>HYPERLINK("https://pbs.twimg.com/profile_images/1661038309731123200/Kbj2Xb6__normal.jpg")</f>
        <v>https://pbs.twimg.com/profile_images/1661038309731123200/Kbj2Xb6__normal.jpg</v>
      </c>
      <c r="AW2363" s="82" t="s">
        <v>19129</v>
      </c>
      <c r="AX2363" s="82" t="s">
        <v>19129</v>
      </c>
      <c r="AY2363" s="77"/>
      <c r="AZ2363" s="82" t="s">
        <v>20971</v>
      </c>
      <c r="BA2363" s="82" t="s">
        <v>20971</v>
      </c>
      <c r="BB2363" s="82" t="s">
        <v>20971</v>
      </c>
      <c r="BC2363" s="82" t="s">
        <v>19129</v>
      </c>
      <c r="BD2363" s="82" t="s">
        <v>21463</v>
      </c>
      <c r="BE2363" s="77"/>
      <c r="BF2363" s="77"/>
      <c r="BG2363" s="77"/>
      <c r="BH2363" s="77"/>
      <c r="BI2363" s="77"/>
    </row>
    <row r="2364" spans="1:61" x14ac:dyDescent="0.25">
      <c r="A2364" s="62" t="s">
        <v>830</v>
      </c>
      <c r="B2364" s="62" t="s">
        <v>830</v>
      </c>
      <c r="C2364" s="63"/>
      <c r="D2364" s="64"/>
      <c r="E2364" s="65"/>
      <c r="F2364" s="66"/>
      <c r="G2364" s="63"/>
      <c r="H2364" s="67"/>
      <c r="I2364" s="68"/>
      <c r="J2364" s="68"/>
      <c r="K2364" s="32"/>
      <c r="L2364" s="75">
        <v>2364</v>
      </c>
      <c r="M2364" s="75"/>
      <c r="N2364" s="70"/>
      <c r="O2364" s="77" t="s">
        <v>179</v>
      </c>
      <c r="P2364" s="79">
        <v>45044.841365740744</v>
      </c>
      <c r="Q2364" s="77" t="s">
        <v>3571</v>
      </c>
      <c r="R2364" s="77">
        <v>0</v>
      </c>
      <c r="S2364" s="77">
        <v>0</v>
      </c>
      <c r="T2364" s="77">
        <v>0</v>
      </c>
      <c r="U2364" s="77">
        <v>0</v>
      </c>
      <c r="V2364" s="77">
        <v>1</v>
      </c>
      <c r="W2364" s="82" t="s">
        <v>6381</v>
      </c>
      <c r="X2364" s="80" t="str">
        <f>HYPERLINK("https://bit.ly/Ebooks-pro")</f>
        <v>https://bit.ly/Ebooks-pro</v>
      </c>
      <c r="Y2364" s="77" t="s">
        <v>7268</v>
      </c>
      <c r="Z2364" s="77"/>
      <c r="AA2364" s="77" t="s">
        <v>8806</v>
      </c>
      <c r="AB2364" s="77" t="s">
        <v>10130</v>
      </c>
      <c r="AC2364" s="82" t="s">
        <v>10144</v>
      </c>
      <c r="AD2364" s="77" t="s">
        <v>10184</v>
      </c>
      <c r="AE2364" s="80" t="str">
        <f>HYPERLINK("https://twitter.com/rickyszin/status/1652042896684490757")</f>
        <v>https://twitter.com/rickyszin/status/1652042896684490757</v>
      </c>
      <c r="AF2364" s="79">
        <v>45044.841365740744</v>
      </c>
      <c r="AG2364" s="85">
        <v>45044</v>
      </c>
      <c r="AH2364" s="82" t="s">
        <v>12456</v>
      </c>
      <c r="AI2364" s="77" t="b">
        <v>0</v>
      </c>
      <c r="AJ2364" s="77"/>
      <c r="AK2364" s="77"/>
      <c r="AL2364" s="77"/>
      <c r="AM2364" s="77"/>
      <c r="AN2364" s="77"/>
      <c r="AO2364" s="77"/>
      <c r="AP2364" s="77"/>
      <c r="AQ2364" s="77" t="s">
        <v>15449</v>
      </c>
      <c r="AR2364" s="77"/>
      <c r="AS2364" s="77"/>
      <c r="AT2364" s="77"/>
      <c r="AU2364" s="77"/>
      <c r="AV2364" s="80" t="str">
        <f>HYPERLINK("https://pbs.twimg.com/media/Fu08QngWIAsdCpy.jpg")</f>
        <v>https://pbs.twimg.com/media/Fu08QngWIAsdCpy.jpg</v>
      </c>
      <c r="AW2364" s="82" t="s">
        <v>19130</v>
      </c>
      <c r="AX2364" s="82" t="s">
        <v>19130</v>
      </c>
      <c r="AY2364" s="77"/>
      <c r="AZ2364" s="82" t="s">
        <v>20971</v>
      </c>
      <c r="BA2364" s="82" t="s">
        <v>20971</v>
      </c>
      <c r="BB2364" s="82" t="s">
        <v>20971</v>
      </c>
      <c r="BC2364" s="82" t="s">
        <v>19130</v>
      </c>
      <c r="BD2364" s="82" t="s">
        <v>21464</v>
      </c>
      <c r="BE2364" s="77"/>
      <c r="BF2364" s="77"/>
      <c r="BG2364" s="77"/>
      <c r="BH2364" s="77"/>
      <c r="BI2364" s="77"/>
    </row>
    <row r="2365" spans="1:61" x14ac:dyDescent="0.25">
      <c r="A2365" s="62" t="s">
        <v>831</v>
      </c>
      <c r="B2365" s="62" t="s">
        <v>831</v>
      </c>
      <c r="C2365" s="63"/>
      <c r="D2365" s="64"/>
      <c r="E2365" s="65"/>
      <c r="F2365" s="66"/>
      <c r="G2365" s="63"/>
      <c r="H2365" s="67"/>
      <c r="I2365" s="68"/>
      <c r="J2365" s="68"/>
      <c r="K2365" s="32"/>
      <c r="L2365" s="75">
        <v>2365</v>
      </c>
      <c r="M2365" s="75"/>
      <c r="N2365" s="70"/>
      <c r="O2365" s="77" t="s">
        <v>179</v>
      </c>
      <c r="P2365" s="79">
        <v>45153.764826388891</v>
      </c>
      <c r="Q2365" s="77" t="s">
        <v>3572</v>
      </c>
      <c r="R2365" s="77">
        <v>0</v>
      </c>
      <c r="S2365" s="77">
        <v>0</v>
      </c>
      <c r="T2365" s="77">
        <v>0</v>
      </c>
      <c r="U2365" s="77">
        <v>0</v>
      </c>
      <c r="V2365" s="77">
        <v>9</v>
      </c>
      <c r="W2365" s="82" t="s">
        <v>6382</v>
      </c>
      <c r="X2365" s="80" t="str">
        <f>HYPERLINK("https://hotm.art/ns8DgZW")</f>
        <v>https://hotm.art/ns8DgZW</v>
      </c>
      <c r="Y2365" s="77" t="s">
        <v>7260</v>
      </c>
      <c r="Z2365" s="77"/>
      <c r="AA2365" s="77" t="s">
        <v>8807</v>
      </c>
      <c r="AB2365" s="77" t="s">
        <v>10130</v>
      </c>
      <c r="AC2365" s="82" t="s">
        <v>10146</v>
      </c>
      <c r="AD2365" s="77" t="s">
        <v>10184</v>
      </c>
      <c r="AE2365" s="80" t="str">
        <f>HYPERLINK("https://twitter.com/derek2870/status/1691515435923972096")</f>
        <v>https://twitter.com/derek2870/status/1691515435923972096</v>
      </c>
      <c r="AF2365" s="79">
        <v>45153.764826388891</v>
      </c>
      <c r="AG2365" s="85">
        <v>45153</v>
      </c>
      <c r="AH2365" s="82" t="s">
        <v>12457</v>
      </c>
      <c r="AI2365" s="77" t="b">
        <v>0</v>
      </c>
      <c r="AJ2365" s="77"/>
      <c r="AK2365" s="77"/>
      <c r="AL2365" s="77"/>
      <c r="AM2365" s="77"/>
      <c r="AN2365" s="77"/>
      <c r="AO2365" s="77"/>
      <c r="AP2365" s="77"/>
      <c r="AQ2365" s="77" t="s">
        <v>15450</v>
      </c>
      <c r="AR2365" s="77"/>
      <c r="AS2365" s="77"/>
      <c r="AT2365" s="77"/>
      <c r="AU2365" s="77"/>
      <c r="AV2365" s="80" t="str">
        <f>HYPERLINK("https://pbs.twimg.com/media/F3l3rfJW4AAWrtk.jpg")</f>
        <v>https://pbs.twimg.com/media/F3l3rfJW4AAWrtk.jpg</v>
      </c>
      <c r="AW2365" s="82" t="s">
        <v>19131</v>
      </c>
      <c r="AX2365" s="82" t="s">
        <v>19131</v>
      </c>
      <c r="AY2365" s="77"/>
      <c r="AZ2365" s="82" t="s">
        <v>20971</v>
      </c>
      <c r="BA2365" s="82" t="s">
        <v>20971</v>
      </c>
      <c r="BB2365" s="82" t="s">
        <v>20971</v>
      </c>
      <c r="BC2365" s="82" t="s">
        <v>19131</v>
      </c>
      <c r="BD2365" s="82" t="s">
        <v>21465</v>
      </c>
      <c r="BE2365" s="77"/>
      <c r="BF2365" s="77"/>
      <c r="BG2365" s="77"/>
      <c r="BH2365" s="77"/>
      <c r="BI2365" s="77"/>
    </row>
    <row r="2366" spans="1:61" x14ac:dyDescent="0.25">
      <c r="A2366" s="62" t="s">
        <v>831</v>
      </c>
      <c r="B2366" s="62" t="s">
        <v>831</v>
      </c>
      <c r="C2366" s="63"/>
      <c r="D2366" s="64"/>
      <c r="E2366" s="65"/>
      <c r="F2366" s="66"/>
      <c r="G2366" s="63"/>
      <c r="H2366" s="67"/>
      <c r="I2366" s="68"/>
      <c r="J2366" s="68"/>
      <c r="K2366" s="32"/>
      <c r="L2366" s="75">
        <v>2366</v>
      </c>
      <c r="M2366" s="75"/>
      <c r="N2366" s="70"/>
      <c r="O2366" s="77" t="s">
        <v>179</v>
      </c>
      <c r="P2366" s="79">
        <v>45153.699606481481</v>
      </c>
      <c r="Q2366" s="77" t="s">
        <v>3573</v>
      </c>
      <c r="R2366" s="77">
        <v>0</v>
      </c>
      <c r="S2366" s="77">
        <v>0</v>
      </c>
      <c r="T2366" s="77">
        <v>0</v>
      </c>
      <c r="U2366" s="77">
        <v>0</v>
      </c>
      <c r="V2366" s="77">
        <v>10</v>
      </c>
      <c r="W2366" s="82" t="s">
        <v>6383</v>
      </c>
      <c r="X2366" s="80" t="str">
        <f>HYPERLINK("https://hotm.art/CdW2vgE")</f>
        <v>https://hotm.art/CdW2vgE</v>
      </c>
      <c r="Y2366" s="77" t="s">
        <v>7260</v>
      </c>
      <c r="Z2366" s="77"/>
      <c r="AA2366" s="77" t="s">
        <v>8808</v>
      </c>
      <c r="AB2366" s="77" t="s">
        <v>10130</v>
      </c>
      <c r="AC2366" s="82" t="s">
        <v>10146</v>
      </c>
      <c r="AD2366" s="77" t="s">
        <v>10184</v>
      </c>
      <c r="AE2366" s="80" t="str">
        <f>HYPERLINK("https://twitter.com/derek2870/status/1691491799360057353")</f>
        <v>https://twitter.com/derek2870/status/1691491799360057353</v>
      </c>
      <c r="AF2366" s="79">
        <v>45153.699606481481</v>
      </c>
      <c r="AG2366" s="85">
        <v>45153</v>
      </c>
      <c r="AH2366" s="82" t="s">
        <v>12458</v>
      </c>
      <c r="AI2366" s="77" t="b">
        <v>0</v>
      </c>
      <c r="AJ2366" s="77"/>
      <c r="AK2366" s="77"/>
      <c r="AL2366" s="77"/>
      <c r="AM2366" s="77"/>
      <c r="AN2366" s="77"/>
      <c r="AO2366" s="77"/>
      <c r="AP2366" s="77"/>
      <c r="AQ2366" s="77" t="s">
        <v>15451</v>
      </c>
      <c r="AR2366" s="77"/>
      <c r="AS2366" s="77"/>
      <c r="AT2366" s="77"/>
      <c r="AU2366" s="77"/>
      <c r="AV2366" s="80" t="str">
        <f>HYPERLINK("https://pbs.twimg.com/media/F3lhz-BXsA4Onzp.jpg")</f>
        <v>https://pbs.twimg.com/media/F3lhz-BXsA4Onzp.jpg</v>
      </c>
      <c r="AW2366" s="82" t="s">
        <v>19132</v>
      </c>
      <c r="AX2366" s="82" t="s">
        <v>19132</v>
      </c>
      <c r="AY2366" s="77"/>
      <c r="AZ2366" s="82" t="s">
        <v>20971</v>
      </c>
      <c r="BA2366" s="82" t="s">
        <v>20971</v>
      </c>
      <c r="BB2366" s="82" t="s">
        <v>20971</v>
      </c>
      <c r="BC2366" s="82" t="s">
        <v>19132</v>
      </c>
      <c r="BD2366" s="82" t="s">
        <v>21465</v>
      </c>
      <c r="BE2366" s="77"/>
      <c r="BF2366" s="77"/>
      <c r="BG2366" s="77"/>
      <c r="BH2366" s="77"/>
      <c r="BI2366" s="77"/>
    </row>
    <row r="2367" spans="1:61" x14ac:dyDescent="0.25">
      <c r="A2367" s="62" t="s">
        <v>831</v>
      </c>
      <c r="B2367" s="62" t="s">
        <v>831</v>
      </c>
      <c r="C2367" s="63"/>
      <c r="D2367" s="64"/>
      <c r="E2367" s="65"/>
      <c r="F2367" s="66"/>
      <c r="G2367" s="63"/>
      <c r="H2367" s="67"/>
      <c r="I2367" s="68"/>
      <c r="J2367" s="68"/>
      <c r="K2367" s="32"/>
      <c r="L2367" s="75">
        <v>2367</v>
      </c>
      <c r="M2367" s="75"/>
      <c r="N2367" s="70"/>
      <c r="O2367" s="77" t="s">
        <v>179</v>
      </c>
      <c r="P2367" s="79">
        <v>45153.692511574074</v>
      </c>
      <c r="Q2367" s="77" t="s">
        <v>3574</v>
      </c>
      <c r="R2367" s="77">
        <v>0</v>
      </c>
      <c r="S2367" s="77">
        <v>0</v>
      </c>
      <c r="T2367" s="77">
        <v>0</v>
      </c>
      <c r="U2367" s="77">
        <v>0</v>
      </c>
      <c r="V2367" s="77">
        <v>7</v>
      </c>
      <c r="W2367" s="82" t="s">
        <v>6384</v>
      </c>
      <c r="X2367" s="80" t="str">
        <f>HYPERLINK("https://hotm.art/y6CRWen")</f>
        <v>https://hotm.art/y6CRWen</v>
      </c>
      <c r="Y2367" s="77" t="s">
        <v>7260</v>
      </c>
      <c r="Z2367" s="77"/>
      <c r="AA2367" s="77" t="s">
        <v>8809</v>
      </c>
      <c r="AB2367" s="77" t="s">
        <v>10130</v>
      </c>
      <c r="AC2367" s="82" t="s">
        <v>10146</v>
      </c>
      <c r="AD2367" s="77" t="s">
        <v>10184</v>
      </c>
      <c r="AE2367" s="80" t="str">
        <f>HYPERLINK("https://twitter.com/derek2870/status/1691489231636508679")</f>
        <v>https://twitter.com/derek2870/status/1691489231636508679</v>
      </c>
      <c r="AF2367" s="79">
        <v>45153.692511574074</v>
      </c>
      <c r="AG2367" s="85">
        <v>45153</v>
      </c>
      <c r="AH2367" s="82" t="s">
        <v>12459</v>
      </c>
      <c r="AI2367" s="77" t="b">
        <v>0</v>
      </c>
      <c r="AJ2367" s="77"/>
      <c r="AK2367" s="77"/>
      <c r="AL2367" s="77"/>
      <c r="AM2367" s="77"/>
      <c r="AN2367" s="77"/>
      <c r="AO2367" s="77"/>
      <c r="AP2367" s="77"/>
      <c r="AQ2367" s="77" t="s">
        <v>15452</v>
      </c>
      <c r="AR2367" s="77"/>
      <c r="AS2367" s="77"/>
      <c r="AT2367" s="77"/>
      <c r="AU2367" s="77"/>
      <c r="AV2367" s="80" t="str">
        <f>HYPERLINK("https://pbs.twimg.com/media/F3lgfNSXsAQ6Zrc.jpg")</f>
        <v>https://pbs.twimg.com/media/F3lgfNSXsAQ6Zrc.jpg</v>
      </c>
      <c r="AW2367" s="82" t="s">
        <v>19133</v>
      </c>
      <c r="AX2367" s="82" t="s">
        <v>19133</v>
      </c>
      <c r="AY2367" s="77"/>
      <c r="AZ2367" s="82" t="s">
        <v>20971</v>
      </c>
      <c r="BA2367" s="82" t="s">
        <v>20971</v>
      </c>
      <c r="BB2367" s="82" t="s">
        <v>20971</v>
      </c>
      <c r="BC2367" s="82" t="s">
        <v>19133</v>
      </c>
      <c r="BD2367" s="82" t="s">
        <v>21465</v>
      </c>
      <c r="BE2367" s="77"/>
      <c r="BF2367" s="77"/>
      <c r="BG2367" s="77"/>
      <c r="BH2367" s="77"/>
      <c r="BI2367" s="77"/>
    </row>
    <row r="2368" spans="1:61" x14ac:dyDescent="0.25">
      <c r="A2368" s="62" t="s">
        <v>831</v>
      </c>
      <c r="B2368" s="62" t="s">
        <v>831</v>
      </c>
      <c r="C2368" s="63"/>
      <c r="D2368" s="64"/>
      <c r="E2368" s="65"/>
      <c r="F2368" s="66"/>
      <c r="G2368" s="63"/>
      <c r="H2368" s="67"/>
      <c r="I2368" s="68"/>
      <c r="J2368" s="68"/>
      <c r="K2368" s="32"/>
      <c r="L2368" s="75">
        <v>2368</v>
      </c>
      <c r="M2368" s="75"/>
      <c r="N2368" s="70"/>
      <c r="O2368" s="77" t="s">
        <v>179</v>
      </c>
      <c r="P2368" s="79">
        <v>45153.68582175926</v>
      </c>
      <c r="Q2368" s="77" t="s">
        <v>3575</v>
      </c>
      <c r="R2368" s="77">
        <v>0</v>
      </c>
      <c r="S2368" s="77">
        <v>0</v>
      </c>
      <c r="T2368" s="77">
        <v>0</v>
      </c>
      <c r="U2368" s="77">
        <v>0</v>
      </c>
      <c r="V2368" s="77">
        <v>4</v>
      </c>
      <c r="W2368" s="82" t="s">
        <v>6385</v>
      </c>
      <c r="X2368" s="80" t="str">
        <f>HYPERLINK("https://hotm.art/hfGKzQ")</f>
        <v>https://hotm.art/hfGKzQ</v>
      </c>
      <c r="Y2368" s="77" t="s">
        <v>7260</v>
      </c>
      <c r="Z2368" s="77"/>
      <c r="AA2368" s="77" t="s">
        <v>8810</v>
      </c>
      <c r="AB2368" s="77" t="s">
        <v>10130</v>
      </c>
      <c r="AC2368" s="82" t="s">
        <v>10146</v>
      </c>
      <c r="AD2368" s="77" t="s">
        <v>10184</v>
      </c>
      <c r="AE2368" s="80" t="str">
        <f>HYPERLINK("https://twitter.com/derek2870/status/1691486804241788931")</f>
        <v>https://twitter.com/derek2870/status/1691486804241788931</v>
      </c>
      <c r="AF2368" s="79">
        <v>45153.68582175926</v>
      </c>
      <c r="AG2368" s="85">
        <v>45153</v>
      </c>
      <c r="AH2368" s="82" t="s">
        <v>12460</v>
      </c>
      <c r="AI2368" s="77" t="b">
        <v>0</v>
      </c>
      <c r="AJ2368" s="77"/>
      <c r="AK2368" s="77"/>
      <c r="AL2368" s="77"/>
      <c r="AM2368" s="77"/>
      <c r="AN2368" s="77"/>
      <c r="AO2368" s="77"/>
      <c r="AP2368" s="77"/>
      <c r="AQ2368" s="77" t="s">
        <v>15453</v>
      </c>
      <c r="AR2368" s="77"/>
      <c r="AS2368" s="77"/>
      <c r="AT2368" s="77"/>
      <c r="AU2368" s="77"/>
      <c r="AV2368" s="80" t="str">
        <f>HYPERLINK("https://pbs.twimg.com/media/F3leNEyXsAURrc-.jpg")</f>
        <v>https://pbs.twimg.com/media/F3leNEyXsAURrc-.jpg</v>
      </c>
      <c r="AW2368" s="82" t="s">
        <v>19134</v>
      </c>
      <c r="AX2368" s="82" t="s">
        <v>19134</v>
      </c>
      <c r="AY2368" s="77"/>
      <c r="AZ2368" s="82" t="s">
        <v>20971</v>
      </c>
      <c r="BA2368" s="82" t="s">
        <v>20971</v>
      </c>
      <c r="BB2368" s="82" t="s">
        <v>20971</v>
      </c>
      <c r="BC2368" s="82" t="s">
        <v>19134</v>
      </c>
      <c r="BD2368" s="82" t="s">
        <v>21465</v>
      </c>
      <c r="BE2368" s="77"/>
      <c r="BF2368" s="77"/>
      <c r="BG2368" s="77"/>
      <c r="BH2368" s="77"/>
      <c r="BI2368" s="77"/>
    </row>
    <row r="2369" spans="1:61" x14ac:dyDescent="0.25">
      <c r="A2369" s="62" t="s">
        <v>831</v>
      </c>
      <c r="B2369" s="62" t="s">
        <v>831</v>
      </c>
      <c r="C2369" s="63"/>
      <c r="D2369" s="64"/>
      <c r="E2369" s="65"/>
      <c r="F2369" s="66"/>
      <c r="G2369" s="63"/>
      <c r="H2369" s="67"/>
      <c r="I2369" s="68"/>
      <c r="J2369" s="68"/>
      <c r="K2369" s="32"/>
      <c r="L2369" s="75">
        <v>2369</v>
      </c>
      <c r="M2369" s="75"/>
      <c r="N2369" s="70"/>
      <c r="O2369" s="77" t="s">
        <v>179</v>
      </c>
      <c r="P2369" s="79">
        <v>45157.769780092596</v>
      </c>
      <c r="Q2369" s="77" t="s">
        <v>3576</v>
      </c>
      <c r="R2369" s="77">
        <v>0</v>
      </c>
      <c r="S2369" s="77">
        <v>0</v>
      </c>
      <c r="T2369" s="77">
        <v>0</v>
      </c>
      <c r="U2369" s="77">
        <v>0</v>
      </c>
      <c r="V2369" s="77">
        <v>64</v>
      </c>
      <c r="W2369" s="82" t="s">
        <v>6386</v>
      </c>
      <c r="X2369" s="80" t="str">
        <f>HYPERLINK("https://hotm.art/0BNvVo")</f>
        <v>https://hotm.art/0BNvVo</v>
      </c>
      <c r="Y2369" s="77" t="s">
        <v>7260</v>
      </c>
      <c r="Z2369" s="77"/>
      <c r="AA2369" s="77" t="s">
        <v>8811</v>
      </c>
      <c r="AB2369" s="77" t="s">
        <v>10130</v>
      </c>
      <c r="AC2369" s="82" t="s">
        <v>10146</v>
      </c>
      <c r="AD2369" s="77" t="s">
        <v>10184</v>
      </c>
      <c r="AE2369" s="80" t="str">
        <f>HYPERLINK("https://twitter.com/derek2870/status/1692966781466399091")</f>
        <v>https://twitter.com/derek2870/status/1692966781466399091</v>
      </c>
      <c r="AF2369" s="79">
        <v>45157.769780092596</v>
      </c>
      <c r="AG2369" s="85">
        <v>45157</v>
      </c>
      <c r="AH2369" s="82" t="s">
        <v>12461</v>
      </c>
      <c r="AI2369" s="77" t="b">
        <v>0</v>
      </c>
      <c r="AJ2369" s="77"/>
      <c r="AK2369" s="77"/>
      <c r="AL2369" s="77"/>
      <c r="AM2369" s="77"/>
      <c r="AN2369" s="77"/>
      <c r="AO2369" s="77"/>
      <c r="AP2369" s="77"/>
      <c r="AQ2369" s="77" t="s">
        <v>15454</v>
      </c>
      <c r="AR2369" s="77"/>
      <c r="AS2369" s="77"/>
      <c r="AT2369" s="77"/>
      <c r="AU2369" s="77"/>
      <c r="AV2369" s="80" t="str">
        <f>HYPERLINK("https://pbs.twimg.com/media/F36gTt5XQAAuVVP.png")</f>
        <v>https://pbs.twimg.com/media/F36gTt5XQAAuVVP.png</v>
      </c>
      <c r="AW2369" s="82" t="s">
        <v>19135</v>
      </c>
      <c r="AX2369" s="82" t="s">
        <v>19135</v>
      </c>
      <c r="AY2369" s="77"/>
      <c r="AZ2369" s="82" t="s">
        <v>20971</v>
      </c>
      <c r="BA2369" s="82" t="s">
        <v>20971</v>
      </c>
      <c r="BB2369" s="82" t="s">
        <v>20971</v>
      </c>
      <c r="BC2369" s="82" t="s">
        <v>19135</v>
      </c>
      <c r="BD2369" s="82" t="s">
        <v>21465</v>
      </c>
      <c r="BE2369" s="77"/>
      <c r="BF2369" s="77"/>
      <c r="BG2369" s="77"/>
      <c r="BH2369" s="77"/>
      <c r="BI2369" s="77"/>
    </row>
    <row r="2370" spans="1:61" x14ac:dyDescent="0.25">
      <c r="A2370" s="62" t="s">
        <v>831</v>
      </c>
      <c r="B2370" s="62" t="s">
        <v>831</v>
      </c>
      <c r="C2370" s="63"/>
      <c r="D2370" s="64"/>
      <c r="E2370" s="65"/>
      <c r="F2370" s="66"/>
      <c r="G2370" s="63"/>
      <c r="H2370" s="67"/>
      <c r="I2370" s="68"/>
      <c r="J2370" s="68"/>
      <c r="K2370" s="32"/>
      <c r="L2370" s="75">
        <v>2370</v>
      </c>
      <c r="M2370" s="75"/>
      <c r="N2370" s="70"/>
      <c r="O2370" s="77" t="s">
        <v>179</v>
      </c>
      <c r="P2370" s="79">
        <v>45156.438483796293</v>
      </c>
      <c r="Q2370" s="77" t="s">
        <v>3577</v>
      </c>
      <c r="R2370" s="77">
        <v>0</v>
      </c>
      <c r="S2370" s="77">
        <v>0</v>
      </c>
      <c r="T2370" s="77">
        <v>0</v>
      </c>
      <c r="U2370" s="77">
        <v>0</v>
      </c>
      <c r="V2370" s="77">
        <v>49</v>
      </c>
      <c r="W2370" s="82" t="s">
        <v>6387</v>
      </c>
      <c r="X2370" s="80" t="str">
        <f>HYPERLINK("https://hotm.art/oPWnlvoI")</f>
        <v>https://hotm.art/oPWnlvoI</v>
      </c>
      <c r="Y2370" s="77" t="s">
        <v>7260</v>
      </c>
      <c r="Z2370" s="77"/>
      <c r="AA2370" s="77" t="s">
        <v>8812</v>
      </c>
      <c r="AB2370" s="77" t="s">
        <v>10130</v>
      </c>
      <c r="AC2370" s="82" t="s">
        <v>10146</v>
      </c>
      <c r="AD2370" s="77" t="s">
        <v>10184</v>
      </c>
      <c r="AE2370" s="80" t="str">
        <f>HYPERLINK("https://twitter.com/derek2870/status/1692484337453715778")</f>
        <v>https://twitter.com/derek2870/status/1692484337453715778</v>
      </c>
      <c r="AF2370" s="79">
        <v>45156.438483796293</v>
      </c>
      <c r="AG2370" s="85">
        <v>45156</v>
      </c>
      <c r="AH2370" s="82" t="s">
        <v>12462</v>
      </c>
      <c r="AI2370" s="77" t="b">
        <v>0</v>
      </c>
      <c r="AJ2370" s="77"/>
      <c r="AK2370" s="77"/>
      <c r="AL2370" s="77"/>
      <c r="AM2370" s="77"/>
      <c r="AN2370" s="77"/>
      <c r="AO2370" s="77"/>
      <c r="AP2370" s="77"/>
      <c r="AQ2370" s="77" t="s">
        <v>15455</v>
      </c>
      <c r="AR2370" s="77"/>
      <c r="AS2370" s="77"/>
      <c r="AT2370" s="77"/>
      <c r="AU2370" s="77"/>
      <c r="AV2370" s="80" t="str">
        <f>HYPERLINK("https://pbs.twimg.com/media/F3zpeb6XcAE88VG.jpg")</f>
        <v>https://pbs.twimg.com/media/F3zpeb6XcAE88VG.jpg</v>
      </c>
      <c r="AW2370" s="82" t="s">
        <v>19136</v>
      </c>
      <c r="AX2370" s="82" t="s">
        <v>19136</v>
      </c>
      <c r="AY2370" s="77"/>
      <c r="AZ2370" s="82" t="s">
        <v>20971</v>
      </c>
      <c r="BA2370" s="82" t="s">
        <v>20971</v>
      </c>
      <c r="BB2370" s="82" t="s">
        <v>20971</v>
      </c>
      <c r="BC2370" s="82" t="s">
        <v>19136</v>
      </c>
      <c r="BD2370" s="82" t="s">
        <v>21465</v>
      </c>
      <c r="BE2370" s="77"/>
      <c r="BF2370" s="77"/>
      <c r="BG2370" s="77"/>
      <c r="BH2370" s="77"/>
      <c r="BI2370" s="77"/>
    </row>
    <row r="2371" spans="1:61" x14ac:dyDescent="0.25">
      <c r="A2371" s="62" t="s">
        <v>831</v>
      </c>
      <c r="B2371" s="62" t="s">
        <v>831</v>
      </c>
      <c r="C2371" s="63"/>
      <c r="D2371" s="64"/>
      <c r="E2371" s="65"/>
      <c r="F2371" s="66"/>
      <c r="G2371" s="63"/>
      <c r="H2371" s="67"/>
      <c r="I2371" s="68"/>
      <c r="J2371" s="68"/>
      <c r="K2371" s="32"/>
      <c r="L2371" s="75">
        <v>2371</v>
      </c>
      <c r="M2371" s="75"/>
      <c r="N2371" s="70"/>
      <c r="O2371" s="77" t="s">
        <v>179</v>
      </c>
      <c r="P2371" s="79">
        <v>45158.787048611113</v>
      </c>
      <c r="Q2371" s="77" t="s">
        <v>3578</v>
      </c>
      <c r="R2371" s="77">
        <v>0</v>
      </c>
      <c r="S2371" s="77">
        <v>1</v>
      </c>
      <c r="T2371" s="77">
        <v>0</v>
      </c>
      <c r="U2371" s="77">
        <v>0</v>
      </c>
      <c r="V2371" s="77">
        <v>41</v>
      </c>
      <c r="W2371" s="82" t="s">
        <v>6385</v>
      </c>
      <c r="X2371" s="80" t="str">
        <f>HYPERLINK("https://hotm.art/hfGKzQ")</f>
        <v>https://hotm.art/hfGKzQ</v>
      </c>
      <c r="Y2371" s="77" t="s">
        <v>7260</v>
      </c>
      <c r="Z2371" s="77"/>
      <c r="AA2371" s="77" t="s">
        <v>8813</v>
      </c>
      <c r="AB2371" s="77" t="s">
        <v>10129</v>
      </c>
      <c r="AC2371" s="82" t="s">
        <v>10146</v>
      </c>
      <c r="AD2371" s="77" t="s">
        <v>10184</v>
      </c>
      <c r="AE2371" s="80" t="str">
        <f>HYPERLINK("https://twitter.com/derek2870/status/1693335426801565747")</f>
        <v>https://twitter.com/derek2870/status/1693335426801565747</v>
      </c>
      <c r="AF2371" s="79">
        <v>45158.787048611113</v>
      </c>
      <c r="AG2371" s="85">
        <v>45158</v>
      </c>
      <c r="AH2371" s="82" t="s">
        <v>12463</v>
      </c>
      <c r="AI2371" s="77" t="b">
        <v>0</v>
      </c>
      <c r="AJ2371" s="77"/>
      <c r="AK2371" s="77"/>
      <c r="AL2371" s="77"/>
      <c r="AM2371" s="77"/>
      <c r="AN2371" s="77"/>
      <c r="AO2371" s="77"/>
      <c r="AP2371" s="77"/>
      <c r="AQ2371" s="77" t="s">
        <v>15456</v>
      </c>
      <c r="AR2371" s="77">
        <v>29581</v>
      </c>
      <c r="AS2371" s="77"/>
      <c r="AT2371" s="77"/>
      <c r="AU2371" s="77"/>
      <c r="AV2371" s="80" t="str">
        <f>HYPERLINK("https://pbs.twimg.com/ext_tw_video_thumb/1693335328956788736/pu/img/n_QxSGTF1OI18jcF.jpg")</f>
        <v>https://pbs.twimg.com/ext_tw_video_thumb/1693335328956788736/pu/img/n_QxSGTF1OI18jcF.jpg</v>
      </c>
      <c r="AW2371" s="82" t="s">
        <v>19137</v>
      </c>
      <c r="AX2371" s="82" t="s">
        <v>19137</v>
      </c>
      <c r="AY2371" s="77"/>
      <c r="AZ2371" s="82" t="s">
        <v>20971</v>
      </c>
      <c r="BA2371" s="82" t="s">
        <v>20971</v>
      </c>
      <c r="BB2371" s="82" t="s">
        <v>20971</v>
      </c>
      <c r="BC2371" s="82" t="s">
        <v>19137</v>
      </c>
      <c r="BD2371" s="82" t="s">
        <v>21465</v>
      </c>
      <c r="BE2371" s="77"/>
      <c r="BF2371" s="77"/>
      <c r="BG2371" s="77"/>
      <c r="BH2371" s="77"/>
      <c r="BI2371" s="77"/>
    </row>
    <row r="2372" spans="1:61" x14ac:dyDescent="0.25">
      <c r="A2372" s="62" t="s">
        <v>831</v>
      </c>
      <c r="B2372" s="62" t="s">
        <v>831</v>
      </c>
      <c r="C2372" s="63"/>
      <c r="D2372" s="64"/>
      <c r="E2372" s="65"/>
      <c r="F2372" s="66"/>
      <c r="G2372" s="63"/>
      <c r="H2372" s="67"/>
      <c r="I2372" s="68"/>
      <c r="J2372" s="68"/>
      <c r="K2372" s="32"/>
      <c r="L2372" s="75">
        <v>2372</v>
      </c>
      <c r="M2372" s="75"/>
      <c r="N2372" s="70"/>
      <c r="O2372" s="77" t="s">
        <v>179</v>
      </c>
      <c r="P2372" s="79">
        <v>45157.867708333331</v>
      </c>
      <c r="Q2372" s="77" t="s">
        <v>3579</v>
      </c>
      <c r="R2372" s="77">
        <v>0</v>
      </c>
      <c r="S2372" s="77">
        <v>0</v>
      </c>
      <c r="T2372" s="77">
        <v>0</v>
      </c>
      <c r="U2372" s="77">
        <v>0</v>
      </c>
      <c r="V2372" s="77">
        <v>40</v>
      </c>
      <c r="W2372" s="82" t="s">
        <v>6388</v>
      </c>
      <c r="X2372" s="80" t="str">
        <f>HYPERLINK("https://hotm.art/lmm6QSYJ")</f>
        <v>https://hotm.art/lmm6QSYJ</v>
      </c>
      <c r="Y2372" s="77" t="s">
        <v>7260</v>
      </c>
      <c r="Z2372" s="77"/>
      <c r="AA2372" s="77" t="s">
        <v>8814</v>
      </c>
      <c r="AB2372" s="77" t="s">
        <v>10130</v>
      </c>
      <c r="AC2372" s="82" t="s">
        <v>10146</v>
      </c>
      <c r="AD2372" s="77" t="s">
        <v>10184</v>
      </c>
      <c r="AE2372" s="80" t="str">
        <f>HYPERLINK("https://twitter.com/derek2870/status/1693002269904494672")</f>
        <v>https://twitter.com/derek2870/status/1693002269904494672</v>
      </c>
      <c r="AF2372" s="79">
        <v>45157.867708333331</v>
      </c>
      <c r="AG2372" s="85">
        <v>45157</v>
      </c>
      <c r="AH2372" s="82" t="s">
        <v>12464</v>
      </c>
      <c r="AI2372" s="77" t="b">
        <v>0</v>
      </c>
      <c r="AJ2372" s="77"/>
      <c r="AK2372" s="77"/>
      <c r="AL2372" s="77"/>
      <c r="AM2372" s="77"/>
      <c r="AN2372" s="77"/>
      <c r="AO2372" s="77"/>
      <c r="AP2372" s="77"/>
      <c r="AQ2372" s="77" t="s">
        <v>15457</v>
      </c>
      <c r="AR2372" s="77"/>
      <c r="AS2372" s="77"/>
      <c r="AT2372" s="77"/>
      <c r="AU2372" s="77"/>
      <c r="AV2372" s="80" t="str">
        <f>HYPERLINK("https://pbs.twimg.com/media/F36_8FEXUAE5eSA.png")</f>
        <v>https://pbs.twimg.com/media/F36_8FEXUAE5eSA.png</v>
      </c>
      <c r="AW2372" s="82" t="s">
        <v>19138</v>
      </c>
      <c r="AX2372" s="82" t="s">
        <v>19138</v>
      </c>
      <c r="AY2372" s="77"/>
      <c r="AZ2372" s="82" t="s">
        <v>20971</v>
      </c>
      <c r="BA2372" s="82" t="s">
        <v>20971</v>
      </c>
      <c r="BB2372" s="82" t="s">
        <v>20971</v>
      </c>
      <c r="BC2372" s="82" t="s">
        <v>19138</v>
      </c>
      <c r="BD2372" s="82" t="s">
        <v>21465</v>
      </c>
      <c r="BE2372" s="77"/>
      <c r="BF2372" s="77"/>
      <c r="BG2372" s="77"/>
      <c r="BH2372" s="77"/>
      <c r="BI2372" s="77"/>
    </row>
    <row r="2373" spans="1:61" x14ac:dyDescent="0.25">
      <c r="A2373" s="62" t="s">
        <v>831</v>
      </c>
      <c r="B2373" s="62" t="s">
        <v>831</v>
      </c>
      <c r="C2373" s="63"/>
      <c r="D2373" s="64"/>
      <c r="E2373" s="65"/>
      <c r="F2373" s="66"/>
      <c r="G2373" s="63"/>
      <c r="H2373" s="67"/>
      <c r="I2373" s="68"/>
      <c r="J2373" s="68"/>
      <c r="K2373" s="32"/>
      <c r="L2373" s="75">
        <v>2373</v>
      </c>
      <c r="M2373" s="75"/>
      <c r="N2373" s="70"/>
      <c r="O2373" s="77" t="s">
        <v>179</v>
      </c>
      <c r="P2373" s="79">
        <v>45157.864722222221</v>
      </c>
      <c r="Q2373" s="77" t="s">
        <v>3580</v>
      </c>
      <c r="R2373" s="77">
        <v>0</v>
      </c>
      <c r="S2373" s="77">
        <v>0</v>
      </c>
      <c r="T2373" s="77">
        <v>0</v>
      </c>
      <c r="U2373" s="77">
        <v>0</v>
      </c>
      <c r="V2373" s="77">
        <v>34</v>
      </c>
      <c r="W2373" s="82" t="s">
        <v>6389</v>
      </c>
      <c r="X2373" s="80" t="str">
        <f>HYPERLINK("https://hotm.art/KJFv0xvp")</f>
        <v>https://hotm.art/KJFv0xvp</v>
      </c>
      <c r="Y2373" s="77" t="s">
        <v>7260</v>
      </c>
      <c r="Z2373" s="77"/>
      <c r="AA2373" s="77" t="s">
        <v>8815</v>
      </c>
      <c r="AB2373" s="77" t="s">
        <v>10130</v>
      </c>
      <c r="AC2373" s="82" t="s">
        <v>10146</v>
      </c>
      <c r="AD2373" s="77" t="s">
        <v>10184</v>
      </c>
      <c r="AE2373" s="80" t="str">
        <f>HYPERLINK("https://twitter.com/derek2870/status/1693001189976068124")</f>
        <v>https://twitter.com/derek2870/status/1693001189976068124</v>
      </c>
      <c r="AF2373" s="79">
        <v>45157.864722222221</v>
      </c>
      <c r="AG2373" s="85">
        <v>45157</v>
      </c>
      <c r="AH2373" s="82" t="s">
        <v>12465</v>
      </c>
      <c r="AI2373" s="77" t="b">
        <v>0</v>
      </c>
      <c r="AJ2373" s="77"/>
      <c r="AK2373" s="77"/>
      <c r="AL2373" s="77"/>
      <c r="AM2373" s="77"/>
      <c r="AN2373" s="77"/>
      <c r="AO2373" s="77"/>
      <c r="AP2373" s="77"/>
      <c r="AQ2373" s="77" t="s">
        <v>15458</v>
      </c>
      <c r="AR2373" s="77"/>
      <c r="AS2373" s="77"/>
      <c r="AT2373" s="77"/>
      <c r="AU2373" s="77"/>
      <c r="AV2373" s="80" t="str">
        <f>HYPERLINK("https://pbs.twimg.com/media/F36_Yq5XUAEs16V.jpg")</f>
        <v>https://pbs.twimg.com/media/F36_Yq5XUAEs16V.jpg</v>
      </c>
      <c r="AW2373" s="82" t="s">
        <v>19139</v>
      </c>
      <c r="AX2373" s="82" t="s">
        <v>19139</v>
      </c>
      <c r="AY2373" s="77"/>
      <c r="AZ2373" s="82" t="s">
        <v>20971</v>
      </c>
      <c r="BA2373" s="82" t="s">
        <v>20971</v>
      </c>
      <c r="BB2373" s="82" t="s">
        <v>20971</v>
      </c>
      <c r="BC2373" s="82" t="s">
        <v>19139</v>
      </c>
      <c r="BD2373" s="82" t="s">
        <v>21465</v>
      </c>
      <c r="BE2373" s="77"/>
      <c r="BF2373" s="77"/>
      <c r="BG2373" s="77"/>
      <c r="BH2373" s="77"/>
      <c r="BI2373" s="77"/>
    </row>
    <row r="2374" spans="1:61" x14ac:dyDescent="0.25">
      <c r="A2374" s="62" t="s">
        <v>831</v>
      </c>
      <c r="B2374" s="62" t="s">
        <v>831</v>
      </c>
      <c r="C2374" s="63"/>
      <c r="D2374" s="64"/>
      <c r="E2374" s="65"/>
      <c r="F2374" s="66"/>
      <c r="G2374" s="63"/>
      <c r="H2374" s="67"/>
      <c r="I2374" s="68"/>
      <c r="J2374" s="68"/>
      <c r="K2374" s="32"/>
      <c r="L2374" s="75">
        <v>2374</v>
      </c>
      <c r="M2374" s="75"/>
      <c r="N2374" s="70"/>
      <c r="O2374" s="77" t="s">
        <v>179</v>
      </c>
      <c r="P2374" s="79">
        <v>45157.861631944441</v>
      </c>
      <c r="Q2374" s="77" t="s">
        <v>3581</v>
      </c>
      <c r="R2374" s="77">
        <v>0</v>
      </c>
      <c r="S2374" s="77">
        <v>0</v>
      </c>
      <c r="T2374" s="77">
        <v>0</v>
      </c>
      <c r="U2374" s="77">
        <v>0</v>
      </c>
      <c r="V2374" s="77">
        <v>37</v>
      </c>
      <c r="W2374" s="82" t="s">
        <v>6389</v>
      </c>
      <c r="X2374" s="80" t="str">
        <f>HYPERLINK("https://hotm.art/yAPamzT")</f>
        <v>https://hotm.art/yAPamzT</v>
      </c>
      <c r="Y2374" s="77" t="s">
        <v>7260</v>
      </c>
      <c r="Z2374" s="77"/>
      <c r="AA2374" s="77" t="s">
        <v>8816</v>
      </c>
      <c r="AB2374" s="77" t="s">
        <v>10130</v>
      </c>
      <c r="AC2374" s="82" t="s">
        <v>10146</v>
      </c>
      <c r="AD2374" s="77" t="s">
        <v>10184</v>
      </c>
      <c r="AE2374" s="80" t="str">
        <f>HYPERLINK("https://twitter.com/derek2870/status/1693000070587613466")</f>
        <v>https://twitter.com/derek2870/status/1693000070587613466</v>
      </c>
      <c r="AF2374" s="79">
        <v>45157.861631944441</v>
      </c>
      <c r="AG2374" s="85">
        <v>45157</v>
      </c>
      <c r="AH2374" s="82" t="s">
        <v>12466</v>
      </c>
      <c r="AI2374" s="77" t="b">
        <v>0</v>
      </c>
      <c r="AJ2374" s="77"/>
      <c r="AK2374" s="77"/>
      <c r="AL2374" s="77"/>
      <c r="AM2374" s="77"/>
      <c r="AN2374" s="77"/>
      <c r="AO2374" s="77"/>
      <c r="AP2374" s="77"/>
      <c r="AQ2374" s="77" t="s">
        <v>15459</v>
      </c>
      <c r="AR2374" s="77"/>
      <c r="AS2374" s="77"/>
      <c r="AT2374" s="77"/>
      <c r="AU2374" s="77"/>
      <c r="AV2374" s="80" t="str">
        <f>HYPERLINK("https://pbs.twimg.com/media/F36-kIbWcAEM4Qs.jpg")</f>
        <v>https://pbs.twimg.com/media/F36-kIbWcAEM4Qs.jpg</v>
      </c>
      <c r="AW2374" s="82" t="s">
        <v>19140</v>
      </c>
      <c r="AX2374" s="82" t="s">
        <v>19140</v>
      </c>
      <c r="AY2374" s="77"/>
      <c r="AZ2374" s="82" t="s">
        <v>20971</v>
      </c>
      <c r="BA2374" s="82" t="s">
        <v>20971</v>
      </c>
      <c r="BB2374" s="82" t="s">
        <v>20971</v>
      </c>
      <c r="BC2374" s="82" t="s">
        <v>19140</v>
      </c>
      <c r="BD2374" s="82" t="s">
        <v>21465</v>
      </c>
      <c r="BE2374" s="77"/>
      <c r="BF2374" s="77"/>
      <c r="BG2374" s="77"/>
      <c r="BH2374" s="77"/>
      <c r="BI2374" s="77"/>
    </row>
    <row r="2375" spans="1:61" x14ac:dyDescent="0.25">
      <c r="A2375" s="62" t="s">
        <v>831</v>
      </c>
      <c r="B2375" s="62" t="s">
        <v>831</v>
      </c>
      <c r="C2375" s="63"/>
      <c r="D2375" s="64"/>
      <c r="E2375" s="65"/>
      <c r="F2375" s="66"/>
      <c r="G2375" s="63"/>
      <c r="H2375" s="67"/>
      <c r="I2375" s="68"/>
      <c r="J2375" s="68"/>
      <c r="K2375" s="32"/>
      <c r="L2375" s="75">
        <v>2375</v>
      </c>
      <c r="M2375" s="75"/>
      <c r="N2375" s="70"/>
      <c r="O2375" s="77" t="s">
        <v>179</v>
      </c>
      <c r="P2375" s="79">
        <v>45157.771145833336</v>
      </c>
      <c r="Q2375" s="77" t="s">
        <v>3582</v>
      </c>
      <c r="R2375" s="77">
        <v>0</v>
      </c>
      <c r="S2375" s="77">
        <v>0</v>
      </c>
      <c r="T2375" s="77">
        <v>0</v>
      </c>
      <c r="U2375" s="77">
        <v>0</v>
      </c>
      <c r="V2375" s="77">
        <v>41</v>
      </c>
      <c r="W2375" s="82" t="s">
        <v>6387</v>
      </c>
      <c r="X2375" s="80" t="str">
        <f>HYPERLINK("https://hotm.art/oPWnlvoI")</f>
        <v>https://hotm.art/oPWnlvoI</v>
      </c>
      <c r="Y2375" s="77" t="s">
        <v>7260</v>
      </c>
      <c r="Z2375" s="77"/>
      <c r="AA2375" s="77"/>
      <c r="AB2375" s="77"/>
      <c r="AC2375" s="82" t="s">
        <v>10146</v>
      </c>
      <c r="AD2375" s="77" t="s">
        <v>10184</v>
      </c>
      <c r="AE2375" s="80" t="str">
        <f>HYPERLINK("https://twitter.com/derek2870/status/1692967276037701883")</f>
        <v>https://twitter.com/derek2870/status/1692967276037701883</v>
      </c>
      <c r="AF2375" s="79">
        <v>45157.771145833336</v>
      </c>
      <c r="AG2375" s="85">
        <v>45157</v>
      </c>
      <c r="AH2375" s="82" t="s">
        <v>12467</v>
      </c>
      <c r="AI2375" s="77" t="b">
        <v>0</v>
      </c>
      <c r="AJ2375" s="77"/>
      <c r="AK2375" s="77"/>
      <c r="AL2375" s="77"/>
      <c r="AM2375" s="77"/>
      <c r="AN2375" s="77"/>
      <c r="AO2375" s="77"/>
      <c r="AP2375" s="77"/>
      <c r="AQ2375" s="77"/>
      <c r="AR2375" s="77"/>
      <c r="AS2375" s="77"/>
      <c r="AT2375" s="77"/>
      <c r="AU2375" s="77"/>
      <c r="AV2375" s="80" t="str">
        <f>HYPERLINK("https://abs.twimg.com/sticky/default_profile_images/default_profile_normal.png")</f>
        <v>https://abs.twimg.com/sticky/default_profile_images/default_profile_normal.png</v>
      </c>
      <c r="AW2375" s="82" t="s">
        <v>19141</v>
      </c>
      <c r="AX2375" s="82" t="s">
        <v>19141</v>
      </c>
      <c r="AY2375" s="77"/>
      <c r="AZ2375" s="82" t="s">
        <v>20971</v>
      </c>
      <c r="BA2375" s="82" t="s">
        <v>20971</v>
      </c>
      <c r="BB2375" s="82" t="s">
        <v>20971</v>
      </c>
      <c r="BC2375" s="82" t="s">
        <v>19141</v>
      </c>
      <c r="BD2375" s="82" t="s">
        <v>21465</v>
      </c>
      <c r="BE2375" s="77"/>
      <c r="BF2375" s="77"/>
      <c r="BG2375" s="77"/>
      <c r="BH2375" s="77"/>
      <c r="BI2375" s="77"/>
    </row>
    <row r="2376" spans="1:61" x14ac:dyDescent="0.25">
      <c r="A2376" s="62" t="s">
        <v>832</v>
      </c>
      <c r="B2376" s="62" t="s">
        <v>832</v>
      </c>
      <c r="C2376" s="63"/>
      <c r="D2376" s="64"/>
      <c r="E2376" s="65"/>
      <c r="F2376" s="66"/>
      <c r="G2376" s="63"/>
      <c r="H2376" s="67"/>
      <c r="I2376" s="68"/>
      <c r="J2376" s="68"/>
      <c r="K2376" s="32"/>
      <c r="L2376" s="75">
        <v>2376</v>
      </c>
      <c r="M2376" s="75"/>
      <c r="N2376" s="70"/>
      <c r="O2376" s="77" t="s">
        <v>179</v>
      </c>
      <c r="P2376" s="79">
        <v>45187.136817129627</v>
      </c>
      <c r="Q2376" s="77" t="s">
        <v>3583</v>
      </c>
      <c r="R2376" s="77">
        <v>0</v>
      </c>
      <c r="S2376" s="77">
        <v>0</v>
      </c>
      <c r="T2376" s="77">
        <v>0</v>
      </c>
      <c r="U2376" s="77">
        <v>0</v>
      </c>
      <c r="V2376" s="77">
        <v>58</v>
      </c>
      <c r="W2376" s="82" t="s">
        <v>6390</v>
      </c>
      <c r="X2376" s="80" t="str">
        <f>HYPERLINK("https://pay.kiwify.com.br/GV2eaEj?afid=wNanzvYF")</f>
        <v>https://pay.kiwify.com.br/GV2eaEj?afid=wNanzvYF</v>
      </c>
      <c r="Y2376" s="77" t="s">
        <v>7252</v>
      </c>
      <c r="Z2376" s="77"/>
      <c r="AA2376" s="77" t="s">
        <v>8817</v>
      </c>
      <c r="AB2376" s="77" t="s">
        <v>10129</v>
      </c>
      <c r="AC2376" s="82" t="s">
        <v>10144</v>
      </c>
      <c r="AD2376" s="77" t="s">
        <v>10184</v>
      </c>
      <c r="AE2376" s="80" t="str">
        <f>HYPERLINK("https://twitter.com/michaelsan86890/status/1703609039798550921")</f>
        <v>https://twitter.com/michaelsan86890/status/1703609039798550921</v>
      </c>
      <c r="AF2376" s="79">
        <v>45187.136817129627</v>
      </c>
      <c r="AG2376" s="85">
        <v>45187</v>
      </c>
      <c r="AH2376" s="82" t="s">
        <v>12468</v>
      </c>
      <c r="AI2376" s="77" t="b">
        <v>0</v>
      </c>
      <c r="AJ2376" s="77"/>
      <c r="AK2376" s="77"/>
      <c r="AL2376" s="77"/>
      <c r="AM2376" s="77"/>
      <c r="AN2376" s="77"/>
      <c r="AO2376" s="77"/>
      <c r="AP2376" s="77"/>
      <c r="AQ2376" s="77" t="s">
        <v>15460</v>
      </c>
      <c r="AR2376" s="77">
        <v>32088</v>
      </c>
      <c r="AS2376" s="77"/>
      <c r="AT2376" s="77"/>
      <c r="AU2376" s="77"/>
      <c r="AV2376" s="80" t="str">
        <f>HYPERLINK("https://pbs.twimg.com/ext_tw_video_thumb/1703608966041706496/pu/img/9YVnNE89EG4AhXRZ.jpg")</f>
        <v>https://pbs.twimg.com/ext_tw_video_thumb/1703608966041706496/pu/img/9YVnNE89EG4AhXRZ.jpg</v>
      </c>
      <c r="AW2376" s="82" t="s">
        <v>19142</v>
      </c>
      <c r="AX2376" s="82" t="s">
        <v>19142</v>
      </c>
      <c r="AY2376" s="77"/>
      <c r="AZ2376" s="82" t="s">
        <v>20971</v>
      </c>
      <c r="BA2376" s="82" t="s">
        <v>20971</v>
      </c>
      <c r="BB2376" s="82" t="s">
        <v>20971</v>
      </c>
      <c r="BC2376" s="82" t="s">
        <v>19142</v>
      </c>
      <c r="BD2376" s="82" t="s">
        <v>21466</v>
      </c>
      <c r="BE2376" s="77"/>
      <c r="BF2376" s="77"/>
      <c r="BG2376" s="77"/>
      <c r="BH2376" s="77"/>
      <c r="BI2376" s="77"/>
    </row>
    <row r="2377" spans="1:61" x14ac:dyDescent="0.25">
      <c r="A2377" s="62" t="s">
        <v>833</v>
      </c>
      <c r="B2377" s="62" t="s">
        <v>833</v>
      </c>
      <c r="C2377" s="63"/>
      <c r="D2377" s="64"/>
      <c r="E2377" s="65"/>
      <c r="F2377" s="66"/>
      <c r="G2377" s="63"/>
      <c r="H2377" s="67"/>
      <c r="I2377" s="68"/>
      <c r="J2377" s="68"/>
      <c r="K2377" s="32"/>
      <c r="L2377" s="75">
        <v>2377</v>
      </c>
      <c r="M2377" s="75"/>
      <c r="N2377" s="70"/>
      <c r="O2377" s="77" t="s">
        <v>179</v>
      </c>
      <c r="P2377" s="79">
        <v>44999.35769675926</v>
      </c>
      <c r="Q2377" s="77" t="s">
        <v>3584</v>
      </c>
      <c r="R2377" s="77">
        <v>0</v>
      </c>
      <c r="S2377" s="77">
        <v>0</v>
      </c>
      <c r="T2377" s="77">
        <v>0</v>
      </c>
      <c r="U2377" s="77">
        <v>0</v>
      </c>
      <c r="V2377" s="77">
        <v>46</v>
      </c>
      <c r="W2377" s="82" t="s">
        <v>6391</v>
      </c>
      <c r="X2377" s="80" t="str">
        <f>HYPERLINK("https://14diasgratis.creatorlabs.com.br")</f>
        <v>https://14diasgratis.creatorlabs.com.br</v>
      </c>
      <c r="Y2377" s="77" t="s">
        <v>7252</v>
      </c>
      <c r="Z2377" s="77"/>
      <c r="AA2377" s="77" t="s">
        <v>8818</v>
      </c>
      <c r="AB2377" s="77" t="s">
        <v>10130</v>
      </c>
      <c r="AC2377" s="82" t="s">
        <v>10144</v>
      </c>
      <c r="AD2377" s="77" t="s">
        <v>10184</v>
      </c>
      <c r="AE2377" s="80" t="str">
        <f>HYPERLINK("https://twitter.com/fravenrike/status/1635560166987890688")</f>
        <v>https://twitter.com/fravenrike/status/1635560166987890688</v>
      </c>
      <c r="AF2377" s="79">
        <v>44999.35769675926</v>
      </c>
      <c r="AG2377" s="85">
        <v>44999</v>
      </c>
      <c r="AH2377" s="82" t="s">
        <v>12469</v>
      </c>
      <c r="AI2377" s="77" t="b">
        <v>0</v>
      </c>
      <c r="AJ2377" s="77" t="s">
        <v>13999</v>
      </c>
      <c r="AK2377" s="77" t="s">
        <v>14033</v>
      </c>
      <c r="AL2377" s="77" t="s">
        <v>14035</v>
      </c>
      <c r="AM2377" s="77" t="s">
        <v>14041</v>
      </c>
      <c r="AN2377" s="77" t="s">
        <v>14078</v>
      </c>
      <c r="AO2377" s="77" t="s">
        <v>14116</v>
      </c>
      <c r="AP2377" s="77" t="s">
        <v>14149</v>
      </c>
      <c r="AQ2377" s="77" t="s">
        <v>15461</v>
      </c>
      <c r="AR2377" s="77"/>
      <c r="AS2377" s="77"/>
      <c r="AT2377" s="77"/>
      <c r="AU2377" s="77"/>
      <c r="AV2377" s="80" t="str">
        <f>HYPERLINK("https://pbs.twimg.com/media/FrKtTcgWcAI7F-w.jpg")</f>
        <v>https://pbs.twimg.com/media/FrKtTcgWcAI7F-w.jpg</v>
      </c>
      <c r="AW2377" s="82" t="s">
        <v>19143</v>
      </c>
      <c r="AX2377" s="82" t="s">
        <v>19143</v>
      </c>
      <c r="AY2377" s="77"/>
      <c r="AZ2377" s="82" t="s">
        <v>20971</v>
      </c>
      <c r="BA2377" s="82" t="s">
        <v>20971</v>
      </c>
      <c r="BB2377" s="82" t="s">
        <v>20971</v>
      </c>
      <c r="BC2377" s="82" t="s">
        <v>19143</v>
      </c>
      <c r="BD2377" s="82" t="s">
        <v>21467</v>
      </c>
      <c r="BE2377" s="77"/>
      <c r="BF2377" s="77"/>
      <c r="BG2377" s="77"/>
      <c r="BH2377" s="77"/>
      <c r="BI2377" s="77"/>
    </row>
    <row r="2378" spans="1:61" x14ac:dyDescent="0.25">
      <c r="A2378" s="62" t="s">
        <v>834</v>
      </c>
      <c r="B2378" s="62" t="s">
        <v>834</v>
      </c>
      <c r="C2378" s="63"/>
      <c r="D2378" s="64"/>
      <c r="E2378" s="65"/>
      <c r="F2378" s="66"/>
      <c r="G2378" s="63"/>
      <c r="H2378" s="67"/>
      <c r="I2378" s="68"/>
      <c r="J2378" s="68"/>
      <c r="K2378" s="32"/>
      <c r="L2378" s="75">
        <v>2378</v>
      </c>
      <c r="M2378" s="75"/>
      <c r="N2378" s="70"/>
      <c r="O2378" s="77" t="s">
        <v>179</v>
      </c>
      <c r="P2378" s="79">
        <v>45144.709560185183</v>
      </c>
      <c r="Q2378" s="77" t="s">
        <v>3585</v>
      </c>
      <c r="R2378" s="77">
        <v>0</v>
      </c>
      <c r="S2378" s="77">
        <v>0</v>
      </c>
      <c r="T2378" s="77">
        <v>0</v>
      </c>
      <c r="U2378" s="77">
        <v>0</v>
      </c>
      <c r="V2378" s="77">
        <v>32</v>
      </c>
      <c r="W2378" s="82" t="s">
        <v>6392</v>
      </c>
      <c r="X2378" s="80" t="str">
        <f>HYPERLINK("http://hotm.art/instps")</f>
        <v>http://hotm.art/instps</v>
      </c>
      <c r="Y2378" s="77" t="s">
        <v>7260</v>
      </c>
      <c r="Z2378" s="77"/>
      <c r="AA2378" s="77" t="s">
        <v>8819</v>
      </c>
      <c r="AB2378" s="77" t="s">
        <v>10129</v>
      </c>
      <c r="AC2378" s="82" t="s">
        <v>10144</v>
      </c>
      <c r="AD2378" s="77" t="s">
        <v>10184</v>
      </c>
      <c r="AE2378" s="80" t="str">
        <f>HYPERLINK("https://twitter.com/paulinorsantos/status/1688233917655011328")</f>
        <v>https://twitter.com/paulinorsantos/status/1688233917655011328</v>
      </c>
      <c r="AF2378" s="79">
        <v>45144.709560185183</v>
      </c>
      <c r="AG2378" s="85">
        <v>45144</v>
      </c>
      <c r="AH2378" s="82" t="s">
        <v>12470</v>
      </c>
      <c r="AI2378" s="77" t="b">
        <v>0</v>
      </c>
      <c r="AJ2378" s="77"/>
      <c r="AK2378" s="77"/>
      <c r="AL2378" s="77"/>
      <c r="AM2378" s="77"/>
      <c r="AN2378" s="77"/>
      <c r="AO2378" s="77"/>
      <c r="AP2378" s="77"/>
      <c r="AQ2378" s="77" t="s">
        <v>15462</v>
      </c>
      <c r="AR2378" s="77">
        <v>13699</v>
      </c>
      <c r="AS2378" s="77"/>
      <c r="AT2378" s="77"/>
      <c r="AU2378" s="77"/>
      <c r="AV2378" s="80" t="str">
        <f>HYPERLINK("https://pbs.twimg.com/ext_tw_video_thumb/1688233888856846336/pu/img/iZTLS8manPiJaTza.jpg")</f>
        <v>https://pbs.twimg.com/ext_tw_video_thumb/1688233888856846336/pu/img/iZTLS8manPiJaTza.jpg</v>
      </c>
      <c r="AW2378" s="82" t="s">
        <v>19144</v>
      </c>
      <c r="AX2378" s="82" t="s">
        <v>19144</v>
      </c>
      <c r="AY2378" s="77"/>
      <c r="AZ2378" s="82" t="s">
        <v>20971</v>
      </c>
      <c r="BA2378" s="82" t="s">
        <v>20971</v>
      </c>
      <c r="BB2378" s="82" t="s">
        <v>20971</v>
      </c>
      <c r="BC2378" s="82" t="s">
        <v>19144</v>
      </c>
      <c r="BD2378" s="82" t="s">
        <v>21468</v>
      </c>
      <c r="BE2378" s="77"/>
      <c r="BF2378" s="77"/>
      <c r="BG2378" s="77"/>
      <c r="BH2378" s="77"/>
      <c r="BI2378" s="77"/>
    </row>
    <row r="2379" spans="1:61" x14ac:dyDescent="0.25">
      <c r="A2379" s="62" t="s">
        <v>834</v>
      </c>
      <c r="B2379" s="62" t="s">
        <v>834</v>
      </c>
      <c r="C2379" s="63"/>
      <c r="D2379" s="64"/>
      <c r="E2379" s="65"/>
      <c r="F2379" s="66"/>
      <c r="G2379" s="63"/>
      <c r="H2379" s="67"/>
      <c r="I2379" s="68"/>
      <c r="J2379" s="68"/>
      <c r="K2379" s="32"/>
      <c r="L2379" s="75">
        <v>2379</v>
      </c>
      <c r="M2379" s="75"/>
      <c r="N2379" s="70"/>
      <c r="O2379" s="77" t="s">
        <v>179</v>
      </c>
      <c r="P2379" s="79">
        <v>45161.670011574075</v>
      </c>
      <c r="Q2379" s="77" t="s">
        <v>3586</v>
      </c>
      <c r="R2379" s="77">
        <v>0</v>
      </c>
      <c r="S2379" s="77">
        <v>0</v>
      </c>
      <c r="T2379" s="77">
        <v>0</v>
      </c>
      <c r="U2379" s="77">
        <v>0</v>
      </c>
      <c r="V2379" s="77">
        <v>111</v>
      </c>
      <c r="W2379" s="82" t="s">
        <v>6393</v>
      </c>
      <c r="X2379" s="80" t="str">
        <f>HYPERLINK("http://hotm.art/ngdgpv")</f>
        <v>http://hotm.art/ngdgpv</v>
      </c>
      <c r="Y2379" s="77" t="s">
        <v>7260</v>
      </c>
      <c r="Z2379" s="77"/>
      <c r="AA2379" s="77" t="s">
        <v>8820</v>
      </c>
      <c r="AB2379" s="77" t="s">
        <v>10129</v>
      </c>
      <c r="AC2379" s="82" t="s">
        <v>10144</v>
      </c>
      <c r="AD2379" s="77" t="s">
        <v>10184</v>
      </c>
      <c r="AE2379" s="80" t="str">
        <f>HYPERLINK("https://twitter.com/paulinorsantos/status/1694380177524965489")</f>
        <v>https://twitter.com/paulinorsantos/status/1694380177524965489</v>
      </c>
      <c r="AF2379" s="79">
        <v>45161.670011574075</v>
      </c>
      <c r="AG2379" s="85">
        <v>45161</v>
      </c>
      <c r="AH2379" s="82" t="s">
        <v>12471</v>
      </c>
      <c r="AI2379" s="77" t="b">
        <v>0</v>
      </c>
      <c r="AJ2379" s="77"/>
      <c r="AK2379" s="77"/>
      <c r="AL2379" s="77"/>
      <c r="AM2379" s="77"/>
      <c r="AN2379" s="77"/>
      <c r="AO2379" s="77"/>
      <c r="AP2379" s="77"/>
      <c r="AQ2379" s="77" t="s">
        <v>15463</v>
      </c>
      <c r="AR2379" s="77">
        <v>45000</v>
      </c>
      <c r="AS2379" s="77"/>
      <c r="AT2379" s="77"/>
      <c r="AU2379" s="77"/>
      <c r="AV2379" s="80" t="str">
        <f>HYPERLINK("https://pbs.twimg.com/ext_tw_video_thumb/1694380103109599233/pu/img/wTStuQ9xW5Q5DTEa.jpg")</f>
        <v>https://pbs.twimg.com/ext_tw_video_thumb/1694380103109599233/pu/img/wTStuQ9xW5Q5DTEa.jpg</v>
      </c>
      <c r="AW2379" s="82" t="s">
        <v>19145</v>
      </c>
      <c r="AX2379" s="82" t="s">
        <v>19145</v>
      </c>
      <c r="AY2379" s="77"/>
      <c r="AZ2379" s="82" t="s">
        <v>20971</v>
      </c>
      <c r="BA2379" s="82" t="s">
        <v>20971</v>
      </c>
      <c r="BB2379" s="82" t="s">
        <v>20971</v>
      </c>
      <c r="BC2379" s="82" t="s">
        <v>19145</v>
      </c>
      <c r="BD2379" s="82" t="s">
        <v>21468</v>
      </c>
      <c r="BE2379" s="77"/>
      <c r="BF2379" s="77"/>
      <c r="BG2379" s="77"/>
      <c r="BH2379" s="77"/>
      <c r="BI2379" s="77"/>
    </row>
    <row r="2380" spans="1:61" x14ac:dyDescent="0.25">
      <c r="A2380" s="62" t="s">
        <v>834</v>
      </c>
      <c r="B2380" s="62" t="s">
        <v>834</v>
      </c>
      <c r="C2380" s="63"/>
      <c r="D2380" s="64"/>
      <c r="E2380" s="65"/>
      <c r="F2380" s="66"/>
      <c r="G2380" s="63"/>
      <c r="H2380" s="67"/>
      <c r="I2380" s="68"/>
      <c r="J2380" s="68"/>
      <c r="K2380" s="32"/>
      <c r="L2380" s="75">
        <v>2380</v>
      </c>
      <c r="M2380" s="75"/>
      <c r="N2380" s="70"/>
      <c r="O2380" s="77" t="s">
        <v>179</v>
      </c>
      <c r="P2380" s="79">
        <v>45161.667071759257</v>
      </c>
      <c r="Q2380" s="77" t="s">
        <v>3587</v>
      </c>
      <c r="R2380" s="77">
        <v>0</v>
      </c>
      <c r="S2380" s="77">
        <v>0</v>
      </c>
      <c r="T2380" s="77">
        <v>0</v>
      </c>
      <c r="U2380" s="77">
        <v>0</v>
      </c>
      <c r="V2380" s="77">
        <v>27</v>
      </c>
      <c r="W2380" s="82" t="s">
        <v>6394</v>
      </c>
      <c r="X2380" s="80" t="str">
        <f>HYPERLINK("http://hotm.art/ngdgpv")</f>
        <v>http://hotm.art/ngdgpv</v>
      </c>
      <c r="Y2380" s="77" t="s">
        <v>7260</v>
      </c>
      <c r="Z2380" s="77"/>
      <c r="AA2380" s="77" t="s">
        <v>8821</v>
      </c>
      <c r="AB2380" s="77" t="s">
        <v>10129</v>
      </c>
      <c r="AC2380" s="82" t="s">
        <v>10144</v>
      </c>
      <c r="AD2380" s="77" t="s">
        <v>10184</v>
      </c>
      <c r="AE2380" s="80" t="str">
        <f>HYPERLINK("https://twitter.com/paulinorsantos/status/1694379114507972621")</f>
        <v>https://twitter.com/paulinorsantos/status/1694379114507972621</v>
      </c>
      <c r="AF2380" s="79">
        <v>45161.667071759257</v>
      </c>
      <c r="AG2380" s="85">
        <v>45161</v>
      </c>
      <c r="AH2380" s="82" t="s">
        <v>12472</v>
      </c>
      <c r="AI2380" s="77" t="b">
        <v>0</v>
      </c>
      <c r="AJ2380" s="77"/>
      <c r="AK2380" s="77"/>
      <c r="AL2380" s="77"/>
      <c r="AM2380" s="77"/>
      <c r="AN2380" s="77"/>
      <c r="AO2380" s="77"/>
      <c r="AP2380" s="77"/>
      <c r="AQ2380" s="77" t="s">
        <v>15464</v>
      </c>
      <c r="AR2380" s="77">
        <v>83286</v>
      </c>
      <c r="AS2380" s="77"/>
      <c r="AT2380" s="77"/>
      <c r="AU2380" s="77"/>
      <c r="AV2380" s="80" t="str">
        <f>HYPERLINK("https://pbs.twimg.com/ext_tw_video_thumb/1694379063228399616/pu/img/b7noxmGJOV-8K3sM.jpg")</f>
        <v>https://pbs.twimg.com/ext_tw_video_thumb/1694379063228399616/pu/img/b7noxmGJOV-8K3sM.jpg</v>
      </c>
      <c r="AW2380" s="82" t="s">
        <v>19146</v>
      </c>
      <c r="AX2380" s="82" t="s">
        <v>19146</v>
      </c>
      <c r="AY2380" s="77"/>
      <c r="AZ2380" s="82" t="s">
        <v>20971</v>
      </c>
      <c r="BA2380" s="82" t="s">
        <v>20971</v>
      </c>
      <c r="BB2380" s="82" t="s">
        <v>20971</v>
      </c>
      <c r="BC2380" s="82" t="s">
        <v>19146</v>
      </c>
      <c r="BD2380" s="82" t="s">
        <v>21468</v>
      </c>
      <c r="BE2380" s="77"/>
      <c r="BF2380" s="77"/>
      <c r="BG2380" s="77"/>
      <c r="BH2380" s="77"/>
      <c r="BI2380" s="77"/>
    </row>
    <row r="2381" spans="1:61" x14ac:dyDescent="0.25">
      <c r="A2381" s="62" t="s">
        <v>834</v>
      </c>
      <c r="B2381" s="62" t="s">
        <v>834</v>
      </c>
      <c r="C2381" s="63"/>
      <c r="D2381" s="64"/>
      <c r="E2381" s="65"/>
      <c r="F2381" s="66"/>
      <c r="G2381" s="63"/>
      <c r="H2381" s="67"/>
      <c r="I2381" s="68"/>
      <c r="J2381" s="68"/>
      <c r="K2381" s="32"/>
      <c r="L2381" s="75">
        <v>2381</v>
      </c>
      <c r="M2381" s="75"/>
      <c r="N2381" s="70"/>
      <c r="O2381" s="77" t="s">
        <v>179</v>
      </c>
      <c r="P2381" s="79">
        <v>45167.449571759258</v>
      </c>
      <c r="Q2381" s="77" t="s">
        <v>3588</v>
      </c>
      <c r="R2381" s="77">
        <v>0</v>
      </c>
      <c r="S2381" s="77">
        <v>0</v>
      </c>
      <c r="T2381" s="77">
        <v>0</v>
      </c>
      <c r="U2381" s="77">
        <v>0</v>
      </c>
      <c r="V2381" s="77">
        <v>106</v>
      </c>
      <c r="W2381" s="82" t="s">
        <v>6395</v>
      </c>
      <c r="X2381" s="80" t="str">
        <f>HYPERLINK("http://hotm.art/instface")</f>
        <v>http://hotm.art/instface</v>
      </c>
      <c r="Y2381" s="77" t="s">
        <v>7260</v>
      </c>
      <c r="Z2381" s="77"/>
      <c r="AA2381" s="77" t="s">
        <v>8822</v>
      </c>
      <c r="AB2381" s="77" t="s">
        <v>10129</v>
      </c>
      <c r="AC2381" s="82" t="s">
        <v>10144</v>
      </c>
      <c r="AD2381" s="77" t="s">
        <v>10184</v>
      </c>
      <c r="AE2381" s="80" t="str">
        <f>HYPERLINK("https://twitter.com/paulinorsantos/status/1696474622538002895")</f>
        <v>https://twitter.com/paulinorsantos/status/1696474622538002895</v>
      </c>
      <c r="AF2381" s="79">
        <v>45167.449571759258</v>
      </c>
      <c r="AG2381" s="85">
        <v>45167</v>
      </c>
      <c r="AH2381" s="82" t="s">
        <v>12473</v>
      </c>
      <c r="AI2381" s="77" t="b">
        <v>0</v>
      </c>
      <c r="AJ2381" s="77"/>
      <c r="AK2381" s="77"/>
      <c r="AL2381" s="77"/>
      <c r="AM2381" s="77"/>
      <c r="AN2381" s="77"/>
      <c r="AO2381" s="77"/>
      <c r="AP2381" s="77"/>
      <c r="AQ2381" s="77" t="s">
        <v>15465</v>
      </c>
      <c r="AR2381" s="77">
        <v>59903</v>
      </c>
      <c r="AS2381" s="77"/>
      <c r="AT2381" s="77"/>
      <c r="AU2381" s="77"/>
      <c r="AV2381" s="80" t="str">
        <f>HYPERLINK("https://pbs.twimg.com/ext_tw_video_thumb/1696474552379850753/pu/img/05uxseZFUNrP74tL.jpg")</f>
        <v>https://pbs.twimg.com/ext_tw_video_thumb/1696474552379850753/pu/img/05uxseZFUNrP74tL.jpg</v>
      </c>
      <c r="AW2381" s="82" t="s">
        <v>19147</v>
      </c>
      <c r="AX2381" s="82" t="s">
        <v>19147</v>
      </c>
      <c r="AY2381" s="77"/>
      <c r="AZ2381" s="82" t="s">
        <v>20971</v>
      </c>
      <c r="BA2381" s="82" t="s">
        <v>20971</v>
      </c>
      <c r="BB2381" s="82" t="s">
        <v>20971</v>
      </c>
      <c r="BC2381" s="82" t="s">
        <v>19147</v>
      </c>
      <c r="BD2381" s="82" t="s">
        <v>21468</v>
      </c>
      <c r="BE2381" s="77"/>
      <c r="BF2381" s="77"/>
      <c r="BG2381" s="77"/>
      <c r="BH2381" s="77"/>
      <c r="BI2381" s="77"/>
    </row>
    <row r="2382" spans="1:61" x14ac:dyDescent="0.25">
      <c r="A2382" s="62" t="s">
        <v>834</v>
      </c>
      <c r="B2382" s="62" t="s">
        <v>834</v>
      </c>
      <c r="C2382" s="63"/>
      <c r="D2382" s="64"/>
      <c r="E2382" s="65"/>
      <c r="F2382" s="66"/>
      <c r="G2382" s="63"/>
      <c r="H2382" s="67"/>
      <c r="I2382" s="68"/>
      <c r="J2382" s="68"/>
      <c r="K2382" s="32"/>
      <c r="L2382" s="75">
        <v>2382</v>
      </c>
      <c r="M2382" s="75"/>
      <c r="N2382" s="70"/>
      <c r="O2382" s="77" t="s">
        <v>179</v>
      </c>
      <c r="P2382" s="79">
        <v>45168.668657407405</v>
      </c>
      <c r="Q2382" s="77" t="s">
        <v>3589</v>
      </c>
      <c r="R2382" s="77">
        <v>0</v>
      </c>
      <c r="S2382" s="77">
        <v>0</v>
      </c>
      <c r="T2382" s="77">
        <v>0</v>
      </c>
      <c r="U2382" s="77">
        <v>0</v>
      </c>
      <c r="V2382" s="77">
        <v>35</v>
      </c>
      <c r="W2382" s="82" t="s">
        <v>6396</v>
      </c>
      <c r="X2382" s="80" t="str">
        <f>HYPERLINK("http://hotm.art/ngdgpv")</f>
        <v>http://hotm.art/ngdgpv</v>
      </c>
      <c r="Y2382" s="77" t="s">
        <v>7260</v>
      </c>
      <c r="Z2382" s="77"/>
      <c r="AA2382" s="77" t="s">
        <v>8823</v>
      </c>
      <c r="AB2382" s="77" t="s">
        <v>10129</v>
      </c>
      <c r="AC2382" s="82" t="s">
        <v>10144</v>
      </c>
      <c r="AD2382" s="77" t="s">
        <v>10184</v>
      </c>
      <c r="AE2382" s="80" t="str">
        <f>HYPERLINK("https://twitter.com/paulinorsantos/status/1696916405260517642")</f>
        <v>https://twitter.com/paulinorsantos/status/1696916405260517642</v>
      </c>
      <c r="AF2382" s="79">
        <v>45168.668657407405</v>
      </c>
      <c r="AG2382" s="85">
        <v>45168</v>
      </c>
      <c r="AH2382" s="82" t="s">
        <v>12474</v>
      </c>
      <c r="AI2382" s="77" t="b">
        <v>0</v>
      </c>
      <c r="AJ2382" s="77"/>
      <c r="AK2382" s="77"/>
      <c r="AL2382" s="77"/>
      <c r="AM2382" s="77"/>
      <c r="AN2382" s="77"/>
      <c r="AO2382" s="77"/>
      <c r="AP2382" s="77"/>
      <c r="AQ2382" s="77" t="s">
        <v>15466</v>
      </c>
      <c r="AR2382" s="77">
        <v>49364</v>
      </c>
      <c r="AS2382" s="77"/>
      <c r="AT2382" s="77"/>
      <c r="AU2382" s="77"/>
      <c r="AV2382" s="80" t="str">
        <f>HYPERLINK("https://pbs.twimg.com/ext_tw_video_thumb/1696916370045255680/pu/img/rD_L6uzxIitPmJqD.jpg")</f>
        <v>https://pbs.twimg.com/ext_tw_video_thumb/1696916370045255680/pu/img/rD_L6uzxIitPmJqD.jpg</v>
      </c>
      <c r="AW2382" s="82" t="s">
        <v>19148</v>
      </c>
      <c r="AX2382" s="82" t="s">
        <v>19148</v>
      </c>
      <c r="AY2382" s="77"/>
      <c r="AZ2382" s="82" t="s">
        <v>20971</v>
      </c>
      <c r="BA2382" s="82" t="s">
        <v>20971</v>
      </c>
      <c r="BB2382" s="82" t="s">
        <v>20971</v>
      </c>
      <c r="BC2382" s="82" t="s">
        <v>19148</v>
      </c>
      <c r="BD2382" s="82" t="s">
        <v>21468</v>
      </c>
      <c r="BE2382" s="77"/>
      <c r="BF2382" s="77"/>
      <c r="BG2382" s="77"/>
      <c r="BH2382" s="77"/>
      <c r="BI2382" s="77"/>
    </row>
    <row r="2383" spans="1:61" x14ac:dyDescent="0.25">
      <c r="A2383" s="62" t="s">
        <v>834</v>
      </c>
      <c r="B2383" s="62" t="s">
        <v>834</v>
      </c>
      <c r="C2383" s="63"/>
      <c r="D2383" s="64"/>
      <c r="E2383" s="65"/>
      <c r="F2383" s="66"/>
      <c r="G2383" s="63"/>
      <c r="H2383" s="67"/>
      <c r="I2383" s="68"/>
      <c r="J2383" s="68"/>
      <c r="K2383" s="32"/>
      <c r="L2383" s="75">
        <v>2383</v>
      </c>
      <c r="M2383" s="75"/>
      <c r="N2383" s="70"/>
      <c r="O2383" s="77" t="s">
        <v>179</v>
      </c>
      <c r="P2383" s="79">
        <v>45148.58834490741</v>
      </c>
      <c r="Q2383" s="77" t="s">
        <v>3590</v>
      </c>
      <c r="R2383" s="77">
        <v>0</v>
      </c>
      <c r="S2383" s="77">
        <v>0</v>
      </c>
      <c r="T2383" s="77">
        <v>0</v>
      </c>
      <c r="U2383" s="77">
        <v>0</v>
      </c>
      <c r="V2383" s="77">
        <v>86</v>
      </c>
      <c r="W2383" s="82" t="s">
        <v>6397</v>
      </c>
      <c r="X2383" s="80" t="str">
        <f>HYPERLINK("http://hotm.art/instps")</f>
        <v>http://hotm.art/instps</v>
      </c>
      <c r="Y2383" s="77" t="s">
        <v>7260</v>
      </c>
      <c r="Z2383" s="77"/>
      <c r="AA2383" s="77" t="s">
        <v>8824</v>
      </c>
      <c r="AB2383" s="77" t="s">
        <v>10129</v>
      </c>
      <c r="AC2383" s="82" t="s">
        <v>10144</v>
      </c>
      <c r="AD2383" s="77" t="s">
        <v>10184</v>
      </c>
      <c r="AE2383" s="80" t="str">
        <f>HYPERLINK("https://twitter.com/paulinorsantos/status/1689639542482219008")</f>
        <v>https://twitter.com/paulinorsantos/status/1689639542482219008</v>
      </c>
      <c r="AF2383" s="79">
        <v>45148.58834490741</v>
      </c>
      <c r="AG2383" s="85">
        <v>45148</v>
      </c>
      <c r="AH2383" s="82" t="s">
        <v>12475</v>
      </c>
      <c r="AI2383" s="77" t="b">
        <v>0</v>
      </c>
      <c r="AJ2383" s="77"/>
      <c r="AK2383" s="77"/>
      <c r="AL2383" s="77"/>
      <c r="AM2383" s="77"/>
      <c r="AN2383" s="77"/>
      <c r="AO2383" s="77"/>
      <c r="AP2383" s="77"/>
      <c r="AQ2383" s="77" t="s">
        <v>15467</v>
      </c>
      <c r="AR2383" s="77">
        <v>47146</v>
      </c>
      <c r="AS2383" s="77"/>
      <c r="AT2383" s="77"/>
      <c r="AU2383" s="77"/>
      <c r="AV2383" s="80" t="str">
        <f>HYPERLINK("https://pbs.twimg.com/ext_tw_video_thumb/1689639435560984577/pu/img/ZJ_dqKPlyTs5_Ll8.jpg")</f>
        <v>https://pbs.twimg.com/ext_tw_video_thumb/1689639435560984577/pu/img/ZJ_dqKPlyTs5_Ll8.jpg</v>
      </c>
      <c r="AW2383" s="82" t="s">
        <v>19149</v>
      </c>
      <c r="AX2383" s="82" t="s">
        <v>19149</v>
      </c>
      <c r="AY2383" s="77"/>
      <c r="AZ2383" s="82" t="s">
        <v>20971</v>
      </c>
      <c r="BA2383" s="82" t="s">
        <v>20971</v>
      </c>
      <c r="BB2383" s="82" t="s">
        <v>20971</v>
      </c>
      <c r="BC2383" s="82" t="s">
        <v>19149</v>
      </c>
      <c r="BD2383" s="82" t="s">
        <v>21468</v>
      </c>
      <c r="BE2383" s="77"/>
      <c r="BF2383" s="77"/>
      <c r="BG2383" s="77"/>
      <c r="BH2383" s="77"/>
      <c r="BI2383" s="77"/>
    </row>
    <row r="2384" spans="1:61" x14ac:dyDescent="0.25">
      <c r="A2384" s="62" t="s">
        <v>834</v>
      </c>
      <c r="B2384" s="62" t="s">
        <v>834</v>
      </c>
      <c r="C2384" s="63"/>
      <c r="D2384" s="64"/>
      <c r="E2384" s="65"/>
      <c r="F2384" s="66"/>
      <c r="G2384" s="63"/>
      <c r="H2384" s="67"/>
      <c r="I2384" s="68"/>
      <c r="J2384" s="68"/>
      <c r="K2384" s="32"/>
      <c r="L2384" s="75">
        <v>2384</v>
      </c>
      <c r="M2384" s="75"/>
      <c r="N2384" s="70"/>
      <c r="O2384" s="77" t="s">
        <v>179</v>
      </c>
      <c r="P2384" s="79">
        <v>45085.157847222225</v>
      </c>
      <c r="Q2384" s="77" t="s">
        <v>3591</v>
      </c>
      <c r="R2384" s="77">
        <v>0</v>
      </c>
      <c r="S2384" s="77">
        <v>0</v>
      </c>
      <c r="T2384" s="77">
        <v>0</v>
      </c>
      <c r="U2384" s="77">
        <v>0</v>
      </c>
      <c r="V2384" s="77">
        <v>41</v>
      </c>
      <c r="W2384" s="82" t="s">
        <v>6398</v>
      </c>
      <c r="X2384" s="80" t="str">
        <f>HYPERLINK("http://hotm.art/grps")</f>
        <v>http://hotm.art/grps</v>
      </c>
      <c r="Y2384" s="77" t="s">
        <v>7260</v>
      </c>
      <c r="Z2384" s="77"/>
      <c r="AA2384" s="77" t="s">
        <v>8825</v>
      </c>
      <c r="AB2384" s="77" t="s">
        <v>10129</v>
      </c>
      <c r="AC2384" s="82" t="s">
        <v>10144</v>
      </c>
      <c r="AD2384" s="77" t="s">
        <v>10184</v>
      </c>
      <c r="AE2384" s="80" t="str">
        <f>HYPERLINK("https://twitter.com/paulinorsantos/status/1666653099539193857")</f>
        <v>https://twitter.com/paulinorsantos/status/1666653099539193857</v>
      </c>
      <c r="AF2384" s="79">
        <v>45085.157847222225</v>
      </c>
      <c r="AG2384" s="85">
        <v>45085</v>
      </c>
      <c r="AH2384" s="82" t="s">
        <v>12476</v>
      </c>
      <c r="AI2384" s="77" t="b">
        <v>0</v>
      </c>
      <c r="AJ2384" s="77"/>
      <c r="AK2384" s="77"/>
      <c r="AL2384" s="77"/>
      <c r="AM2384" s="77"/>
      <c r="AN2384" s="77"/>
      <c r="AO2384" s="77"/>
      <c r="AP2384" s="77"/>
      <c r="AQ2384" s="77" t="s">
        <v>15468</v>
      </c>
      <c r="AR2384" s="77">
        <v>28233</v>
      </c>
      <c r="AS2384" s="77"/>
      <c r="AT2384" s="77"/>
      <c r="AU2384" s="77"/>
      <c r="AV2384" s="80" t="str">
        <f>HYPERLINK("https://pbs.twimg.com/ext_tw_video_thumb/1666652999387693056/pu/img/pmMW7DTcX00ynjmu.jpg")</f>
        <v>https://pbs.twimg.com/ext_tw_video_thumb/1666652999387693056/pu/img/pmMW7DTcX00ynjmu.jpg</v>
      </c>
      <c r="AW2384" s="82" t="s">
        <v>19150</v>
      </c>
      <c r="AX2384" s="82" t="s">
        <v>19150</v>
      </c>
      <c r="AY2384" s="77"/>
      <c r="AZ2384" s="82" t="s">
        <v>20971</v>
      </c>
      <c r="BA2384" s="82" t="s">
        <v>20971</v>
      </c>
      <c r="BB2384" s="82" t="s">
        <v>20971</v>
      </c>
      <c r="BC2384" s="82" t="s">
        <v>19150</v>
      </c>
      <c r="BD2384" s="82" t="s">
        <v>21468</v>
      </c>
      <c r="BE2384" s="77"/>
      <c r="BF2384" s="77"/>
      <c r="BG2384" s="77"/>
      <c r="BH2384" s="77"/>
      <c r="BI2384" s="77"/>
    </row>
    <row r="2385" spans="1:61" x14ac:dyDescent="0.25">
      <c r="A2385" s="62" t="s">
        <v>834</v>
      </c>
      <c r="B2385" s="62" t="s">
        <v>834</v>
      </c>
      <c r="C2385" s="63"/>
      <c r="D2385" s="64"/>
      <c r="E2385" s="65"/>
      <c r="F2385" s="66"/>
      <c r="G2385" s="63"/>
      <c r="H2385" s="67"/>
      <c r="I2385" s="68"/>
      <c r="J2385" s="68"/>
      <c r="K2385" s="32"/>
      <c r="L2385" s="75">
        <v>2385</v>
      </c>
      <c r="M2385" s="75"/>
      <c r="N2385" s="70"/>
      <c r="O2385" s="77" t="s">
        <v>179</v>
      </c>
      <c r="P2385" s="79">
        <v>45058.556828703702</v>
      </c>
      <c r="Q2385" s="77" t="s">
        <v>3592</v>
      </c>
      <c r="R2385" s="77">
        <v>0</v>
      </c>
      <c r="S2385" s="77">
        <v>0</v>
      </c>
      <c r="T2385" s="77">
        <v>0</v>
      </c>
      <c r="U2385" s="77">
        <v>0</v>
      </c>
      <c r="V2385" s="77">
        <v>28</v>
      </c>
      <c r="W2385" s="82" t="s">
        <v>5236</v>
      </c>
      <c r="X2385" s="80" t="str">
        <f>HYPERLINK("https://hotm.art/grps")</f>
        <v>https://hotm.art/grps</v>
      </c>
      <c r="Y2385" s="77" t="s">
        <v>7260</v>
      </c>
      <c r="Z2385" s="77"/>
      <c r="AA2385" s="77" t="s">
        <v>8826</v>
      </c>
      <c r="AB2385" s="77" t="s">
        <v>10129</v>
      </c>
      <c r="AC2385" s="82" t="s">
        <v>10144</v>
      </c>
      <c r="AD2385" s="77" t="s">
        <v>10184</v>
      </c>
      <c r="AE2385" s="80" t="str">
        <f>HYPERLINK("https://twitter.com/paulinorsantos/status/1657013214113153027")</f>
        <v>https://twitter.com/paulinorsantos/status/1657013214113153027</v>
      </c>
      <c r="AF2385" s="79">
        <v>45058.556828703702</v>
      </c>
      <c r="AG2385" s="85">
        <v>45058</v>
      </c>
      <c r="AH2385" s="82" t="s">
        <v>12477</v>
      </c>
      <c r="AI2385" s="77" t="b">
        <v>0</v>
      </c>
      <c r="AJ2385" s="77"/>
      <c r="AK2385" s="77"/>
      <c r="AL2385" s="77"/>
      <c r="AM2385" s="77"/>
      <c r="AN2385" s="77"/>
      <c r="AO2385" s="77"/>
      <c r="AP2385" s="77"/>
      <c r="AQ2385" s="77" t="s">
        <v>15469</v>
      </c>
      <c r="AR2385" s="77">
        <v>41007</v>
      </c>
      <c r="AS2385" s="77"/>
      <c r="AT2385" s="77"/>
      <c r="AU2385" s="77"/>
      <c r="AV2385" s="80" t="str">
        <f>HYPERLINK("https://pbs.twimg.com/ext_tw_video_thumb/1657013156252725254/pu/img/2-6dRi6FIwWp_RSy.jpg")</f>
        <v>https://pbs.twimg.com/ext_tw_video_thumb/1657013156252725254/pu/img/2-6dRi6FIwWp_RSy.jpg</v>
      </c>
      <c r="AW2385" s="82" t="s">
        <v>19151</v>
      </c>
      <c r="AX2385" s="82" t="s">
        <v>19151</v>
      </c>
      <c r="AY2385" s="77"/>
      <c r="AZ2385" s="82" t="s">
        <v>20971</v>
      </c>
      <c r="BA2385" s="82" t="s">
        <v>20971</v>
      </c>
      <c r="BB2385" s="82" t="s">
        <v>20971</v>
      </c>
      <c r="BC2385" s="82" t="s">
        <v>19151</v>
      </c>
      <c r="BD2385" s="82" t="s">
        <v>21468</v>
      </c>
      <c r="BE2385" s="77"/>
      <c r="BF2385" s="77"/>
      <c r="BG2385" s="77"/>
      <c r="BH2385" s="77"/>
      <c r="BI2385" s="77"/>
    </row>
    <row r="2386" spans="1:61" x14ac:dyDescent="0.25">
      <c r="A2386" s="62" t="s">
        <v>834</v>
      </c>
      <c r="B2386" s="62" t="s">
        <v>834</v>
      </c>
      <c r="C2386" s="63"/>
      <c r="D2386" s="64"/>
      <c r="E2386" s="65"/>
      <c r="F2386" s="66"/>
      <c r="G2386" s="63"/>
      <c r="H2386" s="67"/>
      <c r="I2386" s="68"/>
      <c r="J2386" s="68"/>
      <c r="K2386" s="32"/>
      <c r="L2386" s="75">
        <v>2386</v>
      </c>
      <c r="M2386" s="75"/>
      <c r="N2386" s="70"/>
      <c r="O2386" s="77" t="s">
        <v>179</v>
      </c>
      <c r="P2386" s="79">
        <v>45058.264953703707</v>
      </c>
      <c r="Q2386" s="77" t="s">
        <v>3593</v>
      </c>
      <c r="R2386" s="77">
        <v>0</v>
      </c>
      <c r="S2386" s="77">
        <v>0</v>
      </c>
      <c r="T2386" s="77">
        <v>0</v>
      </c>
      <c r="U2386" s="77">
        <v>0</v>
      </c>
      <c r="V2386" s="77">
        <v>35</v>
      </c>
      <c r="W2386" s="82" t="s">
        <v>6399</v>
      </c>
      <c r="X2386" s="80" t="str">
        <f>HYPERLINK("http://hotm.art/grps")</f>
        <v>http://hotm.art/grps</v>
      </c>
      <c r="Y2386" s="77" t="s">
        <v>7260</v>
      </c>
      <c r="Z2386" s="77"/>
      <c r="AA2386" s="77" t="s">
        <v>8827</v>
      </c>
      <c r="AB2386" s="77" t="s">
        <v>10129</v>
      </c>
      <c r="AC2386" s="82" t="s">
        <v>10144</v>
      </c>
      <c r="AD2386" s="77" t="s">
        <v>10184</v>
      </c>
      <c r="AE2386" s="80" t="str">
        <f>HYPERLINK("https://twitter.com/paulinorsantos/status/1656907441856978945")</f>
        <v>https://twitter.com/paulinorsantos/status/1656907441856978945</v>
      </c>
      <c r="AF2386" s="79">
        <v>45058.264953703707</v>
      </c>
      <c r="AG2386" s="85">
        <v>45058</v>
      </c>
      <c r="AH2386" s="82" t="s">
        <v>12478</v>
      </c>
      <c r="AI2386" s="77" t="b">
        <v>0</v>
      </c>
      <c r="AJ2386" s="77"/>
      <c r="AK2386" s="77"/>
      <c r="AL2386" s="77"/>
      <c r="AM2386" s="77"/>
      <c r="AN2386" s="77"/>
      <c r="AO2386" s="77"/>
      <c r="AP2386" s="77"/>
      <c r="AQ2386" s="77" t="s">
        <v>15470</v>
      </c>
      <c r="AR2386" s="77">
        <v>29813</v>
      </c>
      <c r="AS2386" s="77"/>
      <c r="AT2386" s="77"/>
      <c r="AU2386" s="77"/>
      <c r="AV2386" s="80" t="str">
        <f>HYPERLINK("https://pbs.twimg.com/ext_tw_video_thumb/1656907402124337152/pu/img/h-Qyqxh2cUSNPR8G.jpg")</f>
        <v>https://pbs.twimg.com/ext_tw_video_thumb/1656907402124337152/pu/img/h-Qyqxh2cUSNPR8G.jpg</v>
      </c>
      <c r="AW2386" s="82" t="s">
        <v>19152</v>
      </c>
      <c r="AX2386" s="82" t="s">
        <v>19152</v>
      </c>
      <c r="AY2386" s="77"/>
      <c r="AZ2386" s="82" t="s">
        <v>20971</v>
      </c>
      <c r="BA2386" s="82" t="s">
        <v>20971</v>
      </c>
      <c r="BB2386" s="82" t="s">
        <v>20971</v>
      </c>
      <c r="BC2386" s="82" t="s">
        <v>19152</v>
      </c>
      <c r="BD2386" s="82" t="s">
        <v>21468</v>
      </c>
      <c r="BE2386" s="77"/>
      <c r="BF2386" s="77"/>
      <c r="BG2386" s="77"/>
      <c r="BH2386" s="77"/>
      <c r="BI2386" s="77"/>
    </row>
    <row r="2387" spans="1:61" x14ac:dyDescent="0.25">
      <c r="A2387" s="62" t="s">
        <v>834</v>
      </c>
      <c r="B2387" s="62" t="s">
        <v>834</v>
      </c>
      <c r="C2387" s="63"/>
      <c r="D2387" s="64"/>
      <c r="E2387" s="65"/>
      <c r="F2387" s="66"/>
      <c r="G2387" s="63"/>
      <c r="H2387" s="67"/>
      <c r="I2387" s="68"/>
      <c r="J2387" s="68"/>
      <c r="K2387" s="32"/>
      <c r="L2387" s="75">
        <v>2387</v>
      </c>
      <c r="M2387" s="75"/>
      <c r="N2387" s="70"/>
      <c r="O2387" s="77" t="s">
        <v>179</v>
      </c>
      <c r="P2387" s="79">
        <v>45195.663472222222</v>
      </c>
      <c r="Q2387" s="77" t="s">
        <v>3594</v>
      </c>
      <c r="R2387" s="77">
        <v>0</v>
      </c>
      <c r="S2387" s="77">
        <v>0</v>
      </c>
      <c r="T2387" s="77">
        <v>0</v>
      </c>
      <c r="U2387" s="77">
        <v>0</v>
      </c>
      <c r="V2387" s="77">
        <v>11</v>
      </c>
      <c r="W2387" s="82" t="s">
        <v>6400</v>
      </c>
      <c r="X2387" s="80" t="str">
        <f>HYPERLINK("http://hotm.art/ngdgpv")</f>
        <v>http://hotm.art/ngdgpv</v>
      </c>
      <c r="Y2387" s="77" t="s">
        <v>7260</v>
      </c>
      <c r="Z2387" s="77"/>
      <c r="AA2387" s="77" t="s">
        <v>8828</v>
      </c>
      <c r="AB2387" s="77" t="s">
        <v>10129</v>
      </c>
      <c r="AC2387" s="82" t="s">
        <v>10144</v>
      </c>
      <c r="AD2387" s="77" t="s">
        <v>10184</v>
      </c>
      <c r="AE2387" s="80" t="str">
        <f>HYPERLINK("https://twitter.com/paulinorsantos/status/1706698998495527001")</f>
        <v>https://twitter.com/paulinorsantos/status/1706698998495527001</v>
      </c>
      <c r="AF2387" s="79">
        <v>45195.663472222222</v>
      </c>
      <c r="AG2387" s="85">
        <v>45195</v>
      </c>
      <c r="AH2387" s="82" t="s">
        <v>12479</v>
      </c>
      <c r="AI2387" s="77" t="b">
        <v>0</v>
      </c>
      <c r="AJ2387" s="77"/>
      <c r="AK2387" s="77"/>
      <c r="AL2387" s="77"/>
      <c r="AM2387" s="77"/>
      <c r="AN2387" s="77"/>
      <c r="AO2387" s="77"/>
      <c r="AP2387" s="77"/>
      <c r="AQ2387" s="77" t="s">
        <v>15471</v>
      </c>
      <c r="AR2387" s="77">
        <v>36337</v>
      </c>
      <c r="AS2387" s="77"/>
      <c r="AT2387" s="77"/>
      <c r="AU2387" s="77"/>
      <c r="AV2387" s="80" t="str">
        <f>HYPERLINK("https://pbs.twimg.com/ext_tw_video_thumb/1706698929817911296/pu/img/e1l-SmjJtRJTarrH.jpg")</f>
        <v>https://pbs.twimg.com/ext_tw_video_thumb/1706698929817911296/pu/img/e1l-SmjJtRJTarrH.jpg</v>
      </c>
      <c r="AW2387" s="82" t="s">
        <v>19153</v>
      </c>
      <c r="AX2387" s="82" t="s">
        <v>19153</v>
      </c>
      <c r="AY2387" s="77"/>
      <c r="AZ2387" s="82" t="s">
        <v>20971</v>
      </c>
      <c r="BA2387" s="82" t="s">
        <v>20971</v>
      </c>
      <c r="BB2387" s="82" t="s">
        <v>20971</v>
      </c>
      <c r="BC2387" s="82" t="s">
        <v>19153</v>
      </c>
      <c r="BD2387" s="82" t="s">
        <v>21468</v>
      </c>
      <c r="BE2387" s="77"/>
      <c r="BF2387" s="77"/>
      <c r="BG2387" s="77"/>
      <c r="BH2387" s="77"/>
      <c r="BI2387" s="77"/>
    </row>
    <row r="2388" spans="1:61" x14ac:dyDescent="0.25">
      <c r="A2388" s="62" t="s">
        <v>834</v>
      </c>
      <c r="B2388" s="62" t="s">
        <v>834</v>
      </c>
      <c r="C2388" s="63"/>
      <c r="D2388" s="64"/>
      <c r="E2388" s="65"/>
      <c r="F2388" s="66"/>
      <c r="G2388" s="63"/>
      <c r="H2388" s="67"/>
      <c r="I2388" s="68"/>
      <c r="J2388" s="68"/>
      <c r="K2388" s="32"/>
      <c r="L2388" s="75">
        <v>2388</v>
      </c>
      <c r="M2388" s="75"/>
      <c r="N2388" s="70"/>
      <c r="O2388" s="77" t="s">
        <v>179</v>
      </c>
      <c r="P2388" s="79">
        <v>45195.47457175926</v>
      </c>
      <c r="Q2388" s="77" t="s">
        <v>3595</v>
      </c>
      <c r="R2388" s="77">
        <v>0</v>
      </c>
      <c r="S2388" s="77">
        <v>0</v>
      </c>
      <c r="T2388" s="77">
        <v>0</v>
      </c>
      <c r="U2388" s="77">
        <v>0</v>
      </c>
      <c r="V2388" s="77">
        <v>11</v>
      </c>
      <c r="W2388" s="82" t="s">
        <v>6401</v>
      </c>
      <c r="X2388" s="77"/>
      <c r="Y2388" s="77"/>
      <c r="Z2388" s="77"/>
      <c r="AA2388" s="77" t="s">
        <v>8829</v>
      </c>
      <c r="AB2388" s="77" t="s">
        <v>10129</v>
      </c>
      <c r="AC2388" s="82" t="s">
        <v>10144</v>
      </c>
      <c r="AD2388" s="77" t="s">
        <v>10184</v>
      </c>
      <c r="AE2388" s="80" t="str">
        <f>HYPERLINK("https://twitter.com/paulinorsantos/status/1706630540558815250")</f>
        <v>https://twitter.com/paulinorsantos/status/1706630540558815250</v>
      </c>
      <c r="AF2388" s="79">
        <v>45195.47457175926</v>
      </c>
      <c r="AG2388" s="85">
        <v>45195</v>
      </c>
      <c r="AH2388" s="82" t="s">
        <v>12480</v>
      </c>
      <c r="AI2388" s="77" t="b">
        <v>0</v>
      </c>
      <c r="AJ2388" s="77"/>
      <c r="AK2388" s="77"/>
      <c r="AL2388" s="77"/>
      <c r="AM2388" s="77"/>
      <c r="AN2388" s="77"/>
      <c r="AO2388" s="77"/>
      <c r="AP2388" s="77"/>
      <c r="AQ2388" s="77" t="s">
        <v>15472</v>
      </c>
      <c r="AR2388" s="77">
        <v>44999</v>
      </c>
      <c r="AS2388" s="77"/>
      <c r="AT2388" s="77"/>
      <c r="AU2388" s="77"/>
      <c r="AV2388" s="80" t="str">
        <f>HYPERLINK("https://pbs.twimg.com/ext_tw_video_thumb/1706630461965881344/pu/img/VbLdn6ZjINWJBGAm.jpg")</f>
        <v>https://pbs.twimg.com/ext_tw_video_thumb/1706630461965881344/pu/img/VbLdn6ZjINWJBGAm.jpg</v>
      </c>
      <c r="AW2388" s="82" t="s">
        <v>19154</v>
      </c>
      <c r="AX2388" s="82" t="s">
        <v>19154</v>
      </c>
      <c r="AY2388" s="77"/>
      <c r="AZ2388" s="82" t="s">
        <v>20971</v>
      </c>
      <c r="BA2388" s="82" t="s">
        <v>20971</v>
      </c>
      <c r="BB2388" s="82" t="s">
        <v>20971</v>
      </c>
      <c r="BC2388" s="82" t="s">
        <v>19154</v>
      </c>
      <c r="BD2388" s="82" t="s">
        <v>21468</v>
      </c>
      <c r="BE2388" s="77"/>
      <c r="BF2388" s="77"/>
      <c r="BG2388" s="77"/>
      <c r="BH2388" s="77"/>
      <c r="BI2388" s="77"/>
    </row>
    <row r="2389" spans="1:61" x14ac:dyDescent="0.25">
      <c r="A2389" s="62" t="s">
        <v>835</v>
      </c>
      <c r="B2389" s="62" t="s">
        <v>835</v>
      </c>
      <c r="C2389" s="63"/>
      <c r="D2389" s="64"/>
      <c r="E2389" s="65"/>
      <c r="F2389" s="66"/>
      <c r="G2389" s="63"/>
      <c r="H2389" s="67"/>
      <c r="I2389" s="68"/>
      <c r="J2389" s="68"/>
      <c r="K2389" s="32"/>
      <c r="L2389" s="75">
        <v>2389</v>
      </c>
      <c r="M2389" s="75"/>
      <c r="N2389" s="70"/>
      <c r="O2389" s="77" t="s">
        <v>179</v>
      </c>
      <c r="P2389" s="79">
        <v>45136.625694444447</v>
      </c>
      <c r="Q2389" s="77" t="s">
        <v>3596</v>
      </c>
      <c r="R2389" s="77">
        <v>0</v>
      </c>
      <c r="S2389" s="77">
        <v>0</v>
      </c>
      <c r="T2389" s="77">
        <v>0</v>
      </c>
      <c r="U2389" s="77">
        <v>0</v>
      </c>
      <c r="V2389" s="77">
        <v>10</v>
      </c>
      <c r="W2389" s="82" t="s">
        <v>6402</v>
      </c>
      <c r="X2389" s="77"/>
      <c r="Y2389" s="77"/>
      <c r="Z2389" s="77"/>
      <c r="AA2389" s="77"/>
      <c r="AB2389" s="77"/>
      <c r="AC2389" s="82" t="s">
        <v>10146</v>
      </c>
      <c r="AD2389" s="77" t="s">
        <v>10184</v>
      </c>
      <c r="AE2389" s="80" t="str">
        <f>HYPERLINK("https://twitter.com/danielmeneses_/status/1685304422388416512")</f>
        <v>https://twitter.com/danielmeneses_/status/1685304422388416512</v>
      </c>
      <c r="AF2389" s="79">
        <v>45136.625694444447</v>
      </c>
      <c r="AG2389" s="85">
        <v>45136</v>
      </c>
      <c r="AH2389" s="82" t="s">
        <v>12481</v>
      </c>
      <c r="AI2389" s="77"/>
      <c r="AJ2389" s="77"/>
      <c r="AK2389" s="77"/>
      <c r="AL2389" s="77"/>
      <c r="AM2389" s="77"/>
      <c r="AN2389" s="77"/>
      <c r="AO2389" s="77"/>
      <c r="AP2389" s="77"/>
      <c r="AQ2389" s="77"/>
      <c r="AR2389" s="77"/>
      <c r="AS2389" s="77"/>
      <c r="AT2389" s="77"/>
      <c r="AU2389" s="77"/>
      <c r="AV2389" s="80" t="str">
        <f>HYPERLINK("https://pbs.twimg.com/profile_images/1441467348423118850/fGlsXvAL_normal.jpg")</f>
        <v>https://pbs.twimg.com/profile_images/1441467348423118850/fGlsXvAL_normal.jpg</v>
      </c>
      <c r="AW2389" s="82" t="s">
        <v>19155</v>
      </c>
      <c r="AX2389" s="82" t="s">
        <v>19155</v>
      </c>
      <c r="AY2389" s="77"/>
      <c r="AZ2389" s="82" t="s">
        <v>20971</v>
      </c>
      <c r="BA2389" s="82" t="s">
        <v>20971</v>
      </c>
      <c r="BB2389" s="82" t="s">
        <v>20971</v>
      </c>
      <c r="BC2389" s="82" t="s">
        <v>19155</v>
      </c>
      <c r="BD2389" s="77">
        <v>116750085</v>
      </c>
      <c r="BE2389" s="77"/>
      <c r="BF2389" s="77"/>
      <c r="BG2389" s="77"/>
      <c r="BH2389" s="77"/>
      <c r="BI2389" s="77"/>
    </row>
    <row r="2390" spans="1:61" x14ac:dyDescent="0.25">
      <c r="A2390" s="62" t="s">
        <v>836</v>
      </c>
      <c r="B2390" s="62" t="s">
        <v>1217</v>
      </c>
      <c r="C2390" s="63"/>
      <c r="D2390" s="64"/>
      <c r="E2390" s="65"/>
      <c r="F2390" s="66"/>
      <c r="G2390" s="63"/>
      <c r="H2390" s="67"/>
      <c r="I2390" s="68"/>
      <c r="J2390" s="68"/>
      <c r="K2390" s="32"/>
      <c r="L2390" s="75">
        <v>2390</v>
      </c>
      <c r="M2390" s="75"/>
      <c r="N2390" s="70"/>
      <c r="O2390" s="77" t="s">
        <v>1287</v>
      </c>
      <c r="P2390" s="79">
        <v>45188.69871527778</v>
      </c>
      <c r="Q2390" s="77" t="s">
        <v>2431</v>
      </c>
      <c r="R2390" s="77">
        <v>3</v>
      </c>
      <c r="S2390" s="77">
        <v>0</v>
      </c>
      <c r="T2390" s="77">
        <v>0</v>
      </c>
      <c r="U2390" s="77">
        <v>0</v>
      </c>
      <c r="V2390" s="77"/>
      <c r="W2390" s="82" t="s">
        <v>5601</v>
      </c>
      <c r="X2390" s="77"/>
      <c r="Y2390" s="77"/>
      <c r="Z2390" s="77" t="s">
        <v>1217</v>
      </c>
      <c r="AA2390" s="77"/>
      <c r="AB2390" s="77"/>
      <c r="AC2390" s="82" t="s">
        <v>10146</v>
      </c>
      <c r="AD2390" s="77" t="s">
        <v>10184</v>
      </c>
      <c r="AE2390" s="80" t="str">
        <f>HYPERLINK("https://twitter.com/s_g_s5/status/1704175054748016694")</f>
        <v>https://twitter.com/s_g_s5/status/1704175054748016694</v>
      </c>
      <c r="AF2390" s="79">
        <v>45188.69871527778</v>
      </c>
      <c r="AG2390" s="85">
        <v>45188</v>
      </c>
      <c r="AH2390" s="82" t="s">
        <v>12482</v>
      </c>
      <c r="AI2390" s="77"/>
      <c r="AJ2390" s="77"/>
      <c r="AK2390" s="77"/>
      <c r="AL2390" s="77"/>
      <c r="AM2390" s="77"/>
      <c r="AN2390" s="77"/>
      <c r="AO2390" s="77"/>
      <c r="AP2390" s="77"/>
      <c r="AQ2390" s="77"/>
      <c r="AR2390" s="77"/>
      <c r="AS2390" s="77"/>
      <c r="AT2390" s="77"/>
      <c r="AU2390" s="77"/>
      <c r="AV2390" s="80" t="str">
        <f>HYPERLINK("https://pbs.twimg.com/profile_images/1587416795379539969/bIG-0fHf_normal.jpg")</f>
        <v>https://pbs.twimg.com/profile_images/1587416795379539969/bIG-0fHf_normal.jpg</v>
      </c>
      <c r="AW2390" s="82" t="s">
        <v>19156</v>
      </c>
      <c r="AX2390" s="82" t="s">
        <v>19156</v>
      </c>
      <c r="AY2390" s="77"/>
      <c r="AZ2390" s="82" t="s">
        <v>20971</v>
      </c>
      <c r="BA2390" s="82" t="s">
        <v>20971</v>
      </c>
      <c r="BB2390" s="82" t="s">
        <v>20736</v>
      </c>
      <c r="BC2390" s="82" t="s">
        <v>20736</v>
      </c>
      <c r="BD2390" s="77">
        <v>56436416</v>
      </c>
      <c r="BE2390" s="77"/>
      <c r="BF2390" s="77"/>
      <c r="BG2390" s="77"/>
      <c r="BH2390" s="77"/>
      <c r="BI2390" s="77"/>
    </row>
    <row r="2391" spans="1:61" x14ac:dyDescent="0.25">
      <c r="A2391" s="62" t="s">
        <v>837</v>
      </c>
      <c r="B2391" s="62" t="s">
        <v>837</v>
      </c>
      <c r="C2391" s="63"/>
      <c r="D2391" s="64"/>
      <c r="E2391" s="65"/>
      <c r="F2391" s="66"/>
      <c r="G2391" s="63"/>
      <c r="H2391" s="67"/>
      <c r="I2391" s="68"/>
      <c r="J2391" s="68"/>
      <c r="K2391" s="32"/>
      <c r="L2391" s="75">
        <v>2391</v>
      </c>
      <c r="M2391" s="75"/>
      <c r="N2391" s="70"/>
      <c r="O2391" s="77" t="s">
        <v>179</v>
      </c>
      <c r="P2391" s="79">
        <v>45109.046087962961</v>
      </c>
      <c r="Q2391" s="77" t="s">
        <v>3597</v>
      </c>
      <c r="R2391" s="77">
        <v>0</v>
      </c>
      <c r="S2391" s="77">
        <v>0</v>
      </c>
      <c r="T2391" s="77">
        <v>0</v>
      </c>
      <c r="U2391" s="77">
        <v>0</v>
      </c>
      <c r="V2391" s="77">
        <v>11</v>
      </c>
      <c r="W2391" s="82" t="s">
        <v>6403</v>
      </c>
      <c r="X2391" s="80" t="str">
        <f>HYPERLINK("https://adrianosanttos.com/2023/06/28/estrategias-para-vender-como-afiliado-sem-investimento/")</f>
        <v>https://adrianosanttos.com/2023/06/28/estrategias-para-vender-como-afiliado-sem-investimento/</v>
      </c>
      <c r="Y2391" s="77" t="s">
        <v>7413</v>
      </c>
      <c r="Z2391" s="77"/>
      <c r="AA2391" s="77" t="s">
        <v>8830</v>
      </c>
      <c r="AB2391" s="77" t="s">
        <v>10130</v>
      </c>
      <c r="AC2391" s="82" t="s">
        <v>10144</v>
      </c>
      <c r="AD2391" s="77" t="s">
        <v>10183</v>
      </c>
      <c r="AE2391" s="80" t="str">
        <f>HYPERLINK("https://twitter.com/adriano7santtos/status/1675309910135808000")</f>
        <v>https://twitter.com/adriano7santtos/status/1675309910135808000</v>
      </c>
      <c r="AF2391" s="79">
        <v>45109.046087962961</v>
      </c>
      <c r="AG2391" s="85">
        <v>45109</v>
      </c>
      <c r="AH2391" s="82" t="s">
        <v>12483</v>
      </c>
      <c r="AI2391" s="77" t="b">
        <v>0</v>
      </c>
      <c r="AJ2391" s="77"/>
      <c r="AK2391" s="77"/>
      <c r="AL2391" s="77"/>
      <c r="AM2391" s="77"/>
      <c r="AN2391" s="77"/>
      <c r="AO2391" s="77"/>
      <c r="AP2391" s="77"/>
      <c r="AQ2391" s="77" t="s">
        <v>15473</v>
      </c>
      <c r="AR2391" s="77"/>
      <c r="AS2391" s="77"/>
      <c r="AT2391" s="77"/>
      <c r="AU2391" s="77"/>
      <c r="AV2391" s="80" t="str">
        <f>HYPERLINK("https://pbs.twimg.com/media/Fz_lfCnXgAQXpzx.jpg")</f>
        <v>https://pbs.twimg.com/media/Fz_lfCnXgAQXpzx.jpg</v>
      </c>
      <c r="AW2391" s="82" t="s">
        <v>19157</v>
      </c>
      <c r="AX2391" s="82" t="s">
        <v>19157</v>
      </c>
      <c r="AY2391" s="77"/>
      <c r="AZ2391" s="82" t="s">
        <v>20971</v>
      </c>
      <c r="BA2391" s="82" t="s">
        <v>20971</v>
      </c>
      <c r="BB2391" s="82" t="s">
        <v>20971</v>
      </c>
      <c r="BC2391" s="82" t="s">
        <v>19157</v>
      </c>
      <c r="BD2391" s="82" t="s">
        <v>21469</v>
      </c>
      <c r="BE2391" s="77"/>
      <c r="BF2391" s="77"/>
      <c r="BG2391" s="77"/>
      <c r="BH2391" s="77"/>
      <c r="BI2391" s="77"/>
    </row>
    <row r="2392" spans="1:61" x14ac:dyDescent="0.25">
      <c r="A2392" s="62" t="s">
        <v>838</v>
      </c>
      <c r="B2392" s="62" t="s">
        <v>838</v>
      </c>
      <c r="C2392" s="63"/>
      <c r="D2392" s="64"/>
      <c r="E2392" s="65"/>
      <c r="F2392" s="66"/>
      <c r="G2392" s="63"/>
      <c r="H2392" s="67"/>
      <c r="I2392" s="68"/>
      <c r="J2392" s="68"/>
      <c r="K2392" s="32"/>
      <c r="L2392" s="75">
        <v>2392</v>
      </c>
      <c r="M2392" s="75"/>
      <c r="N2392" s="70"/>
      <c r="O2392" s="77" t="s">
        <v>179</v>
      </c>
      <c r="P2392" s="79">
        <v>44971.087141203701</v>
      </c>
      <c r="Q2392" s="77" t="s">
        <v>3598</v>
      </c>
      <c r="R2392" s="77">
        <v>0</v>
      </c>
      <c r="S2392" s="77">
        <v>0</v>
      </c>
      <c r="T2392" s="77">
        <v>0</v>
      </c>
      <c r="U2392" s="77">
        <v>0</v>
      </c>
      <c r="V2392" s="77">
        <v>89</v>
      </c>
      <c r="W2392" s="82" t="s">
        <v>5236</v>
      </c>
      <c r="X2392" s="80" t="str">
        <f>HYPERLINK("https://go.hotmart.com/K57177919I")</f>
        <v>https://go.hotmart.com/K57177919I</v>
      </c>
      <c r="Y2392" s="77" t="s">
        <v>7251</v>
      </c>
      <c r="Z2392" s="77"/>
      <c r="AA2392" s="77" t="s">
        <v>8831</v>
      </c>
      <c r="AB2392" s="77" t="s">
        <v>10129</v>
      </c>
      <c r="AC2392" s="82" t="s">
        <v>10144</v>
      </c>
      <c r="AD2392" s="77" t="s">
        <v>10184</v>
      </c>
      <c r="AE2392" s="80" t="str">
        <f>HYPERLINK("https://twitter.com/35a15c3879a9482/status/1625315261413818368")</f>
        <v>https://twitter.com/35a15c3879a9482/status/1625315261413818368</v>
      </c>
      <c r="AF2392" s="79">
        <v>44971.087141203701</v>
      </c>
      <c r="AG2392" s="85">
        <v>44971</v>
      </c>
      <c r="AH2392" s="82" t="s">
        <v>12484</v>
      </c>
      <c r="AI2392" s="77" t="b">
        <v>0</v>
      </c>
      <c r="AJ2392" s="77" t="s">
        <v>14023</v>
      </c>
      <c r="AK2392" s="77" t="s">
        <v>14033</v>
      </c>
      <c r="AL2392" s="77" t="s">
        <v>14035</v>
      </c>
      <c r="AM2392" s="77" t="s">
        <v>14064</v>
      </c>
      <c r="AN2392" s="77" t="s">
        <v>14102</v>
      </c>
      <c r="AO2392" s="77" t="s">
        <v>14139</v>
      </c>
      <c r="AP2392" s="77" t="s">
        <v>14149</v>
      </c>
      <c r="AQ2392" s="77" t="s">
        <v>15474</v>
      </c>
      <c r="AR2392" s="77">
        <v>41666</v>
      </c>
      <c r="AS2392" s="77"/>
      <c r="AT2392" s="77"/>
      <c r="AU2392" s="77"/>
      <c r="AV2392" s="80" t="str">
        <f>HYPERLINK("https://pbs.twimg.com/ext_tw_video_thumb/1625315134066380801/pu/img/as46UPw1qVh0KJzV.jpg")</f>
        <v>https://pbs.twimg.com/ext_tw_video_thumb/1625315134066380801/pu/img/as46UPw1qVh0KJzV.jpg</v>
      </c>
      <c r="AW2392" s="82" t="s">
        <v>19158</v>
      </c>
      <c r="AX2392" s="82" t="s">
        <v>19158</v>
      </c>
      <c r="AY2392" s="77"/>
      <c r="AZ2392" s="82" t="s">
        <v>20971</v>
      </c>
      <c r="BA2392" s="82" t="s">
        <v>20971</v>
      </c>
      <c r="BB2392" s="82" t="s">
        <v>20971</v>
      </c>
      <c r="BC2392" s="82" t="s">
        <v>19158</v>
      </c>
      <c r="BD2392" s="77">
        <v>2475103539</v>
      </c>
      <c r="BE2392" s="77"/>
      <c r="BF2392" s="77"/>
      <c r="BG2392" s="77"/>
      <c r="BH2392" s="77"/>
      <c r="BI2392" s="77"/>
    </row>
    <row r="2393" spans="1:61" x14ac:dyDescent="0.25">
      <c r="A2393" s="62" t="s">
        <v>838</v>
      </c>
      <c r="B2393" s="62" t="s">
        <v>838</v>
      </c>
      <c r="C2393" s="63"/>
      <c r="D2393" s="64"/>
      <c r="E2393" s="65"/>
      <c r="F2393" s="66"/>
      <c r="G2393" s="63"/>
      <c r="H2393" s="67"/>
      <c r="I2393" s="68"/>
      <c r="J2393" s="68"/>
      <c r="K2393" s="32"/>
      <c r="L2393" s="75">
        <v>2393</v>
      </c>
      <c r="M2393" s="75"/>
      <c r="N2393" s="70"/>
      <c r="O2393" s="77" t="s">
        <v>179</v>
      </c>
      <c r="P2393" s="79">
        <v>44968.080381944441</v>
      </c>
      <c r="Q2393" s="77" t="s">
        <v>3599</v>
      </c>
      <c r="R2393" s="77">
        <v>0</v>
      </c>
      <c r="S2393" s="77">
        <v>0</v>
      </c>
      <c r="T2393" s="77">
        <v>0</v>
      </c>
      <c r="U2393" s="77">
        <v>0</v>
      </c>
      <c r="V2393" s="77">
        <v>205</v>
      </c>
      <c r="W2393" s="82" t="s">
        <v>5236</v>
      </c>
      <c r="X2393" s="80" t="str">
        <f>HYPERLINK("https://secure.doppus.com/sale/SHB0O9EH9J88EHB0JJO")</f>
        <v>https://secure.doppus.com/sale/SHB0O9EH9J88EHB0JJO</v>
      </c>
      <c r="Y2393" s="77" t="s">
        <v>7285</v>
      </c>
      <c r="Z2393" s="77"/>
      <c r="AA2393" s="77" t="s">
        <v>8832</v>
      </c>
      <c r="AB2393" s="77" t="s">
        <v>10129</v>
      </c>
      <c r="AC2393" s="82" t="s">
        <v>10144</v>
      </c>
      <c r="AD2393" s="77" t="s">
        <v>10184</v>
      </c>
      <c r="AE2393" s="80" t="str">
        <f>HYPERLINK("https://twitter.com/35a15c3879a9482/status/1624225648771227648")</f>
        <v>https://twitter.com/35a15c3879a9482/status/1624225648771227648</v>
      </c>
      <c r="AF2393" s="79">
        <v>44968.080381944441</v>
      </c>
      <c r="AG2393" s="85">
        <v>44968</v>
      </c>
      <c r="AH2393" s="82" t="s">
        <v>12485</v>
      </c>
      <c r="AI2393" s="77" t="b">
        <v>0</v>
      </c>
      <c r="AJ2393" s="77" t="s">
        <v>14024</v>
      </c>
      <c r="AK2393" s="77" t="s">
        <v>14033</v>
      </c>
      <c r="AL2393" s="77" t="s">
        <v>14035</v>
      </c>
      <c r="AM2393" s="77" t="s">
        <v>14065</v>
      </c>
      <c r="AN2393" s="77" t="s">
        <v>14103</v>
      </c>
      <c r="AO2393" s="77" t="s">
        <v>14140</v>
      </c>
      <c r="AP2393" s="77" t="s">
        <v>14149</v>
      </c>
      <c r="AQ2393" s="77" t="s">
        <v>15475</v>
      </c>
      <c r="AR2393" s="77">
        <v>44877</v>
      </c>
      <c r="AS2393" s="77"/>
      <c r="AT2393" s="77"/>
      <c r="AU2393" s="77"/>
      <c r="AV2393" s="80" t="str">
        <f>HYPERLINK("https://pbs.twimg.com/ext_tw_video_thumb/1624225590684385282/pu/img/fxFn7qlXANyW16Gb.jpg")</f>
        <v>https://pbs.twimg.com/ext_tw_video_thumb/1624225590684385282/pu/img/fxFn7qlXANyW16Gb.jpg</v>
      </c>
      <c r="AW2393" s="82" t="s">
        <v>19159</v>
      </c>
      <c r="AX2393" s="82" t="s">
        <v>19159</v>
      </c>
      <c r="AY2393" s="77"/>
      <c r="AZ2393" s="82" t="s">
        <v>20971</v>
      </c>
      <c r="BA2393" s="82" t="s">
        <v>20971</v>
      </c>
      <c r="BB2393" s="82" t="s">
        <v>20971</v>
      </c>
      <c r="BC2393" s="82" t="s">
        <v>19159</v>
      </c>
      <c r="BD2393" s="77">
        <v>2475103539</v>
      </c>
      <c r="BE2393" s="77"/>
      <c r="BF2393" s="77"/>
      <c r="BG2393" s="77"/>
      <c r="BH2393" s="77"/>
      <c r="BI2393" s="77"/>
    </row>
    <row r="2394" spans="1:61" x14ac:dyDescent="0.25">
      <c r="A2394" s="62" t="s">
        <v>838</v>
      </c>
      <c r="B2394" s="62" t="s">
        <v>838</v>
      </c>
      <c r="C2394" s="63"/>
      <c r="D2394" s="64"/>
      <c r="E2394" s="65"/>
      <c r="F2394" s="66"/>
      <c r="G2394" s="63"/>
      <c r="H2394" s="67"/>
      <c r="I2394" s="68"/>
      <c r="J2394" s="68"/>
      <c r="K2394" s="32"/>
      <c r="L2394" s="75">
        <v>2394</v>
      </c>
      <c r="M2394" s="75"/>
      <c r="N2394" s="70"/>
      <c r="O2394" s="77" t="s">
        <v>179</v>
      </c>
      <c r="P2394" s="79">
        <v>45014.013506944444</v>
      </c>
      <c r="Q2394" s="77" t="s">
        <v>3600</v>
      </c>
      <c r="R2394" s="77">
        <v>0</v>
      </c>
      <c r="S2394" s="77">
        <v>0</v>
      </c>
      <c r="T2394" s="77">
        <v>0</v>
      </c>
      <c r="U2394" s="77">
        <v>0</v>
      </c>
      <c r="V2394" s="77">
        <v>81</v>
      </c>
      <c r="W2394" s="82" t="s">
        <v>6404</v>
      </c>
      <c r="X2394" s="80" t="str">
        <f>HYPERLINK("https://go.hotmart.com/K57177919I")</f>
        <v>https://go.hotmart.com/K57177919I</v>
      </c>
      <c r="Y2394" s="77" t="s">
        <v>7251</v>
      </c>
      <c r="Z2394" s="77"/>
      <c r="AA2394" s="77" t="s">
        <v>8833</v>
      </c>
      <c r="AB2394" s="77" t="s">
        <v>10129</v>
      </c>
      <c r="AC2394" s="82" t="s">
        <v>10144</v>
      </c>
      <c r="AD2394" s="77" t="s">
        <v>10184</v>
      </c>
      <c r="AE2394" s="80" t="str">
        <f>HYPERLINK("https://twitter.com/35a15c3879a9482/status/1640871254876979203")</f>
        <v>https://twitter.com/35a15c3879a9482/status/1640871254876979203</v>
      </c>
      <c r="AF2394" s="79">
        <v>45014.013506944444</v>
      </c>
      <c r="AG2394" s="85">
        <v>45014</v>
      </c>
      <c r="AH2394" s="82" t="s">
        <v>12486</v>
      </c>
      <c r="AI2394" s="77" t="b">
        <v>0</v>
      </c>
      <c r="AJ2394" s="77" t="s">
        <v>14024</v>
      </c>
      <c r="AK2394" s="77" t="s">
        <v>14033</v>
      </c>
      <c r="AL2394" s="77" t="s">
        <v>14035</v>
      </c>
      <c r="AM2394" s="77" t="s">
        <v>14065</v>
      </c>
      <c r="AN2394" s="77" t="s">
        <v>14103</v>
      </c>
      <c r="AO2394" s="77" t="s">
        <v>14140</v>
      </c>
      <c r="AP2394" s="77" t="s">
        <v>14149</v>
      </c>
      <c r="AQ2394" s="77" t="s">
        <v>15476</v>
      </c>
      <c r="AR2394" s="77">
        <v>20516</v>
      </c>
      <c r="AS2394" s="77"/>
      <c r="AT2394" s="77"/>
      <c r="AU2394" s="77"/>
      <c r="AV2394" s="80" t="str">
        <f>HYPERLINK("https://pbs.twimg.com/ext_tw_video_thumb/1640871199713419265/pu/img/nrDl4XbjAYKXDlit.jpg")</f>
        <v>https://pbs.twimg.com/ext_tw_video_thumb/1640871199713419265/pu/img/nrDl4XbjAYKXDlit.jpg</v>
      </c>
      <c r="AW2394" s="82" t="s">
        <v>19160</v>
      </c>
      <c r="AX2394" s="82" t="s">
        <v>19160</v>
      </c>
      <c r="AY2394" s="77"/>
      <c r="AZ2394" s="82" t="s">
        <v>20971</v>
      </c>
      <c r="BA2394" s="82" t="s">
        <v>20971</v>
      </c>
      <c r="BB2394" s="82" t="s">
        <v>20971</v>
      </c>
      <c r="BC2394" s="82" t="s">
        <v>19160</v>
      </c>
      <c r="BD2394" s="77">
        <v>2475103539</v>
      </c>
      <c r="BE2394" s="77"/>
      <c r="BF2394" s="77"/>
      <c r="BG2394" s="77"/>
      <c r="BH2394" s="77"/>
      <c r="BI2394" s="77"/>
    </row>
    <row r="2395" spans="1:61" x14ac:dyDescent="0.25">
      <c r="A2395" s="62" t="s">
        <v>839</v>
      </c>
      <c r="B2395" s="62" t="s">
        <v>1260</v>
      </c>
      <c r="C2395" s="63"/>
      <c r="D2395" s="64"/>
      <c r="E2395" s="65"/>
      <c r="F2395" s="66"/>
      <c r="G2395" s="63"/>
      <c r="H2395" s="67"/>
      <c r="I2395" s="68"/>
      <c r="J2395" s="68"/>
      <c r="K2395" s="32"/>
      <c r="L2395" s="75">
        <v>2395</v>
      </c>
      <c r="M2395" s="75"/>
      <c r="N2395" s="70"/>
      <c r="O2395" s="77" t="s">
        <v>1284</v>
      </c>
      <c r="P2395" s="79">
        <v>45140.784814814811</v>
      </c>
      <c r="Q2395" s="77" t="s">
        <v>3601</v>
      </c>
      <c r="R2395" s="77">
        <v>0</v>
      </c>
      <c r="S2395" s="77">
        <v>2</v>
      </c>
      <c r="T2395" s="77">
        <v>0</v>
      </c>
      <c r="U2395" s="77">
        <v>0</v>
      </c>
      <c r="V2395" s="77">
        <v>652</v>
      </c>
      <c r="W2395" s="82" t="s">
        <v>6405</v>
      </c>
      <c r="X2395" s="77"/>
      <c r="Y2395" s="77"/>
      <c r="Z2395" s="77" t="s">
        <v>1260</v>
      </c>
      <c r="AA2395" s="77"/>
      <c r="AB2395" s="77"/>
      <c r="AC2395" s="82" t="s">
        <v>10146</v>
      </c>
      <c r="AD2395" s="77" t="s">
        <v>10183</v>
      </c>
      <c r="AE2395" s="80" t="str">
        <f>HYPERLINK("https://twitter.com/joaoinvictor/status/1686811639444553735")</f>
        <v>https://twitter.com/joaoinvictor/status/1686811639444553735</v>
      </c>
      <c r="AF2395" s="79">
        <v>45140.784814814811</v>
      </c>
      <c r="AG2395" s="85">
        <v>45140</v>
      </c>
      <c r="AH2395" s="82" t="s">
        <v>12487</v>
      </c>
      <c r="AI2395" s="77"/>
      <c r="AJ2395" s="77"/>
      <c r="AK2395" s="77"/>
      <c r="AL2395" s="77"/>
      <c r="AM2395" s="77"/>
      <c r="AN2395" s="77"/>
      <c r="AO2395" s="77"/>
      <c r="AP2395" s="77"/>
      <c r="AQ2395" s="77"/>
      <c r="AR2395" s="77"/>
      <c r="AS2395" s="77"/>
      <c r="AT2395" s="77"/>
      <c r="AU2395" s="77"/>
      <c r="AV2395" s="80" t="str">
        <f>HYPERLINK("https://pbs.twimg.com/profile_images/1699430383824080896/7G3K7jvx_normal.jpg")</f>
        <v>https://pbs.twimg.com/profile_images/1699430383824080896/7G3K7jvx_normal.jpg</v>
      </c>
      <c r="AW2395" s="82" t="s">
        <v>19161</v>
      </c>
      <c r="AX2395" s="82" t="s">
        <v>20832</v>
      </c>
      <c r="AY2395" s="82" t="s">
        <v>20937</v>
      </c>
      <c r="AZ2395" s="82" t="s">
        <v>20832</v>
      </c>
      <c r="BA2395" s="82" t="s">
        <v>20971</v>
      </c>
      <c r="BB2395" s="82" t="s">
        <v>20971</v>
      </c>
      <c r="BC2395" s="82" t="s">
        <v>20832</v>
      </c>
      <c r="BD2395" s="77">
        <v>3741272415</v>
      </c>
      <c r="BE2395" s="77"/>
      <c r="BF2395" s="77"/>
      <c r="BG2395" s="77"/>
      <c r="BH2395" s="77"/>
      <c r="BI2395" s="77"/>
    </row>
    <row r="2396" spans="1:61" x14ac:dyDescent="0.25">
      <c r="A2396" s="62" t="s">
        <v>840</v>
      </c>
      <c r="B2396" s="62" t="s">
        <v>840</v>
      </c>
      <c r="C2396" s="63"/>
      <c r="D2396" s="64"/>
      <c r="E2396" s="65"/>
      <c r="F2396" s="66"/>
      <c r="G2396" s="63"/>
      <c r="H2396" s="67"/>
      <c r="I2396" s="68"/>
      <c r="J2396" s="68"/>
      <c r="K2396" s="32"/>
      <c r="L2396" s="75">
        <v>2396</v>
      </c>
      <c r="M2396" s="75"/>
      <c r="N2396" s="70"/>
      <c r="O2396" s="77" t="s">
        <v>179</v>
      </c>
      <c r="P2396" s="79">
        <v>45182.17292824074</v>
      </c>
      <c r="Q2396" s="77" t="s">
        <v>3602</v>
      </c>
      <c r="R2396" s="77">
        <v>0</v>
      </c>
      <c r="S2396" s="77">
        <v>0</v>
      </c>
      <c r="T2396" s="77">
        <v>0</v>
      </c>
      <c r="U2396" s="77">
        <v>0</v>
      </c>
      <c r="V2396" s="77">
        <v>10</v>
      </c>
      <c r="W2396" s="82" t="s">
        <v>6406</v>
      </c>
      <c r="X2396" s="80" t="str">
        <f>HYPERLINK("https://gcloot.com/#/?ref=N0WNU0")</f>
        <v>https://gcloot.com/#/?ref=N0WNU0</v>
      </c>
      <c r="Y2396" s="77" t="s">
        <v>7414</v>
      </c>
      <c r="Z2396" s="77"/>
      <c r="AA2396" s="77"/>
      <c r="AB2396" s="77"/>
      <c r="AC2396" s="82" t="s">
        <v>10144</v>
      </c>
      <c r="AD2396" s="77" t="s">
        <v>10183</v>
      </c>
      <c r="AE2396" s="80" t="str">
        <f>HYPERLINK("https://twitter.com/tudoon22/status/1701810185684078995")</f>
        <v>https://twitter.com/tudoon22/status/1701810185684078995</v>
      </c>
      <c r="AF2396" s="79">
        <v>45182.17292824074</v>
      </c>
      <c r="AG2396" s="85">
        <v>45182</v>
      </c>
      <c r="AH2396" s="82" t="s">
        <v>12488</v>
      </c>
      <c r="AI2396" s="77" t="b">
        <v>0</v>
      </c>
      <c r="AJ2396" s="77"/>
      <c r="AK2396" s="77"/>
      <c r="AL2396" s="77"/>
      <c r="AM2396" s="77"/>
      <c r="AN2396" s="77"/>
      <c r="AO2396" s="77"/>
      <c r="AP2396" s="77"/>
      <c r="AQ2396" s="77"/>
      <c r="AR2396" s="77"/>
      <c r="AS2396" s="77"/>
      <c r="AT2396" s="77"/>
      <c r="AU2396" s="77"/>
      <c r="AV2396" s="80" t="str">
        <f>HYPERLINK("https://pbs.twimg.com/profile_images/1687616947427393536/dn6CElGa_normal.png")</f>
        <v>https://pbs.twimg.com/profile_images/1687616947427393536/dn6CElGa_normal.png</v>
      </c>
      <c r="AW2396" s="82" t="s">
        <v>19162</v>
      </c>
      <c r="AX2396" s="82" t="s">
        <v>19162</v>
      </c>
      <c r="AY2396" s="77"/>
      <c r="AZ2396" s="82" t="s">
        <v>20971</v>
      </c>
      <c r="BA2396" s="82" t="s">
        <v>20971</v>
      </c>
      <c r="BB2396" s="82" t="s">
        <v>20971</v>
      </c>
      <c r="BC2396" s="82" t="s">
        <v>19162</v>
      </c>
      <c r="BD2396" s="82" t="s">
        <v>21470</v>
      </c>
      <c r="BE2396" s="77"/>
      <c r="BF2396" s="77"/>
      <c r="BG2396" s="77"/>
      <c r="BH2396" s="77"/>
      <c r="BI2396" s="77"/>
    </row>
    <row r="2397" spans="1:61" x14ac:dyDescent="0.25">
      <c r="A2397" s="62" t="s">
        <v>841</v>
      </c>
      <c r="B2397" s="62" t="s">
        <v>841</v>
      </c>
      <c r="C2397" s="63"/>
      <c r="D2397" s="64"/>
      <c r="E2397" s="65"/>
      <c r="F2397" s="66"/>
      <c r="G2397" s="63"/>
      <c r="H2397" s="67"/>
      <c r="I2397" s="68"/>
      <c r="J2397" s="68"/>
      <c r="K2397" s="32"/>
      <c r="L2397" s="75">
        <v>2397</v>
      </c>
      <c r="M2397" s="75"/>
      <c r="N2397" s="70"/>
      <c r="O2397" s="77" t="s">
        <v>179</v>
      </c>
      <c r="P2397" s="79">
        <v>45183.973020833335</v>
      </c>
      <c r="Q2397" s="77" t="s">
        <v>3603</v>
      </c>
      <c r="R2397" s="77">
        <v>0</v>
      </c>
      <c r="S2397" s="77">
        <v>0</v>
      </c>
      <c r="T2397" s="77">
        <v>0</v>
      </c>
      <c r="U2397" s="77">
        <v>0</v>
      </c>
      <c r="V2397" s="77">
        <v>55</v>
      </c>
      <c r="W2397" s="82" t="s">
        <v>6407</v>
      </c>
      <c r="X2397" s="77"/>
      <c r="Y2397" s="77"/>
      <c r="Z2397" s="77"/>
      <c r="AA2397" s="77"/>
      <c r="AB2397" s="77"/>
      <c r="AC2397" s="82" t="s">
        <v>10144</v>
      </c>
      <c r="AD2397" s="77" t="s">
        <v>10184</v>
      </c>
      <c r="AE2397" s="80" t="str">
        <f>HYPERLINK("https://twitter.com/kakaa1323/status/1702462517988008217")</f>
        <v>https://twitter.com/kakaa1323/status/1702462517988008217</v>
      </c>
      <c r="AF2397" s="79">
        <v>45183.973020833335</v>
      </c>
      <c r="AG2397" s="85">
        <v>45183</v>
      </c>
      <c r="AH2397" s="82" t="s">
        <v>12489</v>
      </c>
      <c r="AI2397" s="77"/>
      <c r="AJ2397" s="77"/>
      <c r="AK2397" s="77"/>
      <c r="AL2397" s="77"/>
      <c r="AM2397" s="77"/>
      <c r="AN2397" s="77"/>
      <c r="AO2397" s="77"/>
      <c r="AP2397" s="77"/>
      <c r="AQ2397" s="77"/>
      <c r="AR2397" s="77"/>
      <c r="AS2397" s="77"/>
      <c r="AT2397" s="77"/>
      <c r="AU2397" s="77"/>
      <c r="AV2397" s="80" t="str">
        <f>HYPERLINK("https://pbs.twimg.com/profile_images/1693747714012368897/Y85Fc_7b_normal.jpg")</f>
        <v>https://pbs.twimg.com/profile_images/1693747714012368897/Y85Fc_7b_normal.jpg</v>
      </c>
      <c r="AW2397" s="82" t="s">
        <v>19163</v>
      </c>
      <c r="AX2397" s="82" t="s">
        <v>19163</v>
      </c>
      <c r="AY2397" s="77"/>
      <c r="AZ2397" s="82" t="s">
        <v>20971</v>
      </c>
      <c r="BA2397" s="82" t="s">
        <v>20971</v>
      </c>
      <c r="BB2397" s="82" t="s">
        <v>20971</v>
      </c>
      <c r="BC2397" s="82" t="s">
        <v>19163</v>
      </c>
      <c r="BD2397" s="82" t="s">
        <v>21471</v>
      </c>
      <c r="BE2397" s="77"/>
      <c r="BF2397" s="77"/>
      <c r="BG2397" s="77"/>
      <c r="BH2397" s="77"/>
      <c r="BI2397" s="77"/>
    </row>
    <row r="2398" spans="1:61" x14ac:dyDescent="0.25">
      <c r="A2398" s="62" t="s">
        <v>842</v>
      </c>
      <c r="B2398" s="62" t="s">
        <v>842</v>
      </c>
      <c r="C2398" s="63"/>
      <c r="D2398" s="64"/>
      <c r="E2398" s="65"/>
      <c r="F2398" s="66"/>
      <c r="G2398" s="63"/>
      <c r="H2398" s="67"/>
      <c r="I2398" s="68"/>
      <c r="J2398" s="68"/>
      <c r="K2398" s="32"/>
      <c r="L2398" s="75">
        <v>2398</v>
      </c>
      <c r="M2398" s="75"/>
      <c r="N2398" s="70"/>
      <c r="O2398" s="77" t="s">
        <v>179</v>
      </c>
      <c r="P2398" s="79">
        <v>45020.644652777781</v>
      </c>
      <c r="Q2398" s="77" t="s">
        <v>3604</v>
      </c>
      <c r="R2398" s="77">
        <v>0</v>
      </c>
      <c r="S2398" s="77">
        <v>0</v>
      </c>
      <c r="T2398" s="77">
        <v>0</v>
      </c>
      <c r="U2398" s="77">
        <v>0</v>
      </c>
      <c r="V2398" s="77">
        <v>27</v>
      </c>
      <c r="W2398" s="82" t="s">
        <v>6408</v>
      </c>
      <c r="X2398" s="77"/>
      <c r="Y2398" s="77"/>
      <c r="Z2398" s="77"/>
      <c r="AA2398" s="77" t="s">
        <v>8834</v>
      </c>
      <c r="AB2398" s="77" t="s">
        <v>10130</v>
      </c>
      <c r="AC2398" s="82" t="s">
        <v>10146</v>
      </c>
      <c r="AD2398" s="77" t="s">
        <v>10184</v>
      </c>
      <c r="AE2398" s="80" t="str">
        <f>HYPERLINK("https://twitter.com/95_jnd/status/1643274299040579587")</f>
        <v>https://twitter.com/95_jnd/status/1643274299040579587</v>
      </c>
      <c r="AF2398" s="79">
        <v>45020.644652777781</v>
      </c>
      <c r="AG2398" s="85">
        <v>45020</v>
      </c>
      <c r="AH2398" s="82" t="s">
        <v>12490</v>
      </c>
      <c r="AI2398" s="77" t="b">
        <v>0</v>
      </c>
      <c r="AJ2398" s="77"/>
      <c r="AK2398" s="77"/>
      <c r="AL2398" s="77"/>
      <c r="AM2398" s="77"/>
      <c r="AN2398" s="77"/>
      <c r="AO2398" s="77"/>
      <c r="AP2398" s="77"/>
      <c r="AQ2398" s="77" t="s">
        <v>15477</v>
      </c>
      <c r="AR2398" s="77"/>
      <c r="AS2398" s="77"/>
      <c r="AT2398" s="77"/>
      <c r="AU2398" s="77"/>
      <c r="AV2398" s="80" t="str">
        <f>HYPERLINK("https://pbs.twimg.com/media/Fs4UCw5WIAAr2nX.jpg")</f>
        <v>https://pbs.twimg.com/media/Fs4UCw5WIAAr2nX.jpg</v>
      </c>
      <c r="AW2398" s="82" t="s">
        <v>19164</v>
      </c>
      <c r="AX2398" s="82" t="s">
        <v>19164</v>
      </c>
      <c r="AY2398" s="77"/>
      <c r="AZ2398" s="82" t="s">
        <v>20971</v>
      </c>
      <c r="BA2398" s="82" t="s">
        <v>20971</v>
      </c>
      <c r="BB2398" s="82" t="s">
        <v>20971</v>
      </c>
      <c r="BC2398" s="82" t="s">
        <v>19164</v>
      </c>
      <c r="BD2398" s="82" t="s">
        <v>21472</v>
      </c>
      <c r="BE2398" s="77"/>
      <c r="BF2398" s="77"/>
      <c r="BG2398" s="77"/>
      <c r="BH2398" s="77"/>
      <c r="BI2398" s="77"/>
    </row>
    <row r="2399" spans="1:61" x14ac:dyDescent="0.25">
      <c r="A2399" s="62" t="s">
        <v>843</v>
      </c>
      <c r="B2399" s="62" t="s">
        <v>843</v>
      </c>
      <c r="C2399" s="63"/>
      <c r="D2399" s="64"/>
      <c r="E2399" s="65"/>
      <c r="F2399" s="66"/>
      <c r="G2399" s="63"/>
      <c r="H2399" s="67"/>
      <c r="I2399" s="68"/>
      <c r="J2399" s="68"/>
      <c r="K2399" s="32"/>
      <c r="L2399" s="75">
        <v>2399</v>
      </c>
      <c r="M2399" s="75"/>
      <c r="N2399" s="70"/>
      <c r="O2399" s="77" t="s">
        <v>179</v>
      </c>
      <c r="P2399" s="79">
        <v>45180.158263888887</v>
      </c>
      <c r="Q2399" s="77" t="s">
        <v>3605</v>
      </c>
      <c r="R2399" s="77">
        <v>0</v>
      </c>
      <c r="S2399" s="77">
        <v>0</v>
      </c>
      <c r="T2399" s="77">
        <v>1</v>
      </c>
      <c r="U2399" s="77">
        <v>0</v>
      </c>
      <c r="V2399" s="77">
        <v>246</v>
      </c>
      <c r="W2399" s="82" t="s">
        <v>6409</v>
      </c>
      <c r="X2399" s="77"/>
      <c r="Y2399" s="77"/>
      <c r="Z2399" s="77"/>
      <c r="AA2399" s="77" t="s">
        <v>8835</v>
      </c>
      <c r="AB2399" s="77" t="s">
        <v>10129</v>
      </c>
      <c r="AC2399" s="82" t="s">
        <v>10146</v>
      </c>
      <c r="AD2399" s="77" t="s">
        <v>10184</v>
      </c>
      <c r="AE2399" s="80" t="str">
        <f>HYPERLINK("https://twitter.com/sabioempreende1/status/1701080097921413204")</f>
        <v>https://twitter.com/sabioempreende1/status/1701080097921413204</v>
      </c>
      <c r="AF2399" s="79">
        <v>45180.158263888887</v>
      </c>
      <c r="AG2399" s="85">
        <v>45180</v>
      </c>
      <c r="AH2399" s="82" t="s">
        <v>12491</v>
      </c>
      <c r="AI2399" s="77" t="b">
        <v>0</v>
      </c>
      <c r="AJ2399" s="77"/>
      <c r="AK2399" s="77"/>
      <c r="AL2399" s="77"/>
      <c r="AM2399" s="77"/>
      <c r="AN2399" s="77"/>
      <c r="AO2399" s="77"/>
      <c r="AP2399" s="77"/>
      <c r="AQ2399" s="77" t="s">
        <v>15478</v>
      </c>
      <c r="AR2399" s="77">
        <v>92666</v>
      </c>
      <c r="AS2399" s="77"/>
      <c r="AT2399" s="77"/>
      <c r="AU2399" s="77"/>
      <c r="AV2399" s="80" t="str">
        <f>HYPERLINK("https://pbs.twimg.com/ext_tw_video_thumb/1701078496645156864/pu/img/OmEostoa7HJy_nSr.jpg")</f>
        <v>https://pbs.twimg.com/ext_tw_video_thumb/1701078496645156864/pu/img/OmEostoa7HJy_nSr.jpg</v>
      </c>
      <c r="AW2399" s="82" t="s">
        <v>19165</v>
      </c>
      <c r="AX2399" s="82" t="s">
        <v>19165</v>
      </c>
      <c r="AY2399" s="77"/>
      <c r="AZ2399" s="82" t="s">
        <v>20971</v>
      </c>
      <c r="BA2399" s="82" t="s">
        <v>20971</v>
      </c>
      <c r="BB2399" s="82" t="s">
        <v>20971</v>
      </c>
      <c r="BC2399" s="82" t="s">
        <v>19165</v>
      </c>
      <c r="BD2399" s="82" t="s">
        <v>21473</v>
      </c>
      <c r="BE2399" s="77"/>
      <c r="BF2399" s="77"/>
      <c r="BG2399" s="77"/>
      <c r="BH2399" s="77"/>
      <c r="BI2399" s="77"/>
    </row>
    <row r="2400" spans="1:61" x14ac:dyDescent="0.25">
      <c r="A2400" s="62" t="s">
        <v>843</v>
      </c>
      <c r="B2400" s="62" t="s">
        <v>843</v>
      </c>
      <c r="C2400" s="63"/>
      <c r="D2400" s="64"/>
      <c r="E2400" s="65"/>
      <c r="F2400" s="66"/>
      <c r="G2400" s="63"/>
      <c r="H2400" s="67"/>
      <c r="I2400" s="68"/>
      <c r="J2400" s="68"/>
      <c r="K2400" s="32"/>
      <c r="L2400" s="75">
        <v>2400</v>
      </c>
      <c r="M2400" s="75"/>
      <c r="N2400" s="70"/>
      <c r="O2400" s="77" t="s">
        <v>179</v>
      </c>
      <c r="P2400" s="79">
        <v>45180.144259259258</v>
      </c>
      <c r="Q2400" s="77" t="s">
        <v>3606</v>
      </c>
      <c r="R2400" s="77">
        <v>0</v>
      </c>
      <c r="S2400" s="77">
        <v>0</v>
      </c>
      <c r="T2400" s="77">
        <v>0</v>
      </c>
      <c r="U2400" s="77">
        <v>0</v>
      </c>
      <c r="V2400" s="77">
        <v>43</v>
      </c>
      <c r="W2400" s="82" t="s">
        <v>6410</v>
      </c>
      <c r="X2400" s="77"/>
      <c r="Y2400" s="77"/>
      <c r="Z2400" s="77"/>
      <c r="AA2400" s="77" t="s">
        <v>8836</v>
      </c>
      <c r="AB2400" s="77" t="s">
        <v>10130</v>
      </c>
      <c r="AC2400" s="82" t="s">
        <v>10146</v>
      </c>
      <c r="AD2400" s="77" t="s">
        <v>10184</v>
      </c>
      <c r="AE2400" s="80" t="str">
        <f>HYPERLINK("https://twitter.com/sabioempreende1/status/1701075023430054108")</f>
        <v>https://twitter.com/sabioempreende1/status/1701075023430054108</v>
      </c>
      <c r="AF2400" s="79">
        <v>45180.144259259258</v>
      </c>
      <c r="AG2400" s="85">
        <v>45180</v>
      </c>
      <c r="AH2400" s="82" t="s">
        <v>12492</v>
      </c>
      <c r="AI2400" s="77" t="b">
        <v>0</v>
      </c>
      <c r="AJ2400" s="77"/>
      <c r="AK2400" s="77"/>
      <c r="AL2400" s="77"/>
      <c r="AM2400" s="77"/>
      <c r="AN2400" s="77"/>
      <c r="AO2400" s="77"/>
      <c r="AP2400" s="77"/>
      <c r="AQ2400" s="77" t="s">
        <v>15479</v>
      </c>
      <c r="AR2400" s="77"/>
      <c r="AS2400" s="77"/>
      <c r="AT2400" s="77"/>
      <c r="AU2400" s="77"/>
      <c r="AV2400" s="80" t="str">
        <f>HYPERLINK("https://pbs.twimg.com/media/F5tuHasXEAAJkeL.png")</f>
        <v>https://pbs.twimg.com/media/F5tuHasXEAAJkeL.png</v>
      </c>
      <c r="AW2400" s="82" t="s">
        <v>19166</v>
      </c>
      <c r="AX2400" s="82" t="s">
        <v>19166</v>
      </c>
      <c r="AY2400" s="77"/>
      <c r="AZ2400" s="82" t="s">
        <v>20971</v>
      </c>
      <c r="BA2400" s="82" t="s">
        <v>20971</v>
      </c>
      <c r="BB2400" s="82" t="s">
        <v>20971</v>
      </c>
      <c r="BC2400" s="82" t="s">
        <v>19166</v>
      </c>
      <c r="BD2400" s="82" t="s">
        <v>21473</v>
      </c>
      <c r="BE2400" s="77"/>
      <c r="BF2400" s="77"/>
      <c r="BG2400" s="77"/>
      <c r="BH2400" s="77"/>
      <c r="BI2400" s="77"/>
    </row>
    <row r="2401" spans="1:61" x14ac:dyDescent="0.25">
      <c r="A2401" s="62" t="s">
        <v>844</v>
      </c>
      <c r="B2401" s="62" t="s">
        <v>844</v>
      </c>
      <c r="C2401" s="63"/>
      <c r="D2401" s="64"/>
      <c r="E2401" s="65"/>
      <c r="F2401" s="66"/>
      <c r="G2401" s="63"/>
      <c r="H2401" s="67"/>
      <c r="I2401" s="68"/>
      <c r="J2401" s="68"/>
      <c r="K2401" s="32"/>
      <c r="L2401" s="75">
        <v>2401</v>
      </c>
      <c r="M2401" s="75"/>
      <c r="N2401" s="70"/>
      <c r="O2401" s="77" t="s">
        <v>179</v>
      </c>
      <c r="P2401" s="79">
        <v>45187.083483796298</v>
      </c>
      <c r="Q2401" s="77" t="s">
        <v>3607</v>
      </c>
      <c r="R2401" s="77">
        <v>0</v>
      </c>
      <c r="S2401" s="77">
        <v>0</v>
      </c>
      <c r="T2401" s="77">
        <v>0</v>
      </c>
      <c r="U2401" s="77">
        <v>0</v>
      </c>
      <c r="V2401" s="77">
        <v>12</v>
      </c>
      <c r="W2401" s="82" t="s">
        <v>5236</v>
      </c>
      <c r="X2401" s="80" t="str">
        <f>HYPERLINK("https://edzz.la/AASAR?a=37764868")</f>
        <v>https://edzz.la/AASAR?a=37764868</v>
      </c>
      <c r="Y2401" s="77" t="s">
        <v>7271</v>
      </c>
      <c r="Z2401" s="77"/>
      <c r="AA2401" s="77"/>
      <c r="AB2401" s="77"/>
      <c r="AC2401" s="82" t="s">
        <v>10146</v>
      </c>
      <c r="AD2401" s="77" t="s">
        <v>10184</v>
      </c>
      <c r="AE2401" s="80" t="str">
        <f>HYPERLINK("https://twitter.com/claudiocgalvao/status/1703589715344011584")</f>
        <v>https://twitter.com/claudiocgalvao/status/1703589715344011584</v>
      </c>
      <c r="AF2401" s="79">
        <v>45187.083483796298</v>
      </c>
      <c r="AG2401" s="85">
        <v>45187</v>
      </c>
      <c r="AH2401" s="82" t="s">
        <v>12493</v>
      </c>
      <c r="AI2401" s="77" t="b">
        <v>0</v>
      </c>
      <c r="AJ2401" s="77"/>
      <c r="AK2401" s="77"/>
      <c r="AL2401" s="77"/>
      <c r="AM2401" s="77"/>
      <c r="AN2401" s="77"/>
      <c r="AO2401" s="77"/>
      <c r="AP2401" s="77"/>
      <c r="AQ2401" s="77"/>
      <c r="AR2401" s="77"/>
      <c r="AS2401" s="77"/>
      <c r="AT2401" s="77"/>
      <c r="AU2401" s="77"/>
      <c r="AV2401" s="80" t="str">
        <f>HYPERLINK("https://pbs.twimg.com/profile_images/1703577267559911424/BVIei9jE_normal.jpg")</f>
        <v>https://pbs.twimg.com/profile_images/1703577267559911424/BVIei9jE_normal.jpg</v>
      </c>
      <c r="AW2401" s="82" t="s">
        <v>19167</v>
      </c>
      <c r="AX2401" s="82" t="s">
        <v>19167</v>
      </c>
      <c r="AY2401" s="77"/>
      <c r="AZ2401" s="82" t="s">
        <v>20971</v>
      </c>
      <c r="BA2401" s="82" t="s">
        <v>20971</v>
      </c>
      <c r="BB2401" s="82" t="s">
        <v>20971</v>
      </c>
      <c r="BC2401" s="82" t="s">
        <v>19167</v>
      </c>
      <c r="BD2401" s="77">
        <v>55851714</v>
      </c>
      <c r="BE2401" s="77"/>
      <c r="BF2401" s="77"/>
      <c r="BG2401" s="77"/>
      <c r="BH2401" s="77"/>
      <c r="BI2401" s="77"/>
    </row>
    <row r="2402" spans="1:61" x14ac:dyDescent="0.25">
      <c r="A2402" s="62" t="s">
        <v>845</v>
      </c>
      <c r="B2402" s="62" t="s">
        <v>845</v>
      </c>
      <c r="C2402" s="63"/>
      <c r="D2402" s="64"/>
      <c r="E2402" s="65"/>
      <c r="F2402" s="66"/>
      <c r="G2402" s="63"/>
      <c r="H2402" s="67"/>
      <c r="I2402" s="68"/>
      <c r="J2402" s="68"/>
      <c r="K2402" s="32"/>
      <c r="L2402" s="75">
        <v>2402</v>
      </c>
      <c r="M2402" s="75"/>
      <c r="N2402" s="70"/>
      <c r="O2402" s="77" t="s">
        <v>179</v>
      </c>
      <c r="P2402" s="79">
        <v>45032.792187500003</v>
      </c>
      <c r="Q2402" s="77" t="s">
        <v>3608</v>
      </c>
      <c r="R2402" s="77">
        <v>0</v>
      </c>
      <c r="S2402" s="77">
        <v>0</v>
      </c>
      <c r="T2402" s="77">
        <v>0</v>
      </c>
      <c r="U2402" s="77">
        <v>0</v>
      </c>
      <c r="V2402" s="77">
        <v>35</v>
      </c>
      <c r="W2402" s="82" t="s">
        <v>6411</v>
      </c>
      <c r="X2402" s="77"/>
      <c r="Y2402" s="77"/>
      <c r="Z2402" s="77"/>
      <c r="AA2402" s="77" t="s">
        <v>8837</v>
      </c>
      <c r="AB2402" s="77" t="s">
        <v>10129</v>
      </c>
      <c r="AC2402" s="82" t="s">
        <v>10147</v>
      </c>
      <c r="AD2402" s="77" t="s">
        <v>10184</v>
      </c>
      <c r="AE2402" s="80" t="str">
        <f>HYPERLINK("https://twitter.com/chatguruoficial/status/1647676420020158464")</f>
        <v>https://twitter.com/chatguruoficial/status/1647676420020158464</v>
      </c>
      <c r="AF2402" s="79">
        <v>45032.792187500003</v>
      </c>
      <c r="AG2402" s="85">
        <v>45032</v>
      </c>
      <c r="AH2402" s="82" t="s">
        <v>12494</v>
      </c>
      <c r="AI2402" s="77" t="b">
        <v>0</v>
      </c>
      <c r="AJ2402" s="77"/>
      <c r="AK2402" s="77"/>
      <c r="AL2402" s="77"/>
      <c r="AM2402" s="77"/>
      <c r="AN2402" s="77"/>
      <c r="AO2402" s="77"/>
      <c r="AP2402" s="77"/>
      <c r="AQ2402" s="77" t="s">
        <v>15480</v>
      </c>
      <c r="AR2402" s="77">
        <v>16253</v>
      </c>
      <c r="AS2402" s="77"/>
      <c r="AT2402" s="77"/>
      <c r="AU2402" s="77"/>
      <c r="AV2402" s="80" t="str">
        <f>HYPERLINK("https://pbs.twimg.com/ext_tw_video_thumb/1647676370586042368/pu/img/RryF4uqdHdbI-b3o.jpg")</f>
        <v>https://pbs.twimg.com/ext_tw_video_thumb/1647676370586042368/pu/img/RryF4uqdHdbI-b3o.jpg</v>
      </c>
      <c r="AW2402" s="82" t="s">
        <v>19168</v>
      </c>
      <c r="AX2402" s="82" t="s">
        <v>19168</v>
      </c>
      <c r="AY2402" s="77"/>
      <c r="AZ2402" s="82" t="s">
        <v>20971</v>
      </c>
      <c r="BA2402" s="82" t="s">
        <v>20971</v>
      </c>
      <c r="BB2402" s="82" t="s">
        <v>20971</v>
      </c>
      <c r="BC2402" s="82" t="s">
        <v>19168</v>
      </c>
      <c r="BD2402" s="82" t="s">
        <v>21474</v>
      </c>
      <c r="BE2402" s="77"/>
      <c r="BF2402" s="77"/>
      <c r="BG2402" s="77"/>
      <c r="BH2402" s="77"/>
      <c r="BI2402" s="77"/>
    </row>
    <row r="2403" spans="1:61" x14ac:dyDescent="0.25">
      <c r="A2403" s="62" t="s">
        <v>846</v>
      </c>
      <c r="B2403" s="62" t="s">
        <v>846</v>
      </c>
      <c r="C2403" s="63"/>
      <c r="D2403" s="64"/>
      <c r="E2403" s="65"/>
      <c r="F2403" s="66"/>
      <c r="G2403" s="63"/>
      <c r="H2403" s="67"/>
      <c r="I2403" s="68"/>
      <c r="J2403" s="68"/>
      <c r="K2403" s="32"/>
      <c r="L2403" s="75">
        <v>2403</v>
      </c>
      <c r="M2403" s="75"/>
      <c r="N2403" s="70"/>
      <c r="O2403" s="77" t="s">
        <v>179</v>
      </c>
      <c r="P2403" s="79">
        <v>45040.916678240741</v>
      </c>
      <c r="Q2403" s="77" t="s">
        <v>3609</v>
      </c>
      <c r="R2403" s="77">
        <v>0</v>
      </c>
      <c r="S2403" s="77">
        <v>1</v>
      </c>
      <c r="T2403" s="77">
        <v>0</v>
      </c>
      <c r="U2403" s="77">
        <v>0</v>
      </c>
      <c r="V2403" s="77">
        <v>69</v>
      </c>
      <c r="W2403" s="82" t="s">
        <v>6412</v>
      </c>
      <c r="X2403" s="77"/>
      <c r="Y2403" s="77"/>
      <c r="Z2403" s="77"/>
      <c r="AA2403" s="77" t="s">
        <v>8838</v>
      </c>
      <c r="AB2403" s="77" t="s">
        <v>10130</v>
      </c>
      <c r="AC2403" s="82" t="s">
        <v>10146</v>
      </c>
      <c r="AD2403" s="77" t="s">
        <v>10184</v>
      </c>
      <c r="AE2403" s="80" t="str">
        <f>HYPERLINK("https://twitter.com/dasortebet/status/1650620637008785410")</f>
        <v>https://twitter.com/dasortebet/status/1650620637008785410</v>
      </c>
      <c r="AF2403" s="79">
        <v>45040.916678240741</v>
      </c>
      <c r="AG2403" s="85">
        <v>45040</v>
      </c>
      <c r="AH2403" s="82" t="s">
        <v>12495</v>
      </c>
      <c r="AI2403" s="77" t="b">
        <v>0</v>
      </c>
      <c r="AJ2403" s="77"/>
      <c r="AK2403" s="77"/>
      <c r="AL2403" s="77"/>
      <c r="AM2403" s="77"/>
      <c r="AN2403" s="77"/>
      <c r="AO2403" s="77"/>
      <c r="AP2403" s="77"/>
      <c r="AQ2403" s="77" t="s">
        <v>15481</v>
      </c>
      <c r="AR2403" s="77"/>
      <c r="AS2403" s="77"/>
      <c r="AT2403" s="77"/>
      <c r="AU2403" s="77"/>
      <c r="AV2403" s="80" t="str">
        <f>HYPERLINK("https://pbs.twimg.com/media/FugPVvMWIAMGyVV.jpg")</f>
        <v>https://pbs.twimg.com/media/FugPVvMWIAMGyVV.jpg</v>
      </c>
      <c r="AW2403" s="82" t="s">
        <v>19169</v>
      </c>
      <c r="AX2403" s="82" t="s">
        <v>19169</v>
      </c>
      <c r="AY2403" s="77"/>
      <c r="AZ2403" s="82" t="s">
        <v>20971</v>
      </c>
      <c r="BA2403" s="82" t="s">
        <v>20971</v>
      </c>
      <c r="BB2403" s="82" t="s">
        <v>20971</v>
      </c>
      <c r="BC2403" s="82" t="s">
        <v>19169</v>
      </c>
      <c r="BD2403" s="82" t="s">
        <v>21475</v>
      </c>
      <c r="BE2403" s="77"/>
      <c r="BF2403" s="77"/>
      <c r="BG2403" s="77"/>
      <c r="BH2403" s="77"/>
      <c r="BI2403" s="77"/>
    </row>
    <row r="2404" spans="1:61" x14ac:dyDescent="0.25">
      <c r="A2404" s="62" t="s">
        <v>847</v>
      </c>
      <c r="B2404" s="62" t="s">
        <v>847</v>
      </c>
      <c r="C2404" s="63"/>
      <c r="D2404" s="64"/>
      <c r="E2404" s="65"/>
      <c r="F2404" s="66"/>
      <c r="G2404" s="63"/>
      <c r="H2404" s="67"/>
      <c r="I2404" s="68"/>
      <c r="J2404" s="68"/>
      <c r="K2404" s="32"/>
      <c r="L2404" s="75">
        <v>2404</v>
      </c>
      <c r="M2404" s="75"/>
      <c r="N2404" s="70"/>
      <c r="O2404" s="77" t="s">
        <v>179</v>
      </c>
      <c r="P2404" s="79">
        <v>45031.159560185188</v>
      </c>
      <c r="Q2404" s="77" t="s">
        <v>3610</v>
      </c>
      <c r="R2404" s="77">
        <v>0</v>
      </c>
      <c r="S2404" s="77">
        <v>0</v>
      </c>
      <c r="T2404" s="77">
        <v>0</v>
      </c>
      <c r="U2404" s="77">
        <v>0</v>
      </c>
      <c r="V2404" s="77">
        <v>20</v>
      </c>
      <c r="W2404" s="82" t="s">
        <v>6413</v>
      </c>
      <c r="X2404" s="80" t="str">
        <f>HYPERLINK("https://gemly.gg/?r=mcxp")</f>
        <v>https://gemly.gg/?r=mcxp</v>
      </c>
      <c r="Y2404" s="77" t="s">
        <v>7415</v>
      </c>
      <c r="Z2404" s="77"/>
      <c r="AA2404" s="77"/>
      <c r="AB2404" s="77"/>
      <c r="AC2404" s="82" t="s">
        <v>10146</v>
      </c>
      <c r="AD2404" s="77" t="s">
        <v>10184</v>
      </c>
      <c r="AE2404" s="80" t="str">
        <f>HYPERLINK("https://twitter.com/indieplay339201/status/1647084776791199746")</f>
        <v>https://twitter.com/indieplay339201/status/1647084776791199746</v>
      </c>
      <c r="AF2404" s="79">
        <v>45031.159560185188</v>
      </c>
      <c r="AG2404" s="85">
        <v>45031</v>
      </c>
      <c r="AH2404" s="82" t="s">
        <v>12496</v>
      </c>
      <c r="AI2404" s="77" t="b">
        <v>0</v>
      </c>
      <c r="AJ2404" s="77"/>
      <c r="AK2404" s="77"/>
      <c r="AL2404" s="77"/>
      <c r="AM2404" s="77"/>
      <c r="AN2404" s="77"/>
      <c r="AO2404" s="77"/>
      <c r="AP2404" s="77"/>
      <c r="AQ2404" s="77"/>
      <c r="AR2404" s="77"/>
      <c r="AS2404" s="77"/>
      <c r="AT2404" s="77"/>
      <c r="AU2404" s="77"/>
      <c r="AV2404" s="80" t="str">
        <f>HYPERLINK("https://pbs.twimg.com/profile_images/1647084582942932993/1IiFsMtn_normal.jpg")</f>
        <v>https://pbs.twimg.com/profile_images/1647084582942932993/1IiFsMtn_normal.jpg</v>
      </c>
      <c r="AW2404" s="82" t="s">
        <v>19170</v>
      </c>
      <c r="AX2404" s="82" t="s">
        <v>19170</v>
      </c>
      <c r="AY2404" s="77"/>
      <c r="AZ2404" s="82" t="s">
        <v>20971</v>
      </c>
      <c r="BA2404" s="82" t="s">
        <v>20971</v>
      </c>
      <c r="BB2404" s="82" t="s">
        <v>20971</v>
      </c>
      <c r="BC2404" s="82" t="s">
        <v>19170</v>
      </c>
      <c r="BD2404" s="82" t="s">
        <v>21476</v>
      </c>
      <c r="BE2404" s="77"/>
      <c r="BF2404" s="77"/>
      <c r="BG2404" s="77"/>
      <c r="BH2404" s="77"/>
      <c r="BI2404" s="77"/>
    </row>
    <row r="2405" spans="1:61" x14ac:dyDescent="0.25">
      <c r="A2405" s="62" t="s">
        <v>848</v>
      </c>
      <c r="B2405" s="62" t="s">
        <v>848</v>
      </c>
      <c r="C2405" s="63"/>
      <c r="D2405" s="64"/>
      <c r="E2405" s="65"/>
      <c r="F2405" s="66"/>
      <c r="G2405" s="63"/>
      <c r="H2405" s="67"/>
      <c r="I2405" s="68"/>
      <c r="J2405" s="68"/>
      <c r="K2405" s="32"/>
      <c r="L2405" s="75">
        <v>2405</v>
      </c>
      <c r="M2405" s="75"/>
      <c r="N2405" s="70"/>
      <c r="O2405" s="77" t="s">
        <v>179</v>
      </c>
      <c r="P2405" s="79">
        <v>44997.625405092593</v>
      </c>
      <c r="Q2405" s="77" t="s">
        <v>3611</v>
      </c>
      <c r="R2405" s="77">
        <v>0</v>
      </c>
      <c r="S2405" s="77">
        <v>2</v>
      </c>
      <c r="T2405" s="77">
        <v>0</v>
      </c>
      <c r="U2405" s="77">
        <v>0</v>
      </c>
      <c r="V2405" s="77">
        <v>47</v>
      </c>
      <c r="W2405" s="82" t="s">
        <v>5709</v>
      </c>
      <c r="X2405" s="77"/>
      <c r="Y2405" s="77"/>
      <c r="Z2405" s="77"/>
      <c r="AA2405" s="77" t="s">
        <v>8839</v>
      </c>
      <c r="AB2405" s="77" t="s">
        <v>10130</v>
      </c>
      <c r="AC2405" s="82" t="s">
        <v>10147</v>
      </c>
      <c r="AD2405" s="77" t="s">
        <v>10184</v>
      </c>
      <c r="AE2405" s="80" t="str">
        <f>HYPERLINK("https://twitter.com/catanduvananet/status/1634932406527442946")</f>
        <v>https://twitter.com/catanduvananet/status/1634932406527442946</v>
      </c>
      <c r="AF2405" s="79">
        <v>44997.625405092593</v>
      </c>
      <c r="AG2405" s="85">
        <v>44997</v>
      </c>
      <c r="AH2405" s="82" t="s">
        <v>11581</v>
      </c>
      <c r="AI2405" s="77" t="b">
        <v>0</v>
      </c>
      <c r="AJ2405" s="77"/>
      <c r="AK2405" s="77"/>
      <c r="AL2405" s="77"/>
      <c r="AM2405" s="77"/>
      <c r="AN2405" s="77"/>
      <c r="AO2405" s="77"/>
      <c r="AP2405" s="77"/>
      <c r="AQ2405" s="77" t="s">
        <v>15482</v>
      </c>
      <c r="AR2405" s="77"/>
      <c r="AS2405" s="77"/>
      <c r="AT2405" s="77"/>
      <c r="AU2405" s="77"/>
      <c r="AV2405" s="80" t="str">
        <f>HYPERLINK("https://pbs.twimg.com/media/FrByW_fXsAI-njH.jpg")</f>
        <v>https://pbs.twimg.com/media/FrByW_fXsAI-njH.jpg</v>
      </c>
      <c r="AW2405" s="82" t="s">
        <v>19171</v>
      </c>
      <c r="AX2405" s="82" t="s">
        <v>19171</v>
      </c>
      <c r="AY2405" s="77"/>
      <c r="AZ2405" s="82" t="s">
        <v>20971</v>
      </c>
      <c r="BA2405" s="82" t="s">
        <v>20971</v>
      </c>
      <c r="BB2405" s="82" t="s">
        <v>20971</v>
      </c>
      <c r="BC2405" s="82" t="s">
        <v>19171</v>
      </c>
      <c r="BD2405" s="82" t="s">
        <v>21477</v>
      </c>
      <c r="BE2405" s="77"/>
      <c r="BF2405" s="77"/>
      <c r="BG2405" s="77"/>
      <c r="BH2405" s="77"/>
      <c r="BI2405" s="77"/>
    </row>
    <row r="2406" spans="1:61" x14ac:dyDescent="0.25">
      <c r="A2406" s="62" t="s">
        <v>849</v>
      </c>
      <c r="B2406" s="62" t="s">
        <v>849</v>
      </c>
      <c r="C2406" s="63"/>
      <c r="D2406" s="64"/>
      <c r="E2406" s="65"/>
      <c r="F2406" s="66"/>
      <c r="G2406" s="63"/>
      <c r="H2406" s="67"/>
      <c r="I2406" s="68"/>
      <c r="J2406" s="68"/>
      <c r="K2406" s="32"/>
      <c r="L2406" s="75">
        <v>2406</v>
      </c>
      <c r="M2406" s="75"/>
      <c r="N2406" s="70"/>
      <c r="O2406" s="77" t="s">
        <v>179</v>
      </c>
      <c r="P2406" s="79">
        <v>45021.604212962964</v>
      </c>
      <c r="Q2406" s="77" t="s">
        <v>3612</v>
      </c>
      <c r="R2406" s="77">
        <v>0</v>
      </c>
      <c r="S2406" s="77">
        <v>1</v>
      </c>
      <c r="T2406" s="77">
        <v>0</v>
      </c>
      <c r="U2406" s="77">
        <v>0</v>
      </c>
      <c r="V2406" s="77">
        <v>18</v>
      </c>
      <c r="W2406" s="82" t="s">
        <v>6414</v>
      </c>
      <c r="X2406" s="80" t="str">
        <f>HYPERLINK("https://bit.ly/3z6U931")</f>
        <v>https://bit.ly/3z6U931</v>
      </c>
      <c r="Y2406" s="77" t="s">
        <v>7268</v>
      </c>
      <c r="Z2406" s="77"/>
      <c r="AA2406" s="77" t="s">
        <v>8840</v>
      </c>
      <c r="AB2406" s="77" t="s">
        <v>10129</v>
      </c>
      <c r="AC2406" s="82" t="s">
        <v>10146</v>
      </c>
      <c r="AD2406" s="77" t="s">
        <v>10184</v>
      </c>
      <c r="AE2406" s="80" t="str">
        <f>HYPERLINK("https://twitter.com/madeirajunior20/status/1643622032494452741")</f>
        <v>https://twitter.com/madeirajunior20/status/1643622032494452741</v>
      </c>
      <c r="AF2406" s="79">
        <v>45021.604212962964</v>
      </c>
      <c r="AG2406" s="85">
        <v>45021</v>
      </c>
      <c r="AH2406" s="82" t="s">
        <v>11991</v>
      </c>
      <c r="AI2406" s="77" t="b">
        <v>0</v>
      </c>
      <c r="AJ2406" s="77"/>
      <c r="AK2406" s="77"/>
      <c r="AL2406" s="77"/>
      <c r="AM2406" s="77"/>
      <c r="AN2406" s="77"/>
      <c r="AO2406" s="77"/>
      <c r="AP2406" s="77"/>
      <c r="AQ2406" s="77" t="s">
        <v>15483</v>
      </c>
      <c r="AR2406" s="77">
        <v>7000</v>
      </c>
      <c r="AS2406" s="77"/>
      <c r="AT2406" s="77"/>
      <c r="AU2406" s="77"/>
      <c r="AV2406" s="80" t="str">
        <f>HYPERLINK("https://pbs.twimg.com/ext_tw_video_thumb/1643621173849202692/pu/img/zPtObVUSTk-MPMX7.jpg")</f>
        <v>https://pbs.twimg.com/ext_tw_video_thumb/1643621173849202692/pu/img/zPtObVUSTk-MPMX7.jpg</v>
      </c>
      <c r="AW2406" s="82" t="s">
        <v>19172</v>
      </c>
      <c r="AX2406" s="82" t="s">
        <v>19172</v>
      </c>
      <c r="AY2406" s="77"/>
      <c r="AZ2406" s="82" t="s">
        <v>20971</v>
      </c>
      <c r="BA2406" s="82" t="s">
        <v>20971</v>
      </c>
      <c r="BB2406" s="82" t="s">
        <v>20971</v>
      </c>
      <c r="BC2406" s="82" t="s">
        <v>19172</v>
      </c>
      <c r="BD2406" s="82" t="s">
        <v>21478</v>
      </c>
      <c r="BE2406" s="77"/>
      <c r="BF2406" s="77"/>
      <c r="BG2406" s="77"/>
      <c r="BH2406" s="77"/>
      <c r="BI2406" s="77"/>
    </row>
    <row r="2407" spans="1:61" x14ac:dyDescent="0.25">
      <c r="A2407" s="62" t="s">
        <v>849</v>
      </c>
      <c r="B2407" s="62" t="s">
        <v>849</v>
      </c>
      <c r="C2407" s="63"/>
      <c r="D2407" s="64"/>
      <c r="E2407" s="65"/>
      <c r="F2407" s="66"/>
      <c r="G2407" s="63"/>
      <c r="H2407" s="67"/>
      <c r="I2407" s="68"/>
      <c r="J2407" s="68"/>
      <c r="K2407" s="32"/>
      <c r="L2407" s="75">
        <v>2407</v>
      </c>
      <c r="M2407" s="75"/>
      <c r="N2407" s="70"/>
      <c r="O2407" s="77" t="s">
        <v>179</v>
      </c>
      <c r="P2407" s="79">
        <v>45014.602418981478</v>
      </c>
      <c r="Q2407" s="77" t="s">
        <v>3613</v>
      </c>
      <c r="R2407" s="77">
        <v>0</v>
      </c>
      <c r="S2407" s="77">
        <v>1</v>
      </c>
      <c r="T2407" s="77">
        <v>0</v>
      </c>
      <c r="U2407" s="77">
        <v>0</v>
      </c>
      <c r="V2407" s="77">
        <v>14</v>
      </c>
      <c r="W2407" s="82" t="s">
        <v>6415</v>
      </c>
      <c r="X2407" s="80" t="str">
        <f>HYPERLINK("https://bit.ly/3z6U931")</f>
        <v>https://bit.ly/3z6U931</v>
      </c>
      <c r="Y2407" s="77" t="s">
        <v>7268</v>
      </c>
      <c r="Z2407" s="77"/>
      <c r="AA2407" s="77" t="s">
        <v>8841</v>
      </c>
      <c r="AB2407" s="77" t="s">
        <v>10130</v>
      </c>
      <c r="AC2407" s="82" t="s">
        <v>10146</v>
      </c>
      <c r="AD2407" s="77" t="s">
        <v>10184</v>
      </c>
      <c r="AE2407" s="80" t="str">
        <f>HYPERLINK("https://twitter.com/madeirajunior20/status/1641084668618452993")</f>
        <v>https://twitter.com/madeirajunior20/status/1641084668618452993</v>
      </c>
      <c r="AF2407" s="79">
        <v>45014.602418981478</v>
      </c>
      <c r="AG2407" s="85">
        <v>45014</v>
      </c>
      <c r="AH2407" s="82" t="s">
        <v>12497</v>
      </c>
      <c r="AI2407" s="77" t="b">
        <v>0</v>
      </c>
      <c r="AJ2407" s="77"/>
      <c r="AK2407" s="77"/>
      <c r="AL2407" s="77"/>
      <c r="AM2407" s="77"/>
      <c r="AN2407" s="77"/>
      <c r="AO2407" s="77"/>
      <c r="AP2407" s="77"/>
      <c r="AQ2407" s="77" t="s">
        <v>15484</v>
      </c>
      <c r="AR2407" s="77"/>
      <c r="AS2407" s="77"/>
      <c r="AT2407" s="77"/>
      <c r="AU2407" s="77"/>
      <c r="AV2407" s="80" t="str">
        <f>HYPERLINK("https://pbs.twimg.com/media/FsZNafQXsAQzbyt.png")</f>
        <v>https://pbs.twimg.com/media/FsZNafQXsAQzbyt.png</v>
      </c>
      <c r="AW2407" s="82" t="s">
        <v>19173</v>
      </c>
      <c r="AX2407" s="82" t="s">
        <v>19173</v>
      </c>
      <c r="AY2407" s="77"/>
      <c r="AZ2407" s="82" t="s">
        <v>20971</v>
      </c>
      <c r="BA2407" s="82" t="s">
        <v>20971</v>
      </c>
      <c r="BB2407" s="82" t="s">
        <v>20971</v>
      </c>
      <c r="BC2407" s="82" t="s">
        <v>19173</v>
      </c>
      <c r="BD2407" s="82" t="s">
        <v>21478</v>
      </c>
      <c r="BE2407" s="77"/>
      <c r="BF2407" s="77"/>
      <c r="BG2407" s="77"/>
      <c r="BH2407" s="77"/>
      <c r="BI2407" s="77"/>
    </row>
    <row r="2408" spans="1:61" x14ac:dyDescent="0.25">
      <c r="A2408" s="62" t="s">
        <v>850</v>
      </c>
      <c r="B2408" s="62" t="s">
        <v>850</v>
      </c>
      <c r="C2408" s="63"/>
      <c r="D2408" s="64"/>
      <c r="E2408" s="65"/>
      <c r="F2408" s="66"/>
      <c r="G2408" s="63"/>
      <c r="H2408" s="67"/>
      <c r="I2408" s="68"/>
      <c r="J2408" s="68"/>
      <c r="K2408" s="32"/>
      <c r="L2408" s="75">
        <v>2408</v>
      </c>
      <c r="M2408" s="75"/>
      <c r="N2408" s="70"/>
      <c r="O2408" s="77" t="s">
        <v>179</v>
      </c>
      <c r="P2408" s="79">
        <v>45012.83871527778</v>
      </c>
      <c r="Q2408" s="77" t="s">
        <v>3614</v>
      </c>
      <c r="R2408" s="77">
        <v>1</v>
      </c>
      <c r="S2408" s="77">
        <v>0</v>
      </c>
      <c r="T2408" s="77">
        <v>0</v>
      </c>
      <c r="U2408" s="77">
        <v>0</v>
      </c>
      <c r="V2408" s="77">
        <v>50</v>
      </c>
      <c r="W2408" s="82" t="s">
        <v>5977</v>
      </c>
      <c r="X2408" s="77"/>
      <c r="Y2408" s="77"/>
      <c r="Z2408" s="77"/>
      <c r="AA2408" s="77" t="s">
        <v>8842</v>
      </c>
      <c r="AB2408" s="77" t="s">
        <v>10130</v>
      </c>
      <c r="AC2408" s="82" t="s">
        <v>10144</v>
      </c>
      <c r="AD2408" s="77" t="s">
        <v>10184</v>
      </c>
      <c r="AE2408" s="80" t="str">
        <f>HYPERLINK("https://twitter.com/emagrec31840511/status/1640445521885011976")</f>
        <v>https://twitter.com/emagrec31840511/status/1640445521885011976</v>
      </c>
      <c r="AF2408" s="79">
        <v>45012.83871527778</v>
      </c>
      <c r="AG2408" s="85">
        <v>45012</v>
      </c>
      <c r="AH2408" s="82" t="s">
        <v>12498</v>
      </c>
      <c r="AI2408" s="77" t="b">
        <v>0</v>
      </c>
      <c r="AJ2408" s="77"/>
      <c r="AK2408" s="77"/>
      <c r="AL2408" s="77"/>
      <c r="AM2408" s="77"/>
      <c r="AN2408" s="77"/>
      <c r="AO2408" s="77"/>
      <c r="AP2408" s="77"/>
      <c r="AQ2408" s="77" t="s">
        <v>15485</v>
      </c>
      <c r="AR2408" s="77"/>
      <c r="AS2408" s="77"/>
      <c r="AT2408" s="77"/>
      <c r="AU2408" s="77"/>
      <c r="AV2408" s="80" t="str">
        <f>HYPERLINK("https://pbs.twimg.com/media/FsQIgcqXsAAwaD6.jpg")</f>
        <v>https://pbs.twimg.com/media/FsQIgcqXsAAwaD6.jpg</v>
      </c>
      <c r="AW2408" s="82" t="s">
        <v>19174</v>
      </c>
      <c r="AX2408" s="82" t="s">
        <v>19174</v>
      </c>
      <c r="AY2408" s="77"/>
      <c r="AZ2408" s="82" t="s">
        <v>20971</v>
      </c>
      <c r="BA2408" s="82" t="s">
        <v>20971</v>
      </c>
      <c r="BB2408" s="82" t="s">
        <v>20971</v>
      </c>
      <c r="BC2408" s="82" t="s">
        <v>19174</v>
      </c>
      <c r="BD2408" s="82" t="s">
        <v>21479</v>
      </c>
      <c r="BE2408" s="77"/>
      <c r="BF2408" s="77"/>
      <c r="BG2408" s="77"/>
      <c r="BH2408" s="77"/>
      <c r="BI2408" s="77"/>
    </row>
    <row r="2409" spans="1:61" x14ac:dyDescent="0.25">
      <c r="A2409" s="62" t="s">
        <v>850</v>
      </c>
      <c r="B2409" s="62" t="s">
        <v>850</v>
      </c>
      <c r="C2409" s="63"/>
      <c r="D2409" s="64"/>
      <c r="E2409" s="65"/>
      <c r="F2409" s="66"/>
      <c r="G2409" s="63"/>
      <c r="H2409" s="67"/>
      <c r="I2409" s="68"/>
      <c r="J2409" s="68"/>
      <c r="K2409" s="32"/>
      <c r="L2409" s="75">
        <v>2409</v>
      </c>
      <c r="M2409" s="75"/>
      <c r="N2409" s="70"/>
      <c r="O2409" s="77" t="s">
        <v>179</v>
      </c>
      <c r="P2409" s="79">
        <v>45010.648993055554</v>
      </c>
      <c r="Q2409" s="77" t="s">
        <v>3615</v>
      </c>
      <c r="R2409" s="77">
        <v>1</v>
      </c>
      <c r="S2409" s="77">
        <v>0</v>
      </c>
      <c r="T2409" s="77">
        <v>0</v>
      </c>
      <c r="U2409" s="77">
        <v>0</v>
      </c>
      <c r="V2409" s="77">
        <v>35</v>
      </c>
      <c r="W2409" s="82" t="s">
        <v>5977</v>
      </c>
      <c r="X2409" s="77"/>
      <c r="Y2409" s="77"/>
      <c r="Z2409" s="77"/>
      <c r="AA2409" s="77" t="s">
        <v>8843</v>
      </c>
      <c r="AB2409" s="77" t="s">
        <v>10130</v>
      </c>
      <c r="AC2409" s="82" t="s">
        <v>10144</v>
      </c>
      <c r="AD2409" s="77" t="s">
        <v>10184</v>
      </c>
      <c r="AE2409" s="80" t="str">
        <f>HYPERLINK("https://twitter.com/emagrec31840511/status/1639651993944768519")</f>
        <v>https://twitter.com/emagrec31840511/status/1639651993944768519</v>
      </c>
      <c r="AF2409" s="79">
        <v>45010.648993055554</v>
      </c>
      <c r="AG2409" s="85">
        <v>45010</v>
      </c>
      <c r="AH2409" s="82" t="s">
        <v>12499</v>
      </c>
      <c r="AI2409" s="77" t="b">
        <v>0</v>
      </c>
      <c r="AJ2409" s="77"/>
      <c r="AK2409" s="77"/>
      <c r="AL2409" s="77"/>
      <c r="AM2409" s="77"/>
      <c r="AN2409" s="77"/>
      <c r="AO2409" s="77"/>
      <c r="AP2409" s="77"/>
      <c r="AQ2409" s="77" t="s">
        <v>15486</v>
      </c>
      <c r="AR2409" s="77"/>
      <c r="AS2409" s="77"/>
      <c r="AT2409" s="77"/>
      <c r="AU2409" s="77"/>
      <c r="AV2409" s="80" t="str">
        <f>HYPERLINK("https://pbs.twimg.com/media/FsE2zGnWAAQ5Fny.jpg")</f>
        <v>https://pbs.twimg.com/media/FsE2zGnWAAQ5Fny.jpg</v>
      </c>
      <c r="AW2409" s="82" t="s">
        <v>19175</v>
      </c>
      <c r="AX2409" s="82" t="s">
        <v>19175</v>
      </c>
      <c r="AY2409" s="77"/>
      <c r="AZ2409" s="82" t="s">
        <v>20971</v>
      </c>
      <c r="BA2409" s="82" t="s">
        <v>20971</v>
      </c>
      <c r="BB2409" s="82" t="s">
        <v>20971</v>
      </c>
      <c r="BC2409" s="82" t="s">
        <v>19175</v>
      </c>
      <c r="BD2409" s="82" t="s">
        <v>21479</v>
      </c>
      <c r="BE2409" s="77"/>
      <c r="BF2409" s="77"/>
      <c r="BG2409" s="77"/>
      <c r="BH2409" s="77"/>
      <c r="BI2409" s="77"/>
    </row>
    <row r="2410" spans="1:61" x14ac:dyDescent="0.25">
      <c r="A2410" s="62" t="s">
        <v>850</v>
      </c>
      <c r="B2410" s="62" t="s">
        <v>850</v>
      </c>
      <c r="C2410" s="63"/>
      <c r="D2410" s="64"/>
      <c r="E2410" s="65"/>
      <c r="F2410" s="66"/>
      <c r="G2410" s="63"/>
      <c r="H2410" s="67"/>
      <c r="I2410" s="68"/>
      <c r="J2410" s="68"/>
      <c r="K2410" s="32"/>
      <c r="L2410" s="75">
        <v>2410</v>
      </c>
      <c r="M2410" s="75"/>
      <c r="N2410" s="70"/>
      <c r="O2410" s="77" t="s">
        <v>179</v>
      </c>
      <c r="P2410" s="79">
        <v>45165.838587962964</v>
      </c>
      <c r="Q2410" s="77" t="s">
        <v>3616</v>
      </c>
      <c r="R2410" s="77">
        <v>0</v>
      </c>
      <c r="S2410" s="77">
        <v>0</v>
      </c>
      <c r="T2410" s="77">
        <v>0</v>
      </c>
      <c r="U2410" s="77">
        <v>0</v>
      </c>
      <c r="V2410" s="77">
        <v>80</v>
      </c>
      <c r="W2410" s="82" t="s">
        <v>5977</v>
      </c>
      <c r="X2410" s="77"/>
      <c r="Y2410" s="77"/>
      <c r="Z2410" s="77"/>
      <c r="AA2410" s="77" t="s">
        <v>8844</v>
      </c>
      <c r="AB2410" s="77" t="s">
        <v>10130</v>
      </c>
      <c r="AC2410" s="82" t="s">
        <v>10144</v>
      </c>
      <c r="AD2410" s="77" t="s">
        <v>10184</v>
      </c>
      <c r="AE2410" s="80" t="str">
        <f>HYPERLINK("https://twitter.com/emagrec31840511/status/1695890821902454937")</f>
        <v>https://twitter.com/emagrec31840511/status/1695890821902454937</v>
      </c>
      <c r="AF2410" s="79">
        <v>45165.838587962964</v>
      </c>
      <c r="AG2410" s="85">
        <v>45165</v>
      </c>
      <c r="AH2410" s="82" t="s">
        <v>12500</v>
      </c>
      <c r="AI2410" s="77" t="b">
        <v>0</v>
      </c>
      <c r="AJ2410" s="77"/>
      <c r="AK2410" s="77"/>
      <c r="AL2410" s="77"/>
      <c r="AM2410" s="77"/>
      <c r="AN2410" s="77"/>
      <c r="AO2410" s="77"/>
      <c r="AP2410" s="77"/>
      <c r="AQ2410" s="77" t="s">
        <v>15487</v>
      </c>
      <c r="AR2410" s="77"/>
      <c r="AS2410" s="77"/>
      <c r="AT2410" s="77"/>
      <c r="AU2410" s="77"/>
      <c r="AV2410" s="80" t="str">
        <f>HYPERLINK("https://pbs.twimg.com/media/F4kDtpVWMAAbg3z.jpg")</f>
        <v>https://pbs.twimg.com/media/F4kDtpVWMAAbg3z.jpg</v>
      </c>
      <c r="AW2410" s="82" t="s">
        <v>19176</v>
      </c>
      <c r="AX2410" s="82" t="s">
        <v>19176</v>
      </c>
      <c r="AY2410" s="77"/>
      <c r="AZ2410" s="82" t="s">
        <v>20971</v>
      </c>
      <c r="BA2410" s="82" t="s">
        <v>20971</v>
      </c>
      <c r="BB2410" s="82" t="s">
        <v>20971</v>
      </c>
      <c r="BC2410" s="82" t="s">
        <v>19176</v>
      </c>
      <c r="BD2410" s="82" t="s">
        <v>21479</v>
      </c>
      <c r="BE2410" s="77"/>
      <c r="BF2410" s="77"/>
      <c r="BG2410" s="77"/>
      <c r="BH2410" s="77"/>
      <c r="BI2410" s="77"/>
    </row>
    <row r="2411" spans="1:61" x14ac:dyDescent="0.25">
      <c r="A2411" s="62" t="s">
        <v>851</v>
      </c>
      <c r="B2411" s="62" t="s">
        <v>851</v>
      </c>
      <c r="C2411" s="63"/>
      <c r="D2411" s="64"/>
      <c r="E2411" s="65"/>
      <c r="F2411" s="66"/>
      <c r="G2411" s="63"/>
      <c r="H2411" s="67"/>
      <c r="I2411" s="68"/>
      <c r="J2411" s="68"/>
      <c r="K2411" s="32"/>
      <c r="L2411" s="75">
        <v>2411</v>
      </c>
      <c r="M2411" s="75"/>
      <c r="N2411" s="70"/>
      <c r="O2411" s="77" t="s">
        <v>179</v>
      </c>
      <c r="P2411" s="79">
        <v>44995.696655092594</v>
      </c>
      <c r="Q2411" s="77" t="s">
        <v>3617</v>
      </c>
      <c r="R2411" s="77">
        <v>0</v>
      </c>
      <c r="S2411" s="77">
        <v>0</v>
      </c>
      <c r="T2411" s="77">
        <v>0</v>
      </c>
      <c r="U2411" s="77">
        <v>0</v>
      </c>
      <c r="V2411" s="77">
        <v>72</v>
      </c>
      <c r="W2411" s="82" t="s">
        <v>6416</v>
      </c>
      <c r="X2411" s="80" t="str">
        <f>HYPERLINK("https://bc.ai/i-brlde8ixo67-n/?p=https://raf.bc.ai/")</f>
        <v>https://bc.ai/i-brlde8ixo67-n/?p=https://raf.bc.ai/</v>
      </c>
      <c r="Y2411" s="77" t="s">
        <v>7277</v>
      </c>
      <c r="Z2411" s="77"/>
      <c r="AA2411" s="77"/>
      <c r="AB2411" s="77"/>
      <c r="AC2411" s="82" t="s">
        <v>10145</v>
      </c>
      <c r="AD2411" s="77" t="s">
        <v>10184</v>
      </c>
      <c r="AE2411" s="80" t="str">
        <f>HYPERLINK("https://twitter.com/paulacampos09/status/1634233449719406593")</f>
        <v>https://twitter.com/paulacampos09/status/1634233449719406593</v>
      </c>
      <c r="AF2411" s="79">
        <v>44995.696655092594</v>
      </c>
      <c r="AG2411" s="85">
        <v>44995</v>
      </c>
      <c r="AH2411" s="82" t="s">
        <v>12501</v>
      </c>
      <c r="AI2411" s="77" t="b">
        <v>0</v>
      </c>
      <c r="AJ2411" s="77"/>
      <c r="AK2411" s="77"/>
      <c r="AL2411" s="77"/>
      <c r="AM2411" s="77"/>
      <c r="AN2411" s="77"/>
      <c r="AO2411" s="77"/>
      <c r="AP2411" s="77"/>
      <c r="AQ2411" s="77"/>
      <c r="AR2411" s="77"/>
      <c r="AS2411" s="77"/>
      <c r="AT2411" s="77"/>
      <c r="AU2411" s="77"/>
      <c r="AV2411" s="80" t="str">
        <f>HYPERLINK("https://pbs.twimg.com/profile_images/1633591299944116231/xHaPDNG9_normal.jpg")</f>
        <v>https://pbs.twimg.com/profile_images/1633591299944116231/xHaPDNG9_normal.jpg</v>
      </c>
      <c r="AW2411" s="82" t="s">
        <v>19177</v>
      </c>
      <c r="AX2411" s="82" t="s">
        <v>19177</v>
      </c>
      <c r="AY2411" s="77"/>
      <c r="AZ2411" s="82" t="s">
        <v>20971</v>
      </c>
      <c r="BA2411" s="82" t="s">
        <v>20971</v>
      </c>
      <c r="BB2411" s="82" t="s">
        <v>20971</v>
      </c>
      <c r="BC2411" s="82" t="s">
        <v>19177</v>
      </c>
      <c r="BD2411" s="82" t="s">
        <v>21480</v>
      </c>
      <c r="BE2411" s="77"/>
      <c r="BF2411" s="77"/>
      <c r="BG2411" s="77"/>
      <c r="BH2411" s="77"/>
      <c r="BI2411" s="77"/>
    </row>
    <row r="2412" spans="1:61" x14ac:dyDescent="0.25">
      <c r="A2412" s="62" t="s">
        <v>852</v>
      </c>
      <c r="B2412" s="62" t="s">
        <v>852</v>
      </c>
      <c r="C2412" s="63"/>
      <c r="D2412" s="64"/>
      <c r="E2412" s="65"/>
      <c r="F2412" s="66"/>
      <c r="G2412" s="63"/>
      <c r="H2412" s="67"/>
      <c r="I2412" s="68"/>
      <c r="J2412" s="68"/>
      <c r="K2412" s="32"/>
      <c r="L2412" s="75">
        <v>2412</v>
      </c>
      <c r="M2412" s="75"/>
      <c r="N2412" s="70"/>
      <c r="O2412" s="77" t="s">
        <v>179</v>
      </c>
      <c r="P2412" s="79">
        <v>44990.537962962961</v>
      </c>
      <c r="Q2412" s="77" t="s">
        <v>3618</v>
      </c>
      <c r="R2412" s="77">
        <v>0</v>
      </c>
      <c r="S2412" s="77">
        <v>0</v>
      </c>
      <c r="T2412" s="77">
        <v>0</v>
      </c>
      <c r="U2412" s="77">
        <v>0</v>
      </c>
      <c r="V2412" s="77">
        <v>23</v>
      </c>
      <c r="W2412" s="82" t="s">
        <v>6417</v>
      </c>
      <c r="X2412" s="80" t="str">
        <f>HYPERLINK("https://pt.oriflame.com/business-opportunity/become-consultant?potentialSponsor=26644005")</f>
        <v>https://pt.oriflame.com/business-opportunity/become-consultant?potentialSponsor=26644005</v>
      </c>
      <c r="Y2412" s="77" t="s">
        <v>7416</v>
      </c>
      <c r="Z2412" s="77"/>
      <c r="AA2412" s="77"/>
      <c r="AB2412" s="77"/>
      <c r="AC2412" s="82" t="s">
        <v>10146</v>
      </c>
      <c r="AD2412" s="77" t="s">
        <v>10184</v>
      </c>
      <c r="AE2412" s="80" t="str">
        <f>HYPERLINK("https://twitter.com/slopesedgar/status/1632364001526005761")</f>
        <v>https://twitter.com/slopesedgar/status/1632364001526005761</v>
      </c>
      <c r="AF2412" s="79">
        <v>44990.537962962961</v>
      </c>
      <c r="AG2412" s="85">
        <v>44990</v>
      </c>
      <c r="AH2412" s="82" t="s">
        <v>12502</v>
      </c>
      <c r="AI2412" s="77" t="b">
        <v>0</v>
      </c>
      <c r="AJ2412" s="77"/>
      <c r="AK2412" s="77"/>
      <c r="AL2412" s="77"/>
      <c r="AM2412" s="77"/>
      <c r="AN2412" s="77"/>
      <c r="AO2412" s="77"/>
      <c r="AP2412" s="77"/>
      <c r="AQ2412" s="77"/>
      <c r="AR2412" s="77"/>
      <c r="AS2412" s="77"/>
      <c r="AT2412" s="77"/>
      <c r="AU2412" s="77"/>
      <c r="AV2412" s="80" t="str">
        <f>HYPERLINK("https://pbs.twimg.com/profile_images/1536965571153219586/KI5RG-F4_normal.jpg")</f>
        <v>https://pbs.twimg.com/profile_images/1536965571153219586/KI5RG-F4_normal.jpg</v>
      </c>
      <c r="AW2412" s="82" t="s">
        <v>19178</v>
      </c>
      <c r="AX2412" s="82" t="s">
        <v>19178</v>
      </c>
      <c r="AY2412" s="77"/>
      <c r="AZ2412" s="82" t="s">
        <v>20971</v>
      </c>
      <c r="BA2412" s="82" t="s">
        <v>20971</v>
      </c>
      <c r="BB2412" s="82" t="s">
        <v>20971</v>
      </c>
      <c r="BC2412" s="82" t="s">
        <v>19178</v>
      </c>
      <c r="BD2412" s="82" t="s">
        <v>21481</v>
      </c>
      <c r="BE2412" s="77"/>
      <c r="BF2412" s="77"/>
      <c r="BG2412" s="77"/>
      <c r="BH2412" s="77"/>
      <c r="BI2412" s="77"/>
    </row>
    <row r="2413" spans="1:61" x14ac:dyDescent="0.25">
      <c r="A2413" s="62" t="s">
        <v>853</v>
      </c>
      <c r="B2413" s="62" t="s">
        <v>866</v>
      </c>
      <c r="C2413" s="63"/>
      <c r="D2413" s="64"/>
      <c r="E2413" s="65"/>
      <c r="F2413" s="66"/>
      <c r="G2413" s="63"/>
      <c r="H2413" s="67"/>
      <c r="I2413" s="68"/>
      <c r="J2413" s="68"/>
      <c r="K2413" s="32"/>
      <c r="L2413" s="75">
        <v>2413</v>
      </c>
      <c r="M2413" s="75"/>
      <c r="N2413" s="70"/>
      <c r="O2413" s="77" t="s">
        <v>1287</v>
      </c>
      <c r="P2413" s="79">
        <v>45190.832708333335</v>
      </c>
      <c r="Q2413" s="77" t="s">
        <v>3619</v>
      </c>
      <c r="R2413" s="77">
        <v>1</v>
      </c>
      <c r="S2413" s="77">
        <v>0</v>
      </c>
      <c r="T2413" s="77">
        <v>0</v>
      </c>
      <c r="U2413" s="77">
        <v>0</v>
      </c>
      <c r="V2413" s="77"/>
      <c r="W2413" s="82" t="s">
        <v>5236</v>
      </c>
      <c r="X2413" s="77"/>
      <c r="Y2413" s="77"/>
      <c r="Z2413" s="77" t="s">
        <v>866</v>
      </c>
      <c r="AA2413" s="77"/>
      <c r="AB2413" s="77"/>
      <c r="AC2413" s="82" t="s">
        <v>10145</v>
      </c>
      <c r="AD2413" s="77" t="s">
        <v>10184</v>
      </c>
      <c r="AE2413" s="80" t="str">
        <f>HYPERLINK("https://twitter.com/redaviqui/status/1704948385373962488")</f>
        <v>https://twitter.com/redaviqui/status/1704948385373962488</v>
      </c>
      <c r="AF2413" s="79">
        <v>45190.832708333335</v>
      </c>
      <c r="AG2413" s="85">
        <v>45190</v>
      </c>
      <c r="AH2413" s="82" t="s">
        <v>12503</v>
      </c>
      <c r="AI2413" s="77"/>
      <c r="AJ2413" s="77"/>
      <c r="AK2413" s="77"/>
      <c r="AL2413" s="77"/>
      <c r="AM2413" s="77"/>
      <c r="AN2413" s="77"/>
      <c r="AO2413" s="77"/>
      <c r="AP2413" s="77"/>
      <c r="AQ2413" s="77"/>
      <c r="AR2413" s="77"/>
      <c r="AS2413" s="77"/>
      <c r="AT2413" s="77"/>
      <c r="AU2413" s="77"/>
      <c r="AV2413" s="80" t="str">
        <f>HYPERLINK("https://pbs.twimg.com/profile_images/1463860553756155907/ZF_P6lg3_normal.jpg")</f>
        <v>https://pbs.twimg.com/profile_images/1463860553756155907/ZF_P6lg3_normal.jpg</v>
      </c>
      <c r="AW2413" s="82" t="s">
        <v>19179</v>
      </c>
      <c r="AX2413" s="82" t="s">
        <v>19179</v>
      </c>
      <c r="AY2413" s="77"/>
      <c r="AZ2413" s="82" t="s">
        <v>20971</v>
      </c>
      <c r="BA2413" s="82" t="s">
        <v>20971</v>
      </c>
      <c r="BB2413" s="82" t="s">
        <v>19239</v>
      </c>
      <c r="BC2413" s="82" t="s">
        <v>19239</v>
      </c>
      <c r="BD2413" s="77">
        <v>3323886382</v>
      </c>
      <c r="BE2413" s="77"/>
      <c r="BF2413" s="77"/>
      <c r="BG2413" s="77"/>
      <c r="BH2413" s="77"/>
      <c r="BI2413" s="77"/>
    </row>
    <row r="2414" spans="1:61" x14ac:dyDescent="0.25">
      <c r="A2414" s="62" t="s">
        <v>854</v>
      </c>
      <c r="B2414" s="62" t="s">
        <v>854</v>
      </c>
      <c r="C2414" s="63"/>
      <c r="D2414" s="64"/>
      <c r="E2414" s="65"/>
      <c r="F2414" s="66"/>
      <c r="G2414" s="63"/>
      <c r="H2414" s="67"/>
      <c r="I2414" s="68"/>
      <c r="J2414" s="68"/>
      <c r="K2414" s="32"/>
      <c r="L2414" s="75">
        <v>2414</v>
      </c>
      <c r="M2414" s="75"/>
      <c r="N2414" s="70"/>
      <c r="O2414" s="77" t="s">
        <v>179</v>
      </c>
      <c r="P2414" s="79">
        <v>44967.118159722224</v>
      </c>
      <c r="Q2414" s="77" t="s">
        <v>3620</v>
      </c>
      <c r="R2414" s="77">
        <v>0</v>
      </c>
      <c r="S2414" s="77">
        <v>0</v>
      </c>
      <c r="T2414" s="77">
        <v>0</v>
      </c>
      <c r="U2414" s="77">
        <v>0</v>
      </c>
      <c r="V2414" s="77">
        <v>1</v>
      </c>
      <c r="W2414" s="82" t="s">
        <v>6418</v>
      </c>
      <c r="X2414" s="80" t="str">
        <f>HYPERLINK("https://youtube.com/@canalroquelane")</f>
        <v>https://youtube.com/@canalroquelane</v>
      </c>
      <c r="Y2414" s="77" t="s">
        <v>7303</v>
      </c>
      <c r="Z2414" s="77"/>
      <c r="AA2414" s="77" t="s">
        <v>8845</v>
      </c>
      <c r="AB2414" s="77" t="s">
        <v>10129</v>
      </c>
      <c r="AC2414" s="82" t="s">
        <v>10144</v>
      </c>
      <c r="AD2414" s="77" t="s">
        <v>10184</v>
      </c>
      <c r="AE2414" s="80" t="str">
        <f>HYPERLINK("https://twitter.com/ellenro72178468/status/1623876947066466306")</f>
        <v>https://twitter.com/ellenro72178468/status/1623876947066466306</v>
      </c>
      <c r="AF2414" s="79">
        <v>44967.118159722224</v>
      </c>
      <c r="AG2414" s="85">
        <v>44967</v>
      </c>
      <c r="AH2414" s="82" t="s">
        <v>12504</v>
      </c>
      <c r="AI2414" s="77" t="b">
        <v>0</v>
      </c>
      <c r="AJ2414" s="77" t="s">
        <v>14025</v>
      </c>
      <c r="AK2414" s="77" t="s">
        <v>14033</v>
      </c>
      <c r="AL2414" s="77" t="s">
        <v>14035</v>
      </c>
      <c r="AM2414" s="77" t="s">
        <v>14066</v>
      </c>
      <c r="AN2414" s="77" t="s">
        <v>14104</v>
      </c>
      <c r="AO2414" s="77" t="s">
        <v>14141</v>
      </c>
      <c r="AP2414" s="77" t="s">
        <v>14149</v>
      </c>
      <c r="AQ2414" s="77" t="s">
        <v>15488</v>
      </c>
      <c r="AR2414" s="77">
        <v>15000</v>
      </c>
      <c r="AS2414" s="77"/>
      <c r="AT2414" s="77"/>
      <c r="AU2414" s="77"/>
      <c r="AV2414" s="80" t="str">
        <f>HYPERLINK("https://pbs.twimg.com/ext_tw_video_thumb/1623876912589283329/pu/img/7dlXM5TCz5KO9Glx.jpg")</f>
        <v>https://pbs.twimg.com/ext_tw_video_thumb/1623876912589283329/pu/img/7dlXM5TCz5KO9Glx.jpg</v>
      </c>
      <c r="AW2414" s="82" t="s">
        <v>19180</v>
      </c>
      <c r="AX2414" s="82" t="s">
        <v>19180</v>
      </c>
      <c r="AY2414" s="77"/>
      <c r="AZ2414" s="82" t="s">
        <v>20971</v>
      </c>
      <c r="BA2414" s="82" t="s">
        <v>20971</v>
      </c>
      <c r="BB2414" s="82" t="s">
        <v>20971</v>
      </c>
      <c r="BC2414" s="82" t="s">
        <v>19180</v>
      </c>
      <c r="BD2414" s="82" t="s">
        <v>21482</v>
      </c>
      <c r="BE2414" s="77"/>
      <c r="BF2414" s="77"/>
      <c r="BG2414" s="77"/>
      <c r="BH2414" s="77"/>
      <c r="BI2414" s="77"/>
    </row>
    <row r="2415" spans="1:61" x14ac:dyDescent="0.25">
      <c r="A2415" s="62" t="s">
        <v>854</v>
      </c>
      <c r="B2415" s="62" t="s">
        <v>854</v>
      </c>
      <c r="C2415" s="63"/>
      <c r="D2415" s="64"/>
      <c r="E2415" s="65"/>
      <c r="F2415" s="66"/>
      <c r="G2415" s="63"/>
      <c r="H2415" s="67"/>
      <c r="I2415" s="68"/>
      <c r="J2415" s="68"/>
      <c r="K2415" s="32"/>
      <c r="L2415" s="75">
        <v>2415</v>
      </c>
      <c r="M2415" s="75"/>
      <c r="N2415" s="70"/>
      <c r="O2415" s="77" t="s">
        <v>179</v>
      </c>
      <c r="P2415" s="79">
        <v>45030.144525462965</v>
      </c>
      <c r="Q2415" s="77" t="s">
        <v>3621</v>
      </c>
      <c r="R2415" s="77">
        <v>0</v>
      </c>
      <c r="S2415" s="77">
        <v>0</v>
      </c>
      <c r="T2415" s="77">
        <v>0</v>
      </c>
      <c r="U2415" s="77">
        <v>0</v>
      </c>
      <c r="V2415" s="77">
        <v>5</v>
      </c>
      <c r="W2415" s="82" t="s">
        <v>6419</v>
      </c>
      <c r="X2415" s="80" t="str">
        <f>HYPERLINK("https://wa.me/message/HPDQ3JZR6JMEJ1")</f>
        <v>https://wa.me/message/HPDQ3JZR6JMEJ1</v>
      </c>
      <c r="Y2415" s="77" t="s">
        <v>7279</v>
      </c>
      <c r="Z2415" s="77"/>
      <c r="AA2415" s="77" t="s">
        <v>8846</v>
      </c>
      <c r="AB2415" s="77" t="s">
        <v>10129</v>
      </c>
      <c r="AC2415" s="82" t="s">
        <v>10144</v>
      </c>
      <c r="AD2415" s="77" t="s">
        <v>10183</v>
      </c>
      <c r="AE2415" s="80" t="str">
        <f>HYPERLINK("https://twitter.com/ellenro72178468/status/1646716940201648128")</f>
        <v>https://twitter.com/ellenro72178468/status/1646716940201648128</v>
      </c>
      <c r="AF2415" s="79">
        <v>45030.144525462965</v>
      </c>
      <c r="AG2415" s="85">
        <v>45030</v>
      </c>
      <c r="AH2415" s="82" t="s">
        <v>12505</v>
      </c>
      <c r="AI2415" s="77" t="b">
        <v>0</v>
      </c>
      <c r="AJ2415" s="77" t="s">
        <v>14025</v>
      </c>
      <c r="AK2415" s="77" t="s">
        <v>14033</v>
      </c>
      <c r="AL2415" s="77" t="s">
        <v>14035</v>
      </c>
      <c r="AM2415" s="77" t="s">
        <v>14066</v>
      </c>
      <c r="AN2415" s="77" t="s">
        <v>14104</v>
      </c>
      <c r="AO2415" s="77" t="s">
        <v>14141</v>
      </c>
      <c r="AP2415" s="77" t="s">
        <v>14149</v>
      </c>
      <c r="AQ2415" s="77" t="s">
        <v>15489</v>
      </c>
      <c r="AR2415" s="77">
        <v>14967</v>
      </c>
      <c r="AS2415" s="77"/>
      <c r="AT2415" s="77"/>
      <c r="AU2415" s="77"/>
      <c r="AV2415" s="80" t="str">
        <f>HYPERLINK("https://pbs.twimg.com/ext_tw_video_thumb/1646716893074432000/pu/img/87cpXXPf-1WLvRTG.jpg")</f>
        <v>https://pbs.twimg.com/ext_tw_video_thumb/1646716893074432000/pu/img/87cpXXPf-1WLvRTG.jpg</v>
      </c>
      <c r="AW2415" s="82" t="s">
        <v>19181</v>
      </c>
      <c r="AX2415" s="82" t="s">
        <v>19181</v>
      </c>
      <c r="AY2415" s="77"/>
      <c r="AZ2415" s="82" t="s">
        <v>20971</v>
      </c>
      <c r="BA2415" s="82" t="s">
        <v>20971</v>
      </c>
      <c r="BB2415" s="82" t="s">
        <v>20971</v>
      </c>
      <c r="BC2415" s="82" t="s">
        <v>19181</v>
      </c>
      <c r="BD2415" s="82" t="s">
        <v>21482</v>
      </c>
      <c r="BE2415" s="77"/>
      <c r="BF2415" s="77"/>
      <c r="BG2415" s="77"/>
      <c r="BH2415" s="77"/>
      <c r="BI2415" s="77"/>
    </row>
    <row r="2416" spans="1:61" x14ac:dyDescent="0.25">
      <c r="A2416" s="62" t="s">
        <v>854</v>
      </c>
      <c r="B2416" s="62" t="s">
        <v>854</v>
      </c>
      <c r="C2416" s="63"/>
      <c r="D2416" s="64"/>
      <c r="E2416" s="65"/>
      <c r="F2416" s="66"/>
      <c r="G2416" s="63"/>
      <c r="H2416" s="67"/>
      <c r="I2416" s="68"/>
      <c r="J2416" s="68"/>
      <c r="K2416" s="32"/>
      <c r="L2416" s="75">
        <v>2416</v>
      </c>
      <c r="M2416" s="75"/>
      <c r="N2416" s="70"/>
      <c r="O2416" s="77" t="s">
        <v>179</v>
      </c>
      <c r="P2416" s="79">
        <v>44975.157430555555</v>
      </c>
      <c r="Q2416" s="77" t="s">
        <v>3622</v>
      </c>
      <c r="R2416" s="77">
        <v>0</v>
      </c>
      <c r="S2416" s="77">
        <v>0</v>
      </c>
      <c r="T2416" s="77">
        <v>0</v>
      </c>
      <c r="U2416" s="77">
        <v>0</v>
      </c>
      <c r="V2416" s="77">
        <v>5</v>
      </c>
      <c r="W2416" s="82" t="s">
        <v>6420</v>
      </c>
      <c r="X2416" s="80" t="str">
        <f>HYPERLINK("https://youtube.com/@canalroquelane")</f>
        <v>https://youtube.com/@canalroquelane</v>
      </c>
      <c r="Y2416" s="77" t="s">
        <v>7303</v>
      </c>
      <c r="Z2416" s="77"/>
      <c r="AA2416" s="77" t="s">
        <v>8847</v>
      </c>
      <c r="AB2416" s="77" t="s">
        <v>10130</v>
      </c>
      <c r="AC2416" s="82" t="s">
        <v>10144</v>
      </c>
      <c r="AD2416" s="77" t="s">
        <v>10183</v>
      </c>
      <c r="AE2416" s="80" t="str">
        <f>HYPERLINK("https://twitter.com/ellenro72178468/status/1626790284842438656")</f>
        <v>https://twitter.com/ellenro72178468/status/1626790284842438656</v>
      </c>
      <c r="AF2416" s="79">
        <v>44975.157430555555</v>
      </c>
      <c r="AG2416" s="85">
        <v>44975</v>
      </c>
      <c r="AH2416" s="82" t="s">
        <v>12506</v>
      </c>
      <c r="AI2416" s="77" t="b">
        <v>0</v>
      </c>
      <c r="AJ2416" s="77" t="s">
        <v>14025</v>
      </c>
      <c r="AK2416" s="77" t="s">
        <v>14033</v>
      </c>
      <c r="AL2416" s="77" t="s">
        <v>14035</v>
      </c>
      <c r="AM2416" s="77" t="s">
        <v>14066</v>
      </c>
      <c r="AN2416" s="77" t="s">
        <v>14104</v>
      </c>
      <c r="AO2416" s="77" t="s">
        <v>14141</v>
      </c>
      <c r="AP2416" s="77" t="s">
        <v>14149</v>
      </c>
      <c r="AQ2416" s="77" t="s">
        <v>15490</v>
      </c>
      <c r="AR2416" s="77"/>
      <c r="AS2416" s="77"/>
      <c r="AT2416" s="77"/>
      <c r="AU2416" s="77"/>
      <c r="AV2416" s="80" t="str">
        <f>HYPERLINK("https://pbs.twimg.com/media/FpOFJJsWcAEAoj-.jpg")</f>
        <v>https://pbs.twimg.com/media/FpOFJJsWcAEAoj-.jpg</v>
      </c>
      <c r="AW2416" s="82" t="s">
        <v>19182</v>
      </c>
      <c r="AX2416" s="82" t="s">
        <v>19182</v>
      </c>
      <c r="AY2416" s="77"/>
      <c r="AZ2416" s="82" t="s">
        <v>20971</v>
      </c>
      <c r="BA2416" s="82" t="s">
        <v>20971</v>
      </c>
      <c r="BB2416" s="82" t="s">
        <v>20971</v>
      </c>
      <c r="BC2416" s="82" t="s">
        <v>19182</v>
      </c>
      <c r="BD2416" s="82" t="s">
        <v>21482</v>
      </c>
      <c r="BE2416" s="77"/>
      <c r="BF2416" s="77"/>
      <c r="BG2416" s="77"/>
      <c r="BH2416" s="77"/>
      <c r="BI2416" s="77"/>
    </row>
    <row r="2417" spans="1:61" x14ac:dyDescent="0.25">
      <c r="A2417" s="62" t="s">
        <v>854</v>
      </c>
      <c r="B2417" s="62" t="s">
        <v>854</v>
      </c>
      <c r="C2417" s="63"/>
      <c r="D2417" s="64"/>
      <c r="E2417" s="65"/>
      <c r="F2417" s="66"/>
      <c r="G2417" s="63"/>
      <c r="H2417" s="67"/>
      <c r="I2417" s="68"/>
      <c r="J2417" s="68"/>
      <c r="K2417" s="32"/>
      <c r="L2417" s="75">
        <v>2417</v>
      </c>
      <c r="M2417" s="75"/>
      <c r="N2417" s="70"/>
      <c r="O2417" s="77" t="s">
        <v>179</v>
      </c>
      <c r="P2417" s="79">
        <v>44975.157002314816</v>
      </c>
      <c r="Q2417" s="77" t="s">
        <v>3623</v>
      </c>
      <c r="R2417" s="77">
        <v>0</v>
      </c>
      <c r="S2417" s="77">
        <v>0</v>
      </c>
      <c r="T2417" s="77">
        <v>0</v>
      </c>
      <c r="U2417" s="77">
        <v>0</v>
      </c>
      <c r="V2417" s="77">
        <v>3</v>
      </c>
      <c r="W2417" s="82" t="s">
        <v>6420</v>
      </c>
      <c r="X2417" s="80" t="str">
        <f>HYPERLINK("https://youtube.com/@canalroquelane")</f>
        <v>https://youtube.com/@canalroquelane</v>
      </c>
      <c r="Y2417" s="77" t="s">
        <v>7303</v>
      </c>
      <c r="Z2417" s="77"/>
      <c r="AA2417" s="77" t="s">
        <v>8848</v>
      </c>
      <c r="AB2417" s="77" t="s">
        <v>10130</v>
      </c>
      <c r="AC2417" s="82" t="s">
        <v>10144</v>
      </c>
      <c r="AD2417" s="77" t="s">
        <v>10183</v>
      </c>
      <c r="AE2417" s="80" t="str">
        <f>HYPERLINK("https://twitter.com/ellenro72178468/status/1626790130148147200")</f>
        <v>https://twitter.com/ellenro72178468/status/1626790130148147200</v>
      </c>
      <c r="AF2417" s="79">
        <v>44975.157002314816</v>
      </c>
      <c r="AG2417" s="85">
        <v>44975</v>
      </c>
      <c r="AH2417" s="82" t="s">
        <v>12507</v>
      </c>
      <c r="AI2417" s="77" t="b">
        <v>0</v>
      </c>
      <c r="AJ2417" s="77" t="s">
        <v>14025</v>
      </c>
      <c r="AK2417" s="77" t="s">
        <v>14033</v>
      </c>
      <c r="AL2417" s="77" t="s">
        <v>14035</v>
      </c>
      <c r="AM2417" s="77" t="s">
        <v>14066</v>
      </c>
      <c r="AN2417" s="77" t="s">
        <v>14104</v>
      </c>
      <c r="AO2417" s="77" t="s">
        <v>14141</v>
      </c>
      <c r="AP2417" s="77" t="s">
        <v>14149</v>
      </c>
      <c r="AQ2417" s="77" t="s">
        <v>15491</v>
      </c>
      <c r="AR2417" s="77"/>
      <c r="AS2417" s="77"/>
      <c r="AT2417" s="77"/>
      <c r="AU2417" s="77"/>
      <c r="AV2417" s="80" t="str">
        <f>HYPERLINK("https://pbs.twimg.com/media/FpOFAIAXgAE8ypX.jpg")</f>
        <v>https://pbs.twimg.com/media/FpOFAIAXgAE8ypX.jpg</v>
      </c>
      <c r="AW2417" s="82" t="s">
        <v>19183</v>
      </c>
      <c r="AX2417" s="82" t="s">
        <v>19183</v>
      </c>
      <c r="AY2417" s="77"/>
      <c r="AZ2417" s="82" t="s">
        <v>20971</v>
      </c>
      <c r="BA2417" s="82" t="s">
        <v>20971</v>
      </c>
      <c r="BB2417" s="82" t="s">
        <v>20971</v>
      </c>
      <c r="BC2417" s="82" t="s">
        <v>19183</v>
      </c>
      <c r="BD2417" s="82" t="s">
        <v>21482</v>
      </c>
      <c r="BE2417" s="77"/>
      <c r="BF2417" s="77"/>
      <c r="BG2417" s="77"/>
      <c r="BH2417" s="77"/>
      <c r="BI2417" s="77"/>
    </row>
    <row r="2418" spans="1:61" x14ac:dyDescent="0.25">
      <c r="A2418" s="62" t="s">
        <v>854</v>
      </c>
      <c r="B2418" s="62" t="s">
        <v>854</v>
      </c>
      <c r="C2418" s="63"/>
      <c r="D2418" s="64"/>
      <c r="E2418" s="65"/>
      <c r="F2418" s="66"/>
      <c r="G2418" s="63"/>
      <c r="H2418" s="67"/>
      <c r="I2418" s="68"/>
      <c r="J2418" s="68"/>
      <c r="K2418" s="32"/>
      <c r="L2418" s="75">
        <v>2418</v>
      </c>
      <c r="M2418" s="75"/>
      <c r="N2418" s="70"/>
      <c r="O2418" s="77" t="s">
        <v>179</v>
      </c>
      <c r="P2418" s="79">
        <v>44975.156898148147</v>
      </c>
      <c r="Q2418" s="77" t="s">
        <v>3624</v>
      </c>
      <c r="R2418" s="77">
        <v>0</v>
      </c>
      <c r="S2418" s="77">
        <v>0</v>
      </c>
      <c r="T2418" s="77">
        <v>0</v>
      </c>
      <c r="U2418" s="77">
        <v>0</v>
      </c>
      <c r="V2418" s="77">
        <v>8</v>
      </c>
      <c r="W2418" s="82" t="s">
        <v>6420</v>
      </c>
      <c r="X2418" s="80" t="str">
        <f>HYPERLINK("https://youtube.com/@canalroquelane")</f>
        <v>https://youtube.com/@canalroquelane</v>
      </c>
      <c r="Y2418" s="77" t="s">
        <v>7303</v>
      </c>
      <c r="Z2418" s="77"/>
      <c r="AA2418" s="77" t="s">
        <v>8849</v>
      </c>
      <c r="AB2418" s="77" t="s">
        <v>10129</v>
      </c>
      <c r="AC2418" s="82" t="s">
        <v>10144</v>
      </c>
      <c r="AD2418" s="77" t="s">
        <v>10183</v>
      </c>
      <c r="AE2418" s="80" t="str">
        <f>HYPERLINK("https://twitter.com/ellenro72178468/status/1626790091824799747")</f>
        <v>https://twitter.com/ellenro72178468/status/1626790091824799747</v>
      </c>
      <c r="AF2418" s="79">
        <v>44975.156898148147</v>
      </c>
      <c r="AG2418" s="85">
        <v>44975</v>
      </c>
      <c r="AH2418" s="82" t="s">
        <v>12508</v>
      </c>
      <c r="AI2418" s="77" t="b">
        <v>0</v>
      </c>
      <c r="AJ2418" s="77"/>
      <c r="AK2418" s="77"/>
      <c r="AL2418" s="77"/>
      <c r="AM2418" s="77"/>
      <c r="AN2418" s="77"/>
      <c r="AO2418" s="77"/>
      <c r="AP2418" s="77"/>
      <c r="AQ2418" s="77" t="s">
        <v>15492</v>
      </c>
      <c r="AR2418" s="77">
        <v>14933</v>
      </c>
      <c r="AS2418" s="77"/>
      <c r="AT2418" s="77"/>
      <c r="AU2418" s="77"/>
      <c r="AV2418" s="80" t="str">
        <f>HYPERLINK("https://pbs.twimg.com/ext_tw_video_thumb/1626790064658186241/pu/img/9m4Hva4I2hbnXvDW.jpg")</f>
        <v>https://pbs.twimg.com/ext_tw_video_thumb/1626790064658186241/pu/img/9m4Hva4I2hbnXvDW.jpg</v>
      </c>
      <c r="AW2418" s="82" t="s">
        <v>19184</v>
      </c>
      <c r="AX2418" s="82" t="s">
        <v>19184</v>
      </c>
      <c r="AY2418" s="77"/>
      <c r="AZ2418" s="82" t="s">
        <v>20971</v>
      </c>
      <c r="BA2418" s="82" t="s">
        <v>20971</v>
      </c>
      <c r="BB2418" s="82" t="s">
        <v>20971</v>
      </c>
      <c r="BC2418" s="82" t="s">
        <v>19184</v>
      </c>
      <c r="BD2418" s="82" t="s">
        <v>21482</v>
      </c>
      <c r="BE2418" s="77"/>
      <c r="BF2418" s="77"/>
      <c r="BG2418" s="77"/>
      <c r="BH2418" s="77"/>
      <c r="BI2418" s="77"/>
    </row>
    <row r="2419" spans="1:61" x14ac:dyDescent="0.25">
      <c r="A2419" s="62" t="s">
        <v>854</v>
      </c>
      <c r="B2419" s="62" t="s">
        <v>854</v>
      </c>
      <c r="C2419" s="63"/>
      <c r="D2419" s="64"/>
      <c r="E2419" s="65"/>
      <c r="F2419" s="66"/>
      <c r="G2419" s="63"/>
      <c r="H2419" s="67"/>
      <c r="I2419" s="68"/>
      <c r="J2419" s="68"/>
      <c r="K2419" s="32"/>
      <c r="L2419" s="75">
        <v>2419</v>
      </c>
      <c r="M2419" s="75"/>
      <c r="N2419" s="70"/>
      <c r="O2419" s="77" t="s">
        <v>179</v>
      </c>
      <c r="P2419" s="79">
        <v>44971.106504629628</v>
      </c>
      <c r="Q2419" s="77" t="s">
        <v>3625</v>
      </c>
      <c r="R2419" s="77">
        <v>0</v>
      </c>
      <c r="S2419" s="77">
        <v>0</v>
      </c>
      <c r="T2419" s="77">
        <v>0</v>
      </c>
      <c r="U2419" s="77">
        <v>0</v>
      </c>
      <c r="V2419" s="77">
        <v>3</v>
      </c>
      <c r="W2419" s="82" t="s">
        <v>6418</v>
      </c>
      <c r="X2419" s="80" t="str">
        <f>HYPERLINK("https://youtube.com/@canalroquelane")</f>
        <v>https://youtube.com/@canalroquelane</v>
      </c>
      <c r="Y2419" s="77" t="s">
        <v>7303</v>
      </c>
      <c r="Z2419" s="77"/>
      <c r="AA2419" s="77" t="s">
        <v>8850</v>
      </c>
      <c r="AB2419" s="77" t="s">
        <v>10129</v>
      </c>
      <c r="AC2419" s="82" t="s">
        <v>10144</v>
      </c>
      <c r="AD2419" s="77" t="s">
        <v>10184</v>
      </c>
      <c r="AE2419" s="80" t="str">
        <f>HYPERLINK("https://twitter.com/ellenro72178468/status/1625322277783982080")</f>
        <v>https://twitter.com/ellenro72178468/status/1625322277783982080</v>
      </c>
      <c r="AF2419" s="79">
        <v>44971.106504629628</v>
      </c>
      <c r="AG2419" s="85">
        <v>44971</v>
      </c>
      <c r="AH2419" s="82" t="s">
        <v>12509</v>
      </c>
      <c r="AI2419" s="77" t="b">
        <v>0</v>
      </c>
      <c r="AJ2419" s="77"/>
      <c r="AK2419" s="77"/>
      <c r="AL2419" s="77"/>
      <c r="AM2419" s="77"/>
      <c r="AN2419" s="77"/>
      <c r="AO2419" s="77"/>
      <c r="AP2419" s="77"/>
      <c r="AQ2419" s="77" t="s">
        <v>15493</v>
      </c>
      <c r="AR2419" s="77">
        <v>44999</v>
      </c>
      <c r="AS2419" s="77"/>
      <c r="AT2419" s="77"/>
      <c r="AU2419" s="77"/>
      <c r="AV2419" s="80" t="str">
        <f>HYPERLINK("https://pbs.twimg.com/ext_tw_video_thumb/1625322215485874176/pu/img/6dPApCFlY7rUfCpl.jpg")</f>
        <v>https://pbs.twimg.com/ext_tw_video_thumb/1625322215485874176/pu/img/6dPApCFlY7rUfCpl.jpg</v>
      </c>
      <c r="AW2419" s="82" t="s">
        <v>19185</v>
      </c>
      <c r="AX2419" s="82" t="s">
        <v>19185</v>
      </c>
      <c r="AY2419" s="77"/>
      <c r="AZ2419" s="82" t="s">
        <v>20971</v>
      </c>
      <c r="BA2419" s="82" t="s">
        <v>20971</v>
      </c>
      <c r="BB2419" s="82" t="s">
        <v>20971</v>
      </c>
      <c r="BC2419" s="82" t="s">
        <v>19185</v>
      </c>
      <c r="BD2419" s="82" t="s">
        <v>21482</v>
      </c>
      <c r="BE2419" s="77"/>
      <c r="BF2419" s="77"/>
      <c r="BG2419" s="77"/>
      <c r="BH2419" s="77"/>
      <c r="BI2419" s="77"/>
    </row>
    <row r="2420" spans="1:61" x14ac:dyDescent="0.25">
      <c r="A2420" s="62" t="s">
        <v>854</v>
      </c>
      <c r="B2420" s="62" t="s">
        <v>854</v>
      </c>
      <c r="C2420" s="63"/>
      <c r="D2420" s="64"/>
      <c r="E2420" s="65"/>
      <c r="F2420" s="66"/>
      <c r="G2420" s="63"/>
      <c r="H2420" s="67"/>
      <c r="I2420" s="68"/>
      <c r="J2420" s="68"/>
      <c r="K2420" s="32"/>
      <c r="L2420" s="75">
        <v>2420</v>
      </c>
      <c r="M2420" s="75"/>
      <c r="N2420" s="70"/>
      <c r="O2420" s="77" t="s">
        <v>179</v>
      </c>
      <c r="P2420" s="79">
        <v>44971.10601851852</v>
      </c>
      <c r="Q2420" s="77" t="s">
        <v>3626</v>
      </c>
      <c r="R2420" s="77">
        <v>0</v>
      </c>
      <c r="S2420" s="77">
        <v>0</v>
      </c>
      <c r="T2420" s="77">
        <v>0</v>
      </c>
      <c r="U2420" s="77">
        <v>0</v>
      </c>
      <c r="V2420" s="77">
        <v>5</v>
      </c>
      <c r="W2420" s="82" t="s">
        <v>6418</v>
      </c>
      <c r="X2420" s="80" t="str">
        <f>HYPERLINK("https://youtube.com/@canalroquelane")</f>
        <v>https://youtube.com/@canalroquelane</v>
      </c>
      <c r="Y2420" s="77" t="s">
        <v>7303</v>
      </c>
      <c r="Z2420" s="77"/>
      <c r="AA2420" s="77" t="s">
        <v>8851</v>
      </c>
      <c r="AB2420" s="77" t="s">
        <v>10129</v>
      </c>
      <c r="AC2420" s="82" t="s">
        <v>10144</v>
      </c>
      <c r="AD2420" s="77" t="s">
        <v>10184</v>
      </c>
      <c r="AE2420" s="80" t="str">
        <f>HYPERLINK("https://twitter.com/ellenro72178468/status/1625322100276834304")</f>
        <v>https://twitter.com/ellenro72178468/status/1625322100276834304</v>
      </c>
      <c r="AF2420" s="79">
        <v>44971.10601851852</v>
      </c>
      <c r="AG2420" s="85">
        <v>44971</v>
      </c>
      <c r="AH2420" s="82" t="s">
        <v>12510</v>
      </c>
      <c r="AI2420" s="77" t="b">
        <v>0</v>
      </c>
      <c r="AJ2420" s="77"/>
      <c r="AK2420" s="77"/>
      <c r="AL2420" s="77"/>
      <c r="AM2420" s="77"/>
      <c r="AN2420" s="77"/>
      <c r="AO2420" s="77"/>
      <c r="AP2420" s="77"/>
      <c r="AQ2420" s="77" t="s">
        <v>15494</v>
      </c>
      <c r="AR2420" s="77">
        <v>44951</v>
      </c>
      <c r="AS2420" s="77"/>
      <c r="AT2420" s="77"/>
      <c r="AU2420" s="77"/>
      <c r="AV2420" s="80" t="str">
        <f>HYPERLINK("https://pbs.twimg.com/ext_tw_video_thumb/1625322020580864000/pu/img/9k5rPsDif9Keq0qh.jpg")</f>
        <v>https://pbs.twimg.com/ext_tw_video_thumb/1625322020580864000/pu/img/9k5rPsDif9Keq0qh.jpg</v>
      </c>
      <c r="AW2420" s="82" t="s">
        <v>19186</v>
      </c>
      <c r="AX2420" s="82" t="s">
        <v>19186</v>
      </c>
      <c r="AY2420" s="77"/>
      <c r="AZ2420" s="82" t="s">
        <v>20971</v>
      </c>
      <c r="BA2420" s="82" t="s">
        <v>20971</v>
      </c>
      <c r="BB2420" s="82" t="s">
        <v>20971</v>
      </c>
      <c r="BC2420" s="82" t="s">
        <v>19186</v>
      </c>
      <c r="BD2420" s="82" t="s">
        <v>21482</v>
      </c>
      <c r="BE2420" s="77"/>
      <c r="BF2420" s="77"/>
      <c r="BG2420" s="77"/>
      <c r="BH2420" s="77"/>
      <c r="BI2420" s="77"/>
    </row>
    <row r="2421" spans="1:61" x14ac:dyDescent="0.25">
      <c r="A2421" s="62" t="s">
        <v>854</v>
      </c>
      <c r="B2421" s="62" t="s">
        <v>854</v>
      </c>
      <c r="C2421" s="63"/>
      <c r="D2421" s="64"/>
      <c r="E2421" s="65"/>
      <c r="F2421" s="66"/>
      <c r="G2421" s="63"/>
      <c r="H2421" s="67"/>
      <c r="I2421" s="68"/>
      <c r="J2421" s="68"/>
      <c r="K2421" s="32"/>
      <c r="L2421" s="75">
        <v>2421</v>
      </c>
      <c r="M2421" s="75"/>
      <c r="N2421" s="70"/>
      <c r="O2421" s="77" t="s">
        <v>179</v>
      </c>
      <c r="P2421" s="79">
        <v>45040.106203703705</v>
      </c>
      <c r="Q2421" s="77" t="s">
        <v>3627</v>
      </c>
      <c r="R2421" s="77">
        <v>0</v>
      </c>
      <c r="S2421" s="77">
        <v>0</v>
      </c>
      <c r="T2421" s="77">
        <v>0</v>
      </c>
      <c r="U2421" s="77">
        <v>0</v>
      </c>
      <c r="V2421" s="77">
        <v>21</v>
      </c>
      <c r="W2421" s="82" t="s">
        <v>6421</v>
      </c>
      <c r="X2421" s="80" t="str">
        <f>HYPERLINK("https://wa.me/message/HPDQ3JZR6JMEJ1")</f>
        <v>https://wa.me/message/HPDQ3JZR6JMEJ1</v>
      </c>
      <c r="Y2421" s="77" t="s">
        <v>7279</v>
      </c>
      <c r="Z2421" s="77"/>
      <c r="AA2421" s="77" t="s">
        <v>8852</v>
      </c>
      <c r="AB2421" s="77" t="s">
        <v>10129</v>
      </c>
      <c r="AC2421" s="82" t="s">
        <v>10144</v>
      </c>
      <c r="AD2421" s="77" t="s">
        <v>10187</v>
      </c>
      <c r="AE2421" s="80" t="str">
        <f>HYPERLINK("https://twitter.com/ellenro72178468/status/1650326932158808064")</f>
        <v>https://twitter.com/ellenro72178468/status/1650326932158808064</v>
      </c>
      <c r="AF2421" s="79">
        <v>45040.106203703705</v>
      </c>
      <c r="AG2421" s="85">
        <v>45040</v>
      </c>
      <c r="AH2421" s="82" t="s">
        <v>12511</v>
      </c>
      <c r="AI2421" s="77" t="b">
        <v>0</v>
      </c>
      <c r="AJ2421" s="77"/>
      <c r="AK2421" s="77"/>
      <c r="AL2421" s="77"/>
      <c r="AM2421" s="77"/>
      <c r="AN2421" s="77"/>
      <c r="AO2421" s="77"/>
      <c r="AP2421" s="77"/>
      <c r="AQ2421" s="77" t="s">
        <v>15495</v>
      </c>
      <c r="AR2421" s="77">
        <v>15092</v>
      </c>
      <c r="AS2421" s="77"/>
      <c r="AT2421" s="77"/>
      <c r="AU2421" s="77"/>
      <c r="AV2421" s="80" t="str">
        <f>HYPERLINK("https://pbs.twimg.com/ext_tw_video_thumb/1650326902316384257/pu/img/6qslk0BldiliCX-A.jpg")</f>
        <v>https://pbs.twimg.com/ext_tw_video_thumb/1650326902316384257/pu/img/6qslk0BldiliCX-A.jpg</v>
      </c>
      <c r="AW2421" s="82" t="s">
        <v>19187</v>
      </c>
      <c r="AX2421" s="82" t="s">
        <v>19187</v>
      </c>
      <c r="AY2421" s="77"/>
      <c r="AZ2421" s="82" t="s">
        <v>20971</v>
      </c>
      <c r="BA2421" s="82" t="s">
        <v>20971</v>
      </c>
      <c r="BB2421" s="82" t="s">
        <v>20971</v>
      </c>
      <c r="BC2421" s="82" t="s">
        <v>19187</v>
      </c>
      <c r="BD2421" s="82" t="s">
        <v>21482</v>
      </c>
      <c r="BE2421" s="77"/>
      <c r="BF2421" s="77"/>
      <c r="BG2421" s="77"/>
      <c r="BH2421" s="77"/>
      <c r="BI2421" s="77"/>
    </row>
    <row r="2422" spans="1:61" x14ac:dyDescent="0.25">
      <c r="A2422" s="62" t="s">
        <v>854</v>
      </c>
      <c r="B2422" s="62" t="s">
        <v>854</v>
      </c>
      <c r="C2422" s="63"/>
      <c r="D2422" s="64"/>
      <c r="E2422" s="65"/>
      <c r="F2422" s="66"/>
      <c r="G2422" s="63"/>
      <c r="H2422" s="67"/>
      <c r="I2422" s="68"/>
      <c r="J2422" s="68"/>
      <c r="K2422" s="32"/>
      <c r="L2422" s="75">
        <v>2422</v>
      </c>
      <c r="M2422" s="75"/>
      <c r="N2422" s="70"/>
      <c r="O2422" s="77" t="s">
        <v>179</v>
      </c>
      <c r="P2422" s="79">
        <v>45040.105995370373</v>
      </c>
      <c r="Q2422" s="77" t="s">
        <v>3628</v>
      </c>
      <c r="R2422" s="77">
        <v>0</v>
      </c>
      <c r="S2422" s="77">
        <v>0</v>
      </c>
      <c r="T2422" s="77">
        <v>0</v>
      </c>
      <c r="U2422" s="77">
        <v>0</v>
      </c>
      <c r="V2422" s="77">
        <v>19</v>
      </c>
      <c r="W2422" s="82" t="s">
        <v>6421</v>
      </c>
      <c r="X2422" s="80" t="str">
        <f>HYPERLINK("https://wa.me/message/HPDQ3JZR6JMEJ1")</f>
        <v>https://wa.me/message/HPDQ3JZR6JMEJ1</v>
      </c>
      <c r="Y2422" s="77" t="s">
        <v>7279</v>
      </c>
      <c r="Z2422" s="77"/>
      <c r="AA2422" s="77" t="s">
        <v>8853</v>
      </c>
      <c r="AB2422" s="77" t="s">
        <v>10129</v>
      </c>
      <c r="AC2422" s="82" t="s">
        <v>10144</v>
      </c>
      <c r="AD2422" s="77" t="s">
        <v>10187</v>
      </c>
      <c r="AE2422" s="80" t="str">
        <f>HYPERLINK("https://twitter.com/ellenro72178468/status/1650326856770416641")</f>
        <v>https://twitter.com/ellenro72178468/status/1650326856770416641</v>
      </c>
      <c r="AF2422" s="79">
        <v>45040.105995370373</v>
      </c>
      <c r="AG2422" s="85">
        <v>45040</v>
      </c>
      <c r="AH2422" s="82" t="s">
        <v>12512</v>
      </c>
      <c r="AI2422" s="77" t="b">
        <v>0</v>
      </c>
      <c r="AJ2422" s="77" t="s">
        <v>14025</v>
      </c>
      <c r="AK2422" s="77" t="s">
        <v>14033</v>
      </c>
      <c r="AL2422" s="77" t="s">
        <v>14035</v>
      </c>
      <c r="AM2422" s="77" t="s">
        <v>14066</v>
      </c>
      <c r="AN2422" s="77" t="s">
        <v>14104</v>
      </c>
      <c r="AO2422" s="77" t="s">
        <v>14141</v>
      </c>
      <c r="AP2422" s="77" t="s">
        <v>14149</v>
      </c>
      <c r="AQ2422" s="77" t="s">
        <v>15496</v>
      </c>
      <c r="AR2422" s="77">
        <v>15092</v>
      </c>
      <c r="AS2422" s="77"/>
      <c r="AT2422" s="77"/>
      <c r="AU2422" s="77"/>
      <c r="AV2422" s="80" t="str">
        <f>HYPERLINK("https://pbs.twimg.com/ext_tw_video_thumb/1650326804467466243/pu/img/1uZzb3iw0jC9Fr4B.jpg")</f>
        <v>https://pbs.twimg.com/ext_tw_video_thumb/1650326804467466243/pu/img/1uZzb3iw0jC9Fr4B.jpg</v>
      </c>
      <c r="AW2422" s="82" t="s">
        <v>19188</v>
      </c>
      <c r="AX2422" s="82" t="s">
        <v>19188</v>
      </c>
      <c r="AY2422" s="77"/>
      <c r="AZ2422" s="82" t="s">
        <v>20971</v>
      </c>
      <c r="BA2422" s="82" t="s">
        <v>20971</v>
      </c>
      <c r="BB2422" s="82" t="s">
        <v>20971</v>
      </c>
      <c r="BC2422" s="82" t="s">
        <v>19188</v>
      </c>
      <c r="BD2422" s="82" t="s">
        <v>21482</v>
      </c>
      <c r="BE2422" s="77"/>
      <c r="BF2422" s="77"/>
      <c r="BG2422" s="77"/>
      <c r="BH2422" s="77"/>
      <c r="BI2422" s="77"/>
    </row>
    <row r="2423" spans="1:61" x14ac:dyDescent="0.25">
      <c r="A2423" s="62" t="s">
        <v>854</v>
      </c>
      <c r="B2423" s="62" t="s">
        <v>854</v>
      </c>
      <c r="C2423" s="63"/>
      <c r="D2423" s="64"/>
      <c r="E2423" s="65"/>
      <c r="F2423" s="66"/>
      <c r="G2423" s="63"/>
      <c r="H2423" s="67"/>
      <c r="I2423" s="68"/>
      <c r="J2423" s="68"/>
      <c r="K2423" s="32"/>
      <c r="L2423" s="75">
        <v>2423</v>
      </c>
      <c r="M2423" s="75"/>
      <c r="N2423" s="70"/>
      <c r="O2423" s="77" t="s">
        <v>179</v>
      </c>
      <c r="P2423" s="79">
        <v>45064.085740740738</v>
      </c>
      <c r="Q2423" s="77" t="s">
        <v>3629</v>
      </c>
      <c r="R2423" s="77">
        <v>0</v>
      </c>
      <c r="S2423" s="77">
        <v>0</v>
      </c>
      <c r="T2423" s="77">
        <v>0</v>
      </c>
      <c r="U2423" s="77">
        <v>0</v>
      </c>
      <c r="V2423" s="77">
        <v>17</v>
      </c>
      <c r="W2423" s="82" t="s">
        <v>6422</v>
      </c>
      <c r="X2423" s="80" t="str">
        <f>HYPERLINK("https://youtube.com/@canalroquelane")</f>
        <v>https://youtube.com/@canalroquelane</v>
      </c>
      <c r="Y2423" s="77" t="s">
        <v>7303</v>
      </c>
      <c r="Z2423" s="77"/>
      <c r="AA2423" s="77" t="s">
        <v>8854</v>
      </c>
      <c r="AB2423" s="77" t="s">
        <v>10129</v>
      </c>
      <c r="AC2423" s="82" t="s">
        <v>10144</v>
      </c>
      <c r="AD2423" s="77" t="s">
        <v>10183</v>
      </c>
      <c r="AE2423" s="80" t="str">
        <f>HYPERLINK("https://twitter.com/ellenro72178468/status/1659016824262914049")</f>
        <v>https://twitter.com/ellenro72178468/status/1659016824262914049</v>
      </c>
      <c r="AF2423" s="79">
        <v>45064.085740740738</v>
      </c>
      <c r="AG2423" s="85">
        <v>45064</v>
      </c>
      <c r="AH2423" s="82" t="s">
        <v>12513</v>
      </c>
      <c r="AI2423" s="77" t="b">
        <v>0</v>
      </c>
      <c r="AJ2423" s="77" t="s">
        <v>14025</v>
      </c>
      <c r="AK2423" s="77" t="s">
        <v>14033</v>
      </c>
      <c r="AL2423" s="77" t="s">
        <v>14035</v>
      </c>
      <c r="AM2423" s="77" t="s">
        <v>14066</v>
      </c>
      <c r="AN2423" s="77" t="s">
        <v>14104</v>
      </c>
      <c r="AO2423" s="77" t="s">
        <v>14141</v>
      </c>
      <c r="AP2423" s="77" t="s">
        <v>14149</v>
      </c>
      <c r="AQ2423" s="77" t="s">
        <v>15497</v>
      </c>
      <c r="AR2423" s="77">
        <v>44790</v>
      </c>
      <c r="AS2423" s="77"/>
      <c r="AT2423" s="77"/>
      <c r="AU2423" s="77"/>
      <c r="AV2423" s="80" t="str">
        <f>HYPERLINK("https://pbs.twimg.com/ext_tw_video_thumb/1659016730067214337/pu/img/BwzksiB-ZtVtpPxt.jpg")</f>
        <v>https://pbs.twimg.com/ext_tw_video_thumb/1659016730067214337/pu/img/BwzksiB-ZtVtpPxt.jpg</v>
      </c>
      <c r="AW2423" s="82" t="s">
        <v>19189</v>
      </c>
      <c r="AX2423" s="82" t="s">
        <v>19189</v>
      </c>
      <c r="AY2423" s="77"/>
      <c r="AZ2423" s="82" t="s">
        <v>20971</v>
      </c>
      <c r="BA2423" s="82" t="s">
        <v>20971</v>
      </c>
      <c r="BB2423" s="82" t="s">
        <v>20971</v>
      </c>
      <c r="BC2423" s="82" t="s">
        <v>19189</v>
      </c>
      <c r="BD2423" s="82" t="s">
        <v>21482</v>
      </c>
      <c r="BE2423" s="77"/>
      <c r="BF2423" s="77"/>
      <c r="BG2423" s="77"/>
      <c r="BH2423" s="77"/>
      <c r="BI2423" s="77"/>
    </row>
    <row r="2424" spans="1:61" x14ac:dyDescent="0.25">
      <c r="A2424" s="62" t="s">
        <v>854</v>
      </c>
      <c r="B2424" s="62" t="s">
        <v>854</v>
      </c>
      <c r="C2424" s="63"/>
      <c r="D2424" s="64"/>
      <c r="E2424" s="65"/>
      <c r="F2424" s="66"/>
      <c r="G2424" s="63"/>
      <c r="H2424" s="67"/>
      <c r="I2424" s="68"/>
      <c r="J2424" s="68"/>
      <c r="K2424" s="32"/>
      <c r="L2424" s="75">
        <v>2424</v>
      </c>
      <c r="M2424" s="75"/>
      <c r="N2424" s="70"/>
      <c r="O2424" s="77" t="s">
        <v>179</v>
      </c>
      <c r="P2424" s="79">
        <v>45010.198784722219</v>
      </c>
      <c r="Q2424" s="77" t="s">
        <v>3630</v>
      </c>
      <c r="R2424" s="77">
        <v>0</v>
      </c>
      <c r="S2424" s="77">
        <v>0</v>
      </c>
      <c r="T2424" s="77">
        <v>0</v>
      </c>
      <c r="U2424" s="77">
        <v>0</v>
      </c>
      <c r="V2424" s="77">
        <v>12</v>
      </c>
      <c r="W2424" s="82" t="s">
        <v>6423</v>
      </c>
      <c r="X2424" s="80" t="str">
        <f>HYPERLINK("http://wa.me/message/HPDQ3J")</f>
        <v>http://wa.me/message/HPDQ3J</v>
      </c>
      <c r="Y2424" s="77" t="s">
        <v>7279</v>
      </c>
      <c r="Z2424" s="77"/>
      <c r="AA2424" s="77" t="s">
        <v>8855</v>
      </c>
      <c r="AB2424" s="77" t="s">
        <v>10129</v>
      </c>
      <c r="AC2424" s="82" t="s">
        <v>10144</v>
      </c>
      <c r="AD2424" s="77" t="s">
        <v>10187</v>
      </c>
      <c r="AE2424" s="80" t="str">
        <f>HYPERLINK("https://twitter.com/ellenro72178468/status/1639488844067110912")</f>
        <v>https://twitter.com/ellenro72178468/status/1639488844067110912</v>
      </c>
      <c r="AF2424" s="79">
        <v>45010.198784722219</v>
      </c>
      <c r="AG2424" s="85">
        <v>45010</v>
      </c>
      <c r="AH2424" s="82" t="s">
        <v>12514</v>
      </c>
      <c r="AI2424" s="77" t="b">
        <v>0</v>
      </c>
      <c r="AJ2424" s="77"/>
      <c r="AK2424" s="77"/>
      <c r="AL2424" s="77"/>
      <c r="AM2424" s="77"/>
      <c r="AN2424" s="77"/>
      <c r="AO2424" s="77"/>
      <c r="AP2424" s="77"/>
      <c r="AQ2424" s="77" t="s">
        <v>15498</v>
      </c>
      <c r="AR2424" s="77">
        <v>15000</v>
      </c>
      <c r="AS2424" s="77"/>
      <c r="AT2424" s="77"/>
      <c r="AU2424" s="77"/>
      <c r="AV2424" s="80" t="str">
        <f>HYPERLINK("https://pbs.twimg.com/ext_tw_video_thumb/1639488807681531906/pu/img/oByy-HiaNMKSyDmU.jpg")</f>
        <v>https://pbs.twimg.com/ext_tw_video_thumb/1639488807681531906/pu/img/oByy-HiaNMKSyDmU.jpg</v>
      </c>
      <c r="AW2424" s="82" t="s">
        <v>19190</v>
      </c>
      <c r="AX2424" s="82" t="s">
        <v>19190</v>
      </c>
      <c r="AY2424" s="77"/>
      <c r="AZ2424" s="82" t="s">
        <v>20971</v>
      </c>
      <c r="BA2424" s="82" t="s">
        <v>20971</v>
      </c>
      <c r="BB2424" s="82" t="s">
        <v>20971</v>
      </c>
      <c r="BC2424" s="82" t="s">
        <v>19190</v>
      </c>
      <c r="BD2424" s="82" t="s">
        <v>21482</v>
      </c>
      <c r="BE2424" s="77"/>
      <c r="BF2424" s="77"/>
      <c r="BG2424" s="77"/>
      <c r="BH2424" s="77"/>
      <c r="BI2424" s="77"/>
    </row>
    <row r="2425" spans="1:61" x14ac:dyDescent="0.25">
      <c r="A2425" s="62" t="s">
        <v>854</v>
      </c>
      <c r="B2425" s="62" t="s">
        <v>854</v>
      </c>
      <c r="C2425" s="63"/>
      <c r="D2425" s="64"/>
      <c r="E2425" s="65"/>
      <c r="F2425" s="66"/>
      <c r="G2425" s="63"/>
      <c r="H2425" s="67"/>
      <c r="I2425" s="68"/>
      <c r="J2425" s="68"/>
      <c r="K2425" s="32"/>
      <c r="L2425" s="75">
        <v>2425</v>
      </c>
      <c r="M2425" s="75"/>
      <c r="N2425" s="70"/>
      <c r="O2425" s="77" t="s">
        <v>179</v>
      </c>
      <c r="P2425" s="79">
        <v>45010.197685185187</v>
      </c>
      <c r="Q2425" s="77" t="s">
        <v>3631</v>
      </c>
      <c r="R2425" s="77">
        <v>0</v>
      </c>
      <c r="S2425" s="77">
        <v>0</v>
      </c>
      <c r="T2425" s="77">
        <v>0</v>
      </c>
      <c r="U2425" s="77">
        <v>0</v>
      </c>
      <c r="V2425" s="77">
        <v>12</v>
      </c>
      <c r="W2425" s="82" t="s">
        <v>6423</v>
      </c>
      <c r="X2425" s="80" t="str">
        <f>HYPERLINK("https://wa.me/message/HPDQ3JZR6JMEJ1")</f>
        <v>https://wa.me/message/HPDQ3JZR6JMEJ1</v>
      </c>
      <c r="Y2425" s="77" t="s">
        <v>7279</v>
      </c>
      <c r="Z2425" s="77"/>
      <c r="AA2425" s="77" t="s">
        <v>8856</v>
      </c>
      <c r="AB2425" s="77" t="s">
        <v>10129</v>
      </c>
      <c r="AC2425" s="82" t="s">
        <v>10144</v>
      </c>
      <c r="AD2425" s="77" t="s">
        <v>10187</v>
      </c>
      <c r="AE2425" s="80" t="str">
        <f>HYPERLINK("https://twitter.com/ellenro72178468/status/1639488444438048769")</f>
        <v>https://twitter.com/ellenro72178468/status/1639488444438048769</v>
      </c>
      <c r="AF2425" s="79">
        <v>45010.197685185187</v>
      </c>
      <c r="AG2425" s="85">
        <v>45010</v>
      </c>
      <c r="AH2425" s="82" t="s">
        <v>12515</v>
      </c>
      <c r="AI2425" s="77" t="b">
        <v>0</v>
      </c>
      <c r="AJ2425" s="77" t="s">
        <v>14025</v>
      </c>
      <c r="AK2425" s="77" t="s">
        <v>14033</v>
      </c>
      <c r="AL2425" s="77" t="s">
        <v>14035</v>
      </c>
      <c r="AM2425" s="77" t="s">
        <v>14066</v>
      </c>
      <c r="AN2425" s="77" t="s">
        <v>14104</v>
      </c>
      <c r="AO2425" s="77" t="s">
        <v>14141</v>
      </c>
      <c r="AP2425" s="77" t="s">
        <v>14149</v>
      </c>
      <c r="AQ2425" s="77" t="s">
        <v>15499</v>
      </c>
      <c r="AR2425" s="77">
        <v>10982</v>
      </c>
      <c r="AS2425" s="77"/>
      <c r="AT2425" s="77"/>
      <c r="AU2425" s="77"/>
      <c r="AV2425" s="80" t="str">
        <f>HYPERLINK("https://pbs.twimg.com/ext_tw_video_thumb/1639488405955309573/pu/img/CS8DHQ23nfTBTT4H.jpg")</f>
        <v>https://pbs.twimg.com/ext_tw_video_thumb/1639488405955309573/pu/img/CS8DHQ23nfTBTT4H.jpg</v>
      </c>
      <c r="AW2425" s="82" t="s">
        <v>19191</v>
      </c>
      <c r="AX2425" s="82" t="s">
        <v>19191</v>
      </c>
      <c r="AY2425" s="77"/>
      <c r="AZ2425" s="82" t="s">
        <v>20971</v>
      </c>
      <c r="BA2425" s="82" t="s">
        <v>20971</v>
      </c>
      <c r="BB2425" s="82" t="s">
        <v>20971</v>
      </c>
      <c r="BC2425" s="82" t="s">
        <v>19191</v>
      </c>
      <c r="BD2425" s="82" t="s">
        <v>21482</v>
      </c>
      <c r="BE2425" s="77"/>
      <c r="BF2425" s="77"/>
      <c r="BG2425" s="77"/>
      <c r="BH2425" s="77"/>
      <c r="BI2425" s="77"/>
    </row>
    <row r="2426" spans="1:61" x14ac:dyDescent="0.25">
      <c r="A2426" s="62" t="s">
        <v>854</v>
      </c>
      <c r="B2426" s="62" t="s">
        <v>854</v>
      </c>
      <c r="C2426" s="63"/>
      <c r="D2426" s="64"/>
      <c r="E2426" s="65"/>
      <c r="F2426" s="66"/>
      <c r="G2426" s="63"/>
      <c r="H2426" s="67"/>
      <c r="I2426" s="68"/>
      <c r="J2426" s="68"/>
      <c r="K2426" s="32"/>
      <c r="L2426" s="75">
        <v>2426</v>
      </c>
      <c r="M2426" s="75"/>
      <c r="N2426" s="70"/>
      <c r="O2426" s="77" t="s">
        <v>179</v>
      </c>
      <c r="P2426" s="79">
        <v>44977.092094907406</v>
      </c>
      <c r="Q2426" s="77" t="s">
        <v>3632</v>
      </c>
      <c r="R2426" s="77">
        <v>0</v>
      </c>
      <c r="S2426" s="77">
        <v>0</v>
      </c>
      <c r="T2426" s="77">
        <v>0</v>
      </c>
      <c r="U2426" s="77">
        <v>0</v>
      </c>
      <c r="V2426" s="77">
        <v>2</v>
      </c>
      <c r="W2426" s="82" t="s">
        <v>6424</v>
      </c>
      <c r="X2426" s="80" t="str">
        <f>HYPERLINK("https://youtu.be/ZUDZlZzlU4U")</f>
        <v>https://youtu.be/ZUDZlZzlU4U</v>
      </c>
      <c r="Y2426" s="77" t="s">
        <v>7248</v>
      </c>
      <c r="Z2426" s="77"/>
      <c r="AA2426" s="77" t="s">
        <v>8857</v>
      </c>
      <c r="AB2426" s="77" t="s">
        <v>10129</v>
      </c>
      <c r="AC2426" s="82" t="s">
        <v>10144</v>
      </c>
      <c r="AD2426" s="77" t="s">
        <v>10183</v>
      </c>
      <c r="AE2426" s="80" t="str">
        <f>HYPERLINK("https://twitter.com/ellenro72178468/status/1627491383706525698")</f>
        <v>https://twitter.com/ellenro72178468/status/1627491383706525698</v>
      </c>
      <c r="AF2426" s="79">
        <v>44977.092094907406</v>
      </c>
      <c r="AG2426" s="85">
        <v>44977</v>
      </c>
      <c r="AH2426" s="82" t="s">
        <v>12516</v>
      </c>
      <c r="AI2426" s="77" t="b">
        <v>0</v>
      </c>
      <c r="AJ2426" s="77" t="s">
        <v>14025</v>
      </c>
      <c r="AK2426" s="77" t="s">
        <v>14033</v>
      </c>
      <c r="AL2426" s="77" t="s">
        <v>14035</v>
      </c>
      <c r="AM2426" s="77" t="s">
        <v>14066</v>
      </c>
      <c r="AN2426" s="77" t="s">
        <v>14104</v>
      </c>
      <c r="AO2426" s="77" t="s">
        <v>14141</v>
      </c>
      <c r="AP2426" s="77" t="s">
        <v>14149</v>
      </c>
      <c r="AQ2426" s="77" t="s">
        <v>15500</v>
      </c>
      <c r="AR2426" s="77">
        <v>44836</v>
      </c>
      <c r="AS2426" s="77"/>
      <c r="AT2426" s="77"/>
      <c r="AU2426" s="77"/>
      <c r="AV2426" s="80" t="str">
        <f>HYPERLINK("https://pbs.twimg.com/ext_tw_video_thumb/1627491313728864258/pu/img/7jT2BIPrmW_KDr_7.jpg")</f>
        <v>https://pbs.twimg.com/ext_tw_video_thumb/1627491313728864258/pu/img/7jT2BIPrmW_KDr_7.jpg</v>
      </c>
      <c r="AW2426" s="82" t="s">
        <v>19192</v>
      </c>
      <c r="AX2426" s="82" t="s">
        <v>19192</v>
      </c>
      <c r="AY2426" s="77"/>
      <c r="AZ2426" s="82" t="s">
        <v>20971</v>
      </c>
      <c r="BA2426" s="82" t="s">
        <v>20971</v>
      </c>
      <c r="BB2426" s="82" t="s">
        <v>20971</v>
      </c>
      <c r="BC2426" s="82" t="s">
        <v>19192</v>
      </c>
      <c r="BD2426" s="82" t="s">
        <v>21482</v>
      </c>
      <c r="BE2426" s="77"/>
      <c r="BF2426" s="77"/>
      <c r="BG2426" s="77"/>
      <c r="BH2426" s="77"/>
      <c r="BI2426" s="77"/>
    </row>
    <row r="2427" spans="1:61" x14ac:dyDescent="0.25">
      <c r="A2427" s="62" t="s">
        <v>854</v>
      </c>
      <c r="B2427" s="62" t="s">
        <v>854</v>
      </c>
      <c r="C2427" s="63"/>
      <c r="D2427" s="64"/>
      <c r="E2427" s="65"/>
      <c r="F2427" s="66"/>
      <c r="G2427" s="63"/>
      <c r="H2427" s="67"/>
      <c r="I2427" s="68"/>
      <c r="J2427" s="68"/>
      <c r="K2427" s="32"/>
      <c r="L2427" s="75">
        <v>2427</v>
      </c>
      <c r="M2427" s="75"/>
      <c r="N2427" s="70"/>
      <c r="O2427" s="77" t="s">
        <v>179</v>
      </c>
      <c r="P2427" s="79">
        <v>44977.091805555552</v>
      </c>
      <c r="Q2427" s="77" t="s">
        <v>3633</v>
      </c>
      <c r="R2427" s="77">
        <v>0</v>
      </c>
      <c r="S2427" s="77">
        <v>0</v>
      </c>
      <c r="T2427" s="77">
        <v>0</v>
      </c>
      <c r="U2427" s="77">
        <v>0</v>
      </c>
      <c r="V2427" s="77">
        <v>1</v>
      </c>
      <c r="W2427" s="82" t="s">
        <v>6424</v>
      </c>
      <c r="X2427" s="80" t="str">
        <f>HYPERLINK("https://youtu.be/ZUDZlZzlU4U")</f>
        <v>https://youtu.be/ZUDZlZzlU4U</v>
      </c>
      <c r="Y2427" s="77" t="s">
        <v>7248</v>
      </c>
      <c r="Z2427" s="77"/>
      <c r="AA2427" s="77" t="s">
        <v>8858</v>
      </c>
      <c r="AB2427" s="77" t="s">
        <v>10129</v>
      </c>
      <c r="AC2427" s="82" t="s">
        <v>10144</v>
      </c>
      <c r="AD2427" s="77" t="s">
        <v>10183</v>
      </c>
      <c r="AE2427" s="80" t="str">
        <f>HYPERLINK("https://twitter.com/ellenro72178468/status/1627491277003423745")</f>
        <v>https://twitter.com/ellenro72178468/status/1627491277003423745</v>
      </c>
      <c r="AF2427" s="79">
        <v>44977.091805555552</v>
      </c>
      <c r="AG2427" s="85">
        <v>44977</v>
      </c>
      <c r="AH2427" s="82" t="s">
        <v>12517</v>
      </c>
      <c r="AI2427" s="77" t="b">
        <v>0</v>
      </c>
      <c r="AJ2427" s="77" t="s">
        <v>14025</v>
      </c>
      <c r="AK2427" s="77" t="s">
        <v>14033</v>
      </c>
      <c r="AL2427" s="77" t="s">
        <v>14035</v>
      </c>
      <c r="AM2427" s="77" t="s">
        <v>14066</v>
      </c>
      <c r="AN2427" s="77" t="s">
        <v>14104</v>
      </c>
      <c r="AO2427" s="77" t="s">
        <v>14141</v>
      </c>
      <c r="AP2427" s="77" t="s">
        <v>14149</v>
      </c>
      <c r="AQ2427" s="77" t="s">
        <v>15501</v>
      </c>
      <c r="AR2427" s="77">
        <v>44952</v>
      </c>
      <c r="AS2427" s="77"/>
      <c r="AT2427" s="77"/>
      <c r="AU2427" s="77"/>
      <c r="AV2427" s="80" t="str">
        <f>HYPERLINK("https://pbs.twimg.com/ext_tw_video_thumb/1627491207822598146/pu/img/o9QEZBXDi7Rz-MRV.jpg")</f>
        <v>https://pbs.twimg.com/ext_tw_video_thumb/1627491207822598146/pu/img/o9QEZBXDi7Rz-MRV.jpg</v>
      </c>
      <c r="AW2427" s="82" t="s">
        <v>19193</v>
      </c>
      <c r="AX2427" s="82" t="s">
        <v>19193</v>
      </c>
      <c r="AY2427" s="77"/>
      <c r="AZ2427" s="82" t="s">
        <v>20971</v>
      </c>
      <c r="BA2427" s="82" t="s">
        <v>20971</v>
      </c>
      <c r="BB2427" s="82" t="s">
        <v>20971</v>
      </c>
      <c r="BC2427" s="82" t="s">
        <v>19193</v>
      </c>
      <c r="BD2427" s="82" t="s">
        <v>21482</v>
      </c>
      <c r="BE2427" s="77"/>
      <c r="BF2427" s="77"/>
      <c r="BG2427" s="77"/>
      <c r="BH2427" s="77"/>
      <c r="BI2427" s="77"/>
    </row>
    <row r="2428" spans="1:61" x14ac:dyDescent="0.25">
      <c r="A2428" s="62" t="s">
        <v>854</v>
      </c>
      <c r="B2428" s="62" t="s">
        <v>854</v>
      </c>
      <c r="C2428" s="63"/>
      <c r="D2428" s="64"/>
      <c r="E2428" s="65"/>
      <c r="F2428" s="66"/>
      <c r="G2428" s="63"/>
      <c r="H2428" s="67"/>
      <c r="I2428" s="68"/>
      <c r="J2428" s="68"/>
      <c r="K2428" s="32"/>
      <c r="L2428" s="75">
        <v>2428</v>
      </c>
      <c r="M2428" s="75"/>
      <c r="N2428" s="70"/>
      <c r="O2428" s="77" t="s">
        <v>179</v>
      </c>
      <c r="P2428" s="79">
        <v>44977.091793981483</v>
      </c>
      <c r="Q2428" s="77" t="s">
        <v>3634</v>
      </c>
      <c r="R2428" s="77">
        <v>0</v>
      </c>
      <c r="S2428" s="77">
        <v>0</v>
      </c>
      <c r="T2428" s="77">
        <v>0</v>
      </c>
      <c r="U2428" s="77">
        <v>0</v>
      </c>
      <c r="V2428" s="77">
        <v>3</v>
      </c>
      <c r="W2428" s="82" t="s">
        <v>6424</v>
      </c>
      <c r="X2428" s="80" t="str">
        <f>HYPERLINK("https://youtu.be/ZUDZlZzlU4U")</f>
        <v>https://youtu.be/ZUDZlZzlU4U</v>
      </c>
      <c r="Y2428" s="77" t="s">
        <v>7248</v>
      </c>
      <c r="Z2428" s="77"/>
      <c r="AA2428" s="77" t="s">
        <v>8859</v>
      </c>
      <c r="AB2428" s="77" t="s">
        <v>10130</v>
      </c>
      <c r="AC2428" s="82" t="s">
        <v>10144</v>
      </c>
      <c r="AD2428" s="77" t="s">
        <v>10183</v>
      </c>
      <c r="AE2428" s="80" t="str">
        <f>HYPERLINK("https://twitter.com/ellenro72178468/status/1627491274197540865")</f>
        <v>https://twitter.com/ellenro72178468/status/1627491274197540865</v>
      </c>
      <c r="AF2428" s="79">
        <v>44977.091793981483</v>
      </c>
      <c r="AG2428" s="85">
        <v>44977</v>
      </c>
      <c r="AH2428" s="82" t="s">
        <v>12518</v>
      </c>
      <c r="AI2428" s="77" t="b">
        <v>0</v>
      </c>
      <c r="AJ2428" s="77" t="s">
        <v>14025</v>
      </c>
      <c r="AK2428" s="77" t="s">
        <v>14033</v>
      </c>
      <c r="AL2428" s="77" t="s">
        <v>14035</v>
      </c>
      <c r="AM2428" s="77" t="s">
        <v>14066</v>
      </c>
      <c r="AN2428" s="77" t="s">
        <v>14104</v>
      </c>
      <c r="AO2428" s="77" t="s">
        <v>14141</v>
      </c>
      <c r="AP2428" s="77" t="s">
        <v>14149</v>
      </c>
      <c r="AQ2428" s="77" t="s">
        <v>15502</v>
      </c>
      <c r="AR2428" s="77"/>
      <c r="AS2428" s="77"/>
      <c r="AT2428" s="77"/>
      <c r="AU2428" s="77"/>
      <c r="AV2428" s="80" t="str">
        <f>HYPERLINK("https://pbs.twimg.com/media/FpYCsGeXoAE-zWp.jpg")</f>
        <v>https://pbs.twimg.com/media/FpYCsGeXoAE-zWp.jpg</v>
      </c>
      <c r="AW2428" s="82" t="s">
        <v>19194</v>
      </c>
      <c r="AX2428" s="82" t="s">
        <v>19194</v>
      </c>
      <c r="AY2428" s="77"/>
      <c r="AZ2428" s="82" t="s">
        <v>20971</v>
      </c>
      <c r="BA2428" s="82" t="s">
        <v>20971</v>
      </c>
      <c r="BB2428" s="82" t="s">
        <v>20971</v>
      </c>
      <c r="BC2428" s="82" t="s">
        <v>19194</v>
      </c>
      <c r="BD2428" s="82" t="s">
        <v>21482</v>
      </c>
      <c r="BE2428" s="77"/>
      <c r="BF2428" s="77"/>
      <c r="BG2428" s="77"/>
      <c r="BH2428" s="77"/>
      <c r="BI2428" s="77"/>
    </row>
    <row r="2429" spans="1:61" x14ac:dyDescent="0.25">
      <c r="A2429" s="62" t="s">
        <v>854</v>
      </c>
      <c r="B2429" s="62" t="s">
        <v>854</v>
      </c>
      <c r="C2429" s="63"/>
      <c r="D2429" s="64"/>
      <c r="E2429" s="65"/>
      <c r="F2429" s="66"/>
      <c r="G2429" s="63"/>
      <c r="H2429" s="67"/>
      <c r="I2429" s="68"/>
      <c r="J2429" s="68"/>
      <c r="K2429" s="32"/>
      <c r="L2429" s="75">
        <v>2429</v>
      </c>
      <c r="M2429" s="75"/>
      <c r="N2429" s="70"/>
      <c r="O2429" s="77" t="s">
        <v>179</v>
      </c>
      <c r="P2429" s="79">
        <v>44977.091631944444</v>
      </c>
      <c r="Q2429" s="77" t="s">
        <v>3635</v>
      </c>
      <c r="R2429" s="77">
        <v>0</v>
      </c>
      <c r="S2429" s="77">
        <v>0</v>
      </c>
      <c r="T2429" s="77">
        <v>0</v>
      </c>
      <c r="U2429" s="77">
        <v>0</v>
      </c>
      <c r="V2429" s="77">
        <v>2</v>
      </c>
      <c r="W2429" s="82" t="s">
        <v>6424</v>
      </c>
      <c r="X2429" s="80" t="str">
        <f>HYPERLINK("https://youtu.be/ZUDZlZzlU4U")</f>
        <v>https://youtu.be/ZUDZlZzlU4U</v>
      </c>
      <c r="Y2429" s="77" t="s">
        <v>7248</v>
      </c>
      <c r="Z2429" s="77"/>
      <c r="AA2429" s="77" t="s">
        <v>8860</v>
      </c>
      <c r="AB2429" s="77" t="s">
        <v>10130</v>
      </c>
      <c r="AC2429" s="82" t="s">
        <v>10144</v>
      </c>
      <c r="AD2429" s="77" t="s">
        <v>10183</v>
      </c>
      <c r="AE2429" s="80" t="str">
        <f>HYPERLINK("https://twitter.com/ellenro72178468/status/1627491212788727808")</f>
        <v>https://twitter.com/ellenro72178468/status/1627491212788727808</v>
      </c>
      <c r="AF2429" s="79">
        <v>44977.091631944444</v>
      </c>
      <c r="AG2429" s="85">
        <v>44977</v>
      </c>
      <c r="AH2429" s="82" t="s">
        <v>12519</v>
      </c>
      <c r="AI2429" s="77" t="b">
        <v>0</v>
      </c>
      <c r="AJ2429" s="77" t="s">
        <v>14025</v>
      </c>
      <c r="AK2429" s="77" t="s">
        <v>14033</v>
      </c>
      <c r="AL2429" s="77" t="s">
        <v>14035</v>
      </c>
      <c r="AM2429" s="77" t="s">
        <v>14066</v>
      </c>
      <c r="AN2429" s="77" t="s">
        <v>14104</v>
      </c>
      <c r="AO2429" s="77" t="s">
        <v>14141</v>
      </c>
      <c r="AP2429" s="77" t="s">
        <v>14149</v>
      </c>
      <c r="AQ2429" s="77" t="s">
        <v>15503</v>
      </c>
      <c r="AR2429" s="77"/>
      <c r="AS2429" s="77"/>
      <c r="AT2429" s="77"/>
      <c r="AU2429" s="77"/>
      <c r="AV2429" s="80" t="str">
        <f>HYPERLINK("https://pbs.twimg.com/media/FpYCofgXsAEFS3e.jpg")</f>
        <v>https://pbs.twimg.com/media/FpYCofgXsAEFS3e.jpg</v>
      </c>
      <c r="AW2429" s="82" t="s">
        <v>19195</v>
      </c>
      <c r="AX2429" s="82" t="s">
        <v>19195</v>
      </c>
      <c r="AY2429" s="77"/>
      <c r="AZ2429" s="82" t="s">
        <v>20971</v>
      </c>
      <c r="BA2429" s="82" t="s">
        <v>20971</v>
      </c>
      <c r="BB2429" s="82" t="s">
        <v>20971</v>
      </c>
      <c r="BC2429" s="82" t="s">
        <v>19195</v>
      </c>
      <c r="BD2429" s="82" t="s">
        <v>21482</v>
      </c>
      <c r="BE2429" s="77"/>
      <c r="BF2429" s="77"/>
      <c r="BG2429" s="77"/>
      <c r="BH2429" s="77"/>
      <c r="BI2429" s="77"/>
    </row>
    <row r="2430" spans="1:61" x14ac:dyDescent="0.25">
      <c r="A2430" s="62" t="s">
        <v>854</v>
      </c>
      <c r="B2430" s="62" t="s">
        <v>854</v>
      </c>
      <c r="C2430" s="63"/>
      <c r="D2430" s="64"/>
      <c r="E2430" s="65"/>
      <c r="F2430" s="66"/>
      <c r="G2430" s="63"/>
      <c r="H2430" s="67"/>
      <c r="I2430" s="68"/>
      <c r="J2430" s="68"/>
      <c r="K2430" s="32"/>
      <c r="L2430" s="75">
        <v>2430</v>
      </c>
      <c r="M2430" s="75"/>
      <c r="N2430" s="70"/>
      <c r="O2430" s="77" t="s">
        <v>179</v>
      </c>
      <c r="P2430" s="79">
        <v>44977.091620370367</v>
      </c>
      <c r="Q2430" s="77" t="s">
        <v>3636</v>
      </c>
      <c r="R2430" s="77">
        <v>0</v>
      </c>
      <c r="S2430" s="77">
        <v>0</v>
      </c>
      <c r="T2430" s="77">
        <v>0</v>
      </c>
      <c r="U2430" s="77">
        <v>0</v>
      </c>
      <c r="V2430" s="77">
        <v>2</v>
      </c>
      <c r="W2430" s="82" t="s">
        <v>6424</v>
      </c>
      <c r="X2430" s="80" t="str">
        <f>HYPERLINK("https://youtu.be/ZUDZlZzlU4U")</f>
        <v>https://youtu.be/ZUDZlZzlU4U</v>
      </c>
      <c r="Y2430" s="77" t="s">
        <v>7248</v>
      </c>
      <c r="Z2430" s="77"/>
      <c r="AA2430" s="77" t="s">
        <v>8861</v>
      </c>
      <c r="AB2430" s="77" t="s">
        <v>10129</v>
      </c>
      <c r="AC2430" s="82" t="s">
        <v>10144</v>
      </c>
      <c r="AD2430" s="77" t="s">
        <v>10183</v>
      </c>
      <c r="AE2430" s="80" t="str">
        <f>HYPERLINK("https://twitter.com/ellenro72178468/status/1627491209013755904")</f>
        <v>https://twitter.com/ellenro72178468/status/1627491209013755904</v>
      </c>
      <c r="AF2430" s="79">
        <v>44977.091620370367</v>
      </c>
      <c r="AG2430" s="85">
        <v>44977</v>
      </c>
      <c r="AH2430" s="82" t="s">
        <v>12520</v>
      </c>
      <c r="AI2430" s="77" t="b">
        <v>0</v>
      </c>
      <c r="AJ2430" s="77" t="s">
        <v>14025</v>
      </c>
      <c r="AK2430" s="77" t="s">
        <v>14033</v>
      </c>
      <c r="AL2430" s="77" t="s">
        <v>14035</v>
      </c>
      <c r="AM2430" s="77" t="s">
        <v>14066</v>
      </c>
      <c r="AN2430" s="77" t="s">
        <v>14104</v>
      </c>
      <c r="AO2430" s="77" t="s">
        <v>14141</v>
      </c>
      <c r="AP2430" s="77" t="s">
        <v>14149</v>
      </c>
      <c r="AQ2430" s="77" t="s">
        <v>15504</v>
      </c>
      <c r="AR2430" s="77">
        <v>44982</v>
      </c>
      <c r="AS2430" s="77"/>
      <c r="AT2430" s="77"/>
      <c r="AU2430" s="77"/>
      <c r="AV2430" s="80" t="str">
        <f>HYPERLINK("https://pbs.twimg.com/ext_tw_video_thumb/1627491122598510593/pu/img/9EDxCl8JKDqWWkbn.jpg")</f>
        <v>https://pbs.twimg.com/ext_tw_video_thumb/1627491122598510593/pu/img/9EDxCl8JKDqWWkbn.jpg</v>
      </c>
      <c r="AW2430" s="82" t="s">
        <v>19196</v>
      </c>
      <c r="AX2430" s="82" t="s">
        <v>19196</v>
      </c>
      <c r="AY2430" s="77"/>
      <c r="AZ2430" s="82" t="s">
        <v>20971</v>
      </c>
      <c r="BA2430" s="82" t="s">
        <v>20971</v>
      </c>
      <c r="BB2430" s="82" t="s">
        <v>20971</v>
      </c>
      <c r="BC2430" s="82" t="s">
        <v>19196</v>
      </c>
      <c r="BD2430" s="82" t="s">
        <v>21482</v>
      </c>
      <c r="BE2430" s="77"/>
      <c r="BF2430" s="77"/>
      <c r="BG2430" s="77"/>
      <c r="BH2430" s="77"/>
      <c r="BI2430" s="77"/>
    </row>
    <row r="2431" spans="1:61" x14ac:dyDescent="0.25">
      <c r="A2431" s="62" t="s">
        <v>854</v>
      </c>
      <c r="B2431" s="62" t="s">
        <v>854</v>
      </c>
      <c r="C2431" s="63"/>
      <c r="D2431" s="64"/>
      <c r="E2431" s="65"/>
      <c r="F2431" s="66"/>
      <c r="G2431" s="63"/>
      <c r="H2431" s="67"/>
      <c r="I2431" s="68"/>
      <c r="J2431" s="68"/>
      <c r="K2431" s="32"/>
      <c r="L2431" s="75">
        <v>2431</v>
      </c>
      <c r="M2431" s="75"/>
      <c r="N2431" s="70"/>
      <c r="O2431" s="77" t="s">
        <v>179</v>
      </c>
      <c r="P2431" s="79">
        <v>44975.157858796294</v>
      </c>
      <c r="Q2431" s="77" t="s">
        <v>3637</v>
      </c>
      <c r="R2431" s="77">
        <v>0</v>
      </c>
      <c r="S2431" s="77">
        <v>0</v>
      </c>
      <c r="T2431" s="77">
        <v>0</v>
      </c>
      <c r="U2431" s="77">
        <v>0</v>
      </c>
      <c r="V2431" s="77">
        <v>5</v>
      </c>
      <c r="W2431" s="82" t="s">
        <v>6420</v>
      </c>
      <c r="X2431" s="80" t="str">
        <f>HYPERLINK("https://youtube.com/@canalroquelane")</f>
        <v>https://youtube.com/@canalroquelane</v>
      </c>
      <c r="Y2431" s="77" t="s">
        <v>7303</v>
      </c>
      <c r="Z2431" s="77"/>
      <c r="AA2431" s="77" t="s">
        <v>8862</v>
      </c>
      <c r="AB2431" s="77" t="s">
        <v>10130</v>
      </c>
      <c r="AC2431" s="82" t="s">
        <v>10144</v>
      </c>
      <c r="AD2431" s="77" t="s">
        <v>10183</v>
      </c>
      <c r="AE2431" s="80" t="str">
        <f>HYPERLINK("https://twitter.com/ellenro72178468/status/1626790439524204544")</f>
        <v>https://twitter.com/ellenro72178468/status/1626790439524204544</v>
      </c>
      <c r="AF2431" s="79">
        <v>44975.157858796294</v>
      </c>
      <c r="AG2431" s="85">
        <v>44975</v>
      </c>
      <c r="AH2431" s="82" t="s">
        <v>12521</v>
      </c>
      <c r="AI2431" s="77" t="b">
        <v>0</v>
      </c>
      <c r="AJ2431" s="77" t="s">
        <v>14025</v>
      </c>
      <c r="AK2431" s="77" t="s">
        <v>14033</v>
      </c>
      <c r="AL2431" s="77" t="s">
        <v>14035</v>
      </c>
      <c r="AM2431" s="77" t="s">
        <v>14066</v>
      </c>
      <c r="AN2431" s="77" t="s">
        <v>14104</v>
      </c>
      <c r="AO2431" s="77" t="s">
        <v>14141</v>
      </c>
      <c r="AP2431" s="77" t="s">
        <v>14149</v>
      </c>
      <c r="AQ2431" s="77" t="s">
        <v>15505</v>
      </c>
      <c r="AR2431" s="77"/>
      <c r="AS2431" s="77"/>
      <c r="AT2431" s="77"/>
      <c r="AU2431" s="77"/>
      <c r="AV2431" s="80" t="str">
        <f>HYPERLINK("https://pbs.twimg.com/media/FpOFSKiXEAIn1Ya.jpg")</f>
        <v>https://pbs.twimg.com/media/FpOFSKiXEAIn1Ya.jpg</v>
      </c>
      <c r="AW2431" s="82" t="s">
        <v>19197</v>
      </c>
      <c r="AX2431" s="82" t="s">
        <v>19197</v>
      </c>
      <c r="AY2431" s="77"/>
      <c r="AZ2431" s="82" t="s">
        <v>20971</v>
      </c>
      <c r="BA2431" s="82" t="s">
        <v>20971</v>
      </c>
      <c r="BB2431" s="82" t="s">
        <v>20971</v>
      </c>
      <c r="BC2431" s="82" t="s">
        <v>19197</v>
      </c>
      <c r="BD2431" s="82" t="s">
        <v>21482</v>
      </c>
      <c r="BE2431" s="77"/>
      <c r="BF2431" s="77"/>
      <c r="BG2431" s="77"/>
      <c r="BH2431" s="77"/>
      <c r="BI2431" s="77"/>
    </row>
    <row r="2432" spans="1:61" x14ac:dyDescent="0.25">
      <c r="A2432" s="62" t="s">
        <v>854</v>
      </c>
      <c r="B2432" s="62" t="s">
        <v>854</v>
      </c>
      <c r="C2432" s="63"/>
      <c r="D2432" s="64"/>
      <c r="E2432" s="65"/>
      <c r="F2432" s="66"/>
      <c r="G2432" s="63"/>
      <c r="H2432" s="67"/>
      <c r="I2432" s="68"/>
      <c r="J2432" s="68"/>
      <c r="K2432" s="32"/>
      <c r="L2432" s="75">
        <v>2432</v>
      </c>
      <c r="M2432" s="75"/>
      <c r="N2432" s="70"/>
      <c r="O2432" s="77" t="s">
        <v>179</v>
      </c>
      <c r="P2432" s="79">
        <v>45086.947766203702</v>
      </c>
      <c r="Q2432" s="77" t="s">
        <v>3638</v>
      </c>
      <c r="R2432" s="77">
        <v>0</v>
      </c>
      <c r="S2432" s="77">
        <v>0</v>
      </c>
      <c r="T2432" s="77">
        <v>0</v>
      </c>
      <c r="U2432" s="77">
        <v>0</v>
      </c>
      <c r="V2432" s="77">
        <v>6</v>
      </c>
      <c r="W2432" s="82" t="s">
        <v>6425</v>
      </c>
      <c r="X2432" s="80" t="str">
        <f>HYPERLINK("https://youtube.com/@canalroquelane")</f>
        <v>https://youtube.com/@canalroquelane</v>
      </c>
      <c r="Y2432" s="77" t="s">
        <v>7303</v>
      </c>
      <c r="Z2432" s="77"/>
      <c r="AA2432" s="77" t="s">
        <v>8863</v>
      </c>
      <c r="AB2432" s="77" t="s">
        <v>10129</v>
      </c>
      <c r="AC2432" s="82" t="s">
        <v>10144</v>
      </c>
      <c r="AD2432" s="77" t="s">
        <v>10183</v>
      </c>
      <c r="AE2432" s="80" t="str">
        <f>HYPERLINK("https://twitter.com/ellenro72178468/status/1667301743984627712")</f>
        <v>https://twitter.com/ellenro72178468/status/1667301743984627712</v>
      </c>
      <c r="AF2432" s="79">
        <v>45086.947766203702</v>
      </c>
      <c r="AG2432" s="85">
        <v>45086</v>
      </c>
      <c r="AH2432" s="82" t="s">
        <v>12522</v>
      </c>
      <c r="AI2432" s="77" t="b">
        <v>0</v>
      </c>
      <c r="AJ2432" s="77"/>
      <c r="AK2432" s="77"/>
      <c r="AL2432" s="77"/>
      <c r="AM2432" s="77"/>
      <c r="AN2432" s="77"/>
      <c r="AO2432" s="77"/>
      <c r="AP2432" s="77"/>
      <c r="AQ2432" s="77" t="s">
        <v>15506</v>
      </c>
      <c r="AR2432" s="77">
        <v>44852</v>
      </c>
      <c r="AS2432" s="77"/>
      <c r="AT2432" s="77"/>
      <c r="AU2432" s="77"/>
      <c r="AV2432" s="80" t="str">
        <f>HYPERLINK("https://pbs.twimg.com/ext_tw_video_thumb/1667301677370687490/pu/img/lzX6xDWIGaj7PD3c.jpg")</f>
        <v>https://pbs.twimg.com/ext_tw_video_thumb/1667301677370687490/pu/img/lzX6xDWIGaj7PD3c.jpg</v>
      </c>
      <c r="AW2432" s="82" t="s">
        <v>19198</v>
      </c>
      <c r="AX2432" s="82" t="s">
        <v>19198</v>
      </c>
      <c r="AY2432" s="77"/>
      <c r="AZ2432" s="82" t="s">
        <v>20971</v>
      </c>
      <c r="BA2432" s="82" t="s">
        <v>20971</v>
      </c>
      <c r="BB2432" s="82" t="s">
        <v>20971</v>
      </c>
      <c r="BC2432" s="82" t="s">
        <v>19198</v>
      </c>
      <c r="BD2432" s="82" t="s">
        <v>21482</v>
      </c>
      <c r="BE2432" s="77"/>
      <c r="BF2432" s="77"/>
      <c r="BG2432" s="77"/>
      <c r="BH2432" s="77"/>
      <c r="BI2432" s="77"/>
    </row>
    <row r="2433" spans="1:61" x14ac:dyDescent="0.25">
      <c r="A2433" s="62" t="s">
        <v>854</v>
      </c>
      <c r="B2433" s="62" t="s">
        <v>854</v>
      </c>
      <c r="C2433" s="63"/>
      <c r="D2433" s="64"/>
      <c r="E2433" s="65"/>
      <c r="F2433" s="66"/>
      <c r="G2433" s="63"/>
      <c r="H2433" s="67"/>
      <c r="I2433" s="68"/>
      <c r="J2433" s="68"/>
      <c r="K2433" s="32"/>
      <c r="L2433" s="75">
        <v>2433</v>
      </c>
      <c r="M2433" s="75"/>
      <c r="N2433" s="70"/>
      <c r="O2433" s="77" t="s">
        <v>179</v>
      </c>
      <c r="P2433" s="79">
        <v>45086.947013888886</v>
      </c>
      <c r="Q2433" s="77" t="s">
        <v>3639</v>
      </c>
      <c r="R2433" s="77">
        <v>0</v>
      </c>
      <c r="S2433" s="77">
        <v>0</v>
      </c>
      <c r="T2433" s="77">
        <v>0</v>
      </c>
      <c r="U2433" s="77">
        <v>0</v>
      </c>
      <c r="V2433" s="77">
        <v>5</v>
      </c>
      <c r="W2433" s="82" t="s">
        <v>6425</v>
      </c>
      <c r="X2433" s="80" t="str">
        <f>HYPERLINK("https://youtube.com/@canalroquelane")</f>
        <v>https://youtube.com/@canalroquelane</v>
      </c>
      <c r="Y2433" s="77" t="s">
        <v>7303</v>
      </c>
      <c r="Z2433" s="77"/>
      <c r="AA2433" s="77" t="s">
        <v>8864</v>
      </c>
      <c r="AB2433" s="77" t="s">
        <v>10129</v>
      </c>
      <c r="AC2433" s="82" t="s">
        <v>10144</v>
      </c>
      <c r="AD2433" s="77" t="s">
        <v>10183</v>
      </c>
      <c r="AE2433" s="80" t="str">
        <f>HYPERLINK("https://twitter.com/ellenro72178468/status/1667301470130040832")</f>
        <v>https://twitter.com/ellenro72178468/status/1667301470130040832</v>
      </c>
      <c r="AF2433" s="79">
        <v>45086.947013888886</v>
      </c>
      <c r="AG2433" s="85">
        <v>45086</v>
      </c>
      <c r="AH2433" s="82" t="s">
        <v>12523</v>
      </c>
      <c r="AI2433" s="77" t="b">
        <v>0</v>
      </c>
      <c r="AJ2433" s="77"/>
      <c r="AK2433" s="77"/>
      <c r="AL2433" s="77"/>
      <c r="AM2433" s="77"/>
      <c r="AN2433" s="77"/>
      <c r="AO2433" s="77"/>
      <c r="AP2433" s="77"/>
      <c r="AQ2433" s="77" t="s">
        <v>15507</v>
      </c>
      <c r="AR2433" s="77">
        <v>35916</v>
      </c>
      <c r="AS2433" s="77"/>
      <c r="AT2433" s="77"/>
      <c r="AU2433" s="77"/>
      <c r="AV2433" s="80" t="str">
        <f>HYPERLINK("https://pbs.twimg.com/ext_tw_video_thumb/1667301423510347777/pu/img/WbkQgTuKzsycXH-F.jpg")</f>
        <v>https://pbs.twimg.com/ext_tw_video_thumb/1667301423510347777/pu/img/WbkQgTuKzsycXH-F.jpg</v>
      </c>
      <c r="AW2433" s="82" t="s">
        <v>19199</v>
      </c>
      <c r="AX2433" s="82" t="s">
        <v>19199</v>
      </c>
      <c r="AY2433" s="77"/>
      <c r="AZ2433" s="82" t="s">
        <v>20971</v>
      </c>
      <c r="BA2433" s="82" t="s">
        <v>20971</v>
      </c>
      <c r="BB2433" s="82" t="s">
        <v>20971</v>
      </c>
      <c r="BC2433" s="82" t="s">
        <v>19199</v>
      </c>
      <c r="BD2433" s="82" t="s">
        <v>21482</v>
      </c>
      <c r="BE2433" s="77"/>
      <c r="BF2433" s="77"/>
      <c r="BG2433" s="77"/>
      <c r="BH2433" s="77"/>
      <c r="BI2433" s="77"/>
    </row>
    <row r="2434" spans="1:61" x14ac:dyDescent="0.25">
      <c r="A2434" s="62" t="s">
        <v>854</v>
      </c>
      <c r="B2434" s="62" t="s">
        <v>854</v>
      </c>
      <c r="C2434" s="63"/>
      <c r="D2434" s="64"/>
      <c r="E2434" s="65"/>
      <c r="F2434" s="66"/>
      <c r="G2434" s="63"/>
      <c r="H2434" s="67"/>
      <c r="I2434" s="68"/>
      <c r="J2434" s="68"/>
      <c r="K2434" s="32"/>
      <c r="L2434" s="75">
        <v>2434</v>
      </c>
      <c r="M2434" s="75"/>
      <c r="N2434" s="70"/>
      <c r="O2434" s="77" t="s">
        <v>179</v>
      </c>
      <c r="P2434" s="79">
        <v>45085.228668981479</v>
      </c>
      <c r="Q2434" s="77" t="s">
        <v>3640</v>
      </c>
      <c r="R2434" s="77">
        <v>0</v>
      </c>
      <c r="S2434" s="77">
        <v>0</v>
      </c>
      <c r="T2434" s="77">
        <v>0</v>
      </c>
      <c r="U2434" s="77">
        <v>0</v>
      </c>
      <c r="V2434" s="77">
        <v>6</v>
      </c>
      <c r="W2434" s="82" t="s">
        <v>6426</v>
      </c>
      <c r="X2434" s="80" t="str">
        <f>HYPERLINK("https://youtube.com/@canalroquelane")</f>
        <v>https://youtube.com/@canalroquelane</v>
      </c>
      <c r="Y2434" s="77" t="s">
        <v>7303</v>
      </c>
      <c r="Z2434" s="77"/>
      <c r="AA2434" s="77" t="s">
        <v>8865</v>
      </c>
      <c r="AB2434" s="77" t="s">
        <v>10130</v>
      </c>
      <c r="AC2434" s="82" t="s">
        <v>10144</v>
      </c>
      <c r="AD2434" s="77" t="s">
        <v>10184</v>
      </c>
      <c r="AE2434" s="80" t="str">
        <f>HYPERLINK("https://twitter.com/ellenro72178468/status/1666678766456676356")</f>
        <v>https://twitter.com/ellenro72178468/status/1666678766456676356</v>
      </c>
      <c r="AF2434" s="79">
        <v>45085.228668981479</v>
      </c>
      <c r="AG2434" s="85">
        <v>45085</v>
      </c>
      <c r="AH2434" s="82" t="s">
        <v>10804</v>
      </c>
      <c r="AI2434" s="77" t="b">
        <v>0</v>
      </c>
      <c r="AJ2434" s="77" t="s">
        <v>14025</v>
      </c>
      <c r="AK2434" s="77" t="s">
        <v>14033</v>
      </c>
      <c r="AL2434" s="77" t="s">
        <v>14035</v>
      </c>
      <c r="AM2434" s="77" t="s">
        <v>14066</v>
      </c>
      <c r="AN2434" s="77" t="s">
        <v>14104</v>
      </c>
      <c r="AO2434" s="77" t="s">
        <v>14141</v>
      </c>
      <c r="AP2434" s="77" t="s">
        <v>14149</v>
      </c>
      <c r="AQ2434" s="77" t="s">
        <v>15508</v>
      </c>
      <c r="AR2434" s="77"/>
      <c r="AS2434" s="77"/>
      <c r="AT2434" s="77"/>
      <c r="AU2434" s="77"/>
      <c r="AV2434" s="80" t="str">
        <f>HYPERLINK("https://pbs.twimg.com/media/FyE7gUtWAAAlVWx.jpg")</f>
        <v>https://pbs.twimg.com/media/FyE7gUtWAAAlVWx.jpg</v>
      </c>
      <c r="AW2434" s="82" t="s">
        <v>19200</v>
      </c>
      <c r="AX2434" s="82" t="s">
        <v>19200</v>
      </c>
      <c r="AY2434" s="77"/>
      <c r="AZ2434" s="82" t="s">
        <v>20971</v>
      </c>
      <c r="BA2434" s="82" t="s">
        <v>20971</v>
      </c>
      <c r="BB2434" s="82" t="s">
        <v>20971</v>
      </c>
      <c r="BC2434" s="82" t="s">
        <v>19200</v>
      </c>
      <c r="BD2434" s="82" t="s">
        <v>21482</v>
      </c>
      <c r="BE2434" s="77"/>
      <c r="BF2434" s="77"/>
      <c r="BG2434" s="77"/>
      <c r="BH2434" s="77"/>
      <c r="BI2434" s="77"/>
    </row>
    <row r="2435" spans="1:61" x14ac:dyDescent="0.25">
      <c r="A2435" s="62" t="s">
        <v>854</v>
      </c>
      <c r="B2435" s="62" t="s">
        <v>854</v>
      </c>
      <c r="C2435" s="63"/>
      <c r="D2435" s="64"/>
      <c r="E2435" s="65"/>
      <c r="F2435" s="66"/>
      <c r="G2435" s="63"/>
      <c r="H2435" s="67"/>
      <c r="I2435" s="68"/>
      <c r="J2435" s="68"/>
      <c r="K2435" s="32"/>
      <c r="L2435" s="75">
        <v>2435</v>
      </c>
      <c r="M2435" s="75"/>
      <c r="N2435" s="70"/>
      <c r="O2435" s="77" t="s">
        <v>179</v>
      </c>
      <c r="P2435" s="79">
        <v>45085.228541666664</v>
      </c>
      <c r="Q2435" s="77" t="s">
        <v>3641</v>
      </c>
      <c r="R2435" s="77">
        <v>0</v>
      </c>
      <c r="S2435" s="77">
        <v>0</v>
      </c>
      <c r="T2435" s="77">
        <v>0</v>
      </c>
      <c r="U2435" s="77">
        <v>0</v>
      </c>
      <c r="V2435" s="77">
        <v>4</v>
      </c>
      <c r="W2435" s="82" t="s">
        <v>6426</v>
      </c>
      <c r="X2435" s="80" t="str">
        <f>HYPERLINK("https://youtube.com/@canalroquelane")</f>
        <v>https://youtube.com/@canalroquelane</v>
      </c>
      <c r="Y2435" s="77" t="s">
        <v>7303</v>
      </c>
      <c r="Z2435" s="77"/>
      <c r="AA2435" s="77" t="s">
        <v>8866</v>
      </c>
      <c r="AB2435" s="77" t="s">
        <v>10130</v>
      </c>
      <c r="AC2435" s="82" t="s">
        <v>10144</v>
      </c>
      <c r="AD2435" s="77" t="s">
        <v>10184</v>
      </c>
      <c r="AE2435" s="80" t="str">
        <f>HYPERLINK("https://twitter.com/ellenro72178468/status/1666678718973050881")</f>
        <v>https://twitter.com/ellenro72178468/status/1666678718973050881</v>
      </c>
      <c r="AF2435" s="79">
        <v>45085.228541666664</v>
      </c>
      <c r="AG2435" s="85">
        <v>45085</v>
      </c>
      <c r="AH2435" s="82" t="s">
        <v>12524</v>
      </c>
      <c r="AI2435" s="77" t="b">
        <v>0</v>
      </c>
      <c r="AJ2435" s="77" t="s">
        <v>14025</v>
      </c>
      <c r="AK2435" s="77" t="s">
        <v>14033</v>
      </c>
      <c r="AL2435" s="77" t="s">
        <v>14035</v>
      </c>
      <c r="AM2435" s="77" t="s">
        <v>14066</v>
      </c>
      <c r="AN2435" s="77" t="s">
        <v>14104</v>
      </c>
      <c r="AO2435" s="77" t="s">
        <v>14141</v>
      </c>
      <c r="AP2435" s="77" t="s">
        <v>14149</v>
      </c>
      <c r="AQ2435" s="77" t="s">
        <v>15509</v>
      </c>
      <c r="AR2435" s="77"/>
      <c r="AS2435" s="77"/>
      <c r="AT2435" s="77"/>
      <c r="AU2435" s="77"/>
      <c r="AV2435" s="80" t="str">
        <f>HYPERLINK("https://pbs.twimg.com/media/FyE7dmZWAAIfk0D.jpg")</f>
        <v>https://pbs.twimg.com/media/FyE7dmZWAAIfk0D.jpg</v>
      </c>
      <c r="AW2435" s="82" t="s">
        <v>19201</v>
      </c>
      <c r="AX2435" s="82" t="s">
        <v>19201</v>
      </c>
      <c r="AY2435" s="77"/>
      <c r="AZ2435" s="82" t="s">
        <v>20971</v>
      </c>
      <c r="BA2435" s="82" t="s">
        <v>20971</v>
      </c>
      <c r="BB2435" s="82" t="s">
        <v>20971</v>
      </c>
      <c r="BC2435" s="82" t="s">
        <v>19201</v>
      </c>
      <c r="BD2435" s="82" t="s">
        <v>21482</v>
      </c>
      <c r="BE2435" s="77"/>
      <c r="BF2435" s="77"/>
      <c r="BG2435" s="77"/>
      <c r="BH2435" s="77"/>
      <c r="BI2435" s="77"/>
    </row>
    <row r="2436" spans="1:61" x14ac:dyDescent="0.25">
      <c r="A2436" s="62" t="s">
        <v>854</v>
      </c>
      <c r="B2436" s="62" t="s">
        <v>854</v>
      </c>
      <c r="C2436" s="63"/>
      <c r="D2436" s="64"/>
      <c r="E2436" s="65"/>
      <c r="F2436" s="66"/>
      <c r="G2436" s="63"/>
      <c r="H2436" s="67"/>
      <c r="I2436" s="68"/>
      <c r="J2436" s="68"/>
      <c r="K2436" s="32"/>
      <c r="L2436" s="75">
        <v>2436</v>
      </c>
      <c r="M2436" s="75"/>
      <c r="N2436" s="70"/>
      <c r="O2436" s="77" t="s">
        <v>179</v>
      </c>
      <c r="P2436" s="79">
        <v>45032.140868055554</v>
      </c>
      <c r="Q2436" s="77" t="s">
        <v>3642</v>
      </c>
      <c r="R2436" s="77">
        <v>0</v>
      </c>
      <c r="S2436" s="77">
        <v>0</v>
      </c>
      <c r="T2436" s="77">
        <v>0</v>
      </c>
      <c r="U2436" s="77">
        <v>0</v>
      </c>
      <c r="V2436" s="77">
        <v>9</v>
      </c>
      <c r="W2436" s="82" t="s">
        <v>6427</v>
      </c>
      <c r="X2436" s="80" t="str">
        <f>HYPERLINK("https://youtube.com/@canalroquelane")</f>
        <v>https://youtube.com/@canalroquelane</v>
      </c>
      <c r="Y2436" s="77" t="s">
        <v>7303</v>
      </c>
      <c r="Z2436" s="77"/>
      <c r="AA2436" s="77" t="s">
        <v>8867</v>
      </c>
      <c r="AB2436" s="77" t="s">
        <v>10129</v>
      </c>
      <c r="AC2436" s="82" t="s">
        <v>10144</v>
      </c>
      <c r="AD2436" s="77" t="s">
        <v>10183</v>
      </c>
      <c r="AE2436" s="80" t="str">
        <f>HYPERLINK("https://twitter.com/ellenro72178468/status/1647440391560364033")</f>
        <v>https://twitter.com/ellenro72178468/status/1647440391560364033</v>
      </c>
      <c r="AF2436" s="79">
        <v>45032.140868055554</v>
      </c>
      <c r="AG2436" s="85">
        <v>45032</v>
      </c>
      <c r="AH2436" s="82" t="s">
        <v>12525</v>
      </c>
      <c r="AI2436" s="77" t="b">
        <v>0</v>
      </c>
      <c r="AJ2436" s="77"/>
      <c r="AK2436" s="77"/>
      <c r="AL2436" s="77"/>
      <c r="AM2436" s="77"/>
      <c r="AN2436" s="77"/>
      <c r="AO2436" s="77"/>
      <c r="AP2436" s="77"/>
      <c r="AQ2436" s="77" t="s">
        <v>15510</v>
      </c>
      <c r="AR2436" s="77">
        <v>44998</v>
      </c>
      <c r="AS2436" s="77"/>
      <c r="AT2436" s="77"/>
      <c r="AU2436" s="77"/>
      <c r="AV2436" s="80" t="str">
        <f>HYPERLINK("https://pbs.twimg.com/ext_tw_video_thumb/1647440339089735681/pu/img/gB0Ie1WOvqznEgZu.jpg")</f>
        <v>https://pbs.twimg.com/ext_tw_video_thumb/1647440339089735681/pu/img/gB0Ie1WOvqznEgZu.jpg</v>
      </c>
      <c r="AW2436" s="82" t="s">
        <v>19202</v>
      </c>
      <c r="AX2436" s="82" t="s">
        <v>19202</v>
      </c>
      <c r="AY2436" s="77"/>
      <c r="AZ2436" s="82" t="s">
        <v>20971</v>
      </c>
      <c r="BA2436" s="82" t="s">
        <v>20971</v>
      </c>
      <c r="BB2436" s="82" t="s">
        <v>20971</v>
      </c>
      <c r="BC2436" s="82" t="s">
        <v>19202</v>
      </c>
      <c r="BD2436" s="82" t="s">
        <v>21482</v>
      </c>
      <c r="BE2436" s="77"/>
      <c r="BF2436" s="77"/>
      <c r="BG2436" s="77"/>
      <c r="BH2436" s="77"/>
      <c r="BI2436" s="77"/>
    </row>
    <row r="2437" spans="1:61" x14ac:dyDescent="0.25">
      <c r="A2437" s="62" t="s">
        <v>854</v>
      </c>
      <c r="B2437" s="62" t="s">
        <v>854</v>
      </c>
      <c r="C2437" s="63"/>
      <c r="D2437" s="64"/>
      <c r="E2437" s="65"/>
      <c r="F2437" s="66"/>
      <c r="G2437" s="63"/>
      <c r="H2437" s="67"/>
      <c r="I2437" s="68"/>
      <c r="J2437" s="68"/>
      <c r="K2437" s="32"/>
      <c r="L2437" s="75">
        <v>2437</v>
      </c>
      <c r="M2437" s="75"/>
      <c r="N2437" s="70"/>
      <c r="O2437" s="77" t="s">
        <v>179</v>
      </c>
      <c r="P2437" s="79">
        <v>45032.140520833331</v>
      </c>
      <c r="Q2437" s="77" t="s">
        <v>3643</v>
      </c>
      <c r="R2437" s="77">
        <v>0</v>
      </c>
      <c r="S2437" s="77">
        <v>0</v>
      </c>
      <c r="T2437" s="77">
        <v>0</v>
      </c>
      <c r="U2437" s="77">
        <v>0</v>
      </c>
      <c r="V2437" s="77">
        <v>8</v>
      </c>
      <c r="W2437" s="82" t="s">
        <v>6427</v>
      </c>
      <c r="X2437" s="80" t="str">
        <f>HYPERLINK("https://youtube.com/@canalroquelane")</f>
        <v>https://youtube.com/@canalroquelane</v>
      </c>
      <c r="Y2437" s="77" t="s">
        <v>7303</v>
      </c>
      <c r="Z2437" s="77"/>
      <c r="AA2437" s="77" t="s">
        <v>8868</v>
      </c>
      <c r="AB2437" s="77" t="s">
        <v>10129</v>
      </c>
      <c r="AC2437" s="82" t="s">
        <v>10144</v>
      </c>
      <c r="AD2437" s="77" t="s">
        <v>10183</v>
      </c>
      <c r="AE2437" s="80" t="str">
        <f>HYPERLINK("https://twitter.com/ellenro72178468/status/1647440265022406662")</f>
        <v>https://twitter.com/ellenro72178468/status/1647440265022406662</v>
      </c>
      <c r="AF2437" s="79">
        <v>45032.140520833331</v>
      </c>
      <c r="AG2437" s="85">
        <v>45032</v>
      </c>
      <c r="AH2437" s="82" t="s">
        <v>12526</v>
      </c>
      <c r="AI2437" s="77" t="b">
        <v>0</v>
      </c>
      <c r="AJ2437" s="77" t="s">
        <v>14025</v>
      </c>
      <c r="AK2437" s="77" t="s">
        <v>14033</v>
      </c>
      <c r="AL2437" s="77" t="s">
        <v>14035</v>
      </c>
      <c r="AM2437" s="77" t="s">
        <v>14066</v>
      </c>
      <c r="AN2437" s="77" t="s">
        <v>14104</v>
      </c>
      <c r="AO2437" s="77" t="s">
        <v>14141</v>
      </c>
      <c r="AP2437" s="77" t="s">
        <v>14149</v>
      </c>
      <c r="AQ2437" s="77" t="s">
        <v>15511</v>
      </c>
      <c r="AR2437" s="77">
        <v>39750</v>
      </c>
      <c r="AS2437" s="77"/>
      <c r="AT2437" s="77"/>
      <c r="AU2437" s="77"/>
      <c r="AV2437" s="80" t="str">
        <f>HYPERLINK("https://pbs.twimg.com/ext_tw_video_thumb/1647440220755750914/pu/img/pw3mW7yyFnLwhqQ3.jpg")</f>
        <v>https://pbs.twimg.com/ext_tw_video_thumb/1647440220755750914/pu/img/pw3mW7yyFnLwhqQ3.jpg</v>
      </c>
      <c r="AW2437" s="82" t="s">
        <v>19203</v>
      </c>
      <c r="AX2437" s="82" t="s">
        <v>19203</v>
      </c>
      <c r="AY2437" s="77"/>
      <c r="AZ2437" s="82" t="s">
        <v>20971</v>
      </c>
      <c r="BA2437" s="82" t="s">
        <v>20971</v>
      </c>
      <c r="BB2437" s="82" t="s">
        <v>20971</v>
      </c>
      <c r="BC2437" s="82" t="s">
        <v>19203</v>
      </c>
      <c r="BD2437" s="82" t="s">
        <v>21482</v>
      </c>
      <c r="BE2437" s="77"/>
      <c r="BF2437" s="77"/>
      <c r="BG2437" s="77"/>
      <c r="BH2437" s="77"/>
      <c r="BI2437" s="77"/>
    </row>
    <row r="2438" spans="1:61" x14ac:dyDescent="0.25">
      <c r="A2438" s="62" t="s">
        <v>854</v>
      </c>
      <c r="B2438" s="62" t="s">
        <v>854</v>
      </c>
      <c r="C2438" s="63"/>
      <c r="D2438" s="64"/>
      <c r="E2438" s="65"/>
      <c r="F2438" s="66"/>
      <c r="G2438" s="63"/>
      <c r="H2438" s="67"/>
      <c r="I2438" s="68"/>
      <c r="J2438" s="68"/>
      <c r="K2438" s="32"/>
      <c r="L2438" s="75">
        <v>2438</v>
      </c>
      <c r="M2438" s="75"/>
      <c r="N2438" s="70"/>
      <c r="O2438" s="77" t="s">
        <v>179</v>
      </c>
      <c r="P2438" s="79">
        <v>45007.076053240744</v>
      </c>
      <c r="Q2438" s="77" t="s">
        <v>3644</v>
      </c>
      <c r="R2438" s="77">
        <v>0</v>
      </c>
      <c r="S2438" s="77">
        <v>0</v>
      </c>
      <c r="T2438" s="77">
        <v>0</v>
      </c>
      <c r="U2438" s="77">
        <v>0</v>
      </c>
      <c r="V2438" s="77">
        <v>6</v>
      </c>
      <c r="W2438" s="82" t="s">
        <v>6428</v>
      </c>
      <c r="X2438" s="80" t="str">
        <f>HYPERLINK("https://wa.me/message/HPDQ3JZR6JMEJ1")</f>
        <v>https://wa.me/message/HPDQ3JZR6JMEJ1</v>
      </c>
      <c r="Y2438" s="77" t="s">
        <v>7279</v>
      </c>
      <c r="Z2438" s="77"/>
      <c r="AA2438" s="77" t="s">
        <v>8869</v>
      </c>
      <c r="AB2438" s="77" t="s">
        <v>10129</v>
      </c>
      <c r="AC2438" s="82" t="s">
        <v>10144</v>
      </c>
      <c r="AD2438" s="77" t="s">
        <v>10184</v>
      </c>
      <c r="AE2438" s="80" t="str">
        <f>HYPERLINK("https://twitter.com/ellenro72178468/status/1638357205052272641")</f>
        <v>https://twitter.com/ellenro72178468/status/1638357205052272641</v>
      </c>
      <c r="AF2438" s="79">
        <v>45007.076053240744</v>
      </c>
      <c r="AG2438" s="85">
        <v>45007</v>
      </c>
      <c r="AH2438" s="82" t="s">
        <v>12527</v>
      </c>
      <c r="AI2438" s="77" t="b">
        <v>0</v>
      </c>
      <c r="AJ2438" s="77" t="s">
        <v>14025</v>
      </c>
      <c r="AK2438" s="77" t="s">
        <v>14033</v>
      </c>
      <c r="AL2438" s="77" t="s">
        <v>14035</v>
      </c>
      <c r="AM2438" s="77" t="s">
        <v>14066</v>
      </c>
      <c r="AN2438" s="77" t="s">
        <v>14104</v>
      </c>
      <c r="AO2438" s="77" t="s">
        <v>14141</v>
      </c>
      <c r="AP2438" s="77" t="s">
        <v>14149</v>
      </c>
      <c r="AQ2438" s="77" t="s">
        <v>15512</v>
      </c>
      <c r="AR2438" s="77">
        <v>44975</v>
      </c>
      <c r="AS2438" s="77"/>
      <c r="AT2438" s="77"/>
      <c r="AU2438" s="77"/>
      <c r="AV2438" s="80" t="str">
        <f>HYPERLINK("https://pbs.twimg.com/ext_tw_video_thumb/1638357139017146370/pu/img/cP3PDoOdOj5RSvbV.jpg")</f>
        <v>https://pbs.twimg.com/ext_tw_video_thumb/1638357139017146370/pu/img/cP3PDoOdOj5RSvbV.jpg</v>
      </c>
      <c r="AW2438" s="82" t="s">
        <v>19204</v>
      </c>
      <c r="AX2438" s="82" t="s">
        <v>19204</v>
      </c>
      <c r="AY2438" s="77"/>
      <c r="AZ2438" s="82" t="s">
        <v>20971</v>
      </c>
      <c r="BA2438" s="82" t="s">
        <v>20971</v>
      </c>
      <c r="BB2438" s="82" t="s">
        <v>20971</v>
      </c>
      <c r="BC2438" s="82" t="s">
        <v>19204</v>
      </c>
      <c r="BD2438" s="82" t="s">
        <v>21482</v>
      </c>
      <c r="BE2438" s="77"/>
      <c r="BF2438" s="77"/>
      <c r="BG2438" s="77"/>
      <c r="BH2438" s="77"/>
      <c r="BI2438" s="77"/>
    </row>
    <row r="2439" spans="1:61" x14ac:dyDescent="0.25">
      <c r="A2439" s="62" t="s">
        <v>854</v>
      </c>
      <c r="B2439" s="62" t="s">
        <v>854</v>
      </c>
      <c r="C2439" s="63"/>
      <c r="D2439" s="64"/>
      <c r="E2439" s="65"/>
      <c r="F2439" s="66"/>
      <c r="G2439" s="63"/>
      <c r="H2439" s="67"/>
      <c r="I2439" s="68"/>
      <c r="J2439" s="68"/>
      <c r="K2439" s="32"/>
      <c r="L2439" s="75">
        <v>2439</v>
      </c>
      <c r="M2439" s="75"/>
      <c r="N2439" s="70"/>
      <c r="O2439" s="77" t="s">
        <v>179</v>
      </c>
      <c r="P2439" s="79">
        <v>45095.646134259259</v>
      </c>
      <c r="Q2439" s="77" t="s">
        <v>3645</v>
      </c>
      <c r="R2439" s="77">
        <v>0</v>
      </c>
      <c r="S2439" s="77">
        <v>1</v>
      </c>
      <c r="T2439" s="77">
        <v>0</v>
      </c>
      <c r="U2439" s="77">
        <v>0</v>
      </c>
      <c r="V2439" s="77">
        <v>20</v>
      </c>
      <c r="W2439" s="82" t="s">
        <v>6429</v>
      </c>
      <c r="X2439" s="80" t="str">
        <f>HYPERLINK("https://wa.me/message/HPDQ3JZR6JMEJ1")</f>
        <v>https://wa.me/message/HPDQ3JZR6JMEJ1</v>
      </c>
      <c r="Y2439" s="77" t="s">
        <v>7279</v>
      </c>
      <c r="Z2439" s="77"/>
      <c r="AA2439" s="77" t="s">
        <v>8870</v>
      </c>
      <c r="AB2439" s="77" t="s">
        <v>10129</v>
      </c>
      <c r="AC2439" s="82" t="s">
        <v>10144</v>
      </c>
      <c r="AD2439" s="77" t="s">
        <v>10184</v>
      </c>
      <c r="AE2439" s="80" t="str">
        <f>HYPERLINK("https://twitter.com/ellenro72178468/status/1670453927039434752")</f>
        <v>https://twitter.com/ellenro72178468/status/1670453927039434752</v>
      </c>
      <c r="AF2439" s="79">
        <v>45095.646134259259</v>
      </c>
      <c r="AG2439" s="85">
        <v>45095</v>
      </c>
      <c r="AH2439" s="82" t="s">
        <v>12528</v>
      </c>
      <c r="AI2439" s="77" t="b">
        <v>0</v>
      </c>
      <c r="AJ2439" s="77" t="s">
        <v>14025</v>
      </c>
      <c r="AK2439" s="77" t="s">
        <v>14033</v>
      </c>
      <c r="AL2439" s="77" t="s">
        <v>14035</v>
      </c>
      <c r="AM2439" s="77" t="s">
        <v>14066</v>
      </c>
      <c r="AN2439" s="77" t="s">
        <v>14104</v>
      </c>
      <c r="AO2439" s="77" t="s">
        <v>14141</v>
      </c>
      <c r="AP2439" s="77" t="s">
        <v>14149</v>
      </c>
      <c r="AQ2439" s="77" t="s">
        <v>15513</v>
      </c>
      <c r="AR2439" s="77">
        <v>10936</v>
      </c>
      <c r="AS2439" s="77"/>
      <c r="AT2439" s="77"/>
      <c r="AU2439" s="77"/>
      <c r="AV2439" s="80" t="str">
        <f>HYPERLINK("https://pbs.twimg.com/ext_tw_video_thumb/1670453896551038978/pu/img/g8No4lm0i63Vh3c5.jpg")</f>
        <v>https://pbs.twimg.com/ext_tw_video_thumb/1670453896551038978/pu/img/g8No4lm0i63Vh3c5.jpg</v>
      </c>
      <c r="AW2439" s="82" t="s">
        <v>19205</v>
      </c>
      <c r="AX2439" s="82" t="s">
        <v>19205</v>
      </c>
      <c r="AY2439" s="77"/>
      <c r="AZ2439" s="82" t="s">
        <v>20971</v>
      </c>
      <c r="BA2439" s="82" t="s">
        <v>20971</v>
      </c>
      <c r="BB2439" s="82" t="s">
        <v>20971</v>
      </c>
      <c r="BC2439" s="82" t="s">
        <v>19205</v>
      </c>
      <c r="BD2439" s="82" t="s">
        <v>21482</v>
      </c>
      <c r="BE2439" s="77"/>
      <c r="BF2439" s="77"/>
      <c r="BG2439" s="77"/>
      <c r="BH2439" s="77"/>
      <c r="BI2439" s="77"/>
    </row>
    <row r="2440" spans="1:61" x14ac:dyDescent="0.25">
      <c r="A2440" s="62" t="s">
        <v>854</v>
      </c>
      <c r="B2440" s="62" t="s">
        <v>854</v>
      </c>
      <c r="C2440" s="63"/>
      <c r="D2440" s="64"/>
      <c r="E2440" s="65"/>
      <c r="F2440" s="66"/>
      <c r="G2440" s="63"/>
      <c r="H2440" s="67"/>
      <c r="I2440" s="68"/>
      <c r="J2440" s="68"/>
      <c r="K2440" s="32"/>
      <c r="L2440" s="75">
        <v>2440</v>
      </c>
      <c r="M2440" s="75"/>
      <c r="N2440" s="70"/>
      <c r="O2440" s="77" t="s">
        <v>179</v>
      </c>
      <c r="P2440" s="79">
        <v>45095.646041666667</v>
      </c>
      <c r="Q2440" s="77" t="s">
        <v>3646</v>
      </c>
      <c r="R2440" s="77">
        <v>0</v>
      </c>
      <c r="S2440" s="77">
        <v>0</v>
      </c>
      <c r="T2440" s="77">
        <v>0</v>
      </c>
      <c r="U2440" s="77">
        <v>0</v>
      </c>
      <c r="V2440" s="77">
        <v>16</v>
      </c>
      <c r="W2440" s="82" t="s">
        <v>6429</v>
      </c>
      <c r="X2440" s="80" t="str">
        <f>HYPERLINK("https://wa.me/message/HPDQ3JZR6JMEJ1")</f>
        <v>https://wa.me/message/HPDQ3JZR6JMEJ1</v>
      </c>
      <c r="Y2440" s="77" t="s">
        <v>7279</v>
      </c>
      <c r="Z2440" s="77"/>
      <c r="AA2440" s="77" t="s">
        <v>8871</v>
      </c>
      <c r="AB2440" s="77" t="s">
        <v>10129</v>
      </c>
      <c r="AC2440" s="82" t="s">
        <v>10144</v>
      </c>
      <c r="AD2440" s="77" t="s">
        <v>10184</v>
      </c>
      <c r="AE2440" s="80" t="str">
        <f>HYPERLINK("https://twitter.com/ellenro72178468/status/1670453893250072576")</f>
        <v>https://twitter.com/ellenro72178468/status/1670453893250072576</v>
      </c>
      <c r="AF2440" s="79">
        <v>45095.646041666667</v>
      </c>
      <c r="AG2440" s="85">
        <v>45095</v>
      </c>
      <c r="AH2440" s="82" t="s">
        <v>12529</v>
      </c>
      <c r="AI2440" s="77" t="b">
        <v>0</v>
      </c>
      <c r="AJ2440" s="77" t="s">
        <v>14025</v>
      </c>
      <c r="AK2440" s="77" t="s">
        <v>14033</v>
      </c>
      <c r="AL2440" s="77" t="s">
        <v>14035</v>
      </c>
      <c r="AM2440" s="77" t="s">
        <v>14066</v>
      </c>
      <c r="AN2440" s="77" t="s">
        <v>14104</v>
      </c>
      <c r="AO2440" s="77" t="s">
        <v>14141</v>
      </c>
      <c r="AP2440" s="77" t="s">
        <v>14149</v>
      </c>
      <c r="AQ2440" s="77" t="s">
        <v>15514</v>
      </c>
      <c r="AR2440" s="77">
        <v>15000</v>
      </c>
      <c r="AS2440" s="77"/>
      <c r="AT2440" s="77"/>
      <c r="AU2440" s="77"/>
      <c r="AV2440" s="80" t="str">
        <f>HYPERLINK("https://pbs.twimg.com/ext_tw_video_thumb/1670453856050769924/pu/img/C1vI2E-ltE877lzi.jpg")</f>
        <v>https://pbs.twimg.com/ext_tw_video_thumb/1670453856050769924/pu/img/C1vI2E-ltE877lzi.jpg</v>
      </c>
      <c r="AW2440" s="82" t="s">
        <v>19206</v>
      </c>
      <c r="AX2440" s="82" t="s">
        <v>19206</v>
      </c>
      <c r="AY2440" s="77"/>
      <c r="AZ2440" s="82" t="s">
        <v>20971</v>
      </c>
      <c r="BA2440" s="82" t="s">
        <v>20971</v>
      </c>
      <c r="BB2440" s="82" t="s">
        <v>20971</v>
      </c>
      <c r="BC2440" s="82" t="s">
        <v>19206</v>
      </c>
      <c r="BD2440" s="82" t="s">
        <v>21482</v>
      </c>
      <c r="BE2440" s="77"/>
      <c r="BF2440" s="77"/>
      <c r="BG2440" s="77"/>
      <c r="BH2440" s="77"/>
      <c r="BI2440" s="77"/>
    </row>
    <row r="2441" spans="1:61" x14ac:dyDescent="0.25">
      <c r="A2441" s="62" t="s">
        <v>854</v>
      </c>
      <c r="B2441" s="62" t="s">
        <v>854</v>
      </c>
      <c r="C2441" s="63"/>
      <c r="D2441" s="64"/>
      <c r="E2441" s="65"/>
      <c r="F2441" s="66"/>
      <c r="G2441" s="63"/>
      <c r="H2441" s="67"/>
      <c r="I2441" s="68"/>
      <c r="J2441" s="68"/>
      <c r="K2441" s="32"/>
      <c r="L2441" s="75">
        <v>2441</v>
      </c>
      <c r="M2441" s="75"/>
      <c r="N2441" s="70"/>
      <c r="O2441" s="77" t="s">
        <v>179</v>
      </c>
      <c r="P2441" s="79">
        <v>45095.164259259262</v>
      </c>
      <c r="Q2441" s="77" t="s">
        <v>3647</v>
      </c>
      <c r="R2441" s="77">
        <v>0</v>
      </c>
      <c r="S2441" s="77">
        <v>0</v>
      </c>
      <c r="T2441" s="77">
        <v>0</v>
      </c>
      <c r="U2441" s="77">
        <v>0</v>
      </c>
      <c r="V2441" s="77">
        <v>7</v>
      </c>
      <c r="W2441" s="82" t="s">
        <v>6429</v>
      </c>
      <c r="X2441" s="80" t="str">
        <f>HYPERLINK("https://wa.me/message/HPDQ3JZR6JMEJ1")</f>
        <v>https://wa.me/message/HPDQ3JZR6JMEJ1</v>
      </c>
      <c r="Y2441" s="77" t="s">
        <v>7279</v>
      </c>
      <c r="Z2441" s="77"/>
      <c r="AA2441" s="77" t="s">
        <v>8872</v>
      </c>
      <c r="AB2441" s="77" t="s">
        <v>10129</v>
      </c>
      <c r="AC2441" s="82" t="s">
        <v>10144</v>
      </c>
      <c r="AD2441" s="77" t="s">
        <v>10184</v>
      </c>
      <c r="AE2441" s="80" t="str">
        <f>HYPERLINK("https://twitter.com/ellenro72178468/status/1670279301646745601")</f>
        <v>https://twitter.com/ellenro72178468/status/1670279301646745601</v>
      </c>
      <c r="AF2441" s="79">
        <v>45095.164259259262</v>
      </c>
      <c r="AG2441" s="85">
        <v>45095</v>
      </c>
      <c r="AH2441" s="82" t="s">
        <v>12530</v>
      </c>
      <c r="AI2441" s="77" t="b">
        <v>0</v>
      </c>
      <c r="AJ2441" s="77" t="s">
        <v>14025</v>
      </c>
      <c r="AK2441" s="77" t="s">
        <v>14033</v>
      </c>
      <c r="AL2441" s="77" t="s">
        <v>14035</v>
      </c>
      <c r="AM2441" s="77" t="s">
        <v>14066</v>
      </c>
      <c r="AN2441" s="77" t="s">
        <v>14104</v>
      </c>
      <c r="AO2441" s="77" t="s">
        <v>14141</v>
      </c>
      <c r="AP2441" s="77" t="s">
        <v>14149</v>
      </c>
      <c r="AQ2441" s="77" t="s">
        <v>15515</v>
      </c>
      <c r="AR2441" s="77">
        <v>11168</v>
      </c>
      <c r="AS2441" s="77"/>
      <c r="AT2441" s="77"/>
      <c r="AU2441" s="77"/>
      <c r="AV2441" s="80" t="str">
        <f>HYPERLINK("https://pbs.twimg.com/ext_tw_video_thumb/1670279250555830273/pu/img/ajwhtLU3FEOSuGp8.jpg")</f>
        <v>https://pbs.twimg.com/ext_tw_video_thumb/1670279250555830273/pu/img/ajwhtLU3FEOSuGp8.jpg</v>
      </c>
      <c r="AW2441" s="82" t="s">
        <v>19207</v>
      </c>
      <c r="AX2441" s="82" t="s">
        <v>19207</v>
      </c>
      <c r="AY2441" s="77"/>
      <c r="AZ2441" s="82" t="s">
        <v>20971</v>
      </c>
      <c r="BA2441" s="82" t="s">
        <v>20971</v>
      </c>
      <c r="BB2441" s="82" t="s">
        <v>20971</v>
      </c>
      <c r="BC2441" s="82" t="s">
        <v>19207</v>
      </c>
      <c r="BD2441" s="82" t="s">
        <v>21482</v>
      </c>
      <c r="BE2441" s="77"/>
      <c r="BF2441" s="77"/>
      <c r="BG2441" s="77"/>
      <c r="BH2441" s="77"/>
      <c r="BI2441" s="77"/>
    </row>
    <row r="2442" spans="1:61" x14ac:dyDescent="0.25">
      <c r="A2442" s="62" t="s">
        <v>854</v>
      </c>
      <c r="B2442" s="62" t="s">
        <v>854</v>
      </c>
      <c r="C2442" s="63"/>
      <c r="D2442" s="64"/>
      <c r="E2442" s="65"/>
      <c r="F2442" s="66"/>
      <c r="G2442" s="63"/>
      <c r="H2442" s="67"/>
      <c r="I2442" s="68"/>
      <c r="J2442" s="68"/>
      <c r="K2442" s="32"/>
      <c r="L2442" s="75">
        <v>2442</v>
      </c>
      <c r="M2442" s="75"/>
      <c r="N2442" s="70"/>
      <c r="O2442" s="77" t="s">
        <v>179</v>
      </c>
      <c r="P2442" s="79">
        <v>45095.164085648146</v>
      </c>
      <c r="Q2442" s="77" t="s">
        <v>3648</v>
      </c>
      <c r="R2442" s="77">
        <v>0</v>
      </c>
      <c r="S2442" s="77">
        <v>0</v>
      </c>
      <c r="T2442" s="77">
        <v>0</v>
      </c>
      <c r="U2442" s="77">
        <v>0</v>
      </c>
      <c r="V2442" s="77">
        <v>6</v>
      </c>
      <c r="W2442" s="82" t="s">
        <v>6429</v>
      </c>
      <c r="X2442" s="80" t="str">
        <f>HYPERLINK("https://wa.me/message/HPDQ3JZR6JMEJ1")</f>
        <v>https://wa.me/message/HPDQ3JZR6JMEJ1</v>
      </c>
      <c r="Y2442" s="77" t="s">
        <v>7279</v>
      </c>
      <c r="Z2442" s="77"/>
      <c r="AA2442" s="77" t="s">
        <v>8873</v>
      </c>
      <c r="AB2442" s="77" t="s">
        <v>10129</v>
      </c>
      <c r="AC2442" s="82" t="s">
        <v>10144</v>
      </c>
      <c r="AD2442" s="77" t="s">
        <v>10184</v>
      </c>
      <c r="AE2442" s="80" t="str">
        <f>HYPERLINK("https://twitter.com/ellenro72178468/status/1670279240179171335")</f>
        <v>https://twitter.com/ellenro72178468/status/1670279240179171335</v>
      </c>
      <c r="AF2442" s="79">
        <v>45095.164085648146</v>
      </c>
      <c r="AG2442" s="85">
        <v>45095</v>
      </c>
      <c r="AH2442" s="82" t="s">
        <v>12531</v>
      </c>
      <c r="AI2442" s="77" t="b">
        <v>0</v>
      </c>
      <c r="AJ2442" s="77" t="s">
        <v>14025</v>
      </c>
      <c r="AK2442" s="77" t="s">
        <v>14033</v>
      </c>
      <c r="AL2442" s="77" t="s">
        <v>14035</v>
      </c>
      <c r="AM2442" s="77" t="s">
        <v>14066</v>
      </c>
      <c r="AN2442" s="77" t="s">
        <v>14104</v>
      </c>
      <c r="AO2442" s="77" t="s">
        <v>14141</v>
      </c>
      <c r="AP2442" s="77" t="s">
        <v>14149</v>
      </c>
      <c r="AQ2442" s="77" t="s">
        <v>15516</v>
      </c>
      <c r="AR2442" s="77">
        <v>14930</v>
      </c>
      <c r="AS2442" s="77"/>
      <c r="AT2442" s="77"/>
      <c r="AU2442" s="77"/>
      <c r="AV2442" s="80" t="str">
        <f>HYPERLINK("https://pbs.twimg.com/ext_tw_video_thumb/1670279185128910849/pu/img/O6-ekANoaCVq84F5.jpg")</f>
        <v>https://pbs.twimg.com/ext_tw_video_thumb/1670279185128910849/pu/img/O6-ekANoaCVq84F5.jpg</v>
      </c>
      <c r="AW2442" s="82" t="s">
        <v>19208</v>
      </c>
      <c r="AX2442" s="82" t="s">
        <v>19208</v>
      </c>
      <c r="AY2442" s="77"/>
      <c r="AZ2442" s="82" t="s">
        <v>20971</v>
      </c>
      <c r="BA2442" s="82" t="s">
        <v>20971</v>
      </c>
      <c r="BB2442" s="82" t="s">
        <v>20971</v>
      </c>
      <c r="BC2442" s="82" t="s">
        <v>19208</v>
      </c>
      <c r="BD2442" s="82" t="s">
        <v>21482</v>
      </c>
      <c r="BE2442" s="77"/>
      <c r="BF2442" s="77"/>
      <c r="BG2442" s="77"/>
      <c r="BH2442" s="77"/>
      <c r="BI2442" s="77"/>
    </row>
    <row r="2443" spans="1:61" x14ac:dyDescent="0.25">
      <c r="A2443" s="62" t="s">
        <v>854</v>
      </c>
      <c r="B2443" s="62" t="s">
        <v>854</v>
      </c>
      <c r="C2443" s="63"/>
      <c r="D2443" s="64"/>
      <c r="E2443" s="65"/>
      <c r="F2443" s="66"/>
      <c r="G2443" s="63"/>
      <c r="H2443" s="67"/>
      <c r="I2443" s="68"/>
      <c r="J2443" s="68"/>
      <c r="K2443" s="32"/>
      <c r="L2443" s="75">
        <v>2443</v>
      </c>
      <c r="M2443" s="75"/>
      <c r="N2443" s="70"/>
      <c r="O2443" s="77" t="s">
        <v>179</v>
      </c>
      <c r="P2443" s="79">
        <v>45148.098599537036</v>
      </c>
      <c r="Q2443" s="77" t="s">
        <v>3649</v>
      </c>
      <c r="R2443" s="77">
        <v>0</v>
      </c>
      <c r="S2443" s="77">
        <v>0</v>
      </c>
      <c r="T2443" s="77">
        <v>0</v>
      </c>
      <c r="U2443" s="77">
        <v>0</v>
      </c>
      <c r="V2443" s="77">
        <v>5</v>
      </c>
      <c r="W2443" s="82" t="s">
        <v>6430</v>
      </c>
      <c r="X2443" s="80" t="str">
        <f>HYPERLINK("https://youtube.com/@canalroquelane")</f>
        <v>https://youtube.com/@canalroquelane</v>
      </c>
      <c r="Y2443" s="77" t="s">
        <v>7303</v>
      </c>
      <c r="Z2443" s="77"/>
      <c r="AA2443" s="77" t="s">
        <v>8874</v>
      </c>
      <c r="AB2443" s="77" t="s">
        <v>10130</v>
      </c>
      <c r="AC2443" s="82" t="s">
        <v>10144</v>
      </c>
      <c r="AD2443" s="77" t="s">
        <v>10184</v>
      </c>
      <c r="AE2443" s="80" t="str">
        <f>HYPERLINK("https://twitter.com/ellenro72178468/status/1689462062999572480")</f>
        <v>https://twitter.com/ellenro72178468/status/1689462062999572480</v>
      </c>
      <c r="AF2443" s="79">
        <v>45148.098599537036</v>
      </c>
      <c r="AG2443" s="85">
        <v>45148</v>
      </c>
      <c r="AH2443" s="82" t="s">
        <v>12532</v>
      </c>
      <c r="AI2443" s="77" t="b">
        <v>0</v>
      </c>
      <c r="AJ2443" s="77"/>
      <c r="AK2443" s="77"/>
      <c r="AL2443" s="77"/>
      <c r="AM2443" s="77"/>
      <c r="AN2443" s="77"/>
      <c r="AO2443" s="77"/>
      <c r="AP2443" s="77"/>
      <c r="AQ2443" s="77" t="s">
        <v>15517</v>
      </c>
      <c r="AR2443" s="77"/>
      <c r="AS2443" s="77"/>
      <c r="AT2443" s="77"/>
      <c r="AU2443" s="77"/>
      <c r="AV2443" s="80" t="str">
        <f>HYPERLINK("https://pbs.twimg.com/media/F3IsysVXIAAvHsN.jpg")</f>
        <v>https://pbs.twimg.com/media/F3IsysVXIAAvHsN.jpg</v>
      </c>
      <c r="AW2443" s="82" t="s">
        <v>19209</v>
      </c>
      <c r="AX2443" s="82" t="s">
        <v>19209</v>
      </c>
      <c r="AY2443" s="77"/>
      <c r="AZ2443" s="82" t="s">
        <v>20971</v>
      </c>
      <c r="BA2443" s="82" t="s">
        <v>20971</v>
      </c>
      <c r="BB2443" s="82" t="s">
        <v>20971</v>
      </c>
      <c r="BC2443" s="82" t="s">
        <v>19209</v>
      </c>
      <c r="BD2443" s="82" t="s">
        <v>21482</v>
      </c>
      <c r="BE2443" s="77"/>
      <c r="BF2443" s="77"/>
      <c r="BG2443" s="77"/>
      <c r="BH2443" s="77"/>
      <c r="BI2443" s="77"/>
    </row>
    <row r="2444" spans="1:61" x14ac:dyDescent="0.25">
      <c r="A2444" s="62" t="s">
        <v>854</v>
      </c>
      <c r="B2444" s="62" t="s">
        <v>854</v>
      </c>
      <c r="C2444" s="63"/>
      <c r="D2444" s="64"/>
      <c r="E2444" s="65"/>
      <c r="F2444" s="66"/>
      <c r="G2444" s="63"/>
      <c r="H2444" s="67"/>
      <c r="I2444" s="68"/>
      <c r="J2444" s="68"/>
      <c r="K2444" s="32"/>
      <c r="L2444" s="75">
        <v>2444</v>
      </c>
      <c r="M2444" s="75"/>
      <c r="N2444" s="70"/>
      <c r="O2444" s="77" t="s">
        <v>179</v>
      </c>
      <c r="P2444" s="79">
        <v>45071.994976851849</v>
      </c>
      <c r="Q2444" s="77" t="s">
        <v>3650</v>
      </c>
      <c r="R2444" s="77">
        <v>0</v>
      </c>
      <c r="S2444" s="77">
        <v>0</v>
      </c>
      <c r="T2444" s="77">
        <v>0</v>
      </c>
      <c r="U2444" s="77">
        <v>0</v>
      </c>
      <c r="V2444" s="77">
        <v>5</v>
      </c>
      <c r="W2444" s="82" t="s">
        <v>6431</v>
      </c>
      <c r="X2444" s="80" t="str">
        <f>HYPERLINK("https://youtube.com/@canalroquelane")</f>
        <v>https://youtube.com/@canalroquelane</v>
      </c>
      <c r="Y2444" s="77" t="s">
        <v>7303</v>
      </c>
      <c r="Z2444" s="77"/>
      <c r="AA2444" s="77" t="s">
        <v>8875</v>
      </c>
      <c r="AB2444" s="77" t="s">
        <v>10130</v>
      </c>
      <c r="AC2444" s="82" t="s">
        <v>10144</v>
      </c>
      <c r="AD2444" s="77" t="s">
        <v>10183</v>
      </c>
      <c r="AE2444" s="80" t="str">
        <f>HYPERLINK("https://twitter.com/ellenro72178468/status/1661883033643876354")</f>
        <v>https://twitter.com/ellenro72178468/status/1661883033643876354</v>
      </c>
      <c r="AF2444" s="79">
        <v>45071.994976851849</v>
      </c>
      <c r="AG2444" s="85">
        <v>45071</v>
      </c>
      <c r="AH2444" s="82" t="s">
        <v>12533</v>
      </c>
      <c r="AI2444" s="77" t="b">
        <v>0</v>
      </c>
      <c r="AJ2444" s="77" t="s">
        <v>14025</v>
      </c>
      <c r="AK2444" s="77" t="s">
        <v>14033</v>
      </c>
      <c r="AL2444" s="77" t="s">
        <v>14035</v>
      </c>
      <c r="AM2444" s="77" t="s">
        <v>14066</v>
      </c>
      <c r="AN2444" s="77" t="s">
        <v>14104</v>
      </c>
      <c r="AO2444" s="77" t="s">
        <v>14141</v>
      </c>
      <c r="AP2444" s="77" t="s">
        <v>14149</v>
      </c>
      <c r="AQ2444" s="77" t="s">
        <v>15518</v>
      </c>
      <c r="AR2444" s="77"/>
      <c r="AS2444" s="77"/>
      <c r="AT2444" s="77"/>
      <c r="AU2444" s="77"/>
      <c r="AV2444" s="80" t="str">
        <f>HYPERLINK("https://pbs.twimg.com/media/FxAxz87WIAUgbpX.jpg")</f>
        <v>https://pbs.twimg.com/media/FxAxz87WIAUgbpX.jpg</v>
      </c>
      <c r="AW2444" s="82" t="s">
        <v>19210</v>
      </c>
      <c r="AX2444" s="82" t="s">
        <v>19210</v>
      </c>
      <c r="AY2444" s="77"/>
      <c r="AZ2444" s="82" t="s">
        <v>20971</v>
      </c>
      <c r="BA2444" s="82" t="s">
        <v>20971</v>
      </c>
      <c r="BB2444" s="82" t="s">
        <v>20971</v>
      </c>
      <c r="BC2444" s="82" t="s">
        <v>19210</v>
      </c>
      <c r="BD2444" s="82" t="s">
        <v>21482</v>
      </c>
      <c r="BE2444" s="77"/>
      <c r="BF2444" s="77"/>
      <c r="BG2444" s="77"/>
      <c r="BH2444" s="77"/>
      <c r="BI2444" s="77"/>
    </row>
    <row r="2445" spans="1:61" x14ac:dyDescent="0.25">
      <c r="A2445" s="62" t="s">
        <v>854</v>
      </c>
      <c r="B2445" s="62" t="s">
        <v>854</v>
      </c>
      <c r="C2445" s="63"/>
      <c r="D2445" s="64"/>
      <c r="E2445" s="65"/>
      <c r="F2445" s="66"/>
      <c r="G2445" s="63"/>
      <c r="H2445" s="67"/>
      <c r="I2445" s="68"/>
      <c r="J2445" s="68"/>
      <c r="K2445" s="32"/>
      <c r="L2445" s="75">
        <v>2445</v>
      </c>
      <c r="M2445" s="75"/>
      <c r="N2445" s="70"/>
      <c r="O2445" s="77" t="s">
        <v>179</v>
      </c>
      <c r="P2445" s="79">
        <v>45071.99486111111</v>
      </c>
      <c r="Q2445" s="77" t="s">
        <v>3651</v>
      </c>
      <c r="R2445" s="77">
        <v>0</v>
      </c>
      <c r="S2445" s="77">
        <v>0</v>
      </c>
      <c r="T2445" s="77">
        <v>0</v>
      </c>
      <c r="U2445" s="77">
        <v>0</v>
      </c>
      <c r="V2445" s="77">
        <v>5</v>
      </c>
      <c r="W2445" s="82" t="s">
        <v>6431</v>
      </c>
      <c r="X2445" s="80" t="str">
        <f>HYPERLINK("https://youtube.com/@canalroquelane")</f>
        <v>https://youtube.com/@canalroquelane</v>
      </c>
      <c r="Y2445" s="77" t="s">
        <v>7303</v>
      </c>
      <c r="Z2445" s="77"/>
      <c r="AA2445" s="77" t="s">
        <v>8876</v>
      </c>
      <c r="AB2445" s="77" t="s">
        <v>10130</v>
      </c>
      <c r="AC2445" s="82" t="s">
        <v>10144</v>
      </c>
      <c r="AD2445" s="77" t="s">
        <v>10183</v>
      </c>
      <c r="AE2445" s="80" t="str">
        <f>HYPERLINK("https://twitter.com/ellenro72178468/status/1661882994812911616")</f>
        <v>https://twitter.com/ellenro72178468/status/1661882994812911616</v>
      </c>
      <c r="AF2445" s="79">
        <v>45071.99486111111</v>
      </c>
      <c r="AG2445" s="85">
        <v>45071</v>
      </c>
      <c r="AH2445" s="82" t="s">
        <v>12534</v>
      </c>
      <c r="AI2445" s="77" t="b">
        <v>0</v>
      </c>
      <c r="AJ2445" s="77" t="s">
        <v>14025</v>
      </c>
      <c r="AK2445" s="77" t="s">
        <v>14033</v>
      </c>
      <c r="AL2445" s="77" t="s">
        <v>14035</v>
      </c>
      <c r="AM2445" s="77" t="s">
        <v>14066</v>
      </c>
      <c r="AN2445" s="77" t="s">
        <v>14104</v>
      </c>
      <c r="AO2445" s="77" t="s">
        <v>14141</v>
      </c>
      <c r="AP2445" s="77" t="s">
        <v>14149</v>
      </c>
      <c r="AQ2445" s="77" t="s">
        <v>15519</v>
      </c>
      <c r="AR2445" s="77"/>
      <c r="AS2445" s="77"/>
      <c r="AT2445" s="77"/>
      <c r="AU2445" s="77"/>
      <c r="AV2445" s="80" t="str">
        <f>HYPERLINK("https://pbs.twimg.com/media/FxAxxs_XwAEWhfj.jpg")</f>
        <v>https://pbs.twimg.com/media/FxAxxs_XwAEWhfj.jpg</v>
      </c>
      <c r="AW2445" s="82" t="s">
        <v>19211</v>
      </c>
      <c r="AX2445" s="82" t="s">
        <v>19211</v>
      </c>
      <c r="AY2445" s="77"/>
      <c r="AZ2445" s="82" t="s">
        <v>20971</v>
      </c>
      <c r="BA2445" s="82" t="s">
        <v>20971</v>
      </c>
      <c r="BB2445" s="82" t="s">
        <v>20971</v>
      </c>
      <c r="BC2445" s="82" t="s">
        <v>19211</v>
      </c>
      <c r="BD2445" s="82" t="s">
        <v>21482</v>
      </c>
      <c r="BE2445" s="77"/>
      <c r="BF2445" s="77"/>
      <c r="BG2445" s="77"/>
      <c r="BH2445" s="77"/>
      <c r="BI2445" s="77"/>
    </row>
    <row r="2446" spans="1:61" x14ac:dyDescent="0.25">
      <c r="A2446" s="62" t="s">
        <v>854</v>
      </c>
      <c r="B2446" s="62" t="s">
        <v>854</v>
      </c>
      <c r="C2446" s="63"/>
      <c r="D2446" s="64"/>
      <c r="E2446" s="65"/>
      <c r="F2446" s="66"/>
      <c r="G2446" s="63"/>
      <c r="H2446" s="67"/>
      <c r="I2446" s="68"/>
      <c r="J2446" s="68"/>
      <c r="K2446" s="32"/>
      <c r="L2446" s="75">
        <v>2446</v>
      </c>
      <c r="M2446" s="75"/>
      <c r="N2446" s="70"/>
      <c r="O2446" s="77" t="s">
        <v>179</v>
      </c>
      <c r="P2446" s="79">
        <v>45046.965127314812</v>
      </c>
      <c r="Q2446" s="77" t="s">
        <v>3652</v>
      </c>
      <c r="R2446" s="77">
        <v>0</v>
      </c>
      <c r="S2446" s="77">
        <v>0</v>
      </c>
      <c r="T2446" s="77">
        <v>0</v>
      </c>
      <c r="U2446" s="77">
        <v>0</v>
      </c>
      <c r="V2446" s="77">
        <v>7</v>
      </c>
      <c r="W2446" s="82" t="s">
        <v>6432</v>
      </c>
      <c r="X2446" s="80" t="str">
        <f>HYPERLINK("https://youtube.com/@canalroquelane")</f>
        <v>https://youtube.com/@canalroquelane</v>
      </c>
      <c r="Y2446" s="77" t="s">
        <v>7303</v>
      </c>
      <c r="Z2446" s="77"/>
      <c r="AA2446" s="77" t="s">
        <v>8877</v>
      </c>
      <c r="AB2446" s="77" t="s">
        <v>10129</v>
      </c>
      <c r="AC2446" s="82" t="s">
        <v>10144</v>
      </c>
      <c r="AD2446" s="77" t="s">
        <v>10183</v>
      </c>
      <c r="AE2446" s="80" t="str">
        <f>HYPERLINK("https://twitter.com/ellenro72178468/status/1652812520631988224")</f>
        <v>https://twitter.com/ellenro72178468/status/1652812520631988224</v>
      </c>
      <c r="AF2446" s="79">
        <v>45046.965127314812</v>
      </c>
      <c r="AG2446" s="85">
        <v>45046</v>
      </c>
      <c r="AH2446" s="82" t="s">
        <v>12535</v>
      </c>
      <c r="AI2446" s="77" t="b">
        <v>0</v>
      </c>
      <c r="AJ2446" s="77" t="s">
        <v>14025</v>
      </c>
      <c r="AK2446" s="77" t="s">
        <v>14033</v>
      </c>
      <c r="AL2446" s="77" t="s">
        <v>14035</v>
      </c>
      <c r="AM2446" s="77" t="s">
        <v>14066</v>
      </c>
      <c r="AN2446" s="77" t="s">
        <v>14104</v>
      </c>
      <c r="AO2446" s="77" t="s">
        <v>14141</v>
      </c>
      <c r="AP2446" s="77" t="s">
        <v>14149</v>
      </c>
      <c r="AQ2446" s="77" t="s">
        <v>15520</v>
      </c>
      <c r="AR2446" s="77">
        <v>44999</v>
      </c>
      <c r="AS2446" s="77"/>
      <c r="AT2446" s="77"/>
      <c r="AU2446" s="77"/>
      <c r="AV2446" s="80" t="str">
        <f>HYPERLINK("https://pbs.twimg.com/ext_tw_video_thumb/1652811354338672643/pu/img/rE3kuPRpnlPx8DJX.jpg")</f>
        <v>https://pbs.twimg.com/ext_tw_video_thumb/1652811354338672643/pu/img/rE3kuPRpnlPx8DJX.jpg</v>
      </c>
      <c r="AW2446" s="82" t="s">
        <v>19212</v>
      </c>
      <c r="AX2446" s="82" t="s">
        <v>19212</v>
      </c>
      <c r="AY2446" s="77"/>
      <c r="AZ2446" s="82" t="s">
        <v>20971</v>
      </c>
      <c r="BA2446" s="82" t="s">
        <v>20971</v>
      </c>
      <c r="BB2446" s="82" t="s">
        <v>20971</v>
      </c>
      <c r="BC2446" s="82" t="s">
        <v>19212</v>
      </c>
      <c r="BD2446" s="82" t="s">
        <v>21482</v>
      </c>
      <c r="BE2446" s="77"/>
      <c r="BF2446" s="77"/>
      <c r="BG2446" s="77"/>
      <c r="BH2446" s="77"/>
      <c r="BI2446" s="77"/>
    </row>
    <row r="2447" spans="1:61" x14ac:dyDescent="0.25">
      <c r="A2447" s="62" t="s">
        <v>854</v>
      </c>
      <c r="B2447" s="62" t="s">
        <v>854</v>
      </c>
      <c r="C2447" s="63"/>
      <c r="D2447" s="64"/>
      <c r="E2447" s="65"/>
      <c r="F2447" s="66"/>
      <c r="G2447" s="63"/>
      <c r="H2447" s="67"/>
      <c r="I2447" s="68"/>
      <c r="J2447" s="68"/>
      <c r="K2447" s="32"/>
      <c r="L2447" s="75">
        <v>2447</v>
      </c>
      <c r="M2447" s="75"/>
      <c r="N2447" s="70"/>
      <c r="O2447" s="77" t="s">
        <v>179</v>
      </c>
      <c r="P2447" s="79">
        <v>45046.961377314816</v>
      </c>
      <c r="Q2447" s="77" t="s">
        <v>3653</v>
      </c>
      <c r="R2447" s="77">
        <v>0</v>
      </c>
      <c r="S2447" s="77">
        <v>0</v>
      </c>
      <c r="T2447" s="77">
        <v>0</v>
      </c>
      <c r="U2447" s="77">
        <v>0</v>
      </c>
      <c r="V2447" s="77">
        <v>8</v>
      </c>
      <c r="W2447" s="82" t="s">
        <v>6432</v>
      </c>
      <c r="X2447" s="80" t="str">
        <f>HYPERLINK("https://youtube.com/@canalroquelane")</f>
        <v>https://youtube.com/@canalroquelane</v>
      </c>
      <c r="Y2447" s="77" t="s">
        <v>7303</v>
      </c>
      <c r="Z2447" s="77"/>
      <c r="AA2447" s="77" t="s">
        <v>8878</v>
      </c>
      <c r="AB2447" s="77" t="s">
        <v>10129</v>
      </c>
      <c r="AC2447" s="82" t="s">
        <v>10144</v>
      </c>
      <c r="AD2447" s="77" t="s">
        <v>10183</v>
      </c>
      <c r="AE2447" s="80" t="str">
        <f>HYPERLINK("https://twitter.com/ellenro72178468/status/1652811163636232193")</f>
        <v>https://twitter.com/ellenro72178468/status/1652811163636232193</v>
      </c>
      <c r="AF2447" s="79">
        <v>45046.961377314816</v>
      </c>
      <c r="AG2447" s="85">
        <v>45046</v>
      </c>
      <c r="AH2447" s="82" t="s">
        <v>12536</v>
      </c>
      <c r="AI2447" s="77" t="b">
        <v>0</v>
      </c>
      <c r="AJ2447" s="77" t="s">
        <v>14025</v>
      </c>
      <c r="AK2447" s="77" t="s">
        <v>14033</v>
      </c>
      <c r="AL2447" s="77" t="s">
        <v>14035</v>
      </c>
      <c r="AM2447" s="77" t="s">
        <v>14066</v>
      </c>
      <c r="AN2447" s="77" t="s">
        <v>14104</v>
      </c>
      <c r="AO2447" s="77" t="s">
        <v>14141</v>
      </c>
      <c r="AP2447" s="77" t="s">
        <v>14149</v>
      </c>
      <c r="AQ2447" s="77" t="s">
        <v>15521</v>
      </c>
      <c r="AR2447" s="77">
        <v>44999</v>
      </c>
      <c r="AS2447" s="77"/>
      <c r="AT2447" s="77"/>
      <c r="AU2447" s="77"/>
      <c r="AV2447" s="80" t="str">
        <f>HYPERLINK("https://pbs.twimg.com/ext_tw_video_thumb/1652811109106081793/pu/img/ohLkqN8iCkCxk194.jpg")</f>
        <v>https://pbs.twimg.com/ext_tw_video_thumb/1652811109106081793/pu/img/ohLkqN8iCkCxk194.jpg</v>
      </c>
      <c r="AW2447" s="82" t="s">
        <v>19213</v>
      </c>
      <c r="AX2447" s="82" t="s">
        <v>19213</v>
      </c>
      <c r="AY2447" s="77"/>
      <c r="AZ2447" s="82" t="s">
        <v>20971</v>
      </c>
      <c r="BA2447" s="82" t="s">
        <v>20971</v>
      </c>
      <c r="BB2447" s="82" t="s">
        <v>20971</v>
      </c>
      <c r="BC2447" s="82" t="s">
        <v>19213</v>
      </c>
      <c r="BD2447" s="82" t="s">
        <v>21482</v>
      </c>
      <c r="BE2447" s="77"/>
      <c r="BF2447" s="77"/>
      <c r="BG2447" s="77"/>
      <c r="BH2447" s="77"/>
      <c r="BI2447" s="77"/>
    </row>
    <row r="2448" spans="1:61" x14ac:dyDescent="0.25">
      <c r="A2448" s="62" t="s">
        <v>854</v>
      </c>
      <c r="B2448" s="62" t="s">
        <v>854</v>
      </c>
      <c r="C2448" s="63"/>
      <c r="D2448" s="64"/>
      <c r="E2448" s="65"/>
      <c r="F2448" s="66"/>
      <c r="G2448" s="63"/>
      <c r="H2448" s="67"/>
      <c r="I2448" s="68"/>
      <c r="J2448" s="68"/>
      <c r="K2448" s="32"/>
      <c r="L2448" s="75">
        <v>2448</v>
      </c>
      <c r="M2448" s="75"/>
      <c r="N2448" s="70"/>
      <c r="O2448" s="77" t="s">
        <v>179</v>
      </c>
      <c r="P2448" s="79">
        <v>44965.389907407407</v>
      </c>
      <c r="Q2448" s="77" t="s">
        <v>3654</v>
      </c>
      <c r="R2448" s="77">
        <v>0</v>
      </c>
      <c r="S2448" s="77">
        <v>0</v>
      </c>
      <c r="T2448" s="77">
        <v>0</v>
      </c>
      <c r="U2448" s="77">
        <v>0</v>
      </c>
      <c r="V2448" s="77">
        <v>7</v>
      </c>
      <c r="W2448" s="82" t="s">
        <v>6433</v>
      </c>
      <c r="X2448" s="80" t="str">
        <f>HYPERLINK("https://sites.google.com/view/desafio-renda-rpida-24-hs/in%C3%ADcio")</f>
        <v>https://sites.google.com/view/desafio-renda-rpida-24-hs/in%C3%ADcio</v>
      </c>
      <c r="Y2448" s="77" t="s">
        <v>7305</v>
      </c>
      <c r="Z2448" s="77"/>
      <c r="AA2448" s="77" t="s">
        <v>8879</v>
      </c>
      <c r="AB2448" s="77" t="s">
        <v>10129</v>
      </c>
      <c r="AC2448" s="82" t="s">
        <v>10144</v>
      </c>
      <c r="AD2448" s="77" t="s">
        <v>10183</v>
      </c>
      <c r="AE2448" s="80" t="str">
        <f>HYPERLINK("https://twitter.com/ellenro72178468/status/1623250650782920704")</f>
        <v>https://twitter.com/ellenro72178468/status/1623250650782920704</v>
      </c>
      <c r="AF2448" s="79">
        <v>44965.389907407407</v>
      </c>
      <c r="AG2448" s="85">
        <v>44965</v>
      </c>
      <c r="AH2448" s="82" t="s">
        <v>12537</v>
      </c>
      <c r="AI2448" s="77" t="b">
        <v>0</v>
      </c>
      <c r="AJ2448" s="77" t="s">
        <v>14025</v>
      </c>
      <c r="AK2448" s="77" t="s">
        <v>14033</v>
      </c>
      <c r="AL2448" s="77" t="s">
        <v>14035</v>
      </c>
      <c r="AM2448" s="77" t="s">
        <v>14066</v>
      </c>
      <c r="AN2448" s="77" t="s">
        <v>14104</v>
      </c>
      <c r="AO2448" s="77" t="s">
        <v>14141</v>
      </c>
      <c r="AP2448" s="77" t="s">
        <v>14149</v>
      </c>
      <c r="AQ2448" s="77" t="s">
        <v>15522</v>
      </c>
      <c r="AR2448" s="77">
        <v>14967</v>
      </c>
      <c r="AS2448" s="77"/>
      <c r="AT2448" s="77"/>
      <c r="AU2448" s="77"/>
      <c r="AV2448" s="80" t="str">
        <f>HYPERLINK("https://pbs.twimg.com/ext_tw_video_thumb/1623250588191363073/pu/img/KGzT7nZyLTTAKTI0.jpg")</f>
        <v>https://pbs.twimg.com/ext_tw_video_thumb/1623250588191363073/pu/img/KGzT7nZyLTTAKTI0.jpg</v>
      </c>
      <c r="AW2448" s="82" t="s">
        <v>19214</v>
      </c>
      <c r="AX2448" s="82" t="s">
        <v>19214</v>
      </c>
      <c r="AY2448" s="77"/>
      <c r="AZ2448" s="82" t="s">
        <v>20971</v>
      </c>
      <c r="BA2448" s="82" t="s">
        <v>20971</v>
      </c>
      <c r="BB2448" s="82" t="s">
        <v>20971</v>
      </c>
      <c r="BC2448" s="82" t="s">
        <v>19214</v>
      </c>
      <c r="BD2448" s="82" t="s">
        <v>21482</v>
      </c>
      <c r="BE2448" s="77"/>
      <c r="BF2448" s="77"/>
      <c r="BG2448" s="77"/>
      <c r="BH2448" s="77"/>
      <c r="BI2448" s="77"/>
    </row>
    <row r="2449" spans="1:61" x14ac:dyDescent="0.25">
      <c r="A2449" s="62" t="s">
        <v>854</v>
      </c>
      <c r="B2449" s="62" t="s">
        <v>854</v>
      </c>
      <c r="C2449" s="63"/>
      <c r="D2449" s="64"/>
      <c r="E2449" s="65"/>
      <c r="F2449" s="66"/>
      <c r="G2449" s="63"/>
      <c r="H2449" s="67"/>
      <c r="I2449" s="68"/>
      <c r="J2449" s="68"/>
      <c r="K2449" s="32"/>
      <c r="L2449" s="75">
        <v>2449</v>
      </c>
      <c r="M2449" s="75"/>
      <c r="N2449" s="70"/>
      <c r="O2449" s="77" t="s">
        <v>179</v>
      </c>
      <c r="P2449" s="79">
        <v>44965.132256944446</v>
      </c>
      <c r="Q2449" s="77" t="s">
        <v>3655</v>
      </c>
      <c r="R2449" s="77">
        <v>0</v>
      </c>
      <c r="S2449" s="77">
        <v>0</v>
      </c>
      <c r="T2449" s="77">
        <v>0</v>
      </c>
      <c r="U2449" s="77">
        <v>0</v>
      </c>
      <c r="V2449" s="77">
        <v>4</v>
      </c>
      <c r="W2449" s="82" t="s">
        <v>6433</v>
      </c>
      <c r="X2449" s="80" t="str">
        <f>HYPERLINK("https://sites.google.com/view/desafio-renda-rpida-24-hs/in%C3%ADcio")</f>
        <v>https://sites.google.com/view/desafio-renda-rpida-24-hs/in%C3%ADcio</v>
      </c>
      <c r="Y2449" s="77" t="s">
        <v>7305</v>
      </c>
      <c r="Z2449" s="77"/>
      <c r="AA2449" s="77" t="s">
        <v>8880</v>
      </c>
      <c r="AB2449" s="77" t="s">
        <v>10129</v>
      </c>
      <c r="AC2449" s="82" t="s">
        <v>10144</v>
      </c>
      <c r="AD2449" s="77" t="s">
        <v>10183</v>
      </c>
      <c r="AE2449" s="80" t="str">
        <f>HYPERLINK("https://twitter.com/ellenro72178468/status/1623157283747254279")</f>
        <v>https://twitter.com/ellenro72178468/status/1623157283747254279</v>
      </c>
      <c r="AF2449" s="79">
        <v>44965.132256944446</v>
      </c>
      <c r="AG2449" s="85">
        <v>44965</v>
      </c>
      <c r="AH2449" s="82" t="s">
        <v>12538</v>
      </c>
      <c r="AI2449" s="77" t="b">
        <v>0</v>
      </c>
      <c r="AJ2449" s="77" t="s">
        <v>14025</v>
      </c>
      <c r="AK2449" s="77" t="s">
        <v>14033</v>
      </c>
      <c r="AL2449" s="77" t="s">
        <v>14035</v>
      </c>
      <c r="AM2449" s="77" t="s">
        <v>14066</v>
      </c>
      <c r="AN2449" s="77" t="s">
        <v>14104</v>
      </c>
      <c r="AO2449" s="77" t="s">
        <v>14141</v>
      </c>
      <c r="AP2449" s="77" t="s">
        <v>14149</v>
      </c>
      <c r="AQ2449" s="77" t="s">
        <v>15523</v>
      </c>
      <c r="AR2449" s="77">
        <v>14967</v>
      </c>
      <c r="AS2449" s="77"/>
      <c r="AT2449" s="77"/>
      <c r="AU2449" s="77"/>
      <c r="AV2449" s="80" t="str">
        <f>HYPERLINK("https://pbs.twimg.com/ext_tw_video_thumb/1623157247542022144/pu/img/ckvmCr1GsIgl45Jy.jpg")</f>
        <v>https://pbs.twimg.com/ext_tw_video_thumb/1623157247542022144/pu/img/ckvmCr1GsIgl45Jy.jpg</v>
      </c>
      <c r="AW2449" s="82" t="s">
        <v>19215</v>
      </c>
      <c r="AX2449" s="82" t="s">
        <v>19215</v>
      </c>
      <c r="AY2449" s="77"/>
      <c r="AZ2449" s="82" t="s">
        <v>20971</v>
      </c>
      <c r="BA2449" s="82" t="s">
        <v>20971</v>
      </c>
      <c r="BB2449" s="82" t="s">
        <v>20971</v>
      </c>
      <c r="BC2449" s="82" t="s">
        <v>19215</v>
      </c>
      <c r="BD2449" s="82" t="s">
        <v>21482</v>
      </c>
      <c r="BE2449" s="77"/>
      <c r="BF2449" s="77"/>
      <c r="BG2449" s="77"/>
      <c r="BH2449" s="77"/>
      <c r="BI2449" s="77"/>
    </row>
    <row r="2450" spans="1:61" x14ac:dyDescent="0.25">
      <c r="A2450" s="62" t="s">
        <v>854</v>
      </c>
      <c r="B2450" s="62" t="s">
        <v>854</v>
      </c>
      <c r="C2450" s="63"/>
      <c r="D2450" s="64"/>
      <c r="E2450" s="65"/>
      <c r="F2450" s="66"/>
      <c r="G2450" s="63"/>
      <c r="H2450" s="67"/>
      <c r="I2450" s="68"/>
      <c r="J2450" s="68"/>
      <c r="K2450" s="32"/>
      <c r="L2450" s="75">
        <v>2450</v>
      </c>
      <c r="M2450" s="75"/>
      <c r="N2450" s="70"/>
      <c r="O2450" s="77" t="s">
        <v>179</v>
      </c>
      <c r="P2450" s="79">
        <v>44965.132048611114</v>
      </c>
      <c r="Q2450" s="77" t="s">
        <v>3656</v>
      </c>
      <c r="R2450" s="77">
        <v>0</v>
      </c>
      <c r="S2450" s="77">
        <v>0</v>
      </c>
      <c r="T2450" s="77">
        <v>0</v>
      </c>
      <c r="U2450" s="77">
        <v>0</v>
      </c>
      <c r="V2450" s="77">
        <v>5</v>
      </c>
      <c r="W2450" s="82" t="s">
        <v>6433</v>
      </c>
      <c r="X2450" s="80" t="str">
        <f>HYPERLINK("https://sites.google.com/view/desafio-renda-rpida-24-hs/in%C3%ADcio")</f>
        <v>https://sites.google.com/view/desafio-renda-rpida-24-hs/in%C3%ADcio</v>
      </c>
      <c r="Y2450" s="77" t="s">
        <v>7305</v>
      </c>
      <c r="Z2450" s="77"/>
      <c r="AA2450" s="77" t="s">
        <v>8881</v>
      </c>
      <c r="AB2450" s="77" t="s">
        <v>10129</v>
      </c>
      <c r="AC2450" s="82" t="s">
        <v>10144</v>
      </c>
      <c r="AD2450" s="77" t="s">
        <v>10183</v>
      </c>
      <c r="AE2450" s="80" t="str">
        <f>HYPERLINK("https://twitter.com/ellenro72178468/status/1623157205888278529")</f>
        <v>https://twitter.com/ellenro72178468/status/1623157205888278529</v>
      </c>
      <c r="AF2450" s="79">
        <v>44965.132048611114</v>
      </c>
      <c r="AG2450" s="85">
        <v>44965</v>
      </c>
      <c r="AH2450" s="82" t="s">
        <v>12539</v>
      </c>
      <c r="AI2450" s="77" t="b">
        <v>0</v>
      </c>
      <c r="AJ2450" s="77" t="s">
        <v>14025</v>
      </c>
      <c r="AK2450" s="77" t="s">
        <v>14033</v>
      </c>
      <c r="AL2450" s="77" t="s">
        <v>14035</v>
      </c>
      <c r="AM2450" s="77" t="s">
        <v>14066</v>
      </c>
      <c r="AN2450" s="77" t="s">
        <v>14104</v>
      </c>
      <c r="AO2450" s="77" t="s">
        <v>14141</v>
      </c>
      <c r="AP2450" s="77" t="s">
        <v>14149</v>
      </c>
      <c r="AQ2450" s="77" t="s">
        <v>15524</v>
      </c>
      <c r="AR2450" s="77">
        <v>13908</v>
      </c>
      <c r="AS2450" s="77"/>
      <c r="AT2450" s="77"/>
      <c r="AU2450" s="77"/>
      <c r="AV2450" s="80" t="str">
        <f>HYPERLINK("https://pbs.twimg.com/ext_tw_video_thumb/1623157159398674432/pu/img/KijeaLXpJ_FzxB52.jpg")</f>
        <v>https://pbs.twimg.com/ext_tw_video_thumb/1623157159398674432/pu/img/KijeaLXpJ_FzxB52.jpg</v>
      </c>
      <c r="AW2450" s="82" t="s">
        <v>19216</v>
      </c>
      <c r="AX2450" s="82" t="s">
        <v>19216</v>
      </c>
      <c r="AY2450" s="77"/>
      <c r="AZ2450" s="82" t="s">
        <v>20971</v>
      </c>
      <c r="BA2450" s="82" t="s">
        <v>20971</v>
      </c>
      <c r="BB2450" s="82" t="s">
        <v>20971</v>
      </c>
      <c r="BC2450" s="82" t="s">
        <v>19216</v>
      </c>
      <c r="BD2450" s="82" t="s">
        <v>21482</v>
      </c>
      <c r="BE2450" s="77"/>
      <c r="BF2450" s="77"/>
      <c r="BG2450" s="77"/>
      <c r="BH2450" s="77"/>
      <c r="BI2450" s="77"/>
    </row>
    <row r="2451" spans="1:61" x14ac:dyDescent="0.25">
      <c r="A2451" s="62" t="s">
        <v>854</v>
      </c>
      <c r="B2451" s="62" t="s">
        <v>854</v>
      </c>
      <c r="C2451" s="63"/>
      <c r="D2451" s="64"/>
      <c r="E2451" s="65"/>
      <c r="F2451" s="66"/>
      <c r="G2451" s="63"/>
      <c r="H2451" s="67"/>
      <c r="I2451" s="68"/>
      <c r="J2451" s="68"/>
      <c r="K2451" s="32"/>
      <c r="L2451" s="75">
        <v>2451</v>
      </c>
      <c r="M2451" s="75"/>
      <c r="N2451" s="70"/>
      <c r="O2451" s="77" t="s">
        <v>179</v>
      </c>
      <c r="P2451" s="79">
        <v>44965.131828703707</v>
      </c>
      <c r="Q2451" s="77" t="s">
        <v>3657</v>
      </c>
      <c r="R2451" s="77">
        <v>0</v>
      </c>
      <c r="S2451" s="77">
        <v>0</v>
      </c>
      <c r="T2451" s="77">
        <v>0</v>
      </c>
      <c r="U2451" s="77">
        <v>0</v>
      </c>
      <c r="V2451" s="77">
        <v>4</v>
      </c>
      <c r="W2451" s="82" t="s">
        <v>6433</v>
      </c>
      <c r="X2451" s="80" t="str">
        <f>HYPERLINK("https://sites.google.com/view/desafio-renda-rpida-24-hs/in%C3%ADcio")</f>
        <v>https://sites.google.com/view/desafio-renda-rpida-24-hs/in%C3%ADcio</v>
      </c>
      <c r="Y2451" s="77" t="s">
        <v>7305</v>
      </c>
      <c r="Z2451" s="77"/>
      <c r="AA2451" s="77" t="s">
        <v>8882</v>
      </c>
      <c r="AB2451" s="77" t="s">
        <v>10129</v>
      </c>
      <c r="AC2451" s="82" t="s">
        <v>10144</v>
      </c>
      <c r="AD2451" s="77" t="s">
        <v>10183</v>
      </c>
      <c r="AE2451" s="80" t="str">
        <f>HYPERLINK("https://twitter.com/ellenro72178468/status/1623157128029503488")</f>
        <v>https://twitter.com/ellenro72178468/status/1623157128029503488</v>
      </c>
      <c r="AF2451" s="79">
        <v>44965.131828703707</v>
      </c>
      <c r="AG2451" s="85">
        <v>44965</v>
      </c>
      <c r="AH2451" s="82" t="s">
        <v>12540</v>
      </c>
      <c r="AI2451" s="77" t="b">
        <v>0</v>
      </c>
      <c r="AJ2451" s="77" t="s">
        <v>14025</v>
      </c>
      <c r="AK2451" s="77" t="s">
        <v>14033</v>
      </c>
      <c r="AL2451" s="77" t="s">
        <v>14035</v>
      </c>
      <c r="AM2451" s="77" t="s">
        <v>14066</v>
      </c>
      <c r="AN2451" s="77" t="s">
        <v>14104</v>
      </c>
      <c r="AO2451" s="77" t="s">
        <v>14141</v>
      </c>
      <c r="AP2451" s="77" t="s">
        <v>14149</v>
      </c>
      <c r="AQ2451" s="77" t="s">
        <v>15525</v>
      </c>
      <c r="AR2451" s="77">
        <v>15000</v>
      </c>
      <c r="AS2451" s="77"/>
      <c r="AT2451" s="77"/>
      <c r="AU2451" s="77"/>
      <c r="AV2451" s="80" t="str">
        <f>HYPERLINK("https://pbs.twimg.com/ext_tw_video_thumb/1623157082227712004/pu/img/FRiZQhVEzYPRIyW_.jpg")</f>
        <v>https://pbs.twimg.com/ext_tw_video_thumb/1623157082227712004/pu/img/FRiZQhVEzYPRIyW_.jpg</v>
      </c>
      <c r="AW2451" s="82" t="s">
        <v>19217</v>
      </c>
      <c r="AX2451" s="82" t="s">
        <v>19217</v>
      </c>
      <c r="AY2451" s="77"/>
      <c r="AZ2451" s="82" t="s">
        <v>20971</v>
      </c>
      <c r="BA2451" s="82" t="s">
        <v>20971</v>
      </c>
      <c r="BB2451" s="82" t="s">
        <v>20971</v>
      </c>
      <c r="BC2451" s="82" t="s">
        <v>19217</v>
      </c>
      <c r="BD2451" s="82" t="s">
        <v>21482</v>
      </c>
      <c r="BE2451" s="77"/>
      <c r="BF2451" s="77"/>
      <c r="BG2451" s="77"/>
      <c r="BH2451" s="77"/>
      <c r="BI2451" s="77"/>
    </row>
    <row r="2452" spans="1:61" x14ac:dyDescent="0.25">
      <c r="A2452" s="62" t="s">
        <v>854</v>
      </c>
      <c r="B2452" s="62" t="s">
        <v>854</v>
      </c>
      <c r="C2452" s="63"/>
      <c r="D2452" s="64"/>
      <c r="E2452" s="65"/>
      <c r="F2452" s="66"/>
      <c r="G2452" s="63"/>
      <c r="H2452" s="67"/>
      <c r="I2452" s="68"/>
      <c r="J2452" s="68"/>
      <c r="K2452" s="32"/>
      <c r="L2452" s="75">
        <v>2452</v>
      </c>
      <c r="M2452" s="75"/>
      <c r="N2452" s="70"/>
      <c r="O2452" s="77" t="s">
        <v>179</v>
      </c>
      <c r="P2452" s="79">
        <v>44965.131458333337</v>
      </c>
      <c r="Q2452" s="77" t="s">
        <v>3658</v>
      </c>
      <c r="R2452" s="77">
        <v>0</v>
      </c>
      <c r="S2452" s="77">
        <v>0</v>
      </c>
      <c r="T2452" s="77">
        <v>0</v>
      </c>
      <c r="U2452" s="77">
        <v>0</v>
      </c>
      <c r="V2452" s="77">
        <v>3</v>
      </c>
      <c r="W2452" s="82" t="s">
        <v>6433</v>
      </c>
      <c r="X2452" s="80" t="str">
        <f>HYPERLINK("https://sites.google.com/view/desafio-renda-rpida-24-hs/in%C3%ADcio")</f>
        <v>https://sites.google.com/view/desafio-renda-rpida-24-hs/in%C3%ADcio</v>
      </c>
      <c r="Y2452" s="77" t="s">
        <v>7305</v>
      </c>
      <c r="Z2452" s="77"/>
      <c r="AA2452" s="77" t="s">
        <v>8883</v>
      </c>
      <c r="AB2452" s="77" t="s">
        <v>10129</v>
      </c>
      <c r="AC2452" s="82" t="s">
        <v>10144</v>
      </c>
      <c r="AD2452" s="77" t="s">
        <v>10183</v>
      </c>
      <c r="AE2452" s="80" t="str">
        <f>HYPERLINK("https://twitter.com/ellenro72178468/status/1623156993354616833")</f>
        <v>https://twitter.com/ellenro72178468/status/1623156993354616833</v>
      </c>
      <c r="AF2452" s="79">
        <v>44965.131458333337</v>
      </c>
      <c r="AG2452" s="85">
        <v>44965</v>
      </c>
      <c r="AH2452" s="82" t="s">
        <v>12541</v>
      </c>
      <c r="AI2452" s="77" t="b">
        <v>0</v>
      </c>
      <c r="AJ2452" s="77"/>
      <c r="AK2452" s="77"/>
      <c r="AL2452" s="77"/>
      <c r="AM2452" s="77"/>
      <c r="AN2452" s="77"/>
      <c r="AO2452" s="77"/>
      <c r="AP2452" s="77"/>
      <c r="AQ2452" s="77" t="s">
        <v>15526</v>
      </c>
      <c r="AR2452" s="77">
        <v>15000</v>
      </c>
      <c r="AS2452" s="77"/>
      <c r="AT2452" s="77"/>
      <c r="AU2452" s="77"/>
      <c r="AV2452" s="80" t="str">
        <f>HYPERLINK("https://pbs.twimg.com/ext_tw_video_thumb/1623156945103335424/pu/img/Zhz-e68ZlhufUCWd.jpg")</f>
        <v>https://pbs.twimg.com/ext_tw_video_thumb/1623156945103335424/pu/img/Zhz-e68ZlhufUCWd.jpg</v>
      </c>
      <c r="AW2452" s="82" t="s">
        <v>19218</v>
      </c>
      <c r="AX2452" s="82" t="s">
        <v>19218</v>
      </c>
      <c r="AY2452" s="77"/>
      <c r="AZ2452" s="82" t="s">
        <v>20971</v>
      </c>
      <c r="BA2452" s="82" t="s">
        <v>20971</v>
      </c>
      <c r="BB2452" s="82" t="s">
        <v>20971</v>
      </c>
      <c r="BC2452" s="82" t="s">
        <v>19218</v>
      </c>
      <c r="BD2452" s="82" t="s">
        <v>21482</v>
      </c>
      <c r="BE2452" s="77"/>
      <c r="BF2452" s="77"/>
      <c r="BG2452" s="77"/>
      <c r="BH2452" s="77"/>
      <c r="BI2452" s="77"/>
    </row>
    <row r="2453" spans="1:61" x14ac:dyDescent="0.25">
      <c r="A2453" s="62" t="s">
        <v>855</v>
      </c>
      <c r="B2453" s="62" t="s">
        <v>855</v>
      </c>
      <c r="C2453" s="63"/>
      <c r="D2453" s="64"/>
      <c r="E2453" s="65"/>
      <c r="F2453" s="66"/>
      <c r="G2453" s="63"/>
      <c r="H2453" s="67"/>
      <c r="I2453" s="68"/>
      <c r="J2453" s="68"/>
      <c r="K2453" s="32"/>
      <c r="L2453" s="75">
        <v>2453</v>
      </c>
      <c r="M2453" s="75"/>
      <c r="N2453" s="70"/>
      <c r="O2453" s="77" t="s">
        <v>179</v>
      </c>
      <c r="P2453" s="79">
        <v>45155.913402777776</v>
      </c>
      <c r="Q2453" s="77" t="s">
        <v>3659</v>
      </c>
      <c r="R2453" s="77">
        <v>0</v>
      </c>
      <c r="S2453" s="77">
        <v>0</v>
      </c>
      <c r="T2453" s="77">
        <v>0</v>
      </c>
      <c r="U2453" s="77">
        <v>0</v>
      </c>
      <c r="V2453" s="77">
        <v>18</v>
      </c>
      <c r="W2453" s="82" t="s">
        <v>6434</v>
      </c>
      <c r="X2453" s="80" t="str">
        <f>HYPERLINK("https://financasplusblog.com.br/como-ganhar-dinheiro-como-afiliado-na-hotmart/")</f>
        <v>https://financasplusblog.com.br/como-ganhar-dinheiro-como-afiliado-na-hotmart/</v>
      </c>
      <c r="Y2453" s="77" t="s">
        <v>7252</v>
      </c>
      <c r="Z2453" s="77"/>
      <c r="AA2453" s="77"/>
      <c r="AB2453" s="77"/>
      <c r="AC2453" s="82" t="s">
        <v>10146</v>
      </c>
      <c r="AD2453" s="77" t="s">
        <v>10185</v>
      </c>
      <c r="AE2453" s="80" t="str">
        <f>HYPERLINK("https://twitter.com/blogfinplus/status/1692294053696503979")</f>
        <v>https://twitter.com/blogfinplus/status/1692294053696503979</v>
      </c>
      <c r="AF2453" s="79">
        <v>45155.913402777776</v>
      </c>
      <c r="AG2453" s="85">
        <v>45155</v>
      </c>
      <c r="AH2453" s="82" t="s">
        <v>12542</v>
      </c>
      <c r="AI2453" s="77" t="b">
        <v>0</v>
      </c>
      <c r="AJ2453" s="77"/>
      <c r="AK2453" s="77"/>
      <c r="AL2453" s="77"/>
      <c r="AM2453" s="77"/>
      <c r="AN2453" s="77"/>
      <c r="AO2453" s="77"/>
      <c r="AP2453" s="77"/>
      <c r="AQ2453" s="77"/>
      <c r="AR2453" s="77"/>
      <c r="AS2453" s="77"/>
      <c r="AT2453" s="77"/>
      <c r="AU2453" s="77"/>
      <c r="AV2453" s="80" t="str">
        <f>HYPERLINK("https://pbs.twimg.com/profile_images/1683463579104681985/j6-RmkkE_normal.jpg")</f>
        <v>https://pbs.twimg.com/profile_images/1683463579104681985/j6-RmkkE_normal.jpg</v>
      </c>
      <c r="AW2453" s="82" t="s">
        <v>19219</v>
      </c>
      <c r="AX2453" s="82" t="s">
        <v>19219</v>
      </c>
      <c r="AY2453" s="77"/>
      <c r="AZ2453" s="82" t="s">
        <v>20971</v>
      </c>
      <c r="BA2453" s="82" t="s">
        <v>20971</v>
      </c>
      <c r="BB2453" s="82" t="s">
        <v>20971</v>
      </c>
      <c r="BC2453" s="82" t="s">
        <v>19219</v>
      </c>
      <c r="BD2453" s="82" t="s">
        <v>21483</v>
      </c>
      <c r="BE2453" s="77"/>
      <c r="BF2453" s="77"/>
      <c r="BG2453" s="77"/>
      <c r="BH2453" s="77"/>
      <c r="BI2453" s="77"/>
    </row>
    <row r="2454" spans="1:61" x14ac:dyDescent="0.25">
      <c r="A2454" s="62" t="s">
        <v>856</v>
      </c>
      <c r="B2454" s="62" t="s">
        <v>856</v>
      </c>
      <c r="C2454" s="63"/>
      <c r="D2454" s="64"/>
      <c r="E2454" s="65"/>
      <c r="F2454" s="66"/>
      <c r="G2454" s="63"/>
      <c r="H2454" s="67"/>
      <c r="I2454" s="68"/>
      <c r="J2454" s="68"/>
      <c r="K2454" s="32"/>
      <c r="L2454" s="75">
        <v>2454</v>
      </c>
      <c r="M2454" s="75"/>
      <c r="N2454" s="70"/>
      <c r="O2454" s="77" t="s">
        <v>1284</v>
      </c>
      <c r="P2454" s="79">
        <v>44971.538680555554</v>
      </c>
      <c r="Q2454" s="77" t="s">
        <v>3660</v>
      </c>
      <c r="R2454" s="77">
        <v>0</v>
      </c>
      <c r="S2454" s="77">
        <v>1</v>
      </c>
      <c r="T2454" s="77">
        <v>0</v>
      </c>
      <c r="U2454" s="77">
        <v>0</v>
      </c>
      <c r="V2454" s="77">
        <v>46</v>
      </c>
      <c r="W2454" s="82" t="s">
        <v>6435</v>
      </c>
      <c r="X2454" s="80" t="str">
        <f>HYPERLINK("https://vm.tiktok.com/ZMYrqDqvr/")</f>
        <v>https://vm.tiktok.com/ZMYrqDqvr/</v>
      </c>
      <c r="Y2454" s="77" t="s">
        <v>7306</v>
      </c>
      <c r="Z2454" s="77"/>
      <c r="AA2454" s="77"/>
      <c r="AB2454" s="77"/>
      <c r="AC2454" s="82" t="s">
        <v>10145</v>
      </c>
      <c r="AD2454" s="77" t="s">
        <v>10184</v>
      </c>
      <c r="AE2454" s="80" t="str">
        <f>HYPERLINK("https://twitter.com/juu_rolim/status/1625478892579430400")</f>
        <v>https://twitter.com/juu_rolim/status/1625478892579430400</v>
      </c>
      <c r="AF2454" s="79">
        <v>44971.538680555554</v>
      </c>
      <c r="AG2454" s="85">
        <v>44971</v>
      </c>
      <c r="AH2454" s="82" t="s">
        <v>10984</v>
      </c>
      <c r="AI2454" s="77" t="b">
        <v>0</v>
      </c>
      <c r="AJ2454" s="77"/>
      <c r="AK2454" s="77"/>
      <c r="AL2454" s="77"/>
      <c r="AM2454" s="77"/>
      <c r="AN2454" s="77"/>
      <c r="AO2454" s="77"/>
      <c r="AP2454" s="77"/>
      <c r="AQ2454" s="77"/>
      <c r="AR2454" s="77"/>
      <c r="AS2454" s="77"/>
      <c r="AT2454" s="77"/>
      <c r="AU2454" s="77"/>
      <c r="AV2454" s="80" t="str">
        <f>HYPERLINK("https://pbs.twimg.com/profile_images/1635807704240250881/UOGw0s9I_normal.jpg")</f>
        <v>https://pbs.twimg.com/profile_images/1635807704240250881/UOGw0s9I_normal.jpg</v>
      </c>
      <c r="AW2454" s="82" t="s">
        <v>19220</v>
      </c>
      <c r="AX2454" s="82" t="s">
        <v>20869</v>
      </c>
      <c r="AY2454" s="82" t="s">
        <v>20952</v>
      </c>
      <c r="AZ2454" s="82" t="s">
        <v>20869</v>
      </c>
      <c r="BA2454" s="82" t="s">
        <v>20971</v>
      </c>
      <c r="BB2454" s="82" t="s">
        <v>20971</v>
      </c>
      <c r="BC2454" s="82" t="s">
        <v>20869</v>
      </c>
      <c r="BD2454" s="77">
        <v>59494047</v>
      </c>
      <c r="BE2454" s="77"/>
      <c r="BF2454" s="77"/>
      <c r="BG2454" s="77"/>
      <c r="BH2454" s="77"/>
      <c r="BI2454" s="77"/>
    </row>
    <row r="2455" spans="1:61" x14ac:dyDescent="0.25">
      <c r="A2455" s="62" t="s">
        <v>856</v>
      </c>
      <c r="B2455" s="62" t="s">
        <v>856</v>
      </c>
      <c r="C2455" s="63"/>
      <c r="D2455" s="64"/>
      <c r="E2455" s="65"/>
      <c r="F2455" s="66"/>
      <c r="G2455" s="63"/>
      <c r="H2455" s="67"/>
      <c r="I2455" s="68"/>
      <c r="J2455" s="68"/>
      <c r="K2455" s="32"/>
      <c r="L2455" s="75">
        <v>2455</v>
      </c>
      <c r="M2455" s="75"/>
      <c r="N2455" s="70"/>
      <c r="O2455" s="77" t="s">
        <v>179</v>
      </c>
      <c r="P2455" s="79">
        <v>44976.985381944447</v>
      </c>
      <c r="Q2455" s="77" t="s">
        <v>3661</v>
      </c>
      <c r="R2455" s="77">
        <v>0</v>
      </c>
      <c r="S2455" s="77">
        <v>2</v>
      </c>
      <c r="T2455" s="77">
        <v>0</v>
      </c>
      <c r="U2455" s="77">
        <v>0</v>
      </c>
      <c r="V2455" s="77">
        <v>182</v>
      </c>
      <c r="W2455" s="82" t="s">
        <v>6436</v>
      </c>
      <c r="X2455" s="80" t="str">
        <f>HYPERLINK("https://www.truh.xyz/3gZiGSbdQc")</f>
        <v>https://www.truh.xyz/3gZiGSbdQc</v>
      </c>
      <c r="Y2455" s="77" t="s">
        <v>7417</v>
      </c>
      <c r="Z2455" s="77"/>
      <c r="AA2455" s="77"/>
      <c r="AB2455" s="77"/>
      <c r="AC2455" s="82" t="s">
        <v>10145</v>
      </c>
      <c r="AD2455" s="77" t="s">
        <v>10184</v>
      </c>
      <c r="AE2455" s="80" t="str">
        <f>HYPERLINK("https://twitter.com/juu_rolim/status/1627452708637507584")</f>
        <v>https://twitter.com/juu_rolim/status/1627452708637507584</v>
      </c>
      <c r="AF2455" s="79">
        <v>44976.985381944447</v>
      </c>
      <c r="AG2455" s="85">
        <v>44976</v>
      </c>
      <c r="AH2455" s="82" t="s">
        <v>12543</v>
      </c>
      <c r="AI2455" s="77" t="b">
        <v>0</v>
      </c>
      <c r="AJ2455" s="77"/>
      <c r="AK2455" s="77"/>
      <c r="AL2455" s="77"/>
      <c r="AM2455" s="77"/>
      <c r="AN2455" s="77"/>
      <c r="AO2455" s="77"/>
      <c r="AP2455" s="77"/>
      <c r="AQ2455" s="77"/>
      <c r="AR2455" s="77"/>
      <c r="AS2455" s="77"/>
      <c r="AT2455" s="77"/>
      <c r="AU2455" s="77"/>
      <c r="AV2455" s="80" t="str">
        <f>HYPERLINK("https://pbs.twimg.com/profile_images/1635807704240250881/UOGw0s9I_normal.jpg")</f>
        <v>https://pbs.twimg.com/profile_images/1635807704240250881/UOGw0s9I_normal.jpg</v>
      </c>
      <c r="AW2455" s="82" t="s">
        <v>19221</v>
      </c>
      <c r="AX2455" s="82" t="s">
        <v>19221</v>
      </c>
      <c r="AY2455" s="77"/>
      <c r="AZ2455" s="82" t="s">
        <v>20971</v>
      </c>
      <c r="BA2455" s="82" t="s">
        <v>20971</v>
      </c>
      <c r="BB2455" s="82" t="s">
        <v>20971</v>
      </c>
      <c r="BC2455" s="82" t="s">
        <v>19221</v>
      </c>
      <c r="BD2455" s="77">
        <v>59494047</v>
      </c>
      <c r="BE2455" s="77"/>
      <c r="BF2455" s="77"/>
      <c r="BG2455" s="77"/>
      <c r="BH2455" s="77"/>
      <c r="BI2455" s="77"/>
    </row>
    <row r="2456" spans="1:61" x14ac:dyDescent="0.25">
      <c r="A2456" s="62" t="s">
        <v>856</v>
      </c>
      <c r="B2456" s="62" t="s">
        <v>856</v>
      </c>
      <c r="C2456" s="63"/>
      <c r="D2456" s="64"/>
      <c r="E2456" s="65"/>
      <c r="F2456" s="66"/>
      <c r="G2456" s="63"/>
      <c r="H2456" s="67"/>
      <c r="I2456" s="68"/>
      <c r="J2456" s="68"/>
      <c r="K2456" s="32"/>
      <c r="L2456" s="75">
        <v>2456</v>
      </c>
      <c r="M2456" s="75"/>
      <c r="N2456" s="70"/>
      <c r="O2456" s="77" t="s">
        <v>179</v>
      </c>
      <c r="P2456" s="79">
        <v>45008.646840277775</v>
      </c>
      <c r="Q2456" s="77" t="s">
        <v>3662</v>
      </c>
      <c r="R2456" s="77">
        <v>1</v>
      </c>
      <c r="S2456" s="77">
        <v>2</v>
      </c>
      <c r="T2456" s="77">
        <v>0</v>
      </c>
      <c r="U2456" s="77">
        <v>0</v>
      </c>
      <c r="V2456" s="77">
        <v>230</v>
      </c>
      <c r="W2456" s="82" t="s">
        <v>6437</v>
      </c>
      <c r="X2456" s="80" t="str">
        <f>HYPERLINK("https://vm.tiktok.com/ZMYQndjqU/")</f>
        <v>https://vm.tiktok.com/ZMYQndjqU/</v>
      </c>
      <c r="Y2456" s="77" t="s">
        <v>7306</v>
      </c>
      <c r="Z2456" s="77"/>
      <c r="AA2456" s="77" t="s">
        <v>8884</v>
      </c>
      <c r="AB2456" s="77" t="s">
        <v>10130</v>
      </c>
      <c r="AC2456" s="82" t="s">
        <v>10145</v>
      </c>
      <c r="AD2456" s="77" t="s">
        <v>10184</v>
      </c>
      <c r="AE2456" s="80" t="str">
        <f>HYPERLINK("https://twitter.com/juu_rolim/status/1638926439952142336")</f>
        <v>https://twitter.com/juu_rolim/status/1638926439952142336</v>
      </c>
      <c r="AF2456" s="79">
        <v>45008.646840277775</v>
      </c>
      <c r="AG2456" s="85">
        <v>45008</v>
      </c>
      <c r="AH2456" s="82" t="s">
        <v>12544</v>
      </c>
      <c r="AI2456" s="77" t="b">
        <v>0</v>
      </c>
      <c r="AJ2456" s="77"/>
      <c r="AK2456" s="77"/>
      <c r="AL2456" s="77"/>
      <c r="AM2456" s="77"/>
      <c r="AN2456" s="77"/>
      <c r="AO2456" s="77"/>
      <c r="AP2456" s="77"/>
      <c r="AQ2456" s="77" t="s">
        <v>15527</v>
      </c>
      <c r="AR2456" s="77"/>
      <c r="AS2456" s="77"/>
      <c r="AT2456" s="77"/>
      <c r="AU2456" s="77"/>
      <c r="AV2456" s="80" t="str">
        <f>HYPERLINK("https://pbs.twimg.com/media/Fr6i6NIWAAE976F.jpg")</f>
        <v>https://pbs.twimg.com/media/Fr6i6NIWAAE976F.jpg</v>
      </c>
      <c r="AW2456" s="82" t="s">
        <v>19222</v>
      </c>
      <c r="AX2456" s="82" t="s">
        <v>19222</v>
      </c>
      <c r="AY2456" s="77"/>
      <c r="AZ2456" s="82" t="s">
        <v>20971</v>
      </c>
      <c r="BA2456" s="82" t="s">
        <v>20971</v>
      </c>
      <c r="BB2456" s="82" t="s">
        <v>20971</v>
      </c>
      <c r="BC2456" s="82" t="s">
        <v>19222</v>
      </c>
      <c r="BD2456" s="77">
        <v>59494047</v>
      </c>
      <c r="BE2456" s="77"/>
      <c r="BF2456" s="77"/>
      <c r="BG2456" s="77"/>
      <c r="BH2456" s="77"/>
      <c r="BI2456" s="77"/>
    </row>
    <row r="2457" spans="1:61" x14ac:dyDescent="0.25">
      <c r="A2457" s="62" t="s">
        <v>857</v>
      </c>
      <c r="B2457" s="62" t="s">
        <v>857</v>
      </c>
      <c r="C2457" s="63"/>
      <c r="D2457" s="64"/>
      <c r="E2457" s="65"/>
      <c r="F2457" s="66"/>
      <c r="G2457" s="63"/>
      <c r="H2457" s="67"/>
      <c r="I2457" s="68"/>
      <c r="J2457" s="68"/>
      <c r="K2457" s="32"/>
      <c r="L2457" s="75">
        <v>2457</v>
      </c>
      <c r="M2457" s="75"/>
      <c r="N2457" s="70"/>
      <c r="O2457" s="77" t="s">
        <v>179</v>
      </c>
      <c r="P2457" s="79">
        <v>45131.987256944441</v>
      </c>
      <c r="Q2457" s="77" t="s">
        <v>3663</v>
      </c>
      <c r="R2457" s="77">
        <v>0</v>
      </c>
      <c r="S2457" s="77">
        <v>0</v>
      </c>
      <c r="T2457" s="77">
        <v>0</v>
      </c>
      <c r="U2457" s="77">
        <v>0</v>
      </c>
      <c r="V2457" s="77">
        <v>63</v>
      </c>
      <c r="W2457" s="82" t="s">
        <v>5236</v>
      </c>
      <c r="X2457" s="77"/>
      <c r="Y2457" s="77"/>
      <c r="Z2457" s="77"/>
      <c r="AA2457" s="77"/>
      <c r="AB2457" s="77"/>
      <c r="AC2457" s="82" t="s">
        <v>10144</v>
      </c>
      <c r="AD2457" s="77" t="s">
        <v>10184</v>
      </c>
      <c r="AE2457" s="80" t="str">
        <f>HYPERLINK("https://twitter.com/predo08/status/1683623510202109953")</f>
        <v>https://twitter.com/predo08/status/1683623510202109953</v>
      </c>
      <c r="AF2457" s="79">
        <v>45131.987256944441</v>
      </c>
      <c r="AG2457" s="85">
        <v>45131</v>
      </c>
      <c r="AH2457" s="82" t="s">
        <v>12545</v>
      </c>
      <c r="AI2457" s="77"/>
      <c r="AJ2457" s="77"/>
      <c r="AK2457" s="77"/>
      <c r="AL2457" s="77"/>
      <c r="AM2457" s="77"/>
      <c r="AN2457" s="77"/>
      <c r="AO2457" s="77"/>
      <c r="AP2457" s="77"/>
      <c r="AQ2457" s="77"/>
      <c r="AR2457" s="77"/>
      <c r="AS2457" s="77"/>
      <c r="AT2457" s="77"/>
      <c r="AU2457" s="77"/>
      <c r="AV2457" s="80" t="str">
        <f>HYPERLINK("https://pbs.twimg.com/profile_images/1701952872902955008/g0DEo3EC_normal.jpg")</f>
        <v>https://pbs.twimg.com/profile_images/1701952872902955008/g0DEo3EC_normal.jpg</v>
      </c>
      <c r="AW2457" s="82" t="s">
        <v>19223</v>
      </c>
      <c r="AX2457" s="82" t="s">
        <v>19223</v>
      </c>
      <c r="AY2457" s="77"/>
      <c r="AZ2457" s="82" t="s">
        <v>20971</v>
      </c>
      <c r="BA2457" s="82" t="s">
        <v>20971</v>
      </c>
      <c r="BB2457" s="82" t="s">
        <v>20971</v>
      </c>
      <c r="BC2457" s="82" t="s">
        <v>19223</v>
      </c>
      <c r="BD2457" s="82" t="s">
        <v>21484</v>
      </c>
      <c r="BE2457" s="77"/>
      <c r="BF2457" s="77"/>
      <c r="BG2457" s="77"/>
      <c r="BH2457" s="77"/>
      <c r="BI2457" s="77"/>
    </row>
    <row r="2458" spans="1:61" x14ac:dyDescent="0.25">
      <c r="A2458" s="62" t="s">
        <v>858</v>
      </c>
      <c r="B2458" s="62" t="s">
        <v>858</v>
      </c>
      <c r="C2458" s="63"/>
      <c r="D2458" s="64"/>
      <c r="E2458" s="65"/>
      <c r="F2458" s="66"/>
      <c r="G2458" s="63"/>
      <c r="H2458" s="67"/>
      <c r="I2458" s="68"/>
      <c r="J2458" s="68"/>
      <c r="K2458" s="32"/>
      <c r="L2458" s="75">
        <v>2458</v>
      </c>
      <c r="M2458" s="75"/>
      <c r="N2458" s="70"/>
      <c r="O2458" s="77" t="s">
        <v>179</v>
      </c>
      <c r="P2458" s="79">
        <v>45183.016979166663</v>
      </c>
      <c r="Q2458" s="77" t="s">
        <v>3664</v>
      </c>
      <c r="R2458" s="77">
        <v>0</v>
      </c>
      <c r="S2458" s="77">
        <v>0</v>
      </c>
      <c r="T2458" s="77">
        <v>0</v>
      </c>
      <c r="U2458" s="77">
        <v>0</v>
      </c>
      <c r="V2458" s="77">
        <v>9</v>
      </c>
      <c r="W2458" s="82" t="s">
        <v>6438</v>
      </c>
      <c r="X2458" s="80" t="str">
        <f>HYPERLINK("https://medium.com/@sourayol/transforme-sua-vida-financeira-como-ganhar-dinheiro-trabalhando-de-casa-com-an%C3%BAncios-no-google-ads-669f8434ae6d")</f>
        <v>https://medium.com/@sourayol/transforme-sua-vida-financeira-como-ganhar-dinheiro-trabalhando-de-casa-com-an%C3%BAncios-no-google-ads-669f8434ae6d</v>
      </c>
      <c r="Y2458" s="77" t="s">
        <v>7257</v>
      </c>
      <c r="Z2458" s="77"/>
      <c r="AA2458" s="77"/>
      <c r="AB2458" s="77"/>
      <c r="AC2458" s="82" t="s">
        <v>10146</v>
      </c>
      <c r="AD2458" s="77" t="s">
        <v>10184</v>
      </c>
      <c r="AE2458" s="80" t="str">
        <f>HYPERLINK("https://twitter.com/the_souza80/status/1702116061250752521")</f>
        <v>https://twitter.com/the_souza80/status/1702116061250752521</v>
      </c>
      <c r="AF2458" s="79">
        <v>45183.016979166663</v>
      </c>
      <c r="AG2458" s="85">
        <v>45183</v>
      </c>
      <c r="AH2458" s="82" t="s">
        <v>12546</v>
      </c>
      <c r="AI2458" s="77" t="b">
        <v>0</v>
      </c>
      <c r="AJ2458" s="77"/>
      <c r="AK2458" s="77"/>
      <c r="AL2458" s="77"/>
      <c r="AM2458" s="77"/>
      <c r="AN2458" s="77"/>
      <c r="AO2458" s="77"/>
      <c r="AP2458" s="77"/>
      <c r="AQ2458" s="77"/>
      <c r="AR2458" s="77"/>
      <c r="AS2458" s="77"/>
      <c r="AT2458" s="77"/>
      <c r="AU2458" s="77"/>
      <c r="AV2458" s="80" t="str">
        <f>HYPERLINK("https://pbs.twimg.com/profile_images/1553133735096328192/pERT4OPE_normal.jpg")</f>
        <v>https://pbs.twimg.com/profile_images/1553133735096328192/pERT4OPE_normal.jpg</v>
      </c>
      <c r="AW2458" s="82" t="s">
        <v>19224</v>
      </c>
      <c r="AX2458" s="82" t="s">
        <v>19224</v>
      </c>
      <c r="AY2458" s="77"/>
      <c r="AZ2458" s="82" t="s">
        <v>20971</v>
      </c>
      <c r="BA2458" s="82" t="s">
        <v>20971</v>
      </c>
      <c r="BB2458" s="82" t="s">
        <v>20971</v>
      </c>
      <c r="BC2458" s="82" t="s">
        <v>19224</v>
      </c>
      <c r="BD2458" s="82" t="s">
        <v>21485</v>
      </c>
      <c r="BE2458" s="77"/>
      <c r="BF2458" s="77"/>
      <c r="BG2458" s="77"/>
      <c r="BH2458" s="77"/>
      <c r="BI2458" s="77"/>
    </row>
    <row r="2459" spans="1:61" x14ac:dyDescent="0.25">
      <c r="A2459" s="62" t="s">
        <v>859</v>
      </c>
      <c r="B2459" s="62" t="s">
        <v>859</v>
      </c>
      <c r="C2459" s="63"/>
      <c r="D2459" s="64"/>
      <c r="E2459" s="65"/>
      <c r="F2459" s="66"/>
      <c r="G2459" s="63"/>
      <c r="H2459" s="67"/>
      <c r="I2459" s="68"/>
      <c r="J2459" s="68"/>
      <c r="K2459" s="32"/>
      <c r="L2459" s="75">
        <v>2459</v>
      </c>
      <c r="M2459" s="75"/>
      <c r="N2459" s="70"/>
      <c r="O2459" s="77" t="s">
        <v>1284</v>
      </c>
      <c r="P2459" s="79">
        <v>45037.954942129632</v>
      </c>
      <c r="Q2459" s="77" t="s">
        <v>3665</v>
      </c>
      <c r="R2459" s="77">
        <v>0</v>
      </c>
      <c r="S2459" s="77">
        <v>0</v>
      </c>
      <c r="T2459" s="77">
        <v>0</v>
      </c>
      <c r="U2459" s="77">
        <v>0</v>
      </c>
      <c r="V2459" s="77">
        <v>48</v>
      </c>
      <c r="W2459" s="82" t="s">
        <v>6439</v>
      </c>
      <c r="X2459" s="77"/>
      <c r="Y2459" s="77"/>
      <c r="Z2459" s="77"/>
      <c r="AA2459" s="77"/>
      <c r="AB2459" s="77"/>
      <c r="AC2459" s="82" t="s">
        <v>10146</v>
      </c>
      <c r="AD2459" s="77" t="s">
        <v>10184</v>
      </c>
      <c r="AE2459" s="80" t="str">
        <f>HYPERLINK("https://twitter.com/_patrickv7/status/1649547339961446401")</f>
        <v>https://twitter.com/_patrickv7/status/1649547339961446401</v>
      </c>
      <c r="AF2459" s="79">
        <v>45037.954942129632</v>
      </c>
      <c r="AG2459" s="85">
        <v>45037</v>
      </c>
      <c r="AH2459" s="82" t="s">
        <v>12547</v>
      </c>
      <c r="AI2459" s="77"/>
      <c r="AJ2459" s="77"/>
      <c r="AK2459" s="77"/>
      <c r="AL2459" s="77"/>
      <c r="AM2459" s="77"/>
      <c r="AN2459" s="77"/>
      <c r="AO2459" s="77"/>
      <c r="AP2459" s="77"/>
      <c r="AQ2459" s="77"/>
      <c r="AR2459" s="77"/>
      <c r="AS2459" s="77"/>
      <c r="AT2459" s="77"/>
      <c r="AU2459" s="77"/>
      <c r="AV2459" s="80" t="str">
        <f>HYPERLINK("https://pbs.twimg.com/profile_images/1686140518864990209/2FjFxfzj_normal.jpg")</f>
        <v>https://pbs.twimg.com/profile_images/1686140518864990209/2FjFxfzj_normal.jpg</v>
      </c>
      <c r="AW2459" s="82" t="s">
        <v>19225</v>
      </c>
      <c r="AX2459" s="82" t="s">
        <v>20870</v>
      </c>
      <c r="AY2459" s="82" t="s">
        <v>20953</v>
      </c>
      <c r="AZ2459" s="82" t="s">
        <v>20997</v>
      </c>
      <c r="BA2459" s="82" t="s">
        <v>20971</v>
      </c>
      <c r="BB2459" s="82" t="s">
        <v>20971</v>
      </c>
      <c r="BC2459" s="82" t="s">
        <v>20997</v>
      </c>
      <c r="BD2459" s="77">
        <v>216874671</v>
      </c>
      <c r="BE2459" s="77"/>
      <c r="BF2459" s="77"/>
      <c r="BG2459" s="77"/>
      <c r="BH2459" s="77"/>
      <c r="BI2459" s="77"/>
    </row>
    <row r="2460" spans="1:61" x14ac:dyDescent="0.25">
      <c r="A2460" s="62" t="s">
        <v>860</v>
      </c>
      <c r="B2460" s="62" t="s">
        <v>860</v>
      </c>
      <c r="C2460" s="63"/>
      <c r="D2460" s="64"/>
      <c r="E2460" s="65"/>
      <c r="F2460" s="66"/>
      <c r="G2460" s="63"/>
      <c r="H2460" s="67"/>
      <c r="I2460" s="68"/>
      <c r="J2460" s="68"/>
      <c r="K2460" s="32"/>
      <c r="L2460" s="75">
        <v>2460</v>
      </c>
      <c r="M2460" s="75"/>
      <c r="N2460" s="70"/>
      <c r="O2460" s="77" t="s">
        <v>179</v>
      </c>
      <c r="P2460" s="79">
        <v>44958.500023148146</v>
      </c>
      <c r="Q2460" s="77" t="s">
        <v>3666</v>
      </c>
      <c r="R2460" s="77">
        <v>0</v>
      </c>
      <c r="S2460" s="77">
        <v>0</v>
      </c>
      <c r="T2460" s="77">
        <v>0</v>
      </c>
      <c r="U2460" s="77">
        <v>0</v>
      </c>
      <c r="V2460" s="77">
        <v>28</v>
      </c>
      <c r="W2460" s="82" t="s">
        <v>6440</v>
      </c>
      <c r="X2460" s="80" t="str">
        <f>HYPERLINK("https://bit.ly/3HJRRMb")</f>
        <v>https://bit.ly/3HJRRMb</v>
      </c>
      <c r="Y2460" s="77" t="s">
        <v>7268</v>
      </c>
      <c r="Z2460" s="77"/>
      <c r="AA2460" s="77"/>
      <c r="AB2460" s="77"/>
      <c r="AC2460" s="82" t="s">
        <v>10169</v>
      </c>
      <c r="AD2460" s="77" t="s">
        <v>10184</v>
      </c>
      <c r="AE2460" s="80" t="str">
        <f>HYPERLINK("https://twitter.com/viktorvenddetta/status/1620753839799296002")</f>
        <v>https://twitter.com/viktorvenddetta/status/1620753839799296002</v>
      </c>
      <c r="AF2460" s="79">
        <v>44958.500023148146</v>
      </c>
      <c r="AG2460" s="85">
        <v>44958</v>
      </c>
      <c r="AH2460" s="82" t="s">
        <v>10385</v>
      </c>
      <c r="AI2460" s="77" t="b">
        <v>0</v>
      </c>
      <c r="AJ2460" s="77"/>
      <c r="AK2460" s="77"/>
      <c r="AL2460" s="77"/>
      <c r="AM2460" s="77"/>
      <c r="AN2460" s="77"/>
      <c r="AO2460" s="77"/>
      <c r="AP2460" s="77"/>
      <c r="AQ2460" s="77"/>
      <c r="AR2460" s="77"/>
      <c r="AS2460" s="77"/>
      <c r="AT2460" s="77"/>
      <c r="AU2460" s="77"/>
      <c r="AV2460" s="80" t="str">
        <f>HYPERLINK("https://pbs.twimg.com/profile_images/1613885938525945856/HCvdytcY_normal.jpg")</f>
        <v>https://pbs.twimg.com/profile_images/1613885938525945856/HCvdytcY_normal.jpg</v>
      </c>
      <c r="AW2460" s="82" t="s">
        <v>19226</v>
      </c>
      <c r="AX2460" s="82" t="s">
        <v>19226</v>
      </c>
      <c r="AY2460" s="77"/>
      <c r="AZ2460" s="82" t="s">
        <v>20971</v>
      </c>
      <c r="BA2460" s="82" t="s">
        <v>20971</v>
      </c>
      <c r="BB2460" s="82" t="s">
        <v>20971</v>
      </c>
      <c r="BC2460" s="82" t="s">
        <v>19226</v>
      </c>
      <c r="BD2460" s="77">
        <v>318171711</v>
      </c>
      <c r="BE2460" s="77"/>
      <c r="BF2460" s="77"/>
      <c r="BG2460" s="77"/>
      <c r="BH2460" s="77"/>
      <c r="BI2460" s="77"/>
    </row>
    <row r="2461" spans="1:61" x14ac:dyDescent="0.25">
      <c r="A2461" s="62" t="s">
        <v>860</v>
      </c>
      <c r="B2461" s="62" t="s">
        <v>860</v>
      </c>
      <c r="C2461" s="63"/>
      <c r="D2461" s="64"/>
      <c r="E2461" s="65"/>
      <c r="F2461" s="66"/>
      <c r="G2461" s="63"/>
      <c r="H2461" s="67"/>
      <c r="I2461" s="68"/>
      <c r="J2461" s="68"/>
      <c r="K2461" s="32"/>
      <c r="L2461" s="75">
        <v>2461</v>
      </c>
      <c r="M2461" s="75"/>
      <c r="N2461" s="70"/>
      <c r="O2461" s="77" t="s">
        <v>179</v>
      </c>
      <c r="P2461" s="79">
        <v>44957.378587962965</v>
      </c>
      <c r="Q2461" s="77" t="s">
        <v>3667</v>
      </c>
      <c r="R2461" s="77">
        <v>0</v>
      </c>
      <c r="S2461" s="77">
        <v>0</v>
      </c>
      <c r="T2461" s="77">
        <v>0</v>
      </c>
      <c r="U2461" s="77">
        <v>0</v>
      </c>
      <c r="V2461" s="77">
        <v>38</v>
      </c>
      <c r="W2461" s="82" t="s">
        <v>6441</v>
      </c>
      <c r="X2461" s="80" t="str">
        <f>HYPERLINK("http://ow.ly/x6hj50MF46c")</f>
        <v>http://ow.ly/x6hj50MF46c</v>
      </c>
      <c r="Y2461" s="77" t="s">
        <v>7418</v>
      </c>
      <c r="Z2461" s="77"/>
      <c r="AA2461" s="77"/>
      <c r="AB2461" s="77"/>
      <c r="AC2461" s="82" t="s">
        <v>10170</v>
      </c>
      <c r="AD2461" s="77" t="s">
        <v>10184</v>
      </c>
      <c r="AE2461" s="80" t="str">
        <f>HYPERLINK("https://twitter.com/viktorvenddetta/status/1620347446323777536")</f>
        <v>https://twitter.com/viktorvenddetta/status/1620347446323777536</v>
      </c>
      <c r="AF2461" s="79">
        <v>44957.378587962965</v>
      </c>
      <c r="AG2461" s="85">
        <v>44957</v>
      </c>
      <c r="AH2461" s="82" t="s">
        <v>12548</v>
      </c>
      <c r="AI2461" s="77" t="b">
        <v>0</v>
      </c>
      <c r="AJ2461" s="77"/>
      <c r="AK2461" s="77"/>
      <c r="AL2461" s="77"/>
      <c r="AM2461" s="77"/>
      <c r="AN2461" s="77"/>
      <c r="AO2461" s="77"/>
      <c r="AP2461" s="77"/>
      <c r="AQ2461" s="77"/>
      <c r="AR2461" s="77"/>
      <c r="AS2461" s="77"/>
      <c r="AT2461" s="77"/>
      <c r="AU2461" s="77"/>
      <c r="AV2461" s="80" t="str">
        <f>HYPERLINK("https://pbs.twimg.com/profile_images/1613885938525945856/HCvdytcY_normal.jpg")</f>
        <v>https://pbs.twimg.com/profile_images/1613885938525945856/HCvdytcY_normal.jpg</v>
      </c>
      <c r="AW2461" s="82" t="s">
        <v>19227</v>
      </c>
      <c r="AX2461" s="82" t="s">
        <v>19227</v>
      </c>
      <c r="AY2461" s="77"/>
      <c r="AZ2461" s="82" t="s">
        <v>20971</v>
      </c>
      <c r="BA2461" s="82" t="s">
        <v>20971</v>
      </c>
      <c r="BB2461" s="82" t="s">
        <v>20971</v>
      </c>
      <c r="BC2461" s="82" t="s">
        <v>19227</v>
      </c>
      <c r="BD2461" s="77">
        <v>318171711</v>
      </c>
      <c r="BE2461" s="77"/>
      <c r="BF2461" s="77"/>
      <c r="BG2461" s="77"/>
      <c r="BH2461" s="77"/>
      <c r="BI2461" s="77"/>
    </row>
    <row r="2462" spans="1:61" x14ac:dyDescent="0.25">
      <c r="A2462" s="62" t="s">
        <v>860</v>
      </c>
      <c r="B2462" s="62" t="s">
        <v>860</v>
      </c>
      <c r="C2462" s="63"/>
      <c r="D2462" s="64"/>
      <c r="E2462" s="65"/>
      <c r="F2462" s="66"/>
      <c r="G2462" s="63"/>
      <c r="H2462" s="67"/>
      <c r="I2462" s="68"/>
      <c r="J2462" s="68"/>
      <c r="K2462" s="32"/>
      <c r="L2462" s="75">
        <v>2462</v>
      </c>
      <c r="M2462" s="75"/>
      <c r="N2462" s="70"/>
      <c r="O2462" s="77" t="s">
        <v>179</v>
      </c>
      <c r="P2462" s="79">
        <v>44957.048726851855</v>
      </c>
      <c r="Q2462" s="77" t="s">
        <v>3668</v>
      </c>
      <c r="R2462" s="77">
        <v>0</v>
      </c>
      <c r="S2462" s="77">
        <v>0</v>
      </c>
      <c r="T2462" s="77">
        <v>0</v>
      </c>
      <c r="U2462" s="77">
        <v>0</v>
      </c>
      <c r="V2462" s="77">
        <v>27</v>
      </c>
      <c r="W2462" s="82" t="s">
        <v>6441</v>
      </c>
      <c r="X2462" s="80" t="str">
        <f>HYPERLINK("http://ow.ly/2Rbp50MF45f")</f>
        <v>http://ow.ly/2Rbp50MF45f</v>
      </c>
      <c r="Y2462" s="77" t="s">
        <v>7418</v>
      </c>
      <c r="Z2462" s="77"/>
      <c r="AA2462" s="77"/>
      <c r="AB2462" s="77"/>
      <c r="AC2462" s="82" t="s">
        <v>10170</v>
      </c>
      <c r="AD2462" s="77" t="s">
        <v>10184</v>
      </c>
      <c r="AE2462" s="80" t="str">
        <f>HYPERLINK("https://twitter.com/viktorvenddetta/status/1620227907460239360")</f>
        <v>https://twitter.com/viktorvenddetta/status/1620227907460239360</v>
      </c>
      <c r="AF2462" s="79">
        <v>44957.048726851855</v>
      </c>
      <c r="AG2462" s="85">
        <v>44957</v>
      </c>
      <c r="AH2462" s="82" t="s">
        <v>12549</v>
      </c>
      <c r="AI2462" s="77" t="b">
        <v>0</v>
      </c>
      <c r="AJ2462" s="77"/>
      <c r="AK2462" s="77"/>
      <c r="AL2462" s="77"/>
      <c r="AM2462" s="77"/>
      <c r="AN2462" s="77"/>
      <c r="AO2462" s="77"/>
      <c r="AP2462" s="77"/>
      <c r="AQ2462" s="77"/>
      <c r="AR2462" s="77"/>
      <c r="AS2462" s="77"/>
      <c r="AT2462" s="77"/>
      <c r="AU2462" s="77"/>
      <c r="AV2462" s="80" t="str">
        <f>HYPERLINK("https://pbs.twimg.com/profile_images/1613885938525945856/HCvdytcY_normal.jpg")</f>
        <v>https://pbs.twimg.com/profile_images/1613885938525945856/HCvdytcY_normal.jpg</v>
      </c>
      <c r="AW2462" s="82" t="s">
        <v>19228</v>
      </c>
      <c r="AX2462" s="82" t="s">
        <v>19228</v>
      </c>
      <c r="AY2462" s="77"/>
      <c r="AZ2462" s="82" t="s">
        <v>20971</v>
      </c>
      <c r="BA2462" s="82" t="s">
        <v>20971</v>
      </c>
      <c r="BB2462" s="82" t="s">
        <v>20971</v>
      </c>
      <c r="BC2462" s="82" t="s">
        <v>19228</v>
      </c>
      <c r="BD2462" s="77">
        <v>318171711</v>
      </c>
      <c r="BE2462" s="77"/>
      <c r="BF2462" s="77"/>
      <c r="BG2462" s="77"/>
      <c r="BH2462" s="77"/>
      <c r="BI2462" s="77"/>
    </row>
    <row r="2463" spans="1:61" x14ac:dyDescent="0.25">
      <c r="A2463" s="62" t="s">
        <v>860</v>
      </c>
      <c r="B2463" s="62" t="s">
        <v>860</v>
      </c>
      <c r="C2463" s="63"/>
      <c r="D2463" s="64"/>
      <c r="E2463" s="65"/>
      <c r="F2463" s="66"/>
      <c r="G2463" s="63"/>
      <c r="H2463" s="67"/>
      <c r="I2463" s="68"/>
      <c r="J2463" s="68"/>
      <c r="K2463" s="32"/>
      <c r="L2463" s="75">
        <v>2463</v>
      </c>
      <c r="M2463" s="75"/>
      <c r="N2463" s="70"/>
      <c r="O2463" s="77" t="s">
        <v>179</v>
      </c>
      <c r="P2463" s="79">
        <v>44957.000752314816</v>
      </c>
      <c r="Q2463" s="77" t="s">
        <v>3669</v>
      </c>
      <c r="R2463" s="77">
        <v>0</v>
      </c>
      <c r="S2463" s="77">
        <v>0</v>
      </c>
      <c r="T2463" s="77">
        <v>0</v>
      </c>
      <c r="U2463" s="77">
        <v>0</v>
      </c>
      <c r="V2463" s="77">
        <v>33</v>
      </c>
      <c r="W2463" s="82" t="s">
        <v>6441</v>
      </c>
      <c r="X2463" s="80" t="str">
        <f>HYPERLINK("http://ow.ly/NCM350MF44r")</f>
        <v>http://ow.ly/NCM350MF44r</v>
      </c>
      <c r="Y2463" s="77" t="s">
        <v>7418</v>
      </c>
      <c r="Z2463" s="77"/>
      <c r="AA2463" s="77"/>
      <c r="AB2463" s="77"/>
      <c r="AC2463" s="82" t="s">
        <v>10170</v>
      </c>
      <c r="AD2463" s="77" t="s">
        <v>10184</v>
      </c>
      <c r="AE2463" s="80" t="str">
        <f>HYPERLINK("https://twitter.com/viktorvenddetta/status/1620210523190054914")</f>
        <v>https://twitter.com/viktorvenddetta/status/1620210523190054914</v>
      </c>
      <c r="AF2463" s="79">
        <v>44957.000752314816</v>
      </c>
      <c r="AG2463" s="85">
        <v>44957</v>
      </c>
      <c r="AH2463" s="82" t="s">
        <v>12550</v>
      </c>
      <c r="AI2463" s="77" t="b">
        <v>0</v>
      </c>
      <c r="AJ2463" s="77"/>
      <c r="AK2463" s="77"/>
      <c r="AL2463" s="77"/>
      <c r="AM2463" s="77"/>
      <c r="AN2463" s="77"/>
      <c r="AO2463" s="77"/>
      <c r="AP2463" s="77"/>
      <c r="AQ2463" s="77"/>
      <c r="AR2463" s="77"/>
      <c r="AS2463" s="77"/>
      <c r="AT2463" s="77"/>
      <c r="AU2463" s="77"/>
      <c r="AV2463" s="80" t="str">
        <f>HYPERLINK("https://pbs.twimg.com/profile_images/1613885938525945856/HCvdytcY_normal.jpg")</f>
        <v>https://pbs.twimg.com/profile_images/1613885938525945856/HCvdytcY_normal.jpg</v>
      </c>
      <c r="AW2463" s="82" t="s">
        <v>19229</v>
      </c>
      <c r="AX2463" s="82" t="s">
        <v>19229</v>
      </c>
      <c r="AY2463" s="77"/>
      <c r="AZ2463" s="82" t="s">
        <v>20971</v>
      </c>
      <c r="BA2463" s="82" t="s">
        <v>20971</v>
      </c>
      <c r="BB2463" s="82" t="s">
        <v>20971</v>
      </c>
      <c r="BC2463" s="82" t="s">
        <v>19229</v>
      </c>
      <c r="BD2463" s="77">
        <v>318171711</v>
      </c>
      <c r="BE2463" s="77"/>
      <c r="BF2463" s="77"/>
      <c r="BG2463" s="77"/>
      <c r="BH2463" s="77"/>
      <c r="BI2463" s="77"/>
    </row>
    <row r="2464" spans="1:61" x14ac:dyDescent="0.25">
      <c r="A2464" s="62" t="s">
        <v>860</v>
      </c>
      <c r="B2464" s="62" t="s">
        <v>860</v>
      </c>
      <c r="C2464" s="63"/>
      <c r="D2464" s="64"/>
      <c r="E2464" s="65"/>
      <c r="F2464" s="66"/>
      <c r="G2464" s="63"/>
      <c r="H2464" s="67"/>
      <c r="I2464" s="68"/>
      <c r="J2464" s="68"/>
      <c r="K2464" s="32"/>
      <c r="L2464" s="75">
        <v>2464</v>
      </c>
      <c r="M2464" s="75"/>
      <c r="N2464" s="70"/>
      <c r="O2464" s="77" t="s">
        <v>179</v>
      </c>
      <c r="P2464" s="79">
        <v>44977.998229166667</v>
      </c>
      <c r="Q2464" s="77" t="s">
        <v>3670</v>
      </c>
      <c r="R2464" s="77">
        <v>0</v>
      </c>
      <c r="S2464" s="77">
        <v>0</v>
      </c>
      <c r="T2464" s="77">
        <v>0</v>
      </c>
      <c r="U2464" s="77">
        <v>0</v>
      </c>
      <c r="V2464" s="77">
        <v>41</v>
      </c>
      <c r="W2464" s="82" t="s">
        <v>6440</v>
      </c>
      <c r="X2464" s="80" t="str">
        <f>HYPERLINK("http://r.honeygain.me")</f>
        <v>http://r.honeygain.me</v>
      </c>
      <c r="Y2464" s="77" t="s">
        <v>7262</v>
      </c>
      <c r="Z2464" s="77"/>
      <c r="AA2464" s="77"/>
      <c r="AB2464" s="77"/>
      <c r="AC2464" s="82" t="s">
        <v>10146</v>
      </c>
      <c r="AD2464" s="77" t="s">
        <v>10184</v>
      </c>
      <c r="AE2464" s="80" t="str">
        <f>HYPERLINK("https://twitter.com/viktorvenddetta/status/1627819752981729280")</f>
        <v>https://twitter.com/viktorvenddetta/status/1627819752981729280</v>
      </c>
      <c r="AF2464" s="79">
        <v>44977.998229166667</v>
      </c>
      <c r="AG2464" s="85">
        <v>44977</v>
      </c>
      <c r="AH2464" s="82" t="s">
        <v>12551</v>
      </c>
      <c r="AI2464" s="77" t="b">
        <v>0</v>
      </c>
      <c r="AJ2464" s="77"/>
      <c r="AK2464" s="77"/>
      <c r="AL2464" s="77"/>
      <c r="AM2464" s="77"/>
      <c r="AN2464" s="77"/>
      <c r="AO2464" s="77"/>
      <c r="AP2464" s="77"/>
      <c r="AQ2464" s="77"/>
      <c r="AR2464" s="77"/>
      <c r="AS2464" s="77"/>
      <c r="AT2464" s="77"/>
      <c r="AU2464" s="77"/>
      <c r="AV2464" s="80" t="str">
        <f>HYPERLINK("https://pbs.twimg.com/profile_images/1613885938525945856/HCvdytcY_normal.jpg")</f>
        <v>https://pbs.twimg.com/profile_images/1613885938525945856/HCvdytcY_normal.jpg</v>
      </c>
      <c r="AW2464" s="82" t="s">
        <v>19230</v>
      </c>
      <c r="AX2464" s="82" t="s">
        <v>19230</v>
      </c>
      <c r="AY2464" s="77"/>
      <c r="AZ2464" s="82" t="s">
        <v>20971</v>
      </c>
      <c r="BA2464" s="82" t="s">
        <v>20971</v>
      </c>
      <c r="BB2464" s="82" t="s">
        <v>20971</v>
      </c>
      <c r="BC2464" s="82" t="s">
        <v>19230</v>
      </c>
      <c r="BD2464" s="77">
        <v>318171711</v>
      </c>
      <c r="BE2464" s="77"/>
      <c r="BF2464" s="77"/>
      <c r="BG2464" s="77"/>
      <c r="BH2464" s="77"/>
      <c r="BI2464" s="77"/>
    </row>
    <row r="2465" spans="1:61" x14ac:dyDescent="0.25">
      <c r="A2465" s="62" t="s">
        <v>861</v>
      </c>
      <c r="B2465" s="62" t="s">
        <v>861</v>
      </c>
      <c r="C2465" s="63"/>
      <c r="D2465" s="64"/>
      <c r="E2465" s="65"/>
      <c r="F2465" s="66"/>
      <c r="G2465" s="63"/>
      <c r="H2465" s="67"/>
      <c r="I2465" s="68"/>
      <c r="J2465" s="68"/>
      <c r="K2465" s="32"/>
      <c r="L2465" s="75">
        <v>2465</v>
      </c>
      <c r="M2465" s="75"/>
      <c r="N2465" s="70"/>
      <c r="O2465" s="77" t="s">
        <v>179</v>
      </c>
      <c r="P2465" s="79">
        <v>45001.629988425928</v>
      </c>
      <c r="Q2465" s="77" t="s">
        <v>3671</v>
      </c>
      <c r="R2465" s="77">
        <v>0</v>
      </c>
      <c r="S2465" s="77">
        <v>0</v>
      </c>
      <c r="T2465" s="77">
        <v>0</v>
      </c>
      <c r="U2465" s="77">
        <v>0</v>
      </c>
      <c r="V2465" s="77">
        <v>36</v>
      </c>
      <c r="W2465" s="82" t="s">
        <v>6442</v>
      </c>
      <c r="X2465" s="77"/>
      <c r="Y2465" s="77"/>
      <c r="Z2465" s="77"/>
      <c r="AA2465" s="77" t="s">
        <v>8885</v>
      </c>
      <c r="AB2465" s="77" t="s">
        <v>10130</v>
      </c>
      <c r="AC2465" s="82" t="s">
        <v>10144</v>
      </c>
      <c r="AD2465" s="77" t="s">
        <v>10183</v>
      </c>
      <c r="AE2465" s="80" t="str">
        <f>HYPERLINK("https://twitter.com/eimigra/status/1636383617906790411")</f>
        <v>https://twitter.com/eimigra/status/1636383617906790411</v>
      </c>
      <c r="AF2465" s="79">
        <v>45001.629988425928</v>
      </c>
      <c r="AG2465" s="85">
        <v>45001</v>
      </c>
      <c r="AH2465" s="82" t="s">
        <v>12552</v>
      </c>
      <c r="AI2465" s="77" t="b">
        <v>0</v>
      </c>
      <c r="AJ2465" s="77"/>
      <c r="AK2465" s="77"/>
      <c r="AL2465" s="77"/>
      <c r="AM2465" s="77"/>
      <c r="AN2465" s="77"/>
      <c r="AO2465" s="77"/>
      <c r="AP2465" s="77"/>
      <c r="AQ2465" s="77" t="s">
        <v>15528</v>
      </c>
      <c r="AR2465" s="77"/>
      <c r="AS2465" s="77"/>
      <c r="AT2465" s="77"/>
      <c r="AU2465" s="77"/>
      <c r="AV2465" s="80" t="str">
        <f>HYPERLINK("https://pbs.twimg.com/media/FrWaOlUaAAASEsO.jpg")</f>
        <v>https://pbs.twimg.com/media/FrWaOlUaAAASEsO.jpg</v>
      </c>
      <c r="AW2465" s="82" t="s">
        <v>19231</v>
      </c>
      <c r="AX2465" s="82" t="s">
        <v>19231</v>
      </c>
      <c r="AY2465" s="77"/>
      <c r="AZ2465" s="82" t="s">
        <v>20971</v>
      </c>
      <c r="BA2465" s="82" t="s">
        <v>20971</v>
      </c>
      <c r="BB2465" s="82" t="s">
        <v>20971</v>
      </c>
      <c r="BC2465" s="82" t="s">
        <v>19231</v>
      </c>
      <c r="BD2465" s="82" t="s">
        <v>21486</v>
      </c>
      <c r="BE2465" s="77"/>
      <c r="BF2465" s="77"/>
      <c r="BG2465" s="77"/>
      <c r="BH2465" s="77"/>
      <c r="BI2465" s="77"/>
    </row>
    <row r="2466" spans="1:61" x14ac:dyDescent="0.25">
      <c r="A2466" s="62" t="s">
        <v>862</v>
      </c>
      <c r="B2466" s="62" t="s">
        <v>862</v>
      </c>
      <c r="C2466" s="63"/>
      <c r="D2466" s="64"/>
      <c r="E2466" s="65"/>
      <c r="F2466" s="66"/>
      <c r="G2466" s="63"/>
      <c r="H2466" s="67"/>
      <c r="I2466" s="68"/>
      <c r="J2466" s="68"/>
      <c r="K2466" s="32"/>
      <c r="L2466" s="75">
        <v>2466</v>
      </c>
      <c r="M2466" s="75"/>
      <c r="N2466" s="70"/>
      <c r="O2466" s="77" t="s">
        <v>179</v>
      </c>
      <c r="P2466" s="79">
        <v>45185.642418981479</v>
      </c>
      <c r="Q2466" s="77" t="s">
        <v>3672</v>
      </c>
      <c r="R2466" s="77">
        <v>0</v>
      </c>
      <c r="S2466" s="77">
        <v>0</v>
      </c>
      <c r="T2466" s="77">
        <v>0</v>
      </c>
      <c r="U2466" s="77">
        <v>0</v>
      </c>
      <c r="V2466" s="77">
        <v>12</v>
      </c>
      <c r="W2466" s="82" t="s">
        <v>6443</v>
      </c>
      <c r="X2466" s="77"/>
      <c r="Y2466" s="77"/>
      <c r="Z2466" s="77"/>
      <c r="AA2466" s="77" t="s">
        <v>8886</v>
      </c>
      <c r="AB2466" s="77" t="s">
        <v>10129</v>
      </c>
      <c r="AC2466" s="82" t="s">
        <v>10145</v>
      </c>
      <c r="AD2466" s="77" t="s">
        <v>10184</v>
      </c>
      <c r="AE2466" s="80" t="str">
        <f>HYPERLINK("https://twitter.com/cludiamarq69376/status/1703067488286609414")</f>
        <v>https://twitter.com/cludiamarq69376/status/1703067488286609414</v>
      </c>
      <c r="AF2466" s="79">
        <v>45185.642418981479</v>
      </c>
      <c r="AG2466" s="85">
        <v>45185</v>
      </c>
      <c r="AH2466" s="82" t="s">
        <v>10417</v>
      </c>
      <c r="AI2466" s="77" t="b">
        <v>0</v>
      </c>
      <c r="AJ2466" s="77"/>
      <c r="AK2466" s="77"/>
      <c r="AL2466" s="77"/>
      <c r="AM2466" s="77"/>
      <c r="AN2466" s="77"/>
      <c r="AO2466" s="77"/>
      <c r="AP2466" s="77"/>
      <c r="AQ2466" s="77" t="s">
        <v>15529</v>
      </c>
      <c r="AR2466" s="77">
        <v>9766</v>
      </c>
      <c r="AS2466" s="77"/>
      <c r="AT2466" s="77"/>
      <c r="AU2466" s="77"/>
      <c r="AV2466" s="80" t="str">
        <f>HYPERLINK("https://pbs.twimg.com/ext_tw_video_thumb/1703067439863316480/pu/img/734x3LL6veNRv9rT.jpg")</f>
        <v>https://pbs.twimg.com/ext_tw_video_thumb/1703067439863316480/pu/img/734x3LL6veNRv9rT.jpg</v>
      </c>
      <c r="AW2466" s="82" t="s">
        <v>19232</v>
      </c>
      <c r="AX2466" s="82" t="s">
        <v>19232</v>
      </c>
      <c r="AY2466" s="77"/>
      <c r="AZ2466" s="82" t="s">
        <v>20971</v>
      </c>
      <c r="BA2466" s="82" t="s">
        <v>20971</v>
      </c>
      <c r="BB2466" s="82" t="s">
        <v>20971</v>
      </c>
      <c r="BC2466" s="82" t="s">
        <v>19232</v>
      </c>
      <c r="BD2466" s="82" t="s">
        <v>21487</v>
      </c>
      <c r="BE2466" s="77"/>
      <c r="BF2466" s="77"/>
      <c r="BG2466" s="77"/>
      <c r="BH2466" s="77"/>
      <c r="BI2466" s="77"/>
    </row>
    <row r="2467" spans="1:61" x14ac:dyDescent="0.25">
      <c r="A2467" s="62" t="s">
        <v>862</v>
      </c>
      <c r="B2467" s="62" t="s">
        <v>862</v>
      </c>
      <c r="C2467" s="63"/>
      <c r="D2467" s="64"/>
      <c r="E2467" s="65"/>
      <c r="F2467" s="66"/>
      <c r="G2467" s="63"/>
      <c r="H2467" s="67"/>
      <c r="I2467" s="68"/>
      <c r="J2467" s="68"/>
      <c r="K2467" s="32"/>
      <c r="L2467" s="75">
        <v>2467</v>
      </c>
      <c r="M2467" s="75"/>
      <c r="N2467" s="70"/>
      <c r="O2467" s="77" t="s">
        <v>179</v>
      </c>
      <c r="P2467" s="79">
        <v>45181.869074074071</v>
      </c>
      <c r="Q2467" s="77" t="s">
        <v>3673</v>
      </c>
      <c r="R2467" s="77">
        <v>0</v>
      </c>
      <c r="S2467" s="77">
        <v>0</v>
      </c>
      <c r="T2467" s="77">
        <v>0</v>
      </c>
      <c r="U2467" s="77">
        <v>0</v>
      </c>
      <c r="V2467" s="77">
        <v>44</v>
      </c>
      <c r="W2467" s="82" t="s">
        <v>6444</v>
      </c>
      <c r="X2467" s="77"/>
      <c r="Y2467" s="77"/>
      <c r="Z2467" s="77"/>
      <c r="AA2467" s="77" t="s">
        <v>8887</v>
      </c>
      <c r="AB2467" s="77" t="s">
        <v>10129</v>
      </c>
      <c r="AC2467" s="82" t="s">
        <v>10145</v>
      </c>
      <c r="AD2467" s="77" t="s">
        <v>10184</v>
      </c>
      <c r="AE2467" s="80" t="str">
        <f>HYPERLINK("https://twitter.com/cludiamarq69376/status/1701700075964207179")</f>
        <v>https://twitter.com/cludiamarq69376/status/1701700075964207179</v>
      </c>
      <c r="AF2467" s="79">
        <v>45181.869074074071</v>
      </c>
      <c r="AG2467" s="85">
        <v>45181</v>
      </c>
      <c r="AH2467" s="82" t="s">
        <v>12553</v>
      </c>
      <c r="AI2467" s="77" t="b">
        <v>0</v>
      </c>
      <c r="AJ2467" s="77"/>
      <c r="AK2467" s="77"/>
      <c r="AL2467" s="77"/>
      <c r="AM2467" s="77"/>
      <c r="AN2467" s="77"/>
      <c r="AO2467" s="77"/>
      <c r="AP2467" s="77"/>
      <c r="AQ2467" s="77" t="s">
        <v>15530</v>
      </c>
      <c r="AR2467" s="77">
        <v>17566</v>
      </c>
      <c r="AS2467" s="77"/>
      <c r="AT2467" s="77"/>
      <c r="AU2467" s="77"/>
      <c r="AV2467" s="80" t="str">
        <f>HYPERLINK("https://pbs.twimg.com/ext_tw_video_thumb/1701700049472823296/pu/img/JL3PBu4RKMbzNuAn.jpg")</f>
        <v>https://pbs.twimg.com/ext_tw_video_thumb/1701700049472823296/pu/img/JL3PBu4RKMbzNuAn.jpg</v>
      </c>
      <c r="AW2467" s="82" t="s">
        <v>19233</v>
      </c>
      <c r="AX2467" s="82" t="s">
        <v>19233</v>
      </c>
      <c r="AY2467" s="77"/>
      <c r="AZ2467" s="82" t="s">
        <v>20971</v>
      </c>
      <c r="BA2467" s="82" t="s">
        <v>20971</v>
      </c>
      <c r="BB2467" s="82" t="s">
        <v>20971</v>
      </c>
      <c r="BC2467" s="82" t="s">
        <v>19233</v>
      </c>
      <c r="BD2467" s="82" t="s">
        <v>21487</v>
      </c>
      <c r="BE2467" s="77"/>
      <c r="BF2467" s="77"/>
      <c r="BG2467" s="77"/>
      <c r="BH2467" s="77"/>
      <c r="BI2467" s="77"/>
    </row>
    <row r="2468" spans="1:61" x14ac:dyDescent="0.25">
      <c r="A2468" s="62" t="s">
        <v>862</v>
      </c>
      <c r="B2468" s="62" t="s">
        <v>862</v>
      </c>
      <c r="C2468" s="63"/>
      <c r="D2468" s="64"/>
      <c r="E2468" s="65"/>
      <c r="F2468" s="66"/>
      <c r="G2468" s="63"/>
      <c r="H2468" s="67"/>
      <c r="I2468" s="68"/>
      <c r="J2468" s="68"/>
      <c r="K2468" s="32"/>
      <c r="L2468" s="75">
        <v>2468</v>
      </c>
      <c r="M2468" s="75"/>
      <c r="N2468" s="70"/>
      <c r="O2468" s="77" t="s">
        <v>179</v>
      </c>
      <c r="P2468" s="79">
        <v>45187.543645833335</v>
      </c>
      <c r="Q2468" s="77" t="s">
        <v>3674</v>
      </c>
      <c r="R2468" s="77">
        <v>0</v>
      </c>
      <c r="S2468" s="77">
        <v>0</v>
      </c>
      <c r="T2468" s="77">
        <v>0</v>
      </c>
      <c r="U2468" s="77">
        <v>0</v>
      </c>
      <c r="V2468" s="77">
        <v>8</v>
      </c>
      <c r="W2468" s="82" t="s">
        <v>6445</v>
      </c>
      <c r="X2468" s="77"/>
      <c r="Y2468" s="77"/>
      <c r="Z2468" s="77"/>
      <c r="AA2468" s="77" t="s">
        <v>8888</v>
      </c>
      <c r="AB2468" s="77" t="s">
        <v>10129</v>
      </c>
      <c r="AC2468" s="82" t="s">
        <v>10145</v>
      </c>
      <c r="AD2468" s="77" t="s">
        <v>10184</v>
      </c>
      <c r="AE2468" s="80" t="str">
        <f>HYPERLINK("https://twitter.com/cludiamarq69376/status/1703756472511795249")</f>
        <v>https://twitter.com/cludiamarq69376/status/1703756472511795249</v>
      </c>
      <c r="AF2468" s="79">
        <v>45187.543645833335</v>
      </c>
      <c r="AG2468" s="85">
        <v>45187</v>
      </c>
      <c r="AH2468" s="82" t="s">
        <v>11738</v>
      </c>
      <c r="AI2468" s="77" t="b">
        <v>0</v>
      </c>
      <c r="AJ2468" s="77"/>
      <c r="AK2468" s="77"/>
      <c r="AL2468" s="77"/>
      <c r="AM2468" s="77"/>
      <c r="AN2468" s="77"/>
      <c r="AO2468" s="77"/>
      <c r="AP2468" s="77"/>
      <c r="AQ2468" s="77" t="s">
        <v>15531</v>
      </c>
      <c r="AR2468" s="77">
        <v>10200</v>
      </c>
      <c r="AS2468" s="77"/>
      <c r="AT2468" s="77"/>
      <c r="AU2468" s="77"/>
      <c r="AV2468" s="80" t="str">
        <f>HYPERLINK("https://pbs.twimg.com/ext_tw_video_thumb/1703756436176588800/pu/img/N6I5pr3gWO0yG2-L.jpg")</f>
        <v>https://pbs.twimg.com/ext_tw_video_thumb/1703756436176588800/pu/img/N6I5pr3gWO0yG2-L.jpg</v>
      </c>
      <c r="AW2468" s="82" t="s">
        <v>19234</v>
      </c>
      <c r="AX2468" s="82" t="s">
        <v>19234</v>
      </c>
      <c r="AY2468" s="77"/>
      <c r="AZ2468" s="82" t="s">
        <v>20971</v>
      </c>
      <c r="BA2468" s="82" t="s">
        <v>20971</v>
      </c>
      <c r="BB2468" s="82" t="s">
        <v>20971</v>
      </c>
      <c r="BC2468" s="82" t="s">
        <v>19234</v>
      </c>
      <c r="BD2468" s="82" t="s">
        <v>21487</v>
      </c>
      <c r="BE2468" s="77"/>
      <c r="BF2468" s="77"/>
      <c r="BG2468" s="77"/>
      <c r="BH2468" s="77"/>
      <c r="BI2468" s="77"/>
    </row>
    <row r="2469" spans="1:61" x14ac:dyDescent="0.25">
      <c r="A2469" s="62" t="s">
        <v>863</v>
      </c>
      <c r="B2469" s="62" t="s">
        <v>863</v>
      </c>
      <c r="C2469" s="63"/>
      <c r="D2469" s="64"/>
      <c r="E2469" s="65"/>
      <c r="F2469" s="66"/>
      <c r="G2469" s="63"/>
      <c r="H2469" s="67"/>
      <c r="I2469" s="68"/>
      <c r="J2469" s="68"/>
      <c r="K2469" s="32"/>
      <c r="L2469" s="75">
        <v>2469</v>
      </c>
      <c r="M2469" s="75"/>
      <c r="N2469" s="70"/>
      <c r="O2469" s="77" t="s">
        <v>179</v>
      </c>
      <c r="P2469" s="79">
        <v>45086.02553240741</v>
      </c>
      <c r="Q2469" s="77" t="s">
        <v>3675</v>
      </c>
      <c r="R2469" s="77">
        <v>0</v>
      </c>
      <c r="S2469" s="77">
        <v>0</v>
      </c>
      <c r="T2469" s="77">
        <v>0</v>
      </c>
      <c r="U2469" s="77">
        <v>0</v>
      </c>
      <c r="V2469" s="77">
        <v>9</v>
      </c>
      <c r="W2469" s="82" t="s">
        <v>6446</v>
      </c>
      <c r="X2469" s="80" t="str">
        <f>HYPERLINK("https://vm.tiktok.com/ZM2rGFPqg/")</f>
        <v>https://vm.tiktok.com/ZM2rGFPqg/</v>
      </c>
      <c r="Y2469" s="77" t="s">
        <v>7306</v>
      </c>
      <c r="Z2469" s="77"/>
      <c r="AA2469" s="77"/>
      <c r="AB2469" s="77"/>
      <c r="AC2469" s="82" t="s">
        <v>10144</v>
      </c>
      <c r="AD2469" s="77" t="s">
        <v>10184</v>
      </c>
      <c r="AE2469" s="80" t="str">
        <f>HYPERLINK("https://twitter.com/rodrigodorje/status/1666967537874096128")</f>
        <v>https://twitter.com/rodrigodorje/status/1666967537874096128</v>
      </c>
      <c r="AF2469" s="79">
        <v>45086.02553240741</v>
      </c>
      <c r="AG2469" s="85">
        <v>45086</v>
      </c>
      <c r="AH2469" s="82" t="s">
        <v>12554</v>
      </c>
      <c r="AI2469" s="77" t="b">
        <v>0</v>
      </c>
      <c r="AJ2469" s="77"/>
      <c r="AK2469" s="77"/>
      <c r="AL2469" s="77"/>
      <c r="AM2469" s="77"/>
      <c r="AN2469" s="77"/>
      <c r="AO2469" s="77"/>
      <c r="AP2469" s="77"/>
      <c r="AQ2469" s="77"/>
      <c r="AR2469" s="77"/>
      <c r="AS2469" s="77"/>
      <c r="AT2469" s="77"/>
      <c r="AU2469" s="77"/>
      <c r="AV2469" s="80" t="str">
        <f>HYPERLINK("https://pbs.twimg.com/profile_images/949710325426872320/rhE9BZWH_normal.jpg")</f>
        <v>https://pbs.twimg.com/profile_images/949710325426872320/rhE9BZWH_normal.jpg</v>
      </c>
      <c r="AW2469" s="82" t="s">
        <v>19235</v>
      </c>
      <c r="AX2469" s="82" t="s">
        <v>19235</v>
      </c>
      <c r="AY2469" s="77"/>
      <c r="AZ2469" s="82" t="s">
        <v>20971</v>
      </c>
      <c r="BA2469" s="82" t="s">
        <v>20971</v>
      </c>
      <c r="BB2469" s="82" t="s">
        <v>20971</v>
      </c>
      <c r="BC2469" s="82" t="s">
        <v>19235</v>
      </c>
      <c r="BD2469" s="77">
        <v>66671679</v>
      </c>
      <c r="BE2469" s="77"/>
      <c r="BF2469" s="77"/>
      <c r="BG2469" s="77"/>
      <c r="BH2469" s="77"/>
      <c r="BI2469" s="77"/>
    </row>
    <row r="2470" spans="1:61" x14ac:dyDescent="0.25">
      <c r="A2470" s="62" t="s">
        <v>863</v>
      </c>
      <c r="B2470" s="62" t="s">
        <v>863</v>
      </c>
      <c r="C2470" s="63"/>
      <c r="D2470" s="64"/>
      <c r="E2470" s="65"/>
      <c r="F2470" s="66"/>
      <c r="G2470" s="63"/>
      <c r="H2470" s="67"/>
      <c r="I2470" s="68"/>
      <c r="J2470" s="68"/>
      <c r="K2470" s="32"/>
      <c r="L2470" s="75">
        <v>2470</v>
      </c>
      <c r="M2470" s="75"/>
      <c r="N2470" s="70"/>
      <c r="O2470" s="77" t="s">
        <v>179</v>
      </c>
      <c r="P2470" s="79">
        <v>45172.988495370373</v>
      </c>
      <c r="Q2470" s="77" t="s">
        <v>3676</v>
      </c>
      <c r="R2470" s="77">
        <v>0</v>
      </c>
      <c r="S2470" s="77">
        <v>1</v>
      </c>
      <c r="T2470" s="77">
        <v>0</v>
      </c>
      <c r="U2470" s="77">
        <v>0</v>
      </c>
      <c r="V2470" s="77">
        <v>9</v>
      </c>
      <c r="W2470" s="82" t="s">
        <v>6447</v>
      </c>
      <c r="X2470" s="80" t="str">
        <f>HYPERLINK("https://vm.tiktok.com/ZMjFcMQaa/")</f>
        <v>https://vm.tiktok.com/ZMjFcMQaa/</v>
      </c>
      <c r="Y2470" s="77" t="s">
        <v>7306</v>
      </c>
      <c r="Z2470" s="77"/>
      <c r="AA2470" s="77"/>
      <c r="AB2470" s="77"/>
      <c r="AC2470" s="82" t="s">
        <v>10144</v>
      </c>
      <c r="AD2470" s="77" t="s">
        <v>10184</v>
      </c>
      <c r="AE2470" s="80" t="str">
        <f>HYPERLINK("https://twitter.com/rodrigodorje/status/1698481860098113741")</f>
        <v>https://twitter.com/rodrigodorje/status/1698481860098113741</v>
      </c>
      <c r="AF2470" s="79">
        <v>45172.988495370373</v>
      </c>
      <c r="AG2470" s="85">
        <v>45172</v>
      </c>
      <c r="AH2470" s="82" t="s">
        <v>12555</v>
      </c>
      <c r="AI2470" s="77" t="b">
        <v>0</v>
      </c>
      <c r="AJ2470" s="77"/>
      <c r="AK2470" s="77"/>
      <c r="AL2470" s="77"/>
      <c r="AM2470" s="77"/>
      <c r="AN2470" s="77"/>
      <c r="AO2470" s="77"/>
      <c r="AP2470" s="77"/>
      <c r="AQ2470" s="77"/>
      <c r="AR2470" s="77"/>
      <c r="AS2470" s="77"/>
      <c r="AT2470" s="77"/>
      <c r="AU2470" s="77"/>
      <c r="AV2470" s="80" t="str">
        <f>HYPERLINK("https://pbs.twimg.com/profile_images/949710325426872320/rhE9BZWH_normal.jpg")</f>
        <v>https://pbs.twimg.com/profile_images/949710325426872320/rhE9BZWH_normal.jpg</v>
      </c>
      <c r="AW2470" s="82" t="s">
        <v>19236</v>
      </c>
      <c r="AX2470" s="82" t="s">
        <v>19236</v>
      </c>
      <c r="AY2470" s="77"/>
      <c r="AZ2470" s="82" t="s">
        <v>20971</v>
      </c>
      <c r="BA2470" s="82" t="s">
        <v>20971</v>
      </c>
      <c r="BB2470" s="82" t="s">
        <v>20971</v>
      </c>
      <c r="BC2470" s="82" t="s">
        <v>19236</v>
      </c>
      <c r="BD2470" s="77">
        <v>66671679</v>
      </c>
      <c r="BE2470" s="77"/>
      <c r="BF2470" s="77"/>
      <c r="BG2470" s="77"/>
      <c r="BH2470" s="77"/>
      <c r="BI2470" s="77"/>
    </row>
    <row r="2471" spans="1:61" x14ac:dyDescent="0.25">
      <c r="A2471" s="62" t="s">
        <v>864</v>
      </c>
      <c r="B2471" s="62" t="s">
        <v>864</v>
      </c>
      <c r="C2471" s="63"/>
      <c r="D2471" s="64"/>
      <c r="E2471" s="65"/>
      <c r="F2471" s="66"/>
      <c r="G2471" s="63"/>
      <c r="H2471" s="67"/>
      <c r="I2471" s="68"/>
      <c r="J2471" s="68"/>
      <c r="K2471" s="32"/>
      <c r="L2471" s="75">
        <v>2471</v>
      </c>
      <c r="M2471" s="75"/>
      <c r="N2471" s="70"/>
      <c r="O2471" s="77" t="s">
        <v>179</v>
      </c>
      <c r="P2471" s="79">
        <v>45115.672222222223</v>
      </c>
      <c r="Q2471" s="77" t="s">
        <v>3677</v>
      </c>
      <c r="R2471" s="77">
        <v>0</v>
      </c>
      <c r="S2471" s="77">
        <v>0</v>
      </c>
      <c r="T2471" s="77">
        <v>0</v>
      </c>
      <c r="U2471" s="77">
        <v>0</v>
      </c>
      <c r="V2471" s="77">
        <v>18</v>
      </c>
      <c r="W2471" s="82" t="s">
        <v>6448</v>
      </c>
      <c r="X2471" s="80" t="str">
        <f>HYPERLINK("https://gabinetedarma.com.br/sites-para-ganhar-dinheiro-renda-extra/")</f>
        <v>https://gabinetedarma.com.br/sites-para-ganhar-dinheiro-renda-extra/</v>
      </c>
      <c r="Y2471" s="77" t="s">
        <v>7252</v>
      </c>
      <c r="Z2471" s="77"/>
      <c r="AA2471" s="77"/>
      <c r="AB2471" s="77"/>
      <c r="AC2471" s="82" t="s">
        <v>10146</v>
      </c>
      <c r="AD2471" s="77" t="s">
        <v>10184</v>
      </c>
      <c r="AE2471" s="80" t="str">
        <f>HYPERLINK("https://twitter.com/gabinetedarma/status/1677711137972842497")</f>
        <v>https://twitter.com/gabinetedarma/status/1677711137972842497</v>
      </c>
      <c r="AF2471" s="79">
        <v>45115.672222222223</v>
      </c>
      <c r="AG2471" s="85">
        <v>45115</v>
      </c>
      <c r="AH2471" s="82" t="s">
        <v>12556</v>
      </c>
      <c r="AI2471" s="77" t="b">
        <v>0</v>
      </c>
      <c r="AJ2471" s="77"/>
      <c r="AK2471" s="77"/>
      <c r="AL2471" s="77"/>
      <c r="AM2471" s="77"/>
      <c r="AN2471" s="77"/>
      <c r="AO2471" s="77"/>
      <c r="AP2471" s="77"/>
      <c r="AQ2471" s="77"/>
      <c r="AR2471" s="77"/>
      <c r="AS2471" s="77"/>
      <c r="AT2471" s="77"/>
      <c r="AU2471" s="77"/>
      <c r="AV2471" s="80" t="str">
        <f>HYPERLINK("https://pbs.twimg.com/profile_images/1660480847227625472/-_hXBVZP_normal.jpg")</f>
        <v>https://pbs.twimg.com/profile_images/1660480847227625472/-_hXBVZP_normal.jpg</v>
      </c>
      <c r="AW2471" s="82" t="s">
        <v>19237</v>
      </c>
      <c r="AX2471" s="82" t="s">
        <v>19237</v>
      </c>
      <c r="AY2471" s="77"/>
      <c r="AZ2471" s="82" t="s">
        <v>20971</v>
      </c>
      <c r="BA2471" s="82" t="s">
        <v>20971</v>
      </c>
      <c r="BB2471" s="82" t="s">
        <v>20971</v>
      </c>
      <c r="BC2471" s="82" t="s">
        <v>19237</v>
      </c>
      <c r="BD2471" s="82" t="s">
        <v>21488</v>
      </c>
      <c r="BE2471" s="77"/>
      <c r="BF2471" s="77"/>
      <c r="BG2471" s="77"/>
      <c r="BH2471" s="77"/>
      <c r="BI2471" s="77"/>
    </row>
    <row r="2472" spans="1:61" x14ac:dyDescent="0.25">
      <c r="A2472" s="62" t="s">
        <v>865</v>
      </c>
      <c r="B2472" s="62" t="s">
        <v>865</v>
      </c>
      <c r="C2472" s="63"/>
      <c r="D2472" s="64"/>
      <c r="E2472" s="65"/>
      <c r="F2472" s="66"/>
      <c r="G2472" s="63"/>
      <c r="H2472" s="67"/>
      <c r="I2472" s="68"/>
      <c r="J2472" s="68"/>
      <c r="K2472" s="32"/>
      <c r="L2472" s="75">
        <v>2472</v>
      </c>
      <c r="M2472" s="75"/>
      <c r="N2472" s="70"/>
      <c r="O2472" s="77" t="s">
        <v>179</v>
      </c>
      <c r="P2472" s="79">
        <v>44980.650462962964</v>
      </c>
      <c r="Q2472" s="77" t="s">
        <v>3678</v>
      </c>
      <c r="R2472" s="77">
        <v>0</v>
      </c>
      <c r="S2472" s="77">
        <v>0</v>
      </c>
      <c r="T2472" s="77">
        <v>0</v>
      </c>
      <c r="U2472" s="77">
        <v>0</v>
      </c>
      <c r="V2472" s="77">
        <v>55</v>
      </c>
      <c r="W2472" s="82" t="s">
        <v>6449</v>
      </c>
      <c r="X2472" s="77" t="s">
        <v>7211</v>
      </c>
      <c r="Y2472" s="77" t="s">
        <v>7419</v>
      </c>
      <c r="Z2472" s="77"/>
      <c r="AA2472" s="77"/>
      <c r="AB2472" s="77"/>
      <c r="AC2472" s="82" t="s">
        <v>10144</v>
      </c>
      <c r="AD2472" s="77" t="s">
        <v>10184</v>
      </c>
      <c r="AE2472" s="80" t="str">
        <f>HYPERLINK("https://twitter.com/trapos_chi/status/1628780890347241472")</f>
        <v>https://twitter.com/trapos_chi/status/1628780890347241472</v>
      </c>
      <c r="AF2472" s="79">
        <v>44980.650462962964</v>
      </c>
      <c r="AG2472" s="85">
        <v>44980</v>
      </c>
      <c r="AH2472" s="82" t="s">
        <v>12557</v>
      </c>
      <c r="AI2472" s="77" t="b">
        <v>0</v>
      </c>
      <c r="AJ2472" s="77"/>
      <c r="AK2472" s="77"/>
      <c r="AL2472" s="77"/>
      <c r="AM2472" s="77"/>
      <c r="AN2472" s="77"/>
      <c r="AO2472" s="77"/>
      <c r="AP2472" s="77"/>
      <c r="AQ2472" s="77"/>
      <c r="AR2472" s="77"/>
      <c r="AS2472" s="77"/>
      <c r="AT2472" s="77"/>
      <c r="AU2472" s="77"/>
      <c r="AV2472" s="80" t="str">
        <f>HYPERLINK("https://pbs.twimg.com/profile_images/1535003713261166607/lcMU1L41_normal.jpg")</f>
        <v>https://pbs.twimg.com/profile_images/1535003713261166607/lcMU1L41_normal.jpg</v>
      </c>
      <c r="AW2472" s="82" t="s">
        <v>19238</v>
      </c>
      <c r="AX2472" s="82" t="s">
        <v>19238</v>
      </c>
      <c r="AY2472" s="77"/>
      <c r="AZ2472" s="82" t="s">
        <v>20971</v>
      </c>
      <c r="BA2472" s="82" t="s">
        <v>20971</v>
      </c>
      <c r="BB2472" s="82" t="s">
        <v>20971</v>
      </c>
      <c r="BC2472" s="82" t="s">
        <v>19238</v>
      </c>
      <c r="BD2472" s="77">
        <v>318081196</v>
      </c>
      <c r="BE2472" s="77"/>
      <c r="BF2472" s="77"/>
      <c r="BG2472" s="77"/>
      <c r="BH2472" s="77"/>
      <c r="BI2472" s="77"/>
    </row>
    <row r="2473" spans="1:61" x14ac:dyDescent="0.25">
      <c r="A2473" s="62" t="s">
        <v>866</v>
      </c>
      <c r="B2473" s="62" t="s">
        <v>866</v>
      </c>
      <c r="C2473" s="63"/>
      <c r="D2473" s="64"/>
      <c r="E2473" s="65"/>
      <c r="F2473" s="66"/>
      <c r="G2473" s="63"/>
      <c r="H2473" s="67"/>
      <c r="I2473" s="68"/>
      <c r="J2473" s="68"/>
      <c r="K2473" s="32"/>
      <c r="L2473" s="75">
        <v>2473</v>
      </c>
      <c r="M2473" s="75"/>
      <c r="N2473" s="70"/>
      <c r="O2473" s="77" t="s">
        <v>179</v>
      </c>
      <c r="P2473" s="79">
        <v>45190.708854166667</v>
      </c>
      <c r="Q2473" s="77" t="s">
        <v>3679</v>
      </c>
      <c r="R2473" s="77">
        <v>1</v>
      </c>
      <c r="S2473" s="77">
        <v>1</v>
      </c>
      <c r="T2473" s="77">
        <v>0</v>
      </c>
      <c r="U2473" s="77">
        <v>0</v>
      </c>
      <c r="V2473" s="77">
        <v>69</v>
      </c>
      <c r="W2473" s="82" t="s">
        <v>6450</v>
      </c>
      <c r="X2473" s="77"/>
      <c r="Y2473" s="77"/>
      <c r="Z2473" s="77"/>
      <c r="AA2473" s="77" t="s">
        <v>8889</v>
      </c>
      <c r="AB2473" s="77" t="s">
        <v>10130</v>
      </c>
      <c r="AC2473" s="82" t="s">
        <v>10145</v>
      </c>
      <c r="AD2473" s="77" t="s">
        <v>10184</v>
      </c>
      <c r="AE2473" s="80" t="str">
        <f>HYPERLINK("https://twitter.com/ilariasouza/status/1704903503582220329")</f>
        <v>https://twitter.com/ilariasouza/status/1704903503582220329</v>
      </c>
      <c r="AF2473" s="79">
        <v>45190.708854166667</v>
      </c>
      <c r="AG2473" s="85">
        <v>45190</v>
      </c>
      <c r="AH2473" s="82" t="s">
        <v>12558</v>
      </c>
      <c r="AI2473" s="77" t="b">
        <v>0</v>
      </c>
      <c r="AJ2473" s="77"/>
      <c r="AK2473" s="77"/>
      <c r="AL2473" s="77"/>
      <c r="AM2473" s="77"/>
      <c r="AN2473" s="77"/>
      <c r="AO2473" s="77"/>
      <c r="AP2473" s="77"/>
      <c r="AQ2473" s="77" t="s">
        <v>15532</v>
      </c>
      <c r="AR2473" s="77"/>
      <c r="AS2473" s="77"/>
      <c r="AT2473" s="77"/>
      <c r="AU2473" s="77"/>
      <c r="AV2473" s="80" t="str">
        <f>HYPERLINK("https://pbs.twimg.com/media/F6kIsd7WoAEM7Dm.jpg")</f>
        <v>https://pbs.twimg.com/media/F6kIsd7WoAEM7Dm.jpg</v>
      </c>
      <c r="AW2473" s="82" t="s">
        <v>19239</v>
      </c>
      <c r="AX2473" s="82" t="s">
        <v>19239</v>
      </c>
      <c r="AY2473" s="77"/>
      <c r="AZ2473" s="82" t="s">
        <v>20971</v>
      </c>
      <c r="BA2473" s="82" t="s">
        <v>20971</v>
      </c>
      <c r="BB2473" s="82" t="s">
        <v>20971</v>
      </c>
      <c r="BC2473" s="82" t="s">
        <v>19239</v>
      </c>
      <c r="BD2473" s="82" t="s">
        <v>21489</v>
      </c>
      <c r="BE2473" s="77"/>
      <c r="BF2473" s="77"/>
      <c r="BG2473" s="77"/>
      <c r="BH2473" s="77"/>
      <c r="BI2473" s="77"/>
    </row>
    <row r="2474" spans="1:61" x14ac:dyDescent="0.25">
      <c r="A2474" s="62" t="s">
        <v>867</v>
      </c>
      <c r="B2474" s="62" t="s">
        <v>867</v>
      </c>
      <c r="C2474" s="63"/>
      <c r="D2474" s="64"/>
      <c r="E2474" s="65"/>
      <c r="F2474" s="66"/>
      <c r="G2474" s="63"/>
      <c r="H2474" s="67"/>
      <c r="I2474" s="68"/>
      <c r="J2474" s="68"/>
      <c r="K2474" s="32"/>
      <c r="L2474" s="75">
        <v>2474</v>
      </c>
      <c r="M2474" s="75"/>
      <c r="N2474" s="70"/>
      <c r="O2474" s="77" t="s">
        <v>179</v>
      </c>
      <c r="P2474" s="79">
        <v>45194.930798611109</v>
      </c>
      <c r="Q2474" s="77" t="s">
        <v>3680</v>
      </c>
      <c r="R2474" s="77">
        <v>0</v>
      </c>
      <c r="S2474" s="77">
        <v>0</v>
      </c>
      <c r="T2474" s="77">
        <v>1</v>
      </c>
      <c r="U2474" s="77">
        <v>0</v>
      </c>
      <c r="V2474" s="77">
        <v>18</v>
      </c>
      <c r="W2474" s="82" t="s">
        <v>6451</v>
      </c>
      <c r="X2474" s="77"/>
      <c r="Y2474" s="77"/>
      <c r="Z2474" s="77"/>
      <c r="AA2474" s="77"/>
      <c r="AB2474" s="77"/>
      <c r="AC2474" s="82" t="s">
        <v>10144</v>
      </c>
      <c r="AD2474" s="77" t="s">
        <v>10184</v>
      </c>
      <c r="AE2474" s="80" t="str">
        <f>HYPERLINK("https://twitter.com/agenciamoodel/status/1706433486372921835")</f>
        <v>https://twitter.com/agenciamoodel/status/1706433486372921835</v>
      </c>
      <c r="AF2474" s="79">
        <v>45194.930798611109</v>
      </c>
      <c r="AG2474" s="85">
        <v>45194</v>
      </c>
      <c r="AH2474" s="82" t="s">
        <v>12559</v>
      </c>
      <c r="AI2474" s="77"/>
      <c r="AJ2474" s="77"/>
      <c r="AK2474" s="77"/>
      <c r="AL2474" s="77"/>
      <c r="AM2474" s="77"/>
      <c r="AN2474" s="77"/>
      <c r="AO2474" s="77"/>
      <c r="AP2474" s="77"/>
      <c r="AQ2474" s="77"/>
      <c r="AR2474" s="77"/>
      <c r="AS2474" s="77"/>
      <c r="AT2474" s="77"/>
      <c r="AU2474" s="77"/>
      <c r="AV2474" s="80" t="str">
        <f>HYPERLINK("https://pbs.twimg.com/profile_images/1655771079770554370/5ECf8puf_normal.jpg")</f>
        <v>https://pbs.twimg.com/profile_images/1655771079770554370/5ECf8puf_normal.jpg</v>
      </c>
      <c r="AW2474" s="82" t="s">
        <v>19240</v>
      </c>
      <c r="AX2474" s="82" t="s">
        <v>19240</v>
      </c>
      <c r="AY2474" s="77"/>
      <c r="AZ2474" s="82" t="s">
        <v>20971</v>
      </c>
      <c r="BA2474" s="82" t="s">
        <v>20971</v>
      </c>
      <c r="BB2474" s="82" t="s">
        <v>20971</v>
      </c>
      <c r="BC2474" s="82" t="s">
        <v>19240</v>
      </c>
      <c r="BD2474" s="82" t="s">
        <v>21490</v>
      </c>
      <c r="BE2474" s="77"/>
      <c r="BF2474" s="77"/>
      <c r="BG2474" s="77"/>
      <c r="BH2474" s="77"/>
      <c r="BI2474" s="77"/>
    </row>
    <row r="2475" spans="1:61" x14ac:dyDescent="0.25">
      <c r="A2475" s="62" t="s">
        <v>867</v>
      </c>
      <c r="B2475" s="62" t="s">
        <v>867</v>
      </c>
      <c r="C2475" s="63"/>
      <c r="D2475" s="64"/>
      <c r="E2475" s="65"/>
      <c r="F2475" s="66"/>
      <c r="G2475" s="63"/>
      <c r="H2475" s="67"/>
      <c r="I2475" s="68"/>
      <c r="J2475" s="68"/>
      <c r="K2475" s="32"/>
      <c r="L2475" s="75">
        <v>2475</v>
      </c>
      <c r="M2475" s="75"/>
      <c r="N2475" s="70"/>
      <c r="O2475" s="77" t="s">
        <v>179</v>
      </c>
      <c r="P2475" s="79">
        <v>45196.663472222222</v>
      </c>
      <c r="Q2475" s="77" t="s">
        <v>3681</v>
      </c>
      <c r="R2475" s="77">
        <v>0</v>
      </c>
      <c r="S2475" s="77">
        <v>0</v>
      </c>
      <c r="T2475" s="77">
        <v>0</v>
      </c>
      <c r="U2475" s="77">
        <v>0</v>
      </c>
      <c r="V2475" s="77">
        <v>6</v>
      </c>
      <c r="W2475" s="82" t="s">
        <v>6452</v>
      </c>
      <c r="X2475" s="77"/>
      <c r="Y2475" s="77"/>
      <c r="Z2475" s="77"/>
      <c r="AA2475" s="77"/>
      <c r="AB2475" s="77"/>
      <c r="AC2475" s="82" t="s">
        <v>10144</v>
      </c>
      <c r="AD2475" s="77" t="s">
        <v>10184</v>
      </c>
      <c r="AE2475" s="80" t="str">
        <f>HYPERLINK("https://twitter.com/agenciamoodel/status/1707061384360452526")</f>
        <v>https://twitter.com/agenciamoodel/status/1707061384360452526</v>
      </c>
      <c r="AF2475" s="79">
        <v>45196.663472222222</v>
      </c>
      <c r="AG2475" s="85">
        <v>45196</v>
      </c>
      <c r="AH2475" s="82" t="s">
        <v>12479</v>
      </c>
      <c r="AI2475" s="77"/>
      <c r="AJ2475" s="77"/>
      <c r="AK2475" s="77"/>
      <c r="AL2475" s="77"/>
      <c r="AM2475" s="77"/>
      <c r="AN2475" s="77"/>
      <c r="AO2475" s="77"/>
      <c r="AP2475" s="77"/>
      <c r="AQ2475" s="77"/>
      <c r="AR2475" s="77"/>
      <c r="AS2475" s="77"/>
      <c r="AT2475" s="77"/>
      <c r="AU2475" s="77"/>
      <c r="AV2475" s="80" t="str">
        <f>HYPERLINK("https://pbs.twimg.com/profile_images/1655771079770554370/5ECf8puf_normal.jpg")</f>
        <v>https://pbs.twimg.com/profile_images/1655771079770554370/5ECf8puf_normal.jpg</v>
      </c>
      <c r="AW2475" s="82" t="s">
        <v>19241</v>
      </c>
      <c r="AX2475" s="82" t="s">
        <v>19241</v>
      </c>
      <c r="AY2475" s="77"/>
      <c r="AZ2475" s="82" t="s">
        <v>20971</v>
      </c>
      <c r="BA2475" s="82" t="s">
        <v>20971</v>
      </c>
      <c r="BB2475" s="82" t="s">
        <v>20971</v>
      </c>
      <c r="BC2475" s="82" t="s">
        <v>19241</v>
      </c>
      <c r="BD2475" s="82" t="s">
        <v>21490</v>
      </c>
      <c r="BE2475" s="77"/>
      <c r="BF2475" s="77"/>
      <c r="BG2475" s="77"/>
      <c r="BH2475" s="77"/>
      <c r="BI2475" s="77"/>
    </row>
    <row r="2476" spans="1:61" x14ac:dyDescent="0.25">
      <c r="A2476" s="62" t="s">
        <v>868</v>
      </c>
      <c r="B2476" s="62" t="s">
        <v>868</v>
      </c>
      <c r="C2476" s="63"/>
      <c r="D2476" s="64"/>
      <c r="E2476" s="65"/>
      <c r="F2476" s="66"/>
      <c r="G2476" s="63"/>
      <c r="H2476" s="67"/>
      <c r="I2476" s="68"/>
      <c r="J2476" s="68"/>
      <c r="K2476" s="32"/>
      <c r="L2476" s="75">
        <v>2476</v>
      </c>
      <c r="M2476" s="75"/>
      <c r="N2476" s="70"/>
      <c r="O2476" s="77" t="s">
        <v>179</v>
      </c>
      <c r="P2476" s="79">
        <v>45189.941863425927</v>
      </c>
      <c r="Q2476" s="77" t="s">
        <v>3682</v>
      </c>
      <c r="R2476" s="77">
        <v>0</v>
      </c>
      <c r="S2476" s="77">
        <v>1</v>
      </c>
      <c r="T2476" s="77">
        <v>0</v>
      </c>
      <c r="U2476" s="77">
        <v>0</v>
      </c>
      <c r="V2476" s="77">
        <v>19</v>
      </c>
      <c r="W2476" s="82" t="s">
        <v>6453</v>
      </c>
      <c r="X2476" s="77"/>
      <c r="Y2476" s="77"/>
      <c r="Z2476" s="77"/>
      <c r="AA2476" s="77"/>
      <c r="AB2476" s="77"/>
      <c r="AC2476" s="82" t="s">
        <v>10145</v>
      </c>
      <c r="AD2476" s="77" t="s">
        <v>10184</v>
      </c>
      <c r="AE2476" s="80" t="str">
        <f>HYPERLINK("https://twitter.com/danielgcn23/status/1704625556468256928")</f>
        <v>https://twitter.com/danielgcn23/status/1704625556468256928</v>
      </c>
      <c r="AF2476" s="79">
        <v>45189.941863425927</v>
      </c>
      <c r="AG2476" s="85">
        <v>45189</v>
      </c>
      <c r="AH2476" s="82" t="s">
        <v>12560</v>
      </c>
      <c r="AI2476" s="77"/>
      <c r="AJ2476" s="77"/>
      <c r="AK2476" s="77"/>
      <c r="AL2476" s="77"/>
      <c r="AM2476" s="77"/>
      <c r="AN2476" s="77"/>
      <c r="AO2476" s="77"/>
      <c r="AP2476" s="77"/>
      <c r="AQ2476" s="77"/>
      <c r="AR2476" s="77"/>
      <c r="AS2476" s="77"/>
      <c r="AT2476" s="77"/>
      <c r="AU2476" s="77"/>
      <c r="AV2476" s="80" t="str">
        <f>HYPERLINK("https://pbs.twimg.com/profile_images/1704611660411838465/MGpSrQIg_normal.jpg")</f>
        <v>https://pbs.twimg.com/profile_images/1704611660411838465/MGpSrQIg_normal.jpg</v>
      </c>
      <c r="AW2476" s="82" t="s">
        <v>19242</v>
      </c>
      <c r="AX2476" s="82" t="s">
        <v>19242</v>
      </c>
      <c r="AY2476" s="77"/>
      <c r="AZ2476" s="82" t="s">
        <v>20971</v>
      </c>
      <c r="BA2476" s="82" t="s">
        <v>20971</v>
      </c>
      <c r="BB2476" s="82" t="s">
        <v>20971</v>
      </c>
      <c r="BC2476" s="82" t="s">
        <v>19242</v>
      </c>
      <c r="BD2476" s="82" t="s">
        <v>21491</v>
      </c>
      <c r="BE2476" s="77"/>
      <c r="BF2476" s="77"/>
      <c r="BG2476" s="77"/>
      <c r="BH2476" s="77"/>
      <c r="BI2476" s="77"/>
    </row>
    <row r="2477" spans="1:61" x14ac:dyDescent="0.25">
      <c r="A2477" s="62" t="s">
        <v>869</v>
      </c>
      <c r="B2477" s="62" t="s">
        <v>869</v>
      </c>
      <c r="C2477" s="63"/>
      <c r="D2477" s="64"/>
      <c r="E2477" s="65"/>
      <c r="F2477" s="66"/>
      <c r="G2477" s="63"/>
      <c r="H2477" s="67"/>
      <c r="I2477" s="68"/>
      <c r="J2477" s="68"/>
      <c r="K2477" s="32"/>
      <c r="L2477" s="75">
        <v>2477</v>
      </c>
      <c r="M2477" s="75"/>
      <c r="N2477" s="70"/>
      <c r="O2477" s="77" t="s">
        <v>179</v>
      </c>
      <c r="P2477" s="79">
        <v>44977.052685185183</v>
      </c>
      <c r="Q2477" s="77" t="s">
        <v>3683</v>
      </c>
      <c r="R2477" s="77">
        <v>0</v>
      </c>
      <c r="S2477" s="77">
        <v>0</v>
      </c>
      <c r="T2477" s="77">
        <v>0</v>
      </c>
      <c r="U2477" s="77">
        <v>0</v>
      </c>
      <c r="V2477" s="77">
        <v>659</v>
      </c>
      <c r="W2477" s="82" t="s">
        <v>6454</v>
      </c>
      <c r="X2477" s="77"/>
      <c r="Y2477" s="77"/>
      <c r="Z2477" s="77"/>
      <c r="AA2477" s="77" t="s">
        <v>8890</v>
      </c>
      <c r="AB2477" s="77" t="s">
        <v>10130</v>
      </c>
      <c r="AC2477" s="82" t="s">
        <v>10144</v>
      </c>
      <c r="AD2477" s="77" t="s">
        <v>10184</v>
      </c>
      <c r="AE2477" s="80" t="str">
        <f>HYPERLINK("https://twitter.com/_knizy/status/1627477099660382208")</f>
        <v>https://twitter.com/_knizy/status/1627477099660382208</v>
      </c>
      <c r="AF2477" s="79">
        <v>44977.052685185183</v>
      </c>
      <c r="AG2477" s="85">
        <v>44977</v>
      </c>
      <c r="AH2477" s="82" t="s">
        <v>12561</v>
      </c>
      <c r="AI2477" s="77" t="b">
        <v>0</v>
      </c>
      <c r="AJ2477" s="77"/>
      <c r="AK2477" s="77"/>
      <c r="AL2477" s="77"/>
      <c r="AM2477" s="77"/>
      <c r="AN2477" s="77"/>
      <c r="AO2477" s="77"/>
      <c r="AP2477" s="77"/>
      <c r="AQ2477" s="77" t="s">
        <v>15533</v>
      </c>
      <c r="AR2477" s="77"/>
      <c r="AS2477" s="77"/>
      <c r="AT2477" s="77"/>
      <c r="AU2477" s="77"/>
      <c r="AV2477" s="80" t="str">
        <f>HYPERLINK("https://pbs.twimg.com/media/FpX1zA9XoAAQWqa.jpg")</f>
        <v>https://pbs.twimg.com/media/FpX1zA9XoAAQWqa.jpg</v>
      </c>
      <c r="AW2477" s="82" t="s">
        <v>19243</v>
      </c>
      <c r="AX2477" s="82" t="s">
        <v>19243</v>
      </c>
      <c r="AY2477" s="77"/>
      <c r="AZ2477" s="82" t="s">
        <v>20971</v>
      </c>
      <c r="BA2477" s="82" t="s">
        <v>20971</v>
      </c>
      <c r="BB2477" s="82" t="s">
        <v>20971</v>
      </c>
      <c r="BC2477" s="82" t="s">
        <v>19243</v>
      </c>
      <c r="BD2477" s="82" t="s">
        <v>21492</v>
      </c>
      <c r="BE2477" s="77"/>
      <c r="BF2477" s="77"/>
      <c r="BG2477" s="77"/>
      <c r="BH2477" s="77"/>
      <c r="BI2477" s="77"/>
    </row>
    <row r="2478" spans="1:61" x14ac:dyDescent="0.25">
      <c r="A2478" s="62" t="s">
        <v>870</v>
      </c>
      <c r="B2478" s="62" t="s">
        <v>870</v>
      </c>
      <c r="C2478" s="63"/>
      <c r="D2478" s="64"/>
      <c r="E2478" s="65"/>
      <c r="F2478" s="66"/>
      <c r="G2478" s="63"/>
      <c r="H2478" s="67"/>
      <c r="I2478" s="68"/>
      <c r="J2478" s="68"/>
      <c r="K2478" s="32"/>
      <c r="L2478" s="75">
        <v>2478</v>
      </c>
      <c r="M2478" s="75"/>
      <c r="N2478" s="70"/>
      <c r="O2478" s="77" t="s">
        <v>179</v>
      </c>
      <c r="P2478" s="79">
        <v>45075.442326388889</v>
      </c>
      <c r="Q2478" s="77" t="s">
        <v>3684</v>
      </c>
      <c r="R2478" s="77">
        <v>0</v>
      </c>
      <c r="S2478" s="77">
        <v>0</v>
      </c>
      <c r="T2478" s="77">
        <v>0</v>
      </c>
      <c r="U2478" s="77">
        <v>0</v>
      </c>
      <c r="V2478" s="77">
        <v>91</v>
      </c>
      <c r="W2478" s="82" t="s">
        <v>6455</v>
      </c>
      <c r="X2478" s="77"/>
      <c r="Y2478" s="77"/>
      <c r="Z2478" s="77"/>
      <c r="AA2478" s="77" t="s">
        <v>8891</v>
      </c>
      <c r="AB2478" s="77" t="s">
        <v>10129</v>
      </c>
      <c r="AC2478" s="82" t="s">
        <v>10144</v>
      </c>
      <c r="AD2478" s="77" t="s">
        <v>10184</v>
      </c>
      <c r="AE2478" s="80" t="str">
        <f>HYPERLINK("https://twitter.com/anju25pal/status/1663132312127586305")</f>
        <v>https://twitter.com/anju25pal/status/1663132312127586305</v>
      </c>
      <c r="AF2478" s="79">
        <v>45075.442326388889</v>
      </c>
      <c r="AG2478" s="85">
        <v>45075</v>
      </c>
      <c r="AH2478" s="82" t="s">
        <v>12562</v>
      </c>
      <c r="AI2478" s="77" t="b">
        <v>0</v>
      </c>
      <c r="AJ2478" s="77"/>
      <c r="AK2478" s="77"/>
      <c r="AL2478" s="77"/>
      <c r="AM2478" s="77"/>
      <c r="AN2478" s="77"/>
      <c r="AO2478" s="77"/>
      <c r="AP2478" s="77"/>
      <c r="AQ2478" s="77" t="s">
        <v>15534</v>
      </c>
      <c r="AR2478" s="77">
        <v>25666</v>
      </c>
      <c r="AS2478" s="77"/>
      <c r="AT2478" s="77"/>
      <c r="AU2478" s="77"/>
      <c r="AV2478" s="80" t="str">
        <f>HYPERLINK("https://pbs.twimg.com/ext_tw_video_thumb/1663132249271808001/pu/img/X_SkLxMbNfGHABra.jpg")</f>
        <v>https://pbs.twimg.com/ext_tw_video_thumb/1663132249271808001/pu/img/X_SkLxMbNfGHABra.jpg</v>
      </c>
      <c r="AW2478" s="82" t="s">
        <v>19244</v>
      </c>
      <c r="AX2478" s="82" t="s">
        <v>19244</v>
      </c>
      <c r="AY2478" s="77"/>
      <c r="AZ2478" s="82" t="s">
        <v>20971</v>
      </c>
      <c r="BA2478" s="82" t="s">
        <v>20971</v>
      </c>
      <c r="BB2478" s="82" t="s">
        <v>20971</v>
      </c>
      <c r="BC2478" s="82" t="s">
        <v>19244</v>
      </c>
      <c r="BD2478" s="82" t="s">
        <v>21493</v>
      </c>
      <c r="BE2478" s="77"/>
      <c r="BF2478" s="77"/>
      <c r="BG2478" s="77"/>
      <c r="BH2478" s="77"/>
      <c r="BI2478" s="77"/>
    </row>
    <row r="2479" spans="1:61" x14ac:dyDescent="0.25">
      <c r="A2479" s="62" t="s">
        <v>870</v>
      </c>
      <c r="B2479" s="62" t="s">
        <v>870</v>
      </c>
      <c r="C2479" s="63"/>
      <c r="D2479" s="64"/>
      <c r="E2479" s="65"/>
      <c r="F2479" s="66"/>
      <c r="G2479" s="63"/>
      <c r="H2479" s="67"/>
      <c r="I2479" s="68"/>
      <c r="J2479" s="68"/>
      <c r="K2479" s="32"/>
      <c r="L2479" s="75">
        <v>2479</v>
      </c>
      <c r="M2479" s="75"/>
      <c r="N2479" s="70"/>
      <c r="O2479" s="77" t="s">
        <v>179</v>
      </c>
      <c r="P2479" s="79">
        <v>45073.753923611112</v>
      </c>
      <c r="Q2479" s="77" t="s">
        <v>3685</v>
      </c>
      <c r="R2479" s="77">
        <v>0</v>
      </c>
      <c r="S2479" s="77">
        <v>0</v>
      </c>
      <c r="T2479" s="77">
        <v>0</v>
      </c>
      <c r="U2479" s="77">
        <v>0</v>
      </c>
      <c r="V2479" s="77">
        <v>64</v>
      </c>
      <c r="W2479" s="82" t="s">
        <v>6456</v>
      </c>
      <c r="X2479" s="80" t="str">
        <f>HYPERLINK("https://pay.kiwify.com.br/bDxDK59?afid=BtKuh4o7")</f>
        <v>https://pay.kiwify.com.br/bDxDK59?afid=BtKuh4o7</v>
      </c>
      <c r="Y2479" s="77" t="s">
        <v>7252</v>
      </c>
      <c r="Z2479" s="77"/>
      <c r="AA2479" s="77" t="s">
        <v>8892</v>
      </c>
      <c r="AB2479" s="77" t="s">
        <v>10129</v>
      </c>
      <c r="AC2479" s="82" t="s">
        <v>10144</v>
      </c>
      <c r="AD2479" s="77" t="s">
        <v>10184</v>
      </c>
      <c r="AE2479" s="80" t="str">
        <f>HYPERLINK("https://twitter.com/anju25pal/status/1662520454735601668")</f>
        <v>https://twitter.com/anju25pal/status/1662520454735601668</v>
      </c>
      <c r="AF2479" s="79">
        <v>45073.753923611112</v>
      </c>
      <c r="AG2479" s="85">
        <v>45073</v>
      </c>
      <c r="AH2479" s="82" t="s">
        <v>12563</v>
      </c>
      <c r="AI2479" s="77" t="b">
        <v>0</v>
      </c>
      <c r="AJ2479" s="77"/>
      <c r="AK2479" s="77"/>
      <c r="AL2479" s="77"/>
      <c r="AM2479" s="77"/>
      <c r="AN2479" s="77"/>
      <c r="AO2479" s="77"/>
      <c r="AP2479" s="77"/>
      <c r="AQ2479" s="77" t="s">
        <v>15535</v>
      </c>
      <c r="AR2479" s="77">
        <v>105233</v>
      </c>
      <c r="AS2479" s="77"/>
      <c r="AT2479" s="77"/>
      <c r="AU2479" s="77"/>
      <c r="AV2479" s="80" t="str">
        <f>HYPERLINK("https://pbs.twimg.com/ext_tw_video_thumb/1662520368395964416/pu/img/fWfJmhzsOcpxFJW1.jpg")</f>
        <v>https://pbs.twimg.com/ext_tw_video_thumb/1662520368395964416/pu/img/fWfJmhzsOcpxFJW1.jpg</v>
      </c>
      <c r="AW2479" s="82" t="s">
        <v>19245</v>
      </c>
      <c r="AX2479" s="82" t="s">
        <v>19245</v>
      </c>
      <c r="AY2479" s="77"/>
      <c r="AZ2479" s="82" t="s">
        <v>20971</v>
      </c>
      <c r="BA2479" s="82" t="s">
        <v>20971</v>
      </c>
      <c r="BB2479" s="82" t="s">
        <v>20971</v>
      </c>
      <c r="BC2479" s="82" t="s">
        <v>19245</v>
      </c>
      <c r="BD2479" s="82" t="s">
        <v>21493</v>
      </c>
      <c r="BE2479" s="77"/>
      <c r="BF2479" s="77"/>
      <c r="BG2479" s="77"/>
      <c r="BH2479" s="77"/>
      <c r="BI2479" s="77"/>
    </row>
    <row r="2480" spans="1:61" x14ac:dyDescent="0.25">
      <c r="A2480" s="62" t="s">
        <v>870</v>
      </c>
      <c r="B2480" s="62" t="s">
        <v>870</v>
      </c>
      <c r="C2480" s="63"/>
      <c r="D2480" s="64"/>
      <c r="E2480" s="65"/>
      <c r="F2480" s="66"/>
      <c r="G2480" s="63"/>
      <c r="H2480" s="67"/>
      <c r="I2480" s="68"/>
      <c r="J2480" s="68"/>
      <c r="K2480" s="32"/>
      <c r="L2480" s="75">
        <v>2480</v>
      </c>
      <c r="M2480" s="75"/>
      <c r="N2480" s="70"/>
      <c r="O2480" s="77" t="s">
        <v>179</v>
      </c>
      <c r="P2480" s="79">
        <v>45073.735254629632</v>
      </c>
      <c r="Q2480" s="77" t="s">
        <v>3686</v>
      </c>
      <c r="R2480" s="77">
        <v>0</v>
      </c>
      <c r="S2480" s="77">
        <v>0</v>
      </c>
      <c r="T2480" s="77">
        <v>0</v>
      </c>
      <c r="U2480" s="77">
        <v>0</v>
      </c>
      <c r="V2480" s="77">
        <v>22</v>
      </c>
      <c r="W2480" s="82" t="s">
        <v>6457</v>
      </c>
      <c r="X2480" s="80" t="str">
        <f>HYPERLINK("https://pay.kiwify.com.br/bDxDK59?afid=BtKuh4o7")</f>
        <v>https://pay.kiwify.com.br/bDxDK59?afid=BtKuh4o7</v>
      </c>
      <c r="Y2480" s="77" t="s">
        <v>7252</v>
      </c>
      <c r="Z2480" s="77"/>
      <c r="AA2480" s="77" t="s">
        <v>8893</v>
      </c>
      <c r="AB2480" s="77" t="s">
        <v>10129</v>
      </c>
      <c r="AC2480" s="82" t="s">
        <v>10144</v>
      </c>
      <c r="AD2480" s="77" t="s">
        <v>10184</v>
      </c>
      <c r="AE2480" s="80" t="str">
        <f>HYPERLINK("https://twitter.com/anju25pal/status/1662513690288029699")</f>
        <v>https://twitter.com/anju25pal/status/1662513690288029699</v>
      </c>
      <c r="AF2480" s="79">
        <v>45073.735254629632</v>
      </c>
      <c r="AG2480" s="85">
        <v>45073</v>
      </c>
      <c r="AH2480" s="82" t="s">
        <v>12564</v>
      </c>
      <c r="AI2480" s="77" t="b">
        <v>0</v>
      </c>
      <c r="AJ2480" s="77"/>
      <c r="AK2480" s="77"/>
      <c r="AL2480" s="77"/>
      <c r="AM2480" s="77"/>
      <c r="AN2480" s="77"/>
      <c r="AO2480" s="77"/>
      <c r="AP2480" s="77"/>
      <c r="AQ2480" s="77" t="s">
        <v>15536</v>
      </c>
      <c r="AR2480" s="77">
        <v>40233</v>
      </c>
      <c r="AS2480" s="77"/>
      <c r="AT2480" s="77"/>
      <c r="AU2480" s="77"/>
      <c r="AV2480" s="80" t="str">
        <f>HYPERLINK("https://pbs.twimg.com/ext_tw_video_thumb/1662513614694019078/pu/img/hXzh0LzCsjAauH-C.jpg")</f>
        <v>https://pbs.twimg.com/ext_tw_video_thumb/1662513614694019078/pu/img/hXzh0LzCsjAauH-C.jpg</v>
      </c>
      <c r="AW2480" s="82" t="s">
        <v>19246</v>
      </c>
      <c r="AX2480" s="82" t="s">
        <v>19246</v>
      </c>
      <c r="AY2480" s="77"/>
      <c r="AZ2480" s="82" t="s">
        <v>20971</v>
      </c>
      <c r="BA2480" s="82" t="s">
        <v>20971</v>
      </c>
      <c r="BB2480" s="82" t="s">
        <v>20971</v>
      </c>
      <c r="BC2480" s="82" t="s">
        <v>19246</v>
      </c>
      <c r="BD2480" s="82" t="s">
        <v>21493</v>
      </c>
      <c r="BE2480" s="77"/>
      <c r="BF2480" s="77"/>
      <c r="BG2480" s="77"/>
      <c r="BH2480" s="77"/>
      <c r="BI2480" s="77"/>
    </row>
    <row r="2481" spans="1:61" x14ac:dyDescent="0.25">
      <c r="A2481" s="62" t="s">
        <v>870</v>
      </c>
      <c r="B2481" s="62" t="s">
        <v>870</v>
      </c>
      <c r="C2481" s="63"/>
      <c r="D2481" s="64"/>
      <c r="E2481" s="65"/>
      <c r="F2481" s="66"/>
      <c r="G2481" s="63"/>
      <c r="H2481" s="67"/>
      <c r="I2481" s="68"/>
      <c r="J2481" s="68"/>
      <c r="K2481" s="32"/>
      <c r="L2481" s="75">
        <v>2481</v>
      </c>
      <c r="M2481" s="75"/>
      <c r="N2481" s="70"/>
      <c r="O2481" s="77" t="s">
        <v>179</v>
      </c>
      <c r="P2481" s="79">
        <v>45072.780694444446</v>
      </c>
      <c r="Q2481" s="77" t="s">
        <v>3687</v>
      </c>
      <c r="R2481" s="77">
        <v>0</v>
      </c>
      <c r="S2481" s="77">
        <v>0</v>
      </c>
      <c r="T2481" s="77">
        <v>0</v>
      </c>
      <c r="U2481" s="77">
        <v>0</v>
      </c>
      <c r="V2481" s="77">
        <v>257</v>
      </c>
      <c r="W2481" s="82" t="s">
        <v>6458</v>
      </c>
      <c r="X2481" s="80" t="str">
        <f>HYPERLINK("https://pay.kiwify.com.br/bDxDK59?afid=BtKuh4o7")</f>
        <v>https://pay.kiwify.com.br/bDxDK59?afid=BtKuh4o7</v>
      </c>
      <c r="Y2481" s="77" t="s">
        <v>7252</v>
      </c>
      <c r="Z2481" s="77"/>
      <c r="AA2481" s="77" t="s">
        <v>8894</v>
      </c>
      <c r="AB2481" s="77" t="s">
        <v>10129</v>
      </c>
      <c r="AC2481" s="82" t="s">
        <v>10144</v>
      </c>
      <c r="AD2481" s="77" t="s">
        <v>10184</v>
      </c>
      <c r="AE2481" s="80" t="str">
        <f>HYPERLINK("https://twitter.com/anju25pal/status/1662167770690093079")</f>
        <v>https://twitter.com/anju25pal/status/1662167770690093079</v>
      </c>
      <c r="AF2481" s="79">
        <v>45072.780694444446</v>
      </c>
      <c r="AG2481" s="85">
        <v>45072</v>
      </c>
      <c r="AH2481" s="82" t="s">
        <v>12565</v>
      </c>
      <c r="AI2481" s="77" t="b">
        <v>0</v>
      </c>
      <c r="AJ2481" s="77"/>
      <c r="AK2481" s="77"/>
      <c r="AL2481" s="77"/>
      <c r="AM2481" s="77"/>
      <c r="AN2481" s="77"/>
      <c r="AO2481" s="77"/>
      <c r="AP2481" s="77"/>
      <c r="AQ2481" s="77" t="s">
        <v>15537</v>
      </c>
      <c r="AR2481" s="77">
        <v>29066</v>
      </c>
      <c r="AS2481" s="77"/>
      <c r="AT2481" s="77"/>
      <c r="AU2481" s="77"/>
      <c r="AV2481" s="80" t="str">
        <f>HYPERLINK("https://pbs.twimg.com/ext_tw_video_thumb/1662167715786653705/pu/img/JsS8Fm25k-XdFaYd.jpg")</f>
        <v>https://pbs.twimg.com/ext_tw_video_thumb/1662167715786653705/pu/img/JsS8Fm25k-XdFaYd.jpg</v>
      </c>
      <c r="AW2481" s="82" t="s">
        <v>19247</v>
      </c>
      <c r="AX2481" s="82" t="s">
        <v>19247</v>
      </c>
      <c r="AY2481" s="77"/>
      <c r="AZ2481" s="82" t="s">
        <v>20971</v>
      </c>
      <c r="BA2481" s="82" t="s">
        <v>20971</v>
      </c>
      <c r="BB2481" s="82" t="s">
        <v>20971</v>
      </c>
      <c r="BC2481" s="82" t="s">
        <v>19247</v>
      </c>
      <c r="BD2481" s="82" t="s">
        <v>21493</v>
      </c>
      <c r="BE2481" s="77"/>
      <c r="BF2481" s="77"/>
      <c r="BG2481" s="77"/>
      <c r="BH2481" s="77"/>
      <c r="BI2481" s="77"/>
    </row>
    <row r="2482" spans="1:61" x14ac:dyDescent="0.25">
      <c r="A2482" s="62" t="s">
        <v>870</v>
      </c>
      <c r="B2482" s="62" t="s">
        <v>870</v>
      </c>
      <c r="C2482" s="63"/>
      <c r="D2482" s="64"/>
      <c r="E2482" s="65"/>
      <c r="F2482" s="66"/>
      <c r="G2482" s="63"/>
      <c r="H2482" s="67"/>
      <c r="I2482" s="68"/>
      <c r="J2482" s="68"/>
      <c r="K2482" s="32"/>
      <c r="L2482" s="75">
        <v>2482</v>
      </c>
      <c r="M2482" s="75"/>
      <c r="N2482" s="70"/>
      <c r="O2482" s="77" t="s">
        <v>179</v>
      </c>
      <c r="P2482" s="79">
        <v>45072.062511574077</v>
      </c>
      <c r="Q2482" s="77" t="s">
        <v>3688</v>
      </c>
      <c r="R2482" s="77">
        <v>0</v>
      </c>
      <c r="S2482" s="77">
        <v>1</v>
      </c>
      <c r="T2482" s="77">
        <v>0</v>
      </c>
      <c r="U2482" s="77">
        <v>0</v>
      </c>
      <c r="V2482" s="77">
        <v>64</v>
      </c>
      <c r="W2482" s="82" t="s">
        <v>6456</v>
      </c>
      <c r="X2482" s="80" t="str">
        <f>HYPERLINK("https://pay.kiwify.com.br/bDxDK59?afid=BtKuh4o7")</f>
        <v>https://pay.kiwify.com.br/bDxDK59?afid=BtKuh4o7</v>
      </c>
      <c r="Y2482" s="77" t="s">
        <v>7252</v>
      </c>
      <c r="Z2482" s="77"/>
      <c r="AA2482" s="77" t="s">
        <v>8895</v>
      </c>
      <c r="AB2482" s="77" t="s">
        <v>10129</v>
      </c>
      <c r="AC2482" s="82" t="s">
        <v>10144</v>
      </c>
      <c r="AD2482" s="77" t="s">
        <v>10184</v>
      </c>
      <c r="AE2482" s="80" t="str">
        <f>HYPERLINK("https://twitter.com/anju25pal/status/1661907509974560768")</f>
        <v>https://twitter.com/anju25pal/status/1661907509974560768</v>
      </c>
      <c r="AF2482" s="79">
        <v>45072.062511574077</v>
      </c>
      <c r="AG2482" s="85">
        <v>45072</v>
      </c>
      <c r="AH2482" s="82" t="s">
        <v>12566</v>
      </c>
      <c r="AI2482" s="77" t="b">
        <v>0</v>
      </c>
      <c r="AJ2482" s="77"/>
      <c r="AK2482" s="77"/>
      <c r="AL2482" s="77"/>
      <c r="AM2482" s="77"/>
      <c r="AN2482" s="77"/>
      <c r="AO2482" s="77"/>
      <c r="AP2482" s="77"/>
      <c r="AQ2482" s="77" t="s">
        <v>15538</v>
      </c>
      <c r="AR2482" s="77">
        <v>45000</v>
      </c>
      <c r="AS2482" s="77"/>
      <c r="AT2482" s="77"/>
      <c r="AU2482" s="77"/>
      <c r="AV2482" s="80" t="str">
        <f>HYPERLINK("https://pbs.twimg.com/ext_tw_video_thumb/1661907422380793857/pu/img/OSOyqA_SGE9fNpda.jpg")</f>
        <v>https://pbs.twimg.com/ext_tw_video_thumb/1661907422380793857/pu/img/OSOyqA_SGE9fNpda.jpg</v>
      </c>
      <c r="AW2482" s="82" t="s">
        <v>19248</v>
      </c>
      <c r="AX2482" s="82" t="s">
        <v>19248</v>
      </c>
      <c r="AY2482" s="77"/>
      <c r="AZ2482" s="82" t="s">
        <v>20971</v>
      </c>
      <c r="BA2482" s="82" t="s">
        <v>20971</v>
      </c>
      <c r="BB2482" s="82" t="s">
        <v>20971</v>
      </c>
      <c r="BC2482" s="82" t="s">
        <v>19248</v>
      </c>
      <c r="BD2482" s="82" t="s">
        <v>21493</v>
      </c>
      <c r="BE2482" s="77"/>
      <c r="BF2482" s="77"/>
      <c r="BG2482" s="77"/>
      <c r="BH2482" s="77"/>
      <c r="BI2482" s="77"/>
    </row>
    <row r="2483" spans="1:61" x14ac:dyDescent="0.25">
      <c r="A2483" s="62" t="s">
        <v>870</v>
      </c>
      <c r="B2483" s="62" t="s">
        <v>870</v>
      </c>
      <c r="C2483" s="63"/>
      <c r="D2483" s="64"/>
      <c r="E2483" s="65"/>
      <c r="F2483" s="66"/>
      <c r="G2483" s="63"/>
      <c r="H2483" s="67"/>
      <c r="I2483" s="68"/>
      <c r="J2483" s="68"/>
      <c r="K2483" s="32"/>
      <c r="L2483" s="75">
        <v>2483</v>
      </c>
      <c r="M2483" s="75"/>
      <c r="N2483" s="70"/>
      <c r="O2483" s="77" t="s">
        <v>179</v>
      </c>
      <c r="P2483" s="79">
        <v>45072.029016203705</v>
      </c>
      <c r="Q2483" s="77" t="s">
        <v>3689</v>
      </c>
      <c r="R2483" s="77">
        <v>0</v>
      </c>
      <c r="S2483" s="77">
        <v>0</v>
      </c>
      <c r="T2483" s="77">
        <v>0</v>
      </c>
      <c r="U2483" s="77">
        <v>0</v>
      </c>
      <c r="V2483" s="77">
        <v>39</v>
      </c>
      <c r="W2483" s="82" t="s">
        <v>6459</v>
      </c>
      <c r="X2483" s="80" t="str">
        <f>HYPERLINK("https://dashboard.kiwify.com.br/join/affiliate/fXxw6A7m")</f>
        <v>https://dashboard.kiwify.com.br/join/affiliate/fXxw6A7m</v>
      </c>
      <c r="Y2483" s="77" t="s">
        <v>7252</v>
      </c>
      <c r="Z2483" s="77"/>
      <c r="AA2483" s="77" t="s">
        <v>8896</v>
      </c>
      <c r="AB2483" s="77" t="s">
        <v>10129</v>
      </c>
      <c r="AC2483" s="82" t="s">
        <v>10144</v>
      </c>
      <c r="AD2483" s="77" t="s">
        <v>10184</v>
      </c>
      <c r="AE2483" s="80" t="str">
        <f>HYPERLINK("https://twitter.com/anju25pal/status/1661895368441749505")</f>
        <v>https://twitter.com/anju25pal/status/1661895368441749505</v>
      </c>
      <c r="AF2483" s="79">
        <v>45072.029016203705</v>
      </c>
      <c r="AG2483" s="85">
        <v>45072</v>
      </c>
      <c r="AH2483" s="82" t="s">
        <v>12567</v>
      </c>
      <c r="AI2483" s="77" t="b">
        <v>0</v>
      </c>
      <c r="AJ2483" s="77"/>
      <c r="AK2483" s="77"/>
      <c r="AL2483" s="77"/>
      <c r="AM2483" s="77"/>
      <c r="AN2483" s="77"/>
      <c r="AO2483" s="77"/>
      <c r="AP2483" s="77"/>
      <c r="AQ2483" s="77" t="s">
        <v>15539</v>
      </c>
      <c r="AR2483" s="77">
        <v>60066</v>
      </c>
      <c r="AS2483" s="77"/>
      <c r="AT2483" s="77"/>
      <c r="AU2483" s="77"/>
      <c r="AV2483" s="80" t="str">
        <f>HYPERLINK("https://pbs.twimg.com/ext_tw_video_thumb/1661895286313082880/pu/img/YFVjhr0J_9Lzpitg.jpg")</f>
        <v>https://pbs.twimg.com/ext_tw_video_thumb/1661895286313082880/pu/img/YFVjhr0J_9Lzpitg.jpg</v>
      </c>
      <c r="AW2483" s="82" t="s">
        <v>19249</v>
      </c>
      <c r="AX2483" s="82" t="s">
        <v>19249</v>
      </c>
      <c r="AY2483" s="77"/>
      <c r="AZ2483" s="82" t="s">
        <v>20971</v>
      </c>
      <c r="BA2483" s="82" t="s">
        <v>20971</v>
      </c>
      <c r="BB2483" s="82" t="s">
        <v>20971</v>
      </c>
      <c r="BC2483" s="82" t="s">
        <v>19249</v>
      </c>
      <c r="BD2483" s="82" t="s">
        <v>21493</v>
      </c>
      <c r="BE2483" s="77"/>
      <c r="BF2483" s="77"/>
      <c r="BG2483" s="77"/>
      <c r="BH2483" s="77"/>
      <c r="BI2483" s="77"/>
    </row>
    <row r="2484" spans="1:61" x14ac:dyDescent="0.25">
      <c r="A2484" s="62" t="s">
        <v>870</v>
      </c>
      <c r="B2484" s="62" t="s">
        <v>870</v>
      </c>
      <c r="C2484" s="63"/>
      <c r="D2484" s="64"/>
      <c r="E2484" s="65"/>
      <c r="F2484" s="66"/>
      <c r="G2484" s="63"/>
      <c r="H2484" s="67"/>
      <c r="I2484" s="68"/>
      <c r="J2484" s="68"/>
      <c r="K2484" s="32"/>
      <c r="L2484" s="75">
        <v>2484</v>
      </c>
      <c r="M2484" s="75"/>
      <c r="N2484" s="70"/>
      <c r="O2484" s="77" t="s">
        <v>179</v>
      </c>
      <c r="P2484" s="79">
        <v>45071.856342592589</v>
      </c>
      <c r="Q2484" s="77" t="s">
        <v>3690</v>
      </c>
      <c r="R2484" s="77">
        <v>0</v>
      </c>
      <c r="S2484" s="77">
        <v>0</v>
      </c>
      <c r="T2484" s="77">
        <v>0</v>
      </c>
      <c r="U2484" s="77">
        <v>0</v>
      </c>
      <c r="V2484" s="77">
        <v>34</v>
      </c>
      <c r="W2484" s="82" t="s">
        <v>6457</v>
      </c>
      <c r="X2484" s="80" t="str">
        <f>HYPERLINK("https://dashboard.kiwify.com.br/join/affiliate/fXxw6A7m")</f>
        <v>https://dashboard.kiwify.com.br/join/affiliate/fXxw6A7m</v>
      </c>
      <c r="Y2484" s="77" t="s">
        <v>7252</v>
      </c>
      <c r="Z2484" s="77"/>
      <c r="AA2484" s="77" t="s">
        <v>8897</v>
      </c>
      <c r="AB2484" s="77" t="s">
        <v>10129</v>
      </c>
      <c r="AC2484" s="82" t="s">
        <v>10144</v>
      </c>
      <c r="AD2484" s="77" t="s">
        <v>10184</v>
      </c>
      <c r="AE2484" s="80" t="str">
        <f>HYPERLINK("https://twitter.com/anju25pal/status/1661832793695854642")</f>
        <v>https://twitter.com/anju25pal/status/1661832793695854642</v>
      </c>
      <c r="AF2484" s="79">
        <v>45071.856342592589</v>
      </c>
      <c r="AG2484" s="85">
        <v>45071</v>
      </c>
      <c r="AH2484" s="82" t="s">
        <v>12568</v>
      </c>
      <c r="AI2484" s="77" t="b">
        <v>0</v>
      </c>
      <c r="AJ2484" s="77"/>
      <c r="AK2484" s="77"/>
      <c r="AL2484" s="77"/>
      <c r="AM2484" s="77"/>
      <c r="AN2484" s="77"/>
      <c r="AO2484" s="77"/>
      <c r="AP2484" s="77"/>
      <c r="AQ2484" s="77" t="s">
        <v>15540</v>
      </c>
      <c r="AR2484" s="77">
        <v>60766</v>
      </c>
      <c r="AS2484" s="77"/>
      <c r="AT2484" s="77"/>
      <c r="AU2484" s="77"/>
      <c r="AV2484" s="80" t="str">
        <f>HYPERLINK("https://pbs.twimg.com/ext_tw_video_thumb/1661832720849182745/pu/img/dBMb6zHd5znOJdaX.jpg")</f>
        <v>https://pbs.twimg.com/ext_tw_video_thumb/1661832720849182745/pu/img/dBMb6zHd5znOJdaX.jpg</v>
      </c>
      <c r="AW2484" s="82" t="s">
        <v>19250</v>
      </c>
      <c r="AX2484" s="82" t="s">
        <v>19250</v>
      </c>
      <c r="AY2484" s="77"/>
      <c r="AZ2484" s="82" t="s">
        <v>20971</v>
      </c>
      <c r="BA2484" s="82" t="s">
        <v>20971</v>
      </c>
      <c r="BB2484" s="82" t="s">
        <v>20971</v>
      </c>
      <c r="BC2484" s="82" t="s">
        <v>19250</v>
      </c>
      <c r="BD2484" s="82" t="s">
        <v>21493</v>
      </c>
      <c r="BE2484" s="77"/>
      <c r="BF2484" s="77"/>
      <c r="BG2484" s="77"/>
      <c r="BH2484" s="77"/>
      <c r="BI2484" s="77"/>
    </row>
    <row r="2485" spans="1:61" x14ac:dyDescent="0.25">
      <c r="A2485" s="62" t="s">
        <v>870</v>
      </c>
      <c r="B2485" s="62" t="s">
        <v>870</v>
      </c>
      <c r="C2485" s="63"/>
      <c r="D2485" s="64"/>
      <c r="E2485" s="65"/>
      <c r="F2485" s="66"/>
      <c r="G2485" s="63"/>
      <c r="H2485" s="67"/>
      <c r="I2485" s="68"/>
      <c r="J2485" s="68"/>
      <c r="K2485" s="32"/>
      <c r="L2485" s="75">
        <v>2485</v>
      </c>
      <c r="M2485" s="75"/>
      <c r="N2485" s="70"/>
      <c r="O2485" s="77" t="s">
        <v>179</v>
      </c>
      <c r="P2485" s="79">
        <v>45071.320451388892</v>
      </c>
      <c r="Q2485" s="77" t="s">
        <v>3691</v>
      </c>
      <c r="R2485" s="77">
        <v>0</v>
      </c>
      <c r="S2485" s="77">
        <v>1</v>
      </c>
      <c r="T2485" s="77">
        <v>0</v>
      </c>
      <c r="U2485" s="77">
        <v>0</v>
      </c>
      <c r="V2485" s="77">
        <v>63</v>
      </c>
      <c r="W2485" s="82" t="s">
        <v>6459</v>
      </c>
      <c r="X2485" s="80" t="str">
        <f>HYPERLINK("https://dashboard.kiwify.com.br/join/affiliate/fXxw6A7m")</f>
        <v>https://dashboard.kiwify.com.br/join/affiliate/fXxw6A7m</v>
      </c>
      <c r="Y2485" s="77" t="s">
        <v>7252</v>
      </c>
      <c r="Z2485" s="77"/>
      <c r="AA2485" s="77" t="s">
        <v>8898</v>
      </c>
      <c r="AB2485" s="77" t="s">
        <v>10129</v>
      </c>
      <c r="AC2485" s="82" t="s">
        <v>10144</v>
      </c>
      <c r="AD2485" s="77" t="s">
        <v>10184</v>
      </c>
      <c r="AE2485" s="80" t="str">
        <f>HYPERLINK("https://twitter.com/anju25pal/status/1661638595680120832")</f>
        <v>https://twitter.com/anju25pal/status/1661638595680120832</v>
      </c>
      <c r="AF2485" s="79">
        <v>45071.320451388892</v>
      </c>
      <c r="AG2485" s="85">
        <v>45071</v>
      </c>
      <c r="AH2485" s="82" t="s">
        <v>12569</v>
      </c>
      <c r="AI2485" s="77" t="b">
        <v>0</v>
      </c>
      <c r="AJ2485" s="77"/>
      <c r="AK2485" s="77"/>
      <c r="AL2485" s="77"/>
      <c r="AM2485" s="77"/>
      <c r="AN2485" s="77"/>
      <c r="AO2485" s="77"/>
      <c r="AP2485" s="77"/>
      <c r="AQ2485" s="77" t="s">
        <v>15541</v>
      </c>
      <c r="AR2485" s="77">
        <v>29366</v>
      </c>
      <c r="AS2485" s="77"/>
      <c r="AT2485" s="77"/>
      <c r="AU2485" s="77"/>
      <c r="AV2485" s="80" t="str">
        <f>HYPERLINK("https://pbs.twimg.com/ext_tw_video_thumb/1661638539107352576/pu/img/KBnIYRJWTDV63YCa.jpg")</f>
        <v>https://pbs.twimg.com/ext_tw_video_thumb/1661638539107352576/pu/img/KBnIYRJWTDV63YCa.jpg</v>
      </c>
      <c r="AW2485" s="82" t="s">
        <v>19251</v>
      </c>
      <c r="AX2485" s="82" t="s">
        <v>19251</v>
      </c>
      <c r="AY2485" s="77"/>
      <c r="AZ2485" s="82" t="s">
        <v>20971</v>
      </c>
      <c r="BA2485" s="82" t="s">
        <v>20971</v>
      </c>
      <c r="BB2485" s="82" t="s">
        <v>20971</v>
      </c>
      <c r="BC2485" s="82" t="s">
        <v>19251</v>
      </c>
      <c r="BD2485" s="82" t="s">
        <v>21493</v>
      </c>
      <c r="BE2485" s="77"/>
      <c r="BF2485" s="77"/>
      <c r="BG2485" s="77"/>
      <c r="BH2485" s="77"/>
      <c r="BI2485" s="77"/>
    </row>
    <row r="2486" spans="1:61" x14ac:dyDescent="0.25">
      <c r="A2486" s="62" t="s">
        <v>870</v>
      </c>
      <c r="B2486" s="62" t="s">
        <v>870</v>
      </c>
      <c r="C2486" s="63"/>
      <c r="D2486" s="64"/>
      <c r="E2486" s="65"/>
      <c r="F2486" s="66"/>
      <c r="G2486" s="63"/>
      <c r="H2486" s="67"/>
      <c r="I2486" s="68"/>
      <c r="J2486" s="68"/>
      <c r="K2486" s="32"/>
      <c r="L2486" s="75">
        <v>2486</v>
      </c>
      <c r="M2486" s="75"/>
      <c r="N2486" s="70"/>
      <c r="O2486" s="77" t="s">
        <v>179</v>
      </c>
      <c r="P2486" s="79">
        <v>45071.01284722222</v>
      </c>
      <c r="Q2486" s="77" t="s">
        <v>3692</v>
      </c>
      <c r="R2486" s="77">
        <v>0</v>
      </c>
      <c r="S2486" s="77">
        <v>1</v>
      </c>
      <c r="T2486" s="77">
        <v>0</v>
      </c>
      <c r="U2486" s="77">
        <v>0</v>
      </c>
      <c r="V2486" s="77">
        <v>59</v>
      </c>
      <c r="W2486" s="82" t="s">
        <v>6460</v>
      </c>
      <c r="X2486" s="80" t="str">
        <f>HYPERLINK("https://dashboard.kiwify.com.br/join/affiliate/fXxw6A7m")</f>
        <v>https://dashboard.kiwify.com.br/join/affiliate/fXxw6A7m</v>
      </c>
      <c r="Y2486" s="77" t="s">
        <v>7252</v>
      </c>
      <c r="Z2486" s="77"/>
      <c r="AA2486" s="77" t="s">
        <v>8899</v>
      </c>
      <c r="AB2486" s="77" t="s">
        <v>10129</v>
      </c>
      <c r="AC2486" s="82" t="s">
        <v>10144</v>
      </c>
      <c r="AD2486" s="77" t="s">
        <v>10184</v>
      </c>
      <c r="AE2486" s="80" t="str">
        <f>HYPERLINK("https://twitter.com/anju25pal/status/1661527124434378752")</f>
        <v>https://twitter.com/anju25pal/status/1661527124434378752</v>
      </c>
      <c r="AF2486" s="79">
        <v>45071.01284722222</v>
      </c>
      <c r="AG2486" s="85">
        <v>45071</v>
      </c>
      <c r="AH2486" s="82" t="s">
        <v>12570</v>
      </c>
      <c r="AI2486" s="77" t="b">
        <v>0</v>
      </c>
      <c r="AJ2486" s="77"/>
      <c r="AK2486" s="77"/>
      <c r="AL2486" s="77"/>
      <c r="AM2486" s="77"/>
      <c r="AN2486" s="77"/>
      <c r="AO2486" s="77"/>
      <c r="AP2486" s="77"/>
      <c r="AQ2486" s="77" t="s">
        <v>15542</v>
      </c>
      <c r="AR2486" s="77">
        <v>61666</v>
      </c>
      <c r="AS2486" s="77"/>
      <c r="AT2486" s="77"/>
      <c r="AU2486" s="77"/>
      <c r="AV2486" s="80" t="str">
        <f>HYPERLINK("https://pbs.twimg.com/ext_tw_video_thumb/1661526574628216832/pu/img/rC2aUY-h1_LA0WAk.jpg")</f>
        <v>https://pbs.twimg.com/ext_tw_video_thumb/1661526574628216832/pu/img/rC2aUY-h1_LA0WAk.jpg</v>
      </c>
      <c r="AW2486" s="82" t="s">
        <v>19252</v>
      </c>
      <c r="AX2486" s="82" t="s">
        <v>19252</v>
      </c>
      <c r="AY2486" s="77"/>
      <c r="AZ2486" s="82" t="s">
        <v>20971</v>
      </c>
      <c r="BA2486" s="82" t="s">
        <v>20971</v>
      </c>
      <c r="BB2486" s="82" t="s">
        <v>20971</v>
      </c>
      <c r="BC2486" s="82" t="s">
        <v>19252</v>
      </c>
      <c r="BD2486" s="82" t="s">
        <v>21493</v>
      </c>
      <c r="BE2486" s="77"/>
      <c r="BF2486" s="77"/>
      <c r="BG2486" s="77"/>
      <c r="BH2486" s="77"/>
      <c r="BI2486" s="77"/>
    </row>
    <row r="2487" spans="1:61" x14ac:dyDescent="0.25">
      <c r="A2487" s="62" t="s">
        <v>870</v>
      </c>
      <c r="B2487" s="62" t="s">
        <v>870</v>
      </c>
      <c r="C2487" s="63"/>
      <c r="D2487" s="64"/>
      <c r="E2487" s="65"/>
      <c r="F2487" s="66"/>
      <c r="G2487" s="63"/>
      <c r="H2487" s="67"/>
      <c r="I2487" s="68"/>
      <c r="J2487" s="68"/>
      <c r="K2487" s="32"/>
      <c r="L2487" s="75">
        <v>2487</v>
      </c>
      <c r="M2487" s="75"/>
      <c r="N2487" s="70"/>
      <c r="O2487" s="77" t="s">
        <v>179</v>
      </c>
      <c r="P2487" s="79">
        <v>45070.923854166664</v>
      </c>
      <c r="Q2487" s="77" t="s">
        <v>3693</v>
      </c>
      <c r="R2487" s="77">
        <v>0</v>
      </c>
      <c r="S2487" s="77">
        <v>1</v>
      </c>
      <c r="T2487" s="77">
        <v>0</v>
      </c>
      <c r="U2487" s="77">
        <v>0</v>
      </c>
      <c r="V2487" s="77">
        <v>37</v>
      </c>
      <c r="W2487" s="82" t="s">
        <v>6455</v>
      </c>
      <c r="X2487" s="80" t="str">
        <f>HYPERLINK("https://dashboard.kiwify.com.br/join/affiliate/fXxw6A7m")</f>
        <v>https://dashboard.kiwify.com.br/join/affiliate/fXxw6A7m</v>
      </c>
      <c r="Y2487" s="77" t="s">
        <v>7252</v>
      </c>
      <c r="Z2487" s="77"/>
      <c r="AA2487" s="77" t="s">
        <v>8900</v>
      </c>
      <c r="AB2487" s="77" t="s">
        <v>10129</v>
      </c>
      <c r="AC2487" s="82" t="s">
        <v>10144</v>
      </c>
      <c r="AD2487" s="77" t="s">
        <v>10184</v>
      </c>
      <c r="AE2487" s="80" t="str">
        <f>HYPERLINK("https://twitter.com/anju25pal/status/1661494874942701568")</f>
        <v>https://twitter.com/anju25pal/status/1661494874942701568</v>
      </c>
      <c r="AF2487" s="79">
        <v>45070.923854166664</v>
      </c>
      <c r="AG2487" s="85">
        <v>45070</v>
      </c>
      <c r="AH2487" s="82" t="s">
        <v>12571</v>
      </c>
      <c r="AI2487" s="77" t="b">
        <v>0</v>
      </c>
      <c r="AJ2487" s="77"/>
      <c r="AK2487" s="77"/>
      <c r="AL2487" s="77"/>
      <c r="AM2487" s="77"/>
      <c r="AN2487" s="77"/>
      <c r="AO2487" s="77"/>
      <c r="AP2487" s="77"/>
      <c r="AQ2487" s="77" t="s">
        <v>15543</v>
      </c>
      <c r="AR2487" s="77">
        <v>19800</v>
      </c>
      <c r="AS2487" s="77"/>
      <c r="AT2487" s="77"/>
      <c r="AU2487" s="77"/>
      <c r="AV2487" s="80" t="str">
        <f>HYPERLINK("https://pbs.twimg.com/ext_tw_video_thumb/1661494010635067393/pu/img/aNQMZShqHR3yaQiZ.jpg")</f>
        <v>https://pbs.twimg.com/ext_tw_video_thumb/1661494010635067393/pu/img/aNQMZShqHR3yaQiZ.jpg</v>
      </c>
      <c r="AW2487" s="82" t="s">
        <v>19253</v>
      </c>
      <c r="AX2487" s="82" t="s">
        <v>19253</v>
      </c>
      <c r="AY2487" s="77"/>
      <c r="AZ2487" s="82" t="s">
        <v>20971</v>
      </c>
      <c r="BA2487" s="82" t="s">
        <v>20971</v>
      </c>
      <c r="BB2487" s="82" t="s">
        <v>20971</v>
      </c>
      <c r="BC2487" s="82" t="s">
        <v>19253</v>
      </c>
      <c r="BD2487" s="82" t="s">
        <v>21493</v>
      </c>
      <c r="BE2487" s="77"/>
      <c r="BF2487" s="77"/>
      <c r="BG2487" s="77"/>
      <c r="BH2487" s="77"/>
      <c r="BI2487" s="77"/>
    </row>
    <row r="2488" spans="1:61" x14ac:dyDescent="0.25">
      <c r="A2488" s="62" t="s">
        <v>870</v>
      </c>
      <c r="B2488" s="62" t="s">
        <v>870</v>
      </c>
      <c r="C2488" s="63"/>
      <c r="D2488" s="64"/>
      <c r="E2488" s="65"/>
      <c r="F2488" s="66"/>
      <c r="G2488" s="63"/>
      <c r="H2488" s="67"/>
      <c r="I2488" s="68"/>
      <c r="J2488" s="68"/>
      <c r="K2488" s="32"/>
      <c r="L2488" s="75">
        <v>2488</v>
      </c>
      <c r="M2488" s="75"/>
      <c r="N2488" s="70"/>
      <c r="O2488" s="77" t="s">
        <v>179</v>
      </c>
      <c r="P2488" s="79">
        <v>45070.923773148148</v>
      </c>
      <c r="Q2488" s="77" t="s">
        <v>3694</v>
      </c>
      <c r="R2488" s="77">
        <v>0</v>
      </c>
      <c r="S2488" s="77">
        <v>1</v>
      </c>
      <c r="T2488" s="77">
        <v>0</v>
      </c>
      <c r="U2488" s="77">
        <v>0</v>
      </c>
      <c r="V2488" s="77">
        <v>34</v>
      </c>
      <c r="W2488" s="82" t="s">
        <v>6455</v>
      </c>
      <c r="X2488" s="80" t="str">
        <f>HYPERLINK("https://dashboard.kiwify.com.br/join/affiliate/fXxw6A7m")</f>
        <v>https://dashboard.kiwify.com.br/join/affiliate/fXxw6A7m</v>
      </c>
      <c r="Y2488" s="77" t="s">
        <v>7252</v>
      </c>
      <c r="Z2488" s="77"/>
      <c r="AA2488" s="77" t="s">
        <v>8901</v>
      </c>
      <c r="AB2488" s="77" t="s">
        <v>10129</v>
      </c>
      <c r="AC2488" s="82" t="s">
        <v>10144</v>
      </c>
      <c r="AD2488" s="77" t="s">
        <v>10184</v>
      </c>
      <c r="AE2488" s="80" t="str">
        <f>HYPERLINK("https://twitter.com/anju25pal/status/1661494843141505024")</f>
        <v>https://twitter.com/anju25pal/status/1661494843141505024</v>
      </c>
      <c r="AF2488" s="79">
        <v>45070.923773148148</v>
      </c>
      <c r="AG2488" s="85">
        <v>45070</v>
      </c>
      <c r="AH2488" s="82" t="s">
        <v>12572</v>
      </c>
      <c r="AI2488" s="77" t="b">
        <v>0</v>
      </c>
      <c r="AJ2488" s="77"/>
      <c r="AK2488" s="77"/>
      <c r="AL2488" s="77"/>
      <c r="AM2488" s="77"/>
      <c r="AN2488" s="77"/>
      <c r="AO2488" s="77"/>
      <c r="AP2488" s="77"/>
      <c r="AQ2488" s="77" t="s">
        <v>15544</v>
      </c>
      <c r="AR2488" s="77">
        <v>21766</v>
      </c>
      <c r="AS2488" s="77"/>
      <c r="AT2488" s="77"/>
      <c r="AU2488" s="77"/>
      <c r="AV2488" s="80" t="str">
        <f>HYPERLINK("https://pbs.twimg.com/ext_tw_video_thumb/1661494010869960706/pu/img/q1eiZ-4hpNz6d2qr.jpg")</f>
        <v>https://pbs.twimg.com/ext_tw_video_thumb/1661494010869960706/pu/img/q1eiZ-4hpNz6d2qr.jpg</v>
      </c>
      <c r="AW2488" s="82" t="s">
        <v>19254</v>
      </c>
      <c r="AX2488" s="82" t="s">
        <v>19254</v>
      </c>
      <c r="AY2488" s="77"/>
      <c r="AZ2488" s="82" t="s">
        <v>20971</v>
      </c>
      <c r="BA2488" s="82" t="s">
        <v>20971</v>
      </c>
      <c r="BB2488" s="82" t="s">
        <v>20971</v>
      </c>
      <c r="BC2488" s="82" t="s">
        <v>19254</v>
      </c>
      <c r="BD2488" s="82" t="s">
        <v>21493</v>
      </c>
      <c r="BE2488" s="77"/>
      <c r="BF2488" s="77"/>
      <c r="BG2488" s="77"/>
      <c r="BH2488" s="77"/>
      <c r="BI2488" s="77"/>
    </row>
    <row r="2489" spans="1:61" x14ac:dyDescent="0.25">
      <c r="A2489" s="62" t="s">
        <v>870</v>
      </c>
      <c r="B2489" s="62" t="s">
        <v>870</v>
      </c>
      <c r="C2489" s="63"/>
      <c r="D2489" s="64"/>
      <c r="E2489" s="65"/>
      <c r="F2489" s="66"/>
      <c r="G2489" s="63"/>
      <c r="H2489" s="67"/>
      <c r="I2489" s="68"/>
      <c r="J2489" s="68"/>
      <c r="K2489" s="32"/>
      <c r="L2489" s="75">
        <v>2489</v>
      </c>
      <c r="M2489" s="75"/>
      <c r="N2489" s="70"/>
      <c r="O2489" s="77" t="s">
        <v>179</v>
      </c>
      <c r="P2489" s="79">
        <v>45076.384502314817</v>
      </c>
      <c r="Q2489" s="77" t="s">
        <v>3695</v>
      </c>
      <c r="R2489" s="77">
        <v>0</v>
      </c>
      <c r="S2489" s="77">
        <v>0</v>
      </c>
      <c r="T2489" s="77">
        <v>0</v>
      </c>
      <c r="U2489" s="77">
        <v>1</v>
      </c>
      <c r="V2489" s="77">
        <v>17</v>
      </c>
      <c r="W2489" s="82" t="s">
        <v>6457</v>
      </c>
      <c r="X2489" s="80" t="str">
        <f>HYPERLINK("https://pay.kiwify.com.br/bDxDK59?afid=BtKuh4o7")</f>
        <v>https://pay.kiwify.com.br/bDxDK59?afid=BtKuh4o7</v>
      </c>
      <c r="Y2489" s="77" t="s">
        <v>7252</v>
      </c>
      <c r="Z2489" s="77"/>
      <c r="AA2489" s="77" t="s">
        <v>8902</v>
      </c>
      <c r="AB2489" s="77" t="s">
        <v>10129</v>
      </c>
      <c r="AC2489" s="82" t="s">
        <v>10144</v>
      </c>
      <c r="AD2489" s="77" t="s">
        <v>10184</v>
      </c>
      <c r="AE2489" s="80" t="str">
        <f>HYPERLINK("https://twitter.com/anju25pal/status/1663473745548247042")</f>
        <v>https://twitter.com/anju25pal/status/1663473745548247042</v>
      </c>
      <c r="AF2489" s="79">
        <v>45076.384502314817</v>
      </c>
      <c r="AG2489" s="85">
        <v>45076</v>
      </c>
      <c r="AH2489" s="82" t="s">
        <v>12573</v>
      </c>
      <c r="AI2489" s="77" t="b">
        <v>0</v>
      </c>
      <c r="AJ2489" s="77"/>
      <c r="AK2489" s="77"/>
      <c r="AL2489" s="77"/>
      <c r="AM2489" s="77"/>
      <c r="AN2489" s="77"/>
      <c r="AO2489" s="77"/>
      <c r="AP2489" s="77"/>
      <c r="AQ2489" s="77" t="s">
        <v>15545</v>
      </c>
      <c r="AR2489" s="77">
        <v>13900</v>
      </c>
      <c r="AS2489" s="77"/>
      <c r="AT2489" s="77"/>
      <c r="AU2489" s="77"/>
      <c r="AV2489" s="80" t="str">
        <f>HYPERLINK("https://pbs.twimg.com/ext_tw_video_thumb/1663473703009615875/pu/img/K8dp2Z672AObiU71.jpg")</f>
        <v>https://pbs.twimg.com/ext_tw_video_thumb/1663473703009615875/pu/img/K8dp2Z672AObiU71.jpg</v>
      </c>
      <c r="AW2489" s="82" t="s">
        <v>19255</v>
      </c>
      <c r="AX2489" s="82" t="s">
        <v>19255</v>
      </c>
      <c r="AY2489" s="77"/>
      <c r="AZ2489" s="82" t="s">
        <v>20971</v>
      </c>
      <c r="BA2489" s="82" t="s">
        <v>20971</v>
      </c>
      <c r="BB2489" s="82" t="s">
        <v>20971</v>
      </c>
      <c r="BC2489" s="82" t="s">
        <v>19255</v>
      </c>
      <c r="BD2489" s="82" t="s">
        <v>21493</v>
      </c>
      <c r="BE2489" s="77"/>
      <c r="BF2489" s="77"/>
      <c r="BG2489" s="77"/>
      <c r="BH2489" s="77"/>
      <c r="BI2489" s="77"/>
    </row>
    <row r="2490" spans="1:61" x14ac:dyDescent="0.25">
      <c r="A2490" s="62" t="s">
        <v>870</v>
      </c>
      <c r="B2490" s="62" t="s">
        <v>870</v>
      </c>
      <c r="C2490" s="63"/>
      <c r="D2490" s="64"/>
      <c r="E2490" s="65"/>
      <c r="F2490" s="66"/>
      <c r="G2490" s="63"/>
      <c r="H2490" s="67"/>
      <c r="I2490" s="68"/>
      <c r="J2490" s="68"/>
      <c r="K2490" s="32"/>
      <c r="L2490" s="75">
        <v>2490</v>
      </c>
      <c r="M2490" s="75"/>
      <c r="N2490" s="70"/>
      <c r="O2490" s="77" t="s">
        <v>179</v>
      </c>
      <c r="P2490" s="79">
        <v>45076.030069444445</v>
      </c>
      <c r="Q2490" s="77" t="s">
        <v>3696</v>
      </c>
      <c r="R2490" s="77">
        <v>0</v>
      </c>
      <c r="S2490" s="77">
        <v>0</v>
      </c>
      <c r="T2490" s="77">
        <v>0</v>
      </c>
      <c r="U2490" s="77">
        <v>0</v>
      </c>
      <c r="V2490" s="77">
        <v>12</v>
      </c>
      <c r="W2490" s="82" t="s">
        <v>6457</v>
      </c>
      <c r="X2490" s="80" t="str">
        <f>HYPERLINK("https://pay.kiwify.com.br/bDxDK59?afid=BtKuh4o7")</f>
        <v>https://pay.kiwify.com.br/bDxDK59?afid=BtKuh4o7</v>
      </c>
      <c r="Y2490" s="77" t="s">
        <v>7252</v>
      </c>
      <c r="Z2490" s="77"/>
      <c r="AA2490" s="77" t="s">
        <v>8903</v>
      </c>
      <c r="AB2490" s="77" t="s">
        <v>10129</v>
      </c>
      <c r="AC2490" s="82" t="s">
        <v>10144</v>
      </c>
      <c r="AD2490" s="77" t="s">
        <v>10184</v>
      </c>
      <c r="AE2490" s="80" t="str">
        <f>HYPERLINK("https://twitter.com/anju25pal/status/1663345304597405710")</f>
        <v>https://twitter.com/anju25pal/status/1663345304597405710</v>
      </c>
      <c r="AF2490" s="79">
        <v>45076.030069444445</v>
      </c>
      <c r="AG2490" s="85">
        <v>45076</v>
      </c>
      <c r="AH2490" s="82" t="s">
        <v>12574</v>
      </c>
      <c r="AI2490" s="77" t="b">
        <v>0</v>
      </c>
      <c r="AJ2490" s="77"/>
      <c r="AK2490" s="77"/>
      <c r="AL2490" s="77"/>
      <c r="AM2490" s="77"/>
      <c r="AN2490" s="77"/>
      <c r="AO2490" s="77"/>
      <c r="AP2490" s="77"/>
      <c r="AQ2490" s="77" t="s">
        <v>15546</v>
      </c>
      <c r="AR2490" s="77">
        <v>34400</v>
      </c>
      <c r="AS2490" s="77"/>
      <c r="AT2490" s="77"/>
      <c r="AU2490" s="77"/>
      <c r="AV2490" s="80" t="str">
        <f>HYPERLINK("https://pbs.twimg.com/ext_tw_video_thumb/1663345231855509504/pu/img/TaHUo1s22lcdwwTd.jpg")</f>
        <v>https://pbs.twimg.com/ext_tw_video_thumb/1663345231855509504/pu/img/TaHUo1s22lcdwwTd.jpg</v>
      </c>
      <c r="AW2490" s="82" t="s">
        <v>19256</v>
      </c>
      <c r="AX2490" s="82" t="s">
        <v>19256</v>
      </c>
      <c r="AY2490" s="77"/>
      <c r="AZ2490" s="82" t="s">
        <v>20971</v>
      </c>
      <c r="BA2490" s="82" t="s">
        <v>20971</v>
      </c>
      <c r="BB2490" s="82" t="s">
        <v>20971</v>
      </c>
      <c r="BC2490" s="82" t="s">
        <v>19256</v>
      </c>
      <c r="BD2490" s="82" t="s">
        <v>21493</v>
      </c>
      <c r="BE2490" s="77"/>
      <c r="BF2490" s="77"/>
      <c r="BG2490" s="77"/>
      <c r="BH2490" s="77"/>
      <c r="BI2490" s="77"/>
    </row>
    <row r="2491" spans="1:61" x14ac:dyDescent="0.25">
      <c r="A2491" s="62" t="s">
        <v>870</v>
      </c>
      <c r="B2491" s="62" t="s">
        <v>870</v>
      </c>
      <c r="C2491" s="63"/>
      <c r="D2491" s="64"/>
      <c r="E2491" s="65"/>
      <c r="F2491" s="66"/>
      <c r="G2491" s="63"/>
      <c r="H2491" s="67"/>
      <c r="I2491" s="68"/>
      <c r="J2491" s="68"/>
      <c r="K2491" s="32"/>
      <c r="L2491" s="75">
        <v>2491</v>
      </c>
      <c r="M2491" s="75"/>
      <c r="N2491" s="70"/>
      <c r="O2491" s="77" t="s">
        <v>179</v>
      </c>
      <c r="P2491" s="79">
        <v>45083.383587962962</v>
      </c>
      <c r="Q2491" s="77" t="s">
        <v>3697</v>
      </c>
      <c r="R2491" s="77">
        <v>0</v>
      </c>
      <c r="S2491" s="77">
        <v>0</v>
      </c>
      <c r="T2491" s="77">
        <v>0</v>
      </c>
      <c r="U2491" s="77">
        <v>0</v>
      </c>
      <c r="V2491" s="77">
        <v>10</v>
      </c>
      <c r="W2491" s="82" t="s">
        <v>6461</v>
      </c>
      <c r="X2491" s="80" t="str">
        <f>HYPERLINK("https://pay.kiwify.com.br/bDxDK59?afid=BtKuh4o7")</f>
        <v>https://pay.kiwify.com.br/bDxDK59?afid=BtKuh4o7</v>
      </c>
      <c r="Y2491" s="77" t="s">
        <v>7252</v>
      </c>
      <c r="Z2491" s="77"/>
      <c r="AA2491" s="77" t="s">
        <v>8904</v>
      </c>
      <c r="AB2491" s="77" t="s">
        <v>10129</v>
      </c>
      <c r="AC2491" s="82" t="s">
        <v>10144</v>
      </c>
      <c r="AD2491" s="77" t="s">
        <v>10184</v>
      </c>
      <c r="AE2491" s="80" t="str">
        <f>HYPERLINK("https://twitter.com/anju25pal/status/1666010129890701316")</f>
        <v>https://twitter.com/anju25pal/status/1666010129890701316</v>
      </c>
      <c r="AF2491" s="79">
        <v>45083.383587962962</v>
      </c>
      <c r="AG2491" s="85">
        <v>45083</v>
      </c>
      <c r="AH2491" s="82" t="s">
        <v>12575</v>
      </c>
      <c r="AI2491" s="77" t="b">
        <v>0</v>
      </c>
      <c r="AJ2491" s="77"/>
      <c r="AK2491" s="77"/>
      <c r="AL2491" s="77"/>
      <c r="AM2491" s="77"/>
      <c r="AN2491" s="77"/>
      <c r="AO2491" s="77"/>
      <c r="AP2491" s="77"/>
      <c r="AQ2491" s="77" t="s">
        <v>15547</v>
      </c>
      <c r="AR2491" s="77">
        <v>51300</v>
      </c>
      <c r="AS2491" s="77"/>
      <c r="AT2491" s="77"/>
      <c r="AU2491" s="77"/>
      <c r="AV2491" s="80" t="str">
        <f>HYPERLINK("https://pbs.twimg.com/ext_tw_video_thumb/1666010066854502401/pu/img/vMAWEXtxXLX7Zmsp.jpg")</f>
        <v>https://pbs.twimg.com/ext_tw_video_thumb/1666010066854502401/pu/img/vMAWEXtxXLX7Zmsp.jpg</v>
      </c>
      <c r="AW2491" s="82" t="s">
        <v>19257</v>
      </c>
      <c r="AX2491" s="82" t="s">
        <v>19257</v>
      </c>
      <c r="AY2491" s="77"/>
      <c r="AZ2491" s="82" t="s">
        <v>20971</v>
      </c>
      <c r="BA2491" s="82" t="s">
        <v>20971</v>
      </c>
      <c r="BB2491" s="82" t="s">
        <v>20971</v>
      </c>
      <c r="BC2491" s="82" t="s">
        <v>19257</v>
      </c>
      <c r="BD2491" s="82" t="s">
        <v>21493</v>
      </c>
      <c r="BE2491" s="77"/>
      <c r="BF2491" s="77"/>
      <c r="BG2491" s="77"/>
      <c r="BH2491" s="77"/>
      <c r="BI2491" s="77"/>
    </row>
    <row r="2492" spans="1:61" x14ac:dyDescent="0.25">
      <c r="A2492" s="62" t="s">
        <v>870</v>
      </c>
      <c r="B2492" s="62" t="s">
        <v>870</v>
      </c>
      <c r="C2492" s="63"/>
      <c r="D2492" s="64"/>
      <c r="E2492" s="65"/>
      <c r="F2492" s="66"/>
      <c r="G2492" s="63"/>
      <c r="H2492" s="67"/>
      <c r="I2492" s="68"/>
      <c r="J2492" s="68"/>
      <c r="K2492" s="32"/>
      <c r="L2492" s="75">
        <v>2492</v>
      </c>
      <c r="M2492" s="75"/>
      <c r="N2492" s="70"/>
      <c r="O2492" s="77" t="s">
        <v>179</v>
      </c>
      <c r="P2492" s="79">
        <v>45082.43855324074</v>
      </c>
      <c r="Q2492" s="77" t="s">
        <v>3698</v>
      </c>
      <c r="R2492" s="77">
        <v>0</v>
      </c>
      <c r="S2492" s="77">
        <v>1</v>
      </c>
      <c r="T2492" s="77">
        <v>0</v>
      </c>
      <c r="U2492" s="77">
        <v>0</v>
      </c>
      <c r="V2492" s="77">
        <v>7</v>
      </c>
      <c r="W2492" s="82" t="s">
        <v>6457</v>
      </c>
      <c r="X2492" s="80" t="str">
        <f>HYPERLINK("https://pay.kiwify.com.br/bDxDK59?afid=BtKuh4o7")</f>
        <v>https://pay.kiwify.com.br/bDxDK59?afid=BtKuh4o7</v>
      </c>
      <c r="Y2492" s="77" t="s">
        <v>7252</v>
      </c>
      <c r="Z2492" s="77"/>
      <c r="AA2492" s="77" t="s">
        <v>8905</v>
      </c>
      <c r="AB2492" s="77" t="s">
        <v>10129</v>
      </c>
      <c r="AC2492" s="82" t="s">
        <v>10144</v>
      </c>
      <c r="AD2492" s="77" t="s">
        <v>10184</v>
      </c>
      <c r="AE2492" s="80" t="str">
        <f>HYPERLINK("https://twitter.com/anju25pal/status/1665667661512966144")</f>
        <v>https://twitter.com/anju25pal/status/1665667661512966144</v>
      </c>
      <c r="AF2492" s="79">
        <v>45082.43855324074</v>
      </c>
      <c r="AG2492" s="85">
        <v>45082</v>
      </c>
      <c r="AH2492" s="82" t="s">
        <v>12576</v>
      </c>
      <c r="AI2492" s="77" t="b">
        <v>0</v>
      </c>
      <c r="AJ2492" s="77"/>
      <c r="AK2492" s="77"/>
      <c r="AL2492" s="77"/>
      <c r="AM2492" s="77"/>
      <c r="AN2492" s="77"/>
      <c r="AO2492" s="77"/>
      <c r="AP2492" s="77"/>
      <c r="AQ2492" s="77" t="s">
        <v>15548</v>
      </c>
      <c r="AR2492" s="77">
        <v>16666</v>
      </c>
      <c r="AS2492" s="77"/>
      <c r="AT2492" s="77"/>
      <c r="AU2492" s="77"/>
      <c r="AV2492" s="80" t="str">
        <f>HYPERLINK("https://pbs.twimg.com/ext_tw_video_thumb/1665667612846555137/pu/img/cFKDNxWvwy4Lohfz.jpg")</f>
        <v>https://pbs.twimg.com/ext_tw_video_thumb/1665667612846555137/pu/img/cFKDNxWvwy4Lohfz.jpg</v>
      </c>
      <c r="AW2492" s="82" t="s">
        <v>19258</v>
      </c>
      <c r="AX2492" s="82" t="s">
        <v>19258</v>
      </c>
      <c r="AY2492" s="77"/>
      <c r="AZ2492" s="82" t="s">
        <v>20971</v>
      </c>
      <c r="BA2492" s="82" t="s">
        <v>20971</v>
      </c>
      <c r="BB2492" s="82" t="s">
        <v>20971</v>
      </c>
      <c r="BC2492" s="82" t="s">
        <v>19258</v>
      </c>
      <c r="BD2492" s="82" t="s">
        <v>21493</v>
      </c>
      <c r="BE2492" s="77"/>
      <c r="BF2492" s="77"/>
      <c r="BG2492" s="77"/>
      <c r="BH2492" s="77"/>
      <c r="BI2492" s="77"/>
    </row>
    <row r="2493" spans="1:61" x14ac:dyDescent="0.25">
      <c r="A2493" s="62" t="s">
        <v>870</v>
      </c>
      <c r="B2493" s="62" t="s">
        <v>870</v>
      </c>
      <c r="C2493" s="63"/>
      <c r="D2493" s="64"/>
      <c r="E2493" s="65"/>
      <c r="F2493" s="66"/>
      <c r="G2493" s="63"/>
      <c r="H2493" s="67"/>
      <c r="I2493" s="68"/>
      <c r="J2493" s="68"/>
      <c r="K2493" s="32"/>
      <c r="L2493" s="75">
        <v>2493</v>
      </c>
      <c r="M2493" s="75"/>
      <c r="N2493" s="70"/>
      <c r="O2493" s="77" t="s">
        <v>179</v>
      </c>
      <c r="P2493" s="79">
        <v>45162.588807870372</v>
      </c>
      <c r="Q2493" s="77" t="s">
        <v>3699</v>
      </c>
      <c r="R2493" s="77">
        <v>0</v>
      </c>
      <c r="S2493" s="77">
        <v>0</v>
      </c>
      <c r="T2493" s="77">
        <v>0</v>
      </c>
      <c r="U2493" s="77">
        <v>0</v>
      </c>
      <c r="V2493" s="77">
        <v>25</v>
      </c>
      <c r="W2493" s="82" t="s">
        <v>6462</v>
      </c>
      <c r="X2493" s="77"/>
      <c r="Y2493" s="77"/>
      <c r="Z2493" s="77"/>
      <c r="AA2493" s="77" t="s">
        <v>8906</v>
      </c>
      <c r="AB2493" s="77" t="s">
        <v>10129</v>
      </c>
      <c r="AC2493" s="82" t="s">
        <v>10144</v>
      </c>
      <c r="AD2493" s="77" t="s">
        <v>10184</v>
      </c>
      <c r="AE2493" s="80" t="str">
        <f>HYPERLINK("https://twitter.com/anju25pal/status/1694713138355335305")</f>
        <v>https://twitter.com/anju25pal/status/1694713138355335305</v>
      </c>
      <c r="AF2493" s="79">
        <v>45162.588807870372</v>
      </c>
      <c r="AG2493" s="85">
        <v>45162</v>
      </c>
      <c r="AH2493" s="82" t="s">
        <v>12577</v>
      </c>
      <c r="AI2493" s="77" t="b">
        <v>0</v>
      </c>
      <c r="AJ2493" s="77"/>
      <c r="AK2493" s="77"/>
      <c r="AL2493" s="77"/>
      <c r="AM2493" s="77"/>
      <c r="AN2493" s="77"/>
      <c r="AO2493" s="77"/>
      <c r="AP2493" s="77"/>
      <c r="AQ2493" s="77" t="s">
        <v>15549</v>
      </c>
      <c r="AR2493" s="77">
        <v>91000</v>
      </c>
      <c r="AS2493" s="77"/>
      <c r="AT2493" s="77"/>
      <c r="AU2493" s="77"/>
      <c r="AV2493" s="80" t="str">
        <f>HYPERLINK("https://pbs.twimg.com/ext_tw_video_thumb/1694712987385470976/pu/img/5k5A7zJFytFnZvKY.jpg")</f>
        <v>https://pbs.twimg.com/ext_tw_video_thumb/1694712987385470976/pu/img/5k5A7zJFytFnZvKY.jpg</v>
      </c>
      <c r="AW2493" s="82" t="s">
        <v>19259</v>
      </c>
      <c r="AX2493" s="82" t="s">
        <v>19259</v>
      </c>
      <c r="AY2493" s="77"/>
      <c r="AZ2493" s="82" t="s">
        <v>20971</v>
      </c>
      <c r="BA2493" s="82" t="s">
        <v>20971</v>
      </c>
      <c r="BB2493" s="82" t="s">
        <v>20971</v>
      </c>
      <c r="BC2493" s="82" t="s">
        <v>19259</v>
      </c>
      <c r="BD2493" s="82" t="s">
        <v>21493</v>
      </c>
      <c r="BE2493" s="77"/>
      <c r="BF2493" s="77"/>
      <c r="BG2493" s="77"/>
      <c r="BH2493" s="77"/>
      <c r="BI2493" s="77"/>
    </row>
    <row r="2494" spans="1:61" x14ac:dyDescent="0.25">
      <c r="A2494" s="62" t="s">
        <v>870</v>
      </c>
      <c r="B2494" s="62" t="s">
        <v>870</v>
      </c>
      <c r="C2494" s="63"/>
      <c r="D2494" s="64"/>
      <c r="E2494" s="65"/>
      <c r="F2494" s="66"/>
      <c r="G2494" s="63"/>
      <c r="H2494" s="67"/>
      <c r="I2494" s="68"/>
      <c r="J2494" s="68"/>
      <c r="K2494" s="32"/>
      <c r="L2494" s="75">
        <v>2494</v>
      </c>
      <c r="M2494" s="75"/>
      <c r="N2494" s="70"/>
      <c r="O2494" s="77" t="s">
        <v>179</v>
      </c>
      <c r="P2494" s="79">
        <v>45089.430543981478</v>
      </c>
      <c r="Q2494" s="77" t="s">
        <v>3700</v>
      </c>
      <c r="R2494" s="77">
        <v>0</v>
      </c>
      <c r="S2494" s="77">
        <v>0</v>
      </c>
      <c r="T2494" s="77">
        <v>0</v>
      </c>
      <c r="U2494" s="77">
        <v>0</v>
      </c>
      <c r="V2494" s="77">
        <v>5</v>
      </c>
      <c r="W2494" s="82" t="s">
        <v>6457</v>
      </c>
      <c r="X2494" s="80" t="str">
        <f>HYPERLINK("https://pay.kiwify.com.br/bDxDK59?afid=BtKuh4o7")</f>
        <v>https://pay.kiwify.com.br/bDxDK59?afid=BtKuh4o7</v>
      </c>
      <c r="Y2494" s="77" t="s">
        <v>7252</v>
      </c>
      <c r="Z2494" s="77"/>
      <c r="AA2494" s="77" t="s">
        <v>8907</v>
      </c>
      <c r="AB2494" s="77" t="s">
        <v>10129</v>
      </c>
      <c r="AC2494" s="82" t="s">
        <v>10144</v>
      </c>
      <c r="AD2494" s="77" t="s">
        <v>10184</v>
      </c>
      <c r="AE2494" s="80" t="str">
        <f>HYPERLINK("https://twitter.com/anju25pal/status/1668201471886741511")</f>
        <v>https://twitter.com/anju25pal/status/1668201471886741511</v>
      </c>
      <c r="AF2494" s="79">
        <v>45089.430543981478</v>
      </c>
      <c r="AG2494" s="85">
        <v>45089</v>
      </c>
      <c r="AH2494" s="82" t="s">
        <v>12578</v>
      </c>
      <c r="AI2494" s="77" t="b">
        <v>0</v>
      </c>
      <c r="AJ2494" s="77"/>
      <c r="AK2494" s="77"/>
      <c r="AL2494" s="77"/>
      <c r="AM2494" s="77"/>
      <c r="AN2494" s="77"/>
      <c r="AO2494" s="77"/>
      <c r="AP2494" s="77"/>
      <c r="AQ2494" s="77" t="s">
        <v>15550</v>
      </c>
      <c r="AR2494" s="77">
        <v>15000</v>
      </c>
      <c r="AS2494" s="77"/>
      <c r="AT2494" s="77"/>
      <c r="AU2494" s="77"/>
      <c r="AV2494" s="80" t="str">
        <f>HYPERLINK("https://pbs.twimg.com/ext_tw_video_thumb/1668201425313120256/pu/img/LvAw895yIiiPibzQ.jpg")</f>
        <v>https://pbs.twimg.com/ext_tw_video_thumb/1668201425313120256/pu/img/LvAw895yIiiPibzQ.jpg</v>
      </c>
      <c r="AW2494" s="82" t="s">
        <v>19260</v>
      </c>
      <c r="AX2494" s="82" t="s">
        <v>19260</v>
      </c>
      <c r="AY2494" s="77"/>
      <c r="AZ2494" s="82" t="s">
        <v>20971</v>
      </c>
      <c r="BA2494" s="82" t="s">
        <v>20971</v>
      </c>
      <c r="BB2494" s="82" t="s">
        <v>20971</v>
      </c>
      <c r="BC2494" s="82" t="s">
        <v>19260</v>
      </c>
      <c r="BD2494" s="82" t="s">
        <v>21493</v>
      </c>
      <c r="BE2494" s="77"/>
      <c r="BF2494" s="77"/>
      <c r="BG2494" s="77"/>
      <c r="BH2494" s="77"/>
      <c r="BI2494" s="77"/>
    </row>
    <row r="2495" spans="1:61" x14ac:dyDescent="0.25">
      <c r="A2495" s="62" t="s">
        <v>870</v>
      </c>
      <c r="B2495" s="62" t="s">
        <v>870</v>
      </c>
      <c r="C2495" s="63"/>
      <c r="D2495" s="64"/>
      <c r="E2495" s="65"/>
      <c r="F2495" s="66"/>
      <c r="G2495" s="63"/>
      <c r="H2495" s="67"/>
      <c r="I2495" s="68"/>
      <c r="J2495" s="68"/>
      <c r="K2495" s="32"/>
      <c r="L2495" s="75">
        <v>2495</v>
      </c>
      <c r="M2495" s="75"/>
      <c r="N2495" s="70"/>
      <c r="O2495" s="77" t="s">
        <v>179</v>
      </c>
      <c r="P2495" s="79">
        <v>45089.421284722222</v>
      </c>
      <c r="Q2495" s="77" t="s">
        <v>3701</v>
      </c>
      <c r="R2495" s="77">
        <v>0</v>
      </c>
      <c r="S2495" s="77">
        <v>0</v>
      </c>
      <c r="T2495" s="77">
        <v>0</v>
      </c>
      <c r="U2495" s="77">
        <v>0</v>
      </c>
      <c r="V2495" s="77">
        <v>8</v>
      </c>
      <c r="W2495" s="82" t="s">
        <v>6457</v>
      </c>
      <c r="X2495" s="80" t="str">
        <f>HYPERLINK("https://pay.kiwify.com.br/bDxDK59?afid=BtKuh4o7")</f>
        <v>https://pay.kiwify.com.br/bDxDK59?afid=BtKuh4o7</v>
      </c>
      <c r="Y2495" s="77" t="s">
        <v>7252</v>
      </c>
      <c r="Z2495" s="77"/>
      <c r="AA2495" s="77" t="s">
        <v>8908</v>
      </c>
      <c r="AB2495" s="77" t="s">
        <v>10129</v>
      </c>
      <c r="AC2495" s="82" t="s">
        <v>10144</v>
      </c>
      <c r="AD2495" s="77" t="s">
        <v>10184</v>
      </c>
      <c r="AE2495" s="80" t="str">
        <f>HYPERLINK("https://twitter.com/anju25pal/status/1668198117496193024")</f>
        <v>https://twitter.com/anju25pal/status/1668198117496193024</v>
      </c>
      <c r="AF2495" s="79">
        <v>45089.421284722222</v>
      </c>
      <c r="AG2495" s="85">
        <v>45089</v>
      </c>
      <c r="AH2495" s="82" t="s">
        <v>12579</v>
      </c>
      <c r="AI2495" s="77" t="b">
        <v>0</v>
      </c>
      <c r="AJ2495" s="77"/>
      <c r="AK2495" s="77"/>
      <c r="AL2495" s="77"/>
      <c r="AM2495" s="77"/>
      <c r="AN2495" s="77"/>
      <c r="AO2495" s="77"/>
      <c r="AP2495" s="77"/>
      <c r="AQ2495" s="77" t="s">
        <v>15551</v>
      </c>
      <c r="AR2495" s="77">
        <v>62800</v>
      </c>
      <c r="AS2495" s="77"/>
      <c r="AT2495" s="77"/>
      <c r="AU2495" s="77"/>
      <c r="AV2495" s="80" t="str">
        <f>HYPERLINK("https://pbs.twimg.com/ext_tw_video_thumb/1668198029243850755/pu/img/K1m5yu9j3y0uDhXR.jpg")</f>
        <v>https://pbs.twimg.com/ext_tw_video_thumb/1668198029243850755/pu/img/K1m5yu9j3y0uDhXR.jpg</v>
      </c>
      <c r="AW2495" s="82" t="s">
        <v>19261</v>
      </c>
      <c r="AX2495" s="82" t="s">
        <v>19261</v>
      </c>
      <c r="AY2495" s="77"/>
      <c r="AZ2495" s="82" t="s">
        <v>20971</v>
      </c>
      <c r="BA2495" s="82" t="s">
        <v>20971</v>
      </c>
      <c r="BB2495" s="82" t="s">
        <v>20971</v>
      </c>
      <c r="BC2495" s="82" t="s">
        <v>19261</v>
      </c>
      <c r="BD2495" s="82" t="s">
        <v>21493</v>
      </c>
      <c r="BE2495" s="77"/>
      <c r="BF2495" s="77"/>
      <c r="BG2495" s="77"/>
      <c r="BH2495" s="77"/>
      <c r="BI2495" s="77"/>
    </row>
    <row r="2496" spans="1:61" x14ac:dyDescent="0.25">
      <c r="A2496" s="62" t="s">
        <v>870</v>
      </c>
      <c r="B2496" s="62" t="s">
        <v>870</v>
      </c>
      <c r="C2496" s="63"/>
      <c r="D2496" s="64"/>
      <c r="E2496" s="65"/>
      <c r="F2496" s="66"/>
      <c r="G2496" s="63"/>
      <c r="H2496" s="67"/>
      <c r="I2496" s="68"/>
      <c r="J2496" s="68"/>
      <c r="K2496" s="32"/>
      <c r="L2496" s="75">
        <v>2496</v>
      </c>
      <c r="M2496" s="75"/>
      <c r="N2496" s="70"/>
      <c r="O2496" s="77" t="s">
        <v>179</v>
      </c>
      <c r="P2496" s="79">
        <v>45088.554351851853</v>
      </c>
      <c r="Q2496" s="77" t="s">
        <v>3702</v>
      </c>
      <c r="R2496" s="77">
        <v>0</v>
      </c>
      <c r="S2496" s="77">
        <v>0</v>
      </c>
      <c r="T2496" s="77">
        <v>0</v>
      </c>
      <c r="U2496" s="77">
        <v>0</v>
      </c>
      <c r="V2496" s="77">
        <v>4</v>
      </c>
      <c r="W2496" s="82" t="s">
        <v>6457</v>
      </c>
      <c r="X2496" s="80" t="str">
        <f>HYPERLINK("https://pay.kiwify.com.br/bDxDK59?afid=BtKuh4o7")</f>
        <v>https://pay.kiwify.com.br/bDxDK59?afid=BtKuh4o7</v>
      </c>
      <c r="Y2496" s="77" t="s">
        <v>7252</v>
      </c>
      <c r="Z2496" s="77"/>
      <c r="AA2496" s="77" t="s">
        <v>8909</v>
      </c>
      <c r="AB2496" s="77" t="s">
        <v>10129</v>
      </c>
      <c r="AC2496" s="82" t="s">
        <v>10144</v>
      </c>
      <c r="AD2496" s="77" t="s">
        <v>10184</v>
      </c>
      <c r="AE2496" s="80" t="str">
        <f>HYPERLINK("https://twitter.com/anju25pal/status/1667883952248430596")</f>
        <v>https://twitter.com/anju25pal/status/1667883952248430596</v>
      </c>
      <c r="AF2496" s="79">
        <v>45088.554351851853</v>
      </c>
      <c r="AG2496" s="85">
        <v>45088</v>
      </c>
      <c r="AH2496" s="82" t="s">
        <v>12580</v>
      </c>
      <c r="AI2496" s="77" t="b">
        <v>0</v>
      </c>
      <c r="AJ2496" s="77"/>
      <c r="AK2496" s="77"/>
      <c r="AL2496" s="77"/>
      <c r="AM2496" s="77"/>
      <c r="AN2496" s="77"/>
      <c r="AO2496" s="77"/>
      <c r="AP2496" s="77"/>
      <c r="AQ2496" s="77" t="s">
        <v>15552</v>
      </c>
      <c r="AR2496" s="77">
        <v>22200</v>
      </c>
      <c r="AS2496" s="77"/>
      <c r="AT2496" s="77"/>
      <c r="AU2496" s="77"/>
      <c r="AV2496" s="80" t="str">
        <f>HYPERLINK("https://pbs.twimg.com/ext_tw_video_thumb/1667883905075101704/pu/img/1fWpy8Pt3npz2P2L.jpg")</f>
        <v>https://pbs.twimg.com/ext_tw_video_thumb/1667883905075101704/pu/img/1fWpy8Pt3npz2P2L.jpg</v>
      </c>
      <c r="AW2496" s="82" t="s">
        <v>19262</v>
      </c>
      <c r="AX2496" s="82" t="s">
        <v>19262</v>
      </c>
      <c r="AY2496" s="77"/>
      <c r="AZ2496" s="82" t="s">
        <v>20971</v>
      </c>
      <c r="BA2496" s="82" t="s">
        <v>20971</v>
      </c>
      <c r="BB2496" s="82" t="s">
        <v>20971</v>
      </c>
      <c r="BC2496" s="82" t="s">
        <v>19262</v>
      </c>
      <c r="BD2496" s="82" t="s">
        <v>21493</v>
      </c>
      <c r="BE2496" s="77"/>
      <c r="BF2496" s="77"/>
      <c r="BG2496" s="77"/>
      <c r="BH2496" s="77"/>
      <c r="BI2496" s="77"/>
    </row>
    <row r="2497" spans="1:61" x14ac:dyDescent="0.25">
      <c r="A2497" s="62" t="s">
        <v>870</v>
      </c>
      <c r="B2497" s="62" t="s">
        <v>870</v>
      </c>
      <c r="C2497" s="63"/>
      <c r="D2497" s="64"/>
      <c r="E2497" s="65"/>
      <c r="F2497" s="66"/>
      <c r="G2497" s="63"/>
      <c r="H2497" s="67"/>
      <c r="I2497" s="68"/>
      <c r="J2497" s="68"/>
      <c r="K2497" s="32"/>
      <c r="L2497" s="75">
        <v>2497</v>
      </c>
      <c r="M2497" s="75"/>
      <c r="N2497" s="70"/>
      <c r="O2497" s="77" t="s">
        <v>179</v>
      </c>
      <c r="P2497" s="79">
        <v>45069.84578703704</v>
      </c>
      <c r="Q2497" s="77" t="s">
        <v>3703</v>
      </c>
      <c r="R2497" s="77">
        <v>0</v>
      </c>
      <c r="S2497" s="77">
        <v>1</v>
      </c>
      <c r="T2497" s="77">
        <v>1</v>
      </c>
      <c r="U2497" s="77">
        <v>0</v>
      </c>
      <c r="V2497" s="77">
        <v>85</v>
      </c>
      <c r="W2497" s="82" t="s">
        <v>6463</v>
      </c>
      <c r="X2497" s="80" t="str">
        <f>HYPERLINK("https://dashboard.kiwify.com.br/join/affiliate/fXxw6A7m")</f>
        <v>https://dashboard.kiwify.com.br/join/affiliate/fXxw6A7m</v>
      </c>
      <c r="Y2497" s="77" t="s">
        <v>7252</v>
      </c>
      <c r="Z2497" s="77"/>
      <c r="AA2497" s="77" t="s">
        <v>8910</v>
      </c>
      <c r="AB2497" s="77" t="s">
        <v>10129</v>
      </c>
      <c r="AC2497" s="82" t="s">
        <v>10144</v>
      </c>
      <c r="AD2497" s="77" t="s">
        <v>10184</v>
      </c>
      <c r="AE2497" s="80" t="str">
        <f>HYPERLINK("https://twitter.com/anju25pal/status/1661104192646258691")</f>
        <v>https://twitter.com/anju25pal/status/1661104192646258691</v>
      </c>
      <c r="AF2497" s="79">
        <v>45069.84578703704</v>
      </c>
      <c r="AG2497" s="85">
        <v>45069</v>
      </c>
      <c r="AH2497" s="82" t="s">
        <v>12581</v>
      </c>
      <c r="AI2497" s="77" t="b">
        <v>0</v>
      </c>
      <c r="AJ2497" s="77"/>
      <c r="AK2497" s="77"/>
      <c r="AL2497" s="77"/>
      <c r="AM2497" s="77"/>
      <c r="AN2497" s="77"/>
      <c r="AO2497" s="77"/>
      <c r="AP2497" s="77"/>
      <c r="AQ2497" s="77" t="s">
        <v>15553</v>
      </c>
      <c r="AR2497" s="77">
        <v>27066</v>
      </c>
      <c r="AS2497" s="77"/>
      <c r="AT2497" s="77"/>
      <c r="AU2497" s="77"/>
      <c r="AV2497" s="80" t="str">
        <f>HYPERLINK("https://pbs.twimg.com/ext_tw_video_thumb/1661104142708776962/pu/img/p1ovJQPlZnHONyOk.jpg")</f>
        <v>https://pbs.twimg.com/ext_tw_video_thumb/1661104142708776962/pu/img/p1ovJQPlZnHONyOk.jpg</v>
      </c>
      <c r="AW2497" s="82" t="s">
        <v>19263</v>
      </c>
      <c r="AX2497" s="82" t="s">
        <v>19263</v>
      </c>
      <c r="AY2497" s="77"/>
      <c r="AZ2497" s="82" t="s">
        <v>20971</v>
      </c>
      <c r="BA2497" s="82" t="s">
        <v>20971</v>
      </c>
      <c r="BB2497" s="82" t="s">
        <v>20971</v>
      </c>
      <c r="BC2497" s="82" t="s">
        <v>19263</v>
      </c>
      <c r="BD2497" s="82" t="s">
        <v>21493</v>
      </c>
      <c r="BE2497" s="77"/>
      <c r="BF2497" s="77"/>
      <c r="BG2497" s="77"/>
      <c r="BH2497" s="77"/>
      <c r="BI2497" s="77"/>
    </row>
    <row r="2498" spans="1:61" x14ac:dyDescent="0.25">
      <c r="A2498" s="62" t="s">
        <v>870</v>
      </c>
      <c r="B2498" s="62" t="s">
        <v>870</v>
      </c>
      <c r="C2498" s="63"/>
      <c r="D2498" s="64"/>
      <c r="E2498" s="65"/>
      <c r="F2498" s="66"/>
      <c r="G2498" s="63"/>
      <c r="H2498" s="67"/>
      <c r="I2498" s="68"/>
      <c r="J2498" s="68"/>
      <c r="K2498" s="32"/>
      <c r="L2498" s="75">
        <v>2498</v>
      </c>
      <c r="M2498" s="75"/>
      <c r="N2498" s="70"/>
      <c r="O2498" s="77" t="s">
        <v>179</v>
      </c>
      <c r="P2498" s="79">
        <v>45069.84547453704</v>
      </c>
      <c r="Q2498" s="77" t="s">
        <v>3704</v>
      </c>
      <c r="R2498" s="77">
        <v>0</v>
      </c>
      <c r="S2498" s="77">
        <v>1</v>
      </c>
      <c r="T2498" s="77">
        <v>1</v>
      </c>
      <c r="U2498" s="77">
        <v>0</v>
      </c>
      <c r="V2498" s="77">
        <v>51</v>
      </c>
      <c r="W2498" s="82" t="s">
        <v>6464</v>
      </c>
      <c r="X2498" s="80" t="str">
        <f>HYPERLINK("https://dashboard.kiwify.com.br/join/affiliate/fXxw6A7m")</f>
        <v>https://dashboard.kiwify.com.br/join/affiliate/fXxw6A7m</v>
      </c>
      <c r="Y2498" s="77" t="s">
        <v>7252</v>
      </c>
      <c r="Z2498" s="77"/>
      <c r="AA2498" s="77" t="s">
        <v>8911</v>
      </c>
      <c r="AB2498" s="77" t="s">
        <v>10129</v>
      </c>
      <c r="AC2498" s="82" t="s">
        <v>10144</v>
      </c>
      <c r="AD2498" s="77" t="s">
        <v>10184</v>
      </c>
      <c r="AE2498" s="80" t="str">
        <f>HYPERLINK("https://twitter.com/anju25pal/status/1661104081241268224")</f>
        <v>https://twitter.com/anju25pal/status/1661104081241268224</v>
      </c>
      <c r="AF2498" s="79">
        <v>45069.84547453704</v>
      </c>
      <c r="AG2498" s="85">
        <v>45069</v>
      </c>
      <c r="AH2498" s="82" t="s">
        <v>12582</v>
      </c>
      <c r="AI2498" s="77" t="b">
        <v>0</v>
      </c>
      <c r="AJ2498" s="77"/>
      <c r="AK2498" s="77"/>
      <c r="AL2498" s="77"/>
      <c r="AM2498" s="77"/>
      <c r="AN2498" s="77"/>
      <c r="AO2498" s="77"/>
      <c r="AP2498" s="77"/>
      <c r="AQ2498" s="77" t="s">
        <v>15554</v>
      </c>
      <c r="AR2498" s="77">
        <v>136803</v>
      </c>
      <c r="AS2498" s="77"/>
      <c r="AT2498" s="77"/>
      <c r="AU2498" s="77"/>
      <c r="AV2498" s="80" t="str">
        <f>HYPERLINK("https://pbs.twimg.com/ext_tw_video_thumb/1661103939880730630/pu/img/OSMsZF1RoNliKrLA.jpg")</f>
        <v>https://pbs.twimg.com/ext_tw_video_thumb/1661103939880730630/pu/img/OSMsZF1RoNliKrLA.jpg</v>
      </c>
      <c r="AW2498" s="82" t="s">
        <v>19264</v>
      </c>
      <c r="AX2498" s="82" t="s">
        <v>19264</v>
      </c>
      <c r="AY2498" s="77"/>
      <c r="AZ2498" s="82" t="s">
        <v>20971</v>
      </c>
      <c r="BA2498" s="82" t="s">
        <v>20971</v>
      </c>
      <c r="BB2498" s="82" t="s">
        <v>20971</v>
      </c>
      <c r="BC2498" s="82" t="s">
        <v>19264</v>
      </c>
      <c r="BD2498" s="82" t="s">
        <v>21493</v>
      </c>
      <c r="BE2498" s="77"/>
      <c r="BF2498" s="77"/>
      <c r="BG2498" s="77"/>
      <c r="BH2498" s="77"/>
      <c r="BI2498" s="77"/>
    </row>
    <row r="2499" spans="1:61" x14ac:dyDescent="0.25">
      <c r="A2499" s="62" t="s">
        <v>870</v>
      </c>
      <c r="B2499" s="62" t="s">
        <v>870</v>
      </c>
      <c r="C2499" s="63"/>
      <c r="D2499" s="64"/>
      <c r="E2499" s="65"/>
      <c r="F2499" s="66"/>
      <c r="G2499" s="63"/>
      <c r="H2499" s="67"/>
      <c r="I2499" s="68"/>
      <c r="J2499" s="68"/>
      <c r="K2499" s="32"/>
      <c r="L2499" s="75">
        <v>2499</v>
      </c>
      <c r="M2499" s="75"/>
      <c r="N2499" s="70"/>
      <c r="O2499" s="77" t="s">
        <v>179</v>
      </c>
      <c r="P2499" s="79">
        <v>45069.345983796295</v>
      </c>
      <c r="Q2499" s="77" t="s">
        <v>3705</v>
      </c>
      <c r="R2499" s="77">
        <v>0</v>
      </c>
      <c r="S2499" s="77">
        <v>0</v>
      </c>
      <c r="T2499" s="77">
        <v>1</v>
      </c>
      <c r="U2499" s="77">
        <v>0</v>
      </c>
      <c r="V2499" s="77">
        <v>75</v>
      </c>
      <c r="W2499" s="82" t="s">
        <v>6465</v>
      </c>
      <c r="X2499" s="80" t="str">
        <f>HYPERLINK("https://dashboard.kiwify.com.br/join/affiliate/fXxw6A7m")</f>
        <v>https://dashboard.kiwify.com.br/join/affiliate/fXxw6A7m</v>
      </c>
      <c r="Y2499" s="77" t="s">
        <v>7252</v>
      </c>
      <c r="Z2499" s="77"/>
      <c r="AA2499" s="77" t="s">
        <v>8912</v>
      </c>
      <c r="AB2499" s="77" t="s">
        <v>10129</v>
      </c>
      <c r="AC2499" s="82" t="s">
        <v>10144</v>
      </c>
      <c r="AD2499" s="77" t="s">
        <v>10184</v>
      </c>
      <c r="AE2499" s="80" t="str">
        <f>HYPERLINK("https://twitter.com/anju25pal/status/1660923072872947713")</f>
        <v>https://twitter.com/anju25pal/status/1660923072872947713</v>
      </c>
      <c r="AF2499" s="79">
        <v>45069.345983796295</v>
      </c>
      <c r="AG2499" s="85">
        <v>45069</v>
      </c>
      <c r="AH2499" s="82" t="s">
        <v>12583</v>
      </c>
      <c r="AI2499" s="77" t="b">
        <v>0</v>
      </c>
      <c r="AJ2499" s="77"/>
      <c r="AK2499" s="77"/>
      <c r="AL2499" s="77"/>
      <c r="AM2499" s="77"/>
      <c r="AN2499" s="77"/>
      <c r="AO2499" s="77"/>
      <c r="AP2499" s="77"/>
      <c r="AQ2499" s="77" t="s">
        <v>15555</v>
      </c>
      <c r="AR2499" s="77">
        <v>22000</v>
      </c>
      <c r="AS2499" s="77"/>
      <c r="AT2499" s="77"/>
      <c r="AU2499" s="77"/>
      <c r="AV2499" s="80" t="str">
        <f>HYPERLINK("https://pbs.twimg.com/ext_tw_video_thumb/1660923012353343490/pu/img/oEsafB1wMlTKe2Le.jpg")</f>
        <v>https://pbs.twimg.com/ext_tw_video_thumb/1660923012353343490/pu/img/oEsafB1wMlTKe2Le.jpg</v>
      </c>
      <c r="AW2499" s="82" t="s">
        <v>19265</v>
      </c>
      <c r="AX2499" s="82" t="s">
        <v>19265</v>
      </c>
      <c r="AY2499" s="77"/>
      <c r="AZ2499" s="82" t="s">
        <v>20971</v>
      </c>
      <c r="BA2499" s="82" t="s">
        <v>20971</v>
      </c>
      <c r="BB2499" s="82" t="s">
        <v>20971</v>
      </c>
      <c r="BC2499" s="82" t="s">
        <v>19265</v>
      </c>
      <c r="BD2499" s="82" t="s">
        <v>21493</v>
      </c>
      <c r="BE2499" s="77"/>
      <c r="BF2499" s="77"/>
      <c r="BG2499" s="77"/>
      <c r="BH2499" s="77"/>
      <c r="BI2499" s="77"/>
    </row>
    <row r="2500" spans="1:61" x14ac:dyDescent="0.25">
      <c r="A2500" s="62" t="s">
        <v>870</v>
      </c>
      <c r="B2500" s="62" t="s">
        <v>870</v>
      </c>
      <c r="C2500" s="63"/>
      <c r="D2500" s="64"/>
      <c r="E2500" s="65"/>
      <c r="F2500" s="66"/>
      <c r="G2500" s="63"/>
      <c r="H2500" s="67"/>
      <c r="I2500" s="68"/>
      <c r="J2500" s="68"/>
      <c r="K2500" s="32"/>
      <c r="L2500" s="75">
        <v>2500</v>
      </c>
      <c r="M2500" s="75"/>
      <c r="N2500" s="70"/>
      <c r="O2500" s="77" t="s">
        <v>179</v>
      </c>
      <c r="P2500" s="79">
        <v>45069.091747685183</v>
      </c>
      <c r="Q2500" s="77" t="s">
        <v>3706</v>
      </c>
      <c r="R2500" s="77">
        <v>0</v>
      </c>
      <c r="S2500" s="77">
        <v>0</v>
      </c>
      <c r="T2500" s="77">
        <v>1</v>
      </c>
      <c r="U2500" s="77">
        <v>0</v>
      </c>
      <c r="V2500" s="77">
        <v>60</v>
      </c>
      <c r="W2500" s="82" t="s">
        <v>6466</v>
      </c>
      <c r="X2500" s="80" t="str">
        <f>HYPERLINK("https://dashboard.kiwify.com.br/join/affiliate/fXxw6A7m")</f>
        <v>https://dashboard.kiwify.com.br/join/affiliate/fXxw6A7m</v>
      </c>
      <c r="Y2500" s="77" t="s">
        <v>7252</v>
      </c>
      <c r="Z2500" s="77"/>
      <c r="AA2500" s="77" t="s">
        <v>8913</v>
      </c>
      <c r="AB2500" s="77" t="s">
        <v>10129</v>
      </c>
      <c r="AC2500" s="82" t="s">
        <v>10144</v>
      </c>
      <c r="AD2500" s="77" t="s">
        <v>10184</v>
      </c>
      <c r="AE2500" s="80" t="str">
        <f>HYPERLINK("https://twitter.com/anju25pal/status/1660830940434685956")</f>
        <v>https://twitter.com/anju25pal/status/1660830940434685956</v>
      </c>
      <c r="AF2500" s="79">
        <v>45069.091747685183</v>
      </c>
      <c r="AG2500" s="85">
        <v>45069</v>
      </c>
      <c r="AH2500" s="82" t="s">
        <v>12584</v>
      </c>
      <c r="AI2500" s="77" t="b">
        <v>0</v>
      </c>
      <c r="AJ2500" s="77"/>
      <c r="AK2500" s="77"/>
      <c r="AL2500" s="77"/>
      <c r="AM2500" s="77"/>
      <c r="AN2500" s="77"/>
      <c r="AO2500" s="77"/>
      <c r="AP2500" s="77"/>
      <c r="AQ2500" s="77" t="s">
        <v>15556</v>
      </c>
      <c r="AR2500" s="77">
        <v>19600</v>
      </c>
      <c r="AS2500" s="77"/>
      <c r="AT2500" s="77"/>
      <c r="AU2500" s="77"/>
      <c r="AV2500" s="80" t="str">
        <f>HYPERLINK("https://pbs.twimg.com/ext_tw_video_thumb/1660830897619316739/pu/img/tOoR2KmbSidOkhzR.jpg")</f>
        <v>https://pbs.twimg.com/ext_tw_video_thumb/1660830897619316739/pu/img/tOoR2KmbSidOkhzR.jpg</v>
      </c>
      <c r="AW2500" s="82" t="s">
        <v>19266</v>
      </c>
      <c r="AX2500" s="82" t="s">
        <v>19266</v>
      </c>
      <c r="AY2500" s="77"/>
      <c r="AZ2500" s="82" t="s">
        <v>20971</v>
      </c>
      <c r="BA2500" s="82" t="s">
        <v>20971</v>
      </c>
      <c r="BB2500" s="82" t="s">
        <v>20971</v>
      </c>
      <c r="BC2500" s="82" t="s">
        <v>19266</v>
      </c>
      <c r="BD2500" s="82" t="s">
        <v>21493</v>
      </c>
      <c r="BE2500" s="77"/>
      <c r="BF2500" s="77"/>
      <c r="BG2500" s="77"/>
      <c r="BH2500" s="77"/>
      <c r="BI2500" s="77"/>
    </row>
    <row r="2501" spans="1:61" x14ac:dyDescent="0.25">
      <c r="A2501" s="62" t="s">
        <v>870</v>
      </c>
      <c r="B2501" s="62" t="s">
        <v>870</v>
      </c>
      <c r="C2501" s="63"/>
      <c r="D2501" s="64"/>
      <c r="E2501" s="65"/>
      <c r="F2501" s="66"/>
      <c r="G2501" s="63"/>
      <c r="H2501" s="67"/>
      <c r="I2501" s="68"/>
      <c r="J2501" s="68"/>
      <c r="K2501" s="32"/>
      <c r="L2501" s="75">
        <v>2501</v>
      </c>
      <c r="M2501" s="75"/>
      <c r="N2501" s="70"/>
      <c r="O2501" s="77" t="s">
        <v>179</v>
      </c>
      <c r="P2501" s="79">
        <v>45069.084490740737</v>
      </c>
      <c r="Q2501" s="77" t="s">
        <v>3707</v>
      </c>
      <c r="R2501" s="77">
        <v>0</v>
      </c>
      <c r="S2501" s="77">
        <v>0</v>
      </c>
      <c r="T2501" s="77">
        <v>1</v>
      </c>
      <c r="U2501" s="77">
        <v>0</v>
      </c>
      <c r="V2501" s="77">
        <v>51</v>
      </c>
      <c r="W2501" s="82" t="s">
        <v>6467</v>
      </c>
      <c r="X2501" s="80" t="str">
        <f>HYPERLINK("https://dashboard.kiwify.com.br/join/affiliate/fXxw6A7m")</f>
        <v>https://dashboard.kiwify.com.br/join/affiliate/fXxw6A7m</v>
      </c>
      <c r="Y2501" s="77" t="s">
        <v>7252</v>
      </c>
      <c r="Z2501" s="77"/>
      <c r="AA2501" s="77" t="s">
        <v>8914</v>
      </c>
      <c r="AB2501" s="77" t="s">
        <v>10129</v>
      </c>
      <c r="AC2501" s="82" t="s">
        <v>10144</v>
      </c>
      <c r="AD2501" s="77" t="s">
        <v>10184</v>
      </c>
      <c r="AE2501" s="80" t="str">
        <f>HYPERLINK("https://twitter.com/anju25pal/status/1660828309532430338")</f>
        <v>https://twitter.com/anju25pal/status/1660828309532430338</v>
      </c>
      <c r="AF2501" s="79">
        <v>45069.084490740737</v>
      </c>
      <c r="AG2501" s="85">
        <v>45069</v>
      </c>
      <c r="AH2501" s="82" t="s">
        <v>12585</v>
      </c>
      <c r="AI2501" s="77" t="b">
        <v>0</v>
      </c>
      <c r="AJ2501" s="77"/>
      <c r="AK2501" s="77"/>
      <c r="AL2501" s="77"/>
      <c r="AM2501" s="77"/>
      <c r="AN2501" s="77"/>
      <c r="AO2501" s="77"/>
      <c r="AP2501" s="77"/>
      <c r="AQ2501" s="77" t="s">
        <v>15557</v>
      </c>
      <c r="AR2501" s="77">
        <v>61500</v>
      </c>
      <c r="AS2501" s="77"/>
      <c r="AT2501" s="77"/>
      <c r="AU2501" s="77"/>
      <c r="AV2501" s="80" t="str">
        <f>HYPERLINK("https://pbs.twimg.com/ext_tw_video_thumb/1660828212086157313/pu/img/WiDxF90MuTQmdwus.jpg")</f>
        <v>https://pbs.twimg.com/ext_tw_video_thumb/1660828212086157313/pu/img/WiDxF90MuTQmdwus.jpg</v>
      </c>
      <c r="AW2501" s="82" t="s">
        <v>19267</v>
      </c>
      <c r="AX2501" s="82" t="s">
        <v>19267</v>
      </c>
      <c r="AY2501" s="77"/>
      <c r="AZ2501" s="82" t="s">
        <v>20971</v>
      </c>
      <c r="BA2501" s="82" t="s">
        <v>20971</v>
      </c>
      <c r="BB2501" s="82" t="s">
        <v>20971</v>
      </c>
      <c r="BC2501" s="82" t="s">
        <v>19267</v>
      </c>
      <c r="BD2501" s="82" t="s">
        <v>21493</v>
      </c>
      <c r="BE2501" s="77"/>
      <c r="BF2501" s="77"/>
      <c r="BG2501" s="77"/>
      <c r="BH2501" s="77"/>
      <c r="BI2501" s="77"/>
    </row>
    <row r="2502" spans="1:61" x14ac:dyDescent="0.25">
      <c r="A2502" s="62" t="s">
        <v>870</v>
      </c>
      <c r="B2502" s="62" t="s">
        <v>870</v>
      </c>
      <c r="C2502" s="63"/>
      <c r="D2502" s="64"/>
      <c r="E2502" s="65"/>
      <c r="F2502" s="66"/>
      <c r="G2502" s="63"/>
      <c r="H2502" s="67"/>
      <c r="I2502" s="68"/>
      <c r="J2502" s="68"/>
      <c r="K2502" s="32"/>
      <c r="L2502" s="75">
        <v>2502</v>
      </c>
      <c r="M2502" s="75"/>
      <c r="N2502" s="70"/>
      <c r="O2502" s="77" t="s">
        <v>179</v>
      </c>
      <c r="P2502" s="79">
        <v>45069.072754629633</v>
      </c>
      <c r="Q2502" s="77" t="s">
        <v>3708</v>
      </c>
      <c r="R2502" s="77">
        <v>0</v>
      </c>
      <c r="S2502" s="77">
        <v>1</v>
      </c>
      <c r="T2502" s="77">
        <v>1</v>
      </c>
      <c r="U2502" s="77">
        <v>0</v>
      </c>
      <c r="V2502" s="77">
        <v>85</v>
      </c>
      <c r="W2502" s="82" t="s">
        <v>6468</v>
      </c>
      <c r="X2502" s="80" t="str">
        <f>HYPERLINK("https://dashboard.kiwify.com.br/join/affiliate/fXxw6A7m")</f>
        <v>https://dashboard.kiwify.com.br/join/affiliate/fXxw6A7m</v>
      </c>
      <c r="Y2502" s="77" t="s">
        <v>7252</v>
      </c>
      <c r="Z2502" s="77"/>
      <c r="AA2502" s="77" t="s">
        <v>8915</v>
      </c>
      <c r="AB2502" s="77" t="s">
        <v>10129</v>
      </c>
      <c r="AC2502" s="82" t="s">
        <v>10144</v>
      </c>
      <c r="AD2502" s="77" t="s">
        <v>10184</v>
      </c>
      <c r="AE2502" s="80" t="str">
        <f>HYPERLINK("https://twitter.com/anju25pal/status/1660824056055349248")</f>
        <v>https://twitter.com/anju25pal/status/1660824056055349248</v>
      </c>
      <c r="AF2502" s="79">
        <v>45069.072754629633</v>
      </c>
      <c r="AG2502" s="85">
        <v>45069</v>
      </c>
      <c r="AH2502" s="82" t="s">
        <v>12586</v>
      </c>
      <c r="AI2502" s="77" t="b">
        <v>0</v>
      </c>
      <c r="AJ2502" s="77"/>
      <c r="AK2502" s="77"/>
      <c r="AL2502" s="77"/>
      <c r="AM2502" s="77"/>
      <c r="AN2502" s="77"/>
      <c r="AO2502" s="77"/>
      <c r="AP2502" s="77"/>
      <c r="AQ2502" s="77" t="s">
        <v>15558</v>
      </c>
      <c r="AR2502" s="77">
        <v>13500</v>
      </c>
      <c r="AS2502" s="77"/>
      <c r="AT2502" s="77"/>
      <c r="AU2502" s="77"/>
      <c r="AV2502" s="80" t="str">
        <f>HYPERLINK("https://pbs.twimg.com/ext_tw_video_thumb/1660824022936952832/pu/img/DQPWFFxrtOWplFKj.jpg")</f>
        <v>https://pbs.twimg.com/ext_tw_video_thumb/1660824022936952832/pu/img/DQPWFFxrtOWplFKj.jpg</v>
      </c>
      <c r="AW2502" s="82" t="s">
        <v>19268</v>
      </c>
      <c r="AX2502" s="82" t="s">
        <v>19268</v>
      </c>
      <c r="AY2502" s="77"/>
      <c r="AZ2502" s="82" t="s">
        <v>20971</v>
      </c>
      <c r="BA2502" s="82" t="s">
        <v>20971</v>
      </c>
      <c r="BB2502" s="82" t="s">
        <v>20971</v>
      </c>
      <c r="BC2502" s="82" t="s">
        <v>19268</v>
      </c>
      <c r="BD2502" s="82" t="s">
        <v>21493</v>
      </c>
      <c r="BE2502" s="77"/>
      <c r="BF2502" s="77"/>
      <c r="BG2502" s="77"/>
      <c r="BH2502" s="77"/>
      <c r="BI2502" s="77"/>
    </row>
    <row r="2503" spans="1:61" x14ac:dyDescent="0.25">
      <c r="A2503" s="62" t="s">
        <v>870</v>
      </c>
      <c r="B2503" s="62" t="s">
        <v>870</v>
      </c>
      <c r="C2503" s="63"/>
      <c r="D2503" s="64"/>
      <c r="E2503" s="65"/>
      <c r="F2503" s="66"/>
      <c r="G2503" s="63"/>
      <c r="H2503" s="67"/>
      <c r="I2503" s="68"/>
      <c r="J2503" s="68"/>
      <c r="K2503" s="32"/>
      <c r="L2503" s="75">
        <v>2503</v>
      </c>
      <c r="M2503" s="75"/>
      <c r="N2503" s="70"/>
      <c r="O2503" s="77" t="s">
        <v>179</v>
      </c>
      <c r="P2503" s="79">
        <v>45173.865706018521</v>
      </c>
      <c r="Q2503" s="77" t="s">
        <v>3709</v>
      </c>
      <c r="R2503" s="77">
        <v>0</v>
      </c>
      <c r="S2503" s="77">
        <v>0</v>
      </c>
      <c r="T2503" s="77">
        <v>0</v>
      </c>
      <c r="U2503" s="77">
        <v>0</v>
      </c>
      <c r="V2503" s="77">
        <v>37</v>
      </c>
      <c r="W2503" s="82" t="s">
        <v>6469</v>
      </c>
      <c r="X2503" s="77"/>
      <c r="Y2503" s="77"/>
      <c r="Z2503" s="77"/>
      <c r="AA2503" s="77" t="s">
        <v>8916</v>
      </c>
      <c r="AB2503" s="77" t="s">
        <v>10129</v>
      </c>
      <c r="AC2503" s="82" t="s">
        <v>10144</v>
      </c>
      <c r="AD2503" s="77" t="s">
        <v>10184</v>
      </c>
      <c r="AE2503" s="80" t="str">
        <f>HYPERLINK("https://twitter.com/anju25pal/status/1698799752811278460")</f>
        <v>https://twitter.com/anju25pal/status/1698799752811278460</v>
      </c>
      <c r="AF2503" s="79">
        <v>45173.865706018521</v>
      </c>
      <c r="AG2503" s="85">
        <v>45173</v>
      </c>
      <c r="AH2503" s="82" t="s">
        <v>12587</v>
      </c>
      <c r="AI2503" s="77" t="b">
        <v>0</v>
      </c>
      <c r="AJ2503" s="77"/>
      <c r="AK2503" s="77"/>
      <c r="AL2503" s="77"/>
      <c r="AM2503" s="77"/>
      <c r="AN2503" s="77"/>
      <c r="AO2503" s="77"/>
      <c r="AP2503" s="77"/>
      <c r="AQ2503" s="77" t="s">
        <v>15559</v>
      </c>
      <c r="AR2503" s="77">
        <v>63600</v>
      </c>
      <c r="AS2503" s="77"/>
      <c r="AT2503" s="77"/>
      <c r="AU2503" s="77"/>
      <c r="AV2503" s="80" t="str">
        <f>HYPERLINK("https://pbs.twimg.com/ext_tw_video_thumb/1698799631281393664/pu/img/X2WtnVPabLWD-vhn.jpg")</f>
        <v>https://pbs.twimg.com/ext_tw_video_thumb/1698799631281393664/pu/img/X2WtnVPabLWD-vhn.jpg</v>
      </c>
      <c r="AW2503" s="82" t="s">
        <v>19269</v>
      </c>
      <c r="AX2503" s="82" t="s">
        <v>19269</v>
      </c>
      <c r="AY2503" s="77"/>
      <c r="AZ2503" s="82" t="s">
        <v>20971</v>
      </c>
      <c r="BA2503" s="82" t="s">
        <v>20971</v>
      </c>
      <c r="BB2503" s="82" t="s">
        <v>20971</v>
      </c>
      <c r="BC2503" s="82" t="s">
        <v>19269</v>
      </c>
      <c r="BD2503" s="82" t="s">
        <v>21493</v>
      </c>
      <c r="BE2503" s="77"/>
      <c r="BF2503" s="77"/>
      <c r="BG2503" s="77"/>
      <c r="BH2503" s="77"/>
      <c r="BI2503" s="77"/>
    </row>
    <row r="2504" spans="1:61" x14ac:dyDescent="0.25">
      <c r="A2504" s="62" t="s">
        <v>871</v>
      </c>
      <c r="B2504" s="62" t="s">
        <v>871</v>
      </c>
      <c r="C2504" s="63"/>
      <c r="D2504" s="64"/>
      <c r="E2504" s="65"/>
      <c r="F2504" s="66"/>
      <c r="G2504" s="63"/>
      <c r="H2504" s="67"/>
      <c r="I2504" s="68"/>
      <c r="J2504" s="68"/>
      <c r="K2504" s="32"/>
      <c r="L2504" s="75">
        <v>2504</v>
      </c>
      <c r="M2504" s="75"/>
      <c r="N2504" s="70"/>
      <c r="O2504" s="77" t="s">
        <v>179</v>
      </c>
      <c r="P2504" s="79">
        <v>45006.03634259259</v>
      </c>
      <c r="Q2504" s="77" t="s">
        <v>3710</v>
      </c>
      <c r="R2504" s="77">
        <v>0</v>
      </c>
      <c r="S2504" s="77">
        <v>1</v>
      </c>
      <c r="T2504" s="77">
        <v>0</v>
      </c>
      <c r="U2504" s="77">
        <v>0</v>
      </c>
      <c r="V2504" s="77">
        <v>40</v>
      </c>
      <c r="W2504" s="82" t="s">
        <v>6470</v>
      </c>
      <c r="X2504" s="77" t="s">
        <v>7212</v>
      </c>
      <c r="Y2504" s="77" t="s">
        <v>7246</v>
      </c>
      <c r="Z2504" s="77"/>
      <c r="AA2504" s="77" t="s">
        <v>8917</v>
      </c>
      <c r="AB2504" s="77" t="s">
        <v>10130</v>
      </c>
      <c r="AC2504" s="82" t="s">
        <v>10146</v>
      </c>
      <c r="AD2504" s="77" t="s">
        <v>10184</v>
      </c>
      <c r="AE2504" s="80" t="str">
        <f>HYPERLINK("https://twitter.com/ocuolimite3/status/1637980428383535106")</f>
        <v>https://twitter.com/ocuolimite3/status/1637980428383535106</v>
      </c>
      <c r="AF2504" s="79">
        <v>45006.03634259259</v>
      </c>
      <c r="AG2504" s="85">
        <v>45006</v>
      </c>
      <c r="AH2504" s="82" t="s">
        <v>12588</v>
      </c>
      <c r="AI2504" s="77" t="b">
        <v>0</v>
      </c>
      <c r="AJ2504" s="77"/>
      <c r="AK2504" s="77"/>
      <c r="AL2504" s="77"/>
      <c r="AM2504" s="77"/>
      <c r="AN2504" s="77"/>
      <c r="AO2504" s="77"/>
      <c r="AP2504" s="77"/>
      <c r="AQ2504" s="77" t="s">
        <v>15560</v>
      </c>
      <c r="AR2504" s="77"/>
      <c r="AS2504" s="77"/>
      <c r="AT2504" s="77"/>
      <c r="AU2504" s="77"/>
      <c r="AV2504" s="80" t="str">
        <f>HYPERLINK("https://pbs.twimg.com/media/FrtGfL5XoAAlEd_.jpg")</f>
        <v>https://pbs.twimg.com/media/FrtGfL5XoAAlEd_.jpg</v>
      </c>
      <c r="AW2504" s="82" t="s">
        <v>19270</v>
      </c>
      <c r="AX2504" s="82" t="s">
        <v>19270</v>
      </c>
      <c r="AY2504" s="77"/>
      <c r="AZ2504" s="82" t="s">
        <v>20971</v>
      </c>
      <c r="BA2504" s="82" t="s">
        <v>20971</v>
      </c>
      <c r="BB2504" s="82" t="s">
        <v>20971</v>
      </c>
      <c r="BC2504" s="82" t="s">
        <v>19270</v>
      </c>
      <c r="BD2504" s="82" t="s">
        <v>21494</v>
      </c>
      <c r="BE2504" s="77"/>
      <c r="BF2504" s="77"/>
      <c r="BG2504" s="77"/>
      <c r="BH2504" s="77"/>
      <c r="BI2504" s="77"/>
    </row>
    <row r="2505" spans="1:61" x14ac:dyDescent="0.25">
      <c r="A2505" s="62" t="s">
        <v>871</v>
      </c>
      <c r="B2505" s="62" t="s">
        <v>871</v>
      </c>
      <c r="C2505" s="63"/>
      <c r="D2505" s="64"/>
      <c r="E2505" s="65"/>
      <c r="F2505" s="66"/>
      <c r="G2505" s="63"/>
      <c r="H2505" s="67"/>
      <c r="I2505" s="68"/>
      <c r="J2505" s="68"/>
      <c r="K2505" s="32"/>
      <c r="L2505" s="75">
        <v>2505</v>
      </c>
      <c r="M2505" s="75"/>
      <c r="N2505" s="70"/>
      <c r="O2505" s="77" t="s">
        <v>179</v>
      </c>
      <c r="P2505" s="79">
        <v>45044.134444444448</v>
      </c>
      <c r="Q2505" s="77" t="s">
        <v>3711</v>
      </c>
      <c r="R2505" s="77">
        <v>0</v>
      </c>
      <c r="S2505" s="77">
        <v>1</v>
      </c>
      <c r="T2505" s="77">
        <v>0</v>
      </c>
      <c r="U2505" s="77">
        <v>0</v>
      </c>
      <c r="V2505" s="77">
        <v>64</v>
      </c>
      <c r="W2505" s="82" t="s">
        <v>6471</v>
      </c>
      <c r="X2505" s="77" t="s">
        <v>7213</v>
      </c>
      <c r="Y2505" s="77" t="s">
        <v>7420</v>
      </c>
      <c r="Z2505" s="77"/>
      <c r="AA2505" s="77" t="s">
        <v>8918</v>
      </c>
      <c r="AB2505" s="77" t="s">
        <v>10130</v>
      </c>
      <c r="AC2505" s="82" t="s">
        <v>10146</v>
      </c>
      <c r="AD2505" s="77" t="s">
        <v>10184</v>
      </c>
      <c r="AE2505" s="80" t="str">
        <f>HYPERLINK("https://twitter.com/ocuolimite3/status/1651786716900884481")</f>
        <v>https://twitter.com/ocuolimite3/status/1651786716900884481</v>
      </c>
      <c r="AF2505" s="79">
        <v>45044.134444444448</v>
      </c>
      <c r="AG2505" s="85">
        <v>45044</v>
      </c>
      <c r="AH2505" s="82" t="s">
        <v>12589</v>
      </c>
      <c r="AI2505" s="77" t="b">
        <v>0</v>
      </c>
      <c r="AJ2505" s="77"/>
      <c r="AK2505" s="77"/>
      <c r="AL2505" s="77"/>
      <c r="AM2505" s="77"/>
      <c r="AN2505" s="77"/>
      <c r="AO2505" s="77"/>
      <c r="AP2505" s="77"/>
      <c r="AQ2505" s="77" t="s">
        <v>15561</v>
      </c>
      <c r="AR2505" s="77"/>
      <c r="AS2505" s="77"/>
      <c r="AT2505" s="77"/>
      <c r="AU2505" s="77"/>
      <c r="AV2505" s="80" t="str">
        <f>HYPERLINK("https://pbs.twimg.com/media/FuxS_ebWYAEp2Gu.jpg")</f>
        <v>https://pbs.twimg.com/media/FuxS_ebWYAEp2Gu.jpg</v>
      </c>
      <c r="AW2505" s="82" t="s">
        <v>19271</v>
      </c>
      <c r="AX2505" s="82" t="s">
        <v>19271</v>
      </c>
      <c r="AY2505" s="77"/>
      <c r="AZ2505" s="82" t="s">
        <v>20971</v>
      </c>
      <c r="BA2505" s="82" t="s">
        <v>20971</v>
      </c>
      <c r="BB2505" s="82" t="s">
        <v>20971</v>
      </c>
      <c r="BC2505" s="82" t="s">
        <v>19271</v>
      </c>
      <c r="BD2505" s="82" t="s">
        <v>21494</v>
      </c>
      <c r="BE2505" s="77"/>
      <c r="BF2505" s="77"/>
      <c r="BG2505" s="77"/>
      <c r="BH2505" s="77"/>
      <c r="BI2505" s="77"/>
    </row>
    <row r="2506" spans="1:61" x14ac:dyDescent="0.25">
      <c r="A2506" s="62" t="s">
        <v>871</v>
      </c>
      <c r="B2506" s="62" t="s">
        <v>871</v>
      </c>
      <c r="C2506" s="63"/>
      <c r="D2506" s="64"/>
      <c r="E2506" s="65"/>
      <c r="F2506" s="66"/>
      <c r="G2506" s="63"/>
      <c r="H2506" s="67"/>
      <c r="I2506" s="68"/>
      <c r="J2506" s="68"/>
      <c r="K2506" s="32"/>
      <c r="L2506" s="75">
        <v>2506</v>
      </c>
      <c r="M2506" s="75"/>
      <c r="N2506" s="70"/>
      <c r="O2506" s="77" t="s">
        <v>179</v>
      </c>
      <c r="P2506" s="79">
        <v>44996.707395833335</v>
      </c>
      <c r="Q2506" s="77" t="s">
        <v>3712</v>
      </c>
      <c r="R2506" s="77">
        <v>0</v>
      </c>
      <c r="S2506" s="77">
        <v>2</v>
      </c>
      <c r="T2506" s="77">
        <v>1</v>
      </c>
      <c r="U2506" s="77">
        <v>0</v>
      </c>
      <c r="V2506" s="77">
        <v>44</v>
      </c>
      <c r="W2506" s="82" t="s">
        <v>6472</v>
      </c>
      <c r="X2506" s="77" t="s">
        <v>7214</v>
      </c>
      <c r="Y2506" s="77" t="s">
        <v>7421</v>
      </c>
      <c r="Z2506" s="77"/>
      <c r="AA2506" s="77"/>
      <c r="AB2506" s="77"/>
      <c r="AC2506" s="82" t="s">
        <v>10146</v>
      </c>
      <c r="AD2506" s="77" t="s">
        <v>10184</v>
      </c>
      <c r="AE2506" s="80" t="str">
        <f>HYPERLINK("https://twitter.com/ocuolimite3/status/1634599730108923904")</f>
        <v>https://twitter.com/ocuolimite3/status/1634599730108923904</v>
      </c>
      <c r="AF2506" s="79">
        <v>44996.707395833335</v>
      </c>
      <c r="AG2506" s="85">
        <v>44996</v>
      </c>
      <c r="AH2506" s="82" t="s">
        <v>12590</v>
      </c>
      <c r="AI2506" s="77" t="b">
        <v>0</v>
      </c>
      <c r="AJ2506" s="77"/>
      <c r="AK2506" s="77"/>
      <c r="AL2506" s="77"/>
      <c r="AM2506" s="77"/>
      <c r="AN2506" s="77"/>
      <c r="AO2506" s="77"/>
      <c r="AP2506" s="77"/>
      <c r="AQ2506" s="77"/>
      <c r="AR2506" s="77"/>
      <c r="AS2506" s="77"/>
      <c r="AT2506" s="77"/>
      <c r="AU2506" s="77"/>
      <c r="AV2506" s="80" t="str">
        <f>HYPERLINK("https://pbs.twimg.com/profile_images/1357757422216036353/gjRO58JR_normal.jpg")</f>
        <v>https://pbs.twimg.com/profile_images/1357757422216036353/gjRO58JR_normal.jpg</v>
      </c>
      <c r="AW2506" s="82" t="s">
        <v>19272</v>
      </c>
      <c r="AX2506" s="82" t="s">
        <v>19272</v>
      </c>
      <c r="AY2506" s="77"/>
      <c r="AZ2506" s="82" t="s">
        <v>20971</v>
      </c>
      <c r="BA2506" s="82" t="s">
        <v>20971</v>
      </c>
      <c r="BB2506" s="82" t="s">
        <v>20971</v>
      </c>
      <c r="BC2506" s="82" t="s">
        <v>19272</v>
      </c>
      <c r="BD2506" s="82" t="s">
        <v>21494</v>
      </c>
      <c r="BE2506" s="77"/>
      <c r="BF2506" s="77"/>
      <c r="BG2506" s="77"/>
      <c r="BH2506" s="77"/>
      <c r="BI2506" s="77"/>
    </row>
    <row r="2507" spans="1:61" x14ac:dyDescent="0.25">
      <c r="A2507" s="62" t="s">
        <v>871</v>
      </c>
      <c r="B2507" s="62" t="s">
        <v>871</v>
      </c>
      <c r="C2507" s="63"/>
      <c r="D2507" s="64"/>
      <c r="E2507" s="65"/>
      <c r="F2507" s="66"/>
      <c r="G2507" s="63"/>
      <c r="H2507" s="67"/>
      <c r="I2507" s="68"/>
      <c r="J2507" s="68"/>
      <c r="K2507" s="32"/>
      <c r="L2507" s="75">
        <v>2507</v>
      </c>
      <c r="M2507" s="75"/>
      <c r="N2507" s="70"/>
      <c r="O2507" s="77" t="s">
        <v>179</v>
      </c>
      <c r="P2507" s="79">
        <v>45053.869849537034</v>
      </c>
      <c r="Q2507" s="77" t="s">
        <v>3713</v>
      </c>
      <c r="R2507" s="77">
        <v>0</v>
      </c>
      <c r="S2507" s="77">
        <v>1</v>
      </c>
      <c r="T2507" s="77">
        <v>0</v>
      </c>
      <c r="U2507" s="77">
        <v>0</v>
      </c>
      <c r="V2507" s="77">
        <v>83</v>
      </c>
      <c r="W2507" s="82" t="s">
        <v>6473</v>
      </c>
      <c r="X2507" s="77" t="s">
        <v>7215</v>
      </c>
      <c r="Y2507" s="77" t="s">
        <v>7422</v>
      </c>
      <c r="Z2507" s="77"/>
      <c r="AA2507" s="77" t="s">
        <v>8919</v>
      </c>
      <c r="AB2507" s="77" t="s">
        <v>10128</v>
      </c>
      <c r="AC2507" s="82" t="s">
        <v>10146</v>
      </c>
      <c r="AD2507" s="77" t="s">
        <v>10184</v>
      </c>
      <c r="AE2507" s="80" t="str">
        <f>HYPERLINK("https://twitter.com/ocuolimite3/status/1655314710353309698")</f>
        <v>https://twitter.com/ocuolimite3/status/1655314710353309698</v>
      </c>
      <c r="AF2507" s="79">
        <v>45053.869849537034</v>
      </c>
      <c r="AG2507" s="85">
        <v>45053</v>
      </c>
      <c r="AH2507" s="82" t="s">
        <v>12591</v>
      </c>
      <c r="AI2507" s="77" t="b">
        <v>0</v>
      </c>
      <c r="AJ2507" s="77"/>
      <c r="AK2507" s="77"/>
      <c r="AL2507" s="77"/>
      <c r="AM2507" s="77"/>
      <c r="AN2507" s="77"/>
      <c r="AO2507" s="77"/>
      <c r="AP2507" s="77"/>
      <c r="AQ2507" s="77" t="s">
        <v>15562</v>
      </c>
      <c r="AR2507" s="77"/>
      <c r="AS2507" s="77"/>
      <c r="AT2507" s="77"/>
      <c r="AU2507" s="77"/>
      <c r="AV2507" s="80" t="str">
        <f>HYPERLINK("https://pbs.twimg.com/media/FvjbtcQXsAc8KHj.jpg")</f>
        <v>https://pbs.twimg.com/media/FvjbtcQXsAc8KHj.jpg</v>
      </c>
      <c r="AW2507" s="82" t="s">
        <v>19273</v>
      </c>
      <c r="AX2507" s="82" t="s">
        <v>19273</v>
      </c>
      <c r="AY2507" s="77"/>
      <c r="AZ2507" s="82" t="s">
        <v>20971</v>
      </c>
      <c r="BA2507" s="82" t="s">
        <v>20971</v>
      </c>
      <c r="BB2507" s="82" t="s">
        <v>20971</v>
      </c>
      <c r="BC2507" s="82" t="s">
        <v>19273</v>
      </c>
      <c r="BD2507" s="82" t="s">
        <v>21494</v>
      </c>
      <c r="BE2507" s="77"/>
      <c r="BF2507" s="77"/>
      <c r="BG2507" s="77"/>
      <c r="BH2507" s="77"/>
      <c r="BI2507" s="77"/>
    </row>
    <row r="2508" spans="1:61" x14ac:dyDescent="0.25">
      <c r="A2508" s="62" t="s">
        <v>871</v>
      </c>
      <c r="B2508" s="62" t="s">
        <v>871</v>
      </c>
      <c r="C2508" s="63"/>
      <c r="D2508" s="64"/>
      <c r="E2508" s="65"/>
      <c r="F2508" s="66"/>
      <c r="G2508" s="63"/>
      <c r="H2508" s="67"/>
      <c r="I2508" s="68"/>
      <c r="J2508" s="68"/>
      <c r="K2508" s="32"/>
      <c r="L2508" s="75">
        <v>2508</v>
      </c>
      <c r="M2508" s="75"/>
      <c r="N2508" s="70"/>
      <c r="O2508" s="77" t="s">
        <v>179</v>
      </c>
      <c r="P2508" s="79">
        <v>45051.659328703703</v>
      </c>
      <c r="Q2508" s="77" t="s">
        <v>3714</v>
      </c>
      <c r="R2508" s="77">
        <v>0</v>
      </c>
      <c r="S2508" s="77">
        <v>1</v>
      </c>
      <c r="T2508" s="77">
        <v>0</v>
      </c>
      <c r="U2508" s="77">
        <v>0</v>
      </c>
      <c r="V2508" s="77">
        <v>57</v>
      </c>
      <c r="W2508" s="82" t="s">
        <v>6474</v>
      </c>
      <c r="X2508" s="77" t="s">
        <v>7216</v>
      </c>
      <c r="Y2508" s="77" t="s">
        <v>7420</v>
      </c>
      <c r="Z2508" s="77"/>
      <c r="AA2508" s="77" t="s">
        <v>8920</v>
      </c>
      <c r="AB2508" s="77" t="s">
        <v>10130</v>
      </c>
      <c r="AC2508" s="82" t="s">
        <v>10146</v>
      </c>
      <c r="AD2508" s="77" t="s">
        <v>10184</v>
      </c>
      <c r="AE2508" s="80" t="str">
        <f>HYPERLINK("https://twitter.com/ocuolimite3/status/1654513642455400449")</f>
        <v>https://twitter.com/ocuolimite3/status/1654513642455400449</v>
      </c>
      <c r="AF2508" s="79">
        <v>45051.659328703703</v>
      </c>
      <c r="AG2508" s="85">
        <v>45051</v>
      </c>
      <c r="AH2508" s="82" t="s">
        <v>12592</v>
      </c>
      <c r="AI2508" s="77" t="b">
        <v>0</v>
      </c>
      <c r="AJ2508" s="77"/>
      <c r="AK2508" s="77"/>
      <c r="AL2508" s="77"/>
      <c r="AM2508" s="77"/>
      <c r="AN2508" s="77"/>
      <c r="AO2508" s="77"/>
      <c r="AP2508" s="77"/>
      <c r="AQ2508" s="77" t="s">
        <v>15563</v>
      </c>
      <c r="AR2508" s="77"/>
      <c r="AS2508" s="77"/>
      <c r="AT2508" s="77"/>
      <c r="AU2508" s="77"/>
      <c r="AV2508" s="80" t="str">
        <f>HYPERLINK("https://pbs.twimg.com/media/FvYC0EEX0AAxZzs.jpg")</f>
        <v>https://pbs.twimg.com/media/FvYC0EEX0AAxZzs.jpg</v>
      </c>
      <c r="AW2508" s="82" t="s">
        <v>19274</v>
      </c>
      <c r="AX2508" s="82" t="s">
        <v>19274</v>
      </c>
      <c r="AY2508" s="77"/>
      <c r="AZ2508" s="82" t="s">
        <v>20971</v>
      </c>
      <c r="BA2508" s="82" t="s">
        <v>20971</v>
      </c>
      <c r="BB2508" s="82" t="s">
        <v>20971</v>
      </c>
      <c r="BC2508" s="82" t="s">
        <v>19274</v>
      </c>
      <c r="BD2508" s="82" t="s">
        <v>21494</v>
      </c>
      <c r="BE2508" s="77"/>
      <c r="BF2508" s="77"/>
      <c r="BG2508" s="77"/>
      <c r="BH2508" s="77"/>
      <c r="BI2508" s="77"/>
    </row>
    <row r="2509" spans="1:61" x14ac:dyDescent="0.25">
      <c r="A2509" s="62" t="s">
        <v>871</v>
      </c>
      <c r="B2509" s="62" t="s">
        <v>871</v>
      </c>
      <c r="C2509" s="63"/>
      <c r="D2509" s="64"/>
      <c r="E2509" s="65"/>
      <c r="F2509" s="66"/>
      <c r="G2509" s="63"/>
      <c r="H2509" s="67"/>
      <c r="I2509" s="68"/>
      <c r="J2509" s="68"/>
      <c r="K2509" s="32"/>
      <c r="L2509" s="75">
        <v>2509</v>
      </c>
      <c r="M2509" s="75"/>
      <c r="N2509" s="70"/>
      <c r="O2509" s="77" t="s">
        <v>179</v>
      </c>
      <c r="P2509" s="79">
        <v>45024.667546296296</v>
      </c>
      <c r="Q2509" s="77" t="s">
        <v>3715</v>
      </c>
      <c r="R2509" s="77">
        <v>0</v>
      </c>
      <c r="S2509" s="77">
        <v>2</v>
      </c>
      <c r="T2509" s="77">
        <v>1</v>
      </c>
      <c r="U2509" s="77">
        <v>0</v>
      </c>
      <c r="V2509" s="77">
        <v>73</v>
      </c>
      <c r="W2509" s="82" t="s">
        <v>6475</v>
      </c>
      <c r="X2509" s="77" t="s">
        <v>7217</v>
      </c>
      <c r="Y2509" s="77" t="s">
        <v>7423</v>
      </c>
      <c r="Z2509" s="77"/>
      <c r="AA2509" s="77" t="s">
        <v>8921</v>
      </c>
      <c r="AB2509" s="77" t="s">
        <v>10130</v>
      </c>
      <c r="AC2509" s="82" t="s">
        <v>10146</v>
      </c>
      <c r="AD2509" s="77" t="s">
        <v>10184</v>
      </c>
      <c r="AE2509" s="80" t="str">
        <f>HYPERLINK("https://twitter.com/ocuolimite3/status/1644732148769779712")</f>
        <v>https://twitter.com/ocuolimite3/status/1644732148769779712</v>
      </c>
      <c r="AF2509" s="79">
        <v>45024.667546296296</v>
      </c>
      <c r="AG2509" s="85">
        <v>45024</v>
      </c>
      <c r="AH2509" s="82" t="s">
        <v>12593</v>
      </c>
      <c r="AI2509" s="77" t="b">
        <v>0</v>
      </c>
      <c r="AJ2509" s="77"/>
      <c r="AK2509" s="77"/>
      <c r="AL2509" s="77"/>
      <c r="AM2509" s="77"/>
      <c r="AN2509" s="77"/>
      <c r="AO2509" s="77"/>
      <c r="AP2509" s="77"/>
      <c r="AQ2509" s="77" t="s">
        <v>15564</v>
      </c>
      <c r="AR2509" s="77"/>
      <c r="AS2509" s="77"/>
      <c r="AT2509" s="77"/>
      <c r="AU2509" s="77"/>
      <c r="AV2509" s="80" t="str">
        <f>HYPERLINK("https://pbs.twimg.com/media/FtNDI7mXwAAJ-Di.jpg")</f>
        <v>https://pbs.twimg.com/media/FtNDI7mXwAAJ-Di.jpg</v>
      </c>
      <c r="AW2509" s="82" t="s">
        <v>19275</v>
      </c>
      <c r="AX2509" s="82" t="s">
        <v>19275</v>
      </c>
      <c r="AY2509" s="77"/>
      <c r="AZ2509" s="82" t="s">
        <v>20971</v>
      </c>
      <c r="BA2509" s="82" t="s">
        <v>20971</v>
      </c>
      <c r="BB2509" s="82" t="s">
        <v>20971</v>
      </c>
      <c r="BC2509" s="82" t="s">
        <v>19275</v>
      </c>
      <c r="BD2509" s="82" t="s">
        <v>21494</v>
      </c>
      <c r="BE2509" s="77"/>
      <c r="BF2509" s="77"/>
      <c r="BG2509" s="77"/>
      <c r="BH2509" s="77"/>
      <c r="BI2509" s="77"/>
    </row>
    <row r="2510" spans="1:61" x14ac:dyDescent="0.25">
      <c r="A2510" s="62" t="s">
        <v>871</v>
      </c>
      <c r="B2510" s="62" t="s">
        <v>871</v>
      </c>
      <c r="C2510" s="63"/>
      <c r="D2510" s="64"/>
      <c r="E2510" s="65"/>
      <c r="F2510" s="66"/>
      <c r="G2510" s="63"/>
      <c r="H2510" s="67"/>
      <c r="I2510" s="68"/>
      <c r="J2510" s="68"/>
      <c r="K2510" s="32"/>
      <c r="L2510" s="75">
        <v>2510</v>
      </c>
      <c r="M2510" s="75"/>
      <c r="N2510" s="70"/>
      <c r="O2510" s="77" t="s">
        <v>179</v>
      </c>
      <c r="P2510" s="79">
        <v>45035.93917824074</v>
      </c>
      <c r="Q2510" s="77" t="s">
        <v>3716</v>
      </c>
      <c r="R2510" s="77">
        <v>0</v>
      </c>
      <c r="S2510" s="77">
        <v>1</v>
      </c>
      <c r="T2510" s="77">
        <v>0</v>
      </c>
      <c r="U2510" s="77">
        <v>0</v>
      </c>
      <c r="V2510" s="77">
        <v>36</v>
      </c>
      <c r="W2510" s="82" t="s">
        <v>6476</v>
      </c>
      <c r="X2510" s="77" t="s">
        <v>7218</v>
      </c>
      <c r="Y2510" s="77" t="s">
        <v>7424</v>
      </c>
      <c r="Z2510" s="77"/>
      <c r="AA2510" s="77" t="s">
        <v>8922</v>
      </c>
      <c r="AB2510" s="77" t="s">
        <v>10130</v>
      </c>
      <c r="AC2510" s="82" t="s">
        <v>10146</v>
      </c>
      <c r="AD2510" s="77" t="s">
        <v>10184</v>
      </c>
      <c r="AE2510" s="80" t="str">
        <f>HYPERLINK("https://twitter.com/ocuolimite3/status/1648816850552205312")</f>
        <v>https://twitter.com/ocuolimite3/status/1648816850552205312</v>
      </c>
      <c r="AF2510" s="79">
        <v>45035.93917824074</v>
      </c>
      <c r="AG2510" s="85">
        <v>45035</v>
      </c>
      <c r="AH2510" s="82" t="s">
        <v>12594</v>
      </c>
      <c r="AI2510" s="77" t="b">
        <v>0</v>
      </c>
      <c r="AJ2510" s="77"/>
      <c r="AK2510" s="77"/>
      <c r="AL2510" s="77"/>
      <c r="AM2510" s="77"/>
      <c r="AN2510" s="77"/>
      <c r="AO2510" s="77"/>
      <c r="AP2510" s="77"/>
      <c r="AQ2510" s="77" t="s">
        <v>15565</v>
      </c>
      <c r="AR2510" s="77"/>
      <c r="AS2510" s="77"/>
      <c r="AT2510" s="77"/>
      <c r="AU2510" s="77"/>
      <c r="AV2510" s="80" t="str">
        <f>HYPERLINK("https://pbs.twimg.com/media/FuHGC_7XgAAzkEv.jpg")</f>
        <v>https://pbs.twimg.com/media/FuHGC_7XgAAzkEv.jpg</v>
      </c>
      <c r="AW2510" s="82" t="s">
        <v>19276</v>
      </c>
      <c r="AX2510" s="82" t="s">
        <v>19276</v>
      </c>
      <c r="AY2510" s="77"/>
      <c r="AZ2510" s="82" t="s">
        <v>20971</v>
      </c>
      <c r="BA2510" s="82" t="s">
        <v>20971</v>
      </c>
      <c r="BB2510" s="82" t="s">
        <v>20971</v>
      </c>
      <c r="BC2510" s="82" t="s">
        <v>19276</v>
      </c>
      <c r="BD2510" s="82" t="s">
        <v>21494</v>
      </c>
      <c r="BE2510" s="77"/>
      <c r="BF2510" s="77"/>
      <c r="BG2510" s="77"/>
      <c r="BH2510" s="77"/>
      <c r="BI2510" s="77"/>
    </row>
    <row r="2511" spans="1:61" x14ac:dyDescent="0.25">
      <c r="A2511" s="62" t="s">
        <v>871</v>
      </c>
      <c r="B2511" s="62" t="s">
        <v>871</v>
      </c>
      <c r="C2511" s="63"/>
      <c r="D2511" s="64"/>
      <c r="E2511" s="65"/>
      <c r="F2511" s="66"/>
      <c r="G2511" s="63"/>
      <c r="H2511" s="67"/>
      <c r="I2511" s="68"/>
      <c r="J2511" s="68"/>
      <c r="K2511" s="32"/>
      <c r="L2511" s="75">
        <v>2511</v>
      </c>
      <c r="M2511" s="75"/>
      <c r="N2511" s="70"/>
      <c r="O2511" s="77" t="s">
        <v>179</v>
      </c>
      <c r="P2511" s="79">
        <v>45035.929432870369</v>
      </c>
      <c r="Q2511" s="77" t="s">
        <v>3717</v>
      </c>
      <c r="R2511" s="77">
        <v>0</v>
      </c>
      <c r="S2511" s="77">
        <v>1</v>
      </c>
      <c r="T2511" s="77">
        <v>0</v>
      </c>
      <c r="U2511" s="77">
        <v>0</v>
      </c>
      <c r="V2511" s="77">
        <v>34</v>
      </c>
      <c r="W2511" s="82" t="s">
        <v>6477</v>
      </c>
      <c r="X2511" s="77" t="s">
        <v>7219</v>
      </c>
      <c r="Y2511" s="77" t="s">
        <v>7246</v>
      </c>
      <c r="Z2511" s="77"/>
      <c r="AA2511" s="77" t="s">
        <v>8923</v>
      </c>
      <c r="AB2511" s="77" t="s">
        <v>10130</v>
      </c>
      <c r="AC2511" s="82" t="s">
        <v>10146</v>
      </c>
      <c r="AD2511" s="77" t="s">
        <v>10184</v>
      </c>
      <c r="AE2511" s="80" t="str">
        <f>HYPERLINK("https://twitter.com/ocuolimite3/status/1648813319405330433")</f>
        <v>https://twitter.com/ocuolimite3/status/1648813319405330433</v>
      </c>
      <c r="AF2511" s="79">
        <v>45035.929432870369</v>
      </c>
      <c r="AG2511" s="85">
        <v>45035</v>
      </c>
      <c r="AH2511" s="82" t="s">
        <v>12595</v>
      </c>
      <c r="AI2511" s="77" t="b">
        <v>0</v>
      </c>
      <c r="AJ2511" s="77"/>
      <c r="AK2511" s="77"/>
      <c r="AL2511" s="77"/>
      <c r="AM2511" s="77"/>
      <c r="AN2511" s="77"/>
      <c r="AO2511" s="77"/>
      <c r="AP2511" s="77"/>
      <c r="AQ2511" s="77" t="s">
        <v>15566</v>
      </c>
      <c r="AR2511" s="77"/>
      <c r="AS2511" s="77"/>
      <c r="AT2511" s="77"/>
      <c r="AU2511" s="77"/>
      <c r="AV2511" s="80" t="str">
        <f>HYPERLINK("https://pbs.twimg.com/media/FuHCs6JXwAAVFGS.jpg")</f>
        <v>https://pbs.twimg.com/media/FuHCs6JXwAAVFGS.jpg</v>
      </c>
      <c r="AW2511" s="82" t="s">
        <v>19277</v>
      </c>
      <c r="AX2511" s="82" t="s">
        <v>19277</v>
      </c>
      <c r="AY2511" s="77"/>
      <c r="AZ2511" s="82" t="s">
        <v>20971</v>
      </c>
      <c r="BA2511" s="82" t="s">
        <v>20971</v>
      </c>
      <c r="BB2511" s="82" t="s">
        <v>20971</v>
      </c>
      <c r="BC2511" s="82" t="s">
        <v>19277</v>
      </c>
      <c r="BD2511" s="82" t="s">
        <v>21494</v>
      </c>
      <c r="BE2511" s="77"/>
      <c r="BF2511" s="77"/>
      <c r="BG2511" s="77"/>
      <c r="BH2511" s="77"/>
      <c r="BI2511" s="77"/>
    </row>
    <row r="2512" spans="1:61" x14ac:dyDescent="0.25">
      <c r="A2512" s="62" t="s">
        <v>871</v>
      </c>
      <c r="B2512" s="62" t="s">
        <v>871</v>
      </c>
      <c r="C2512" s="63"/>
      <c r="D2512" s="64"/>
      <c r="E2512" s="65"/>
      <c r="F2512" s="66"/>
      <c r="G2512" s="63"/>
      <c r="H2512" s="67"/>
      <c r="I2512" s="68"/>
      <c r="J2512" s="68"/>
      <c r="K2512" s="32"/>
      <c r="L2512" s="75">
        <v>2512</v>
      </c>
      <c r="M2512" s="75"/>
      <c r="N2512" s="70"/>
      <c r="O2512" s="77" t="s">
        <v>179</v>
      </c>
      <c r="P2512" s="79">
        <v>45009.816041666665</v>
      </c>
      <c r="Q2512" s="77" t="s">
        <v>3718</v>
      </c>
      <c r="R2512" s="77">
        <v>0</v>
      </c>
      <c r="S2512" s="77">
        <v>1</v>
      </c>
      <c r="T2512" s="77">
        <v>0</v>
      </c>
      <c r="U2512" s="77">
        <v>0</v>
      </c>
      <c r="V2512" s="77">
        <v>55</v>
      </c>
      <c r="W2512" s="82" t="s">
        <v>6478</v>
      </c>
      <c r="X2512" s="77" t="s">
        <v>7220</v>
      </c>
      <c r="Y2512" s="77" t="s">
        <v>7425</v>
      </c>
      <c r="Z2512" s="77"/>
      <c r="AA2512" s="77" t="s">
        <v>8924</v>
      </c>
      <c r="AB2512" s="77" t="s">
        <v>10130</v>
      </c>
      <c r="AC2512" s="82" t="s">
        <v>10146</v>
      </c>
      <c r="AD2512" s="77" t="s">
        <v>10184</v>
      </c>
      <c r="AE2512" s="80" t="str">
        <f>HYPERLINK("https://twitter.com/ocuolimite3/status/1639350142615576593")</f>
        <v>https://twitter.com/ocuolimite3/status/1639350142615576593</v>
      </c>
      <c r="AF2512" s="79">
        <v>45009.816041666665</v>
      </c>
      <c r="AG2512" s="85">
        <v>45009</v>
      </c>
      <c r="AH2512" s="82" t="s">
        <v>12596</v>
      </c>
      <c r="AI2512" s="77" t="b">
        <v>0</v>
      </c>
      <c r="AJ2512" s="77"/>
      <c r="AK2512" s="77"/>
      <c r="AL2512" s="77"/>
      <c r="AM2512" s="77"/>
      <c r="AN2512" s="77"/>
      <c r="AO2512" s="77"/>
      <c r="AP2512" s="77"/>
      <c r="AQ2512" s="77" t="s">
        <v>15567</v>
      </c>
      <c r="AR2512" s="77"/>
      <c r="AS2512" s="77"/>
      <c r="AT2512" s="77"/>
      <c r="AU2512" s="77"/>
      <c r="AV2512" s="80" t="str">
        <f>HYPERLINK("https://pbs.twimg.com/media/FsAkNb9XoAARC8Q.jpg")</f>
        <v>https://pbs.twimg.com/media/FsAkNb9XoAARC8Q.jpg</v>
      </c>
      <c r="AW2512" s="82" t="s">
        <v>19278</v>
      </c>
      <c r="AX2512" s="82" t="s">
        <v>19278</v>
      </c>
      <c r="AY2512" s="77"/>
      <c r="AZ2512" s="82" t="s">
        <v>20971</v>
      </c>
      <c r="BA2512" s="82" t="s">
        <v>20971</v>
      </c>
      <c r="BB2512" s="82" t="s">
        <v>20971</v>
      </c>
      <c r="BC2512" s="82" t="s">
        <v>19278</v>
      </c>
      <c r="BD2512" s="82" t="s">
        <v>21494</v>
      </c>
      <c r="BE2512" s="77"/>
      <c r="BF2512" s="77"/>
      <c r="BG2512" s="77"/>
      <c r="BH2512" s="77"/>
      <c r="BI2512" s="77"/>
    </row>
    <row r="2513" spans="1:61" x14ac:dyDescent="0.25">
      <c r="A2513" s="62" t="s">
        <v>871</v>
      </c>
      <c r="B2513" s="62" t="s">
        <v>871</v>
      </c>
      <c r="C2513" s="63"/>
      <c r="D2513" s="64"/>
      <c r="E2513" s="65"/>
      <c r="F2513" s="66"/>
      <c r="G2513" s="63"/>
      <c r="H2513" s="67"/>
      <c r="I2513" s="68"/>
      <c r="J2513" s="68"/>
      <c r="K2513" s="32"/>
      <c r="L2513" s="75">
        <v>2513</v>
      </c>
      <c r="M2513" s="75"/>
      <c r="N2513" s="70"/>
      <c r="O2513" s="77" t="s">
        <v>179</v>
      </c>
      <c r="P2513" s="79">
        <v>45044.13208333333</v>
      </c>
      <c r="Q2513" s="77" t="s">
        <v>3719</v>
      </c>
      <c r="R2513" s="77">
        <v>0</v>
      </c>
      <c r="S2513" s="77">
        <v>1</v>
      </c>
      <c r="T2513" s="77">
        <v>0</v>
      </c>
      <c r="U2513" s="77">
        <v>0</v>
      </c>
      <c r="V2513" s="77">
        <v>25</v>
      </c>
      <c r="W2513" s="82" t="s">
        <v>6479</v>
      </c>
      <c r="X2513" s="77" t="s">
        <v>7221</v>
      </c>
      <c r="Y2513" s="77" t="s">
        <v>7426</v>
      </c>
      <c r="Z2513" s="77"/>
      <c r="AA2513" s="77" t="s">
        <v>8925</v>
      </c>
      <c r="AB2513" s="77" t="s">
        <v>10130</v>
      </c>
      <c r="AC2513" s="82" t="s">
        <v>10146</v>
      </c>
      <c r="AD2513" s="77" t="s">
        <v>10184</v>
      </c>
      <c r="AE2513" s="80" t="str">
        <f>HYPERLINK("https://twitter.com/ocuolimite3/status/1651785862445768704")</f>
        <v>https://twitter.com/ocuolimite3/status/1651785862445768704</v>
      </c>
      <c r="AF2513" s="79">
        <v>45044.13208333333</v>
      </c>
      <c r="AG2513" s="85">
        <v>45044</v>
      </c>
      <c r="AH2513" s="82" t="s">
        <v>12597</v>
      </c>
      <c r="AI2513" s="77" t="b">
        <v>0</v>
      </c>
      <c r="AJ2513" s="77"/>
      <c r="AK2513" s="77"/>
      <c r="AL2513" s="77"/>
      <c r="AM2513" s="77"/>
      <c r="AN2513" s="77"/>
      <c r="AO2513" s="77"/>
      <c r="AP2513" s="77"/>
      <c r="AQ2513" s="77" t="s">
        <v>15568</v>
      </c>
      <c r="AR2513" s="77"/>
      <c r="AS2513" s="77"/>
      <c r="AT2513" s="77"/>
      <c r="AU2513" s="77"/>
      <c r="AV2513" s="80" t="str">
        <f>HYPERLINK("https://pbs.twimg.com/media/FuxSe3NWcAAmV_k.jpg")</f>
        <v>https://pbs.twimg.com/media/FuxSe3NWcAAmV_k.jpg</v>
      </c>
      <c r="AW2513" s="82" t="s">
        <v>19279</v>
      </c>
      <c r="AX2513" s="82" t="s">
        <v>19279</v>
      </c>
      <c r="AY2513" s="77"/>
      <c r="AZ2513" s="82" t="s">
        <v>20971</v>
      </c>
      <c r="BA2513" s="82" t="s">
        <v>20971</v>
      </c>
      <c r="BB2513" s="82" t="s">
        <v>20971</v>
      </c>
      <c r="BC2513" s="82" t="s">
        <v>19279</v>
      </c>
      <c r="BD2513" s="82" t="s">
        <v>21494</v>
      </c>
      <c r="BE2513" s="77"/>
      <c r="BF2513" s="77"/>
      <c r="BG2513" s="77"/>
      <c r="BH2513" s="77"/>
      <c r="BI2513" s="77"/>
    </row>
    <row r="2514" spans="1:61" x14ac:dyDescent="0.25">
      <c r="A2514" s="62" t="s">
        <v>871</v>
      </c>
      <c r="B2514" s="62" t="s">
        <v>871</v>
      </c>
      <c r="C2514" s="63"/>
      <c r="D2514" s="64"/>
      <c r="E2514" s="65"/>
      <c r="F2514" s="66"/>
      <c r="G2514" s="63"/>
      <c r="H2514" s="67"/>
      <c r="I2514" s="68"/>
      <c r="J2514" s="68"/>
      <c r="K2514" s="32"/>
      <c r="L2514" s="75">
        <v>2514</v>
      </c>
      <c r="M2514" s="75"/>
      <c r="N2514" s="70"/>
      <c r="O2514" s="77" t="s">
        <v>179</v>
      </c>
      <c r="P2514" s="79">
        <v>44986.058518518519</v>
      </c>
      <c r="Q2514" s="77" t="s">
        <v>3720</v>
      </c>
      <c r="R2514" s="77">
        <v>0</v>
      </c>
      <c r="S2514" s="77">
        <v>1</v>
      </c>
      <c r="T2514" s="77">
        <v>0</v>
      </c>
      <c r="U2514" s="77">
        <v>0</v>
      </c>
      <c r="V2514" s="77">
        <v>51</v>
      </c>
      <c r="W2514" s="82" t="s">
        <v>6480</v>
      </c>
      <c r="X2514" s="77" t="s">
        <v>7222</v>
      </c>
      <c r="Y2514" s="77" t="s">
        <v>7427</v>
      </c>
      <c r="Z2514" s="77"/>
      <c r="AA2514" s="77" t="s">
        <v>8926</v>
      </c>
      <c r="AB2514" s="77" t="s">
        <v>10130</v>
      </c>
      <c r="AC2514" s="82" t="s">
        <v>10146</v>
      </c>
      <c r="AD2514" s="77" t="s">
        <v>10184</v>
      </c>
      <c r="AE2514" s="80" t="str">
        <f>HYPERLINK("https://twitter.com/ocuolimite3/status/1630740705155874816")</f>
        <v>https://twitter.com/ocuolimite3/status/1630740705155874816</v>
      </c>
      <c r="AF2514" s="79">
        <v>44986.058518518519</v>
      </c>
      <c r="AG2514" s="85">
        <v>44986</v>
      </c>
      <c r="AH2514" s="82" t="s">
        <v>12598</v>
      </c>
      <c r="AI2514" s="77" t="b">
        <v>0</v>
      </c>
      <c r="AJ2514" s="77"/>
      <c r="AK2514" s="77"/>
      <c r="AL2514" s="77"/>
      <c r="AM2514" s="77"/>
      <c r="AN2514" s="77"/>
      <c r="AO2514" s="77"/>
      <c r="AP2514" s="77"/>
      <c r="AQ2514" s="77" t="s">
        <v>15569</v>
      </c>
      <c r="AR2514" s="77"/>
      <c r="AS2514" s="77"/>
      <c r="AT2514" s="77"/>
      <c r="AU2514" s="77"/>
      <c r="AV2514" s="80" t="str">
        <f>HYPERLINK("https://pbs.twimg.com/media/FqGN4n6WcAEp2Ff.jpg")</f>
        <v>https://pbs.twimg.com/media/FqGN4n6WcAEp2Ff.jpg</v>
      </c>
      <c r="AW2514" s="82" t="s">
        <v>19280</v>
      </c>
      <c r="AX2514" s="82" t="s">
        <v>19280</v>
      </c>
      <c r="AY2514" s="77"/>
      <c r="AZ2514" s="82" t="s">
        <v>20971</v>
      </c>
      <c r="BA2514" s="82" t="s">
        <v>20971</v>
      </c>
      <c r="BB2514" s="82" t="s">
        <v>20971</v>
      </c>
      <c r="BC2514" s="82" t="s">
        <v>19280</v>
      </c>
      <c r="BD2514" s="82" t="s">
        <v>21494</v>
      </c>
      <c r="BE2514" s="77"/>
      <c r="BF2514" s="77"/>
      <c r="BG2514" s="77"/>
      <c r="BH2514" s="77"/>
      <c r="BI2514" s="77"/>
    </row>
    <row r="2515" spans="1:61" x14ac:dyDescent="0.25">
      <c r="A2515" s="62" t="s">
        <v>871</v>
      </c>
      <c r="B2515" s="62" t="s">
        <v>871</v>
      </c>
      <c r="C2515" s="63"/>
      <c r="D2515" s="64"/>
      <c r="E2515" s="65"/>
      <c r="F2515" s="66"/>
      <c r="G2515" s="63"/>
      <c r="H2515" s="67"/>
      <c r="I2515" s="68"/>
      <c r="J2515" s="68"/>
      <c r="K2515" s="32"/>
      <c r="L2515" s="75">
        <v>2515</v>
      </c>
      <c r="M2515" s="75"/>
      <c r="N2515" s="70"/>
      <c r="O2515" s="77" t="s">
        <v>179</v>
      </c>
      <c r="P2515" s="79">
        <v>45160.864062499997</v>
      </c>
      <c r="Q2515" s="77" t="s">
        <v>3721</v>
      </c>
      <c r="R2515" s="77">
        <v>0</v>
      </c>
      <c r="S2515" s="77">
        <v>1</v>
      </c>
      <c r="T2515" s="77">
        <v>0</v>
      </c>
      <c r="U2515" s="77">
        <v>0</v>
      </c>
      <c r="V2515" s="77">
        <v>29</v>
      </c>
      <c r="W2515" s="82" t="s">
        <v>6481</v>
      </c>
      <c r="X2515" s="77" t="s">
        <v>7223</v>
      </c>
      <c r="Y2515" s="77" t="s">
        <v>7425</v>
      </c>
      <c r="Z2515" s="77"/>
      <c r="AA2515" s="77" t="s">
        <v>8927</v>
      </c>
      <c r="AB2515" s="77" t="s">
        <v>10130</v>
      </c>
      <c r="AC2515" s="82" t="s">
        <v>10146</v>
      </c>
      <c r="AD2515" s="77" t="s">
        <v>10184</v>
      </c>
      <c r="AE2515" s="80" t="str">
        <f>HYPERLINK("https://twitter.com/ocuolimite3/status/1694088114103255161")</f>
        <v>https://twitter.com/ocuolimite3/status/1694088114103255161</v>
      </c>
      <c r="AF2515" s="79">
        <v>45160.864062499997</v>
      </c>
      <c r="AG2515" s="85">
        <v>45160</v>
      </c>
      <c r="AH2515" s="82" t="s">
        <v>12599</v>
      </c>
      <c r="AI2515" s="77" t="b">
        <v>0</v>
      </c>
      <c r="AJ2515" s="77"/>
      <c r="AK2515" s="77"/>
      <c r="AL2515" s="77"/>
      <c r="AM2515" s="77"/>
      <c r="AN2515" s="77"/>
      <c r="AO2515" s="77"/>
      <c r="AP2515" s="77"/>
      <c r="AQ2515" s="77" t="s">
        <v>15570</v>
      </c>
      <c r="AR2515" s="77"/>
      <c r="AS2515" s="77"/>
      <c r="AT2515" s="77"/>
      <c r="AU2515" s="77"/>
      <c r="AV2515" s="80" t="str">
        <f>HYPERLINK("https://pbs.twimg.com/media/F4KcEzlWgAArctK.jpg")</f>
        <v>https://pbs.twimg.com/media/F4KcEzlWgAArctK.jpg</v>
      </c>
      <c r="AW2515" s="82" t="s">
        <v>19281</v>
      </c>
      <c r="AX2515" s="82" t="s">
        <v>19281</v>
      </c>
      <c r="AY2515" s="77"/>
      <c r="AZ2515" s="82" t="s">
        <v>20971</v>
      </c>
      <c r="BA2515" s="82" t="s">
        <v>20971</v>
      </c>
      <c r="BB2515" s="82" t="s">
        <v>20971</v>
      </c>
      <c r="BC2515" s="82" t="s">
        <v>19281</v>
      </c>
      <c r="BD2515" s="82" t="s">
        <v>21494</v>
      </c>
      <c r="BE2515" s="77"/>
      <c r="BF2515" s="77"/>
      <c r="BG2515" s="77"/>
      <c r="BH2515" s="77"/>
      <c r="BI2515" s="77"/>
    </row>
    <row r="2516" spans="1:61" x14ac:dyDescent="0.25">
      <c r="A2516" s="62" t="s">
        <v>871</v>
      </c>
      <c r="B2516" s="62" t="s">
        <v>871</v>
      </c>
      <c r="C2516" s="63"/>
      <c r="D2516" s="64"/>
      <c r="E2516" s="65"/>
      <c r="F2516" s="66"/>
      <c r="G2516" s="63"/>
      <c r="H2516" s="67"/>
      <c r="I2516" s="68"/>
      <c r="J2516" s="68"/>
      <c r="K2516" s="32"/>
      <c r="L2516" s="75">
        <v>2516</v>
      </c>
      <c r="M2516" s="75"/>
      <c r="N2516" s="70"/>
      <c r="O2516" s="77" t="s">
        <v>179</v>
      </c>
      <c r="P2516" s="79">
        <v>45160.857974537037</v>
      </c>
      <c r="Q2516" s="77" t="s">
        <v>3722</v>
      </c>
      <c r="R2516" s="77">
        <v>0</v>
      </c>
      <c r="S2516" s="77">
        <v>1</v>
      </c>
      <c r="T2516" s="77">
        <v>0</v>
      </c>
      <c r="U2516" s="77">
        <v>0</v>
      </c>
      <c r="V2516" s="77">
        <v>25</v>
      </c>
      <c r="W2516" s="82" t="s">
        <v>6482</v>
      </c>
      <c r="X2516" s="77" t="s">
        <v>7224</v>
      </c>
      <c r="Y2516" s="77" t="s">
        <v>7420</v>
      </c>
      <c r="Z2516" s="77"/>
      <c r="AA2516" s="77" t="s">
        <v>8928</v>
      </c>
      <c r="AB2516" s="77" t="s">
        <v>10130</v>
      </c>
      <c r="AC2516" s="82" t="s">
        <v>10146</v>
      </c>
      <c r="AD2516" s="77" t="s">
        <v>10184</v>
      </c>
      <c r="AE2516" s="80" t="str">
        <f>HYPERLINK("https://twitter.com/ocuolimite3/status/1694085907068903523")</f>
        <v>https://twitter.com/ocuolimite3/status/1694085907068903523</v>
      </c>
      <c r="AF2516" s="79">
        <v>45160.857974537037</v>
      </c>
      <c r="AG2516" s="85">
        <v>45160</v>
      </c>
      <c r="AH2516" s="82" t="s">
        <v>12600</v>
      </c>
      <c r="AI2516" s="77" t="b">
        <v>0</v>
      </c>
      <c r="AJ2516" s="77"/>
      <c r="AK2516" s="77"/>
      <c r="AL2516" s="77"/>
      <c r="AM2516" s="77"/>
      <c r="AN2516" s="77"/>
      <c r="AO2516" s="77"/>
      <c r="AP2516" s="77"/>
      <c r="AQ2516" s="77" t="s">
        <v>15571</v>
      </c>
      <c r="AR2516" s="77"/>
      <c r="AS2516" s="77"/>
      <c r="AT2516" s="77"/>
      <c r="AU2516" s="77"/>
      <c r="AV2516" s="80" t="str">
        <f>HYPERLINK("https://pbs.twimg.com/media/F4KaErsXMAAEizd.jpg")</f>
        <v>https://pbs.twimg.com/media/F4KaErsXMAAEizd.jpg</v>
      </c>
      <c r="AW2516" s="82" t="s">
        <v>19282</v>
      </c>
      <c r="AX2516" s="82" t="s">
        <v>19282</v>
      </c>
      <c r="AY2516" s="77"/>
      <c r="AZ2516" s="82" t="s">
        <v>20971</v>
      </c>
      <c r="BA2516" s="82" t="s">
        <v>20971</v>
      </c>
      <c r="BB2516" s="82" t="s">
        <v>20971</v>
      </c>
      <c r="BC2516" s="82" t="s">
        <v>19282</v>
      </c>
      <c r="BD2516" s="82" t="s">
        <v>21494</v>
      </c>
      <c r="BE2516" s="77"/>
      <c r="BF2516" s="77"/>
      <c r="BG2516" s="77"/>
      <c r="BH2516" s="77"/>
      <c r="BI2516" s="77"/>
    </row>
    <row r="2517" spans="1:61" x14ac:dyDescent="0.25">
      <c r="A2517" s="62" t="s">
        <v>872</v>
      </c>
      <c r="B2517" s="62" t="s">
        <v>872</v>
      </c>
      <c r="C2517" s="63"/>
      <c r="D2517" s="64"/>
      <c r="E2517" s="65"/>
      <c r="F2517" s="66"/>
      <c r="G2517" s="63"/>
      <c r="H2517" s="67"/>
      <c r="I2517" s="68"/>
      <c r="J2517" s="68"/>
      <c r="K2517" s="32"/>
      <c r="L2517" s="75">
        <v>2517</v>
      </c>
      <c r="M2517" s="75"/>
      <c r="N2517" s="70"/>
      <c r="O2517" s="77" t="s">
        <v>179</v>
      </c>
      <c r="P2517" s="79">
        <v>45013.604247685187</v>
      </c>
      <c r="Q2517" s="77" t="s">
        <v>3723</v>
      </c>
      <c r="R2517" s="77">
        <v>0</v>
      </c>
      <c r="S2517" s="77">
        <v>0</v>
      </c>
      <c r="T2517" s="77">
        <v>1</v>
      </c>
      <c r="U2517" s="77">
        <v>0</v>
      </c>
      <c r="V2517" s="77">
        <v>133</v>
      </c>
      <c r="W2517" s="82" t="s">
        <v>6483</v>
      </c>
      <c r="X2517" s="77"/>
      <c r="Y2517" s="77"/>
      <c r="Z2517" s="77"/>
      <c r="AA2517" s="77" t="s">
        <v>8929</v>
      </c>
      <c r="AB2517" s="77" t="s">
        <v>10132</v>
      </c>
      <c r="AC2517" s="82" t="s">
        <v>10144</v>
      </c>
      <c r="AD2517" s="77" t="s">
        <v>10184</v>
      </c>
      <c r="AE2517" s="80" t="str">
        <f>HYPERLINK("https://twitter.com/elisnunes1/status/1640722944216137731")</f>
        <v>https://twitter.com/elisnunes1/status/1640722944216137731</v>
      </c>
      <c r="AF2517" s="79">
        <v>45013.604247685187</v>
      </c>
      <c r="AG2517" s="85">
        <v>45013</v>
      </c>
      <c r="AH2517" s="82" t="s">
        <v>12601</v>
      </c>
      <c r="AI2517" s="77" t="b">
        <v>0</v>
      </c>
      <c r="AJ2517" s="77"/>
      <c r="AK2517" s="77"/>
      <c r="AL2517" s="77"/>
      <c r="AM2517" s="77"/>
      <c r="AN2517" s="77"/>
      <c r="AO2517" s="77"/>
      <c r="AP2517" s="77"/>
      <c r="AQ2517" s="77" t="s">
        <v>15572</v>
      </c>
      <c r="AR2517" s="77"/>
      <c r="AS2517" s="77"/>
      <c r="AT2517" s="77"/>
      <c r="AU2517" s="77"/>
      <c r="AV2517" s="80" t="str">
        <f>HYPERLINK("https://pbs.twimg.com/media/FsUE0QyXwAEX6is.jpg")</f>
        <v>https://pbs.twimg.com/media/FsUE0QyXwAEX6is.jpg</v>
      </c>
      <c r="AW2517" s="82" t="s">
        <v>19283</v>
      </c>
      <c r="AX2517" s="82" t="s">
        <v>19283</v>
      </c>
      <c r="AY2517" s="77"/>
      <c r="AZ2517" s="82" t="s">
        <v>20971</v>
      </c>
      <c r="BA2517" s="82" t="s">
        <v>20971</v>
      </c>
      <c r="BB2517" s="82" t="s">
        <v>20971</v>
      </c>
      <c r="BC2517" s="82" t="s">
        <v>19283</v>
      </c>
      <c r="BD2517" s="77">
        <v>976352780</v>
      </c>
      <c r="BE2517" s="77"/>
      <c r="BF2517" s="77"/>
      <c r="BG2517" s="77"/>
      <c r="BH2517" s="77"/>
      <c r="BI2517" s="77"/>
    </row>
    <row r="2518" spans="1:61" x14ac:dyDescent="0.25">
      <c r="A2518" s="62" t="s">
        <v>872</v>
      </c>
      <c r="B2518" s="62" t="s">
        <v>872</v>
      </c>
      <c r="C2518" s="63"/>
      <c r="D2518" s="64"/>
      <c r="E2518" s="65"/>
      <c r="F2518" s="66"/>
      <c r="G2518" s="63"/>
      <c r="H2518" s="67"/>
      <c r="I2518" s="68"/>
      <c r="J2518" s="68"/>
      <c r="K2518" s="32"/>
      <c r="L2518" s="75">
        <v>2518</v>
      </c>
      <c r="M2518" s="75"/>
      <c r="N2518" s="70"/>
      <c r="O2518" s="77" t="s">
        <v>179</v>
      </c>
      <c r="P2518" s="79">
        <v>45013.601851851854</v>
      </c>
      <c r="Q2518" s="77" t="s">
        <v>3724</v>
      </c>
      <c r="R2518" s="77">
        <v>0</v>
      </c>
      <c r="S2518" s="77">
        <v>0</v>
      </c>
      <c r="T2518" s="77">
        <v>0</v>
      </c>
      <c r="U2518" s="77">
        <v>0</v>
      </c>
      <c r="V2518" s="77">
        <v>8</v>
      </c>
      <c r="W2518" s="82" t="s">
        <v>6484</v>
      </c>
      <c r="X2518" s="77"/>
      <c r="Y2518" s="77"/>
      <c r="Z2518" s="77"/>
      <c r="AA2518" s="77" t="s">
        <v>8930</v>
      </c>
      <c r="AB2518" s="77" t="s">
        <v>10129</v>
      </c>
      <c r="AC2518" s="82" t="s">
        <v>10144</v>
      </c>
      <c r="AD2518" s="77" t="s">
        <v>10184</v>
      </c>
      <c r="AE2518" s="80" t="str">
        <f>HYPERLINK("https://twitter.com/elisnunes1/status/1640722074577559552")</f>
        <v>https://twitter.com/elisnunes1/status/1640722074577559552</v>
      </c>
      <c r="AF2518" s="79">
        <v>45013.601851851854</v>
      </c>
      <c r="AG2518" s="85">
        <v>45013</v>
      </c>
      <c r="AH2518" s="82" t="s">
        <v>12602</v>
      </c>
      <c r="AI2518" s="77" t="b">
        <v>0</v>
      </c>
      <c r="AJ2518" s="77"/>
      <c r="AK2518" s="77"/>
      <c r="AL2518" s="77"/>
      <c r="AM2518" s="77"/>
      <c r="AN2518" s="77"/>
      <c r="AO2518" s="77"/>
      <c r="AP2518" s="77"/>
      <c r="AQ2518" s="77" t="s">
        <v>15573</v>
      </c>
      <c r="AR2518" s="77">
        <v>4966</v>
      </c>
      <c r="AS2518" s="77"/>
      <c r="AT2518" s="77"/>
      <c r="AU2518" s="77"/>
      <c r="AV2518" s="80" t="str">
        <f>HYPERLINK("https://pbs.twimg.com/ext_tw_video_thumb/1640722050539986949/pu/img/QFd6k1w6qRGgAGPw.jpg")</f>
        <v>https://pbs.twimg.com/ext_tw_video_thumb/1640722050539986949/pu/img/QFd6k1w6qRGgAGPw.jpg</v>
      </c>
      <c r="AW2518" s="82" t="s">
        <v>19284</v>
      </c>
      <c r="AX2518" s="82" t="s">
        <v>19284</v>
      </c>
      <c r="AY2518" s="77"/>
      <c r="AZ2518" s="82" t="s">
        <v>20971</v>
      </c>
      <c r="BA2518" s="82" t="s">
        <v>20971</v>
      </c>
      <c r="BB2518" s="82" t="s">
        <v>20971</v>
      </c>
      <c r="BC2518" s="82" t="s">
        <v>19284</v>
      </c>
      <c r="BD2518" s="77">
        <v>976352780</v>
      </c>
      <c r="BE2518" s="77"/>
      <c r="BF2518" s="77"/>
      <c r="BG2518" s="77"/>
      <c r="BH2518" s="77"/>
      <c r="BI2518" s="77"/>
    </row>
    <row r="2519" spans="1:61" x14ac:dyDescent="0.25">
      <c r="A2519" s="62" t="s">
        <v>873</v>
      </c>
      <c r="B2519" s="62" t="s">
        <v>873</v>
      </c>
      <c r="C2519" s="63"/>
      <c r="D2519" s="64"/>
      <c r="E2519" s="65"/>
      <c r="F2519" s="66"/>
      <c r="G2519" s="63"/>
      <c r="H2519" s="67"/>
      <c r="I2519" s="68"/>
      <c r="J2519" s="68"/>
      <c r="K2519" s="32"/>
      <c r="L2519" s="75">
        <v>2519</v>
      </c>
      <c r="M2519" s="75"/>
      <c r="N2519" s="70"/>
      <c r="O2519" s="77" t="s">
        <v>179</v>
      </c>
      <c r="P2519" s="79">
        <v>45051.419953703706</v>
      </c>
      <c r="Q2519" s="77" t="s">
        <v>3725</v>
      </c>
      <c r="R2519" s="77">
        <v>0</v>
      </c>
      <c r="S2519" s="77">
        <v>0</v>
      </c>
      <c r="T2519" s="77">
        <v>0</v>
      </c>
      <c r="U2519" s="77">
        <v>0</v>
      </c>
      <c r="V2519" s="77">
        <v>25</v>
      </c>
      <c r="W2519" s="82" t="s">
        <v>5236</v>
      </c>
      <c r="X2519" s="80" t="str">
        <f>HYPERLINK("https://vm.tiktok.com/ZMYEUh13k/")</f>
        <v>https://vm.tiktok.com/ZMYEUh13k/</v>
      </c>
      <c r="Y2519" s="77" t="s">
        <v>7306</v>
      </c>
      <c r="Z2519" s="77"/>
      <c r="AA2519" s="77"/>
      <c r="AB2519" s="77"/>
      <c r="AC2519" s="82" t="s">
        <v>10145</v>
      </c>
      <c r="AD2519" s="77" t="s">
        <v>10184</v>
      </c>
      <c r="AE2519" s="80" t="str">
        <f>HYPERLINK("https://twitter.com/danielgarciabs_/status/1654426896396963840")</f>
        <v>https://twitter.com/danielgarciabs_/status/1654426896396963840</v>
      </c>
      <c r="AF2519" s="79">
        <v>45051.419953703706</v>
      </c>
      <c r="AG2519" s="85">
        <v>45051</v>
      </c>
      <c r="AH2519" s="82" t="s">
        <v>12603</v>
      </c>
      <c r="AI2519" s="77" t="b">
        <v>0</v>
      </c>
      <c r="AJ2519" s="77"/>
      <c r="AK2519" s="77"/>
      <c r="AL2519" s="77"/>
      <c r="AM2519" s="77"/>
      <c r="AN2519" s="77"/>
      <c r="AO2519" s="77"/>
      <c r="AP2519" s="77"/>
      <c r="AQ2519" s="77"/>
      <c r="AR2519" s="77"/>
      <c r="AS2519" s="77"/>
      <c r="AT2519" s="77"/>
      <c r="AU2519" s="77"/>
      <c r="AV2519" s="80" t="str">
        <f>HYPERLINK("https://pbs.twimg.com/profile_images/1639218538371072001/ywZtuN9N_normal.jpg")</f>
        <v>https://pbs.twimg.com/profile_images/1639218538371072001/ywZtuN9N_normal.jpg</v>
      </c>
      <c r="AW2519" s="82" t="s">
        <v>19285</v>
      </c>
      <c r="AX2519" s="82" t="s">
        <v>19285</v>
      </c>
      <c r="AY2519" s="77"/>
      <c r="AZ2519" s="82" t="s">
        <v>20971</v>
      </c>
      <c r="BA2519" s="82" t="s">
        <v>20971</v>
      </c>
      <c r="BB2519" s="82" t="s">
        <v>20971</v>
      </c>
      <c r="BC2519" s="82" t="s">
        <v>19285</v>
      </c>
      <c r="BD2519" s="82" t="s">
        <v>21495</v>
      </c>
      <c r="BE2519" s="77"/>
      <c r="BF2519" s="77"/>
      <c r="BG2519" s="77"/>
      <c r="BH2519" s="77"/>
      <c r="BI2519" s="77"/>
    </row>
    <row r="2520" spans="1:61" x14ac:dyDescent="0.25">
      <c r="A2520" s="62" t="s">
        <v>874</v>
      </c>
      <c r="B2520" s="62" t="s">
        <v>1267</v>
      </c>
      <c r="C2520" s="63"/>
      <c r="D2520" s="64"/>
      <c r="E2520" s="65"/>
      <c r="F2520" s="66"/>
      <c r="G2520" s="63"/>
      <c r="H2520" s="67"/>
      <c r="I2520" s="68"/>
      <c r="J2520" s="68"/>
      <c r="K2520" s="32"/>
      <c r="L2520" s="75">
        <v>2520</v>
      </c>
      <c r="M2520" s="75"/>
      <c r="N2520" s="70"/>
      <c r="O2520" s="77" t="s">
        <v>1284</v>
      </c>
      <c r="P2520" s="79">
        <v>45191.867094907408</v>
      </c>
      <c r="Q2520" s="77" t="s">
        <v>3726</v>
      </c>
      <c r="R2520" s="77">
        <v>1</v>
      </c>
      <c r="S2520" s="77">
        <v>0</v>
      </c>
      <c r="T2520" s="77">
        <v>1</v>
      </c>
      <c r="U2520" s="77">
        <v>0</v>
      </c>
      <c r="V2520" s="77">
        <v>60</v>
      </c>
      <c r="W2520" s="82" t="s">
        <v>5236</v>
      </c>
      <c r="X2520" s="77"/>
      <c r="Y2520" s="77"/>
      <c r="Z2520" s="77" t="s">
        <v>1267</v>
      </c>
      <c r="AA2520" s="77"/>
      <c r="AB2520" s="77"/>
      <c r="AC2520" s="82" t="s">
        <v>10146</v>
      </c>
      <c r="AD2520" s="77" t="s">
        <v>10184</v>
      </c>
      <c r="AE2520" s="80" t="str">
        <f>HYPERLINK("https://twitter.com/diagnosecattus/status/1705323237339521445")</f>
        <v>https://twitter.com/diagnosecattus/status/1705323237339521445</v>
      </c>
      <c r="AF2520" s="79">
        <v>45191.867094907408</v>
      </c>
      <c r="AG2520" s="85">
        <v>45191</v>
      </c>
      <c r="AH2520" s="82" t="s">
        <v>12604</v>
      </c>
      <c r="AI2520" s="77"/>
      <c r="AJ2520" s="77"/>
      <c r="AK2520" s="77"/>
      <c r="AL2520" s="77"/>
      <c r="AM2520" s="77"/>
      <c r="AN2520" s="77"/>
      <c r="AO2520" s="77"/>
      <c r="AP2520" s="77"/>
      <c r="AQ2520" s="77"/>
      <c r="AR2520" s="77"/>
      <c r="AS2520" s="77"/>
      <c r="AT2520" s="77"/>
      <c r="AU2520" s="77"/>
      <c r="AV2520" s="80" t="str">
        <f>HYPERLINK("https://pbs.twimg.com/profile_images/1597755616373735425/8CWxJeDu_normal.jpg")</f>
        <v>https://pbs.twimg.com/profile_images/1597755616373735425/8CWxJeDu_normal.jpg</v>
      </c>
      <c r="AW2520" s="82" t="s">
        <v>19286</v>
      </c>
      <c r="AX2520" s="82" t="s">
        <v>20871</v>
      </c>
      <c r="AY2520" s="82" t="s">
        <v>20954</v>
      </c>
      <c r="AZ2520" s="82" t="s">
        <v>20871</v>
      </c>
      <c r="BA2520" s="82" t="s">
        <v>20971</v>
      </c>
      <c r="BB2520" s="82" t="s">
        <v>20971</v>
      </c>
      <c r="BC2520" s="82" t="s">
        <v>20871</v>
      </c>
      <c r="BD2520" s="82" t="s">
        <v>21496</v>
      </c>
      <c r="BE2520" s="77"/>
      <c r="BF2520" s="77"/>
      <c r="BG2520" s="77"/>
      <c r="BH2520" s="77"/>
      <c r="BI2520" s="77"/>
    </row>
    <row r="2521" spans="1:61" x14ac:dyDescent="0.25">
      <c r="A2521" s="62" t="s">
        <v>875</v>
      </c>
      <c r="B2521" s="62" t="s">
        <v>875</v>
      </c>
      <c r="C2521" s="63"/>
      <c r="D2521" s="64"/>
      <c r="E2521" s="65"/>
      <c r="F2521" s="66"/>
      <c r="G2521" s="63"/>
      <c r="H2521" s="67"/>
      <c r="I2521" s="68"/>
      <c r="J2521" s="68"/>
      <c r="K2521" s="32"/>
      <c r="L2521" s="75">
        <v>2521</v>
      </c>
      <c r="M2521" s="75"/>
      <c r="N2521" s="70"/>
      <c r="O2521" s="77" t="s">
        <v>179</v>
      </c>
      <c r="P2521" s="79">
        <v>44997.563020833331</v>
      </c>
      <c r="Q2521" s="77" t="s">
        <v>3727</v>
      </c>
      <c r="R2521" s="77">
        <v>0</v>
      </c>
      <c r="S2521" s="77">
        <v>1</v>
      </c>
      <c r="T2521" s="77">
        <v>6</v>
      </c>
      <c r="U2521" s="77">
        <v>0</v>
      </c>
      <c r="V2521" s="77">
        <v>269</v>
      </c>
      <c r="W2521" s="82" t="s">
        <v>6485</v>
      </c>
      <c r="X2521" s="80" t="str">
        <f>HYPERLINK("https://kwai-video.com/w/2jQTTvOO")</f>
        <v>https://kwai-video.com/w/2jQTTvOO</v>
      </c>
      <c r="Y2521" s="77" t="s">
        <v>7299</v>
      </c>
      <c r="Z2521" s="77"/>
      <c r="AA2521" s="77"/>
      <c r="AB2521" s="77"/>
      <c r="AC2521" s="82" t="s">
        <v>10144</v>
      </c>
      <c r="AD2521" s="77" t="s">
        <v>10184</v>
      </c>
      <c r="AE2521" s="80" t="str">
        <f>HYPERLINK("https://twitter.com/brubsyet/status/1634909797194797057")</f>
        <v>https://twitter.com/brubsyet/status/1634909797194797057</v>
      </c>
      <c r="AF2521" s="79">
        <v>44997.563020833331</v>
      </c>
      <c r="AG2521" s="85">
        <v>44997</v>
      </c>
      <c r="AH2521" s="82" t="s">
        <v>12605</v>
      </c>
      <c r="AI2521" s="77" t="b">
        <v>0</v>
      </c>
      <c r="AJ2521" s="77"/>
      <c r="AK2521" s="77"/>
      <c r="AL2521" s="77"/>
      <c r="AM2521" s="77"/>
      <c r="AN2521" s="77"/>
      <c r="AO2521" s="77"/>
      <c r="AP2521" s="77"/>
      <c r="AQ2521" s="77"/>
      <c r="AR2521" s="77"/>
      <c r="AS2521" s="77"/>
      <c r="AT2521" s="77"/>
      <c r="AU2521" s="77"/>
      <c r="AV2521" s="80" t="str">
        <f>HYPERLINK("https://pbs.twimg.com/profile_images/1083726605036539904/bN0XC8I6_normal.jpg")</f>
        <v>https://pbs.twimg.com/profile_images/1083726605036539904/bN0XC8I6_normal.jpg</v>
      </c>
      <c r="AW2521" s="82" t="s">
        <v>19287</v>
      </c>
      <c r="AX2521" s="82" t="s">
        <v>19287</v>
      </c>
      <c r="AY2521" s="77"/>
      <c r="AZ2521" s="82" t="s">
        <v>20971</v>
      </c>
      <c r="BA2521" s="82" t="s">
        <v>20971</v>
      </c>
      <c r="BB2521" s="82" t="s">
        <v>20971</v>
      </c>
      <c r="BC2521" s="82" t="s">
        <v>19287</v>
      </c>
      <c r="BD2521" s="82" t="s">
        <v>21497</v>
      </c>
      <c r="BE2521" s="77"/>
      <c r="BF2521" s="77"/>
      <c r="BG2521" s="77"/>
      <c r="BH2521" s="77"/>
      <c r="BI2521" s="77"/>
    </row>
    <row r="2522" spans="1:61" x14ac:dyDescent="0.25">
      <c r="A2522" s="62" t="s">
        <v>875</v>
      </c>
      <c r="B2522" s="62" t="s">
        <v>875</v>
      </c>
      <c r="C2522" s="63"/>
      <c r="D2522" s="64"/>
      <c r="E2522" s="65"/>
      <c r="F2522" s="66"/>
      <c r="G2522" s="63"/>
      <c r="H2522" s="67"/>
      <c r="I2522" s="68"/>
      <c r="J2522" s="68"/>
      <c r="K2522" s="32"/>
      <c r="L2522" s="75">
        <v>2522</v>
      </c>
      <c r="M2522" s="75"/>
      <c r="N2522" s="70"/>
      <c r="O2522" s="77" t="s">
        <v>179</v>
      </c>
      <c r="P2522" s="79">
        <v>44996.912407407406</v>
      </c>
      <c r="Q2522" s="77" t="s">
        <v>3728</v>
      </c>
      <c r="R2522" s="77">
        <v>0</v>
      </c>
      <c r="S2522" s="77">
        <v>0</v>
      </c>
      <c r="T2522" s="77">
        <v>0</v>
      </c>
      <c r="U2522" s="77">
        <v>0</v>
      </c>
      <c r="V2522" s="77">
        <v>19</v>
      </c>
      <c r="W2522" s="82" t="s">
        <v>6486</v>
      </c>
      <c r="X2522" s="80" t="str">
        <f>HYPERLINK("https://kwai-video.com/w/jPTxuM3N")</f>
        <v>https://kwai-video.com/w/jPTxuM3N</v>
      </c>
      <c r="Y2522" s="77" t="s">
        <v>7299</v>
      </c>
      <c r="Z2522" s="77"/>
      <c r="AA2522" s="77"/>
      <c r="AB2522" s="77"/>
      <c r="AC2522" s="82" t="s">
        <v>10144</v>
      </c>
      <c r="AD2522" s="77" t="s">
        <v>10184</v>
      </c>
      <c r="AE2522" s="80" t="str">
        <f>HYPERLINK("https://twitter.com/brubsyet/status/1634674024277069824")</f>
        <v>https://twitter.com/brubsyet/status/1634674024277069824</v>
      </c>
      <c r="AF2522" s="79">
        <v>44996.912407407406</v>
      </c>
      <c r="AG2522" s="85">
        <v>44996</v>
      </c>
      <c r="AH2522" s="82" t="s">
        <v>12606</v>
      </c>
      <c r="AI2522" s="77" t="b">
        <v>0</v>
      </c>
      <c r="AJ2522" s="77"/>
      <c r="AK2522" s="77"/>
      <c r="AL2522" s="77"/>
      <c r="AM2522" s="77"/>
      <c r="AN2522" s="77"/>
      <c r="AO2522" s="77"/>
      <c r="AP2522" s="77"/>
      <c r="AQ2522" s="77"/>
      <c r="AR2522" s="77"/>
      <c r="AS2522" s="77"/>
      <c r="AT2522" s="77"/>
      <c r="AU2522" s="77"/>
      <c r="AV2522" s="80" t="str">
        <f>HYPERLINK("https://pbs.twimg.com/profile_images/1083726605036539904/bN0XC8I6_normal.jpg")</f>
        <v>https://pbs.twimg.com/profile_images/1083726605036539904/bN0XC8I6_normal.jpg</v>
      </c>
      <c r="AW2522" s="82" t="s">
        <v>19288</v>
      </c>
      <c r="AX2522" s="82" t="s">
        <v>19288</v>
      </c>
      <c r="AY2522" s="77"/>
      <c r="AZ2522" s="82" t="s">
        <v>20971</v>
      </c>
      <c r="BA2522" s="82" t="s">
        <v>20971</v>
      </c>
      <c r="BB2522" s="82" t="s">
        <v>20971</v>
      </c>
      <c r="BC2522" s="82" t="s">
        <v>19288</v>
      </c>
      <c r="BD2522" s="82" t="s">
        <v>21497</v>
      </c>
      <c r="BE2522" s="77"/>
      <c r="BF2522" s="77"/>
      <c r="BG2522" s="77"/>
      <c r="BH2522" s="77"/>
      <c r="BI2522" s="77"/>
    </row>
    <row r="2523" spans="1:61" x14ac:dyDescent="0.25">
      <c r="A2523" s="62" t="s">
        <v>875</v>
      </c>
      <c r="B2523" s="62" t="s">
        <v>875</v>
      </c>
      <c r="C2523" s="63"/>
      <c r="D2523" s="64"/>
      <c r="E2523" s="65"/>
      <c r="F2523" s="66"/>
      <c r="G2523" s="63"/>
      <c r="H2523" s="67"/>
      <c r="I2523" s="68"/>
      <c r="J2523" s="68"/>
      <c r="K2523" s="32"/>
      <c r="L2523" s="75">
        <v>2523</v>
      </c>
      <c r="M2523" s="75"/>
      <c r="N2523" s="70"/>
      <c r="O2523" s="77" t="s">
        <v>179</v>
      </c>
      <c r="P2523" s="79">
        <v>44995.053564814814</v>
      </c>
      <c r="Q2523" s="77" t="s">
        <v>3729</v>
      </c>
      <c r="R2523" s="77">
        <v>0</v>
      </c>
      <c r="S2523" s="77">
        <v>1</v>
      </c>
      <c r="T2523" s="77">
        <v>6</v>
      </c>
      <c r="U2523" s="77">
        <v>0</v>
      </c>
      <c r="V2523" s="77">
        <v>143</v>
      </c>
      <c r="W2523" s="82" t="s">
        <v>6487</v>
      </c>
      <c r="X2523" s="80" t="str">
        <f>HYPERLINK("https://kwai-video.com/w/1ItdjxxT")</f>
        <v>https://kwai-video.com/w/1ItdjxxT</v>
      </c>
      <c r="Y2523" s="77" t="s">
        <v>7299</v>
      </c>
      <c r="Z2523" s="77"/>
      <c r="AA2523" s="77"/>
      <c r="AB2523" s="77"/>
      <c r="AC2523" s="82" t="s">
        <v>10144</v>
      </c>
      <c r="AD2523" s="77" t="s">
        <v>10184</v>
      </c>
      <c r="AE2523" s="80" t="str">
        <f>HYPERLINK("https://twitter.com/brubsyet/status/1634000402843566081")</f>
        <v>https://twitter.com/brubsyet/status/1634000402843566081</v>
      </c>
      <c r="AF2523" s="79">
        <v>44995.053564814814</v>
      </c>
      <c r="AG2523" s="85">
        <v>44995</v>
      </c>
      <c r="AH2523" s="82" t="s">
        <v>12607</v>
      </c>
      <c r="AI2523" s="77" t="b">
        <v>0</v>
      </c>
      <c r="AJ2523" s="77"/>
      <c r="AK2523" s="77"/>
      <c r="AL2523" s="77"/>
      <c r="AM2523" s="77"/>
      <c r="AN2523" s="77"/>
      <c r="AO2523" s="77"/>
      <c r="AP2523" s="77"/>
      <c r="AQ2523" s="77"/>
      <c r="AR2523" s="77"/>
      <c r="AS2523" s="77"/>
      <c r="AT2523" s="77"/>
      <c r="AU2523" s="77"/>
      <c r="AV2523" s="80" t="str">
        <f>HYPERLINK("https://pbs.twimg.com/profile_images/1083726605036539904/bN0XC8I6_normal.jpg")</f>
        <v>https://pbs.twimg.com/profile_images/1083726605036539904/bN0XC8I6_normal.jpg</v>
      </c>
      <c r="AW2523" s="82" t="s">
        <v>19289</v>
      </c>
      <c r="AX2523" s="82" t="s">
        <v>19289</v>
      </c>
      <c r="AY2523" s="77"/>
      <c r="AZ2523" s="82" t="s">
        <v>20971</v>
      </c>
      <c r="BA2523" s="82" t="s">
        <v>20971</v>
      </c>
      <c r="BB2523" s="82" t="s">
        <v>20971</v>
      </c>
      <c r="BC2523" s="82" t="s">
        <v>19289</v>
      </c>
      <c r="BD2523" s="82" t="s">
        <v>21497</v>
      </c>
      <c r="BE2523" s="77"/>
      <c r="BF2523" s="77"/>
      <c r="BG2523" s="77"/>
      <c r="BH2523" s="77"/>
      <c r="BI2523" s="77"/>
    </row>
    <row r="2524" spans="1:61" x14ac:dyDescent="0.25">
      <c r="A2524" s="62" t="s">
        <v>875</v>
      </c>
      <c r="B2524" s="62" t="s">
        <v>875</v>
      </c>
      <c r="C2524" s="63"/>
      <c r="D2524" s="64"/>
      <c r="E2524" s="65"/>
      <c r="F2524" s="66"/>
      <c r="G2524" s="63"/>
      <c r="H2524" s="67"/>
      <c r="I2524" s="68"/>
      <c r="J2524" s="68"/>
      <c r="K2524" s="32"/>
      <c r="L2524" s="75">
        <v>2524</v>
      </c>
      <c r="M2524" s="75"/>
      <c r="N2524" s="70"/>
      <c r="O2524" s="77" t="s">
        <v>179</v>
      </c>
      <c r="P2524" s="79">
        <v>44994.643680555557</v>
      </c>
      <c r="Q2524" s="77" t="s">
        <v>3730</v>
      </c>
      <c r="R2524" s="77">
        <v>0</v>
      </c>
      <c r="S2524" s="77">
        <v>1</v>
      </c>
      <c r="T2524" s="77">
        <v>9</v>
      </c>
      <c r="U2524" s="77">
        <v>0</v>
      </c>
      <c r="V2524" s="77">
        <v>188</v>
      </c>
      <c r="W2524" s="82" t="s">
        <v>5516</v>
      </c>
      <c r="X2524" s="80" t="str">
        <f>HYPERLINK("https://kwai-video.com/w/vZ429qjd")</f>
        <v>https://kwai-video.com/w/vZ429qjd</v>
      </c>
      <c r="Y2524" s="77" t="s">
        <v>7299</v>
      </c>
      <c r="Z2524" s="77"/>
      <c r="AA2524" s="77"/>
      <c r="AB2524" s="77"/>
      <c r="AC2524" s="82" t="s">
        <v>10144</v>
      </c>
      <c r="AD2524" s="77" t="s">
        <v>10184</v>
      </c>
      <c r="AE2524" s="80" t="str">
        <f>HYPERLINK("https://twitter.com/brubsyet/status/1633851864188854275")</f>
        <v>https://twitter.com/brubsyet/status/1633851864188854275</v>
      </c>
      <c r="AF2524" s="79">
        <v>44994.643680555557</v>
      </c>
      <c r="AG2524" s="85">
        <v>44994</v>
      </c>
      <c r="AH2524" s="82" t="s">
        <v>12608</v>
      </c>
      <c r="AI2524" s="77" t="b">
        <v>0</v>
      </c>
      <c r="AJ2524" s="77"/>
      <c r="AK2524" s="77"/>
      <c r="AL2524" s="77"/>
      <c r="AM2524" s="77"/>
      <c r="AN2524" s="77"/>
      <c r="AO2524" s="77"/>
      <c r="AP2524" s="77"/>
      <c r="AQ2524" s="77"/>
      <c r="AR2524" s="77"/>
      <c r="AS2524" s="77"/>
      <c r="AT2524" s="77"/>
      <c r="AU2524" s="77"/>
      <c r="AV2524" s="80" t="str">
        <f>HYPERLINK("https://pbs.twimg.com/profile_images/1083726605036539904/bN0XC8I6_normal.jpg")</f>
        <v>https://pbs.twimg.com/profile_images/1083726605036539904/bN0XC8I6_normal.jpg</v>
      </c>
      <c r="AW2524" s="82" t="s">
        <v>19290</v>
      </c>
      <c r="AX2524" s="82" t="s">
        <v>19290</v>
      </c>
      <c r="AY2524" s="77"/>
      <c r="AZ2524" s="82" t="s">
        <v>20971</v>
      </c>
      <c r="BA2524" s="82" t="s">
        <v>20971</v>
      </c>
      <c r="BB2524" s="82" t="s">
        <v>20971</v>
      </c>
      <c r="BC2524" s="82" t="s">
        <v>19290</v>
      </c>
      <c r="BD2524" s="82" t="s">
        <v>21497</v>
      </c>
      <c r="BE2524" s="77"/>
      <c r="BF2524" s="77"/>
      <c r="BG2524" s="77"/>
      <c r="BH2524" s="77"/>
      <c r="BI2524" s="77"/>
    </row>
    <row r="2525" spans="1:61" x14ac:dyDescent="0.25">
      <c r="A2525" s="62" t="s">
        <v>876</v>
      </c>
      <c r="B2525" s="62" t="s">
        <v>876</v>
      </c>
      <c r="C2525" s="63"/>
      <c r="D2525" s="64"/>
      <c r="E2525" s="65"/>
      <c r="F2525" s="66"/>
      <c r="G2525" s="63"/>
      <c r="H2525" s="67"/>
      <c r="I2525" s="68"/>
      <c r="J2525" s="68"/>
      <c r="K2525" s="32"/>
      <c r="L2525" s="75">
        <v>2525</v>
      </c>
      <c r="M2525" s="75"/>
      <c r="N2525" s="70"/>
      <c r="O2525" s="77" t="s">
        <v>179</v>
      </c>
      <c r="P2525" s="79">
        <v>45005.886759259258</v>
      </c>
      <c r="Q2525" s="77" t="s">
        <v>3731</v>
      </c>
      <c r="R2525" s="77">
        <v>0</v>
      </c>
      <c r="S2525" s="77">
        <v>3</v>
      </c>
      <c r="T2525" s="77">
        <v>0</v>
      </c>
      <c r="U2525" s="77">
        <v>0</v>
      </c>
      <c r="V2525" s="77">
        <v>29</v>
      </c>
      <c r="W2525" s="82" t="s">
        <v>6488</v>
      </c>
      <c r="X2525" s="80" t="str">
        <f>HYPERLINK("https://sun.eduzz.com/1152788?a=33547291")</f>
        <v>https://sun.eduzz.com/1152788?a=33547291</v>
      </c>
      <c r="Y2525" s="77" t="s">
        <v>7245</v>
      </c>
      <c r="Z2525" s="77"/>
      <c r="AA2525" s="77" t="s">
        <v>8931</v>
      </c>
      <c r="AB2525" s="77" t="s">
        <v>10130</v>
      </c>
      <c r="AC2525" s="82" t="s">
        <v>10145</v>
      </c>
      <c r="AD2525" s="77" t="s">
        <v>10184</v>
      </c>
      <c r="AE2525" s="80" t="str">
        <f>HYPERLINK("https://twitter.com/rayfariaa/status/1637926218342322180")</f>
        <v>https://twitter.com/rayfariaa/status/1637926218342322180</v>
      </c>
      <c r="AF2525" s="79">
        <v>45005.886759259258</v>
      </c>
      <c r="AG2525" s="85">
        <v>45005</v>
      </c>
      <c r="AH2525" s="82" t="s">
        <v>12609</v>
      </c>
      <c r="AI2525" s="77" t="b">
        <v>0</v>
      </c>
      <c r="AJ2525" s="77"/>
      <c r="AK2525" s="77"/>
      <c r="AL2525" s="77"/>
      <c r="AM2525" s="77"/>
      <c r="AN2525" s="77"/>
      <c r="AO2525" s="77"/>
      <c r="AP2525" s="77"/>
      <c r="AQ2525" s="77" t="s">
        <v>15574</v>
      </c>
      <c r="AR2525" s="77"/>
      <c r="AS2525" s="77"/>
      <c r="AT2525" s="77"/>
      <c r="AU2525" s="77"/>
      <c r="AV2525" s="80" t="str">
        <f>HYPERLINK("https://pbs.twimg.com/media/FrsVNcqWAAMTc4F.jpg")</f>
        <v>https://pbs.twimg.com/media/FrsVNcqWAAMTc4F.jpg</v>
      </c>
      <c r="AW2525" s="82" t="s">
        <v>19291</v>
      </c>
      <c r="AX2525" s="82" t="s">
        <v>19291</v>
      </c>
      <c r="AY2525" s="77"/>
      <c r="AZ2525" s="82" t="s">
        <v>20971</v>
      </c>
      <c r="BA2525" s="82" t="s">
        <v>20971</v>
      </c>
      <c r="BB2525" s="82" t="s">
        <v>20971</v>
      </c>
      <c r="BC2525" s="82" t="s">
        <v>19291</v>
      </c>
      <c r="BD2525" s="77">
        <v>3079223409</v>
      </c>
      <c r="BE2525" s="77"/>
      <c r="BF2525" s="77"/>
      <c r="BG2525" s="77"/>
      <c r="BH2525" s="77"/>
      <c r="BI2525" s="77"/>
    </row>
    <row r="2526" spans="1:61" x14ac:dyDescent="0.25">
      <c r="A2526" s="62" t="s">
        <v>877</v>
      </c>
      <c r="B2526" s="62" t="s">
        <v>877</v>
      </c>
      <c r="C2526" s="63"/>
      <c r="D2526" s="64"/>
      <c r="E2526" s="65"/>
      <c r="F2526" s="66"/>
      <c r="G2526" s="63"/>
      <c r="H2526" s="67"/>
      <c r="I2526" s="68"/>
      <c r="J2526" s="68"/>
      <c r="K2526" s="32"/>
      <c r="L2526" s="75">
        <v>2526</v>
      </c>
      <c r="M2526" s="75"/>
      <c r="N2526" s="70"/>
      <c r="O2526" s="77" t="s">
        <v>179</v>
      </c>
      <c r="P2526" s="79">
        <v>45015.824965277781</v>
      </c>
      <c r="Q2526" s="77" t="s">
        <v>3732</v>
      </c>
      <c r="R2526" s="77">
        <v>0</v>
      </c>
      <c r="S2526" s="77">
        <v>0</v>
      </c>
      <c r="T2526" s="77">
        <v>0</v>
      </c>
      <c r="U2526" s="77">
        <v>0</v>
      </c>
      <c r="V2526" s="77">
        <v>13</v>
      </c>
      <c r="W2526" s="82" t="s">
        <v>6489</v>
      </c>
      <c r="X2526" s="80" t="str">
        <f>HYPERLINK("https://www.oincrivel.com.br/10-negocios-lucrativos-para-ganhar-dinheiro-trabalhando-em-casa/")</f>
        <v>https://www.oincrivel.com.br/10-negocios-lucrativos-para-ganhar-dinheiro-trabalhando-em-casa/</v>
      </c>
      <c r="Y2526" s="77" t="s">
        <v>7252</v>
      </c>
      <c r="Z2526" s="77"/>
      <c r="AA2526" s="77"/>
      <c r="AB2526" s="77"/>
      <c r="AC2526" s="82" t="s">
        <v>10144</v>
      </c>
      <c r="AD2526" s="77" t="s">
        <v>10184</v>
      </c>
      <c r="AE2526" s="80" t="str">
        <f>HYPERLINK("https://twitter.com/oincrivelblog/status/1641527705333014535")</f>
        <v>https://twitter.com/oincrivelblog/status/1641527705333014535</v>
      </c>
      <c r="AF2526" s="79">
        <v>45015.824965277781</v>
      </c>
      <c r="AG2526" s="85">
        <v>45015</v>
      </c>
      <c r="AH2526" s="82" t="s">
        <v>12610</v>
      </c>
      <c r="AI2526" s="77" t="b">
        <v>0</v>
      </c>
      <c r="AJ2526" s="77"/>
      <c r="AK2526" s="77"/>
      <c r="AL2526" s="77"/>
      <c r="AM2526" s="77"/>
      <c r="AN2526" s="77"/>
      <c r="AO2526" s="77"/>
      <c r="AP2526" s="77"/>
      <c r="AQ2526" s="77"/>
      <c r="AR2526" s="77"/>
      <c r="AS2526" s="77"/>
      <c r="AT2526" s="77"/>
      <c r="AU2526" s="77"/>
      <c r="AV2526" s="80" t="str">
        <f>HYPERLINK("https://pbs.twimg.com/profile_images/1704529825392664576/bp0WJmIE_normal.jpg")</f>
        <v>https://pbs.twimg.com/profile_images/1704529825392664576/bp0WJmIE_normal.jpg</v>
      </c>
      <c r="AW2526" s="82" t="s">
        <v>19292</v>
      </c>
      <c r="AX2526" s="82" t="s">
        <v>19292</v>
      </c>
      <c r="AY2526" s="77"/>
      <c r="AZ2526" s="82" t="s">
        <v>20971</v>
      </c>
      <c r="BA2526" s="82" t="s">
        <v>20971</v>
      </c>
      <c r="BB2526" s="82" t="s">
        <v>20971</v>
      </c>
      <c r="BC2526" s="82" t="s">
        <v>19292</v>
      </c>
      <c r="BD2526" s="77">
        <v>126986939</v>
      </c>
      <c r="BE2526" s="77"/>
      <c r="BF2526" s="77"/>
      <c r="BG2526" s="77"/>
      <c r="BH2526" s="77"/>
      <c r="BI2526" s="77"/>
    </row>
    <row r="2527" spans="1:61" x14ac:dyDescent="0.25">
      <c r="A2527" s="62" t="s">
        <v>877</v>
      </c>
      <c r="B2527" s="62" t="s">
        <v>877</v>
      </c>
      <c r="C2527" s="63"/>
      <c r="D2527" s="64"/>
      <c r="E2527" s="65"/>
      <c r="F2527" s="66"/>
      <c r="G2527" s="63"/>
      <c r="H2527" s="67"/>
      <c r="I2527" s="68"/>
      <c r="J2527" s="68"/>
      <c r="K2527" s="32"/>
      <c r="L2527" s="75">
        <v>2527</v>
      </c>
      <c r="M2527" s="75"/>
      <c r="N2527" s="70"/>
      <c r="O2527" s="77" t="s">
        <v>179</v>
      </c>
      <c r="P2527" s="79">
        <v>44996.133032407408</v>
      </c>
      <c r="Q2527" s="77" t="s">
        <v>3733</v>
      </c>
      <c r="R2527" s="77">
        <v>0</v>
      </c>
      <c r="S2527" s="77">
        <v>0</v>
      </c>
      <c r="T2527" s="77">
        <v>0</v>
      </c>
      <c r="U2527" s="77">
        <v>0</v>
      </c>
      <c r="V2527" s="77">
        <v>38</v>
      </c>
      <c r="W2527" s="82" t="s">
        <v>6490</v>
      </c>
      <c r="X2527" s="80" t="str">
        <f>HYPERLINK("https://www.oincrivel.com.br/10-melhores-sites-para-ganhar-dinheiro-na-internet-vendendo-fotos/")</f>
        <v>https://www.oincrivel.com.br/10-melhores-sites-para-ganhar-dinheiro-na-internet-vendendo-fotos/</v>
      </c>
      <c r="Y2527" s="77" t="s">
        <v>7252</v>
      </c>
      <c r="Z2527" s="77"/>
      <c r="AA2527" s="77"/>
      <c r="AB2527" s="77"/>
      <c r="AC2527" s="82" t="s">
        <v>10144</v>
      </c>
      <c r="AD2527" s="77" t="s">
        <v>10184</v>
      </c>
      <c r="AE2527" s="80" t="str">
        <f>HYPERLINK("https://twitter.com/oincrivelblog/status/1634391584853590017")</f>
        <v>https://twitter.com/oincrivelblog/status/1634391584853590017</v>
      </c>
      <c r="AF2527" s="79">
        <v>44996.133032407408</v>
      </c>
      <c r="AG2527" s="85">
        <v>44996</v>
      </c>
      <c r="AH2527" s="82" t="s">
        <v>12611</v>
      </c>
      <c r="AI2527" s="77" t="b">
        <v>0</v>
      </c>
      <c r="AJ2527" s="77"/>
      <c r="AK2527" s="77"/>
      <c r="AL2527" s="77"/>
      <c r="AM2527" s="77"/>
      <c r="AN2527" s="77"/>
      <c r="AO2527" s="77"/>
      <c r="AP2527" s="77"/>
      <c r="AQ2527" s="77"/>
      <c r="AR2527" s="77"/>
      <c r="AS2527" s="77"/>
      <c r="AT2527" s="77"/>
      <c r="AU2527" s="77"/>
      <c r="AV2527" s="80" t="str">
        <f>HYPERLINK("https://pbs.twimg.com/profile_images/1704529825392664576/bp0WJmIE_normal.jpg")</f>
        <v>https://pbs.twimg.com/profile_images/1704529825392664576/bp0WJmIE_normal.jpg</v>
      </c>
      <c r="AW2527" s="82" t="s">
        <v>19293</v>
      </c>
      <c r="AX2527" s="82" t="s">
        <v>19293</v>
      </c>
      <c r="AY2527" s="77"/>
      <c r="AZ2527" s="82" t="s">
        <v>20971</v>
      </c>
      <c r="BA2527" s="82" t="s">
        <v>20971</v>
      </c>
      <c r="BB2527" s="82" t="s">
        <v>20971</v>
      </c>
      <c r="BC2527" s="82" t="s">
        <v>19293</v>
      </c>
      <c r="BD2527" s="77">
        <v>126986939</v>
      </c>
      <c r="BE2527" s="77"/>
      <c r="BF2527" s="77"/>
      <c r="BG2527" s="77"/>
      <c r="BH2527" s="77"/>
      <c r="BI2527" s="77"/>
    </row>
    <row r="2528" spans="1:61" x14ac:dyDescent="0.25">
      <c r="A2528" s="62" t="s">
        <v>877</v>
      </c>
      <c r="B2528" s="62" t="s">
        <v>877</v>
      </c>
      <c r="C2528" s="63"/>
      <c r="D2528" s="64"/>
      <c r="E2528" s="65"/>
      <c r="F2528" s="66"/>
      <c r="G2528" s="63"/>
      <c r="H2528" s="67"/>
      <c r="I2528" s="68"/>
      <c r="J2528" s="68"/>
      <c r="K2528" s="32"/>
      <c r="L2528" s="75">
        <v>2528</v>
      </c>
      <c r="M2528" s="75"/>
      <c r="N2528" s="70"/>
      <c r="O2528" s="77" t="s">
        <v>179</v>
      </c>
      <c r="P2528" s="79">
        <v>44964.731377314813</v>
      </c>
      <c r="Q2528" s="77" t="s">
        <v>3734</v>
      </c>
      <c r="R2528" s="77">
        <v>0</v>
      </c>
      <c r="S2528" s="77">
        <v>0</v>
      </c>
      <c r="T2528" s="77">
        <v>1</v>
      </c>
      <c r="U2528" s="77">
        <v>0</v>
      </c>
      <c r="V2528" s="77">
        <v>102</v>
      </c>
      <c r="W2528" s="82" t="s">
        <v>6491</v>
      </c>
      <c r="X2528" s="80" t="str">
        <f>HYPERLINK("https://www.oincrivel.com.br/hotmart/")</f>
        <v>https://www.oincrivel.com.br/hotmart/</v>
      </c>
      <c r="Y2528" s="77" t="s">
        <v>7252</v>
      </c>
      <c r="Z2528" s="77"/>
      <c r="AA2528" s="77"/>
      <c r="AB2528" s="77"/>
      <c r="AC2528" s="82" t="s">
        <v>10144</v>
      </c>
      <c r="AD2528" s="77" t="s">
        <v>10184</v>
      </c>
      <c r="AE2528" s="80" t="str">
        <f>HYPERLINK("https://twitter.com/oincrivelblog/status/1623012006985969683")</f>
        <v>https://twitter.com/oincrivelblog/status/1623012006985969683</v>
      </c>
      <c r="AF2528" s="79">
        <v>44964.731377314813</v>
      </c>
      <c r="AG2528" s="85">
        <v>44964</v>
      </c>
      <c r="AH2528" s="82" t="s">
        <v>12612</v>
      </c>
      <c r="AI2528" s="77" t="b">
        <v>0</v>
      </c>
      <c r="AJ2528" s="77"/>
      <c r="AK2528" s="77"/>
      <c r="AL2528" s="77"/>
      <c r="AM2528" s="77"/>
      <c r="AN2528" s="77"/>
      <c r="AO2528" s="77"/>
      <c r="AP2528" s="77"/>
      <c r="AQ2528" s="77"/>
      <c r="AR2528" s="77"/>
      <c r="AS2528" s="77"/>
      <c r="AT2528" s="77"/>
      <c r="AU2528" s="77"/>
      <c r="AV2528" s="80" t="str">
        <f>HYPERLINK("https://pbs.twimg.com/profile_images/1704529825392664576/bp0WJmIE_normal.jpg")</f>
        <v>https://pbs.twimg.com/profile_images/1704529825392664576/bp0WJmIE_normal.jpg</v>
      </c>
      <c r="AW2528" s="82" t="s">
        <v>19294</v>
      </c>
      <c r="AX2528" s="82" t="s">
        <v>19294</v>
      </c>
      <c r="AY2528" s="77"/>
      <c r="AZ2528" s="82" t="s">
        <v>20971</v>
      </c>
      <c r="BA2528" s="82" t="s">
        <v>20971</v>
      </c>
      <c r="BB2528" s="82" t="s">
        <v>20971</v>
      </c>
      <c r="BC2528" s="82" t="s">
        <v>19294</v>
      </c>
      <c r="BD2528" s="77">
        <v>126986939</v>
      </c>
      <c r="BE2528" s="77"/>
      <c r="BF2528" s="77"/>
      <c r="BG2528" s="77"/>
      <c r="BH2528" s="77"/>
      <c r="BI2528" s="77"/>
    </row>
    <row r="2529" spans="1:61" x14ac:dyDescent="0.25">
      <c r="A2529" s="62" t="s">
        <v>877</v>
      </c>
      <c r="B2529" s="62" t="s">
        <v>877</v>
      </c>
      <c r="C2529" s="63"/>
      <c r="D2529" s="64"/>
      <c r="E2529" s="65"/>
      <c r="F2529" s="66"/>
      <c r="G2529" s="63"/>
      <c r="H2529" s="67"/>
      <c r="I2529" s="68"/>
      <c r="J2529" s="68"/>
      <c r="K2529" s="32"/>
      <c r="L2529" s="75">
        <v>2529</v>
      </c>
      <c r="M2529" s="75"/>
      <c r="N2529" s="70"/>
      <c r="O2529" s="77" t="s">
        <v>179</v>
      </c>
      <c r="P2529" s="79">
        <v>44964.235902777778</v>
      </c>
      <c r="Q2529" s="77" t="s">
        <v>3735</v>
      </c>
      <c r="R2529" s="77">
        <v>0</v>
      </c>
      <c r="S2529" s="77">
        <v>0</v>
      </c>
      <c r="T2529" s="77">
        <v>0</v>
      </c>
      <c r="U2529" s="77">
        <v>0</v>
      </c>
      <c r="V2529" s="77">
        <v>89</v>
      </c>
      <c r="W2529" s="82" t="s">
        <v>6492</v>
      </c>
      <c r="X2529" s="80" t="str">
        <f>HYPERLINK("https://www.oincrivel.com.br/sites-de-afiliados/")</f>
        <v>https://www.oincrivel.com.br/sites-de-afiliados/</v>
      </c>
      <c r="Y2529" s="77" t="s">
        <v>7252</v>
      </c>
      <c r="Z2529" s="77"/>
      <c r="AA2529" s="77"/>
      <c r="AB2529" s="77"/>
      <c r="AC2529" s="82" t="s">
        <v>10144</v>
      </c>
      <c r="AD2529" s="77" t="s">
        <v>10184</v>
      </c>
      <c r="AE2529" s="80" t="str">
        <f>HYPERLINK("https://twitter.com/oincrivelblog/status/1622832455844495360")</f>
        <v>https://twitter.com/oincrivelblog/status/1622832455844495360</v>
      </c>
      <c r="AF2529" s="79">
        <v>44964.235902777778</v>
      </c>
      <c r="AG2529" s="85">
        <v>44964</v>
      </c>
      <c r="AH2529" s="82" t="s">
        <v>12613</v>
      </c>
      <c r="AI2529" s="77" t="b">
        <v>0</v>
      </c>
      <c r="AJ2529" s="77"/>
      <c r="AK2529" s="77"/>
      <c r="AL2529" s="77"/>
      <c r="AM2529" s="77"/>
      <c r="AN2529" s="77"/>
      <c r="AO2529" s="77"/>
      <c r="AP2529" s="77"/>
      <c r="AQ2529" s="77"/>
      <c r="AR2529" s="77"/>
      <c r="AS2529" s="77"/>
      <c r="AT2529" s="77"/>
      <c r="AU2529" s="77"/>
      <c r="AV2529" s="80" t="str">
        <f>HYPERLINK("https://pbs.twimg.com/profile_images/1704529825392664576/bp0WJmIE_normal.jpg")</f>
        <v>https://pbs.twimg.com/profile_images/1704529825392664576/bp0WJmIE_normal.jpg</v>
      </c>
      <c r="AW2529" s="82" t="s">
        <v>19295</v>
      </c>
      <c r="AX2529" s="82" t="s">
        <v>19295</v>
      </c>
      <c r="AY2529" s="77"/>
      <c r="AZ2529" s="82" t="s">
        <v>20971</v>
      </c>
      <c r="BA2529" s="82" t="s">
        <v>20971</v>
      </c>
      <c r="BB2529" s="82" t="s">
        <v>20971</v>
      </c>
      <c r="BC2529" s="82" t="s">
        <v>19295</v>
      </c>
      <c r="BD2529" s="77">
        <v>126986939</v>
      </c>
      <c r="BE2529" s="77"/>
      <c r="BF2529" s="77"/>
      <c r="BG2529" s="77"/>
      <c r="BH2529" s="77"/>
      <c r="BI2529" s="77"/>
    </row>
    <row r="2530" spans="1:61" x14ac:dyDescent="0.25">
      <c r="A2530" s="62" t="s">
        <v>877</v>
      </c>
      <c r="B2530" s="62" t="s">
        <v>877</v>
      </c>
      <c r="C2530" s="63"/>
      <c r="D2530" s="64"/>
      <c r="E2530" s="65"/>
      <c r="F2530" s="66"/>
      <c r="G2530" s="63"/>
      <c r="H2530" s="67"/>
      <c r="I2530" s="68"/>
      <c r="J2530" s="68"/>
      <c r="K2530" s="32"/>
      <c r="L2530" s="75">
        <v>2530</v>
      </c>
      <c r="M2530" s="75"/>
      <c r="N2530" s="70"/>
      <c r="O2530" s="77" t="s">
        <v>179</v>
      </c>
      <c r="P2530" s="79">
        <v>45073.740497685183</v>
      </c>
      <c r="Q2530" s="77" t="s">
        <v>3736</v>
      </c>
      <c r="R2530" s="77">
        <v>0</v>
      </c>
      <c r="S2530" s="77">
        <v>0</v>
      </c>
      <c r="T2530" s="77">
        <v>0</v>
      </c>
      <c r="U2530" s="77">
        <v>0</v>
      </c>
      <c r="V2530" s="77">
        <v>138</v>
      </c>
      <c r="W2530" s="82" t="s">
        <v>6493</v>
      </c>
      <c r="X2530" s="80" t="str">
        <f>HYPERLINK("https://www.oincrivel.com.br/abono-salarial-de-2023-pago-para-trabalhadores-nascidos-em-julho-e-agosto/")</f>
        <v>https://www.oincrivel.com.br/abono-salarial-de-2023-pago-para-trabalhadores-nascidos-em-julho-e-agosto/</v>
      </c>
      <c r="Y2530" s="77" t="s">
        <v>7252</v>
      </c>
      <c r="Z2530" s="77"/>
      <c r="AA2530" s="77"/>
      <c r="AB2530" s="77"/>
      <c r="AC2530" s="82" t="s">
        <v>10144</v>
      </c>
      <c r="AD2530" s="77" t="s">
        <v>10184</v>
      </c>
      <c r="AE2530" s="80" t="str">
        <f>HYPERLINK("https://twitter.com/oincrivelblog/status/1662515589775085569")</f>
        <v>https://twitter.com/oincrivelblog/status/1662515589775085569</v>
      </c>
      <c r="AF2530" s="79">
        <v>45073.740497685183</v>
      </c>
      <c r="AG2530" s="85">
        <v>45073</v>
      </c>
      <c r="AH2530" s="82" t="s">
        <v>12614</v>
      </c>
      <c r="AI2530" s="77" t="b">
        <v>0</v>
      </c>
      <c r="AJ2530" s="77"/>
      <c r="AK2530" s="77"/>
      <c r="AL2530" s="77"/>
      <c r="AM2530" s="77"/>
      <c r="AN2530" s="77"/>
      <c r="AO2530" s="77"/>
      <c r="AP2530" s="77"/>
      <c r="AQ2530" s="77"/>
      <c r="AR2530" s="77"/>
      <c r="AS2530" s="77"/>
      <c r="AT2530" s="77"/>
      <c r="AU2530" s="77"/>
      <c r="AV2530" s="80" t="str">
        <f>HYPERLINK("https://pbs.twimg.com/profile_images/1704529825392664576/bp0WJmIE_normal.jpg")</f>
        <v>https://pbs.twimg.com/profile_images/1704529825392664576/bp0WJmIE_normal.jpg</v>
      </c>
      <c r="AW2530" s="82" t="s">
        <v>19296</v>
      </c>
      <c r="AX2530" s="82" t="s">
        <v>19296</v>
      </c>
      <c r="AY2530" s="77"/>
      <c r="AZ2530" s="82" t="s">
        <v>20971</v>
      </c>
      <c r="BA2530" s="82" t="s">
        <v>20971</v>
      </c>
      <c r="BB2530" s="82" t="s">
        <v>20971</v>
      </c>
      <c r="BC2530" s="82" t="s">
        <v>19296</v>
      </c>
      <c r="BD2530" s="77">
        <v>126986939</v>
      </c>
      <c r="BE2530" s="77"/>
      <c r="BF2530" s="77"/>
      <c r="BG2530" s="77"/>
      <c r="BH2530" s="77"/>
      <c r="BI2530" s="77"/>
    </row>
    <row r="2531" spans="1:61" x14ac:dyDescent="0.25">
      <c r="A2531" s="62" t="s">
        <v>877</v>
      </c>
      <c r="B2531" s="62" t="s">
        <v>877</v>
      </c>
      <c r="C2531" s="63"/>
      <c r="D2531" s="64"/>
      <c r="E2531" s="65"/>
      <c r="F2531" s="66"/>
      <c r="G2531" s="63"/>
      <c r="H2531" s="67"/>
      <c r="I2531" s="68"/>
      <c r="J2531" s="68"/>
      <c r="K2531" s="32"/>
      <c r="L2531" s="75">
        <v>2531</v>
      </c>
      <c r="M2531" s="75"/>
      <c r="N2531" s="70"/>
      <c r="O2531" s="77" t="s">
        <v>179</v>
      </c>
      <c r="P2531" s="79">
        <v>45101.374074074076</v>
      </c>
      <c r="Q2531" s="77" t="s">
        <v>3737</v>
      </c>
      <c r="R2531" s="77">
        <v>0</v>
      </c>
      <c r="S2531" s="77">
        <v>1</v>
      </c>
      <c r="T2531" s="77">
        <v>0</v>
      </c>
      <c r="U2531" s="77">
        <v>0</v>
      </c>
      <c r="V2531" s="77">
        <v>677</v>
      </c>
      <c r="W2531" s="82" t="s">
        <v>6494</v>
      </c>
      <c r="X2531" s="80" t="str">
        <f>HYPERLINK("https://www.pombabet.com/game/login/login?POBKY=4cec0g")</f>
        <v>https://www.pombabet.com/game/login/login?POBKY=4cec0g</v>
      </c>
      <c r="Y2531" s="77" t="s">
        <v>7428</v>
      </c>
      <c r="Z2531" s="77"/>
      <c r="AA2531" s="77" t="s">
        <v>8932</v>
      </c>
      <c r="AB2531" s="77" t="s">
        <v>10136</v>
      </c>
      <c r="AC2531" s="82" t="s">
        <v>10144</v>
      </c>
      <c r="AD2531" s="77" t="s">
        <v>10184</v>
      </c>
      <c r="AE2531" s="80" t="str">
        <f>HYPERLINK("https://twitter.com/oincrivelblog/status/1672529662759641089")</f>
        <v>https://twitter.com/oincrivelblog/status/1672529662759641089</v>
      </c>
      <c r="AF2531" s="79">
        <v>45101.374074074076</v>
      </c>
      <c r="AG2531" s="85">
        <v>45101</v>
      </c>
      <c r="AH2531" s="82" t="s">
        <v>12615</v>
      </c>
      <c r="AI2531" s="77" t="b">
        <v>0</v>
      </c>
      <c r="AJ2531" s="77"/>
      <c r="AK2531" s="77"/>
      <c r="AL2531" s="77"/>
      <c r="AM2531" s="77"/>
      <c r="AN2531" s="77"/>
      <c r="AO2531" s="77"/>
      <c r="AP2531" s="77"/>
      <c r="AQ2531" s="77" t="s">
        <v>15575</v>
      </c>
      <c r="AR2531" s="77">
        <v>44975</v>
      </c>
      <c r="AS2531" s="77"/>
      <c r="AT2531" s="77"/>
      <c r="AU2531" s="77"/>
      <c r="AV2531" s="80" t="str">
        <f>HYPERLINK("https://pbs.twimg.com/ext_tw_video_thumb/1672529619214299137/pu/img/bPlTrKgq22kPu8fW.jpg")</f>
        <v>https://pbs.twimg.com/ext_tw_video_thumb/1672529619214299137/pu/img/bPlTrKgq22kPu8fW.jpg</v>
      </c>
      <c r="AW2531" s="82" t="s">
        <v>19297</v>
      </c>
      <c r="AX2531" s="82" t="s">
        <v>19297</v>
      </c>
      <c r="AY2531" s="77"/>
      <c r="AZ2531" s="82" t="s">
        <v>20971</v>
      </c>
      <c r="BA2531" s="82" t="s">
        <v>20971</v>
      </c>
      <c r="BB2531" s="82" t="s">
        <v>20971</v>
      </c>
      <c r="BC2531" s="82" t="s">
        <v>19297</v>
      </c>
      <c r="BD2531" s="77">
        <v>126986939</v>
      </c>
      <c r="BE2531" s="77"/>
      <c r="BF2531" s="77"/>
      <c r="BG2531" s="77"/>
      <c r="BH2531" s="77"/>
      <c r="BI2531" s="77"/>
    </row>
    <row r="2532" spans="1:61" x14ac:dyDescent="0.25">
      <c r="A2532" s="62" t="s">
        <v>877</v>
      </c>
      <c r="B2532" s="62" t="s">
        <v>877</v>
      </c>
      <c r="C2532" s="63"/>
      <c r="D2532" s="64"/>
      <c r="E2532" s="65"/>
      <c r="F2532" s="66"/>
      <c r="G2532" s="63"/>
      <c r="H2532" s="67"/>
      <c r="I2532" s="68"/>
      <c r="J2532" s="68"/>
      <c r="K2532" s="32"/>
      <c r="L2532" s="75">
        <v>2532</v>
      </c>
      <c r="M2532" s="75"/>
      <c r="N2532" s="70"/>
      <c r="O2532" s="77" t="s">
        <v>179</v>
      </c>
      <c r="P2532" s="79">
        <v>45101.372060185182</v>
      </c>
      <c r="Q2532" s="77" t="s">
        <v>3738</v>
      </c>
      <c r="R2532" s="77">
        <v>0</v>
      </c>
      <c r="S2532" s="77">
        <v>0</v>
      </c>
      <c r="T2532" s="77">
        <v>0</v>
      </c>
      <c r="U2532" s="77">
        <v>0</v>
      </c>
      <c r="V2532" s="77">
        <v>149</v>
      </c>
      <c r="W2532" s="82" t="s">
        <v>6494</v>
      </c>
      <c r="X2532" s="80" t="str">
        <f>HYPERLINK("https://www.pombabet.com/game/login/login?POBKY=4cec0g")</f>
        <v>https://www.pombabet.com/game/login/login?POBKY=4cec0g</v>
      </c>
      <c r="Y2532" s="77" t="s">
        <v>7428</v>
      </c>
      <c r="Z2532" s="77"/>
      <c r="AA2532" s="77" t="s">
        <v>8933</v>
      </c>
      <c r="AB2532" s="77" t="s">
        <v>10128</v>
      </c>
      <c r="AC2532" s="82" t="s">
        <v>10144</v>
      </c>
      <c r="AD2532" s="77" t="s">
        <v>10184</v>
      </c>
      <c r="AE2532" s="80" t="str">
        <f>HYPERLINK("https://twitter.com/oincrivelblog/status/1672528933156208640")</f>
        <v>https://twitter.com/oincrivelblog/status/1672528933156208640</v>
      </c>
      <c r="AF2532" s="79">
        <v>45101.372060185182</v>
      </c>
      <c r="AG2532" s="85">
        <v>45101</v>
      </c>
      <c r="AH2532" s="82" t="s">
        <v>12616</v>
      </c>
      <c r="AI2532" s="77" t="b">
        <v>0</v>
      </c>
      <c r="AJ2532" s="77"/>
      <c r="AK2532" s="77"/>
      <c r="AL2532" s="77"/>
      <c r="AM2532" s="77"/>
      <c r="AN2532" s="77"/>
      <c r="AO2532" s="77"/>
      <c r="AP2532" s="77"/>
      <c r="AQ2532" s="77" t="s">
        <v>15576</v>
      </c>
      <c r="AR2532" s="77"/>
      <c r="AS2532" s="77"/>
      <c r="AT2532" s="77"/>
      <c r="AU2532" s="77"/>
      <c r="AV2532" s="80" t="str">
        <f>HYPERLINK("https://pbs.twimg.com/media/FzYEMmwWAAEpxXs.jpg")</f>
        <v>https://pbs.twimg.com/media/FzYEMmwWAAEpxXs.jpg</v>
      </c>
      <c r="AW2532" s="82" t="s">
        <v>19298</v>
      </c>
      <c r="AX2532" s="82" t="s">
        <v>19298</v>
      </c>
      <c r="AY2532" s="77"/>
      <c r="AZ2532" s="82" t="s">
        <v>20971</v>
      </c>
      <c r="BA2532" s="82" t="s">
        <v>20971</v>
      </c>
      <c r="BB2532" s="82" t="s">
        <v>20971</v>
      </c>
      <c r="BC2532" s="82" t="s">
        <v>19298</v>
      </c>
      <c r="BD2532" s="77">
        <v>126986939</v>
      </c>
      <c r="BE2532" s="77"/>
      <c r="BF2532" s="77"/>
      <c r="BG2532" s="77"/>
      <c r="BH2532" s="77"/>
      <c r="BI2532" s="77"/>
    </row>
    <row r="2533" spans="1:61" x14ac:dyDescent="0.25">
      <c r="A2533" s="62" t="s">
        <v>878</v>
      </c>
      <c r="B2533" s="62" t="s">
        <v>878</v>
      </c>
      <c r="C2533" s="63"/>
      <c r="D2533" s="64"/>
      <c r="E2533" s="65"/>
      <c r="F2533" s="66"/>
      <c r="G2533" s="63"/>
      <c r="H2533" s="67"/>
      <c r="I2533" s="68"/>
      <c r="J2533" s="68"/>
      <c r="K2533" s="32"/>
      <c r="L2533" s="75">
        <v>2533</v>
      </c>
      <c r="M2533" s="75"/>
      <c r="N2533" s="70"/>
      <c r="O2533" s="77" t="s">
        <v>179</v>
      </c>
      <c r="P2533" s="79">
        <v>44966.815925925926</v>
      </c>
      <c r="Q2533" s="77" t="s">
        <v>3739</v>
      </c>
      <c r="R2533" s="77">
        <v>0</v>
      </c>
      <c r="S2533" s="77">
        <v>0</v>
      </c>
      <c r="T2533" s="77">
        <v>0</v>
      </c>
      <c r="U2533" s="77">
        <v>0</v>
      </c>
      <c r="V2533" s="77">
        <v>17</v>
      </c>
      <c r="W2533" s="82" t="s">
        <v>6495</v>
      </c>
      <c r="X2533" s="80" t="str">
        <f>HYPERLINK("https://bityli.com/Oportunidade-única-AQUI")</f>
        <v>https://bityli.com/Oportunidade-única-AQUI</v>
      </c>
      <c r="Y2533" s="77" t="s">
        <v>7429</v>
      </c>
      <c r="Z2533" s="77"/>
      <c r="AA2533" s="77" t="s">
        <v>8934</v>
      </c>
      <c r="AB2533" s="77" t="s">
        <v>10129</v>
      </c>
      <c r="AC2533" s="82" t="s">
        <v>10146</v>
      </c>
      <c r="AD2533" s="77" t="s">
        <v>10184</v>
      </c>
      <c r="AE2533" s="80" t="str">
        <f>HYPERLINK("https://twitter.com/n4kim_tae/status/1623767423986941954")</f>
        <v>https://twitter.com/n4kim_tae/status/1623767423986941954</v>
      </c>
      <c r="AF2533" s="79">
        <v>44966.815925925926</v>
      </c>
      <c r="AG2533" s="85">
        <v>44966</v>
      </c>
      <c r="AH2533" s="82" t="s">
        <v>12617</v>
      </c>
      <c r="AI2533" s="77" t="b">
        <v>0</v>
      </c>
      <c r="AJ2533" s="77"/>
      <c r="AK2533" s="77"/>
      <c r="AL2533" s="77"/>
      <c r="AM2533" s="77"/>
      <c r="AN2533" s="77"/>
      <c r="AO2533" s="77"/>
      <c r="AP2533" s="77"/>
      <c r="AQ2533" s="77" t="s">
        <v>15577</v>
      </c>
      <c r="AR2533" s="77">
        <v>47400</v>
      </c>
      <c r="AS2533" s="77"/>
      <c r="AT2533" s="77"/>
      <c r="AU2533" s="77"/>
      <c r="AV2533" s="80" t="str">
        <f>HYPERLINK("https://pbs.twimg.com/ext_tw_video_thumb/1623767090871033857/pu/img/LO6QIJ0k_VQEaizw.jpg")</f>
        <v>https://pbs.twimg.com/ext_tw_video_thumb/1623767090871033857/pu/img/LO6QIJ0k_VQEaizw.jpg</v>
      </c>
      <c r="AW2533" s="82" t="s">
        <v>19299</v>
      </c>
      <c r="AX2533" s="82" t="s">
        <v>19299</v>
      </c>
      <c r="AY2533" s="77"/>
      <c r="AZ2533" s="82" t="s">
        <v>20971</v>
      </c>
      <c r="BA2533" s="82" t="s">
        <v>20971</v>
      </c>
      <c r="BB2533" s="82" t="s">
        <v>20971</v>
      </c>
      <c r="BC2533" s="82" t="s">
        <v>19299</v>
      </c>
      <c r="BD2533" s="82" t="s">
        <v>21498</v>
      </c>
      <c r="BE2533" s="77"/>
      <c r="BF2533" s="77"/>
      <c r="BG2533" s="77"/>
      <c r="BH2533" s="77"/>
      <c r="BI2533" s="77"/>
    </row>
    <row r="2534" spans="1:61" x14ac:dyDescent="0.25">
      <c r="A2534" s="62" t="s">
        <v>879</v>
      </c>
      <c r="B2534" s="62" t="s">
        <v>879</v>
      </c>
      <c r="C2534" s="63"/>
      <c r="D2534" s="64"/>
      <c r="E2534" s="65"/>
      <c r="F2534" s="66"/>
      <c r="G2534" s="63"/>
      <c r="H2534" s="67"/>
      <c r="I2534" s="68"/>
      <c r="J2534" s="68"/>
      <c r="K2534" s="32"/>
      <c r="L2534" s="75">
        <v>2534</v>
      </c>
      <c r="M2534" s="75"/>
      <c r="N2534" s="70"/>
      <c r="O2534" s="77" t="s">
        <v>179</v>
      </c>
      <c r="P2534" s="79">
        <v>45013.439965277779</v>
      </c>
      <c r="Q2534" s="77" t="s">
        <v>3740</v>
      </c>
      <c r="R2534" s="77">
        <v>0</v>
      </c>
      <c r="S2534" s="77">
        <v>0</v>
      </c>
      <c r="T2534" s="77">
        <v>0</v>
      </c>
      <c r="U2534" s="77">
        <v>0</v>
      </c>
      <c r="V2534" s="77">
        <v>35</v>
      </c>
      <c r="W2534" s="82" t="s">
        <v>6496</v>
      </c>
      <c r="X2534" s="77"/>
      <c r="Y2534" s="77"/>
      <c r="Z2534" s="77"/>
      <c r="AA2534" s="77" t="s">
        <v>8935</v>
      </c>
      <c r="AB2534" s="77" t="s">
        <v>10129</v>
      </c>
      <c r="AC2534" s="82" t="s">
        <v>10145</v>
      </c>
      <c r="AD2534" s="77" t="s">
        <v>10184</v>
      </c>
      <c r="AE2534" s="80" t="str">
        <f>HYPERLINK("https://twitter.com/simoneafiliada/status/1640663407425728512")</f>
        <v>https://twitter.com/simoneafiliada/status/1640663407425728512</v>
      </c>
      <c r="AF2534" s="79">
        <v>45013.439965277779</v>
      </c>
      <c r="AG2534" s="85">
        <v>45013</v>
      </c>
      <c r="AH2534" s="82" t="s">
        <v>12618</v>
      </c>
      <c r="AI2534" s="77" t="b">
        <v>0</v>
      </c>
      <c r="AJ2534" s="77"/>
      <c r="AK2534" s="77"/>
      <c r="AL2534" s="77"/>
      <c r="AM2534" s="77"/>
      <c r="AN2534" s="77"/>
      <c r="AO2534" s="77"/>
      <c r="AP2534" s="77"/>
      <c r="AQ2534" s="77" t="s">
        <v>15578</v>
      </c>
      <c r="AR2534" s="77">
        <v>14466</v>
      </c>
      <c r="AS2534" s="77"/>
      <c r="AT2534" s="77"/>
      <c r="AU2534" s="77"/>
      <c r="AV2534" s="80" t="str">
        <f>HYPERLINK("https://pbs.twimg.com/ext_tw_video_thumb/1640663330028244993/pu/img/ifYIPo4uD-7E85Rw.jpg")</f>
        <v>https://pbs.twimg.com/ext_tw_video_thumb/1640663330028244993/pu/img/ifYIPo4uD-7E85Rw.jpg</v>
      </c>
      <c r="AW2534" s="82" t="s">
        <v>19300</v>
      </c>
      <c r="AX2534" s="82" t="s">
        <v>19300</v>
      </c>
      <c r="AY2534" s="77"/>
      <c r="AZ2534" s="82" t="s">
        <v>20971</v>
      </c>
      <c r="BA2534" s="82" t="s">
        <v>20971</v>
      </c>
      <c r="BB2534" s="82" t="s">
        <v>20971</v>
      </c>
      <c r="BC2534" s="82" t="s">
        <v>19300</v>
      </c>
      <c r="BD2534" s="82" t="s">
        <v>21499</v>
      </c>
      <c r="BE2534" s="77"/>
      <c r="BF2534" s="77"/>
      <c r="BG2534" s="77"/>
      <c r="BH2534" s="77"/>
      <c r="BI2534" s="77"/>
    </row>
    <row r="2535" spans="1:61" x14ac:dyDescent="0.25">
      <c r="A2535" s="62" t="s">
        <v>879</v>
      </c>
      <c r="B2535" s="62" t="s">
        <v>879</v>
      </c>
      <c r="C2535" s="63"/>
      <c r="D2535" s="64"/>
      <c r="E2535" s="65"/>
      <c r="F2535" s="66"/>
      <c r="G2535" s="63"/>
      <c r="H2535" s="67"/>
      <c r="I2535" s="68"/>
      <c r="J2535" s="68"/>
      <c r="K2535" s="32"/>
      <c r="L2535" s="75">
        <v>2535</v>
      </c>
      <c r="M2535" s="75"/>
      <c r="N2535" s="70"/>
      <c r="O2535" s="77" t="s">
        <v>179</v>
      </c>
      <c r="P2535" s="79">
        <v>45013.065034722225</v>
      </c>
      <c r="Q2535" s="77" t="s">
        <v>3741</v>
      </c>
      <c r="R2535" s="77">
        <v>0</v>
      </c>
      <c r="S2535" s="77">
        <v>0</v>
      </c>
      <c r="T2535" s="77">
        <v>0</v>
      </c>
      <c r="U2535" s="77">
        <v>0</v>
      </c>
      <c r="V2535" s="77">
        <v>45</v>
      </c>
      <c r="W2535" s="82" t="s">
        <v>6497</v>
      </c>
      <c r="X2535" s="77"/>
      <c r="Y2535" s="77"/>
      <c r="Z2535" s="77"/>
      <c r="AA2535" s="77" t="s">
        <v>8936</v>
      </c>
      <c r="AB2535" s="77" t="s">
        <v>10129</v>
      </c>
      <c r="AC2535" s="82" t="s">
        <v>10145</v>
      </c>
      <c r="AD2535" s="77" t="s">
        <v>10184</v>
      </c>
      <c r="AE2535" s="80" t="str">
        <f>HYPERLINK("https://twitter.com/simoneafiliada/status/1640527538186338304")</f>
        <v>https://twitter.com/simoneafiliada/status/1640527538186338304</v>
      </c>
      <c r="AF2535" s="79">
        <v>45013.065034722225</v>
      </c>
      <c r="AG2535" s="85">
        <v>45013</v>
      </c>
      <c r="AH2535" s="82" t="s">
        <v>12619</v>
      </c>
      <c r="AI2535" s="77" t="b">
        <v>0</v>
      </c>
      <c r="AJ2535" s="77"/>
      <c r="AK2535" s="77"/>
      <c r="AL2535" s="77"/>
      <c r="AM2535" s="77"/>
      <c r="AN2535" s="77"/>
      <c r="AO2535" s="77"/>
      <c r="AP2535" s="77"/>
      <c r="AQ2535" s="77" t="s">
        <v>15579</v>
      </c>
      <c r="AR2535" s="77">
        <v>6685</v>
      </c>
      <c r="AS2535" s="77"/>
      <c r="AT2535" s="77"/>
      <c r="AU2535" s="77"/>
      <c r="AV2535" s="80" t="str">
        <f>HYPERLINK("https://pbs.twimg.com/ext_tw_video_thumb/1640527489574359042/pu/img/oI0YQlMWl1kgCAuC.jpg")</f>
        <v>https://pbs.twimg.com/ext_tw_video_thumb/1640527489574359042/pu/img/oI0YQlMWl1kgCAuC.jpg</v>
      </c>
      <c r="AW2535" s="82" t="s">
        <v>19301</v>
      </c>
      <c r="AX2535" s="82" t="s">
        <v>19301</v>
      </c>
      <c r="AY2535" s="77"/>
      <c r="AZ2535" s="82" t="s">
        <v>20971</v>
      </c>
      <c r="BA2535" s="82" t="s">
        <v>20971</v>
      </c>
      <c r="BB2535" s="82" t="s">
        <v>20971</v>
      </c>
      <c r="BC2535" s="82" t="s">
        <v>19301</v>
      </c>
      <c r="BD2535" s="82" t="s">
        <v>21499</v>
      </c>
      <c r="BE2535" s="77"/>
      <c r="BF2535" s="77"/>
      <c r="BG2535" s="77"/>
      <c r="BH2535" s="77"/>
      <c r="BI2535" s="77"/>
    </row>
    <row r="2536" spans="1:61" x14ac:dyDescent="0.25">
      <c r="A2536" s="62" t="s">
        <v>879</v>
      </c>
      <c r="B2536" s="62" t="s">
        <v>879</v>
      </c>
      <c r="C2536" s="63"/>
      <c r="D2536" s="64"/>
      <c r="E2536" s="65"/>
      <c r="F2536" s="66"/>
      <c r="G2536" s="63"/>
      <c r="H2536" s="67"/>
      <c r="I2536" s="68"/>
      <c r="J2536" s="68"/>
      <c r="K2536" s="32"/>
      <c r="L2536" s="75">
        <v>2536</v>
      </c>
      <c r="M2536" s="75"/>
      <c r="N2536" s="70"/>
      <c r="O2536" s="77" t="s">
        <v>179</v>
      </c>
      <c r="P2536" s="79">
        <v>45013.057638888888</v>
      </c>
      <c r="Q2536" s="77" t="s">
        <v>3742</v>
      </c>
      <c r="R2536" s="77">
        <v>0</v>
      </c>
      <c r="S2536" s="77">
        <v>0</v>
      </c>
      <c r="T2536" s="77">
        <v>0</v>
      </c>
      <c r="U2536" s="77">
        <v>0</v>
      </c>
      <c r="V2536" s="77">
        <v>29</v>
      </c>
      <c r="W2536" s="82" t="s">
        <v>6498</v>
      </c>
      <c r="X2536" s="77"/>
      <c r="Y2536" s="77"/>
      <c r="Z2536" s="77"/>
      <c r="AA2536" s="77" t="s">
        <v>8937</v>
      </c>
      <c r="AB2536" s="77" t="s">
        <v>10130</v>
      </c>
      <c r="AC2536" s="82" t="s">
        <v>10145</v>
      </c>
      <c r="AD2536" s="77" t="s">
        <v>10184</v>
      </c>
      <c r="AE2536" s="80" t="str">
        <f>HYPERLINK("https://twitter.com/simoneafiliada/status/1640524860672679936")</f>
        <v>https://twitter.com/simoneafiliada/status/1640524860672679936</v>
      </c>
      <c r="AF2536" s="79">
        <v>45013.057638888888</v>
      </c>
      <c r="AG2536" s="85">
        <v>45013</v>
      </c>
      <c r="AH2536" s="82" t="s">
        <v>12620</v>
      </c>
      <c r="AI2536" s="77" t="b">
        <v>0</v>
      </c>
      <c r="AJ2536" s="77"/>
      <c r="AK2536" s="77"/>
      <c r="AL2536" s="77"/>
      <c r="AM2536" s="77"/>
      <c r="AN2536" s="77"/>
      <c r="AO2536" s="77"/>
      <c r="AP2536" s="77"/>
      <c r="AQ2536" s="77" t="s">
        <v>15580</v>
      </c>
      <c r="AR2536" s="77"/>
      <c r="AS2536" s="77"/>
      <c r="AT2536" s="77"/>
      <c r="AU2536" s="77"/>
      <c r="AV2536" s="80" t="str">
        <f>HYPERLINK("https://pbs.twimg.com/media/FsRQqVVXwAIWPUs.jpg")</f>
        <v>https://pbs.twimg.com/media/FsRQqVVXwAIWPUs.jpg</v>
      </c>
      <c r="AW2536" s="82" t="s">
        <v>19302</v>
      </c>
      <c r="AX2536" s="82" t="s">
        <v>19302</v>
      </c>
      <c r="AY2536" s="77"/>
      <c r="AZ2536" s="82" t="s">
        <v>20971</v>
      </c>
      <c r="BA2536" s="82" t="s">
        <v>20971</v>
      </c>
      <c r="BB2536" s="82" t="s">
        <v>20971</v>
      </c>
      <c r="BC2536" s="82" t="s">
        <v>19302</v>
      </c>
      <c r="BD2536" s="82" t="s">
        <v>21499</v>
      </c>
      <c r="BE2536" s="77"/>
      <c r="BF2536" s="77"/>
      <c r="BG2536" s="77"/>
      <c r="BH2536" s="77"/>
      <c r="BI2536" s="77"/>
    </row>
    <row r="2537" spans="1:61" x14ac:dyDescent="0.25">
      <c r="A2537" s="62" t="s">
        <v>879</v>
      </c>
      <c r="B2537" s="62" t="s">
        <v>879</v>
      </c>
      <c r="C2537" s="63"/>
      <c r="D2537" s="64"/>
      <c r="E2537" s="65"/>
      <c r="F2537" s="66"/>
      <c r="G2537" s="63"/>
      <c r="H2537" s="67"/>
      <c r="I2537" s="68"/>
      <c r="J2537" s="68"/>
      <c r="K2537" s="32"/>
      <c r="L2537" s="75">
        <v>2537</v>
      </c>
      <c r="M2537" s="75"/>
      <c r="N2537" s="70"/>
      <c r="O2537" s="77" t="s">
        <v>179</v>
      </c>
      <c r="P2537" s="79">
        <v>45013.049351851849</v>
      </c>
      <c r="Q2537" s="77" t="s">
        <v>3743</v>
      </c>
      <c r="R2537" s="77">
        <v>0</v>
      </c>
      <c r="S2537" s="77">
        <v>0</v>
      </c>
      <c r="T2537" s="77">
        <v>0</v>
      </c>
      <c r="U2537" s="77">
        <v>0</v>
      </c>
      <c r="V2537" s="77">
        <v>48</v>
      </c>
      <c r="W2537" s="82" t="s">
        <v>6499</v>
      </c>
      <c r="X2537" s="77"/>
      <c r="Y2537" s="77"/>
      <c r="Z2537" s="77"/>
      <c r="AA2537" s="77" t="s">
        <v>8938</v>
      </c>
      <c r="AB2537" s="77" t="s">
        <v>10129</v>
      </c>
      <c r="AC2537" s="82" t="s">
        <v>10145</v>
      </c>
      <c r="AD2537" s="77" t="s">
        <v>10184</v>
      </c>
      <c r="AE2537" s="80" t="str">
        <f>HYPERLINK("https://twitter.com/simoneafiliada/status/1640521857395818498")</f>
        <v>https://twitter.com/simoneafiliada/status/1640521857395818498</v>
      </c>
      <c r="AF2537" s="79">
        <v>45013.049351851849</v>
      </c>
      <c r="AG2537" s="85">
        <v>45013</v>
      </c>
      <c r="AH2537" s="82" t="s">
        <v>12621</v>
      </c>
      <c r="AI2537" s="77" t="b">
        <v>0</v>
      </c>
      <c r="AJ2537" s="77"/>
      <c r="AK2537" s="77"/>
      <c r="AL2537" s="77"/>
      <c r="AM2537" s="77"/>
      <c r="AN2537" s="77"/>
      <c r="AO2537" s="77"/>
      <c r="AP2537" s="77"/>
      <c r="AQ2537" s="77" t="s">
        <v>15581</v>
      </c>
      <c r="AR2537" s="77">
        <v>45000</v>
      </c>
      <c r="AS2537" s="77"/>
      <c r="AT2537" s="77"/>
      <c r="AU2537" s="77"/>
      <c r="AV2537" s="80" t="str">
        <f>HYPERLINK("https://pbs.twimg.com/ext_tw_video_thumb/1640521821198884864/pu/img/jQOlfN2BlTepB5lA.jpg")</f>
        <v>https://pbs.twimg.com/ext_tw_video_thumb/1640521821198884864/pu/img/jQOlfN2BlTepB5lA.jpg</v>
      </c>
      <c r="AW2537" s="82" t="s">
        <v>19303</v>
      </c>
      <c r="AX2537" s="82" t="s">
        <v>19303</v>
      </c>
      <c r="AY2537" s="77"/>
      <c r="AZ2537" s="82" t="s">
        <v>20971</v>
      </c>
      <c r="BA2537" s="82" t="s">
        <v>20971</v>
      </c>
      <c r="BB2537" s="82" t="s">
        <v>20971</v>
      </c>
      <c r="BC2537" s="82" t="s">
        <v>19303</v>
      </c>
      <c r="BD2537" s="82" t="s">
        <v>21499</v>
      </c>
      <c r="BE2537" s="77"/>
      <c r="BF2537" s="77"/>
      <c r="BG2537" s="77"/>
      <c r="BH2537" s="77"/>
      <c r="BI2537" s="77"/>
    </row>
    <row r="2538" spans="1:61" x14ac:dyDescent="0.25">
      <c r="A2538" s="62" t="s">
        <v>880</v>
      </c>
      <c r="B2538" s="62" t="s">
        <v>880</v>
      </c>
      <c r="C2538" s="63"/>
      <c r="D2538" s="64"/>
      <c r="E2538" s="65"/>
      <c r="F2538" s="66"/>
      <c r="G2538" s="63"/>
      <c r="H2538" s="67"/>
      <c r="I2538" s="68"/>
      <c r="J2538" s="68"/>
      <c r="K2538" s="32"/>
      <c r="L2538" s="75">
        <v>2538</v>
      </c>
      <c r="M2538" s="75"/>
      <c r="N2538" s="70"/>
      <c r="O2538" s="77" t="s">
        <v>179</v>
      </c>
      <c r="P2538" s="79">
        <v>45139.766493055555</v>
      </c>
      <c r="Q2538" s="77" t="s">
        <v>3744</v>
      </c>
      <c r="R2538" s="77">
        <v>0</v>
      </c>
      <c r="S2538" s="77">
        <v>0</v>
      </c>
      <c r="T2538" s="77">
        <v>0</v>
      </c>
      <c r="U2538" s="77">
        <v>0</v>
      </c>
      <c r="V2538" s="77">
        <v>23</v>
      </c>
      <c r="W2538" s="82" t="s">
        <v>6500</v>
      </c>
      <c r="X2538" s="80" t="str">
        <f>HYPERLINK("https://shope.ee/505jcrsm6i")</f>
        <v>https://shope.ee/505jcrsm6i</v>
      </c>
      <c r="Y2538" s="77" t="s">
        <v>7430</v>
      </c>
      <c r="Z2538" s="77"/>
      <c r="AA2538" s="77" t="s">
        <v>8939</v>
      </c>
      <c r="AB2538" s="77" t="s">
        <v>10130</v>
      </c>
      <c r="AC2538" s="82" t="s">
        <v>10144</v>
      </c>
      <c r="AD2538" s="77" t="s">
        <v>10184</v>
      </c>
      <c r="AE2538" s="80" t="str">
        <f>HYPERLINK("https://twitter.com/rayanneadran/status/1686442610972381195")</f>
        <v>https://twitter.com/rayanneadran/status/1686442610972381195</v>
      </c>
      <c r="AF2538" s="79">
        <v>45139.766493055555</v>
      </c>
      <c r="AG2538" s="85">
        <v>45139</v>
      </c>
      <c r="AH2538" s="82" t="s">
        <v>12622</v>
      </c>
      <c r="AI2538" s="77" t="b">
        <v>0</v>
      </c>
      <c r="AJ2538" s="77"/>
      <c r="AK2538" s="77"/>
      <c r="AL2538" s="77"/>
      <c r="AM2538" s="77"/>
      <c r="AN2538" s="77"/>
      <c r="AO2538" s="77"/>
      <c r="AP2538" s="77"/>
      <c r="AQ2538" s="77" t="s">
        <v>15582</v>
      </c>
      <c r="AR2538" s="77"/>
      <c r="AS2538" s="77"/>
      <c r="AT2538" s="77"/>
      <c r="AU2538" s="77"/>
      <c r="AV2538" s="80" t="str">
        <f>HYPERLINK("https://pbs.twimg.com/media/F2dynjiXUCgN_Lc.jpg")</f>
        <v>https://pbs.twimg.com/media/F2dynjiXUCgN_Lc.jpg</v>
      </c>
      <c r="AW2538" s="82" t="s">
        <v>19304</v>
      </c>
      <c r="AX2538" s="82" t="s">
        <v>19304</v>
      </c>
      <c r="AY2538" s="77"/>
      <c r="AZ2538" s="82" t="s">
        <v>20971</v>
      </c>
      <c r="BA2538" s="82" t="s">
        <v>20971</v>
      </c>
      <c r="BB2538" s="82" t="s">
        <v>20971</v>
      </c>
      <c r="BC2538" s="82" t="s">
        <v>19304</v>
      </c>
      <c r="BD2538" s="82" t="s">
        <v>21500</v>
      </c>
      <c r="BE2538" s="77"/>
      <c r="BF2538" s="77"/>
      <c r="BG2538" s="77"/>
      <c r="BH2538" s="77"/>
      <c r="BI2538" s="77"/>
    </row>
    <row r="2539" spans="1:61" x14ac:dyDescent="0.25">
      <c r="A2539" s="62" t="s">
        <v>881</v>
      </c>
      <c r="B2539" s="62" t="s">
        <v>881</v>
      </c>
      <c r="C2539" s="63"/>
      <c r="D2539" s="64"/>
      <c r="E2539" s="65"/>
      <c r="F2539" s="66"/>
      <c r="G2539" s="63"/>
      <c r="H2539" s="67"/>
      <c r="I2539" s="68"/>
      <c r="J2539" s="68"/>
      <c r="K2539" s="32"/>
      <c r="L2539" s="75">
        <v>2539</v>
      </c>
      <c r="M2539" s="75"/>
      <c r="N2539" s="70"/>
      <c r="O2539" s="77" t="s">
        <v>179</v>
      </c>
      <c r="P2539" s="79">
        <v>45191.635995370372</v>
      </c>
      <c r="Q2539" s="77" t="s">
        <v>3745</v>
      </c>
      <c r="R2539" s="77">
        <v>0</v>
      </c>
      <c r="S2539" s="77">
        <v>0</v>
      </c>
      <c r="T2539" s="77">
        <v>0</v>
      </c>
      <c r="U2539" s="77">
        <v>0</v>
      </c>
      <c r="V2539" s="77">
        <v>9</v>
      </c>
      <c r="W2539" s="82" t="s">
        <v>6501</v>
      </c>
      <c r="X2539" s="80" t="str">
        <f>HYPERLINK("https://www.youtube.com/watch?v=eCv3K6_nIpc")</f>
        <v>https://www.youtube.com/watch?v=eCv3K6_nIpc</v>
      </c>
      <c r="Y2539" s="77" t="s">
        <v>7303</v>
      </c>
      <c r="Z2539" s="77"/>
      <c r="AA2539" s="77"/>
      <c r="AB2539" s="77"/>
      <c r="AC2539" s="82" t="s">
        <v>10146</v>
      </c>
      <c r="AD2539" s="77" t="s">
        <v>10183</v>
      </c>
      <c r="AE2539" s="80" t="str">
        <f>HYPERLINK("https://twitter.com/juancarlostips/status/1705239489747067139")</f>
        <v>https://twitter.com/juancarlostips/status/1705239489747067139</v>
      </c>
      <c r="AF2539" s="79">
        <v>45191.635995370372</v>
      </c>
      <c r="AG2539" s="85">
        <v>45191</v>
      </c>
      <c r="AH2539" s="82" t="s">
        <v>12623</v>
      </c>
      <c r="AI2539" s="77" t="b">
        <v>0</v>
      </c>
      <c r="AJ2539" s="77"/>
      <c r="AK2539" s="77"/>
      <c r="AL2539" s="77"/>
      <c r="AM2539" s="77"/>
      <c r="AN2539" s="77"/>
      <c r="AO2539" s="77"/>
      <c r="AP2539" s="77"/>
      <c r="AQ2539" s="77"/>
      <c r="AR2539" s="77"/>
      <c r="AS2539" s="77"/>
      <c r="AT2539" s="77"/>
      <c r="AU2539" s="77"/>
      <c r="AV2539" s="80" t="str">
        <f>HYPERLINK("https://pbs.twimg.com/profile_images/1598461408886284288/m6oFYqP4_normal.jpg")</f>
        <v>https://pbs.twimg.com/profile_images/1598461408886284288/m6oFYqP4_normal.jpg</v>
      </c>
      <c r="AW2539" s="82" t="s">
        <v>19305</v>
      </c>
      <c r="AX2539" s="82" t="s">
        <v>19305</v>
      </c>
      <c r="AY2539" s="77"/>
      <c r="AZ2539" s="82" t="s">
        <v>20971</v>
      </c>
      <c r="BA2539" s="82" t="s">
        <v>20971</v>
      </c>
      <c r="BB2539" s="82" t="s">
        <v>20971</v>
      </c>
      <c r="BC2539" s="82" t="s">
        <v>19305</v>
      </c>
      <c r="BD2539" s="82" t="s">
        <v>21501</v>
      </c>
      <c r="BE2539" s="77"/>
      <c r="BF2539" s="77"/>
      <c r="BG2539" s="77"/>
      <c r="BH2539" s="77"/>
      <c r="BI2539" s="77"/>
    </row>
    <row r="2540" spans="1:61" x14ac:dyDescent="0.25">
      <c r="A2540" s="62" t="s">
        <v>882</v>
      </c>
      <c r="B2540" s="62" t="s">
        <v>882</v>
      </c>
      <c r="C2540" s="63"/>
      <c r="D2540" s="64"/>
      <c r="E2540" s="65"/>
      <c r="F2540" s="66"/>
      <c r="G2540" s="63"/>
      <c r="H2540" s="67"/>
      <c r="I2540" s="68"/>
      <c r="J2540" s="68"/>
      <c r="K2540" s="32"/>
      <c r="L2540" s="75">
        <v>2540</v>
      </c>
      <c r="M2540" s="75"/>
      <c r="N2540" s="70"/>
      <c r="O2540" s="77" t="s">
        <v>179</v>
      </c>
      <c r="P2540" s="79">
        <v>45096.623171296298</v>
      </c>
      <c r="Q2540" s="77" t="s">
        <v>3746</v>
      </c>
      <c r="R2540" s="77">
        <v>0</v>
      </c>
      <c r="S2540" s="77">
        <v>0</v>
      </c>
      <c r="T2540" s="77">
        <v>0</v>
      </c>
      <c r="U2540" s="77">
        <v>0</v>
      </c>
      <c r="V2540" s="77">
        <v>46</v>
      </c>
      <c r="W2540" s="82" t="s">
        <v>5236</v>
      </c>
      <c r="X2540" s="77"/>
      <c r="Y2540" s="77"/>
      <c r="Z2540" s="77"/>
      <c r="AA2540" s="77"/>
      <c r="AB2540" s="77"/>
      <c r="AC2540" s="82" t="s">
        <v>10146</v>
      </c>
      <c r="AD2540" s="77" t="s">
        <v>10184</v>
      </c>
      <c r="AE2540" s="80" t="str">
        <f>HYPERLINK("https://twitter.com/emanuelcorban_/status/1670807994001416195")</f>
        <v>https://twitter.com/emanuelcorban_/status/1670807994001416195</v>
      </c>
      <c r="AF2540" s="79">
        <v>45096.623171296298</v>
      </c>
      <c r="AG2540" s="85">
        <v>45096</v>
      </c>
      <c r="AH2540" s="82" t="s">
        <v>12624</v>
      </c>
      <c r="AI2540" s="77"/>
      <c r="AJ2540" s="77"/>
      <c r="AK2540" s="77"/>
      <c r="AL2540" s="77"/>
      <c r="AM2540" s="77"/>
      <c r="AN2540" s="77"/>
      <c r="AO2540" s="77"/>
      <c r="AP2540" s="77"/>
      <c r="AQ2540" s="77"/>
      <c r="AR2540" s="77"/>
      <c r="AS2540" s="77"/>
      <c r="AT2540" s="77"/>
      <c r="AU2540" s="77"/>
      <c r="AV2540" s="80" t="str">
        <f>HYPERLINK("https://pbs.twimg.com/profile_images/1656356274378776577/dg1qKHlf_normal.jpg")</f>
        <v>https://pbs.twimg.com/profile_images/1656356274378776577/dg1qKHlf_normal.jpg</v>
      </c>
      <c r="AW2540" s="82" t="s">
        <v>19306</v>
      </c>
      <c r="AX2540" s="82" t="s">
        <v>19306</v>
      </c>
      <c r="AY2540" s="77"/>
      <c r="AZ2540" s="82" t="s">
        <v>20971</v>
      </c>
      <c r="BA2540" s="82" t="s">
        <v>20971</v>
      </c>
      <c r="BB2540" s="82" t="s">
        <v>20971</v>
      </c>
      <c r="BC2540" s="82" t="s">
        <v>19306</v>
      </c>
      <c r="BD2540" s="82" t="s">
        <v>21502</v>
      </c>
      <c r="BE2540" s="77"/>
      <c r="BF2540" s="77"/>
      <c r="BG2540" s="77"/>
      <c r="BH2540" s="77"/>
      <c r="BI2540" s="77"/>
    </row>
    <row r="2541" spans="1:61" x14ac:dyDescent="0.25">
      <c r="A2541" s="62" t="s">
        <v>883</v>
      </c>
      <c r="B2541" s="62" t="s">
        <v>883</v>
      </c>
      <c r="C2541" s="63"/>
      <c r="D2541" s="64"/>
      <c r="E2541" s="65"/>
      <c r="F2541" s="66"/>
      <c r="G2541" s="63"/>
      <c r="H2541" s="67"/>
      <c r="I2541" s="68"/>
      <c r="J2541" s="68"/>
      <c r="K2541" s="32"/>
      <c r="L2541" s="75">
        <v>2541</v>
      </c>
      <c r="M2541" s="75"/>
      <c r="N2541" s="70"/>
      <c r="O2541" s="77" t="s">
        <v>179</v>
      </c>
      <c r="P2541" s="79">
        <v>45156.60434027778</v>
      </c>
      <c r="Q2541" s="77" t="s">
        <v>3747</v>
      </c>
      <c r="R2541" s="77">
        <v>0</v>
      </c>
      <c r="S2541" s="77">
        <v>0</v>
      </c>
      <c r="T2541" s="77">
        <v>0</v>
      </c>
      <c r="U2541" s="77">
        <v>0</v>
      </c>
      <c r="V2541" s="77">
        <v>14</v>
      </c>
      <c r="W2541" s="82" t="s">
        <v>6502</v>
      </c>
      <c r="X2541" s="80" t="str">
        <f>HYPERLINK("https://vm.tiktok.com/ZM2ojmNJ5/")</f>
        <v>https://vm.tiktok.com/ZM2ojmNJ5/</v>
      </c>
      <c r="Y2541" s="77" t="s">
        <v>7306</v>
      </c>
      <c r="Z2541" s="77"/>
      <c r="AA2541" s="77"/>
      <c r="AB2541" s="77"/>
      <c r="AC2541" s="82" t="s">
        <v>10144</v>
      </c>
      <c r="AD2541" s="77" t="s">
        <v>10184</v>
      </c>
      <c r="AE2541" s="80" t="str">
        <f>HYPERLINK("https://twitter.com/vagner_caldas/status/1692544441129541879")</f>
        <v>https://twitter.com/vagner_caldas/status/1692544441129541879</v>
      </c>
      <c r="AF2541" s="79">
        <v>45156.60434027778</v>
      </c>
      <c r="AG2541" s="85">
        <v>45156</v>
      </c>
      <c r="AH2541" s="82" t="s">
        <v>12625</v>
      </c>
      <c r="AI2541" s="77" t="b">
        <v>0</v>
      </c>
      <c r="AJ2541" s="77"/>
      <c r="AK2541" s="77"/>
      <c r="AL2541" s="77"/>
      <c r="AM2541" s="77"/>
      <c r="AN2541" s="77"/>
      <c r="AO2541" s="77"/>
      <c r="AP2541" s="77"/>
      <c r="AQ2541" s="77"/>
      <c r="AR2541" s="77"/>
      <c r="AS2541" s="77"/>
      <c r="AT2541" s="77"/>
      <c r="AU2541" s="77"/>
      <c r="AV2541" s="80" t="str">
        <f>HYPERLINK("https://pbs.twimg.com/profile_images/1226620108451217409/7hxuic5__normal.jpg")</f>
        <v>https://pbs.twimg.com/profile_images/1226620108451217409/7hxuic5__normal.jpg</v>
      </c>
      <c r="AW2541" s="82" t="s">
        <v>19307</v>
      </c>
      <c r="AX2541" s="82" t="s">
        <v>19307</v>
      </c>
      <c r="AY2541" s="77"/>
      <c r="AZ2541" s="82" t="s">
        <v>20971</v>
      </c>
      <c r="BA2541" s="82" t="s">
        <v>20971</v>
      </c>
      <c r="BB2541" s="82" t="s">
        <v>20971</v>
      </c>
      <c r="BC2541" s="82" t="s">
        <v>19307</v>
      </c>
      <c r="BD2541" s="77">
        <v>255237609</v>
      </c>
      <c r="BE2541" s="77"/>
      <c r="BF2541" s="77"/>
      <c r="BG2541" s="77"/>
      <c r="BH2541" s="77"/>
      <c r="BI2541" s="77"/>
    </row>
    <row r="2542" spans="1:61" x14ac:dyDescent="0.25">
      <c r="A2542" s="62" t="s">
        <v>883</v>
      </c>
      <c r="B2542" s="62" t="s">
        <v>883</v>
      </c>
      <c r="C2542" s="63"/>
      <c r="D2542" s="64"/>
      <c r="E2542" s="65"/>
      <c r="F2542" s="66"/>
      <c r="G2542" s="63"/>
      <c r="H2542" s="67"/>
      <c r="I2542" s="68"/>
      <c r="J2542" s="68"/>
      <c r="K2542" s="32"/>
      <c r="L2542" s="75">
        <v>2542</v>
      </c>
      <c r="M2542" s="75"/>
      <c r="N2542" s="70"/>
      <c r="O2542" s="77" t="s">
        <v>179</v>
      </c>
      <c r="P2542" s="79">
        <v>45164.437800925924</v>
      </c>
      <c r="Q2542" s="77" t="s">
        <v>3748</v>
      </c>
      <c r="R2542" s="77">
        <v>0</v>
      </c>
      <c r="S2542" s="77">
        <v>0</v>
      </c>
      <c r="T2542" s="77">
        <v>0</v>
      </c>
      <c r="U2542" s="77">
        <v>0</v>
      </c>
      <c r="V2542" s="77">
        <v>20</v>
      </c>
      <c r="W2542" s="82" t="s">
        <v>6503</v>
      </c>
      <c r="X2542" s="80" t="str">
        <f>HYPERLINK("https://vm.tiktok.com/ZMjdbpdAy/")</f>
        <v>https://vm.tiktok.com/ZMjdbpdAy/</v>
      </c>
      <c r="Y2542" s="77" t="s">
        <v>7306</v>
      </c>
      <c r="Z2542" s="77"/>
      <c r="AA2542" s="77"/>
      <c r="AB2542" s="77"/>
      <c r="AC2542" s="82" t="s">
        <v>10144</v>
      </c>
      <c r="AD2542" s="77" t="s">
        <v>10184</v>
      </c>
      <c r="AE2542" s="80" t="str">
        <f>HYPERLINK("https://twitter.com/vagner_caldas/status/1695383193031975016")</f>
        <v>https://twitter.com/vagner_caldas/status/1695383193031975016</v>
      </c>
      <c r="AF2542" s="79">
        <v>45164.437800925924</v>
      </c>
      <c r="AG2542" s="85">
        <v>45164</v>
      </c>
      <c r="AH2542" s="82" t="s">
        <v>12626</v>
      </c>
      <c r="AI2542" s="77" t="b">
        <v>0</v>
      </c>
      <c r="AJ2542" s="77"/>
      <c r="AK2542" s="77"/>
      <c r="AL2542" s="77"/>
      <c r="AM2542" s="77"/>
      <c r="AN2542" s="77"/>
      <c r="AO2542" s="77"/>
      <c r="AP2542" s="77"/>
      <c r="AQ2542" s="77"/>
      <c r="AR2542" s="77"/>
      <c r="AS2542" s="77"/>
      <c r="AT2542" s="77"/>
      <c r="AU2542" s="77"/>
      <c r="AV2542" s="80" t="str">
        <f>HYPERLINK("https://pbs.twimg.com/profile_images/1226620108451217409/7hxuic5__normal.jpg")</f>
        <v>https://pbs.twimg.com/profile_images/1226620108451217409/7hxuic5__normal.jpg</v>
      </c>
      <c r="AW2542" s="82" t="s">
        <v>19308</v>
      </c>
      <c r="AX2542" s="82" t="s">
        <v>19308</v>
      </c>
      <c r="AY2542" s="77"/>
      <c r="AZ2542" s="82" t="s">
        <v>20971</v>
      </c>
      <c r="BA2542" s="82" t="s">
        <v>20971</v>
      </c>
      <c r="BB2542" s="82" t="s">
        <v>20971</v>
      </c>
      <c r="BC2542" s="82" t="s">
        <v>19308</v>
      </c>
      <c r="BD2542" s="77">
        <v>255237609</v>
      </c>
      <c r="BE2542" s="77"/>
      <c r="BF2542" s="77"/>
      <c r="BG2542" s="77"/>
      <c r="BH2542" s="77"/>
      <c r="BI2542" s="77"/>
    </row>
    <row r="2543" spans="1:61" x14ac:dyDescent="0.25">
      <c r="A2543" s="62" t="s">
        <v>884</v>
      </c>
      <c r="B2543" s="62" t="s">
        <v>884</v>
      </c>
      <c r="C2543" s="63"/>
      <c r="D2543" s="64"/>
      <c r="E2543" s="65"/>
      <c r="F2543" s="66"/>
      <c r="G2543" s="63"/>
      <c r="H2543" s="67"/>
      <c r="I2543" s="68"/>
      <c r="J2543" s="68"/>
      <c r="K2543" s="32"/>
      <c r="L2543" s="75">
        <v>2543</v>
      </c>
      <c r="M2543" s="75"/>
      <c r="N2543" s="70"/>
      <c r="O2543" s="77" t="s">
        <v>179</v>
      </c>
      <c r="P2543" s="79">
        <v>45160.645173611112</v>
      </c>
      <c r="Q2543" s="77" t="s">
        <v>3749</v>
      </c>
      <c r="R2543" s="77">
        <v>0</v>
      </c>
      <c r="S2543" s="77">
        <v>0</v>
      </c>
      <c r="T2543" s="77">
        <v>2</v>
      </c>
      <c r="U2543" s="77">
        <v>0</v>
      </c>
      <c r="V2543" s="77">
        <v>247</v>
      </c>
      <c r="W2543" s="82" t="s">
        <v>6504</v>
      </c>
      <c r="X2543" s="77"/>
      <c r="Y2543" s="77"/>
      <c r="Z2543" s="77"/>
      <c r="AA2543" s="77" t="s">
        <v>8940</v>
      </c>
      <c r="AB2543" s="77" t="s">
        <v>10129</v>
      </c>
      <c r="AC2543" s="82" t="s">
        <v>10144</v>
      </c>
      <c r="AD2543" s="77" t="s">
        <v>10184</v>
      </c>
      <c r="AE2543" s="80" t="str">
        <f>HYPERLINK("https://twitter.com/m4rv1_/status/1694008791769944286")</f>
        <v>https://twitter.com/m4rv1_/status/1694008791769944286</v>
      </c>
      <c r="AF2543" s="79">
        <v>45160.645173611112</v>
      </c>
      <c r="AG2543" s="85">
        <v>45160</v>
      </c>
      <c r="AH2543" s="82" t="s">
        <v>12627</v>
      </c>
      <c r="AI2543" s="77" t="b">
        <v>0</v>
      </c>
      <c r="AJ2543" s="77"/>
      <c r="AK2543" s="77"/>
      <c r="AL2543" s="77"/>
      <c r="AM2543" s="77"/>
      <c r="AN2543" s="77"/>
      <c r="AO2543" s="77"/>
      <c r="AP2543" s="77"/>
      <c r="AQ2543" s="77" t="s">
        <v>15583</v>
      </c>
      <c r="AR2543" s="77">
        <v>27000</v>
      </c>
      <c r="AS2543" s="77"/>
      <c r="AT2543" s="77"/>
      <c r="AU2543" s="77"/>
      <c r="AV2543" s="80" t="str">
        <f>HYPERLINK("https://pbs.twimg.com/ext_tw_video_thumb/1694008736564514818/pu/img/AJ3zXPpQrho4Wm08.jpg")</f>
        <v>https://pbs.twimg.com/ext_tw_video_thumb/1694008736564514818/pu/img/AJ3zXPpQrho4Wm08.jpg</v>
      </c>
      <c r="AW2543" s="82" t="s">
        <v>19309</v>
      </c>
      <c r="AX2543" s="82" t="s">
        <v>19309</v>
      </c>
      <c r="AY2543" s="77"/>
      <c r="AZ2543" s="82" t="s">
        <v>20971</v>
      </c>
      <c r="BA2543" s="82" t="s">
        <v>20971</v>
      </c>
      <c r="BB2543" s="82" t="s">
        <v>20971</v>
      </c>
      <c r="BC2543" s="82" t="s">
        <v>19309</v>
      </c>
      <c r="BD2543" s="82" t="s">
        <v>21503</v>
      </c>
      <c r="BE2543" s="77"/>
      <c r="BF2543" s="77"/>
      <c r="BG2543" s="77"/>
      <c r="BH2543" s="77"/>
      <c r="BI2543" s="77"/>
    </row>
    <row r="2544" spans="1:61" x14ac:dyDescent="0.25">
      <c r="A2544" s="62" t="s">
        <v>885</v>
      </c>
      <c r="B2544" s="62" t="s">
        <v>885</v>
      </c>
      <c r="C2544" s="63"/>
      <c r="D2544" s="64"/>
      <c r="E2544" s="65"/>
      <c r="F2544" s="66"/>
      <c r="G2544" s="63"/>
      <c r="H2544" s="67"/>
      <c r="I2544" s="68"/>
      <c r="J2544" s="68"/>
      <c r="K2544" s="32"/>
      <c r="L2544" s="75">
        <v>2544</v>
      </c>
      <c r="M2544" s="75"/>
      <c r="N2544" s="70"/>
      <c r="O2544" s="77" t="s">
        <v>179</v>
      </c>
      <c r="P2544" s="79">
        <v>45054.773078703707</v>
      </c>
      <c r="Q2544" s="77" t="s">
        <v>3750</v>
      </c>
      <c r="R2544" s="77">
        <v>0</v>
      </c>
      <c r="S2544" s="77">
        <v>1</v>
      </c>
      <c r="T2544" s="77">
        <v>0</v>
      </c>
      <c r="U2544" s="77">
        <v>0</v>
      </c>
      <c r="V2544" s="77">
        <v>116</v>
      </c>
      <c r="W2544" s="82" t="s">
        <v>6505</v>
      </c>
      <c r="X2544" s="77"/>
      <c r="Y2544" s="77"/>
      <c r="Z2544" s="77"/>
      <c r="AA2544" s="77"/>
      <c r="AB2544" s="77"/>
      <c r="AC2544" s="82" t="s">
        <v>10144</v>
      </c>
      <c r="AD2544" s="77" t="s">
        <v>10184</v>
      </c>
      <c r="AE2544" s="80" t="str">
        <f>HYPERLINK("https://twitter.com/roletadozeq/status/1655642027000844288")</f>
        <v>https://twitter.com/roletadozeq/status/1655642027000844288</v>
      </c>
      <c r="AF2544" s="79">
        <v>45054.773078703707</v>
      </c>
      <c r="AG2544" s="85">
        <v>45054</v>
      </c>
      <c r="AH2544" s="82" t="s">
        <v>12628</v>
      </c>
      <c r="AI2544" s="77"/>
      <c r="AJ2544" s="77"/>
      <c r="AK2544" s="77"/>
      <c r="AL2544" s="77"/>
      <c r="AM2544" s="77"/>
      <c r="AN2544" s="77"/>
      <c r="AO2544" s="77"/>
      <c r="AP2544" s="77"/>
      <c r="AQ2544" s="77"/>
      <c r="AR2544" s="77"/>
      <c r="AS2544" s="77"/>
      <c r="AT2544" s="77"/>
      <c r="AU2544" s="77"/>
      <c r="AV2544" s="80" t="str">
        <f>HYPERLINK("https://pbs.twimg.com/profile_images/1654739081677373440/THs7_jaM_normal.jpg")</f>
        <v>https://pbs.twimg.com/profile_images/1654739081677373440/THs7_jaM_normal.jpg</v>
      </c>
      <c r="AW2544" s="82" t="s">
        <v>19310</v>
      </c>
      <c r="AX2544" s="82" t="s">
        <v>19310</v>
      </c>
      <c r="AY2544" s="77"/>
      <c r="AZ2544" s="82" t="s">
        <v>20971</v>
      </c>
      <c r="BA2544" s="82" t="s">
        <v>20971</v>
      </c>
      <c r="BB2544" s="82" t="s">
        <v>20971</v>
      </c>
      <c r="BC2544" s="82" t="s">
        <v>19310</v>
      </c>
      <c r="BD2544" s="82" t="s">
        <v>21504</v>
      </c>
      <c r="BE2544" s="77"/>
      <c r="BF2544" s="77"/>
      <c r="BG2544" s="77"/>
      <c r="BH2544" s="77"/>
      <c r="BI2544" s="77"/>
    </row>
    <row r="2545" spans="1:61" x14ac:dyDescent="0.25">
      <c r="A2545" s="62" t="s">
        <v>885</v>
      </c>
      <c r="B2545" s="62" t="s">
        <v>885</v>
      </c>
      <c r="C2545" s="63"/>
      <c r="D2545" s="64"/>
      <c r="E2545" s="65"/>
      <c r="F2545" s="66"/>
      <c r="G2545" s="63"/>
      <c r="H2545" s="67"/>
      <c r="I2545" s="68"/>
      <c r="J2545" s="68"/>
      <c r="K2545" s="32"/>
      <c r="L2545" s="75">
        <v>2545</v>
      </c>
      <c r="M2545" s="75"/>
      <c r="N2545" s="70"/>
      <c r="O2545" s="77" t="s">
        <v>179</v>
      </c>
      <c r="P2545" s="79">
        <v>45053.018831018519</v>
      </c>
      <c r="Q2545" s="77" t="s">
        <v>3751</v>
      </c>
      <c r="R2545" s="77">
        <v>0</v>
      </c>
      <c r="S2545" s="77">
        <v>1</v>
      </c>
      <c r="T2545" s="77">
        <v>0</v>
      </c>
      <c r="U2545" s="77">
        <v>0</v>
      </c>
      <c r="V2545" s="77">
        <v>52</v>
      </c>
      <c r="W2545" s="82" t="s">
        <v>6506</v>
      </c>
      <c r="X2545" s="77"/>
      <c r="Y2545" s="77"/>
      <c r="Z2545" s="77"/>
      <c r="AA2545" s="77" t="s">
        <v>8941</v>
      </c>
      <c r="AB2545" s="77" t="s">
        <v>10129</v>
      </c>
      <c r="AC2545" s="82" t="s">
        <v>10144</v>
      </c>
      <c r="AD2545" s="77" t="s">
        <v>10184</v>
      </c>
      <c r="AE2545" s="80" t="str">
        <f>HYPERLINK("https://twitter.com/roletadozeq/status/1655006311354970112")</f>
        <v>https://twitter.com/roletadozeq/status/1655006311354970112</v>
      </c>
      <c r="AF2545" s="79">
        <v>45053.018831018519</v>
      </c>
      <c r="AG2545" s="85">
        <v>45053</v>
      </c>
      <c r="AH2545" s="82" t="s">
        <v>12629</v>
      </c>
      <c r="AI2545" s="77" t="b">
        <v>0</v>
      </c>
      <c r="AJ2545" s="77"/>
      <c r="AK2545" s="77"/>
      <c r="AL2545" s="77"/>
      <c r="AM2545" s="77"/>
      <c r="AN2545" s="77"/>
      <c r="AO2545" s="77"/>
      <c r="AP2545" s="77"/>
      <c r="AQ2545" s="77" t="s">
        <v>15584</v>
      </c>
      <c r="AR2545" s="77">
        <v>44999</v>
      </c>
      <c r="AS2545" s="77"/>
      <c r="AT2545" s="77"/>
      <c r="AU2545" s="77"/>
      <c r="AV2545" s="80" t="str">
        <f>HYPERLINK("https://pbs.twimg.com/ext_tw_video_thumb/1655006216131690496/pu/img/B9F10K5nWT-EkQMg.jpg")</f>
        <v>https://pbs.twimg.com/ext_tw_video_thumb/1655006216131690496/pu/img/B9F10K5nWT-EkQMg.jpg</v>
      </c>
      <c r="AW2545" s="82" t="s">
        <v>19311</v>
      </c>
      <c r="AX2545" s="82" t="s">
        <v>19311</v>
      </c>
      <c r="AY2545" s="77"/>
      <c r="AZ2545" s="82" t="s">
        <v>20971</v>
      </c>
      <c r="BA2545" s="82" t="s">
        <v>20971</v>
      </c>
      <c r="BB2545" s="82" t="s">
        <v>20971</v>
      </c>
      <c r="BC2545" s="82" t="s">
        <v>19311</v>
      </c>
      <c r="BD2545" s="82" t="s">
        <v>21504</v>
      </c>
      <c r="BE2545" s="77"/>
      <c r="BF2545" s="77"/>
      <c r="BG2545" s="77"/>
      <c r="BH2545" s="77"/>
      <c r="BI2545" s="77"/>
    </row>
    <row r="2546" spans="1:61" x14ac:dyDescent="0.25">
      <c r="A2546" s="62" t="s">
        <v>886</v>
      </c>
      <c r="B2546" s="62" t="s">
        <v>886</v>
      </c>
      <c r="C2546" s="63"/>
      <c r="D2546" s="64"/>
      <c r="E2546" s="65"/>
      <c r="F2546" s="66"/>
      <c r="G2546" s="63"/>
      <c r="H2546" s="67"/>
      <c r="I2546" s="68"/>
      <c r="J2546" s="68"/>
      <c r="K2546" s="32"/>
      <c r="L2546" s="75">
        <v>2546</v>
      </c>
      <c r="M2546" s="75"/>
      <c r="N2546" s="70"/>
      <c r="O2546" s="77" t="s">
        <v>179</v>
      </c>
      <c r="P2546" s="79">
        <v>45065.873171296298</v>
      </c>
      <c r="Q2546" s="77" t="s">
        <v>3752</v>
      </c>
      <c r="R2546" s="77">
        <v>0</v>
      </c>
      <c r="S2546" s="77">
        <v>0</v>
      </c>
      <c r="T2546" s="77">
        <v>0</v>
      </c>
      <c r="U2546" s="77">
        <v>0</v>
      </c>
      <c r="V2546" s="77">
        <v>33</v>
      </c>
      <c r="W2546" s="82" t="s">
        <v>6507</v>
      </c>
      <c r="X2546" s="77"/>
      <c r="Y2546" s="77"/>
      <c r="Z2546" s="77"/>
      <c r="AA2546" s="77" t="s">
        <v>8942</v>
      </c>
      <c r="AB2546" s="77" t="s">
        <v>10129</v>
      </c>
      <c r="AC2546" s="82" t="s">
        <v>10145</v>
      </c>
      <c r="AD2546" s="77" t="s">
        <v>10184</v>
      </c>
      <c r="AE2546" s="80" t="str">
        <f>HYPERLINK("https://twitter.com/rafaelamorimofc/status/1659664568228904962")</f>
        <v>https://twitter.com/rafaelamorimofc/status/1659664568228904962</v>
      </c>
      <c r="AF2546" s="79">
        <v>45065.873171296298</v>
      </c>
      <c r="AG2546" s="85">
        <v>45065</v>
      </c>
      <c r="AH2546" s="82" t="s">
        <v>10512</v>
      </c>
      <c r="AI2546" s="77" t="b">
        <v>0</v>
      </c>
      <c r="AJ2546" s="77"/>
      <c r="AK2546" s="77"/>
      <c r="AL2546" s="77"/>
      <c r="AM2546" s="77"/>
      <c r="AN2546" s="77"/>
      <c r="AO2546" s="77"/>
      <c r="AP2546" s="77"/>
      <c r="AQ2546" s="77" t="s">
        <v>15585</v>
      </c>
      <c r="AR2546" s="77">
        <v>14993</v>
      </c>
      <c r="AS2546" s="77"/>
      <c r="AT2546" s="77"/>
      <c r="AU2546" s="77"/>
      <c r="AV2546" s="80" t="str">
        <f>HYPERLINK("https://pbs.twimg.com/ext_tw_video_thumb/1659664506362949633/pu/img/1Wl-GRfqMu-qqJ9r.jpg")</f>
        <v>https://pbs.twimg.com/ext_tw_video_thumb/1659664506362949633/pu/img/1Wl-GRfqMu-qqJ9r.jpg</v>
      </c>
      <c r="AW2546" s="82" t="s">
        <v>19312</v>
      </c>
      <c r="AX2546" s="82" t="s">
        <v>19312</v>
      </c>
      <c r="AY2546" s="77"/>
      <c r="AZ2546" s="82" t="s">
        <v>20971</v>
      </c>
      <c r="BA2546" s="82" t="s">
        <v>20971</v>
      </c>
      <c r="BB2546" s="82" t="s">
        <v>20971</v>
      </c>
      <c r="BC2546" s="82" t="s">
        <v>19312</v>
      </c>
      <c r="BD2546" s="82" t="s">
        <v>21505</v>
      </c>
      <c r="BE2546" s="77"/>
      <c r="BF2546" s="77"/>
      <c r="BG2546" s="77"/>
      <c r="BH2546" s="77"/>
      <c r="BI2546" s="77"/>
    </row>
    <row r="2547" spans="1:61" x14ac:dyDescent="0.25">
      <c r="A2547" s="62" t="s">
        <v>886</v>
      </c>
      <c r="B2547" s="62" t="s">
        <v>886</v>
      </c>
      <c r="C2547" s="63"/>
      <c r="D2547" s="64"/>
      <c r="E2547" s="65"/>
      <c r="F2547" s="66"/>
      <c r="G2547" s="63"/>
      <c r="H2547" s="67"/>
      <c r="I2547" s="68"/>
      <c r="J2547" s="68"/>
      <c r="K2547" s="32"/>
      <c r="L2547" s="75">
        <v>2547</v>
      </c>
      <c r="M2547" s="75"/>
      <c r="N2547" s="70"/>
      <c r="O2547" s="77" t="s">
        <v>179</v>
      </c>
      <c r="P2547" s="79">
        <v>45065.624201388891</v>
      </c>
      <c r="Q2547" s="77" t="s">
        <v>3753</v>
      </c>
      <c r="R2547" s="77">
        <v>0</v>
      </c>
      <c r="S2547" s="77">
        <v>0</v>
      </c>
      <c r="T2547" s="77">
        <v>0</v>
      </c>
      <c r="U2547" s="77">
        <v>0</v>
      </c>
      <c r="V2547" s="77">
        <v>100</v>
      </c>
      <c r="W2547" s="82" t="s">
        <v>6507</v>
      </c>
      <c r="X2547" s="77"/>
      <c r="Y2547" s="77"/>
      <c r="Z2547" s="77"/>
      <c r="AA2547" s="77" t="s">
        <v>8943</v>
      </c>
      <c r="AB2547" s="77" t="s">
        <v>10129</v>
      </c>
      <c r="AC2547" s="82" t="s">
        <v>10145</v>
      </c>
      <c r="AD2547" s="77" t="s">
        <v>10184</v>
      </c>
      <c r="AE2547" s="80" t="str">
        <f>HYPERLINK("https://twitter.com/rafaelamorimofc/status/1659574345125994497")</f>
        <v>https://twitter.com/rafaelamorimofc/status/1659574345125994497</v>
      </c>
      <c r="AF2547" s="79">
        <v>45065.624201388891</v>
      </c>
      <c r="AG2547" s="85">
        <v>45065</v>
      </c>
      <c r="AH2547" s="82" t="s">
        <v>12630</v>
      </c>
      <c r="AI2547" s="77" t="b">
        <v>0</v>
      </c>
      <c r="AJ2547" s="77"/>
      <c r="AK2547" s="77"/>
      <c r="AL2547" s="77"/>
      <c r="AM2547" s="77"/>
      <c r="AN2547" s="77"/>
      <c r="AO2547" s="77"/>
      <c r="AP2547" s="77"/>
      <c r="AQ2547" s="77" t="s">
        <v>15586</v>
      </c>
      <c r="AR2547" s="77">
        <v>14980</v>
      </c>
      <c r="AS2547" s="77"/>
      <c r="AT2547" s="77"/>
      <c r="AU2547" s="77"/>
      <c r="AV2547" s="80" t="str">
        <f>HYPERLINK("https://pbs.twimg.com/ext_tw_video_thumb/1659574258090008577/pu/img/K5aDXX-c48RcNe7e.jpg")</f>
        <v>https://pbs.twimg.com/ext_tw_video_thumb/1659574258090008577/pu/img/K5aDXX-c48RcNe7e.jpg</v>
      </c>
      <c r="AW2547" s="82" t="s">
        <v>19313</v>
      </c>
      <c r="AX2547" s="82" t="s">
        <v>19313</v>
      </c>
      <c r="AY2547" s="77"/>
      <c r="AZ2547" s="82" t="s">
        <v>20971</v>
      </c>
      <c r="BA2547" s="82" t="s">
        <v>20971</v>
      </c>
      <c r="BB2547" s="82" t="s">
        <v>20971</v>
      </c>
      <c r="BC2547" s="82" t="s">
        <v>19313</v>
      </c>
      <c r="BD2547" s="82" t="s">
        <v>21505</v>
      </c>
      <c r="BE2547" s="77"/>
      <c r="BF2547" s="77"/>
      <c r="BG2547" s="77"/>
      <c r="BH2547" s="77"/>
      <c r="BI2547" s="77"/>
    </row>
    <row r="2548" spans="1:61" x14ac:dyDescent="0.25">
      <c r="A2548" s="62" t="s">
        <v>886</v>
      </c>
      <c r="B2548" s="62" t="s">
        <v>886</v>
      </c>
      <c r="C2548" s="63"/>
      <c r="D2548" s="64"/>
      <c r="E2548" s="65"/>
      <c r="F2548" s="66"/>
      <c r="G2548" s="63"/>
      <c r="H2548" s="67"/>
      <c r="I2548" s="68"/>
      <c r="J2548" s="68"/>
      <c r="K2548" s="32"/>
      <c r="L2548" s="75">
        <v>2548</v>
      </c>
      <c r="M2548" s="75"/>
      <c r="N2548" s="70"/>
      <c r="O2548" s="77" t="s">
        <v>179</v>
      </c>
      <c r="P2548" s="79">
        <v>45065.52783564815</v>
      </c>
      <c r="Q2548" s="77" t="s">
        <v>3754</v>
      </c>
      <c r="R2548" s="77">
        <v>0</v>
      </c>
      <c r="S2548" s="77">
        <v>0</v>
      </c>
      <c r="T2548" s="77">
        <v>0</v>
      </c>
      <c r="U2548" s="77">
        <v>0</v>
      </c>
      <c r="V2548" s="77">
        <v>33</v>
      </c>
      <c r="W2548" s="82" t="s">
        <v>6507</v>
      </c>
      <c r="X2548" s="77"/>
      <c r="Y2548" s="77"/>
      <c r="Z2548" s="77"/>
      <c r="AA2548" s="77" t="s">
        <v>8944</v>
      </c>
      <c r="AB2548" s="77" t="s">
        <v>10129</v>
      </c>
      <c r="AC2548" s="82" t="s">
        <v>10145</v>
      </c>
      <c r="AD2548" s="77" t="s">
        <v>10184</v>
      </c>
      <c r="AE2548" s="80" t="str">
        <f>HYPERLINK("https://twitter.com/rafaelamorimofc/status/1659539421744574466")</f>
        <v>https://twitter.com/rafaelamorimofc/status/1659539421744574466</v>
      </c>
      <c r="AF2548" s="79">
        <v>45065.52783564815</v>
      </c>
      <c r="AG2548" s="85">
        <v>45065</v>
      </c>
      <c r="AH2548" s="82" t="s">
        <v>12631</v>
      </c>
      <c r="AI2548" s="77" t="b">
        <v>0</v>
      </c>
      <c r="AJ2548" s="77"/>
      <c r="AK2548" s="77"/>
      <c r="AL2548" s="77"/>
      <c r="AM2548" s="77"/>
      <c r="AN2548" s="77"/>
      <c r="AO2548" s="77"/>
      <c r="AP2548" s="77"/>
      <c r="AQ2548" s="77" t="s">
        <v>15587</v>
      </c>
      <c r="AR2548" s="77">
        <v>12733</v>
      </c>
      <c r="AS2548" s="77"/>
      <c r="AT2548" s="77"/>
      <c r="AU2548" s="77"/>
      <c r="AV2548" s="80" t="str">
        <f>HYPERLINK("https://pbs.twimg.com/ext_tw_video_thumb/1659539371127611398/pu/img/HoG0bpy6bJgqRv--.jpg")</f>
        <v>https://pbs.twimg.com/ext_tw_video_thumb/1659539371127611398/pu/img/HoG0bpy6bJgqRv--.jpg</v>
      </c>
      <c r="AW2548" s="82" t="s">
        <v>19314</v>
      </c>
      <c r="AX2548" s="82" t="s">
        <v>19314</v>
      </c>
      <c r="AY2548" s="77"/>
      <c r="AZ2548" s="82" t="s">
        <v>20971</v>
      </c>
      <c r="BA2548" s="82" t="s">
        <v>20971</v>
      </c>
      <c r="BB2548" s="82" t="s">
        <v>20971</v>
      </c>
      <c r="BC2548" s="82" t="s">
        <v>19314</v>
      </c>
      <c r="BD2548" s="82" t="s">
        <v>21505</v>
      </c>
      <c r="BE2548" s="77"/>
      <c r="BF2548" s="77"/>
      <c r="BG2548" s="77"/>
      <c r="BH2548" s="77"/>
      <c r="BI2548" s="77"/>
    </row>
    <row r="2549" spans="1:61" x14ac:dyDescent="0.25">
      <c r="A2549" s="62" t="s">
        <v>886</v>
      </c>
      <c r="B2549" s="62" t="s">
        <v>886</v>
      </c>
      <c r="C2549" s="63"/>
      <c r="D2549" s="64"/>
      <c r="E2549" s="65"/>
      <c r="F2549" s="66"/>
      <c r="G2549" s="63"/>
      <c r="H2549" s="67"/>
      <c r="I2549" s="68"/>
      <c r="J2549" s="68"/>
      <c r="K2549" s="32"/>
      <c r="L2549" s="75">
        <v>2549</v>
      </c>
      <c r="M2549" s="75"/>
      <c r="N2549" s="70"/>
      <c r="O2549" s="77" t="s">
        <v>179</v>
      </c>
      <c r="P2549" s="79">
        <v>45061.516562500001</v>
      </c>
      <c r="Q2549" s="77" t="s">
        <v>3755</v>
      </c>
      <c r="R2549" s="77">
        <v>0</v>
      </c>
      <c r="S2549" s="77">
        <v>0</v>
      </c>
      <c r="T2549" s="77">
        <v>1</v>
      </c>
      <c r="U2549" s="77">
        <v>0</v>
      </c>
      <c r="V2549" s="77">
        <v>132</v>
      </c>
      <c r="W2549" s="82" t="s">
        <v>6508</v>
      </c>
      <c r="X2549" s="77"/>
      <c r="Y2549" s="77"/>
      <c r="Z2549" s="77"/>
      <c r="AA2549" s="77" t="s">
        <v>8945</v>
      </c>
      <c r="AB2549" s="77" t="s">
        <v>10129</v>
      </c>
      <c r="AC2549" s="82" t="s">
        <v>10145</v>
      </c>
      <c r="AD2549" s="77" t="s">
        <v>10184</v>
      </c>
      <c r="AE2549" s="80" t="str">
        <f>HYPERLINK("https://twitter.com/rafaelamorimofc/status/1658085785151631361")</f>
        <v>https://twitter.com/rafaelamorimofc/status/1658085785151631361</v>
      </c>
      <c r="AF2549" s="79">
        <v>45061.516562500001</v>
      </c>
      <c r="AG2549" s="85">
        <v>45061</v>
      </c>
      <c r="AH2549" s="82" t="s">
        <v>12632</v>
      </c>
      <c r="AI2549" s="77" t="b">
        <v>0</v>
      </c>
      <c r="AJ2549" s="77"/>
      <c r="AK2549" s="77"/>
      <c r="AL2549" s="77"/>
      <c r="AM2549" s="77"/>
      <c r="AN2549" s="77"/>
      <c r="AO2549" s="77"/>
      <c r="AP2549" s="77"/>
      <c r="AQ2549" s="77" t="s">
        <v>15588</v>
      </c>
      <c r="AR2549" s="77">
        <v>8200</v>
      </c>
      <c r="AS2549" s="77"/>
      <c r="AT2549" s="77"/>
      <c r="AU2549" s="77"/>
      <c r="AV2549" s="80" t="str">
        <f>HYPERLINK("https://pbs.twimg.com/ext_tw_video_thumb/1658085743313420288/pu/img/puOEiXU1BVCCmJqe.jpg")</f>
        <v>https://pbs.twimg.com/ext_tw_video_thumb/1658085743313420288/pu/img/puOEiXU1BVCCmJqe.jpg</v>
      </c>
      <c r="AW2549" s="82" t="s">
        <v>19315</v>
      </c>
      <c r="AX2549" s="82" t="s">
        <v>19315</v>
      </c>
      <c r="AY2549" s="77"/>
      <c r="AZ2549" s="82" t="s">
        <v>20971</v>
      </c>
      <c r="BA2549" s="82" t="s">
        <v>20971</v>
      </c>
      <c r="BB2549" s="82" t="s">
        <v>20971</v>
      </c>
      <c r="BC2549" s="82" t="s">
        <v>19315</v>
      </c>
      <c r="BD2549" s="82" t="s">
        <v>21505</v>
      </c>
      <c r="BE2549" s="77"/>
      <c r="BF2549" s="77"/>
      <c r="BG2549" s="77"/>
      <c r="BH2549" s="77"/>
      <c r="BI2549" s="77"/>
    </row>
    <row r="2550" spans="1:61" x14ac:dyDescent="0.25">
      <c r="A2550" s="62" t="s">
        <v>886</v>
      </c>
      <c r="B2550" s="62" t="s">
        <v>886</v>
      </c>
      <c r="C2550" s="63"/>
      <c r="D2550" s="64"/>
      <c r="E2550" s="65"/>
      <c r="F2550" s="66"/>
      <c r="G2550" s="63"/>
      <c r="H2550" s="67"/>
      <c r="I2550" s="68"/>
      <c r="J2550" s="68"/>
      <c r="K2550" s="32"/>
      <c r="L2550" s="75">
        <v>2550</v>
      </c>
      <c r="M2550" s="75"/>
      <c r="N2550" s="70"/>
      <c r="O2550" s="77" t="s">
        <v>179</v>
      </c>
      <c r="P2550" s="79">
        <v>45060.521493055552</v>
      </c>
      <c r="Q2550" s="77" t="s">
        <v>3756</v>
      </c>
      <c r="R2550" s="77">
        <v>0</v>
      </c>
      <c r="S2550" s="77">
        <v>0</v>
      </c>
      <c r="T2550" s="77">
        <v>0</v>
      </c>
      <c r="U2550" s="77">
        <v>0</v>
      </c>
      <c r="V2550" s="77">
        <v>30</v>
      </c>
      <c r="W2550" s="82" t="s">
        <v>6509</v>
      </c>
      <c r="X2550" s="77"/>
      <c r="Y2550" s="77"/>
      <c r="Z2550" s="77"/>
      <c r="AA2550" s="77" t="s">
        <v>8946</v>
      </c>
      <c r="AB2550" s="77" t="s">
        <v>10129</v>
      </c>
      <c r="AC2550" s="82" t="s">
        <v>10145</v>
      </c>
      <c r="AD2550" s="77" t="s">
        <v>10184</v>
      </c>
      <c r="AE2550" s="80" t="str">
        <f>HYPERLINK("https://twitter.com/rafaelamorimofc/status/1657725184231473155")</f>
        <v>https://twitter.com/rafaelamorimofc/status/1657725184231473155</v>
      </c>
      <c r="AF2550" s="79">
        <v>45060.521493055552</v>
      </c>
      <c r="AG2550" s="85">
        <v>45060</v>
      </c>
      <c r="AH2550" s="82" t="s">
        <v>12633</v>
      </c>
      <c r="AI2550" s="77" t="b">
        <v>0</v>
      </c>
      <c r="AJ2550" s="77"/>
      <c r="AK2550" s="77"/>
      <c r="AL2550" s="77"/>
      <c r="AM2550" s="77"/>
      <c r="AN2550" s="77"/>
      <c r="AO2550" s="77"/>
      <c r="AP2550" s="77"/>
      <c r="AQ2550" s="77" t="s">
        <v>15589</v>
      </c>
      <c r="AR2550" s="77">
        <v>13033</v>
      </c>
      <c r="AS2550" s="77"/>
      <c r="AT2550" s="77"/>
      <c r="AU2550" s="77"/>
      <c r="AV2550" s="80" t="str">
        <f>HYPERLINK("https://pbs.twimg.com/ext_tw_video_thumb/1657725129969790976/pu/img/n47SWMVlZK2f9RuM.jpg")</f>
        <v>https://pbs.twimg.com/ext_tw_video_thumb/1657725129969790976/pu/img/n47SWMVlZK2f9RuM.jpg</v>
      </c>
      <c r="AW2550" s="82" t="s">
        <v>19316</v>
      </c>
      <c r="AX2550" s="82" t="s">
        <v>19316</v>
      </c>
      <c r="AY2550" s="77"/>
      <c r="AZ2550" s="82" t="s">
        <v>20971</v>
      </c>
      <c r="BA2550" s="82" t="s">
        <v>20971</v>
      </c>
      <c r="BB2550" s="82" t="s">
        <v>20971</v>
      </c>
      <c r="BC2550" s="82" t="s">
        <v>19316</v>
      </c>
      <c r="BD2550" s="82" t="s">
        <v>21505</v>
      </c>
      <c r="BE2550" s="77"/>
      <c r="BF2550" s="77"/>
      <c r="BG2550" s="77"/>
      <c r="BH2550" s="77"/>
      <c r="BI2550" s="77"/>
    </row>
    <row r="2551" spans="1:61" x14ac:dyDescent="0.25">
      <c r="A2551" s="62" t="s">
        <v>886</v>
      </c>
      <c r="B2551" s="62" t="s">
        <v>886</v>
      </c>
      <c r="C2551" s="63"/>
      <c r="D2551" s="64"/>
      <c r="E2551" s="65"/>
      <c r="F2551" s="66"/>
      <c r="G2551" s="63"/>
      <c r="H2551" s="67"/>
      <c r="I2551" s="68"/>
      <c r="J2551" s="68"/>
      <c r="K2551" s="32"/>
      <c r="L2551" s="75">
        <v>2551</v>
      </c>
      <c r="M2551" s="75"/>
      <c r="N2551" s="70"/>
      <c r="O2551" s="77" t="s">
        <v>179</v>
      </c>
      <c r="P2551" s="79">
        <v>45080.770868055559</v>
      </c>
      <c r="Q2551" s="77" t="s">
        <v>3757</v>
      </c>
      <c r="R2551" s="77">
        <v>0</v>
      </c>
      <c r="S2551" s="77">
        <v>0</v>
      </c>
      <c r="T2551" s="77">
        <v>0</v>
      </c>
      <c r="U2551" s="77">
        <v>0</v>
      </c>
      <c r="V2551" s="77">
        <v>68</v>
      </c>
      <c r="W2551" s="82" t="s">
        <v>6510</v>
      </c>
      <c r="X2551" s="77"/>
      <c r="Y2551" s="77"/>
      <c r="Z2551" s="77"/>
      <c r="AA2551" s="77" t="s">
        <v>8947</v>
      </c>
      <c r="AB2551" s="77" t="s">
        <v>10129</v>
      </c>
      <c r="AC2551" s="82" t="s">
        <v>10145</v>
      </c>
      <c r="AD2551" s="77" t="s">
        <v>10184</v>
      </c>
      <c r="AE2551" s="80" t="str">
        <f>HYPERLINK("https://twitter.com/rafaelamorimofc/status/1665063313162608641")</f>
        <v>https://twitter.com/rafaelamorimofc/status/1665063313162608641</v>
      </c>
      <c r="AF2551" s="79">
        <v>45080.770868055559</v>
      </c>
      <c r="AG2551" s="85">
        <v>45080</v>
      </c>
      <c r="AH2551" s="82" t="s">
        <v>12634</v>
      </c>
      <c r="AI2551" s="77" t="b">
        <v>0</v>
      </c>
      <c r="AJ2551" s="77"/>
      <c r="AK2551" s="77"/>
      <c r="AL2551" s="77"/>
      <c r="AM2551" s="77"/>
      <c r="AN2551" s="77"/>
      <c r="AO2551" s="77"/>
      <c r="AP2551" s="77"/>
      <c r="AQ2551" s="77" t="s">
        <v>15590</v>
      </c>
      <c r="AR2551" s="77">
        <v>10743</v>
      </c>
      <c r="AS2551" s="77"/>
      <c r="AT2551" s="77"/>
      <c r="AU2551" s="77"/>
      <c r="AV2551" s="80" t="str">
        <f>HYPERLINK("https://pbs.twimg.com/ext_tw_video_thumb/1665063226894163968/pu/img/fIRMBmKHaR5NuWUQ.jpg")</f>
        <v>https://pbs.twimg.com/ext_tw_video_thumb/1665063226894163968/pu/img/fIRMBmKHaR5NuWUQ.jpg</v>
      </c>
      <c r="AW2551" s="82" t="s">
        <v>19317</v>
      </c>
      <c r="AX2551" s="82" t="s">
        <v>19317</v>
      </c>
      <c r="AY2551" s="77"/>
      <c r="AZ2551" s="82" t="s">
        <v>20971</v>
      </c>
      <c r="BA2551" s="82" t="s">
        <v>20971</v>
      </c>
      <c r="BB2551" s="82" t="s">
        <v>20971</v>
      </c>
      <c r="BC2551" s="82" t="s">
        <v>19317</v>
      </c>
      <c r="BD2551" s="82" t="s">
        <v>21505</v>
      </c>
      <c r="BE2551" s="77"/>
      <c r="BF2551" s="77"/>
      <c r="BG2551" s="77"/>
      <c r="BH2551" s="77"/>
      <c r="BI2551" s="77"/>
    </row>
    <row r="2552" spans="1:61" x14ac:dyDescent="0.25">
      <c r="A2552" s="62" t="s">
        <v>886</v>
      </c>
      <c r="B2552" s="62" t="s">
        <v>886</v>
      </c>
      <c r="C2552" s="63"/>
      <c r="D2552" s="64"/>
      <c r="E2552" s="65"/>
      <c r="F2552" s="66"/>
      <c r="G2552" s="63"/>
      <c r="H2552" s="67"/>
      <c r="I2552" s="68"/>
      <c r="J2552" s="68"/>
      <c r="K2552" s="32"/>
      <c r="L2552" s="75">
        <v>2552</v>
      </c>
      <c r="M2552" s="75"/>
      <c r="N2552" s="70"/>
      <c r="O2552" s="77" t="s">
        <v>179</v>
      </c>
      <c r="P2552" s="79">
        <v>45080.505891203706</v>
      </c>
      <c r="Q2552" s="77" t="s">
        <v>3758</v>
      </c>
      <c r="R2552" s="77">
        <v>0</v>
      </c>
      <c r="S2552" s="77">
        <v>0</v>
      </c>
      <c r="T2552" s="77">
        <v>0</v>
      </c>
      <c r="U2552" s="77">
        <v>0</v>
      </c>
      <c r="V2552" s="77">
        <v>57</v>
      </c>
      <c r="W2552" s="82" t="s">
        <v>6510</v>
      </c>
      <c r="X2552" s="77"/>
      <c r="Y2552" s="77"/>
      <c r="Z2552" s="77"/>
      <c r="AA2552" s="77" t="s">
        <v>8948</v>
      </c>
      <c r="AB2552" s="77" t="s">
        <v>10129</v>
      </c>
      <c r="AC2552" s="82" t="s">
        <v>10145</v>
      </c>
      <c r="AD2552" s="77" t="s">
        <v>10184</v>
      </c>
      <c r="AE2552" s="80" t="str">
        <f>HYPERLINK("https://twitter.com/rafaelamorimofc/status/1664967288670371841")</f>
        <v>https://twitter.com/rafaelamorimofc/status/1664967288670371841</v>
      </c>
      <c r="AF2552" s="79">
        <v>45080.505891203706</v>
      </c>
      <c r="AG2552" s="85">
        <v>45080</v>
      </c>
      <c r="AH2552" s="82" t="s">
        <v>12635</v>
      </c>
      <c r="AI2552" s="77" t="b">
        <v>0</v>
      </c>
      <c r="AJ2552" s="77"/>
      <c r="AK2552" s="77"/>
      <c r="AL2552" s="77"/>
      <c r="AM2552" s="77"/>
      <c r="AN2552" s="77"/>
      <c r="AO2552" s="77"/>
      <c r="AP2552" s="77"/>
      <c r="AQ2552" s="77" t="s">
        <v>15591</v>
      </c>
      <c r="AR2552" s="77">
        <v>7783</v>
      </c>
      <c r="AS2552" s="77"/>
      <c r="AT2552" s="77"/>
      <c r="AU2552" s="77"/>
      <c r="AV2552" s="80" t="str">
        <f>HYPERLINK("https://pbs.twimg.com/ext_tw_video_thumb/1664967218583445504/pu/img/9G3Nq1p_mo-oOFdG.jpg")</f>
        <v>https://pbs.twimg.com/ext_tw_video_thumb/1664967218583445504/pu/img/9G3Nq1p_mo-oOFdG.jpg</v>
      </c>
      <c r="AW2552" s="82" t="s">
        <v>19318</v>
      </c>
      <c r="AX2552" s="82" t="s">
        <v>19318</v>
      </c>
      <c r="AY2552" s="77"/>
      <c r="AZ2552" s="82" t="s">
        <v>20971</v>
      </c>
      <c r="BA2552" s="82" t="s">
        <v>20971</v>
      </c>
      <c r="BB2552" s="82" t="s">
        <v>20971</v>
      </c>
      <c r="BC2552" s="82" t="s">
        <v>19318</v>
      </c>
      <c r="BD2552" s="82" t="s">
        <v>21505</v>
      </c>
      <c r="BE2552" s="77"/>
      <c r="BF2552" s="77"/>
      <c r="BG2552" s="77"/>
      <c r="BH2552" s="77"/>
      <c r="BI2552" s="77"/>
    </row>
    <row r="2553" spans="1:61" x14ac:dyDescent="0.25">
      <c r="A2553" s="62" t="s">
        <v>886</v>
      </c>
      <c r="B2553" s="62" t="s">
        <v>886</v>
      </c>
      <c r="C2553" s="63"/>
      <c r="D2553" s="64"/>
      <c r="E2553" s="65"/>
      <c r="F2553" s="66"/>
      <c r="G2553" s="63"/>
      <c r="H2553" s="67"/>
      <c r="I2553" s="68"/>
      <c r="J2553" s="68"/>
      <c r="K2553" s="32"/>
      <c r="L2553" s="75">
        <v>2553</v>
      </c>
      <c r="M2553" s="75"/>
      <c r="N2553" s="70"/>
      <c r="O2553" s="77" t="s">
        <v>179</v>
      </c>
      <c r="P2553" s="79">
        <v>45079.873877314814</v>
      </c>
      <c r="Q2553" s="77" t="s">
        <v>3759</v>
      </c>
      <c r="R2553" s="77">
        <v>0</v>
      </c>
      <c r="S2553" s="77">
        <v>0</v>
      </c>
      <c r="T2553" s="77">
        <v>0</v>
      </c>
      <c r="U2553" s="77">
        <v>0</v>
      </c>
      <c r="V2553" s="77">
        <v>56</v>
      </c>
      <c r="W2553" s="82" t="s">
        <v>6510</v>
      </c>
      <c r="X2553" s="77"/>
      <c r="Y2553" s="77"/>
      <c r="Z2553" s="77"/>
      <c r="AA2553" s="77" t="s">
        <v>8949</v>
      </c>
      <c r="AB2553" s="77" t="s">
        <v>10129</v>
      </c>
      <c r="AC2553" s="82" t="s">
        <v>10145</v>
      </c>
      <c r="AD2553" s="77" t="s">
        <v>10184</v>
      </c>
      <c r="AE2553" s="80" t="str">
        <f>HYPERLINK("https://twitter.com/rafaelamorimofc/status/1664738251964391424")</f>
        <v>https://twitter.com/rafaelamorimofc/status/1664738251964391424</v>
      </c>
      <c r="AF2553" s="79">
        <v>45079.873877314814</v>
      </c>
      <c r="AG2553" s="85">
        <v>45079</v>
      </c>
      <c r="AH2553" s="82" t="s">
        <v>12636</v>
      </c>
      <c r="AI2553" s="77" t="b">
        <v>0</v>
      </c>
      <c r="AJ2553" s="77"/>
      <c r="AK2553" s="77"/>
      <c r="AL2553" s="77"/>
      <c r="AM2553" s="77"/>
      <c r="AN2553" s="77"/>
      <c r="AO2553" s="77"/>
      <c r="AP2553" s="77"/>
      <c r="AQ2553" s="77" t="s">
        <v>15592</v>
      </c>
      <c r="AR2553" s="77">
        <v>9028</v>
      </c>
      <c r="AS2553" s="77"/>
      <c r="AT2553" s="77"/>
      <c r="AU2553" s="77"/>
      <c r="AV2553" s="80" t="str">
        <f>HYPERLINK("https://pbs.twimg.com/ext_tw_video_thumb/1664738179306356740/pu/img/wEf79SMvBvR4gzCV.jpg")</f>
        <v>https://pbs.twimg.com/ext_tw_video_thumb/1664738179306356740/pu/img/wEf79SMvBvR4gzCV.jpg</v>
      </c>
      <c r="AW2553" s="82" t="s">
        <v>19319</v>
      </c>
      <c r="AX2553" s="82" t="s">
        <v>19319</v>
      </c>
      <c r="AY2553" s="77"/>
      <c r="AZ2553" s="82" t="s">
        <v>20971</v>
      </c>
      <c r="BA2553" s="82" t="s">
        <v>20971</v>
      </c>
      <c r="BB2553" s="82" t="s">
        <v>20971</v>
      </c>
      <c r="BC2553" s="82" t="s">
        <v>19319</v>
      </c>
      <c r="BD2553" s="82" t="s">
        <v>21505</v>
      </c>
      <c r="BE2553" s="77"/>
      <c r="BF2553" s="77"/>
      <c r="BG2553" s="77"/>
      <c r="BH2553" s="77"/>
      <c r="BI2553" s="77"/>
    </row>
    <row r="2554" spans="1:61" x14ac:dyDescent="0.25">
      <c r="A2554" s="62" t="s">
        <v>886</v>
      </c>
      <c r="B2554" s="62" t="s">
        <v>886</v>
      </c>
      <c r="C2554" s="63"/>
      <c r="D2554" s="64"/>
      <c r="E2554" s="65"/>
      <c r="F2554" s="66"/>
      <c r="G2554" s="63"/>
      <c r="H2554" s="67"/>
      <c r="I2554" s="68"/>
      <c r="J2554" s="68"/>
      <c r="K2554" s="32"/>
      <c r="L2554" s="75">
        <v>2554</v>
      </c>
      <c r="M2554" s="75"/>
      <c r="N2554" s="70"/>
      <c r="O2554" s="77" t="s">
        <v>179</v>
      </c>
      <c r="P2554" s="79">
        <v>45079.724085648151</v>
      </c>
      <c r="Q2554" s="77" t="s">
        <v>3760</v>
      </c>
      <c r="R2554" s="77">
        <v>0</v>
      </c>
      <c r="S2554" s="77">
        <v>0</v>
      </c>
      <c r="T2554" s="77">
        <v>0</v>
      </c>
      <c r="U2554" s="77">
        <v>0</v>
      </c>
      <c r="V2554" s="77">
        <v>59</v>
      </c>
      <c r="W2554" s="82" t="s">
        <v>6510</v>
      </c>
      <c r="X2554" s="77"/>
      <c r="Y2554" s="77"/>
      <c r="Z2554" s="77"/>
      <c r="AA2554" s="77" t="s">
        <v>8950</v>
      </c>
      <c r="AB2554" s="77" t="s">
        <v>10129</v>
      </c>
      <c r="AC2554" s="82" t="s">
        <v>10145</v>
      </c>
      <c r="AD2554" s="77" t="s">
        <v>10184</v>
      </c>
      <c r="AE2554" s="80" t="str">
        <f>HYPERLINK("https://twitter.com/rafaelamorimofc/status/1664683971219685396")</f>
        <v>https://twitter.com/rafaelamorimofc/status/1664683971219685396</v>
      </c>
      <c r="AF2554" s="79">
        <v>45079.724085648151</v>
      </c>
      <c r="AG2554" s="85">
        <v>45079</v>
      </c>
      <c r="AH2554" s="82" t="s">
        <v>12637</v>
      </c>
      <c r="AI2554" s="77" t="b">
        <v>0</v>
      </c>
      <c r="AJ2554" s="77"/>
      <c r="AK2554" s="77"/>
      <c r="AL2554" s="77"/>
      <c r="AM2554" s="77"/>
      <c r="AN2554" s="77"/>
      <c r="AO2554" s="77"/>
      <c r="AP2554" s="77"/>
      <c r="AQ2554" s="77" t="s">
        <v>15593</v>
      </c>
      <c r="AR2554" s="77">
        <v>5758</v>
      </c>
      <c r="AS2554" s="77"/>
      <c r="AT2554" s="77"/>
      <c r="AU2554" s="77"/>
      <c r="AV2554" s="80" t="str">
        <f>HYPERLINK("https://pbs.twimg.com/ext_tw_video_thumb/1664683896460410882/pu/img/TOgvI3dc6HWzCtym.jpg")</f>
        <v>https://pbs.twimg.com/ext_tw_video_thumb/1664683896460410882/pu/img/TOgvI3dc6HWzCtym.jpg</v>
      </c>
      <c r="AW2554" s="82" t="s">
        <v>19320</v>
      </c>
      <c r="AX2554" s="82" t="s">
        <v>19320</v>
      </c>
      <c r="AY2554" s="77"/>
      <c r="AZ2554" s="82" t="s">
        <v>20971</v>
      </c>
      <c r="BA2554" s="82" t="s">
        <v>20971</v>
      </c>
      <c r="BB2554" s="82" t="s">
        <v>20971</v>
      </c>
      <c r="BC2554" s="82" t="s">
        <v>19320</v>
      </c>
      <c r="BD2554" s="82" t="s">
        <v>21505</v>
      </c>
      <c r="BE2554" s="77"/>
      <c r="BF2554" s="77"/>
      <c r="BG2554" s="77"/>
      <c r="BH2554" s="77"/>
      <c r="BI2554" s="77"/>
    </row>
    <row r="2555" spans="1:61" x14ac:dyDescent="0.25">
      <c r="A2555" s="62" t="s">
        <v>886</v>
      </c>
      <c r="B2555" s="62" t="s">
        <v>886</v>
      </c>
      <c r="C2555" s="63"/>
      <c r="D2555" s="64"/>
      <c r="E2555" s="65"/>
      <c r="F2555" s="66"/>
      <c r="G2555" s="63"/>
      <c r="H2555" s="67"/>
      <c r="I2555" s="68"/>
      <c r="J2555" s="68"/>
      <c r="K2555" s="32"/>
      <c r="L2555" s="75">
        <v>2555</v>
      </c>
      <c r="M2555" s="75"/>
      <c r="N2555" s="70"/>
      <c r="O2555" s="77" t="s">
        <v>179</v>
      </c>
      <c r="P2555" s="79">
        <v>45062.63449074074</v>
      </c>
      <c r="Q2555" s="77" t="s">
        <v>3761</v>
      </c>
      <c r="R2555" s="77">
        <v>0</v>
      </c>
      <c r="S2555" s="77">
        <v>0</v>
      </c>
      <c r="T2555" s="77">
        <v>0</v>
      </c>
      <c r="U2555" s="77">
        <v>0</v>
      </c>
      <c r="V2555" s="77">
        <v>87</v>
      </c>
      <c r="W2555" s="82" t="s">
        <v>6511</v>
      </c>
      <c r="X2555" s="77"/>
      <c r="Y2555" s="77"/>
      <c r="Z2555" s="77"/>
      <c r="AA2555" s="77" t="s">
        <v>8951</v>
      </c>
      <c r="AB2555" s="77" t="s">
        <v>10129</v>
      </c>
      <c r="AC2555" s="82" t="s">
        <v>10145</v>
      </c>
      <c r="AD2555" s="77" t="s">
        <v>10184</v>
      </c>
      <c r="AE2555" s="80" t="str">
        <f>HYPERLINK("https://twitter.com/rafaelamorimofc/status/1658490908843855873")</f>
        <v>https://twitter.com/rafaelamorimofc/status/1658490908843855873</v>
      </c>
      <c r="AF2555" s="79">
        <v>45062.63449074074</v>
      </c>
      <c r="AG2555" s="85">
        <v>45062</v>
      </c>
      <c r="AH2555" s="82" t="s">
        <v>12638</v>
      </c>
      <c r="AI2555" s="77" t="b">
        <v>0</v>
      </c>
      <c r="AJ2555" s="77"/>
      <c r="AK2555" s="77"/>
      <c r="AL2555" s="77"/>
      <c r="AM2555" s="77"/>
      <c r="AN2555" s="77"/>
      <c r="AO2555" s="77"/>
      <c r="AP2555" s="77"/>
      <c r="AQ2555" s="77" t="s">
        <v>15594</v>
      </c>
      <c r="AR2555" s="77">
        <v>12100</v>
      </c>
      <c r="AS2555" s="77"/>
      <c r="AT2555" s="77"/>
      <c r="AU2555" s="77"/>
      <c r="AV2555" s="80" t="str">
        <f>HYPERLINK("https://pbs.twimg.com/ext_tw_video_thumb/1658490834675982336/pu/img/R2v4OGzIUjUGMl6b.jpg")</f>
        <v>https://pbs.twimg.com/ext_tw_video_thumb/1658490834675982336/pu/img/R2v4OGzIUjUGMl6b.jpg</v>
      </c>
      <c r="AW2555" s="82" t="s">
        <v>19321</v>
      </c>
      <c r="AX2555" s="82" t="s">
        <v>19321</v>
      </c>
      <c r="AY2555" s="77"/>
      <c r="AZ2555" s="82" t="s">
        <v>20971</v>
      </c>
      <c r="BA2555" s="82" t="s">
        <v>20971</v>
      </c>
      <c r="BB2555" s="82" t="s">
        <v>20971</v>
      </c>
      <c r="BC2555" s="82" t="s">
        <v>19321</v>
      </c>
      <c r="BD2555" s="82" t="s">
        <v>21505</v>
      </c>
      <c r="BE2555" s="77"/>
      <c r="BF2555" s="77"/>
      <c r="BG2555" s="77"/>
      <c r="BH2555" s="77"/>
      <c r="BI2555" s="77"/>
    </row>
    <row r="2556" spans="1:61" x14ac:dyDescent="0.25">
      <c r="A2556" s="62" t="s">
        <v>886</v>
      </c>
      <c r="B2556" s="62" t="s">
        <v>886</v>
      </c>
      <c r="C2556" s="63"/>
      <c r="D2556" s="64"/>
      <c r="E2556" s="65"/>
      <c r="F2556" s="66"/>
      <c r="G2556" s="63"/>
      <c r="H2556" s="67"/>
      <c r="I2556" s="68"/>
      <c r="J2556" s="68"/>
      <c r="K2556" s="32"/>
      <c r="L2556" s="75">
        <v>2556</v>
      </c>
      <c r="M2556" s="75"/>
      <c r="N2556" s="70"/>
      <c r="O2556" s="77" t="s">
        <v>179</v>
      </c>
      <c r="P2556" s="79">
        <v>45062.507048611114</v>
      </c>
      <c r="Q2556" s="77" t="s">
        <v>3762</v>
      </c>
      <c r="R2556" s="77">
        <v>0</v>
      </c>
      <c r="S2556" s="77">
        <v>0</v>
      </c>
      <c r="T2556" s="77">
        <v>0</v>
      </c>
      <c r="U2556" s="77">
        <v>0</v>
      </c>
      <c r="V2556" s="77">
        <v>135</v>
      </c>
      <c r="W2556" s="82" t="s">
        <v>6512</v>
      </c>
      <c r="X2556" s="77"/>
      <c r="Y2556" s="77"/>
      <c r="Z2556" s="77"/>
      <c r="AA2556" s="77" t="s">
        <v>8952</v>
      </c>
      <c r="AB2556" s="77" t="s">
        <v>10129</v>
      </c>
      <c r="AC2556" s="82" t="s">
        <v>10145</v>
      </c>
      <c r="AD2556" s="77" t="s">
        <v>10184</v>
      </c>
      <c r="AE2556" s="80" t="str">
        <f>HYPERLINK("https://twitter.com/rafaelamorimofc/status/1658444723789365249")</f>
        <v>https://twitter.com/rafaelamorimofc/status/1658444723789365249</v>
      </c>
      <c r="AF2556" s="79">
        <v>45062.507048611114</v>
      </c>
      <c r="AG2556" s="85">
        <v>45062</v>
      </c>
      <c r="AH2556" s="82" t="s">
        <v>12639</v>
      </c>
      <c r="AI2556" s="77" t="b">
        <v>0</v>
      </c>
      <c r="AJ2556" s="77"/>
      <c r="AK2556" s="77"/>
      <c r="AL2556" s="77"/>
      <c r="AM2556" s="77"/>
      <c r="AN2556" s="77"/>
      <c r="AO2556" s="77"/>
      <c r="AP2556" s="77"/>
      <c r="AQ2556" s="77" t="s">
        <v>15595</v>
      </c>
      <c r="AR2556" s="77">
        <v>9133</v>
      </c>
      <c r="AS2556" s="77"/>
      <c r="AT2556" s="77"/>
      <c r="AU2556" s="77"/>
      <c r="AV2556" s="80" t="str">
        <f>HYPERLINK("https://pbs.twimg.com/ext_tw_video_thumb/1658444657250926592/pu/img/qt73Mvb4cCTe9MA3.jpg")</f>
        <v>https://pbs.twimg.com/ext_tw_video_thumb/1658444657250926592/pu/img/qt73Mvb4cCTe9MA3.jpg</v>
      </c>
      <c r="AW2556" s="82" t="s">
        <v>19322</v>
      </c>
      <c r="AX2556" s="82" t="s">
        <v>19322</v>
      </c>
      <c r="AY2556" s="77"/>
      <c r="AZ2556" s="82" t="s">
        <v>20971</v>
      </c>
      <c r="BA2556" s="82" t="s">
        <v>20971</v>
      </c>
      <c r="BB2556" s="82" t="s">
        <v>20971</v>
      </c>
      <c r="BC2556" s="82" t="s">
        <v>19322</v>
      </c>
      <c r="BD2556" s="82" t="s">
        <v>21505</v>
      </c>
      <c r="BE2556" s="77"/>
      <c r="BF2556" s="77"/>
      <c r="BG2556" s="77"/>
      <c r="BH2556" s="77"/>
      <c r="BI2556" s="77"/>
    </row>
    <row r="2557" spans="1:61" x14ac:dyDescent="0.25">
      <c r="A2557" s="62" t="s">
        <v>886</v>
      </c>
      <c r="B2557" s="62" t="s">
        <v>886</v>
      </c>
      <c r="C2557" s="63"/>
      <c r="D2557" s="64"/>
      <c r="E2557" s="65"/>
      <c r="F2557" s="66"/>
      <c r="G2557" s="63"/>
      <c r="H2557" s="67"/>
      <c r="I2557" s="68"/>
      <c r="J2557" s="68"/>
      <c r="K2557" s="32"/>
      <c r="L2557" s="75">
        <v>2557</v>
      </c>
      <c r="M2557" s="75"/>
      <c r="N2557" s="70"/>
      <c r="O2557" s="77" t="s">
        <v>179</v>
      </c>
      <c r="P2557" s="79">
        <v>45054.639004629629</v>
      </c>
      <c r="Q2557" s="77" t="s">
        <v>3763</v>
      </c>
      <c r="R2557" s="77">
        <v>0</v>
      </c>
      <c r="S2557" s="77">
        <v>0</v>
      </c>
      <c r="T2557" s="77">
        <v>0</v>
      </c>
      <c r="U2557" s="77">
        <v>0</v>
      </c>
      <c r="V2557" s="77">
        <v>88</v>
      </c>
      <c r="W2557" s="82" t="s">
        <v>6513</v>
      </c>
      <c r="X2557" s="77"/>
      <c r="Y2557" s="77"/>
      <c r="Z2557" s="77"/>
      <c r="AA2557" s="77" t="s">
        <v>8953</v>
      </c>
      <c r="AB2557" s="77" t="s">
        <v>10129</v>
      </c>
      <c r="AC2557" s="82" t="s">
        <v>10145</v>
      </c>
      <c r="AD2557" s="77" t="s">
        <v>10184</v>
      </c>
      <c r="AE2557" s="80" t="str">
        <f>HYPERLINK("https://twitter.com/rafaelamorimofc/status/1655593439818293249")</f>
        <v>https://twitter.com/rafaelamorimofc/status/1655593439818293249</v>
      </c>
      <c r="AF2557" s="79">
        <v>45054.639004629629</v>
      </c>
      <c r="AG2557" s="85">
        <v>45054</v>
      </c>
      <c r="AH2557" s="82" t="s">
        <v>12640</v>
      </c>
      <c r="AI2557" s="77" t="b">
        <v>0</v>
      </c>
      <c r="AJ2557" s="77"/>
      <c r="AK2557" s="77"/>
      <c r="AL2557" s="77"/>
      <c r="AM2557" s="77"/>
      <c r="AN2557" s="77"/>
      <c r="AO2557" s="77"/>
      <c r="AP2557" s="77"/>
      <c r="AQ2557" s="77" t="s">
        <v>15596</v>
      </c>
      <c r="AR2557" s="77">
        <v>13028</v>
      </c>
      <c r="AS2557" s="77"/>
      <c r="AT2557" s="77"/>
      <c r="AU2557" s="77"/>
      <c r="AV2557" s="80" t="str">
        <f>HYPERLINK("https://pbs.twimg.com/ext_tw_video_thumb/1655593385086812160/pu/img/Nnw_DEyh-SNBFZAt.jpg")</f>
        <v>https://pbs.twimg.com/ext_tw_video_thumb/1655593385086812160/pu/img/Nnw_DEyh-SNBFZAt.jpg</v>
      </c>
      <c r="AW2557" s="82" t="s">
        <v>19323</v>
      </c>
      <c r="AX2557" s="82" t="s">
        <v>19323</v>
      </c>
      <c r="AY2557" s="77"/>
      <c r="AZ2557" s="82" t="s">
        <v>20971</v>
      </c>
      <c r="BA2557" s="82" t="s">
        <v>20971</v>
      </c>
      <c r="BB2557" s="82" t="s">
        <v>20971</v>
      </c>
      <c r="BC2557" s="82" t="s">
        <v>19323</v>
      </c>
      <c r="BD2557" s="82" t="s">
        <v>21505</v>
      </c>
      <c r="BE2557" s="77"/>
      <c r="BF2557" s="77"/>
      <c r="BG2557" s="77"/>
      <c r="BH2557" s="77"/>
      <c r="BI2557" s="77"/>
    </row>
    <row r="2558" spans="1:61" x14ac:dyDescent="0.25">
      <c r="A2558" s="62" t="s">
        <v>886</v>
      </c>
      <c r="B2558" s="62" t="s">
        <v>886</v>
      </c>
      <c r="C2558" s="63"/>
      <c r="D2558" s="64"/>
      <c r="E2558" s="65"/>
      <c r="F2558" s="66"/>
      <c r="G2558" s="63"/>
      <c r="H2558" s="67"/>
      <c r="I2558" s="68"/>
      <c r="J2558" s="68"/>
      <c r="K2558" s="32"/>
      <c r="L2558" s="75">
        <v>2558</v>
      </c>
      <c r="M2558" s="75"/>
      <c r="N2558" s="70"/>
      <c r="O2558" s="77" t="s">
        <v>179</v>
      </c>
      <c r="P2558" s="79">
        <v>45127.620763888888</v>
      </c>
      <c r="Q2558" s="77" t="s">
        <v>3764</v>
      </c>
      <c r="R2558" s="77">
        <v>0</v>
      </c>
      <c r="S2558" s="77">
        <v>0</v>
      </c>
      <c r="T2558" s="77">
        <v>0</v>
      </c>
      <c r="U2558" s="77">
        <v>0</v>
      </c>
      <c r="V2558" s="77">
        <v>73</v>
      </c>
      <c r="W2558" s="82" t="s">
        <v>6514</v>
      </c>
      <c r="X2558" s="77"/>
      <c r="Y2558" s="77"/>
      <c r="Z2558" s="77"/>
      <c r="AA2558" s="77" t="s">
        <v>8954</v>
      </c>
      <c r="AB2558" s="77" t="s">
        <v>10129</v>
      </c>
      <c r="AC2558" s="82" t="s">
        <v>10145</v>
      </c>
      <c r="AD2558" s="77" t="s">
        <v>10184</v>
      </c>
      <c r="AE2558" s="80" t="str">
        <f>HYPERLINK("https://twitter.com/rafaelamorimofc/status/1682041147060015105")</f>
        <v>https://twitter.com/rafaelamorimofc/status/1682041147060015105</v>
      </c>
      <c r="AF2558" s="79">
        <v>45127.620763888888</v>
      </c>
      <c r="AG2558" s="85">
        <v>45127</v>
      </c>
      <c r="AH2558" s="82" t="s">
        <v>12641</v>
      </c>
      <c r="AI2558" s="77" t="b">
        <v>0</v>
      </c>
      <c r="AJ2558" s="77"/>
      <c r="AK2558" s="77"/>
      <c r="AL2558" s="77"/>
      <c r="AM2558" s="77"/>
      <c r="AN2558" s="77"/>
      <c r="AO2558" s="77"/>
      <c r="AP2558" s="77"/>
      <c r="AQ2558" s="77" t="s">
        <v>15597</v>
      </c>
      <c r="AR2558" s="77">
        <v>6096</v>
      </c>
      <c r="AS2558" s="77"/>
      <c r="AT2558" s="77"/>
      <c r="AU2558" s="77"/>
      <c r="AV2558" s="80" t="str">
        <f>HYPERLINK("https://pbs.twimg.com/ext_tw_video_thumb/1682040959650131970/pu/img/_--GDhXAL4deCYVu.jpg")</f>
        <v>https://pbs.twimg.com/ext_tw_video_thumb/1682040959650131970/pu/img/_--GDhXAL4deCYVu.jpg</v>
      </c>
      <c r="AW2558" s="82" t="s">
        <v>19324</v>
      </c>
      <c r="AX2558" s="82" t="s">
        <v>19324</v>
      </c>
      <c r="AY2558" s="77"/>
      <c r="AZ2558" s="82" t="s">
        <v>20971</v>
      </c>
      <c r="BA2558" s="82" t="s">
        <v>20971</v>
      </c>
      <c r="BB2558" s="82" t="s">
        <v>20971</v>
      </c>
      <c r="BC2558" s="82" t="s">
        <v>19324</v>
      </c>
      <c r="BD2558" s="82" t="s">
        <v>21505</v>
      </c>
      <c r="BE2558" s="77"/>
      <c r="BF2558" s="77"/>
      <c r="BG2558" s="77"/>
      <c r="BH2558" s="77"/>
      <c r="BI2558" s="77"/>
    </row>
    <row r="2559" spans="1:61" x14ac:dyDescent="0.25">
      <c r="A2559" s="62" t="s">
        <v>886</v>
      </c>
      <c r="B2559" s="62" t="s">
        <v>886</v>
      </c>
      <c r="C2559" s="63"/>
      <c r="D2559" s="64"/>
      <c r="E2559" s="65"/>
      <c r="F2559" s="66"/>
      <c r="G2559" s="63"/>
      <c r="H2559" s="67"/>
      <c r="I2559" s="68"/>
      <c r="J2559" s="68"/>
      <c r="K2559" s="32"/>
      <c r="L2559" s="75">
        <v>2559</v>
      </c>
      <c r="M2559" s="75"/>
      <c r="N2559" s="70"/>
      <c r="O2559" s="77" t="s">
        <v>179</v>
      </c>
      <c r="P2559" s="79">
        <v>45090.537916666668</v>
      </c>
      <c r="Q2559" s="77" t="s">
        <v>3765</v>
      </c>
      <c r="R2559" s="77">
        <v>0</v>
      </c>
      <c r="S2559" s="77">
        <v>0</v>
      </c>
      <c r="T2559" s="77">
        <v>0</v>
      </c>
      <c r="U2559" s="77">
        <v>0</v>
      </c>
      <c r="V2559" s="77">
        <v>52</v>
      </c>
      <c r="W2559" s="82" t="s">
        <v>6514</v>
      </c>
      <c r="X2559" s="77"/>
      <c r="Y2559" s="77"/>
      <c r="Z2559" s="77"/>
      <c r="AA2559" s="77" t="s">
        <v>8955</v>
      </c>
      <c r="AB2559" s="77" t="s">
        <v>10129</v>
      </c>
      <c r="AC2559" s="82" t="s">
        <v>10145</v>
      </c>
      <c r="AD2559" s="77" t="s">
        <v>10184</v>
      </c>
      <c r="AE2559" s="80" t="str">
        <f>HYPERLINK("https://twitter.com/rafaelamorimofc/status/1668602771363209218")</f>
        <v>https://twitter.com/rafaelamorimofc/status/1668602771363209218</v>
      </c>
      <c r="AF2559" s="79">
        <v>45090.537916666668</v>
      </c>
      <c r="AG2559" s="85">
        <v>45090</v>
      </c>
      <c r="AH2559" s="82" t="s">
        <v>12642</v>
      </c>
      <c r="AI2559" s="77" t="b">
        <v>0</v>
      </c>
      <c r="AJ2559" s="77"/>
      <c r="AK2559" s="77"/>
      <c r="AL2559" s="77"/>
      <c r="AM2559" s="77"/>
      <c r="AN2559" s="77"/>
      <c r="AO2559" s="77"/>
      <c r="AP2559" s="77"/>
      <c r="AQ2559" s="77" t="s">
        <v>15598</v>
      </c>
      <c r="AR2559" s="77">
        <v>10313</v>
      </c>
      <c r="AS2559" s="77"/>
      <c r="AT2559" s="77"/>
      <c r="AU2559" s="77"/>
      <c r="AV2559" s="80" t="str">
        <f>HYPERLINK("https://pbs.twimg.com/ext_tw_video_thumb/1668602693210734592/pu/img/__4mauwfi8kKj8If.jpg")</f>
        <v>https://pbs.twimg.com/ext_tw_video_thumb/1668602693210734592/pu/img/__4mauwfi8kKj8If.jpg</v>
      </c>
      <c r="AW2559" s="82" t="s">
        <v>19325</v>
      </c>
      <c r="AX2559" s="82" t="s">
        <v>19325</v>
      </c>
      <c r="AY2559" s="77"/>
      <c r="AZ2559" s="82" t="s">
        <v>20971</v>
      </c>
      <c r="BA2559" s="82" t="s">
        <v>20971</v>
      </c>
      <c r="BB2559" s="82" t="s">
        <v>20971</v>
      </c>
      <c r="BC2559" s="82" t="s">
        <v>19325</v>
      </c>
      <c r="BD2559" s="82" t="s">
        <v>21505</v>
      </c>
      <c r="BE2559" s="77"/>
      <c r="BF2559" s="77"/>
      <c r="BG2559" s="77"/>
      <c r="BH2559" s="77"/>
      <c r="BI2559" s="77"/>
    </row>
    <row r="2560" spans="1:61" x14ac:dyDescent="0.25">
      <c r="A2560" s="62" t="s">
        <v>886</v>
      </c>
      <c r="B2560" s="62" t="s">
        <v>886</v>
      </c>
      <c r="C2560" s="63"/>
      <c r="D2560" s="64"/>
      <c r="E2560" s="65"/>
      <c r="F2560" s="66"/>
      <c r="G2560" s="63"/>
      <c r="H2560" s="67"/>
      <c r="I2560" s="68"/>
      <c r="J2560" s="68"/>
      <c r="K2560" s="32"/>
      <c r="L2560" s="75">
        <v>2560</v>
      </c>
      <c r="M2560" s="75"/>
      <c r="N2560" s="70"/>
      <c r="O2560" s="77" t="s">
        <v>179</v>
      </c>
      <c r="P2560" s="79">
        <v>45083.621921296297</v>
      </c>
      <c r="Q2560" s="77" t="s">
        <v>3766</v>
      </c>
      <c r="R2560" s="77">
        <v>0</v>
      </c>
      <c r="S2560" s="77">
        <v>0</v>
      </c>
      <c r="T2560" s="77">
        <v>0</v>
      </c>
      <c r="U2560" s="77">
        <v>0</v>
      </c>
      <c r="V2560" s="77">
        <v>44</v>
      </c>
      <c r="W2560" s="82" t="s">
        <v>6515</v>
      </c>
      <c r="X2560" s="77"/>
      <c r="Y2560" s="77"/>
      <c r="Z2560" s="77"/>
      <c r="AA2560" s="77" t="s">
        <v>8956</v>
      </c>
      <c r="AB2560" s="77" t="s">
        <v>10129</v>
      </c>
      <c r="AC2560" s="82" t="s">
        <v>10145</v>
      </c>
      <c r="AD2560" s="77" t="s">
        <v>10184</v>
      </c>
      <c r="AE2560" s="80" t="str">
        <f>HYPERLINK("https://twitter.com/rafaelamorimofc/status/1666096499980374017")</f>
        <v>https://twitter.com/rafaelamorimofc/status/1666096499980374017</v>
      </c>
      <c r="AF2560" s="79">
        <v>45083.621921296297</v>
      </c>
      <c r="AG2560" s="85">
        <v>45083</v>
      </c>
      <c r="AH2560" s="82" t="s">
        <v>12643</v>
      </c>
      <c r="AI2560" s="77" t="b">
        <v>0</v>
      </c>
      <c r="AJ2560" s="77"/>
      <c r="AK2560" s="77"/>
      <c r="AL2560" s="77"/>
      <c r="AM2560" s="77"/>
      <c r="AN2560" s="77"/>
      <c r="AO2560" s="77"/>
      <c r="AP2560" s="77"/>
      <c r="AQ2560" s="77" t="s">
        <v>15599</v>
      </c>
      <c r="AR2560" s="77">
        <v>5500</v>
      </c>
      <c r="AS2560" s="77"/>
      <c r="AT2560" s="77"/>
      <c r="AU2560" s="77"/>
      <c r="AV2560" s="80" t="str">
        <f>HYPERLINK("https://pbs.twimg.com/ext_tw_video_thumb/1666096462068056068/pu/img/t_mrPwAElUoD4IUv.jpg")</f>
        <v>https://pbs.twimg.com/ext_tw_video_thumb/1666096462068056068/pu/img/t_mrPwAElUoD4IUv.jpg</v>
      </c>
      <c r="AW2560" s="82" t="s">
        <v>19326</v>
      </c>
      <c r="AX2560" s="82" t="s">
        <v>19326</v>
      </c>
      <c r="AY2560" s="77"/>
      <c r="AZ2560" s="82" t="s">
        <v>20971</v>
      </c>
      <c r="BA2560" s="82" t="s">
        <v>20971</v>
      </c>
      <c r="BB2560" s="82" t="s">
        <v>20971</v>
      </c>
      <c r="BC2560" s="82" t="s">
        <v>19326</v>
      </c>
      <c r="BD2560" s="82" t="s">
        <v>21505</v>
      </c>
      <c r="BE2560" s="77"/>
      <c r="BF2560" s="77"/>
      <c r="BG2560" s="77"/>
      <c r="BH2560" s="77"/>
      <c r="BI2560" s="77"/>
    </row>
    <row r="2561" spans="1:61" x14ac:dyDescent="0.25">
      <c r="A2561" s="62" t="s">
        <v>886</v>
      </c>
      <c r="B2561" s="62" t="s">
        <v>886</v>
      </c>
      <c r="C2561" s="63"/>
      <c r="D2561" s="64"/>
      <c r="E2561" s="65"/>
      <c r="F2561" s="66"/>
      <c r="G2561" s="63"/>
      <c r="H2561" s="67"/>
      <c r="I2561" s="68"/>
      <c r="J2561" s="68"/>
      <c r="K2561" s="32"/>
      <c r="L2561" s="75">
        <v>2561</v>
      </c>
      <c r="M2561" s="75"/>
      <c r="N2561" s="70"/>
      <c r="O2561" s="77" t="s">
        <v>179</v>
      </c>
      <c r="P2561" s="79">
        <v>45083.494340277779</v>
      </c>
      <c r="Q2561" s="77" t="s">
        <v>3767</v>
      </c>
      <c r="R2561" s="77">
        <v>0</v>
      </c>
      <c r="S2561" s="77">
        <v>0</v>
      </c>
      <c r="T2561" s="77">
        <v>0</v>
      </c>
      <c r="U2561" s="77">
        <v>0</v>
      </c>
      <c r="V2561" s="77">
        <v>40</v>
      </c>
      <c r="W2561" s="82" t="s">
        <v>6514</v>
      </c>
      <c r="X2561" s="77"/>
      <c r="Y2561" s="77"/>
      <c r="Z2561" s="77"/>
      <c r="AA2561" s="77" t="s">
        <v>8957</v>
      </c>
      <c r="AB2561" s="77" t="s">
        <v>10129</v>
      </c>
      <c r="AC2561" s="82" t="s">
        <v>10145</v>
      </c>
      <c r="AD2561" s="77" t="s">
        <v>10184</v>
      </c>
      <c r="AE2561" s="80" t="str">
        <f>HYPERLINK("https://twitter.com/rafaelamorimofc/status/1666050264745254917")</f>
        <v>https://twitter.com/rafaelamorimofc/status/1666050264745254917</v>
      </c>
      <c r="AF2561" s="79">
        <v>45083.494340277779</v>
      </c>
      <c r="AG2561" s="85">
        <v>45083</v>
      </c>
      <c r="AH2561" s="82" t="s">
        <v>12644</v>
      </c>
      <c r="AI2561" s="77" t="b">
        <v>0</v>
      </c>
      <c r="AJ2561" s="77"/>
      <c r="AK2561" s="77"/>
      <c r="AL2561" s="77"/>
      <c r="AM2561" s="77"/>
      <c r="AN2561" s="77"/>
      <c r="AO2561" s="77"/>
      <c r="AP2561" s="77"/>
      <c r="AQ2561" s="77" t="s">
        <v>15600</v>
      </c>
      <c r="AR2561" s="77">
        <v>8066</v>
      </c>
      <c r="AS2561" s="77"/>
      <c r="AT2561" s="77"/>
      <c r="AU2561" s="77"/>
      <c r="AV2561" s="80" t="str">
        <f>HYPERLINK("https://pbs.twimg.com/ext_tw_video_thumb/1666050224870047744/pu/img/-nqFWlcFNQc-buiy.jpg")</f>
        <v>https://pbs.twimg.com/ext_tw_video_thumb/1666050224870047744/pu/img/-nqFWlcFNQc-buiy.jpg</v>
      </c>
      <c r="AW2561" s="82" t="s">
        <v>19327</v>
      </c>
      <c r="AX2561" s="82" t="s">
        <v>19327</v>
      </c>
      <c r="AY2561" s="77"/>
      <c r="AZ2561" s="82" t="s">
        <v>20971</v>
      </c>
      <c r="BA2561" s="82" t="s">
        <v>20971</v>
      </c>
      <c r="BB2561" s="82" t="s">
        <v>20971</v>
      </c>
      <c r="BC2561" s="82" t="s">
        <v>19327</v>
      </c>
      <c r="BD2561" s="82" t="s">
        <v>21505</v>
      </c>
      <c r="BE2561" s="77"/>
      <c r="BF2561" s="77"/>
      <c r="BG2561" s="77"/>
      <c r="BH2561" s="77"/>
      <c r="BI2561" s="77"/>
    </row>
    <row r="2562" spans="1:61" x14ac:dyDescent="0.25">
      <c r="A2562" s="62" t="s">
        <v>886</v>
      </c>
      <c r="B2562" s="62" t="s">
        <v>886</v>
      </c>
      <c r="C2562" s="63"/>
      <c r="D2562" s="64"/>
      <c r="E2562" s="65"/>
      <c r="F2562" s="66"/>
      <c r="G2562" s="63"/>
      <c r="H2562" s="67"/>
      <c r="I2562" s="68"/>
      <c r="J2562" s="68"/>
      <c r="K2562" s="32"/>
      <c r="L2562" s="75">
        <v>2562</v>
      </c>
      <c r="M2562" s="75"/>
      <c r="N2562" s="70"/>
      <c r="O2562" s="77" t="s">
        <v>179</v>
      </c>
      <c r="P2562" s="79">
        <v>45082.86681712963</v>
      </c>
      <c r="Q2562" s="77" t="s">
        <v>3768</v>
      </c>
      <c r="R2562" s="77">
        <v>0</v>
      </c>
      <c r="S2562" s="77">
        <v>0</v>
      </c>
      <c r="T2562" s="77">
        <v>0</v>
      </c>
      <c r="U2562" s="77">
        <v>0</v>
      </c>
      <c r="V2562" s="77">
        <v>53</v>
      </c>
      <c r="W2562" s="82" t="s">
        <v>6510</v>
      </c>
      <c r="X2562" s="77"/>
      <c r="Y2562" s="77"/>
      <c r="Z2562" s="77"/>
      <c r="AA2562" s="77" t="s">
        <v>8958</v>
      </c>
      <c r="AB2562" s="77" t="s">
        <v>10129</v>
      </c>
      <c r="AC2562" s="82" t="s">
        <v>10145</v>
      </c>
      <c r="AD2562" s="77" t="s">
        <v>10184</v>
      </c>
      <c r="AE2562" s="80" t="str">
        <f>HYPERLINK("https://twitter.com/rafaelamorimofc/status/1665822859929825290")</f>
        <v>https://twitter.com/rafaelamorimofc/status/1665822859929825290</v>
      </c>
      <c r="AF2562" s="79">
        <v>45082.86681712963</v>
      </c>
      <c r="AG2562" s="85">
        <v>45082</v>
      </c>
      <c r="AH2562" s="82" t="s">
        <v>12645</v>
      </c>
      <c r="AI2562" s="77" t="b">
        <v>0</v>
      </c>
      <c r="AJ2562" s="77"/>
      <c r="AK2562" s="77"/>
      <c r="AL2562" s="77"/>
      <c r="AM2562" s="77"/>
      <c r="AN2562" s="77"/>
      <c r="AO2562" s="77"/>
      <c r="AP2562" s="77"/>
      <c r="AQ2562" s="77" t="s">
        <v>15601</v>
      </c>
      <c r="AR2562" s="77">
        <v>6926</v>
      </c>
      <c r="AS2562" s="77"/>
      <c r="AT2562" s="77"/>
      <c r="AU2562" s="77"/>
      <c r="AV2562" s="80" t="str">
        <f>HYPERLINK("https://pbs.twimg.com/ext_tw_video_thumb/1665822818007764992/pu/img/RPpbVzU63g_xYhIU.jpg")</f>
        <v>https://pbs.twimg.com/ext_tw_video_thumb/1665822818007764992/pu/img/RPpbVzU63g_xYhIU.jpg</v>
      </c>
      <c r="AW2562" s="82" t="s">
        <v>19328</v>
      </c>
      <c r="AX2562" s="82" t="s">
        <v>19328</v>
      </c>
      <c r="AY2562" s="77"/>
      <c r="AZ2562" s="82" t="s">
        <v>20971</v>
      </c>
      <c r="BA2562" s="82" t="s">
        <v>20971</v>
      </c>
      <c r="BB2562" s="82" t="s">
        <v>20971</v>
      </c>
      <c r="BC2562" s="82" t="s">
        <v>19328</v>
      </c>
      <c r="BD2562" s="82" t="s">
        <v>21505</v>
      </c>
      <c r="BE2562" s="77"/>
      <c r="BF2562" s="77"/>
      <c r="BG2562" s="77"/>
      <c r="BH2562" s="77"/>
      <c r="BI2562" s="77"/>
    </row>
    <row r="2563" spans="1:61" x14ac:dyDescent="0.25">
      <c r="A2563" s="62" t="s">
        <v>886</v>
      </c>
      <c r="B2563" s="62" t="s">
        <v>886</v>
      </c>
      <c r="C2563" s="63"/>
      <c r="D2563" s="64"/>
      <c r="E2563" s="65"/>
      <c r="F2563" s="66"/>
      <c r="G2563" s="63"/>
      <c r="H2563" s="67"/>
      <c r="I2563" s="68"/>
      <c r="J2563" s="68"/>
      <c r="K2563" s="32"/>
      <c r="L2563" s="75">
        <v>2563</v>
      </c>
      <c r="M2563" s="75"/>
      <c r="N2563" s="70"/>
      <c r="O2563" s="77" t="s">
        <v>179</v>
      </c>
      <c r="P2563" s="79">
        <v>45082.701099537036</v>
      </c>
      <c r="Q2563" s="77" t="s">
        <v>3769</v>
      </c>
      <c r="R2563" s="77">
        <v>0</v>
      </c>
      <c r="S2563" s="77">
        <v>0</v>
      </c>
      <c r="T2563" s="77">
        <v>0</v>
      </c>
      <c r="U2563" s="77">
        <v>0</v>
      </c>
      <c r="V2563" s="77">
        <v>66</v>
      </c>
      <c r="W2563" s="82" t="s">
        <v>6516</v>
      </c>
      <c r="X2563" s="77"/>
      <c r="Y2563" s="77"/>
      <c r="Z2563" s="77"/>
      <c r="AA2563" s="77" t="s">
        <v>8959</v>
      </c>
      <c r="AB2563" s="77" t="s">
        <v>10129</v>
      </c>
      <c r="AC2563" s="82" t="s">
        <v>10145</v>
      </c>
      <c r="AD2563" s="77" t="s">
        <v>10184</v>
      </c>
      <c r="AE2563" s="80" t="str">
        <f>HYPERLINK("https://twitter.com/rafaelamorimofc/status/1665762802697396224")</f>
        <v>https://twitter.com/rafaelamorimofc/status/1665762802697396224</v>
      </c>
      <c r="AF2563" s="79">
        <v>45082.701099537036</v>
      </c>
      <c r="AG2563" s="85">
        <v>45082</v>
      </c>
      <c r="AH2563" s="82" t="s">
        <v>12646</v>
      </c>
      <c r="AI2563" s="77" t="b">
        <v>0</v>
      </c>
      <c r="AJ2563" s="77"/>
      <c r="AK2563" s="77"/>
      <c r="AL2563" s="77"/>
      <c r="AM2563" s="77"/>
      <c r="AN2563" s="77"/>
      <c r="AO2563" s="77"/>
      <c r="AP2563" s="77"/>
      <c r="AQ2563" s="77" t="s">
        <v>15602</v>
      </c>
      <c r="AR2563" s="77">
        <v>9541</v>
      </c>
      <c r="AS2563" s="77"/>
      <c r="AT2563" s="77"/>
      <c r="AU2563" s="77"/>
      <c r="AV2563" s="80" t="str">
        <f>HYPERLINK("https://pbs.twimg.com/ext_tw_video_thumb/1665762761005989890/pu/img/cxlEOJMoNke8a9Q8.jpg")</f>
        <v>https://pbs.twimg.com/ext_tw_video_thumb/1665762761005989890/pu/img/cxlEOJMoNke8a9Q8.jpg</v>
      </c>
      <c r="AW2563" s="82" t="s">
        <v>19329</v>
      </c>
      <c r="AX2563" s="82" t="s">
        <v>19329</v>
      </c>
      <c r="AY2563" s="77"/>
      <c r="AZ2563" s="82" t="s">
        <v>20971</v>
      </c>
      <c r="BA2563" s="82" t="s">
        <v>20971</v>
      </c>
      <c r="BB2563" s="82" t="s">
        <v>20971</v>
      </c>
      <c r="BC2563" s="82" t="s">
        <v>19329</v>
      </c>
      <c r="BD2563" s="82" t="s">
        <v>21505</v>
      </c>
      <c r="BE2563" s="77"/>
      <c r="BF2563" s="77"/>
      <c r="BG2563" s="77"/>
      <c r="BH2563" s="77"/>
      <c r="BI2563" s="77"/>
    </row>
    <row r="2564" spans="1:61" x14ac:dyDescent="0.25">
      <c r="A2564" s="62" t="s">
        <v>886</v>
      </c>
      <c r="B2564" s="62" t="s">
        <v>886</v>
      </c>
      <c r="C2564" s="63"/>
      <c r="D2564" s="64"/>
      <c r="E2564" s="65"/>
      <c r="F2564" s="66"/>
      <c r="G2564" s="63"/>
      <c r="H2564" s="67"/>
      <c r="I2564" s="68"/>
      <c r="J2564" s="68"/>
      <c r="K2564" s="32"/>
      <c r="L2564" s="75">
        <v>2564</v>
      </c>
      <c r="M2564" s="75"/>
      <c r="N2564" s="70"/>
      <c r="O2564" s="77" t="s">
        <v>179</v>
      </c>
      <c r="P2564" s="79">
        <v>45064.511122685188</v>
      </c>
      <c r="Q2564" s="77" t="s">
        <v>3770</v>
      </c>
      <c r="R2564" s="77">
        <v>0</v>
      </c>
      <c r="S2564" s="77">
        <v>0</v>
      </c>
      <c r="T2564" s="77">
        <v>0</v>
      </c>
      <c r="U2564" s="77">
        <v>0</v>
      </c>
      <c r="V2564" s="77">
        <v>53</v>
      </c>
      <c r="W2564" s="82" t="s">
        <v>6507</v>
      </c>
      <c r="X2564" s="77"/>
      <c r="Y2564" s="77"/>
      <c r="Z2564" s="77"/>
      <c r="AA2564" s="77" t="s">
        <v>8960</v>
      </c>
      <c r="AB2564" s="77" t="s">
        <v>10129</v>
      </c>
      <c r="AC2564" s="82" t="s">
        <v>10145</v>
      </c>
      <c r="AD2564" s="77" t="s">
        <v>10184</v>
      </c>
      <c r="AE2564" s="80" t="str">
        <f>HYPERLINK("https://twitter.com/rafaelamorimofc/status/1659170975328477184")</f>
        <v>https://twitter.com/rafaelamorimofc/status/1659170975328477184</v>
      </c>
      <c r="AF2564" s="79">
        <v>45064.511122685188</v>
      </c>
      <c r="AG2564" s="85">
        <v>45064</v>
      </c>
      <c r="AH2564" s="82" t="s">
        <v>12647</v>
      </c>
      <c r="AI2564" s="77" t="b">
        <v>0</v>
      </c>
      <c r="AJ2564" s="77"/>
      <c r="AK2564" s="77"/>
      <c r="AL2564" s="77"/>
      <c r="AM2564" s="77"/>
      <c r="AN2564" s="77"/>
      <c r="AO2564" s="77"/>
      <c r="AP2564" s="77"/>
      <c r="AQ2564" s="77" t="s">
        <v>15603</v>
      </c>
      <c r="AR2564" s="77">
        <v>11485</v>
      </c>
      <c r="AS2564" s="77"/>
      <c r="AT2564" s="77"/>
      <c r="AU2564" s="77"/>
      <c r="AV2564" s="80" t="str">
        <f>HYPERLINK("https://pbs.twimg.com/ext_tw_video_thumb/1659170901261266945/pu/img/n3fqPA_dvOX1kCfx.jpg")</f>
        <v>https://pbs.twimg.com/ext_tw_video_thumb/1659170901261266945/pu/img/n3fqPA_dvOX1kCfx.jpg</v>
      </c>
      <c r="AW2564" s="82" t="s">
        <v>19330</v>
      </c>
      <c r="AX2564" s="82" t="s">
        <v>19330</v>
      </c>
      <c r="AY2564" s="77"/>
      <c r="AZ2564" s="82" t="s">
        <v>20971</v>
      </c>
      <c r="BA2564" s="82" t="s">
        <v>20971</v>
      </c>
      <c r="BB2564" s="82" t="s">
        <v>20971</v>
      </c>
      <c r="BC2564" s="82" t="s">
        <v>19330</v>
      </c>
      <c r="BD2564" s="82" t="s">
        <v>21505</v>
      </c>
      <c r="BE2564" s="77"/>
      <c r="BF2564" s="77"/>
      <c r="BG2564" s="77"/>
      <c r="BH2564" s="77"/>
      <c r="BI2564" s="77"/>
    </row>
    <row r="2565" spans="1:61" x14ac:dyDescent="0.25">
      <c r="A2565" s="62" t="s">
        <v>886</v>
      </c>
      <c r="B2565" s="62" t="s">
        <v>886</v>
      </c>
      <c r="C2565" s="63"/>
      <c r="D2565" s="64"/>
      <c r="E2565" s="65"/>
      <c r="F2565" s="66"/>
      <c r="G2565" s="63"/>
      <c r="H2565" s="67"/>
      <c r="I2565" s="68"/>
      <c r="J2565" s="68"/>
      <c r="K2565" s="32"/>
      <c r="L2565" s="75">
        <v>2565</v>
      </c>
      <c r="M2565" s="75"/>
      <c r="N2565" s="70"/>
      <c r="O2565" s="77" t="s">
        <v>179</v>
      </c>
      <c r="P2565" s="79">
        <v>45063.875625000001</v>
      </c>
      <c r="Q2565" s="77" t="s">
        <v>3771</v>
      </c>
      <c r="R2565" s="77">
        <v>0</v>
      </c>
      <c r="S2565" s="77">
        <v>0</v>
      </c>
      <c r="T2565" s="77">
        <v>0</v>
      </c>
      <c r="U2565" s="77">
        <v>0</v>
      </c>
      <c r="V2565" s="77">
        <v>14</v>
      </c>
      <c r="W2565" s="82" t="s">
        <v>6507</v>
      </c>
      <c r="X2565" s="77"/>
      <c r="Y2565" s="77"/>
      <c r="Z2565" s="77"/>
      <c r="AA2565" s="77" t="s">
        <v>8961</v>
      </c>
      <c r="AB2565" s="77" t="s">
        <v>10129</v>
      </c>
      <c r="AC2565" s="82" t="s">
        <v>10145</v>
      </c>
      <c r="AD2565" s="77" t="s">
        <v>10189</v>
      </c>
      <c r="AE2565" s="80" t="str">
        <f>HYPERLINK("https://twitter.com/rafaelamorimofc/status/1658940678867386373")</f>
        <v>https://twitter.com/rafaelamorimofc/status/1658940678867386373</v>
      </c>
      <c r="AF2565" s="79">
        <v>45063.875625000001</v>
      </c>
      <c r="AG2565" s="85">
        <v>45063</v>
      </c>
      <c r="AH2565" s="82" t="s">
        <v>12648</v>
      </c>
      <c r="AI2565" s="77" t="b">
        <v>0</v>
      </c>
      <c r="AJ2565" s="77"/>
      <c r="AK2565" s="77"/>
      <c r="AL2565" s="77"/>
      <c r="AM2565" s="77"/>
      <c r="AN2565" s="77"/>
      <c r="AO2565" s="77"/>
      <c r="AP2565" s="77"/>
      <c r="AQ2565" s="77" t="s">
        <v>15604</v>
      </c>
      <c r="AR2565" s="77">
        <v>12066</v>
      </c>
      <c r="AS2565" s="77"/>
      <c r="AT2565" s="77"/>
      <c r="AU2565" s="77"/>
      <c r="AV2565" s="80" t="str">
        <f>HYPERLINK("https://pbs.twimg.com/ext_tw_video_thumb/1658940592393420800/pu/img/2wOItX-pFP2OIB4U.jpg")</f>
        <v>https://pbs.twimg.com/ext_tw_video_thumb/1658940592393420800/pu/img/2wOItX-pFP2OIB4U.jpg</v>
      </c>
      <c r="AW2565" s="82" t="s">
        <v>19331</v>
      </c>
      <c r="AX2565" s="82" t="s">
        <v>19331</v>
      </c>
      <c r="AY2565" s="77"/>
      <c r="AZ2565" s="82" t="s">
        <v>20971</v>
      </c>
      <c r="BA2565" s="82" t="s">
        <v>20971</v>
      </c>
      <c r="BB2565" s="82" t="s">
        <v>20971</v>
      </c>
      <c r="BC2565" s="82" t="s">
        <v>19331</v>
      </c>
      <c r="BD2565" s="82" t="s">
        <v>21505</v>
      </c>
      <c r="BE2565" s="77"/>
      <c r="BF2565" s="77"/>
      <c r="BG2565" s="77"/>
      <c r="BH2565" s="77"/>
      <c r="BI2565" s="77"/>
    </row>
    <row r="2566" spans="1:61" x14ac:dyDescent="0.25">
      <c r="A2566" s="62" t="s">
        <v>886</v>
      </c>
      <c r="B2566" s="62" t="s">
        <v>886</v>
      </c>
      <c r="C2566" s="63"/>
      <c r="D2566" s="64"/>
      <c r="E2566" s="65"/>
      <c r="F2566" s="66"/>
      <c r="G2566" s="63"/>
      <c r="H2566" s="67"/>
      <c r="I2566" s="68"/>
      <c r="J2566" s="68"/>
      <c r="K2566" s="32"/>
      <c r="L2566" s="75">
        <v>2566</v>
      </c>
      <c r="M2566" s="75"/>
      <c r="N2566" s="70"/>
      <c r="O2566" s="77" t="s">
        <v>179</v>
      </c>
      <c r="P2566" s="79">
        <v>45063.624652777777</v>
      </c>
      <c r="Q2566" s="77" t="s">
        <v>3772</v>
      </c>
      <c r="R2566" s="77">
        <v>0</v>
      </c>
      <c r="S2566" s="77">
        <v>1</v>
      </c>
      <c r="T2566" s="77">
        <v>0</v>
      </c>
      <c r="U2566" s="77">
        <v>0</v>
      </c>
      <c r="V2566" s="77">
        <v>26</v>
      </c>
      <c r="W2566" s="82" t="s">
        <v>6517</v>
      </c>
      <c r="X2566" s="77"/>
      <c r="Y2566" s="77"/>
      <c r="Z2566" s="77"/>
      <c r="AA2566" s="77" t="s">
        <v>8962</v>
      </c>
      <c r="AB2566" s="77" t="s">
        <v>10129</v>
      </c>
      <c r="AC2566" s="82" t="s">
        <v>10145</v>
      </c>
      <c r="AD2566" s="77" t="s">
        <v>10193</v>
      </c>
      <c r="AE2566" s="80" t="str">
        <f>HYPERLINK("https://twitter.com/rafaelamorimofc/status/1658849729961140228")</f>
        <v>https://twitter.com/rafaelamorimofc/status/1658849729961140228</v>
      </c>
      <c r="AF2566" s="79">
        <v>45063.624652777777</v>
      </c>
      <c r="AG2566" s="85">
        <v>45063</v>
      </c>
      <c r="AH2566" s="82" t="s">
        <v>12649</v>
      </c>
      <c r="AI2566" s="77" t="b">
        <v>0</v>
      </c>
      <c r="AJ2566" s="77"/>
      <c r="AK2566" s="77"/>
      <c r="AL2566" s="77"/>
      <c r="AM2566" s="77"/>
      <c r="AN2566" s="77"/>
      <c r="AO2566" s="77"/>
      <c r="AP2566" s="77"/>
      <c r="AQ2566" s="77" t="s">
        <v>15605</v>
      </c>
      <c r="AR2566" s="77">
        <v>8366</v>
      </c>
      <c r="AS2566" s="77"/>
      <c r="AT2566" s="77"/>
      <c r="AU2566" s="77"/>
      <c r="AV2566" s="80" t="str">
        <f>HYPERLINK("https://pbs.twimg.com/ext_tw_video_thumb/1658849633798324227/pu/img/lv8GcBWERTH5THSx.jpg")</f>
        <v>https://pbs.twimg.com/ext_tw_video_thumb/1658849633798324227/pu/img/lv8GcBWERTH5THSx.jpg</v>
      </c>
      <c r="AW2566" s="82" t="s">
        <v>19332</v>
      </c>
      <c r="AX2566" s="82" t="s">
        <v>19332</v>
      </c>
      <c r="AY2566" s="77"/>
      <c r="AZ2566" s="82" t="s">
        <v>20971</v>
      </c>
      <c r="BA2566" s="82" t="s">
        <v>20971</v>
      </c>
      <c r="BB2566" s="82" t="s">
        <v>20971</v>
      </c>
      <c r="BC2566" s="82" t="s">
        <v>19332</v>
      </c>
      <c r="BD2566" s="82" t="s">
        <v>21505</v>
      </c>
      <c r="BE2566" s="77"/>
      <c r="BF2566" s="77"/>
      <c r="BG2566" s="77"/>
      <c r="BH2566" s="77"/>
      <c r="BI2566" s="77"/>
    </row>
    <row r="2567" spans="1:61" x14ac:dyDescent="0.25">
      <c r="A2567" s="62" t="s">
        <v>886</v>
      </c>
      <c r="B2567" s="62" t="s">
        <v>886</v>
      </c>
      <c r="C2567" s="63"/>
      <c r="D2567" s="64"/>
      <c r="E2567" s="65"/>
      <c r="F2567" s="66"/>
      <c r="G2567" s="63"/>
      <c r="H2567" s="67"/>
      <c r="I2567" s="68"/>
      <c r="J2567" s="68"/>
      <c r="K2567" s="32"/>
      <c r="L2567" s="75">
        <v>2567</v>
      </c>
      <c r="M2567" s="75"/>
      <c r="N2567" s="70"/>
      <c r="O2567" s="77" t="s">
        <v>179</v>
      </c>
      <c r="P2567" s="79">
        <v>45056.896053240744</v>
      </c>
      <c r="Q2567" s="77" t="s">
        <v>3773</v>
      </c>
      <c r="R2567" s="77">
        <v>0</v>
      </c>
      <c r="S2567" s="77">
        <v>0</v>
      </c>
      <c r="T2567" s="77">
        <v>1</v>
      </c>
      <c r="U2567" s="77">
        <v>0</v>
      </c>
      <c r="V2567" s="77">
        <v>110</v>
      </c>
      <c r="W2567" s="82" t="s">
        <v>6509</v>
      </c>
      <c r="X2567" s="77"/>
      <c r="Y2567" s="77"/>
      <c r="Z2567" s="77"/>
      <c r="AA2567" s="77" t="s">
        <v>8963</v>
      </c>
      <c r="AB2567" s="77" t="s">
        <v>10129</v>
      </c>
      <c r="AC2567" s="82" t="s">
        <v>10145</v>
      </c>
      <c r="AD2567" s="77" t="s">
        <v>10184</v>
      </c>
      <c r="AE2567" s="80" t="str">
        <f>HYPERLINK("https://twitter.com/rafaelamorimofc/status/1656411368185102336")</f>
        <v>https://twitter.com/rafaelamorimofc/status/1656411368185102336</v>
      </c>
      <c r="AF2567" s="79">
        <v>45056.896053240744</v>
      </c>
      <c r="AG2567" s="85">
        <v>45056</v>
      </c>
      <c r="AH2567" s="82" t="s">
        <v>11580</v>
      </c>
      <c r="AI2567" s="77" t="b">
        <v>0</v>
      </c>
      <c r="AJ2567" s="77"/>
      <c r="AK2567" s="77"/>
      <c r="AL2567" s="77"/>
      <c r="AM2567" s="77"/>
      <c r="AN2567" s="77"/>
      <c r="AO2567" s="77"/>
      <c r="AP2567" s="77"/>
      <c r="AQ2567" s="77" t="s">
        <v>15606</v>
      </c>
      <c r="AR2567" s="77">
        <v>11051</v>
      </c>
      <c r="AS2567" s="77"/>
      <c r="AT2567" s="77"/>
      <c r="AU2567" s="77"/>
      <c r="AV2567" s="80" t="str">
        <f>HYPERLINK("https://pbs.twimg.com/ext_tw_video_thumb/1656411316980965376/pu/img/sCdKKzPpspgpcRLX.jpg")</f>
        <v>https://pbs.twimg.com/ext_tw_video_thumb/1656411316980965376/pu/img/sCdKKzPpspgpcRLX.jpg</v>
      </c>
      <c r="AW2567" s="82" t="s">
        <v>19333</v>
      </c>
      <c r="AX2567" s="82" t="s">
        <v>19333</v>
      </c>
      <c r="AY2567" s="77"/>
      <c r="AZ2567" s="82" t="s">
        <v>20971</v>
      </c>
      <c r="BA2567" s="82" t="s">
        <v>20971</v>
      </c>
      <c r="BB2567" s="82" t="s">
        <v>20971</v>
      </c>
      <c r="BC2567" s="82" t="s">
        <v>19333</v>
      </c>
      <c r="BD2567" s="82" t="s">
        <v>21505</v>
      </c>
      <c r="BE2567" s="77"/>
      <c r="BF2567" s="77"/>
      <c r="BG2567" s="77"/>
      <c r="BH2567" s="77"/>
      <c r="BI2567" s="77"/>
    </row>
    <row r="2568" spans="1:61" x14ac:dyDescent="0.25">
      <c r="A2568" s="62" t="s">
        <v>886</v>
      </c>
      <c r="B2568" s="62" t="s">
        <v>886</v>
      </c>
      <c r="C2568" s="63"/>
      <c r="D2568" s="64"/>
      <c r="E2568" s="65"/>
      <c r="F2568" s="66"/>
      <c r="G2568" s="63"/>
      <c r="H2568" s="67"/>
      <c r="I2568" s="68"/>
      <c r="J2568" s="68"/>
      <c r="K2568" s="32"/>
      <c r="L2568" s="75">
        <v>2568</v>
      </c>
      <c r="M2568" s="75"/>
      <c r="N2568" s="70"/>
      <c r="O2568" s="77" t="s">
        <v>179</v>
      </c>
      <c r="P2568" s="79">
        <v>45056.583611111113</v>
      </c>
      <c r="Q2568" s="77" t="s">
        <v>3774</v>
      </c>
      <c r="R2568" s="77">
        <v>0</v>
      </c>
      <c r="S2568" s="77">
        <v>0</v>
      </c>
      <c r="T2568" s="77">
        <v>0</v>
      </c>
      <c r="U2568" s="77">
        <v>0</v>
      </c>
      <c r="V2568" s="77">
        <v>21</v>
      </c>
      <c r="W2568" s="82" t="s">
        <v>6518</v>
      </c>
      <c r="X2568" s="77"/>
      <c r="Y2568" s="77"/>
      <c r="Z2568" s="77"/>
      <c r="AA2568" s="77" t="s">
        <v>8964</v>
      </c>
      <c r="AB2568" s="77" t="s">
        <v>10129</v>
      </c>
      <c r="AC2568" s="82" t="s">
        <v>10145</v>
      </c>
      <c r="AD2568" s="77" t="s">
        <v>10189</v>
      </c>
      <c r="AE2568" s="80" t="str">
        <f>HYPERLINK("https://twitter.com/rafaelamorimofc/status/1656298141748953088")</f>
        <v>https://twitter.com/rafaelamorimofc/status/1656298141748953088</v>
      </c>
      <c r="AF2568" s="79">
        <v>45056.583611111113</v>
      </c>
      <c r="AG2568" s="85">
        <v>45056</v>
      </c>
      <c r="AH2568" s="82" t="s">
        <v>10286</v>
      </c>
      <c r="AI2568" s="77" t="b">
        <v>0</v>
      </c>
      <c r="AJ2568" s="77"/>
      <c r="AK2568" s="77"/>
      <c r="AL2568" s="77"/>
      <c r="AM2568" s="77"/>
      <c r="AN2568" s="77"/>
      <c r="AO2568" s="77"/>
      <c r="AP2568" s="77"/>
      <c r="AQ2568" s="77" t="s">
        <v>15607</v>
      </c>
      <c r="AR2568" s="77">
        <v>11025</v>
      </c>
      <c r="AS2568" s="77"/>
      <c r="AT2568" s="77"/>
      <c r="AU2568" s="77"/>
      <c r="AV2568" s="80" t="str">
        <f>HYPERLINK("https://pbs.twimg.com/ext_tw_video_thumb/1656298085033603072/pu/img/Q-ApjHQ0iuGIxwLR.jpg")</f>
        <v>https://pbs.twimg.com/ext_tw_video_thumb/1656298085033603072/pu/img/Q-ApjHQ0iuGIxwLR.jpg</v>
      </c>
      <c r="AW2568" s="82" t="s">
        <v>19334</v>
      </c>
      <c r="AX2568" s="82" t="s">
        <v>19334</v>
      </c>
      <c r="AY2568" s="77"/>
      <c r="AZ2568" s="82" t="s">
        <v>20971</v>
      </c>
      <c r="BA2568" s="82" t="s">
        <v>20971</v>
      </c>
      <c r="BB2568" s="82" t="s">
        <v>20971</v>
      </c>
      <c r="BC2568" s="82" t="s">
        <v>19334</v>
      </c>
      <c r="BD2568" s="82" t="s">
        <v>21505</v>
      </c>
      <c r="BE2568" s="77"/>
      <c r="BF2568" s="77"/>
      <c r="BG2568" s="77"/>
      <c r="BH2568" s="77"/>
      <c r="BI2568" s="77"/>
    </row>
    <row r="2569" spans="1:61" x14ac:dyDescent="0.25">
      <c r="A2569" s="62" t="s">
        <v>886</v>
      </c>
      <c r="B2569" s="62" t="s">
        <v>886</v>
      </c>
      <c r="C2569" s="63"/>
      <c r="D2569" s="64"/>
      <c r="E2569" s="65"/>
      <c r="F2569" s="66"/>
      <c r="G2569" s="63"/>
      <c r="H2569" s="67"/>
      <c r="I2569" s="68"/>
      <c r="J2569" s="68"/>
      <c r="K2569" s="32"/>
      <c r="L2569" s="75">
        <v>2569</v>
      </c>
      <c r="M2569" s="75"/>
      <c r="N2569" s="70"/>
      <c r="O2569" s="77" t="s">
        <v>179</v>
      </c>
      <c r="P2569" s="79">
        <v>45055.835833333331</v>
      </c>
      <c r="Q2569" s="77" t="s">
        <v>3775</v>
      </c>
      <c r="R2569" s="77">
        <v>0</v>
      </c>
      <c r="S2569" s="77">
        <v>0</v>
      </c>
      <c r="T2569" s="77">
        <v>0</v>
      </c>
      <c r="U2569" s="77">
        <v>0</v>
      </c>
      <c r="V2569" s="77">
        <v>90</v>
      </c>
      <c r="W2569" s="82" t="s">
        <v>6519</v>
      </c>
      <c r="X2569" s="77"/>
      <c r="Y2569" s="77"/>
      <c r="Z2569" s="77"/>
      <c r="AA2569" s="77" t="s">
        <v>8965</v>
      </c>
      <c r="AB2569" s="77" t="s">
        <v>10129</v>
      </c>
      <c r="AC2569" s="82" t="s">
        <v>10145</v>
      </c>
      <c r="AD2569" s="77" t="s">
        <v>10184</v>
      </c>
      <c r="AE2569" s="80" t="str">
        <f>HYPERLINK("https://twitter.com/rafaelamorimofc/status/1656027157825564672")</f>
        <v>https://twitter.com/rafaelamorimofc/status/1656027157825564672</v>
      </c>
      <c r="AF2569" s="79">
        <v>45055.835833333331</v>
      </c>
      <c r="AG2569" s="85">
        <v>45055</v>
      </c>
      <c r="AH2569" s="82" t="s">
        <v>12650</v>
      </c>
      <c r="AI2569" s="77" t="b">
        <v>0</v>
      </c>
      <c r="AJ2569" s="77"/>
      <c r="AK2569" s="77"/>
      <c r="AL2569" s="77"/>
      <c r="AM2569" s="77"/>
      <c r="AN2569" s="77"/>
      <c r="AO2569" s="77"/>
      <c r="AP2569" s="77"/>
      <c r="AQ2569" s="77" t="s">
        <v>15608</v>
      </c>
      <c r="AR2569" s="77">
        <v>8550</v>
      </c>
      <c r="AS2569" s="77"/>
      <c r="AT2569" s="77"/>
      <c r="AU2569" s="77"/>
      <c r="AV2569" s="80" t="str">
        <f>HYPERLINK("https://pbs.twimg.com/ext_tw_video_thumb/1656027115005804546/pu/img/H9TKsn-zWjgMNIxo.jpg")</f>
        <v>https://pbs.twimg.com/ext_tw_video_thumb/1656027115005804546/pu/img/H9TKsn-zWjgMNIxo.jpg</v>
      </c>
      <c r="AW2569" s="82" t="s">
        <v>19335</v>
      </c>
      <c r="AX2569" s="82" t="s">
        <v>19335</v>
      </c>
      <c r="AY2569" s="77"/>
      <c r="AZ2569" s="82" t="s">
        <v>20971</v>
      </c>
      <c r="BA2569" s="82" t="s">
        <v>20971</v>
      </c>
      <c r="BB2569" s="82" t="s">
        <v>20971</v>
      </c>
      <c r="BC2569" s="82" t="s">
        <v>19335</v>
      </c>
      <c r="BD2569" s="82" t="s">
        <v>21505</v>
      </c>
      <c r="BE2569" s="77"/>
      <c r="BF2569" s="77"/>
      <c r="BG2569" s="77"/>
      <c r="BH2569" s="77"/>
      <c r="BI2569" s="77"/>
    </row>
    <row r="2570" spans="1:61" x14ac:dyDescent="0.25">
      <c r="A2570" s="62" t="s">
        <v>886</v>
      </c>
      <c r="B2570" s="62" t="s">
        <v>886</v>
      </c>
      <c r="C2570" s="63"/>
      <c r="D2570" s="64"/>
      <c r="E2570" s="65"/>
      <c r="F2570" s="66"/>
      <c r="G2570" s="63"/>
      <c r="H2570" s="67"/>
      <c r="I2570" s="68"/>
      <c r="J2570" s="68"/>
      <c r="K2570" s="32"/>
      <c r="L2570" s="75">
        <v>2570</v>
      </c>
      <c r="M2570" s="75"/>
      <c r="N2570" s="70"/>
      <c r="O2570" s="77" t="s">
        <v>179</v>
      </c>
      <c r="P2570" s="79">
        <v>45170.636354166665</v>
      </c>
      <c r="Q2570" s="77" t="s">
        <v>3776</v>
      </c>
      <c r="R2570" s="77">
        <v>0</v>
      </c>
      <c r="S2570" s="77">
        <v>0</v>
      </c>
      <c r="T2570" s="77">
        <v>0</v>
      </c>
      <c r="U2570" s="77">
        <v>0</v>
      </c>
      <c r="V2570" s="77">
        <v>15</v>
      </c>
      <c r="W2570" s="82" t="s">
        <v>6520</v>
      </c>
      <c r="X2570" s="80" t="str">
        <f>HYPERLINK("http://linkr.bio/iniciar_")</f>
        <v>http://linkr.bio/iniciar_</v>
      </c>
      <c r="Y2570" s="77" t="s">
        <v>7431</v>
      </c>
      <c r="Z2570" s="77"/>
      <c r="AA2570" s="77" t="s">
        <v>8966</v>
      </c>
      <c r="AB2570" s="77" t="s">
        <v>10129</v>
      </c>
      <c r="AC2570" s="82" t="s">
        <v>10145</v>
      </c>
      <c r="AD2570" s="77" t="s">
        <v>10184</v>
      </c>
      <c r="AE2570" s="80" t="str">
        <f>HYPERLINK("https://twitter.com/rafaelamorimofc/status/1697629472722125153")</f>
        <v>https://twitter.com/rafaelamorimofc/status/1697629472722125153</v>
      </c>
      <c r="AF2570" s="79">
        <v>45170.636354166665</v>
      </c>
      <c r="AG2570" s="85">
        <v>45170</v>
      </c>
      <c r="AH2570" s="82" t="s">
        <v>12651</v>
      </c>
      <c r="AI2570" s="77" t="b">
        <v>0</v>
      </c>
      <c r="AJ2570" s="77"/>
      <c r="AK2570" s="77"/>
      <c r="AL2570" s="77"/>
      <c r="AM2570" s="77"/>
      <c r="AN2570" s="77"/>
      <c r="AO2570" s="77"/>
      <c r="AP2570" s="77"/>
      <c r="AQ2570" s="77" t="s">
        <v>15609</v>
      </c>
      <c r="AR2570" s="77">
        <v>13110</v>
      </c>
      <c r="AS2570" s="77"/>
      <c r="AT2570" s="77"/>
      <c r="AU2570" s="77"/>
      <c r="AV2570" s="80" t="str">
        <f>HYPERLINK("https://pbs.twimg.com/ext_tw_video_thumb/1697629334171766784/pu/img/N5VfXcOwh4NimBA1.jpg")</f>
        <v>https://pbs.twimg.com/ext_tw_video_thumb/1697629334171766784/pu/img/N5VfXcOwh4NimBA1.jpg</v>
      </c>
      <c r="AW2570" s="82" t="s">
        <v>19336</v>
      </c>
      <c r="AX2570" s="82" t="s">
        <v>19336</v>
      </c>
      <c r="AY2570" s="77"/>
      <c r="AZ2570" s="82" t="s">
        <v>20971</v>
      </c>
      <c r="BA2570" s="82" t="s">
        <v>20971</v>
      </c>
      <c r="BB2570" s="82" t="s">
        <v>20971</v>
      </c>
      <c r="BC2570" s="82" t="s">
        <v>19336</v>
      </c>
      <c r="BD2570" s="82" t="s">
        <v>21505</v>
      </c>
      <c r="BE2570" s="77"/>
      <c r="BF2570" s="77"/>
      <c r="BG2570" s="77"/>
      <c r="BH2570" s="77"/>
      <c r="BI2570" s="77"/>
    </row>
    <row r="2571" spans="1:61" x14ac:dyDescent="0.25">
      <c r="A2571" s="62" t="s">
        <v>886</v>
      </c>
      <c r="B2571" s="62" t="s">
        <v>886</v>
      </c>
      <c r="C2571" s="63"/>
      <c r="D2571" s="64"/>
      <c r="E2571" s="65"/>
      <c r="F2571" s="66"/>
      <c r="G2571" s="63"/>
      <c r="H2571" s="67"/>
      <c r="I2571" s="68"/>
      <c r="J2571" s="68"/>
      <c r="K2571" s="32"/>
      <c r="L2571" s="75">
        <v>2571</v>
      </c>
      <c r="M2571" s="75"/>
      <c r="N2571" s="70"/>
      <c r="O2571" s="77" t="s">
        <v>179</v>
      </c>
      <c r="P2571" s="79">
        <v>45126.544351851851</v>
      </c>
      <c r="Q2571" s="77" t="s">
        <v>3777</v>
      </c>
      <c r="R2571" s="77">
        <v>0</v>
      </c>
      <c r="S2571" s="77">
        <v>0</v>
      </c>
      <c r="T2571" s="77">
        <v>0</v>
      </c>
      <c r="U2571" s="77">
        <v>0</v>
      </c>
      <c r="V2571" s="77">
        <v>63</v>
      </c>
      <c r="W2571" s="82" t="s">
        <v>6514</v>
      </c>
      <c r="X2571" s="77"/>
      <c r="Y2571" s="77"/>
      <c r="Z2571" s="77"/>
      <c r="AA2571" s="77" t="s">
        <v>8967</v>
      </c>
      <c r="AB2571" s="77" t="s">
        <v>10129</v>
      </c>
      <c r="AC2571" s="82" t="s">
        <v>10145</v>
      </c>
      <c r="AD2571" s="77" t="s">
        <v>10184</v>
      </c>
      <c r="AE2571" s="80" t="str">
        <f>HYPERLINK("https://twitter.com/rafaelamorimofc/status/1681651066889224192")</f>
        <v>https://twitter.com/rafaelamorimofc/status/1681651066889224192</v>
      </c>
      <c r="AF2571" s="79">
        <v>45126.544351851851</v>
      </c>
      <c r="AG2571" s="85">
        <v>45126</v>
      </c>
      <c r="AH2571" s="82" t="s">
        <v>12652</v>
      </c>
      <c r="AI2571" s="77" t="b">
        <v>0</v>
      </c>
      <c r="AJ2571" s="77"/>
      <c r="AK2571" s="77"/>
      <c r="AL2571" s="77"/>
      <c r="AM2571" s="77"/>
      <c r="AN2571" s="77"/>
      <c r="AO2571" s="77"/>
      <c r="AP2571" s="77"/>
      <c r="AQ2571" s="77" t="s">
        <v>15610</v>
      </c>
      <c r="AR2571" s="77">
        <v>7686</v>
      </c>
      <c r="AS2571" s="77"/>
      <c r="AT2571" s="77"/>
      <c r="AU2571" s="77"/>
      <c r="AV2571" s="80" t="str">
        <f>HYPERLINK("https://pbs.twimg.com/ext_tw_video_thumb/1681650993174392832/pu/img/WSedQ7eGDL5xvChL.jpg")</f>
        <v>https://pbs.twimg.com/ext_tw_video_thumb/1681650993174392832/pu/img/WSedQ7eGDL5xvChL.jpg</v>
      </c>
      <c r="AW2571" s="82" t="s">
        <v>19337</v>
      </c>
      <c r="AX2571" s="82" t="s">
        <v>19337</v>
      </c>
      <c r="AY2571" s="77"/>
      <c r="AZ2571" s="82" t="s">
        <v>20971</v>
      </c>
      <c r="BA2571" s="82" t="s">
        <v>20971</v>
      </c>
      <c r="BB2571" s="82" t="s">
        <v>20971</v>
      </c>
      <c r="BC2571" s="82" t="s">
        <v>19337</v>
      </c>
      <c r="BD2571" s="82" t="s">
        <v>21505</v>
      </c>
      <c r="BE2571" s="77"/>
      <c r="BF2571" s="77"/>
      <c r="BG2571" s="77"/>
      <c r="BH2571" s="77"/>
      <c r="BI2571" s="77"/>
    </row>
    <row r="2572" spans="1:61" x14ac:dyDescent="0.25">
      <c r="A2572" s="62" t="s">
        <v>886</v>
      </c>
      <c r="B2572" s="62" t="s">
        <v>886</v>
      </c>
      <c r="C2572" s="63"/>
      <c r="D2572" s="64"/>
      <c r="E2572" s="65"/>
      <c r="F2572" s="66"/>
      <c r="G2572" s="63"/>
      <c r="H2572" s="67"/>
      <c r="I2572" s="68"/>
      <c r="J2572" s="68"/>
      <c r="K2572" s="32"/>
      <c r="L2572" s="75">
        <v>2572</v>
      </c>
      <c r="M2572" s="75"/>
      <c r="N2572" s="70"/>
      <c r="O2572" s="77" t="s">
        <v>179</v>
      </c>
      <c r="P2572" s="79">
        <v>45105.676423611112</v>
      </c>
      <c r="Q2572" s="77" t="s">
        <v>3778</v>
      </c>
      <c r="R2572" s="77">
        <v>0</v>
      </c>
      <c r="S2572" s="77">
        <v>1</v>
      </c>
      <c r="T2572" s="77">
        <v>0</v>
      </c>
      <c r="U2572" s="77">
        <v>0</v>
      </c>
      <c r="V2572" s="77">
        <v>79</v>
      </c>
      <c r="W2572" s="82" t="s">
        <v>6514</v>
      </c>
      <c r="X2572" s="77"/>
      <c r="Y2572" s="77"/>
      <c r="Z2572" s="77"/>
      <c r="AA2572" s="77" t="s">
        <v>8968</v>
      </c>
      <c r="AB2572" s="77" t="s">
        <v>10129</v>
      </c>
      <c r="AC2572" s="82" t="s">
        <v>10145</v>
      </c>
      <c r="AD2572" s="77" t="s">
        <v>10184</v>
      </c>
      <c r="AE2572" s="80" t="str">
        <f>HYPERLINK("https://twitter.com/rafaelamorimofc/status/1674088783921201152")</f>
        <v>https://twitter.com/rafaelamorimofc/status/1674088783921201152</v>
      </c>
      <c r="AF2572" s="79">
        <v>45105.676423611112</v>
      </c>
      <c r="AG2572" s="85">
        <v>45105</v>
      </c>
      <c r="AH2572" s="82" t="s">
        <v>12653</v>
      </c>
      <c r="AI2572" s="77" t="b">
        <v>0</v>
      </c>
      <c r="AJ2572" s="77"/>
      <c r="AK2572" s="77"/>
      <c r="AL2572" s="77"/>
      <c r="AM2572" s="77"/>
      <c r="AN2572" s="77"/>
      <c r="AO2572" s="77"/>
      <c r="AP2572" s="77"/>
      <c r="AQ2572" s="77" t="s">
        <v>15611</v>
      </c>
      <c r="AR2572" s="77">
        <v>7016</v>
      </c>
      <c r="AS2572" s="77"/>
      <c r="AT2572" s="77"/>
      <c r="AU2572" s="77"/>
      <c r="AV2572" s="80" t="str">
        <f>HYPERLINK("https://pbs.twimg.com/ext_tw_video_thumb/1674088718263541761/pu/img/IPqGQZYVjKVeBvqc.jpg")</f>
        <v>https://pbs.twimg.com/ext_tw_video_thumb/1674088718263541761/pu/img/IPqGQZYVjKVeBvqc.jpg</v>
      </c>
      <c r="AW2572" s="82" t="s">
        <v>19338</v>
      </c>
      <c r="AX2572" s="82" t="s">
        <v>19338</v>
      </c>
      <c r="AY2572" s="77"/>
      <c r="AZ2572" s="82" t="s">
        <v>20971</v>
      </c>
      <c r="BA2572" s="82" t="s">
        <v>20971</v>
      </c>
      <c r="BB2572" s="82" t="s">
        <v>20971</v>
      </c>
      <c r="BC2572" s="82" t="s">
        <v>19338</v>
      </c>
      <c r="BD2572" s="82" t="s">
        <v>21505</v>
      </c>
      <c r="BE2572" s="77"/>
      <c r="BF2572" s="77"/>
      <c r="BG2572" s="77"/>
      <c r="BH2572" s="77"/>
      <c r="BI2572" s="77"/>
    </row>
    <row r="2573" spans="1:61" x14ac:dyDescent="0.25">
      <c r="A2573" s="62" t="s">
        <v>886</v>
      </c>
      <c r="B2573" s="62" t="s">
        <v>886</v>
      </c>
      <c r="C2573" s="63"/>
      <c r="D2573" s="64"/>
      <c r="E2573" s="65"/>
      <c r="F2573" s="66"/>
      <c r="G2573" s="63"/>
      <c r="H2573" s="67"/>
      <c r="I2573" s="68"/>
      <c r="J2573" s="68"/>
      <c r="K2573" s="32"/>
      <c r="L2573" s="75">
        <v>2573</v>
      </c>
      <c r="M2573" s="75"/>
      <c r="N2573" s="70"/>
      <c r="O2573" s="77" t="s">
        <v>179</v>
      </c>
      <c r="P2573" s="79">
        <v>45105.486238425925</v>
      </c>
      <c r="Q2573" s="77" t="s">
        <v>3779</v>
      </c>
      <c r="R2573" s="77">
        <v>0</v>
      </c>
      <c r="S2573" s="77">
        <v>0</v>
      </c>
      <c r="T2573" s="77">
        <v>0</v>
      </c>
      <c r="U2573" s="77">
        <v>0</v>
      </c>
      <c r="V2573" s="77">
        <v>50</v>
      </c>
      <c r="W2573" s="82" t="s">
        <v>6514</v>
      </c>
      <c r="X2573" s="77"/>
      <c r="Y2573" s="77"/>
      <c r="Z2573" s="77"/>
      <c r="AA2573" s="77" t="s">
        <v>8969</v>
      </c>
      <c r="AB2573" s="77" t="s">
        <v>10129</v>
      </c>
      <c r="AC2573" s="82" t="s">
        <v>10145</v>
      </c>
      <c r="AD2573" s="77" t="s">
        <v>10184</v>
      </c>
      <c r="AE2573" s="80" t="str">
        <f>HYPERLINK("https://twitter.com/rafaelamorimofc/status/1674019860458643459")</f>
        <v>https://twitter.com/rafaelamorimofc/status/1674019860458643459</v>
      </c>
      <c r="AF2573" s="79">
        <v>45105.486238425925</v>
      </c>
      <c r="AG2573" s="85">
        <v>45105</v>
      </c>
      <c r="AH2573" s="82" t="s">
        <v>12654</v>
      </c>
      <c r="AI2573" s="77" t="b">
        <v>0</v>
      </c>
      <c r="AJ2573" s="77"/>
      <c r="AK2573" s="77"/>
      <c r="AL2573" s="77"/>
      <c r="AM2573" s="77"/>
      <c r="AN2573" s="77"/>
      <c r="AO2573" s="77"/>
      <c r="AP2573" s="77"/>
      <c r="AQ2573" s="77" t="s">
        <v>15612</v>
      </c>
      <c r="AR2573" s="77">
        <v>7166</v>
      </c>
      <c r="AS2573" s="77"/>
      <c r="AT2573" s="77"/>
      <c r="AU2573" s="77"/>
      <c r="AV2573" s="80" t="str">
        <f>HYPERLINK("https://pbs.twimg.com/ext_tw_video_thumb/1674019809921572866/pu/img/P4m_kDvFE6OwIFuZ.jpg")</f>
        <v>https://pbs.twimg.com/ext_tw_video_thumb/1674019809921572866/pu/img/P4m_kDvFE6OwIFuZ.jpg</v>
      </c>
      <c r="AW2573" s="82" t="s">
        <v>19339</v>
      </c>
      <c r="AX2573" s="82" t="s">
        <v>19339</v>
      </c>
      <c r="AY2573" s="77"/>
      <c r="AZ2573" s="82" t="s">
        <v>20971</v>
      </c>
      <c r="BA2573" s="82" t="s">
        <v>20971</v>
      </c>
      <c r="BB2573" s="82" t="s">
        <v>20971</v>
      </c>
      <c r="BC2573" s="82" t="s">
        <v>19339</v>
      </c>
      <c r="BD2573" s="82" t="s">
        <v>21505</v>
      </c>
      <c r="BE2573" s="77"/>
      <c r="BF2573" s="77"/>
      <c r="BG2573" s="77"/>
      <c r="BH2573" s="77"/>
      <c r="BI2573" s="77"/>
    </row>
    <row r="2574" spans="1:61" x14ac:dyDescent="0.25">
      <c r="A2574" s="62" t="s">
        <v>886</v>
      </c>
      <c r="B2574" s="62" t="s">
        <v>886</v>
      </c>
      <c r="C2574" s="63"/>
      <c r="D2574" s="64"/>
      <c r="E2574" s="65"/>
      <c r="F2574" s="66"/>
      <c r="G2574" s="63"/>
      <c r="H2574" s="67"/>
      <c r="I2574" s="68"/>
      <c r="J2574" s="68"/>
      <c r="K2574" s="32"/>
      <c r="L2574" s="75">
        <v>2574</v>
      </c>
      <c r="M2574" s="75"/>
      <c r="N2574" s="70"/>
      <c r="O2574" s="77" t="s">
        <v>179</v>
      </c>
      <c r="P2574" s="79">
        <v>45084.620104166665</v>
      </c>
      <c r="Q2574" s="77" t="s">
        <v>3780</v>
      </c>
      <c r="R2574" s="77">
        <v>0</v>
      </c>
      <c r="S2574" s="77">
        <v>0</v>
      </c>
      <c r="T2574" s="77">
        <v>0</v>
      </c>
      <c r="U2574" s="77">
        <v>0</v>
      </c>
      <c r="V2574" s="77">
        <v>43</v>
      </c>
      <c r="W2574" s="82" t="s">
        <v>6514</v>
      </c>
      <c r="X2574" s="77"/>
      <c r="Y2574" s="77"/>
      <c r="Z2574" s="77"/>
      <c r="AA2574" s="77" t="s">
        <v>8970</v>
      </c>
      <c r="AB2574" s="77" t="s">
        <v>10129</v>
      </c>
      <c r="AC2574" s="82" t="s">
        <v>10145</v>
      </c>
      <c r="AD2574" s="77" t="s">
        <v>10184</v>
      </c>
      <c r="AE2574" s="80" t="str">
        <f>HYPERLINK("https://twitter.com/rafaelamorimofc/status/1666458228115341314")</f>
        <v>https://twitter.com/rafaelamorimofc/status/1666458228115341314</v>
      </c>
      <c r="AF2574" s="79">
        <v>45084.620104166665</v>
      </c>
      <c r="AG2574" s="85">
        <v>45084</v>
      </c>
      <c r="AH2574" s="82" t="s">
        <v>12655</v>
      </c>
      <c r="AI2574" s="77" t="b">
        <v>0</v>
      </c>
      <c r="AJ2574" s="77"/>
      <c r="AK2574" s="77"/>
      <c r="AL2574" s="77"/>
      <c r="AM2574" s="77"/>
      <c r="AN2574" s="77"/>
      <c r="AO2574" s="77"/>
      <c r="AP2574" s="77"/>
      <c r="AQ2574" s="77" t="s">
        <v>15613</v>
      </c>
      <c r="AR2574" s="77">
        <v>13795</v>
      </c>
      <c r="AS2574" s="77"/>
      <c r="AT2574" s="77"/>
      <c r="AU2574" s="77"/>
      <c r="AV2574" s="80" t="str">
        <f>HYPERLINK("https://pbs.twimg.com/ext_tw_video_thumb/1666458154652033026/pu/img/EvtEYnb5Rdhf8u59.jpg")</f>
        <v>https://pbs.twimg.com/ext_tw_video_thumb/1666458154652033026/pu/img/EvtEYnb5Rdhf8u59.jpg</v>
      </c>
      <c r="AW2574" s="82" t="s">
        <v>19340</v>
      </c>
      <c r="AX2574" s="82" t="s">
        <v>19340</v>
      </c>
      <c r="AY2574" s="77"/>
      <c r="AZ2574" s="82" t="s">
        <v>20971</v>
      </c>
      <c r="BA2574" s="82" t="s">
        <v>20971</v>
      </c>
      <c r="BB2574" s="82" t="s">
        <v>20971</v>
      </c>
      <c r="BC2574" s="82" t="s">
        <v>19340</v>
      </c>
      <c r="BD2574" s="82" t="s">
        <v>21505</v>
      </c>
      <c r="BE2574" s="77"/>
      <c r="BF2574" s="77"/>
      <c r="BG2574" s="77"/>
      <c r="BH2574" s="77"/>
      <c r="BI2574" s="77"/>
    </row>
    <row r="2575" spans="1:61" x14ac:dyDescent="0.25">
      <c r="A2575" s="62" t="s">
        <v>886</v>
      </c>
      <c r="B2575" s="62" t="s">
        <v>886</v>
      </c>
      <c r="C2575" s="63"/>
      <c r="D2575" s="64"/>
      <c r="E2575" s="65"/>
      <c r="F2575" s="66"/>
      <c r="G2575" s="63"/>
      <c r="H2575" s="67"/>
      <c r="I2575" s="68"/>
      <c r="J2575" s="68"/>
      <c r="K2575" s="32"/>
      <c r="L2575" s="75">
        <v>2575</v>
      </c>
      <c r="M2575" s="75"/>
      <c r="N2575" s="70"/>
      <c r="O2575" s="77" t="s">
        <v>179</v>
      </c>
      <c r="P2575" s="79">
        <v>45059.619525462964</v>
      </c>
      <c r="Q2575" s="77" t="s">
        <v>3781</v>
      </c>
      <c r="R2575" s="77">
        <v>0</v>
      </c>
      <c r="S2575" s="77">
        <v>0</v>
      </c>
      <c r="T2575" s="77">
        <v>0</v>
      </c>
      <c r="U2575" s="77">
        <v>0</v>
      </c>
      <c r="V2575" s="77">
        <v>84</v>
      </c>
      <c r="W2575" s="82" t="s">
        <v>6521</v>
      </c>
      <c r="X2575" s="77"/>
      <c r="Y2575" s="77"/>
      <c r="Z2575" s="77"/>
      <c r="AA2575" s="77" t="s">
        <v>8971</v>
      </c>
      <c r="AB2575" s="77" t="s">
        <v>10129</v>
      </c>
      <c r="AC2575" s="82" t="s">
        <v>10145</v>
      </c>
      <c r="AD2575" s="77" t="s">
        <v>10184</v>
      </c>
      <c r="AE2575" s="80" t="str">
        <f>HYPERLINK("https://twitter.com/rafaelamorimofc/status/1657398321982447616")</f>
        <v>https://twitter.com/rafaelamorimofc/status/1657398321982447616</v>
      </c>
      <c r="AF2575" s="79">
        <v>45059.619525462964</v>
      </c>
      <c r="AG2575" s="85">
        <v>45059</v>
      </c>
      <c r="AH2575" s="82" t="s">
        <v>12656</v>
      </c>
      <c r="AI2575" s="77" t="b">
        <v>0</v>
      </c>
      <c r="AJ2575" s="77"/>
      <c r="AK2575" s="77"/>
      <c r="AL2575" s="77"/>
      <c r="AM2575" s="77"/>
      <c r="AN2575" s="77"/>
      <c r="AO2575" s="77"/>
      <c r="AP2575" s="77"/>
      <c r="AQ2575" s="77" t="s">
        <v>15614</v>
      </c>
      <c r="AR2575" s="77">
        <v>7051</v>
      </c>
      <c r="AS2575" s="77"/>
      <c r="AT2575" s="77"/>
      <c r="AU2575" s="77"/>
      <c r="AV2575" s="80" t="str">
        <f>HYPERLINK("https://pbs.twimg.com/ext_tw_video_thumb/1657398285131186180/pu/img/Bw1TMlWK2_W1uYR0.jpg")</f>
        <v>https://pbs.twimg.com/ext_tw_video_thumb/1657398285131186180/pu/img/Bw1TMlWK2_W1uYR0.jpg</v>
      </c>
      <c r="AW2575" s="82" t="s">
        <v>19341</v>
      </c>
      <c r="AX2575" s="82" t="s">
        <v>19341</v>
      </c>
      <c r="AY2575" s="77"/>
      <c r="AZ2575" s="82" t="s">
        <v>20971</v>
      </c>
      <c r="BA2575" s="82" t="s">
        <v>20971</v>
      </c>
      <c r="BB2575" s="82" t="s">
        <v>20971</v>
      </c>
      <c r="BC2575" s="82" t="s">
        <v>19341</v>
      </c>
      <c r="BD2575" s="82" t="s">
        <v>21505</v>
      </c>
      <c r="BE2575" s="77"/>
      <c r="BF2575" s="77"/>
      <c r="BG2575" s="77"/>
      <c r="BH2575" s="77"/>
      <c r="BI2575" s="77"/>
    </row>
    <row r="2576" spans="1:61" x14ac:dyDescent="0.25">
      <c r="A2576" s="62" t="s">
        <v>886</v>
      </c>
      <c r="B2576" s="62" t="s">
        <v>886</v>
      </c>
      <c r="C2576" s="63"/>
      <c r="D2576" s="64"/>
      <c r="E2576" s="65"/>
      <c r="F2576" s="66"/>
      <c r="G2576" s="63"/>
      <c r="H2576" s="67"/>
      <c r="I2576" s="68"/>
      <c r="J2576" s="68"/>
      <c r="K2576" s="32"/>
      <c r="L2576" s="75">
        <v>2576</v>
      </c>
      <c r="M2576" s="75"/>
      <c r="N2576" s="70"/>
      <c r="O2576" s="77" t="s">
        <v>179</v>
      </c>
      <c r="P2576" s="79">
        <v>45059.491759259261</v>
      </c>
      <c r="Q2576" s="77" t="s">
        <v>3782</v>
      </c>
      <c r="R2576" s="77">
        <v>0</v>
      </c>
      <c r="S2576" s="77">
        <v>0</v>
      </c>
      <c r="T2576" s="77">
        <v>0</v>
      </c>
      <c r="U2576" s="77">
        <v>0</v>
      </c>
      <c r="V2576" s="77">
        <v>29</v>
      </c>
      <c r="W2576" s="82" t="s">
        <v>6522</v>
      </c>
      <c r="X2576" s="77"/>
      <c r="Y2576" s="77"/>
      <c r="Z2576" s="77"/>
      <c r="AA2576" s="77" t="s">
        <v>8972</v>
      </c>
      <c r="AB2576" s="77" t="s">
        <v>10129</v>
      </c>
      <c r="AC2576" s="82" t="s">
        <v>10145</v>
      </c>
      <c r="AD2576" s="77" t="s">
        <v>10189</v>
      </c>
      <c r="AE2576" s="80" t="str">
        <f>HYPERLINK("https://twitter.com/rafaelamorimofc/status/1657352020905410561")</f>
        <v>https://twitter.com/rafaelamorimofc/status/1657352020905410561</v>
      </c>
      <c r="AF2576" s="79">
        <v>45059.491759259261</v>
      </c>
      <c r="AG2576" s="85">
        <v>45059</v>
      </c>
      <c r="AH2576" s="82" t="s">
        <v>12657</v>
      </c>
      <c r="AI2576" s="77" t="b">
        <v>0</v>
      </c>
      <c r="AJ2576" s="77"/>
      <c r="AK2576" s="77"/>
      <c r="AL2576" s="77"/>
      <c r="AM2576" s="77"/>
      <c r="AN2576" s="77"/>
      <c r="AO2576" s="77"/>
      <c r="AP2576" s="77"/>
      <c r="AQ2576" s="77" t="s">
        <v>15615</v>
      </c>
      <c r="AR2576" s="77">
        <v>7585</v>
      </c>
      <c r="AS2576" s="77"/>
      <c r="AT2576" s="77"/>
      <c r="AU2576" s="77"/>
      <c r="AV2576" s="80" t="str">
        <f>HYPERLINK("https://pbs.twimg.com/ext_tw_video_thumb/1657351978853318657/pu/img/ZDCJvU894wfjE4qD.jpg")</f>
        <v>https://pbs.twimg.com/ext_tw_video_thumb/1657351978853318657/pu/img/ZDCJvU894wfjE4qD.jpg</v>
      </c>
      <c r="AW2576" s="82" t="s">
        <v>19342</v>
      </c>
      <c r="AX2576" s="82" t="s">
        <v>19342</v>
      </c>
      <c r="AY2576" s="77"/>
      <c r="AZ2576" s="82" t="s">
        <v>20971</v>
      </c>
      <c r="BA2576" s="82" t="s">
        <v>20971</v>
      </c>
      <c r="BB2576" s="82" t="s">
        <v>20971</v>
      </c>
      <c r="BC2576" s="82" t="s">
        <v>19342</v>
      </c>
      <c r="BD2576" s="82" t="s">
        <v>21505</v>
      </c>
      <c r="BE2576" s="77"/>
      <c r="BF2576" s="77"/>
      <c r="BG2576" s="77"/>
      <c r="BH2576" s="77"/>
      <c r="BI2576" s="77"/>
    </row>
    <row r="2577" spans="1:61" x14ac:dyDescent="0.25">
      <c r="A2577" s="62" t="s">
        <v>886</v>
      </c>
      <c r="B2577" s="62" t="s">
        <v>886</v>
      </c>
      <c r="C2577" s="63"/>
      <c r="D2577" s="64"/>
      <c r="E2577" s="65"/>
      <c r="F2577" s="66"/>
      <c r="G2577" s="63"/>
      <c r="H2577" s="67"/>
      <c r="I2577" s="68"/>
      <c r="J2577" s="68"/>
      <c r="K2577" s="32"/>
      <c r="L2577" s="75">
        <v>2577</v>
      </c>
      <c r="M2577" s="75"/>
      <c r="N2577" s="70"/>
      <c r="O2577" s="77" t="s">
        <v>179</v>
      </c>
      <c r="P2577" s="79">
        <v>45058.571388888886</v>
      </c>
      <c r="Q2577" s="77" t="s">
        <v>3783</v>
      </c>
      <c r="R2577" s="77">
        <v>0</v>
      </c>
      <c r="S2577" s="77">
        <v>0</v>
      </c>
      <c r="T2577" s="77">
        <v>0</v>
      </c>
      <c r="U2577" s="77">
        <v>0</v>
      </c>
      <c r="V2577" s="77">
        <v>50</v>
      </c>
      <c r="W2577" s="82" t="s">
        <v>6523</v>
      </c>
      <c r="X2577" s="77"/>
      <c r="Y2577" s="77"/>
      <c r="Z2577" s="77"/>
      <c r="AA2577" s="77" t="s">
        <v>8973</v>
      </c>
      <c r="AB2577" s="77" t="s">
        <v>10129</v>
      </c>
      <c r="AC2577" s="82" t="s">
        <v>10145</v>
      </c>
      <c r="AD2577" s="77" t="s">
        <v>10184</v>
      </c>
      <c r="AE2577" s="80" t="str">
        <f>HYPERLINK("https://twitter.com/rafaelamorimofc/status/1657018488312012803")</f>
        <v>https://twitter.com/rafaelamorimofc/status/1657018488312012803</v>
      </c>
      <c r="AF2577" s="79">
        <v>45058.571388888886</v>
      </c>
      <c r="AG2577" s="85">
        <v>45058</v>
      </c>
      <c r="AH2577" s="82" t="s">
        <v>12658</v>
      </c>
      <c r="AI2577" s="77" t="b">
        <v>0</v>
      </c>
      <c r="AJ2577" s="77"/>
      <c r="AK2577" s="77"/>
      <c r="AL2577" s="77"/>
      <c r="AM2577" s="77"/>
      <c r="AN2577" s="77"/>
      <c r="AO2577" s="77"/>
      <c r="AP2577" s="77"/>
      <c r="AQ2577" s="77" t="s">
        <v>15616</v>
      </c>
      <c r="AR2577" s="77">
        <v>11666</v>
      </c>
      <c r="AS2577" s="77"/>
      <c r="AT2577" s="77"/>
      <c r="AU2577" s="77"/>
      <c r="AV2577" s="80" t="str">
        <f>HYPERLINK("https://pbs.twimg.com/ext_tw_video_thumb/1657018438936567810/pu/img/EdTAvbHLf-RECQWt.jpg")</f>
        <v>https://pbs.twimg.com/ext_tw_video_thumb/1657018438936567810/pu/img/EdTAvbHLf-RECQWt.jpg</v>
      </c>
      <c r="AW2577" s="82" t="s">
        <v>19343</v>
      </c>
      <c r="AX2577" s="82" t="s">
        <v>19343</v>
      </c>
      <c r="AY2577" s="77"/>
      <c r="AZ2577" s="82" t="s">
        <v>20971</v>
      </c>
      <c r="BA2577" s="82" t="s">
        <v>20971</v>
      </c>
      <c r="BB2577" s="82" t="s">
        <v>20971</v>
      </c>
      <c r="BC2577" s="82" t="s">
        <v>19343</v>
      </c>
      <c r="BD2577" s="82" t="s">
        <v>21505</v>
      </c>
      <c r="BE2577" s="77"/>
      <c r="BF2577" s="77"/>
      <c r="BG2577" s="77"/>
      <c r="BH2577" s="77"/>
      <c r="BI2577" s="77"/>
    </row>
    <row r="2578" spans="1:61" x14ac:dyDescent="0.25">
      <c r="A2578" s="62" t="s">
        <v>886</v>
      </c>
      <c r="B2578" s="62" t="s">
        <v>886</v>
      </c>
      <c r="C2578" s="63"/>
      <c r="D2578" s="64"/>
      <c r="E2578" s="65"/>
      <c r="F2578" s="66"/>
      <c r="G2578" s="63"/>
      <c r="H2578" s="67"/>
      <c r="I2578" s="68"/>
      <c r="J2578" s="68"/>
      <c r="K2578" s="32"/>
      <c r="L2578" s="75">
        <v>2578</v>
      </c>
      <c r="M2578" s="75"/>
      <c r="N2578" s="70"/>
      <c r="O2578" s="77" t="s">
        <v>179</v>
      </c>
      <c r="P2578" s="79">
        <v>45188.574074074073</v>
      </c>
      <c r="Q2578" s="77" t="s">
        <v>3784</v>
      </c>
      <c r="R2578" s="77">
        <v>0</v>
      </c>
      <c r="S2578" s="77">
        <v>0</v>
      </c>
      <c r="T2578" s="77">
        <v>0</v>
      </c>
      <c r="U2578" s="77">
        <v>0</v>
      </c>
      <c r="V2578" s="77">
        <v>13</v>
      </c>
      <c r="W2578" s="82" t="s">
        <v>6520</v>
      </c>
      <c r="X2578" s="80" t="str">
        <f>HYPERLINK("http://linkr.bio/iniciar_")</f>
        <v>http://linkr.bio/iniciar_</v>
      </c>
      <c r="Y2578" s="77" t="s">
        <v>7431</v>
      </c>
      <c r="Z2578" s="77"/>
      <c r="AA2578" s="77" t="s">
        <v>8974</v>
      </c>
      <c r="AB2578" s="77" t="s">
        <v>10129</v>
      </c>
      <c r="AC2578" s="82" t="s">
        <v>10145</v>
      </c>
      <c r="AD2578" s="77" t="s">
        <v>10184</v>
      </c>
      <c r="AE2578" s="80" t="str">
        <f>HYPERLINK("https://twitter.com/rafaelamorimofc/status/1704129883272581230")</f>
        <v>https://twitter.com/rafaelamorimofc/status/1704129883272581230</v>
      </c>
      <c r="AF2578" s="79">
        <v>45188.574074074073</v>
      </c>
      <c r="AG2578" s="85">
        <v>45188</v>
      </c>
      <c r="AH2578" s="82" t="s">
        <v>12659</v>
      </c>
      <c r="AI2578" s="77" t="b">
        <v>0</v>
      </c>
      <c r="AJ2578" s="77"/>
      <c r="AK2578" s="77"/>
      <c r="AL2578" s="77"/>
      <c r="AM2578" s="77"/>
      <c r="AN2578" s="77"/>
      <c r="AO2578" s="77"/>
      <c r="AP2578" s="77"/>
      <c r="AQ2578" s="77" t="s">
        <v>15617</v>
      </c>
      <c r="AR2578" s="77">
        <v>13750</v>
      </c>
      <c r="AS2578" s="77"/>
      <c r="AT2578" s="77"/>
      <c r="AU2578" s="77"/>
      <c r="AV2578" s="80" t="str">
        <f>HYPERLINK("https://pbs.twimg.com/ext_tw_video_thumb/1704129798300401664/pu/img/lPVSECTJ5Ug3PZMV.jpg")</f>
        <v>https://pbs.twimg.com/ext_tw_video_thumb/1704129798300401664/pu/img/lPVSECTJ5Ug3PZMV.jpg</v>
      </c>
      <c r="AW2578" s="82" t="s">
        <v>19344</v>
      </c>
      <c r="AX2578" s="82" t="s">
        <v>19344</v>
      </c>
      <c r="AY2578" s="77"/>
      <c r="AZ2578" s="82" t="s">
        <v>20971</v>
      </c>
      <c r="BA2578" s="82" t="s">
        <v>20971</v>
      </c>
      <c r="BB2578" s="82" t="s">
        <v>20971</v>
      </c>
      <c r="BC2578" s="82" t="s">
        <v>19344</v>
      </c>
      <c r="BD2578" s="82" t="s">
        <v>21505</v>
      </c>
      <c r="BE2578" s="77"/>
      <c r="BF2578" s="77"/>
      <c r="BG2578" s="77"/>
      <c r="BH2578" s="77"/>
      <c r="BI2578" s="77"/>
    </row>
    <row r="2579" spans="1:61" x14ac:dyDescent="0.25">
      <c r="A2579" s="62" t="s">
        <v>886</v>
      </c>
      <c r="B2579" s="62" t="s">
        <v>886</v>
      </c>
      <c r="C2579" s="63"/>
      <c r="D2579" s="64"/>
      <c r="E2579" s="65"/>
      <c r="F2579" s="66"/>
      <c r="G2579" s="63"/>
      <c r="H2579" s="67"/>
      <c r="I2579" s="68"/>
      <c r="J2579" s="68"/>
      <c r="K2579" s="32"/>
      <c r="L2579" s="75">
        <v>2579</v>
      </c>
      <c r="M2579" s="75"/>
      <c r="N2579" s="70"/>
      <c r="O2579" s="77" t="s">
        <v>179</v>
      </c>
      <c r="P2579" s="79">
        <v>45170.572743055556</v>
      </c>
      <c r="Q2579" s="77" t="s">
        <v>3785</v>
      </c>
      <c r="R2579" s="77">
        <v>0</v>
      </c>
      <c r="S2579" s="77">
        <v>0</v>
      </c>
      <c r="T2579" s="77">
        <v>0</v>
      </c>
      <c r="U2579" s="77">
        <v>0</v>
      </c>
      <c r="V2579" s="77">
        <v>10</v>
      </c>
      <c r="W2579" s="82" t="s">
        <v>6520</v>
      </c>
      <c r="X2579" s="80" t="str">
        <f>HYPERLINK("http://linkr.bio/iniciar_")</f>
        <v>http://linkr.bio/iniciar_</v>
      </c>
      <c r="Y2579" s="77" t="s">
        <v>7431</v>
      </c>
      <c r="Z2579" s="77"/>
      <c r="AA2579" s="77" t="s">
        <v>8975</v>
      </c>
      <c r="AB2579" s="77" t="s">
        <v>10129</v>
      </c>
      <c r="AC2579" s="82" t="s">
        <v>10145</v>
      </c>
      <c r="AD2579" s="77" t="s">
        <v>10184</v>
      </c>
      <c r="AE2579" s="80" t="str">
        <f>HYPERLINK("https://twitter.com/rafaelamorimofc/status/1697606421678895610")</f>
        <v>https://twitter.com/rafaelamorimofc/status/1697606421678895610</v>
      </c>
      <c r="AF2579" s="79">
        <v>45170.572743055556</v>
      </c>
      <c r="AG2579" s="85">
        <v>45170</v>
      </c>
      <c r="AH2579" s="82" t="s">
        <v>12660</v>
      </c>
      <c r="AI2579" s="77" t="b">
        <v>0</v>
      </c>
      <c r="AJ2579" s="77"/>
      <c r="AK2579" s="77"/>
      <c r="AL2579" s="77"/>
      <c r="AM2579" s="77"/>
      <c r="AN2579" s="77"/>
      <c r="AO2579" s="77"/>
      <c r="AP2579" s="77"/>
      <c r="AQ2579" s="77" t="s">
        <v>15618</v>
      </c>
      <c r="AR2579" s="77">
        <v>9433</v>
      </c>
      <c r="AS2579" s="77"/>
      <c r="AT2579" s="77"/>
      <c r="AU2579" s="77"/>
      <c r="AV2579" s="80" t="str">
        <f>HYPERLINK("https://pbs.twimg.com/ext_tw_video_thumb/1697606368658612224/pu/img/fkJ9D9GhGzK9XJjJ.jpg")</f>
        <v>https://pbs.twimg.com/ext_tw_video_thumb/1697606368658612224/pu/img/fkJ9D9GhGzK9XJjJ.jpg</v>
      </c>
      <c r="AW2579" s="82" t="s">
        <v>19345</v>
      </c>
      <c r="AX2579" s="82" t="s">
        <v>19345</v>
      </c>
      <c r="AY2579" s="77"/>
      <c r="AZ2579" s="82" t="s">
        <v>20971</v>
      </c>
      <c r="BA2579" s="82" t="s">
        <v>20971</v>
      </c>
      <c r="BB2579" s="82" t="s">
        <v>20971</v>
      </c>
      <c r="BC2579" s="82" t="s">
        <v>19345</v>
      </c>
      <c r="BD2579" s="82" t="s">
        <v>21505</v>
      </c>
      <c r="BE2579" s="77"/>
      <c r="BF2579" s="77"/>
      <c r="BG2579" s="77"/>
      <c r="BH2579" s="77"/>
      <c r="BI2579" s="77"/>
    </row>
    <row r="2580" spans="1:61" x14ac:dyDescent="0.25">
      <c r="A2580" s="62" t="s">
        <v>886</v>
      </c>
      <c r="B2580" s="62" t="s">
        <v>886</v>
      </c>
      <c r="C2580" s="63"/>
      <c r="D2580" s="64"/>
      <c r="E2580" s="65"/>
      <c r="F2580" s="66"/>
      <c r="G2580" s="63"/>
      <c r="H2580" s="67"/>
      <c r="I2580" s="68"/>
      <c r="J2580" s="68"/>
      <c r="K2580" s="32"/>
      <c r="L2580" s="75">
        <v>2580</v>
      </c>
      <c r="M2580" s="75"/>
      <c r="N2580" s="70"/>
      <c r="O2580" s="77" t="s">
        <v>179</v>
      </c>
      <c r="P2580" s="79">
        <v>45153.504861111112</v>
      </c>
      <c r="Q2580" s="77" t="s">
        <v>3786</v>
      </c>
      <c r="R2580" s="77">
        <v>0</v>
      </c>
      <c r="S2580" s="77">
        <v>0</v>
      </c>
      <c r="T2580" s="77">
        <v>0</v>
      </c>
      <c r="U2580" s="77">
        <v>0</v>
      </c>
      <c r="V2580" s="77">
        <v>19</v>
      </c>
      <c r="W2580" s="82" t="s">
        <v>6520</v>
      </c>
      <c r="X2580" s="80" t="str">
        <f>HYPERLINK("http://linkr.bio/iniciar_")</f>
        <v>http://linkr.bio/iniciar_</v>
      </c>
      <c r="Y2580" s="77" t="s">
        <v>7431</v>
      </c>
      <c r="Z2580" s="77"/>
      <c r="AA2580" s="77" t="s">
        <v>8976</v>
      </c>
      <c r="AB2580" s="77" t="s">
        <v>10129</v>
      </c>
      <c r="AC2580" s="82" t="s">
        <v>10145</v>
      </c>
      <c r="AD2580" s="77" t="s">
        <v>10184</v>
      </c>
      <c r="AE2580" s="80" t="str">
        <f>HYPERLINK("https://twitter.com/rafaelamorimofc/status/1691421226223177729")</f>
        <v>https://twitter.com/rafaelamorimofc/status/1691421226223177729</v>
      </c>
      <c r="AF2580" s="79">
        <v>45153.504861111112</v>
      </c>
      <c r="AG2580" s="85">
        <v>45153</v>
      </c>
      <c r="AH2580" s="82" t="s">
        <v>12661</v>
      </c>
      <c r="AI2580" s="77" t="b">
        <v>0</v>
      </c>
      <c r="AJ2580" s="77"/>
      <c r="AK2580" s="77"/>
      <c r="AL2580" s="77"/>
      <c r="AM2580" s="77"/>
      <c r="AN2580" s="77"/>
      <c r="AO2580" s="77"/>
      <c r="AP2580" s="77"/>
      <c r="AQ2580" s="77" t="s">
        <v>15619</v>
      </c>
      <c r="AR2580" s="77">
        <v>10440</v>
      </c>
      <c r="AS2580" s="77"/>
      <c r="AT2580" s="77"/>
      <c r="AU2580" s="77"/>
      <c r="AV2580" s="80" t="str">
        <f>HYPERLINK("https://pbs.twimg.com/ext_tw_video_thumb/1691421204274446336/pu/img/x4P6PMitZQvE8bAK.jpg")</f>
        <v>https://pbs.twimg.com/ext_tw_video_thumb/1691421204274446336/pu/img/x4P6PMitZQvE8bAK.jpg</v>
      </c>
      <c r="AW2580" s="82" t="s">
        <v>19346</v>
      </c>
      <c r="AX2580" s="82" t="s">
        <v>19346</v>
      </c>
      <c r="AY2580" s="77"/>
      <c r="AZ2580" s="82" t="s">
        <v>20971</v>
      </c>
      <c r="BA2580" s="82" t="s">
        <v>20971</v>
      </c>
      <c r="BB2580" s="82" t="s">
        <v>20971</v>
      </c>
      <c r="BC2580" s="82" t="s">
        <v>19346</v>
      </c>
      <c r="BD2580" s="82" t="s">
        <v>21505</v>
      </c>
      <c r="BE2580" s="77"/>
      <c r="BF2580" s="77"/>
      <c r="BG2580" s="77"/>
      <c r="BH2580" s="77"/>
      <c r="BI2580" s="77"/>
    </row>
    <row r="2581" spans="1:61" x14ac:dyDescent="0.25">
      <c r="A2581" s="62" t="s">
        <v>886</v>
      </c>
      <c r="B2581" s="62" t="s">
        <v>886</v>
      </c>
      <c r="C2581" s="63"/>
      <c r="D2581" s="64"/>
      <c r="E2581" s="65"/>
      <c r="F2581" s="66"/>
      <c r="G2581" s="63"/>
      <c r="H2581" s="67"/>
      <c r="I2581" s="68"/>
      <c r="J2581" s="68"/>
      <c r="K2581" s="32"/>
      <c r="L2581" s="75">
        <v>2581</v>
      </c>
      <c r="M2581" s="75"/>
      <c r="N2581" s="70"/>
      <c r="O2581" s="77" t="s">
        <v>179</v>
      </c>
      <c r="P2581" s="79">
        <v>45115.563981481479</v>
      </c>
      <c r="Q2581" s="77" t="s">
        <v>3787</v>
      </c>
      <c r="R2581" s="77">
        <v>0</v>
      </c>
      <c r="S2581" s="77">
        <v>0</v>
      </c>
      <c r="T2581" s="77">
        <v>0</v>
      </c>
      <c r="U2581" s="77">
        <v>0</v>
      </c>
      <c r="V2581" s="77">
        <v>49</v>
      </c>
      <c r="W2581" s="82" t="s">
        <v>6510</v>
      </c>
      <c r="X2581" s="80" t="str">
        <f>HYPERLINK("https://linkr.bio/iniciar_")</f>
        <v>https://linkr.bio/iniciar_</v>
      </c>
      <c r="Y2581" s="77" t="s">
        <v>7431</v>
      </c>
      <c r="Z2581" s="77"/>
      <c r="AA2581" s="77" t="s">
        <v>8977</v>
      </c>
      <c r="AB2581" s="77" t="s">
        <v>10129</v>
      </c>
      <c r="AC2581" s="82" t="s">
        <v>10145</v>
      </c>
      <c r="AD2581" s="77" t="s">
        <v>10184</v>
      </c>
      <c r="AE2581" s="80" t="str">
        <f>HYPERLINK("https://twitter.com/rafaelamorimofc/status/1677671914867769344")</f>
        <v>https://twitter.com/rafaelamorimofc/status/1677671914867769344</v>
      </c>
      <c r="AF2581" s="79">
        <v>45115.563981481479</v>
      </c>
      <c r="AG2581" s="85">
        <v>45115</v>
      </c>
      <c r="AH2581" s="82" t="s">
        <v>12662</v>
      </c>
      <c r="AI2581" s="77" t="b">
        <v>0</v>
      </c>
      <c r="AJ2581" s="77"/>
      <c r="AK2581" s="77"/>
      <c r="AL2581" s="77"/>
      <c r="AM2581" s="77"/>
      <c r="AN2581" s="77"/>
      <c r="AO2581" s="77"/>
      <c r="AP2581" s="77"/>
      <c r="AQ2581" s="77" t="s">
        <v>15620</v>
      </c>
      <c r="AR2581" s="77">
        <v>6500</v>
      </c>
      <c r="AS2581" s="77"/>
      <c r="AT2581" s="77"/>
      <c r="AU2581" s="77"/>
      <c r="AV2581" s="80" t="str">
        <f>HYPERLINK("https://pbs.twimg.com/ext_tw_video_thumb/1677671849939836928/pu/img/CUUg_iKayaORgnTi.jpg")</f>
        <v>https://pbs.twimg.com/ext_tw_video_thumb/1677671849939836928/pu/img/CUUg_iKayaORgnTi.jpg</v>
      </c>
      <c r="AW2581" s="82" t="s">
        <v>19347</v>
      </c>
      <c r="AX2581" s="82" t="s">
        <v>19347</v>
      </c>
      <c r="AY2581" s="77"/>
      <c r="AZ2581" s="82" t="s">
        <v>20971</v>
      </c>
      <c r="BA2581" s="82" t="s">
        <v>20971</v>
      </c>
      <c r="BB2581" s="82" t="s">
        <v>20971</v>
      </c>
      <c r="BC2581" s="82" t="s">
        <v>19347</v>
      </c>
      <c r="BD2581" s="82" t="s">
        <v>21505</v>
      </c>
      <c r="BE2581" s="77"/>
      <c r="BF2581" s="77"/>
      <c r="BG2581" s="77"/>
      <c r="BH2581" s="77"/>
      <c r="BI2581" s="77"/>
    </row>
    <row r="2582" spans="1:61" x14ac:dyDescent="0.25">
      <c r="A2582" s="62" t="s">
        <v>886</v>
      </c>
      <c r="B2582" s="62" t="s">
        <v>886</v>
      </c>
      <c r="C2582" s="63"/>
      <c r="D2582" s="64"/>
      <c r="E2582" s="65"/>
      <c r="F2582" s="66"/>
      <c r="G2582" s="63"/>
      <c r="H2582" s="67"/>
      <c r="I2582" s="68"/>
      <c r="J2582" s="68"/>
      <c r="K2582" s="32"/>
      <c r="L2582" s="75">
        <v>2582</v>
      </c>
      <c r="M2582" s="75"/>
      <c r="N2582" s="70"/>
      <c r="O2582" s="77" t="s">
        <v>179</v>
      </c>
      <c r="P2582" s="79">
        <v>45094.658009259256</v>
      </c>
      <c r="Q2582" s="77" t="s">
        <v>3788</v>
      </c>
      <c r="R2582" s="77">
        <v>0</v>
      </c>
      <c r="S2582" s="77">
        <v>1</v>
      </c>
      <c r="T2582" s="77">
        <v>0</v>
      </c>
      <c r="U2582" s="77">
        <v>0</v>
      </c>
      <c r="V2582" s="77">
        <v>77</v>
      </c>
      <c r="W2582" s="82" t="s">
        <v>6514</v>
      </c>
      <c r="X2582" s="77"/>
      <c r="Y2582" s="77"/>
      <c r="Z2582" s="77"/>
      <c r="AA2582" s="77" t="s">
        <v>8978</v>
      </c>
      <c r="AB2582" s="77" t="s">
        <v>10129</v>
      </c>
      <c r="AC2582" s="82" t="s">
        <v>10145</v>
      </c>
      <c r="AD2582" s="77" t="s">
        <v>10184</v>
      </c>
      <c r="AE2582" s="80" t="str">
        <f>HYPERLINK("https://twitter.com/rafaelamorimofc/status/1670095844161343492")</f>
        <v>https://twitter.com/rafaelamorimofc/status/1670095844161343492</v>
      </c>
      <c r="AF2582" s="79">
        <v>45094.658009259256</v>
      </c>
      <c r="AG2582" s="85">
        <v>45094</v>
      </c>
      <c r="AH2582" s="82" t="s">
        <v>12663</v>
      </c>
      <c r="AI2582" s="77" t="b">
        <v>0</v>
      </c>
      <c r="AJ2582" s="77"/>
      <c r="AK2582" s="77"/>
      <c r="AL2582" s="77"/>
      <c r="AM2582" s="77"/>
      <c r="AN2582" s="77"/>
      <c r="AO2582" s="77"/>
      <c r="AP2582" s="77"/>
      <c r="AQ2582" s="77" t="s">
        <v>15621</v>
      </c>
      <c r="AR2582" s="77">
        <v>9870</v>
      </c>
      <c r="AS2582" s="77"/>
      <c r="AT2582" s="77"/>
      <c r="AU2582" s="77"/>
      <c r="AV2582" s="80" t="str">
        <f>HYPERLINK("https://pbs.twimg.com/ext_tw_video_thumb/1670095766906339332/pu/img/hcCIAdxXzepfwRQf.jpg")</f>
        <v>https://pbs.twimg.com/ext_tw_video_thumb/1670095766906339332/pu/img/hcCIAdxXzepfwRQf.jpg</v>
      </c>
      <c r="AW2582" s="82" t="s">
        <v>19348</v>
      </c>
      <c r="AX2582" s="82" t="s">
        <v>19348</v>
      </c>
      <c r="AY2582" s="77"/>
      <c r="AZ2582" s="82" t="s">
        <v>20971</v>
      </c>
      <c r="BA2582" s="82" t="s">
        <v>20971</v>
      </c>
      <c r="BB2582" s="82" t="s">
        <v>20971</v>
      </c>
      <c r="BC2582" s="82" t="s">
        <v>19348</v>
      </c>
      <c r="BD2582" s="82" t="s">
        <v>21505</v>
      </c>
      <c r="BE2582" s="77"/>
      <c r="BF2582" s="77"/>
      <c r="BG2582" s="77"/>
      <c r="BH2582" s="77"/>
      <c r="BI2582" s="77"/>
    </row>
    <row r="2583" spans="1:61" x14ac:dyDescent="0.25">
      <c r="A2583" s="62" t="s">
        <v>886</v>
      </c>
      <c r="B2583" s="62" t="s">
        <v>886</v>
      </c>
      <c r="C2583" s="63"/>
      <c r="D2583" s="64"/>
      <c r="E2583" s="65"/>
      <c r="F2583" s="66"/>
      <c r="G2583" s="63"/>
      <c r="H2583" s="67"/>
      <c r="I2583" s="68"/>
      <c r="J2583" s="68"/>
      <c r="K2583" s="32"/>
      <c r="L2583" s="75">
        <v>2583</v>
      </c>
      <c r="M2583" s="75"/>
      <c r="N2583" s="70"/>
      <c r="O2583" s="77" t="s">
        <v>179</v>
      </c>
      <c r="P2583" s="79">
        <v>45075.642187500001</v>
      </c>
      <c r="Q2583" s="77" t="s">
        <v>3789</v>
      </c>
      <c r="R2583" s="77">
        <v>0</v>
      </c>
      <c r="S2583" s="77">
        <v>1</v>
      </c>
      <c r="T2583" s="77">
        <v>0</v>
      </c>
      <c r="U2583" s="77">
        <v>0</v>
      </c>
      <c r="V2583" s="77">
        <v>108</v>
      </c>
      <c r="W2583" s="82" t="s">
        <v>6507</v>
      </c>
      <c r="X2583" s="77"/>
      <c r="Y2583" s="77"/>
      <c r="Z2583" s="77"/>
      <c r="AA2583" s="77" t="s">
        <v>8979</v>
      </c>
      <c r="AB2583" s="77" t="s">
        <v>10129</v>
      </c>
      <c r="AC2583" s="82" t="s">
        <v>10145</v>
      </c>
      <c r="AD2583" s="77" t="s">
        <v>10184</v>
      </c>
      <c r="AE2583" s="80" t="str">
        <f>HYPERLINK("https://twitter.com/rafaelamorimofc/status/1663204741948616704")</f>
        <v>https://twitter.com/rafaelamorimofc/status/1663204741948616704</v>
      </c>
      <c r="AF2583" s="79">
        <v>45075.642187500001</v>
      </c>
      <c r="AG2583" s="85">
        <v>45075</v>
      </c>
      <c r="AH2583" s="82" t="s">
        <v>12664</v>
      </c>
      <c r="AI2583" s="77" t="b">
        <v>0</v>
      </c>
      <c r="AJ2583" s="77"/>
      <c r="AK2583" s="77"/>
      <c r="AL2583" s="77"/>
      <c r="AM2583" s="77"/>
      <c r="AN2583" s="77"/>
      <c r="AO2583" s="77"/>
      <c r="AP2583" s="77"/>
      <c r="AQ2583" s="77" t="s">
        <v>15622</v>
      </c>
      <c r="AR2583" s="77">
        <v>10000</v>
      </c>
      <c r="AS2583" s="77"/>
      <c r="AT2583" s="77"/>
      <c r="AU2583" s="77"/>
      <c r="AV2583" s="80" t="str">
        <f>HYPERLINK("https://pbs.twimg.com/ext_tw_video_thumb/1663204482392399874/pu/img/lk0Nc0RA7iGseq2x.jpg")</f>
        <v>https://pbs.twimg.com/ext_tw_video_thumb/1663204482392399874/pu/img/lk0Nc0RA7iGseq2x.jpg</v>
      </c>
      <c r="AW2583" s="82" t="s">
        <v>19349</v>
      </c>
      <c r="AX2583" s="82" t="s">
        <v>19349</v>
      </c>
      <c r="AY2583" s="77"/>
      <c r="AZ2583" s="82" t="s">
        <v>20971</v>
      </c>
      <c r="BA2583" s="82" t="s">
        <v>20971</v>
      </c>
      <c r="BB2583" s="82" t="s">
        <v>20971</v>
      </c>
      <c r="BC2583" s="82" t="s">
        <v>19349</v>
      </c>
      <c r="BD2583" s="82" t="s">
        <v>21505</v>
      </c>
      <c r="BE2583" s="77"/>
      <c r="BF2583" s="77"/>
      <c r="BG2583" s="77"/>
      <c r="BH2583" s="77"/>
      <c r="BI2583" s="77"/>
    </row>
    <row r="2584" spans="1:61" x14ac:dyDescent="0.25">
      <c r="A2584" s="62" t="s">
        <v>886</v>
      </c>
      <c r="B2584" s="62" t="s">
        <v>886</v>
      </c>
      <c r="C2584" s="63"/>
      <c r="D2584" s="64"/>
      <c r="E2584" s="65"/>
      <c r="F2584" s="66"/>
      <c r="G2584" s="63"/>
      <c r="H2584" s="67"/>
      <c r="I2584" s="68"/>
      <c r="J2584" s="68"/>
      <c r="K2584" s="32"/>
      <c r="L2584" s="75">
        <v>2584</v>
      </c>
      <c r="M2584" s="75"/>
      <c r="N2584" s="70"/>
      <c r="O2584" s="77" t="s">
        <v>179</v>
      </c>
      <c r="P2584" s="79">
        <v>45073.621342592596</v>
      </c>
      <c r="Q2584" s="77" t="s">
        <v>3790</v>
      </c>
      <c r="R2584" s="77">
        <v>0</v>
      </c>
      <c r="S2584" s="77">
        <v>0</v>
      </c>
      <c r="T2584" s="77">
        <v>0</v>
      </c>
      <c r="U2584" s="77">
        <v>0</v>
      </c>
      <c r="V2584" s="77">
        <v>74</v>
      </c>
      <c r="W2584" s="82" t="s">
        <v>6524</v>
      </c>
      <c r="X2584" s="77"/>
      <c r="Y2584" s="77"/>
      <c r="Z2584" s="77"/>
      <c r="AA2584" s="77" t="s">
        <v>8980</v>
      </c>
      <c r="AB2584" s="77" t="s">
        <v>10129</v>
      </c>
      <c r="AC2584" s="82" t="s">
        <v>10145</v>
      </c>
      <c r="AD2584" s="77" t="s">
        <v>10184</v>
      </c>
      <c r="AE2584" s="80" t="str">
        <f>HYPERLINK("https://twitter.com/rafaelamorimofc/status/1662472409260195842")</f>
        <v>https://twitter.com/rafaelamorimofc/status/1662472409260195842</v>
      </c>
      <c r="AF2584" s="79">
        <v>45073.621342592596</v>
      </c>
      <c r="AG2584" s="85">
        <v>45073</v>
      </c>
      <c r="AH2584" s="82" t="s">
        <v>12665</v>
      </c>
      <c r="AI2584" s="77" t="b">
        <v>0</v>
      </c>
      <c r="AJ2584" s="77"/>
      <c r="AK2584" s="77"/>
      <c r="AL2584" s="77"/>
      <c r="AM2584" s="77"/>
      <c r="AN2584" s="77"/>
      <c r="AO2584" s="77"/>
      <c r="AP2584" s="77"/>
      <c r="AQ2584" s="77" t="s">
        <v>15623</v>
      </c>
      <c r="AR2584" s="77">
        <v>7443</v>
      </c>
      <c r="AS2584" s="77"/>
      <c r="AT2584" s="77"/>
      <c r="AU2584" s="77"/>
      <c r="AV2584" s="80" t="str">
        <f>HYPERLINK("https://pbs.twimg.com/ext_tw_video_thumb/1662472348098854913/pu/img/YuESnoyLMq-Ex3JC.jpg")</f>
        <v>https://pbs.twimg.com/ext_tw_video_thumb/1662472348098854913/pu/img/YuESnoyLMq-Ex3JC.jpg</v>
      </c>
      <c r="AW2584" s="82" t="s">
        <v>19350</v>
      </c>
      <c r="AX2584" s="82" t="s">
        <v>19350</v>
      </c>
      <c r="AY2584" s="77"/>
      <c r="AZ2584" s="82" t="s">
        <v>20971</v>
      </c>
      <c r="BA2584" s="82" t="s">
        <v>20971</v>
      </c>
      <c r="BB2584" s="82" t="s">
        <v>20971</v>
      </c>
      <c r="BC2584" s="82" t="s">
        <v>19350</v>
      </c>
      <c r="BD2584" s="82" t="s">
        <v>21505</v>
      </c>
      <c r="BE2584" s="77"/>
      <c r="BF2584" s="77"/>
      <c r="BG2584" s="77"/>
      <c r="BH2584" s="77"/>
      <c r="BI2584" s="77"/>
    </row>
    <row r="2585" spans="1:61" x14ac:dyDescent="0.25">
      <c r="A2585" s="62" t="s">
        <v>886</v>
      </c>
      <c r="B2585" s="62" t="s">
        <v>886</v>
      </c>
      <c r="C2585" s="63"/>
      <c r="D2585" s="64"/>
      <c r="E2585" s="65"/>
      <c r="F2585" s="66"/>
      <c r="G2585" s="63"/>
      <c r="H2585" s="67"/>
      <c r="I2585" s="68"/>
      <c r="J2585" s="68"/>
      <c r="K2585" s="32"/>
      <c r="L2585" s="75">
        <v>2585</v>
      </c>
      <c r="M2585" s="75"/>
      <c r="N2585" s="70"/>
      <c r="O2585" s="77" t="s">
        <v>179</v>
      </c>
      <c r="P2585" s="79">
        <v>45072.877534722225</v>
      </c>
      <c r="Q2585" s="77" t="s">
        <v>3791</v>
      </c>
      <c r="R2585" s="77">
        <v>0</v>
      </c>
      <c r="S2585" s="77">
        <v>0</v>
      </c>
      <c r="T2585" s="77">
        <v>0</v>
      </c>
      <c r="U2585" s="77">
        <v>0</v>
      </c>
      <c r="V2585" s="77">
        <v>77</v>
      </c>
      <c r="W2585" s="82" t="s">
        <v>6525</v>
      </c>
      <c r="X2585" s="77"/>
      <c r="Y2585" s="77"/>
      <c r="Z2585" s="77"/>
      <c r="AA2585" s="77" t="s">
        <v>8981</v>
      </c>
      <c r="AB2585" s="77" t="s">
        <v>10129</v>
      </c>
      <c r="AC2585" s="82" t="s">
        <v>10145</v>
      </c>
      <c r="AD2585" s="77" t="s">
        <v>10184</v>
      </c>
      <c r="AE2585" s="80" t="str">
        <f>HYPERLINK("https://twitter.com/rafaelamorimofc/status/1662202864935272449")</f>
        <v>https://twitter.com/rafaelamorimofc/status/1662202864935272449</v>
      </c>
      <c r="AF2585" s="79">
        <v>45072.877534722225</v>
      </c>
      <c r="AG2585" s="85">
        <v>45072</v>
      </c>
      <c r="AH2585" s="82" t="s">
        <v>12666</v>
      </c>
      <c r="AI2585" s="77" t="b">
        <v>0</v>
      </c>
      <c r="AJ2585" s="77"/>
      <c r="AK2585" s="77"/>
      <c r="AL2585" s="77"/>
      <c r="AM2585" s="77"/>
      <c r="AN2585" s="77"/>
      <c r="AO2585" s="77"/>
      <c r="AP2585" s="77"/>
      <c r="AQ2585" s="77" t="s">
        <v>15624</v>
      </c>
      <c r="AR2585" s="77">
        <v>11255</v>
      </c>
      <c r="AS2585" s="77"/>
      <c r="AT2585" s="77"/>
      <c r="AU2585" s="77"/>
      <c r="AV2585" s="80" t="str">
        <f>HYPERLINK("https://pbs.twimg.com/ext_tw_video_thumb/1662202786602180610/pu/img/z8E-6ngwAQ6_MDWP.jpg")</f>
        <v>https://pbs.twimg.com/ext_tw_video_thumb/1662202786602180610/pu/img/z8E-6ngwAQ6_MDWP.jpg</v>
      </c>
      <c r="AW2585" s="82" t="s">
        <v>19351</v>
      </c>
      <c r="AX2585" s="82" t="s">
        <v>19351</v>
      </c>
      <c r="AY2585" s="77"/>
      <c r="AZ2585" s="82" t="s">
        <v>20971</v>
      </c>
      <c r="BA2585" s="82" t="s">
        <v>20971</v>
      </c>
      <c r="BB2585" s="82" t="s">
        <v>20971</v>
      </c>
      <c r="BC2585" s="82" t="s">
        <v>19351</v>
      </c>
      <c r="BD2585" s="82" t="s">
        <v>21505</v>
      </c>
      <c r="BE2585" s="77"/>
      <c r="BF2585" s="77"/>
      <c r="BG2585" s="77"/>
      <c r="BH2585" s="77"/>
      <c r="BI2585" s="77"/>
    </row>
    <row r="2586" spans="1:61" x14ac:dyDescent="0.25">
      <c r="A2586" s="62" t="s">
        <v>886</v>
      </c>
      <c r="B2586" s="62" t="s">
        <v>886</v>
      </c>
      <c r="C2586" s="63"/>
      <c r="D2586" s="64"/>
      <c r="E2586" s="65"/>
      <c r="F2586" s="66"/>
      <c r="G2586" s="63"/>
      <c r="H2586" s="67"/>
      <c r="I2586" s="68"/>
      <c r="J2586" s="68"/>
      <c r="K2586" s="32"/>
      <c r="L2586" s="75">
        <v>2586</v>
      </c>
      <c r="M2586" s="75"/>
      <c r="N2586" s="70"/>
      <c r="O2586" s="77" t="s">
        <v>179</v>
      </c>
      <c r="P2586" s="79">
        <v>45189.950856481482</v>
      </c>
      <c r="Q2586" s="77" t="s">
        <v>3792</v>
      </c>
      <c r="R2586" s="77">
        <v>0</v>
      </c>
      <c r="S2586" s="77">
        <v>0</v>
      </c>
      <c r="T2586" s="77">
        <v>0</v>
      </c>
      <c r="U2586" s="77">
        <v>0</v>
      </c>
      <c r="V2586" s="77">
        <v>11</v>
      </c>
      <c r="W2586" s="82" t="s">
        <v>6520</v>
      </c>
      <c r="X2586" s="80" t="str">
        <f>HYPERLINK("http://linkr.bio/iniciar_")</f>
        <v>http://linkr.bio/iniciar_</v>
      </c>
      <c r="Y2586" s="77" t="s">
        <v>7431</v>
      </c>
      <c r="Z2586" s="77"/>
      <c r="AA2586" s="77" t="s">
        <v>8982</v>
      </c>
      <c r="AB2586" s="77" t="s">
        <v>10129</v>
      </c>
      <c r="AC2586" s="82" t="s">
        <v>10145</v>
      </c>
      <c r="AD2586" s="77" t="s">
        <v>10184</v>
      </c>
      <c r="AE2586" s="80" t="str">
        <f>HYPERLINK("https://twitter.com/rafaelamorimofc/status/1704628815152988318")</f>
        <v>https://twitter.com/rafaelamorimofc/status/1704628815152988318</v>
      </c>
      <c r="AF2586" s="79">
        <v>45189.950856481482</v>
      </c>
      <c r="AG2586" s="85">
        <v>45189</v>
      </c>
      <c r="AH2586" s="82" t="s">
        <v>12667</v>
      </c>
      <c r="AI2586" s="77" t="b">
        <v>0</v>
      </c>
      <c r="AJ2586" s="77"/>
      <c r="AK2586" s="77"/>
      <c r="AL2586" s="77"/>
      <c r="AM2586" s="77"/>
      <c r="AN2586" s="77"/>
      <c r="AO2586" s="77"/>
      <c r="AP2586" s="77"/>
      <c r="AQ2586" s="77" t="s">
        <v>15625</v>
      </c>
      <c r="AR2586" s="77">
        <v>11593</v>
      </c>
      <c r="AS2586" s="77"/>
      <c r="AT2586" s="77"/>
      <c r="AU2586" s="77"/>
      <c r="AV2586" s="80" t="str">
        <f>HYPERLINK("https://pbs.twimg.com/ext_tw_video_thumb/1704628722043654144/pu/img/WqHzJ8d-nUMX6ZJl.jpg")</f>
        <v>https://pbs.twimg.com/ext_tw_video_thumb/1704628722043654144/pu/img/WqHzJ8d-nUMX6ZJl.jpg</v>
      </c>
      <c r="AW2586" s="82" t="s">
        <v>19352</v>
      </c>
      <c r="AX2586" s="82" t="s">
        <v>19352</v>
      </c>
      <c r="AY2586" s="77"/>
      <c r="AZ2586" s="82" t="s">
        <v>20971</v>
      </c>
      <c r="BA2586" s="82" t="s">
        <v>20971</v>
      </c>
      <c r="BB2586" s="82" t="s">
        <v>20971</v>
      </c>
      <c r="BC2586" s="82" t="s">
        <v>19352</v>
      </c>
      <c r="BD2586" s="82" t="s">
        <v>21505</v>
      </c>
      <c r="BE2586" s="77"/>
      <c r="BF2586" s="77"/>
      <c r="BG2586" s="77"/>
      <c r="BH2586" s="77"/>
      <c r="BI2586" s="77"/>
    </row>
    <row r="2587" spans="1:61" x14ac:dyDescent="0.25">
      <c r="A2587" s="62" t="s">
        <v>886</v>
      </c>
      <c r="B2587" s="62" t="s">
        <v>886</v>
      </c>
      <c r="C2587" s="63"/>
      <c r="D2587" s="64"/>
      <c r="E2587" s="65"/>
      <c r="F2587" s="66"/>
      <c r="G2587" s="63"/>
      <c r="H2587" s="67"/>
      <c r="I2587" s="68"/>
      <c r="J2587" s="68"/>
      <c r="K2587" s="32"/>
      <c r="L2587" s="75">
        <v>2587</v>
      </c>
      <c r="M2587" s="75"/>
      <c r="N2587" s="70"/>
      <c r="O2587" s="77" t="s">
        <v>179</v>
      </c>
      <c r="P2587" s="79">
        <v>45173.580023148148</v>
      </c>
      <c r="Q2587" s="77" t="s">
        <v>3793</v>
      </c>
      <c r="R2587" s="77">
        <v>0</v>
      </c>
      <c r="S2587" s="77">
        <v>0</v>
      </c>
      <c r="T2587" s="77">
        <v>0</v>
      </c>
      <c r="U2587" s="77">
        <v>0</v>
      </c>
      <c r="V2587" s="77">
        <v>11</v>
      </c>
      <c r="W2587" s="82" t="s">
        <v>6520</v>
      </c>
      <c r="X2587" s="80" t="str">
        <f>HYPERLINK("http://linkr.bio/iniciar_")</f>
        <v>http://linkr.bio/iniciar_</v>
      </c>
      <c r="Y2587" s="77" t="s">
        <v>7431</v>
      </c>
      <c r="Z2587" s="77"/>
      <c r="AA2587" s="77" t="s">
        <v>8983</v>
      </c>
      <c r="AB2587" s="77" t="s">
        <v>10129</v>
      </c>
      <c r="AC2587" s="82" t="s">
        <v>10145</v>
      </c>
      <c r="AD2587" s="77" t="s">
        <v>10184</v>
      </c>
      <c r="AE2587" s="80" t="str">
        <f>HYPERLINK("https://twitter.com/rafaelamorimofc/status/1698696221605478638")</f>
        <v>https://twitter.com/rafaelamorimofc/status/1698696221605478638</v>
      </c>
      <c r="AF2587" s="79">
        <v>45173.580023148148</v>
      </c>
      <c r="AG2587" s="85">
        <v>45173</v>
      </c>
      <c r="AH2587" s="82" t="s">
        <v>12668</v>
      </c>
      <c r="AI2587" s="77" t="b">
        <v>0</v>
      </c>
      <c r="AJ2587" s="77"/>
      <c r="AK2587" s="77"/>
      <c r="AL2587" s="77"/>
      <c r="AM2587" s="77"/>
      <c r="AN2587" s="77"/>
      <c r="AO2587" s="77"/>
      <c r="AP2587" s="77"/>
      <c r="AQ2587" s="77" t="s">
        <v>15626</v>
      </c>
      <c r="AR2587" s="77">
        <v>7458</v>
      </c>
      <c r="AS2587" s="77"/>
      <c r="AT2587" s="77"/>
      <c r="AU2587" s="77"/>
      <c r="AV2587" s="80" t="str">
        <f>HYPERLINK("https://pbs.twimg.com/ext_tw_video_thumb/1698696155394129920/pu/img/WrRMR-UhydkhCFn7.jpg")</f>
        <v>https://pbs.twimg.com/ext_tw_video_thumb/1698696155394129920/pu/img/WrRMR-UhydkhCFn7.jpg</v>
      </c>
      <c r="AW2587" s="82" t="s">
        <v>19353</v>
      </c>
      <c r="AX2587" s="82" t="s">
        <v>19353</v>
      </c>
      <c r="AY2587" s="77"/>
      <c r="AZ2587" s="82" t="s">
        <v>20971</v>
      </c>
      <c r="BA2587" s="82" t="s">
        <v>20971</v>
      </c>
      <c r="BB2587" s="82" t="s">
        <v>20971</v>
      </c>
      <c r="BC2587" s="82" t="s">
        <v>19353</v>
      </c>
      <c r="BD2587" s="82" t="s">
        <v>21505</v>
      </c>
      <c r="BE2587" s="77"/>
      <c r="BF2587" s="77"/>
      <c r="BG2587" s="77"/>
      <c r="BH2587" s="77"/>
      <c r="BI2587" s="77"/>
    </row>
    <row r="2588" spans="1:61" x14ac:dyDescent="0.25">
      <c r="A2588" s="62" t="s">
        <v>886</v>
      </c>
      <c r="B2588" s="62" t="s">
        <v>886</v>
      </c>
      <c r="C2588" s="63"/>
      <c r="D2588" s="64"/>
      <c r="E2588" s="65"/>
      <c r="F2588" s="66"/>
      <c r="G2588" s="63"/>
      <c r="H2588" s="67"/>
      <c r="I2588" s="68"/>
      <c r="J2588" s="68"/>
      <c r="K2588" s="32"/>
      <c r="L2588" s="75">
        <v>2588</v>
      </c>
      <c r="M2588" s="75"/>
      <c r="N2588" s="70"/>
      <c r="O2588" s="77" t="s">
        <v>179</v>
      </c>
      <c r="P2588" s="79">
        <v>45152.573657407411</v>
      </c>
      <c r="Q2588" s="77" t="s">
        <v>3794</v>
      </c>
      <c r="R2588" s="77">
        <v>0</v>
      </c>
      <c r="S2588" s="77">
        <v>0</v>
      </c>
      <c r="T2588" s="77">
        <v>0</v>
      </c>
      <c r="U2588" s="77">
        <v>0</v>
      </c>
      <c r="V2588" s="77">
        <v>38</v>
      </c>
      <c r="W2588" s="82" t="s">
        <v>6520</v>
      </c>
      <c r="X2588" s="80" t="str">
        <f>HYPERLINK("https://linkr.bio/iniciar_")</f>
        <v>https://linkr.bio/iniciar_</v>
      </c>
      <c r="Y2588" s="77" t="s">
        <v>7431</v>
      </c>
      <c r="Z2588" s="77"/>
      <c r="AA2588" s="77" t="s">
        <v>8984</v>
      </c>
      <c r="AB2588" s="77" t="s">
        <v>10129</v>
      </c>
      <c r="AC2588" s="82" t="s">
        <v>10145</v>
      </c>
      <c r="AD2588" s="77" t="s">
        <v>10184</v>
      </c>
      <c r="AE2588" s="80" t="str">
        <f>HYPERLINK("https://twitter.com/rafaelamorimofc/status/1691083769791361026")</f>
        <v>https://twitter.com/rafaelamorimofc/status/1691083769791361026</v>
      </c>
      <c r="AF2588" s="79">
        <v>45152.573657407411</v>
      </c>
      <c r="AG2588" s="85">
        <v>45152</v>
      </c>
      <c r="AH2588" s="82" t="s">
        <v>12669</v>
      </c>
      <c r="AI2588" s="77" t="b">
        <v>0</v>
      </c>
      <c r="AJ2588" s="77"/>
      <c r="AK2588" s="77"/>
      <c r="AL2588" s="77"/>
      <c r="AM2588" s="77"/>
      <c r="AN2588" s="77"/>
      <c r="AO2588" s="77"/>
      <c r="AP2588" s="77"/>
      <c r="AQ2588" s="77" t="s">
        <v>15627</v>
      </c>
      <c r="AR2588" s="77">
        <v>12148</v>
      </c>
      <c r="AS2588" s="77"/>
      <c r="AT2588" s="77"/>
      <c r="AU2588" s="77"/>
      <c r="AV2588" s="80" t="str">
        <f>HYPERLINK("https://pbs.twimg.com/ext_tw_video_thumb/1691083641982455810/pu/img/yy7Cr7CPREbp3DoF.jpg")</f>
        <v>https://pbs.twimg.com/ext_tw_video_thumb/1691083641982455810/pu/img/yy7Cr7CPREbp3DoF.jpg</v>
      </c>
      <c r="AW2588" s="82" t="s">
        <v>19354</v>
      </c>
      <c r="AX2588" s="82" t="s">
        <v>19354</v>
      </c>
      <c r="AY2588" s="77"/>
      <c r="AZ2588" s="82" t="s">
        <v>20971</v>
      </c>
      <c r="BA2588" s="82" t="s">
        <v>20971</v>
      </c>
      <c r="BB2588" s="82" t="s">
        <v>20971</v>
      </c>
      <c r="BC2588" s="82" t="s">
        <v>19354</v>
      </c>
      <c r="BD2588" s="82" t="s">
        <v>21505</v>
      </c>
      <c r="BE2588" s="77"/>
      <c r="BF2588" s="77"/>
      <c r="BG2588" s="77"/>
      <c r="BH2588" s="77"/>
      <c r="BI2588" s="77"/>
    </row>
    <row r="2589" spans="1:61" x14ac:dyDescent="0.25">
      <c r="A2589" s="62" t="s">
        <v>886</v>
      </c>
      <c r="B2589" s="62" t="s">
        <v>886</v>
      </c>
      <c r="C2589" s="63"/>
      <c r="D2589" s="64"/>
      <c r="E2589" s="65"/>
      <c r="F2589" s="66"/>
      <c r="G2589" s="63"/>
      <c r="H2589" s="67"/>
      <c r="I2589" s="68"/>
      <c r="J2589" s="68"/>
      <c r="K2589" s="32"/>
      <c r="L2589" s="75">
        <v>2589</v>
      </c>
      <c r="M2589" s="75"/>
      <c r="N2589" s="70"/>
      <c r="O2589" s="77" t="s">
        <v>179</v>
      </c>
      <c r="P2589" s="79">
        <v>45089.869641203702</v>
      </c>
      <c r="Q2589" s="77" t="s">
        <v>3795</v>
      </c>
      <c r="R2589" s="77">
        <v>0</v>
      </c>
      <c r="S2589" s="77">
        <v>0</v>
      </c>
      <c r="T2589" s="77">
        <v>0</v>
      </c>
      <c r="U2589" s="77">
        <v>0</v>
      </c>
      <c r="V2589" s="77">
        <v>57</v>
      </c>
      <c r="W2589" s="82" t="s">
        <v>6514</v>
      </c>
      <c r="X2589" s="77"/>
      <c r="Y2589" s="77"/>
      <c r="Z2589" s="77"/>
      <c r="AA2589" s="77" t="s">
        <v>8985</v>
      </c>
      <c r="AB2589" s="77" t="s">
        <v>10129</v>
      </c>
      <c r="AC2589" s="82" t="s">
        <v>10145</v>
      </c>
      <c r="AD2589" s="77" t="s">
        <v>10184</v>
      </c>
      <c r="AE2589" s="80" t="str">
        <f>HYPERLINK("https://twitter.com/rafaelamorimofc/status/1668360594594963456")</f>
        <v>https://twitter.com/rafaelamorimofc/status/1668360594594963456</v>
      </c>
      <c r="AF2589" s="79">
        <v>45089.869641203702</v>
      </c>
      <c r="AG2589" s="85">
        <v>45089</v>
      </c>
      <c r="AH2589" s="82" t="s">
        <v>12670</v>
      </c>
      <c r="AI2589" s="77" t="b">
        <v>0</v>
      </c>
      <c r="AJ2589" s="77"/>
      <c r="AK2589" s="77"/>
      <c r="AL2589" s="77"/>
      <c r="AM2589" s="77"/>
      <c r="AN2589" s="77"/>
      <c r="AO2589" s="77"/>
      <c r="AP2589" s="77"/>
      <c r="AQ2589" s="77" t="s">
        <v>15628</v>
      </c>
      <c r="AR2589" s="77">
        <v>9400</v>
      </c>
      <c r="AS2589" s="77"/>
      <c r="AT2589" s="77"/>
      <c r="AU2589" s="77"/>
      <c r="AV2589" s="80" t="str">
        <f>HYPERLINK("https://pbs.twimg.com/ext_tw_video_thumb/1668360521685368834/pu/img/O_RKjn0xTff2MV-0.jpg")</f>
        <v>https://pbs.twimg.com/ext_tw_video_thumb/1668360521685368834/pu/img/O_RKjn0xTff2MV-0.jpg</v>
      </c>
      <c r="AW2589" s="82" t="s">
        <v>19355</v>
      </c>
      <c r="AX2589" s="82" t="s">
        <v>19355</v>
      </c>
      <c r="AY2589" s="77"/>
      <c r="AZ2589" s="82" t="s">
        <v>20971</v>
      </c>
      <c r="BA2589" s="82" t="s">
        <v>20971</v>
      </c>
      <c r="BB2589" s="82" t="s">
        <v>20971</v>
      </c>
      <c r="BC2589" s="82" t="s">
        <v>19355</v>
      </c>
      <c r="BD2589" s="82" t="s">
        <v>21505</v>
      </c>
      <c r="BE2589" s="77"/>
      <c r="BF2589" s="77"/>
      <c r="BG2589" s="77"/>
      <c r="BH2589" s="77"/>
      <c r="BI2589" s="77"/>
    </row>
    <row r="2590" spans="1:61" x14ac:dyDescent="0.25">
      <c r="A2590" s="62" t="s">
        <v>886</v>
      </c>
      <c r="B2590" s="62" t="s">
        <v>886</v>
      </c>
      <c r="C2590" s="63"/>
      <c r="D2590" s="64"/>
      <c r="E2590" s="65"/>
      <c r="F2590" s="66"/>
      <c r="G2590" s="63"/>
      <c r="H2590" s="67"/>
      <c r="I2590" s="68"/>
      <c r="J2590" s="68"/>
      <c r="K2590" s="32"/>
      <c r="L2590" s="75">
        <v>2590</v>
      </c>
      <c r="M2590" s="75"/>
      <c r="N2590" s="70"/>
      <c r="O2590" s="77" t="s">
        <v>179</v>
      </c>
      <c r="P2590" s="79">
        <v>45089.621874999997</v>
      </c>
      <c r="Q2590" s="77" t="s">
        <v>3796</v>
      </c>
      <c r="R2590" s="77">
        <v>0</v>
      </c>
      <c r="S2590" s="77">
        <v>0</v>
      </c>
      <c r="T2590" s="77">
        <v>0</v>
      </c>
      <c r="U2590" s="77">
        <v>0</v>
      </c>
      <c r="V2590" s="77">
        <v>89</v>
      </c>
      <c r="W2590" s="82" t="s">
        <v>6514</v>
      </c>
      <c r="X2590" s="77"/>
      <c r="Y2590" s="77"/>
      <c r="Z2590" s="77"/>
      <c r="AA2590" s="77" t="s">
        <v>8986</v>
      </c>
      <c r="AB2590" s="77" t="s">
        <v>10129</v>
      </c>
      <c r="AC2590" s="82" t="s">
        <v>10145</v>
      </c>
      <c r="AD2590" s="77" t="s">
        <v>10184</v>
      </c>
      <c r="AE2590" s="80" t="str">
        <f>HYPERLINK("https://twitter.com/rafaelamorimofc/status/1668270810534903810")</f>
        <v>https://twitter.com/rafaelamorimofc/status/1668270810534903810</v>
      </c>
      <c r="AF2590" s="79">
        <v>45089.621874999997</v>
      </c>
      <c r="AG2590" s="85">
        <v>45089</v>
      </c>
      <c r="AH2590" s="82" t="s">
        <v>12671</v>
      </c>
      <c r="AI2590" s="77" t="b">
        <v>0</v>
      </c>
      <c r="AJ2590" s="77"/>
      <c r="AK2590" s="77"/>
      <c r="AL2590" s="77"/>
      <c r="AM2590" s="77"/>
      <c r="AN2590" s="77"/>
      <c r="AO2590" s="77"/>
      <c r="AP2590" s="77"/>
      <c r="AQ2590" s="77" t="s">
        <v>15629</v>
      </c>
      <c r="AR2590" s="77">
        <v>15020</v>
      </c>
      <c r="AS2590" s="77"/>
      <c r="AT2590" s="77"/>
      <c r="AU2590" s="77"/>
      <c r="AV2590" s="80" t="str">
        <f>HYPERLINK("https://pbs.twimg.com/ext_tw_video_thumb/1668270741127671809/pu/img/71mrAArCMj2s9Qn6.jpg")</f>
        <v>https://pbs.twimg.com/ext_tw_video_thumb/1668270741127671809/pu/img/71mrAArCMj2s9Qn6.jpg</v>
      </c>
      <c r="AW2590" s="82" t="s">
        <v>19356</v>
      </c>
      <c r="AX2590" s="82" t="s">
        <v>19356</v>
      </c>
      <c r="AY2590" s="77"/>
      <c r="AZ2590" s="82" t="s">
        <v>20971</v>
      </c>
      <c r="BA2590" s="82" t="s">
        <v>20971</v>
      </c>
      <c r="BB2590" s="82" t="s">
        <v>20971</v>
      </c>
      <c r="BC2590" s="82" t="s">
        <v>19356</v>
      </c>
      <c r="BD2590" s="82" t="s">
        <v>21505</v>
      </c>
      <c r="BE2590" s="77"/>
      <c r="BF2590" s="77"/>
      <c r="BG2590" s="77"/>
      <c r="BH2590" s="77"/>
      <c r="BI2590" s="77"/>
    </row>
    <row r="2591" spans="1:61" x14ac:dyDescent="0.25">
      <c r="A2591" s="62" t="s">
        <v>886</v>
      </c>
      <c r="B2591" s="62" t="s">
        <v>886</v>
      </c>
      <c r="C2591" s="63"/>
      <c r="D2591" s="64"/>
      <c r="E2591" s="65"/>
      <c r="F2591" s="66"/>
      <c r="G2591" s="63"/>
      <c r="H2591" s="67"/>
      <c r="I2591" s="68"/>
      <c r="J2591" s="68"/>
      <c r="K2591" s="32"/>
      <c r="L2591" s="75">
        <v>2591</v>
      </c>
      <c r="M2591" s="75"/>
      <c r="N2591" s="70"/>
      <c r="O2591" s="77" t="s">
        <v>179</v>
      </c>
      <c r="P2591" s="79">
        <v>45089.537164351852</v>
      </c>
      <c r="Q2591" s="77" t="s">
        <v>3797</v>
      </c>
      <c r="R2591" s="77">
        <v>0</v>
      </c>
      <c r="S2591" s="77">
        <v>0</v>
      </c>
      <c r="T2591" s="77">
        <v>0</v>
      </c>
      <c r="U2591" s="77">
        <v>0</v>
      </c>
      <c r="V2591" s="77">
        <v>39</v>
      </c>
      <c r="W2591" s="82" t="s">
        <v>6514</v>
      </c>
      <c r="X2591" s="77"/>
      <c r="Y2591" s="77"/>
      <c r="Z2591" s="77"/>
      <c r="AA2591" s="77" t="s">
        <v>8987</v>
      </c>
      <c r="AB2591" s="77" t="s">
        <v>10129</v>
      </c>
      <c r="AC2591" s="82" t="s">
        <v>10145</v>
      </c>
      <c r="AD2591" s="77" t="s">
        <v>10184</v>
      </c>
      <c r="AE2591" s="80" t="str">
        <f>HYPERLINK("https://twitter.com/rafaelamorimofc/status/1668240111362875395")</f>
        <v>https://twitter.com/rafaelamorimofc/status/1668240111362875395</v>
      </c>
      <c r="AF2591" s="79">
        <v>45089.537164351852</v>
      </c>
      <c r="AG2591" s="85">
        <v>45089</v>
      </c>
      <c r="AH2591" s="82" t="s">
        <v>12672</v>
      </c>
      <c r="AI2591" s="77" t="b">
        <v>0</v>
      </c>
      <c r="AJ2591" s="77"/>
      <c r="AK2591" s="77"/>
      <c r="AL2591" s="77"/>
      <c r="AM2591" s="77"/>
      <c r="AN2591" s="77"/>
      <c r="AO2591" s="77"/>
      <c r="AP2591" s="77"/>
      <c r="AQ2591" s="77" t="s">
        <v>15630</v>
      </c>
      <c r="AR2591" s="77">
        <v>8900</v>
      </c>
      <c r="AS2591" s="77"/>
      <c r="AT2591" s="77"/>
      <c r="AU2591" s="77"/>
      <c r="AV2591" s="80" t="str">
        <f>HYPERLINK("https://pbs.twimg.com/ext_tw_video_thumb/1668240008791064577/pu/img/Xpjdat2QCDFJSwtS.jpg")</f>
        <v>https://pbs.twimg.com/ext_tw_video_thumb/1668240008791064577/pu/img/Xpjdat2QCDFJSwtS.jpg</v>
      </c>
      <c r="AW2591" s="82" t="s">
        <v>19357</v>
      </c>
      <c r="AX2591" s="82" t="s">
        <v>19357</v>
      </c>
      <c r="AY2591" s="77"/>
      <c r="AZ2591" s="82" t="s">
        <v>20971</v>
      </c>
      <c r="BA2591" s="82" t="s">
        <v>20971</v>
      </c>
      <c r="BB2591" s="82" t="s">
        <v>20971</v>
      </c>
      <c r="BC2591" s="82" t="s">
        <v>19357</v>
      </c>
      <c r="BD2591" s="82" t="s">
        <v>21505</v>
      </c>
      <c r="BE2591" s="77"/>
      <c r="BF2591" s="77"/>
      <c r="BG2591" s="77"/>
      <c r="BH2591" s="77"/>
      <c r="BI2591" s="77"/>
    </row>
    <row r="2592" spans="1:61" x14ac:dyDescent="0.25">
      <c r="A2592" s="62" t="s">
        <v>886</v>
      </c>
      <c r="B2592" s="62" t="s">
        <v>886</v>
      </c>
      <c r="C2592" s="63"/>
      <c r="D2592" s="64"/>
      <c r="E2592" s="65"/>
      <c r="F2592" s="66"/>
      <c r="G2592" s="63"/>
      <c r="H2592" s="67"/>
      <c r="I2592" s="68"/>
      <c r="J2592" s="68"/>
      <c r="K2592" s="32"/>
      <c r="L2592" s="75">
        <v>2592</v>
      </c>
      <c r="M2592" s="75"/>
      <c r="N2592" s="70"/>
      <c r="O2592" s="77" t="s">
        <v>179</v>
      </c>
      <c r="P2592" s="79">
        <v>45069.632291666669</v>
      </c>
      <c r="Q2592" s="77" t="s">
        <v>3798</v>
      </c>
      <c r="R2592" s="77">
        <v>0</v>
      </c>
      <c r="S2592" s="77">
        <v>0</v>
      </c>
      <c r="T2592" s="77">
        <v>2</v>
      </c>
      <c r="U2592" s="77">
        <v>0</v>
      </c>
      <c r="V2592" s="77">
        <v>248</v>
      </c>
      <c r="W2592" s="82" t="s">
        <v>6526</v>
      </c>
      <c r="X2592" s="77"/>
      <c r="Y2592" s="77"/>
      <c r="Z2592" s="77"/>
      <c r="AA2592" s="77" t="s">
        <v>8988</v>
      </c>
      <c r="AB2592" s="77" t="s">
        <v>10129</v>
      </c>
      <c r="AC2592" s="82" t="s">
        <v>10145</v>
      </c>
      <c r="AD2592" s="77" t="s">
        <v>10184</v>
      </c>
      <c r="AE2592" s="80" t="str">
        <f>HYPERLINK("https://twitter.com/rafaelamorimofc/status/1661026827060793344")</f>
        <v>https://twitter.com/rafaelamorimofc/status/1661026827060793344</v>
      </c>
      <c r="AF2592" s="79">
        <v>45069.632291666669</v>
      </c>
      <c r="AG2592" s="85">
        <v>45069</v>
      </c>
      <c r="AH2592" s="82" t="s">
        <v>12673</v>
      </c>
      <c r="AI2592" s="77" t="b">
        <v>0</v>
      </c>
      <c r="AJ2592" s="77"/>
      <c r="AK2592" s="77"/>
      <c r="AL2592" s="77"/>
      <c r="AM2592" s="77"/>
      <c r="AN2592" s="77"/>
      <c r="AO2592" s="77"/>
      <c r="AP2592" s="77"/>
      <c r="AQ2592" s="77" t="s">
        <v>15631</v>
      </c>
      <c r="AR2592" s="77">
        <v>12363</v>
      </c>
      <c r="AS2592" s="77"/>
      <c r="AT2592" s="77"/>
      <c r="AU2592" s="77"/>
      <c r="AV2592" s="80" t="str">
        <f>HYPERLINK("https://pbs.twimg.com/ext_tw_video_thumb/1661026745406099458/pu/img/6nLDpUih-Gv9d03A.jpg")</f>
        <v>https://pbs.twimg.com/ext_tw_video_thumb/1661026745406099458/pu/img/6nLDpUih-Gv9d03A.jpg</v>
      </c>
      <c r="AW2592" s="82" t="s">
        <v>19358</v>
      </c>
      <c r="AX2592" s="82" t="s">
        <v>19358</v>
      </c>
      <c r="AY2592" s="77"/>
      <c r="AZ2592" s="82" t="s">
        <v>20971</v>
      </c>
      <c r="BA2592" s="82" t="s">
        <v>20971</v>
      </c>
      <c r="BB2592" s="82" t="s">
        <v>20971</v>
      </c>
      <c r="BC2592" s="82" t="s">
        <v>19358</v>
      </c>
      <c r="BD2592" s="82" t="s">
        <v>21505</v>
      </c>
      <c r="BE2592" s="77"/>
      <c r="BF2592" s="77"/>
      <c r="BG2592" s="77"/>
      <c r="BH2592" s="77"/>
      <c r="BI2592" s="77"/>
    </row>
    <row r="2593" spans="1:61" x14ac:dyDescent="0.25">
      <c r="A2593" s="62" t="s">
        <v>886</v>
      </c>
      <c r="B2593" s="62" t="s">
        <v>886</v>
      </c>
      <c r="C2593" s="63"/>
      <c r="D2593" s="64"/>
      <c r="E2593" s="65"/>
      <c r="F2593" s="66"/>
      <c r="G2593" s="63"/>
      <c r="H2593" s="67"/>
      <c r="I2593" s="68"/>
      <c r="J2593" s="68"/>
      <c r="K2593" s="32"/>
      <c r="L2593" s="75">
        <v>2593</v>
      </c>
      <c r="M2593" s="75"/>
      <c r="N2593" s="70"/>
      <c r="O2593" s="77" t="s">
        <v>179</v>
      </c>
      <c r="P2593" s="79">
        <v>45068.876238425924</v>
      </c>
      <c r="Q2593" s="77" t="s">
        <v>3799</v>
      </c>
      <c r="R2593" s="77">
        <v>0</v>
      </c>
      <c r="S2593" s="77">
        <v>1</v>
      </c>
      <c r="T2593" s="77">
        <v>1</v>
      </c>
      <c r="U2593" s="77">
        <v>0</v>
      </c>
      <c r="V2593" s="77">
        <v>128</v>
      </c>
      <c r="W2593" s="82" t="s">
        <v>6527</v>
      </c>
      <c r="X2593" s="77"/>
      <c r="Y2593" s="77"/>
      <c r="Z2593" s="77"/>
      <c r="AA2593" s="77" t="s">
        <v>8989</v>
      </c>
      <c r="AB2593" s="77" t="s">
        <v>10129</v>
      </c>
      <c r="AC2593" s="82" t="s">
        <v>10145</v>
      </c>
      <c r="AD2593" s="77" t="s">
        <v>10184</v>
      </c>
      <c r="AE2593" s="80" t="str">
        <f>HYPERLINK("https://twitter.com/rafaelamorimofc/status/1660752842787897346")</f>
        <v>https://twitter.com/rafaelamorimofc/status/1660752842787897346</v>
      </c>
      <c r="AF2593" s="79">
        <v>45068.876238425924</v>
      </c>
      <c r="AG2593" s="85">
        <v>45068</v>
      </c>
      <c r="AH2593" s="82" t="s">
        <v>12674</v>
      </c>
      <c r="AI2593" s="77" t="b">
        <v>0</v>
      </c>
      <c r="AJ2593" s="77"/>
      <c r="AK2593" s="77"/>
      <c r="AL2593" s="77"/>
      <c r="AM2593" s="77"/>
      <c r="AN2593" s="77"/>
      <c r="AO2593" s="77"/>
      <c r="AP2593" s="77"/>
      <c r="AQ2593" s="77" t="s">
        <v>15632</v>
      </c>
      <c r="AR2593" s="77">
        <v>23360</v>
      </c>
      <c r="AS2593" s="77"/>
      <c r="AT2593" s="77"/>
      <c r="AU2593" s="77"/>
      <c r="AV2593" s="80" t="str">
        <f>HYPERLINK("https://pbs.twimg.com/ext_tw_video_thumb/1660752730351124481/pu/img/OJWyqNWDCVXFnpQZ.jpg")</f>
        <v>https://pbs.twimg.com/ext_tw_video_thumb/1660752730351124481/pu/img/OJWyqNWDCVXFnpQZ.jpg</v>
      </c>
      <c r="AW2593" s="82" t="s">
        <v>19359</v>
      </c>
      <c r="AX2593" s="82" t="s">
        <v>19359</v>
      </c>
      <c r="AY2593" s="77"/>
      <c r="AZ2593" s="82" t="s">
        <v>20971</v>
      </c>
      <c r="BA2593" s="82" t="s">
        <v>20971</v>
      </c>
      <c r="BB2593" s="82" t="s">
        <v>20971</v>
      </c>
      <c r="BC2593" s="82" t="s">
        <v>19359</v>
      </c>
      <c r="BD2593" s="82" t="s">
        <v>21505</v>
      </c>
      <c r="BE2593" s="77"/>
      <c r="BF2593" s="77"/>
      <c r="BG2593" s="77"/>
      <c r="BH2593" s="77"/>
      <c r="BI2593" s="77"/>
    </row>
    <row r="2594" spans="1:61" x14ac:dyDescent="0.25">
      <c r="A2594" s="62" t="s">
        <v>886</v>
      </c>
      <c r="B2594" s="62" t="s">
        <v>886</v>
      </c>
      <c r="C2594" s="63"/>
      <c r="D2594" s="64"/>
      <c r="E2594" s="65"/>
      <c r="F2594" s="66"/>
      <c r="G2594" s="63"/>
      <c r="H2594" s="67"/>
      <c r="I2594" s="68"/>
      <c r="J2594" s="68"/>
      <c r="K2594" s="32"/>
      <c r="L2594" s="75">
        <v>2594</v>
      </c>
      <c r="M2594" s="75"/>
      <c r="N2594" s="70"/>
      <c r="O2594" s="77" t="s">
        <v>179</v>
      </c>
      <c r="P2594" s="79">
        <v>45066.627523148149</v>
      </c>
      <c r="Q2594" s="77" t="s">
        <v>3800</v>
      </c>
      <c r="R2594" s="77">
        <v>0</v>
      </c>
      <c r="S2594" s="77">
        <v>0</v>
      </c>
      <c r="T2594" s="77">
        <v>0</v>
      </c>
      <c r="U2594" s="77">
        <v>0</v>
      </c>
      <c r="V2594" s="77">
        <v>62</v>
      </c>
      <c r="W2594" s="82" t="s">
        <v>6507</v>
      </c>
      <c r="X2594" s="77"/>
      <c r="Y2594" s="77"/>
      <c r="Z2594" s="77"/>
      <c r="AA2594" s="77" t="s">
        <v>8990</v>
      </c>
      <c r="AB2594" s="77" t="s">
        <v>10129</v>
      </c>
      <c r="AC2594" s="82" t="s">
        <v>10145</v>
      </c>
      <c r="AD2594" s="77" t="s">
        <v>10184</v>
      </c>
      <c r="AE2594" s="80" t="str">
        <f>HYPERLINK("https://twitter.com/rafaelamorimofc/status/1659937936169639936")</f>
        <v>https://twitter.com/rafaelamorimofc/status/1659937936169639936</v>
      </c>
      <c r="AF2594" s="79">
        <v>45066.627523148149</v>
      </c>
      <c r="AG2594" s="85">
        <v>45066</v>
      </c>
      <c r="AH2594" s="82" t="s">
        <v>12675</v>
      </c>
      <c r="AI2594" s="77" t="b">
        <v>0</v>
      </c>
      <c r="AJ2594" s="77"/>
      <c r="AK2594" s="77"/>
      <c r="AL2594" s="77"/>
      <c r="AM2594" s="77"/>
      <c r="AN2594" s="77"/>
      <c r="AO2594" s="77"/>
      <c r="AP2594" s="77"/>
      <c r="AQ2594" s="77" t="s">
        <v>15633</v>
      </c>
      <c r="AR2594" s="77">
        <v>9365</v>
      </c>
      <c r="AS2594" s="77"/>
      <c r="AT2594" s="77"/>
      <c r="AU2594" s="77"/>
      <c r="AV2594" s="80" t="str">
        <f>HYPERLINK("https://pbs.twimg.com/ext_tw_video_thumb/1659937880310009856/pu/img/B-sckS6Hp6nd0at4.jpg")</f>
        <v>https://pbs.twimg.com/ext_tw_video_thumb/1659937880310009856/pu/img/B-sckS6Hp6nd0at4.jpg</v>
      </c>
      <c r="AW2594" s="82" t="s">
        <v>19360</v>
      </c>
      <c r="AX2594" s="82" t="s">
        <v>19360</v>
      </c>
      <c r="AY2594" s="77"/>
      <c r="AZ2594" s="82" t="s">
        <v>20971</v>
      </c>
      <c r="BA2594" s="82" t="s">
        <v>20971</v>
      </c>
      <c r="BB2594" s="82" t="s">
        <v>20971</v>
      </c>
      <c r="BC2594" s="82" t="s">
        <v>19360</v>
      </c>
      <c r="BD2594" s="82" t="s">
        <v>21505</v>
      </c>
      <c r="BE2594" s="77"/>
      <c r="BF2594" s="77"/>
      <c r="BG2594" s="77"/>
      <c r="BH2594" s="77"/>
      <c r="BI2594" s="77"/>
    </row>
    <row r="2595" spans="1:61" x14ac:dyDescent="0.25">
      <c r="A2595" s="62" t="s">
        <v>886</v>
      </c>
      <c r="B2595" s="62" t="s">
        <v>886</v>
      </c>
      <c r="C2595" s="63"/>
      <c r="D2595" s="64"/>
      <c r="E2595" s="65"/>
      <c r="F2595" s="66"/>
      <c r="G2595" s="63"/>
      <c r="H2595" s="67"/>
      <c r="I2595" s="68"/>
      <c r="J2595" s="68"/>
      <c r="K2595" s="32"/>
      <c r="L2595" s="75">
        <v>2595</v>
      </c>
      <c r="M2595" s="75"/>
      <c r="N2595" s="70"/>
      <c r="O2595" s="77" t="s">
        <v>179</v>
      </c>
      <c r="P2595" s="79">
        <v>45066.519849537035</v>
      </c>
      <c r="Q2595" s="77" t="s">
        <v>3801</v>
      </c>
      <c r="R2595" s="77">
        <v>0</v>
      </c>
      <c r="S2595" s="77">
        <v>0</v>
      </c>
      <c r="T2595" s="77">
        <v>0</v>
      </c>
      <c r="U2595" s="77">
        <v>0</v>
      </c>
      <c r="V2595" s="77">
        <v>52</v>
      </c>
      <c r="W2595" s="82" t="s">
        <v>6507</v>
      </c>
      <c r="X2595" s="77"/>
      <c r="Y2595" s="77"/>
      <c r="Z2595" s="77"/>
      <c r="AA2595" s="77" t="s">
        <v>8991</v>
      </c>
      <c r="AB2595" s="77" t="s">
        <v>10129</v>
      </c>
      <c r="AC2595" s="82" t="s">
        <v>10145</v>
      </c>
      <c r="AD2595" s="77" t="s">
        <v>10184</v>
      </c>
      <c r="AE2595" s="80" t="str">
        <f>HYPERLINK("https://twitter.com/rafaelamorimofc/status/1659898913816473601")</f>
        <v>https://twitter.com/rafaelamorimofc/status/1659898913816473601</v>
      </c>
      <c r="AF2595" s="79">
        <v>45066.519849537035</v>
      </c>
      <c r="AG2595" s="85">
        <v>45066</v>
      </c>
      <c r="AH2595" s="82" t="s">
        <v>12676</v>
      </c>
      <c r="AI2595" s="77" t="b">
        <v>0</v>
      </c>
      <c r="AJ2595" s="77"/>
      <c r="AK2595" s="77"/>
      <c r="AL2595" s="77"/>
      <c r="AM2595" s="77"/>
      <c r="AN2595" s="77"/>
      <c r="AO2595" s="77"/>
      <c r="AP2595" s="77"/>
      <c r="AQ2595" s="77" t="s">
        <v>15634</v>
      </c>
      <c r="AR2595" s="77">
        <v>8366</v>
      </c>
      <c r="AS2595" s="77"/>
      <c r="AT2595" s="77"/>
      <c r="AU2595" s="77"/>
      <c r="AV2595" s="80" t="str">
        <f>HYPERLINK("https://pbs.twimg.com/ext_tw_video_thumb/1659898801895661568/pu/img/XIknqD0dwQu57XqO.jpg")</f>
        <v>https://pbs.twimg.com/ext_tw_video_thumb/1659898801895661568/pu/img/XIknqD0dwQu57XqO.jpg</v>
      </c>
      <c r="AW2595" s="82" t="s">
        <v>19361</v>
      </c>
      <c r="AX2595" s="82" t="s">
        <v>19361</v>
      </c>
      <c r="AY2595" s="77"/>
      <c r="AZ2595" s="82" t="s">
        <v>20971</v>
      </c>
      <c r="BA2595" s="82" t="s">
        <v>20971</v>
      </c>
      <c r="BB2595" s="82" t="s">
        <v>20971</v>
      </c>
      <c r="BC2595" s="82" t="s">
        <v>19361</v>
      </c>
      <c r="BD2595" s="82" t="s">
        <v>21505</v>
      </c>
      <c r="BE2595" s="77"/>
      <c r="BF2595" s="77"/>
      <c r="BG2595" s="77"/>
      <c r="BH2595" s="77"/>
      <c r="BI2595" s="77"/>
    </row>
    <row r="2596" spans="1:61" x14ac:dyDescent="0.25">
      <c r="A2596" s="62" t="s">
        <v>886</v>
      </c>
      <c r="B2596" s="62" t="s">
        <v>886</v>
      </c>
      <c r="C2596" s="63"/>
      <c r="D2596" s="64"/>
      <c r="E2596" s="65"/>
      <c r="F2596" s="66"/>
      <c r="G2596" s="63"/>
      <c r="H2596" s="67"/>
      <c r="I2596" s="68"/>
      <c r="J2596" s="68"/>
      <c r="K2596" s="32"/>
      <c r="L2596" s="75">
        <v>2596</v>
      </c>
      <c r="M2596" s="75"/>
      <c r="N2596" s="70"/>
      <c r="O2596" s="77" t="s">
        <v>179</v>
      </c>
      <c r="P2596" s="79">
        <v>45192.612893518519</v>
      </c>
      <c r="Q2596" s="77" t="s">
        <v>3802</v>
      </c>
      <c r="R2596" s="77">
        <v>0</v>
      </c>
      <c r="S2596" s="77">
        <v>0</v>
      </c>
      <c r="T2596" s="77">
        <v>0</v>
      </c>
      <c r="U2596" s="77">
        <v>0</v>
      </c>
      <c r="V2596" s="77">
        <v>12</v>
      </c>
      <c r="W2596" s="82" t="s">
        <v>6520</v>
      </c>
      <c r="X2596" s="80" t="str">
        <f>HYPERLINK("http://linkr.bio/iniciar_")</f>
        <v>http://linkr.bio/iniciar_</v>
      </c>
      <c r="Y2596" s="77" t="s">
        <v>7431</v>
      </c>
      <c r="Z2596" s="77"/>
      <c r="AA2596" s="77" t="s">
        <v>8992</v>
      </c>
      <c r="AB2596" s="77" t="s">
        <v>10129</v>
      </c>
      <c r="AC2596" s="82" t="s">
        <v>10145</v>
      </c>
      <c r="AD2596" s="77" t="s">
        <v>10184</v>
      </c>
      <c r="AE2596" s="80" t="str">
        <f>HYPERLINK("https://twitter.com/rafaelamorimofc/status/1705593505748291879")</f>
        <v>https://twitter.com/rafaelamorimofc/status/1705593505748291879</v>
      </c>
      <c r="AF2596" s="79">
        <v>45192.612893518519</v>
      </c>
      <c r="AG2596" s="85">
        <v>45192</v>
      </c>
      <c r="AH2596" s="82" t="s">
        <v>12677</v>
      </c>
      <c r="AI2596" s="77" t="b">
        <v>0</v>
      </c>
      <c r="AJ2596" s="77"/>
      <c r="AK2596" s="77"/>
      <c r="AL2596" s="77"/>
      <c r="AM2596" s="77"/>
      <c r="AN2596" s="77"/>
      <c r="AO2596" s="77"/>
      <c r="AP2596" s="77"/>
      <c r="AQ2596" s="77" t="s">
        <v>15635</v>
      </c>
      <c r="AR2596" s="77">
        <v>8800</v>
      </c>
      <c r="AS2596" s="77"/>
      <c r="AT2596" s="77"/>
      <c r="AU2596" s="77"/>
      <c r="AV2596" s="80" t="str">
        <f>HYPERLINK("https://pbs.twimg.com/ext_tw_video_thumb/1705593471896027136/pu/img/d_ES8eQR_bcttt1W.jpg")</f>
        <v>https://pbs.twimg.com/ext_tw_video_thumb/1705593471896027136/pu/img/d_ES8eQR_bcttt1W.jpg</v>
      </c>
      <c r="AW2596" s="82" t="s">
        <v>19362</v>
      </c>
      <c r="AX2596" s="82" t="s">
        <v>19362</v>
      </c>
      <c r="AY2596" s="77"/>
      <c r="AZ2596" s="82" t="s">
        <v>20971</v>
      </c>
      <c r="BA2596" s="82" t="s">
        <v>20971</v>
      </c>
      <c r="BB2596" s="82" t="s">
        <v>20971</v>
      </c>
      <c r="BC2596" s="82" t="s">
        <v>19362</v>
      </c>
      <c r="BD2596" s="82" t="s">
        <v>21505</v>
      </c>
      <c r="BE2596" s="77"/>
      <c r="BF2596" s="77"/>
      <c r="BG2596" s="77"/>
      <c r="BH2596" s="77"/>
      <c r="BI2596" s="77"/>
    </row>
    <row r="2597" spans="1:61" x14ac:dyDescent="0.25">
      <c r="A2597" s="62" t="s">
        <v>886</v>
      </c>
      <c r="B2597" s="62" t="s">
        <v>886</v>
      </c>
      <c r="C2597" s="63"/>
      <c r="D2597" s="64"/>
      <c r="E2597" s="65"/>
      <c r="F2597" s="66"/>
      <c r="G2597" s="63"/>
      <c r="H2597" s="67"/>
      <c r="I2597" s="68"/>
      <c r="J2597" s="68"/>
      <c r="K2597" s="32"/>
      <c r="L2597" s="75">
        <v>2597</v>
      </c>
      <c r="M2597" s="75"/>
      <c r="N2597" s="70"/>
      <c r="O2597" s="77" t="s">
        <v>179</v>
      </c>
      <c r="P2597" s="79">
        <v>45171.596365740741</v>
      </c>
      <c r="Q2597" s="77" t="s">
        <v>3803</v>
      </c>
      <c r="R2597" s="77">
        <v>0</v>
      </c>
      <c r="S2597" s="77">
        <v>0</v>
      </c>
      <c r="T2597" s="77">
        <v>0</v>
      </c>
      <c r="U2597" s="77">
        <v>0</v>
      </c>
      <c r="V2597" s="77">
        <v>11</v>
      </c>
      <c r="W2597" s="82" t="s">
        <v>6520</v>
      </c>
      <c r="X2597" s="80" t="str">
        <f>HYPERLINK("http://linkr.bio/iniciar_")</f>
        <v>http://linkr.bio/iniciar_</v>
      </c>
      <c r="Y2597" s="77" t="s">
        <v>7431</v>
      </c>
      <c r="Z2597" s="77"/>
      <c r="AA2597" s="77" t="s">
        <v>8993</v>
      </c>
      <c r="AB2597" s="77" t="s">
        <v>10129</v>
      </c>
      <c r="AC2597" s="82" t="s">
        <v>10145</v>
      </c>
      <c r="AD2597" s="77" t="s">
        <v>10184</v>
      </c>
      <c r="AE2597" s="80" t="str">
        <f>HYPERLINK("https://twitter.com/rafaelamorimofc/status/1697977370106355892")</f>
        <v>https://twitter.com/rafaelamorimofc/status/1697977370106355892</v>
      </c>
      <c r="AF2597" s="79">
        <v>45171.596365740741</v>
      </c>
      <c r="AG2597" s="85">
        <v>45171</v>
      </c>
      <c r="AH2597" s="82" t="s">
        <v>12678</v>
      </c>
      <c r="AI2597" s="77" t="b">
        <v>0</v>
      </c>
      <c r="AJ2597" s="77"/>
      <c r="AK2597" s="77"/>
      <c r="AL2597" s="77"/>
      <c r="AM2597" s="77"/>
      <c r="AN2597" s="77"/>
      <c r="AO2597" s="77"/>
      <c r="AP2597" s="77"/>
      <c r="AQ2597" s="77" t="s">
        <v>15636</v>
      </c>
      <c r="AR2597" s="77">
        <v>7213</v>
      </c>
      <c r="AS2597" s="77"/>
      <c r="AT2597" s="77"/>
      <c r="AU2597" s="77"/>
      <c r="AV2597" s="80" t="str">
        <f>HYPERLINK("https://pbs.twimg.com/ext_tw_video_thumb/1697977318587686912/pu/img/PKETTNUIpLTxJZph.jpg")</f>
        <v>https://pbs.twimg.com/ext_tw_video_thumb/1697977318587686912/pu/img/PKETTNUIpLTxJZph.jpg</v>
      </c>
      <c r="AW2597" s="82" t="s">
        <v>19363</v>
      </c>
      <c r="AX2597" s="82" t="s">
        <v>19363</v>
      </c>
      <c r="AY2597" s="77"/>
      <c r="AZ2597" s="82" t="s">
        <v>20971</v>
      </c>
      <c r="BA2597" s="82" t="s">
        <v>20971</v>
      </c>
      <c r="BB2597" s="82" t="s">
        <v>20971</v>
      </c>
      <c r="BC2597" s="82" t="s">
        <v>19363</v>
      </c>
      <c r="BD2597" s="82" t="s">
        <v>21505</v>
      </c>
      <c r="BE2597" s="77"/>
      <c r="BF2597" s="77"/>
      <c r="BG2597" s="77"/>
      <c r="BH2597" s="77"/>
      <c r="BI2597" s="77"/>
    </row>
    <row r="2598" spans="1:61" x14ac:dyDescent="0.25">
      <c r="A2598" s="62" t="s">
        <v>886</v>
      </c>
      <c r="B2598" s="62" t="s">
        <v>886</v>
      </c>
      <c r="C2598" s="63"/>
      <c r="D2598" s="64"/>
      <c r="E2598" s="65"/>
      <c r="F2598" s="66"/>
      <c r="G2598" s="63"/>
      <c r="H2598" s="67"/>
      <c r="I2598" s="68"/>
      <c r="J2598" s="68"/>
      <c r="K2598" s="32"/>
      <c r="L2598" s="75">
        <v>2598</v>
      </c>
      <c r="M2598" s="75"/>
      <c r="N2598" s="70"/>
      <c r="O2598" s="77" t="s">
        <v>179</v>
      </c>
      <c r="P2598" s="79">
        <v>45155.525659722225</v>
      </c>
      <c r="Q2598" s="77" t="s">
        <v>3804</v>
      </c>
      <c r="R2598" s="77">
        <v>0</v>
      </c>
      <c r="S2598" s="77">
        <v>0</v>
      </c>
      <c r="T2598" s="77">
        <v>0</v>
      </c>
      <c r="U2598" s="77">
        <v>0</v>
      </c>
      <c r="V2598" s="77">
        <v>14</v>
      </c>
      <c r="W2598" s="82" t="s">
        <v>6520</v>
      </c>
      <c r="X2598" s="80" t="str">
        <f>HYPERLINK("http://linkr.bio/iniciar_")</f>
        <v>http://linkr.bio/iniciar_</v>
      </c>
      <c r="Y2598" s="77" t="s">
        <v>7431</v>
      </c>
      <c r="Z2598" s="77"/>
      <c r="AA2598" s="77" t="s">
        <v>8994</v>
      </c>
      <c r="AB2598" s="77" t="s">
        <v>10129</v>
      </c>
      <c r="AC2598" s="82" t="s">
        <v>10145</v>
      </c>
      <c r="AD2598" s="77" t="s">
        <v>10184</v>
      </c>
      <c r="AE2598" s="80" t="str">
        <f>HYPERLINK("https://twitter.com/rafaelamorimofc/status/1692153540121124918")</f>
        <v>https://twitter.com/rafaelamorimofc/status/1692153540121124918</v>
      </c>
      <c r="AF2598" s="79">
        <v>45155.525659722225</v>
      </c>
      <c r="AG2598" s="85">
        <v>45155</v>
      </c>
      <c r="AH2598" s="82" t="s">
        <v>12679</v>
      </c>
      <c r="AI2598" s="77" t="b">
        <v>0</v>
      </c>
      <c r="AJ2598" s="77"/>
      <c r="AK2598" s="77"/>
      <c r="AL2598" s="77"/>
      <c r="AM2598" s="77"/>
      <c r="AN2598" s="77"/>
      <c r="AO2598" s="77"/>
      <c r="AP2598" s="77"/>
      <c r="AQ2598" s="77" t="s">
        <v>15637</v>
      </c>
      <c r="AR2598" s="77">
        <v>14280</v>
      </c>
      <c r="AS2598" s="77"/>
      <c r="AT2598" s="77"/>
      <c r="AU2598" s="77"/>
      <c r="AV2598" s="80" t="str">
        <f>HYPERLINK("https://pbs.twimg.com/ext_tw_video_thumb/1692153497431547904/pu/img/uMM2LE-q3F035tRo.jpg")</f>
        <v>https://pbs.twimg.com/ext_tw_video_thumb/1692153497431547904/pu/img/uMM2LE-q3F035tRo.jpg</v>
      </c>
      <c r="AW2598" s="82" t="s">
        <v>19364</v>
      </c>
      <c r="AX2598" s="82" t="s">
        <v>19364</v>
      </c>
      <c r="AY2598" s="77"/>
      <c r="AZ2598" s="82" t="s">
        <v>20971</v>
      </c>
      <c r="BA2598" s="82" t="s">
        <v>20971</v>
      </c>
      <c r="BB2598" s="82" t="s">
        <v>20971</v>
      </c>
      <c r="BC2598" s="82" t="s">
        <v>19364</v>
      </c>
      <c r="BD2598" s="82" t="s">
        <v>21505</v>
      </c>
      <c r="BE2598" s="77"/>
      <c r="BF2598" s="77"/>
      <c r="BG2598" s="77"/>
      <c r="BH2598" s="77"/>
      <c r="BI2598" s="77"/>
    </row>
    <row r="2599" spans="1:61" x14ac:dyDescent="0.25">
      <c r="A2599" s="62" t="s">
        <v>886</v>
      </c>
      <c r="B2599" s="62" t="s">
        <v>886</v>
      </c>
      <c r="C2599" s="63"/>
      <c r="D2599" s="64"/>
      <c r="E2599" s="65"/>
      <c r="F2599" s="66"/>
      <c r="G2599" s="63"/>
      <c r="H2599" s="67"/>
      <c r="I2599" s="68"/>
      <c r="J2599" s="68"/>
      <c r="K2599" s="32"/>
      <c r="L2599" s="75">
        <v>2599</v>
      </c>
      <c r="M2599" s="75"/>
      <c r="N2599" s="70"/>
      <c r="O2599" s="77" t="s">
        <v>179</v>
      </c>
      <c r="P2599" s="79">
        <v>45154.614884259259</v>
      </c>
      <c r="Q2599" s="77" t="s">
        <v>3805</v>
      </c>
      <c r="R2599" s="77">
        <v>0</v>
      </c>
      <c r="S2599" s="77">
        <v>0</v>
      </c>
      <c r="T2599" s="77">
        <v>0</v>
      </c>
      <c r="U2599" s="77">
        <v>0</v>
      </c>
      <c r="V2599" s="77">
        <v>21</v>
      </c>
      <c r="W2599" s="82" t="s">
        <v>6520</v>
      </c>
      <c r="X2599" s="80" t="str">
        <f>HYPERLINK("http://linkr.bio/iniciar_")</f>
        <v>http://linkr.bio/iniciar_</v>
      </c>
      <c r="Y2599" s="77" t="s">
        <v>7431</v>
      </c>
      <c r="Z2599" s="77"/>
      <c r="AA2599" s="77" t="s">
        <v>8995</v>
      </c>
      <c r="AB2599" s="77" t="s">
        <v>10129</v>
      </c>
      <c r="AC2599" s="82" t="s">
        <v>10145</v>
      </c>
      <c r="AD2599" s="77" t="s">
        <v>10184</v>
      </c>
      <c r="AE2599" s="80" t="str">
        <f>HYPERLINK("https://twitter.com/rafaelamorimofc/status/1691823487894036618")</f>
        <v>https://twitter.com/rafaelamorimofc/status/1691823487894036618</v>
      </c>
      <c r="AF2599" s="79">
        <v>45154.614884259259</v>
      </c>
      <c r="AG2599" s="85">
        <v>45154</v>
      </c>
      <c r="AH2599" s="82" t="s">
        <v>12680</v>
      </c>
      <c r="AI2599" s="77" t="b">
        <v>0</v>
      </c>
      <c r="AJ2599" s="77"/>
      <c r="AK2599" s="77"/>
      <c r="AL2599" s="77"/>
      <c r="AM2599" s="77"/>
      <c r="AN2599" s="77"/>
      <c r="AO2599" s="77"/>
      <c r="AP2599" s="77"/>
      <c r="AQ2599" s="77" t="s">
        <v>15638</v>
      </c>
      <c r="AR2599" s="77">
        <v>6923</v>
      </c>
      <c r="AS2599" s="77"/>
      <c r="AT2599" s="77"/>
      <c r="AU2599" s="77"/>
      <c r="AV2599" s="80" t="str">
        <f>HYPERLINK("https://pbs.twimg.com/ext_tw_video_thumb/1691823377634205697/pu/img/iclr6FS6nS9Sbtqa.jpg")</f>
        <v>https://pbs.twimg.com/ext_tw_video_thumb/1691823377634205697/pu/img/iclr6FS6nS9Sbtqa.jpg</v>
      </c>
      <c r="AW2599" s="82" t="s">
        <v>19365</v>
      </c>
      <c r="AX2599" s="82" t="s">
        <v>19365</v>
      </c>
      <c r="AY2599" s="77"/>
      <c r="AZ2599" s="82" t="s">
        <v>20971</v>
      </c>
      <c r="BA2599" s="82" t="s">
        <v>20971</v>
      </c>
      <c r="BB2599" s="82" t="s">
        <v>20971</v>
      </c>
      <c r="BC2599" s="82" t="s">
        <v>19365</v>
      </c>
      <c r="BD2599" s="82" t="s">
        <v>21505</v>
      </c>
      <c r="BE2599" s="77"/>
      <c r="BF2599" s="77"/>
      <c r="BG2599" s="77"/>
      <c r="BH2599" s="77"/>
      <c r="BI2599" s="77"/>
    </row>
    <row r="2600" spans="1:61" x14ac:dyDescent="0.25">
      <c r="A2600" s="62" t="s">
        <v>886</v>
      </c>
      <c r="B2600" s="62" t="s">
        <v>886</v>
      </c>
      <c r="C2600" s="63"/>
      <c r="D2600" s="64"/>
      <c r="E2600" s="65"/>
      <c r="F2600" s="66"/>
      <c r="G2600" s="63"/>
      <c r="H2600" s="67"/>
      <c r="I2600" s="68"/>
      <c r="J2600" s="68"/>
      <c r="K2600" s="32"/>
      <c r="L2600" s="75">
        <v>2600</v>
      </c>
      <c r="M2600" s="75"/>
      <c r="N2600" s="70"/>
      <c r="O2600" s="77" t="s">
        <v>179</v>
      </c>
      <c r="P2600" s="79">
        <v>45153.986342592594</v>
      </c>
      <c r="Q2600" s="77" t="s">
        <v>3806</v>
      </c>
      <c r="R2600" s="77">
        <v>0</v>
      </c>
      <c r="S2600" s="77">
        <v>0</v>
      </c>
      <c r="T2600" s="77">
        <v>1</v>
      </c>
      <c r="U2600" s="77">
        <v>0</v>
      </c>
      <c r="V2600" s="77">
        <v>19</v>
      </c>
      <c r="W2600" s="82" t="s">
        <v>6520</v>
      </c>
      <c r="X2600" s="80" t="str">
        <f>HYPERLINK("http://linkr.bio/iniciar_")</f>
        <v>http://linkr.bio/iniciar_</v>
      </c>
      <c r="Y2600" s="77" t="s">
        <v>7431</v>
      </c>
      <c r="Z2600" s="77"/>
      <c r="AA2600" s="77" t="s">
        <v>8996</v>
      </c>
      <c r="AB2600" s="77" t="s">
        <v>10129</v>
      </c>
      <c r="AC2600" s="82" t="s">
        <v>10145</v>
      </c>
      <c r="AD2600" s="77" t="s">
        <v>10184</v>
      </c>
      <c r="AE2600" s="80" t="str">
        <f>HYPERLINK("https://twitter.com/rafaelamorimofc/status/1691595710792094054")</f>
        <v>https://twitter.com/rafaelamorimofc/status/1691595710792094054</v>
      </c>
      <c r="AF2600" s="79">
        <v>45153.986342592594</v>
      </c>
      <c r="AG2600" s="85">
        <v>45153</v>
      </c>
      <c r="AH2600" s="82" t="s">
        <v>11261</v>
      </c>
      <c r="AI2600" s="77" t="b">
        <v>0</v>
      </c>
      <c r="AJ2600" s="77"/>
      <c r="AK2600" s="77"/>
      <c r="AL2600" s="77"/>
      <c r="AM2600" s="77"/>
      <c r="AN2600" s="77"/>
      <c r="AO2600" s="77"/>
      <c r="AP2600" s="77"/>
      <c r="AQ2600" s="77" t="s">
        <v>15639</v>
      </c>
      <c r="AR2600" s="77">
        <v>10016</v>
      </c>
      <c r="AS2600" s="77"/>
      <c r="AT2600" s="77"/>
      <c r="AU2600" s="77"/>
      <c r="AV2600" s="80" t="str">
        <f>HYPERLINK("https://pbs.twimg.com/ext_tw_video_thumb/1691595663803355138/pu/img/dqQWNmSv8qKPMa9n.jpg")</f>
        <v>https://pbs.twimg.com/ext_tw_video_thumb/1691595663803355138/pu/img/dqQWNmSv8qKPMa9n.jpg</v>
      </c>
      <c r="AW2600" s="82" t="s">
        <v>19366</v>
      </c>
      <c r="AX2600" s="82" t="s">
        <v>19366</v>
      </c>
      <c r="AY2600" s="77"/>
      <c r="AZ2600" s="82" t="s">
        <v>20971</v>
      </c>
      <c r="BA2600" s="82" t="s">
        <v>20971</v>
      </c>
      <c r="BB2600" s="82" t="s">
        <v>20971</v>
      </c>
      <c r="BC2600" s="82" t="s">
        <v>19366</v>
      </c>
      <c r="BD2600" s="82" t="s">
        <v>21505</v>
      </c>
      <c r="BE2600" s="77"/>
      <c r="BF2600" s="77"/>
      <c r="BG2600" s="77"/>
      <c r="BH2600" s="77"/>
      <c r="BI2600" s="77"/>
    </row>
    <row r="2601" spans="1:61" x14ac:dyDescent="0.25">
      <c r="A2601" s="62" t="s">
        <v>886</v>
      </c>
      <c r="B2601" s="62" t="s">
        <v>886</v>
      </c>
      <c r="C2601" s="63"/>
      <c r="D2601" s="64"/>
      <c r="E2601" s="65"/>
      <c r="F2601" s="66"/>
      <c r="G2601" s="63"/>
      <c r="H2601" s="67"/>
      <c r="I2601" s="68"/>
      <c r="J2601" s="68"/>
      <c r="K2601" s="32"/>
      <c r="L2601" s="75">
        <v>2601</v>
      </c>
      <c r="M2601" s="75"/>
      <c r="N2601" s="70"/>
      <c r="O2601" s="77" t="s">
        <v>179</v>
      </c>
      <c r="P2601" s="79">
        <v>45091.641053240739</v>
      </c>
      <c r="Q2601" s="77" t="s">
        <v>3807</v>
      </c>
      <c r="R2601" s="77">
        <v>0</v>
      </c>
      <c r="S2601" s="77">
        <v>0</v>
      </c>
      <c r="T2601" s="77">
        <v>0</v>
      </c>
      <c r="U2601" s="77">
        <v>0</v>
      </c>
      <c r="V2601" s="77">
        <v>56</v>
      </c>
      <c r="W2601" s="82" t="s">
        <v>6514</v>
      </c>
      <c r="X2601" s="77"/>
      <c r="Y2601" s="77"/>
      <c r="Z2601" s="77"/>
      <c r="AA2601" s="77" t="s">
        <v>8997</v>
      </c>
      <c r="AB2601" s="77" t="s">
        <v>10129</v>
      </c>
      <c r="AC2601" s="82" t="s">
        <v>10145</v>
      </c>
      <c r="AD2601" s="77" t="s">
        <v>10184</v>
      </c>
      <c r="AE2601" s="80" t="str">
        <f>HYPERLINK("https://twitter.com/rafaelamorimofc/status/1669002534940188673")</f>
        <v>https://twitter.com/rafaelamorimofc/status/1669002534940188673</v>
      </c>
      <c r="AF2601" s="79">
        <v>45091.641053240739</v>
      </c>
      <c r="AG2601" s="85">
        <v>45091</v>
      </c>
      <c r="AH2601" s="82" t="s">
        <v>12681</v>
      </c>
      <c r="AI2601" s="77" t="b">
        <v>0</v>
      </c>
      <c r="AJ2601" s="77"/>
      <c r="AK2601" s="77"/>
      <c r="AL2601" s="77"/>
      <c r="AM2601" s="77"/>
      <c r="AN2601" s="77"/>
      <c r="AO2601" s="77"/>
      <c r="AP2601" s="77"/>
      <c r="AQ2601" s="77" t="s">
        <v>15640</v>
      </c>
      <c r="AR2601" s="77">
        <v>10701</v>
      </c>
      <c r="AS2601" s="77"/>
      <c r="AT2601" s="77"/>
      <c r="AU2601" s="77"/>
      <c r="AV2601" s="80" t="str">
        <f>HYPERLINK("https://pbs.twimg.com/ext_tw_video_thumb/1669002438894837761/pu/img/OlbD6EmmnmYy39c3.jpg")</f>
        <v>https://pbs.twimg.com/ext_tw_video_thumb/1669002438894837761/pu/img/OlbD6EmmnmYy39c3.jpg</v>
      </c>
      <c r="AW2601" s="82" t="s">
        <v>19367</v>
      </c>
      <c r="AX2601" s="82" t="s">
        <v>19367</v>
      </c>
      <c r="AY2601" s="77"/>
      <c r="AZ2601" s="82" t="s">
        <v>20971</v>
      </c>
      <c r="BA2601" s="82" t="s">
        <v>20971</v>
      </c>
      <c r="BB2601" s="82" t="s">
        <v>20971</v>
      </c>
      <c r="BC2601" s="82" t="s">
        <v>19367</v>
      </c>
      <c r="BD2601" s="82" t="s">
        <v>21505</v>
      </c>
      <c r="BE2601" s="77"/>
      <c r="BF2601" s="77"/>
      <c r="BG2601" s="77"/>
      <c r="BH2601" s="77"/>
      <c r="BI2601" s="77"/>
    </row>
    <row r="2602" spans="1:61" x14ac:dyDescent="0.25">
      <c r="A2602" s="62" t="s">
        <v>886</v>
      </c>
      <c r="B2602" s="62" t="s">
        <v>886</v>
      </c>
      <c r="C2602" s="63"/>
      <c r="D2602" s="64"/>
      <c r="E2602" s="65"/>
      <c r="F2602" s="66"/>
      <c r="G2602" s="63"/>
      <c r="H2602" s="67"/>
      <c r="I2602" s="68"/>
      <c r="J2602" s="68"/>
      <c r="K2602" s="32"/>
      <c r="L2602" s="75">
        <v>2602</v>
      </c>
      <c r="M2602" s="75"/>
      <c r="N2602" s="70"/>
      <c r="O2602" s="77" t="s">
        <v>179</v>
      </c>
      <c r="P2602" s="79">
        <v>45091.571620370371</v>
      </c>
      <c r="Q2602" s="77" t="s">
        <v>3808</v>
      </c>
      <c r="R2602" s="77">
        <v>0</v>
      </c>
      <c r="S2602" s="77">
        <v>2</v>
      </c>
      <c r="T2602" s="77">
        <v>0</v>
      </c>
      <c r="U2602" s="77">
        <v>0</v>
      </c>
      <c r="V2602" s="77">
        <v>114</v>
      </c>
      <c r="W2602" s="82" t="s">
        <v>6514</v>
      </c>
      <c r="X2602" s="77"/>
      <c r="Y2602" s="77"/>
      <c r="Z2602" s="77"/>
      <c r="AA2602" s="77" t="s">
        <v>8998</v>
      </c>
      <c r="AB2602" s="77" t="s">
        <v>10129</v>
      </c>
      <c r="AC2602" s="82" t="s">
        <v>10145</v>
      </c>
      <c r="AD2602" s="77" t="s">
        <v>10184</v>
      </c>
      <c r="AE2602" s="80" t="str">
        <f>HYPERLINK("https://twitter.com/rafaelamorimofc/status/1668977372534562816")</f>
        <v>https://twitter.com/rafaelamorimofc/status/1668977372534562816</v>
      </c>
      <c r="AF2602" s="79">
        <v>45091.571620370371</v>
      </c>
      <c r="AG2602" s="85">
        <v>45091</v>
      </c>
      <c r="AH2602" s="82" t="s">
        <v>12682</v>
      </c>
      <c r="AI2602" s="77" t="b">
        <v>0</v>
      </c>
      <c r="AJ2602" s="77"/>
      <c r="AK2602" s="77"/>
      <c r="AL2602" s="77"/>
      <c r="AM2602" s="77"/>
      <c r="AN2602" s="77"/>
      <c r="AO2602" s="77"/>
      <c r="AP2602" s="77"/>
      <c r="AQ2602" s="77" t="s">
        <v>15641</v>
      </c>
      <c r="AR2602" s="77">
        <v>8066</v>
      </c>
      <c r="AS2602" s="77"/>
      <c r="AT2602" s="77"/>
      <c r="AU2602" s="77"/>
      <c r="AV2602" s="80" t="str">
        <f>HYPERLINK("https://pbs.twimg.com/ext_tw_video_thumb/1668977240384712705/pu/img/H1l9tewxrwj-7Sxm.jpg")</f>
        <v>https://pbs.twimg.com/ext_tw_video_thumb/1668977240384712705/pu/img/H1l9tewxrwj-7Sxm.jpg</v>
      </c>
      <c r="AW2602" s="82" t="s">
        <v>19368</v>
      </c>
      <c r="AX2602" s="82" t="s">
        <v>19368</v>
      </c>
      <c r="AY2602" s="77"/>
      <c r="AZ2602" s="82" t="s">
        <v>20971</v>
      </c>
      <c r="BA2602" s="82" t="s">
        <v>20971</v>
      </c>
      <c r="BB2602" s="82" t="s">
        <v>20971</v>
      </c>
      <c r="BC2602" s="82" t="s">
        <v>19368</v>
      </c>
      <c r="BD2602" s="82" t="s">
        <v>21505</v>
      </c>
      <c r="BE2602" s="77"/>
      <c r="BF2602" s="77"/>
      <c r="BG2602" s="77"/>
      <c r="BH2602" s="77"/>
      <c r="BI2602" s="77"/>
    </row>
    <row r="2603" spans="1:61" x14ac:dyDescent="0.25">
      <c r="A2603" s="62" t="s">
        <v>886</v>
      </c>
      <c r="B2603" s="62" t="s">
        <v>886</v>
      </c>
      <c r="C2603" s="63"/>
      <c r="D2603" s="64"/>
      <c r="E2603" s="65"/>
      <c r="F2603" s="66"/>
      <c r="G2603" s="63"/>
      <c r="H2603" s="67"/>
      <c r="I2603" s="68"/>
      <c r="J2603" s="68"/>
      <c r="K2603" s="32"/>
      <c r="L2603" s="75">
        <v>2603</v>
      </c>
      <c r="M2603" s="75"/>
      <c r="N2603" s="70"/>
      <c r="O2603" s="77" t="s">
        <v>179</v>
      </c>
      <c r="P2603" s="79">
        <v>45195.576192129629</v>
      </c>
      <c r="Q2603" s="77" t="s">
        <v>3809</v>
      </c>
      <c r="R2603" s="77">
        <v>0</v>
      </c>
      <c r="S2603" s="77">
        <v>0</v>
      </c>
      <c r="T2603" s="77">
        <v>0</v>
      </c>
      <c r="U2603" s="77">
        <v>0</v>
      </c>
      <c r="V2603" s="77">
        <v>10</v>
      </c>
      <c r="W2603" s="82" t="s">
        <v>6520</v>
      </c>
      <c r="X2603" s="80" t="str">
        <f>HYPERLINK("http://linkr.bio/iniciar_")</f>
        <v>http://linkr.bio/iniciar_</v>
      </c>
      <c r="Y2603" s="77" t="s">
        <v>7431</v>
      </c>
      <c r="Z2603" s="77"/>
      <c r="AA2603" s="77" t="s">
        <v>8999</v>
      </c>
      <c r="AB2603" s="77" t="s">
        <v>10129</v>
      </c>
      <c r="AC2603" s="82" t="s">
        <v>10145</v>
      </c>
      <c r="AD2603" s="77" t="s">
        <v>10184</v>
      </c>
      <c r="AE2603" s="80" t="str">
        <f>HYPERLINK("https://twitter.com/rafaelamorimofc/status/1706667368850604364")</f>
        <v>https://twitter.com/rafaelamorimofc/status/1706667368850604364</v>
      </c>
      <c r="AF2603" s="79">
        <v>45195.576192129629</v>
      </c>
      <c r="AG2603" s="85">
        <v>45195</v>
      </c>
      <c r="AH2603" s="82" t="s">
        <v>12683</v>
      </c>
      <c r="AI2603" s="77" t="b">
        <v>0</v>
      </c>
      <c r="AJ2603" s="77"/>
      <c r="AK2603" s="77"/>
      <c r="AL2603" s="77"/>
      <c r="AM2603" s="77"/>
      <c r="AN2603" s="77"/>
      <c r="AO2603" s="77"/>
      <c r="AP2603" s="77"/>
      <c r="AQ2603" s="77" t="s">
        <v>15642</v>
      </c>
      <c r="AR2603" s="77">
        <v>12196</v>
      </c>
      <c r="AS2603" s="77"/>
      <c r="AT2603" s="77"/>
      <c r="AU2603" s="77"/>
      <c r="AV2603" s="80" t="str">
        <f>HYPERLINK("https://pbs.twimg.com/ext_tw_video_thumb/1706667295081406464/pu/img/eaDaI-IhxOTiprMR.jpg")</f>
        <v>https://pbs.twimg.com/ext_tw_video_thumb/1706667295081406464/pu/img/eaDaI-IhxOTiprMR.jpg</v>
      </c>
      <c r="AW2603" s="82" t="s">
        <v>19369</v>
      </c>
      <c r="AX2603" s="82" t="s">
        <v>19369</v>
      </c>
      <c r="AY2603" s="77"/>
      <c r="AZ2603" s="82" t="s">
        <v>20971</v>
      </c>
      <c r="BA2603" s="82" t="s">
        <v>20971</v>
      </c>
      <c r="BB2603" s="82" t="s">
        <v>20971</v>
      </c>
      <c r="BC2603" s="82" t="s">
        <v>19369</v>
      </c>
      <c r="BD2603" s="82" t="s">
        <v>21505</v>
      </c>
      <c r="BE2603" s="77"/>
      <c r="BF2603" s="77"/>
      <c r="BG2603" s="77"/>
      <c r="BH2603" s="77"/>
      <c r="BI2603" s="77"/>
    </row>
    <row r="2604" spans="1:61" x14ac:dyDescent="0.25">
      <c r="A2604" s="62" t="s">
        <v>886</v>
      </c>
      <c r="B2604" s="62" t="s">
        <v>886</v>
      </c>
      <c r="C2604" s="63"/>
      <c r="D2604" s="64"/>
      <c r="E2604" s="65"/>
      <c r="F2604" s="66"/>
      <c r="G2604" s="63"/>
      <c r="H2604" s="67"/>
      <c r="I2604" s="68"/>
      <c r="J2604" s="68"/>
      <c r="K2604" s="32"/>
      <c r="L2604" s="75">
        <v>2604</v>
      </c>
      <c r="M2604" s="75"/>
      <c r="N2604" s="70"/>
      <c r="O2604" s="77" t="s">
        <v>179</v>
      </c>
      <c r="P2604" s="79">
        <v>45189.550150462965</v>
      </c>
      <c r="Q2604" s="77" t="s">
        <v>3810</v>
      </c>
      <c r="R2604" s="77">
        <v>0</v>
      </c>
      <c r="S2604" s="77">
        <v>0</v>
      </c>
      <c r="T2604" s="77">
        <v>0</v>
      </c>
      <c r="U2604" s="77">
        <v>0</v>
      </c>
      <c r="V2604" s="77">
        <v>11</v>
      </c>
      <c r="W2604" s="82" t="s">
        <v>6520</v>
      </c>
      <c r="X2604" s="80" t="str">
        <f>HYPERLINK("http://linkr.bio/iniciar_")</f>
        <v>http://linkr.bio/iniciar_</v>
      </c>
      <c r="Y2604" s="77" t="s">
        <v>7431</v>
      </c>
      <c r="Z2604" s="77"/>
      <c r="AA2604" s="77" t="s">
        <v>9000</v>
      </c>
      <c r="AB2604" s="77" t="s">
        <v>10129</v>
      </c>
      <c r="AC2604" s="82" t="s">
        <v>10145</v>
      </c>
      <c r="AD2604" s="77" t="s">
        <v>10184</v>
      </c>
      <c r="AE2604" s="80" t="str">
        <f>HYPERLINK("https://twitter.com/rafaelamorimofc/status/1704483605072740673")</f>
        <v>https://twitter.com/rafaelamorimofc/status/1704483605072740673</v>
      </c>
      <c r="AF2604" s="79">
        <v>45189.550150462965</v>
      </c>
      <c r="AG2604" s="85">
        <v>45189</v>
      </c>
      <c r="AH2604" s="82" t="s">
        <v>12684</v>
      </c>
      <c r="AI2604" s="77" t="b">
        <v>0</v>
      </c>
      <c r="AJ2604" s="77"/>
      <c r="AK2604" s="77"/>
      <c r="AL2604" s="77"/>
      <c r="AM2604" s="77"/>
      <c r="AN2604" s="77"/>
      <c r="AO2604" s="77"/>
      <c r="AP2604" s="77"/>
      <c r="AQ2604" s="77" t="s">
        <v>15643</v>
      </c>
      <c r="AR2604" s="77">
        <v>8811</v>
      </c>
      <c r="AS2604" s="77"/>
      <c r="AT2604" s="77"/>
      <c r="AU2604" s="77"/>
      <c r="AV2604" s="80" t="str">
        <f>HYPERLINK("https://pbs.twimg.com/ext_tw_video_thumb/1704483541810085888/pu/img/pDAj_wwN2REMaDKu.jpg")</f>
        <v>https://pbs.twimg.com/ext_tw_video_thumb/1704483541810085888/pu/img/pDAj_wwN2REMaDKu.jpg</v>
      </c>
      <c r="AW2604" s="82" t="s">
        <v>19370</v>
      </c>
      <c r="AX2604" s="82" t="s">
        <v>19370</v>
      </c>
      <c r="AY2604" s="77"/>
      <c r="AZ2604" s="82" t="s">
        <v>20971</v>
      </c>
      <c r="BA2604" s="82" t="s">
        <v>20971</v>
      </c>
      <c r="BB2604" s="82" t="s">
        <v>20971</v>
      </c>
      <c r="BC2604" s="82" t="s">
        <v>19370</v>
      </c>
      <c r="BD2604" s="82" t="s">
        <v>21505</v>
      </c>
      <c r="BE2604" s="77"/>
      <c r="BF2604" s="77"/>
      <c r="BG2604" s="77"/>
      <c r="BH2604" s="77"/>
      <c r="BI2604" s="77"/>
    </row>
    <row r="2605" spans="1:61" x14ac:dyDescent="0.25">
      <c r="A2605" s="62" t="s">
        <v>886</v>
      </c>
      <c r="B2605" s="62" t="s">
        <v>886</v>
      </c>
      <c r="C2605" s="63"/>
      <c r="D2605" s="64"/>
      <c r="E2605" s="65"/>
      <c r="F2605" s="66"/>
      <c r="G2605" s="63"/>
      <c r="H2605" s="67"/>
      <c r="I2605" s="68"/>
      <c r="J2605" s="68"/>
      <c r="K2605" s="32"/>
      <c r="L2605" s="75">
        <v>2605</v>
      </c>
      <c r="M2605" s="75"/>
      <c r="N2605" s="70"/>
      <c r="O2605" s="77" t="s">
        <v>179</v>
      </c>
      <c r="P2605" s="79">
        <v>45157.654085648152</v>
      </c>
      <c r="Q2605" s="77" t="s">
        <v>3811</v>
      </c>
      <c r="R2605" s="77">
        <v>0</v>
      </c>
      <c r="S2605" s="77">
        <v>0</v>
      </c>
      <c r="T2605" s="77">
        <v>0</v>
      </c>
      <c r="U2605" s="77">
        <v>0</v>
      </c>
      <c r="V2605" s="77">
        <v>12</v>
      </c>
      <c r="W2605" s="82" t="s">
        <v>6520</v>
      </c>
      <c r="X2605" s="80" t="str">
        <f>HYPERLINK("http://linkr.bio/iniciar_")</f>
        <v>http://linkr.bio/iniciar_</v>
      </c>
      <c r="Y2605" s="77" t="s">
        <v>7431</v>
      </c>
      <c r="Z2605" s="77"/>
      <c r="AA2605" s="77" t="s">
        <v>9001</v>
      </c>
      <c r="AB2605" s="77" t="s">
        <v>10129</v>
      </c>
      <c r="AC2605" s="82" t="s">
        <v>10145</v>
      </c>
      <c r="AD2605" s="77" t="s">
        <v>10184</v>
      </c>
      <c r="AE2605" s="80" t="str">
        <f>HYPERLINK("https://twitter.com/rafaelamorimofc/status/1692924855228813546")</f>
        <v>https://twitter.com/rafaelamorimofc/status/1692924855228813546</v>
      </c>
      <c r="AF2605" s="79">
        <v>45157.654085648152</v>
      </c>
      <c r="AG2605" s="85">
        <v>45157</v>
      </c>
      <c r="AH2605" s="82" t="s">
        <v>12685</v>
      </c>
      <c r="AI2605" s="77" t="b">
        <v>0</v>
      </c>
      <c r="AJ2605" s="77"/>
      <c r="AK2605" s="77"/>
      <c r="AL2605" s="77"/>
      <c r="AM2605" s="77"/>
      <c r="AN2605" s="77"/>
      <c r="AO2605" s="77"/>
      <c r="AP2605" s="77"/>
      <c r="AQ2605" s="77" t="s">
        <v>15644</v>
      </c>
      <c r="AR2605" s="77">
        <v>8750</v>
      </c>
      <c r="AS2605" s="77"/>
      <c r="AT2605" s="77"/>
      <c r="AU2605" s="77"/>
      <c r="AV2605" s="80" t="str">
        <f>HYPERLINK("https://pbs.twimg.com/ext_tw_video_thumb/1692924811335405568/pu/img/WlM0Dp69FLFSU25g.jpg")</f>
        <v>https://pbs.twimg.com/ext_tw_video_thumb/1692924811335405568/pu/img/WlM0Dp69FLFSU25g.jpg</v>
      </c>
      <c r="AW2605" s="82" t="s">
        <v>19371</v>
      </c>
      <c r="AX2605" s="82" t="s">
        <v>19371</v>
      </c>
      <c r="AY2605" s="77"/>
      <c r="AZ2605" s="82" t="s">
        <v>20971</v>
      </c>
      <c r="BA2605" s="82" t="s">
        <v>20971</v>
      </c>
      <c r="BB2605" s="82" t="s">
        <v>20971</v>
      </c>
      <c r="BC2605" s="82" t="s">
        <v>19371</v>
      </c>
      <c r="BD2605" s="82" t="s">
        <v>21505</v>
      </c>
      <c r="BE2605" s="77"/>
      <c r="BF2605" s="77"/>
      <c r="BG2605" s="77"/>
      <c r="BH2605" s="77"/>
      <c r="BI2605" s="77"/>
    </row>
    <row r="2606" spans="1:61" x14ac:dyDescent="0.25">
      <c r="A2606" s="62" t="s">
        <v>886</v>
      </c>
      <c r="B2606" s="62" t="s">
        <v>886</v>
      </c>
      <c r="C2606" s="63"/>
      <c r="D2606" s="64"/>
      <c r="E2606" s="65"/>
      <c r="F2606" s="66"/>
      <c r="G2606" s="63"/>
      <c r="H2606" s="67"/>
      <c r="I2606" s="68"/>
      <c r="J2606" s="68"/>
      <c r="K2606" s="32"/>
      <c r="L2606" s="75">
        <v>2606</v>
      </c>
      <c r="M2606" s="75"/>
      <c r="N2606" s="70"/>
      <c r="O2606" s="77" t="s">
        <v>179</v>
      </c>
      <c r="P2606" s="79">
        <v>45156.920243055552</v>
      </c>
      <c r="Q2606" s="77" t="s">
        <v>3812</v>
      </c>
      <c r="R2606" s="77">
        <v>0</v>
      </c>
      <c r="S2606" s="77">
        <v>0</v>
      </c>
      <c r="T2606" s="77">
        <v>0</v>
      </c>
      <c r="U2606" s="77">
        <v>0</v>
      </c>
      <c r="V2606" s="77">
        <v>16</v>
      </c>
      <c r="W2606" s="82" t="s">
        <v>6520</v>
      </c>
      <c r="X2606" s="80" t="str">
        <f>HYPERLINK("http://linkr.bio/iniciar_")</f>
        <v>http://linkr.bio/iniciar_</v>
      </c>
      <c r="Y2606" s="77" t="s">
        <v>7431</v>
      </c>
      <c r="Z2606" s="77"/>
      <c r="AA2606" s="77" t="s">
        <v>9002</v>
      </c>
      <c r="AB2606" s="77" t="s">
        <v>10129</v>
      </c>
      <c r="AC2606" s="82" t="s">
        <v>10145</v>
      </c>
      <c r="AD2606" s="77" t="s">
        <v>10184</v>
      </c>
      <c r="AE2606" s="80" t="str">
        <f>HYPERLINK("https://twitter.com/rafaelamorimofc/status/1692658918961422762")</f>
        <v>https://twitter.com/rafaelamorimofc/status/1692658918961422762</v>
      </c>
      <c r="AF2606" s="79">
        <v>45156.920243055552</v>
      </c>
      <c r="AG2606" s="85">
        <v>45156</v>
      </c>
      <c r="AH2606" s="82" t="s">
        <v>12686</v>
      </c>
      <c r="AI2606" s="77" t="b">
        <v>0</v>
      </c>
      <c r="AJ2606" s="77"/>
      <c r="AK2606" s="77"/>
      <c r="AL2606" s="77"/>
      <c r="AM2606" s="77"/>
      <c r="AN2606" s="77"/>
      <c r="AO2606" s="77"/>
      <c r="AP2606" s="77"/>
      <c r="AQ2606" s="77" t="s">
        <v>15645</v>
      </c>
      <c r="AR2606" s="77">
        <v>11950</v>
      </c>
      <c r="AS2606" s="77"/>
      <c r="AT2606" s="77"/>
      <c r="AU2606" s="77"/>
      <c r="AV2606" s="80" t="str">
        <f>HYPERLINK("https://pbs.twimg.com/ext_tw_video_thumb/1692658803378929664/pu/img/aqI8LW-M51teEZMe.jpg")</f>
        <v>https://pbs.twimg.com/ext_tw_video_thumb/1692658803378929664/pu/img/aqI8LW-M51teEZMe.jpg</v>
      </c>
      <c r="AW2606" s="82" t="s">
        <v>19372</v>
      </c>
      <c r="AX2606" s="82" t="s">
        <v>19372</v>
      </c>
      <c r="AY2606" s="77"/>
      <c r="AZ2606" s="82" t="s">
        <v>20971</v>
      </c>
      <c r="BA2606" s="82" t="s">
        <v>20971</v>
      </c>
      <c r="BB2606" s="82" t="s">
        <v>20971</v>
      </c>
      <c r="BC2606" s="82" t="s">
        <v>19372</v>
      </c>
      <c r="BD2606" s="82" t="s">
        <v>21505</v>
      </c>
      <c r="BE2606" s="77"/>
      <c r="BF2606" s="77"/>
      <c r="BG2606" s="77"/>
      <c r="BH2606" s="77"/>
      <c r="BI2606" s="77"/>
    </row>
    <row r="2607" spans="1:61" x14ac:dyDescent="0.25">
      <c r="A2607" s="62" t="s">
        <v>886</v>
      </c>
      <c r="B2607" s="62" t="s">
        <v>886</v>
      </c>
      <c r="C2607" s="63"/>
      <c r="D2607" s="64"/>
      <c r="E2607" s="65"/>
      <c r="F2607" s="66"/>
      <c r="G2607" s="63"/>
      <c r="H2607" s="67"/>
      <c r="I2607" s="68"/>
      <c r="J2607" s="68"/>
      <c r="K2607" s="32"/>
      <c r="L2607" s="75">
        <v>2607</v>
      </c>
      <c r="M2607" s="75"/>
      <c r="N2607" s="70"/>
      <c r="O2607" s="77" t="s">
        <v>179</v>
      </c>
      <c r="P2607" s="79">
        <v>45156.496354166666</v>
      </c>
      <c r="Q2607" s="77" t="s">
        <v>3813</v>
      </c>
      <c r="R2607" s="77">
        <v>0</v>
      </c>
      <c r="S2607" s="77">
        <v>0</v>
      </c>
      <c r="T2607" s="77">
        <v>0</v>
      </c>
      <c r="U2607" s="77">
        <v>0</v>
      </c>
      <c r="V2607" s="77">
        <v>13</v>
      </c>
      <c r="W2607" s="82" t="s">
        <v>6520</v>
      </c>
      <c r="X2607" s="80" t="str">
        <f>HYPERLINK("http://linkr.bio/iniciar_")</f>
        <v>http://linkr.bio/iniciar_</v>
      </c>
      <c r="Y2607" s="77" t="s">
        <v>7431</v>
      </c>
      <c r="Z2607" s="77"/>
      <c r="AA2607" s="77" t="s">
        <v>9003</v>
      </c>
      <c r="AB2607" s="77" t="s">
        <v>10129</v>
      </c>
      <c r="AC2607" s="82" t="s">
        <v>10145</v>
      </c>
      <c r="AD2607" s="77" t="s">
        <v>10184</v>
      </c>
      <c r="AE2607" s="80" t="str">
        <f>HYPERLINK("https://twitter.com/rafaelamorimofc/status/1692505307019145647")</f>
        <v>https://twitter.com/rafaelamorimofc/status/1692505307019145647</v>
      </c>
      <c r="AF2607" s="79">
        <v>45156.496354166666</v>
      </c>
      <c r="AG2607" s="85">
        <v>45156</v>
      </c>
      <c r="AH2607" s="82" t="s">
        <v>12687</v>
      </c>
      <c r="AI2607" s="77" t="b">
        <v>0</v>
      </c>
      <c r="AJ2607" s="77"/>
      <c r="AK2607" s="77"/>
      <c r="AL2607" s="77"/>
      <c r="AM2607" s="77"/>
      <c r="AN2607" s="77"/>
      <c r="AO2607" s="77"/>
      <c r="AP2607" s="77"/>
      <c r="AQ2607" s="77" t="s">
        <v>15646</v>
      </c>
      <c r="AR2607" s="77">
        <v>6033</v>
      </c>
      <c r="AS2607" s="77"/>
      <c r="AT2607" s="77"/>
      <c r="AU2607" s="77"/>
      <c r="AV2607" s="80" t="str">
        <f>HYPERLINK("https://pbs.twimg.com/ext_tw_video_thumb/1692505265344565248/pu/img/8dbE4dxJZkYkpLyb.jpg")</f>
        <v>https://pbs.twimg.com/ext_tw_video_thumb/1692505265344565248/pu/img/8dbE4dxJZkYkpLyb.jpg</v>
      </c>
      <c r="AW2607" s="82" t="s">
        <v>19373</v>
      </c>
      <c r="AX2607" s="82" t="s">
        <v>19373</v>
      </c>
      <c r="AY2607" s="77"/>
      <c r="AZ2607" s="82" t="s">
        <v>20971</v>
      </c>
      <c r="BA2607" s="82" t="s">
        <v>20971</v>
      </c>
      <c r="BB2607" s="82" t="s">
        <v>20971</v>
      </c>
      <c r="BC2607" s="82" t="s">
        <v>19373</v>
      </c>
      <c r="BD2607" s="82" t="s">
        <v>21505</v>
      </c>
      <c r="BE2607" s="77"/>
      <c r="BF2607" s="77"/>
      <c r="BG2607" s="77"/>
      <c r="BH2607" s="77"/>
      <c r="BI2607" s="77"/>
    </row>
    <row r="2608" spans="1:61" x14ac:dyDescent="0.25">
      <c r="A2608" s="62" t="s">
        <v>886</v>
      </c>
      <c r="B2608" s="62" t="s">
        <v>886</v>
      </c>
      <c r="C2608" s="63"/>
      <c r="D2608" s="64"/>
      <c r="E2608" s="65"/>
      <c r="F2608" s="66"/>
      <c r="G2608" s="63"/>
      <c r="H2608" s="67"/>
      <c r="I2608" s="68"/>
      <c r="J2608" s="68"/>
      <c r="K2608" s="32"/>
      <c r="L2608" s="75">
        <v>2608</v>
      </c>
      <c r="M2608" s="75"/>
      <c r="N2608" s="70"/>
      <c r="O2608" s="77" t="s">
        <v>179</v>
      </c>
      <c r="P2608" s="79">
        <v>45136.616481481484</v>
      </c>
      <c r="Q2608" s="77" t="s">
        <v>3814</v>
      </c>
      <c r="R2608" s="77">
        <v>0</v>
      </c>
      <c r="S2608" s="77">
        <v>0</v>
      </c>
      <c r="T2608" s="77">
        <v>0</v>
      </c>
      <c r="U2608" s="77">
        <v>0</v>
      </c>
      <c r="V2608" s="77">
        <v>37</v>
      </c>
      <c r="W2608" s="82" t="s">
        <v>6514</v>
      </c>
      <c r="X2608" s="80" t="str">
        <f>HYPERLINK("https://linkr.bio/iniciar_")</f>
        <v>https://linkr.bio/iniciar_</v>
      </c>
      <c r="Y2608" s="77" t="s">
        <v>7431</v>
      </c>
      <c r="Z2608" s="77"/>
      <c r="AA2608" s="77" t="s">
        <v>9004</v>
      </c>
      <c r="AB2608" s="77" t="s">
        <v>10129</v>
      </c>
      <c r="AC2608" s="82" t="s">
        <v>10145</v>
      </c>
      <c r="AD2608" s="77" t="s">
        <v>10184</v>
      </c>
      <c r="AE2608" s="80" t="str">
        <f>HYPERLINK("https://twitter.com/rafaelamorimofc/status/1685301084766568448")</f>
        <v>https://twitter.com/rafaelamorimofc/status/1685301084766568448</v>
      </c>
      <c r="AF2608" s="79">
        <v>45136.616481481484</v>
      </c>
      <c r="AG2608" s="85">
        <v>45136</v>
      </c>
      <c r="AH2608" s="82" t="s">
        <v>12688</v>
      </c>
      <c r="AI2608" s="77" t="b">
        <v>0</v>
      </c>
      <c r="AJ2608" s="77"/>
      <c r="AK2608" s="77"/>
      <c r="AL2608" s="77"/>
      <c r="AM2608" s="77"/>
      <c r="AN2608" s="77"/>
      <c r="AO2608" s="77"/>
      <c r="AP2608" s="77"/>
      <c r="AQ2608" s="77" t="s">
        <v>15647</v>
      </c>
      <c r="AR2608" s="77">
        <v>7161</v>
      </c>
      <c r="AS2608" s="77"/>
      <c r="AT2608" s="77"/>
      <c r="AU2608" s="77"/>
      <c r="AV2608" s="80" t="str">
        <f>HYPERLINK("https://pbs.twimg.com/ext_tw_video_thumb/1685301048783634433/pu/img/O9CZwhlFUv_Kl9jT.jpg")</f>
        <v>https://pbs.twimg.com/ext_tw_video_thumb/1685301048783634433/pu/img/O9CZwhlFUv_Kl9jT.jpg</v>
      </c>
      <c r="AW2608" s="82" t="s">
        <v>19374</v>
      </c>
      <c r="AX2608" s="82" t="s">
        <v>19374</v>
      </c>
      <c r="AY2608" s="77"/>
      <c r="AZ2608" s="82" t="s">
        <v>20971</v>
      </c>
      <c r="BA2608" s="82" t="s">
        <v>20971</v>
      </c>
      <c r="BB2608" s="82" t="s">
        <v>20971</v>
      </c>
      <c r="BC2608" s="82" t="s">
        <v>19374</v>
      </c>
      <c r="BD2608" s="82" t="s">
        <v>21505</v>
      </c>
      <c r="BE2608" s="77"/>
      <c r="BF2608" s="77"/>
      <c r="BG2608" s="77"/>
      <c r="BH2608" s="77"/>
      <c r="BI2608" s="77"/>
    </row>
    <row r="2609" spans="1:61" x14ac:dyDescent="0.25">
      <c r="A2609" s="62" t="s">
        <v>886</v>
      </c>
      <c r="B2609" s="62" t="s">
        <v>886</v>
      </c>
      <c r="C2609" s="63"/>
      <c r="D2609" s="64"/>
      <c r="E2609" s="65"/>
      <c r="F2609" s="66"/>
      <c r="G2609" s="63"/>
      <c r="H2609" s="67"/>
      <c r="I2609" s="68"/>
      <c r="J2609" s="68"/>
      <c r="K2609" s="32"/>
      <c r="L2609" s="75">
        <v>2609</v>
      </c>
      <c r="M2609" s="75"/>
      <c r="N2609" s="70"/>
      <c r="O2609" s="77" t="s">
        <v>179</v>
      </c>
      <c r="P2609" s="79">
        <v>45135.671469907407</v>
      </c>
      <c r="Q2609" s="77" t="s">
        <v>3815</v>
      </c>
      <c r="R2609" s="77">
        <v>0</v>
      </c>
      <c r="S2609" s="77">
        <v>0</v>
      </c>
      <c r="T2609" s="77">
        <v>0</v>
      </c>
      <c r="U2609" s="77">
        <v>0</v>
      </c>
      <c r="V2609" s="77">
        <v>40</v>
      </c>
      <c r="W2609" s="82" t="s">
        <v>6514</v>
      </c>
      <c r="X2609" s="80" t="str">
        <f>HYPERLINK("https://linkr.bio/iniciar_")</f>
        <v>https://linkr.bio/iniciar_</v>
      </c>
      <c r="Y2609" s="77" t="s">
        <v>7431</v>
      </c>
      <c r="Z2609" s="77"/>
      <c r="AA2609" s="77" t="s">
        <v>9005</v>
      </c>
      <c r="AB2609" s="77" t="s">
        <v>10129</v>
      </c>
      <c r="AC2609" s="82" t="s">
        <v>10145</v>
      </c>
      <c r="AD2609" s="77" t="s">
        <v>10184</v>
      </c>
      <c r="AE2609" s="80" t="str">
        <f>HYPERLINK("https://twitter.com/rafaelamorimofc/status/1684958624769060864")</f>
        <v>https://twitter.com/rafaelamorimofc/status/1684958624769060864</v>
      </c>
      <c r="AF2609" s="79">
        <v>45135.671469907407</v>
      </c>
      <c r="AG2609" s="85">
        <v>45135</v>
      </c>
      <c r="AH2609" s="82" t="s">
        <v>12689</v>
      </c>
      <c r="AI2609" s="77" t="b">
        <v>0</v>
      </c>
      <c r="AJ2609" s="77"/>
      <c r="AK2609" s="77"/>
      <c r="AL2609" s="77"/>
      <c r="AM2609" s="77"/>
      <c r="AN2609" s="77"/>
      <c r="AO2609" s="77"/>
      <c r="AP2609" s="77"/>
      <c r="AQ2609" s="77" t="s">
        <v>15648</v>
      </c>
      <c r="AR2609" s="77">
        <v>7951</v>
      </c>
      <c r="AS2609" s="77"/>
      <c r="AT2609" s="77"/>
      <c r="AU2609" s="77"/>
      <c r="AV2609" s="80" t="str">
        <f>HYPERLINK("https://pbs.twimg.com/ext_tw_video_thumb/1684958583832674304/pu/img/XWPdSzLzI-vgEYwj.jpg")</f>
        <v>https://pbs.twimg.com/ext_tw_video_thumb/1684958583832674304/pu/img/XWPdSzLzI-vgEYwj.jpg</v>
      </c>
      <c r="AW2609" s="82" t="s">
        <v>19375</v>
      </c>
      <c r="AX2609" s="82" t="s">
        <v>19375</v>
      </c>
      <c r="AY2609" s="77"/>
      <c r="AZ2609" s="82" t="s">
        <v>20971</v>
      </c>
      <c r="BA2609" s="82" t="s">
        <v>20971</v>
      </c>
      <c r="BB2609" s="82" t="s">
        <v>20971</v>
      </c>
      <c r="BC2609" s="82" t="s">
        <v>19375</v>
      </c>
      <c r="BD2609" s="82" t="s">
        <v>21505</v>
      </c>
      <c r="BE2609" s="77"/>
      <c r="BF2609" s="77"/>
      <c r="BG2609" s="77"/>
      <c r="BH2609" s="77"/>
      <c r="BI2609" s="77"/>
    </row>
    <row r="2610" spans="1:61" x14ac:dyDescent="0.25">
      <c r="A2610" s="62" t="s">
        <v>886</v>
      </c>
      <c r="B2610" s="62" t="s">
        <v>886</v>
      </c>
      <c r="C2610" s="63"/>
      <c r="D2610" s="64"/>
      <c r="E2610" s="65"/>
      <c r="F2610" s="66"/>
      <c r="G2610" s="63"/>
      <c r="H2610" s="67"/>
      <c r="I2610" s="68"/>
      <c r="J2610" s="68"/>
      <c r="K2610" s="32"/>
      <c r="L2610" s="75">
        <v>2610</v>
      </c>
      <c r="M2610" s="75"/>
      <c r="N2610" s="70"/>
      <c r="O2610" s="77" t="s">
        <v>179</v>
      </c>
      <c r="P2610" s="79">
        <v>45078.873518518521</v>
      </c>
      <c r="Q2610" s="77" t="s">
        <v>3816</v>
      </c>
      <c r="R2610" s="77">
        <v>0</v>
      </c>
      <c r="S2610" s="77">
        <v>0</v>
      </c>
      <c r="T2610" s="77">
        <v>0</v>
      </c>
      <c r="U2610" s="77">
        <v>0</v>
      </c>
      <c r="V2610" s="77">
        <v>31</v>
      </c>
      <c r="W2610" s="82" t="s">
        <v>6528</v>
      </c>
      <c r="X2610" s="77"/>
      <c r="Y2610" s="77"/>
      <c r="Z2610" s="77"/>
      <c r="AA2610" s="77" t="s">
        <v>9006</v>
      </c>
      <c r="AB2610" s="77" t="s">
        <v>10129</v>
      </c>
      <c r="AC2610" s="82" t="s">
        <v>10145</v>
      </c>
      <c r="AD2610" s="77" t="s">
        <v>10184</v>
      </c>
      <c r="AE2610" s="80" t="str">
        <f>HYPERLINK("https://twitter.com/rafaelamorimofc/status/1664375734142418944")</f>
        <v>https://twitter.com/rafaelamorimofc/status/1664375734142418944</v>
      </c>
      <c r="AF2610" s="79">
        <v>45078.873518518521</v>
      </c>
      <c r="AG2610" s="85">
        <v>45078</v>
      </c>
      <c r="AH2610" s="82" t="s">
        <v>12690</v>
      </c>
      <c r="AI2610" s="77" t="b">
        <v>0</v>
      </c>
      <c r="AJ2610" s="77"/>
      <c r="AK2610" s="77"/>
      <c r="AL2610" s="77"/>
      <c r="AM2610" s="77"/>
      <c r="AN2610" s="77"/>
      <c r="AO2610" s="77"/>
      <c r="AP2610" s="77"/>
      <c r="AQ2610" s="77" t="s">
        <v>15649</v>
      </c>
      <c r="AR2610" s="77">
        <v>5803</v>
      </c>
      <c r="AS2610" s="77"/>
      <c r="AT2610" s="77"/>
      <c r="AU2610" s="77"/>
      <c r="AV2610" s="80" t="str">
        <f>HYPERLINK("https://pbs.twimg.com/ext_tw_video_thumb/1664375659202854918/pu/img/yeA8wal6oe6Jy86k.jpg")</f>
        <v>https://pbs.twimg.com/ext_tw_video_thumb/1664375659202854918/pu/img/yeA8wal6oe6Jy86k.jpg</v>
      </c>
      <c r="AW2610" s="82" t="s">
        <v>19376</v>
      </c>
      <c r="AX2610" s="82" t="s">
        <v>19376</v>
      </c>
      <c r="AY2610" s="77"/>
      <c r="AZ2610" s="82" t="s">
        <v>20971</v>
      </c>
      <c r="BA2610" s="82" t="s">
        <v>20971</v>
      </c>
      <c r="BB2610" s="82" t="s">
        <v>20971</v>
      </c>
      <c r="BC2610" s="82" t="s">
        <v>19376</v>
      </c>
      <c r="BD2610" s="82" t="s">
        <v>21505</v>
      </c>
      <c r="BE2610" s="77"/>
      <c r="BF2610" s="77"/>
      <c r="BG2610" s="77"/>
      <c r="BH2610" s="77"/>
      <c r="BI2610" s="77"/>
    </row>
    <row r="2611" spans="1:61" x14ac:dyDescent="0.25">
      <c r="A2611" s="62" t="s">
        <v>886</v>
      </c>
      <c r="B2611" s="62" t="s">
        <v>886</v>
      </c>
      <c r="C2611" s="63"/>
      <c r="D2611" s="64"/>
      <c r="E2611" s="65"/>
      <c r="F2611" s="66"/>
      <c r="G2611" s="63"/>
      <c r="H2611" s="67"/>
      <c r="I2611" s="68"/>
      <c r="J2611" s="68"/>
      <c r="K2611" s="32"/>
      <c r="L2611" s="75">
        <v>2611</v>
      </c>
      <c r="M2611" s="75"/>
      <c r="N2611" s="70"/>
      <c r="O2611" s="77" t="s">
        <v>179</v>
      </c>
      <c r="P2611" s="79">
        <v>45078.631493055553</v>
      </c>
      <c r="Q2611" s="77" t="s">
        <v>3817</v>
      </c>
      <c r="R2611" s="77">
        <v>0</v>
      </c>
      <c r="S2611" s="77">
        <v>1</v>
      </c>
      <c r="T2611" s="77">
        <v>0</v>
      </c>
      <c r="U2611" s="77">
        <v>0</v>
      </c>
      <c r="V2611" s="77">
        <v>79</v>
      </c>
      <c r="W2611" s="82" t="s">
        <v>6507</v>
      </c>
      <c r="X2611" s="77"/>
      <c r="Y2611" s="77"/>
      <c r="Z2611" s="77"/>
      <c r="AA2611" s="77" t="s">
        <v>9007</v>
      </c>
      <c r="AB2611" s="77" t="s">
        <v>10129</v>
      </c>
      <c r="AC2611" s="82" t="s">
        <v>10145</v>
      </c>
      <c r="AD2611" s="77" t="s">
        <v>10184</v>
      </c>
      <c r="AE2611" s="80" t="str">
        <f>HYPERLINK("https://twitter.com/rafaelamorimofc/status/1664288028251095041")</f>
        <v>https://twitter.com/rafaelamorimofc/status/1664288028251095041</v>
      </c>
      <c r="AF2611" s="79">
        <v>45078.631493055553</v>
      </c>
      <c r="AG2611" s="85">
        <v>45078</v>
      </c>
      <c r="AH2611" s="82" t="s">
        <v>12691</v>
      </c>
      <c r="AI2611" s="77" t="b">
        <v>0</v>
      </c>
      <c r="AJ2611" s="77"/>
      <c r="AK2611" s="77"/>
      <c r="AL2611" s="77"/>
      <c r="AM2611" s="77"/>
      <c r="AN2611" s="77"/>
      <c r="AO2611" s="77"/>
      <c r="AP2611" s="77"/>
      <c r="AQ2611" s="77" t="s">
        <v>15650</v>
      </c>
      <c r="AR2611" s="77">
        <v>20700</v>
      </c>
      <c r="AS2611" s="77"/>
      <c r="AT2611" s="77"/>
      <c r="AU2611" s="77"/>
      <c r="AV2611" s="80" t="str">
        <f>HYPERLINK("https://pbs.twimg.com/ext_tw_video_thumb/1664287935666208771/pu/img/i-im06xbe3n50Bgt.jpg")</f>
        <v>https://pbs.twimg.com/ext_tw_video_thumb/1664287935666208771/pu/img/i-im06xbe3n50Bgt.jpg</v>
      </c>
      <c r="AW2611" s="82" t="s">
        <v>19377</v>
      </c>
      <c r="AX2611" s="82" t="s">
        <v>19377</v>
      </c>
      <c r="AY2611" s="77"/>
      <c r="AZ2611" s="82" t="s">
        <v>20971</v>
      </c>
      <c r="BA2611" s="82" t="s">
        <v>20971</v>
      </c>
      <c r="BB2611" s="82" t="s">
        <v>20971</v>
      </c>
      <c r="BC2611" s="82" t="s">
        <v>19377</v>
      </c>
      <c r="BD2611" s="82" t="s">
        <v>21505</v>
      </c>
      <c r="BE2611" s="77"/>
      <c r="BF2611" s="77"/>
      <c r="BG2611" s="77"/>
      <c r="BH2611" s="77"/>
      <c r="BI2611" s="77"/>
    </row>
    <row r="2612" spans="1:61" x14ac:dyDescent="0.25">
      <c r="A2612" s="62" t="s">
        <v>886</v>
      </c>
      <c r="B2612" s="62" t="s">
        <v>886</v>
      </c>
      <c r="C2612" s="63"/>
      <c r="D2612" s="64"/>
      <c r="E2612" s="65"/>
      <c r="F2612" s="66"/>
      <c r="G2612" s="63"/>
      <c r="H2612" s="67"/>
      <c r="I2612" s="68"/>
      <c r="J2612" s="68"/>
      <c r="K2612" s="32"/>
      <c r="L2612" s="75">
        <v>2612</v>
      </c>
      <c r="M2612" s="75"/>
      <c r="N2612" s="70"/>
      <c r="O2612" s="77" t="s">
        <v>179</v>
      </c>
      <c r="P2612" s="79">
        <v>45076.659814814811</v>
      </c>
      <c r="Q2612" s="77" t="s">
        <v>3818</v>
      </c>
      <c r="R2612" s="77">
        <v>0</v>
      </c>
      <c r="S2612" s="77">
        <v>0</v>
      </c>
      <c r="T2612" s="77">
        <v>0</v>
      </c>
      <c r="U2612" s="77">
        <v>0</v>
      </c>
      <c r="V2612" s="77">
        <v>42</v>
      </c>
      <c r="W2612" s="82" t="s">
        <v>6529</v>
      </c>
      <c r="X2612" s="77"/>
      <c r="Y2612" s="77"/>
      <c r="Z2612" s="77"/>
      <c r="AA2612" s="77" t="s">
        <v>9008</v>
      </c>
      <c r="AB2612" s="77" t="s">
        <v>10129</v>
      </c>
      <c r="AC2612" s="82" t="s">
        <v>10145</v>
      </c>
      <c r="AD2612" s="77" t="s">
        <v>10184</v>
      </c>
      <c r="AE2612" s="80" t="str">
        <f>HYPERLINK("https://twitter.com/rafaelamorimofc/status/1663573513989414913")</f>
        <v>https://twitter.com/rafaelamorimofc/status/1663573513989414913</v>
      </c>
      <c r="AF2612" s="79">
        <v>45076.659814814811</v>
      </c>
      <c r="AG2612" s="85">
        <v>45076</v>
      </c>
      <c r="AH2612" s="82" t="s">
        <v>12692</v>
      </c>
      <c r="AI2612" s="77" t="b">
        <v>0</v>
      </c>
      <c r="AJ2612" s="77"/>
      <c r="AK2612" s="77"/>
      <c r="AL2612" s="77"/>
      <c r="AM2612" s="77"/>
      <c r="AN2612" s="77"/>
      <c r="AO2612" s="77"/>
      <c r="AP2612" s="77"/>
      <c r="AQ2612" s="77" t="s">
        <v>15651</v>
      </c>
      <c r="AR2612" s="77">
        <v>9475</v>
      </c>
      <c r="AS2612" s="77"/>
      <c r="AT2612" s="77"/>
      <c r="AU2612" s="77"/>
      <c r="AV2612" s="80" t="str">
        <f>HYPERLINK("https://pbs.twimg.com/ext_tw_video_thumb/1663573435820265474/pu/img/wzGs8T2q3HS0FxyN.jpg")</f>
        <v>https://pbs.twimg.com/ext_tw_video_thumb/1663573435820265474/pu/img/wzGs8T2q3HS0FxyN.jpg</v>
      </c>
      <c r="AW2612" s="82" t="s">
        <v>19378</v>
      </c>
      <c r="AX2612" s="82" t="s">
        <v>19378</v>
      </c>
      <c r="AY2612" s="77"/>
      <c r="AZ2612" s="82" t="s">
        <v>20971</v>
      </c>
      <c r="BA2612" s="82" t="s">
        <v>20971</v>
      </c>
      <c r="BB2612" s="82" t="s">
        <v>20971</v>
      </c>
      <c r="BC2612" s="82" t="s">
        <v>19378</v>
      </c>
      <c r="BD2612" s="82" t="s">
        <v>21505</v>
      </c>
      <c r="BE2612" s="77"/>
      <c r="BF2612" s="77"/>
      <c r="BG2612" s="77"/>
      <c r="BH2612" s="77"/>
      <c r="BI2612" s="77"/>
    </row>
    <row r="2613" spans="1:61" x14ac:dyDescent="0.25">
      <c r="A2613" s="62" t="s">
        <v>886</v>
      </c>
      <c r="B2613" s="62" t="s">
        <v>886</v>
      </c>
      <c r="C2613" s="63"/>
      <c r="D2613" s="64"/>
      <c r="E2613" s="65"/>
      <c r="F2613" s="66"/>
      <c r="G2613" s="63"/>
      <c r="H2613" s="67"/>
      <c r="I2613" s="68"/>
      <c r="J2613" s="68"/>
      <c r="K2613" s="32"/>
      <c r="L2613" s="75">
        <v>2613</v>
      </c>
      <c r="M2613" s="75"/>
      <c r="N2613" s="70"/>
      <c r="O2613" s="77" t="s">
        <v>179</v>
      </c>
      <c r="P2613" s="79">
        <v>45052.798391203702</v>
      </c>
      <c r="Q2613" s="77" t="s">
        <v>3819</v>
      </c>
      <c r="R2613" s="77">
        <v>0</v>
      </c>
      <c r="S2613" s="77">
        <v>0</v>
      </c>
      <c r="T2613" s="77">
        <v>1</v>
      </c>
      <c r="U2613" s="77">
        <v>0</v>
      </c>
      <c r="V2613" s="77">
        <v>119</v>
      </c>
      <c r="W2613" s="82" t="s">
        <v>6530</v>
      </c>
      <c r="X2613" s="77"/>
      <c r="Y2613" s="77"/>
      <c r="Z2613" s="77"/>
      <c r="AA2613" s="77" t="s">
        <v>9009</v>
      </c>
      <c r="AB2613" s="77" t="s">
        <v>10129</v>
      </c>
      <c r="AC2613" s="82" t="s">
        <v>10145</v>
      </c>
      <c r="AD2613" s="77" t="s">
        <v>10184</v>
      </c>
      <c r="AE2613" s="80" t="str">
        <f>HYPERLINK("https://twitter.com/rafaelamorimofc/status/1654926426125090817")</f>
        <v>https://twitter.com/rafaelamorimofc/status/1654926426125090817</v>
      </c>
      <c r="AF2613" s="79">
        <v>45052.798391203702</v>
      </c>
      <c r="AG2613" s="85">
        <v>45052</v>
      </c>
      <c r="AH2613" s="82" t="s">
        <v>12693</v>
      </c>
      <c r="AI2613" s="77" t="b">
        <v>0</v>
      </c>
      <c r="AJ2613" s="77"/>
      <c r="AK2613" s="77"/>
      <c r="AL2613" s="77"/>
      <c r="AM2613" s="77"/>
      <c r="AN2613" s="77"/>
      <c r="AO2613" s="77"/>
      <c r="AP2613" s="77"/>
      <c r="AQ2613" s="77" t="s">
        <v>15652</v>
      </c>
      <c r="AR2613" s="77">
        <v>12936</v>
      </c>
      <c r="AS2613" s="77"/>
      <c r="AT2613" s="77"/>
      <c r="AU2613" s="77"/>
      <c r="AV2613" s="80" t="str">
        <f>HYPERLINK("https://pbs.twimg.com/ext_tw_video_thumb/1654926383531819010/pu/img/Qi9CbPvIaB7pxsjX.jpg")</f>
        <v>https://pbs.twimg.com/ext_tw_video_thumb/1654926383531819010/pu/img/Qi9CbPvIaB7pxsjX.jpg</v>
      </c>
      <c r="AW2613" s="82" t="s">
        <v>19379</v>
      </c>
      <c r="AX2613" s="82" t="s">
        <v>19379</v>
      </c>
      <c r="AY2613" s="77"/>
      <c r="AZ2613" s="82" t="s">
        <v>20971</v>
      </c>
      <c r="BA2613" s="82" t="s">
        <v>20971</v>
      </c>
      <c r="BB2613" s="82" t="s">
        <v>20971</v>
      </c>
      <c r="BC2613" s="82" t="s">
        <v>19379</v>
      </c>
      <c r="BD2613" s="82" t="s">
        <v>21505</v>
      </c>
      <c r="BE2613" s="77"/>
      <c r="BF2613" s="77"/>
      <c r="BG2613" s="77"/>
      <c r="BH2613" s="77"/>
      <c r="BI2613" s="77"/>
    </row>
    <row r="2614" spans="1:61" x14ac:dyDescent="0.25">
      <c r="A2614" s="62" t="s">
        <v>886</v>
      </c>
      <c r="B2614" s="62" t="s">
        <v>886</v>
      </c>
      <c r="C2614" s="63"/>
      <c r="D2614" s="64"/>
      <c r="E2614" s="65"/>
      <c r="F2614" s="66"/>
      <c r="G2614" s="63"/>
      <c r="H2614" s="67"/>
      <c r="I2614" s="68"/>
      <c r="J2614" s="68"/>
      <c r="K2614" s="32"/>
      <c r="L2614" s="75">
        <v>2614</v>
      </c>
      <c r="M2614" s="75"/>
      <c r="N2614" s="70"/>
      <c r="O2614" s="77" t="s">
        <v>179</v>
      </c>
      <c r="P2614" s="79">
        <v>45052.660451388889</v>
      </c>
      <c r="Q2614" s="77" t="s">
        <v>3820</v>
      </c>
      <c r="R2614" s="77">
        <v>0</v>
      </c>
      <c r="S2614" s="77">
        <v>0</v>
      </c>
      <c r="T2614" s="77">
        <v>1</v>
      </c>
      <c r="U2614" s="77">
        <v>0</v>
      </c>
      <c r="V2614" s="77">
        <v>112</v>
      </c>
      <c r="W2614" s="82" t="s">
        <v>6531</v>
      </c>
      <c r="X2614" s="77"/>
      <c r="Y2614" s="77"/>
      <c r="Z2614" s="77"/>
      <c r="AA2614" s="77" t="s">
        <v>9010</v>
      </c>
      <c r="AB2614" s="77" t="s">
        <v>10129</v>
      </c>
      <c r="AC2614" s="82" t="s">
        <v>10145</v>
      </c>
      <c r="AD2614" s="77" t="s">
        <v>10184</v>
      </c>
      <c r="AE2614" s="80" t="str">
        <f>HYPERLINK("https://twitter.com/rafaelamorimofc/status/1654876439563362305")</f>
        <v>https://twitter.com/rafaelamorimofc/status/1654876439563362305</v>
      </c>
      <c r="AF2614" s="79">
        <v>45052.660451388889</v>
      </c>
      <c r="AG2614" s="85">
        <v>45052</v>
      </c>
      <c r="AH2614" s="82" t="s">
        <v>12694</v>
      </c>
      <c r="AI2614" s="77" t="b">
        <v>0</v>
      </c>
      <c r="AJ2614" s="77"/>
      <c r="AK2614" s="77"/>
      <c r="AL2614" s="77"/>
      <c r="AM2614" s="77"/>
      <c r="AN2614" s="77"/>
      <c r="AO2614" s="77"/>
      <c r="AP2614" s="77"/>
      <c r="AQ2614" s="77" t="s">
        <v>15653</v>
      </c>
      <c r="AR2614" s="77">
        <v>8005</v>
      </c>
      <c r="AS2614" s="77"/>
      <c r="AT2614" s="77"/>
      <c r="AU2614" s="77"/>
      <c r="AV2614" s="80" t="str">
        <f>HYPERLINK("https://pbs.twimg.com/ext_tw_video_thumb/1654876388866899971/pu/img/nYKXdm_6qoTD0AJZ.jpg")</f>
        <v>https://pbs.twimg.com/ext_tw_video_thumb/1654876388866899971/pu/img/nYKXdm_6qoTD0AJZ.jpg</v>
      </c>
      <c r="AW2614" s="82" t="s">
        <v>19380</v>
      </c>
      <c r="AX2614" s="82" t="s">
        <v>19380</v>
      </c>
      <c r="AY2614" s="77"/>
      <c r="AZ2614" s="82" t="s">
        <v>20971</v>
      </c>
      <c r="BA2614" s="82" t="s">
        <v>20971</v>
      </c>
      <c r="BB2614" s="82" t="s">
        <v>20971</v>
      </c>
      <c r="BC2614" s="82" t="s">
        <v>19380</v>
      </c>
      <c r="BD2614" s="82" t="s">
        <v>21505</v>
      </c>
      <c r="BE2614" s="77"/>
      <c r="BF2614" s="77"/>
      <c r="BG2614" s="77"/>
      <c r="BH2614" s="77"/>
      <c r="BI2614" s="77"/>
    </row>
    <row r="2615" spans="1:61" x14ac:dyDescent="0.25">
      <c r="A2615" s="62" t="s">
        <v>887</v>
      </c>
      <c r="B2615" s="62" t="s">
        <v>887</v>
      </c>
      <c r="C2615" s="63"/>
      <c r="D2615" s="64"/>
      <c r="E2615" s="65"/>
      <c r="F2615" s="66"/>
      <c r="G2615" s="63"/>
      <c r="H2615" s="67"/>
      <c r="I2615" s="68"/>
      <c r="J2615" s="68"/>
      <c r="K2615" s="32"/>
      <c r="L2615" s="75">
        <v>2615</v>
      </c>
      <c r="M2615" s="75"/>
      <c r="N2615" s="70"/>
      <c r="O2615" s="77" t="s">
        <v>179</v>
      </c>
      <c r="P2615" s="79">
        <v>45058.564340277779</v>
      </c>
      <c r="Q2615" s="77" t="s">
        <v>3821</v>
      </c>
      <c r="R2615" s="77">
        <v>0</v>
      </c>
      <c r="S2615" s="77">
        <v>0</v>
      </c>
      <c r="T2615" s="77">
        <v>0</v>
      </c>
      <c r="U2615" s="77">
        <v>0</v>
      </c>
      <c r="V2615" s="77">
        <v>143</v>
      </c>
      <c r="W2615" s="82" t="s">
        <v>6532</v>
      </c>
      <c r="X2615" s="80" t="str">
        <f>HYPERLINK("https://vm.tiktok.com/ZM2J9W71F/")</f>
        <v>https://vm.tiktok.com/ZM2J9W71F/</v>
      </c>
      <c r="Y2615" s="77" t="s">
        <v>7306</v>
      </c>
      <c r="Z2615" s="77"/>
      <c r="AA2615" s="77"/>
      <c r="AB2615" s="77"/>
      <c r="AC2615" s="82" t="s">
        <v>10144</v>
      </c>
      <c r="AD2615" s="77" t="s">
        <v>10184</v>
      </c>
      <c r="AE2615" s="80" t="str">
        <f>HYPERLINK("https://twitter.com/caroljsjsantos/status/1657015934173757451")</f>
        <v>https://twitter.com/caroljsjsantos/status/1657015934173757451</v>
      </c>
      <c r="AF2615" s="79">
        <v>45058.564340277779</v>
      </c>
      <c r="AG2615" s="85">
        <v>45058</v>
      </c>
      <c r="AH2615" s="82" t="s">
        <v>12695</v>
      </c>
      <c r="AI2615" s="77" t="b">
        <v>0</v>
      </c>
      <c r="AJ2615" s="77"/>
      <c r="AK2615" s="77"/>
      <c r="AL2615" s="77"/>
      <c r="AM2615" s="77"/>
      <c r="AN2615" s="77"/>
      <c r="AO2615" s="77"/>
      <c r="AP2615" s="77"/>
      <c r="AQ2615" s="77"/>
      <c r="AR2615" s="77"/>
      <c r="AS2615" s="77"/>
      <c r="AT2615" s="77"/>
      <c r="AU2615" s="77"/>
      <c r="AV2615" s="80" t="str">
        <f>HYPERLINK("https://pbs.twimg.com/profile_images/1704841425546862592/UTwQ_aks_normal.jpg")</f>
        <v>https://pbs.twimg.com/profile_images/1704841425546862592/UTwQ_aks_normal.jpg</v>
      </c>
      <c r="AW2615" s="82" t="s">
        <v>19381</v>
      </c>
      <c r="AX2615" s="82" t="s">
        <v>19381</v>
      </c>
      <c r="AY2615" s="77"/>
      <c r="AZ2615" s="82" t="s">
        <v>20971</v>
      </c>
      <c r="BA2615" s="82" t="s">
        <v>20971</v>
      </c>
      <c r="BB2615" s="82" t="s">
        <v>20971</v>
      </c>
      <c r="BC2615" s="82" t="s">
        <v>19381</v>
      </c>
      <c r="BD2615" s="82" t="s">
        <v>21506</v>
      </c>
      <c r="BE2615" s="77"/>
      <c r="BF2615" s="77"/>
      <c r="BG2615" s="77"/>
      <c r="BH2615" s="77"/>
      <c r="BI2615" s="77"/>
    </row>
    <row r="2616" spans="1:61" x14ac:dyDescent="0.25">
      <c r="A2616" s="62" t="s">
        <v>888</v>
      </c>
      <c r="B2616" s="62" t="s">
        <v>888</v>
      </c>
      <c r="C2616" s="63"/>
      <c r="D2616" s="64"/>
      <c r="E2616" s="65"/>
      <c r="F2616" s="66"/>
      <c r="G2616" s="63"/>
      <c r="H2616" s="67"/>
      <c r="I2616" s="68"/>
      <c r="J2616" s="68"/>
      <c r="K2616" s="32"/>
      <c r="L2616" s="75">
        <v>2616</v>
      </c>
      <c r="M2616" s="75"/>
      <c r="N2616" s="70"/>
      <c r="O2616" s="77" t="s">
        <v>179</v>
      </c>
      <c r="P2616" s="79">
        <v>44993.566967592589</v>
      </c>
      <c r="Q2616" s="77" t="s">
        <v>3822</v>
      </c>
      <c r="R2616" s="77">
        <v>0</v>
      </c>
      <c r="S2616" s="77">
        <v>0</v>
      </c>
      <c r="T2616" s="77">
        <v>0</v>
      </c>
      <c r="U2616" s="77">
        <v>0</v>
      </c>
      <c r="V2616" s="77">
        <v>7</v>
      </c>
      <c r="W2616" s="82" t="s">
        <v>5236</v>
      </c>
      <c r="X2616" s="80" t="str">
        <f>HYPERLINK("https://go.hotmart.com/B77468619P")</f>
        <v>https://go.hotmart.com/B77468619P</v>
      </c>
      <c r="Y2616" s="77" t="s">
        <v>7251</v>
      </c>
      <c r="Z2616" s="77"/>
      <c r="AA2616" s="77" t="s">
        <v>9011</v>
      </c>
      <c r="AB2616" s="77" t="s">
        <v>10130</v>
      </c>
      <c r="AC2616" s="82" t="s">
        <v>10171</v>
      </c>
      <c r="AD2616" s="77" t="s">
        <v>10184</v>
      </c>
      <c r="AE2616" s="80" t="str">
        <f>HYPERLINK("https://twitter.com/incriptomoedas/status/1633461675759403013")</f>
        <v>https://twitter.com/incriptomoedas/status/1633461675759403013</v>
      </c>
      <c r="AF2616" s="79">
        <v>44993.566967592589</v>
      </c>
      <c r="AG2616" s="85">
        <v>44993</v>
      </c>
      <c r="AH2616" s="82" t="s">
        <v>10500</v>
      </c>
      <c r="AI2616" s="77" t="b">
        <v>0</v>
      </c>
      <c r="AJ2616" s="77"/>
      <c r="AK2616" s="77"/>
      <c r="AL2616" s="77"/>
      <c r="AM2616" s="77"/>
      <c r="AN2616" s="77"/>
      <c r="AO2616" s="77"/>
      <c r="AP2616" s="77"/>
      <c r="AQ2616" s="77" t="s">
        <v>15654</v>
      </c>
      <c r="AR2616" s="77"/>
      <c r="AS2616" s="77"/>
      <c r="AT2616" s="77"/>
      <c r="AU2616" s="77"/>
      <c r="AV2616" s="80" t="str">
        <f>HYPERLINK("https://pbs.twimg.com/media/Fqs4mXwaEAM7OCh.jpg")</f>
        <v>https://pbs.twimg.com/media/Fqs4mXwaEAM7OCh.jpg</v>
      </c>
      <c r="AW2616" s="82" t="s">
        <v>19382</v>
      </c>
      <c r="AX2616" s="82" t="s">
        <v>19382</v>
      </c>
      <c r="AY2616" s="77"/>
      <c r="AZ2616" s="82" t="s">
        <v>20971</v>
      </c>
      <c r="BA2616" s="82" t="s">
        <v>20971</v>
      </c>
      <c r="BB2616" s="82" t="s">
        <v>20971</v>
      </c>
      <c r="BC2616" s="82" t="s">
        <v>19382</v>
      </c>
      <c r="BD2616" s="82" t="s">
        <v>21507</v>
      </c>
      <c r="BE2616" s="77"/>
      <c r="BF2616" s="77"/>
      <c r="BG2616" s="77"/>
      <c r="BH2616" s="77"/>
      <c r="BI2616" s="77"/>
    </row>
    <row r="2617" spans="1:61" x14ac:dyDescent="0.25">
      <c r="A2617" s="62" t="s">
        <v>888</v>
      </c>
      <c r="B2617" s="62" t="s">
        <v>888</v>
      </c>
      <c r="C2617" s="63"/>
      <c r="D2617" s="64"/>
      <c r="E2617" s="65"/>
      <c r="F2617" s="66"/>
      <c r="G2617" s="63"/>
      <c r="H2617" s="67"/>
      <c r="I2617" s="68"/>
      <c r="J2617" s="68"/>
      <c r="K2617" s="32"/>
      <c r="L2617" s="75">
        <v>2617</v>
      </c>
      <c r="M2617" s="75"/>
      <c r="N2617" s="70"/>
      <c r="O2617" s="77" t="s">
        <v>179</v>
      </c>
      <c r="P2617" s="79">
        <v>44964.504004629627</v>
      </c>
      <c r="Q2617" s="77" t="s">
        <v>3823</v>
      </c>
      <c r="R2617" s="77">
        <v>0</v>
      </c>
      <c r="S2617" s="77">
        <v>0</v>
      </c>
      <c r="T2617" s="77">
        <v>0</v>
      </c>
      <c r="U2617" s="77">
        <v>0</v>
      </c>
      <c r="V2617" s="77">
        <v>2</v>
      </c>
      <c r="W2617" s="82" t="s">
        <v>5236</v>
      </c>
      <c r="X2617" s="80" t="str">
        <f>HYPERLINK("https://go.hotmart.com/B77468619P")</f>
        <v>https://go.hotmart.com/B77468619P</v>
      </c>
      <c r="Y2617" s="77" t="s">
        <v>7251</v>
      </c>
      <c r="Z2617" s="77"/>
      <c r="AA2617" s="77" t="s">
        <v>9012</v>
      </c>
      <c r="AB2617" s="77" t="s">
        <v>10130</v>
      </c>
      <c r="AC2617" s="82" t="s">
        <v>10171</v>
      </c>
      <c r="AD2617" s="77" t="s">
        <v>10184</v>
      </c>
      <c r="AE2617" s="80" t="str">
        <f>HYPERLINK("https://twitter.com/incriptomoedas/status/1622929610215198722")</f>
        <v>https://twitter.com/incriptomoedas/status/1622929610215198722</v>
      </c>
      <c r="AF2617" s="79">
        <v>44964.504004629627</v>
      </c>
      <c r="AG2617" s="85">
        <v>44964</v>
      </c>
      <c r="AH2617" s="82" t="s">
        <v>12696</v>
      </c>
      <c r="AI2617" s="77" t="b">
        <v>0</v>
      </c>
      <c r="AJ2617" s="77"/>
      <c r="AK2617" s="77"/>
      <c r="AL2617" s="77"/>
      <c r="AM2617" s="77"/>
      <c r="AN2617" s="77"/>
      <c r="AO2617" s="77"/>
      <c r="AP2617" s="77"/>
      <c r="AQ2617" s="77" t="s">
        <v>15655</v>
      </c>
      <c r="AR2617" s="77"/>
      <c r="AS2617" s="77"/>
      <c r="AT2617" s="77"/>
      <c r="AU2617" s="77"/>
      <c r="AV2617" s="80" t="str">
        <f>HYPERLINK("https://pbs.twimg.com/media/FoXN2FCWIAEHj-o.jpg")</f>
        <v>https://pbs.twimg.com/media/FoXN2FCWIAEHj-o.jpg</v>
      </c>
      <c r="AW2617" s="82" t="s">
        <v>19383</v>
      </c>
      <c r="AX2617" s="82" t="s">
        <v>19383</v>
      </c>
      <c r="AY2617" s="77"/>
      <c r="AZ2617" s="82" t="s">
        <v>20971</v>
      </c>
      <c r="BA2617" s="82" t="s">
        <v>20971</v>
      </c>
      <c r="BB2617" s="82" t="s">
        <v>20971</v>
      </c>
      <c r="BC2617" s="82" t="s">
        <v>19383</v>
      </c>
      <c r="BD2617" s="82" t="s">
        <v>21507</v>
      </c>
      <c r="BE2617" s="77"/>
      <c r="BF2617" s="77"/>
      <c r="BG2617" s="77"/>
      <c r="BH2617" s="77"/>
      <c r="BI2617" s="77"/>
    </row>
    <row r="2618" spans="1:61" x14ac:dyDescent="0.25">
      <c r="A2618" s="62" t="s">
        <v>888</v>
      </c>
      <c r="B2618" s="62" t="s">
        <v>888</v>
      </c>
      <c r="C2618" s="63"/>
      <c r="D2618" s="64"/>
      <c r="E2618" s="65"/>
      <c r="F2618" s="66"/>
      <c r="G2618" s="63"/>
      <c r="H2618" s="67"/>
      <c r="I2618" s="68"/>
      <c r="J2618" s="68"/>
      <c r="K2618" s="32"/>
      <c r="L2618" s="75">
        <v>2618</v>
      </c>
      <c r="M2618" s="75"/>
      <c r="N2618" s="70"/>
      <c r="O2618" s="77" t="s">
        <v>179</v>
      </c>
      <c r="P2618" s="79">
        <v>44984.215995370374</v>
      </c>
      <c r="Q2618" s="77" t="s">
        <v>3824</v>
      </c>
      <c r="R2618" s="77">
        <v>0</v>
      </c>
      <c r="S2618" s="77">
        <v>0</v>
      </c>
      <c r="T2618" s="77">
        <v>0</v>
      </c>
      <c r="U2618" s="77">
        <v>0</v>
      </c>
      <c r="V2618" s="77">
        <v>2</v>
      </c>
      <c r="W2618" s="82" t="s">
        <v>5236</v>
      </c>
      <c r="X2618" s="80" t="str">
        <f>HYPERLINK("https://go.hotmart.com/B77468619P")</f>
        <v>https://go.hotmart.com/B77468619P</v>
      </c>
      <c r="Y2618" s="77" t="s">
        <v>7251</v>
      </c>
      <c r="Z2618" s="77"/>
      <c r="AA2618" s="77" t="s">
        <v>9013</v>
      </c>
      <c r="AB2618" s="77" t="s">
        <v>10130</v>
      </c>
      <c r="AC2618" s="82" t="s">
        <v>10171</v>
      </c>
      <c r="AD2618" s="77" t="s">
        <v>10184</v>
      </c>
      <c r="AE2618" s="80" t="str">
        <f>HYPERLINK("https://twitter.com/incriptomoedas/status/1630072996235821057")</f>
        <v>https://twitter.com/incriptomoedas/status/1630072996235821057</v>
      </c>
      <c r="AF2618" s="79">
        <v>44984.215995370374</v>
      </c>
      <c r="AG2618" s="85">
        <v>44984</v>
      </c>
      <c r="AH2618" s="82" t="s">
        <v>12697</v>
      </c>
      <c r="AI2618" s="77" t="b">
        <v>0</v>
      </c>
      <c r="AJ2618" s="77"/>
      <c r="AK2618" s="77"/>
      <c r="AL2618" s="77"/>
      <c r="AM2618" s="77"/>
      <c r="AN2618" s="77"/>
      <c r="AO2618" s="77"/>
      <c r="AP2618" s="77"/>
      <c r="AQ2618" s="77" t="s">
        <v>15656</v>
      </c>
      <c r="AR2618" s="77"/>
      <c r="AS2618" s="77"/>
      <c r="AT2618" s="77"/>
      <c r="AU2618" s="77"/>
      <c r="AV2618" s="80" t="str">
        <f>HYPERLINK("https://pbs.twimg.com/media/Fp8ut3dWYAAkXb8.jpg")</f>
        <v>https://pbs.twimg.com/media/Fp8ut3dWYAAkXb8.jpg</v>
      </c>
      <c r="AW2618" s="82" t="s">
        <v>19384</v>
      </c>
      <c r="AX2618" s="82" t="s">
        <v>19384</v>
      </c>
      <c r="AY2618" s="77"/>
      <c r="AZ2618" s="82" t="s">
        <v>20971</v>
      </c>
      <c r="BA2618" s="82" t="s">
        <v>20971</v>
      </c>
      <c r="BB2618" s="82" t="s">
        <v>20971</v>
      </c>
      <c r="BC2618" s="82" t="s">
        <v>19384</v>
      </c>
      <c r="BD2618" s="82" t="s">
        <v>21507</v>
      </c>
      <c r="BE2618" s="77"/>
      <c r="BF2618" s="77"/>
      <c r="BG2618" s="77"/>
      <c r="BH2618" s="77"/>
      <c r="BI2618" s="77"/>
    </row>
    <row r="2619" spans="1:61" x14ac:dyDescent="0.25">
      <c r="A2619" s="62" t="s">
        <v>888</v>
      </c>
      <c r="B2619" s="62" t="s">
        <v>888</v>
      </c>
      <c r="C2619" s="63"/>
      <c r="D2619" s="64"/>
      <c r="E2619" s="65"/>
      <c r="F2619" s="66"/>
      <c r="G2619" s="63"/>
      <c r="H2619" s="67"/>
      <c r="I2619" s="68"/>
      <c r="J2619" s="68"/>
      <c r="K2619" s="32"/>
      <c r="L2619" s="75">
        <v>2619</v>
      </c>
      <c r="M2619" s="75"/>
      <c r="N2619" s="70"/>
      <c r="O2619" s="77" t="s">
        <v>179</v>
      </c>
      <c r="P2619" s="79">
        <v>44978.516435185185</v>
      </c>
      <c r="Q2619" s="77" t="s">
        <v>3825</v>
      </c>
      <c r="R2619" s="77">
        <v>0</v>
      </c>
      <c r="S2619" s="77">
        <v>0</v>
      </c>
      <c r="T2619" s="77">
        <v>0</v>
      </c>
      <c r="U2619" s="77">
        <v>0</v>
      </c>
      <c r="V2619" s="77">
        <v>3</v>
      </c>
      <c r="W2619" s="82" t="s">
        <v>5236</v>
      </c>
      <c r="X2619" s="80" t="str">
        <f>HYPERLINK("https://go.hotmart.com/B77468619P")</f>
        <v>https://go.hotmart.com/B77468619P</v>
      </c>
      <c r="Y2619" s="77" t="s">
        <v>7251</v>
      </c>
      <c r="Z2619" s="77"/>
      <c r="AA2619" s="77" t="s">
        <v>9014</v>
      </c>
      <c r="AB2619" s="77" t="s">
        <v>10130</v>
      </c>
      <c r="AC2619" s="82" t="s">
        <v>10171</v>
      </c>
      <c r="AD2619" s="77" t="s">
        <v>10184</v>
      </c>
      <c r="AE2619" s="80" t="str">
        <f>HYPERLINK("https://twitter.com/incriptomoedas/status/1628007544764391427")</f>
        <v>https://twitter.com/incriptomoedas/status/1628007544764391427</v>
      </c>
      <c r="AF2619" s="79">
        <v>44978.516435185185</v>
      </c>
      <c r="AG2619" s="85">
        <v>44978</v>
      </c>
      <c r="AH2619" s="82" t="s">
        <v>12698</v>
      </c>
      <c r="AI2619" s="77" t="b">
        <v>0</v>
      </c>
      <c r="AJ2619" s="77"/>
      <c r="AK2619" s="77"/>
      <c r="AL2619" s="77"/>
      <c r="AM2619" s="77"/>
      <c r="AN2619" s="77"/>
      <c r="AO2619" s="77"/>
      <c r="AP2619" s="77"/>
      <c r="AQ2619" s="77" t="s">
        <v>15657</v>
      </c>
      <c r="AR2619" s="77"/>
      <c r="AS2619" s="77"/>
      <c r="AT2619" s="77"/>
      <c r="AU2619" s="77"/>
      <c r="AV2619" s="80" t="str">
        <f>HYPERLINK("https://pbs.twimg.com/media/FpfYMPRXoAIp0vl.jpg")</f>
        <v>https://pbs.twimg.com/media/FpfYMPRXoAIp0vl.jpg</v>
      </c>
      <c r="AW2619" s="82" t="s">
        <v>19385</v>
      </c>
      <c r="AX2619" s="82" t="s">
        <v>19385</v>
      </c>
      <c r="AY2619" s="77"/>
      <c r="AZ2619" s="82" t="s">
        <v>20971</v>
      </c>
      <c r="BA2619" s="82" t="s">
        <v>20971</v>
      </c>
      <c r="BB2619" s="82" t="s">
        <v>20971</v>
      </c>
      <c r="BC2619" s="82" t="s">
        <v>19385</v>
      </c>
      <c r="BD2619" s="82" t="s">
        <v>21507</v>
      </c>
      <c r="BE2619" s="77"/>
      <c r="BF2619" s="77"/>
      <c r="BG2619" s="77"/>
      <c r="BH2619" s="77"/>
      <c r="BI2619" s="77"/>
    </row>
    <row r="2620" spans="1:61" x14ac:dyDescent="0.25">
      <c r="A2620" s="62" t="s">
        <v>888</v>
      </c>
      <c r="B2620" s="62" t="s">
        <v>888</v>
      </c>
      <c r="C2620" s="63"/>
      <c r="D2620" s="64"/>
      <c r="E2620" s="65"/>
      <c r="F2620" s="66"/>
      <c r="G2620" s="63"/>
      <c r="H2620" s="67"/>
      <c r="I2620" s="68"/>
      <c r="J2620" s="68"/>
      <c r="K2620" s="32"/>
      <c r="L2620" s="75">
        <v>2620</v>
      </c>
      <c r="M2620" s="75"/>
      <c r="N2620" s="70"/>
      <c r="O2620" s="77" t="s">
        <v>179</v>
      </c>
      <c r="P2620" s="79">
        <v>44993.35496527778</v>
      </c>
      <c r="Q2620" s="77" t="s">
        <v>3826</v>
      </c>
      <c r="R2620" s="77">
        <v>0</v>
      </c>
      <c r="S2620" s="77">
        <v>0</v>
      </c>
      <c r="T2620" s="77">
        <v>0</v>
      </c>
      <c r="U2620" s="77">
        <v>0</v>
      </c>
      <c r="V2620" s="77">
        <v>2</v>
      </c>
      <c r="W2620" s="82" t="s">
        <v>5236</v>
      </c>
      <c r="X2620" s="80" t="str">
        <f>HYPERLINK("https://go.hotmart.com/B77468619P")</f>
        <v>https://go.hotmart.com/B77468619P</v>
      </c>
      <c r="Y2620" s="77" t="s">
        <v>7251</v>
      </c>
      <c r="Z2620" s="77"/>
      <c r="AA2620" s="77" t="s">
        <v>9015</v>
      </c>
      <c r="AB2620" s="77" t="s">
        <v>10130</v>
      </c>
      <c r="AC2620" s="82" t="s">
        <v>10171</v>
      </c>
      <c r="AD2620" s="77" t="s">
        <v>10184</v>
      </c>
      <c r="AE2620" s="80" t="str">
        <f>HYPERLINK("https://twitter.com/incriptomoedas/status/1633384850240462848")</f>
        <v>https://twitter.com/incriptomoedas/status/1633384850240462848</v>
      </c>
      <c r="AF2620" s="79">
        <v>44993.35496527778</v>
      </c>
      <c r="AG2620" s="85">
        <v>44993</v>
      </c>
      <c r="AH2620" s="82" t="s">
        <v>12699</v>
      </c>
      <c r="AI2620" s="77" t="b">
        <v>0</v>
      </c>
      <c r="AJ2620" s="77"/>
      <c r="AK2620" s="77"/>
      <c r="AL2620" s="77"/>
      <c r="AM2620" s="77"/>
      <c r="AN2620" s="77"/>
      <c r="AO2620" s="77"/>
      <c r="AP2620" s="77"/>
      <c r="AQ2620" s="77" t="s">
        <v>15658</v>
      </c>
      <c r="AR2620" s="77"/>
      <c r="AS2620" s="77"/>
      <c r="AT2620" s="77"/>
      <c r="AU2620" s="77"/>
      <c r="AV2620" s="80" t="str">
        <f>HYPERLINK("https://pbs.twimg.com/media/Fqry2AAWAAApLft.jpg")</f>
        <v>https://pbs.twimg.com/media/Fqry2AAWAAApLft.jpg</v>
      </c>
      <c r="AW2620" s="82" t="s">
        <v>19386</v>
      </c>
      <c r="AX2620" s="82" t="s">
        <v>19386</v>
      </c>
      <c r="AY2620" s="77"/>
      <c r="AZ2620" s="82" t="s">
        <v>20971</v>
      </c>
      <c r="BA2620" s="82" t="s">
        <v>20971</v>
      </c>
      <c r="BB2620" s="82" t="s">
        <v>20971</v>
      </c>
      <c r="BC2620" s="82" t="s">
        <v>19386</v>
      </c>
      <c r="BD2620" s="82" t="s">
        <v>21507</v>
      </c>
      <c r="BE2620" s="77"/>
      <c r="BF2620" s="77"/>
      <c r="BG2620" s="77"/>
      <c r="BH2620" s="77"/>
      <c r="BI2620" s="77"/>
    </row>
    <row r="2621" spans="1:61" x14ac:dyDescent="0.25">
      <c r="A2621" s="62" t="s">
        <v>888</v>
      </c>
      <c r="B2621" s="62" t="s">
        <v>888</v>
      </c>
      <c r="C2621" s="63"/>
      <c r="D2621" s="64"/>
      <c r="E2621" s="65"/>
      <c r="F2621" s="66"/>
      <c r="G2621" s="63"/>
      <c r="H2621" s="67"/>
      <c r="I2621" s="68"/>
      <c r="J2621" s="68"/>
      <c r="K2621" s="32"/>
      <c r="L2621" s="75">
        <v>2621</v>
      </c>
      <c r="M2621" s="75"/>
      <c r="N2621" s="70"/>
      <c r="O2621" s="77" t="s">
        <v>179</v>
      </c>
      <c r="P2621" s="79">
        <v>44993.14503472222</v>
      </c>
      <c r="Q2621" s="77" t="s">
        <v>3827</v>
      </c>
      <c r="R2621" s="77">
        <v>0</v>
      </c>
      <c r="S2621" s="77">
        <v>0</v>
      </c>
      <c r="T2621" s="77">
        <v>0</v>
      </c>
      <c r="U2621" s="77">
        <v>0</v>
      </c>
      <c r="V2621" s="77">
        <v>1</v>
      </c>
      <c r="W2621" s="82" t="s">
        <v>5236</v>
      </c>
      <c r="X2621" s="80" t="str">
        <f>HYPERLINK("https://go.hotmart.com/B77468619P")</f>
        <v>https://go.hotmart.com/B77468619P</v>
      </c>
      <c r="Y2621" s="77" t="s">
        <v>7251</v>
      </c>
      <c r="Z2621" s="77"/>
      <c r="AA2621" s="77" t="s">
        <v>9016</v>
      </c>
      <c r="AB2621" s="77" t="s">
        <v>10130</v>
      </c>
      <c r="AC2621" s="82" t="s">
        <v>10171</v>
      </c>
      <c r="AD2621" s="77" t="s">
        <v>10184</v>
      </c>
      <c r="AE2621" s="80" t="str">
        <f>HYPERLINK("https://twitter.com/incriptomoedas/status/1633308771152805891")</f>
        <v>https://twitter.com/incriptomoedas/status/1633308771152805891</v>
      </c>
      <c r="AF2621" s="79">
        <v>44993.14503472222</v>
      </c>
      <c r="AG2621" s="85">
        <v>44993</v>
      </c>
      <c r="AH2621" s="82" t="s">
        <v>12700</v>
      </c>
      <c r="AI2621" s="77" t="b">
        <v>0</v>
      </c>
      <c r="AJ2621" s="77"/>
      <c r="AK2621" s="77"/>
      <c r="AL2621" s="77"/>
      <c r="AM2621" s="77"/>
      <c r="AN2621" s="77"/>
      <c r="AO2621" s="77"/>
      <c r="AP2621" s="77"/>
      <c r="AQ2621" s="77" t="s">
        <v>15659</v>
      </c>
      <c r="AR2621" s="77"/>
      <c r="AS2621" s="77"/>
      <c r="AT2621" s="77"/>
      <c r="AU2621" s="77"/>
      <c r="AV2621" s="80" t="str">
        <f>HYPERLINK("https://pbs.twimg.com/media/FqqtoYlWcAAyeI8.jpg")</f>
        <v>https://pbs.twimg.com/media/FqqtoYlWcAAyeI8.jpg</v>
      </c>
      <c r="AW2621" s="82" t="s">
        <v>19387</v>
      </c>
      <c r="AX2621" s="82" t="s">
        <v>19387</v>
      </c>
      <c r="AY2621" s="77"/>
      <c r="AZ2621" s="82" t="s">
        <v>20971</v>
      </c>
      <c r="BA2621" s="82" t="s">
        <v>20971</v>
      </c>
      <c r="BB2621" s="82" t="s">
        <v>20971</v>
      </c>
      <c r="BC2621" s="82" t="s">
        <v>19387</v>
      </c>
      <c r="BD2621" s="82" t="s">
        <v>21507</v>
      </c>
      <c r="BE2621" s="77"/>
      <c r="BF2621" s="77"/>
      <c r="BG2621" s="77"/>
      <c r="BH2621" s="77"/>
      <c r="BI2621" s="77"/>
    </row>
    <row r="2622" spans="1:61" x14ac:dyDescent="0.25">
      <c r="A2622" s="62" t="s">
        <v>888</v>
      </c>
      <c r="B2622" s="62" t="s">
        <v>888</v>
      </c>
      <c r="C2622" s="63"/>
      <c r="D2622" s="64"/>
      <c r="E2622" s="65"/>
      <c r="F2622" s="66"/>
      <c r="G2622" s="63"/>
      <c r="H2622" s="67"/>
      <c r="I2622" s="68"/>
      <c r="J2622" s="68"/>
      <c r="K2622" s="32"/>
      <c r="L2622" s="75">
        <v>2622</v>
      </c>
      <c r="M2622" s="75"/>
      <c r="N2622" s="70"/>
      <c r="O2622" s="77" t="s">
        <v>179</v>
      </c>
      <c r="P2622" s="79">
        <v>44992.935150462959</v>
      </c>
      <c r="Q2622" s="77" t="s">
        <v>3828</v>
      </c>
      <c r="R2622" s="77">
        <v>0</v>
      </c>
      <c r="S2622" s="77">
        <v>0</v>
      </c>
      <c r="T2622" s="77">
        <v>0</v>
      </c>
      <c r="U2622" s="77">
        <v>0</v>
      </c>
      <c r="V2622" s="77">
        <v>4</v>
      </c>
      <c r="W2622" s="82" t="s">
        <v>5236</v>
      </c>
      <c r="X2622" s="80" t="str">
        <f>HYPERLINK("https://go.hotmart.com/B77468619P")</f>
        <v>https://go.hotmart.com/B77468619P</v>
      </c>
      <c r="Y2622" s="77" t="s">
        <v>7251</v>
      </c>
      <c r="Z2622" s="77"/>
      <c r="AA2622" s="77" t="s">
        <v>9017</v>
      </c>
      <c r="AB2622" s="77" t="s">
        <v>10130</v>
      </c>
      <c r="AC2622" s="82" t="s">
        <v>10171</v>
      </c>
      <c r="AD2622" s="77" t="s">
        <v>10184</v>
      </c>
      <c r="AE2622" s="80" t="str">
        <f>HYPERLINK("https://twitter.com/incriptomoedas/status/1633232711627468800")</f>
        <v>https://twitter.com/incriptomoedas/status/1633232711627468800</v>
      </c>
      <c r="AF2622" s="79">
        <v>44992.935150462959</v>
      </c>
      <c r="AG2622" s="85">
        <v>44992</v>
      </c>
      <c r="AH2622" s="82" t="s">
        <v>12701</v>
      </c>
      <c r="AI2622" s="77" t="b">
        <v>0</v>
      </c>
      <c r="AJ2622" s="77"/>
      <c r="AK2622" s="77"/>
      <c r="AL2622" s="77"/>
      <c r="AM2622" s="77"/>
      <c r="AN2622" s="77"/>
      <c r="AO2622" s="77"/>
      <c r="AP2622" s="77"/>
      <c r="AQ2622" s="77" t="s">
        <v>15660</v>
      </c>
      <c r="AR2622" s="77"/>
      <c r="AS2622" s="77"/>
      <c r="AT2622" s="77"/>
      <c r="AU2622" s="77"/>
      <c r="AV2622" s="80" t="str">
        <f>HYPERLINK("https://pbs.twimg.com/media/Fqpodl1X0AIFPZb.jpg")</f>
        <v>https://pbs.twimg.com/media/Fqpodl1X0AIFPZb.jpg</v>
      </c>
      <c r="AW2622" s="82" t="s">
        <v>19388</v>
      </c>
      <c r="AX2622" s="82" t="s">
        <v>19388</v>
      </c>
      <c r="AY2622" s="77"/>
      <c r="AZ2622" s="82" t="s">
        <v>20971</v>
      </c>
      <c r="BA2622" s="82" t="s">
        <v>20971</v>
      </c>
      <c r="BB2622" s="82" t="s">
        <v>20971</v>
      </c>
      <c r="BC2622" s="82" t="s">
        <v>19388</v>
      </c>
      <c r="BD2622" s="82" t="s">
        <v>21507</v>
      </c>
      <c r="BE2622" s="77"/>
      <c r="BF2622" s="77"/>
      <c r="BG2622" s="77"/>
      <c r="BH2622" s="77"/>
      <c r="BI2622" s="77"/>
    </row>
    <row r="2623" spans="1:61" x14ac:dyDescent="0.25">
      <c r="A2623" s="62" t="s">
        <v>888</v>
      </c>
      <c r="B2623" s="62" t="s">
        <v>888</v>
      </c>
      <c r="C2623" s="63"/>
      <c r="D2623" s="64"/>
      <c r="E2623" s="65"/>
      <c r="F2623" s="66"/>
      <c r="G2623" s="63"/>
      <c r="H2623" s="67"/>
      <c r="I2623" s="68"/>
      <c r="J2623" s="68"/>
      <c r="K2623" s="32"/>
      <c r="L2623" s="75">
        <v>2623</v>
      </c>
      <c r="M2623" s="75"/>
      <c r="N2623" s="70"/>
      <c r="O2623" s="77" t="s">
        <v>179</v>
      </c>
      <c r="P2623" s="79">
        <v>44992.723194444443</v>
      </c>
      <c r="Q2623" s="77" t="s">
        <v>3829</v>
      </c>
      <c r="R2623" s="77">
        <v>0</v>
      </c>
      <c r="S2623" s="77">
        <v>0</v>
      </c>
      <c r="T2623" s="77">
        <v>0</v>
      </c>
      <c r="U2623" s="77">
        <v>0</v>
      </c>
      <c r="V2623" s="77">
        <v>5</v>
      </c>
      <c r="W2623" s="82" t="s">
        <v>5236</v>
      </c>
      <c r="X2623" s="80" t="str">
        <f>HYPERLINK("https://go.hotmart.com/B77468619P")</f>
        <v>https://go.hotmart.com/B77468619P</v>
      </c>
      <c r="Y2623" s="77" t="s">
        <v>7251</v>
      </c>
      <c r="Z2623" s="77"/>
      <c r="AA2623" s="77" t="s">
        <v>9018</v>
      </c>
      <c r="AB2623" s="77" t="s">
        <v>10130</v>
      </c>
      <c r="AC2623" s="82" t="s">
        <v>10171</v>
      </c>
      <c r="AD2623" s="77" t="s">
        <v>10184</v>
      </c>
      <c r="AE2623" s="80" t="str">
        <f>HYPERLINK("https://twitter.com/incriptomoedas/status/1633155902646923264")</f>
        <v>https://twitter.com/incriptomoedas/status/1633155902646923264</v>
      </c>
      <c r="AF2623" s="79">
        <v>44992.723194444443</v>
      </c>
      <c r="AG2623" s="85">
        <v>44992</v>
      </c>
      <c r="AH2623" s="82" t="s">
        <v>12702</v>
      </c>
      <c r="AI2623" s="77" t="b">
        <v>0</v>
      </c>
      <c r="AJ2623" s="77"/>
      <c r="AK2623" s="77"/>
      <c r="AL2623" s="77"/>
      <c r="AM2623" s="77"/>
      <c r="AN2623" s="77"/>
      <c r="AO2623" s="77"/>
      <c r="AP2623" s="77"/>
      <c r="AQ2623" s="77" t="s">
        <v>15661</v>
      </c>
      <c r="AR2623" s="77"/>
      <c r="AS2623" s="77"/>
      <c r="AT2623" s="77"/>
      <c r="AU2623" s="77"/>
      <c r="AV2623" s="80" t="str">
        <f>HYPERLINK("https://pbs.twimg.com/media/FqoimvGWcAw3DZL.jpg")</f>
        <v>https://pbs.twimg.com/media/FqoimvGWcAw3DZL.jpg</v>
      </c>
      <c r="AW2623" s="82" t="s">
        <v>19389</v>
      </c>
      <c r="AX2623" s="82" t="s">
        <v>19389</v>
      </c>
      <c r="AY2623" s="77"/>
      <c r="AZ2623" s="82" t="s">
        <v>20971</v>
      </c>
      <c r="BA2623" s="82" t="s">
        <v>20971</v>
      </c>
      <c r="BB2623" s="82" t="s">
        <v>20971</v>
      </c>
      <c r="BC2623" s="82" t="s">
        <v>19389</v>
      </c>
      <c r="BD2623" s="82" t="s">
        <v>21507</v>
      </c>
      <c r="BE2623" s="77"/>
      <c r="BF2623" s="77"/>
      <c r="BG2623" s="77"/>
      <c r="BH2623" s="77"/>
      <c r="BI2623" s="77"/>
    </row>
    <row r="2624" spans="1:61" x14ac:dyDescent="0.25">
      <c r="A2624" s="62" t="s">
        <v>888</v>
      </c>
      <c r="B2624" s="62" t="s">
        <v>888</v>
      </c>
      <c r="C2624" s="63"/>
      <c r="D2624" s="64"/>
      <c r="E2624" s="65"/>
      <c r="F2624" s="66"/>
      <c r="G2624" s="63"/>
      <c r="H2624" s="67"/>
      <c r="I2624" s="68"/>
      <c r="J2624" s="68"/>
      <c r="K2624" s="32"/>
      <c r="L2624" s="75">
        <v>2624</v>
      </c>
      <c r="M2624" s="75"/>
      <c r="N2624" s="70"/>
      <c r="O2624" s="77" t="s">
        <v>179</v>
      </c>
      <c r="P2624" s="79">
        <v>44992.511261574073</v>
      </c>
      <c r="Q2624" s="77" t="s">
        <v>3830</v>
      </c>
      <c r="R2624" s="77">
        <v>0</v>
      </c>
      <c r="S2624" s="77">
        <v>0</v>
      </c>
      <c r="T2624" s="77">
        <v>0</v>
      </c>
      <c r="U2624" s="77">
        <v>0</v>
      </c>
      <c r="V2624" s="77">
        <v>1</v>
      </c>
      <c r="W2624" s="82" t="s">
        <v>5236</v>
      </c>
      <c r="X2624" s="80" t="str">
        <f>HYPERLINK("https://go.hotmart.com/B77468619P")</f>
        <v>https://go.hotmart.com/B77468619P</v>
      </c>
      <c r="Y2624" s="77" t="s">
        <v>7251</v>
      </c>
      <c r="Z2624" s="77"/>
      <c r="AA2624" s="77" t="s">
        <v>9019</v>
      </c>
      <c r="AB2624" s="77" t="s">
        <v>10130</v>
      </c>
      <c r="AC2624" s="82" t="s">
        <v>10171</v>
      </c>
      <c r="AD2624" s="77" t="s">
        <v>10184</v>
      </c>
      <c r="AE2624" s="80" t="str">
        <f>HYPERLINK("https://twitter.com/incriptomoedas/status/1633079100372918272")</f>
        <v>https://twitter.com/incriptomoedas/status/1633079100372918272</v>
      </c>
      <c r="AF2624" s="79">
        <v>44992.511261574073</v>
      </c>
      <c r="AG2624" s="85">
        <v>44992</v>
      </c>
      <c r="AH2624" s="82" t="s">
        <v>12703</v>
      </c>
      <c r="AI2624" s="77" t="b">
        <v>0</v>
      </c>
      <c r="AJ2624" s="77"/>
      <c r="AK2624" s="77"/>
      <c r="AL2624" s="77"/>
      <c r="AM2624" s="77"/>
      <c r="AN2624" s="77"/>
      <c r="AO2624" s="77"/>
      <c r="AP2624" s="77"/>
      <c r="AQ2624" s="77" t="s">
        <v>15662</v>
      </c>
      <c r="AR2624" s="77"/>
      <c r="AS2624" s="77"/>
      <c r="AT2624" s="77"/>
      <c r="AU2624" s="77"/>
      <c r="AV2624" s="80" t="str">
        <f>HYPERLINK("https://pbs.twimg.com/media/FqncwYmWAAINvSK.jpg")</f>
        <v>https://pbs.twimg.com/media/FqncwYmWAAINvSK.jpg</v>
      </c>
      <c r="AW2624" s="82" t="s">
        <v>19390</v>
      </c>
      <c r="AX2624" s="82" t="s">
        <v>19390</v>
      </c>
      <c r="AY2624" s="77"/>
      <c r="AZ2624" s="82" t="s">
        <v>20971</v>
      </c>
      <c r="BA2624" s="82" t="s">
        <v>20971</v>
      </c>
      <c r="BB2624" s="82" t="s">
        <v>20971</v>
      </c>
      <c r="BC2624" s="82" t="s">
        <v>19390</v>
      </c>
      <c r="BD2624" s="82" t="s">
        <v>21507</v>
      </c>
      <c r="BE2624" s="77"/>
      <c r="BF2624" s="77"/>
      <c r="BG2624" s="77"/>
      <c r="BH2624" s="77"/>
      <c r="BI2624" s="77"/>
    </row>
    <row r="2625" spans="1:61" x14ac:dyDescent="0.25">
      <c r="A2625" s="62" t="s">
        <v>888</v>
      </c>
      <c r="B2625" s="62" t="s">
        <v>888</v>
      </c>
      <c r="C2625" s="63"/>
      <c r="D2625" s="64"/>
      <c r="E2625" s="65"/>
      <c r="F2625" s="66"/>
      <c r="G2625" s="63"/>
      <c r="H2625" s="67"/>
      <c r="I2625" s="68"/>
      <c r="J2625" s="68"/>
      <c r="K2625" s="32"/>
      <c r="L2625" s="75">
        <v>2625</v>
      </c>
      <c r="M2625" s="75"/>
      <c r="N2625" s="70"/>
      <c r="O2625" s="77" t="s">
        <v>179</v>
      </c>
      <c r="P2625" s="79">
        <v>45028.369826388887</v>
      </c>
      <c r="Q2625" s="77" t="s">
        <v>3831</v>
      </c>
      <c r="R2625" s="77">
        <v>0</v>
      </c>
      <c r="S2625" s="77">
        <v>0</v>
      </c>
      <c r="T2625" s="77">
        <v>0</v>
      </c>
      <c r="U2625" s="77">
        <v>0</v>
      </c>
      <c r="V2625" s="77">
        <v>1</v>
      </c>
      <c r="W2625" s="82" t="s">
        <v>5236</v>
      </c>
      <c r="X2625" s="80" t="str">
        <f>HYPERLINK("https://go.hotmart.com/B77468619P")</f>
        <v>https://go.hotmart.com/B77468619P</v>
      </c>
      <c r="Y2625" s="77" t="s">
        <v>7251</v>
      </c>
      <c r="Z2625" s="77"/>
      <c r="AA2625" s="77" t="s">
        <v>9020</v>
      </c>
      <c r="AB2625" s="77" t="s">
        <v>10130</v>
      </c>
      <c r="AC2625" s="82" t="s">
        <v>10171</v>
      </c>
      <c r="AD2625" s="77" t="s">
        <v>10184</v>
      </c>
      <c r="AE2625" s="80" t="str">
        <f>HYPERLINK("https://twitter.com/incriptomoedas/status/1646073810402136065")</f>
        <v>https://twitter.com/incriptomoedas/status/1646073810402136065</v>
      </c>
      <c r="AF2625" s="79">
        <v>45028.369826388887</v>
      </c>
      <c r="AG2625" s="85">
        <v>45028</v>
      </c>
      <c r="AH2625" s="82" t="s">
        <v>12704</v>
      </c>
      <c r="AI2625" s="77" t="b">
        <v>0</v>
      </c>
      <c r="AJ2625" s="77"/>
      <c r="AK2625" s="77"/>
      <c r="AL2625" s="77"/>
      <c r="AM2625" s="77"/>
      <c r="AN2625" s="77"/>
      <c r="AO2625" s="77"/>
      <c r="AP2625" s="77"/>
      <c r="AQ2625" s="77" t="s">
        <v>15663</v>
      </c>
      <c r="AR2625" s="77"/>
      <c r="AS2625" s="77"/>
      <c r="AT2625" s="77"/>
      <c r="AU2625" s="77"/>
      <c r="AV2625" s="80" t="str">
        <f>HYPERLINK("https://pbs.twimg.com/media/FtgHYFuXoAAJLzb.jpg")</f>
        <v>https://pbs.twimg.com/media/FtgHYFuXoAAJLzb.jpg</v>
      </c>
      <c r="AW2625" s="82" t="s">
        <v>19391</v>
      </c>
      <c r="AX2625" s="82" t="s">
        <v>19391</v>
      </c>
      <c r="AY2625" s="77"/>
      <c r="AZ2625" s="82" t="s">
        <v>20971</v>
      </c>
      <c r="BA2625" s="82" t="s">
        <v>20971</v>
      </c>
      <c r="BB2625" s="82" t="s">
        <v>20971</v>
      </c>
      <c r="BC2625" s="82" t="s">
        <v>19391</v>
      </c>
      <c r="BD2625" s="82" t="s">
        <v>21507</v>
      </c>
      <c r="BE2625" s="77"/>
      <c r="BF2625" s="77"/>
      <c r="BG2625" s="77"/>
      <c r="BH2625" s="77"/>
      <c r="BI2625" s="77"/>
    </row>
    <row r="2626" spans="1:61" x14ac:dyDescent="0.25">
      <c r="A2626" s="62" t="s">
        <v>888</v>
      </c>
      <c r="B2626" s="62" t="s">
        <v>888</v>
      </c>
      <c r="C2626" s="63"/>
      <c r="D2626" s="64"/>
      <c r="E2626" s="65"/>
      <c r="F2626" s="66"/>
      <c r="G2626" s="63"/>
      <c r="H2626" s="67"/>
      <c r="I2626" s="68"/>
      <c r="J2626" s="68"/>
      <c r="K2626" s="32"/>
      <c r="L2626" s="75">
        <v>2626</v>
      </c>
      <c r="M2626" s="75"/>
      <c r="N2626" s="70"/>
      <c r="O2626" s="77" t="s">
        <v>179</v>
      </c>
      <c r="P2626" s="79">
        <v>45032.629618055558</v>
      </c>
      <c r="Q2626" s="77" t="s">
        <v>3832</v>
      </c>
      <c r="R2626" s="77">
        <v>0</v>
      </c>
      <c r="S2626" s="77">
        <v>0</v>
      </c>
      <c r="T2626" s="77">
        <v>0</v>
      </c>
      <c r="U2626" s="77">
        <v>0</v>
      </c>
      <c r="V2626" s="77"/>
      <c r="W2626" s="82" t="s">
        <v>5236</v>
      </c>
      <c r="X2626" s="80" t="str">
        <f>HYPERLINK("https://go.hotmart.com/B77468619P")</f>
        <v>https://go.hotmart.com/B77468619P</v>
      </c>
      <c r="Y2626" s="77" t="s">
        <v>7251</v>
      </c>
      <c r="Z2626" s="77"/>
      <c r="AA2626" s="77" t="s">
        <v>9021</v>
      </c>
      <c r="AB2626" s="77" t="s">
        <v>10130</v>
      </c>
      <c r="AC2626" s="82" t="s">
        <v>10171</v>
      </c>
      <c r="AD2626" s="77" t="s">
        <v>10184</v>
      </c>
      <c r="AE2626" s="80" t="str">
        <f>HYPERLINK("https://twitter.com/incriptomoedas/status/1647617504771026944")</f>
        <v>https://twitter.com/incriptomoedas/status/1647617504771026944</v>
      </c>
      <c r="AF2626" s="79">
        <v>45032.629618055558</v>
      </c>
      <c r="AG2626" s="85">
        <v>45032</v>
      </c>
      <c r="AH2626" s="82" t="s">
        <v>12705</v>
      </c>
      <c r="AI2626" s="77" t="b">
        <v>0</v>
      </c>
      <c r="AJ2626" s="77"/>
      <c r="AK2626" s="77"/>
      <c r="AL2626" s="77"/>
      <c r="AM2626" s="77"/>
      <c r="AN2626" s="77"/>
      <c r="AO2626" s="77"/>
      <c r="AP2626" s="77"/>
      <c r="AQ2626" s="77" t="s">
        <v>15664</v>
      </c>
      <c r="AR2626" s="77"/>
      <c r="AS2626" s="77"/>
      <c r="AT2626" s="77"/>
      <c r="AU2626" s="77"/>
      <c r="AV2626" s="80" t="str">
        <f>HYPERLINK("https://pbs.twimg.com/media/Ft2DW4PXoAYnIBg.jpg")</f>
        <v>https://pbs.twimg.com/media/Ft2DW4PXoAYnIBg.jpg</v>
      </c>
      <c r="AW2626" s="82" t="s">
        <v>19392</v>
      </c>
      <c r="AX2626" s="82" t="s">
        <v>19392</v>
      </c>
      <c r="AY2626" s="77"/>
      <c r="AZ2626" s="82" t="s">
        <v>20971</v>
      </c>
      <c r="BA2626" s="82" t="s">
        <v>20971</v>
      </c>
      <c r="BB2626" s="82" t="s">
        <v>20971</v>
      </c>
      <c r="BC2626" s="82" t="s">
        <v>19392</v>
      </c>
      <c r="BD2626" s="82" t="s">
        <v>21507</v>
      </c>
      <c r="BE2626" s="77"/>
      <c r="BF2626" s="77"/>
      <c r="BG2626" s="77"/>
      <c r="BH2626" s="77"/>
      <c r="BI2626" s="77"/>
    </row>
    <row r="2627" spans="1:61" x14ac:dyDescent="0.25">
      <c r="A2627" s="62" t="s">
        <v>889</v>
      </c>
      <c r="B2627" s="62" t="s">
        <v>889</v>
      </c>
      <c r="C2627" s="63"/>
      <c r="D2627" s="64"/>
      <c r="E2627" s="65"/>
      <c r="F2627" s="66"/>
      <c r="G2627" s="63"/>
      <c r="H2627" s="67"/>
      <c r="I2627" s="68"/>
      <c r="J2627" s="68"/>
      <c r="K2627" s="32"/>
      <c r="L2627" s="75">
        <v>2627</v>
      </c>
      <c r="M2627" s="75"/>
      <c r="N2627" s="70"/>
      <c r="O2627" s="77" t="s">
        <v>179</v>
      </c>
      <c r="P2627" s="79">
        <v>45124.620162037034</v>
      </c>
      <c r="Q2627" s="77" t="s">
        <v>3833</v>
      </c>
      <c r="R2627" s="77">
        <v>0</v>
      </c>
      <c r="S2627" s="77">
        <v>0</v>
      </c>
      <c r="T2627" s="77">
        <v>0</v>
      </c>
      <c r="U2627" s="77">
        <v>0</v>
      </c>
      <c r="V2627" s="77">
        <v>70</v>
      </c>
      <c r="W2627" s="82" t="s">
        <v>6533</v>
      </c>
      <c r="X2627" s="80" t="str">
        <f>HYPERLINK("https://youtu.be/Z_LEvYIXSFM")</f>
        <v>https://youtu.be/Z_LEvYIXSFM</v>
      </c>
      <c r="Y2627" s="77" t="s">
        <v>7248</v>
      </c>
      <c r="Z2627" s="77"/>
      <c r="AA2627" s="77" t="s">
        <v>9022</v>
      </c>
      <c r="AB2627" s="77" t="s">
        <v>10130</v>
      </c>
      <c r="AC2627" s="82" t="s">
        <v>10145</v>
      </c>
      <c r="AD2627" s="77" t="s">
        <v>10184</v>
      </c>
      <c r="AE2627" s="80" t="str">
        <f>HYPERLINK("https://twitter.com/oelberdomingos/status/1680953762645528577")</f>
        <v>https://twitter.com/oelberdomingos/status/1680953762645528577</v>
      </c>
      <c r="AF2627" s="79">
        <v>45124.620162037034</v>
      </c>
      <c r="AG2627" s="85">
        <v>45124</v>
      </c>
      <c r="AH2627" s="82" t="s">
        <v>12706</v>
      </c>
      <c r="AI2627" s="77" t="b">
        <v>0</v>
      </c>
      <c r="AJ2627" s="77"/>
      <c r="AK2627" s="77"/>
      <c r="AL2627" s="77"/>
      <c r="AM2627" s="77"/>
      <c r="AN2627" s="77"/>
      <c r="AO2627" s="77"/>
      <c r="AP2627" s="77"/>
      <c r="AQ2627" s="77" t="s">
        <v>15665</v>
      </c>
      <c r="AR2627" s="77"/>
      <c r="AS2627" s="77"/>
      <c r="AT2627" s="77"/>
      <c r="AU2627" s="77"/>
      <c r="AV2627" s="80" t="str">
        <f>HYPERLINK("https://pbs.twimg.com/media/F1PyiDzWIAA7kp_.jpg")</f>
        <v>https://pbs.twimg.com/media/F1PyiDzWIAA7kp_.jpg</v>
      </c>
      <c r="AW2627" s="82" t="s">
        <v>19393</v>
      </c>
      <c r="AX2627" s="82" t="s">
        <v>19393</v>
      </c>
      <c r="AY2627" s="77"/>
      <c r="AZ2627" s="82" t="s">
        <v>20971</v>
      </c>
      <c r="BA2627" s="82" t="s">
        <v>20971</v>
      </c>
      <c r="BB2627" s="82" t="s">
        <v>20971</v>
      </c>
      <c r="BC2627" s="82" t="s">
        <v>19393</v>
      </c>
      <c r="BD2627" s="77">
        <v>130999630</v>
      </c>
      <c r="BE2627" s="77"/>
      <c r="BF2627" s="77"/>
      <c r="BG2627" s="77"/>
      <c r="BH2627" s="77"/>
      <c r="BI2627" s="77"/>
    </row>
    <row r="2628" spans="1:61" x14ac:dyDescent="0.25">
      <c r="A2628" s="62" t="s">
        <v>890</v>
      </c>
      <c r="B2628" s="62" t="s">
        <v>890</v>
      </c>
      <c r="C2628" s="63"/>
      <c r="D2628" s="64"/>
      <c r="E2628" s="65"/>
      <c r="F2628" s="66"/>
      <c r="G2628" s="63"/>
      <c r="H2628" s="67"/>
      <c r="I2628" s="68"/>
      <c r="J2628" s="68"/>
      <c r="K2628" s="32"/>
      <c r="L2628" s="75">
        <v>2628</v>
      </c>
      <c r="M2628" s="75"/>
      <c r="N2628" s="70"/>
      <c r="O2628" s="77" t="s">
        <v>179</v>
      </c>
      <c r="P2628" s="79">
        <v>45129.400752314818</v>
      </c>
      <c r="Q2628" s="77" t="s">
        <v>3834</v>
      </c>
      <c r="R2628" s="77">
        <v>0</v>
      </c>
      <c r="S2628" s="77">
        <v>0</v>
      </c>
      <c r="T2628" s="77">
        <v>0</v>
      </c>
      <c r="U2628" s="77">
        <v>0</v>
      </c>
      <c r="V2628" s="77">
        <v>8</v>
      </c>
      <c r="W2628" s="82" t="s">
        <v>6534</v>
      </c>
      <c r="X2628" s="77"/>
      <c r="Y2628" s="77"/>
      <c r="Z2628" s="77"/>
      <c r="AA2628" s="77" t="s">
        <v>9023</v>
      </c>
      <c r="AB2628" s="77" t="s">
        <v>10130</v>
      </c>
      <c r="AC2628" s="82" t="s">
        <v>10144</v>
      </c>
      <c r="AD2628" s="77" t="s">
        <v>10183</v>
      </c>
      <c r="AE2628" s="80" t="str">
        <f>HYPERLINK("https://twitter.com/hailsonmkt37825/status/1682686193207582720")</f>
        <v>https://twitter.com/hailsonmkt37825/status/1682686193207582720</v>
      </c>
      <c r="AF2628" s="79">
        <v>45129.400752314818</v>
      </c>
      <c r="AG2628" s="85">
        <v>45129</v>
      </c>
      <c r="AH2628" s="82" t="s">
        <v>12707</v>
      </c>
      <c r="AI2628" s="77" t="b">
        <v>0</v>
      </c>
      <c r="AJ2628" s="77"/>
      <c r="AK2628" s="77"/>
      <c r="AL2628" s="77"/>
      <c r="AM2628" s="77"/>
      <c r="AN2628" s="77"/>
      <c r="AO2628" s="77"/>
      <c r="AP2628" s="77"/>
      <c r="AQ2628" s="77" t="s">
        <v>15666</v>
      </c>
      <c r="AR2628" s="77"/>
      <c r="AS2628" s="77"/>
      <c r="AT2628" s="77"/>
      <c r="AU2628" s="77"/>
      <c r="AV2628" s="80" t="str">
        <f>HYPERLINK("https://pbs.twimg.com/media/F1oaLMBWAAUMOqg.jpg")</f>
        <v>https://pbs.twimg.com/media/F1oaLMBWAAUMOqg.jpg</v>
      </c>
      <c r="AW2628" s="82" t="s">
        <v>19394</v>
      </c>
      <c r="AX2628" s="82" t="s">
        <v>19394</v>
      </c>
      <c r="AY2628" s="77"/>
      <c r="AZ2628" s="82" t="s">
        <v>20971</v>
      </c>
      <c r="BA2628" s="82" t="s">
        <v>20971</v>
      </c>
      <c r="BB2628" s="82" t="s">
        <v>20971</v>
      </c>
      <c r="BC2628" s="82" t="s">
        <v>19394</v>
      </c>
      <c r="BD2628" s="82" t="s">
        <v>21508</v>
      </c>
      <c r="BE2628" s="77"/>
      <c r="BF2628" s="77"/>
      <c r="BG2628" s="77"/>
      <c r="BH2628" s="77"/>
      <c r="BI2628" s="77"/>
    </row>
    <row r="2629" spans="1:61" x14ac:dyDescent="0.25">
      <c r="A2629" s="62" t="s">
        <v>891</v>
      </c>
      <c r="B2629" s="62" t="s">
        <v>891</v>
      </c>
      <c r="C2629" s="63"/>
      <c r="D2629" s="64"/>
      <c r="E2629" s="65"/>
      <c r="F2629" s="66"/>
      <c r="G2629" s="63"/>
      <c r="H2629" s="67"/>
      <c r="I2629" s="68"/>
      <c r="J2629" s="68"/>
      <c r="K2629" s="32"/>
      <c r="L2629" s="75">
        <v>2629</v>
      </c>
      <c r="M2629" s="75"/>
      <c r="N2629" s="70"/>
      <c r="O2629" s="77" t="s">
        <v>179</v>
      </c>
      <c r="P2629" s="79">
        <v>45031.864050925928</v>
      </c>
      <c r="Q2629" s="77" t="s">
        <v>3835</v>
      </c>
      <c r="R2629" s="77">
        <v>0</v>
      </c>
      <c r="S2629" s="77">
        <v>0</v>
      </c>
      <c r="T2629" s="77">
        <v>1</v>
      </c>
      <c r="U2629" s="77">
        <v>0</v>
      </c>
      <c r="V2629" s="77">
        <v>52</v>
      </c>
      <c r="W2629" s="82" t="s">
        <v>6535</v>
      </c>
      <c r="X2629" s="77"/>
      <c r="Y2629" s="77"/>
      <c r="Z2629" s="77"/>
      <c r="AA2629" s="77" t="s">
        <v>9024</v>
      </c>
      <c r="AB2629" s="77" t="s">
        <v>10129</v>
      </c>
      <c r="AC2629" s="82" t="s">
        <v>10144</v>
      </c>
      <c r="AD2629" s="77" t="s">
        <v>10184</v>
      </c>
      <c r="AE2629" s="80" t="str">
        <f>HYPERLINK("https://twitter.com/dielgo1/status/1647340074021924871")</f>
        <v>https://twitter.com/dielgo1/status/1647340074021924871</v>
      </c>
      <c r="AF2629" s="79">
        <v>45031.864050925928</v>
      </c>
      <c r="AG2629" s="85">
        <v>45031</v>
      </c>
      <c r="AH2629" s="82" t="s">
        <v>12708</v>
      </c>
      <c r="AI2629" s="77" t="b">
        <v>0</v>
      </c>
      <c r="AJ2629" s="77"/>
      <c r="AK2629" s="77"/>
      <c r="AL2629" s="77"/>
      <c r="AM2629" s="77"/>
      <c r="AN2629" s="77"/>
      <c r="AO2629" s="77"/>
      <c r="AP2629" s="77"/>
      <c r="AQ2629" s="77" t="s">
        <v>15667</v>
      </c>
      <c r="AR2629" s="77">
        <v>45000</v>
      </c>
      <c r="AS2629" s="77"/>
      <c r="AT2629" s="77"/>
      <c r="AU2629" s="77"/>
      <c r="AV2629" s="80" t="str">
        <f>HYPERLINK("https://pbs.twimg.com/ext_tw_video_thumb/1647339974944079874/pu/img/AkDh-Ff3y40k7WCy.jpg")</f>
        <v>https://pbs.twimg.com/ext_tw_video_thumb/1647339974944079874/pu/img/AkDh-Ff3y40k7WCy.jpg</v>
      </c>
      <c r="AW2629" s="82" t="s">
        <v>19395</v>
      </c>
      <c r="AX2629" s="82" t="s">
        <v>19395</v>
      </c>
      <c r="AY2629" s="77"/>
      <c r="AZ2629" s="82" t="s">
        <v>20971</v>
      </c>
      <c r="BA2629" s="82" t="s">
        <v>20971</v>
      </c>
      <c r="BB2629" s="82" t="s">
        <v>20971</v>
      </c>
      <c r="BC2629" s="82" t="s">
        <v>19395</v>
      </c>
      <c r="BD2629" s="82" t="s">
        <v>21509</v>
      </c>
      <c r="BE2629" s="77"/>
      <c r="BF2629" s="77"/>
      <c r="BG2629" s="77"/>
      <c r="BH2629" s="77"/>
      <c r="BI2629" s="77"/>
    </row>
    <row r="2630" spans="1:61" x14ac:dyDescent="0.25">
      <c r="A2630" s="62" t="s">
        <v>892</v>
      </c>
      <c r="B2630" s="62" t="s">
        <v>892</v>
      </c>
      <c r="C2630" s="63"/>
      <c r="D2630" s="64"/>
      <c r="E2630" s="65"/>
      <c r="F2630" s="66"/>
      <c r="G2630" s="63"/>
      <c r="H2630" s="67"/>
      <c r="I2630" s="68"/>
      <c r="J2630" s="68"/>
      <c r="K2630" s="32"/>
      <c r="L2630" s="75">
        <v>2630</v>
      </c>
      <c r="M2630" s="75"/>
      <c r="N2630" s="70"/>
      <c r="O2630" s="77" t="s">
        <v>179</v>
      </c>
      <c r="P2630" s="79">
        <v>45182.143506944441</v>
      </c>
      <c r="Q2630" s="77" t="s">
        <v>3836</v>
      </c>
      <c r="R2630" s="77">
        <v>0</v>
      </c>
      <c r="S2630" s="77">
        <v>0</v>
      </c>
      <c r="T2630" s="77">
        <v>0</v>
      </c>
      <c r="U2630" s="77">
        <v>0</v>
      </c>
      <c r="V2630" s="77">
        <v>56</v>
      </c>
      <c r="W2630" s="82" t="s">
        <v>6536</v>
      </c>
      <c r="X2630" s="77"/>
      <c r="Y2630" s="77"/>
      <c r="Z2630" s="77"/>
      <c r="AA2630" s="77"/>
      <c r="AB2630" s="77"/>
      <c r="AC2630" s="82" t="s">
        <v>10144</v>
      </c>
      <c r="AD2630" s="77" t="s">
        <v>10184</v>
      </c>
      <c r="AE2630" s="80" t="str">
        <f>HYPERLINK("https://twitter.com/biomedestetta/status/1701799526275666384")</f>
        <v>https://twitter.com/biomedestetta/status/1701799526275666384</v>
      </c>
      <c r="AF2630" s="79">
        <v>45182.143506944441</v>
      </c>
      <c r="AG2630" s="85">
        <v>45182</v>
      </c>
      <c r="AH2630" s="82" t="s">
        <v>12709</v>
      </c>
      <c r="AI2630" s="77"/>
      <c r="AJ2630" s="77"/>
      <c r="AK2630" s="77"/>
      <c r="AL2630" s="77"/>
      <c r="AM2630" s="77"/>
      <c r="AN2630" s="77"/>
      <c r="AO2630" s="77"/>
      <c r="AP2630" s="77"/>
      <c r="AQ2630" s="77"/>
      <c r="AR2630" s="77"/>
      <c r="AS2630" s="77"/>
      <c r="AT2630" s="77"/>
      <c r="AU2630" s="77"/>
      <c r="AV2630" s="80" t="str">
        <f>HYPERLINK("https://pbs.twimg.com/profile_images/1655311596065890304/tL_QIh9D_normal.jpg")</f>
        <v>https://pbs.twimg.com/profile_images/1655311596065890304/tL_QIh9D_normal.jpg</v>
      </c>
      <c r="AW2630" s="82" t="s">
        <v>19396</v>
      </c>
      <c r="AX2630" s="82" t="s">
        <v>19396</v>
      </c>
      <c r="AY2630" s="77"/>
      <c r="AZ2630" s="82" t="s">
        <v>20971</v>
      </c>
      <c r="BA2630" s="82" t="s">
        <v>20971</v>
      </c>
      <c r="BB2630" s="82" t="s">
        <v>20971</v>
      </c>
      <c r="BC2630" s="82" t="s">
        <v>19396</v>
      </c>
      <c r="BD2630" s="82" t="s">
        <v>21510</v>
      </c>
      <c r="BE2630" s="77"/>
      <c r="BF2630" s="77"/>
      <c r="BG2630" s="77"/>
      <c r="BH2630" s="77"/>
      <c r="BI2630" s="77"/>
    </row>
    <row r="2631" spans="1:61" x14ac:dyDescent="0.25">
      <c r="A2631" s="62" t="s">
        <v>893</v>
      </c>
      <c r="B2631" s="62" t="s">
        <v>893</v>
      </c>
      <c r="C2631" s="63"/>
      <c r="D2631" s="64"/>
      <c r="E2631" s="65"/>
      <c r="F2631" s="66"/>
      <c r="G2631" s="63"/>
      <c r="H2631" s="67"/>
      <c r="I2631" s="68"/>
      <c r="J2631" s="68"/>
      <c r="K2631" s="32"/>
      <c r="L2631" s="75">
        <v>2631</v>
      </c>
      <c r="M2631" s="75"/>
      <c r="N2631" s="70"/>
      <c r="O2631" s="77" t="s">
        <v>179</v>
      </c>
      <c r="P2631" s="79">
        <v>45022.713263888887</v>
      </c>
      <c r="Q2631" s="77" t="s">
        <v>3837</v>
      </c>
      <c r="R2631" s="77">
        <v>0</v>
      </c>
      <c r="S2631" s="77">
        <v>0</v>
      </c>
      <c r="T2631" s="77">
        <v>0</v>
      </c>
      <c r="U2631" s="77">
        <v>0</v>
      </c>
      <c r="V2631" s="77">
        <v>28</v>
      </c>
      <c r="W2631" s="82" t="s">
        <v>6537</v>
      </c>
      <c r="X2631" s="80" t="str">
        <f>HYPERLINK("https://frpromotora.com/46430213")</f>
        <v>https://frpromotora.com/46430213</v>
      </c>
      <c r="Y2631" s="77" t="s">
        <v>7432</v>
      </c>
      <c r="Z2631" s="77"/>
      <c r="AA2631" s="77"/>
      <c r="AB2631" s="77"/>
      <c r="AC2631" s="82" t="s">
        <v>10144</v>
      </c>
      <c r="AD2631" s="77" t="s">
        <v>10183</v>
      </c>
      <c r="AE2631" s="80" t="str">
        <f>HYPERLINK("https://twitter.com/thiagorh2/status/1644023940384169989")</f>
        <v>https://twitter.com/thiagorh2/status/1644023940384169989</v>
      </c>
      <c r="AF2631" s="79">
        <v>45022.713263888887</v>
      </c>
      <c r="AG2631" s="85">
        <v>45022</v>
      </c>
      <c r="AH2631" s="82" t="s">
        <v>12710</v>
      </c>
      <c r="AI2631" s="77" t="b">
        <v>0</v>
      </c>
      <c r="AJ2631" s="77"/>
      <c r="AK2631" s="77"/>
      <c r="AL2631" s="77"/>
      <c r="AM2631" s="77"/>
      <c r="AN2631" s="77"/>
      <c r="AO2631" s="77"/>
      <c r="AP2631" s="77"/>
      <c r="AQ2631" s="77"/>
      <c r="AR2631" s="77"/>
      <c r="AS2631" s="77"/>
      <c r="AT2631" s="77"/>
      <c r="AU2631" s="77"/>
      <c r="AV2631" s="80" t="str">
        <f>HYPERLINK("https://pbs.twimg.com/profile_images/1670596728368578562/FDWhhw97_normal.jpg")</f>
        <v>https://pbs.twimg.com/profile_images/1670596728368578562/FDWhhw97_normal.jpg</v>
      </c>
      <c r="AW2631" s="82" t="s">
        <v>19397</v>
      </c>
      <c r="AX2631" s="82" t="s">
        <v>19397</v>
      </c>
      <c r="AY2631" s="77"/>
      <c r="AZ2631" s="82" t="s">
        <v>20971</v>
      </c>
      <c r="BA2631" s="82" t="s">
        <v>20971</v>
      </c>
      <c r="BB2631" s="82" t="s">
        <v>20971</v>
      </c>
      <c r="BC2631" s="82" t="s">
        <v>19397</v>
      </c>
      <c r="BD2631" s="82" t="s">
        <v>21511</v>
      </c>
      <c r="BE2631" s="77"/>
      <c r="BF2631" s="77"/>
      <c r="BG2631" s="77"/>
      <c r="BH2631" s="77"/>
      <c r="BI2631" s="77"/>
    </row>
    <row r="2632" spans="1:61" x14ac:dyDescent="0.25">
      <c r="A2632" s="62" t="s">
        <v>894</v>
      </c>
      <c r="B2632" s="62" t="s">
        <v>894</v>
      </c>
      <c r="C2632" s="63"/>
      <c r="D2632" s="64"/>
      <c r="E2632" s="65"/>
      <c r="F2632" s="66"/>
      <c r="G2632" s="63"/>
      <c r="H2632" s="67"/>
      <c r="I2632" s="68"/>
      <c r="J2632" s="68"/>
      <c r="K2632" s="32"/>
      <c r="L2632" s="75">
        <v>2632</v>
      </c>
      <c r="M2632" s="75"/>
      <c r="N2632" s="70"/>
      <c r="O2632" s="77" t="s">
        <v>179</v>
      </c>
      <c r="P2632" s="79">
        <v>45110.216493055559</v>
      </c>
      <c r="Q2632" s="77" t="s">
        <v>3838</v>
      </c>
      <c r="R2632" s="77">
        <v>0</v>
      </c>
      <c r="S2632" s="77">
        <v>0</v>
      </c>
      <c r="T2632" s="77">
        <v>0</v>
      </c>
      <c r="U2632" s="77">
        <v>0</v>
      </c>
      <c r="V2632" s="77">
        <v>34</v>
      </c>
      <c r="W2632" s="82" t="s">
        <v>6538</v>
      </c>
      <c r="X2632" s="77"/>
      <c r="Y2632" s="77"/>
      <c r="Z2632" s="77"/>
      <c r="AA2632" s="77" t="s">
        <v>9025</v>
      </c>
      <c r="AB2632" s="77" t="s">
        <v>10129</v>
      </c>
      <c r="AC2632" s="82" t="s">
        <v>10144</v>
      </c>
      <c r="AD2632" s="77" t="s">
        <v>10184</v>
      </c>
      <c r="AE2632" s="80" t="str">
        <f>HYPERLINK("https://twitter.com/peekedoficial/status/1675734050764386304")</f>
        <v>https://twitter.com/peekedoficial/status/1675734050764386304</v>
      </c>
      <c r="AF2632" s="79">
        <v>45110.216493055559</v>
      </c>
      <c r="AG2632" s="85">
        <v>45110</v>
      </c>
      <c r="AH2632" s="82" t="s">
        <v>12711</v>
      </c>
      <c r="AI2632" s="77" t="b">
        <v>0</v>
      </c>
      <c r="AJ2632" s="77"/>
      <c r="AK2632" s="77"/>
      <c r="AL2632" s="77"/>
      <c r="AM2632" s="77"/>
      <c r="AN2632" s="77"/>
      <c r="AO2632" s="77"/>
      <c r="AP2632" s="77"/>
      <c r="AQ2632" s="77" t="s">
        <v>15668</v>
      </c>
      <c r="AR2632" s="77">
        <v>90140</v>
      </c>
      <c r="AS2632" s="77"/>
      <c r="AT2632" s="77"/>
      <c r="AU2632" s="77"/>
      <c r="AV2632" s="80" t="str">
        <f>HYPERLINK("https://pbs.twimg.com/ext_tw_video_thumb/1675733922016108546/pu/img/oxTpeUa37Uk79K6E.jpg")</f>
        <v>https://pbs.twimg.com/ext_tw_video_thumb/1675733922016108546/pu/img/oxTpeUa37Uk79K6E.jpg</v>
      </c>
      <c r="AW2632" s="82" t="s">
        <v>19398</v>
      </c>
      <c r="AX2632" s="82" t="s">
        <v>19398</v>
      </c>
      <c r="AY2632" s="77"/>
      <c r="AZ2632" s="82" t="s">
        <v>20971</v>
      </c>
      <c r="BA2632" s="82" t="s">
        <v>20971</v>
      </c>
      <c r="BB2632" s="82" t="s">
        <v>20971</v>
      </c>
      <c r="BC2632" s="82" t="s">
        <v>19398</v>
      </c>
      <c r="BD2632" s="82" t="s">
        <v>21512</v>
      </c>
      <c r="BE2632" s="77"/>
      <c r="BF2632" s="77"/>
      <c r="BG2632" s="77"/>
      <c r="BH2632" s="77"/>
      <c r="BI2632" s="77"/>
    </row>
    <row r="2633" spans="1:61" x14ac:dyDescent="0.25">
      <c r="A2633" s="62" t="s">
        <v>895</v>
      </c>
      <c r="B2633" s="62" t="s">
        <v>895</v>
      </c>
      <c r="C2633" s="63"/>
      <c r="D2633" s="64"/>
      <c r="E2633" s="65"/>
      <c r="F2633" s="66"/>
      <c r="G2633" s="63"/>
      <c r="H2633" s="67"/>
      <c r="I2633" s="68"/>
      <c r="J2633" s="68"/>
      <c r="K2633" s="32"/>
      <c r="L2633" s="75">
        <v>2633</v>
      </c>
      <c r="M2633" s="75"/>
      <c r="N2633" s="70"/>
      <c r="O2633" s="77" t="s">
        <v>179</v>
      </c>
      <c r="P2633" s="79">
        <v>45132.805763888886</v>
      </c>
      <c r="Q2633" s="77" t="s">
        <v>3839</v>
      </c>
      <c r="R2633" s="77">
        <v>0</v>
      </c>
      <c r="S2633" s="77">
        <v>0</v>
      </c>
      <c r="T2633" s="77">
        <v>0</v>
      </c>
      <c r="U2633" s="77">
        <v>0</v>
      </c>
      <c r="V2633" s="77">
        <v>19</v>
      </c>
      <c r="W2633" s="82" t="s">
        <v>6539</v>
      </c>
      <c r="X2633" s="80" t="str">
        <f>HYPERLINK("https://brking777.com/#/?invite_code=O92W9V")</f>
        <v>https://brking777.com/#/?invite_code=O92W9V</v>
      </c>
      <c r="Y2633" s="77" t="s">
        <v>7433</v>
      </c>
      <c r="Z2633" s="77"/>
      <c r="AA2633" s="77" t="s">
        <v>9026</v>
      </c>
      <c r="AB2633" s="77" t="s">
        <v>10129</v>
      </c>
      <c r="AC2633" s="82" t="s">
        <v>10144</v>
      </c>
      <c r="AD2633" s="77" t="s">
        <v>10184</v>
      </c>
      <c r="AE2633" s="80" t="str">
        <f>HYPERLINK("https://twitter.com/maayaa665629/status/1683920127497216000")</f>
        <v>https://twitter.com/maayaa665629/status/1683920127497216000</v>
      </c>
      <c r="AF2633" s="79">
        <v>45132.805763888886</v>
      </c>
      <c r="AG2633" s="85">
        <v>45132</v>
      </c>
      <c r="AH2633" s="82" t="s">
        <v>12712</v>
      </c>
      <c r="AI2633" s="77" t="b">
        <v>0</v>
      </c>
      <c r="AJ2633" s="77"/>
      <c r="AK2633" s="77"/>
      <c r="AL2633" s="77"/>
      <c r="AM2633" s="77"/>
      <c r="AN2633" s="77"/>
      <c r="AO2633" s="77"/>
      <c r="AP2633" s="77"/>
      <c r="AQ2633" s="77" t="s">
        <v>15669</v>
      </c>
      <c r="AR2633" s="77">
        <v>44998</v>
      </c>
      <c r="AS2633" s="77"/>
      <c r="AT2633" s="77"/>
      <c r="AU2633" s="77"/>
      <c r="AV2633" s="80" t="str">
        <f>HYPERLINK("https://pbs.twimg.com/ext_tw_video_thumb/1683920041052364813/pu/img/-PiHGt7X0i9WFMoJ.jpg")</f>
        <v>https://pbs.twimg.com/ext_tw_video_thumb/1683920041052364813/pu/img/-PiHGt7X0i9WFMoJ.jpg</v>
      </c>
      <c r="AW2633" s="82" t="s">
        <v>19399</v>
      </c>
      <c r="AX2633" s="82" t="s">
        <v>19399</v>
      </c>
      <c r="AY2633" s="77"/>
      <c r="AZ2633" s="82" t="s">
        <v>20971</v>
      </c>
      <c r="BA2633" s="82" t="s">
        <v>20971</v>
      </c>
      <c r="BB2633" s="82" t="s">
        <v>20971</v>
      </c>
      <c r="BC2633" s="82" t="s">
        <v>19399</v>
      </c>
      <c r="BD2633" s="82" t="s">
        <v>21513</v>
      </c>
      <c r="BE2633" s="77"/>
      <c r="BF2633" s="77"/>
      <c r="BG2633" s="77"/>
      <c r="BH2633" s="77"/>
      <c r="BI2633" s="77"/>
    </row>
    <row r="2634" spans="1:61" x14ac:dyDescent="0.25">
      <c r="A2634" s="62" t="s">
        <v>896</v>
      </c>
      <c r="B2634" s="62" t="s">
        <v>1268</v>
      </c>
      <c r="C2634" s="63"/>
      <c r="D2634" s="64"/>
      <c r="E2634" s="65"/>
      <c r="F2634" s="66"/>
      <c r="G2634" s="63"/>
      <c r="H2634" s="67"/>
      <c r="I2634" s="68"/>
      <c r="J2634" s="68"/>
      <c r="K2634" s="32"/>
      <c r="L2634" s="75">
        <v>2634</v>
      </c>
      <c r="M2634" s="75"/>
      <c r="N2634" s="70"/>
      <c r="O2634" s="77" t="s">
        <v>1284</v>
      </c>
      <c r="P2634" s="79">
        <v>45085.041620370372</v>
      </c>
      <c r="Q2634" s="77" t="s">
        <v>3840</v>
      </c>
      <c r="R2634" s="77">
        <v>0</v>
      </c>
      <c r="S2634" s="77">
        <v>0</v>
      </c>
      <c r="T2634" s="77">
        <v>0</v>
      </c>
      <c r="U2634" s="77">
        <v>0</v>
      </c>
      <c r="V2634" s="77">
        <v>3</v>
      </c>
      <c r="W2634" s="82" t="s">
        <v>5236</v>
      </c>
      <c r="X2634" s="77"/>
      <c r="Y2634" s="77"/>
      <c r="Z2634" s="77" t="s">
        <v>1268</v>
      </c>
      <c r="AA2634" s="77"/>
      <c r="AB2634" s="77"/>
      <c r="AC2634" s="82" t="s">
        <v>10145</v>
      </c>
      <c r="AD2634" s="77" t="s">
        <v>10183</v>
      </c>
      <c r="AE2634" s="80" t="str">
        <f>HYPERLINK("https://twitter.com/silashenrique23/status/1666610982141952001")</f>
        <v>https://twitter.com/silashenrique23/status/1666610982141952001</v>
      </c>
      <c r="AF2634" s="79">
        <v>45085.041620370372</v>
      </c>
      <c r="AG2634" s="85">
        <v>45085</v>
      </c>
      <c r="AH2634" s="82" t="s">
        <v>12713</v>
      </c>
      <c r="AI2634" s="77"/>
      <c r="AJ2634" s="77"/>
      <c r="AK2634" s="77"/>
      <c r="AL2634" s="77"/>
      <c r="AM2634" s="77"/>
      <c r="AN2634" s="77"/>
      <c r="AO2634" s="77"/>
      <c r="AP2634" s="77"/>
      <c r="AQ2634" s="77"/>
      <c r="AR2634" s="77"/>
      <c r="AS2634" s="77"/>
      <c r="AT2634" s="77"/>
      <c r="AU2634" s="77"/>
      <c r="AV2634" s="80" t="str">
        <f>HYPERLINK("https://pbs.twimg.com/profile_images/1650081833512493057/B86K4vQf_normal.jpg")</f>
        <v>https://pbs.twimg.com/profile_images/1650081833512493057/B86K4vQf_normal.jpg</v>
      </c>
      <c r="AW2634" s="82" t="s">
        <v>19400</v>
      </c>
      <c r="AX2634" s="82" t="s">
        <v>20872</v>
      </c>
      <c r="AY2634" s="82" t="s">
        <v>20955</v>
      </c>
      <c r="AZ2634" s="82" t="s">
        <v>20872</v>
      </c>
      <c r="BA2634" s="82" t="s">
        <v>20971</v>
      </c>
      <c r="BB2634" s="82" t="s">
        <v>20971</v>
      </c>
      <c r="BC2634" s="82" t="s">
        <v>20872</v>
      </c>
      <c r="BD2634" s="77">
        <v>1110370070</v>
      </c>
      <c r="BE2634" s="77"/>
      <c r="BF2634" s="77"/>
      <c r="BG2634" s="77"/>
      <c r="BH2634" s="77"/>
      <c r="BI2634" s="77"/>
    </row>
    <row r="2635" spans="1:61" x14ac:dyDescent="0.25">
      <c r="A2635" s="62" t="s">
        <v>896</v>
      </c>
      <c r="B2635" s="62" t="s">
        <v>1240</v>
      </c>
      <c r="C2635" s="63"/>
      <c r="D2635" s="64"/>
      <c r="E2635" s="65"/>
      <c r="F2635" s="66"/>
      <c r="G2635" s="63"/>
      <c r="H2635" s="67"/>
      <c r="I2635" s="68"/>
      <c r="J2635" s="68"/>
      <c r="K2635" s="32"/>
      <c r="L2635" s="75">
        <v>2635</v>
      </c>
      <c r="M2635" s="75"/>
      <c r="N2635" s="70"/>
      <c r="O2635" s="77" t="s">
        <v>1284</v>
      </c>
      <c r="P2635" s="79">
        <v>45085.132523148146</v>
      </c>
      <c r="Q2635" s="77" t="s">
        <v>3841</v>
      </c>
      <c r="R2635" s="77">
        <v>0</v>
      </c>
      <c r="S2635" s="77">
        <v>0</v>
      </c>
      <c r="T2635" s="77">
        <v>0</v>
      </c>
      <c r="U2635" s="77">
        <v>0</v>
      </c>
      <c r="V2635" s="77">
        <v>91</v>
      </c>
      <c r="W2635" s="82" t="s">
        <v>5236</v>
      </c>
      <c r="X2635" s="77"/>
      <c r="Y2635" s="77"/>
      <c r="Z2635" s="77" t="s">
        <v>1240</v>
      </c>
      <c r="AA2635" s="77"/>
      <c r="AB2635" s="77"/>
      <c r="AC2635" s="82" t="s">
        <v>10145</v>
      </c>
      <c r="AD2635" s="77" t="s">
        <v>10184</v>
      </c>
      <c r="AE2635" s="80" t="str">
        <f>HYPERLINK("https://twitter.com/silashenrique23/status/1666643922355998720")</f>
        <v>https://twitter.com/silashenrique23/status/1666643922355998720</v>
      </c>
      <c r="AF2635" s="79">
        <v>45085.132523148146</v>
      </c>
      <c r="AG2635" s="85">
        <v>45085</v>
      </c>
      <c r="AH2635" s="82" t="s">
        <v>12714</v>
      </c>
      <c r="AI2635" s="77"/>
      <c r="AJ2635" s="77"/>
      <c r="AK2635" s="77"/>
      <c r="AL2635" s="77"/>
      <c r="AM2635" s="77"/>
      <c r="AN2635" s="77"/>
      <c r="AO2635" s="77"/>
      <c r="AP2635" s="77"/>
      <c r="AQ2635" s="77"/>
      <c r="AR2635" s="77"/>
      <c r="AS2635" s="77"/>
      <c r="AT2635" s="77"/>
      <c r="AU2635" s="77"/>
      <c r="AV2635" s="80" t="str">
        <f>HYPERLINK("https://pbs.twimg.com/profile_images/1650081833512493057/B86K4vQf_normal.jpg")</f>
        <v>https://pbs.twimg.com/profile_images/1650081833512493057/B86K4vQf_normal.jpg</v>
      </c>
      <c r="AW2635" s="82" t="s">
        <v>19401</v>
      </c>
      <c r="AX2635" s="82" t="s">
        <v>20873</v>
      </c>
      <c r="AY2635" s="82" t="s">
        <v>20899</v>
      </c>
      <c r="AZ2635" s="82" t="s">
        <v>20873</v>
      </c>
      <c r="BA2635" s="82" t="s">
        <v>20971</v>
      </c>
      <c r="BB2635" s="82" t="s">
        <v>20971</v>
      </c>
      <c r="BC2635" s="82" t="s">
        <v>20873</v>
      </c>
      <c r="BD2635" s="77">
        <v>1110370070</v>
      </c>
      <c r="BE2635" s="77"/>
      <c r="BF2635" s="77"/>
      <c r="BG2635" s="77"/>
      <c r="BH2635" s="77"/>
      <c r="BI2635" s="77"/>
    </row>
    <row r="2636" spans="1:61" x14ac:dyDescent="0.25">
      <c r="A2636" s="62" t="s">
        <v>897</v>
      </c>
      <c r="B2636" s="62" t="s">
        <v>897</v>
      </c>
      <c r="C2636" s="63"/>
      <c r="D2636" s="64"/>
      <c r="E2636" s="65"/>
      <c r="F2636" s="66"/>
      <c r="G2636" s="63"/>
      <c r="H2636" s="67"/>
      <c r="I2636" s="68"/>
      <c r="J2636" s="68"/>
      <c r="K2636" s="32"/>
      <c r="L2636" s="75">
        <v>2636</v>
      </c>
      <c r="M2636" s="75"/>
      <c r="N2636" s="70"/>
      <c r="O2636" s="77" t="s">
        <v>179</v>
      </c>
      <c r="P2636" s="79">
        <v>44962.58929398148</v>
      </c>
      <c r="Q2636" s="77" t="s">
        <v>3842</v>
      </c>
      <c r="R2636" s="77">
        <v>0</v>
      </c>
      <c r="S2636" s="77">
        <v>0</v>
      </c>
      <c r="T2636" s="77">
        <v>0</v>
      </c>
      <c r="U2636" s="77">
        <v>0</v>
      </c>
      <c r="V2636" s="77">
        <v>41</v>
      </c>
      <c r="W2636" s="82" t="s">
        <v>5236</v>
      </c>
      <c r="X2636" s="80" t="str">
        <f>HYPERLINK("https://go.hotmart.com/B77468619P")</f>
        <v>https://go.hotmart.com/B77468619P</v>
      </c>
      <c r="Y2636" s="77" t="s">
        <v>7251</v>
      </c>
      <c r="Z2636" s="77"/>
      <c r="AA2636" s="77" t="s">
        <v>9027</v>
      </c>
      <c r="AB2636" s="77" t="s">
        <v>10130</v>
      </c>
      <c r="AC2636" s="82" t="s">
        <v>10172</v>
      </c>
      <c r="AD2636" s="77" t="s">
        <v>10184</v>
      </c>
      <c r="AE2636" s="80" t="str">
        <f>HYPERLINK("https://twitter.com/info_joinville/status/1622235743056699393")</f>
        <v>https://twitter.com/info_joinville/status/1622235743056699393</v>
      </c>
      <c r="AF2636" s="79">
        <v>44962.58929398148</v>
      </c>
      <c r="AG2636" s="85">
        <v>44962</v>
      </c>
      <c r="AH2636" s="82" t="s">
        <v>12715</v>
      </c>
      <c r="AI2636" s="77" t="b">
        <v>0</v>
      </c>
      <c r="AJ2636" s="77"/>
      <c r="AK2636" s="77"/>
      <c r="AL2636" s="77"/>
      <c r="AM2636" s="77"/>
      <c r="AN2636" s="77"/>
      <c r="AO2636" s="77"/>
      <c r="AP2636" s="77"/>
      <c r="AQ2636" s="77" t="s">
        <v>15670</v>
      </c>
      <c r="AR2636" s="77"/>
      <c r="AS2636" s="77"/>
      <c r="AT2636" s="77"/>
      <c r="AU2636" s="77"/>
      <c r="AV2636" s="80" t="str">
        <f>HYPERLINK("https://pbs.twimg.com/media/FoNWydtWAAc_Czz.jpg")</f>
        <v>https://pbs.twimg.com/media/FoNWydtWAAc_Czz.jpg</v>
      </c>
      <c r="AW2636" s="82" t="s">
        <v>19402</v>
      </c>
      <c r="AX2636" s="82" t="s">
        <v>19402</v>
      </c>
      <c r="AY2636" s="77"/>
      <c r="AZ2636" s="82" t="s">
        <v>20971</v>
      </c>
      <c r="BA2636" s="82" t="s">
        <v>20971</v>
      </c>
      <c r="BB2636" s="82" t="s">
        <v>20971</v>
      </c>
      <c r="BC2636" s="82" t="s">
        <v>19402</v>
      </c>
      <c r="BD2636" s="82" t="s">
        <v>21514</v>
      </c>
      <c r="BE2636" s="77"/>
      <c r="BF2636" s="77"/>
      <c r="BG2636" s="77"/>
      <c r="BH2636" s="77"/>
      <c r="BI2636" s="77"/>
    </row>
    <row r="2637" spans="1:61" x14ac:dyDescent="0.25">
      <c r="A2637" s="62" t="s">
        <v>897</v>
      </c>
      <c r="B2637" s="62" t="s">
        <v>897</v>
      </c>
      <c r="C2637" s="63"/>
      <c r="D2637" s="64"/>
      <c r="E2637" s="65"/>
      <c r="F2637" s="66"/>
      <c r="G2637" s="63"/>
      <c r="H2637" s="67"/>
      <c r="I2637" s="68"/>
      <c r="J2637" s="68"/>
      <c r="K2637" s="32"/>
      <c r="L2637" s="75">
        <v>2637</v>
      </c>
      <c r="M2637" s="75"/>
      <c r="N2637" s="70"/>
      <c r="O2637" s="77" t="s">
        <v>179</v>
      </c>
      <c r="P2637" s="79">
        <v>44962.170694444445</v>
      </c>
      <c r="Q2637" s="77" t="s">
        <v>3843</v>
      </c>
      <c r="R2637" s="77">
        <v>0</v>
      </c>
      <c r="S2637" s="77">
        <v>1</v>
      </c>
      <c r="T2637" s="77">
        <v>0</v>
      </c>
      <c r="U2637" s="77">
        <v>0</v>
      </c>
      <c r="V2637" s="77">
        <v>39</v>
      </c>
      <c r="W2637" s="82" t="s">
        <v>5236</v>
      </c>
      <c r="X2637" s="80" t="str">
        <f>HYPERLINK("https://go.hotmart.com/B77468619P")</f>
        <v>https://go.hotmart.com/B77468619P</v>
      </c>
      <c r="Y2637" s="77" t="s">
        <v>7251</v>
      </c>
      <c r="Z2637" s="77"/>
      <c r="AA2637" s="77" t="s">
        <v>9028</v>
      </c>
      <c r="AB2637" s="77" t="s">
        <v>10130</v>
      </c>
      <c r="AC2637" s="82" t="s">
        <v>10172</v>
      </c>
      <c r="AD2637" s="77" t="s">
        <v>10184</v>
      </c>
      <c r="AE2637" s="80" t="str">
        <f>HYPERLINK("https://twitter.com/info_joinville/status/1622084048792207366")</f>
        <v>https://twitter.com/info_joinville/status/1622084048792207366</v>
      </c>
      <c r="AF2637" s="79">
        <v>44962.170694444445</v>
      </c>
      <c r="AG2637" s="85">
        <v>44962</v>
      </c>
      <c r="AH2637" s="82" t="s">
        <v>11908</v>
      </c>
      <c r="AI2637" s="77" t="b">
        <v>0</v>
      </c>
      <c r="AJ2637" s="77"/>
      <c r="AK2637" s="77"/>
      <c r="AL2637" s="77"/>
      <c r="AM2637" s="77"/>
      <c r="AN2637" s="77"/>
      <c r="AO2637" s="77"/>
      <c r="AP2637" s="77"/>
      <c r="AQ2637" s="77" t="s">
        <v>15671</v>
      </c>
      <c r="AR2637" s="77"/>
      <c r="AS2637" s="77"/>
      <c r="AT2637" s="77"/>
      <c r="AU2637" s="77"/>
      <c r="AV2637" s="80" t="str">
        <f>HYPERLINK("https://pbs.twimg.com/media/FoLM0HMXwAMDY5X.jpg")</f>
        <v>https://pbs.twimg.com/media/FoLM0HMXwAMDY5X.jpg</v>
      </c>
      <c r="AW2637" s="82" t="s">
        <v>19403</v>
      </c>
      <c r="AX2637" s="82" t="s">
        <v>19403</v>
      </c>
      <c r="AY2637" s="77"/>
      <c r="AZ2637" s="82" t="s">
        <v>20971</v>
      </c>
      <c r="BA2637" s="82" t="s">
        <v>20971</v>
      </c>
      <c r="BB2637" s="82" t="s">
        <v>20971</v>
      </c>
      <c r="BC2637" s="82" t="s">
        <v>19403</v>
      </c>
      <c r="BD2637" s="82" t="s">
        <v>21514</v>
      </c>
      <c r="BE2637" s="77"/>
      <c r="BF2637" s="77"/>
      <c r="BG2637" s="77"/>
      <c r="BH2637" s="77"/>
      <c r="BI2637" s="77"/>
    </row>
    <row r="2638" spans="1:61" x14ac:dyDescent="0.25">
      <c r="A2638" s="62" t="s">
        <v>897</v>
      </c>
      <c r="B2638" s="62" t="s">
        <v>897</v>
      </c>
      <c r="C2638" s="63"/>
      <c r="D2638" s="64"/>
      <c r="E2638" s="65"/>
      <c r="F2638" s="66"/>
      <c r="G2638" s="63"/>
      <c r="H2638" s="67"/>
      <c r="I2638" s="68"/>
      <c r="J2638" s="68"/>
      <c r="K2638" s="32"/>
      <c r="L2638" s="75">
        <v>2638</v>
      </c>
      <c r="M2638" s="75"/>
      <c r="N2638" s="70"/>
      <c r="O2638" s="77" t="s">
        <v>179</v>
      </c>
      <c r="P2638" s="79">
        <v>44962.087141203701</v>
      </c>
      <c r="Q2638" s="77" t="s">
        <v>3844</v>
      </c>
      <c r="R2638" s="77">
        <v>0</v>
      </c>
      <c r="S2638" s="77">
        <v>1</v>
      </c>
      <c r="T2638" s="77">
        <v>0</v>
      </c>
      <c r="U2638" s="77">
        <v>0</v>
      </c>
      <c r="V2638" s="77">
        <v>44</v>
      </c>
      <c r="W2638" s="82" t="s">
        <v>5236</v>
      </c>
      <c r="X2638" s="80" t="str">
        <f>HYPERLINK("https://go.hotmart.com/B77468619P")</f>
        <v>https://go.hotmart.com/B77468619P</v>
      </c>
      <c r="Y2638" s="77" t="s">
        <v>7251</v>
      </c>
      <c r="Z2638" s="77"/>
      <c r="AA2638" s="77" t="s">
        <v>9029</v>
      </c>
      <c r="AB2638" s="77" t="s">
        <v>10130</v>
      </c>
      <c r="AC2638" s="82" t="s">
        <v>10172</v>
      </c>
      <c r="AD2638" s="77" t="s">
        <v>10184</v>
      </c>
      <c r="AE2638" s="80" t="str">
        <f>HYPERLINK("https://twitter.com/info_joinville/status/1622053767850909696")</f>
        <v>https://twitter.com/info_joinville/status/1622053767850909696</v>
      </c>
      <c r="AF2638" s="79">
        <v>44962.087141203701</v>
      </c>
      <c r="AG2638" s="85">
        <v>44962</v>
      </c>
      <c r="AH2638" s="82" t="s">
        <v>12484</v>
      </c>
      <c r="AI2638" s="77" t="b">
        <v>0</v>
      </c>
      <c r="AJ2638" s="77"/>
      <c r="AK2638" s="77"/>
      <c r="AL2638" s="77"/>
      <c r="AM2638" s="77"/>
      <c r="AN2638" s="77"/>
      <c r="AO2638" s="77"/>
      <c r="AP2638" s="77"/>
      <c r="AQ2638" s="77" t="s">
        <v>15672</v>
      </c>
      <c r="AR2638" s="77"/>
      <c r="AS2638" s="77"/>
      <c r="AT2638" s="77"/>
      <c r="AU2638" s="77"/>
      <c r="AV2638" s="80" t="str">
        <f>HYPERLINK("https://pbs.twimg.com/media/FoKxSa1XgAAg7we.jpg")</f>
        <v>https://pbs.twimg.com/media/FoKxSa1XgAAg7we.jpg</v>
      </c>
      <c r="AW2638" s="82" t="s">
        <v>19404</v>
      </c>
      <c r="AX2638" s="82" t="s">
        <v>19404</v>
      </c>
      <c r="AY2638" s="77"/>
      <c r="AZ2638" s="82" t="s">
        <v>20971</v>
      </c>
      <c r="BA2638" s="82" t="s">
        <v>20971</v>
      </c>
      <c r="BB2638" s="82" t="s">
        <v>20971</v>
      </c>
      <c r="BC2638" s="82" t="s">
        <v>19404</v>
      </c>
      <c r="BD2638" s="82" t="s">
        <v>21514</v>
      </c>
      <c r="BE2638" s="77"/>
      <c r="BF2638" s="77"/>
      <c r="BG2638" s="77"/>
      <c r="BH2638" s="77"/>
      <c r="BI2638" s="77"/>
    </row>
    <row r="2639" spans="1:61" x14ac:dyDescent="0.25">
      <c r="A2639" s="62" t="s">
        <v>897</v>
      </c>
      <c r="B2639" s="62" t="s">
        <v>897</v>
      </c>
      <c r="C2639" s="63"/>
      <c r="D2639" s="64"/>
      <c r="E2639" s="65"/>
      <c r="F2639" s="66"/>
      <c r="G2639" s="63"/>
      <c r="H2639" s="67"/>
      <c r="I2639" s="68"/>
      <c r="J2639" s="68"/>
      <c r="K2639" s="32"/>
      <c r="L2639" s="75">
        <v>2639</v>
      </c>
      <c r="M2639" s="75"/>
      <c r="N2639" s="70"/>
      <c r="O2639" s="77" t="s">
        <v>179</v>
      </c>
      <c r="P2639" s="79">
        <v>44961.500902777778</v>
      </c>
      <c r="Q2639" s="77" t="s">
        <v>3845</v>
      </c>
      <c r="R2639" s="77">
        <v>0</v>
      </c>
      <c r="S2639" s="77">
        <v>0</v>
      </c>
      <c r="T2639" s="77">
        <v>0</v>
      </c>
      <c r="U2639" s="77">
        <v>0</v>
      </c>
      <c r="V2639" s="77">
        <v>29</v>
      </c>
      <c r="W2639" s="82" t="s">
        <v>5236</v>
      </c>
      <c r="X2639" s="80" t="str">
        <f>HYPERLINK("https://go.hotmart.com/B77468619P")</f>
        <v>https://go.hotmart.com/B77468619P</v>
      </c>
      <c r="Y2639" s="77" t="s">
        <v>7251</v>
      </c>
      <c r="Z2639" s="77"/>
      <c r="AA2639" s="77" t="s">
        <v>9030</v>
      </c>
      <c r="AB2639" s="77" t="s">
        <v>10130</v>
      </c>
      <c r="AC2639" s="82" t="s">
        <v>10172</v>
      </c>
      <c r="AD2639" s="77" t="s">
        <v>10184</v>
      </c>
      <c r="AE2639" s="80" t="str">
        <f>HYPERLINK("https://twitter.com/info_joinville/status/1621841323799052293")</f>
        <v>https://twitter.com/info_joinville/status/1621841323799052293</v>
      </c>
      <c r="AF2639" s="79">
        <v>44961.500902777778</v>
      </c>
      <c r="AG2639" s="85">
        <v>44961</v>
      </c>
      <c r="AH2639" s="82" t="s">
        <v>12716</v>
      </c>
      <c r="AI2639" s="77" t="b">
        <v>0</v>
      </c>
      <c r="AJ2639" s="77"/>
      <c r="AK2639" s="77"/>
      <c r="AL2639" s="77"/>
      <c r="AM2639" s="77"/>
      <c r="AN2639" s="77"/>
      <c r="AO2639" s="77"/>
      <c r="AP2639" s="77"/>
      <c r="AQ2639" s="77" t="s">
        <v>15673</v>
      </c>
      <c r="AR2639" s="77"/>
      <c r="AS2639" s="77"/>
      <c r="AT2639" s="77"/>
      <c r="AU2639" s="77"/>
      <c r="AV2639" s="80" t="str">
        <f>HYPERLINK("https://pbs.twimg.com/media/FoHwC_bXwAE0EzI.jpg")</f>
        <v>https://pbs.twimg.com/media/FoHwC_bXwAE0EzI.jpg</v>
      </c>
      <c r="AW2639" s="82" t="s">
        <v>19405</v>
      </c>
      <c r="AX2639" s="82" t="s">
        <v>19405</v>
      </c>
      <c r="AY2639" s="77"/>
      <c r="AZ2639" s="82" t="s">
        <v>20971</v>
      </c>
      <c r="BA2639" s="82" t="s">
        <v>20971</v>
      </c>
      <c r="BB2639" s="82" t="s">
        <v>20971</v>
      </c>
      <c r="BC2639" s="82" t="s">
        <v>19405</v>
      </c>
      <c r="BD2639" s="82" t="s">
        <v>21514</v>
      </c>
      <c r="BE2639" s="77"/>
      <c r="BF2639" s="77"/>
      <c r="BG2639" s="77"/>
      <c r="BH2639" s="77"/>
      <c r="BI2639" s="77"/>
    </row>
    <row r="2640" spans="1:61" x14ac:dyDescent="0.25">
      <c r="A2640" s="62" t="s">
        <v>897</v>
      </c>
      <c r="B2640" s="62" t="s">
        <v>897</v>
      </c>
      <c r="C2640" s="63"/>
      <c r="D2640" s="64"/>
      <c r="E2640" s="65"/>
      <c r="F2640" s="66"/>
      <c r="G2640" s="63"/>
      <c r="H2640" s="67"/>
      <c r="I2640" s="68"/>
      <c r="J2640" s="68"/>
      <c r="K2640" s="32"/>
      <c r="L2640" s="75">
        <v>2640</v>
      </c>
      <c r="M2640" s="75"/>
      <c r="N2640" s="70"/>
      <c r="O2640" s="77" t="s">
        <v>179</v>
      </c>
      <c r="P2640" s="79">
        <v>44960.24527777778</v>
      </c>
      <c r="Q2640" s="77" t="s">
        <v>3846</v>
      </c>
      <c r="R2640" s="77">
        <v>0</v>
      </c>
      <c r="S2640" s="77">
        <v>1</v>
      </c>
      <c r="T2640" s="77">
        <v>0</v>
      </c>
      <c r="U2640" s="77">
        <v>0</v>
      </c>
      <c r="V2640" s="77">
        <v>44</v>
      </c>
      <c r="W2640" s="82" t="s">
        <v>5236</v>
      </c>
      <c r="X2640" s="80" t="str">
        <f>HYPERLINK("https://go.hotmart.com/B77468619P")</f>
        <v>https://go.hotmart.com/B77468619P</v>
      </c>
      <c r="Y2640" s="77" t="s">
        <v>7251</v>
      </c>
      <c r="Z2640" s="77"/>
      <c r="AA2640" s="77" t="s">
        <v>9031</v>
      </c>
      <c r="AB2640" s="77" t="s">
        <v>10130</v>
      </c>
      <c r="AC2640" s="82" t="s">
        <v>10172</v>
      </c>
      <c r="AD2640" s="77" t="s">
        <v>10184</v>
      </c>
      <c r="AE2640" s="80" t="str">
        <f>HYPERLINK("https://twitter.com/info_joinville/status/1621386300002635777")</f>
        <v>https://twitter.com/info_joinville/status/1621386300002635777</v>
      </c>
      <c r="AF2640" s="79">
        <v>44960.24527777778</v>
      </c>
      <c r="AG2640" s="85">
        <v>44960</v>
      </c>
      <c r="AH2640" s="82" t="s">
        <v>12717</v>
      </c>
      <c r="AI2640" s="77" t="b">
        <v>0</v>
      </c>
      <c r="AJ2640" s="77"/>
      <c r="AK2640" s="77"/>
      <c r="AL2640" s="77"/>
      <c r="AM2640" s="77"/>
      <c r="AN2640" s="77"/>
      <c r="AO2640" s="77"/>
      <c r="AP2640" s="77"/>
      <c r="AQ2640" s="77" t="s">
        <v>15674</v>
      </c>
      <c r="AR2640" s="77"/>
      <c r="AS2640" s="77"/>
      <c r="AT2640" s="77"/>
      <c r="AU2640" s="77"/>
      <c r="AV2640" s="80" t="str">
        <f>HYPERLINK("https://pbs.twimg.com/media/FoBSO8vWIAEFIiL.jpg")</f>
        <v>https://pbs.twimg.com/media/FoBSO8vWIAEFIiL.jpg</v>
      </c>
      <c r="AW2640" s="82" t="s">
        <v>19406</v>
      </c>
      <c r="AX2640" s="82" t="s">
        <v>19406</v>
      </c>
      <c r="AY2640" s="77"/>
      <c r="AZ2640" s="82" t="s">
        <v>20971</v>
      </c>
      <c r="BA2640" s="82" t="s">
        <v>20971</v>
      </c>
      <c r="BB2640" s="82" t="s">
        <v>20971</v>
      </c>
      <c r="BC2640" s="82" t="s">
        <v>19406</v>
      </c>
      <c r="BD2640" s="82" t="s">
        <v>21514</v>
      </c>
      <c r="BE2640" s="77"/>
      <c r="BF2640" s="77"/>
      <c r="BG2640" s="77"/>
      <c r="BH2640" s="77"/>
      <c r="BI2640" s="77"/>
    </row>
    <row r="2641" spans="1:61" x14ac:dyDescent="0.25">
      <c r="A2641" s="62" t="s">
        <v>897</v>
      </c>
      <c r="B2641" s="62" t="s">
        <v>897</v>
      </c>
      <c r="C2641" s="63"/>
      <c r="D2641" s="64"/>
      <c r="E2641" s="65"/>
      <c r="F2641" s="66"/>
      <c r="G2641" s="63"/>
      <c r="H2641" s="67"/>
      <c r="I2641" s="68"/>
      <c r="J2641" s="68"/>
      <c r="K2641" s="32"/>
      <c r="L2641" s="75">
        <v>2641</v>
      </c>
      <c r="M2641" s="75"/>
      <c r="N2641" s="70"/>
      <c r="O2641" s="77" t="s">
        <v>179</v>
      </c>
      <c r="P2641" s="79">
        <v>45027.618587962963</v>
      </c>
      <c r="Q2641" s="77" t="s">
        <v>3847</v>
      </c>
      <c r="R2641" s="77">
        <v>0</v>
      </c>
      <c r="S2641" s="77">
        <v>0</v>
      </c>
      <c r="T2641" s="77">
        <v>0</v>
      </c>
      <c r="U2641" s="77">
        <v>0</v>
      </c>
      <c r="V2641" s="77">
        <v>23</v>
      </c>
      <c r="W2641" s="82" t="s">
        <v>5236</v>
      </c>
      <c r="X2641" s="80" t="str">
        <f>HYPERLINK("https://go.hotmart.com/B77468619P")</f>
        <v>https://go.hotmart.com/B77468619P</v>
      </c>
      <c r="Y2641" s="77" t="s">
        <v>7251</v>
      </c>
      <c r="Z2641" s="77"/>
      <c r="AA2641" s="77" t="s">
        <v>9032</v>
      </c>
      <c r="AB2641" s="77" t="s">
        <v>10130</v>
      </c>
      <c r="AC2641" s="82" t="s">
        <v>10172</v>
      </c>
      <c r="AD2641" s="77" t="s">
        <v>10184</v>
      </c>
      <c r="AE2641" s="80" t="str">
        <f>HYPERLINK("https://twitter.com/info_joinville/status/1645801572126040079")</f>
        <v>https://twitter.com/info_joinville/status/1645801572126040079</v>
      </c>
      <c r="AF2641" s="79">
        <v>45027.618587962963</v>
      </c>
      <c r="AG2641" s="85">
        <v>45027</v>
      </c>
      <c r="AH2641" s="82" t="s">
        <v>12718</v>
      </c>
      <c r="AI2641" s="77" t="b">
        <v>0</v>
      </c>
      <c r="AJ2641" s="77"/>
      <c r="AK2641" s="77"/>
      <c r="AL2641" s="77"/>
      <c r="AM2641" s="77"/>
      <c r="AN2641" s="77"/>
      <c r="AO2641" s="77"/>
      <c r="AP2641" s="77"/>
      <c r="AQ2641" s="77" t="s">
        <v>15675</v>
      </c>
      <c r="AR2641" s="77"/>
      <c r="AS2641" s="77"/>
      <c r="AT2641" s="77"/>
      <c r="AU2641" s="77"/>
      <c r="AV2641" s="80" t="str">
        <f>HYPERLINK("https://pbs.twimg.com/media/FtcPxjmaMAgqmTm.jpg")</f>
        <v>https://pbs.twimg.com/media/FtcPxjmaMAgqmTm.jpg</v>
      </c>
      <c r="AW2641" s="82" t="s">
        <v>19407</v>
      </c>
      <c r="AX2641" s="82" t="s">
        <v>19407</v>
      </c>
      <c r="AY2641" s="77"/>
      <c r="AZ2641" s="82" t="s">
        <v>20971</v>
      </c>
      <c r="BA2641" s="82" t="s">
        <v>20971</v>
      </c>
      <c r="BB2641" s="82" t="s">
        <v>20971</v>
      </c>
      <c r="BC2641" s="82" t="s">
        <v>19407</v>
      </c>
      <c r="BD2641" s="82" t="s">
        <v>21514</v>
      </c>
      <c r="BE2641" s="77"/>
      <c r="BF2641" s="77"/>
      <c r="BG2641" s="77"/>
      <c r="BH2641" s="77"/>
      <c r="BI2641" s="77"/>
    </row>
    <row r="2642" spans="1:61" x14ac:dyDescent="0.25">
      <c r="A2642" s="62" t="s">
        <v>897</v>
      </c>
      <c r="B2642" s="62" t="s">
        <v>897</v>
      </c>
      <c r="C2642" s="63"/>
      <c r="D2642" s="64"/>
      <c r="E2642" s="65"/>
      <c r="F2642" s="66"/>
      <c r="G2642" s="63"/>
      <c r="H2642" s="67"/>
      <c r="I2642" s="68"/>
      <c r="J2642" s="68"/>
      <c r="K2642" s="32"/>
      <c r="L2642" s="75">
        <v>2642</v>
      </c>
      <c r="M2642" s="75"/>
      <c r="N2642" s="70"/>
      <c r="O2642" s="77" t="s">
        <v>179</v>
      </c>
      <c r="P2642" s="79">
        <v>45023.278113425928</v>
      </c>
      <c r="Q2642" s="77" t="s">
        <v>3848</v>
      </c>
      <c r="R2642" s="77">
        <v>0</v>
      </c>
      <c r="S2642" s="77">
        <v>1</v>
      </c>
      <c r="T2642" s="77">
        <v>1</v>
      </c>
      <c r="U2642" s="77">
        <v>0</v>
      </c>
      <c r="V2642" s="77">
        <v>23</v>
      </c>
      <c r="W2642" s="82" t="s">
        <v>5236</v>
      </c>
      <c r="X2642" s="80" t="str">
        <f>HYPERLINK("https://go.hotmart.com/B77468619P")</f>
        <v>https://go.hotmart.com/B77468619P</v>
      </c>
      <c r="Y2642" s="77" t="s">
        <v>7251</v>
      </c>
      <c r="Z2642" s="77"/>
      <c r="AA2642" s="77" t="s">
        <v>9033</v>
      </c>
      <c r="AB2642" s="77" t="s">
        <v>10130</v>
      </c>
      <c r="AC2642" s="82" t="s">
        <v>10172</v>
      </c>
      <c r="AD2642" s="77" t="s">
        <v>10184</v>
      </c>
      <c r="AE2642" s="80" t="str">
        <f>HYPERLINK("https://twitter.com/info_joinville/status/1644228634528346113")</f>
        <v>https://twitter.com/info_joinville/status/1644228634528346113</v>
      </c>
      <c r="AF2642" s="79">
        <v>45023.278113425928</v>
      </c>
      <c r="AG2642" s="85">
        <v>45023</v>
      </c>
      <c r="AH2642" s="82" t="s">
        <v>12719</v>
      </c>
      <c r="AI2642" s="77" t="b">
        <v>0</v>
      </c>
      <c r="AJ2642" s="77"/>
      <c r="AK2642" s="77"/>
      <c r="AL2642" s="77"/>
      <c r="AM2642" s="77"/>
      <c r="AN2642" s="77"/>
      <c r="AO2642" s="77"/>
      <c r="AP2642" s="77"/>
      <c r="AQ2642" s="77" t="s">
        <v>15676</v>
      </c>
      <c r="AR2642" s="77"/>
      <c r="AS2642" s="77"/>
      <c r="AT2642" s="77"/>
      <c r="AU2642" s="77"/>
      <c r="AV2642" s="80" t="str">
        <f>HYPERLINK("https://pbs.twimg.com/media/FtF5MieWYAA8QgZ.jpg")</f>
        <v>https://pbs.twimg.com/media/FtF5MieWYAA8QgZ.jpg</v>
      </c>
      <c r="AW2642" s="82" t="s">
        <v>19408</v>
      </c>
      <c r="AX2642" s="82" t="s">
        <v>19408</v>
      </c>
      <c r="AY2642" s="77"/>
      <c r="AZ2642" s="82" t="s">
        <v>20971</v>
      </c>
      <c r="BA2642" s="82" t="s">
        <v>20971</v>
      </c>
      <c r="BB2642" s="82" t="s">
        <v>20971</v>
      </c>
      <c r="BC2642" s="82" t="s">
        <v>19408</v>
      </c>
      <c r="BD2642" s="82" t="s">
        <v>21514</v>
      </c>
      <c r="BE2642" s="77"/>
      <c r="BF2642" s="77"/>
      <c r="BG2642" s="77"/>
      <c r="BH2642" s="77"/>
      <c r="BI2642" s="77"/>
    </row>
    <row r="2643" spans="1:61" x14ac:dyDescent="0.25">
      <c r="A2643" s="62" t="s">
        <v>897</v>
      </c>
      <c r="B2643" s="62" t="s">
        <v>897</v>
      </c>
      <c r="C2643" s="63"/>
      <c r="D2643" s="64"/>
      <c r="E2643" s="65"/>
      <c r="F2643" s="66"/>
      <c r="G2643" s="63"/>
      <c r="H2643" s="67"/>
      <c r="I2643" s="68"/>
      <c r="J2643" s="68"/>
      <c r="K2643" s="32"/>
      <c r="L2643" s="75">
        <v>2643</v>
      </c>
      <c r="M2643" s="75"/>
      <c r="N2643" s="70"/>
      <c r="O2643" s="77" t="s">
        <v>179</v>
      </c>
      <c r="P2643" s="79">
        <v>44967.032858796294</v>
      </c>
      <c r="Q2643" s="77" t="s">
        <v>3849</v>
      </c>
      <c r="R2643" s="77">
        <v>0</v>
      </c>
      <c r="S2643" s="77">
        <v>0</v>
      </c>
      <c r="T2643" s="77">
        <v>0</v>
      </c>
      <c r="U2643" s="77">
        <v>0</v>
      </c>
      <c r="V2643" s="77">
        <v>22</v>
      </c>
      <c r="W2643" s="82" t="s">
        <v>5236</v>
      </c>
      <c r="X2643" s="80" t="str">
        <f>HYPERLINK("https://go.hotmart.com/B77468619P")</f>
        <v>https://go.hotmart.com/B77468619P</v>
      </c>
      <c r="Y2643" s="77" t="s">
        <v>7251</v>
      </c>
      <c r="Z2643" s="77"/>
      <c r="AA2643" s="77" t="s">
        <v>9034</v>
      </c>
      <c r="AB2643" s="77" t="s">
        <v>10130</v>
      </c>
      <c r="AC2643" s="82" t="s">
        <v>10172</v>
      </c>
      <c r="AD2643" s="77" t="s">
        <v>10184</v>
      </c>
      <c r="AE2643" s="80" t="str">
        <f>HYPERLINK("https://twitter.com/info_joinville/status/1623846038984425475")</f>
        <v>https://twitter.com/info_joinville/status/1623846038984425475</v>
      </c>
      <c r="AF2643" s="79">
        <v>44967.032858796294</v>
      </c>
      <c r="AG2643" s="85">
        <v>44967</v>
      </c>
      <c r="AH2643" s="82" t="s">
        <v>12720</v>
      </c>
      <c r="AI2643" s="77" t="b">
        <v>0</v>
      </c>
      <c r="AJ2643" s="77"/>
      <c r="AK2643" s="77"/>
      <c r="AL2643" s="77"/>
      <c r="AM2643" s="77"/>
      <c r="AN2643" s="77"/>
      <c r="AO2643" s="77"/>
      <c r="AP2643" s="77"/>
      <c r="AQ2643" s="77" t="s">
        <v>15677</v>
      </c>
      <c r="AR2643" s="77"/>
      <c r="AS2643" s="77"/>
      <c r="AT2643" s="77"/>
      <c r="AU2643" s="77"/>
      <c r="AV2643" s="80" t="str">
        <f>HYPERLINK("https://pbs.twimg.com/media/FokPVdcXwAM24vH.jpg")</f>
        <v>https://pbs.twimg.com/media/FokPVdcXwAM24vH.jpg</v>
      </c>
      <c r="AW2643" s="82" t="s">
        <v>19409</v>
      </c>
      <c r="AX2643" s="82" t="s">
        <v>19409</v>
      </c>
      <c r="AY2643" s="77"/>
      <c r="AZ2643" s="82" t="s">
        <v>20971</v>
      </c>
      <c r="BA2643" s="82" t="s">
        <v>20971</v>
      </c>
      <c r="BB2643" s="82" t="s">
        <v>20971</v>
      </c>
      <c r="BC2643" s="82" t="s">
        <v>19409</v>
      </c>
      <c r="BD2643" s="82" t="s">
        <v>21514</v>
      </c>
      <c r="BE2643" s="77"/>
      <c r="BF2643" s="77"/>
      <c r="BG2643" s="77"/>
      <c r="BH2643" s="77"/>
      <c r="BI2643" s="77"/>
    </row>
    <row r="2644" spans="1:61" x14ac:dyDescent="0.25">
      <c r="A2644" s="62" t="s">
        <v>897</v>
      </c>
      <c r="B2644" s="62" t="s">
        <v>897</v>
      </c>
      <c r="C2644" s="63"/>
      <c r="D2644" s="64"/>
      <c r="E2644" s="65"/>
      <c r="F2644" s="66"/>
      <c r="G2644" s="63"/>
      <c r="H2644" s="67"/>
      <c r="I2644" s="68"/>
      <c r="J2644" s="68"/>
      <c r="K2644" s="32"/>
      <c r="L2644" s="75">
        <v>2644</v>
      </c>
      <c r="M2644" s="75"/>
      <c r="N2644" s="70"/>
      <c r="O2644" s="77" t="s">
        <v>179</v>
      </c>
      <c r="P2644" s="79">
        <v>45018.718263888892</v>
      </c>
      <c r="Q2644" s="77" t="s">
        <v>3850</v>
      </c>
      <c r="R2644" s="77">
        <v>0</v>
      </c>
      <c r="S2644" s="77">
        <v>1</v>
      </c>
      <c r="T2644" s="77">
        <v>1</v>
      </c>
      <c r="U2644" s="77">
        <v>0</v>
      </c>
      <c r="V2644" s="77">
        <v>26</v>
      </c>
      <c r="W2644" s="82" t="s">
        <v>5236</v>
      </c>
      <c r="X2644" s="80" t="str">
        <f>HYPERLINK("https://go.hotmart.com/B77468619P")</f>
        <v>https://go.hotmart.com/B77468619P</v>
      </c>
      <c r="Y2644" s="77" t="s">
        <v>7251</v>
      </c>
      <c r="Z2644" s="77"/>
      <c r="AA2644" s="77" t="s">
        <v>9035</v>
      </c>
      <c r="AB2644" s="77" t="s">
        <v>10130</v>
      </c>
      <c r="AC2644" s="82" t="s">
        <v>10172</v>
      </c>
      <c r="AD2644" s="77" t="s">
        <v>10184</v>
      </c>
      <c r="AE2644" s="80" t="str">
        <f>HYPERLINK("https://twitter.com/info_joinville/status/1642576199477067778")</f>
        <v>https://twitter.com/info_joinville/status/1642576199477067778</v>
      </c>
      <c r="AF2644" s="79">
        <v>45018.718263888892</v>
      </c>
      <c r="AG2644" s="85">
        <v>45018</v>
      </c>
      <c r="AH2644" s="82" t="s">
        <v>12721</v>
      </c>
      <c r="AI2644" s="77" t="b">
        <v>0</v>
      </c>
      <c r="AJ2644" s="77"/>
      <c r="AK2644" s="77"/>
      <c r="AL2644" s="77"/>
      <c r="AM2644" s="77"/>
      <c r="AN2644" s="77"/>
      <c r="AO2644" s="77"/>
      <c r="AP2644" s="77"/>
      <c r="AQ2644" s="77" t="s">
        <v>15678</v>
      </c>
      <c r="AR2644" s="77"/>
      <c r="AS2644" s="77"/>
      <c r="AT2644" s="77"/>
      <c r="AU2644" s="77"/>
      <c r="AV2644" s="80" t="str">
        <f>HYPERLINK("https://pbs.twimg.com/media/FsuaUOdWAAMmdw8.jpg")</f>
        <v>https://pbs.twimg.com/media/FsuaUOdWAAMmdw8.jpg</v>
      </c>
      <c r="AW2644" s="82" t="s">
        <v>19410</v>
      </c>
      <c r="AX2644" s="82" t="s">
        <v>19410</v>
      </c>
      <c r="AY2644" s="77"/>
      <c r="AZ2644" s="82" t="s">
        <v>20971</v>
      </c>
      <c r="BA2644" s="82" t="s">
        <v>20971</v>
      </c>
      <c r="BB2644" s="82" t="s">
        <v>20971</v>
      </c>
      <c r="BC2644" s="82" t="s">
        <v>19410</v>
      </c>
      <c r="BD2644" s="82" t="s">
        <v>21514</v>
      </c>
      <c r="BE2644" s="77"/>
      <c r="BF2644" s="77"/>
      <c r="BG2644" s="77"/>
      <c r="BH2644" s="77"/>
      <c r="BI2644" s="77"/>
    </row>
    <row r="2645" spans="1:61" x14ac:dyDescent="0.25">
      <c r="A2645" s="62" t="s">
        <v>897</v>
      </c>
      <c r="B2645" s="62" t="s">
        <v>897</v>
      </c>
      <c r="C2645" s="63"/>
      <c r="D2645" s="64"/>
      <c r="E2645" s="65"/>
      <c r="F2645" s="66"/>
      <c r="G2645" s="63"/>
      <c r="H2645" s="67"/>
      <c r="I2645" s="68"/>
      <c r="J2645" s="68"/>
      <c r="K2645" s="32"/>
      <c r="L2645" s="75">
        <v>2645</v>
      </c>
      <c r="M2645" s="75"/>
      <c r="N2645" s="70"/>
      <c r="O2645" s="77" t="s">
        <v>179</v>
      </c>
      <c r="P2645" s="79">
        <v>44966.359733796293</v>
      </c>
      <c r="Q2645" s="77" t="s">
        <v>3851</v>
      </c>
      <c r="R2645" s="77">
        <v>0</v>
      </c>
      <c r="S2645" s="77">
        <v>1</v>
      </c>
      <c r="T2645" s="77">
        <v>0</v>
      </c>
      <c r="U2645" s="77">
        <v>0</v>
      </c>
      <c r="V2645" s="77">
        <v>23</v>
      </c>
      <c r="W2645" s="82" t="s">
        <v>5236</v>
      </c>
      <c r="X2645" s="80" t="str">
        <f>HYPERLINK("https://go.hotmart.com/B77468619P")</f>
        <v>https://go.hotmart.com/B77468619P</v>
      </c>
      <c r="Y2645" s="77" t="s">
        <v>7251</v>
      </c>
      <c r="Z2645" s="77"/>
      <c r="AA2645" s="77" t="s">
        <v>9036</v>
      </c>
      <c r="AB2645" s="77" t="s">
        <v>10130</v>
      </c>
      <c r="AC2645" s="82" t="s">
        <v>10172</v>
      </c>
      <c r="AD2645" s="77" t="s">
        <v>10184</v>
      </c>
      <c r="AE2645" s="80" t="str">
        <f>HYPERLINK("https://twitter.com/info_joinville/status/1623602104735604740")</f>
        <v>https://twitter.com/info_joinville/status/1623602104735604740</v>
      </c>
      <c r="AF2645" s="79">
        <v>44966.359733796293</v>
      </c>
      <c r="AG2645" s="85">
        <v>44966</v>
      </c>
      <c r="AH2645" s="82" t="s">
        <v>12722</v>
      </c>
      <c r="AI2645" s="77" t="b">
        <v>0</v>
      </c>
      <c r="AJ2645" s="77"/>
      <c r="AK2645" s="77"/>
      <c r="AL2645" s="77"/>
      <c r="AM2645" s="77"/>
      <c r="AN2645" s="77"/>
      <c r="AO2645" s="77"/>
      <c r="AP2645" s="77"/>
      <c r="AQ2645" s="77" t="s">
        <v>15679</v>
      </c>
      <c r="AR2645" s="77"/>
      <c r="AS2645" s="77"/>
      <c r="AT2645" s="77"/>
      <c r="AU2645" s="77"/>
      <c r="AV2645" s="80" t="str">
        <f>HYPERLINK("https://pbs.twimg.com/media/FogxfHjXsAAoJGG.jpg")</f>
        <v>https://pbs.twimg.com/media/FogxfHjXsAAoJGG.jpg</v>
      </c>
      <c r="AW2645" s="82" t="s">
        <v>19411</v>
      </c>
      <c r="AX2645" s="82" t="s">
        <v>19411</v>
      </c>
      <c r="AY2645" s="77"/>
      <c r="AZ2645" s="82" t="s">
        <v>20971</v>
      </c>
      <c r="BA2645" s="82" t="s">
        <v>20971</v>
      </c>
      <c r="BB2645" s="82" t="s">
        <v>20971</v>
      </c>
      <c r="BC2645" s="82" t="s">
        <v>19411</v>
      </c>
      <c r="BD2645" s="82" t="s">
        <v>21514</v>
      </c>
      <c r="BE2645" s="77"/>
      <c r="BF2645" s="77"/>
      <c r="BG2645" s="77"/>
      <c r="BH2645" s="77"/>
      <c r="BI2645" s="77"/>
    </row>
    <row r="2646" spans="1:61" x14ac:dyDescent="0.25">
      <c r="A2646" s="62" t="s">
        <v>897</v>
      </c>
      <c r="B2646" s="62" t="s">
        <v>897</v>
      </c>
      <c r="C2646" s="63"/>
      <c r="D2646" s="64"/>
      <c r="E2646" s="65"/>
      <c r="F2646" s="66"/>
      <c r="G2646" s="63"/>
      <c r="H2646" s="67"/>
      <c r="I2646" s="68"/>
      <c r="J2646" s="68"/>
      <c r="K2646" s="32"/>
      <c r="L2646" s="75">
        <v>2646</v>
      </c>
      <c r="M2646" s="75"/>
      <c r="N2646" s="70"/>
      <c r="O2646" s="77" t="s">
        <v>179</v>
      </c>
      <c r="P2646" s="79">
        <v>44965.686550925922</v>
      </c>
      <c r="Q2646" s="77" t="s">
        <v>3852</v>
      </c>
      <c r="R2646" s="77">
        <v>0</v>
      </c>
      <c r="S2646" s="77">
        <v>0</v>
      </c>
      <c r="T2646" s="77">
        <v>0</v>
      </c>
      <c r="U2646" s="77">
        <v>0</v>
      </c>
      <c r="V2646" s="77">
        <v>29</v>
      </c>
      <c r="W2646" s="82" t="s">
        <v>5236</v>
      </c>
      <c r="X2646" s="80" t="str">
        <f>HYPERLINK("https://go.hotmart.com/B77468619P")</f>
        <v>https://go.hotmart.com/B77468619P</v>
      </c>
      <c r="Y2646" s="77" t="s">
        <v>7251</v>
      </c>
      <c r="Z2646" s="77"/>
      <c r="AA2646" s="77" t="s">
        <v>9037</v>
      </c>
      <c r="AB2646" s="77" t="s">
        <v>10130</v>
      </c>
      <c r="AC2646" s="82" t="s">
        <v>10172</v>
      </c>
      <c r="AD2646" s="77" t="s">
        <v>10184</v>
      </c>
      <c r="AE2646" s="80" t="str">
        <f>HYPERLINK("https://twitter.com/info_joinville/status/1623358151562084352")</f>
        <v>https://twitter.com/info_joinville/status/1623358151562084352</v>
      </c>
      <c r="AF2646" s="79">
        <v>44965.686550925922</v>
      </c>
      <c r="AG2646" s="85">
        <v>44965</v>
      </c>
      <c r="AH2646" s="82" t="s">
        <v>12723</v>
      </c>
      <c r="AI2646" s="77" t="b">
        <v>0</v>
      </c>
      <c r="AJ2646" s="77"/>
      <c r="AK2646" s="77"/>
      <c r="AL2646" s="77"/>
      <c r="AM2646" s="77"/>
      <c r="AN2646" s="77"/>
      <c r="AO2646" s="77"/>
      <c r="AP2646" s="77"/>
      <c r="AQ2646" s="77" t="s">
        <v>15680</v>
      </c>
      <c r="AR2646" s="77"/>
      <c r="AS2646" s="77"/>
      <c r="AT2646" s="77"/>
      <c r="AU2646" s="77"/>
      <c r="AV2646" s="80" t="str">
        <f>HYPERLINK("https://pbs.twimg.com/media/FodTnwwX0AERsA4.jpg")</f>
        <v>https://pbs.twimg.com/media/FodTnwwX0AERsA4.jpg</v>
      </c>
      <c r="AW2646" s="82" t="s">
        <v>19412</v>
      </c>
      <c r="AX2646" s="82" t="s">
        <v>19412</v>
      </c>
      <c r="AY2646" s="77"/>
      <c r="AZ2646" s="82" t="s">
        <v>20971</v>
      </c>
      <c r="BA2646" s="82" t="s">
        <v>20971</v>
      </c>
      <c r="BB2646" s="82" t="s">
        <v>20971</v>
      </c>
      <c r="BC2646" s="82" t="s">
        <v>19412</v>
      </c>
      <c r="BD2646" s="82" t="s">
        <v>21514</v>
      </c>
      <c r="BE2646" s="77"/>
      <c r="BF2646" s="77"/>
      <c r="BG2646" s="77"/>
      <c r="BH2646" s="77"/>
      <c r="BI2646" s="77"/>
    </row>
    <row r="2647" spans="1:61" x14ac:dyDescent="0.25">
      <c r="A2647" s="62" t="s">
        <v>897</v>
      </c>
      <c r="B2647" s="62" t="s">
        <v>897</v>
      </c>
      <c r="C2647" s="63"/>
      <c r="D2647" s="64"/>
      <c r="E2647" s="65"/>
      <c r="F2647" s="66"/>
      <c r="G2647" s="63"/>
      <c r="H2647" s="67"/>
      <c r="I2647" s="68"/>
      <c r="J2647" s="68"/>
      <c r="K2647" s="32"/>
      <c r="L2647" s="75">
        <v>2647</v>
      </c>
      <c r="M2647" s="75"/>
      <c r="N2647" s="70"/>
      <c r="O2647" s="77" t="s">
        <v>179</v>
      </c>
      <c r="P2647" s="79">
        <v>44965.013402777775</v>
      </c>
      <c r="Q2647" s="77" t="s">
        <v>3853</v>
      </c>
      <c r="R2647" s="77">
        <v>0</v>
      </c>
      <c r="S2647" s="77">
        <v>1</v>
      </c>
      <c r="T2647" s="77">
        <v>0</v>
      </c>
      <c r="U2647" s="77">
        <v>0</v>
      </c>
      <c r="V2647" s="77">
        <v>58</v>
      </c>
      <c r="W2647" s="82" t="s">
        <v>5236</v>
      </c>
      <c r="X2647" s="80" t="str">
        <f>HYPERLINK("https://go.hotmart.com/B77468619P")</f>
        <v>https://go.hotmart.com/B77468619P</v>
      </c>
      <c r="Y2647" s="77" t="s">
        <v>7251</v>
      </c>
      <c r="Z2647" s="77"/>
      <c r="AA2647" s="77" t="s">
        <v>9038</v>
      </c>
      <c r="AB2647" s="77" t="s">
        <v>10130</v>
      </c>
      <c r="AC2647" s="82" t="s">
        <v>10172</v>
      </c>
      <c r="AD2647" s="77" t="s">
        <v>10184</v>
      </c>
      <c r="AE2647" s="80" t="str">
        <f>HYPERLINK("https://twitter.com/info_joinville/status/1623114210149269504")</f>
        <v>https://twitter.com/info_joinville/status/1623114210149269504</v>
      </c>
      <c r="AF2647" s="79">
        <v>44965.013402777775</v>
      </c>
      <c r="AG2647" s="85">
        <v>44965</v>
      </c>
      <c r="AH2647" s="82" t="s">
        <v>12724</v>
      </c>
      <c r="AI2647" s="77" t="b">
        <v>0</v>
      </c>
      <c r="AJ2647" s="77"/>
      <c r="AK2647" s="77"/>
      <c r="AL2647" s="77"/>
      <c r="AM2647" s="77"/>
      <c r="AN2647" s="77"/>
      <c r="AO2647" s="77"/>
      <c r="AP2647" s="77"/>
      <c r="AQ2647" s="77" t="s">
        <v>15681</v>
      </c>
      <c r="AR2647" s="77"/>
      <c r="AS2647" s="77"/>
      <c r="AT2647" s="77"/>
      <c r="AU2647" s="77"/>
      <c r="AV2647" s="80" t="str">
        <f>HYPERLINK("https://pbs.twimg.com/media/FoZ1ra0WAAAv7OS.jpg")</f>
        <v>https://pbs.twimg.com/media/FoZ1ra0WAAAv7OS.jpg</v>
      </c>
      <c r="AW2647" s="82" t="s">
        <v>19413</v>
      </c>
      <c r="AX2647" s="82" t="s">
        <v>19413</v>
      </c>
      <c r="AY2647" s="77"/>
      <c r="AZ2647" s="82" t="s">
        <v>20971</v>
      </c>
      <c r="BA2647" s="82" t="s">
        <v>20971</v>
      </c>
      <c r="BB2647" s="82" t="s">
        <v>20971</v>
      </c>
      <c r="BC2647" s="82" t="s">
        <v>19413</v>
      </c>
      <c r="BD2647" s="82" t="s">
        <v>21514</v>
      </c>
      <c r="BE2647" s="77"/>
      <c r="BF2647" s="77"/>
      <c r="BG2647" s="77"/>
      <c r="BH2647" s="77"/>
      <c r="BI2647" s="77"/>
    </row>
    <row r="2648" spans="1:61" x14ac:dyDescent="0.25">
      <c r="A2648" s="62" t="s">
        <v>897</v>
      </c>
      <c r="B2648" s="62" t="s">
        <v>897</v>
      </c>
      <c r="C2648" s="63"/>
      <c r="D2648" s="64"/>
      <c r="E2648" s="65"/>
      <c r="F2648" s="66"/>
      <c r="G2648" s="63"/>
      <c r="H2648" s="67"/>
      <c r="I2648" s="68"/>
      <c r="J2648" s="68"/>
      <c r="K2648" s="32"/>
      <c r="L2648" s="75">
        <v>2648</v>
      </c>
      <c r="M2648" s="75"/>
      <c r="N2648" s="70"/>
      <c r="O2648" s="77" t="s">
        <v>179</v>
      </c>
      <c r="P2648" s="79">
        <v>44964.589016203703</v>
      </c>
      <c r="Q2648" s="77" t="s">
        <v>3854</v>
      </c>
      <c r="R2648" s="77">
        <v>0</v>
      </c>
      <c r="S2648" s="77">
        <v>0</v>
      </c>
      <c r="T2648" s="77">
        <v>0</v>
      </c>
      <c r="U2648" s="77">
        <v>0</v>
      </c>
      <c r="V2648" s="77">
        <v>40</v>
      </c>
      <c r="W2648" s="82" t="s">
        <v>5236</v>
      </c>
      <c r="X2648" s="80" t="str">
        <f>HYPERLINK("https://go.hotmart.com/B77468619P")</f>
        <v>https://go.hotmart.com/B77468619P</v>
      </c>
      <c r="Y2648" s="77" t="s">
        <v>7251</v>
      </c>
      <c r="Z2648" s="77"/>
      <c r="AA2648" s="77" t="s">
        <v>9039</v>
      </c>
      <c r="AB2648" s="77" t="s">
        <v>10130</v>
      </c>
      <c r="AC2648" s="82" t="s">
        <v>10172</v>
      </c>
      <c r="AD2648" s="77" t="s">
        <v>10184</v>
      </c>
      <c r="AE2648" s="80" t="str">
        <f>HYPERLINK("https://twitter.com/info_joinville/status/1622960416698814464")</f>
        <v>https://twitter.com/info_joinville/status/1622960416698814464</v>
      </c>
      <c r="AF2648" s="79">
        <v>44964.589016203703</v>
      </c>
      <c r="AG2648" s="85">
        <v>44964</v>
      </c>
      <c r="AH2648" s="82" t="s">
        <v>12725</v>
      </c>
      <c r="AI2648" s="77" t="b">
        <v>0</v>
      </c>
      <c r="AJ2648" s="77"/>
      <c r="AK2648" s="77"/>
      <c r="AL2648" s="77"/>
      <c r="AM2648" s="77"/>
      <c r="AN2648" s="77"/>
      <c r="AO2648" s="77"/>
      <c r="AP2648" s="77"/>
      <c r="AQ2648" s="77" t="s">
        <v>15682</v>
      </c>
      <c r="AR2648" s="77"/>
      <c r="AS2648" s="77"/>
      <c r="AT2648" s="77"/>
      <c r="AU2648" s="77"/>
      <c r="AV2648" s="80" t="str">
        <f>HYPERLINK("https://pbs.twimg.com/media/FoXpzXTaIAAqQ-j.jpg")</f>
        <v>https://pbs.twimg.com/media/FoXpzXTaIAAqQ-j.jpg</v>
      </c>
      <c r="AW2648" s="82" t="s">
        <v>19414</v>
      </c>
      <c r="AX2648" s="82" t="s">
        <v>19414</v>
      </c>
      <c r="AY2648" s="77"/>
      <c r="AZ2648" s="82" t="s">
        <v>20971</v>
      </c>
      <c r="BA2648" s="82" t="s">
        <v>20971</v>
      </c>
      <c r="BB2648" s="82" t="s">
        <v>20971</v>
      </c>
      <c r="BC2648" s="82" t="s">
        <v>19414</v>
      </c>
      <c r="BD2648" s="82" t="s">
        <v>21514</v>
      </c>
      <c r="BE2648" s="77"/>
      <c r="BF2648" s="77"/>
      <c r="BG2648" s="77"/>
      <c r="BH2648" s="77"/>
      <c r="BI2648" s="77"/>
    </row>
    <row r="2649" spans="1:61" x14ac:dyDescent="0.25">
      <c r="A2649" s="62" t="s">
        <v>897</v>
      </c>
      <c r="B2649" s="62" t="s">
        <v>897</v>
      </c>
      <c r="C2649" s="63"/>
      <c r="D2649" s="64"/>
      <c r="E2649" s="65"/>
      <c r="F2649" s="66"/>
      <c r="G2649" s="63"/>
      <c r="H2649" s="67"/>
      <c r="I2649" s="68"/>
      <c r="J2649" s="68"/>
      <c r="K2649" s="32"/>
      <c r="L2649" s="75">
        <v>2649</v>
      </c>
      <c r="M2649" s="75"/>
      <c r="N2649" s="70"/>
      <c r="O2649" s="77" t="s">
        <v>179</v>
      </c>
      <c r="P2649" s="79">
        <v>44964.179340277777</v>
      </c>
      <c r="Q2649" s="77" t="s">
        <v>3855</v>
      </c>
      <c r="R2649" s="77">
        <v>0</v>
      </c>
      <c r="S2649" s="77">
        <v>1</v>
      </c>
      <c r="T2649" s="77">
        <v>0</v>
      </c>
      <c r="U2649" s="77">
        <v>0</v>
      </c>
      <c r="V2649" s="77">
        <v>40</v>
      </c>
      <c r="W2649" s="82" t="s">
        <v>5236</v>
      </c>
      <c r="X2649" s="80" t="str">
        <f>HYPERLINK("https://go.hotmart.com/B77468619P")</f>
        <v>https://go.hotmart.com/B77468619P</v>
      </c>
      <c r="Y2649" s="77" t="s">
        <v>7251</v>
      </c>
      <c r="Z2649" s="77"/>
      <c r="AA2649" s="77" t="s">
        <v>9040</v>
      </c>
      <c r="AB2649" s="77" t="s">
        <v>10130</v>
      </c>
      <c r="AC2649" s="82" t="s">
        <v>10172</v>
      </c>
      <c r="AD2649" s="77" t="s">
        <v>10184</v>
      </c>
      <c r="AE2649" s="80" t="str">
        <f>HYPERLINK("https://twitter.com/info_joinville/status/1622811956389494784")</f>
        <v>https://twitter.com/info_joinville/status/1622811956389494784</v>
      </c>
      <c r="AF2649" s="79">
        <v>44964.179340277777</v>
      </c>
      <c r="AG2649" s="85">
        <v>44964</v>
      </c>
      <c r="AH2649" s="82" t="s">
        <v>12726</v>
      </c>
      <c r="AI2649" s="77" t="b">
        <v>0</v>
      </c>
      <c r="AJ2649" s="77"/>
      <c r="AK2649" s="77"/>
      <c r="AL2649" s="77"/>
      <c r="AM2649" s="77"/>
      <c r="AN2649" s="77"/>
      <c r="AO2649" s="77"/>
      <c r="AP2649" s="77"/>
      <c r="AQ2649" s="77" t="s">
        <v>15683</v>
      </c>
      <c r="AR2649" s="77"/>
      <c r="AS2649" s="77"/>
      <c r="AT2649" s="77"/>
      <c r="AU2649" s="77"/>
      <c r="AV2649" s="80" t="str">
        <f>HYPERLINK("https://pbs.twimg.com/media/FoVi2E0WAAAaKo9.jpg")</f>
        <v>https://pbs.twimg.com/media/FoVi2E0WAAAaKo9.jpg</v>
      </c>
      <c r="AW2649" s="82" t="s">
        <v>19415</v>
      </c>
      <c r="AX2649" s="82" t="s">
        <v>19415</v>
      </c>
      <c r="AY2649" s="77"/>
      <c r="AZ2649" s="82" t="s">
        <v>20971</v>
      </c>
      <c r="BA2649" s="82" t="s">
        <v>20971</v>
      </c>
      <c r="BB2649" s="82" t="s">
        <v>20971</v>
      </c>
      <c r="BC2649" s="82" t="s">
        <v>19415</v>
      </c>
      <c r="BD2649" s="82" t="s">
        <v>21514</v>
      </c>
      <c r="BE2649" s="77"/>
      <c r="BF2649" s="77"/>
      <c r="BG2649" s="77"/>
      <c r="BH2649" s="77"/>
      <c r="BI2649" s="77"/>
    </row>
    <row r="2650" spans="1:61" x14ac:dyDescent="0.25">
      <c r="A2650" s="62" t="s">
        <v>897</v>
      </c>
      <c r="B2650" s="62" t="s">
        <v>897</v>
      </c>
      <c r="C2650" s="63"/>
      <c r="D2650" s="64"/>
      <c r="E2650" s="65"/>
      <c r="F2650" s="66"/>
      <c r="G2650" s="63"/>
      <c r="H2650" s="67"/>
      <c r="I2650" s="68"/>
      <c r="J2650" s="68"/>
      <c r="K2650" s="32"/>
      <c r="L2650" s="75">
        <v>2650</v>
      </c>
      <c r="M2650" s="75"/>
      <c r="N2650" s="70"/>
      <c r="O2650" s="77" t="s">
        <v>179</v>
      </c>
      <c r="P2650" s="79">
        <v>45031.878333333334</v>
      </c>
      <c r="Q2650" s="77" t="s">
        <v>3856</v>
      </c>
      <c r="R2650" s="77">
        <v>0</v>
      </c>
      <c r="S2650" s="77">
        <v>0</v>
      </c>
      <c r="T2650" s="77">
        <v>0</v>
      </c>
      <c r="U2650" s="77">
        <v>0</v>
      </c>
      <c r="V2650" s="77">
        <v>28</v>
      </c>
      <c r="W2650" s="82" t="s">
        <v>5236</v>
      </c>
      <c r="X2650" s="80" t="str">
        <f>HYPERLINK("https://go.hotmart.com/B77468619P")</f>
        <v>https://go.hotmart.com/B77468619P</v>
      </c>
      <c r="Y2650" s="77" t="s">
        <v>7251</v>
      </c>
      <c r="Z2650" s="77"/>
      <c r="AA2650" s="77" t="s">
        <v>9041</v>
      </c>
      <c r="AB2650" s="77" t="s">
        <v>10130</v>
      </c>
      <c r="AC2650" s="82" t="s">
        <v>10172</v>
      </c>
      <c r="AD2650" s="77" t="s">
        <v>10184</v>
      </c>
      <c r="AE2650" s="80" t="str">
        <f>HYPERLINK("https://twitter.com/info_joinville/status/1647345252271890432")</f>
        <v>https://twitter.com/info_joinville/status/1647345252271890432</v>
      </c>
      <c r="AF2650" s="79">
        <v>45031.878333333334</v>
      </c>
      <c r="AG2650" s="85">
        <v>45031</v>
      </c>
      <c r="AH2650" s="82" t="s">
        <v>12727</v>
      </c>
      <c r="AI2650" s="77" t="b">
        <v>0</v>
      </c>
      <c r="AJ2650" s="77"/>
      <c r="AK2650" s="77"/>
      <c r="AL2650" s="77"/>
      <c r="AM2650" s="77"/>
      <c r="AN2650" s="77"/>
      <c r="AO2650" s="77"/>
      <c r="AP2650" s="77"/>
      <c r="AQ2650" s="77" t="s">
        <v>15684</v>
      </c>
      <c r="AR2650" s="77"/>
      <c r="AS2650" s="77"/>
      <c r="AT2650" s="77"/>
      <c r="AU2650" s="77"/>
      <c r="AV2650" s="80" t="str">
        <f>HYPERLINK("https://pbs.twimg.com/media/FtyLvr5X0AEKanO.jpg")</f>
        <v>https://pbs.twimg.com/media/FtyLvr5X0AEKanO.jpg</v>
      </c>
      <c r="AW2650" s="82" t="s">
        <v>19416</v>
      </c>
      <c r="AX2650" s="82" t="s">
        <v>19416</v>
      </c>
      <c r="AY2650" s="77"/>
      <c r="AZ2650" s="82" t="s">
        <v>20971</v>
      </c>
      <c r="BA2650" s="82" t="s">
        <v>20971</v>
      </c>
      <c r="BB2650" s="82" t="s">
        <v>20971</v>
      </c>
      <c r="BC2650" s="82" t="s">
        <v>19416</v>
      </c>
      <c r="BD2650" s="82" t="s">
        <v>21514</v>
      </c>
      <c r="BE2650" s="77"/>
      <c r="BF2650" s="77"/>
      <c r="BG2650" s="77"/>
      <c r="BH2650" s="77"/>
      <c r="BI2650" s="77"/>
    </row>
    <row r="2651" spans="1:61" x14ac:dyDescent="0.25">
      <c r="A2651" s="62" t="s">
        <v>897</v>
      </c>
      <c r="B2651" s="62" t="s">
        <v>897</v>
      </c>
      <c r="C2651" s="63"/>
      <c r="D2651" s="64"/>
      <c r="E2651" s="65"/>
      <c r="F2651" s="66"/>
      <c r="G2651" s="63"/>
      <c r="H2651" s="67"/>
      <c r="I2651" s="68"/>
      <c r="J2651" s="68"/>
      <c r="K2651" s="32"/>
      <c r="L2651" s="75">
        <v>2651</v>
      </c>
      <c r="M2651" s="75"/>
      <c r="N2651" s="70"/>
      <c r="O2651" s="77" t="s">
        <v>179</v>
      </c>
      <c r="P2651" s="79">
        <v>45006.485381944447</v>
      </c>
      <c r="Q2651" s="77" t="s">
        <v>3857</v>
      </c>
      <c r="R2651" s="77">
        <v>0</v>
      </c>
      <c r="S2651" s="77">
        <v>1</v>
      </c>
      <c r="T2651" s="77">
        <v>1</v>
      </c>
      <c r="U2651" s="77">
        <v>0</v>
      </c>
      <c r="V2651" s="77">
        <v>23</v>
      </c>
      <c r="W2651" s="82" t="s">
        <v>5236</v>
      </c>
      <c r="X2651" s="80" t="str">
        <f>HYPERLINK("https://go.hotmart.com/B77468619P")</f>
        <v>https://go.hotmart.com/B77468619P</v>
      </c>
      <c r="Y2651" s="77" t="s">
        <v>7251</v>
      </c>
      <c r="Z2651" s="77"/>
      <c r="AA2651" s="77" t="s">
        <v>9042</v>
      </c>
      <c r="AB2651" s="77" t="s">
        <v>10130</v>
      </c>
      <c r="AC2651" s="82" t="s">
        <v>10172</v>
      </c>
      <c r="AD2651" s="77" t="s">
        <v>10184</v>
      </c>
      <c r="AE2651" s="80" t="str">
        <f>HYPERLINK("https://twitter.com/info_joinville/status/1638143154128842753")</f>
        <v>https://twitter.com/info_joinville/status/1638143154128842753</v>
      </c>
      <c r="AF2651" s="79">
        <v>45006.485381944447</v>
      </c>
      <c r="AG2651" s="85">
        <v>45006</v>
      </c>
      <c r="AH2651" s="82" t="s">
        <v>12728</v>
      </c>
      <c r="AI2651" s="77" t="b">
        <v>0</v>
      </c>
      <c r="AJ2651" s="77"/>
      <c r="AK2651" s="77"/>
      <c r="AL2651" s="77"/>
      <c r="AM2651" s="77"/>
      <c r="AN2651" s="77"/>
      <c r="AO2651" s="77"/>
      <c r="AP2651" s="77"/>
      <c r="AQ2651" s="77" t="s">
        <v>15685</v>
      </c>
      <c r="AR2651" s="77"/>
      <c r="AS2651" s="77"/>
      <c r="AT2651" s="77"/>
      <c r="AU2651" s="77"/>
      <c r="AV2651" s="80" t="str">
        <f>HYPERLINK("https://pbs.twimg.com/media/Frvae9LWYAARh_o.jpg")</f>
        <v>https://pbs.twimg.com/media/Frvae9LWYAARh_o.jpg</v>
      </c>
      <c r="AW2651" s="82" t="s">
        <v>19417</v>
      </c>
      <c r="AX2651" s="82" t="s">
        <v>19417</v>
      </c>
      <c r="AY2651" s="77"/>
      <c r="AZ2651" s="82" t="s">
        <v>20971</v>
      </c>
      <c r="BA2651" s="82" t="s">
        <v>20971</v>
      </c>
      <c r="BB2651" s="82" t="s">
        <v>20971</v>
      </c>
      <c r="BC2651" s="82" t="s">
        <v>19417</v>
      </c>
      <c r="BD2651" s="82" t="s">
        <v>21514</v>
      </c>
      <c r="BE2651" s="77"/>
      <c r="BF2651" s="77"/>
      <c r="BG2651" s="77"/>
      <c r="BH2651" s="77"/>
      <c r="BI2651" s="77"/>
    </row>
    <row r="2652" spans="1:61" x14ac:dyDescent="0.25">
      <c r="A2652" s="62" t="s">
        <v>898</v>
      </c>
      <c r="B2652" s="62" t="s">
        <v>898</v>
      </c>
      <c r="C2652" s="63"/>
      <c r="D2652" s="64"/>
      <c r="E2652" s="65"/>
      <c r="F2652" s="66"/>
      <c r="G2652" s="63"/>
      <c r="H2652" s="67"/>
      <c r="I2652" s="68"/>
      <c r="J2652" s="68"/>
      <c r="K2652" s="32"/>
      <c r="L2652" s="75">
        <v>2652</v>
      </c>
      <c r="M2652" s="75"/>
      <c r="N2652" s="70"/>
      <c r="O2652" s="77" t="s">
        <v>179</v>
      </c>
      <c r="P2652" s="79">
        <v>45190.962592592594</v>
      </c>
      <c r="Q2652" s="77" t="s">
        <v>3858</v>
      </c>
      <c r="R2652" s="77">
        <v>0</v>
      </c>
      <c r="S2652" s="77">
        <v>3</v>
      </c>
      <c r="T2652" s="77">
        <v>0</v>
      </c>
      <c r="U2652" s="77">
        <v>0</v>
      </c>
      <c r="V2652" s="77">
        <v>31</v>
      </c>
      <c r="W2652" s="82" t="s">
        <v>6540</v>
      </c>
      <c r="X2652" s="80" t="str">
        <f>HYPERLINK("https://go.hotmart.com/A86831601T")</f>
        <v>https://go.hotmart.com/A86831601T</v>
      </c>
      <c r="Y2652" s="77" t="s">
        <v>7251</v>
      </c>
      <c r="Z2652" s="77"/>
      <c r="AA2652" s="77"/>
      <c r="AB2652" s="77"/>
      <c r="AC2652" s="82" t="s">
        <v>10146</v>
      </c>
      <c r="AD2652" s="77" t="s">
        <v>10184</v>
      </c>
      <c r="AE2652" s="80" t="str">
        <f>HYPERLINK("https://twitter.com/top_dmais75/status/1704995455380213869")</f>
        <v>https://twitter.com/top_dmais75/status/1704995455380213869</v>
      </c>
      <c r="AF2652" s="79">
        <v>45190.962592592594</v>
      </c>
      <c r="AG2652" s="85">
        <v>45190</v>
      </c>
      <c r="AH2652" s="82" t="s">
        <v>12729</v>
      </c>
      <c r="AI2652" s="77" t="b">
        <v>0</v>
      </c>
      <c r="AJ2652" s="77"/>
      <c r="AK2652" s="77"/>
      <c r="AL2652" s="77"/>
      <c r="AM2652" s="77"/>
      <c r="AN2652" s="77"/>
      <c r="AO2652" s="77"/>
      <c r="AP2652" s="77"/>
      <c r="AQ2652" s="77"/>
      <c r="AR2652" s="77"/>
      <c r="AS2652" s="77"/>
      <c r="AT2652" s="77"/>
      <c r="AU2652" s="77"/>
      <c r="AV2652" s="80" t="str">
        <f>HYPERLINK("https://pbs.twimg.com/profile_images/1703079490417524736/Vv_7hwGd_normal.jpg")</f>
        <v>https://pbs.twimg.com/profile_images/1703079490417524736/Vv_7hwGd_normal.jpg</v>
      </c>
      <c r="AW2652" s="82" t="s">
        <v>19418</v>
      </c>
      <c r="AX2652" s="82" t="s">
        <v>19418</v>
      </c>
      <c r="AY2652" s="77"/>
      <c r="AZ2652" s="82" t="s">
        <v>20971</v>
      </c>
      <c r="BA2652" s="82" t="s">
        <v>20971</v>
      </c>
      <c r="BB2652" s="82" t="s">
        <v>20971</v>
      </c>
      <c r="BC2652" s="82" t="s">
        <v>19418</v>
      </c>
      <c r="BD2652" s="82" t="s">
        <v>21515</v>
      </c>
      <c r="BE2652" s="77"/>
      <c r="BF2652" s="77"/>
      <c r="BG2652" s="77"/>
      <c r="BH2652" s="77"/>
      <c r="BI2652" s="77"/>
    </row>
    <row r="2653" spans="1:61" x14ac:dyDescent="0.25">
      <c r="A2653" s="62" t="s">
        <v>898</v>
      </c>
      <c r="B2653" s="62" t="s">
        <v>898</v>
      </c>
      <c r="C2653" s="63"/>
      <c r="D2653" s="64"/>
      <c r="E2653" s="65"/>
      <c r="F2653" s="66"/>
      <c r="G2653" s="63"/>
      <c r="H2653" s="67"/>
      <c r="I2653" s="68"/>
      <c r="J2653" s="68"/>
      <c r="K2653" s="32"/>
      <c r="L2653" s="75">
        <v>2653</v>
      </c>
      <c r="M2653" s="75"/>
      <c r="N2653" s="70"/>
      <c r="O2653" s="77" t="s">
        <v>179</v>
      </c>
      <c r="P2653" s="79">
        <v>45185.845601851855</v>
      </c>
      <c r="Q2653" s="77" t="s">
        <v>3859</v>
      </c>
      <c r="R2653" s="77">
        <v>0</v>
      </c>
      <c r="S2653" s="77">
        <v>0</v>
      </c>
      <c r="T2653" s="77">
        <v>0</v>
      </c>
      <c r="U2653" s="77">
        <v>0</v>
      </c>
      <c r="V2653" s="77">
        <v>48</v>
      </c>
      <c r="W2653" s="82" t="s">
        <v>6541</v>
      </c>
      <c r="X2653" s="80" t="str">
        <f>HYPERLINK("https://secure.doppus.com/sale/SBZJO3ZEBJBH09EOHHBZO")</f>
        <v>https://secure.doppus.com/sale/SBZJO3ZEBJBH09EOHHBZO</v>
      </c>
      <c r="Y2653" s="77" t="s">
        <v>7285</v>
      </c>
      <c r="Z2653" s="77"/>
      <c r="AA2653" s="77" t="s">
        <v>9043</v>
      </c>
      <c r="AB2653" s="77" t="s">
        <v>10130</v>
      </c>
      <c r="AC2653" s="82" t="s">
        <v>10146</v>
      </c>
      <c r="AD2653" s="77" t="s">
        <v>10184</v>
      </c>
      <c r="AE2653" s="80" t="str">
        <f>HYPERLINK("https://twitter.com/top_dmais75/status/1703141118253101444")</f>
        <v>https://twitter.com/top_dmais75/status/1703141118253101444</v>
      </c>
      <c r="AF2653" s="79">
        <v>45185.845601851855</v>
      </c>
      <c r="AG2653" s="85">
        <v>45185</v>
      </c>
      <c r="AH2653" s="82" t="s">
        <v>12730</v>
      </c>
      <c r="AI2653" s="77" t="b">
        <v>0</v>
      </c>
      <c r="AJ2653" s="77"/>
      <c r="AK2653" s="77"/>
      <c r="AL2653" s="77"/>
      <c r="AM2653" s="77"/>
      <c r="AN2653" s="77"/>
      <c r="AO2653" s="77"/>
      <c r="AP2653" s="77"/>
      <c r="AQ2653" s="77" t="s">
        <v>15686</v>
      </c>
      <c r="AR2653" s="77"/>
      <c r="AS2653" s="77"/>
      <c r="AT2653" s="77"/>
      <c r="AU2653" s="77"/>
      <c r="AV2653" s="80" t="str">
        <f>HYPERLINK("https://pbs.twimg.com/media/F6LEhoKXEAAoLB1.jpg")</f>
        <v>https://pbs.twimg.com/media/F6LEhoKXEAAoLB1.jpg</v>
      </c>
      <c r="AW2653" s="82" t="s">
        <v>19419</v>
      </c>
      <c r="AX2653" s="82" t="s">
        <v>19419</v>
      </c>
      <c r="AY2653" s="77"/>
      <c r="AZ2653" s="82" t="s">
        <v>20971</v>
      </c>
      <c r="BA2653" s="82" t="s">
        <v>20971</v>
      </c>
      <c r="BB2653" s="82" t="s">
        <v>20971</v>
      </c>
      <c r="BC2653" s="82" t="s">
        <v>19419</v>
      </c>
      <c r="BD2653" s="82" t="s">
        <v>21515</v>
      </c>
      <c r="BE2653" s="77"/>
      <c r="BF2653" s="77"/>
      <c r="BG2653" s="77"/>
      <c r="BH2653" s="77"/>
      <c r="BI2653" s="77"/>
    </row>
    <row r="2654" spans="1:61" x14ac:dyDescent="0.25">
      <c r="A2654" s="62" t="s">
        <v>898</v>
      </c>
      <c r="B2654" s="62" t="s">
        <v>898</v>
      </c>
      <c r="C2654" s="63"/>
      <c r="D2654" s="64"/>
      <c r="E2654" s="65"/>
      <c r="F2654" s="66"/>
      <c r="G2654" s="63"/>
      <c r="H2654" s="67"/>
      <c r="I2654" s="68"/>
      <c r="J2654" s="68"/>
      <c r="K2654" s="32"/>
      <c r="L2654" s="75">
        <v>2654</v>
      </c>
      <c r="M2654" s="75"/>
      <c r="N2654" s="70"/>
      <c r="O2654" s="77" t="s">
        <v>179</v>
      </c>
      <c r="P2654" s="79">
        <v>45197.009976851848</v>
      </c>
      <c r="Q2654" s="77" t="s">
        <v>3860</v>
      </c>
      <c r="R2654" s="77">
        <v>0</v>
      </c>
      <c r="S2654" s="77">
        <v>4</v>
      </c>
      <c r="T2654" s="77">
        <v>0</v>
      </c>
      <c r="U2654" s="77">
        <v>0</v>
      </c>
      <c r="V2654" s="77">
        <v>11</v>
      </c>
      <c r="W2654" s="82" t="s">
        <v>6318</v>
      </c>
      <c r="X2654" s="80" t="str">
        <f>HYPERLINK("https://go.hotmart.com/A86969848G")</f>
        <v>https://go.hotmart.com/A86969848G</v>
      </c>
      <c r="Y2654" s="77" t="s">
        <v>7251</v>
      </c>
      <c r="Z2654" s="77"/>
      <c r="AA2654" s="77" t="s">
        <v>9044</v>
      </c>
      <c r="AB2654" s="77" t="s">
        <v>10130</v>
      </c>
      <c r="AC2654" s="82" t="s">
        <v>10146</v>
      </c>
      <c r="AD2654" s="77" t="s">
        <v>10184</v>
      </c>
      <c r="AE2654" s="80" t="str">
        <f>HYPERLINK("https://twitter.com/top_dmais75/status/1707186955748856288")</f>
        <v>https://twitter.com/top_dmais75/status/1707186955748856288</v>
      </c>
      <c r="AF2654" s="79">
        <v>45197.009976851848</v>
      </c>
      <c r="AG2654" s="85">
        <v>45197</v>
      </c>
      <c r="AH2654" s="82" t="s">
        <v>12731</v>
      </c>
      <c r="AI2654" s="77" t="b">
        <v>0</v>
      </c>
      <c r="AJ2654" s="77"/>
      <c r="AK2654" s="77"/>
      <c r="AL2654" s="77"/>
      <c r="AM2654" s="77"/>
      <c r="AN2654" s="77"/>
      <c r="AO2654" s="77"/>
      <c r="AP2654" s="77"/>
      <c r="AQ2654" s="77" t="s">
        <v>15687</v>
      </c>
      <c r="AR2654" s="77"/>
      <c r="AS2654" s="77"/>
      <c r="AT2654" s="77"/>
      <c r="AU2654" s="77"/>
      <c r="AV2654" s="80" t="str">
        <f>HYPERLINK("https://pbs.twimg.com/media/F7ElTVvWAAEyGxO.jpg")</f>
        <v>https://pbs.twimg.com/media/F7ElTVvWAAEyGxO.jpg</v>
      </c>
      <c r="AW2654" s="82" t="s">
        <v>19420</v>
      </c>
      <c r="AX2654" s="82" t="s">
        <v>19420</v>
      </c>
      <c r="AY2654" s="77"/>
      <c r="AZ2654" s="82" t="s">
        <v>20971</v>
      </c>
      <c r="BA2654" s="82" t="s">
        <v>20971</v>
      </c>
      <c r="BB2654" s="82" t="s">
        <v>20971</v>
      </c>
      <c r="BC2654" s="82" t="s">
        <v>19420</v>
      </c>
      <c r="BD2654" s="82" t="s">
        <v>21515</v>
      </c>
      <c r="BE2654" s="77"/>
      <c r="BF2654" s="77"/>
      <c r="BG2654" s="77"/>
      <c r="BH2654" s="77"/>
      <c r="BI2654" s="77"/>
    </row>
    <row r="2655" spans="1:61" x14ac:dyDescent="0.25">
      <c r="A2655" s="62" t="s">
        <v>899</v>
      </c>
      <c r="B2655" s="62" t="s">
        <v>1241</v>
      </c>
      <c r="C2655" s="63"/>
      <c r="D2655" s="64"/>
      <c r="E2655" s="65"/>
      <c r="F2655" s="66"/>
      <c r="G2655" s="63"/>
      <c r="H2655" s="67"/>
      <c r="I2655" s="68"/>
      <c r="J2655" s="68"/>
      <c r="K2655" s="32"/>
      <c r="L2655" s="75">
        <v>2655</v>
      </c>
      <c r="M2655" s="75"/>
      <c r="N2655" s="70"/>
      <c r="O2655" s="77" t="s">
        <v>1285</v>
      </c>
      <c r="P2655" s="79">
        <v>45046.873020833336</v>
      </c>
      <c r="Q2655" s="77" t="s">
        <v>3861</v>
      </c>
      <c r="R2655" s="77">
        <v>0</v>
      </c>
      <c r="S2655" s="77">
        <v>0</v>
      </c>
      <c r="T2655" s="77">
        <v>0</v>
      </c>
      <c r="U2655" s="77">
        <v>0</v>
      </c>
      <c r="V2655" s="77">
        <v>31</v>
      </c>
      <c r="W2655" s="82" t="s">
        <v>6542</v>
      </c>
      <c r="X2655" s="80" t="str">
        <f>HYPERLINK("https://youtu.be/ko4DDAWznTQ")</f>
        <v>https://youtu.be/ko4DDAWznTQ</v>
      </c>
      <c r="Y2655" s="77" t="s">
        <v>7248</v>
      </c>
      <c r="Z2655" s="77" t="s">
        <v>1241</v>
      </c>
      <c r="AA2655" s="77"/>
      <c r="AB2655" s="77"/>
      <c r="AC2655" s="82" t="s">
        <v>10146</v>
      </c>
      <c r="AD2655" s="77" t="s">
        <v>10184</v>
      </c>
      <c r="AE2655" s="80" t="str">
        <f>HYPERLINK("https://twitter.com/luisbumba5/status/1652779141333401600")</f>
        <v>https://twitter.com/luisbumba5/status/1652779141333401600</v>
      </c>
      <c r="AF2655" s="79">
        <v>45046.873020833336</v>
      </c>
      <c r="AG2655" s="85">
        <v>45046</v>
      </c>
      <c r="AH2655" s="82" t="s">
        <v>12732</v>
      </c>
      <c r="AI2655" s="77" t="b">
        <v>0</v>
      </c>
      <c r="AJ2655" s="77"/>
      <c r="AK2655" s="77"/>
      <c r="AL2655" s="77"/>
      <c r="AM2655" s="77"/>
      <c r="AN2655" s="77"/>
      <c r="AO2655" s="77"/>
      <c r="AP2655" s="77"/>
      <c r="AQ2655" s="77"/>
      <c r="AR2655" s="77"/>
      <c r="AS2655" s="77"/>
      <c r="AT2655" s="77"/>
      <c r="AU2655" s="77"/>
      <c r="AV2655" s="80" t="str">
        <f>HYPERLINK("https://pbs.twimg.com/profile_images/1624741493352157184/Ovrh_DKF_normal.jpg")</f>
        <v>https://pbs.twimg.com/profile_images/1624741493352157184/Ovrh_DKF_normal.jpg</v>
      </c>
      <c r="AW2655" s="82" t="s">
        <v>19421</v>
      </c>
      <c r="AX2655" s="82" t="s">
        <v>19421</v>
      </c>
      <c r="AY2655" s="77"/>
      <c r="AZ2655" s="82" t="s">
        <v>20971</v>
      </c>
      <c r="BA2655" s="82" t="s">
        <v>20971</v>
      </c>
      <c r="BB2655" s="82" t="s">
        <v>20971</v>
      </c>
      <c r="BC2655" s="82" t="s">
        <v>19421</v>
      </c>
      <c r="BD2655" s="82" t="s">
        <v>21516</v>
      </c>
      <c r="BE2655" s="77"/>
      <c r="BF2655" s="77"/>
      <c r="BG2655" s="77"/>
      <c r="BH2655" s="77"/>
      <c r="BI2655" s="77"/>
    </row>
    <row r="2656" spans="1:61" x14ac:dyDescent="0.25">
      <c r="A2656" s="62" t="s">
        <v>900</v>
      </c>
      <c r="B2656" s="62" t="s">
        <v>900</v>
      </c>
      <c r="C2656" s="63"/>
      <c r="D2656" s="64"/>
      <c r="E2656" s="65"/>
      <c r="F2656" s="66"/>
      <c r="G2656" s="63"/>
      <c r="H2656" s="67"/>
      <c r="I2656" s="68"/>
      <c r="J2656" s="68"/>
      <c r="K2656" s="32"/>
      <c r="L2656" s="75">
        <v>2656</v>
      </c>
      <c r="M2656" s="75"/>
      <c r="N2656" s="70"/>
      <c r="O2656" s="77" t="s">
        <v>179</v>
      </c>
      <c r="P2656" s="79">
        <v>44960.734583333331</v>
      </c>
      <c r="Q2656" s="77" t="s">
        <v>3862</v>
      </c>
      <c r="R2656" s="77">
        <v>0</v>
      </c>
      <c r="S2656" s="77">
        <v>0</v>
      </c>
      <c r="T2656" s="77">
        <v>0</v>
      </c>
      <c r="U2656" s="77">
        <v>0</v>
      </c>
      <c r="V2656" s="77">
        <v>60</v>
      </c>
      <c r="W2656" s="82" t="s">
        <v>6543</v>
      </c>
      <c r="X2656" s="80" t="str">
        <f>HYPERLINK("https://www.gssf.vip/index.html#/register?m=178885")</f>
        <v>https://www.gssf.vip/index.html#/register?m=178885</v>
      </c>
      <c r="Y2656" s="77" t="s">
        <v>7434</v>
      </c>
      <c r="Z2656" s="77"/>
      <c r="AA2656" s="77" t="s">
        <v>9045</v>
      </c>
      <c r="AB2656" s="77" t="s">
        <v>10130</v>
      </c>
      <c r="AC2656" s="82" t="s">
        <v>10145</v>
      </c>
      <c r="AD2656" s="77" t="s">
        <v>10184</v>
      </c>
      <c r="AE2656" s="80" t="str">
        <f>HYPERLINK("https://twitter.com/gutgot/status/1621563620311048194")</f>
        <v>https://twitter.com/gutgot/status/1621563620311048194</v>
      </c>
      <c r="AF2656" s="79">
        <v>44960.734583333331</v>
      </c>
      <c r="AG2656" s="85">
        <v>44960</v>
      </c>
      <c r="AH2656" s="82" t="s">
        <v>12733</v>
      </c>
      <c r="AI2656" s="77" t="b">
        <v>0</v>
      </c>
      <c r="AJ2656" s="77"/>
      <c r="AK2656" s="77"/>
      <c r="AL2656" s="77"/>
      <c r="AM2656" s="77"/>
      <c r="AN2656" s="77"/>
      <c r="AO2656" s="77"/>
      <c r="AP2656" s="77"/>
      <c r="AQ2656" s="77" t="s">
        <v>15688</v>
      </c>
      <c r="AR2656" s="77"/>
      <c r="AS2656" s="77"/>
      <c r="AT2656" s="77"/>
      <c r="AU2656" s="77"/>
      <c r="AV2656" s="80" t="str">
        <f>HYPERLINK("https://pbs.twimg.com/media/FoDzhHiXkAALktO.jpg")</f>
        <v>https://pbs.twimg.com/media/FoDzhHiXkAALktO.jpg</v>
      </c>
      <c r="AW2656" s="82" t="s">
        <v>19422</v>
      </c>
      <c r="AX2656" s="82" t="s">
        <v>19422</v>
      </c>
      <c r="AY2656" s="77"/>
      <c r="AZ2656" s="82" t="s">
        <v>20971</v>
      </c>
      <c r="BA2656" s="82" t="s">
        <v>20971</v>
      </c>
      <c r="BB2656" s="82" t="s">
        <v>20971</v>
      </c>
      <c r="BC2656" s="82" t="s">
        <v>19422</v>
      </c>
      <c r="BD2656" s="77">
        <v>95419833</v>
      </c>
      <c r="BE2656" s="77"/>
      <c r="BF2656" s="77"/>
      <c r="BG2656" s="77"/>
      <c r="BH2656" s="77"/>
      <c r="BI2656" s="77"/>
    </row>
    <row r="2657" spans="1:61" x14ac:dyDescent="0.25">
      <c r="A2657" s="62" t="s">
        <v>901</v>
      </c>
      <c r="B2657" s="62" t="s">
        <v>901</v>
      </c>
      <c r="C2657" s="63"/>
      <c r="D2657" s="64"/>
      <c r="E2657" s="65"/>
      <c r="F2657" s="66"/>
      <c r="G2657" s="63"/>
      <c r="H2657" s="67"/>
      <c r="I2657" s="68"/>
      <c r="J2657" s="68"/>
      <c r="K2657" s="32"/>
      <c r="L2657" s="75">
        <v>2657</v>
      </c>
      <c r="M2657" s="75"/>
      <c r="N2657" s="70"/>
      <c r="O2657" s="77" t="s">
        <v>179</v>
      </c>
      <c r="P2657" s="79">
        <v>45112.390439814815</v>
      </c>
      <c r="Q2657" s="77" t="s">
        <v>3863</v>
      </c>
      <c r="R2657" s="77">
        <v>0</v>
      </c>
      <c r="S2657" s="77">
        <v>1</v>
      </c>
      <c r="T2657" s="77">
        <v>0</v>
      </c>
      <c r="U2657" s="77">
        <v>1</v>
      </c>
      <c r="V2657" s="77">
        <v>46</v>
      </c>
      <c r="W2657" s="82" t="s">
        <v>6544</v>
      </c>
      <c r="X2657" s="80" t="str">
        <f>HYPERLINK("https://wa.me/552135530836?text=Oi")</f>
        <v>https://wa.me/552135530836?text=Oi</v>
      </c>
      <c r="Y2657" s="77" t="s">
        <v>7279</v>
      </c>
      <c r="Z2657" s="77"/>
      <c r="AA2657" s="77" t="s">
        <v>9046</v>
      </c>
      <c r="AB2657" s="77" t="s">
        <v>10130</v>
      </c>
      <c r="AC2657" s="82" t="s">
        <v>10144</v>
      </c>
      <c r="AD2657" s="77" t="s">
        <v>10184</v>
      </c>
      <c r="AE2657" s="80" t="str">
        <f>HYPERLINK("https://twitter.com/solu_credito/status/1676521862128361474")</f>
        <v>https://twitter.com/solu_credito/status/1676521862128361474</v>
      </c>
      <c r="AF2657" s="79">
        <v>45112.390439814815</v>
      </c>
      <c r="AG2657" s="85">
        <v>45112</v>
      </c>
      <c r="AH2657" s="82" t="s">
        <v>12734</v>
      </c>
      <c r="AI2657" s="77" t="b">
        <v>0</v>
      </c>
      <c r="AJ2657" s="77"/>
      <c r="AK2657" s="77"/>
      <c r="AL2657" s="77"/>
      <c r="AM2657" s="77"/>
      <c r="AN2657" s="77"/>
      <c r="AO2657" s="77"/>
      <c r="AP2657" s="77"/>
      <c r="AQ2657" s="77" t="s">
        <v>15689</v>
      </c>
      <c r="AR2657" s="77"/>
      <c r="AS2657" s="77"/>
      <c r="AT2657" s="77"/>
      <c r="AU2657" s="77"/>
      <c r="AV2657" s="80" t="str">
        <f>HYPERLINK("https://pbs.twimg.com/media/F0QzvrQXsAI8BH5.jpg")</f>
        <v>https://pbs.twimg.com/media/F0QzvrQXsAI8BH5.jpg</v>
      </c>
      <c r="AW2657" s="82" t="s">
        <v>19423</v>
      </c>
      <c r="AX2657" s="82" t="s">
        <v>19423</v>
      </c>
      <c r="AY2657" s="77"/>
      <c r="AZ2657" s="82" t="s">
        <v>20971</v>
      </c>
      <c r="BA2657" s="82" t="s">
        <v>20971</v>
      </c>
      <c r="BB2657" s="82" t="s">
        <v>20971</v>
      </c>
      <c r="BC2657" s="82" t="s">
        <v>19423</v>
      </c>
      <c r="BD2657" s="82" t="s">
        <v>21517</v>
      </c>
      <c r="BE2657" s="77"/>
      <c r="BF2657" s="77"/>
      <c r="BG2657" s="77"/>
      <c r="BH2657" s="77"/>
      <c r="BI2657" s="77"/>
    </row>
    <row r="2658" spans="1:61" x14ac:dyDescent="0.25">
      <c r="A2658" s="62" t="s">
        <v>902</v>
      </c>
      <c r="B2658" s="62" t="s">
        <v>902</v>
      </c>
      <c r="C2658" s="63"/>
      <c r="D2658" s="64"/>
      <c r="E2658" s="65"/>
      <c r="F2658" s="66"/>
      <c r="G2658" s="63"/>
      <c r="H2658" s="67"/>
      <c r="I2658" s="68"/>
      <c r="J2658" s="68"/>
      <c r="K2658" s="32"/>
      <c r="L2658" s="75">
        <v>2658</v>
      </c>
      <c r="M2658" s="75"/>
      <c r="N2658" s="70"/>
      <c r="O2658" s="77" t="s">
        <v>179</v>
      </c>
      <c r="P2658" s="79">
        <v>45034.076319444444</v>
      </c>
      <c r="Q2658" s="77" t="s">
        <v>3864</v>
      </c>
      <c r="R2658" s="77">
        <v>0</v>
      </c>
      <c r="S2658" s="77">
        <v>0</v>
      </c>
      <c r="T2658" s="77">
        <v>0</v>
      </c>
      <c r="U2658" s="77">
        <v>0</v>
      </c>
      <c r="V2658" s="77">
        <v>168</v>
      </c>
      <c r="W2658" s="82" t="s">
        <v>6545</v>
      </c>
      <c r="X2658" s="80" t="str">
        <f>HYPERLINK("https://youtube.com/shorts/CA426Yl5wpQ?feature=share")</f>
        <v>https://youtube.com/shorts/CA426Yl5wpQ?feature=share</v>
      </c>
      <c r="Y2658" s="77" t="s">
        <v>7303</v>
      </c>
      <c r="Z2658" s="77"/>
      <c r="AA2658" s="77" t="s">
        <v>9047</v>
      </c>
      <c r="AB2658" s="77" t="s">
        <v>10130</v>
      </c>
      <c r="AC2658" s="82" t="s">
        <v>10144</v>
      </c>
      <c r="AD2658" s="77" t="s">
        <v>10190</v>
      </c>
      <c r="AE2658" s="80" t="str">
        <f>HYPERLINK("https://twitter.com/newsxablau/status/1648141775549132801")</f>
        <v>https://twitter.com/newsxablau/status/1648141775549132801</v>
      </c>
      <c r="AF2658" s="79">
        <v>45034.076319444444</v>
      </c>
      <c r="AG2658" s="85">
        <v>45034</v>
      </c>
      <c r="AH2658" s="82" t="s">
        <v>12735</v>
      </c>
      <c r="AI2658" s="77" t="b">
        <v>0</v>
      </c>
      <c r="AJ2658" s="77"/>
      <c r="AK2658" s="77"/>
      <c r="AL2658" s="77"/>
      <c r="AM2658" s="77"/>
      <c r="AN2658" s="77"/>
      <c r="AO2658" s="77"/>
      <c r="AP2658" s="77"/>
      <c r="AQ2658" s="77" t="s">
        <v>15690</v>
      </c>
      <c r="AR2658" s="77"/>
      <c r="AS2658" s="77"/>
      <c r="AT2658" s="77"/>
      <c r="AU2658" s="77"/>
      <c r="AV2658" s="80" t="str">
        <f>HYPERLINK("https://pbs.twimg.com/media/Ft9gMsIX0AA0FlO.jpg")</f>
        <v>https://pbs.twimg.com/media/Ft9gMsIX0AA0FlO.jpg</v>
      </c>
      <c r="AW2658" s="82" t="s">
        <v>19424</v>
      </c>
      <c r="AX2658" s="82" t="s">
        <v>19424</v>
      </c>
      <c r="AY2658" s="77"/>
      <c r="AZ2658" s="82" t="s">
        <v>20971</v>
      </c>
      <c r="BA2658" s="82" t="s">
        <v>20971</v>
      </c>
      <c r="BB2658" s="82" t="s">
        <v>20971</v>
      </c>
      <c r="BC2658" s="82" t="s">
        <v>19424</v>
      </c>
      <c r="BD2658" s="82" t="s">
        <v>21518</v>
      </c>
      <c r="BE2658" s="77"/>
      <c r="BF2658" s="77"/>
      <c r="BG2658" s="77"/>
      <c r="BH2658" s="77"/>
      <c r="BI2658" s="77"/>
    </row>
    <row r="2659" spans="1:61" x14ac:dyDescent="0.25">
      <c r="A2659" s="62" t="s">
        <v>903</v>
      </c>
      <c r="B2659" s="62" t="s">
        <v>903</v>
      </c>
      <c r="C2659" s="63"/>
      <c r="D2659" s="64"/>
      <c r="E2659" s="65"/>
      <c r="F2659" s="66"/>
      <c r="G2659" s="63"/>
      <c r="H2659" s="67"/>
      <c r="I2659" s="68"/>
      <c r="J2659" s="68"/>
      <c r="K2659" s="32"/>
      <c r="L2659" s="75">
        <v>2659</v>
      </c>
      <c r="M2659" s="75"/>
      <c r="N2659" s="70"/>
      <c r="O2659" s="77" t="s">
        <v>179</v>
      </c>
      <c r="P2659" s="79">
        <v>44989.531585648147</v>
      </c>
      <c r="Q2659" s="77" t="s">
        <v>3865</v>
      </c>
      <c r="R2659" s="77">
        <v>0</v>
      </c>
      <c r="S2659" s="77">
        <v>0</v>
      </c>
      <c r="T2659" s="77">
        <v>0</v>
      </c>
      <c r="U2659" s="77">
        <v>0</v>
      </c>
      <c r="V2659" s="77">
        <v>11</v>
      </c>
      <c r="W2659" s="82" t="s">
        <v>5236</v>
      </c>
      <c r="X2659" s="80" t="str">
        <f>HYPERLINK("https://go.hotmart.com/B77468619P")</f>
        <v>https://go.hotmart.com/B77468619P</v>
      </c>
      <c r="Y2659" s="77" t="s">
        <v>7251</v>
      </c>
      <c r="Z2659" s="77"/>
      <c r="AA2659" s="77" t="s">
        <v>9048</v>
      </c>
      <c r="AB2659" s="77" t="s">
        <v>10130</v>
      </c>
      <c r="AC2659" s="82" t="s">
        <v>10173</v>
      </c>
      <c r="AD2659" s="77" t="s">
        <v>10184</v>
      </c>
      <c r="AE2659" s="80" t="str">
        <f>HYPERLINK("https://twitter.com/metaversoinfo/status/1631999303047577600")</f>
        <v>https://twitter.com/metaversoinfo/status/1631999303047577600</v>
      </c>
      <c r="AF2659" s="79">
        <v>44989.531585648147</v>
      </c>
      <c r="AG2659" s="85">
        <v>44989</v>
      </c>
      <c r="AH2659" s="82" t="s">
        <v>12736</v>
      </c>
      <c r="AI2659" s="77" t="b">
        <v>0</v>
      </c>
      <c r="AJ2659" s="77"/>
      <c r="AK2659" s="77"/>
      <c r="AL2659" s="77"/>
      <c r="AM2659" s="77"/>
      <c r="AN2659" s="77"/>
      <c r="AO2659" s="77"/>
      <c r="AP2659" s="77"/>
      <c r="AQ2659" s="77" t="s">
        <v>15691</v>
      </c>
      <c r="AR2659" s="77"/>
      <c r="AS2659" s="77"/>
      <c r="AT2659" s="77"/>
      <c r="AU2659" s="77"/>
      <c r="AV2659" s="80" t="str">
        <f>HYPERLINK("https://pbs.twimg.com/media/FqYGs9dXwAUWKXS.jpg")</f>
        <v>https://pbs.twimg.com/media/FqYGs9dXwAUWKXS.jpg</v>
      </c>
      <c r="AW2659" s="82" t="s">
        <v>19425</v>
      </c>
      <c r="AX2659" s="82" t="s">
        <v>19425</v>
      </c>
      <c r="AY2659" s="77"/>
      <c r="AZ2659" s="82" t="s">
        <v>20971</v>
      </c>
      <c r="BA2659" s="82" t="s">
        <v>20971</v>
      </c>
      <c r="BB2659" s="82" t="s">
        <v>20971</v>
      </c>
      <c r="BC2659" s="82" t="s">
        <v>19425</v>
      </c>
      <c r="BD2659" s="82" t="s">
        <v>21519</v>
      </c>
      <c r="BE2659" s="77"/>
      <c r="BF2659" s="77"/>
      <c r="BG2659" s="77"/>
      <c r="BH2659" s="77"/>
      <c r="BI2659" s="77"/>
    </row>
    <row r="2660" spans="1:61" x14ac:dyDescent="0.25">
      <c r="A2660" s="62" t="s">
        <v>903</v>
      </c>
      <c r="B2660" s="62" t="s">
        <v>903</v>
      </c>
      <c r="C2660" s="63"/>
      <c r="D2660" s="64"/>
      <c r="E2660" s="65"/>
      <c r="F2660" s="66"/>
      <c r="G2660" s="63"/>
      <c r="H2660" s="67"/>
      <c r="I2660" s="68"/>
      <c r="J2660" s="68"/>
      <c r="K2660" s="32"/>
      <c r="L2660" s="75">
        <v>2660</v>
      </c>
      <c r="M2660" s="75"/>
      <c r="N2660" s="70"/>
      <c r="O2660" s="77" t="s">
        <v>179</v>
      </c>
      <c r="P2660" s="79">
        <v>44988.105682870373</v>
      </c>
      <c r="Q2660" s="77" t="s">
        <v>3866</v>
      </c>
      <c r="R2660" s="77">
        <v>0</v>
      </c>
      <c r="S2660" s="77">
        <v>0</v>
      </c>
      <c r="T2660" s="77">
        <v>0</v>
      </c>
      <c r="U2660" s="77">
        <v>0</v>
      </c>
      <c r="V2660" s="77">
        <v>21</v>
      </c>
      <c r="W2660" s="82" t="s">
        <v>5236</v>
      </c>
      <c r="X2660" s="80" t="str">
        <f>HYPERLINK("https://go.hotmart.com/B77468619P")</f>
        <v>https://go.hotmart.com/B77468619P</v>
      </c>
      <c r="Y2660" s="77" t="s">
        <v>7251</v>
      </c>
      <c r="Z2660" s="77"/>
      <c r="AA2660" s="77" t="s">
        <v>9049</v>
      </c>
      <c r="AB2660" s="77" t="s">
        <v>10130</v>
      </c>
      <c r="AC2660" s="82" t="s">
        <v>10173</v>
      </c>
      <c r="AD2660" s="77" t="s">
        <v>10184</v>
      </c>
      <c r="AE2660" s="80" t="str">
        <f>HYPERLINK("https://twitter.com/metaversoinfo/status/1631482572084527105")</f>
        <v>https://twitter.com/metaversoinfo/status/1631482572084527105</v>
      </c>
      <c r="AF2660" s="79">
        <v>44988.105682870373</v>
      </c>
      <c r="AG2660" s="85">
        <v>44988</v>
      </c>
      <c r="AH2660" s="82" t="s">
        <v>12737</v>
      </c>
      <c r="AI2660" s="77" t="b">
        <v>0</v>
      </c>
      <c r="AJ2660" s="77"/>
      <c r="AK2660" s="77"/>
      <c r="AL2660" s="77"/>
      <c r="AM2660" s="77"/>
      <c r="AN2660" s="77"/>
      <c r="AO2660" s="77"/>
      <c r="AP2660" s="77"/>
      <c r="AQ2660" s="77" t="s">
        <v>15692</v>
      </c>
      <c r="AR2660" s="77"/>
      <c r="AS2660" s="77"/>
      <c r="AT2660" s="77"/>
      <c r="AU2660" s="77"/>
      <c r="AV2660" s="80" t="str">
        <f>HYPERLINK("https://pbs.twimg.com/media/FqQwt8wXwAA5_EJ.jpg")</f>
        <v>https://pbs.twimg.com/media/FqQwt8wXwAA5_EJ.jpg</v>
      </c>
      <c r="AW2660" s="82" t="s">
        <v>19426</v>
      </c>
      <c r="AX2660" s="82" t="s">
        <v>19426</v>
      </c>
      <c r="AY2660" s="77"/>
      <c r="AZ2660" s="82" t="s">
        <v>20971</v>
      </c>
      <c r="BA2660" s="82" t="s">
        <v>20971</v>
      </c>
      <c r="BB2660" s="82" t="s">
        <v>20971</v>
      </c>
      <c r="BC2660" s="82" t="s">
        <v>19426</v>
      </c>
      <c r="BD2660" s="82" t="s">
        <v>21519</v>
      </c>
      <c r="BE2660" s="77"/>
      <c r="BF2660" s="77"/>
      <c r="BG2660" s="77"/>
      <c r="BH2660" s="77"/>
      <c r="BI2660" s="77"/>
    </row>
    <row r="2661" spans="1:61" x14ac:dyDescent="0.25">
      <c r="A2661" s="62" t="s">
        <v>903</v>
      </c>
      <c r="B2661" s="62" t="s">
        <v>903</v>
      </c>
      <c r="C2661" s="63"/>
      <c r="D2661" s="64"/>
      <c r="E2661" s="65"/>
      <c r="F2661" s="66"/>
      <c r="G2661" s="63"/>
      <c r="H2661" s="67"/>
      <c r="I2661" s="68"/>
      <c r="J2661" s="68"/>
      <c r="K2661" s="32"/>
      <c r="L2661" s="75">
        <v>2661</v>
      </c>
      <c r="M2661" s="75"/>
      <c r="N2661" s="70"/>
      <c r="O2661" s="77" t="s">
        <v>179</v>
      </c>
      <c r="P2661" s="79">
        <v>44986.641932870371</v>
      </c>
      <c r="Q2661" s="77" t="s">
        <v>3867</v>
      </c>
      <c r="R2661" s="77">
        <v>0</v>
      </c>
      <c r="S2661" s="77">
        <v>0</v>
      </c>
      <c r="T2661" s="77">
        <v>0</v>
      </c>
      <c r="U2661" s="77">
        <v>0</v>
      </c>
      <c r="V2661" s="77">
        <v>18</v>
      </c>
      <c r="W2661" s="82" t="s">
        <v>5236</v>
      </c>
      <c r="X2661" s="80" t="str">
        <f>HYPERLINK("https://go.hotmart.com/B77468619P")</f>
        <v>https://go.hotmart.com/B77468619P</v>
      </c>
      <c r="Y2661" s="77" t="s">
        <v>7251</v>
      </c>
      <c r="Z2661" s="77"/>
      <c r="AA2661" s="77" t="s">
        <v>9050</v>
      </c>
      <c r="AB2661" s="77" t="s">
        <v>10130</v>
      </c>
      <c r="AC2661" s="82" t="s">
        <v>10173</v>
      </c>
      <c r="AD2661" s="77" t="s">
        <v>10184</v>
      </c>
      <c r="AE2661" s="80" t="str">
        <f>HYPERLINK("https://twitter.com/metaversoinfo/status/1630952126070288384")</f>
        <v>https://twitter.com/metaversoinfo/status/1630952126070288384</v>
      </c>
      <c r="AF2661" s="79">
        <v>44986.641932870371</v>
      </c>
      <c r="AG2661" s="85">
        <v>44986</v>
      </c>
      <c r="AH2661" s="82" t="s">
        <v>12738</v>
      </c>
      <c r="AI2661" s="77" t="b">
        <v>0</v>
      </c>
      <c r="AJ2661" s="77"/>
      <c r="AK2661" s="77"/>
      <c r="AL2661" s="77"/>
      <c r="AM2661" s="77"/>
      <c r="AN2661" s="77"/>
      <c r="AO2661" s="77"/>
      <c r="AP2661" s="77"/>
      <c r="AQ2661" s="77" t="s">
        <v>15693</v>
      </c>
      <c r="AR2661" s="77"/>
      <c r="AS2661" s="77"/>
      <c r="AT2661" s="77"/>
      <c r="AU2661" s="77"/>
      <c r="AV2661" s="80" t="str">
        <f>HYPERLINK("https://pbs.twimg.com/media/FqJOSsEXwAAyvHZ.jpg")</f>
        <v>https://pbs.twimg.com/media/FqJOSsEXwAAyvHZ.jpg</v>
      </c>
      <c r="AW2661" s="82" t="s">
        <v>19427</v>
      </c>
      <c r="AX2661" s="82" t="s">
        <v>19427</v>
      </c>
      <c r="AY2661" s="77"/>
      <c r="AZ2661" s="82" t="s">
        <v>20971</v>
      </c>
      <c r="BA2661" s="82" t="s">
        <v>20971</v>
      </c>
      <c r="BB2661" s="82" t="s">
        <v>20971</v>
      </c>
      <c r="BC2661" s="82" t="s">
        <v>19427</v>
      </c>
      <c r="BD2661" s="82" t="s">
        <v>21519</v>
      </c>
      <c r="BE2661" s="77"/>
      <c r="BF2661" s="77"/>
      <c r="BG2661" s="77"/>
      <c r="BH2661" s="77"/>
      <c r="BI2661" s="77"/>
    </row>
    <row r="2662" spans="1:61" x14ac:dyDescent="0.25">
      <c r="A2662" s="62" t="s">
        <v>903</v>
      </c>
      <c r="B2662" s="62" t="s">
        <v>903</v>
      </c>
      <c r="C2662" s="63"/>
      <c r="D2662" s="64"/>
      <c r="E2662" s="65"/>
      <c r="F2662" s="66"/>
      <c r="G2662" s="63"/>
      <c r="H2662" s="67"/>
      <c r="I2662" s="68"/>
      <c r="J2662" s="68"/>
      <c r="K2662" s="32"/>
      <c r="L2662" s="75">
        <v>2662</v>
      </c>
      <c r="M2662" s="75"/>
      <c r="N2662" s="70"/>
      <c r="O2662" s="77" t="s">
        <v>179</v>
      </c>
      <c r="P2662" s="79">
        <v>44963.842569444445</v>
      </c>
      <c r="Q2662" s="77" t="s">
        <v>3868</v>
      </c>
      <c r="R2662" s="77">
        <v>0</v>
      </c>
      <c r="S2662" s="77">
        <v>0</v>
      </c>
      <c r="T2662" s="77">
        <v>0</v>
      </c>
      <c r="U2662" s="77">
        <v>0</v>
      </c>
      <c r="V2662" s="77">
        <v>11</v>
      </c>
      <c r="W2662" s="82" t="s">
        <v>5236</v>
      </c>
      <c r="X2662" s="80" t="str">
        <f>HYPERLINK("https://go.hotmart.com/B77468619P")</f>
        <v>https://go.hotmart.com/B77468619P</v>
      </c>
      <c r="Y2662" s="77" t="s">
        <v>7251</v>
      </c>
      <c r="Z2662" s="77"/>
      <c r="AA2662" s="77" t="s">
        <v>9051</v>
      </c>
      <c r="AB2662" s="77" t="s">
        <v>10130</v>
      </c>
      <c r="AC2662" s="82" t="s">
        <v>10173</v>
      </c>
      <c r="AD2662" s="77" t="s">
        <v>10184</v>
      </c>
      <c r="AE2662" s="80" t="str">
        <f>HYPERLINK("https://twitter.com/metaversoinfo/status/1622689914151223296")</f>
        <v>https://twitter.com/metaversoinfo/status/1622689914151223296</v>
      </c>
      <c r="AF2662" s="79">
        <v>44963.842569444445</v>
      </c>
      <c r="AG2662" s="85">
        <v>44963</v>
      </c>
      <c r="AH2662" s="82" t="s">
        <v>12739</v>
      </c>
      <c r="AI2662" s="77" t="b">
        <v>0</v>
      </c>
      <c r="AJ2662" s="77"/>
      <c r="AK2662" s="77"/>
      <c r="AL2662" s="77"/>
      <c r="AM2662" s="77"/>
      <c r="AN2662" s="77"/>
      <c r="AO2662" s="77"/>
      <c r="AP2662" s="77"/>
      <c r="AQ2662" s="77" t="s">
        <v>15694</v>
      </c>
      <c r="AR2662" s="77"/>
      <c r="AS2662" s="77"/>
      <c r="AT2662" s="77"/>
      <c r="AU2662" s="77"/>
      <c r="AV2662" s="80" t="str">
        <f>HYPERLINK("https://pbs.twimg.com/media/FoTz0AdXEA4RNu_.jpg")</f>
        <v>https://pbs.twimg.com/media/FoTz0AdXEA4RNu_.jpg</v>
      </c>
      <c r="AW2662" s="82" t="s">
        <v>19428</v>
      </c>
      <c r="AX2662" s="82" t="s">
        <v>19428</v>
      </c>
      <c r="AY2662" s="77"/>
      <c r="AZ2662" s="82" t="s">
        <v>20971</v>
      </c>
      <c r="BA2662" s="82" t="s">
        <v>20971</v>
      </c>
      <c r="BB2662" s="82" t="s">
        <v>20971</v>
      </c>
      <c r="BC2662" s="82" t="s">
        <v>19428</v>
      </c>
      <c r="BD2662" s="82" t="s">
        <v>21519</v>
      </c>
      <c r="BE2662" s="77"/>
      <c r="BF2662" s="77"/>
      <c r="BG2662" s="77"/>
      <c r="BH2662" s="77"/>
      <c r="BI2662" s="77"/>
    </row>
    <row r="2663" spans="1:61" x14ac:dyDescent="0.25">
      <c r="A2663" s="62" t="s">
        <v>903</v>
      </c>
      <c r="B2663" s="62" t="s">
        <v>903</v>
      </c>
      <c r="C2663" s="63"/>
      <c r="D2663" s="64"/>
      <c r="E2663" s="65"/>
      <c r="F2663" s="66"/>
      <c r="G2663" s="63"/>
      <c r="H2663" s="67"/>
      <c r="I2663" s="68"/>
      <c r="J2663" s="68"/>
      <c r="K2663" s="32"/>
      <c r="L2663" s="75">
        <v>2663</v>
      </c>
      <c r="M2663" s="75"/>
      <c r="N2663" s="70"/>
      <c r="O2663" s="77" t="s">
        <v>179</v>
      </c>
      <c r="P2663" s="79">
        <v>44963.591539351852</v>
      </c>
      <c r="Q2663" s="77" t="s">
        <v>3869</v>
      </c>
      <c r="R2663" s="77">
        <v>1</v>
      </c>
      <c r="S2663" s="77">
        <v>1</v>
      </c>
      <c r="T2663" s="77">
        <v>0</v>
      </c>
      <c r="U2663" s="77">
        <v>0</v>
      </c>
      <c r="V2663" s="77">
        <v>24</v>
      </c>
      <c r="W2663" s="82" t="s">
        <v>5236</v>
      </c>
      <c r="X2663" s="80" t="str">
        <f>HYPERLINK("https://go.hotmart.com/B77468619P")</f>
        <v>https://go.hotmart.com/B77468619P</v>
      </c>
      <c r="Y2663" s="77" t="s">
        <v>7251</v>
      </c>
      <c r="Z2663" s="77"/>
      <c r="AA2663" s="77" t="s">
        <v>9052</v>
      </c>
      <c r="AB2663" s="77" t="s">
        <v>10130</v>
      </c>
      <c r="AC2663" s="82" t="s">
        <v>10173</v>
      </c>
      <c r="AD2663" s="77" t="s">
        <v>10184</v>
      </c>
      <c r="AE2663" s="80" t="str">
        <f>HYPERLINK("https://twitter.com/metaversoinfo/status/1622598944759984128")</f>
        <v>https://twitter.com/metaversoinfo/status/1622598944759984128</v>
      </c>
      <c r="AF2663" s="79">
        <v>44963.591539351852</v>
      </c>
      <c r="AG2663" s="85">
        <v>44963</v>
      </c>
      <c r="AH2663" s="82" t="s">
        <v>12740</v>
      </c>
      <c r="AI2663" s="77" t="b">
        <v>0</v>
      </c>
      <c r="AJ2663" s="77"/>
      <c r="AK2663" s="77"/>
      <c r="AL2663" s="77"/>
      <c r="AM2663" s="77"/>
      <c r="AN2663" s="77"/>
      <c r="AO2663" s="77"/>
      <c r="AP2663" s="77"/>
      <c r="AQ2663" s="77" t="s">
        <v>15695</v>
      </c>
      <c r="AR2663" s="77"/>
      <c r="AS2663" s="77"/>
      <c r="AT2663" s="77"/>
      <c r="AU2663" s="77"/>
      <c r="AV2663" s="80" t="str">
        <f>HYPERLINK("https://pbs.twimg.com/media/FoShGm0WIAAubdl.jpg")</f>
        <v>https://pbs.twimg.com/media/FoShGm0WIAAubdl.jpg</v>
      </c>
      <c r="AW2663" s="82" t="s">
        <v>19429</v>
      </c>
      <c r="AX2663" s="82" t="s">
        <v>19429</v>
      </c>
      <c r="AY2663" s="77"/>
      <c r="AZ2663" s="82" t="s">
        <v>20971</v>
      </c>
      <c r="BA2663" s="82" t="s">
        <v>20971</v>
      </c>
      <c r="BB2663" s="82" t="s">
        <v>20971</v>
      </c>
      <c r="BC2663" s="82" t="s">
        <v>19429</v>
      </c>
      <c r="BD2663" s="82" t="s">
        <v>21519</v>
      </c>
      <c r="BE2663" s="77"/>
      <c r="BF2663" s="77"/>
      <c r="BG2663" s="77"/>
      <c r="BH2663" s="77"/>
      <c r="BI2663" s="77"/>
    </row>
    <row r="2664" spans="1:61" x14ac:dyDescent="0.25">
      <c r="A2664" s="62" t="s">
        <v>903</v>
      </c>
      <c r="B2664" s="62" t="s">
        <v>903</v>
      </c>
      <c r="C2664" s="63"/>
      <c r="D2664" s="64"/>
      <c r="E2664" s="65"/>
      <c r="F2664" s="66"/>
      <c r="G2664" s="63"/>
      <c r="H2664" s="67"/>
      <c r="I2664" s="68"/>
      <c r="J2664" s="68"/>
      <c r="K2664" s="32"/>
      <c r="L2664" s="75">
        <v>2664</v>
      </c>
      <c r="M2664" s="75"/>
      <c r="N2664" s="70"/>
      <c r="O2664" s="77" t="s">
        <v>179</v>
      </c>
      <c r="P2664" s="79">
        <v>45004.220486111109</v>
      </c>
      <c r="Q2664" s="77" t="s">
        <v>3870</v>
      </c>
      <c r="R2664" s="77">
        <v>0</v>
      </c>
      <c r="S2664" s="77">
        <v>0</v>
      </c>
      <c r="T2664" s="77">
        <v>0</v>
      </c>
      <c r="U2664" s="77">
        <v>0</v>
      </c>
      <c r="V2664" s="77">
        <v>6</v>
      </c>
      <c r="W2664" s="82" t="s">
        <v>5236</v>
      </c>
      <c r="X2664" s="80" t="str">
        <f>HYPERLINK("https://go.hotmart.com/B77468619P")</f>
        <v>https://go.hotmart.com/B77468619P</v>
      </c>
      <c r="Y2664" s="77" t="s">
        <v>7251</v>
      </c>
      <c r="Z2664" s="77"/>
      <c r="AA2664" s="77" t="s">
        <v>9053</v>
      </c>
      <c r="AB2664" s="77" t="s">
        <v>10130</v>
      </c>
      <c r="AC2664" s="82" t="s">
        <v>10173</v>
      </c>
      <c r="AD2664" s="77" t="s">
        <v>10184</v>
      </c>
      <c r="AE2664" s="80" t="str">
        <f>HYPERLINK("https://twitter.com/metaversoinfo/status/1637322380866453504")</f>
        <v>https://twitter.com/metaversoinfo/status/1637322380866453504</v>
      </c>
      <c r="AF2664" s="79">
        <v>45004.220486111109</v>
      </c>
      <c r="AG2664" s="85">
        <v>45004</v>
      </c>
      <c r="AH2664" s="82" t="s">
        <v>12741</v>
      </c>
      <c r="AI2664" s="77" t="b">
        <v>0</v>
      </c>
      <c r="AJ2664" s="77"/>
      <c r="AK2664" s="77"/>
      <c r="AL2664" s="77"/>
      <c r="AM2664" s="77"/>
      <c r="AN2664" s="77"/>
      <c r="AO2664" s="77"/>
      <c r="AP2664" s="77"/>
      <c r="AQ2664" s="77" t="s">
        <v>15696</v>
      </c>
      <c r="AR2664" s="77"/>
      <c r="AS2664" s="77"/>
      <c r="AT2664" s="77"/>
      <c r="AU2664" s="77"/>
      <c r="AV2664" s="80" t="str">
        <f>HYPERLINK("https://pbs.twimg.com/media/Frjv70hX0AA9UIE.jpg")</f>
        <v>https://pbs.twimg.com/media/Frjv70hX0AA9UIE.jpg</v>
      </c>
      <c r="AW2664" s="82" t="s">
        <v>19430</v>
      </c>
      <c r="AX2664" s="82" t="s">
        <v>19430</v>
      </c>
      <c r="AY2664" s="77"/>
      <c r="AZ2664" s="82" t="s">
        <v>20971</v>
      </c>
      <c r="BA2664" s="82" t="s">
        <v>20971</v>
      </c>
      <c r="BB2664" s="82" t="s">
        <v>20971</v>
      </c>
      <c r="BC2664" s="82" t="s">
        <v>19430</v>
      </c>
      <c r="BD2664" s="82" t="s">
        <v>21519</v>
      </c>
      <c r="BE2664" s="77"/>
      <c r="BF2664" s="77"/>
      <c r="BG2664" s="77"/>
      <c r="BH2664" s="77"/>
      <c r="BI2664" s="77"/>
    </row>
    <row r="2665" spans="1:61" x14ac:dyDescent="0.25">
      <c r="A2665" s="62" t="s">
        <v>903</v>
      </c>
      <c r="B2665" s="62" t="s">
        <v>903</v>
      </c>
      <c r="C2665" s="63"/>
      <c r="D2665" s="64"/>
      <c r="E2665" s="65"/>
      <c r="F2665" s="66"/>
      <c r="G2665" s="63"/>
      <c r="H2665" s="67"/>
      <c r="I2665" s="68"/>
      <c r="J2665" s="68"/>
      <c r="K2665" s="32"/>
      <c r="L2665" s="75">
        <v>2665</v>
      </c>
      <c r="M2665" s="75"/>
      <c r="N2665" s="70"/>
      <c r="O2665" s="77" t="s">
        <v>179</v>
      </c>
      <c r="P2665" s="79">
        <v>44970.994479166664</v>
      </c>
      <c r="Q2665" s="77" t="s">
        <v>3871</v>
      </c>
      <c r="R2665" s="77">
        <v>0</v>
      </c>
      <c r="S2665" s="77">
        <v>0</v>
      </c>
      <c r="T2665" s="77">
        <v>0</v>
      </c>
      <c r="U2665" s="77">
        <v>0</v>
      </c>
      <c r="V2665" s="77">
        <v>27</v>
      </c>
      <c r="W2665" s="82" t="s">
        <v>5236</v>
      </c>
      <c r="X2665" s="80" t="str">
        <f>HYPERLINK("https://go.hotmart.com/B77468619P")</f>
        <v>https://go.hotmart.com/B77468619P</v>
      </c>
      <c r="Y2665" s="77" t="s">
        <v>7251</v>
      </c>
      <c r="Z2665" s="77"/>
      <c r="AA2665" s="77" t="s">
        <v>9054</v>
      </c>
      <c r="AB2665" s="77" t="s">
        <v>10130</v>
      </c>
      <c r="AC2665" s="82" t="s">
        <v>10173</v>
      </c>
      <c r="AD2665" s="77" t="s">
        <v>10184</v>
      </c>
      <c r="AE2665" s="80" t="str">
        <f>HYPERLINK("https://twitter.com/metaversoinfo/status/1625281678657609729")</f>
        <v>https://twitter.com/metaversoinfo/status/1625281678657609729</v>
      </c>
      <c r="AF2665" s="79">
        <v>44970.994479166664</v>
      </c>
      <c r="AG2665" s="85">
        <v>44970</v>
      </c>
      <c r="AH2665" s="82" t="s">
        <v>12742</v>
      </c>
      <c r="AI2665" s="77" t="b">
        <v>0</v>
      </c>
      <c r="AJ2665" s="77"/>
      <c r="AK2665" s="77"/>
      <c r="AL2665" s="77"/>
      <c r="AM2665" s="77"/>
      <c r="AN2665" s="77"/>
      <c r="AO2665" s="77"/>
      <c r="AP2665" s="77"/>
      <c r="AQ2665" s="77" t="s">
        <v>15697</v>
      </c>
      <c r="AR2665" s="77"/>
      <c r="AS2665" s="77"/>
      <c r="AT2665" s="77"/>
      <c r="AU2665" s="77"/>
      <c r="AV2665" s="80" t="str">
        <f>HYPERLINK("https://pbs.twimg.com/media/Fo4pDs9WYAEbyg_.jpg")</f>
        <v>https://pbs.twimg.com/media/Fo4pDs9WYAEbyg_.jpg</v>
      </c>
      <c r="AW2665" s="82" t="s">
        <v>19431</v>
      </c>
      <c r="AX2665" s="82" t="s">
        <v>19431</v>
      </c>
      <c r="AY2665" s="77"/>
      <c r="AZ2665" s="82" t="s">
        <v>20971</v>
      </c>
      <c r="BA2665" s="82" t="s">
        <v>20971</v>
      </c>
      <c r="BB2665" s="82" t="s">
        <v>20971</v>
      </c>
      <c r="BC2665" s="82" t="s">
        <v>19431</v>
      </c>
      <c r="BD2665" s="82" t="s">
        <v>21519</v>
      </c>
      <c r="BE2665" s="77"/>
      <c r="BF2665" s="77"/>
      <c r="BG2665" s="77"/>
      <c r="BH2665" s="77"/>
      <c r="BI2665" s="77"/>
    </row>
    <row r="2666" spans="1:61" x14ac:dyDescent="0.25">
      <c r="A2666" s="62" t="s">
        <v>903</v>
      </c>
      <c r="B2666" s="62" t="s">
        <v>903</v>
      </c>
      <c r="C2666" s="63"/>
      <c r="D2666" s="64"/>
      <c r="E2666" s="65"/>
      <c r="F2666" s="66"/>
      <c r="G2666" s="63"/>
      <c r="H2666" s="67"/>
      <c r="I2666" s="68"/>
      <c r="J2666" s="68"/>
      <c r="K2666" s="32"/>
      <c r="L2666" s="75">
        <v>2666</v>
      </c>
      <c r="M2666" s="75"/>
      <c r="N2666" s="70"/>
      <c r="O2666" s="77" t="s">
        <v>179</v>
      </c>
      <c r="P2666" s="79">
        <v>45010.282534722224</v>
      </c>
      <c r="Q2666" s="77" t="s">
        <v>3872</v>
      </c>
      <c r="R2666" s="77">
        <v>0</v>
      </c>
      <c r="S2666" s="77">
        <v>0</v>
      </c>
      <c r="T2666" s="77">
        <v>0</v>
      </c>
      <c r="U2666" s="77">
        <v>0</v>
      </c>
      <c r="V2666" s="77">
        <v>11</v>
      </c>
      <c r="W2666" s="82" t="s">
        <v>5236</v>
      </c>
      <c r="X2666" s="80" t="str">
        <f>HYPERLINK("https://go.hotmart.com/B77468619P")</f>
        <v>https://go.hotmart.com/B77468619P</v>
      </c>
      <c r="Y2666" s="77" t="s">
        <v>7251</v>
      </c>
      <c r="Z2666" s="77"/>
      <c r="AA2666" s="77" t="s">
        <v>9055</v>
      </c>
      <c r="AB2666" s="77" t="s">
        <v>10130</v>
      </c>
      <c r="AC2666" s="82" t="s">
        <v>10173</v>
      </c>
      <c r="AD2666" s="77" t="s">
        <v>10184</v>
      </c>
      <c r="AE2666" s="80" t="str">
        <f>HYPERLINK("https://twitter.com/metaversoinfo/status/1639519194634158080")</f>
        <v>https://twitter.com/metaversoinfo/status/1639519194634158080</v>
      </c>
      <c r="AF2666" s="79">
        <v>45010.282534722224</v>
      </c>
      <c r="AG2666" s="85">
        <v>45010</v>
      </c>
      <c r="AH2666" s="82" t="s">
        <v>12743</v>
      </c>
      <c r="AI2666" s="77" t="b">
        <v>0</v>
      </c>
      <c r="AJ2666" s="77"/>
      <c r="AK2666" s="77"/>
      <c r="AL2666" s="77"/>
      <c r="AM2666" s="77"/>
      <c r="AN2666" s="77"/>
      <c r="AO2666" s="77"/>
      <c r="AP2666" s="77"/>
      <c r="AQ2666" s="77" t="s">
        <v>15698</v>
      </c>
      <c r="AR2666" s="77"/>
      <c r="AS2666" s="77"/>
      <c r="AT2666" s="77"/>
      <c r="AU2666" s="77"/>
      <c r="AV2666" s="80" t="str">
        <f>HYPERLINK("https://pbs.twimg.com/media/FsC61k2XgAAUdXs.jpg")</f>
        <v>https://pbs.twimg.com/media/FsC61k2XgAAUdXs.jpg</v>
      </c>
      <c r="AW2666" s="82" t="s">
        <v>19432</v>
      </c>
      <c r="AX2666" s="82" t="s">
        <v>19432</v>
      </c>
      <c r="AY2666" s="77"/>
      <c r="AZ2666" s="82" t="s">
        <v>20971</v>
      </c>
      <c r="BA2666" s="82" t="s">
        <v>20971</v>
      </c>
      <c r="BB2666" s="82" t="s">
        <v>20971</v>
      </c>
      <c r="BC2666" s="82" t="s">
        <v>19432</v>
      </c>
      <c r="BD2666" s="82" t="s">
        <v>21519</v>
      </c>
      <c r="BE2666" s="77"/>
      <c r="BF2666" s="77"/>
      <c r="BG2666" s="77"/>
      <c r="BH2666" s="77"/>
      <c r="BI2666" s="77"/>
    </row>
    <row r="2667" spans="1:61" x14ac:dyDescent="0.25">
      <c r="A2667" s="62" t="s">
        <v>903</v>
      </c>
      <c r="B2667" s="62" t="s">
        <v>903</v>
      </c>
      <c r="C2667" s="63"/>
      <c r="D2667" s="64"/>
      <c r="E2667" s="65"/>
      <c r="F2667" s="66"/>
      <c r="G2667" s="63"/>
      <c r="H2667" s="67"/>
      <c r="I2667" s="68"/>
      <c r="J2667" s="68"/>
      <c r="K2667" s="32"/>
      <c r="L2667" s="75">
        <v>2667</v>
      </c>
      <c r="M2667" s="75"/>
      <c r="N2667" s="70"/>
      <c r="O2667" s="77" t="s">
        <v>179</v>
      </c>
      <c r="P2667" s="79">
        <v>44976.671041666668</v>
      </c>
      <c r="Q2667" s="77" t="s">
        <v>3873</v>
      </c>
      <c r="R2667" s="77">
        <v>0</v>
      </c>
      <c r="S2667" s="77">
        <v>0</v>
      </c>
      <c r="T2667" s="77">
        <v>0</v>
      </c>
      <c r="U2667" s="77">
        <v>0</v>
      </c>
      <c r="V2667" s="77">
        <v>22</v>
      </c>
      <c r="W2667" s="82" t="s">
        <v>5236</v>
      </c>
      <c r="X2667" s="80" t="str">
        <f>HYPERLINK("https://go.hotmart.com/B77468619P")</f>
        <v>https://go.hotmart.com/B77468619P</v>
      </c>
      <c r="Y2667" s="77" t="s">
        <v>7251</v>
      </c>
      <c r="Z2667" s="77"/>
      <c r="AA2667" s="77" t="s">
        <v>9056</v>
      </c>
      <c r="AB2667" s="77" t="s">
        <v>10130</v>
      </c>
      <c r="AC2667" s="82" t="s">
        <v>10173</v>
      </c>
      <c r="AD2667" s="77" t="s">
        <v>10184</v>
      </c>
      <c r="AE2667" s="80" t="str">
        <f>HYPERLINK("https://twitter.com/metaversoinfo/status/1627338798060261378")</f>
        <v>https://twitter.com/metaversoinfo/status/1627338798060261378</v>
      </c>
      <c r="AF2667" s="79">
        <v>44976.671041666668</v>
      </c>
      <c r="AG2667" s="85">
        <v>44976</v>
      </c>
      <c r="AH2667" s="82" t="s">
        <v>12744</v>
      </c>
      <c r="AI2667" s="77" t="b">
        <v>0</v>
      </c>
      <c r="AJ2667" s="77"/>
      <c r="AK2667" s="77"/>
      <c r="AL2667" s="77"/>
      <c r="AM2667" s="77"/>
      <c r="AN2667" s="77"/>
      <c r="AO2667" s="77"/>
      <c r="AP2667" s="77"/>
      <c r="AQ2667" s="77" t="s">
        <v>15699</v>
      </c>
      <c r="AR2667" s="77"/>
      <c r="AS2667" s="77"/>
      <c r="AT2667" s="77"/>
      <c r="AU2667" s="77"/>
      <c r="AV2667" s="80" t="str">
        <f>HYPERLINK("https://pbs.twimg.com/media/FpV3-pvXwAEfBYB.jpg")</f>
        <v>https://pbs.twimg.com/media/FpV3-pvXwAEfBYB.jpg</v>
      </c>
      <c r="AW2667" s="82" t="s">
        <v>19433</v>
      </c>
      <c r="AX2667" s="82" t="s">
        <v>19433</v>
      </c>
      <c r="AY2667" s="77"/>
      <c r="AZ2667" s="82" t="s">
        <v>20971</v>
      </c>
      <c r="BA2667" s="82" t="s">
        <v>20971</v>
      </c>
      <c r="BB2667" s="82" t="s">
        <v>20971</v>
      </c>
      <c r="BC2667" s="82" t="s">
        <v>19433</v>
      </c>
      <c r="BD2667" s="82" t="s">
        <v>21519</v>
      </c>
      <c r="BE2667" s="77"/>
      <c r="BF2667" s="77"/>
      <c r="BG2667" s="77"/>
      <c r="BH2667" s="77"/>
      <c r="BI2667" s="77"/>
    </row>
    <row r="2668" spans="1:61" x14ac:dyDescent="0.25">
      <c r="A2668" s="62" t="s">
        <v>903</v>
      </c>
      <c r="B2668" s="62" t="s">
        <v>903</v>
      </c>
      <c r="C2668" s="63"/>
      <c r="D2668" s="64"/>
      <c r="E2668" s="65"/>
      <c r="F2668" s="66"/>
      <c r="G2668" s="63"/>
      <c r="H2668" s="67"/>
      <c r="I2668" s="68"/>
      <c r="J2668" s="68"/>
      <c r="K2668" s="32"/>
      <c r="L2668" s="75">
        <v>2668</v>
      </c>
      <c r="M2668" s="75"/>
      <c r="N2668" s="70"/>
      <c r="O2668" s="77" t="s">
        <v>179</v>
      </c>
      <c r="P2668" s="79">
        <v>45027.11278935185</v>
      </c>
      <c r="Q2668" s="77" t="s">
        <v>3874</v>
      </c>
      <c r="R2668" s="77">
        <v>0</v>
      </c>
      <c r="S2668" s="77">
        <v>0</v>
      </c>
      <c r="T2668" s="77">
        <v>0</v>
      </c>
      <c r="U2668" s="77">
        <v>0</v>
      </c>
      <c r="V2668" s="77">
        <v>17</v>
      </c>
      <c r="W2668" s="82" t="s">
        <v>5236</v>
      </c>
      <c r="X2668" s="80" t="str">
        <f>HYPERLINK("https://go.hotmart.com/B77468619P")</f>
        <v>https://go.hotmart.com/B77468619P</v>
      </c>
      <c r="Y2668" s="77" t="s">
        <v>7251</v>
      </c>
      <c r="Z2668" s="77"/>
      <c r="AA2668" s="77" t="s">
        <v>9057</v>
      </c>
      <c r="AB2668" s="77" t="s">
        <v>10130</v>
      </c>
      <c r="AC2668" s="82" t="s">
        <v>10173</v>
      </c>
      <c r="AD2668" s="77" t="s">
        <v>10184</v>
      </c>
      <c r="AE2668" s="80" t="str">
        <f>HYPERLINK("https://twitter.com/metaversoinfo/status/1645618276448235520")</f>
        <v>https://twitter.com/metaversoinfo/status/1645618276448235520</v>
      </c>
      <c r="AF2668" s="79">
        <v>45027.11278935185</v>
      </c>
      <c r="AG2668" s="85">
        <v>45027</v>
      </c>
      <c r="AH2668" s="82" t="s">
        <v>12745</v>
      </c>
      <c r="AI2668" s="77" t="b">
        <v>0</v>
      </c>
      <c r="AJ2668" s="77"/>
      <c r="AK2668" s="77"/>
      <c r="AL2668" s="77"/>
      <c r="AM2668" s="77"/>
      <c r="AN2668" s="77"/>
      <c r="AO2668" s="77"/>
      <c r="AP2668" s="77"/>
      <c r="AQ2668" s="77" t="s">
        <v>15700</v>
      </c>
      <c r="AR2668" s="77"/>
      <c r="AS2668" s="77"/>
      <c r="AT2668" s="77"/>
      <c r="AU2668" s="77"/>
      <c r="AV2668" s="80" t="str">
        <f>HYPERLINK("https://pbs.twimg.com/media/FtZpFjSXgAInD0z.jpg")</f>
        <v>https://pbs.twimg.com/media/FtZpFjSXgAInD0z.jpg</v>
      </c>
      <c r="AW2668" s="82" t="s">
        <v>19434</v>
      </c>
      <c r="AX2668" s="82" t="s">
        <v>19434</v>
      </c>
      <c r="AY2668" s="77"/>
      <c r="AZ2668" s="82" t="s">
        <v>20971</v>
      </c>
      <c r="BA2668" s="82" t="s">
        <v>20971</v>
      </c>
      <c r="BB2668" s="82" t="s">
        <v>20971</v>
      </c>
      <c r="BC2668" s="82" t="s">
        <v>19434</v>
      </c>
      <c r="BD2668" s="82" t="s">
        <v>21519</v>
      </c>
      <c r="BE2668" s="77"/>
      <c r="BF2668" s="77"/>
      <c r="BG2668" s="77"/>
      <c r="BH2668" s="77"/>
      <c r="BI2668" s="77"/>
    </row>
    <row r="2669" spans="1:61" x14ac:dyDescent="0.25">
      <c r="A2669" s="62" t="s">
        <v>903</v>
      </c>
      <c r="B2669" s="62" t="s">
        <v>903</v>
      </c>
      <c r="C2669" s="63"/>
      <c r="D2669" s="64"/>
      <c r="E2669" s="65"/>
      <c r="F2669" s="66"/>
      <c r="G2669" s="63"/>
      <c r="H2669" s="67"/>
      <c r="I2669" s="68"/>
      <c r="J2669" s="68"/>
      <c r="K2669" s="32"/>
      <c r="L2669" s="75">
        <v>2669</v>
      </c>
      <c r="M2669" s="75"/>
      <c r="N2669" s="70"/>
      <c r="O2669" s="77" t="s">
        <v>179</v>
      </c>
      <c r="P2669" s="79">
        <v>45022.774976851855</v>
      </c>
      <c r="Q2669" s="77" t="s">
        <v>3875</v>
      </c>
      <c r="R2669" s="77">
        <v>0</v>
      </c>
      <c r="S2669" s="77">
        <v>0</v>
      </c>
      <c r="T2669" s="77">
        <v>0</v>
      </c>
      <c r="U2669" s="77">
        <v>0</v>
      </c>
      <c r="V2669" s="77">
        <v>18</v>
      </c>
      <c r="W2669" s="82" t="s">
        <v>5236</v>
      </c>
      <c r="X2669" s="80" t="str">
        <f>HYPERLINK("https://go.hotmart.com/B77468619P")</f>
        <v>https://go.hotmart.com/B77468619P</v>
      </c>
      <c r="Y2669" s="77" t="s">
        <v>7251</v>
      </c>
      <c r="Z2669" s="77"/>
      <c r="AA2669" s="77" t="s">
        <v>9058</v>
      </c>
      <c r="AB2669" s="77" t="s">
        <v>10130</v>
      </c>
      <c r="AC2669" s="82" t="s">
        <v>10173</v>
      </c>
      <c r="AD2669" s="77" t="s">
        <v>10184</v>
      </c>
      <c r="AE2669" s="80" t="str">
        <f>HYPERLINK("https://twitter.com/metaversoinfo/status/1644046306287972374")</f>
        <v>https://twitter.com/metaversoinfo/status/1644046306287972374</v>
      </c>
      <c r="AF2669" s="79">
        <v>45022.774976851855</v>
      </c>
      <c r="AG2669" s="85">
        <v>45022</v>
      </c>
      <c r="AH2669" s="82" t="s">
        <v>12746</v>
      </c>
      <c r="AI2669" s="77" t="b">
        <v>0</v>
      </c>
      <c r="AJ2669" s="77"/>
      <c r="AK2669" s="77"/>
      <c r="AL2669" s="77"/>
      <c r="AM2669" s="77"/>
      <c r="AN2669" s="77"/>
      <c r="AO2669" s="77"/>
      <c r="AP2669" s="77"/>
      <c r="AQ2669" s="77" t="s">
        <v>15701</v>
      </c>
      <c r="AR2669" s="77"/>
      <c r="AS2669" s="77"/>
      <c r="AT2669" s="77"/>
      <c r="AU2669" s="77"/>
      <c r="AV2669" s="80" t="str">
        <f>HYPERLINK("https://pbs.twimg.com/media/FtDTYzgWcBYnLYM.jpg")</f>
        <v>https://pbs.twimg.com/media/FtDTYzgWcBYnLYM.jpg</v>
      </c>
      <c r="AW2669" s="82" t="s">
        <v>19435</v>
      </c>
      <c r="AX2669" s="82" t="s">
        <v>19435</v>
      </c>
      <c r="AY2669" s="77"/>
      <c r="AZ2669" s="82" t="s">
        <v>20971</v>
      </c>
      <c r="BA2669" s="82" t="s">
        <v>20971</v>
      </c>
      <c r="BB2669" s="82" t="s">
        <v>20971</v>
      </c>
      <c r="BC2669" s="82" t="s">
        <v>19435</v>
      </c>
      <c r="BD2669" s="82" t="s">
        <v>21519</v>
      </c>
      <c r="BE2669" s="77"/>
      <c r="BF2669" s="77"/>
      <c r="BG2669" s="77"/>
      <c r="BH2669" s="77"/>
      <c r="BI2669" s="77"/>
    </row>
    <row r="2670" spans="1:61" x14ac:dyDescent="0.25">
      <c r="A2670" s="62" t="s">
        <v>903</v>
      </c>
      <c r="B2670" s="62" t="s">
        <v>903</v>
      </c>
      <c r="C2670" s="63"/>
      <c r="D2670" s="64"/>
      <c r="E2670" s="65"/>
      <c r="F2670" s="66"/>
      <c r="G2670" s="63"/>
      <c r="H2670" s="67"/>
      <c r="I2670" s="68"/>
      <c r="J2670" s="68"/>
      <c r="K2670" s="32"/>
      <c r="L2670" s="75">
        <v>2670</v>
      </c>
      <c r="M2670" s="75"/>
      <c r="N2670" s="70"/>
      <c r="O2670" s="77" t="s">
        <v>179</v>
      </c>
      <c r="P2670" s="79">
        <v>44967.639201388891</v>
      </c>
      <c r="Q2670" s="77" t="s">
        <v>3876</v>
      </c>
      <c r="R2670" s="77">
        <v>0</v>
      </c>
      <c r="S2670" s="77">
        <v>0</v>
      </c>
      <c r="T2670" s="77">
        <v>0</v>
      </c>
      <c r="U2670" s="77">
        <v>0</v>
      </c>
      <c r="V2670" s="77">
        <v>10</v>
      </c>
      <c r="W2670" s="82" t="s">
        <v>5236</v>
      </c>
      <c r="X2670" s="80" t="str">
        <f>HYPERLINK("https://go.hotmart.com/B77468619P")</f>
        <v>https://go.hotmart.com/B77468619P</v>
      </c>
      <c r="Y2670" s="77" t="s">
        <v>7251</v>
      </c>
      <c r="Z2670" s="77"/>
      <c r="AA2670" s="77" t="s">
        <v>9059</v>
      </c>
      <c r="AB2670" s="77" t="s">
        <v>10130</v>
      </c>
      <c r="AC2670" s="82" t="s">
        <v>10173</v>
      </c>
      <c r="AD2670" s="77" t="s">
        <v>10184</v>
      </c>
      <c r="AE2670" s="80" t="str">
        <f>HYPERLINK("https://twitter.com/metaversoinfo/status/1624065767204421633")</f>
        <v>https://twitter.com/metaversoinfo/status/1624065767204421633</v>
      </c>
      <c r="AF2670" s="79">
        <v>44967.639201388891</v>
      </c>
      <c r="AG2670" s="85">
        <v>44967</v>
      </c>
      <c r="AH2670" s="82" t="s">
        <v>12747</v>
      </c>
      <c r="AI2670" s="77" t="b">
        <v>0</v>
      </c>
      <c r="AJ2670" s="77"/>
      <c r="AK2670" s="77"/>
      <c r="AL2670" s="77"/>
      <c r="AM2670" s="77"/>
      <c r="AN2670" s="77"/>
      <c r="AO2670" s="77"/>
      <c r="AP2670" s="77"/>
      <c r="AQ2670" s="77" t="s">
        <v>15702</v>
      </c>
      <c r="AR2670" s="77"/>
      <c r="AS2670" s="77"/>
      <c r="AT2670" s="77"/>
      <c r="AU2670" s="77"/>
      <c r="AV2670" s="80" t="str">
        <f>HYPERLINK("https://pbs.twimg.com/media/FonXMQ-WIAErc0h.jpg")</f>
        <v>https://pbs.twimg.com/media/FonXMQ-WIAErc0h.jpg</v>
      </c>
      <c r="AW2670" s="82" t="s">
        <v>19436</v>
      </c>
      <c r="AX2670" s="82" t="s">
        <v>19436</v>
      </c>
      <c r="AY2670" s="77"/>
      <c r="AZ2670" s="82" t="s">
        <v>20971</v>
      </c>
      <c r="BA2670" s="82" t="s">
        <v>20971</v>
      </c>
      <c r="BB2670" s="82" t="s">
        <v>20971</v>
      </c>
      <c r="BC2670" s="82" t="s">
        <v>19436</v>
      </c>
      <c r="BD2670" s="82" t="s">
        <v>21519</v>
      </c>
      <c r="BE2670" s="77"/>
      <c r="BF2670" s="77"/>
      <c r="BG2670" s="77"/>
      <c r="BH2670" s="77"/>
      <c r="BI2670" s="77"/>
    </row>
    <row r="2671" spans="1:61" x14ac:dyDescent="0.25">
      <c r="A2671" s="62" t="s">
        <v>903</v>
      </c>
      <c r="B2671" s="62" t="s">
        <v>903</v>
      </c>
      <c r="C2671" s="63"/>
      <c r="D2671" s="64"/>
      <c r="E2671" s="65"/>
      <c r="F2671" s="66"/>
      <c r="G2671" s="63"/>
      <c r="H2671" s="67"/>
      <c r="I2671" s="68"/>
      <c r="J2671" s="68"/>
      <c r="K2671" s="32"/>
      <c r="L2671" s="75">
        <v>2671</v>
      </c>
      <c r="M2671" s="75"/>
      <c r="N2671" s="70"/>
      <c r="O2671" s="77" t="s">
        <v>179</v>
      </c>
      <c r="P2671" s="79">
        <v>44966.948125000003</v>
      </c>
      <c r="Q2671" s="77" t="s">
        <v>3877</v>
      </c>
      <c r="R2671" s="77">
        <v>0</v>
      </c>
      <c r="S2671" s="77">
        <v>0</v>
      </c>
      <c r="T2671" s="77">
        <v>0</v>
      </c>
      <c r="U2671" s="77">
        <v>0</v>
      </c>
      <c r="V2671" s="77">
        <v>14</v>
      </c>
      <c r="W2671" s="82" t="s">
        <v>5236</v>
      </c>
      <c r="X2671" s="80" t="str">
        <f>HYPERLINK("https://go.hotmart.com/B77468619P")</f>
        <v>https://go.hotmart.com/B77468619P</v>
      </c>
      <c r="Y2671" s="77" t="s">
        <v>7251</v>
      </c>
      <c r="Z2671" s="77"/>
      <c r="AA2671" s="77" t="s">
        <v>9060</v>
      </c>
      <c r="AB2671" s="77" t="s">
        <v>10130</v>
      </c>
      <c r="AC2671" s="82" t="s">
        <v>10173</v>
      </c>
      <c r="AD2671" s="77" t="s">
        <v>10184</v>
      </c>
      <c r="AE2671" s="80" t="str">
        <f>HYPERLINK("https://twitter.com/metaversoinfo/status/1623815330274369536")</f>
        <v>https://twitter.com/metaversoinfo/status/1623815330274369536</v>
      </c>
      <c r="AF2671" s="79">
        <v>44966.948125000003</v>
      </c>
      <c r="AG2671" s="85">
        <v>44966</v>
      </c>
      <c r="AH2671" s="82" t="s">
        <v>12748</v>
      </c>
      <c r="AI2671" s="77" t="b">
        <v>0</v>
      </c>
      <c r="AJ2671" s="77"/>
      <c r="AK2671" s="77"/>
      <c r="AL2671" s="77"/>
      <c r="AM2671" s="77"/>
      <c r="AN2671" s="77"/>
      <c r="AO2671" s="77"/>
      <c r="AP2671" s="77"/>
      <c r="AQ2671" s="77" t="s">
        <v>15703</v>
      </c>
      <c r="AR2671" s="77"/>
      <c r="AS2671" s="77"/>
      <c r="AT2671" s="77"/>
      <c r="AU2671" s="77"/>
      <c r="AV2671" s="80" t="str">
        <f>HYPERLINK("https://pbs.twimg.com/media/FojzZTRWcAA8sIZ.jpg")</f>
        <v>https://pbs.twimg.com/media/FojzZTRWcAA8sIZ.jpg</v>
      </c>
      <c r="AW2671" s="82" t="s">
        <v>19437</v>
      </c>
      <c r="AX2671" s="82" t="s">
        <v>19437</v>
      </c>
      <c r="AY2671" s="77"/>
      <c r="AZ2671" s="82" t="s">
        <v>20971</v>
      </c>
      <c r="BA2671" s="82" t="s">
        <v>20971</v>
      </c>
      <c r="BB2671" s="82" t="s">
        <v>20971</v>
      </c>
      <c r="BC2671" s="82" t="s">
        <v>19437</v>
      </c>
      <c r="BD2671" s="82" t="s">
        <v>21519</v>
      </c>
      <c r="BE2671" s="77"/>
      <c r="BF2671" s="77"/>
      <c r="BG2671" s="77"/>
      <c r="BH2671" s="77"/>
      <c r="BI2671" s="77"/>
    </row>
    <row r="2672" spans="1:61" x14ac:dyDescent="0.25">
      <c r="A2672" s="62" t="s">
        <v>903</v>
      </c>
      <c r="B2672" s="62" t="s">
        <v>903</v>
      </c>
      <c r="C2672" s="63"/>
      <c r="D2672" s="64"/>
      <c r="E2672" s="65"/>
      <c r="F2672" s="66"/>
      <c r="G2672" s="63"/>
      <c r="H2672" s="67"/>
      <c r="I2672" s="68"/>
      <c r="J2672" s="68"/>
      <c r="K2672" s="32"/>
      <c r="L2672" s="75">
        <v>2672</v>
      </c>
      <c r="M2672" s="75"/>
      <c r="N2672" s="70"/>
      <c r="O2672" s="77" t="s">
        <v>179</v>
      </c>
      <c r="P2672" s="79">
        <v>45018.217430555553</v>
      </c>
      <c r="Q2672" s="77" t="s">
        <v>3878</v>
      </c>
      <c r="R2672" s="77">
        <v>0</v>
      </c>
      <c r="S2672" s="77">
        <v>0</v>
      </c>
      <c r="T2672" s="77">
        <v>0</v>
      </c>
      <c r="U2672" s="77">
        <v>0</v>
      </c>
      <c r="V2672" s="77">
        <v>15</v>
      </c>
      <c r="W2672" s="82" t="s">
        <v>5236</v>
      </c>
      <c r="X2672" s="80" t="str">
        <f>HYPERLINK("https://go.hotmart.com/B77468619P")</f>
        <v>https://go.hotmart.com/B77468619P</v>
      </c>
      <c r="Y2672" s="77" t="s">
        <v>7251</v>
      </c>
      <c r="Z2672" s="77"/>
      <c r="AA2672" s="77" t="s">
        <v>9061</v>
      </c>
      <c r="AB2672" s="77" t="s">
        <v>10130</v>
      </c>
      <c r="AC2672" s="82" t="s">
        <v>10173</v>
      </c>
      <c r="AD2672" s="77" t="s">
        <v>10184</v>
      </c>
      <c r="AE2672" s="80" t="str">
        <f>HYPERLINK("https://twitter.com/metaversoinfo/status/1642394706066776066")</f>
        <v>https://twitter.com/metaversoinfo/status/1642394706066776066</v>
      </c>
      <c r="AF2672" s="79">
        <v>45018.217430555553</v>
      </c>
      <c r="AG2672" s="85">
        <v>45018</v>
      </c>
      <c r="AH2672" s="82" t="s">
        <v>12749</v>
      </c>
      <c r="AI2672" s="77" t="b">
        <v>0</v>
      </c>
      <c r="AJ2672" s="77"/>
      <c r="AK2672" s="77"/>
      <c r="AL2672" s="77"/>
      <c r="AM2672" s="77"/>
      <c r="AN2672" s="77"/>
      <c r="AO2672" s="77"/>
      <c r="AP2672" s="77"/>
      <c r="AQ2672" s="77" t="s">
        <v>15704</v>
      </c>
      <c r="AR2672" s="77"/>
      <c r="AS2672" s="77"/>
      <c r="AT2672" s="77"/>
      <c r="AU2672" s="77"/>
      <c r="AV2672" s="80" t="str">
        <f>HYPERLINK("https://pbs.twimg.com/media/Fsr1Pu2WYAAvpSL.jpg")</f>
        <v>https://pbs.twimg.com/media/Fsr1Pu2WYAAvpSL.jpg</v>
      </c>
      <c r="AW2672" s="82" t="s">
        <v>19438</v>
      </c>
      <c r="AX2672" s="82" t="s">
        <v>19438</v>
      </c>
      <c r="AY2672" s="77"/>
      <c r="AZ2672" s="82" t="s">
        <v>20971</v>
      </c>
      <c r="BA2672" s="82" t="s">
        <v>20971</v>
      </c>
      <c r="BB2672" s="82" t="s">
        <v>20971</v>
      </c>
      <c r="BC2672" s="82" t="s">
        <v>19438</v>
      </c>
      <c r="BD2672" s="82" t="s">
        <v>21519</v>
      </c>
      <c r="BE2672" s="77"/>
      <c r="BF2672" s="77"/>
      <c r="BG2672" s="77"/>
      <c r="BH2672" s="77"/>
      <c r="BI2672" s="77"/>
    </row>
    <row r="2673" spans="1:61" x14ac:dyDescent="0.25">
      <c r="A2673" s="62" t="s">
        <v>903</v>
      </c>
      <c r="B2673" s="62" t="s">
        <v>903</v>
      </c>
      <c r="C2673" s="63"/>
      <c r="D2673" s="64"/>
      <c r="E2673" s="65"/>
      <c r="F2673" s="66"/>
      <c r="G2673" s="63"/>
      <c r="H2673" s="67"/>
      <c r="I2673" s="68"/>
      <c r="J2673" s="68"/>
      <c r="K2673" s="32"/>
      <c r="L2673" s="75">
        <v>2673</v>
      </c>
      <c r="M2673" s="75"/>
      <c r="N2673" s="70"/>
      <c r="O2673" s="77" t="s">
        <v>179</v>
      </c>
      <c r="P2673" s="79">
        <v>44999.531331018516</v>
      </c>
      <c r="Q2673" s="77" t="s">
        <v>3879</v>
      </c>
      <c r="R2673" s="77">
        <v>0</v>
      </c>
      <c r="S2673" s="77">
        <v>0</v>
      </c>
      <c r="T2673" s="77">
        <v>0</v>
      </c>
      <c r="U2673" s="77">
        <v>0</v>
      </c>
      <c r="V2673" s="77">
        <v>15</v>
      </c>
      <c r="W2673" s="82" t="s">
        <v>5236</v>
      </c>
      <c r="X2673" s="80" t="str">
        <f>HYPERLINK("https://go.hotmart.com/B77468619P")</f>
        <v>https://go.hotmart.com/B77468619P</v>
      </c>
      <c r="Y2673" s="77" t="s">
        <v>7251</v>
      </c>
      <c r="Z2673" s="77"/>
      <c r="AA2673" s="77" t="s">
        <v>9062</v>
      </c>
      <c r="AB2673" s="77" t="s">
        <v>10130</v>
      </c>
      <c r="AC2673" s="82" t="s">
        <v>10173</v>
      </c>
      <c r="AD2673" s="77" t="s">
        <v>10184</v>
      </c>
      <c r="AE2673" s="80" t="str">
        <f>HYPERLINK("https://twitter.com/metaversoinfo/status/1635623089114435584")</f>
        <v>https://twitter.com/metaversoinfo/status/1635623089114435584</v>
      </c>
      <c r="AF2673" s="79">
        <v>44999.531331018516</v>
      </c>
      <c r="AG2673" s="85">
        <v>44999</v>
      </c>
      <c r="AH2673" s="82" t="s">
        <v>12750</v>
      </c>
      <c r="AI2673" s="77" t="b">
        <v>0</v>
      </c>
      <c r="AJ2673" s="77"/>
      <c r="AK2673" s="77"/>
      <c r="AL2673" s="77"/>
      <c r="AM2673" s="77"/>
      <c r="AN2673" s="77"/>
      <c r="AO2673" s="77"/>
      <c r="AP2673" s="77"/>
      <c r="AQ2673" s="77" t="s">
        <v>15705</v>
      </c>
      <c r="AR2673" s="77"/>
      <c r="AS2673" s="77"/>
      <c r="AT2673" s="77"/>
      <c r="AU2673" s="77"/>
      <c r="AV2673" s="80" t="str">
        <f>HYPERLINK("https://pbs.twimg.com/media/FrLmbGDWwAAsFbx.jpg")</f>
        <v>https://pbs.twimg.com/media/FrLmbGDWwAAsFbx.jpg</v>
      </c>
      <c r="AW2673" s="82" t="s">
        <v>19439</v>
      </c>
      <c r="AX2673" s="82" t="s">
        <v>19439</v>
      </c>
      <c r="AY2673" s="77"/>
      <c r="AZ2673" s="82" t="s">
        <v>20971</v>
      </c>
      <c r="BA2673" s="82" t="s">
        <v>20971</v>
      </c>
      <c r="BB2673" s="82" t="s">
        <v>20971</v>
      </c>
      <c r="BC2673" s="82" t="s">
        <v>19439</v>
      </c>
      <c r="BD2673" s="82" t="s">
        <v>21519</v>
      </c>
      <c r="BE2673" s="77"/>
      <c r="BF2673" s="77"/>
      <c r="BG2673" s="77"/>
      <c r="BH2673" s="77"/>
      <c r="BI2673" s="77"/>
    </row>
    <row r="2674" spans="1:61" x14ac:dyDescent="0.25">
      <c r="A2674" s="62" t="s">
        <v>903</v>
      </c>
      <c r="B2674" s="62" t="s">
        <v>903</v>
      </c>
      <c r="C2674" s="63"/>
      <c r="D2674" s="64"/>
      <c r="E2674" s="65"/>
      <c r="F2674" s="66"/>
      <c r="G2674" s="63"/>
      <c r="H2674" s="67"/>
      <c r="I2674" s="68"/>
      <c r="J2674" s="68"/>
      <c r="K2674" s="32"/>
      <c r="L2674" s="75">
        <v>2674</v>
      </c>
      <c r="M2674" s="75"/>
      <c r="N2674" s="70"/>
      <c r="O2674" s="77" t="s">
        <v>179</v>
      </c>
      <c r="P2674" s="79">
        <v>44999.318935185183</v>
      </c>
      <c r="Q2674" s="77" t="s">
        <v>3880</v>
      </c>
      <c r="R2674" s="77">
        <v>0</v>
      </c>
      <c r="S2674" s="77">
        <v>0</v>
      </c>
      <c r="T2674" s="77">
        <v>0</v>
      </c>
      <c r="U2674" s="77">
        <v>0</v>
      </c>
      <c r="V2674" s="77">
        <v>6</v>
      </c>
      <c r="W2674" s="82" t="s">
        <v>5236</v>
      </c>
      <c r="X2674" s="80" t="str">
        <f>HYPERLINK("https://go.hotmart.com/B77468619P")</f>
        <v>https://go.hotmart.com/B77468619P</v>
      </c>
      <c r="Y2674" s="77" t="s">
        <v>7251</v>
      </c>
      <c r="Z2674" s="77"/>
      <c r="AA2674" s="77" t="s">
        <v>9063</v>
      </c>
      <c r="AB2674" s="77" t="s">
        <v>10130</v>
      </c>
      <c r="AC2674" s="82" t="s">
        <v>10173</v>
      </c>
      <c r="AD2674" s="77" t="s">
        <v>10184</v>
      </c>
      <c r="AE2674" s="80" t="str">
        <f>HYPERLINK("https://twitter.com/metaversoinfo/status/1635546117805953024")</f>
        <v>https://twitter.com/metaversoinfo/status/1635546117805953024</v>
      </c>
      <c r="AF2674" s="79">
        <v>44999.318935185183</v>
      </c>
      <c r="AG2674" s="85">
        <v>44999</v>
      </c>
      <c r="AH2674" s="82" t="s">
        <v>12751</v>
      </c>
      <c r="AI2674" s="77" t="b">
        <v>0</v>
      </c>
      <c r="AJ2674" s="77"/>
      <c r="AK2674" s="77"/>
      <c r="AL2674" s="77"/>
      <c r="AM2674" s="77"/>
      <c r="AN2674" s="77"/>
      <c r="AO2674" s="77"/>
      <c r="AP2674" s="77"/>
      <c r="AQ2674" s="77" t="s">
        <v>15706</v>
      </c>
      <c r="AR2674" s="77"/>
      <c r="AS2674" s="77"/>
      <c r="AT2674" s="77"/>
      <c r="AU2674" s="77"/>
      <c r="AV2674" s="80" t="str">
        <f>HYPERLINK("https://pbs.twimg.com/media/FrKgbFjWwAAsfdg.jpg")</f>
        <v>https://pbs.twimg.com/media/FrKgbFjWwAAsfdg.jpg</v>
      </c>
      <c r="AW2674" s="82" t="s">
        <v>19440</v>
      </c>
      <c r="AX2674" s="82" t="s">
        <v>19440</v>
      </c>
      <c r="AY2674" s="77"/>
      <c r="AZ2674" s="82" t="s">
        <v>20971</v>
      </c>
      <c r="BA2674" s="82" t="s">
        <v>20971</v>
      </c>
      <c r="BB2674" s="82" t="s">
        <v>20971</v>
      </c>
      <c r="BC2674" s="82" t="s">
        <v>19440</v>
      </c>
      <c r="BD2674" s="82" t="s">
        <v>21519</v>
      </c>
      <c r="BE2674" s="77"/>
      <c r="BF2674" s="77"/>
      <c r="BG2674" s="77"/>
      <c r="BH2674" s="77"/>
      <c r="BI2674" s="77"/>
    </row>
    <row r="2675" spans="1:61" x14ac:dyDescent="0.25">
      <c r="A2675" s="62" t="s">
        <v>903</v>
      </c>
      <c r="B2675" s="62" t="s">
        <v>903</v>
      </c>
      <c r="C2675" s="63"/>
      <c r="D2675" s="64"/>
      <c r="E2675" s="65"/>
      <c r="F2675" s="66"/>
      <c r="G2675" s="63"/>
      <c r="H2675" s="67"/>
      <c r="I2675" s="68"/>
      <c r="J2675" s="68"/>
      <c r="K2675" s="32"/>
      <c r="L2675" s="75">
        <v>2675</v>
      </c>
      <c r="M2675" s="75"/>
      <c r="N2675" s="70"/>
      <c r="O2675" s="77" t="s">
        <v>179</v>
      </c>
      <c r="P2675" s="79">
        <v>44999.105787037035</v>
      </c>
      <c r="Q2675" s="77" t="s">
        <v>3881</v>
      </c>
      <c r="R2675" s="77">
        <v>0</v>
      </c>
      <c r="S2675" s="77">
        <v>0</v>
      </c>
      <c r="T2675" s="77">
        <v>0</v>
      </c>
      <c r="U2675" s="77">
        <v>0</v>
      </c>
      <c r="V2675" s="77">
        <v>13</v>
      </c>
      <c r="W2675" s="82" t="s">
        <v>5236</v>
      </c>
      <c r="X2675" s="80" t="str">
        <f>HYPERLINK("https://go.hotmart.com/B77468619P")</f>
        <v>https://go.hotmart.com/B77468619P</v>
      </c>
      <c r="Y2675" s="77" t="s">
        <v>7251</v>
      </c>
      <c r="Z2675" s="77"/>
      <c r="AA2675" s="77" t="s">
        <v>9064</v>
      </c>
      <c r="AB2675" s="77" t="s">
        <v>10130</v>
      </c>
      <c r="AC2675" s="82" t="s">
        <v>10173</v>
      </c>
      <c r="AD2675" s="77" t="s">
        <v>10184</v>
      </c>
      <c r="AE2675" s="80" t="str">
        <f>HYPERLINK("https://twitter.com/metaversoinfo/status/1635468877567074306")</f>
        <v>https://twitter.com/metaversoinfo/status/1635468877567074306</v>
      </c>
      <c r="AF2675" s="79">
        <v>44999.105787037035</v>
      </c>
      <c r="AG2675" s="85">
        <v>44999</v>
      </c>
      <c r="AH2675" s="82" t="s">
        <v>12752</v>
      </c>
      <c r="AI2675" s="77" t="b">
        <v>0</v>
      </c>
      <c r="AJ2675" s="77"/>
      <c r="AK2675" s="77"/>
      <c r="AL2675" s="77"/>
      <c r="AM2675" s="77"/>
      <c r="AN2675" s="77"/>
      <c r="AO2675" s="77"/>
      <c r="AP2675" s="77"/>
      <c r="AQ2675" s="77" t="s">
        <v>15707</v>
      </c>
      <c r="AR2675" s="77"/>
      <c r="AS2675" s="77"/>
      <c r="AT2675" s="77"/>
      <c r="AU2675" s="77"/>
      <c r="AV2675" s="80" t="str">
        <f>HYPERLINK("https://pbs.twimg.com/media/FrJaPwDWcAAGO2d.jpg")</f>
        <v>https://pbs.twimg.com/media/FrJaPwDWcAAGO2d.jpg</v>
      </c>
      <c r="AW2675" s="82" t="s">
        <v>19441</v>
      </c>
      <c r="AX2675" s="82" t="s">
        <v>19441</v>
      </c>
      <c r="AY2675" s="77"/>
      <c r="AZ2675" s="82" t="s">
        <v>20971</v>
      </c>
      <c r="BA2675" s="82" t="s">
        <v>20971</v>
      </c>
      <c r="BB2675" s="82" t="s">
        <v>20971</v>
      </c>
      <c r="BC2675" s="82" t="s">
        <v>19441</v>
      </c>
      <c r="BD2675" s="82" t="s">
        <v>21519</v>
      </c>
      <c r="BE2675" s="77"/>
      <c r="BF2675" s="77"/>
      <c r="BG2675" s="77"/>
      <c r="BH2675" s="77"/>
      <c r="BI2675" s="77"/>
    </row>
    <row r="2676" spans="1:61" x14ac:dyDescent="0.25">
      <c r="A2676" s="62" t="s">
        <v>903</v>
      </c>
      <c r="B2676" s="62" t="s">
        <v>903</v>
      </c>
      <c r="C2676" s="63"/>
      <c r="D2676" s="64"/>
      <c r="E2676" s="65"/>
      <c r="F2676" s="66"/>
      <c r="G2676" s="63"/>
      <c r="H2676" s="67"/>
      <c r="I2676" s="68"/>
      <c r="J2676" s="68"/>
      <c r="K2676" s="32"/>
      <c r="L2676" s="75">
        <v>2676</v>
      </c>
      <c r="M2676" s="75"/>
      <c r="N2676" s="70"/>
      <c r="O2676" s="77" t="s">
        <v>179</v>
      </c>
      <c r="P2676" s="79">
        <v>44998.895474537036</v>
      </c>
      <c r="Q2676" s="77" t="s">
        <v>3882</v>
      </c>
      <c r="R2676" s="77">
        <v>0</v>
      </c>
      <c r="S2676" s="77">
        <v>0</v>
      </c>
      <c r="T2676" s="77">
        <v>0</v>
      </c>
      <c r="U2676" s="77">
        <v>0</v>
      </c>
      <c r="V2676" s="77">
        <v>14</v>
      </c>
      <c r="W2676" s="82" t="s">
        <v>5236</v>
      </c>
      <c r="X2676" s="80" t="str">
        <f>HYPERLINK("https://go.hotmart.com/B77468619P")</f>
        <v>https://go.hotmart.com/B77468619P</v>
      </c>
      <c r="Y2676" s="77" t="s">
        <v>7251</v>
      </c>
      <c r="Z2676" s="77"/>
      <c r="AA2676" s="77" t="s">
        <v>9065</v>
      </c>
      <c r="AB2676" s="77" t="s">
        <v>10130</v>
      </c>
      <c r="AC2676" s="82" t="s">
        <v>10173</v>
      </c>
      <c r="AD2676" s="77" t="s">
        <v>10184</v>
      </c>
      <c r="AE2676" s="80" t="str">
        <f>HYPERLINK("https://twitter.com/metaversoinfo/status/1635392661057142784")</f>
        <v>https://twitter.com/metaversoinfo/status/1635392661057142784</v>
      </c>
      <c r="AF2676" s="79">
        <v>44998.895474537036</v>
      </c>
      <c r="AG2676" s="85">
        <v>44998</v>
      </c>
      <c r="AH2676" s="82" t="s">
        <v>12753</v>
      </c>
      <c r="AI2676" s="77" t="b">
        <v>0</v>
      </c>
      <c r="AJ2676" s="77"/>
      <c r="AK2676" s="77"/>
      <c r="AL2676" s="77"/>
      <c r="AM2676" s="77"/>
      <c r="AN2676" s="77"/>
      <c r="AO2676" s="77"/>
      <c r="AP2676" s="77"/>
      <c r="AQ2676" s="77" t="s">
        <v>15708</v>
      </c>
      <c r="AR2676" s="77"/>
      <c r="AS2676" s="77"/>
      <c r="AT2676" s="77"/>
      <c r="AU2676" s="77"/>
      <c r="AV2676" s="80" t="str">
        <f>HYPERLINK("https://pbs.twimg.com/media/FrIU4I7WYAEhRQY.jpg")</f>
        <v>https://pbs.twimg.com/media/FrIU4I7WYAEhRQY.jpg</v>
      </c>
      <c r="AW2676" s="82" t="s">
        <v>19442</v>
      </c>
      <c r="AX2676" s="82" t="s">
        <v>19442</v>
      </c>
      <c r="AY2676" s="77"/>
      <c r="AZ2676" s="82" t="s">
        <v>20971</v>
      </c>
      <c r="BA2676" s="82" t="s">
        <v>20971</v>
      </c>
      <c r="BB2676" s="82" t="s">
        <v>20971</v>
      </c>
      <c r="BC2676" s="82" t="s">
        <v>19442</v>
      </c>
      <c r="BD2676" s="82" t="s">
        <v>21519</v>
      </c>
      <c r="BE2676" s="77"/>
      <c r="BF2676" s="77"/>
      <c r="BG2676" s="77"/>
      <c r="BH2676" s="77"/>
      <c r="BI2676" s="77"/>
    </row>
    <row r="2677" spans="1:61" x14ac:dyDescent="0.25">
      <c r="A2677" s="62" t="s">
        <v>903</v>
      </c>
      <c r="B2677" s="62" t="s">
        <v>903</v>
      </c>
      <c r="C2677" s="63"/>
      <c r="D2677" s="64"/>
      <c r="E2677" s="65"/>
      <c r="F2677" s="66"/>
      <c r="G2677" s="63"/>
      <c r="H2677" s="67"/>
      <c r="I2677" s="68"/>
      <c r="J2677" s="68"/>
      <c r="K2677" s="32"/>
      <c r="L2677" s="75">
        <v>2677</v>
      </c>
      <c r="M2677" s="75"/>
      <c r="N2677" s="70"/>
      <c r="O2677" s="77" t="s">
        <v>179</v>
      </c>
      <c r="P2677" s="79">
        <v>44998.684583333335</v>
      </c>
      <c r="Q2677" s="77" t="s">
        <v>3883</v>
      </c>
      <c r="R2677" s="77">
        <v>0</v>
      </c>
      <c r="S2677" s="77">
        <v>0</v>
      </c>
      <c r="T2677" s="77">
        <v>0</v>
      </c>
      <c r="U2677" s="77">
        <v>0</v>
      </c>
      <c r="V2677" s="77">
        <v>16</v>
      </c>
      <c r="W2677" s="82" t="s">
        <v>5236</v>
      </c>
      <c r="X2677" s="80" t="str">
        <f>HYPERLINK("https://go.hotmart.com/B77468619P")</f>
        <v>https://go.hotmart.com/B77468619P</v>
      </c>
      <c r="Y2677" s="77" t="s">
        <v>7251</v>
      </c>
      <c r="Z2677" s="77"/>
      <c r="AA2677" s="77" t="s">
        <v>9066</v>
      </c>
      <c r="AB2677" s="77" t="s">
        <v>10130</v>
      </c>
      <c r="AC2677" s="82" t="s">
        <v>10173</v>
      </c>
      <c r="AD2677" s="77" t="s">
        <v>10184</v>
      </c>
      <c r="AE2677" s="80" t="str">
        <f>HYPERLINK("https://twitter.com/metaversoinfo/status/1635316237583495171")</f>
        <v>https://twitter.com/metaversoinfo/status/1635316237583495171</v>
      </c>
      <c r="AF2677" s="79">
        <v>44998.684583333335</v>
      </c>
      <c r="AG2677" s="85">
        <v>44998</v>
      </c>
      <c r="AH2677" s="82" t="s">
        <v>12754</v>
      </c>
      <c r="AI2677" s="77" t="b">
        <v>0</v>
      </c>
      <c r="AJ2677" s="77"/>
      <c r="AK2677" s="77"/>
      <c r="AL2677" s="77"/>
      <c r="AM2677" s="77"/>
      <c r="AN2677" s="77"/>
      <c r="AO2677" s="77"/>
      <c r="AP2677" s="77"/>
      <c r="AQ2677" s="77" t="s">
        <v>15709</v>
      </c>
      <c r="AR2677" s="77"/>
      <c r="AS2677" s="77"/>
      <c r="AT2677" s="77"/>
      <c r="AU2677" s="77"/>
      <c r="AV2677" s="80" t="str">
        <f>HYPERLINK("https://pbs.twimg.com/media/FrHPa1qWIAEjmAr.jpg")</f>
        <v>https://pbs.twimg.com/media/FrHPa1qWIAEjmAr.jpg</v>
      </c>
      <c r="AW2677" s="82" t="s">
        <v>19443</v>
      </c>
      <c r="AX2677" s="82" t="s">
        <v>19443</v>
      </c>
      <c r="AY2677" s="77"/>
      <c r="AZ2677" s="82" t="s">
        <v>20971</v>
      </c>
      <c r="BA2677" s="82" t="s">
        <v>20971</v>
      </c>
      <c r="BB2677" s="82" t="s">
        <v>20971</v>
      </c>
      <c r="BC2677" s="82" t="s">
        <v>19443</v>
      </c>
      <c r="BD2677" s="82" t="s">
        <v>21519</v>
      </c>
      <c r="BE2677" s="77"/>
      <c r="BF2677" s="77"/>
      <c r="BG2677" s="77"/>
      <c r="BH2677" s="77"/>
      <c r="BI2677" s="77"/>
    </row>
    <row r="2678" spans="1:61" x14ac:dyDescent="0.25">
      <c r="A2678" s="62" t="s">
        <v>903</v>
      </c>
      <c r="B2678" s="62" t="s">
        <v>903</v>
      </c>
      <c r="C2678" s="63"/>
      <c r="D2678" s="64"/>
      <c r="E2678" s="65"/>
      <c r="F2678" s="66"/>
      <c r="G2678" s="63"/>
      <c r="H2678" s="67"/>
      <c r="I2678" s="68"/>
      <c r="J2678" s="68"/>
      <c r="K2678" s="32"/>
      <c r="L2678" s="75">
        <v>2678</v>
      </c>
      <c r="M2678" s="75"/>
      <c r="N2678" s="70"/>
      <c r="O2678" s="77" t="s">
        <v>179</v>
      </c>
      <c r="P2678" s="79">
        <v>44998.470266203702</v>
      </c>
      <c r="Q2678" s="77" t="s">
        <v>3884</v>
      </c>
      <c r="R2678" s="77">
        <v>0</v>
      </c>
      <c r="S2678" s="77">
        <v>0</v>
      </c>
      <c r="T2678" s="77">
        <v>0</v>
      </c>
      <c r="U2678" s="77">
        <v>0</v>
      </c>
      <c r="V2678" s="77">
        <v>12</v>
      </c>
      <c r="W2678" s="82" t="s">
        <v>5236</v>
      </c>
      <c r="X2678" s="80" t="str">
        <f>HYPERLINK("https://go.hotmart.com/B77468619P")</f>
        <v>https://go.hotmart.com/B77468619P</v>
      </c>
      <c r="Y2678" s="77" t="s">
        <v>7251</v>
      </c>
      <c r="Z2678" s="77"/>
      <c r="AA2678" s="77" t="s">
        <v>9067</v>
      </c>
      <c r="AB2678" s="77" t="s">
        <v>10130</v>
      </c>
      <c r="AC2678" s="82" t="s">
        <v>10173</v>
      </c>
      <c r="AD2678" s="77" t="s">
        <v>10184</v>
      </c>
      <c r="AE2678" s="80" t="str">
        <f>HYPERLINK("https://twitter.com/metaversoinfo/status/1635238571065106433")</f>
        <v>https://twitter.com/metaversoinfo/status/1635238571065106433</v>
      </c>
      <c r="AF2678" s="79">
        <v>44998.470266203702</v>
      </c>
      <c r="AG2678" s="85">
        <v>44998</v>
      </c>
      <c r="AH2678" s="82" t="s">
        <v>12755</v>
      </c>
      <c r="AI2678" s="77" t="b">
        <v>0</v>
      </c>
      <c r="AJ2678" s="77"/>
      <c r="AK2678" s="77"/>
      <c r="AL2678" s="77"/>
      <c r="AM2678" s="77"/>
      <c r="AN2678" s="77"/>
      <c r="AO2678" s="77"/>
      <c r="AP2678" s="77"/>
      <c r="AQ2678" s="77" t="s">
        <v>15710</v>
      </c>
      <c r="AR2678" s="77"/>
      <c r="AS2678" s="77"/>
      <c r="AT2678" s="77"/>
      <c r="AU2678" s="77"/>
      <c r="AV2678" s="80" t="str">
        <f>HYPERLINK("https://pbs.twimg.com/media/FrGIwemXwAI20eJ.jpg")</f>
        <v>https://pbs.twimg.com/media/FrGIwemXwAI20eJ.jpg</v>
      </c>
      <c r="AW2678" s="82" t="s">
        <v>19444</v>
      </c>
      <c r="AX2678" s="82" t="s">
        <v>19444</v>
      </c>
      <c r="AY2678" s="77"/>
      <c r="AZ2678" s="82" t="s">
        <v>20971</v>
      </c>
      <c r="BA2678" s="82" t="s">
        <v>20971</v>
      </c>
      <c r="BB2678" s="82" t="s">
        <v>20971</v>
      </c>
      <c r="BC2678" s="82" t="s">
        <v>19444</v>
      </c>
      <c r="BD2678" s="82" t="s">
        <v>21519</v>
      </c>
      <c r="BE2678" s="77"/>
      <c r="BF2678" s="77"/>
      <c r="BG2678" s="77"/>
      <c r="BH2678" s="77"/>
      <c r="BI2678" s="77"/>
    </row>
    <row r="2679" spans="1:61" x14ac:dyDescent="0.25">
      <c r="A2679" s="62" t="s">
        <v>903</v>
      </c>
      <c r="B2679" s="62" t="s">
        <v>903</v>
      </c>
      <c r="C2679" s="63"/>
      <c r="D2679" s="64"/>
      <c r="E2679" s="65"/>
      <c r="F2679" s="66"/>
      <c r="G2679" s="63"/>
      <c r="H2679" s="67"/>
      <c r="I2679" s="68"/>
      <c r="J2679" s="68"/>
      <c r="K2679" s="32"/>
      <c r="L2679" s="75">
        <v>2679</v>
      </c>
      <c r="M2679" s="75"/>
      <c r="N2679" s="70"/>
      <c r="O2679" s="77" t="s">
        <v>179</v>
      </c>
      <c r="P2679" s="79">
        <v>44998.242951388886</v>
      </c>
      <c r="Q2679" s="77" t="s">
        <v>3885</v>
      </c>
      <c r="R2679" s="77">
        <v>0</v>
      </c>
      <c r="S2679" s="77">
        <v>0</v>
      </c>
      <c r="T2679" s="77">
        <v>0</v>
      </c>
      <c r="U2679" s="77">
        <v>0</v>
      </c>
      <c r="V2679" s="77">
        <v>11</v>
      </c>
      <c r="W2679" s="82" t="s">
        <v>5236</v>
      </c>
      <c r="X2679" s="80" t="str">
        <f>HYPERLINK("https://go.hotmart.com/B77468619P")</f>
        <v>https://go.hotmart.com/B77468619P</v>
      </c>
      <c r="Y2679" s="77" t="s">
        <v>7251</v>
      </c>
      <c r="Z2679" s="77"/>
      <c r="AA2679" s="77" t="s">
        <v>9068</v>
      </c>
      <c r="AB2679" s="77" t="s">
        <v>10130</v>
      </c>
      <c r="AC2679" s="82" t="s">
        <v>10173</v>
      </c>
      <c r="AD2679" s="77" t="s">
        <v>10184</v>
      </c>
      <c r="AE2679" s="80" t="str">
        <f>HYPERLINK("https://twitter.com/metaversoinfo/status/1635156197190803457")</f>
        <v>https://twitter.com/metaversoinfo/status/1635156197190803457</v>
      </c>
      <c r="AF2679" s="79">
        <v>44998.242951388886</v>
      </c>
      <c r="AG2679" s="85">
        <v>44998</v>
      </c>
      <c r="AH2679" s="82" t="s">
        <v>12756</v>
      </c>
      <c r="AI2679" s="77" t="b">
        <v>0</v>
      </c>
      <c r="AJ2679" s="77"/>
      <c r="AK2679" s="77"/>
      <c r="AL2679" s="77"/>
      <c r="AM2679" s="77"/>
      <c r="AN2679" s="77"/>
      <c r="AO2679" s="77"/>
      <c r="AP2679" s="77"/>
      <c r="AQ2679" s="77" t="s">
        <v>15711</v>
      </c>
      <c r="AR2679" s="77"/>
      <c r="AS2679" s="77"/>
      <c r="AT2679" s="77"/>
      <c r="AU2679" s="77"/>
      <c r="AV2679" s="80" t="str">
        <f>HYPERLINK("https://pbs.twimg.com/media/FrE910HWYAEKXfF.jpg")</f>
        <v>https://pbs.twimg.com/media/FrE910HWYAEKXfF.jpg</v>
      </c>
      <c r="AW2679" s="82" t="s">
        <v>19445</v>
      </c>
      <c r="AX2679" s="82" t="s">
        <v>19445</v>
      </c>
      <c r="AY2679" s="77"/>
      <c r="AZ2679" s="82" t="s">
        <v>20971</v>
      </c>
      <c r="BA2679" s="82" t="s">
        <v>20971</v>
      </c>
      <c r="BB2679" s="82" t="s">
        <v>20971</v>
      </c>
      <c r="BC2679" s="82" t="s">
        <v>19445</v>
      </c>
      <c r="BD2679" s="82" t="s">
        <v>21519</v>
      </c>
      <c r="BE2679" s="77"/>
      <c r="BF2679" s="77"/>
      <c r="BG2679" s="77"/>
      <c r="BH2679" s="77"/>
      <c r="BI2679" s="77"/>
    </row>
    <row r="2680" spans="1:61" x14ac:dyDescent="0.25">
      <c r="A2680" s="62" t="s">
        <v>903</v>
      </c>
      <c r="B2680" s="62" t="s">
        <v>903</v>
      </c>
      <c r="C2680" s="63"/>
      <c r="D2680" s="64"/>
      <c r="E2680" s="65"/>
      <c r="F2680" s="66"/>
      <c r="G2680" s="63"/>
      <c r="H2680" s="67"/>
      <c r="I2680" s="68"/>
      <c r="J2680" s="68"/>
      <c r="K2680" s="32"/>
      <c r="L2680" s="75">
        <v>2680</v>
      </c>
      <c r="M2680" s="75"/>
      <c r="N2680" s="70"/>
      <c r="O2680" s="77" t="s">
        <v>179</v>
      </c>
      <c r="P2680" s="79">
        <v>44998.033078703702</v>
      </c>
      <c r="Q2680" s="77" t="s">
        <v>3886</v>
      </c>
      <c r="R2680" s="77">
        <v>0</v>
      </c>
      <c r="S2680" s="77">
        <v>0</v>
      </c>
      <c r="T2680" s="77">
        <v>0</v>
      </c>
      <c r="U2680" s="77">
        <v>0</v>
      </c>
      <c r="V2680" s="77">
        <v>19</v>
      </c>
      <c r="W2680" s="82" t="s">
        <v>5236</v>
      </c>
      <c r="X2680" s="80" t="str">
        <f>HYPERLINK("https://go.hotmart.com/B77468619P")</f>
        <v>https://go.hotmart.com/B77468619P</v>
      </c>
      <c r="Y2680" s="77" t="s">
        <v>7251</v>
      </c>
      <c r="Z2680" s="77"/>
      <c r="AA2680" s="77" t="s">
        <v>9069</v>
      </c>
      <c r="AB2680" s="77" t="s">
        <v>10130</v>
      </c>
      <c r="AC2680" s="82" t="s">
        <v>10173</v>
      </c>
      <c r="AD2680" s="77" t="s">
        <v>10184</v>
      </c>
      <c r="AE2680" s="80" t="str">
        <f>HYPERLINK("https://twitter.com/metaversoinfo/status/1635080141469540352")</f>
        <v>https://twitter.com/metaversoinfo/status/1635080141469540352</v>
      </c>
      <c r="AF2680" s="79">
        <v>44998.033078703702</v>
      </c>
      <c r="AG2680" s="85">
        <v>44998</v>
      </c>
      <c r="AH2680" s="82" t="s">
        <v>12757</v>
      </c>
      <c r="AI2680" s="77" t="b">
        <v>0</v>
      </c>
      <c r="AJ2680" s="77"/>
      <c r="AK2680" s="77"/>
      <c r="AL2680" s="77"/>
      <c r="AM2680" s="77"/>
      <c r="AN2680" s="77"/>
      <c r="AO2680" s="77"/>
      <c r="AP2680" s="77"/>
      <c r="AQ2680" s="77" t="s">
        <v>15712</v>
      </c>
      <c r="AR2680" s="77"/>
      <c r="AS2680" s="77"/>
      <c r="AT2680" s="77"/>
      <c r="AU2680" s="77"/>
      <c r="AV2680" s="80" t="str">
        <f>HYPERLINK("https://pbs.twimg.com/media/FrD4r9AXgAANBFA.jpg")</f>
        <v>https://pbs.twimg.com/media/FrD4r9AXgAANBFA.jpg</v>
      </c>
      <c r="AW2680" s="82" t="s">
        <v>19446</v>
      </c>
      <c r="AX2680" s="82" t="s">
        <v>19446</v>
      </c>
      <c r="AY2680" s="77"/>
      <c r="AZ2680" s="82" t="s">
        <v>20971</v>
      </c>
      <c r="BA2680" s="82" t="s">
        <v>20971</v>
      </c>
      <c r="BB2680" s="82" t="s">
        <v>20971</v>
      </c>
      <c r="BC2680" s="82" t="s">
        <v>19446</v>
      </c>
      <c r="BD2680" s="82" t="s">
        <v>21519</v>
      </c>
      <c r="BE2680" s="77"/>
      <c r="BF2680" s="77"/>
      <c r="BG2680" s="77"/>
      <c r="BH2680" s="77"/>
      <c r="BI2680" s="77"/>
    </row>
    <row r="2681" spans="1:61" x14ac:dyDescent="0.25">
      <c r="A2681" s="62" t="s">
        <v>903</v>
      </c>
      <c r="B2681" s="62" t="s">
        <v>903</v>
      </c>
      <c r="C2681" s="63"/>
      <c r="D2681" s="64"/>
      <c r="E2681" s="65"/>
      <c r="F2681" s="66"/>
      <c r="G2681" s="63"/>
      <c r="H2681" s="67"/>
      <c r="I2681" s="68"/>
      <c r="J2681" s="68"/>
      <c r="K2681" s="32"/>
      <c r="L2681" s="75">
        <v>2681</v>
      </c>
      <c r="M2681" s="75"/>
      <c r="N2681" s="70"/>
      <c r="O2681" s="77" t="s">
        <v>179</v>
      </c>
      <c r="P2681" s="79">
        <v>44997.820405092592</v>
      </c>
      <c r="Q2681" s="77" t="s">
        <v>3887</v>
      </c>
      <c r="R2681" s="77">
        <v>0</v>
      </c>
      <c r="S2681" s="77">
        <v>0</v>
      </c>
      <c r="T2681" s="77">
        <v>0</v>
      </c>
      <c r="U2681" s="77">
        <v>0</v>
      </c>
      <c r="V2681" s="77">
        <v>16</v>
      </c>
      <c r="W2681" s="82" t="s">
        <v>5236</v>
      </c>
      <c r="X2681" s="80" t="str">
        <f>HYPERLINK("https://go.hotmart.com/B77468619P")</f>
        <v>https://go.hotmart.com/B77468619P</v>
      </c>
      <c r="Y2681" s="77" t="s">
        <v>7251</v>
      </c>
      <c r="Z2681" s="77"/>
      <c r="AA2681" s="77" t="s">
        <v>9070</v>
      </c>
      <c r="AB2681" s="77" t="s">
        <v>10130</v>
      </c>
      <c r="AC2681" s="82" t="s">
        <v>10173</v>
      </c>
      <c r="AD2681" s="77" t="s">
        <v>10184</v>
      </c>
      <c r="AE2681" s="80" t="str">
        <f>HYPERLINK("https://twitter.com/metaversoinfo/status/1635003071746162688")</f>
        <v>https://twitter.com/metaversoinfo/status/1635003071746162688</v>
      </c>
      <c r="AF2681" s="79">
        <v>44997.820405092592</v>
      </c>
      <c r="AG2681" s="85">
        <v>44997</v>
      </c>
      <c r="AH2681" s="82" t="s">
        <v>12758</v>
      </c>
      <c r="AI2681" s="77" t="b">
        <v>0</v>
      </c>
      <c r="AJ2681" s="77"/>
      <c r="AK2681" s="77"/>
      <c r="AL2681" s="77"/>
      <c r="AM2681" s="77"/>
      <c r="AN2681" s="77"/>
      <c r="AO2681" s="77"/>
      <c r="AP2681" s="77"/>
      <c r="AQ2681" s="77" t="s">
        <v>15713</v>
      </c>
      <c r="AR2681" s="77"/>
      <c r="AS2681" s="77"/>
      <c r="AT2681" s="77"/>
      <c r="AU2681" s="77"/>
      <c r="AV2681" s="80" t="str">
        <f>HYPERLINK("https://pbs.twimg.com/media/FrCynUJXoAgLAi7.jpg")</f>
        <v>https://pbs.twimg.com/media/FrCynUJXoAgLAi7.jpg</v>
      </c>
      <c r="AW2681" s="82" t="s">
        <v>19447</v>
      </c>
      <c r="AX2681" s="82" t="s">
        <v>19447</v>
      </c>
      <c r="AY2681" s="77"/>
      <c r="AZ2681" s="82" t="s">
        <v>20971</v>
      </c>
      <c r="BA2681" s="82" t="s">
        <v>20971</v>
      </c>
      <c r="BB2681" s="82" t="s">
        <v>20971</v>
      </c>
      <c r="BC2681" s="82" t="s">
        <v>19447</v>
      </c>
      <c r="BD2681" s="82" t="s">
        <v>21519</v>
      </c>
      <c r="BE2681" s="77"/>
      <c r="BF2681" s="77"/>
      <c r="BG2681" s="77"/>
      <c r="BH2681" s="77"/>
      <c r="BI2681" s="77"/>
    </row>
    <row r="2682" spans="1:61" x14ac:dyDescent="0.25">
      <c r="A2682" s="62" t="s">
        <v>903</v>
      </c>
      <c r="B2682" s="62" t="s">
        <v>903</v>
      </c>
      <c r="C2682" s="63"/>
      <c r="D2682" s="64"/>
      <c r="E2682" s="65"/>
      <c r="F2682" s="66"/>
      <c r="G2682" s="63"/>
      <c r="H2682" s="67"/>
      <c r="I2682" s="68"/>
      <c r="J2682" s="68"/>
      <c r="K2682" s="32"/>
      <c r="L2682" s="75">
        <v>2682</v>
      </c>
      <c r="M2682" s="75"/>
      <c r="N2682" s="70"/>
      <c r="O2682" s="77" t="s">
        <v>179</v>
      </c>
      <c r="P2682" s="79">
        <v>44997.608668981484</v>
      </c>
      <c r="Q2682" s="77" t="s">
        <v>3888</v>
      </c>
      <c r="R2682" s="77">
        <v>0</v>
      </c>
      <c r="S2682" s="77">
        <v>0</v>
      </c>
      <c r="T2682" s="77">
        <v>0</v>
      </c>
      <c r="U2682" s="77">
        <v>0</v>
      </c>
      <c r="V2682" s="77">
        <v>8</v>
      </c>
      <c r="W2682" s="82" t="s">
        <v>5236</v>
      </c>
      <c r="X2682" s="80" t="str">
        <f>HYPERLINK("https://go.hotmart.com/B77468619P")</f>
        <v>https://go.hotmart.com/B77468619P</v>
      </c>
      <c r="Y2682" s="77" t="s">
        <v>7251</v>
      </c>
      <c r="Z2682" s="77"/>
      <c r="AA2682" s="77" t="s">
        <v>9071</v>
      </c>
      <c r="AB2682" s="77" t="s">
        <v>10130</v>
      </c>
      <c r="AC2682" s="82" t="s">
        <v>10173</v>
      </c>
      <c r="AD2682" s="77" t="s">
        <v>10184</v>
      </c>
      <c r="AE2682" s="80" t="str">
        <f>HYPERLINK("https://twitter.com/metaversoinfo/status/1634926341442371584")</f>
        <v>https://twitter.com/metaversoinfo/status/1634926341442371584</v>
      </c>
      <c r="AF2682" s="79">
        <v>44997.608668981484</v>
      </c>
      <c r="AG2682" s="85">
        <v>44997</v>
      </c>
      <c r="AH2682" s="82" t="s">
        <v>12759</v>
      </c>
      <c r="AI2682" s="77" t="b">
        <v>0</v>
      </c>
      <c r="AJ2682" s="77"/>
      <c r="AK2682" s="77"/>
      <c r="AL2682" s="77"/>
      <c r="AM2682" s="77"/>
      <c r="AN2682" s="77"/>
      <c r="AO2682" s="77"/>
      <c r="AP2682" s="77"/>
      <c r="AQ2682" s="77" t="s">
        <v>15714</v>
      </c>
      <c r="AR2682" s="77"/>
      <c r="AS2682" s="77"/>
      <c r="AT2682" s="77"/>
      <c r="AU2682" s="77"/>
      <c r="AV2682" s="80" t="str">
        <f>HYPERLINK("https://pbs.twimg.com/media/FrBszzGWYAAP8Nx.jpg")</f>
        <v>https://pbs.twimg.com/media/FrBszzGWYAAP8Nx.jpg</v>
      </c>
      <c r="AW2682" s="82" t="s">
        <v>19448</v>
      </c>
      <c r="AX2682" s="82" t="s">
        <v>19448</v>
      </c>
      <c r="AY2682" s="77"/>
      <c r="AZ2682" s="82" t="s">
        <v>20971</v>
      </c>
      <c r="BA2682" s="82" t="s">
        <v>20971</v>
      </c>
      <c r="BB2682" s="82" t="s">
        <v>20971</v>
      </c>
      <c r="BC2682" s="82" t="s">
        <v>19448</v>
      </c>
      <c r="BD2682" s="82" t="s">
        <v>21519</v>
      </c>
      <c r="BE2682" s="77"/>
      <c r="BF2682" s="77"/>
      <c r="BG2682" s="77"/>
      <c r="BH2682" s="77"/>
      <c r="BI2682" s="77"/>
    </row>
    <row r="2683" spans="1:61" x14ac:dyDescent="0.25">
      <c r="A2683" s="62" t="s">
        <v>903</v>
      </c>
      <c r="B2683" s="62" t="s">
        <v>903</v>
      </c>
      <c r="C2683" s="63"/>
      <c r="D2683" s="64"/>
      <c r="E2683" s="65"/>
      <c r="F2683" s="66"/>
      <c r="G2683" s="63"/>
      <c r="H2683" s="67"/>
      <c r="I2683" s="68"/>
      <c r="J2683" s="68"/>
      <c r="K2683" s="32"/>
      <c r="L2683" s="75">
        <v>2683</v>
      </c>
      <c r="M2683" s="75"/>
      <c r="N2683" s="70"/>
      <c r="O2683" s="77" t="s">
        <v>179</v>
      </c>
      <c r="P2683" s="79">
        <v>44997.396990740737</v>
      </c>
      <c r="Q2683" s="77" t="s">
        <v>3889</v>
      </c>
      <c r="R2683" s="77">
        <v>0</v>
      </c>
      <c r="S2683" s="77">
        <v>0</v>
      </c>
      <c r="T2683" s="77">
        <v>0</v>
      </c>
      <c r="U2683" s="77">
        <v>0</v>
      </c>
      <c r="V2683" s="77">
        <v>13</v>
      </c>
      <c r="W2683" s="82" t="s">
        <v>5236</v>
      </c>
      <c r="X2683" s="80" t="str">
        <f>HYPERLINK("https://go.hotmart.com/B77468619P")</f>
        <v>https://go.hotmart.com/B77468619P</v>
      </c>
      <c r="Y2683" s="77" t="s">
        <v>7251</v>
      </c>
      <c r="Z2683" s="77"/>
      <c r="AA2683" s="77" t="s">
        <v>9072</v>
      </c>
      <c r="AB2683" s="77" t="s">
        <v>10130</v>
      </c>
      <c r="AC2683" s="82" t="s">
        <v>10173</v>
      </c>
      <c r="AD2683" s="77" t="s">
        <v>10184</v>
      </c>
      <c r="AE2683" s="80" t="str">
        <f>HYPERLINK("https://twitter.com/metaversoinfo/status/1634849631417843718")</f>
        <v>https://twitter.com/metaversoinfo/status/1634849631417843718</v>
      </c>
      <c r="AF2683" s="79">
        <v>44997.396990740737</v>
      </c>
      <c r="AG2683" s="85">
        <v>44997</v>
      </c>
      <c r="AH2683" s="82" t="s">
        <v>12760</v>
      </c>
      <c r="AI2683" s="77" t="b">
        <v>0</v>
      </c>
      <c r="AJ2683" s="77"/>
      <c r="AK2683" s="77"/>
      <c r="AL2683" s="77"/>
      <c r="AM2683" s="77"/>
      <c r="AN2683" s="77"/>
      <c r="AO2683" s="77"/>
      <c r="AP2683" s="77"/>
      <c r="AQ2683" s="77" t="s">
        <v>15715</v>
      </c>
      <c r="AR2683" s="77"/>
      <c r="AS2683" s="77"/>
      <c r="AT2683" s="77"/>
      <c r="AU2683" s="77"/>
      <c r="AV2683" s="80" t="str">
        <f>HYPERLINK("https://pbs.twimg.com/media/FrAnCa7WYAIJk4f.jpg")</f>
        <v>https://pbs.twimg.com/media/FrAnCa7WYAIJk4f.jpg</v>
      </c>
      <c r="AW2683" s="82" t="s">
        <v>19449</v>
      </c>
      <c r="AX2683" s="82" t="s">
        <v>19449</v>
      </c>
      <c r="AY2683" s="77"/>
      <c r="AZ2683" s="82" t="s">
        <v>20971</v>
      </c>
      <c r="BA2683" s="82" t="s">
        <v>20971</v>
      </c>
      <c r="BB2683" s="82" t="s">
        <v>20971</v>
      </c>
      <c r="BC2683" s="82" t="s">
        <v>19449</v>
      </c>
      <c r="BD2683" s="82" t="s">
        <v>21519</v>
      </c>
      <c r="BE2683" s="77"/>
      <c r="BF2683" s="77"/>
      <c r="BG2683" s="77"/>
      <c r="BH2683" s="77"/>
      <c r="BI2683" s="77"/>
    </row>
    <row r="2684" spans="1:61" x14ac:dyDescent="0.25">
      <c r="A2684" s="62" t="s">
        <v>903</v>
      </c>
      <c r="B2684" s="62" t="s">
        <v>903</v>
      </c>
      <c r="C2684" s="63"/>
      <c r="D2684" s="64"/>
      <c r="E2684" s="65"/>
      <c r="F2684" s="66"/>
      <c r="G2684" s="63"/>
      <c r="H2684" s="67"/>
      <c r="I2684" s="68"/>
      <c r="J2684" s="68"/>
      <c r="K2684" s="32"/>
      <c r="L2684" s="75">
        <v>2684</v>
      </c>
      <c r="M2684" s="75"/>
      <c r="N2684" s="70"/>
      <c r="O2684" s="77" t="s">
        <v>179</v>
      </c>
      <c r="P2684" s="79">
        <v>44997.185277777775</v>
      </c>
      <c r="Q2684" s="77" t="s">
        <v>3890</v>
      </c>
      <c r="R2684" s="77">
        <v>0</v>
      </c>
      <c r="S2684" s="77">
        <v>0</v>
      </c>
      <c r="T2684" s="77">
        <v>0</v>
      </c>
      <c r="U2684" s="77">
        <v>0</v>
      </c>
      <c r="V2684" s="77">
        <v>13</v>
      </c>
      <c r="W2684" s="82" t="s">
        <v>5236</v>
      </c>
      <c r="X2684" s="80" t="str">
        <f>HYPERLINK("https://go.hotmart.com/B77468619P")</f>
        <v>https://go.hotmart.com/B77468619P</v>
      </c>
      <c r="Y2684" s="77" t="s">
        <v>7251</v>
      </c>
      <c r="Z2684" s="77"/>
      <c r="AA2684" s="77" t="s">
        <v>9073</v>
      </c>
      <c r="AB2684" s="77" t="s">
        <v>10130</v>
      </c>
      <c r="AC2684" s="82" t="s">
        <v>10173</v>
      </c>
      <c r="AD2684" s="77" t="s">
        <v>10184</v>
      </c>
      <c r="AE2684" s="80" t="str">
        <f>HYPERLINK("https://twitter.com/metaversoinfo/status/1634772905824231430")</f>
        <v>https://twitter.com/metaversoinfo/status/1634772905824231430</v>
      </c>
      <c r="AF2684" s="79">
        <v>44997.185277777775</v>
      </c>
      <c r="AG2684" s="85">
        <v>44997</v>
      </c>
      <c r="AH2684" s="82" t="s">
        <v>12761</v>
      </c>
      <c r="AI2684" s="77" t="b">
        <v>0</v>
      </c>
      <c r="AJ2684" s="77"/>
      <c r="AK2684" s="77"/>
      <c r="AL2684" s="77"/>
      <c r="AM2684" s="77"/>
      <c r="AN2684" s="77"/>
      <c r="AO2684" s="77"/>
      <c r="AP2684" s="77"/>
      <c r="AQ2684" s="77" t="s">
        <v>15716</v>
      </c>
      <c r="AR2684" s="77"/>
      <c r="AS2684" s="77"/>
      <c r="AT2684" s="77"/>
      <c r="AU2684" s="77"/>
      <c r="AV2684" s="80" t="str">
        <f>HYPERLINK("https://pbs.twimg.com/media/Fq_hQzBWAAAyshy.jpg")</f>
        <v>https://pbs.twimg.com/media/Fq_hQzBWAAAyshy.jpg</v>
      </c>
      <c r="AW2684" s="82" t="s">
        <v>19450</v>
      </c>
      <c r="AX2684" s="82" t="s">
        <v>19450</v>
      </c>
      <c r="AY2684" s="77"/>
      <c r="AZ2684" s="82" t="s">
        <v>20971</v>
      </c>
      <c r="BA2684" s="82" t="s">
        <v>20971</v>
      </c>
      <c r="BB2684" s="82" t="s">
        <v>20971</v>
      </c>
      <c r="BC2684" s="82" t="s">
        <v>19450</v>
      </c>
      <c r="BD2684" s="82" t="s">
        <v>21519</v>
      </c>
      <c r="BE2684" s="77"/>
      <c r="BF2684" s="77"/>
      <c r="BG2684" s="77"/>
      <c r="BH2684" s="77"/>
      <c r="BI2684" s="77"/>
    </row>
    <row r="2685" spans="1:61" x14ac:dyDescent="0.25">
      <c r="A2685" s="62" t="s">
        <v>903</v>
      </c>
      <c r="B2685" s="62" t="s">
        <v>903</v>
      </c>
      <c r="C2685" s="63"/>
      <c r="D2685" s="64"/>
      <c r="E2685" s="65"/>
      <c r="F2685" s="66"/>
      <c r="G2685" s="63"/>
      <c r="H2685" s="67"/>
      <c r="I2685" s="68"/>
      <c r="J2685" s="68"/>
      <c r="K2685" s="32"/>
      <c r="L2685" s="75">
        <v>2685</v>
      </c>
      <c r="M2685" s="75"/>
      <c r="N2685" s="70"/>
      <c r="O2685" s="77" t="s">
        <v>179</v>
      </c>
      <c r="P2685" s="79">
        <v>44996.974895833337</v>
      </c>
      <c r="Q2685" s="77" t="s">
        <v>3891</v>
      </c>
      <c r="R2685" s="77">
        <v>0</v>
      </c>
      <c r="S2685" s="77">
        <v>0</v>
      </c>
      <c r="T2685" s="77">
        <v>0</v>
      </c>
      <c r="U2685" s="77">
        <v>0</v>
      </c>
      <c r="V2685" s="77">
        <v>16</v>
      </c>
      <c r="W2685" s="82" t="s">
        <v>5236</v>
      </c>
      <c r="X2685" s="80" t="str">
        <f>HYPERLINK("https://go.hotmart.com/B77468619P")</f>
        <v>https://go.hotmart.com/B77468619P</v>
      </c>
      <c r="Y2685" s="77" t="s">
        <v>7251</v>
      </c>
      <c r="Z2685" s="77"/>
      <c r="AA2685" s="77" t="s">
        <v>9074</v>
      </c>
      <c r="AB2685" s="77" t="s">
        <v>10130</v>
      </c>
      <c r="AC2685" s="82" t="s">
        <v>10173</v>
      </c>
      <c r="AD2685" s="77" t="s">
        <v>10184</v>
      </c>
      <c r="AE2685" s="80" t="str">
        <f>HYPERLINK("https://twitter.com/metaversoinfo/status/1634696666233159680")</f>
        <v>https://twitter.com/metaversoinfo/status/1634696666233159680</v>
      </c>
      <c r="AF2685" s="79">
        <v>44996.974895833337</v>
      </c>
      <c r="AG2685" s="85">
        <v>44996</v>
      </c>
      <c r="AH2685" s="82" t="s">
        <v>12762</v>
      </c>
      <c r="AI2685" s="77" t="b">
        <v>0</v>
      </c>
      <c r="AJ2685" s="77"/>
      <c r="AK2685" s="77"/>
      <c r="AL2685" s="77"/>
      <c r="AM2685" s="77"/>
      <c r="AN2685" s="77"/>
      <c r="AO2685" s="77"/>
      <c r="AP2685" s="77"/>
      <c r="AQ2685" s="77" t="s">
        <v>15717</v>
      </c>
      <c r="AR2685" s="77"/>
      <c r="AS2685" s="77"/>
      <c r="AT2685" s="77"/>
      <c r="AU2685" s="77"/>
      <c r="AV2685" s="80" t="str">
        <f>HYPERLINK("https://pbs.twimg.com/media/Fq-b6SZXsAAAhOg.jpg")</f>
        <v>https://pbs.twimg.com/media/Fq-b6SZXsAAAhOg.jpg</v>
      </c>
      <c r="AW2685" s="82" t="s">
        <v>19451</v>
      </c>
      <c r="AX2685" s="82" t="s">
        <v>19451</v>
      </c>
      <c r="AY2685" s="77"/>
      <c r="AZ2685" s="82" t="s">
        <v>20971</v>
      </c>
      <c r="BA2685" s="82" t="s">
        <v>20971</v>
      </c>
      <c r="BB2685" s="82" t="s">
        <v>20971</v>
      </c>
      <c r="BC2685" s="82" t="s">
        <v>19451</v>
      </c>
      <c r="BD2685" s="82" t="s">
        <v>21519</v>
      </c>
      <c r="BE2685" s="77"/>
      <c r="BF2685" s="77"/>
      <c r="BG2685" s="77"/>
      <c r="BH2685" s="77"/>
      <c r="BI2685" s="77"/>
    </row>
    <row r="2686" spans="1:61" x14ac:dyDescent="0.25">
      <c r="A2686" s="62" t="s">
        <v>903</v>
      </c>
      <c r="B2686" s="62" t="s">
        <v>903</v>
      </c>
      <c r="C2686" s="63"/>
      <c r="D2686" s="64"/>
      <c r="E2686" s="65"/>
      <c r="F2686" s="66"/>
      <c r="G2686" s="63"/>
      <c r="H2686" s="67"/>
      <c r="I2686" s="68"/>
      <c r="J2686" s="68"/>
      <c r="K2686" s="32"/>
      <c r="L2686" s="75">
        <v>2686</v>
      </c>
      <c r="M2686" s="75"/>
      <c r="N2686" s="70"/>
      <c r="O2686" s="77" t="s">
        <v>179</v>
      </c>
      <c r="P2686" s="79">
        <v>44996.764525462961</v>
      </c>
      <c r="Q2686" s="77" t="s">
        <v>3892</v>
      </c>
      <c r="R2686" s="77">
        <v>0</v>
      </c>
      <c r="S2686" s="77">
        <v>0</v>
      </c>
      <c r="T2686" s="77">
        <v>0</v>
      </c>
      <c r="U2686" s="77">
        <v>0</v>
      </c>
      <c r="V2686" s="77">
        <v>9</v>
      </c>
      <c r="W2686" s="82" t="s">
        <v>5236</v>
      </c>
      <c r="X2686" s="80" t="str">
        <f>HYPERLINK("https://go.hotmart.com/B77468619P")</f>
        <v>https://go.hotmart.com/B77468619P</v>
      </c>
      <c r="Y2686" s="77" t="s">
        <v>7251</v>
      </c>
      <c r="Z2686" s="77"/>
      <c r="AA2686" s="77" t="s">
        <v>9075</v>
      </c>
      <c r="AB2686" s="77" t="s">
        <v>10130</v>
      </c>
      <c r="AC2686" s="82" t="s">
        <v>10173</v>
      </c>
      <c r="AD2686" s="77" t="s">
        <v>10184</v>
      </c>
      <c r="AE2686" s="80" t="str">
        <f>HYPERLINK("https://twitter.com/metaversoinfo/status/1634620433868750851")</f>
        <v>https://twitter.com/metaversoinfo/status/1634620433868750851</v>
      </c>
      <c r="AF2686" s="79">
        <v>44996.764525462961</v>
      </c>
      <c r="AG2686" s="85">
        <v>44996</v>
      </c>
      <c r="AH2686" s="82" t="s">
        <v>12763</v>
      </c>
      <c r="AI2686" s="77" t="b">
        <v>0</v>
      </c>
      <c r="AJ2686" s="77"/>
      <c r="AK2686" s="77"/>
      <c r="AL2686" s="77"/>
      <c r="AM2686" s="77"/>
      <c r="AN2686" s="77"/>
      <c r="AO2686" s="77"/>
      <c r="AP2686" s="77"/>
      <c r="AQ2686" s="77" t="s">
        <v>15718</v>
      </c>
      <c r="AR2686" s="77"/>
      <c r="AS2686" s="77"/>
      <c r="AT2686" s="77"/>
      <c r="AU2686" s="77"/>
      <c r="AV2686" s="80" t="str">
        <f>HYPERLINK("https://pbs.twimg.com/media/Fq9WhBeWYAI3grX.jpg")</f>
        <v>https://pbs.twimg.com/media/Fq9WhBeWYAI3grX.jpg</v>
      </c>
      <c r="AW2686" s="82" t="s">
        <v>19452</v>
      </c>
      <c r="AX2686" s="82" t="s">
        <v>19452</v>
      </c>
      <c r="AY2686" s="77"/>
      <c r="AZ2686" s="82" t="s">
        <v>20971</v>
      </c>
      <c r="BA2686" s="82" t="s">
        <v>20971</v>
      </c>
      <c r="BB2686" s="82" t="s">
        <v>20971</v>
      </c>
      <c r="BC2686" s="82" t="s">
        <v>19452</v>
      </c>
      <c r="BD2686" s="82" t="s">
        <v>21519</v>
      </c>
      <c r="BE2686" s="77"/>
      <c r="BF2686" s="77"/>
      <c r="BG2686" s="77"/>
      <c r="BH2686" s="77"/>
      <c r="BI2686" s="77"/>
    </row>
    <row r="2687" spans="1:61" x14ac:dyDescent="0.25">
      <c r="A2687" s="62" t="s">
        <v>903</v>
      </c>
      <c r="B2687" s="62" t="s">
        <v>903</v>
      </c>
      <c r="C2687" s="63"/>
      <c r="D2687" s="64"/>
      <c r="E2687" s="65"/>
      <c r="F2687" s="66"/>
      <c r="G2687" s="63"/>
      <c r="H2687" s="67"/>
      <c r="I2687" s="68"/>
      <c r="J2687" s="68"/>
      <c r="K2687" s="32"/>
      <c r="L2687" s="75">
        <v>2687</v>
      </c>
      <c r="M2687" s="75"/>
      <c r="N2687" s="70"/>
      <c r="O2687" s="77" t="s">
        <v>179</v>
      </c>
      <c r="P2687" s="79">
        <v>44995.494259259256</v>
      </c>
      <c r="Q2687" s="77" t="s">
        <v>3893</v>
      </c>
      <c r="R2687" s="77">
        <v>0</v>
      </c>
      <c r="S2687" s="77">
        <v>0</v>
      </c>
      <c r="T2687" s="77">
        <v>0</v>
      </c>
      <c r="U2687" s="77">
        <v>0</v>
      </c>
      <c r="V2687" s="77">
        <v>11</v>
      </c>
      <c r="W2687" s="82" t="s">
        <v>5236</v>
      </c>
      <c r="X2687" s="80" t="str">
        <f>HYPERLINK("https://go.hotmart.com/B77468619P")</f>
        <v>https://go.hotmart.com/B77468619P</v>
      </c>
      <c r="Y2687" s="77" t="s">
        <v>7251</v>
      </c>
      <c r="Z2687" s="77"/>
      <c r="AA2687" s="77" t="s">
        <v>9076</v>
      </c>
      <c r="AB2687" s="77" t="s">
        <v>10130</v>
      </c>
      <c r="AC2687" s="82" t="s">
        <v>10173</v>
      </c>
      <c r="AD2687" s="77" t="s">
        <v>10184</v>
      </c>
      <c r="AE2687" s="80" t="str">
        <f>HYPERLINK("https://twitter.com/metaversoinfo/status/1634160102650281988")</f>
        <v>https://twitter.com/metaversoinfo/status/1634160102650281988</v>
      </c>
      <c r="AF2687" s="79">
        <v>44995.494259259256</v>
      </c>
      <c r="AG2687" s="85">
        <v>44995</v>
      </c>
      <c r="AH2687" s="82" t="s">
        <v>12764</v>
      </c>
      <c r="AI2687" s="77" t="b">
        <v>0</v>
      </c>
      <c r="AJ2687" s="77"/>
      <c r="AK2687" s="77"/>
      <c r="AL2687" s="77"/>
      <c r="AM2687" s="77"/>
      <c r="AN2687" s="77"/>
      <c r="AO2687" s="77"/>
      <c r="AP2687" s="77"/>
      <c r="AQ2687" s="77" t="s">
        <v>15719</v>
      </c>
      <c r="AR2687" s="77"/>
      <c r="AS2687" s="77"/>
      <c r="AT2687" s="77"/>
      <c r="AU2687" s="77"/>
      <c r="AV2687" s="80" t="str">
        <f>HYPERLINK("https://pbs.twimg.com/media/Fq2z6-0XsAARAR9.jpg")</f>
        <v>https://pbs.twimg.com/media/Fq2z6-0XsAARAR9.jpg</v>
      </c>
      <c r="AW2687" s="82" t="s">
        <v>19453</v>
      </c>
      <c r="AX2687" s="82" t="s">
        <v>19453</v>
      </c>
      <c r="AY2687" s="77"/>
      <c r="AZ2687" s="82" t="s">
        <v>20971</v>
      </c>
      <c r="BA2687" s="82" t="s">
        <v>20971</v>
      </c>
      <c r="BB2687" s="82" t="s">
        <v>20971</v>
      </c>
      <c r="BC2687" s="82" t="s">
        <v>19453</v>
      </c>
      <c r="BD2687" s="82" t="s">
        <v>21519</v>
      </c>
      <c r="BE2687" s="77"/>
      <c r="BF2687" s="77"/>
      <c r="BG2687" s="77"/>
      <c r="BH2687" s="77"/>
      <c r="BI2687" s="77"/>
    </row>
    <row r="2688" spans="1:61" x14ac:dyDescent="0.25">
      <c r="A2688" s="62" t="s">
        <v>903</v>
      </c>
      <c r="B2688" s="62" t="s">
        <v>903</v>
      </c>
      <c r="C2688" s="63"/>
      <c r="D2688" s="64"/>
      <c r="E2688" s="65"/>
      <c r="F2688" s="66"/>
      <c r="G2688" s="63"/>
      <c r="H2688" s="67"/>
      <c r="I2688" s="68"/>
      <c r="J2688" s="68"/>
      <c r="K2688" s="32"/>
      <c r="L2688" s="75">
        <v>2688</v>
      </c>
      <c r="M2688" s="75"/>
      <c r="N2688" s="70"/>
      <c r="O2688" s="77" t="s">
        <v>179</v>
      </c>
      <c r="P2688" s="79">
        <v>44995.283159722225</v>
      </c>
      <c r="Q2688" s="77" t="s">
        <v>3894</v>
      </c>
      <c r="R2688" s="77">
        <v>0</v>
      </c>
      <c r="S2688" s="77">
        <v>0</v>
      </c>
      <c r="T2688" s="77">
        <v>0</v>
      </c>
      <c r="U2688" s="77">
        <v>0</v>
      </c>
      <c r="V2688" s="77">
        <v>3</v>
      </c>
      <c r="W2688" s="82" t="s">
        <v>5236</v>
      </c>
      <c r="X2688" s="80" t="str">
        <f>HYPERLINK("https://go.hotmart.com/B77468619P")</f>
        <v>https://go.hotmart.com/B77468619P</v>
      </c>
      <c r="Y2688" s="77" t="s">
        <v>7251</v>
      </c>
      <c r="Z2688" s="77"/>
      <c r="AA2688" s="77" t="s">
        <v>9077</v>
      </c>
      <c r="AB2688" s="77" t="s">
        <v>10130</v>
      </c>
      <c r="AC2688" s="82" t="s">
        <v>10173</v>
      </c>
      <c r="AD2688" s="77" t="s">
        <v>10184</v>
      </c>
      <c r="AE2688" s="80" t="str">
        <f>HYPERLINK("https://twitter.com/metaversoinfo/status/1634083603540844545")</f>
        <v>https://twitter.com/metaversoinfo/status/1634083603540844545</v>
      </c>
      <c r="AF2688" s="79">
        <v>44995.283159722225</v>
      </c>
      <c r="AG2688" s="85">
        <v>44995</v>
      </c>
      <c r="AH2688" s="82" t="s">
        <v>12765</v>
      </c>
      <c r="AI2688" s="77" t="b">
        <v>0</v>
      </c>
      <c r="AJ2688" s="77"/>
      <c r="AK2688" s="77"/>
      <c r="AL2688" s="77"/>
      <c r="AM2688" s="77"/>
      <c r="AN2688" s="77"/>
      <c r="AO2688" s="77"/>
      <c r="AP2688" s="77"/>
      <c r="AQ2688" s="77" t="s">
        <v>15720</v>
      </c>
      <c r="AR2688" s="77"/>
      <c r="AS2688" s="77"/>
      <c r="AT2688" s="77"/>
      <c r="AU2688" s="77"/>
      <c r="AV2688" s="80" t="str">
        <f>HYPERLINK("https://pbs.twimg.com/media/Fq1uV0XXgAIIMR-.jpg")</f>
        <v>https://pbs.twimg.com/media/Fq1uV0XXgAIIMR-.jpg</v>
      </c>
      <c r="AW2688" s="82" t="s">
        <v>19454</v>
      </c>
      <c r="AX2688" s="82" t="s">
        <v>19454</v>
      </c>
      <c r="AY2688" s="77"/>
      <c r="AZ2688" s="82" t="s">
        <v>20971</v>
      </c>
      <c r="BA2688" s="82" t="s">
        <v>20971</v>
      </c>
      <c r="BB2688" s="82" t="s">
        <v>20971</v>
      </c>
      <c r="BC2688" s="82" t="s">
        <v>19454</v>
      </c>
      <c r="BD2688" s="82" t="s">
        <v>21519</v>
      </c>
      <c r="BE2688" s="77"/>
      <c r="BF2688" s="77"/>
      <c r="BG2688" s="77"/>
      <c r="BH2688" s="77"/>
      <c r="BI2688" s="77"/>
    </row>
    <row r="2689" spans="1:61" x14ac:dyDescent="0.25">
      <c r="A2689" s="62" t="s">
        <v>903</v>
      </c>
      <c r="B2689" s="62" t="s">
        <v>903</v>
      </c>
      <c r="C2689" s="63"/>
      <c r="D2689" s="64"/>
      <c r="E2689" s="65"/>
      <c r="F2689" s="66"/>
      <c r="G2689" s="63"/>
      <c r="H2689" s="67"/>
      <c r="I2689" s="68"/>
      <c r="J2689" s="68"/>
      <c r="K2689" s="32"/>
      <c r="L2689" s="75">
        <v>2689</v>
      </c>
      <c r="M2689" s="75"/>
      <c r="N2689" s="70"/>
      <c r="O2689" s="77" t="s">
        <v>179</v>
      </c>
      <c r="P2689" s="79">
        <v>44995.071134259262</v>
      </c>
      <c r="Q2689" s="77" t="s">
        <v>3895</v>
      </c>
      <c r="R2689" s="77">
        <v>0</v>
      </c>
      <c r="S2689" s="77">
        <v>0</v>
      </c>
      <c r="T2689" s="77">
        <v>0</v>
      </c>
      <c r="U2689" s="77">
        <v>0</v>
      </c>
      <c r="V2689" s="77">
        <v>8</v>
      </c>
      <c r="W2689" s="82" t="s">
        <v>5236</v>
      </c>
      <c r="X2689" s="80" t="str">
        <f>HYPERLINK("https://go.hotmart.com/B77468619P")</f>
        <v>https://go.hotmart.com/B77468619P</v>
      </c>
      <c r="Y2689" s="77" t="s">
        <v>7251</v>
      </c>
      <c r="Z2689" s="77"/>
      <c r="AA2689" s="77" t="s">
        <v>9078</v>
      </c>
      <c r="AB2689" s="77" t="s">
        <v>10130</v>
      </c>
      <c r="AC2689" s="82" t="s">
        <v>10173</v>
      </c>
      <c r="AD2689" s="77" t="s">
        <v>10184</v>
      </c>
      <c r="AE2689" s="80" t="str">
        <f>HYPERLINK("https://twitter.com/metaversoinfo/status/1634006766437515265")</f>
        <v>https://twitter.com/metaversoinfo/status/1634006766437515265</v>
      </c>
      <c r="AF2689" s="79">
        <v>44995.071134259262</v>
      </c>
      <c r="AG2689" s="85">
        <v>44995</v>
      </c>
      <c r="AH2689" s="82" t="s">
        <v>12766</v>
      </c>
      <c r="AI2689" s="77" t="b">
        <v>0</v>
      </c>
      <c r="AJ2689" s="77"/>
      <c r="AK2689" s="77"/>
      <c r="AL2689" s="77"/>
      <c r="AM2689" s="77"/>
      <c r="AN2689" s="77"/>
      <c r="AO2689" s="77"/>
      <c r="AP2689" s="77"/>
      <c r="AQ2689" s="77" t="s">
        <v>15721</v>
      </c>
      <c r="AR2689" s="77"/>
      <c r="AS2689" s="77"/>
      <c r="AT2689" s="77"/>
      <c r="AU2689" s="77"/>
      <c r="AV2689" s="80" t="str">
        <f>HYPERLINK("https://pbs.twimg.com/media/Fq0oes8WcAEde_o.jpg")</f>
        <v>https://pbs.twimg.com/media/Fq0oes8WcAEde_o.jpg</v>
      </c>
      <c r="AW2689" s="82" t="s">
        <v>19455</v>
      </c>
      <c r="AX2689" s="82" t="s">
        <v>19455</v>
      </c>
      <c r="AY2689" s="77"/>
      <c r="AZ2689" s="82" t="s">
        <v>20971</v>
      </c>
      <c r="BA2689" s="82" t="s">
        <v>20971</v>
      </c>
      <c r="BB2689" s="82" t="s">
        <v>20971</v>
      </c>
      <c r="BC2689" s="82" t="s">
        <v>19455</v>
      </c>
      <c r="BD2689" s="82" t="s">
        <v>21519</v>
      </c>
      <c r="BE2689" s="77"/>
      <c r="BF2689" s="77"/>
      <c r="BG2689" s="77"/>
      <c r="BH2689" s="77"/>
      <c r="BI2689" s="77"/>
    </row>
    <row r="2690" spans="1:61" x14ac:dyDescent="0.25">
      <c r="A2690" s="62" t="s">
        <v>903</v>
      </c>
      <c r="B2690" s="62" t="s">
        <v>903</v>
      </c>
      <c r="C2690" s="63"/>
      <c r="D2690" s="64"/>
      <c r="E2690" s="65"/>
      <c r="F2690" s="66"/>
      <c r="G2690" s="63"/>
      <c r="H2690" s="67"/>
      <c r="I2690" s="68"/>
      <c r="J2690" s="68"/>
      <c r="K2690" s="32"/>
      <c r="L2690" s="75">
        <v>2690</v>
      </c>
      <c r="M2690" s="75"/>
      <c r="N2690" s="70"/>
      <c r="O2690" s="77" t="s">
        <v>179</v>
      </c>
      <c r="P2690" s="79">
        <v>44994.860162037039</v>
      </c>
      <c r="Q2690" s="77" t="s">
        <v>3896</v>
      </c>
      <c r="R2690" s="77">
        <v>0</v>
      </c>
      <c r="S2690" s="77">
        <v>0</v>
      </c>
      <c r="T2690" s="77">
        <v>0</v>
      </c>
      <c r="U2690" s="77">
        <v>0</v>
      </c>
      <c r="V2690" s="77">
        <v>21</v>
      </c>
      <c r="W2690" s="82" t="s">
        <v>5236</v>
      </c>
      <c r="X2690" s="80" t="str">
        <f>HYPERLINK("https://go.hotmart.com/B77468619P")</f>
        <v>https://go.hotmart.com/B77468619P</v>
      </c>
      <c r="Y2690" s="77" t="s">
        <v>7251</v>
      </c>
      <c r="Z2690" s="77"/>
      <c r="AA2690" s="77" t="s">
        <v>9079</v>
      </c>
      <c r="AB2690" s="77" t="s">
        <v>10130</v>
      </c>
      <c r="AC2690" s="82" t="s">
        <v>10173</v>
      </c>
      <c r="AD2690" s="77" t="s">
        <v>10184</v>
      </c>
      <c r="AE2690" s="80" t="str">
        <f>HYPERLINK("https://twitter.com/metaversoinfo/status/1633930313197027328")</f>
        <v>https://twitter.com/metaversoinfo/status/1633930313197027328</v>
      </c>
      <c r="AF2690" s="79">
        <v>44994.860162037039</v>
      </c>
      <c r="AG2690" s="85">
        <v>44994</v>
      </c>
      <c r="AH2690" s="82" t="s">
        <v>12767</v>
      </c>
      <c r="AI2690" s="77" t="b">
        <v>0</v>
      </c>
      <c r="AJ2690" s="77"/>
      <c r="AK2690" s="77"/>
      <c r="AL2690" s="77"/>
      <c r="AM2690" s="77"/>
      <c r="AN2690" s="77"/>
      <c r="AO2690" s="77"/>
      <c r="AP2690" s="77"/>
      <c r="AQ2690" s="77" t="s">
        <v>15722</v>
      </c>
      <c r="AR2690" s="77"/>
      <c r="AS2690" s="77"/>
      <c r="AT2690" s="77"/>
      <c r="AU2690" s="77"/>
      <c r="AV2690" s="80" t="str">
        <f>HYPERLINK("https://pbs.twimg.com/media/Fqzi7ObXgAE2F4Z.jpg")</f>
        <v>https://pbs.twimg.com/media/Fqzi7ObXgAE2F4Z.jpg</v>
      </c>
      <c r="AW2690" s="82" t="s">
        <v>19456</v>
      </c>
      <c r="AX2690" s="82" t="s">
        <v>19456</v>
      </c>
      <c r="AY2690" s="77"/>
      <c r="AZ2690" s="82" t="s">
        <v>20971</v>
      </c>
      <c r="BA2690" s="82" t="s">
        <v>20971</v>
      </c>
      <c r="BB2690" s="82" t="s">
        <v>20971</v>
      </c>
      <c r="BC2690" s="82" t="s">
        <v>19456</v>
      </c>
      <c r="BD2690" s="82" t="s">
        <v>21519</v>
      </c>
      <c r="BE2690" s="77"/>
      <c r="BF2690" s="77"/>
      <c r="BG2690" s="77"/>
      <c r="BH2690" s="77"/>
      <c r="BI2690" s="77"/>
    </row>
    <row r="2691" spans="1:61" x14ac:dyDescent="0.25">
      <c r="A2691" s="62" t="s">
        <v>903</v>
      </c>
      <c r="B2691" s="62" t="s">
        <v>903</v>
      </c>
      <c r="C2691" s="63"/>
      <c r="D2691" s="64"/>
      <c r="E2691" s="65"/>
      <c r="F2691" s="66"/>
      <c r="G2691" s="63"/>
      <c r="H2691" s="67"/>
      <c r="I2691" s="68"/>
      <c r="J2691" s="68"/>
      <c r="K2691" s="32"/>
      <c r="L2691" s="75">
        <v>2691</v>
      </c>
      <c r="M2691" s="75"/>
      <c r="N2691" s="70"/>
      <c r="O2691" s="77" t="s">
        <v>179</v>
      </c>
      <c r="P2691" s="79">
        <v>44994.649282407408</v>
      </c>
      <c r="Q2691" s="77" t="s">
        <v>3897</v>
      </c>
      <c r="R2691" s="77">
        <v>0</v>
      </c>
      <c r="S2691" s="77">
        <v>0</v>
      </c>
      <c r="T2691" s="77">
        <v>0</v>
      </c>
      <c r="U2691" s="77">
        <v>0</v>
      </c>
      <c r="V2691" s="77">
        <v>13</v>
      </c>
      <c r="W2691" s="82" t="s">
        <v>5236</v>
      </c>
      <c r="X2691" s="80" t="str">
        <f>HYPERLINK("https://go.hotmart.com/B77468619P")</f>
        <v>https://go.hotmart.com/B77468619P</v>
      </c>
      <c r="Y2691" s="77" t="s">
        <v>7251</v>
      </c>
      <c r="Z2691" s="77"/>
      <c r="AA2691" s="77" t="s">
        <v>9080</v>
      </c>
      <c r="AB2691" s="77" t="s">
        <v>10130</v>
      </c>
      <c r="AC2691" s="82" t="s">
        <v>10173</v>
      </c>
      <c r="AD2691" s="77" t="s">
        <v>10184</v>
      </c>
      <c r="AE2691" s="80" t="str">
        <f>HYPERLINK("https://twitter.com/metaversoinfo/status/1633853894605275144")</f>
        <v>https://twitter.com/metaversoinfo/status/1633853894605275144</v>
      </c>
      <c r="AF2691" s="79">
        <v>44994.649282407408</v>
      </c>
      <c r="AG2691" s="85">
        <v>44994</v>
      </c>
      <c r="AH2691" s="82" t="s">
        <v>12768</v>
      </c>
      <c r="AI2691" s="77" t="b">
        <v>0</v>
      </c>
      <c r="AJ2691" s="77"/>
      <c r="AK2691" s="77"/>
      <c r="AL2691" s="77"/>
      <c r="AM2691" s="77"/>
      <c r="AN2691" s="77"/>
      <c r="AO2691" s="77"/>
      <c r="AP2691" s="77"/>
      <c r="AQ2691" s="77" t="s">
        <v>15723</v>
      </c>
      <c r="AR2691" s="77"/>
      <c r="AS2691" s="77"/>
      <c r="AT2691" s="77"/>
      <c r="AU2691" s="77"/>
      <c r="AV2691" s="80" t="str">
        <f>HYPERLINK("https://pbs.twimg.com/media/FqydbDbXoAUU7hM.jpg")</f>
        <v>https://pbs.twimg.com/media/FqydbDbXoAUU7hM.jpg</v>
      </c>
      <c r="AW2691" s="82" t="s">
        <v>19457</v>
      </c>
      <c r="AX2691" s="82" t="s">
        <v>19457</v>
      </c>
      <c r="AY2691" s="77"/>
      <c r="AZ2691" s="82" t="s">
        <v>20971</v>
      </c>
      <c r="BA2691" s="82" t="s">
        <v>20971</v>
      </c>
      <c r="BB2691" s="82" t="s">
        <v>20971</v>
      </c>
      <c r="BC2691" s="82" t="s">
        <v>19457</v>
      </c>
      <c r="BD2691" s="82" t="s">
        <v>21519</v>
      </c>
      <c r="BE2691" s="77"/>
      <c r="BF2691" s="77"/>
      <c r="BG2691" s="77"/>
      <c r="BH2691" s="77"/>
      <c r="BI2691" s="77"/>
    </row>
    <row r="2692" spans="1:61" x14ac:dyDescent="0.25">
      <c r="A2692" s="62" t="s">
        <v>903</v>
      </c>
      <c r="B2692" s="62" t="s">
        <v>903</v>
      </c>
      <c r="C2692" s="63"/>
      <c r="D2692" s="64"/>
      <c r="E2692" s="65"/>
      <c r="F2692" s="66"/>
      <c r="G2692" s="63"/>
      <c r="H2692" s="67"/>
      <c r="I2692" s="68"/>
      <c r="J2692" s="68"/>
      <c r="K2692" s="32"/>
      <c r="L2692" s="75">
        <v>2692</v>
      </c>
      <c r="M2692" s="75"/>
      <c r="N2692" s="70"/>
      <c r="O2692" s="77" t="s">
        <v>179</v>
      </c>
      <c r="P2692" s="79">
        <v>44994.223032407404</v>
      </c>
      <c r="Q2692" s="77" t="s">
        <v>3898</v>
      </c>
      <c r="R2692" s="77">
        <v>0</v>
      </c>
      <c r="S2692" s="77">
        <v>0</v>
      </c>
      <c r="T2692" s="77">
        <v>0</v>
      </c>
      <c r="U2692" s="77">
        <v>0</v>
      </c>
      <c r="V2692" s="77">
        <v>10</v>
      </c>
      <c r="W2692" s="82" t="s">
        <v>5236</v>
      </c>
      <c r="X2692" s="80" t="str">
        <f>HYPERLINK("https://go.hotmart.com/B77468619P")</f>
        <v>https://go.hotmart.com/B77468619P</v>
      </c>
      <c r="Y2692" s="77" t="s">
        <v>7251</v>
      </c>
      <c r="Z2692" s="77"/>
      <c r="AA2692" s="77" t="s">
        <v>9081</v>
      </c>
      <c r="AB2692" s="77" t="s">
        <v>10130</v>
      </c>
      <c r="AC2692" s="82" t="s">
        <v>10173</v>
      </c>
      <c r="AD2692" s="77" t="s">
        <v>10184</v>
      </c>
      <c r="AE2692" s="80" t="str">
        <f>HYPERLINK("https://twitter.com/metaversoinfo/status/1633699424638742529")</f>
        <v>https://twitter.com/metaversoinfo/status/1633699424638742529</v>
      </c>
      <c r="AF2692" s="79">
        <v>44994.223032407404</v>
      </c>
      <c r="AG2692" s="85">
        <v>44994</v>
      </c>
      <c r="AH2692" s="82" t="s">
        <v>12769</v>
      </c>
      <c r="AI2692" s="77" t="b">
        <v>0</v>
      </c>
      <c r="AJ2692" s="77"/>
      <c r="AK2692" s="77"/>
      <c r="AL2692" s="77"/>
      <c r="AM2692" s="77"/>
      <c r="AN2692" s="77"/>
      <c r="AO2692" s="77"/>
      <c r="AP2692" s="77"/>
      <c r="AQ2692" s="77" t="s">
        <v>15724</v>
      </c>
      <c r="AR2692" s="77"/>
      <c r="AS2692" s="77"/>
      <c r="AT2692" s="77"/>
      <c r="AU2692" s="77"/>
      <c r="AV2692" s="80" t="str">
        <f>HYPERLINK("https://pbs.twimg.com/media/FqwQ5_kWcAABpi_.jpg")</f>
        <v>https://pbs.twimg.com/media/FqwQ5_kWcAABpi_.jpg</v>
      </c>
      <c r="AW2692" s="82" t="s">
        <v>19458</v>
      </c>
      <c r="AX2692" s="82" t="s">
        <v>19458</v>
      </c>
      <c r="AY2692" s="77"/>
      <c r="AZ2692" s="82" t="s">
        <v>20971</v>
      </c>
      <c r="BA2692" s="82" t="s">
        <v>20971</v>
      </c>
      <c r="BB2692" s="82" t="s">
        <v>20971</v>
      </c>
      <c r="BC2692" s="82" t="s">
        <v>19458</v>
      </c>
      <c r="BD2692" s="82" t="s">
        <v>21519</v>
      </c>
      <c r="BE2692" s="77"/>
      <c r="BF2692" s="77"/>
      <c r="BG2692" s="77"/>
      <c r="BH2692" s="77"/>
      <c r="BI2692" s="77"/>
    </row>
    <row r="2693" spans="1:61" x14ac:dyDescent="0.25">
      <c r="A2693" s="62" t="s">
        <v>903</v>
      </c>
      <c r="B2693" s="62" t="s">
        <v>903</v>
      </c>
      <c r="C2693" s="63"/>
      <c r="D2693" s="64"/>
      <c r="E2693" s="65"/>
      <c r="F2693" s="66"/>
      <c r="G2693" s="63"/>
      <c r="H2693" s="67"/>
      <c r="I2693" s="68"/>
      <c r="J2693" s="68"/>
      <c r="K2693" s="32"/>
      <c r="L2693" s="75">
        <v>2693</v>
      </c>
      <c r="M2693" s="75"/>
      <c r="N2693" s="70"/>
      <c r="O2693" s="77" t="s">
        <v>179</v>
      </c>
      <c r="P2693" s="79">
        <v>44994.012141203704</v>
      </c>
      <c r="Q2693" s="77" t="s">
        <v>3899</v>
      </c>
      <c r="R2693" s="77">
        <v>0</v>
      </c>
      <c r="S2693" s="77">
        <v>0</v>
      </c>
      <c r="T2693" s="77">
        <v>0</v>
      </c>
      <c r="U2693" s="77">
        <v>0</v>
      </c>
      <c r="V2693" s="77">
        <v>19</v>
      </c>
      <c r="W2693" s="82" t="s">
        <v>5236</v>
      </c>
      <c r="X2693" s="80" t="str">
        <f>HYPERLINK("https://go.hotmart.com/B77468619P")</f>
        <v>https://go.hotmart.com/B77468619P</v>
      </c>
      <c r="Y2693" s="77" t="s">
        <v>7251</v>
      </c>
      <c r="Z2693" s="77"/>
      <c r="AA2693" s="77" t="s">
        <v>9082</v>
      </c>
      <c r="AB2693" s="77" t="s">
        <v>10130</v>
      </c>
      <c r="AC2693" s="82" t="s">
        <v>10173</v>
      </c>
      <c r="AD2693" s="77" t="s">
        <v>10184</v>
      </c>
      <c r="AE2693" s="80" t="str">
        <f>HYPERLINK("https://twitter.com/metaversoinfo/status/1633623000460431360")</f>
        <v>https://twitter.com/metaversoinfo/status/1633623000460431360</v>
      </c>
      <c r="AF2693" s="79">
        <v>44994.012141203704</v>
      </c>
      <c r="AG2693" s="85">
        <v>44994</v>
      </c>
      <c r="AH2693" s="82" t="s">
        <v>12770</v>
      </c>
      <c r="AI2693" s="77" t="b">
        <v>0</v>
      </c>
      <c r="AJ2693" s="77"/>
      <c r="AK2693" s="77"/>
      <c r="AL2693" s="77"/>
      <c r="AM2693" s="77"/>
      <c r="AN2693" s="77"/>
      <c r="AO2693" s="77"/>
      <c r="AP2693" s="77"/>
      <c r="AQ2693" s="77" t="s">
        <v>15725</v>
      </c>
      <c r="AR2693" s="77"/>
      <c r="AS2693" s="77"/>
      <c r="AT2693" s="77"/>
      <c r="AU2693" s="77"/>
      <c r="AV2693" s="80" t="str">
        <f>HYPERLINK("https://pbs.twimg.com/media/FqvLTgEXgAAWCXv.jpg")</f>
        <v>https://pbs.twimg.com/media/FqvLTgEXgAAWCXv.jpg</v>
      </c>
      <c r="AW2693" s="82" t="s">
        <v>19459</v>
      </c>
      <c r="AX2693" s="82" t="s">
        <v>19459</v>
      </c>
      <c r="AY2693" s="77"/>
      <c r="AZ2693" s="82" t="s">
        <v>20971</v>
      </c>
      <c r="BA2693" s="82" t="s">
        <v>20971</v>
      </c>
      <c r="BB2693" s="82" t="s">
        <v>20971</v>
      </c>
      <c r="BC2693" s="82" t="s">
        <v>19459</v>
      </c>
      <c r="BD2693" s="82" t="s">
        <v>21519</v>
      </c>
      <c r="BE2693" s="77"/>
      <c r="BF2693" s="77"/>
      <c r="BG2693" s="77"/>
      <c r="BH2693" s="77"/>
      <c r="BI2693" s="77"/>
    </row>
    <row r="2694" spans="1:61" x14ac:dyDescent="0.25">
      <c r="A2694" s="62" t="s">
        <v>903</v>
      </c>
      <c r="B2694" s="62" t="s">
        <v>903</v>
      </c>
      <c r="C2694" s="63"/>
      <c r="D2694" s="64"/>
      <c r="E2694" s="65"/>
      <c r="F2694" s="66"/>
      <c r="G2694" s="63"/>
      <c r="H2694" s="67"/>
      <c r="I2694" s="68"/>
      <c r="J2694" s="68"/>
      <c r="K2694" s="32"/>
      <c r="L2694" s="75">
        <v>2694</v>
      </c>
      <c r="M2694" s="75"/>
      <c r="N2694" s="70"/>
      <c r="O2694" s="77" t="s">
        <v>179</v>
      </c>
      <c r="P2694" s="79">
        <v>44993.799780092595</v>
      </c>
      <c r="Q2694" s="77" t="s">
        <v>3900</v>
      </c>
      <c r="R2694" s="77">
        <v>0</v>
      </c>
      <c r="S2694" s="77">
        <v>0</v>
      </c>
      <c r="T2694" s="77">
        <v>0</v>
      </c>
      <c r="U2694" s="77">
        <v>0</v>
      </c>
      <c r="V2694" s="77">
        <v>22</v>
      </c>
      <c r="W2694" s="82" t="s">
        <v>5236</v>
      </c>
      <c r="X2694" s="80" t="str">
        <f>HYPERLINK("https://go.hotmart.com/B77468619P")</f>
        <v>https://go.hotmart.com/B77468619P</v>
      </c>
      <c r="Y2694" s="77" t="s">
        <v>7251</v>
      </c>
      <c r="Z2694" s="77"/>
      <c r="AA2694" s="77" t="s">
        <v>9083</v>
      </c>
      <c r="AB2694" s="77" t="s">
        <v>10130</v>
      </c>
      <c r="AC2694" s="82" t="s">
        <v>10173</v>
      </c>
      <c r="AD2694" s="77" t="s">
        <v>10184</v>
      </c>
      <c r="AE2694" s="80" t="str">
        <f>HYPERLINK("https://twitter.com/metaversoinfo/status/1633546045123891201")</f>
        <v>https://twitter.com/metaversoinfo/status/1633546045123891201</v>
      </c>
      <c r="AF2694" s="79">
        <v>44993.799780092595</v>
      </c>
      <c r="AG2694" s="85">
        <v>44993</v>
      </c>
      <c r="AH2694" s="82" t="s">
        <v>12771</v>
      </c>
      <c r="AI2694" s="77" t="b">
        <v>0</v>
      </c>
      <c r="AJ2694" s="77"/>
      <c r="AK2694" s="77"/>
      <c r="AL2694" s="77"/>
      <c r="AM2694" s="77"/>
      <c r="AN2694" s="77"/>
      <c r="AO2694" s="77"/>
      <c r="AP2694" s="77"/>
      <c r="AQ2694" s="77" t="s">
        <v>15726</v>
      </c>
      <c r="AR2694" s="77"/>
      <c r="AS2694" s="77"/>
      <c r="AT2694" s="77"/>
      <c r="AU2694" s="77"/>
      <c r="AV2694" s="80" t="str">
        <f>HYPERLINK("https://pbs.twimg.com/media/FquFWGhWIBQpoRd.jpg")</f>
        <v>https://pbs.twimg.com/media/FquFWGhWIBQpoRd.jpg</v>
      </c>
      <c r="AW2694" s="82" t="s">
        <v>19460</v>
      </c>
      <c r="AX2694" s="82" t="s">
        <v>19460</v>
      </c>
      <c r="AY2694" s="77"/>
      <c r="AZ2694" s="82" t="s">
        <v>20971</v>
      </c>
      <c r="BA2694" s="82" t="s">
        <v>20971</v>
      </c>
      <c r="BB2694" s="82" t="s">
        <v>20971</v>
      </c>
      <c r="BC2694" s="82" t="s">
        <v>19460</v>
      </c>
      <c r="BD2694" s="82" t="s">
        <v>21519</v>
      </c>
      <c r="BE2694" s="77"/>
      <c r="BF2694" s="77"/>
      <c r="BG2694" s="77"/>
      <c r="BH2694" s="77"/>
      <c r="BI2694" s="77"/>
    </row>
    <row r="2695" spans="1:61" x14ac:dyDescent="0.25">
      <c r="A2695" s="62" t="s">
        <v>903</v>
      </c>
      <c r="B2695" s="62" t="s">
        <v>903</v>
      </c>
      <c r="C2695" s="63"/>
      <c r="D2695" s="64"/>
      <c r="E2695" s="65"/>
      <c r="F2695" s="66"/>
      <c r="G2695" s="63"/>
      <c r="H2695" s="67"/>
      <c r="I2695" s="68"/>
      <c r="J2695" s="68"/>
      <c r="K2695" s="32"/>
      <c r="L2695" s="75">
        <v>2695</v>
      </c>
      <c r="M2695" s="75"/>
      <c r="N2695" s="70"/>
      <c r="O2695" s="77" t="s">
        <v>179</v>
      </c>
      <c r="P2695" s="79">
        <v>44966.274340277778</v>
      </c>
      <c r="Q2695" s="77" t="s">
        <v>3901</v>
      </c>
      <c r="R2695" s="77">
        <v>0</v>
      </c>
      <c r="S2695" s="77">
        <v>0</v>
      </c>
      <c r="T2695" s="77">
        <v>0</v>
      </c>
      <c r="U2695" s="77">
        <v>0</v>
      </c>
      <c r="V2695" s="77">
        <v>14</v>
      </c>
      <c r="W2695" s="82" t="s">
        <v>5236</v>
      </c>
      <c r="X2695" s="80" t="str">
        <f>HYPERLINK("https://go.hotmart.com/B77468619P")</f>
        <v>https://go.hotmart.com/B77468619P</v>
      </c>
      <c r="Y2695" s="77" t="s">
        <v>7251</v>
      </c>
      <c r="Z2695" s="77"/>
      <c r="AA2695" s="77" t="s">
        <v>9084</v>
      </c>
      <c r="AB2695" s="77" t="s">
        <v>10130</v>
      </c>
      <c r="AC2695" s="82" t="s">
        <v>10173</v>
      </c>
      <c r="AD2695" s="77" t="s">
        <v>10184</v>
      </c>
      <c r="AE2695" s="80" t="str">
        <f>HYPERLINK("https://twitter.com/metaversoinfo/status/1623571158443479045")</f>
        <v>https://twitter.com/metaversoinfo/status/1623571158443479045</v>
      </c>
      <c r="AF2695" s="79">
        <v>44966.274340277778</v>
      </c>
      <c r="AG2695" s="85">
        <v>44966</v>
      </c>
      <c r="AH2695" s="82" t="s">
        <v>11412</v>
      </c>
      <c r="AI2695" s="77" t="b">
        <v>0</v>
      </c>
      <c r="AJ2695" s="77"/>
      <c r="AK2695" s="77"/>
      <c r="AL2695" s="77"/>
      <c r="AM2695" s="77"/>
      <c r="AN2695" s="77"/>
      <c r="AO2695" s="77"/>
      <c r="AP2695" s="77"/>
      <c r="AQ2695" s="77" t="s">
        <v>15727</v>
      </c>
      <c r="AR2695" s="77"/>
      <c r="AS2695" s="77"/>
      <c r="AT2695" s="77"/>
      <c r="AU2695" s="77"/>
      <c r="AV2695" s="80" t="str">
        <f>HYPERLINK("https://pbs.twimg.com/media/FogVSEeX0AQJA3W.jpg")</f>
        <v>https://pbs.twimg.com/media/FogVSEeX0AQJA3W.jpg</v>
      </c>
      <c r="AW2695" s="82" t="s">
        <v>19461</v>
      </c>
      <c r="AX2695" s="82" t="s">
        <v>19461</v>
      </c>
      <c r="AY2695" s="77"/>
      <c r="AZ2695" s="82" t="s">
        <v>20971</v>
      </c>
      <c r="BA2695" s="82" t="s">
        <v>20971</v>
      </c>
      <c r="BB2695" s="82" t="s">
        <v>20971</v>
      </c>
      <c r="BC2695" s="82" t="s">
        <v>19461</v>
      </c>
      <c r="BD2695" s="82" t="s">
        <v>21519</v>
      </c>
      <c r="BE2695" s="77"/>
      <c r="BF2695" s="77"/>
      <c r="BG2695" s="77"/>
      <c r="BH2695" s="77"/>
      <c r="BI2695" s="77"/>
    </row>
    <row r="2696" spans="1:61" x14ac:dyDescent="0.25">
      <c r="A2696" s="62" t="s">
        <v>903</v>
      </c>
      <c r="B2696" s="62" t="s">
        <v>903</v>
      </c>
      <c r="C2696" s="63"/>
      <c r="D2696" s="64"/>
      <c r="E2696" s="65"/>
      <c r="F2696" s="66"/>
      <c r="G2696" s="63"/>
      <c r="H2696" s="67"/>
      <c r="I2696" s="68"/>
      <c r="J2696" s="68"/>
      <c r="K2696" s="32"/>
      <c r="L2696" s="75">
        <v>2696</v>
      </c>
      <c r="M2696" s="75"/>
      <c r="N2696" s="70"/>
      <c r="O2696" s="77" t="s">
        <v>179</v>
      </c>
      <c r="P2696" s="79">
        <v>44965.601712962962</v>
      </c>
      <c r="Q2696" s="77" t="s">
        <v>3902</v>
      </c>
      <c r="R2696" s="77">
        <v>0</v>
      </c>
      <c r="S2696" s="77">
        <v>0</v>
      </c>
      <c r="T2696" s="77">
        <v>0</v>
      </c>
      <c r="U2696" s="77">
        <v>0</v>
      </c>
      <c r="V2696" s="77">
        <v>12</v>
      </c>
      <c r="W2696" s="82" t="s">
        <v>5236</v>
      </c>
      <c r="X2696" s="80" t="str">
        <f>HYPERLINK("https://go.hotmart.com/B77468619P")</f>
        <v>https://go.hotmart.com/B77468619P</v>
      </c>
      <c r="Y2696" s="77" t="s">
        <v>7251</v>
      </c>
      <c r="Z2696" s="77"/>
      <c r="AA2696" s="77" t="s">
        <v>9085</v>
      </c>
      <c r="AB2696" s="77" t="s">
        <v>10130</v>
      </c>
      <c r="AC2696" s="82" t="s">
        <v>10173</v>
      </c>
      <c r="AD2696" s="77" t="s">
        <v>10184</v>
      </c>
      <c r="AE2696" s="80" t="str">
        <f>HYPERLINK("https://twitter.com/metaversoinfo/status/1623327408190369792")</f>
        <v>https://twitter.com/metaversoinfo/status/1623327408190369792</v>
      </c>
      <c r="AF2696" s="79">
        <v>44965.601712962962</v>
      </c>
      <c r="AG2696" s="85">
        <v>44965</v>
      </c>
      <c r="AH2696" s="82" t="s">
        <v>12772</v>
      </c>
      <c r="AI2696" s="77" t="b">
        <v>0</v>
      </c>
      <c r="AJ2696" s="77"/>
      <c r="AK2696" s="77"/>
      <c r="AL2696" s="77"/>
      <c r="AM2696" s="77"/>
      <c r="AN2696" s="77"/>
      <c r="AO2696" s="77"/>
      <c r="AP2696" s="77"/>
      <c r="AQ2696" s="77" t="s">
        <v>15728</v>
      </c>
      <c r="AR2696" s="77"/>
      <c r="AS2696" s="77"/>
      <c r="AT2696" s="77"/>
      <c r="AU2696" s="77"/>
      <c r="AV2696" s="80" t="str">
        <f>HYPERLINK("https://pbs.twimg.com/media/Foc3mN8X0AIQUc8.jpg")</f>
        <v>https://pbs.twimg.com/media/Foc3mN8X0AIQUc8.jpg</v>
      </c>
      <c r="AW2696" s="82" t="s">
        <v>19462</v>
      </c>
      <c r="AX2696" s="82" t="s">
        <v>19462</v>
      </c>
      <c r="AY2696" s="77"/>
      <c r="AZ2696" s="82" t="s">
        <v>20971</v>
      </c>
      <c r="BA2696" s="82" t="s">
        <v>20971</v>
      </c>
      <c r="BB2696" s="82" t="s">
        <v>20971</v>
      </c>
      <c r="BC2696" s="82" t="s">
        <v>19462</v>
      </c>
      <c r="BD2696" s="82" t="s">
        <v>21519</v>
      </c>
      <c r="BE2696" s="77"/>
      <c r="BF2696" s="77"/>
      <c r="BG2696" s="77"/>
      <c r="BH2696" s="77"/>
      <c r="BI2696" s="77"/>
    </row>
    <row r="2697" spans="1:61" x14ac:dyDescent="0.25">
      <c r="A2697" s="62" t="s">
        <v>903</v>
      </c>
      <c r="B2697" s="62" t="s">
        <v>903</v>
      </c>
      <c r="C2697" s="63"/>
      <c r="D2697" s="64"/>
      <c r="E2697" s="65"/>
      <c r="F2697" s="66"/>
      <c r="G2697" s="63"/>
      <c r="H2697" s="67"/>
      <c r="I2697" s="68"/>
      <c r="J2697" s="68"/>
      <c r="K2697" s="32"/>
      <c r="L2697" s="75">
        <v>2697</v>
      </c>
      <c r="M2697" s="75"/>
      <c r="N2697" s="70"/>
      <c r="O2697" s="77" t="s">
        <v>179</v>
      </c>
      <c r="P2697" s="79">
        <v>44964.928472222222</v>
      </c>
      <c r="Q2697" s="77" t="s">
        <v>3903</v>
      </c>
      <c r="R2697" s="77">
        <v>0</v>
      </c>
      <c r="S2697" s="77">
        <v>0</v>
      </c>
      <c r="T2697" s="77">
        <v>0</v>
      </c>
      <c r="U2697" s="77">
        <v>0</v>
      </c>
      <c r="V2697" s="77">
        <v>13</v>
      </c>
      <c r="W2697" s="82" t="s">
        <v>5236</v>
      </c>
      <c r="X2697" s="80" t="str">
        <f>HYPERLINK("https://go.hotmart.com/B77468619P")</f>
        <v>https://go.hotmart.com/B77468619P</v>
      </c>
      <c r="Y2697" s="77" t="s">
        <v>7251</v>
      </c>
      <c r="Z2697" s="77"/>
      <c r="AA2697" s="77" t="s">
        <v>9086</v>
      </c>
      <c r="AB2697" s="77" t="s">
        <v>10130</v>
      </c>
      <c r="AC2697" s="82" t="s">
        <v>10173</v>
      </c>
      <c r="AD2697" s="77" t="s">
        <v>10184</v>
      </c>
      <c r="AE2697" s="80" t="str">
        <f>HYPERLINK("https://twitter.com/metaversoinfo/status/1623083434489815041")</f>
        <v>https://twitter.com/metaversoinfo/status/1623083434489815041</v>
      </c>
      <c r="AF2697" s="79">
        <v>44964.928472222222</v>
      </c>
      <c r="AG2697" s="85">
        <v>44964</v>
      </c>
      <c r="AH2697" s="82" t="s">
        <v>12773</v>
      </c>
      <c r="AI2697" s="77" t="b">
        <v>0</v>
      </c>
      <c r="AJ2697" s="77"/>
      <c r="AK2697" s="77"/>
      <c r="AL2697" s="77"/>
      <c r="AM2697" s="77"/>
      <c r="AN2697" s="77"/>
      <c r="AO2697" s="77"/>
      <c r="AP2697" s="77"/>
      <c r="AQ2697" s="77" t="s">
        <v>15729</v>
      </c>
      <c r="AR2697" s="77"/>
      <c r="AS2697" s="77"/>
      <c r="AT2697" s="77"/>
      <c r="AU2697" s="77"/>
      <c r="AV2697" s="80" t="str">
        <f>HYPERLINK("https://pbs.twimg.com/media/FoZZt5TXsAEd9j0.jpg")</f>
        <v>https://pbs.twimg.com/media/FoZZt5TXsAEd9j0.jpg</v>
      </c>
      <c r="AW2697" s="82" t="s">
        <v>19463</v>
      </c>
      <c r="AX2697" s="82" t="s">
        <v>19463</v>
      </c>
      <c r="AY2697" s="77"/>
      <c r="AZ2697" s="82" t="s">
        <v>20971</v>
      </c>
      <c r="BA2697" s="82" t="s">
        <v>20971</v>
      </c>
      <c r="BB2697" s="82" t="s">
        <v>20971</v>
      </c>
      <c r="BC2697" s="82" t="s">
        <v>19463</v>
      </c>
      <c r="BD2697" s="82" t="s">
        <v>21519</v>
      </c>
      <c r="BE2697" s="77"/>
      <c r="BF2697" s="77"/>
      <c r="BG2697" s="77"/>
      <c r="BH2697" s="77"/>
      <c r="BI2697" s="77"/>
    </row>
    <row r="2698" spans="1:61" x14ac:dyDescent="0.25">
      <c r="A2698" s="62" t="s">
        <v>903</v>
      </c>
      <c r="B2698" s="62" t="s">
        <v>903</v>
      </c>
      <c r="C2698" s="63"/>
      <c r="D2698" s="64"/>
      <c r="E2698" s="65"/>
      <c r="F2698" s="66"/>
      <c r="G2698" s="63"/>
      <c r="H2698" s="67"/>
      <c r="I2698" s="68"/>
      <c r="J2698" s="68"/>
      <c r="K2698" s="32"/>
      <c r="L2698" s="75">
        <v>2698</v>
      </c>
      <c r="M2698" s="75"/>
      <c r="N2698" s="70"/>
      <c r="O2698" s="77" t="s">
        <v>179</v>
      </c>
      <c r="P2698" s="79">
        <v>44964.67291666667</v>
      </c>
      <c r="Q2698" s="77" t="s">
        <v>3904</v>
      </c>
      <c r="R2698" s="77">
        <v>0</v>
      </c>
      <c r="S2698" s="77">
        <v>0</v>
      </c>
      <c r="T2698" s="77">
        <v>0</v>
      </c>
      <c r="U2698" s="77">
        <v>0</v>
      </c>
      <c r="V2698" s="77">
        <v>24</v>
      </c>
      <c r="W2698" s="82" t="s">
        <v>5236</v>
      </c>
      <c r="X2698" s="80" t="str">
        <f>HYPERLINK("https://go.hotmart.com/B77468619P")</f>
        <v>https://go.hotmart.com/B77468619P</v>
      </c>
      <c r="Y2698" s="77" t="s">
        <v>7251</v>
      </c>
      <c r="Z2698" s="77"/>
      <c r="AA2698" s="77" t="s">
        <v>9087</v>
      </c>
      <c r="AB2698" s="77" t="s">
        <v>10130</v>
      </c>
      <c r="AC2698" s="82" t="s">
        <v>10173</v>
      </c>
      <c r="AD2698" s="77" t="s">
        <v>10184</v>
      </c>
      <c r="AE2698" s="80" t="str">
        <f>HYPERLINK("https://twitter.com/metaversoinfo/status/1622990824110714880")</f>
        <v>https://twitter.com/metaversoinfo/status/1622990824110714880</v>
      </c>
      <c r="AF2698" s="79">
        <v>44964.67291666667</v>
      </c>
      <c r="AG2698" s="85">
        <v>44964</v>
      </c>
      <c r="AH2698" s="82" t="s">
        <v>12774</v>
      </c>
      <c r="AI2698" s="77" t="b">
        <v>0</v>
      </c>
      <c r="AJ2698" s="77"/>
      <c r="AK2698" s="77"/>
      <c r="AL2698" s="77"/>
      <c r="AM2698" s="77"/>
      <c r="AN2698" s="77"/>
      <c r="AO2698" s="77"/>
      <c r="AP2698" s="77"/>
      <c r="AQ2698" s="77" t="s">
        <v>15730</v>
      </c>
      <c r="AR2698" s="77"/>
      <c r="AS2698" s="77"/>
      <c r="AT2698" s="77"/>
      <c r="AU2698" s="77"/>
      <c r="AV2698" s="80" t="str">
        <f>HYPERLINK("https://pbs.twimg.com/media/FoYFg02XsAAkWaQ.jpg")</f>
        <v>https://pbs.twimg.com/media/FoYFg02XsAAkWaQ.jpg</v>
      </c>
      <c r="AW2698" s="82" t="s">
        <v>19464</v>
      </c>
      <c r="AX2698" s="82" t="s">
        <v>19464</v>
      </c>
      <c r="AY2698" s="77"/>
      <c r="AZ2698" s="82" t="s">
        <v>20971</v>
      </c>
      <c r="BA2698" s="82" t="s">
        <v>20971</v>
      </c>
      <c r="BB2698" s="82" t="s">
        <v>20971</v>
      </c>
      <c r="BC2698" s="82" t="s">
        <v>19464</v>
      </c>
      <c r="BD2698" s="82" t="s">
        <v>21519</v>
      </c>
      <c r="BE2698" s="77"/>
      <c r="BF2698" s="77"/>
      <c r="BG2698" s="77"/>
      <c r="BH2698" s="77"/>
      <c r="BI2698" s="77"/>
    </row>
    <row r="2699" spans="1:61" x14ac:dyDescent="0.25">
      <c r="A2699" s="62" t="s">
        <v>903</v>
      </c>
      <c r="B2699" s="62" t="s">
        <v>903</v>
      </c>
      <c r="C2699" s="63"/>
      <c r="D2699" s="64"/>
      <c r="E2699" s="65"/>
      <c r="F2699" s="66"/>
      <c r="G2699" s="63"/>
      <c r="H2699" s="67"/>
      <c r="I2699" s="68"/>
      <c r="J2699" s="68"/>
      <c r="K2699" s="32"/>
      <c r="L2699" s="75">
        <v>2699</v>
      </c>
      <c r="M2699" s="75"/>
      <c r="N2699" s="70"/>
      <c r="O2699" s="77" t="s">
        <v>179</v>
      </c>
      <c r="P2699" s="79">
        <v>44964.429965277777</v>
      </c>
      <c r="Q2699" s="77" t="s">
        <v>3905</v>
      </c>
      <c r="R2699" s="77">
        <v>0</v>
      </c>
      <c r="S2699" s="77">
        <v>0</v>
      </c>
      <c r="T2699" s="77">
        <v>0</v>
      </c>
      <c r="U2699" s="77">
        <v>0</v>
      </c>
      <c r="V2699" s="77">
        <v>13</v>
      </c>
      <c r="W2699" s="82" t="s">
        <v>5236</v>
      </c>
      <c r="X2699" s="80" t="str">
        <f>HYPERLINK("https://go.hotmart.com/B77468619P")</f>
        <v>https://go.hotmart.com/B77468619P</v>
      </c>
      <c r="Y2699" s="77" t="s">
        <v>7251</v>
      </c>
      <c r="Z2699" s="77"/>
      <c r="AA2699" s="77" t="s">
        <v>9088</v>
      </c>
      <c r="AB2699" s="77" t="s">
        <v>10130</v>
      </c>
      <c r="AC2699" s="82" t="s">
        <v>10173</v>
      </c>
      <c r="AD2699" s="77" t="s">
        <v>10184</v>
      </c>
      <c r="AE2699" s="80" t="str">
        <f>HYPERLINK("https://twitter.com/metaversoinfo/status/1622902781068603394")</f>
        <v>https://twitter.com/metaversoinfo/status/1622902781068603394</v>
      </c>
      <c r="AF2699" s="79">
        <v>44964.429965277777</v>
      </c>
      <c r="AG2699" s="85">
        <v>44964</v>
      </c>
      <c r="AH2699" s="82" t="s">
        <v>12775</v>
      </c>
      <c r="AI2699" s="77" t="b">
        <v>0</v>
      </c>
      <c r="AJ2699" s="77"/>
      <c r="AK2699" s="77"/>
      <c r="AL2699" s="77"/>
      <c r="AM2699" s="77"/>
      <c r="AN2699" s="77"/>
      <c r="AO2699" s="77"/>
      <c r="AP2699" s="77"/>
      <c r="AQ2699" s="77" t="s">
        <v>15731</v>
      </c>
      <c r="AR2699" s="77"/>
      <c r="AS2699" s="77"/>
      <c r="AT2699" s="77"/>
      <c r="AU2699" s="77"/>
      <c r="AV2699" s="80" t="str">
        <f>HYPERLINK("https://pbs.twimg.com/media/FoW1av4XEAAikOr.jpg")</f>
        <v>https://pbs.twimg.com/media/FoW1av4XEAAikOr.jpg</v>
      </c>
      <c r="AW2699" s="82" t="s">
        <v>19465</v>
      </c>
      <c r="AX2699" s="82" t="s">
        <v>19465</v>
      </c>
      <c r="AY2699" s="77"/>
      <c r="AZ2699" s="82" t="s">
        <v>20971</v>
      </c>
      <c r="BA2699" s="82" t="s">
        <v>20971</v>
      </c>
      <c r="BB2699" s="82" t="s">
        <v>20971</v>
      </c>
      <c r="BC2699" s="82" t="s">
        <v>19465</v>
      </c>
      <c r="BD2699" s="82" t="s">
        <v>21519</v>
      </c>
      <c r="BE2699" s="77"/>
      <c r="BF2699" s="77"/>
      <c r="BG2699" s="77"/>
      <c r="BH2699" s="77"/>
      <c r="BI2699" s="77"/>
    </row>
    <row r="2700" spans="1:61" x14ac:dyDescent="0.25">
      <c r="A2700" s="62" t="s">
        <v>903</v>
      </c>
      <c r="B2700" s="62" t="s">
        <v>903</v>
      </c>
      <c r="C2700" s="63"/>
      <c r="D2700" s="64"/>
      <c r="E2700" s="65"/>
      <c r="F2700" s="66"/>
      <c r="G2700" s="63"/>
      <c r="H2700" s="67"/>
      <c r="I2700" s="68"/>
      <c r="J2700" s="68"/>
      <c r="K2700" s="32"/>
      <c r="L2700" s="75">
        <v>2700</v>
      </c>
      <c r="M2700" s="75"/>
      <c r="N2700" s="70"/>
      <c r="O2700" s="77" t="s">
        <v>179</v>
      </c>
      <c r="P2700" s="79">
        <v>45031.374282407407</v>
      </c>
      <c r="Q2700" s="77" t="s">
        <v>3906</v>
      </c>
      <c r="R2700" s="77">
        <v>0</v>
      </c>
      <c r="S2700" s="77">
        <v>0</v>
      </c>
      <c r="T2700" s="77">
        <v>0</v>
      </c>
      <c r="U2700" s="77">
        <v>0</v>
      </c>
      <c r="V2700" s="77">
        <v>12</v>
      </c>
      <c r="W2700" s="82" t="s">
        <v>5236</v>
      </c>
      <c r="X2700" s="80" t="str">
        <f>HYPERLINK("https://go.hotmart.com/B77468619P")</f>
        <v>https://go.hotmart.com/B77468619P</v>
      </c>
      <c r="Y2700" s="77" t="s">
        <v>7251</v>
      </c>
      <c r="Z2700" s="77"/>
      <c r="AA2700" s="77" t="s">
        <v>9089</v>
      </c>
      <c r="AB2700" s="77" t="s">
        <v>10130</v>
      </c>
      <c r="AC2700" s="82" t="s">
        <v>10173</v>
      </c>
      <c r="AD2700" s="77" t="s">
        <v>10184</v>
      </c>
      <c r="AE2700" s="80" t="str">
        <f>HYPERLINK("https://twitter.com/metaversoinfo/status/1647162587476545536")</f>
        <v>https://twitter.com/metaversoinfo/status/1647162587476545536</v>
      </c>
      <c r="AF2700" s="79">
        <v>45031.374282407407</v>
      </c>
      <c r="AG2700" s="85">
        <v>45031</v>
      </c>
      <c r="AH2700" s="82" t="s">
        <v>12776</v>
      </c>
      <c r="AI2700" s="77" t="b">
        <v>0</v>
      </c>
      <c r="AJ2700" s="77"/>
      <c r="AK2700" s="77"/>
      <c r="AL2700" s="77"/>
      <c r="AM2700" s="77"/>
      <c r="AN2700" s="77"/>
      <c r="AO2700" s="77"/>
      <c r="AP2700" s="77"/>
      <c r="AQ2700" s="77" t="s">
        <v>15732</v>
      </c>
      <c r="AR2700" s="77"/>
      <c r="AS2700" s="77"/>
      <c r="AT2700" s="77"/>
      <c r="AU2700" s="77"/>
      <c r="AV2700" s="80" t="str">
        <f>HYPERLINK("https://pbs.twimg.com/media/FtvlnNYXoAEZafU.jpg")</f>
        <v>https://pbs.twimg.com/media/FtvlnNYXoAEZafU.jpg</v>
      </c>
      <c r="AW2700" s="82" t="s">
        <v>19466</v>
      </c>
      <c r="AX2700" s="82" t="s">
        <v>19466</v>
      </c>
      <c r="AY2700" s="77"/>
      <c r="AZ2700" s="82" t="s">
        <v>20971</v>
      </c>
      <c r="BA2700" s="82" t="s">
        <v>20971</v>
      </c>
      <c r="BB2700" s="82" t="s">
        <v>20971</v>
      </c>
      <c r="BC2700" s="82" t="s">
        <v>19466</v>
      </c>
      <c r="BD2700" s="82" t="s">
        <v>21519</v>
      </c>
      <c r="BE2700" s="77"/>
      <c r="BF2700" s="77"/>
      <c r="BG2700" s="77"/>
      <c r="BH2700" s="77"/>
      <c r="BI2700" s="77"/>
    </row>
    <row r="2701" spans="1:61" x14ac:dyDescent="0.25">
      <c r="A2701" s="62" t="s">
        <v>903</v>
      </c>
      <c r="B2701" s="62" t="s">
        <v>903</v>
      </c>
      <c r="C2701" s="63"/>
      <c r="D2701" s="64"/>
      <c r="E2701" s="65"/>
      <c r="F2701" s="66"/>
      <c r="G2701" s="63"/>
      <c r="H2701" s="67"/>
      <c r="I2701" s="68"/>
      <c r="J2701" s="68"/>
      <c r="K2701" s="32"/>
      <c r="L2701" s="75">
        <v>2701</v>
      </c>
      <c r="M2701" s="75"/>
      <c r="N2701" s="70"/>
      <c r="O2701" s="77" t="s">
        <v>179</v>
      </c>
      <c r="P2701" s="79">
        <v>45006.230138888888</v>
      </c>
      <c r="Q2701" s="77" t="s">
        <v>3907</v>
      </c>
      <c r="R2701" s="77">
        <v>0</v>
      </c>
      <c r="S2701" s="77">
        <v>0</v>
      </c>
      <c r="T2701" s="77">
        <v>0</v>
      </c>
      <c r="U2701" s="77">
        <v>0</v>
      </c>
      <c r="V2701" s="77">
        <v>4</v>
      </c>
      <c r="W2701" s="82" t="s">
        <v>5236</v>
      </c>
      <c r="X2701" s="80" t="str">
        <f>HYPERLINK("https://go.hotmart.com/B77468619P")</f>
        <v>https://go.hotmart.com/B77468619P</v>
      </c>
      <c r="Y2701" s="77" t="s">
        <v>7251</v>
      </c>
      <c r="Z2701" s="77"/>
      <c r="AA2701" s="77" t="s">
        <v>9090</v>
      </c>
      <c r="AB2701" s="77" t="s">
        <v>10130</v>
      </c>
      <c r="AC2701" s="82" t="s">
        <v>10173</v>
      </c>
      <c r="AD2701" s="77" t="s">
        <v>10184</v>
      </c>
      <c r="AE2701" s="80" t="str">
        <f>HYPERLINK("https://twitter.com/metaversoinfo/status/1638050656748437512")</f>
        <v>https://twitter.com/metaversoinfo/status/1638050656748437512</v>
      </c>
      <c r="AF2701" s="79">
        <v>45006.230138888888</v>
      </c>
      <c r="AG2701" s="85">
        <v>45006</v>
      </c>
      <c r="AH2701" s="82" t="s">
        <v>12777</v>
      </c>
      <c r="AI2701" s="77" t="b">
        <v>0</v>
      </c>
      <c r="AJ2701" s="77"/>
      <c r="AK2701" s="77"/>
      <c r="AL2701" s="77"/>
      <c r="AM2701" s="77"/>
      <c r="AN2701" s="77"/>
      <c r="AO2701" s="77"/>
      <c r="AP2701" s="77"/>
      <c r="AQ2701" s="77" t="s">
        <v>15733</v>
      </c>
      <c r="AR2701" s="77"/>
      <c r="AS2701" s="77"/>
      <c r="AT2701" s="77"/>
      <c r="AU2701" s="77"/>
      <c r="AV2701" s="80" t="str">
        <f>HYPERLINK("https://pbs.twimg.com/media/FruGW8iWwAI7cyO.jpg")</f>
        <v>https://pbs.twimg.com/media/FruGW8iWwAI7cyO.jpg</v>
      </c>
      <c r="AW2701" s="82" t="s">
        <v>19467</v>
      </c>
      <c r="AX2701" s="82" t="s">
        <v>19467</v>
      </c>
      <c r="AY2701" s="77"/>
      <c r="AZ2701" s="82" t="s">
        <v>20971</v>
      </c>
      <c r="BA2701" s="82" t="s">
        <v>20971</v>
      </c>
      <c r="BB2701" s="82" t="s">
        <v>20971</v>
      </c>
      <c r="BC2701" s="82" t="s">
        <v>19467</v>
      </c>
      <c r="BD2701" s="82" t="s">
        <v>21519</v>
      </c>
      <c r="BE2701" s="77"/>
      <c r="BF2701" s="77"/>
      <c r="BG2701" s="77"/>
      <c r="BH2701" s="77"/>
      <c r="BI2701" s="77"/>
    </row>
    <row r="2702" spans="1:61" x14ac:dyDescent="0.25">
      <c r="A2702" s="62" t="s">
        <v>903</v>
      </c>
      <c r="B2702" s="62" t="s">
        <v>903</v>
      </c>
      <c r="C2702" s="63"/>
      <c r="D2702" s="64"/>
      <c r="E2702" s="65"/>
      <c r="F2702" s="66"/>
      <c r="G2702" s="63"/>
      <c r="H2702" s="67"/>
      <c r="I2702" s="68"/>
      <c r="J2702" s="68"/>
      <c r="K2702" s="32"/>
      <c r="L2702" s="75">
        <v>2702</v>
      </c>
      <c r="M2702" s="75"/>
      <c r="N2702" s="70"/>
      <c r="O2702" s="77" t="s">
        <v>179</v>
      </c>
      <c r="P2702" s="79">
        <v>45013.958344907405</v>
      </c>
      <c r="Q2702" s="77" t="s">
        <v>3908</v>
      </c>
      <c r="R2702" s="77">
        <v>0</v>
      </c>
      <c r="S2702" s="77">
        <v>0</v>
      </c>
      <c r="T2702" s="77">
        <v>0</v>
      </c>
      <c r="U2702" s="77">
        <v>0</v>
      </c>
      <c r="V2702" s="77">
        <v>9</v>
      </c>
      <c r="W2702" s="82" t="s">
        <v>5236</v>
      </c>
      <c r="X2702" s="80" t="str">
        <f>HYPERLINK("https://go.hotmart.com/B77468619P")</f>
        <v>https://go.hotmart.com/B77468619P</v>
      </c>
      <c r="Y2702" s="77" t="s">
        <v>7251</v>
      </c>
      <c r="Z2702" s="77"/>
      <c r="AA2702" s="77" t="s">
        <v>9091</v>
      </c>
      <c r="AB2702" s="77" t="s">
        <v>10130</v>
      </c>
      <c r="AC2702" s="82" t="s">
        <v>10173</v>
      </c>
      <c r="AD2702" s="77" t="s">
        <v>10184</v>
      </c>
      <c r="AE2702" s="80" t="str">
        <f>HYPERLINK("https://twitter.com/metaversoinfo/status/1640851265692348416")</f>
        <v>https://twitter.com/metaversoinfo/status/1640851265692348416</v>
      </c>
      <c r="AF2702" s="79">
        <v>45013.958344907405</v>
      </c>
      <c r="AG2702" s="85">
        <v>45013</v>
      </c>
      <c r="AH2702" s="82" t="s">
        <v>10330</v>
      </c>
      <c r="AI2702" s="77" t="b">
        <v>0</v>
      </c>
      <c r="AJ2702" s="77"/>
      <c r="AK2702" s="77"/>
      <c r="AL2702" s="77"/>
      <c r="AM2702" s="77"/>
      <c r="AN2702" s="77"/>
      <c r="AO2702" s="77"/>
      <c r="AP2702" s="77"/>
      <c r="AQ2702" s="77" t="s">
        <v>15734</v>
      </c>
      <c r="AR2702" s="77"/>
      <c r="AS2702" s="77"/>
      <c r="AT2702" s="77"/>
      <c r="AU2702" s="77"/>
      <c r="AV2702" s="80" t="str">
        <f>HYPERLINK("https://pbs.twimg.com/media/FsV5f0lWcAMIinS.jpg")</f>
        <v>https://pbs.twimg.com/media/FsV5f0lWcAMIinS.jpg</v>
      </c>
      <c r="AW2702" s="82" t="s">
        <v>19468</v>
      </c>
      <c r="AX2702" s="82" t="s">
        <v>19468</v>
      </c>
      <c r="AY2702" s="77"/>
      <c r="AZ2702" s="82" t="s">
        <v>20971</v>
      </c>
      <c r="BA2702" s="82" t="s">
        <v>20971</v>
      </c>
      <c r="BB2702" s="82" t="s">
        <v>20971</v>
      </c>
      <c r="BC2702" s="82" t="s">
        <v>19468</v>
      </c>
      <c r="BD2702" s="82" t="s">
        <v>21519</v>
      </c>
      <c r="BE2702" s="77"/>
      <c r="BF2702" s="77"/>
      <c r="BG2702" s="77"/>
      <c r="BH2702" s="77"/>
      <c r="BI2702" s="77"/>
    </row>
    <row r="2703" spans="1:61" x14ac:dyDescent="0.25">
      <c r="A2703" s="62" t="s">
        <v>903</v>
      </c>
      <c r="B2703" s="62" t="s">
        <v>903</v>
      </c>
      <c r="C2703" s="63"/>
      <c r="D2703" s="64"/>
      <c r="E2703" s="65"/>
      <c r="F2703" s="66"/>
      <c r="G2703" s="63"/>
      <c r="H2703" s="67"/>
      <c r="I2703" s="68"/>
      <c r="J2703" s="68"/>
      <c r="K2703" s="32"/>
      <c r="L2703" s="75">
        <v>2703</v>
      </c>
      <c r="M2703" s="75"/>
      <c r="N2703" s="70"/>
      <c r="O2703" s="77" t="s">
        <v>179</v>
      </c>
      <c r="P2703" s="79">
        <v>44985.218726851854</v>
      </c>
      <c r="Q2703" s="77" t="s">
        <v>3909</v>
      </c>
      <c r="R2703" s="77">
        <v>0</v>
      </c>
      <c r="S2703" s="77">
        <v>0</v>
      </c>
      <c r="T2703" s="77">
        <v>0</v>
      </c>
      <c r="U2703" s="77">
        <v>0</v>
      </c>
      <c r="V2703" s="77">
        <v>18</v>
      </c>
      <c r="W2703" s="82" t="s">
        <v>5236</v>
      </c>
      <c r="X2703" s="80" t="str">
        <f>HYPERLINK("https://go.hotmart.com/B77468619P")</f>
        <v>https://go.hotmart.com/B77468619P</v>
      </c>
      <c r="Y2703" s="77" t="s">
        <v>7251</v>
      </c>
      <c r="Z2703" s="77"/>
      <c r="AA2703" s="77" t="s">
        <v>9092</v>
      </c>
      <c r="AB2703" s="77" t="s">
        <v>10130</v>
      </c>
      <c r="AC2703" s="82" t="s">
        <v>10173</v>
      </c>
      <c r="AD2703" s="77" t="s">
        <v>10184</v>
      </c>
      <c r="AE2703" s="80" t="str">
        <f>HYPERLINK("https://twitter.com/metaversoinfo/status/1630436374212911106")</f>
        <v>https://twitter.com/metaversoinfo/status/1630436374212911106</v>
      </c>
      <c r="AF2703" s="79">
        <v>44985.218726851854</v>
      </c>
      <c r="AG2703" s="85">
        <v>44985</v>
      </c>
      <c r="AH2703" s="82" t="s">
        <v>12778</v>
      </c>
      <c r="AI2703" s="77" t="b">
        <v>0</v>
      </c>
      <c r="AJ2703" s="77"/>
      <c r="AK2703" s="77"/>
      <c r="AL2703" s="77"/>
      <c r="AM2703" s="77"/>
      <c r="AN2703" s="77"/>
      <c r="AO2703" s="77"/>
      <c r="AP2703" s="77"/>
      <c r="AQ2703" s="77" t="s">
        <v>15735</v>
      </c>
      <c r="AR2703" s="77"/>
      <c r="AS2703" s="77"/>
      <c r="AT2703" s="77"/>
      <c r="AU2703" s="77"/>
      <c r="AV2703" s="80" t="str">
        <f>HYPERLINK("https://pbs.twimg.com/media/FqB5OmkWAAAwJNa.jpg")</f>
        <v>https://pbs.twimg.com/media/FqB5OmkWAAAwJNa.jpg</v>
      </c>
      <c r="AW2703" s="82" t="s">
        <v>19469</v>
      </c>
      <c r="AX2703" s="82" t="s">
        <v>19469</v>
      </c>
      <c r="AY2703" s="77"/>
      <c r="AZ2703" s="82" t="s">
        <v>20971</v>
      </c>
      <c r="BA2703" s="82" t="s">
        <v>20971</v>
      </c>
      <c r="BB2703" s="82" t="s">
        <v>20971</v>
      </c>
      <c r="BC2703" s="82" t="s">
        <v>19469</v>
      </c>
      <c r="BD2703" s="82" t="s">
        <v>21519</v>
      </c>
      <c r="BE2703" s="77"/>
      <c r="BF2703" s="77"/>
      <c r="BG2703" s="77"/>
      <c r="BH2703" s="77"/>
      <c r="BI2703" s="77"/>
    </row>
    <row r="2704" spans="1:61" x14ac:dyDescent="0.25">
      <c r="A2704" s="62" t="s">
        <v>903</v>
      </c>
      <c r="B2704" s="62" t="s">
        <v>903</v>
      </c>
      <c r="C2704" s="63"/>
      <c r="D2704" s="64"/>
      <c r="E2704" s="65"/>
      <c r="F2704" s="66"/>
      <c r="G2704" s="63"/>
      <c r="H2704" s="67"/>
      <c r="I2704" s="68"/>
      <c r="J2704" s="68"/>
      <c r="K2704" s="32"/>
      <c r="L2704" s="75">
        <v>2704</v>
      </c>
      <c r="M2704" s="75"/>
      <c r="N2704" s="70"/>
      <c r="O2704" s="77" t="s">
        <v>179</v>
      </c>
      <c r="P2704" s="79">
        <v>44983.796284722222</v>
      </c>
      <c r="Q2704" s="77" t="s">
        <v>3910</v>
      </c>
      <c r="R2704" s="77">
        <v>0</v>
      </c>
      <c r="S2704" s="77">
        <v>0</v>
      </c>
      <c r="T2704" s="77">
        <v>0</v>
      </c>
      <c r="U2704" s="77">
        <v>0</v>
      </c>
      <c r="V2704" s="77">
        <v>16</v>
      </c>
      <c r="W2704" s="82" t="s">
        <v>5236</v>
      </c>
      <c r="X2704" s="80" t="str">
        <f>HYPERLINK("https://go.hotmart.com/B77468619P")</f>
        <v>https://go.hotmart.com/B77468619P</v>
      </c>
      <c r="Y2704" s="77" t="s">
        <v>7251</v>
      </c>
      <c r="Z2704" s="77"/>
      <c r="AA2704" s="77" t="s">
        <v>9093</v>
      </c>
      <c r="AB2704" s="77" t="s">
        <v>10130</v>
      </c>
      <c r="AC2704" s="82" t="s">
        <v>10173</v>
      </c>
      <c r="AD2704" s="77" t="s">
        <v>10184</v>
      </c>
      <c r="AE2704" s="80" t="str">
        <f>HYPERLINK("https://twitter.com/metaversoinfo/status/1629920899859136520")</f>
        <v>https://twitter.com/metaversoinfo/status/1629920899859136520</v>
      </c>
      <c r="AF2704" s="79">
        <v>44983.796284722222</v>
      </c>
      <c r="AG2704" s="85">
        <v>44983</v>
      </c>
      <c r="AH2704" s="82" t="s">
        <v>12779</v>
      </c>
      <c r="AI2704" s="77" t="b">
        <v>0</v>
      </c>
      <c r="AJ2704" s="77"/>
      <c r="AK2704" s="77"/>
      <c r="AL2704" s="77"/>
      <c r="AM2704" s="77"/>
      <c r="AN2704" s="77"/>
      <c r="AO2704" s="77"/>
      <c r="AP2704" s="77"/>
      <c r="AQ2704" s="77" t="s">
        <v>15736</v>
      </c>
      <c r="AR2704" s="77"/>
      <c r="AS2704" s="77"/>
      <c r="AT2704" s="77"/>
      <c r="AU2704" s="77"/>
      <c r="AV2704" s="80" t="str">
        <f>HYPERLINK("https://pbs.twimg.com/media/Fp6kYp-X0AMRfNd.jpg")</f>
        <v>https://pbs.twimg.com/media/Fp6kYp-X0AMRfNd.jpg</v>
      </c>
      <c r="AW2704" s="82" t="s">
        <v>19470</v>
      </c>
      <c r="AX2704" s="82" t="s">
        <v>19470</v>
      </c>
      <c r="AY2704" s="77"/>
      <c r="AZ2704" s="82" t="s">
        <v>20971</v>
      </c>
      <c r="BA2704" s="82" t="s">
        <v>20971</v>
      </c>
      <c r="BB2704" s="82" t="s">
        <v>20971</v>
      </c>
      <c r="BC2704" s="82" t="s">
        <v>19470</v>
      </c>
      <c r="BD2704" s="82" t="s">
        <v>21519</v>
      </c>
      <c r="BE2704" s="77"/>
      <c r="BF2704" s="77"/>
      <c r="BG2704" s="77"/>
      <c r="BH2704" s="77"/>
      <c r="BI2704" s="77"/>
    </row>
    <row r="2705" spans="1:61" x14ac:dyDescent="0.25">
      <c r="A2705" s="62" t="s">
        <v>903</v>
      </c>
      <c r="B2705" s="62" t="s">
        <v>903</v>
      </c>
      <c r="C2705" s="63"/>
      <c r="D2705" s="64"/>
      <c r="E2705" s="65"/>
      <c r="F2705" s="66"/>
      <c r="G2705" s="63"/>
      <c r="H2705" s="67"/>
      <c r="I2705" s="68"/>
      <c r="J2705" s="68"/>
      <c r="K2705" s="32"/>
      <c r="L2705" s="75">
        <v>2705</v>
      </c>
      <c r="M2705" s="75"/>
      <c r="N2705" s="70"/>
      <c r="O2705" s="77" t="s">
        <v>179</v>
      </c>
      <c r="P2705" s="79">
        <v>44982.368217592593</v>
      </c>
      <c r="Q2705" s="77" t="s">
        <v>3911</v>
      </c>
      <c r="R2705" s="77">
        <v>0</v>
      </c>
      <c r="S2705" s="77">
        <v>0</v>
      </c>
      <c r="T2705" s="77">
        <v>0</v>
      </c>
      <c r="U2705" s="77">
        <v>0</v>
      </c>
      <c r="V2705" s="77">
        <v>15</v>
      </c>
      <c r="W2705" s="82" t="s">
        <v>5236</v>
      </c>
      <c r="X2705" s="80" t="str">
        <f>HYPERLINK("https://go.hotmart.com/B77468619P")</f>
        <v>https://go.hotmart.com/B77468619P</v>
      </c>
      <c r="Y2705" s="77" t="s">
        <v>7251</v>
      </c>
      <c r="Z2705" s="77"/>
      <c r="AA2705" s="77" t="s">
        <v>9094</v>
      </c>
      <c r="AB2705" s="77" t="s">
        <v>10130</v>
      </c>
      <c r="AC2705" s="82" t="s">
        <v>10173</v>
      </c>
      <c r="AD2705" s="77" t="s">
        <v>10184</v>
      </c>
      <c r="AE2705" s="80" t="str">
        <f>HYPERLINK("https://twitter.com/metaversoinfo/status/1629403382959202304")</f>
        <v>https://twitter.com/metaversoinfo/status/1629403382959202304</v>
      </c>
      <c r="AF2705" s="79">
        <v>44982.368217592593</v>
      </c>
      <c r="AG2705" s="85">
        <v>44982</v>
      </c>
      <c r="AH2705" s="82" t="s">
        <v>10877</v>
      </c>
      <c r="AI2705" s="77" t="b">
        <v>0</v>
      </c>
      <c r="AJ2705" s="77"/>
      <c r="AK2705" s="77"/>
      <c r="AL2705" s="77"/>
      <c r="AM2705" s="77"/>
      <c r="AN2705" s="77"/>
      <c r="AO2705" s="77"/>
      <c r="AP2705" s="77"/>
      <c r="AQ2705" s="77" t="s">
        <v>15737</v>
      </c>
      <c r="AR2705" s="77"/>
      <c r="AS2705" s="77"/>
      <c r="AT2705" s="77"/>
      <c r="AU2705" s="77"/>
      <c r="AV2705" s="80" t="str">
        <f>HYPERLINK("https://pbs.twimg.com/media/FpzNsRQWYAIzdjM.jpg")</f>
        <v>https://pbs.twimg.com/media/FpzNsRQWYAIzdjM.jpg</v>
      </c>
      <c r="AW2705" s="82" t="s">
        <v>19471</v>
      </c>
      <c r="AX2705" s="82" t="s">
        <v>19471</v>
      </c>
      <c r="AY2705" s="77"/>
      <c r="AZ2705" s="82" t="s">
        <v>20971</v>
      </c>
      <c r="BA2705" s="82" t="s">
        <v>20971</v>
      </c>
      <c r="BB2705" s="82" t="s">
        <v>20971</v>
      </c>
      <c r="BC2705" s="82" t="s">
        <v>19471</v>
      </c>
      <c r="BD2705" s="82" t="s">
        <v>21519</v>
      </c>
      <c r="BE2705" s="77"/>
      <c r="BF2705" s="77"/>
      <c r="BG2705" s="77"/>
      <c r="BH2705" s="77"/>
      <c r="BI2705" s="77"/>
    </row>
    <row r="2706" spans="1:61" x14ac:dyDescent="0.25">
      <c r="A2706" s="62" t="s">
        <v>903</v>
      </c>
      <c r="B2706" s="62" t="s">
        <v>903</v>
      </c>
      <c r="C2706" s="63"/>
      <c r="D2706" s="64"/>
      <c r="E2706" s="65"/>
      <c r="F2706" s="66"/>
      <c r="G2706" s="63"/>
      <c r="H2706" s="67"/>
      <c r="I2706" s="68"/>
      <c r="J2706" s="68"/>
      <c r="K2706" s="32"/>
      <c r="L2706" s="75">
        <v>2706</v>
      </c>
      <c r="M2706" s="75"/>
      <c r="N2706" s="70"/>
      <c r="O2706" s="77" t="s">
        <v>179</v>
      </c>
      <c r="P2706" s="79">
        <v>44980.942939814813</v>
      </c>
      <c r="Q2706" s="77" t="s">
        <v>3912</v>
      </c>
      <c r="R2706" s="77">
        <v>0</v>
      </c>
      <c r="S2706" s="77">
        <v>0</v>
      </c>
      <c r="T2706" s="77">
        <v>0</v>
      </c>
      <c r="U2706" s="77">
        <v>0</v>
      </c>
      <c r="V2706" s="77">
        <v>32</v>
      </c>
      <c r="W2706" s="82" t="s">
        <v>5236</v>
      </c>
      <c r="X2706" s="80" t="str">
        <f>HYPERLINK("https://go.hotmart.com/B77468619P")</f>
        <v>https://go.hotmart.com/B77468619P</v>
      </c>
      <c r="Y2706" s="77" t="s">
        <v>7251</v>
      </c>
      <c r="Z2706" s="77"/>
      <c r="AA2706" s="77" t="s">
        <v>9095</v>
      </c>
      <c r="AB2706" s="77" t="s">
        <v>10130</v>
      </c>
      <c r="AC2706" s="82" t="s">
        <v>10173</v>
      </c>
      <c r="AD2706" s="77" t="s">
        <v>10184</v>
      </c>
      <c r="AE2706" s="80" t="str">
        <f>HYPERLINK("https://twitter.com/metaversoinfo/status/1628886879599730690")</f>
        <v>https://twitter.com/metaversoinfo/status/1628886879599730690</v>
      </c>
      <c r="AF2706" s="79">
        <v>44980.942939814813</v>
      </c>
      <c r="AG2706" s="85">
        <v>44980</v>
      </c>
      <c r="AH2706" s="82" t="s">
        <v>12780</v>
      </c>
      <c r="AI2706" s="77" t="b">
        <v>0</v>
      </c>
      <c r="AJ2706" s="77"/>
      <c r="AK2706" s="77"/>
      <c r="AL2706" s="77"/>
      <c r="AM2706" s="77"/>
      <c r="AN2706" s="77"/>
      <c r="AO2706" s="77"/>
      <c r="AP2706" s="77"/>
      <c r="AQ2706" s="77" t="s">
        <v>15738</v>
      </c>
      <c r="AR2706" s="77"/>
      <c r="AS2706" s="77"/>
      <c r="AT2706" s="77"/>
      <c r="AU2706" s="77"/>
      <c r="AV2706" s="80" t="str">
        <f>HYPERLINK("https://pbs.twimg.com/media/Fpr388fWYAADhWz.jpg")</f>
        <v>https://pbs.twimg.com/media/Fpr388fWYAADhWz.jpg</v>
      </c>
      <c r="AW2706" s="82" t="s">
        <v>19472</v>
      </c>
      <c r="AX2706" s="82" t="s">
        <v>19472</v>
      </c>
      <c r="AY2706" s="77"/>
      <c r="AZ2706" s="82" t="s">
        <v>20971</v>
      </c>
      <c r="BA2706" s="82" t="s">
        <v>20971</v>
      </c>
      <c r="BB2706" s="82" t="s">
        <v>20971</v>
      </c>
      <c r="BC2706" s="82" t="s">
        <v>19472</v>
      </c>
      <c r="BD2706" s="82" t="s">
        <v>21519</v>
      </c>
      <c r="BE2706" s="77"/>
      <c r="BF2706" s="77"/>
      <c r="BG2706" s="77"/>
      <c r="BH2706" s="77"/>
      <c r="BI2706" s="77"/>
    </row>
    <row r="2707" spans="1:61" x14ac:dyDescent="0.25">
      <c r="A2707" s="62" t="s">
        <v>903</v>
      </c>
      <c r="B2707" s="62" t="s">
        <v>903</v>
      </c>
      <c r="C2707" s="63"/>
      <c r="D2707" s="64"/>
      <c r="E2707" s="65"/>
      <c r="F2707" s="66"/>
      <c r="G2707" s="63"/>
      <c r="H2707" s="67"/>
      <c r="I2707" s="68"/>
      <c r="J2707" s="68"/>
      <c r="K2707" s="32"/>
      <c r="L2707" s="75">
        <v>2707</v>
      </c>
      <c r="M2707" s="75"/>
      <c r="N2707" s="70"/>
      <c r="O2707" s="77" t="s">
        <v>179</v>
      </c>
      <c r="P2707" s="79">
        <v>44979.521354166667</v>
      </c>
      <c r="Q2707" s="77" t="s">
        <v>3913</v>
      </c>
      <c r="R2707" s="77">
        <v>0</v>
      </c>
      <c r="S2707" s="77">
        <v>0</v>
      </c>
      <c r="T2707" s="77">
        <v>0</v>
      </c>
      <c r="U2707" s="77">
        <v>0</v>
      </c>
      <c r="V2707" s="77">
        <v>18</v>
      </c>
      <c r="W2707" s="82" t="s">
        <v>5236</v>
      </c>
      <c r="X2707" s="80" t="str">
        <f>HYPERLINK("https://go.hotmart.com/B77468619P")</f>
        <v>https://go.hotmart.com/B77468619P</v>
      </c>
      <c r="Y2707" s="77" t="s">
        <v>7251</v>
      </c>
      <c r="Z2707" s="77"/>
      <c r="AA2707" s="77" t="s">
        <v>9096</v>
      </c>
      <c r="AB2707" s="77" t="s">
        <v>10130</v>
      </c>
      <c r="AC2707" s="82" t="s">
        <v>10173</v>
      </c>
      <c r="AD2707" s="77" t="s">
        <v>10184</v>
      </c>
      <c r="AE2707" s="80" t="str">
        <f>HYPERLINK("https://twitter.com/metaversoinfo/status/1628371715645472768")</f>
        <v>https://twitter.com/metaversoinfo/status/1628371715645472768</v>
      </c>
      <c r="AF2707" s="79">
        <v>44979.521354166667</v>
      </c>
      <c r="AG2707" s="85">
        <v>44979</v>
      </c>
      <c r="AH2707" s="82" t="s">
        <v>12781</v>
      </c>
      <c r="AI2707" s="77" t="b">
        <v>0</v>
      </c>
      <c r="AJ2707" s="77"/>
      <c r="AK2707" s="77"/>
      <c r="AL2707" s="77"/>
      <c r="AM2707" s="77"/>
      <c r="AN2707" s="77"/>
      <c r="AO2707" s="77"/>
      <c r="AP2707" s="77"/>
      <c r="AQ2707" s="77" t="s">
        <v>15739</v>
      </c>
      <c r="AR2707" s="77"/>
      <c r="AS2707" s="77"/>
      <c r="AT2707" s="77"/>
      <c r="AU2707" s="77"/>
      <c r="AV2707" s="80" t="str">
        <f>HYPERLINK("https://pbs.twimg.com/media/FpkjahXX0AY1Nv6.jpg")</f>
        <v>https://pbs.twimg.com/media/FpkjahXX0AY1Nv6.jpg</v>
      </c>
      <c r="AW2707" s="82" t="s">
        <v>19473</v>
      </c>
      <c r="AX2707" s="82" t="s">
        <v>19473</v>
      </c>
      <c r="AY2707" s="77"/>
      <c r="AZ2707" s="82" t="s">
        <v>20971</v>
      </c>
      <c r="BA2707" s="82" t="s">
        <v>20971</v>
      </c>
      <c r="BB2707" s="82" t="s">
        <v>20971</v>
      </c>
      <c r="BC2707" s="82" t="s">
        <v>19473</v>
      </c>
      <c r="BD2707" s="82" t="s">
        <v>21519</v>
      </c>
      <c r="BE2707" s="77"/>
      <c r="BF2707" s="77"/>
      <c r="BG2707" s="77"/>
      <c r="BH2707" s="77"/>
      <c r="BI2707" s="77"/>
    </row>
    <row r="2708" spans="1:61" x14ac:dyDescent="0.25">
      <c r="A2708" s="62" t="s">
        <v>903</v>
      </c>
      <c r="B2708" s="62" t="s">
        <v>903</v>
      </c>
      <c r="C2708" s="63"/>
      <c r="D2708" s="64"/>
      <c r="E2708" s="65"/>
      <c r="F2708" s="66"/>
      <c r="G2708" s="63"/>
      <c r="H2708" s="67"/>
      <c r="I2708" s="68"/>
      <c r="J2708" s="68"/>
      <c r="K2708" s="32"/>
      <c r="L2708" s="75">
        <v>2708</v>
      </c>
      <c r="M2708" s="75"/>
      <c r="N2708" s="70"/>
      <c r="O2708" s="77" t="s">
        <v>179</v>
      </c>
      <c r="P2708" s="79">
        <v>44978.09648148148</v>
      </c>
      <c r="Q2708" s="77" t="s">
        <v>3914</v>
      </c>
      <c r="R2708" s="77">
        <v>0</v>
      </c>
      <c r="S2708" s="77">
        <v>0</v>
      </c>
      <c r="T2708" s="77">
        <v>0</v>
      </c>
      <c r="U2708" s="77">
        <v>0</v>
      </c>
      <c r="V2708" s="77">
        <v>15</v>
      </c>
      <c r="W2708" s="82" t="s">
        <v>5236</v>
      </c>
      <c r="X2708" s="80" t="str">
        <f>HYPERLINK("https://go.hotmart.com/B77468619P")</f>
        <v>https://go.hotmart.com/B77468619P</v>
      </c>
      <c r="Y2708" s="77" t="s">
        <v>7251</v>
      </c>
      <c r="Z2708" s="77"/>
      <c r="AA2708" s="77" t="s">
        <v>9097</v>
      </c>
      <c r="AB2708" s="77" t="s">
        <v>10130</v>
      </c>
      <c r="AC2708" s="82" t="s">
        <v>10173</v>
      </c>
      <c r="AD2708" s="77" t="s">
        <v>10184</v>
      </c>
      <c r="AE2708" s="80" t="str">
        <f>HYPERLINK("https://twitter.com/metaversoinfo/status/1627855358818410497")</f>
        <v>https://twitter.com/metaversoinfo/status/1627855358818410497</v>
      </c>
      <c r="AF2708" s="79">
        <v>44978.09648148148</v>
      </c>
      <c r="AG2708" s="85">
        <v>44978</v>
      </c>
      <c r="AH2708" s="82" t="s">
        <v>12782</v>
      </c>
      <c r="AI2708" s="77" t="b">
        <v>0</v>
      </c>
      <c r="AJ2708" s="77"/>
      <c r="AK2708" s="77"/>
      <c r="AL2708" s="77"/>
      <c r="AM2708" s="77"/>
      <c r="AN2708" s="77"/>
      <c r="AO2708" s="77"/>
      <c r="AP2708" s="77"/>
      <c r="AQ2708" s="77" t="s">
        <v>15740</v>
      </c>
      <c r="AR2708" s="77"/>
      <c r="AS2708" s="77"/>
      <c r="AT2708" s="77"/>
      <c r="AU2708" s="77"/>
      <c r="AV2708" s="80" t="str">
        <f>HYPERLINK("https://pbs.twimg.com/media/FpdNzpsXEAAX5pj.jpg")</f>
        <v>https://pbs.twimg.com/media/FpdNzpsXEAAX5pj.jpg</v>
      </c>
      <c r="AW2708" s="82" t="s">
        <v>19474</v>
      </c>
      <c r="AX2708" s="82" t="s">
        <v>19474</v>
      </c>
      <c r="AY2708" s="77"/>
      <c r="AZ2708" s="82" t="s">
        <v>20971</v>
      </c>
      <c r="BA2708" s="82" t="s">
        <v>20971</v>
      </c>
      <c r="BB2708" s="82" t="s">
        <v>20971</v>
      </c>
      <c r="BC2708" s="82" t="s">
        <v>19474</v>
      </c>
      <c r="BD2708" s="82" t="s">
        <v>21519</v>
      </c>
      <c r="BE2708" s="77"/>
      <c r="BF2708" s="77"/>
      <c r="BG2708" s="77"/>
      <c r="BH2708" s="77"/>
      <c r="BI2708" s="77"/>
    </row>
    <row r="2709" spans="1:61" x14ac:dyDescent="0.25">
      <c r="A2709" s="62" t="s">
        <v>904</v>
      </c>
      <c r="B2709" s="62" t="s">
        <v>904</v>
      </c>
      <c r="C2709" s="63"/>
      <c r="D2709" s="64"/>
      <c r="E2709" s="65"/>
      <c r="F2709" s="66"/>
      <c r="G2709" s="63"/>
      <c r="H2709" s="67"/>
      <c r="I2709" s="68"/>
      <c r="J2709" s="68"/>
      <c r="K2709" s="32"/>
      <c r="L2709" s="75">
        <v>2709</v>
      </c>
      <c r="M2709" s="75"/>
      <c r="N2709" s="70"/>
      <c r="O2709" s="77" t="s">
        <v>179</v>
      </c>
      <c r="P2709" s="79">
        <v>45024.869803240741</v>
      </c>
      <c r="Q2709" s="77" t="s">
        <v>3915</v>
      </c>
      <c r="R2709" s="77">
        <v>0</v>
      </c>
      <c r="S2709" s="77">
        <v>0</v>
      </c>
      <c r="T2709" s="77">
        <v>0</v>
      </c>
      <c r="U2709" s="77">
        <v>0</v>
      </c>
      <c r="V2709" s="77">
        <v>34</v>
      </c>
      <c r="W2709" s="82" t="s">
        <v>6546</v>
      </c>
      <c r="X2709" s="80" t="str">
        <f>HYPERLINK("https://www.instagram.com/reel/CqyWjtNstod/?utm_source=ig_web_button_share_sheet")</f>
        <v>https://www.instagram.com/reel/CqyWjtNstod/?utm_source=ig_web_button_share_sheet</v>
      </c>
      <c r="Y2709" s="77" t="s">
        <v>7250</v>
      </c>
      <c r="Z2709" s="77"/>
      <c r="AA2709" s="77" t="s">
        <v>9098</v>
      </c>
      <c r="AB2709" s="77" t="s">
        <v>10130</v>
      </c>
      <c r="AC2709" s="82" t="s">
        <v>10146</v>
      </c>
      <c r="AD2709" s="77" t="s">
        <v>10184</v>
      </c>
      <c r="AE2709" s="80" t="str">
        <f>HYPERLINK("https://twitter.com/hhabilidosos/status/1644805444626513921")</f>
        <v>https://twitter.com/hhabilidosos/status/1644805444626513921</v>
      </c>
      <c r="AF2709" s="79">
        <v>45024.869803240741</v>
      </c>
      <c r="AG2709" s="85">
        <v>45024</v>
      </c>
      <c r="AH2709" s="82" t="s">
        <v>12783</v>
      </c>
      <c r="AI2709" s="77" t="b">
        <v>0</v>
      </c>
      <c r="AJ2709" s="77"/>
      <c r="AK2709" s="77"/>
      <c r="AL2709" s="77"/>
      <c r="AM2709" s="77"/>
      <c r="AN2709" s="77"/>
      <c r="AO2709" s="77"/>
      <c r="AP2709" s="77"/>
      <c r="AQ2709" s="77" t="s">
        <v>15741</v>
      </c>
      <c r="AR2709" s="77"/>
      <c r="AS2709" s="77"/>
      <c r="AT2709" s="77"/>
      <c r="AU2709" s="77"/>
      <c r="AV2709" s="80" t="str">
        <f>HYPERLINK("https://pbs.twimg.com/media/FtOFzW7WAAE66ol.jpg")</f>
        <v>https://pbs.twimg.com/media/FtOFzW7WAAE66ol.jpg</v>
      </c>
      <c r="AW2709" s="82" t="s">
        <v>19475</v>
      </c>
      <c r="AX2709" s="82" t="s">
        <v>19475</v>
      </c>
      <c r="AY2709" s="77"/>
      <c r="AZ2709" s="82" t="s">
        <v>20971</v>
      </c>
      <c r="BA2709" s="82" t="s">
        <v>20971</v>
      </c>
      <c r="BB2709" s="82" t="s">
        <v>20971</v>
      </c>
      <c r="BC2709" s="82" t="s">
        <v>19475</v>
      </c>
      <c r="BD2709" s="82" t="s">
        <v>21520</v>
      </c>
      <c r="BE2709" s="77"/>
      <c r="BF2709" s="77"/>
      <c r="BG2709" s="77"/>
      <c r="BH2709" s="77"/>
      <c r="BI2709" s="77"/>
    </row>
    <row r="2710" spans="1:61" x14ac:dyDescent="0.25">
      <c r="A2710" s="62" t="s">
        <v>904</v>
      </c>
      <c r="B2710" s="62" t="s">
        <v>904</v>
      </c>
      <c r="C2710" s="63"/>
      <c r="D2710" s="64"/>
      <c r="E2710" s="65"/>
      <c r="F2710" s="66"/>
      <c r="G2710" s="63"/>
      <c r="H2710" s="67"/>
      <c r="I2710" s="68"/>
      <c r="J2710" s="68"/>
      <c r="K2710" s="32"/>
      <c r="L2710" s="75">
        <v>2710</v>
      </c>
      <c r="M2710" s="75"/>
      <c r="N2710" s="70"/>
      <c r="O2710" s="77" t="s">
        <v>179</v>
      </c>
      <c r="P2710" s="79">
        <v>45018.8908912037</v>
      </c>
      <c r="Q2710" s="77" t="s">
        <v>3916</v>
      </c>
      <c r="R2710" s="77">
        <v>0</v>
      </c>
      <c r="S2710" s="77">
        <v>0</v>
      </c>
      <c r="T2710" s="77">
        <v>0</v>
      </c>
      <c r="U2710" s="77">
        <v>0</v>
      </c>
      <c r="V2710" s="77">
        <v>20</v>
      </c>
      <c r="W2710" s="82" t="s">
        <v>6547</v>
      </c>
      <c r="X2710" s="80" t="str">
        <f>HYPERLINK("https://sites.google.com/view/quitandaemcasa/")</f>
        <v>https://sites.google.com/view/quitandaemcasa/</v>
      </c>
      <c r="Y2710" s="77" t="s">
        <v>7305</v>
      </c>
      <c r="Z2710" s="77"/>
      <c r="AA2710" s="77" t="s">
        <v>9099</v>
      </c>
      <c r="AB2710" s="77" t="s">
        <v>10130</v>
      </c>
      <c r="AC2710" s="82" t="s">
        <v>10146</v>
      </c>
      <c r="AD2710" s="77" t="s">
        <v>10184</v>
      </c>
      <c r="AE2710" s="80" t="str">
        <f>HYPERLINK("https://twitter.com/hhabilidosos/status/1642638760008400896")</f>
        <v>https://twitter.com/hhabilidosos/status/1642638760008400896</v>
      </c>
      <c r="AF2710" s="79">
        <v>45018.8908912037</v>
      </c>
      <c r="AG2710" s="85">
        <v>45018</v>
      </c>
      <c r="AH2710" s="82" t="s">
        <v>12784</v>
      </c>
      <c r="AI2710" s="77" t="b">
        <v>0</v>
      </c>
      <c r="AJ2710" s="77"/>
      <c r="AK2710" s="77"/>
      <c r="AL2710" s="77"/>
      <c r="AM2710" s="77"/>
      <c r="AN2710" s="77"/>
      <c r="AO2710" s="77"/>
      <c r="AP2710" s="77"/>
      <c r="AQ2710" s="77" t="s">
        <v>15742</v>
      </c>
      <c r="AR2710" s="77"/>
      <c r="AS2710" s="77"/>
      <c r="AT2710" s="77"/>
      <c r="AU2710" s="77"/>
      <c r="AV2710" s="80" t="str">
        <f>HYPERLINK("https://pbs.twimg.com/media/FsvSw_GWIAQVPAo.jpg")</f>
        <v>https://pbs.twimg.com/media/FsvSw_GWIAQVPAo.jpg</v>
      </c>
      <c r="AW2710" s="82" t="s">
        <v>19476</v>
      </c>
      <c r="AX2710" s="82" t="s">
        <v>19476</v>
      </c>
      <c r="AY2710" s="77"/>
      <c r="AZ2710" s="82" t="s">
        <v>20971</v>
      </c>
      <c r="BA2710" s="82" t="s">
        <v>20971</v>
      </c>
      <c r="BB2710" s="82" t="s">
        <v>20971</v>
      </c>
      <c r="BC2710" s="82" t="s">
        <v>19476</v>
      </c>
      <c r="BD2710" s="82" t="s">
        <v>21520</v>
      </c>
      <c r="BE2710" s="77"/>
      <c r="BF2710" s="77"/>
      <c r="BG2710" s="77"/>
      <c r="BH2710" s="77"/>
      <c r="BI2710" s="77"/>
    </row>
    <row r="2711" spans="1:61" x14ac:dyDescent="0.25">
      <c r="A2711" s="62" t="s">
        <v>905</v>
      </c>
      <c r="B2711" s="62" t="s">
        <v>905</v>
      </c>
      <c r="C2711" s="63"/>
      <c r="D2711" s="64"/>
      <c r="E2711" s="65"/>
      <c r="F2711" s="66"/>
      <c r="G2711" s="63"/>
      <c r="H2711" s="67"/>
      <c r="I2711" s="68"/>
      <c r="J2711" s="68"/>
      <c r="K2711" s="32"/>
      <c r="L2711" s="75">
        <v>2711</v>
      </c>
      <c r="M2711" s="75"/>
      <c r="N2711" s="70"/>
      <c r="O2711" s="77" t="s">
        <v>179</v>
      </c>
      <c r="P2711" s="79">
        <v>45098.658703703702</v>
      </c>
      <c r="Q2711" s="77" t="s">
        <v>3917</v>
      </c>
      <c r="R2711" s="77">
        <v>0</v>
      </c>
      <c r="S2711" s="77">
        <v>0</v>
      </c>
      <c r="T2711" s="77">
        <v>0</v>
      </c>
      <c r="U2711" s="77">
        <v>0</v>
      </c>
      <c r="V2711" s="77">
        <v>42</v>
      </c>
      <c r="W2711" s="82" t="s">
        <v>6548</v>
      </c>
      <c r="X2711" s="80" t="str">
        <f>HYPERLINK("https://go.hotmart.com/Y83941417N?dp=1")</f>
        <v>https://go.hotmart.com/Y83941417N?dp=1</v>
      </c>
      <c r="Y2711" s="77" t="s">
        <v>7251</v>
      </c>
      <c r="Z2711" s="77"/>
      <c r="AA2711" s="77" t="s">
        <v>9100</v>
      </c>
      <c r="AB2711" s="77" t="s">
        <v>10130</v>
      </c>
      <c r="AC2711" s="82" t="s">
        <v>10144</v>
      </c>
      <c r="AD2711" s="77" t="s">
        <v>10184</v>
      </c>
      <c r="AE2711" s="80" t="str">
        <f>HYPERLINK("https://twitter.com/geisa046/status/1671545647118336005")</f>
        <v>https://twitter.com/geisa046/status/1671545647118336005</v>
      </c>
      <c r="AF2711" s="79">
        <v>45098.658703703702</v>
      </c>
      <c r="AG2711" s="85">
        <v>45098</v>
      </c>
      <c r="AH2711" s="82" t="s">
        <v>12785</v>
      </c>
      <c r="AI2711" s="77" t="b">
        <v>0</v>
      </c>
      <c r="AJ2711" s="77"/>
      <c r="AK2711" s="77"/>
      <c r="AL2711" s="77"/>
      <c r="AM2711" s="77"/>
      <c r="AN2711" s="77"/>
      <c r="AO2711" s="77"/>
      <c r="AP2711" s="77"/>
      <c r="AQ2711" s="77" t="s">
        <v>15743</v>
      </c>
      <c r="AR2711" s="77"/>
      <c r="AS2711" s="77"/>
      <c r="AT2711" s="77"/>
      <c r="AU2711" s="77"/>
      <c r="AV2711" s="80" t="str">
        <f>HYPERLINK("https://pbs.twimg.com/media/FzKF6C-WIAIf7Ko.jpg")</f>
        <v>https://pbs.twimg.com/media/FzKF6C-WIAIf7Ko.jpg</v>
      </c>
      <c r="AW2711" s="82" t="s">
        <v>19477</v>
      </c>
      <c r="AX2711" s="82" t="s">
        <v>19477</v>
      </c>
      <c r="AY2711" s="77"/>
      <c r="AZ2711" s="82" t="s">
        <v>20971</v>
      </c>
      <c r="BA2711" s="82" t="s">
        <v>20971</v>
      </c>
      <c r="BB2711" s="82" t="s">
        <v>20971</v>
      </c>
      <c r="BC2711" s="82" t="s">
        <v>19477</v>
      </c>
      <c r="BD2711" s="82" t="s">
        <v>21521</v>
      </c>
      <c r="BE2711" s="77"/>
      <c r="BF2711" s="77"/>
      <c r="BG2711" s="77"/>
      <c r="BH2711" s="77"/>
      <c r="BI2711" s="77"/>
    </row>
    <row r="2712" spans="1:61" x14ac:dyDescent="0.25">
      <c r="A2712" s="62" t="s">
        <v>905</v>
      </c>
      <c r="B2712" s="62" t="s">
        <v>905</v>
      </c>
      <c r="C2712" s="63"/>
      <c r="D2712" s="64"/>
      <c r="E2712" s="65"/>
      <c r="F2712" s="66"/>
      <c r="G2712" s="63"/>
      <c r="H2712" s="67"/>
      <c r="I2712" s="68"/>
      <c r="J2712" s="68"/>
      <c r="K2712" s="32"/>
      <c r="L2712" s="75">
        <v>2712</v>
      </c>
      <c r="M2712" s="75"/>
      <c r="N2712" s="70"/>
      <c r="O2712" s="77" t="s">
        <v>179</v>
      </c>
      <c r="P2712" s="79">
        <v>45103.619884259257</v>
      </c>
      <c r="Q2712" s="77" t="s">
        <v>3918</v>
      </c>
      <c r="R2712" s="77">
        <v>0</v>
      </c>
      <c r="S2712" s="77">
        <v>0</v>
      </c>
      <c r="T2712" s="77">
        <v>0</v>
      </c>
      <c r="U2712" s="77">
        <v>0</v>
      </c>
      <c r="V2712" s="77">
        <v>25</v>
      </c>
      <c r="W2712" s="82" t="s">
        <v>6549</v>
      </c>
      <c r="X2712" s="77"/>
      <c r="Y2712" s="77"/>
      <c r="Z2712" s="77"/>
      <c r="AA2712" s="77" t="s">
        <v>9101</v>
      </c>
      <c r="AB2712" s="77" t="s">
        <v>10130</v>
      </c>
      <c r="AC2712" s="82" t="s">
        <v>10144</v>
      </c>
      <c r="AD2712" s="77" t="s">
        <v>10183</v>
      </c>
      <c r="AE2712" s="80" t="str">
        <f>HYPERLINK("https://twitter.com/geisa046/status/1673343519396708359")</f>
        <v>https://twitter.com/geisa046/status/1673343519396708359</v>
      </c>
      <c r="AF2712" s="79">
        <v>45103.619884259257</v>
      </c>
      <c r="AG2712" s="85">
        <v>45103</v>
      </c>
      <c r="AH2712" s="82" t="s">
        <v>12786</v>
      </c>
      <c r="AI2712" s="77" t="b">
        <v>0</v>
      </c>
      <c r="AJ2712" s="77"/>
      <c r="AK2712" s="77"/>
      <c r="AL2712" s="77"/>
      <c r="AM2712" s="77"/>
      <c r="AN2712" s="77"/>
      <c r="AO2712" s="77"/>
      <c r="AP2712" s="77"/>
      <c r="AQ2712" s="77" t="s">
        <v>15744</v>
      </c>
      <c r="AR2712" s="77"/>
      <c r="AS2712" s="77"/>
      <c r="AT2712" s="77"/>
      <c r="AU2712" s="77"/>
      <c r="AV2712" s="80" t="str">
        <f>HYPERLINK("https://pbs.twimg.com/media/FzjpD7XXoAEuU3M.jpg")</f>
        <v>https://pbs.twimg.com/media/FzjpD7XXoAEuU3M.jpg</v>
      </c>
      <c r="AW2712" s="82" t="s">
        <v>19478</v>
      </c>
      <c r="AX2712" s="82" t="s">
        <v>19478</v>
      </c>
      <c r="AY2712" s="77"/>
      <c r="AZ2712" s="82" t="s">
        <v>20971</v>
      </c>
      <c r="BA2712" s="82" t="s">
        <v>20971</v>
      </c>
      <c r="BB2712" s="82" t="s">
        <v>20971</v>
      </c>
      <c r="BC2712" s="82" t="s">
        <v>19478</v>
      </c>
      <c r="BD2712" s="82" t="s">
        <v>21521</v>
      </c>
      <c r="BE2712" s="77"/>
      <c r="BF2712" s="77"/>
      <c r="BG2712" s="77"/>
      <c r="BH2712" s="77"/>
      <c r="BI2712" s="77"/>
    </row>
    <row r="2713" spans="1:61" x14ac:dyDescent="0.25">
      <c r="A2713" s="62" t="s">
        <v>905</v>
      </c>
      <c r="B2713" s="62" t="s">
        <v>905</v>
      </c>
      <c r="C2713" s="63"/>
      <c r="D2713" s="64"/>
      <c r="E2713" s="65"/>
      <c r="F2713" s="66"/>
      <c r="G2713" s="63"/>
      <c r="H2713" s="67"/>
      <c r="I2713" s="68"/>
      <c r="J2713" s="68"/>
      <c r="K2713" s="32"/>
      <c r="L2713" s="75">
        <v>2713</v>
      </c>
      <c r="M2713" s="75"/>
      <c r="N2713" s="70"/>
      <c r="O2713" s="77" t="s">
        <v>179</v>
      </c>
      <c r="P2713" s="79">
        <v>45112.670254629629</v>
      </c>
      <c r="Q2713" s="77" t="s">
        <v>3919</v>
      </c>
      <c r="R2713" s="77">
        <v>0</v>
      </c>
      <c r="S2713" s="77">
        <v>0</v>
      </c>
      <c r="T2713" s="77">
        <v>0</v>
      </c>
      <c r="U2713" s="77">
        <v>0</v>
      </c>
      <c r="V2713" s="77">
        <v>10</v>
      </c>
      <c r="W2713" s="82" t="s">
        <v>6550</v>
      </c>
      <c r="X2713" s="77"/>
      <c r="Y2713" s="77"/>
      <c r="Z2713" s="77"/>
      <c r="AA2713" s="77" t="s">
        <v>9102</v>
      </c>
      <c r="AB2713" s="77" t="s">
        <v>10130</v>
      </c>
      <c r="AC2713" s="82" t="s">
        <v>10144</v>
      </c>
      <c r="AD2713" s="77" t="s">
        <v>10183</v>
      </c>
      <c r="AE2713" s="80" t="str">
        <f>HYPERLINK("https://twitter.com/geisa046/status/1676623262321631233")</f>
        <v>https://twitter.com/geisa046/status/1676623262321631233</v>
      </c>
      <c r="AF2713" s="79">
        <v>45112.670254629629</v>
      </c>
      <c r="AG2713" s="85">
        <v>45112</v>
      </c>
      <c r="AH2713" s="82" t="s">
        <v>12787</v>
      </c>
      <c r="AI2713" s="77" t="b">
        <v>0</v>
      </c>
      <c r="AJ2713" s="77"/>
      <c r="AK2713" s="77"/>
      <c r="AL2713" s="77"/>
      <c r="AM2713" s="77"/>
      <c r="AN2713" s="77"/>
      <c r="AO2713" s="77"/>
      <c r="AP2713" s="77"/>
      <c r="AQ2713" s="77" t="s">
        <v>15745</v>
      </c>
      <c r="AR2713" s="77"/>
      <c r="AS2713" s="77"/>
      <c r="AT2713" s="77"/>
      <c r="AU2713" s="77"/>
      <c r="AV2713" s="80" t="str">
        <f>HYPERLINK("https://pbs.twimg.com/media/F0SP-JFWYAApR6T.jpg")</f>
        <v>https://pbs.twimg.com/media/F0SP-JFWYAApR6T.jpg</v>
      </c>
      <c r="AW2713" s="82" t="s">
        <v>19479</v>
      </c>
      <c r="AX2713" s="82" t="s">
        <v>19479</v>
      </c>
      <c r="AY2713" s="77"/>
      <c r="AZ2713" s="82" t="s">
        <v>20971</v>
      </c>
      <c r="BA2713" s="82" t="s">
        <v>20971</v>
      </c>
      <c r="BB2713" s="82" t="s">
        <v>20971</v>
      </c>
      <c r="BC2713" s="82" t="s">
        <v>19479</v>
      </c>
      <c r="BD2713" s="82" t="s">
        <v>21521</v>
      </c>
      <c r="BE2713" s="77"/>
      <c r="BF2713" s="77"/>
      <c r="BG2713" s="77"/>
      <c r="BH2713" s="77"/>
      <c r="BI2713" s="77"/>
    </row>
    <row r="2714" spans="1:61" x14ac:dyDescent="0.25">
      <c r="A2714" s="62" t="s">
        <v>906</v>
      </c>
      <c r="B2714" s="62" t="s">
        <v>906</v>
      </c>
      <c r="C2714" s="63"/>
      <c r="D2714" s="64"/>
      <c r="E2714" s="65"/>
      <c r="F2714" s="66"/>
      <c r="G2714" s="63"/>
      <c r="H2714" s="67"/>
      <c r="I2714" s="68"/>
      <c r="J2714" s="68"/>
      <c r="K2714" s="32"/>
      <c r="L2714" s="75">
        <v>2714</v>
      </c>
      <c r="M2714" s="75"/>
      <c r="N2714" s="70"/>
      <c r="O2714" s="77" t="s">
        <v>179</v>
      </c>
      <c r="P2714" s="79">
        <v>45155.56621527778</v>
      </c>
      <c r="Q2714" s="77" t="s">
        <v>3920</v>
      </c>
      <c r="R2714" s="77">
        <v>0</v>
      </c>
      <c r="S2714" s="77">
        <v>0</v>
      </c>
      <c r="T2714" s="77">
        <v>0</v>
      </c>
      <c r="U2714" s="77">
        <v>0</v>
      </c>
      <c r="V2714" s="77">
        <v>40</v>
      </c>
      <c r="W2714" s="82" t="s">
        <v>6551</v>
      </c>
      <c r="X2714" s="80" t="str">
        <f>HYPERLINK("https://wa.me/message/2HRIUB25O7OEN1")</f>
        <v>https://wa.me/message/2HRIUB25O7OEN1</v>
      </c>
      <c r="Y2714" s="77" t="s">
        <v>7279</v>
      </c>
      <c r="Z2714" s="77"/>
      <c r="AA2714" s="77" t="s">
        <v>9103</v>
      </c>
      <c r="AB2714" s="77" t="s">
        <v>10129</v>
      </c>
      <c r="AC2714" s="82" t="s">
        <v>10144</v>
      </c>
      <c r="AD2714" s="77" t="s">
        <v>10184</v>
      </c>
      <c r="AE2714" s="80" t="str">
        <f>HYPERLINK("https://twitter.com/laudelinoperei2/status/1692168238359048218")</f>
        <v>https://twitter.com/laudelinoperei2/status/1692168238359048218</v>
      </c>
      <c r="AF2714" s="79">
        <v>45155.56621527778</v>
      </c>
      <c r="AG2714" s="85">
        <v>45155</v>
      </c>
      <c r="AH2714" s="82" t="s">
        <v>12788</v>
      </c>
      <c r="AI2714" s="77" t="b">
        <v>0</v>
      </c>
      <c r="AJ2714" s="77"/>
      <c r="AK2714" s="77"/>
      <c r="AL2714" s="77"/>
      <c r="AM2714" s="77"/>
      <c r="AN2714" s="77"/>
      <c r="AO2714" s="77"/>
      <c r="AP2714" s="77"/>
      <c r="AQ2714" s="77" t="s">
        <v>15746</v>
      </c>
      <c r="AR2714" s="77">
        <v>13400</v>
      </c>
      <c r="AS2714" s="77"/>
      <c r="AT2714" s="77"/>
      <c r="AU2714" s="77"/>
      <c r="AV2714" s="80" t="str">
        <f>HYPERLINK("https://pbs.twimg.com/ext_tw_video_thumb/1692168174651822080/pu/img/5NVGQh5gD0Sph1TD.jpg")</f>
        <v>https://pbs.twimg.com/ext_tw_video_thumb/1692168174651822080/pu/img/5NVGQh5gD0Sph1TD.jpg</v>
      </c>
      <c r="AW2714" s="82" t="s">
        <v>19480</v>
      </c>
      <c r="AX2714" s="82" t="s">
        <v>19480</v>
      </c>
      <c r="AY2714" s="77"/>
      <c r="AZ2714" s="82" t="s">
        <v>20971</v>
      </c>
      <c r="BA2714" s="82" t="s">
        <v>20971</v>
      </c>
      <c r="BB2714" s="82" t="s">
        <v>20971</v>
      </c>
      <c r="BC2714" s="82" t="s">
        <v>19480</v>
      </c>
      <c r="BD2714" s="82" t="s">
        <v>21522</v>
      </c>
      <c r="BE2714" s="77"/>
      <c r="BF2714" s="77"/>
      <c r="BG2714" s="77"/>
      <c r="BH2714" s="77"/>
      <c r="BI2714" s="77"/>
    </row>
    <row r="2715" spans="1:61" x14ac:dyDescent="0.25">
      <c r="A2715" s="62" t="s">
        <v>907</v>
      </c>
      <c r="B2715" s="62" t="s">
        <v>907</v>
      </c>
      <c r="C2715" s="63"/>
      <c r="D2715" s="64"/>
      <c r="E2715" s="65"/>
      <c r="F2715" s="66"/>
      <c r="G2715" s="63"/>
      <c r="H2715" s="67"/>
      <c r="I2715" s="68"/>
      <c r="J2715" s="68"/>
      <c r="K2715" s="32"/>
      <c r="L2715" s="75">
        <v>2715</v>
      </c>
      <c r="M2715" s="75"/>
      <c r="N2715" s="70"/>
      <c r="O2715" s="77" t="s">
        <v>179</v>
      </c>
      <c r="P2715" s="79">
        <v>45165.809108796297</v>
      </c>
      <c r="Q2715" s="77" t="s">
        <v>3921</v>
      </c>
      <c r="R2715" s="77">
        <v>0</v>
      </c>
      <c r="S2715" s="77">
        <v>0</v>
      </c>
      <c r="T2715" s="77">
        <v>1</v>
      </c>
      <c r="U2715" s="77">
        <v>0</v>
      </c>
      <c r="V2715" s="77">
        <v>136</v>
      </c>
      <c r="W2715" s="82" t="s">
        <v>5236</v>
      </c>
      <c r="X2715" s="77"/>
      <c r="Y2715" s="77"/>
      <c r="Z2715" s="77"/>
      <c r="AA2715" s="77" t="s">
        <v>9104</v>
      </c>
      <c r="AB2715" s="77" t="s">
        <v>10129</v>
      </c>
      <c r="AC2715" s="82" t="s">
        <v>10144</v>
      </c>
      <c r="AD2715" s="77" t="s">
        <v>10184</v>
      </c>
      <c r="AE2715" s="80" t="str">
        <f>HYPERLINK("https://twitter.com/rendaextradigit/status/1695880137453998329")</f>
        <v>https://twitter.com/rendaextradigit/status/1695880137453998329</v>
      </c>
      <c r="AF2715" s="79">
        <v>45165.809108796297</v>
      </c>
      <c r="AG2715" s="85">
        <v>45165</v>
      </c>
      <c r="AH2715" s="82" t="s">
        <v>12789</v>
      </c>
      <c r="AI2715" s="77" t="b">
        <v>0</v>
      </c>
      <c r="AJ2715" s="77"/>
      <c r="AK2715" s="77"/>
      <c r="AL2715" s="77"/>
      <c r="AM2715" s="77"/>
      <c r="AN2715" s="77"/>
      <c r="AO2715" s="77"/>
      <c r="AP2715" s="77"/>
      <c r="AQ2715" s="77" t="s">
        <v>15747</v>
      </c>
      <c r="AR2715" s="77">
        <v>88321</v>
      </c>
      <c r="AS2715" s="77"/>
      <c r="AT2715" s="77"/>
      <c r="AU2715" s="77"/>
      <c r="AV2715" s="80" t="str">
        <f>HYPERLINK("https://pbs.twimg.com/ext_tw_video_thumb/1695880020277727232/pu/img/DEI-QmXPP6RVfCvZ.jpg")</f>
        <v>https://pbs.twimg.com/ext_tw_video_thumb/1695880020277727232/pu/img/DEI-QmXPP6RVfCvZ.jpg</v>
      </c>
      <c r="AW2715" s="82" t="s">
        <v>19481</v>
      </c>
      <c r="AX2715" s="82" t="s">
        <v>19481</v>
      </c>
      <c r="AY2715" s="77"/>
      <c r="AZ2715" s="82" t="s">
        <v>20971</v>
      </c>
      <c r="BA2715" s="82" t="s">
        <v>20971</v>
      </c>
      <c r="BB2715" s="82" t="s">
        <v>20971</v>
      </c>
      <c r="BC2715" s="82" t="s">
        <v>19481</v>
      </c>
      <c r="BD2715" s="82" t="s">
        <v>21523</v>
      </c>
      <c r="BE2715" s="77"/>
      <c r="BF2715" s="77"/>
      <c r="BG2715" s="77"/>
      <c r="BH2715" s="77"/>
      <c r="BI2715" s="77"/>
    </row>
    <row r="2716" spans="1:61" x14ac:dyDescent="0.25">
      <c r="A2716" s="62" t="s">
        <v>907</v>
      </c>
      <c r="B2716" s="62" t="s">
        <v>907</v>
      </c>
      <c r="C2716" s="63"/>
      <c r="D2716" s="64"/>
      <c r="E2716" s="65"/>
      <c r="F2716" s="66"/>
      <c r="G2716" s="63"/>
      <c r="H2716" s="67"/>
      <c r="I2716" s="68"/>
      <c r="J2716" s="68"/>
      <c r="K2716" s="32"/>
      <c r="L2716" s="75">
        <v>2716</v>
      </c>
      <c r="M2716" s="75"/>
      <c r="N2716" s="70"/>
      <c r="O2716" s="77" t="s">
        <v>179</v>
      </c>
      <c r="P2716" s="79">
        <v>45169.890428240738</v>
      </c>
      <c r="Q2716" s="77" t="s">
        <v>3922</v>
      </c>
      <c r="R2716" s="77">
        <v>0</v>
      </c>
      <c r="S2716" s="77">
        <v>0</v>
      </c>
      <c r="T2716" s="77">
        <v>0</v>
      </c>
      <c r="U2716" s="77">
        <v>0</v>
      </c>
      <c r="V2716" s="77">
        <v>35</v>
      </c>
      <c r="W2716" s="82" t="s">
        <v>6552</v>
      </c>
      <c r="X2716" s="77"/>
      <c r="Y2716" s="77"/>
      <c r="Z2716" s="77"/>
      <c r="AA2716" s="77" t="s">
        <v>9105</v>
      </c>
      <c r="AB2716" s="77" t="s">
        <v>10129</v>
      </c>
      <c r="AC2716" s="82" t="s">
        <v>10144</v>
      </c>
      <c r="AD2716" s="77" t="s">
        <v>10184</v>
      </c>
      <c r="AE2716" s="80" t="str">
        <f>HYPERLINK("https://twitter.com/rendaextradigit/status/1697359157119053933")</f>
        <v>https://twitter.com/rendaextradigit/status/1697359157119053933</v>
      </c>
      <c r="AF2716" s="79">
        <v>45169.890428240738</v>
      </c>
      <c r="AG2716" s="85">
        <v>45169</v>
      </c>
      <c r="AH2716" s="82" t="s">
        <v>12790</v>
      </c>
      <c r="AI2716" s="77" t="b">
        <v>0</v>
      </c>
      <c r="AJ2716" s="77"/>
      <c r="AK2716" s="77"/>
      <c r="AL2716" s="77"/>
      <c r="AM2716" s="77"/>
      <c r="AN2716" s="77"/>
      <c r="AO2716" s="77"/>
      <c r="AP2716" s="77"/>
      <c r="AQ2716" s="77" t="s">
        <v>15748</v>
      </c>
      <c r="AR2716" s="77">
        <v>60900</v>
      </c>
      <c r="AS2716" s="77"/>
      <c r="AT2716" s="77"/>
      <c r="AU2716" s="77"/>
      <c r="AV2716" s="80" t="str">
        <f>HYPERLINK("https://pbs.twimg.com/ext_tw_video_thumb/1697359050088812544/pu/img/LVc7WLXMiH6mzNT4.jpg")</f>
        <v>https://pbs.twimg.com/ext_tw_video_thumb/1697359050088812544/pu/img/LVc7WLXMiH6mzNT4.jpg</v>
      </c>
      <c r="AW2716" s="82" t="s">
        <v>19482</v>
      </c>
      <c r="AX2716" s="82" t="s">
        <v>19482</v>
      </c>
      <c r="AY2716" s="77"/>
      <c r="AZ2716" s="82" t="s">
        <v>20971</v>
      </c>
      <c r="BA2716" s="82" t="s">
        <v>20971</v>
      </c>
      <c r="BB2716" s="82" t="s">
        <v>20971</v>
      </c>
      <c r="BC2716" s="82" t="s">
        <v>19482</v>
      </c>
      <c r="BD2716" s="82" t="s">
        <v>21523</v>
      </c>
      <c r="BE2716" s="77"/>
      <c r="BF2716" s="77"/>
      <c r="BG2716" s="77"/>
      <c r="BH2716" s="77"/>
      <c r="BI2716" s="77"/>
    </row>
    <row r="2717" spans="1:61" x14ac:dyDescent="0.25">
      <c r="A2717" s="62" t="s">
        <v>908</v>
      </c>
      <c r="B2717" s="62" t="s">
        <v>908</v>
      </c>
      <c r="C2717" s="63"/>
      <c r="D2717" s="64"/>
      <c r="E2717" s="65"/>
      <c r="F2717" s="66"/>
      <c r="G2717" s="63"/>
      <c r="H2717" s="67"/>
      <c r="I2717" s="68"/>
      <c r="J2717" s="68"/>
      <c r="K2717" s="32"/>
      <c r="L2717" s="75">
        <v>2717</v>
      </c>
      <c r="M2717" s="75"/>
      <c r="N2717" s="70"/>
      <c r="O2717" s="77" t="s">
        <v>179</v>
      </c>
      <c r="P2717" s="79">
        <v>44975.59039351852</v>
      </c>
      <c r="Q2717" s="77" t="s">
        <v>3923</v>
      </c>
      <c r="R2717" s="77">
        <v>0</v>
      </c>
      <c r="S2717" s="77">
        <v>0</v>
      </c>
      <c r="T2717" s="77">
        <v>0</v>
      </c>
      <c r="U2717" s="77">
        <v>0</v>
      </c>
      <c r="V2717" s="77">
        <v>37</v>
      </c>
      <c r="W2717" s="82" t="s">
        <v>6553</v>
      </c>
      <c r="X2717" s="80" t="str">
        <f>HYPERLINK("https://www.ysense.com/?rb=137568026")</f>
        <v>https://www.ysense.com/?rb=137568026</v>
      </c>
      <c r="Y2717" s="77" t="s">
        <v>7290</v>
      </c>
      <c r="Z2717" s="77"/>
      <c r="AA2717" s="77"/>
      <c r="AB2717" s="77"/>
      <c r="AC2717" s="82" t="s">
        <v>10146</v>
      </c>
      <c r="AD2717" s="77" t="s">
        <v>10183</v>
      </c>
      <c r="AE2717" s="80" t="str">
        <f>HYPERLINK("https://twitter.com/brenosantz/status/1626947181868376065")</f>
        <v>https://twitter.com/brenosantz/status/1626947181868376065</v>
      </c>
      <c r="AF2717" s="79">
        <v>44975.59039351852</v>
      </c>
      <c r="AG2717" s="85">
        <v>44975</v>
      </c>
      <c r="AH2717" s="82" t="s">
        <v>12791</v>
      </c>
      <c r="AI2717" s="77" t="b">
        <v>0</v>
      </c>
      <c r="AJ2717" s="77"/>
      <c r="AK2717" s="77"/>
      <c r="AL2717" s="77"/>
      <c r="AM2717" s="77"/>
      <c r="AN2717" s="77"/>
      <c r="AO2717" s="77"/>
      <c r="AP2717" s="77"/>
      <c r="AQ2717" s="77"/>
      <c r="AR2717" s="77"/>
      <c r="AS2717" s="77"/>
      <c r="AT2717" s="77"/>
      <c r="AU2717" s="77"/>
      <c r="AV2717" s="80" t="str">
        <f>HYPERLINK("https://pbs.twimg.com/profile_images/1688357268608184320/UdQPC-o7_normal.jpg")</f>
        <v>https://pbs.twimg.com/profile_images/1688357268608184320/UdQPC-o7_normal.jpg</v>
      </c>
      <c r="AW2717" s="82" t="s">
        <v>19483</v>
      </c>
      <c r="AX2717" s="82" t="s">
        <v>19483</v>
      </c>
      <c r="AY2717" s="77"/>
      <c r="AZ2717" s="82" t="s">
        <v>20971</v>
      </c>
      <c r="BA2717" s="82" t="s">
        <v>20971</v>
      </c>
      <c r="BB2717" s="82" t="s">
        <v>20971</v>
      </c>
      <c r="BC2717" s="82" t="s">
        <v>19483</v>
      </c>
      <c r="BD2717" s="77">
        <v>261216278</v>
      </c>
      <c r="BE2717" s="77"/>
      <c r="BF2717" s="77"/>
      <c r="BG2717" s="77"/>
      <c r="BH2717" s="77"/>
      <c r="BI2717" s="77"/>
    </row>
    <row r="2718" spans="1:61" x14ac:dyDescent="0.25">
      <c r="A2718" s="62" t="s">
        <v>909</v>
      </c>
      <c r="B2718" s="62" t="s">
        <v>909</v>
      </c>
      <c r="C2718" s="63"/>
      <c r="D2718" s="64"/>
      <c r="E2718" s="65"/>
      <c r="F2718" s="66"/>
      <c r="G2718" s="63"/>
      <c r="H2718" s="67"/>
      <c r="I2718" s="68"/>
      <c r="J2718" s="68"/>
      <c r="K2718" s="32"/>
      <c r="L2718" s="75">
        <v>2718</v>
      </c>
      <c r="M2718" s="75"/>
      <c r="N2718" s="70"/>
      <c r="O2718" s="77" t="s">
        <v>179</v>
      </c>
      <c r="P2718" s="79">
        <v>44970.948657407411</v>
      </c>
      <c r="Q2718" s="77" t="s">
        <v>3924</v>
      </c>
      <c r="R2718" s="77">
        <v>0</v>
      </c>
      <c r="S2718" s="77">
        <v>0</v>
      </c>
      <c r="T2718" s="77">
        <v>0</v>
      </c>
      <c r="U2718" s="77">
        <v>0</v>
      </c>
      <c r="V2718" s="77">
        <v>427</v>
      </c>
      <c r="W2718" s="82" t="s">
        <v>6554</v>
      </c>
      <c r="X2718" s="77"/>
      <c r="Y2718" s="77"/>
      <c r="Z2718" s="77"/>
      <c r="AA2718" s="77" t="s">
        <v>9106</v>
      </c>
      <c r="AB2718" s="77" t="s">
        <v>10129</v>
      </c>
      <c r="AC2718" s="82" t="s">
        <v>10144</v>
      </c>
      <c r="AD2718" s="77" t="s">
        <v>10184</v>
      </c>
      <c r="AE2718" s="80" t="str">
        <f>HYPERLINK("https://twitter.com/ricardojalesbh/status/1625265075450970113")</f>
        <v>https://twitter.com/ricardojalesbh/status/1625265075450970113</v>
      </c>
      <c r="AF2718" s="79">
        <v>44970.948657407411</v>
      </c>
      <c r="AG2718" s="85">
        <v>44970</v>
      </c>
      <c r="AH2718" s="82" t="s">
        <v>12792</v>
      </c>
      <c r="AI2718" s="77" t="b">
        <v>0</v>
      </c>
      <c r="AJ2718" s="77" t="s">
        <v>14026</v>
      </c>
      <c r="AK2718" s="77" t="s">
        <v>14033</v>
      </c>
      <c r="AL2718" s="77" t="s">
        <v>14035</v>
      </c>
      <c r="AM2718" s="77" t="s">
        <v>14067</v>
      </c>
      <c r="AN2718" s="77" t="s">
        <v>14105</v>
      </c>
      <c r="AO2718" s="77" t="s">
        <v>14142</v>
      </c>
      <c r="AP2718" s="77" t="s">
        <v>14149</v>
      </c>
      <c r="AQ2718" s="77" t="s">
        <v>15749</v>
      </c>
      <c r="AR2718" s="77">
        <v>29480</v>
      </c>
      <c r="AS2718" s="77"/>
      <c r="AT2718" s="77"/>
      <c r="AU2718" s="77"/>
      <c r="AV2718" s="80" t="str">
        <f>HYPERLINK("https://pbs.twimg.com/ext_tw_video_thumb/1625265009428135936/pu/img/pMeoEo8EuczwCOWh.jpg")</f>
        <v>https://pbs.twimg.com/ext_tw_video_thumb/1625265009428135936/pu/img/pMeoEo8EuczwCOWh.jpg</v>
      </c>
      <c r="AW2718" s="82" t="s">
        <v>19484</v>
      </c>
      <c r="AX2718" s="82" t="s">
        <v>19484</v>
      </c>
      <c r="AY2718" s="77"/>
      <c r="AZ2718" s="82" t="s">
        <v>20971</v>
      </c>
      <c r="BA2718" s="82" t="s">
        <v>20971</v>
      </c>
      <c r="BB2718" s="82" t="s">
        <v>20971</v>
      </c>
      <c r="BC2718" s="82" t="s">
        <v>19484</v>
      </c>
      <c r="BD2718" s="77">
        <v>363171824</v>
      </c>
      <c r="BE2718" s="77"/>
      <c r="BF2718" s="77"/>
      <c r="BG2718" s="77"/>
      <c r="BH2718" s="77"/>
      <c r="BI2718" s="77"/>
    </row>
    <row r="2719" spans="1:61" x14ac:dyDescent="0.25">
      <c r="A2719" s="62" t="s">
        <v>910</v>
      </c>
      <c r="B2719" s="62" t="s">
        <v>910</v>
      </c>
      <c r="C2719" s="63"/>
      <c r="D2719" s="64"/>
      <c r="E2719" s="65"/>
      <c r="F2719" s="66"/>
      <c r="G2719" s="63"/>
      <c r="H2719" s="67"/>
      <c r="I2719" s="68"/>
      <c r="J2719" s="68"/>
      <c r="K2719" s="32"/>
      <c r="L2719" s="75">
        <v>2719</v>
      </c>
      <c r="M2719" s="75"/>
      <c r="N2719" s="70"/>
      <c r="O2719" s="77" t="s">
        <v>179</v>
      </c>
      <c r="P2719" s="79">
        <v>45026.566608796296</v>
      </c>
      <c r="Q2719" s="77" t="s">
        <v>3925</v>
      </c>
      <c r="R2719" s="77">
        <v>0</v>
      </c>
      <c r="S2719" s="77">
        <v>0</v>
      </c>
      <c r="T2719" s="77">
        <v>0</v>
      </c>
      <c r="U2719" s="77">
        <v>0</v>
      </c>
      <c r="V2719" s="77">
        <v>98</v>
      </c>
      <c r="W2719" s="82" t="s">
        <v>6555</v>
      </c>
      <c r="X2719" s="77"/>
      <c r="Y2719" s="77"/>
      <c r="Z2719" s="77"/>
      <c r="AA2719" s="77" t="s">
        <v>9107</v>
      </c>
      <c r="AB2719" s="77" t="s">
        <v>10129</v>
      </c>
      <c r="AC2719" s="82" t="s">
        <v>10144</v>
      </c>
      <c r="AD2719" s="77" t="s">
        <v>10184</v>
      </c>
      <c r="AE2719" s="80" t="str">
        <f>HYPERLINK("https://twitter.com/erickssonfer/status/1645420347171254276")</f>
        <v>https://twitter.com/erickssonfer/status/1645420347171254276</v>
      </c>
      <c r="AF2719" s="79">
        <v>45026.566608796296</v>
      </c>
      <c r="AG2719" s="85">
        <v>45026</v>
      </c>
      <c r="AH2719" s="82" t="s">
        <v>12793</v>
      </c>
      <c r="AI2719" s="77" t="b">
        <v>0</v>
      </c>
      <c r="AJ2719" s="77"/>
      <c r="AK2719" s="77"/>
      <c r="AL2719" s="77"/>
      <c r="AM2719" s="77"/>
      <c r="AN2719" s="77"/>
      <c r="AO2719" s="77"/>
      <c r="AP2719" s="77"/>
      <c r="AQ2719" s="77" t="s">
        <v>15750</v>
      </c>
      <c r="AR2719" s="77">
        <v>61766</v>
      </c>
      <c r="AS2719" s="77"/>
      <c r="AT2719" s="77"/>
      <c r="AU2719" s="77"/>
      <c r="AV2719" s="80" t="str">
        <f>HYPERLINK("https://pbs.twimg.com/ext_tw_video_thumb/1645420289747042305/pu/img/QPNVnOCM4uqaVeRe.jpg")</f>
        <v>https://pbs.twimg.com/ext_tw_video_thumb/1645420289747042305/pu/img/QPNVnOCM4uqaVeRe.jpg</v>
      </c>
      <c r="AW2719" s="82" t="s">
        <v>19485</v>
      </c>
      <c r="AX2719" s="82" t="s">
        <v>19485</v>
      </c>
      <c r="AY2719" s="77"/>
      <c r="AZ2719" s="82" t="s">
        <v>20971</v>
      </c>
      <c r="BA2719" s="82" t="s">
        <v>20971</v>
      </c>
      <c r="BB2719" s="82" t="s">
        <v>20971</v>
      </c>
      <c r="BC2719" s="82" t="s">
        <v>19485</v>
      </c>
      <c r="BD2719" s="82" t="s">
        <v>21524</v>
      </c>
      <c r="BE2719" s="77"/>
      <c r="BF2719" s="77"/>
      <c r="BG2719" s="77"/>
      <c r="BH2719" s="77"/>
      <c r="BI2719" s="77"/>
    </row>
    <row r="2720" spans="1:61" x14ac:dyDescent="0.25">
      <c r="A2720" s="62" t="s">
        <v>911</v>
      </c>
      <c r="B2720" s="62" t="s">
        <v>911</v>
      </c>
      <c r="C2720" s="63"/>
      <c r="D2720" s="64"/>
      <c r="E2720" s="65"/>
      <c r="F2720" s="66"/>
      <c r="G2720" s="63"/>
      <c r="H2720" s="67"/>
      <c r="I2720" s="68"/>
      <c r="J2720" s="68"/>
      <c r="K2720" s="32"/>
      <c r="L2720" s="75">
        <v>2720</v>
      </c>
      <c r="M2720" s="75"/>
      <c r="N2720" s="70"/>
      <c r="O2720" s="77" t="s">
        <v>179</v>
      </c>
      <c r="P2720" s="79">
        <v>44991.738587962966</v>
      </c>
      <c r="Q2720" s="77" t="s">
        <v>3926</v>
      </c>
      <c r="R2720" s="77">
        <v>0</v>
      </c>
      <c r="S2720" s="77">
        <v>12</v>
      </c>
      <c r="T2720" s="77">
        <v>1</v>
      </c>
      <c r="U2720" s="77">
        <v>0</v>
      </c>
      <c r="V2720" s="77">
        <v>462</v>
      </c>
      <c r="W2720" s="82" t="s">
        <v>6556</v>
      </c>
      <c r="X2720" s="80" t="str">
        <f>HYPERLINK("https://youtu.be/xbkZ-8I8y8w")</f>
        <v>https://youtu.be/xbkZ-8I8y8w</v>
      </c>
      <c r="Y2720" s="77" t="s">
        <v>7248</v>
      </c>
      <c r="Z2720" s="77"/>
      <c r="AA2720" s="77" t="s">
        <v>9108</v>
      </c>
      <c r="AB2720" s="77" t="s">
        <v>10130</v>
      </c>
      <c r="AC2720" s="82" t="s">
        <v>10144</v>
      </c>
      <c r="AD2720" s="77" t="s">
        <v>10184</v>
      </c>
      <c r="AE2720" s="80" t="str">
        <f>HYPERLINK("https://twitter.com/souapenasv/status/1632799092219813894")</f>
        <v>https://twitter.com/souapenasv/status/1632799092219813894</v>
      </c>
      <c r="AF2720" s="79">
        <v>44991.738587962966</v>
      </c>
      <c r="AG2720" s="85">
        <v>44991</v>
      </c>
      <c r="AH2720" s="82" t="s">
        <v>10514</v>
      </c>
      <c r="AI2720" s="77" t="b">
        <v>0</v>
      </c>
      <c r="AJ2720" s="77"/>
      <c r="AK2720" s="77"/>
      <c r="AL2720" s="77"/>
      <c r="AM2720" s="77"/>
      <c r="AN2720" s="77"/>
      <c r="AO2720" s="77"/>
      <c r="AP2720" s="77"/>
      <c r="AQ2720" s="77" t="s">
        <v>15751</v>
      </c>
      <c r="AR2720" s="77"/>
      <c r="AS2720" s="77"/>
      <c r="AT2720" s="77"/>
      <c r="AU2720" s="77"/>
      <c r="AV2720" s="80" t="str">
        <f>HYPERLINK("https://pbs.twimg.com/media/FqjeHjUXsAItevq.jpg")</f>
        <v>https://pbs.twimg.com/media/FqjeHjUXsAItevq.jpg</v>
      </c>
      <c r="AW2720" s="82" t="s">
        <v>19486</v>
      </c>
      <c r="AX2720" s="82" t="s">
        <v>19486</v>
      </c>
      <c r="AY2720" s="77"/>
      <c r="AZ2720" s="82" t="s">
        <v>20971</v>
      </c>
      <c r="BA2720" s="82" t="s">
        <v>20971</v>
      </c>
      <c r="BB2720" s="82" t="s">
        <v>20971</v>
      </c>
      <c r="BC2720" s="82" t="s">
        <v>19486</v>
      </c>
      <c r="BD2720" s="82" t="s">
        <v>21525</v>
      </c>
      <c r="BE2720" s="77"/>
      <c r="BF2720" s="77"/>
      <c r="BG2720" s="77"/>
      <c r="BH2720" s="77"/>
      <c r="BI2720" s="77"/>
    </row>
    <row r="2721" spans="1:61" x14ac:dyDescent="0.25">
      <c r="A2721" s="62" t="s">
        <v>912</v>
      </c>
      <c r="B2721" s="62" t="s">
        <v>912</v>
      </c>
      <c r="C2721" s="63"/>
      <c r="D2721" s="64"/>
      <c r="E2721" s="65"/>
      <c r="F2721" s="66"/>
      <c r="G2721" s="63"/>
      <c r="H2721" s="67"/>
      <c r="I2721" s="68"/>
      <c r="J2721" s="68"/>
      <c r="K2721" s="32"/>
      <c r="L2721" s="75">
        <v>2721</v>
      </c>
      <c r="M2721" s="75"/>
      <c r="N2721" s="70"/>
      <c r="O2721" s="77" t="s">
        <v>179</v>
      </c>
      <c r="P2721" s="79">
        <v>44987.644120370373</v>
      </c>
      <c r="Q2721" s="77" t="s">
        <v>3927</v>
      </c>
      <c r="R2721" s="77">
        <v>0</v>
      </c>
      <c r="S2721" s="77">
        <v>0</v>
      </c>
      <c r="T2721" s="77">
        <v>0</v>
      </c>
      <c r="U2721" s="77">
        <v>0</v>
      </c>
      <c r="V2721" s="77">
        <v>234</v>
      </c>
      <c r="W2721" s="82" t="s">
        <v>6557</v>
      </c>
      <c r="X2721" s="77"/>
      <c r="Y2721" s="77"/>
      <c r="Z2721" s="77"/>
      <c r="AA2721" s="77" t="s">
        <v>9109</v>
      </c>
      <c r="AB2721" s="77" t="s">
        <v>10129</v>
      </c>
      <c r="AC2721" s="82" t="s">
        <v>10144</v>
      </c>
      <c r="AD2721" s="77" t="s">
        <v>10184</v>
      </c>
      <c r="AE2721" s="80" t="str">
        <f>HYPERLINK("https://twitter.com/rodrigo_itaya/status/1631315306718150656")</f>
        <v>https://twitter.com/rodrigo_itaya/status/1631315306718150656</v>
      </c>
      <c r="AF2721" s="79">
        <v>44987.644120370373</v>
      </c>
      <c r="AG2721" s="85">
        <v>44987</v>
      </c>
      <c r="AH2721" s="82" t="s">
        <v>12794</v>
      </c>
      <c r="AI2721" s="77" t="b">
        <v>0</v>
      </c>
      <c r="AJ2721" s="77"/>
      <c r="AK2721" s="77"/>
      <c r="AL2721" s="77"/>
      <c r="AM2721" s="77"/>
      <c r="AN2721" s="77"/>
      <c r="AO2721" s="77"/>
      <c r="AP2721" s="77"/>
      <c r="AQ2721" s="77" t="s">
        <v>15752</v>
      </c>
      <c r="AR2721" s="77">
        <v>11066</v>
      </c>
      <c r="AS2721" s="77"/>
      <c r="AT2721" s="77"/>
      <c r="AU2721" s="77"/>
      <c r="AV2721" s="80" t="str">
        <f>HYPERLINK("https://pbs.twimg.com/ext_tw_video_thumb/1631315225176621060/pu/img/uxJ8K1xWpVHxWA6Y.jpg")</f>
        <v>https://pbs.twimg.com/ext_tw_video_thumb/1631315225176621060/pu/img/uxJ8K1xWpVHxWA6Y.jpg</v>
      </c>
      <c r="AW2721" s="82" t="s">
        <v>19487</v>
      </c>
      <c r="AX2721" s="82" t="s">
        <v>19487</v>
      </c>
      <c r="AY2721" s="77"/>
      <c r="AZ2721" s="82" t="s">
        <v>20971</v>
      </c>
      <c r="BA2721" s="82" t="s">
        <v>20971</v>
      </c>
      <c r="BB2721" s="82" t="s">
        <v>20971</v>
      </c>
      <c r="BC2721" s="82" t="s">
        <v>19487</v>
      </c>
      <c r="BD2721" s="77">
        <v>342781161</v>
      </c>
      <c r="BE2721" s="77"/>
      <c r="BF2721" s="77"/>
      <c r="BG2721" s="77"/>
      <c r="BH2721" s="77"/>
      <c r="BI2721" s="77"/>
    </row>
    <row r="2722" spans="1:61" x14ac:dyDescent="0.25">
      <c r="A2722" s="62" t="s">
        <v>913</v>
      </c>
      <c r="B2722" s="62" t="s">
        <v>913</v>
      </c>
      <c r="C2722" s="63"/>
      <c r="D2722" s="64"/>
      <c r="E2722" s="65"/>
      <c r="F2722" s="66"/>
      <c r="G2722" s="63"/>
      <c r="H2722" s="67"/>
      <c r="I2722" s="68"/>
      <c r="J2722" s="68"/>
      <c r="K2722" s="32"/>
      <c r="L2722" s="75">
        <v>2722</v>
      </c>
      <c r="M2722" s="75"/>
      <c r="N2722" s="70"/>
      <c r="O2722" s="77" t="s">
        <v>179</v>
      </c>
      <c r="P2722" s="79">
        <v>45182.829293981478</v>
      </c>
      <c r="Q2722" s="77" t="s">
        <v>3928</v>
      </c>
      <c r="R2722" s="77">
        <v>0</v>
      </c>
      <c r="S2722" s="77">
        <v>0</v>
      </c>
      <c r="T2722" s="77">
        <v>0</v>
      </c>
      <c r="U2722" s="77">
        <v>0</v>
      </c>
      <c r="V2722" s="77">
        <v>14</v>
      </c>
      <c r="W2722" s="82" t="s">
        <v>6558</v>
      </c>
      <c r="X2722" s="80" t="str">
        <f>HYPERLINK("https://pay.kiwify.com.br/m3g2Jj0?afid=SiEYZsxS")</f>
        <v>https://pay.kiwify.com.br/m3g2Jj0?afid=SiEYZsxS</v>
      </c>
      <c r="Y2722" s="77" t="s">
        <v>7252</v>
      </c>
      <c r="Z2722" s="77"/>
      <c r="AA2722" s="77" t="s">
        <v>9110</v>
      </c>
      <c r="AB2722" s="77" t="s">
        <v>10130</v>
      </c>
      <c r="AC2722" s="82" t="s">
        <v>10146</v>
      </c>
      <c r="AD2722" s="77" t="s">
        <v>10184</v>
      </c>
      <c r="AE2722" s="80" t="str">
        <f>HYPERLINK("https://twitter.com/promodaduda/status/1702048044731007461")</f>
        <v>https://twitter.com/promodaduda/status/1702048044731007461</v>
      </c>
      <c r="AF2722" s="79">
        <v>45182.829293981478</v>
      </c>
      <c r="AG2722" s="85">
        <v>45182</v>
      </c>
      <c r="AH2722" s="82" t="s">
        <v>12795</v>
      </c>
      <c r="AI2722" s="77" t="b">
        <v>0</v>
      </c>
      <c r="AJ2722" s="77"/>
      <c r="AK2722" s="77"/>
      <c r="AL2722" s="77"/>
      <c r="AM2722" s="77"/>
      <c r="AN2722" s="77"/>
      <c r="AO2722" s="77"/>
      <c r="AP2722" s="77"/>
      <c r="AQ2722" s="77" t="s">
        <v>15753</v>
      </c>
      <c r="AR2722" s="77"/>
      <c r="AS2722" s="77"/>
      <c r="AT2722" s="77"/>
      <c r="AU2722" s="77"/>
      <c r="AV2722" s="80" t="str">
        <f>HYPERLINK("https://pbs.twimg.com/media/F57jqrPWQAA1HNY.jpg")</f>
        <v>https://pbs.twimg.com/media/F57jqrPWQAA1HNY.jpg</v>
      </c>
      <c r="AW2722" s="82" t="s">
        <v>19488</v>
      </c>
      <c r="AX2722" s="82" t="s">
        <v>19488</v>
      </c>
      <c r="AY2722" s="77"/>
      <c r="AZ2722" s="82" t="s">
        <v>20971</v>
      </c>
      <c r="BA2722" s="82" t="s">
        <v>20971</v>
      </c>
      <c r="BB2722" s="82" t="s">
        <v>20971</v>
      </c>
      <c r="BC2722" s="82" t="s">
        <v>19488</v>
      </c>
      <c r="BD2722" s="82" t="s">
        <v>21526</v>
      </c>
      <c r="BE2722" s="77"/>
      <c r="BF2722" s="77"/>
      <c r="BG2722" s="77"/>
      <c r="BH2722" s="77"/>
      <c r="BI2722" s="77"/>
    </row>
    <row r="2723" spans="1:61" x14ac:dyDescent="0.25">
      <c r="A2723" s="62" t="s">
        <v>914</v>
      </c>
      <c r="B2723" s="62" t="s">
        <v>914</v>
      </c>
      <c r="C2723" s="63"/>
      <c r="D2723" s="64"/>
      <c r="E2723" s="65"/>
      <c r="F2723" s="66"/>
      <c r="G2723" s="63"/>
      <c r="H2723" s="67"/>
      <c r="I2723" s="68"/>
      <c r="J2723" s="68"/>
      <c r="K2723" s="32"/>
      <c r="L2723" s="75">
        <v>2723</v>
      </c>
      <c r="M2723" s="75"/>
      <c r="N2723" s="70"/>
      <c r="O2723" s="77" t="s">
        <v>179</v>
      </c>
      <c r="P2723" s="79">
        <v>45012.730300925927</v>
      </c>
      <c r="Q2723" s="77" t="s">
        <v>3929</v>
      </c>
      <c r="R2723" s="77">
        <v>0</v>
      </c>
      <c r="S2723" s="77">
        <v>0</v>
      </c>
      <c r="T2723" s="77">
        <v>0</v>
      </c>
      <c r="U2723" s="77">
        <v>0</v>
      </c>
      <c r="V2723" s="77">
        <v>4</v>
      </c>
      <c r="W2723" s="82" t="s">
        <v>5236</v>
      </c>
      <c r="X2723" s="80" t="str">
        <f>HYPERLINK("https://go.hotmart.com/B77468619P")</f>
        <v>https://go.hotmart.com/B77468619P</v>
      </c>
      <c r="Y2723" s="77" t="s">
        <v>7251</v>
      </c>
      <c r="Z2723" s="77"/>
      <c r="AA2723" s="77" t="s">
        <v>9111</v>
      </c>
      <c r="AB2723" s="77" t="s">
        <v>10130</v>
      </c>
      <c r="AC2723" s="82" t="s">
        <v>10174</v>
      </c>
      <c r="AD2723" s="77" t="s">
        <v>10184</v>
      </c>
      <c r="AE2723" s="80" t="str">
        <f>HYPERLINK("https://twitter.com/tidomundo/status/1640406233558532119")</f>
        <v>https://twitter.com/tidomundo/status/1640406233558532119</v>
      </c>
      <c r="AF2723" s="79">
        <v>45012.730300925927</v>
      </c>
      <c r="AG2723" s="85">
        <v>45012</v>
      </c>
      <c r="AH2723" s="82" t="s">
        <v>12796</v>
      </c>
      <c r="AI2723" s="77" t="b">
        <v>0</v>
      </c>
      <c r="AJ2723" s="77"/>
      <c r="AK2723" s="77"/>
      <c r="AL2723" s="77"/>
      <c r="AM2723" s="77"/>
      <c r="AN2723" s="77"/>
      <c r="AO2723" s="77"/>
      <c r="AP2723" s="77"/>
      <c r="AQ2723" s="77" t="s">
        <v>15754</v>
      </c>
      <c r="AR2723" s="77"/>
      <c r="AS2723" s="77"/>
      <c r="AT2723" s="77"/>
      <c r="AU2723" s="77"/>
      <c r="AV2723" s="80" t="str">
        <f>HYPERLINK("https://pbs.twimg.com/media/FsPkwrUXwCIP4zT.jpg")</f>
        <v>https://pbs.twimg.com/media/FsPkwrUXwCIP4zT.jpg</v>
      </c>
      <c r="AW2723" s="82" t="s">
        <v>19489</v>
      </c>
      <c r="AX2723" s="82" t="s">
        <v>19489</v>
      </c>
      <c r="AY2723" s="77"/>
      <c r="AZ2723" s="82" t="s">
        <v>20971</v>
      </c>
      <c r="BA2723" s="82" t="s">
        <v>20971</v>
      </c>
      <c r="BB2723" s="82" t="s">
        <v>20971</v>
      </c>
      <c r="BC2723" s="82" t="s">
        <v>19489</v>
      </c>
      <c r="BD2723" s="82" t="s">
        <v>21527</v>
      </c>
      <c r="BE2723" s="77"/>
      <c r="BF2723" s="77"/>
      <c r="BG2723" s="77"/>
      <c r="BH2723" s="77"/>
      <c r="BI2723" s="77"/>
    </row>
    <row r="2724" spans="1:61" x14ac:dyDescent="0.25">
      <c r="A2724" s="62" t="s">
        <v>914</v>
      </c>
      <c r="B2724" s="62" t="s">
        <v>914</v>
      </c>
      <c r="C2724" s="63"/>
      <c r="D2724" s="64"/>
      <c r="E2724" s="65"/>
      <c r="F2724" s="66"/>
      <c r="G2724" s="63"/>
      <c r="H2724" s="67"/>
      <c r="I2724" s="68"/>
      <c r="J2724" s="68"/>
      <c r="K2724" s="32"/>
      <c r="L2724" s="75">
        <v>2724</v>
      </c>
      <c r="M2724" s="75"/>
      <c r="N2724" s="70"/>
      <c r="O2724" s="77" t="s">
        <v>179</v>
      </c>
      <c r="P2724" s="79">
        <v>45009.216203703705</v>
      </c>
      <c r="Q2724" s="77" t="s">
        <v>3930</v>
      </c>
      <c r="R2724" s="77">
        <v>0</v>
      </c>
      <c r="S2724" s="77">
        <v>1</v>
      </c>
      <c r="T2724" s="77">
        <v>0</v>
      </c>
      <c r="U2724" s="77">
        <v>0</v>
      </c>
      <c r="V2724" s="77">
        <v>7</v>
      </c>
      <c r="W2724" s="82" t="s">
        <v>5236</v>
      </c>
      <c r="X2724" s="80" t="str">
        <f>HYPERLINK("https://go.hotmart.com/B77468619P")</f>
        <v>https://go.hotmart.com/B77468619P</v>
      </c>
      <c r="Y2724" s="77" t="s">
        <v>7251</v>
      </c>
      <c r="Z2724" s="77"/>
      <c r="AA2724" s="77" t="s">
        <v>9112</v>
      </c>
      <c r="AB2724" s="77" t="s">
        <v>10130</v>
      </c>
      <c r="AC2724" s="82" t="s">
        <v>10174</v>
      </c>
      <c r="AD2724" s="77" t="s">
        <v>10184</v>
      </c>
      <c r="AE2724" s="80" t="str">
        <f>HYPERLINK("https://twitter.com/tidomundo/status/1639132771431088128")</f>
        <v>https://twitter.com/tidomundo/status/1639132771431088128</v>
      </c>
      <c r="AF2724" s="79">
        <v>45009.216203703705</v>
      </c>
      <c r="AG2724" s="85">
        <v>45009</v>
      </c>
      <c r="AH2724" s="82" t="s">
        <v>12797</v>
      </c>
      <c r="AI2724" s="77" t="b">
        <v>0</v>
      </c>
      <c r="AJ2724" s="77"/>
      <c r="AK2724" s="77"/>
      <c r="AL2724" s="77"/>
      <c r="AM2724" s="77"/>
      <c r="AN2724" s="77"/>
      <c r="AO2724" s="77"/>
      <c r="AP2724" s="77"/>
      <c r="AQ2724" s="77" t="s">
        <v>15755</v>
      </c>
      <c r="AR2724" s="77"/>
      <c r="AS2724" s="77"/>
      <c r="AT2724" s="77"/>
      <c r="AU2724" s="77"/>
      <c r="AV2724" s="80" t="str">
        <f>HYPERLINK("https://pbs.twimg.com/media/Fr9ejdTXwAACVMH.jpg")</f>
        <v>https://pbs.twimg.com/media/Fr9ejdTXwAACVMH.jpg</v>
      </c>
      <c r="AW2724" s="82" t="s">
        <v>19490</v>
      </c>
      <c r="AX2724" s="82" t="s">
        <v>19490</v>
      </c>
      <c r="AY2724" s="77"/>
      <c r="AZ2724" s="82" t="s">
        <v>20971</v>
      </c>
      <c r="BA2724" s="82" t="s">
        <v>20971</v>
      </c>
      <c r="BB2724" s="82" t="s">
        <v>20971</v>
      </c>
      <c r="BC2724" s="82" t="s">
        <v>19490</v>
      </c>
      <c r="BD2724" s="82" t="s">
        <v>21527</v>
      </c>
      <c r="BE2724" s="77"/>
      <c r="BF2724" s="77"/>
      <c r="BG2724" s="77"/>
      <c r="BH2724" s="77"/>
      <c r="BI2724" s="77"/>
    </row>
    <row r="2725" spans="1:61" x14ac:dyDescent="0.25">
      <c r="A2725" s="62" t="s">
        <v>914</v>
      </c>
      <c r="B2725" s="62" t="s">
        <v>914</v>
      </c>
      <c r="C2725" s="63"/>
      <c r="D2725" s="64"/>
      <c r="E2725" s="65"/>
      <c r="F2725" s="66"/>
      <c r="G2725" s="63"/>
      <c r="H2725" s="67"/>
      <c r="I2725" s="68"/>
      <c r="J2725" s="68"/>
      <c r="K2725" s="32"/>
      <c r="L2725" s="75">
        <v>2725</v>
      </c>
      <c r="M2725" s="75"/>
      <c r="N2725" s="70"/>
      <c r="O2725" s="77" t="s">
        <v>179</v>
      </c>
      <c r="P2725" s="79">
        <v>45016.992256944446</v>
      </c>
      <c r="Q2725" s="77" t="s">
        <v>3931</v>
      </c>
      <c r="R2725" s="77">
        <v>0</v>
      </c>
      <c r="S2725" s="77">
        <v>0</v>
      </c>
      <c r="T2725" s="77">
        <v>0</v>
      </c>
      <c r="U2725" s="77">
        <v>0</v>
      </c>
      <c r="V2725" s="77">
        <v>3</v>
      </c>
      <c r="W2725" s="82" t="s">
        <v>5236</v>
      </c>
      <c r="X2725" s="80" t="str">
        <f>HYPERLINK("https://go.hotmart.com/B77468619P")</f>
        <v>https://go.hotmart.com/B77468619P</v>
      </c>
      <c r="Y2725" s="77" t="s">
        <v>7251</v>
      </c>
      <c r="Z2725" s="77"/>
      <c r="AA2725" s="77" t="s">
        <v>9113</v>
      </c>
      <c r="AB2725" s="77" t="s">
        <v>10130</v>
      </c>
      <c r="AC2725" s="82" t="s">
        <v>10174</v>
      </c>
      <c r="AD2725" s="77" t="s">
        <v>10184</v>
      </c>
      <c r="AE2725" s="80" t="str">
        <f>HYPERLINK("https://twitter.com/tidomundo/status/1641950714791428103")</f>
        <v>https://twitter.com/tidomundo/status/1641950714791428103</v>
      </c>
      <c r="AF2725" s="79">
        <v>45016.992256944446</v>
      </c>
      <c r="AG2725" s="85">
        <v>45016</v>
      </c>
      <c r="AH2725" s="82" t="s">
        <v>12798</v>
      </c>
      <c r="AI2725" s="77" t="b">
        <v>0</v>
      </c>
      <c r="AJ2725" s="77"/>
      <c r="AK2725" s="77"/>
      <c r="AL2725" s="77"/>
      <c r="AM2725" s="77"/>
      <c r="AN2725" s="77"/>
      <c r="AO2725" s="77"/>
      <c r="AP2725" s="77"/>
      <c r="AQ2725" s="77" t="s">
        <v>15756</v>
      </c>
      <c r="AR2725" s="77"/>
      <c r="AS2725" s="77"/>
      <c r="AT2725" s="77"/>
      <c r="AU2725" s="77"/>
      <c r="AV2725" s="80" t="str">
        <f>HYPERLINK("https://pbs.twimg.com/media/FslhcF0XwAE8A7l.jpg")</f>
        <v>https://pbs.twimg.com/media/FslhcF0XwAE8A7l.jpg</v>
      </c>
      <c r="AW2725" s="82" t="s">
        <v>19491</v>
      </c>
      <c r="AX2725" s="82" t="s">
        <v>19491</v>
      </c>
      <c r="AY2725" s="77"/>
      <c r="AZ2725" s="82" t="s">
        <v>20971</v>
      </c>
      <c r="BA2725" s="82" t="s">
        <v>20971</v>
      </c>
      <c r="BB2725" s="82" t="s">
        <v>20971</v>
      </c>
      <c r="BC2725" s="82" t="s">
        <v>19491</v>
      </c>
      <c r="BD2725" s="82" t="s">
        <v>21527</v>
      </c>
      <c r="BE2725" s="77"/>
      <c r="BF2725" s="77"/>
      <c r="BG2725" s="77"/>
      <c r="BH2725" s="77"/>
      <c r="BI2725" s="77"/>
    </row>
    <row r="2726" spans="1:61" x14ac:dyDescent="0.25">
      <c r="A2726" s="62" t="s">
        <v>914</v>
      </c>
      <c r="B2726" s="62" t="s">
        <v>914</v>
      </c>
      <c r="C2726" s="63"/>
      <c r="D2726" s="64"/>
      <c r="E2726" s="65"/>
      <c r="F2726" s="66"/>
      <c r="G2726" s="63"/>
      <c r="H2726" s="67"/>
      <c r="I2726" s="68"/>
      <c r="J2726" s="68"/>
      <c r="K2726" s="32"/>
      <c r="L2726" s="75">
        <v>2726</v>
      </c>
      <c r="M2726" s="75"/>
      <c r="N2726" s="70"/>
      <c r="O2726" s="77" t="s">
        <v>179</v>
      </c>
      <c r="P2726" s="79">
        <v>44998.851817129631</v>
      </c>
      <c r="Q2726" s="77" t="s">
        <v>3932</v>
      </c>
      <c r="R2726" s="77">
        <v>0</v>
      </c>
      <c r="S2726" s="77">
        <v>0</v>
      </c>
      <c r="T2726" s="77">
        <v>0</v>
      </c>
      <c r="U2726" s="77">
        <v>0</v>
      </c>
      <c r="V2726" s="77">
        <v>6</v>
      </c>
      <c r="W2726" s="82" t="s">
        <v>5236</v>
      </c>
      <c r="X2726" s="80" t="str">
        <f>HYPERLINK("https://go.hotmart.com/B77468619P")</f>
        <v>https://go.hotmart.com/B77468619P</v>
      </c>
      <c r="Y2726" s="77" t="s">
        <v>7251</v>
      </c>
      <c r="Z2726" s="77"/>
      <c r="AA2726" s="77" t="s">
        <v>9114</v>
      </c>
      <c r="AB2726" s="77" t="s">
        <v>10130</v>
      </c>
      <c r="AC2726" s="82" t="s">
        <v>10174</v>
      </c>
      <c r="AD2726" s="77" t="s">
        <v>10184</v>
      </c>
      <c r="AE2726" s="80" t="str">
        <f>HYPERLINK("https://twitter.com/tidomundo/status/1635376843468439553")</f>
        <v>https://twitter.com/tidomundo/status/1635376843468439553</v>
      </c>
      <c r="AF2726" s="79">
        <v>44998.851817129631</v>
      </c>
      <c r="AG2726" s="85">
        <v>44998</v>
      </c>
      <c r="AH2726" s="82" t="s">
        <v>12799</v>
      </c>
      <c r="AI2726" s="77" t="b">
        <v>0</v>
      </c>
      <c r="AJ2726" s="77"/>
      <c r="AK2726" s="77"/>
      <c r="AL2726" s="77"/>
      <c r="AM2726" s="77"/>
      <c r="AN2726" s="77"/>
      <c r="AO2726" s="77"/>
      <c r="AP2726" s="77"/>
      <c r="AQ2726" s="77" t="s">
        <v>15757</v>
      </c>
      <c r="AR2726" s="77"/>
      <c r="AS2726" s="77"/>
      <c r="AT2726" s="77"/>
      <c r="AU2726" s="77"/>
      <c r="AV2726" s="80" t="str">
        <f>HYPERLINK("https://pbs.twimg.com/media/FrIGiXgXgAEkGOB.jpg")</f>
        <v>https://pbs.twimg.com/media/FrIGiXgXgAEkGOB.jpg</v>
      </c>
      <c r="AW2726" s="82" t="s">
        <v>19492</v>
      </c>
      <c r="AX2726" s="82" t="s">
        <v>19492</v>
      </c>
      <c r="AY2726" s="77"/>
      <c r="AZ2726" s="82" t="s">
        <v>20971</v>
      </c>
      <c r="BA2726" s="82" t="s">
        <v>20971</v>
      </c>
      <c r="BB2726" s="82" t="s">
        <v>20971</v>
      </c>
      <c r="BC2726" s="82" t="s">
        <v>19492</v>
      </c>
      <c r="BD2726" s="82" t="s">
        <v>21527</v>
      </c>
      <c r="BE2726" s="77"/>
      <c r="BF2726" s="77"/>
      <c r="BG2726" s="77"/>
      <c r="BH2726" s="77"/>
      <c r="BI2726" s="77"/>
    </row>
    <row r="2727" spans="1:61" x14ac:dyDescent="0.25">
      <c r="A2727" s="62" t="s">
        <v>914</v>
      </c>
      <c r="B2727" s="62" t="s">
        <v>914</v>
      </c>
      <c r="C2727" s="63"/>
      <c r="D2727" s="64"/>
      <c r="E2727" s="65"/>
      <c r="F2727" s="66"/>
      <c r="G2727" s="63"/>
      <c r="H2727" s="67"/>
      <c r="I2727" s="68"/>
      <c r="J2727" s="68"/>
      <c r="K2727" s="32"/>
      <c r="L2727" s="75">
        <v>2727</v>
      </c>
      <c r="M2727" s="75"/>
      <c r="N2727" s="70"/>
      <c r="O2727" s="77" t="s">
        <v>179</v>
      </c>
      <c r="P2727" s="79">
        <v>45034.631504629629</v>
      </c>
      <c r="Q2727" s="77" t="s">
        <v>3933</v>
      </c>
      <c r="R2727" s="77">
        <v>0</v>
      </c>
      <c r="S2727" s="77">
        <v>0</v>
      </c>
      <c r="T2727" s="77">
        <v>0</v>
      </c>
      <c r="U2727" s="77">
        <v>0</v>
      </c>
      <c r="V2727" s="77">
        <v>11</v>
      </c>
      <c r="W2727" s="82" t="s">
        <v>5236</v>
      </c>
      <c r="X2727" s="80" t="str">
        <f>HYPERLINK("https://go.hotmart.com/B77468619P")</f>
        <v>https://go.hotmart.com/B77468619P</v>
      </c>
      <c r="Y2727" s="77" t="s">
        <v>7251</v>
      </c>
      <c r="Z2727" s="77"/>
      <c r="AA2727" s="77" t="s">
        <v>9115</v>
      </c>
      <c r="AB2727" s="77" t="s">
        <v>10130</v>
      </c>
      <c r="AC2727" s="82" t="s">
        <v>10174</v>
      </c>
      <c r="AD2727" s="77" t="s">
        <v>10184</v>
      </c>
      <c r="AE2727" s="80" t="str">
        <f>HYPERLINK("https://twitter.com/tidomundo/status/1648342964417056768")</f>
        <v>https://twitter.com/tidomundo/status/1648342964417056768</v>
      </c>
      <c r="AF2727" s="79">
        <v>45034.631504629629</v>
      </c>
      <c r="AG2727" s="85">
        <v>45034</v>
      </c>
      <c r="AH2727" s="82" t="s">
        <v>12800</v>
      </c>
      <c r="AI2727" s="77" t="b">
        <v>0</v>
      </c>
      <c r="AJ2727" s="77"/>
      <c r="AK2727" s="77"/>
      <c r="AL2727" s="77"/>
      <c r="AM2727" s="77"/>
      <c r="AN2727" s="77"/>
      <c r="AO2727" s="77"/>
      <c r="AP2727" s="77"/>
      <c r="AQ2727" s="77" t="s">
        <v>15758</v>
      </c>
      <c r="AR2727" s="77"/>
      <c r="AS2727" s="77"/>
      <c r="AT2727" s="77"/>
      <c r="AU2727" s="77"/>
      <c r="AV2727" s="80" t="str">
        <f>HYPERLINK("https://pbs.twimg.com/media/FuAXKAgXwAAFf-V.jpg")</f>
        <v>https://pbs.twimg.com/media/FuAXKAgXwAAFf-V.jpg</v>
      </c>
      <c r="AW2727" s="82" t="s">
        <v>19493</v>
      </c>
      <c r="AX2727" s="82" t="s">
        <v>19493</v>
      </c>
      <c r="AY2727" s="77"/>
      <c r="AZ2727" s="82" t="s">
        <v>20971</v>
      </c>
      <c r="BA2727" s="82" t="s">
        <v>20971</v>
      </c>
      <c r="BB2727" s="82" t="s">
        <v>20971</v>
      </c>
      <c r="BC2727" s="82" t="s">
        <v>19493</v>
      </c>
      <c r="BD2727" s="82" t="s">
        <v>21527</v>
      </c>
      <c r="BE2727" s="77"/>
      <c r="BF2727" s="77"/>
      <c r="BG2727" s="77"/>
      <c r="BH2727" s="77"/>
      <c r="BI2727" s="77"/>
    </row>
    <row r="2728" spans="1:61" x14ac:dyDescent="0.25">
      <c r="A2728" s="62" t="s">
        <v>914</v>
      </c>
      <c r="B2728" s="62" t="s">
        <v>914</v>
      </c>
      <c r="C2728" s="63"/>
      <c r="D2728" s="64"/>
      <c r="E2728" s="65"/>
      <c r="F2728" s="66"/>
      <c r="G2728" s="63"/>
      <c r="H2728" s="67"/>
      <c r="I2728" s="68"/>
      <c r="J2728" s="68"/>
      <c r="K2728" s="32"/>
      <c r="L2728" s="75">
        <v>2728</v>
      </c>
      <c r="M2728" s="75"/>
      <c r="N2728" s="70"/>
      <c r="O2728" s="77" t="s">
        <v>179</v>
      </c>
      <c r="P2728" s="79">
        <v>45000.545983796299</v>
      </c>
      <c r="Q2728" s="77" t="s">
        <v>3934</v>
      </c>
      <c r="R2728" s="77">
        <v>0</v>
      </c>
      <c r="S2728" s="77">
        <v>0</v>
      </c>
      <c r="T2728" s="77">
        <v>0</v>
      </c>
      <c r="U2728" s="77">
        <v>0</v>
      </c>
      <c r="V2728" s="77">
        <v>2</v>
      </c>
      <c r="W2728" s="82" t="s">
        <v>5236</v>
      </c>
      <c r="X2728" s="80" t="str">
        <f>HYPERLINK("https://go.hotmart.com/B77468619P")</f>
        <v>https://go.hotmart.com/B77468619P</v>
      </c>
      <c r="Y2728" s="77" t="s">
        <v>7251</v>
      </c>
      <c r="Z2728" s="77"/>
      <c r="AA2728" s="77" t="s">
        <v>9116</v>
      </c>
      <c r="AB2728" s="77" t="s">
        <v>10130</v>
      </c>
      <c r="AC2728" s="82" t="s">
        <v>10174</v>
      </c>
      <c r="AD2728" s="77" t="s">
        <v>10184</v>
      </c>
      <c r="AE2728" s="80" t="str">
        <f>HYPERLINK("https://twitter.com/tidomundo/status/1635990785710596105")</f>
        <v>https://twitter.com/tidomundo/status/1635990785710596105</v>
      </c>
      <c r="AF2728" s="79">
        <v>45000.545983796299</v>
      </c>
      <c r="AG2728" s="85">
        <v>45000</v>
      </c>
      <c r="AH2728" s="82" t="s">
        <v>12801</v>
      </c>
      <c r="AI2728" s="77" t="b">
        <v>0</v>
      </c>
      <c r="AJ2728" s="77"/>
      <c r="AK2728" s="77"/>
      <c r="AL2728" s="77"/>
      <c r="AM2728" s="77"/>
      <c r="AN2728" s="77"/>
      <c r="AO2728" s="77"/>
      <c r="AP2728" s="77"/>
      <c r="AQ2728" s="77" t="s">
        <v>15759</v>
      </c>
      <c r="AR2728" s="77"/>
      <c r="AS2728" s="77"/>
      <c r="AT2728" s="77"/>
      <c r="AU2728" s="77"/>
      <c r="AV2728" s="80" t="str">
        <f>HYPERLINK("https://pbs.twimg.com/media/FrQ07vxXsAI4v5g.jpg")</f>
        <v>https://pbs.twimg.com/media/FrQ07vxXsAI4v5g.jpg</v>
      </c>
      <c r="AW2728" s="82" t="s">
        <v>19494</v>
      </c>
      <c r="AX2728" s="82" t="s">
        <v>19494</v>
      </c>
      <c r="AY2728" s="77"/>
      <c r="AZ2728" s="82" t="s">
        <v>20971</v>
      </c>
      <c r="BA2728" s="82" t="s">
        <v>20971</v>
      </c>
      <c r="BB2728" s="82" t="s">
        <v>20971</v>
      </c>
      <c r="BC2728" s="82" t="s">
        <v>19494</v>
      </c>
      <c r="BD2728" s="82" t="s">
        <v>21527</v>
      </c>
      <c r="BE2728" s="77"/>
      <c r="BF2728" s="77"/>
      <c r="BG2728" s="77"/>
      <c r="BH2728" s="77"/>
      <c r="BI2728" s="77"/>
    </row>
    <row r="2729" spans="1:61" x14ac:dyDescent="0.25">
      <c r="A2729" s="62" t="s">
        <v>914</v>
      </c>
      <c r="B2729" s="62" t="s">
        <v>914</v>
      </c>
      <c r="C2729" s="63"/>
      <c r="D2729" s="64"/>
      <c r="E2729" s="65"/>
      <c r="F2729" s="66"/>
      <c r="G2729" s="63"/>
      <c r="H2729" s="67"/>
      <c r="I2729" s="68"/>
      <c r="J2729" s="68"/>
      <c r="K2729" s="32"/>
      <c r="L2729" s="75">
        <v>2729</v>
      </c>
      <c r="M2729" s="75"/>
      <c r="N2729" s="70"/>
      <c r="O2729" s="77" t="s">
        <v>179</v>
      </c>
      <c r="P2729" s="79">
        <v>45000.336134259262</v>
      </c>
      <c r="Q2729" s="77" t="s">
        <v>3935</v>
      </c>
      <c r="R2729" s="77">
        <v>0</v>
      </c>
      <c r="S2729" s="77">
        <v>0</v>
      </c>
      <c r="T2729" s="77">
        <v>0</v>
      </c>
      <c r="U2729" s="77">
        <v>0</v>
      </c>
      <c r="V2729" s="77">
        <v>4</v>
      </c>
      <c r="W2729" s="82" t="s">
        <v>5236</v>
      </c>
      <c r="X2729" s="80" t="str">
        <f>HYPERLINK("https://go.hotmart.com/B77468619P")</f>
        <v>https://go.hotmart.com/B77468619P</v>
      </c>
      <c r="Y2729" s="77" t="s">
        <v>7251</v>
      </c>
      <c r="Z2729" s="77"/>
      <c r="AA2729" s="77" t="s">
        <v>9117</v>
      </c>
      <c r="AB2729" s="77" t="s">
        <v>10130</v>
      </c>
      <c r="AC2729" s="82" t="s">
        <v>10174</v>
      </c>
      <c r="AD2729" s="77" t="s">
        <v>10184</v>
      </c>
      <c r="AE2729" s="80" t="str">
        <f>HYPERLINK("https://twitter.com/tidomundo/status/1635914742026870784")</f>
        <v>https://twitter.com/tidomundo/status/1635914742026870784</v>
      </c>
      <c r="AF2729" s="79">
        <v>45000.336134259262</v>
      </c>
      <c r="AG2729" s="85">
        <v>45000</v>
      </c>
      <c r="AH2729" s="82" t="s">
        <v>12802</v>
      </c>
      <c r="AI2729" s="77" t="b">
        <v>0</v>
      </c>
      <c r="AJ2729" s="77"/>
      <c r="AK2729" s="77"/>
      <c r="AL2729" s="77"/>
      <c r="AM2729" s="77"/>
      <c r="AN2729" s="77"/>
      <c r="AO2729" s="77"/>
      <c r="AP2729" s="77"/>
      <c r="AQ2729" s="77" t="s">
        <v>15760</v>
      </c>
      <c r="AR2729" s="77"/>
      <c r="AS2729" s="77"/>
      <c r="AT2729" s="77"/>
      <c r="AU2729" s="77"/>
      <c r="AV2729" s="80" t="str">
        <f>HYPERLINK("https://pbs.twimg.com/media/FrPvwwQX0AA_LqJ.jpg")</f>
        <v>https://pbs.twimg.com/media/FrPvwwQX0AA_LqJ.jpg</v>
      </c>
      <c r="AW2729" s="82" t="s">
        <v>19495</v>
      </c>
      <c r="AX2729" s="82" t="s">
        <v>19495</v>
      </c>
      <c r="AY2729" s="77"/>
      <c r="AZ2729" s="82" t="s">
        <v>20971</v>
      </c>
      <c r="BA2729" s="82" t="s">
        <v>20971</v>
      </c>
      <c r="BB2729" s="82" t="s">
        <v>20971</v>
      </c>
      <c r="BC2729" s="82" t="s">
        <v>19495</v>
      </c>
      <c r="BD2729" s="82" t="s">
        <v>21527</v>
      </c>
      <c r="BE2729" s="77"/>
      <c r="BF2729" s="77"/>
      <c r="BG2729" s="77"/>
      <c r="BH2729" s="77"/>
      <c r="BI2729" s="77"/>
    </row>
    <row r="2730" spans="1:61" x14ac:dyDescent="0.25">
      <c r="A2730" s="62" t="s">
        <v>915</v>
      </c>
      <c r="B2730" s="62" t="s">
        <v>1241</v>
      </c>
      <c r="C2730" s="63"/>
      <c r="D2730" s="64"/>
      <c r="E2730" s="65"/>
      <c r="F2730" s="66"/>
      <c r="G2730" s="63"/>
      <c r="H2730" s="67"/>
      <c r="I2730" s="68"/>
      <c r="J2730" s="68"/>
      <c r="K2730" s="32"/>
      <c r="L2730" s="75">
        <v>2730</v>
      </c>
      <c r="M2730" s="75"/>
      <c r="N2730" s="70"/>
      <c r="O2730" s="77" t="s">
        <v>1285</v>
      </c>
      <c r="P2730" s="79">
        <v>45007.620335648149</v>
      </c>
      <c r="Q2730" s="77" t="s">
        <v>3936</v>
      </c>
      <c r="R2730" s="77">
        <v>0</v>
      </c>
      <c r="S2730" s="77">
        <v>0</v>
      </c>
      <c r="T2730" s="77">
        <v>0</v>
      </c>
      <c r="U2730" s="77">
        <v>0</v>
      </c>
      <c r="V2730" s="77">
        <v>5</v>
      </c>
      <c r="W2730" s="82" t="s">
        <v>6559</v>
      </c>
      <c r="X2730" s="80" t="str">
        <f>HYPERLINK("https://youtu.be/NbyrViaBRx8")</f>
        <v>https://youtu.be/NbyrViaBRx8</v>
      </c>
      <c r="Y2730" s="77" t="s">
        <v>7248</v>
      </c>
      <c r="Z2730" s="77" t="s">
        <v>1241</v>
      </c>
      <c r="AA2730" s="77"/>
      <c r="AB2730" s="77"/>
      <c r="AC2730" s="82" t="s">
        <v>10146</v>
      </c>
      <c r="AD2730" s="77" t="s">
        <v>10184</v>
      </c>
      <c r="AE2730" s="80" t="str">
        <f>HYPERLINK("https://twitter.com/cozinhandoemdd/status/1638554444878028803")</f>
        <v>https://twitter.com/cozinhandoemdd/status/1638554444878028803</v>
      </c>
      <c r="AF2730" s="79">
        <v>45007.620335648149</v>
      </c>
      <c r="AG2730" s="85">
        <v>45007</v>
      </c>
      <c r="AH2730" s="82" t="s">
        <v>12803</v>
      </c>
      <c r="AI2730" s="77" t="b">
        <v>0</v>
      </c>
      <c r="AJ2730" s="77"/>
      <c r="AK2730" s="77"/>
      <c r="AL2730" s="77"/>
      <c r="AM2730" s="77"/>
      <c r="AN2730" s="77"/>
      <c r="AO2730" s="77"/>
      <c r="AP2730" s="77"/>
      <c r="AQ2730" s="77"/>
      <c r="AR2730" s="77"/>
      <c r="AS2730" s="77"/>
      <c r="AT2730" s="77"/>
      <c r="AU2730" s="77"/>
      <c r="AV2730" s="80" t="str">
        <f>HYPERLINK("https://pbs.twimg.com/profile_images/1615071993128255492/HvgfnXWO_normal.jpg")</f>
        <v>https://pbs.twimg.com/profile_images/1615071993128255492/HvgfnXWO_normal.jpg</v>
      </c>
      <c r="AW2730" s="82" t="s">
        <v>19496</v>
      </c>
      <c r="AX2730" s="82" t="s">
        <v>19496</v>
      </c>
      <c r="AY2730" s="77"/>
      <c r="AZ2730" s="82" t="s">
        <v>20971</v>
      </c>
      <c r="BA2730" s="82" t="s">
        <v>20971</v>
      </c>
      <c r="BB2730" s="82" t="s">
        <v>20971</v>
      </c>
      <c r="BC2730" s="82" t="s">
        <v>19496</v>
      </c>
      <c r="BD2730" s="82" t="s">
        <v>21528</v>
      </c>
      <c r="BE2730" s="77"/>
      <c r="BF2730" s="77"/>
      <c r="BG2730" s="77"/>
      <c r="BH2730" s="77"/>
      <c r="BI2730" s="77"/>
    </row>
    <row r="2731" spans="1:61" x14ac:dyDescent="0.25">
      <c r="A2731" s="62" t="s">
        <v>916</v>
      </c>
      <c r="B2731" s="62" t="s">
        <v>916</v>
      </c>
      <c r="C2731" s="63"/>
      <c r="D2731" s="64"/>
      <c r="E2731" s="65"/>
      <c r="F2731" s="66"/>
      <c r="G2731" s="63"/>
      <c r="H2731" s="67"/>
      <c r="I2731" s="68"/>
      <c r="J2731" s="68"/>
      <c r="K2731" s="32"/>
      <c r="L2731" s="75">
        <v>2731</v>
      </c>
      <c r="M2731" s="75"/>
      <c r="N2731" s="70"/>
      <c r="O2731" s="77" t="s">
        <v>179</v>
      </c>
      <c r="P2731" s="79">
        <v>45060.592881944445</v>
      </c>
      <c r="Q2731" s="77" t="s">
        <v>3937</v>
      </c>
      <c r="R2731" s="77">
        <v>0</v>
      </c>
      <c r="S2731" s="77">
        <v>0</v>
      </c>
      <c r="T2731" s="77">
        <v>0</v>
      </c>
      <c r="U2731" s="77">
        <v>0</v>
      </c>
      <c r="V2731" s="77">
        <v>65</v>
      </c>
      <c r="W2731" s="82" t="s">
        <v>6560</v>
      </c>
      <c r="X2731" s="80" t="str">
        <f>HYPERLINK("https://edzz.la/CKE3O?a=58207172")</f>
        <v>https://edzz.la/CKE3O?a=58207172</v>
      </c>
      <c r="Y2731" s="77" t="s">
        <v>7271</v>
      </c>
      <c r="Z2731" s="77"/>
      <c r="AA2731" s="77" t="s">
        <v>9118</v>
      </c>
      <c r="AB2731" s="77" t="s">
        <v>10129</v>
      </c>
      <c r="AC2731" s="82" t="s">
        <v>10144</v>
      </c>
      <c r="AD2731" s="77" t="s">
        <v>10184</v>
      </c>
      <c r="AE2731" s="80" t="str">
        <f>HYPERLINK("https://twitter.com/devmichelly/status/1657751054228783105")</f>
        <v>https://twitter.com/devmichelly/status/1657751054228783105</v>
      </c>
      <c r="AF2731" s="79">
        <v>45060.592881944445</v>
      </c>
      <c r="AG2731" s="85">
        <v>45060</v>
      </c>
      <c r="AH2731" s="82" t="s">
        <v>12804</v>
      </c>
      <c r="AI2731" s="77" t="b">
        <v>0</v>
      </c>
      <c r="AJ2731" s="77"/>
      <c r="AK2731" s="77"/>
      <c r="AL2731" s="77"/>
      <c r="AM2731" s="77"/>
      <c r="AN2731" s="77"/>
      <c r="AO2731" s="77"/>
      <c r="AP2731" s="77"/>
      <c r="AQ2731" s="77" t="s">
        <v>15761</v>
      </c>
      <c r="AR2731" s="77">
        <v>14000</v>
      </c>
      <c r="AS2731" s="77"/>
      <c r="AT2731" s="77"/>
      <c r="AU2731" s="77"/>
      <c r="AV2731" s="80" t="str">
        <f>HYPERLINK("https://pbs.twimg.com/ext_tw_video_thumb/1657751017583173633/pu/img/NuO502bo5M4CwkLj.jpg")</f>
        <v>https://pbs.twimg.com/ext_tw_video_thumb/1657751017583173633/pu/img/NuO502bo5M4CwkLj.jpg</v>
      </c>
      <c r="AW2731" s="82" t="s">
        <v>19497</v>
      </c>
      <c r="AX2731" s="82" t="s">
        <v>19497</v>
      </c>
      <c r="AY2731" s="77"/>
      <c r="AZ2731" s="82" t="s">
        <v>20971</v>
      </c>
      <c r="BA2731" s="82" t="s">
        <v>20971</v>
      </c>
      <c r="BB2731" s="82" t="s">
        <v>20971</v>
      </c>
      <c r="BC2731" s="82" t="s">
        <v>19497</v>
      </c>
      <c r="BD2731" s="82" t="s">
        <v>21529</v>
      </c>
      <c r="BE2731" s="77"/>
      <c r="BF2731" s="77"/>
      <c r="BG2731" s="77"/>
      <c r="BH2731" s="77"/>
      <c r="BI2731" s="77"/>
    </row>
    <row r="2732" spans="1:61" x14ac:dyDescent="0.25">
      <c r="A2732" s="62" t="s">
        <v>917</v>
      </c>
      <c r="B2732" s="62" t="s">
        <v>917</v>
      </c>
      <c r="C2732" s="63"/>
      <c r="D2732" s="64"/>
      <c r="E2732" s="65"/>
      <c r="F2732" s="66"/>
      <c r="G2732" s="63"/>
      <c r="H2732" s="67"/>
      <c r="I2732" s="68"/>
      <c r="J2732" s="68"/>
      <c r="K2732" s="32"/>
      <c r="L2732" s="75">
        <v>2732</v>
      </c>
      <c r="M2732" s="75"/>
      <c r="N2732" s="70"/>
      <c r="O2732" s="77" t="s">
        <v>179</v>
      </c>
      <c r="P2732" s="79">
        <v>45058.084363425929</v>
      </c>
      <c r="Q2732" s="77" t="s">
        <v>3938</v>
      </c>
      <c r="R2732" s="77">
        <v>0</v>
      </c>
      <c r="S2732" s="77">
        <v>0</v>
      </c>
      <c r="T2732" s="77">
        <v>0</v>
      </c>
      <c r="U2732" s="77">
        <v>0</v>
      </c>
      <c r="V2732" s="77">
        <v>23</v>
      </c>
      <c r="W2732" s="82" t="s">
        <v>6561</v>
      </c>
      <c r="X2732" s="77" t="s">
        <v>7225</v>
      </c>
      <c r="Y2732" s="77" t="s">
        <v>7435</v>
      </c>
      <c r="Z2732" s="77"/>
      <c r="AA2732" s="77" t="s">
        <v>9119</v>
      </c>
      <c r="AB2732" s="77" t="s">
        <v>10129</v>
      </c>
      <c r="AC2732" s="82" t="s">
        <v>10144</v>
      </c>
      <c r="AD2732" s="77" t="s">
        <v>10185</v>
      </c>
      <c r="AE2732" s="80" t="str">
        <f>HYPERLINK("https://twitter.com/lunaticasz51690/status/1656841996605042688")</f>
        <v>https://twitter.com/lunaticasz51690/status/1656841996605042688</v>
      </c>
      <c r="AF2732" s="79">
        <v>45058.084363425929</v>
      </c>
      <c r="AG2732" s="85">
        <v>45058</v>
      </c>
      <c r="AH2732" s="82" t="s">
        <v>12805</v>
      </c>
      <c r="AI2732" s="77" t="b">
        <v>0</v>
      </c>
      <c r="AJ2732" s="77"/>
      <c r="AK2732" s="77"/>
      <c r="AL2732" s="77"/>
      <c r="AM2732" s="77"/>
      <c r="AN2732" s="77"/>
      <c r="AO2732" s="77"/>
      <c r="AP2732" s="77"/>
      <c r="AQ2732" s="77" t="s">
        <v>15762</v>
      </c>
      <c r="AR2732" s="77">
        <v>70840</v>
      </c>
      <c r="AS2732" s="77"/>
      <c r="AT2732" s="77"/>
      <c r="AU2732" s="77"/>
      <c r="AV2732" s="80" t="str">
        <f>HYPERLINK("https://pbs.twimg.com/ext_tw_video_thumb/1656841953797873666/pu/img/iPF1C-0Hruge_XwO.jpg")</f>
        <v>https://pbs.twimg.com/ext_tw_video_thumb/1656841953797873666/pu/img/iPF1C-0Hruge_XwO.jpg</v>
      </c>
      <c r="AW2732" s="82" t="s">
        <v>19498</v>
      </c>
      <c r="AX2732" s="82" t="s">
        <v>19498</v>
      </c>
      <c r="AY2732" s="77"/>
      <c r="AZ2732" s="82" t="s">
        <v>20971</v>
      </c>
      <c r="BA2732" s="82" t="s">
        <v>20971</v>
      </c>
      <c r="BB2732" s="82" t="s">
        <v>20971</v>
      </c>
      <c r="BC2732" s="82" t="s">
        <v>19498</v>
      </c>
      <c r="BD2732" s="82" t="s">
        <v>21530</v>
      </c>
      <c r="BE2732" s="77"/>
      <c r="BF2732" s="77"/>
      <c r="BG2732" s="77"/>
      <c r="BH2732" s="77"/>
      <c r="BI2732" s="77"/>
    </row>
    <row r="2733" spans="1:61" x14ac:dyDescent="0.25">
      <c r="A2733" s="62" t="s">
        <v>917</v>
      </c>
      <c r="B2733" s="62" t="s">
        <v>917</v>
      </c>
      <c r="C2733" s="63"/>
      <c r="D2733" s="64"/>
      <c r="E2733" s="65"/>
      <c r="F2733" s="66"/>
      <c r="G2733" s="63"/>
      <c r="H2733" s="67"/>
      <c r="I2733" s="68"/>
      <c r="J2733" s="68"/>
      <c r="K2733" s="32"/>
      <c r="L2733" s="75">
        <v>2733</v>
      </c>
      <c r="M2733" s="75"/>
      <c r="N2733" s="70"/>
      <c r="O2733" s="77" t="s">
        <v>179</v>
      </c>
      <c r="P2733" s="79">
        <v>45058.082673611112</v>
      </c>
      <c r="Q2733" s="77" t="s">
        <v>3939</v>
      </c>
      <c r="R2733" s="77">
        <v>0</v>
      </c>
      <c r="S2733" s="77">
        <v>0</v>
      </c>
      <c r="T2733" s="77">
        <v>0</v>
      </c>
      <c r="U2733" s="77">
        <v>0</v>
      </c>
      <c r="V2733" s="77">
        <v>111</v>
      </c>
      <c r="W2733" s="82" t="s">
        <v>6562</v>
      </c>
      <c r="X2733" s="77" t="s">
        <v>7226</v>
      </c>
      <c r="Y2733" s="77" t="s">
        <v>7436</v>
      </c>
      <c r="Z2733" s="77"/>
      <c r="AA2733" s="77" t="s">
        <v>9120</v>
      </c>
      <c r="AB2733" s="77" t="s">
        <v>10129</v>
      </c>
      <c r="AC2733" s="82" t="s">
        <v>10144</v>
      </c>
      <c r="AD2733" s="77" t="s">
        <v>10184</v>
      </c>
      <c r="AE2733" s="80" t="str">
        <f>HYPERLINK("https://twitter.com/lunaticasz51690/status/1656841384710615040")</f>
        <v>https://twitter.com/lunaticasz51690/status/1656841384710615040</v>
      </c>
      <c r="AF2733" s="79">
        <v>45058.082673611112</v>
      </c>
      <c r="AG2733" s="85">
        <v>45058</v>
      </c>
      <c r="AH2733" s="82" t="s">
        <v>12806</v>
      </c>
      <c r="AI2733" s="77" t="b">
        <v>0</v>
      </c>
      <c r="AJ2733" s="77"/>
      <c r="AK2733" s="77"/>
      <c r="AL2733" s="77"/>
      <c r="AM2733" s="77"/>
      <c r="AN2733" s="77"/>
      <c r="AO2733" s="77"/>
      <c r="AP2733" s="77"/>
      <c r="AQ2733" s="77" t="s">
        <v>15763</v>
      </c>
      <c r="AR2733" s="77">
        <v>44863</v>
      </c>
      <c r="AS2733" s="77"/>
      <c r="AT2733" s="77"/>
      <c r="AU2733" s="77"/>
      <c r="AV2733" s="80" t="str">
        <f>HYPERLINK("https://pbs.twimg.com/ext_tw_video_thumb/1656841327747661831/pu/img/hkSy5HqrWJBP5f2H.jpg")</f>
        <v>https://pbs.twimg.com/ext_tw_video_thumb/1656841327747661831/pu/img/hkSy5HqrWJBP5f2H.jpg</v>
      </c>
      <c r="AW2733" s="82" t="s">
        <v>19499</v>
      </c>
      <c r="AX2733" s="82" t="s">
        <v>19499</v>
      </c>
      <c r="AY2733" s="77"/>
      <c r="AZ2733" s="82" t="s">
        <v>20971</v>
      </c>
      <c r="BA2733" s="82" t="s">
        <v>20971</v>
      </c>
      <c r="BB2733" s="82" t="s">
        <v>20971</v>
      </c>
      <c r="BC2733" s="82" t="s">
        <v>19499</v>
      </c>
      <c r="BD2733" s="82" t="s">
        <v>21530</v>
      </c>
      <c r="BE2733" s="77"/>
      <c r="BF2733" s="77"/>
      <c r="BG2733" s="77"/>
      <c r="BH2733" s="77"/>
      <c r="BI2733" s="77"/>
    </row>
    <row r="2734" spans="1:61" x14ac:dyDescent="0.25">
      <c r="A2734" s="62" t="s">
        <v>918</v>
      </c>
      <c r="B2734" s="62" t="s">
        <v>918</v>
      </c>
      <c r="C2734" s="63"/>
      <c r="D2734" s="64"/>
      <c r="E2734" s="65"/>
      <c r="F2734" s="66"/>
      <c r="G2734" s="63"/>
      <c r="H2734" s="67"/>
      <c r="I2734" s="68"/>
      <c r="J2734" s="68"/>
      <c r="K2734" s="32"/>
      <c r="L2734" s="75">
        <v>2734</v>
      </c>
      <c r="M2734" s="75"/>
      <c r="N2734" s="70"/>
      <c r="O2734" s="77" t="s">
        <v>179</v>
      </c>
      <c r="P2734" s="79">
        <v>45152.940023148149</v>
      </c>
      <c r="Q2734" s="77" t="s">
        <v>3940</v>
      </c>
      <c r="R2734" s="77">
        <v>0</v>
      </c>
      <c r="S2734" s="77">
        <v>0</v>
      </c>
      <c r="T2734" s="77">
        <v>0</v>
      </c>
      <c r="U2734" s="77">
        <v>0</v>
      </c>
      <c r="V2734" s="77">
        <v>2</v>
      </c>
      <c r="W2734" s="82" t="s">
        <v>6563</v>
      </c>
      <c r="X2734" s="80" t="str">
        <f>HYPERLINK("http://wa.me/61992641172")</f>
        <v>http://wa.me/61992641172</v>
      </c>
      <c r="Y2734" s="77" t="s">
        <v>7279</v>
      </c>
      <c r="Z2734" s="77"/>
      <c r="AA2734" s="77" t="s">
        <v>9121</v>
      </c>
      <c r="AB2734" s="77" t="s">
        <v>10130</v>
      </c>
      <c r="AC2734" s="82" t="s">
        <v>10144</v>
      </c>
      <c r="AD2734" s="77" t="s">
        <v>10184</v>
      </c>
      <c r="AE2734" s="80" t="str">
        <f>HYPERLINK("https://twitter.com/juliocesar12shp/status/1691216537632358400")</f>
        <v>https://twitter.com/juliocesar12shp/status/1691216537632358400</v>
      </c>
      <c r="AF2734" s="79">
        <v>45152.940023148149</v>
      </c>
      <c r="AG2734" s="85">
        <v>45152</v>
      </c>
      <c r="AH2734" s="82" t="s">
        <v>12807</v>
      </c>
      <c r="AI2734" s="77" t="b">
        <v>0</v>
      </c>
      <c r="AJ2734" s="77"/>
      <c r="AK2734" s="77"/>
      <c r="AL2734" s="77"/>
      <c r="AM2734" s="77"/>
      <c r="AN2734" s="77"/>
      <c r="AO2734" s="77"/>
      <c r="AP2734" s="77"/>
      <c r="AQ2734" s="77" t="s">
        <v>15764</v>
      </c>
      <c r="AR2734" s="77"/>
      <c r="AS2734" s="77"/>
      <c r="AT2734" s="77"/>
      <c r="AU2734" s="77"/>
      <c r="AV2734" s="80" t="str">
        <f>HYPERLINK("https://pbs.twimg.com/media/F3hoelqWMAACbm5.jpg")</f>
        <v>https://pbs.twimg.com/media/F3hoelqWMAACbm5.jpg</v>
      </c>
      <c r="AW2734" s="82" t="s">
        <v>19500</v>
      </c>
      <c r="AX2734" s="82" t="s">
        <v>19500</v>
      </c>
      <c r="AY2734" s="77"/>
      <c r="AZ2734" s="82" t="s">
        <v>20971</v>
      </c>
      <c r="BA2734" s="82" t="s">
        <v>20971</v>
      </c>
      <c r="BB2734" s="82" t="s">
        <v>20971</v>
      </c>
      <c r="BC2734" s="82" t="s">
        <v>19500</v>
      </c>
      <c r="BD2734" s="82" t="s">
        <v>21531</v>
      </c>
      <c r="BE2734" s="77"/>
      <c r="BF2734" s="77"/>
      <c r="BG2734" s="77"/>
      <c r="BH2734" s="77"/>
      <c r="BI2734" s="77"/>
    </row>
    <row r="2735" spans="1:61" x14ac:dyDescent="0.25">
      <c r="A2735" s="62" t="s">
        <v>919</v>
      </c>
      <c r="B2735" s="62" t="s">
        <v>919</v>
      </c>
      <c r="C2735" s="63"/>
      <c r="D2735" s="64"/>
      <c r="E2735" s="65"/>
      <c r="F2735" s="66"/>
      <c r="G2735" s="63"/>
      <c r="H2735" s="67"/>
      <c r="I2735" s="68"/>
      <c r="J2735" s="68"/>
      <c r="K2735" s="32"/>
      <c r="L2735" s="75">
        <v>2735</v>
      </c>
      <c r="M2735" s="75"/>
      <c r="N2735" s="70"/>
      <c r="O2735" s="77" t="s">
        <v>179</v>
      </c>
      <c r="P2735" s="79">
        <v>45195.010370370372</v>
      </c>
      <c r="Q2735" s="77" t="s">
        <v>3941</v>
      </c>
      <c r="R2735" s="77">
        <v>0</v>
      </c>
      <c r="S2735" s="77">
        <v>0</v>
      </c>
      <c r="T2735" s="77">
        <v>0</v>
      </c>
      <c r="U2735" s="77">
        <v>0</v>
      </c>
      <c r="V2735" s="77">
        <v>51</v>
      </c>
      <c r="W2735" s="82" t="s">
        <v>6564</v>
      </c>
      <c r="X2735" s="80" t="str">
        <f>HYPERLINK("https://shope.ee/qHalUqHet")</f>
        <v>https://shope.ee/qHalUqHet</v>
      </c>
      <c r="Y2735" s="77" t="s">
        <v>7430</v>
      </c>
      <c r="Z2735" s="77"/>
      <c r="AA2735" s="77" t="s">
        <v>9122</v>
      </c>
      <c r="AB2735" s="77" t="s">
        <v>10130</v>
      </c>
      <c r="AC2735" s="82" t="s">
        <v>10145</v>
      </c>
      <c r="AD2735" s="77" t="s">
        <v>10184</v>
      </c>
      <c r="AE2735" s="80" t="str">
        <f>HYPERLINK("https://twitter.com/adriano0406038/status/1706462319641870776")</f>
        <v>https://twitter.com/adriano0406038/status/1706462319641870776</v>
      </c>
      <c r="AF2735" s="79">
        <v>45195.010370370372</v>
      </c>
      <c r="AG2735" s="85">
        <v>45195</v>
      </c>
      <c r="AH2735" s="82" t="s">
        <v>12808</v>
      </c>
      <c r="AI2735" s="77" t="b">
        <v>1</v>
      </c>
      <c r="AJ2735" s="77"/>
      <c r="AK2735" s="77"/>
      <c r="AL2735" s="77"/>
      <c r="AM2735" s="77"/>
      <c r="AN2735" s="77"/>
      <c r="AO2735" s="77"/>
      <c r="AP2735" s="77"/>
      <c r="AQ2735" s="77" t="s">
        <v>15765</v>
      </c>
      <c r="AR2735" s="77"/>
      <c r="AS2735" s="77"/>
      <c r="AT2735" s="77"/>
      <c r="AU2735" s="77"/>
      <c r="AV2735" s="80" t="str">
        <f>HYPERLINK("https://pbs.twimg.com/media/F66SbysWUAAfXG7.jpg")</f>
        <v>https://pbs.twimg.com/media/F66SbysWUAAfXG7.jpg</v>
      </c>
      <c r="AW2735" s="82" t="s">
        <v>19501</v>
      </c>
      <c r="AX2735" s="82" t="s">
        <v>19501</v>
      </c>
      <c r="AY2735" s="77"/>
      <c r="AZ2735" s="82" t="s">
        <v>20971</v>
      </c>
      <c r="BA2735" s="82" t="s">
        <v>20971</v>
      </c>
      <c r="BB2735" s="82" t="s">
        <v>20971</v>
      </c>
      <c r="BC2735" s="82" t="s">
        <v>19501</v>
      </c>
      <c r="BD2735" s="82" t="s">
        <v>21532</v>
      </c>
      <c r="BE2735" s="77"/>
      <c r="BF2735" s="77"/>
      <c r="BG2735" s="77"/>
      <c r="BH2735" s="77"/>
      <c r="BI2735" s="77"/>
    </row>
    <row r="2736" spans="1:61" x14ac:dyDescent="0.25">
      <c r="A2736" s="62" t="s">
        <v>920</v>
      </c>
      <c r="B2736" s="62" t="s">
        <v>920</v>
      </c>
      <c r="C2736" s="63"/>
      <c r="D2736" s="64"/>
      <c r="E2736" s="65"/>
      <c r="F2736" s="66"/>
      <c r="G2736" s="63"/>
      <c r="H2736" s="67"/>
      <c r="I2736" s="68"/>
      <c r="J2736" s="68"/>
      <c r="K2736" s="32"/>
      <c r="L2736" s="75">
        <v>2736</v>
      </c>
      <c r="M2736" s="75"/>
      <c r="N2736" s="70"/>
      <c r="O2736" s="77" t="s">
        <v>179</v>
      </c>
      <c r="P2736" s="79">
        <v>44965.747083333335</v>
      </c>
      <c r="Q2736" s="77" t="s">
        <v>3942</v>
      </c>
      <c r="R2736" s="77">
        <v>0</v>
      </c>
      <c r="S2736" s="77">
        <v>0</v>
      </c>
      <c r="T2736" s="77">
        <v>0</v>
      </c>
      <c r="U2736" s="77">
        <v>0</v>
      </c>
      <c r="V2736" s="77">
        <v>96</v>
      </c>
      <c r="W2736" s="82" t="s">
        <v>6565</v>
      </c>
      <c r="X2736" s="80" t="str">
        <f>HYPERLINK("https://www.cartoesdecredito.me/milhas/maxmilhas-cria-novo-modelo-de-negociacao-de-milhas-em-seu-site")</f>
        <v>https://www.cartoesdecredito.me/milhas/maxmilhas-cria-novo-modelo-de-negociacao-de-milhas-em-seu-site</v>
      </c>
      <c r="Y2736" s="77" t="s">
        <v>7437</v>
      </c>
      <c r="Z2736" s="77"/>
      <c r="AA2736" s="77"/>
      <c r="AB2736" s="77"/>
      <c r="AC2736" s="82" t="s">
        <v>10146</v>
      </c>
      <c r="AD2736" s="77" t="s">
        <v>10184</v>
      </c>
      <c r="AE2736" s="80" t="str">
        <f>HYPERLINK("https://twitter.com/cartoesmilhas/status/1623380086236782608")</f>
        <v>https://twitter.com/cartoesmilhas/status/1623380086236782608</v>
      </c>
      <c r="AF2736" s="79">
        <v>44965.747083333335</v>
      </c>
      <c r="AG2736" s="85">
        <v>44965</v>
      </c>
      <c r="AH2736" s="82" t="s">
        <v>12809</v>
      </c>
      <c r="AI2736" s="77" t="b">
        <v>0</v>
      </c>
      <c r="AJ2736" s="77"/>
      <c r="AK2736" s="77"/>
      <c r="AL2736" s="77"/>
      <c r="AM2736" s="77"/>
      <c r="AN2736" s="77"/>
      <c r="AO2736" s="77"/>
      <c r="AP2736" s="77"/>
      <c r="AQ2736" s="77"/>
      <c r="AR2736" s="77"/>
      <c r="AS2736" s="77"/>
      <c r="AT2736" s="77"/>
      <c r="AU2736" s="77"/>
      <c r="AV2736" s="80" t="str">
        <f>HYPERLINK("https://pbs.twimg.com/profile_images/1474425205640544256/x4DZejck_normal.jpg")</f>
        <v>https://pbs.twimg.com/profile_images/1474425205640544256/x4DZejck_normal.jpg</v>
      </c>
      <c r="AW2736" s="82" t="s">
        <v>19502</v>
      </c>
      <c r="AX2736" s="82" t="s">
        <v>19502</v>
      </c>
      <c r="AY2736" s="77"/>
      <c r="AZ2736" s="82" t="s">
        <v>20971</v>
      </c>
      <c r="BA2736" s="82" t="s">
        <v>20971</v>
      </c>
      <c r="BB2736" s="82" t="s">
        <v>20971</v>
      </c>
      <c r="BC2736" s="82" t="s">
        <v>19502</v>
      </c>
      <c r="BD2736" s="82" t="s">
        <v>21533</v>
      </c>
      <c r="BE2736" s="77"/>
      <c r="BF2736" s="77"/>
      <c r="BG2736" s="77"/>
      <c r="BH2736" s="77"/>
      <c r="BI2736" s="77"/>
    </row>
    <row r="2737" spans="1:61" x14ac:dyDescent="0.25">
      <c r="A2737" s="62" t="s">
        <v>920</v>
      </c>
      <c r="B2737" s="62" t="s">
        <v>920</v>
      </c>
      <c r="C2737" s="63"/>
      <c r="D2737" s="64"/>
      <c r="E2737" s="65"/>
      <c r="F2737" s="66"/>
      <c r="G2737" s="63"/>
      <c r="H2737" s="67"/>
      <c r="I2737" s="68"/>
      <c r="J2737" s="68"/>
      <c r="K2737" s="32"/>
      <c r="L2737" s="75">
        <v>2737</v>
      </c>
      <c r="M2737" s="75"/>
      <c r="N2737" s="70"/>
      <c r="O2737" s="77" t="s">
        <v>179</v>
      </c>
      <c r="P2737" s="79">
        <v>45110.513749999998</v>
      </c>
      <c r="Q2737" s="77" t="s">
        <v>3943</v>
      </c>
      <c r="R2737" s="77">
        <v>0</v>
      </c>
      <c r="S2737" s="77">
        <v>1</v>
      </c>
      <c r="T2737" s="77">
        <v>0</v>
      </c>
      <c r="U2737" s="77">
        <v>0</v>
      </c>
      <c r="V2737" s="77">
        <v>85</v>
      </c>
      <c r="W2737" s="82" t="s">
        <v>6566</v>
      </c>
      <c r="X2737" s="80" t="str">
        <f>HYPERLINK("https://www.cartoesdecredito.me/whatsapp/5-motivos-para-vender-milhas-no-meu-balcao-de-milhas")</f>
        <v>https://www.cartoesdecredito.me/whatsapp/5-motivos-para-vender-milhas-no-meu-balcao-de-milhas</v>
      </c>
      <c r="Y2737" s="77" t="s">
        <v>7437</v>
      </c>
      <c r="Z2737" s="77"/>
      <c r="AA2737" s="77"/>
      <c r="AB2737" s="77"/>
      <c r="AC2737" s="82" t="s">
        <v>10146</v>
      </c>
      <c r="AD2737" s="77" t="s">
        <v>10184</v>
      </c>
      <c r="AE2737" s="80" t="str">
        <f>HYPERLINK("https://twitter.com/cartoesmilhas/status/1675841769122963456")</f>
        <v>https://twitter.com/cartoesmilhas/status/1675841769122963456</v>
      </c>
      <c r="AF2737" s="79">
        <v>45110.513749999998</v>
      </c>
      <c r="AG2737" s="85">
        <v>45110</v>
      </c>
      <c r="AH2737" s="82" t="s">
        <v>12810</v>
      </c>
      <c r="AI2737" s="77" t="b">
        <v>0</v>
      </c>
      <c r="AJ2737" s="77"/>
      <c r="AK2737" s="77"/>
      <c r="AL2737" s="77"/>
      <c r="AM2737" s="77"/>
      <c r="AN2737" s="77"/>
      <c r="AO2737" s="77"/>
      <c r="AP2737" s="77"/>
      <c r="AQ2737" s="77"/>
      <c r="AR2737" s="77"/>
      <c r="AS2737" s="77"/>
      <c r="AT2737" s="77"/>
      <c r="AU2737" s="77"/>
      <c r="AV2737" s="80" t="str">
        <f>HYPERLINK("https://pbs.twimg.com/profile_images/1474425205640544256/x4DZejck_normal.jpg")</f>
        <v>https://pbs.twimg.com/profile_images/1474425205640544256/x4DZejck_normal.jpg</v>
      </c>
      <c r="AW2737" s="82" t="s">
        <v>19503</v>
      </c>
      <c r="AX2737" s="82" t="s">
        <v>19503</v>
      </c>
      <c r="AY2737" s="77"/>
      <c r="AZ2737" s="82" t="s">
        <v>20971</v>
      </c>
      <c r="BA2737" s="82" t="s">
        <v>20971</v>
      </c>
      <c r="BB2737" s="82" t="s">
        <v>20971</v>
      </c>
      <c r="BC2737" s="82" t="s">
        <v>19503</v>
      </c>
      <c r="BD2737" s="82" t="s">
        <v>21533</v>
      </c>
      <c r="BE2737" s="77"/>
      <c r="BF2737" s="77"/>
      <c r="BG2737" s="77"/>
      <c r="BH2737" s="77"/>
      <c r="BI2737" s="77"/>
    </row>
    <row r="2738" spans="1:61" x14ac:dyDescent="0.25">
      <c r="A2738" s="62" t="s">
        <v>921</v>
      </c>
      <c r="B2738" s="62" t="s">
        <v>921</v>
      </c>
      <c r="C2738" s="63"/>
      <c r="D2738" s="64"/>
      <c r="E2738" s="65"/>
      <c r="F2738" s="66"/>
      <c r="G2738" s="63"/>
      <c r="H2738" s="67"/>
      <c r="I2738" s="68"/>
      <c r="J2738" s="68"/>
      <c r="K2738" s="32"/>
      <c r="L2738" s="75">
        <v>2738</v>
      </c>
      <c r="M2738" s="75"/>
      <c r="N2738" s="70"/>
      <c r="O2738" s="77" t="s">
        <v>179</v>
      </c>
      <c r="P2738" s="79">
        <v>45149.815486111111</v>
      </c>
      <c r="Q2738" s="77" t="s">
        <v>3944</v>
      </c>
      <c r="R2738" s="77">
        <v>0</v>
      </c>
      <c r="S2738" s="77">
        <v>5</v>
      </c>
      <c r="T2738" s="77">
        <v>0</v>
      </c>
      <c r="U2738" s="77">
        <v>0</v>
      </c>
      <c r="V2738" s="77">
        <v>823</v>
      </c>
      <c r="W2738" s="82" t="s">
        <v>6567</v>
      </c>
      <c r="X2738" s="77"/>
      <c r="Y2738" s="77"/>
      <c r="Z2738" s="77"/>
      <c r="AA2738" s="77" t="s">
        <v>9123</v>
      </c>
      <c r="AB2738" s="77" t="s">
        <v>10130</v>
      </c>
      <c r="AC2738" s="82" t="s">
        <v>10146</v>
      </c>
      <c r="AD2738" s="77" t="s">
        <v>10184</v>
      </c>
      <c r="AE2738" s="80" t="str">
        <f>HYPERLINK("https://twitter.com/clubefii/status/1690084244020690944")</f>
        <v>https://twitter.com/clubefii/status/1690084244020690944</v>
      </c>
      <c r="AF2738" s="79">
        <v>45149.815486111111</v>
      </c>
      <c r="AG2738" s="85">
        <v>45149</v>
      </c>
      <c r="AH2738" s="82" t="s">
        <v>12811</v>
      </c>
      <c r="AI2738" s="77" t="b">
        <v>0</v>
      </c>
      <c r="AJ2738" s="77"/>
      <c r="AK2738" s="77"/>
      <c r="AL2738" s="77"/>
      <c r="AM2738" s="77"/>
      <c r="AN2738" s="77"/>
      <c r="AO2738" s="77"/>
      <c r="AP2738" s="77"/>
      <c r="AQ2738" s="77" t="s">
        <v>15766</v>
      </c>
      <c r="AR2738" s="77"/>
      <c r="AS2738" s="77"/>
      <c r="AT2738" s="77"/>
      <c r="AU2738" s="77"/>
      <c r="AV2738" s="80" t="str">
        <f>HYPERLINK("https://pbs.twimg.com/media/F3Rin_qXgAAJbaH.jpg")</f>
        <v>https://pbs.twimg.com/media/F3Rin_qXgAAJbaH.jpg</v>
      </c>
      <c r="AW2738" s="82" t="s">
        <v>19504</v>
      </c>
      <c r="AX2738" s="82" t="s">
        <v>19504</v>
      </c>
      <c r="AY2738" s="77"/>
      <c r="AZ2738" s="82" t="s">
        <v>20971</v>
      </c>
      <c r="BA2738" s="82" t="s">
        <v>20971</v>
      </c>
      <c r="BB2738" s="82" t="s">
        <v>20971</v>
      </c>
      <c r="BC2738" s="82" t="s">
        <v>19504</v>
      </c>
      <c r="BD2738" s="77">
        <v>2782850413</v>
      </c>
      <c r="BE2738" s="77"/>
      <c r="BF2738" s="77"/>
      <c r="BG2738" s="77"/>
      <c r="BH2738" s="77"/>
      <c r="BI2738" s="77"/>
    </row>
    <row r="2739" spans="1:61" x14ac:dyDescent="0.25">
      <c r="A2739" s="62" t="s">
        <v>921</v>
      </c>
      <c r="B2739" s="62" t="s">
        <v>921</v>
      </c>
      <c r="C2739" s="63"/>
      <c r="D2739" s="64"/>
      <c r="E2739" s="65"/>
      <c r="F2739" s="66"/>
      <c r="G2739" s="63"/>
      <c r="H2739" s="67"/>
      <c r="I2739" s="68"/>
      <c r="J2739" s="68"/>
      <c r="K2739" s="32"/>
      <c r="L2739" s="75">
        <v>2739</v>
      </c>
      <c r="M2739" s="75"/>
      <c r="N2739" s="70"/>
      <c r="O2739" s="77" t="s">
        <v>179</v>
      </c>
      <c r="P2739" s="79">
        <v>45163.824756944443</v>
      </c>
      <c r="Q2739" s="77" t="s">
        <v>3945</v>
      </c>
      <c r="R2739" s="77">
        <v>0</v>
      </c>
      <c r="S2739" s="77">
        <v>8</v>
      </c>
      <c r="T2739" s="77">
        <v>0</v>
      </c>
      <c r="U2739" s="77">
        <v>0</v>
      </c>
      <c r="V2739" s="77">
        <v>940</v>
      </c>
      <c r="W2739" s="82" t="s">
        <v>6568</v>
      </c>
      <c r="X2739" s="77"/>
      <c r="Y2739" s="77"/>
      <c r="Z2739" s="77"/>
      <c r="AA2739" s="77" t="s">
        <v>9124</v>
      </c>
      <c r="AB2739" s="77" t="s">
        <v>10130</v>
      </c>
      <c r="AC2739" s="82" t="s">
        <v>10146</v>
      </c>
      <c r="AD2739" s="77" t="s">
        <v>10184</v>
      </c>
      <c r="AE2739" s="80" t="str">
        <f>HYPERLINK("https://twitter.com/clubefii/status/1695161031478157809")</f>
        <v>https://twitter.com/clubefii/status/1695161031478157809</v>
      </c>
      <c r="AF2739" s="79">
        <v>45163.824756944443</v>
      </c>
      <c r="AG2739" s="85">
        <v>45163</v>
      </c>
      <c r="AH2739" s="82" t="s">
        <v>11114</v>
      </c>
      <c r="AI2739" s="77" t="b">
        <v>0</v>
      </c>
      <c r="AJ2739" s="77"/>
      <c r="AK2739" s="77"/>
      <c r="AL2739" s="77"/>
      <c r="AM2739" s="77"/>
      <c r="AN2739" s="77"/>
      <c r="AO2739" s="77"/>
      <c r="AP2739" s="77"/>
      <c r="AQ2739" s="77" t="s">
        <v>15767</v>
      </c>
      <c r="AR2739" s="77"/>
      <c r="AS2739" s="77"/>
      <c r="AT2739" s="77"/>
      <c r="AU2739" s="77"/>
      <c r="AV2739" s="80" t="str">
        <f>HYPERLINK("https://pbs.twimg.com/media/F4Zr924WAAEHoQq.jpg")</f>
        <v>https://pbs.twimg.com/media/F4Zr924WAAEHoQq.jpg</v>
      </c>
      <c r="AW2739" s="82" t="s">
        <v>19505</v>
      </c>
      <c r="AX2739" s="82" t="s">
        <v>19505</v>
      </c>
      <c r="AY2739" s="77"/>
      <c r="AZ2739" s="82" t="s">
        <v>20971</v>
      </c>
      <c r="BA2739" s="82" t="s">
        <v>20971</v>
      </c>
      <c r="BB2739" s="82" t="s">
        <v>20971</v>
      </c>
      <c r="BC2739" s="82" t="s">
        <v>19505</v>
      </c>
      <c r="BD2739" s="77">
        <v>2782850413</v>
      </c>
      <c r="BE2739" s="77"/>
      <c r="BF2739" s="77"/>
      <c r="BG2739" s="77"/>
      <c r="BH2739" s="77"/>
      <c r="BI2739" s="77"/>
    </row>
    <row r="2740" spans="1:61" x14ac:dyDescent="0.25">
      <c r="A2740" s="62" t="s">
        <v>922</v>
      </c>
      <c r="B2740" s="62" t="s">
        <v>922</v>
      </c>
      <c r="C2740" s="63"/>
      <c r="D2740" s="64"/>
      <c r="E2740" s="65"/>
      <c r="F2740" s="66"/>
      <c r="G2740" s="63"/>
      <c r="H2740" s="67"/>
      <c r="I2740" s="68"/>
      <c r="J2740" s="68"/>
      <c r="K2740" s="32"/>
      <c r="L2740" s="75">
        <v>2740</v>
      </c>
      <c r="M2740" s="75"/>
      <c r="N2740" s="70"/>
      <c r="O2740" s="77" t="s">
        <v>179</v>
      </c>
      <c r="P2740" s="79">
        <v>44972.660208333335</v>
      </c>
      <c r="Q2740" s="77" t="s">
        <v>3946</v>
      </c>
      <c r="R2740" s="77">
        <v>0</v>
      </c>
      <c r="S2740" s="77">
        <v>1</v>
      </c>
      <c r="T2740" s="77">
        <v>0</v>
      </c>
      <c r="U2740" s="77">
        <v>0</v>
      </c>
      <c r="V2740" s="77">
        <v>18</v>
      </c>
      <c r="W2740" s="82" t="s">
        <v>6569</v>
      </c>
      <c r="X2740" s="80" t="str">
        <f>HYPERLINK("https://www.parceiromagalu.com.br/magazinesmgmarket/cooktop-5-bocas-mondial-a-gas-glp-preto-ctg-02/p/227131700/ED/CK5B/?utm_source=smgmarket&amp;utm_medium=cooktop-5-bocas-mondial-a-gas-glp-preto-ctg-02&amp;utm_campaign=copy-paste&amp;utm_content=copy-paste-share")</f>
        <v>https://www.parceiromagalu.com.br/magazinesmgmarket/cooktop-5-bocas-mondial-a-gas-glp-preto-ctg-02/p/227131700/ED/CK5B/?utm_source=smgmarket&amp;utm_medium=cooktop-5-bocas-mondial-a-gas-glp-preto-ctg-02&amp;utm_campaign=copy-paste&amp;utm_content=copy-paste-share</v>
      </c>
      <c r="Y2740" s="77" t="s">
        <v>7252</v>
      </c>
      <c r="Z2740" s="77"/>
      <c r="AA2740" s="77" t="s">
        <v>9125</v>
      </c>
      <c r="AB2740" s="77" t="s">
        <v>10128</v>
      </c>
      <c r="AC2740" s="82" t="s">
        <v>10146</v>
      </c>
      <c r="AD2740" s="77" t="s">
        <v>10189</v>
      </c>
      <c r="AE2740" s="80" t="str">
        <f>HYPERLINK("https://twitter.com/souplatina/status/1625885321303818246")</f>
        <v>https://twitter.com/souplatina/status/1625885321303818246</v>
      </c>
      <c r="AF2740" s="79">
        <v>44972.660208333335</v>
      </c>
      <c r="AG2740" s="85">
        <v>44972</v>
      </c>
      <c r="AH2740" s="82" t="s">
        <v>12812</v>
      </c>
      <c r="AI2740" s="77" t="b">
        <v>0</v>
      </c>
      <c r="AJ2740" s="77" t="s">
        <v>14027</v>
      </c>
      <c r="AK2740" s="77" t="s">
        <v>14033</v>
      </c>
      <c r="AL2740" s="77" t="s">
        <v>14035</v>
      </c>
      <c r="AM2740" s="77" t="s">
        <v>14068</v>
      </c>
      <c r="AN2740" s="77" t="s">
        <v>14106</v>
      </c>
      <c r="AO2740" s="77" t="s">
        <v>14143</v>
      </c>
      <c r="AP2740" s="77" t="s">
        <v>14149</v>
      </c>
      <c r="AQ2740" s="77" t="s">
        <v>15768</v>
      </c>
      <c r="AR2740" s="77"/>
      <c r="AS2740" s="77"/>
      <c r="AT2740" s="77"/>
      <c r="AU2740" s="77"/>
      <c r="AV2740" s="80" t="str">
        <f>HYPERLINK("https://pbs.twimg.com/media/FpBNOJeXgAEStY_.jpg")</f>
        <v>https://pbs.twimg.com/media/FpBNOJeXgAEStY_.jpg</v>
      </c>
      <c r="AW2740" s="82" t="s">
        <v>19506</v>
      </c>
      <c r="AX2740" s="82" t="s">
        <v>19506</v>
      </c>
      <c r="AY2740" s="77"/>
      <c r="AZ2740" s="82" t="s">
        <v>20971</v>
      </c>
      <c r="BA2740" s="82" t="s">
        <v>20971</v>
      </c>
      <c r="BB2740" s="82" t="s">
        <v>20971</v>
      </c>
      <c r="BC2740" s="82" t="s">
        <v>19506</v>
      </c>
      <c r="BD2740" s="82" t="s">
        <v>21534</v>
      </c>
      <c r="BE2740" s="77"/>
      <c r="BF2740" s="77"/>
      <c r="BG2740" s="77"/>
      <c r="BH2740" s="77"/>
      <c r="BI2740" s="77"/>
    </row>
    <row r="2741" spans="1:61" x14ac:dyDescent="0.25">
      <c r="A2741" s="62" t="s">
        <v>923</v>
      </c>
      <c r="B2741" s="62" t="s">
        <v>923</v>
      </c>
      <c r="C2741" s="63"/>
      <c r="D2741" s="64"/>
      <c r="E2741" s="65"/>
      <c r="F2741" s="66"/>
      <c r="G2741" s="63"/>
      <c r="H2741" s="67"/>
      <c r="I2741" s="68"/>
      <c r="J2741" s="68"/>
      <c r="K2741" s="32"/>
      <c r="L2741" s="75">
        <v>2741</v>
      </c>
      <c r="M2741" s="75"/>
      <c r="N2741" s="70"/>
      <c r="O2741" s="77" t="s">
        <v>179</v>
      </c>
      <c r="P2741" s="79">
        <v>45114.867268518516</v>
      </c>
      <c r="Q2741" s="77" t="s">
        <v>3947</v>
      </c>
      <c r="R2741" s="77">
        <v>0</v>
      </c>
      <c r="S2741" s="77">
        <v>1</v>
      </c>
      <c r="T2741" s="77">
        <v>0</v>
      </c>
      <c r="U2741" s="77">
        <v>0</v>
      </c>
      <c r="V2741" s="77">
        <v>13</v>
      </c>
      <c r="W2741" s="82" t="s">
        <v>6570</v>
      </c>
      <c r="X2741" s="77"/>
      <c r="Y2741" s="77"/>
      <c r="Z2741" s="77"/>
      <c r="AA2741" s="77" t="s">
        <v>9126</v>
      </c>
      <c r="AB2741" s="77" t="s">
        <v>10129</v>
      </c>
      <c r="AC2741" s="82" t="s">
        <v>10146</v>
      </c>
      <c r="AD2741" s="77" t="s">
        <v>10184</v>
      </c>
      <c r="AE2741" s="80" t="str">
        <f>HYPERLINK("https://twitter.com/r2premiumnegoci/status/1677419432497278976")</f>
        <v>https://twitter.com/r2premiumnegoci/status/1677419432497278976</v>
      </c>
      <c r="AF2741" s="79">
        <v>45114.867268518516</v>
      </c>
      <c r="AG2741" s="85">
        <v>45114</v>
      </c>
      <c r="AH2741" s="82" t="s">
        <v>12813</v>
      </c>
      <c r="AI2741" s="77" t="b">
        <v>0</v>
      </c>
      <c r="AJ2741" s="77"/>
      <c r="AK2741" s="77"/>
      <c r="AL2741" s="77"/>
      <c r="AM2741" s="77"/>
      <c r="AN2741" s="77"/>
      <c r="AO2741" s="77"/>
      <c r="AP2741" s="77"/>
      <c r="AQ2741" s="77" t="s">
        <v>15769</v>
      </c>
      <c r="AR2741" s="77">
        <v>15000</v>
      </c>
      <c r="AS2741" s="77"/>
      <c r="AT2741" s="77"/>
      <c r="AU2741" s="77"/>
      <c r="AV2741" s="80" t="str">
        <f>HYPERLINK("https://pbs.twimg.com/ext_tw_video_thumb/1677419232290635781/pu/img/Jw7BLq1jA-oKxxFS.jpg")</f>
        <v>https://pbs.twimg.com/ext_tw_video_thumb/1677419232290635781/pu/img/Jw7BLq1jA-oKxxFS.jpg</v>
      </c>
      <c r="AW2741" s="82" t="s">
        <v>19507</v>
      </c>
      <c r="AX2741" s="82" t="s">
        <v>19507</v>
      </c>
      <c r="AY2741" s="77"/>
      <c r="AZ2741" s="82" t="s">
        <v>20971</v>
      </c>
      <c r="BA2741" s="82" t="s">
        <v>20971</v>
      </c>
      <c r="BB2741" s="82" t="s">
        <v>20971</v>
      </c>
      <c r="BC2741" s="82" t="s">
        <v>19507</v>
      </c>
      <c r="BD2741" s="82" t="s">
        <v>21535</v>
      </c>
      <c r="BE2741" s="77"/>
      <c r="BF2741" s="77"/>
      <c r="BG2741" s="77"/>
      <c r="BH2741" s="77"/>
      <c r="BI2741" s="77"/>
    </row>
    <row r="2742" spans="1:61" x14ac:dyDescent="0.25">
      <c r="A2742" s="62" t="s">
        <v>923</v>
      </c>
      <c r="B2742" s="62" t="s">
        <v>923</v>
      </c>
      <c r="C2742" s="63"/>
      <c r="D2742" s="64"/>
      <c r="E2742" s="65"/>
      <c r="F2742" s="66"/>
      <c r="G2742" s="63"/>
      <c r="H2742" s="67"/>
      <c r="I2742" s="68"/>
      <c r="J2742" s="68"/>
      <c r="K2742" s="32"/>
      <c r="L2742" s="75">
        <v>2742</v>
      </c>
      <c r="M2742" s="75"/>
      <c r="N2742" s="70"/>
      <c r="O2742" s="77" t="s">
        <v>179</v>
      </c>
      <c r="P2742" s="79">
        <v>45114.862222222226</v>
      </c>
      <c r="Q2742" s="77" t="s">
        <v>3948</v>
      </c>
      <c r="R2742" s="77">
        <v>0</v>
      </c>
      <c r="S2742" s="77">
        <v>1</v>
      </c>
      <c r="T2742" s="77">
        <v>0</v>
      </c>
      <c r="U2742" s="77">
        <v>0</v>
      </c>
      <c r="V2742" s="77">
        <v>18</v>
      </c>
      <c r="W2742" s="82" t="s">
        <v>6570</v>
      </c>
      <c r="X2742" s="77"/>
      <c r="Y2742" s="77"/>
      <c r="Z2742" s="77"/>
      <c r="AA2742" s="77" t="s">
        <v>9127</v>
      </c>
      <c r="AB2742" s="77" t="s">
        <v>10129</v>
      </c>
      <c r="AC2742" s="82" t="s">
        <v>10146</v>
      </c>
      <c r="AD2742" s="77" t="s">
        <v>10184</v>
      </c>
      <c r="AE2742" s="80" t="str">
        <f>HYPERLINK("https://twitter.com/r2premiumnegoci/status/1677417606121136129")</f>
        <v>https://twitter.com/r2premiumnegoci/status/1677417606121136129</v>
      </c>
      <c r="AF2742" s="79">
        <v>45114.862222222226</v>
      </c>
      <c r="AG2742" s="85">
        <v>45114</v>
      </c>
      <c r="AH2742" s="82" t="s">
        <v>12814</v>
      </c>
      <c r="AI2742" s="77" t="b">
        <v>0</v>
      </c>
      <c r="AJ2742" s="77"/>
      <c r="AK2742" s="77"/>
      <c r="AL2742" s="77"/>
      <c r="AM2742" s="77"/>
      <c r="AN2742" s="77"/>
      <c r="AO2742" s="77"/>
      <c r="AP2742" s="77"/>
      <c r="AQ2742" s="77" t="s">
        <v>15770</v>
      </c>
      <c r="AR2742" s="77">
        <v>15000</v>
      </c>
      <c r="AS2742" s="77"/>
      <c r="AT2742" s="77"/>
      <c r="AU2742" s="77"/>
      <c r="AV2742" s="80" t="str">
        <f>HYPERLINK("https://pbs.twimg.com/ext_tw_video_thumb/1677417055568502784/pu/img/QsYC3EMB699jmWlO.jpg")</f>
        <v>https://pbs.twimg.com/ext_tw_video_thumb/1677417055568502784/pu/img/QsYC3EMB699jmWlO.jpg</v>
      </c>
      <c r="AW2742" s="82" t="s">
        <v>19508</v>
      </c>
      <c r="AX2742" s="82" t="s">
        <v>19508</v>
      </c>
      <c r="AY2742" s="77"/>
      <c r="AZ2742" s="82" t="s">
        <v>20971</v>
      </c>
      <c r="BA2742" s="82" t="s">
        <v>20971</v>
      </c>
      <c r="BB2742" s="82" t="s">
        <v>20971</v>
      </c>
      <c r="BC2742" s="82" t="s">
        <v>19508</v>
      </c>
      <c r="BD2742" s="82" t="s">
        <v>21535</v>
      </c>
      <c r="BE2742" s="77"/>
      <c r="BF2742" s="77"/>
      <c r="BG2742" s="77"/>
      <c r="BH2742" s="77"/>
      <c r="BI2742" s="77"/>
    </row>
    <row r="2743" spans="1:61" x14ac:dyDescent="0.25">
      <c r="A2743" s="62" t="s">
        <v>924</v>
      </c>
      <c r="B2743" s="62" t="s">
        <v>924</v>
      </c>
      <c r="C2743" s="63"/>
      <c r="D2743" s="64"/>
      <c r="E2743" s="65"/>
      <c r="F2743" s="66"/>
      <c r="G2743" s="63"/>
      <c r="H2743" s="67"/>
      <c r="I2743" s="68"/>
      <c r="J2743" s="68"/>
      <c r="K2743" s="32"/>
      <c r="L2743" s="75">
        <v>2743</v>
      </c>
      <c r="M2743" s="75"/>
      <c r="N2743" s="70"/>
      <c r="O2743" s="77" t="s">
        <v>179</v>
      </c>
      <c r="P2743" s="79">
        <v>44956.682962962965</v>
      </c>
      <c r="Q2743" s="77" t="s">
        <v>3949</v>
      </c>
      <c r="R2743" s="77">
        <v>0</v>
      </c>
      <c r="S2743" s="77">
        <v>0</v>
      </c>
      <c r="T2743" s="77">
        <v>0</v>
      </c>
      <c r="U2743" s="77">
        <v>0</v>
      </c>
      <c r="V2743" s="77">
        <v>45</v>
      </c>
      <c r="W2743" s="82" t="s">
        <v>6571</v>
      </c>
      <c r="X2743" s="80" t="str">
        <f>HYPERLINK("http://forumservicopublicoceara.org.br")</f>
        <v>http://forumservicopublicoceara.org.br</v>
      </c>
      <c r="Y2743" s="77" t="s">
        <v>7438</v>
      </c>
      <c r="Z2743" s="77"/>
      <c r="AA2743" s="77" t="s">
        <v>9128</v>
      </c>
      <c r="AB2743" s="77" t="s">
        <v>10130</v>
      </c>
      <c r="AC2743" s="82" t="s">
        <v>10147</v>
      </c>
      <c r="AD2743" s="77" t="s">
        <v>10184</v>
      </c>
      <c r="AE2743" s="80" t="str">
        <f>HYPERLINK("https://twitter.com/forumdefesa/status/1620095358918434817")</f>
        <v>https://twitter.com/forumdefesa/status/1620095358918434817</v>
      </c>
      <c r="AF2743" s="79">
        <v>44956.682962962965</v>
      </c>
      <c r="AG2743" s="85">
        <v>44956</v>
      </c>
      <c r="AH2743" s="82" t="s">
        <v>10726</v>
      </c>
      <c r="AI2743" s="77" t="b">
        <v>0</v>
      </c>
      <c r="AJ2743" s="77"/>
      <c r="AK2743" s="77"/>
      <c r="AL2743" s="77"/>
      <c r="AM2743" s="77"/>
      <c r="AN2743" s="77"/>
      <c r="AO2743" s="77"/>
      <c r="AP2743" s="77"/>
      <c r="AQ2743" s="77" t="s">
        <v>15771</v>
      </c>
      <c r="AR2743" s="77"/>
      <c r="AS2743" s="77"/>
      <c r="AT2743" s="77"/>
      <c r="AU2743" s="77"/>
      <c r="AV2743" s="80" t="str">
        <f>HYPERLINK("https://pbs.twimg.com/media/Fnu8JI7XEAkOM_c.jpg")</f>
        <v>https://pbs.twimg.com/media/Fnu8JI7XEAkOM_c.jpg</v>
      </c>
      <c r="AW2743" s="82" t="s">
        <v>19509</v>
      </c>
      <c r="AX2743" s="82" t="s">
        <v>19509</v>
      </c>
      <c r="AY2743" s="77"/>
      <c r="AZ2743" s="82" t="s">
        <v>20971</v>
      </c>
      <c r="BA2743" s="82" t="s">
        <v>20971</v>
      </c>
      <c r="BB2743" s="82" t="s">
        <v>20971</v>
      </c>
      <c r="BC2743" s="82" t="s">
        <v>19509</v>
      </c>
      <c r="BD2743" s="82" t="s">
        <v>21536</v>
      </c>
      <c r="BE2743" s="77"/>
      <c r="BF2743" s="77"/>
      <c r="BG2743" s="77"/>
      <c r="BH2743" s="77"/>
      <c r="BI2743" s="77"/>
    </row>
    <row r="2744" spans="1:61" x14ac:dyDescent="0.25">
      <c r="A2744" s="62" t="s">
        <v>925</v>
      </c>
      <c r="B2744" s="62" t="s">
        <v>1269</v>
      </c>
      <c r="C2744" s="63"/>
      <c r="D2744" s="64"/>
      <c r="E2744" s="65"/>
      <c r="F2744" s="66"/>
      <c r="G2744" s="63"/>
      <c r="H2744" s="67"/>
      <c r="I2744" s="68"/>
      <c r="J2744" s="68"/>
      <c r="K2744" s="32"/>
      <c r="L2744" s="75">
        <v>2744</v>
      </c>
      <c r="M2744" s="75"/>
      <c r="N2744" s="70"/>
      <c r="O2744" s="77" t="s">
        <v>1284</v>
      </c>
      <c r="P2744" s="79">
        <v>45152.998726851853</v>
      </c>
      <c r="Q2744" s="77" t="s">
        <v>3950</v>
      </c>
      <c r="R2744" s="77">
        <v>0</v>
      </c>
      <c r="S2744" s="77">
        <v>1</v>
      </c>
      <c r="T2744" s="77">
        <v>0</v>
      </c>
      <c r="U2744" s="77">
        <v>0</v>
      </c>
      <c r="V2744" s="77">
        <v>111</v>
      </c>
      <c r="W2744" s="82" t="s">
        <v>6045</v>
      </c>
      <c r="X2744" s="77"/>
      <c r="Y2744" s="77"/>
      <c r="Z2744" s="77" t="s">
        <v>1269</v>
      </c>
      <c r="AA2744" s="77"/>
      <c r="AB2744" s="77"/>
      <c r="AC2744" s="82" t="s">
        <v>10146</v>
      </c>
      <c r="AD2744" s="77" t="s">
        <v>10183</v>
      </c>
      <c r="AE2744" s="80" t="str">
        <f>HYPERLINK("https://twitter.com/0neightwo/status/1691237810018086912")</f>
        <v>https://twitter.com/0neightwo/status/1691237810018086912</v>
      </c>
      <c r="AF2744" s="79">
        <v>45152.998726851853</v>
      </c>
      <c r="AG2744" s="85">
        <v>45152</v>
      </c>
      <c r="AH2744" s="82" t="s">
        <v>12815</v>
      </c>
      <c r="AI2744" s="77"/>
      <c r="AJ2744" s="77"/>
      <c r="AK2744" s="77"/>
      <c r="AL2744" s="77"/>
      <c r="AM2744" s="77"/>
      <c r="AN2744" s="77"/>
      <c r="AO2744" s="77"/>
      <c r="AP2744" s="77"/>
      <c r="AQ2744" s="77"/>
      <c r="AR2744" s="77"/>
      <c r="AS2744" s="77"/>
      <c r="AT2744" s="77"/>
      <c r="AU2744" s="77"/>
      <c r="AV2744" s="80" t="str">
        <f>HYPERLINK("https://pbs.twimg.com/profile_images/1691665507714215938/cYSBvKUT_normal.jpg")</f>
        <v>https://pbs.twimg.com/profile_images/1691665507714215938/cYSBvKUT_normal.jpg</v>
      </c>
      <c r="AW2744" s="82" t="s">
        <v>19510</v>
      </c>
      <c r="AX2744" s="82" t="s">
        <v>20874</v>
      </c>
      <c r="AY2744" s="82" t="s">
        <v>20956</v>
      </c>
      <c r="AZ2744" s="82" t="s">
        <v>20874</v>
      </c>
      <c r="BA2744" s="82" t="s">
        <v>20971</v>
      </c>
      <c r="BB2744" s="82" t="s">
        <v>20971</v>
      </c>
      <c r="BC2744" s="82" t="s">
        <v>20874</v>
      </c>
      <c r="BD2744" s="77">
        <v>39311052</v>
      </c>
      <c r="BE2744" s="77"/>
      <c r="BF2744" s="77"/>
      <c r="BG2744" s="77"/>
      <c r="BH2744" s="77"/>
      <c r="BI2744" s="77"/>
    </row>
    <row r="2745" spans="1:61" x14ac:dyDescent="0.25">
      <c r="A2745" s="62" t="s">
        <v>926</v>
      </c>
      <c r="B2745" s="62" t="s">
        <v>926</v>
      </c>
      <c r="C2745" s="63"/>
      <c r="D2745" s="64"/>
      <c r="E2745" s="65"/>
      <c r="F2745" s="66"/>
      <c r="G2745" s="63"/>
      <c r="H2745" s="67"/>
      <c r="I2745" s="68"/>
      <c r="J2745" s="68"/>
      <c r="K2745" s="32"/>
      <c r="L2745" s="75">
        <v>2745</v>
      </c>
      <c r="M2745" s="75"/>
      <c r="N2745" s="70"/>
      <c r="O2745" s="77" t="s">
        <v>179</v>
      </c>
      <c r="P2745" s="79">
        <v>45052.893784722219</v>
      </c>
      <c r="Q2745" s="77" t="s">
        <v>3951</v>
      </c>
      <c r="R2745" s="77">
        <v>0</v>
      </c>
      <c r="S2745" s="77">
        <v>0</v>
      </c>
      <c r="T2745" s="77">
        <v>0</v>
      </c>
      <c r="U2745" s="77">
        <v>0</v>
      </c>
      <c r="V2745" s="77">
        <v>86</v>
      </c>
      <c r="W2745" s="82" t="s">
        <v>6572</v>
      </c>
      <c r="X2745" s="80" t="str">
        <f>HYPERLINK("https://go.hotmart.com/J82634375H?dp=1")</f>
        <v>https://go.hotmart.com/J82634375H?dp=1</v>
      </c>
      <c r="Y2745" s="77" t="s">
        <v>7251</v>
      </c>
      <c r="Z2745" s="77"/>
      <c r="AA2745" s="77"/>
      <c r="AB2745" s="77"/>
      <c r="AC2745" s="82" t="s">
        <v>10146</v>
      </c>
      <c r="AD2745" s="77" t="s">
        <v>10184</v>
      </c>
      <c r="AE2745" s="80" t="str">
        <f>HYPERLINK("https://twitter.com/famainfoco/status/1654960995960324098")</f>
        <v>https://twitter.com/famainfoco/status/1654960995960324098</v>
      </c>
      <c r="AF2745" s="79">
        <v>45052.893784722219</v>
      </c>
      <c r="AG2745" s="85">
        <v>45052</v>
      </c>
      <c r="AH2745" s="82" t="s">
        <v>12816</v>
      </c>
      <c r="AI2745" s="77" t="b">
        <v>0</v>
      </c>
      <c r="AJ2745" s="77"/>
      <c r="AK2745" s="77"/>
      <c r="AL2745" s="77"/>
      <c r="AM2745" s="77"/>
      <c r="AN2745" s="77"/>
      <c r="AO2745" s="77"/>
      <c r="AP2745" s="77"/>
      <c r="AQ2745" s="77"/>
      <c r="AR2745" s="77"/>
      <c r="AS2745" s="77"/>
      <c r="AT2745" s="77"/>
      <c r="AU2745" s="77"/>
      <c r="AV2745" s="80" t="str">
        <f>HYPERLINK("https://pbs.twimg.com/profile_images/1438694931112026113/bJE2aMm__normal.jpg")</f>
        <v>https://pbs.twimg.com/profile_images/1438694931112026113/bJE2aMm__normal.jpg</v>
      </c>
      <c r="AW2745" s="82" t="s">
        <v>19511</v>
      </c>
      <c r="AX2745" s="82" t="s">
        <v>19511</v>
      </c>
      <c r="AY2745" s="77"/>
      <c r="AZ2745" s="82" t="s">
        <v>20971</v>
      </c>
      <c r="BA2745" s="82" t="s">
        <v>20971</v>
      </c>
      <c r="BB2745" s="82" t="s">
        <v>20971</v>
      </c>
      <c r="BC2745" s="82" t="s">
        <v>19511</v>
      </c>
      <c r="BD2745" s="77">
        <v>90447850</v>
      </c>
      <c r="BE2745" s="77"/>
      <c r="BF2745" s="77"/>
      <c r="BG2745" s="77"/>
      <c r="BH2745" s="77"/>
      <c r="BI2745" s="77"/>
    </row>
    <row r="2746" spans="1:61" x14ac:dyDescent="0.25">
      <c r="A2746" s="62" t="s">
        <v>926</v>
      </c>
      <c r="B2746" s="62" t="s">
        <v>926</v>
      </c>
      <c r="C2746" s="63"/>
      <c r="D2746" s="64"/>
      <c r="E2746" s="65"/>
      <c r="F2746" s="66"/>
      <c r="G2746" s="63"/>
      <c r="H2746" s="67"/>
      <c r="I2746" s="68"/>
      <c r="J2746" s="68"/>
      <c r="K2746" s="32"/>
      <c r="L2746" s="75">
        <v>2746</v>
      </c>
      <c r="M2746" s="75"/>
      <c r="N2746" s="70"/>
      <c r="O2746" s="77" t="s">
        <v>179</v>
      </c>
      <c r="P2746" s="79">
        <v>45052.203750000001</v>
      </c>
      <c r="Q2746" s="77" t="s">
        <v>3952</v>
      </c>
      <c r="R2746" s="77">
        <v>0</v>
      </c>
      <c r="S2746" s="77">
        <v>0</v>
      </c>
      <c r="T2746" s="77">
        <v>0</v>
      </c>
      <c r="U2746" s="77">
        <v>0</v>
      </c>
      <c r="V2746" s="77">
        <v>19</v>
      </c>
      <c r="W2746" s="82" t="s">
        <v>6573</v>
      </c>
      <c r="X2746" s="80" t="str">
        <f>HYPERLINK("https://go.hotmart.com/J82634375H?dp=1")</f>
        <v>https://go.hotmart.com/J82634375H?dp=1</v>
      </c>
      <c r="Y2746" s="77" t="s">
        <v>7251</v>
      </c>
      <c r="Z2746" s="77"/>
      <c r="AA2746" s="77"/>
      <c r="AB2746" s="77"/>
      <c r="AC2746" s="82" t="s">
        <v>10144</v>
      </c>
      <c r="AD2746" s="77" t="s">
        <v>10183</v>
      </c>
      <c r="AE2746" s="80" t="str">
        <f>HYPERLINK("https://twitter.com/famainfoco/status/1654710932495294465")</f>
        <v>https://twitter.com/famainfoco/status/1654710932495294465</v>
      </c>
      <c r="AF2746" s="79">
        <v>45052.203750000001</v>
      </c>
      <c r="AG2746" s="85">
        <v>45052</v>
      </c>
      <c r="AH2746" s="82" t="s">
        <v>12817</v>
      </c>
      <c r="AI2746" s="77" t="b">
        <v>0</v>
      </c>
      <c r="AJ2746" s="77"/>
      <c r="AK2746" s="77"/>
      <c r="AL2746" s="77"/>
      <c r="AM2746" s="77"/>
      <c r="AN2746" s="77"/>
      <c r="AO2746" s="77"/>
      <c r="AP2746" s="77"/>
      <c r="AQ2746" s="77"/>
      <c r="AR2746" s="77"/>
      <c r="AS2746" s="77"/>
      <c r="AT2746" s="77"/>
      <c r="AU2746" s="77"/>
      <c r="AV2746" s="80" t="str">
        <f>HYPERLINK("https://pbs.twimg.com/profile_images/1438694931112026113/bJE2aMm__normal.jpg")</f>
        <v>https://pbs.twimg.com/profile_images/1438694931112026113/bJE2aMm__normal.jpg</v>
      </c>
      <c r="AW2746" s="82" t="s">
        <v>19512</v>
      </c>
      <c r="AX2746" s="82" t="s">
        <v>19512</v>
      </c>
      <c r="AY2746" s="77"/>
      <c r="AZ2746" s="82" t="s">
        <v>20971</v>
      </c>
      <c r="BA2746" s="82" t="s">
        <v>20971</v>
      </c>
      <c r="BB2746" s="82" t="s">
        <v>20971</v>
      </c>
      <c r="BC2746" s="82" t="s">
        <v>19512</v>
      </c>
      <c r="BD2746" s="77">
        <v>90447850</v>
      </c>
      <c r="BE2746" s="77"/>
      <c r="BF2746" s="77"/>
      <c r="BG2746" s="77"/>
      <c r="BH2746" s="77"/>
      <c r="BI2746" s="77"/>
    </row>
    <row r="2747" spans="1:61" x14ac:dyDescent="0.25">
      <c r="A2747" s="62" t="s">
        <v>927</v>
      </c>
      <c r="B2747" s="62" t="s">
        <v>927</v>
      </c>
      <c r="C2747" s="63"/>
      <c r="D2747" s="64"/>
      <c r="E2747" s="65"/>
      <c r="F2747" s="66"/>
      <c r="G2747" s="63"/>
      <c r="H2747" s="67"/>
      <c r="I2747" s="68"/>
      <c r="J2747" s="68"/>
      <c r="K2747" s="32"/>
      <c r="L2747" s="75">
        <v>2747</v>
      </c>
      <c r="M2747" s="75"/>
      <c r="N2747" s="70"/>
      <c r="O2747" s="77" t="s">
        <v>179</v>
      </c>
      <c r="P2747" s="79">
        <v>45107.695011574076</v>
      </c>
      <c r="Q2747" s="77" t="s">
        <v>3953</v>
      </c>
      <c r="R2747" s="77">
        <v>0</v>
      </c>
      <c r="S2747" s="77">
        <v>2</v>
      </c>
      <c r="T2747" s="77">
        <v>1</v>
      </c>
      <c r="U2747" s="77">
        <v>0</v>
      </c>
      <c r="V2747" s="77">
        <v>61</v>
      </c>
      <c r="W2747" s="82" t="s">
        <v>6574</v>
      </c>
      <c r="X2747" s="80" t="str">
        <f>HYPERLINK("http://www.granaturbinada.com")</f>
        <v>http://www.granaturbinada.com</v>
      </c>
      <c r="Y2747" s="77" t="s">
        <v>7439</v>
      </c>
      <c r="Z2747" s="77"/>
      <c r="AA2747" s="77" t="s">
        <v>9129</v>
      </c>
      <c r="AB2747" s="77" t="s">
        <v>10129</v>
      </c>
      <c r="AC2747" s="82" t="s">
        <v>10144</v>
      </c>
      <c r="AD2747" s="77" t="s">
        <v>10184</v>
      </c>
      <c r="AE2747" s="80" t="str">
        <f>HYPERLINK("https://twitter.com/demetriusbrasil/status/1674820295834705922")</f>
        <v>https://twitter.com/demetriusbrasil/status/1674820295834705922</v>
      </c>
      <c r="AF2747" s="79">
        <v>45107.695011574076</v>
      </c>
      <c r="AG2747" s="85">
        <v>45107</v>
      </c>
      <c r="AH2747" s="82" t="s">
        <v>12818</v>
      </c>
      <c r="AI2747" s="77" t="b">
        <v>0</v>
      </c>
      <c r="AJ2747" s="77"/>
      <c r="AK2747" s="77"/>
      <c r="AL2747" s="77"/>
      <c r="AM2747" s="77"/>
      <c r="AN2747" s="77"/>
      <c r="AO2747" s="77"/>
      <c r="AP2747" s="77"/>
      <c r="AQ2747" s="77" t="s">
        <v>15772</v>
      </c>
      <c r="AR2747" s="77">
        <v>104209</v>
      </c>
      <c r="AS2747" s="77"/>
      <c r="AT2747" s="77"/>
      <c r="AU2747" s="77"/>
      <c r="AV2747" s="80" t="str">
        <f>HYPERLINK("https://pbs.twimg.com/ext_tw_video_thumb/1674820256215232512/pu/img/iDzW_AJdrVhS9huS.jpg")</f>
        <v>https://pbs.twimg.com/ext_tw_video_thumb/1674820256215232512/pu/img/iDzW_AJdrVhS9huS.jpg</v>
      </c>
      <c r="AW2747" s="82" t="s">
        <v>19513</v>
      </c>
      <c r="AX2747" s="82" t="s">
        <v>19513</v>
      </c>
      <c r="AY2747" s="77"/>
      <c r="AZ2747" s="82" t="s">
        <v>20971</v>
      </c>
      <c r="BA2747" s="82" t="s">
        <v>20971</v>
      </c>
      <c r="BB2747" s="82" t="s">
        <v>20971</v>
      </c>
      <c r="BC2747" s="82" t="s">
        <v>19513</v>
      </c>
      <c r="BD2747" s="77">
        <v>52590661</v>
      </c>
      <c r="BE2747" s="77"/>
      <c r="BF2747" s="77"/>
      <c r="BG2747" s="77"/>
      <c r="BH2747" s="77"/>
      <c r="BI2747" s="77"/>
    </row>
    <row r="2748" spans="1:61" x14ac:dyDescent="0.25">
      <c r="A2748" s="62" t="s">
        <v>928</v>
      </c>
      <c r="B2748" s="62" t="s">
        <v>928</v>
      </c>
      <c r="C2748" s="63"/>
      <c r="D2748" s="64"/>
      <c r="E2748" s="65"/>
      <c r="F2748" s="66"/>
      <c r="G2748" s="63"/>
      <c r="H2748" s="67"/>
      <c r="I2748" s="68"/>
      <c r="J2748" s="68"/>
      <c r="K2748" s="32"/>
      <c r="L2748" s="75">
        <v>2748</v>
      </c>
      <c r="M2748" s="75"/>
      <c r="N2748" s="70"/>
      <c r="O2748" s="77" t="s">
        <v>179</v>
      </c>
      <c r="P2748" s="79">
        <v>44957.735925925925</v>
      </c>
      <c r="Q2748" s="77" t="s">
        <v>3954</v>
      </c>
      <c r="R2748" s="77">
        <v>0</v>
      </c>
      <c r="S2748" s="77">
        <v>1</v>
      </c>
      <c r="T2748" s="77">
        <v>0</v>
      </c>
      <c r="U2748" s="77">
        <v>1</v>
      </c>
      <c r="V2748" s="77">
        <v>213</v>
      </c>
      <c r="W2748" s="77"/>
      <c r="X2748" s="77"/>
      <c r="Y2748" s="77"/>
      <c r="Z2748" s="77"/>
      <c r="AA2748" s="77" t="s">
        <v>9130</v>
      </c>
      <c r="AB2748" s="77" t="s">
        <v>10129</v>
      </c>
      <c r="AC2748" s="82" t="s">
        <v>10144</v>
      </c>
      <c r="AD2748" s="77" t="s">
        <v>10184</v>
      </c>
      <c r="AE2748" s="80" t="str">
        <f>HYPERLINK("https://twitter.com/zeafonsosamurai/status/1620476940196130816")</f>
        <v>https://twitter.com/zeafonsosamurai/status/1620476940196130816</v>
      </c>
      <c r="AF2748" s="79">
        <v>44957.735925925925</v>
      </c>
      <c r="AG2748" s="85">
        <v>44957</v>
      </c>
      <c r="AH2748" s="82" t="s">
        <v>12819</v>
      </c>
      <c r="AI2748" s="77" t="b">
        <v>0</v>
      </c>
      <c r="AJ2748" s="77"/>
      <c r="AK2748" s="77"/>
      <c r="AL2748" s="77"/>
      <c r="AM2748" s="77"/>
      <c r="AN2748" s="77"/>
      <c r="AO2748" s="77"/>
      <c r="AP2748" s="77"/>
      <c r="AQ2748" s="77" t="s">
        <v>15773</v>
      </c>
      <c r="AR2748" s="77">
        <v>36100</v>
      </c>
      <c r="AS2748" s="77"/>
      <c r="AT2748" s="77"/>
      <c r="AU2748" s="77"/>
      <c r="AV2748" s="80" t="str">
        <f>HYPERLINK("https://pbs.twimg.com/ext_tw_video_thumb/1620476822134595602/pu/img/flrPFrsTa2CGcMIO.jpg")</f>
        <v>https://pbs.twimg.com/ext_tw_video_thumb/1620476822134595602/pu/img/flrPFrsTa2CGcMIO.jpg</v>
      </c>
      <c r="AW2748" s="82" t="s">
        <v>19514</v>
      </c>
      <c r="AX2748" s="82" t="s">
        <v>19514</v>
      </c>
      <c r="AY2748" s="77"/>
      <c r="AZ2748" s="82" t="s">
        <v>20971</v>
      </c>
      <c r="BA2748" s="82" t="s">
        <v>20971</v>
      </c>
      <c r="BB2748" s="82" t="s">
        <v>20971</v>
      </c>
      <c r="BC2748" s="82" t="s">
        <v>19514</v>
      </c>
      <c r="BD2748" s="77">
        <v>39827338</v>
      </c>
      <c r="BE2748" s="77"/>
      <c r="BF2748" s="77"/>
      <c r="BG2748" s="77"/>
      <c r="BH2748" s="77"/>
      <c r="BI2748" s="77"/>
    </row>
    <row r="2749" spans="1:61" x14ac:dyDescent="0.25">
      <c r="A2749" s="62" t="s">
        <v>929</v>
      </c>
      <c r="B2749" s="62" t="s">
        <v>929</v>
      </c>
      <c r="C2749" s="63"/>
      <c r="D2749" s="64"/>
      <c r="E2749" s="65"/>
      <c r="F2749" s="66"/>
      <c r="G2749" s="63"/>
      <c r="H2749" s="67"/>
      <c r="I2749" s="68"/>
      <c r="J2749" s="68"/>
      <c r="K2749" s="32"/>
      <c r="L2749" s="75">
        <v>2749</v>
      </c>
      <c r="M2749" s="75"/>
      <c r="N2749" s="70"/>
      <c r="O2749" s="77" t="s">
        <v>179</v>
      </c>
      <c r="P2749" s="79">
        <v>44971.312511574077</v>
      </c>
      <c r="Q2749" s="77" t="s">
        <v>3955</v>
      </c>
      <c r="R2749" s="77">
        <v>0</v>
      </c>
      <c r="S2749" s="77">
        <v>0</v>
      </c>
      <c r="T2749" s="77">
        <v>0</v>
      </c>
      <c r="U2749" s="77">
        <v>0</v>
      </c>
      <c r="V2749" s="77">
        <v>5</v>
      </c>
      <c r="W2749" s="82" t="s">
        <v>6575</v>
      </c>
      <c r="X2749" s="77"/>
      <c r="Y2749" s="77"/>
      <c r="Z2749" s="77"/>
      <c r="AA2749" s="77" t="s">
        <v>9131</v>
      </c>
      <c r="AB2749" s="77" t="s">
        <v>10130</v>
      </c>
      <c r="AC2749" s="82" t="s">
        <v>10147</v>
      </c>
      <c r="AD2749" s="77" t="s">
        <v>10184</v>
      </c>
      <c r="AE2749" s="80" t="str">
        <f>HYPERLINK("https://twitter.com/zahrah_br/status/1625396930715983873")</f>
        <v>https://twitter.com/zahrah_br/status/1625396930715983873</v>
      </c>
      <c r="AF2749" s="79">
        <v>44971.312511574077</v>
      </c>
      <c r="AG2749" s="85">
        <v>44971</v>
      </c>
      <c r="AH2749" s="82" t="s">
        <v>12820</v>
      </c>
      <c r="AI2749" s="77" t="b">
        <v>0</v>
      </c>
      <c r="AJ2749" s="77"/>
      <c r="AK2749" s="77"/>
      <c r="AL2749" s="77"/>
      <c r="AM2749" s="77"/>
      <c r="AN2749" s="77"/>
      <c r="AO2749" s="77"/>
      <c r="AP2749" s="77"/>
      <c r="AQ2749" s="77" t="s">
        <v>15774</v>
      </c>
      <c r="AR2749" s="77"/>
      <c r="AS2749" s="77"/>
      <c r="AT2749" s="77"/>
      <c r="AU2749" s="77"/>
      <c r="AV2749" s="80" t="str">
        <f>HYPERLINK("https://pbs.twimg.com/media/Fo6R5QoXwAcm6QT.jpg")</f>
        <v>https://pbs.twimg.com/media/Fo6R5QoXwAcm6QT.jpg</v>
      </c>
      <c r="AW2749" s="82" t="s">
        <v>19515</v>
      </c>
      <c r="AX2749" s="82" t="s">
        <v>19515</v>
      </c>
      <c r="AY2749" s="77"/>
      <c r="AZ2749" s="82" t="s">
        <v>20971</v>
      </c>
      <c r="BA2749" s="82" t="s">
        <v>20971</v>
      </c>
      <c r="BB2749" s="82" t="s">
        <v>20971</v>
      </c>
      <c r="BC2749" s="82" t="s">
        <v>19515</v>
      </c>
      <c r="BD2749" s="82" t="s">
        <v>21537</v>
      </c>
      <c r="BE2749" s="77"/>
      <c r="BF2749" s="77"/>
      <c r="BG2749" s="77"/>
      <c r="BH2749" s="77"/>
      <c r="BI2749" s="77"/>
    </row>
    <row r="2750" spans="1:61" x14ac:dyDescent="0.25">
      <c r="A2750" s="62" t="s">
        <v>929</v>
      </c>
      <c r="B2750" s="62" t="s">
        <v>929</v>
      </c>
      <c r="C2750" s="63"/>
      <c r="D2750" s="64"/>
      <c r="E2750" s="65"/>
      <c r="F2750" s="66"/>
      <c r="G2750" s="63"/>
      <c r="H2750" s="67"/>
      <c r="I2750" s="68"/>
      <c r="J2750" s="68"/>
      <c r="K2750" s="32"/>
      <c r="L2750" s="75">
        <v>2750</v>
      </c>
      <c r="M2750" s="75"/>
      <c r="N2750" s="70"/>
      <c r="O2750" s="77" t="s">
        <v>179</v>
      </c>
      <c r="P2750" s="79">
        <v>44970.166712962964</v>
      </c>
      <c r="Q2750" s="77" t="s">
        <v>3956</v>
      </c>
      <c r="R2750" s="77">
        <v>0</v>
      </c>
      <c r="S2750" s="77">
        <v>0</v>
      </c>
      <c r="T2750" s="77">
        <v>0</v>
      </c>
      <c r="U2750" s="77">
        <v>0</v>
      </c>
      <c r="V2750" s="77">
        <v>13</v>
      </c>
      <c r="W2750" s="82" t="s">
        <v>6576</v>
      </c>
      <c r="X2750" s="77"/>
      <c r="Y2750" s="77"/>
      <c r="Z2750" s="77"/>
      <c r="AA2750" s="77" t="s">
        <v>9132</v>
      </c>
      <c r="AB2750" s="77" t="s">
        <v>10130</v>
      </c>
      <c r="AC2750" s="82" t="s">
        <v>10147</v>
      </c>
      <c r="AD2750" s="77" t="s">
        <v>10184</v>
      </c>
      <c r="AE2750" s="80" t="str">
        <f>HYPERLINK("https://twitter.com/zahrah_br/status/1624981707630735365")</f>
        <v>https://twitter.com/zahrah_br/status/1624981707630735365</v>
      </c>
      <c r="AF2750" s="79">
        <v>44970.166712962964</v>
      </c>
      <c r="AG2750" s="85">
        <v>44970</v>
      </c>
      <c r="AH2750" s="82" t="s">
        <v>12821</v>
      </c>
      <c r="AI2750" s="77" t="b">
        <v>0</v>
      </c>
      <c r="AJ2750" s="77"/>
      <c r="AK2750" s="77"/>
      <c r="AL2750" s="77"/>
      <c r="AM2750" s="77"/>
      <c r="AN2750" s="77"/>
      <c r="AO2750" s="77"/>
      <c r="AP2750" s="77"/>
      <c r="AQ2750" s="77" t="s">
        <v>15775</v>
      </c>
      <c r="AR2750" s="77"/>
      <c r="AS2750" s="77"/>
      <c r="AT2750" s="77"/>
      <c r="AU2750" s="77"/>
      <c r="AV2750" s="80" t="str">
        <f>HYPERLINK("https://pbs.twimg.com/media/Fo0YQHGWIAMy4am.jpg")</f>
        <v>https://pbs.twimg.com/media/Fo0YQHGWIAMy4am.jpg</v>
      </c>
      <c r="AW2750" s="82" t="s">
        <v>19516</v>
      </c>
      <c r="AX2750" s="82" t="s">
        <v>19516</v>
      </c>
      <c r="AY2750" s="77"/>
      <c r="AZ2750" s="82" t="s">
        <v>20971</v>
      </c>
      <c r="BA2750" s="82" t="s">
        <v>20971</v>
      </c>
      <c r="BB2750" s="82" t="s">
        <v>20971</v>
      </c>
      <c r="BC2750" s="82" t="s">
        <v>19516</v>
      </c>
      <c r="BD2750" s="82" t="s">
        <v>21537</v>
      </c>
      <c r="BE2750" s="77"/>
      <c r="BF2750" s="77"/>
      <c r="BG2750" s="77"/>
      <c r="BH2750" s="77"/>
      <c r="BI2750" s="77"/>
    </row>
    <row r="2751" spans="1:61" x14ac:dyDescent="0.25">
      <c r="A2751" s="62" t="s">
        <v>929</v>
      </c>
      <c r="B2751" s="62" t="s">
        <v>929</v>
      </c>
      <c r="C2751" s="63"/>
      <c r="D2751" s="64"/>
      <c r="E2751" s="65"/>
      <c r="F2751" s="66"/>
      <c r="G2751" s="63"/>
      <c r="H2751" s="67"/>
      <c r="I2751" s="68"/>
      <c r="J2751" s="68"/>
      <c r="K2751" s="32"/>
      <c r="L2751" s="75">
        <v>2751</v>
      </c>
      <c r="M2751" s="75"/>
      <c r="N2751" s="70"/>
      <c r="O2751" s="77" t="s">
        <v>179</v>
      </c>
      <c r="P2751" s="79">
        <v>44970.125219907408</v>
      </c>
      <c r="Q2751" s="77" t="s">
        <v>3957</v>
      </c>
      <c r="R2751" s="77">
        <v>0</v>
      </c>
      <c r="S2751" s="77">
        <v>0</v>
      </c>
      <c r="T2751" s="77">
        <v>0</v>
      </c>
      <c r="U2751" s="77">
        <v>0</v>
      </c>
      <c r="V2751" s="77">
        <v>13</v>
      </c>
      <c r="W2751" s="82" t="s">
        <v>6576</v>
      </c>
      <c r="X2751" s="77"/>
      <c r="Y2751" s="77"/>
      <c r="Z2751" s="77"/>
      <c r="AA2751" s="77" t="s">
        <v>9133</v>
      </c>
      <c r="AB2751" s="77" t="s">
        <v>10130</v>
      </c>
      <c r="AC2751" s="82" t="s">
        <v>10147</v>
      </c>
      <c r="AD2751" s="77" t="s">
        <v>10184</v>
      </c>
      <c r="AE2751" s="80" t="str">
        <f>HYPERLINK("https://twitter.com/zahrah_br/status/1624966669935181825")</f>
        <v>https://twitter.com/zahrah_br/status/1624966669935181825</v>
      </c>
      <c r="AF2751" s="79">
        <v>44970.125219907408</v>
      </c>
      <c r="AG2751" s="85">
        <v>44970</v>
      </c>
      <c r="AH2751" s="82" t="s">
        <v>12822</v>
      </c>
      <c r="AI2751" s="77" t="b">
        <v>0</v>
      </c>
      <c r="AJ2751" s="77"/>
      <c r="AK2751" s="77"/>
      <c r="AL2751" s="77"/>
      <c r="AM2751" s="77"/>
      <c r="AN2751" s="77"/>
      <c r="AO2751" s="77"/>
      <c r="AP2751" s="77"/>
      <c r="AQ2751" s="77" t="s">
        <v>15776</v>
      </c>
      <c r="AR2751" s="77"/>
      <c r="AS2751" s="77"/>
      <c r="AT2751" s="77"/>
      <c r="AU2751" s="77"/>
      <c r="AV2751" s="80" t="str">
        <f>HYPERLINK("https://pbs.twimg.com/media/Fo0KkvxXgAIlJOy.jpg")</f>
        <v>https://pbs.twimg.com/media/Fo0KkvxXgAIlJOy.jpg</v>
      </c>
      <c r="AW2751" s="82" t="s">
        <v>19517</v>
      </c>
      <c r="AX2751" s="82" t="s">
        <v>19517</v>
      </c>
      <c r="AY2751" s="77"/>
      <c r="AZ2751" s="82" t="s">
        <v>20971</v>
      </c>
      <c r="BA2751" s="82" t="s">
        <v>20971</v>
      </c>
      <c r="BB2751" s="82" t="s">
        <v>20971</v>
      </c>
      <c r="BC2751" s="82" t="s">
        <v>19517</v>
      </c>
      <c r="BD2751" s="82" t="s">
        <v>21537</v>
      </c>
      <c r="BE2751" s="77"/>
      <c r="BF2751" s="77"/>
      <c r="BG2751" s="77"/>
      <c r="BH2751" s="77"/>
      <c r="BI2751" s="77"/>
    </row>
    <row r="2752" spans="1:61" x14ac:dyDescent="0.25">
      <c r="A2752" s="62" t="s">
        <v>929</v>
      </c>
      <c r="B2752" s="62" t="s">
        <v>929</v>
      </c>
      <c r="C2752" s="63"/>
      <c r="D2752" s="64"/>
      <c r="E2752" s="65"/>
      <c r="F2752" s="66"/>
      <c r="G2752" s="63"/>
      <c r="H2752" s="67"/>
      <c r="I2752" s="68"/>
      <c r="J2752" s="68"/>
      <c r="K2752" s="32"/>
      <c r="L2752" s="75">
        <v>2752</v>
      </c>
      <c r="M2752" s="75"/>
      <c r="N2752" s="70"/>
      <c r="O2752" s="77" t="s">
        <v>179</v>
      </c>
      <c r="P2752" s="79">
        <v>44969.906446759262</v>
      </c>
      <c r="Q2752" s="77" t="s">
        <v>3958</v>
      </c>
      <c r="R2752" s="77">
        <v>0</v>
      </c>
      <c r="S2752" s="77">
        <v>0</v>
      </c>
      <c r="T2752" s="77">
        <v>0</v>
      </c>
      <c r="U2752" s="77">
        <v>0</v>
      </c>
      <c r="V2752" s="77">
        <v>41</v>
      </c>
      <c r="W2752" s="82" t="s">
        <v>6577</v>
      </c>
      <c r="X2752" s="77"/>
      <c r="Y2752" s="77"/>
      <c r="Z2752" s="77"/>
      <c r="AA2752" s="77" t="s">
        <v>9134</v>
      </c>
      <c r="AB2752" s="77" t="s">
        <v>10129</v>
      </c>
      <c r="AC2752" s="82" t="s">
        <v>10147</v>
      </c>
      <c r="AD2752" s="77" t="s">
        <v>10184</v>
      </c>
      <c r="AE2752" s="80" t="str">
        <f>HYPERLINK("https://twitter.com/zahrah_br/status/1624887391482703874")</f>
        <v>https://twitter.com/zahrah_br/status/1624887391482703874</v>
      </c>
      <c r="AF2752" s="79">
        <v>44969.906446759262</v>
      </c>
      <c r="AG2752" s="85">
        <v>44969</v>
      </c>
      <c r="AH2752" s="82" t="s">
        <v>12823</v>
      </c>
      <c r="AI2752" s="77" t="b">
        <v>0</v>
      </c>
      <c r="AJ2752" s="77"/>
      <c r="AK2752" s="77"/>
      <c r="AL2752" s="77"/>
      <c r="AM2752" s="77"/>
      <c r="AN2752" s="77"/>
      <c r="AO2752" s="77"/>
      <c r="AP2752" s="77"/>
      <c r="AQ2752" s="77" t="s">
        <v>15777</v>
      </c>
      <c r="AR2752" s="77">
        <v>6720</v>
      </c>
      <c r="AS2752" s="77"/>
      <c r="AT2752" s="77"/>
      <c r="AU2752" s="77"/>
      <c r="AV2752" s="80" t="str">
        <f>HYPERLINK("https://pbs.twimg.com/ext_tw_video_thumb/1624887323690139649/pu/img/UqobTSVjcEcgqn3g.jpg")</f>
        <v>https://pbs.twimg.com/ext_tw_video_thumb/1624887323690139649/pu/img/UqobTSVjcEcgqn3g.jpg</v>
      </c>
      <c r="AW2752" s="82" t="s">
        <v>19518</v>
      </c>
      <c r="AX2752" s="82" t="s">
        <v>19518</v>
      </c>
      <c r="AY2752" s="77"/>
      <c r="AZ2752" s="82" t="s">
        <v>20971</v>
      </c>
      <c r="BA2752" s="82" t="s">
        <v>20971</v>
      </c>
      <c r="BB2752" s="82" t="s">
        <v>20971</v>
      </c>
      <c r="BC2752" s="82" t="s">
        <v>19518</v>
      </c>
      <c r="BD2752" s="82" t="s">
        <v>21537</v>
      </c>
      <c r="BE2752" s="77"/>
      <c r="BF2752" s="77"/>
      <c r="BG2752" s="77"/>
      <c r="BH2752" s="77"/>
      <c r="BI2752" s="77"/>
    </row>
    <row r="2753" spans="1:61" x14ac:dyDescent="0.25">
      <c r="A2753" s="62" t="s">
        <v>929</v>
      </c>
      <c r="B2753" s="62" t="s">
        <v>929</v>
      </c>
      <c r="C2753" s="63"/>
      <c r="D2753" s="64"/>
      <c r="E2753" s="65"/>
      <c r="F2753" s="66"/>
      <c r="G2753" s="63"/>
      <c r="H2753" s="67"/>
      <c r="I2753" s="68"/>
      <c r="J2753" s="68"/>
      <c r="K2753" s="32"/>
      <c r="L2753" s="75">
        <v>2753</v>
      </c>
      <c r="M2753" s="75"/>
      <c r="N2753" s="70"/>
      <c r="O2753" s="77" t="s">
        <v>179</v>
      </c>
      <c r="P2753" s="79">
        <v>44984.709456018521</v>
      </c>
      <c r="Q2753" s="77" t="s">
        <v>3959</v>
      </c>
      <c r="R2753" s="77">
        <v>0</v>
      </c>
      <c r="S2753" s="77">
        <v>0</v>
      </c>
      <c r="T2753" s="77">
        <v>0</v>
      </c>
      <c r="U2753" s="77">
        <v>0</v>
      </c>
      <c r="V2753" s="77">
        <v>41</v>
      </c>
      <c r="W2753" s="82" t="s">
        <v>6576</v>
      </c>
      <c r="X2753" s="77"/>
      <c r="Y2753" s="77"/>
      <c r="Z2753" s="77"/>
      <c r="AA2753" s="77" t="s">
        <v>9135</v>
      </c>
      <c r="AB2753" s="77" t="s">
        <v>10129</v>
      </c>
      <c r="AC2753" s="82" t="s">
        <v>10147</v>
      </c>
      <c r="AD2753" s="77" t="s">
        <v>10184</v>
      </c>
      <c r="AE2753" s="80" t="str">
        <f>HYPERLINK("https://twitter.com/zahrah_br/status/1630251821284442112")</f>
        <v>https://twitter.com/zahrah_br/status/1630251821284442112</v>
      </c>
      <c r="AF2753" s="79">
        <v>44984.709456018521</v>
      </c>
      <c r="AG2753" s="85">
        <v>44984</v>
      </c>
      <c r="AH2753" s="82" t="s">
        <v>12824</v>
      </c>
      <c r="AI2753" s="77" t="b">
        <v>0</v>
      </c>
      <c r="AJ2753" s="77"/>
      <c r="AK2753" s="77"/>
      <c r="AL2753" s="77"/>
      <c r="AM2753" s="77"/>
      <c r="AN2753" s="77"/>
      <c r="AO2753" s="77"/>
      <c r="AP2753" s="77"/>
      <c r="AQ2753" s="77" t="s">
        <v>15778</v>
      </c>
      <c r="AR2753" s="77">
        <v>114560</v>
      </c>
      <c r="AS2753" s="77"/>
      <c r="AT2753" s="77"/>
      <c r="AU2753" s="77"/>
      <c r="AV2753" s="80" t="str">
        <f>HYPERLINK("https://pbs.twimg.com/ext_tw_video_thumb/1630251741777215493/pu/img/vfXOt7hock07yJqI.jpg")</f>
        <v>https://pbs.twimg.com/ext_tw_video_thumb/1630251741777215493/pu/img/vfXOt7hock07yJqI.jpg</v>
      </c>
      <c r="AW2753" s="82" t="s">
        <v>19519</v>
      </c>
      <c r="AX2753" s="82" t="s">
        <v>19519</v>
      </c>
      <c r="AY2753" s="77"/>
      <c r="AZ2753" s="82" t="s">
        <v>20971</v>
      </c>
      <c r="BA2753" s="82" t="s">
        <v>20971</v>
      </c>
      <c r="BB2753" s="82" t="s">
        <v>20971</v>
      </c>
      <c r="BC2753" s="82" t="s">
        <v>19519</v>
      </c>
      <c r="BD2753" s="82" t="s">
        <v>21537</v>
      </c>
      <c r="BE2753" s="77"/>
      <c r="BF2753" s="77"/>
      <c r="BG2753" s="77"/>
      <c r="BH2753" s="77"/>
      <c r="BI2753" s="77"/>
    </row>
    <row r="2754" spans="1:61" x14ac:dyDescent="0.25">
      <c r="A2754" s="62" t="s">
        <v>930</v>
      </c>
      <c r="B2754" s="62" t="s">
        <v>930</v>
      </c>
      <c r="C2754" s="63"/>
      <c r="D2754" s="64"/>
      <c r="E2754" s="65"/>
      <c r="F2754" s="66"/>
      <c r="G2754" s="63"/>
      <c r="H2754" s="67"/>
      <c r="I2754" s="68"/>
      <c r="J2754" s="68"/>
      <c r="K2754" s="32"/>
      <c r="L2754" s="75">
        <v>2754</v>
      </c>
      <c r="M2754" s="75"/>
      <c r="N2754" s="70"/>
      <c r="O2754" s="77" t="s">
        <v>179</v>
      </c>
      <c r="P2754" s="79">
        <v>45127.806793981479</v>
      </c>
      <c r="Q2754" s="77" t="s">
        <v>3960</v>
      </c>
      <c r="R2754" s="77">
        <v>0</v>
      </c>
      <c r="S2754" s="77">
        <v>0</v>
      </c>
      <c r="T2754" s="77">
        <v>0</v>
      </c>
      <c r="U2754" s="77">
        <v>0</v>
      </c>
      <c r="V2754" s="77">
        <v>226</v>
      </c>
      <c r="W2754" s="82" t="s">
        <v>6578</v>
      </c>
      <c r="X2754" s="77"/>
      <c r="Y2754" s="77"/>
      <c r="Z2754" s="77"/>
      <c r="AA2754" s="77" t="s">
        <v>9136</v>
      </c>
      <c r="AB2754" s="77" t="s">
        <v>10129</v>
      </c>
      <c r="AC2754" s="82" t="s">
        <v>10144</v>
      </c>
      <c r="AD2754" s="77" t="s">
        <v>10184</v>
      </c>
      <c r="AE2754" s="80" t="str">
        <f>HYPERLINK("https://twitter.com/bruno_n23/status/1682108560103153664")</f>
        <v>https://twitter.com/bruno_n23/status/1682108560103153664</v>
      </c>
      <c r="AF2754" s="79">
        <v>45127.806793981479</v>
      </c>
      <c r="AG2754" s="85">
        <v>45127</v>
      </c>
      <c r="AH2754" s="82" t="s">
        <v>12825</v>
      </c>
      <c r="AI2754" s="77" t="b">
        <v>0</v>
      </c>
      <c r="AJ2754" s="77"/>
      <c r="AK2754" s="77"/>
      <c r="AL2754" s="77"/>
      <c r="AM2754" s="77"/>
      <c r="AN2754" s="77"/>
      <c r="AO2754" s="77"/>
      <c r="AP2754" s="77"/>
      <c r="AQ2754" s="77" t="s">
        <v>15779</v>
      </c>
      <c r="AR2754" s="77">
        <v>29833</v>
      </c>
      <c r="AS2754" s="77"/>
      <c r="AT2754" s="77"/>
      <c r="AU2754" s="77"/>
      <c r="AV2754" s="80" t="str">
        <f>HYPERLINK("https://pbs.twimg.com/ext_tw_video_thumb/1682108060267937794/pu/img/udgGJI0hMbvc96Rd.jpg")</f>
        <v>https://pbs.twimg.com/ext_tw_video_thumb/1682108060267937794/pu/img/udgGJI0hMbvc96Rd.jpg</v>
      </c>
      <c r="AW2754" s="82" t="s">
        <v>19520</v>
      </c>
      <c r="AX2754" s="82" t="s">
        <v>19520</v>
      </c>
      <c r="AY2754" s="77"/>
      <c r="AZ2754" s="82" t="s">
        <v>20971</v>
      </c>
      <c r="BA2754" s="82" t="s">
        <v>20971</v>
      </c>
      <c r="BB2754" s="82" t="s">
        <v>20971</v>
      </c>
      <c r="BC2754" s="82" t="s">
        <v>19520</v>
      </c>
      <c r="BD2754" s="82" t="s">
        <v>21538</v>
      </c>
      <c r="BE2754" s="77"/>
      <c r="BF2754" s="77"/>
      <c r="BG2754" s="77"/>
      <c r="BH2754" s="77"/>
      <c r="BI2754" s="77"/>
    </row>
    <row r="2755" spans="1:61" x14ac:dyDescent="0.25">
      <c r="A2755" s="62" t="s">
        <v>931</v>
      </c>
      <c r="B2755" s="62" t="s">
        <v>931</v>
      </c>
      <c r="C2755" s="63"/>
      <c r="D2755" s="64"/>
      <c r="E2755" s="65"/>
      <c r="F2755" s="66"/>
      <c r="G2755" s="63"/>
      <c r="H2755" s="67"/>
      <c r="I2755" s="68"/>
      <c r="J2755" s="68"/>
      <c r="K2755" s="32"/>
      <c r="L2755" s="75">
        <v>2755</v>
      </c>
      <c r="M2755" s="75"/>
      <c r="N2755" s="70"/>
      <c r="O2755" s="77" t="s">
        <v>179</v>
      </c>
      <c r="P2755" s="79">
        <v>44994.654004629629</v>
      </c>
      <c r="Q2755" s="77" t="s">
        <v>3961</v>
      </c>
      <c r="R2755" s="77">
        <v>0</v>
      </c>
      <c r="S2755" s="77">
        <v>0</v>
      </c>
      <c r="T2755" s="77">
        <v>1</v>
      </c>
      <c r="U2755" s="77">
        <v>0</v>
      </c>
      <c r="V2755" s="77">
        <v>647</v>
      </c>
      <c r="W2755" s="82" t="s">
        <v>6579</v>
      </c>
      <c r="X2755" s="80" t="str">
        <f>HYPERLINK("https://bc.ai/i-brlc850c0mx-n/?p=https://raf.bc.ai/")</f>
        <v>https://bc.ai/i-brlc850c0mx-n/?p=https://raf.bc.ai/</v>
      </c>
      <c r="Y2755" s="77" t="s">
        <v>7277</v>
      </c>
      <c r="Z2755" s="77"/>
      <c r="AA2755" s="77"/>
      <c r="AB2755" s="77"/>
      <c r="AC2755" s="82" t="s">
        <v>10144</v>
      </c>
      <c r="AD2755" s="77" t="s">
        <v>10184</v>
      </c>
      <c r="AE2755" s="80" t="str">
        <f>HYPERLINK("https://twitter.com/afbv2020/status/1633855605046915074")</f>
        <v>https://twitter.com/afbv2020/status/1633855605046915074</v>
      </c>
      <c r="AF2755" s="79">
        <v>44994.654004629629</v>
      </c>
      <c r="AG2755" s="85">
        <v>44994</v>
      </c>
      <c r="AH2755" s="82" t="s">
        <v>10212</v>
      </c>
      <c r="AI2755" s="77" t="b">
        <v>0</v>
      </c>
      <c r="AJ2755" s="77"/>
      <c r="AK2755" s="77"/>
      <c r="AL2755" s="77"/>
      <c r="AM2755" s="77"/>
      <c r="AN2755" s="77"/>
      <c r="AO2755" s="77"/>
      <c r="AP2755" s="77"/>
      <c r="AQ2755" s="77"/>
      <c r="AR2755" s="77"/>
      <c r="AS2755" s="77"/>
      <c r="AT2755" s="77"/>
      <c r="AU2755" s="77"/>
      <c r="AV2755" s="80" t="str">
        <f>HYPERLINK("https://pbs.twimg.com/profile_images/1634180052798656515/H0A4Btyh_normal.jpg")</f>
        <v>https://pbs.twimg.com/profile_images/1634180052798656515/H0A4Btyh_normal.jpg</v>
      </c>
      <c r="AW2755" s="82" t="s">
        <v>19521</v>
      </c>
      <c r="AX2755" s="82" t="s">
        <v>19521</v>
      </c>
      <c r="AY2755" s="77"/>
      <c r="AZ2755" s="82" t="s">
        <v>20971</v>
      </c>
      <c r="BA2755" s="82" t="s">
        <v>20971</v>
      </c>
      <c r="BB2755" s="82" t="s">
        <v>20971</v>
      </c>
      <c r="BC2755" s="82" t="s">
        <v>19521</v>
      </c>
      <c r="BD2755" s="82" t="s">
        <v>21539</v>
      </c>
      <c r="BE2755" s="77"/>
      <c r="BF2755" s="77"/>
      <c r="BG2755" s="77"/>
      <c r="BH2755" s="77"/>
      <c r="BI2755" s="77"/>
    </row>
    <row r="2756" spans="1:61" x14ac:dyDescent="0.25">
      <c r="A2756" s="62" t="s">
        <v>931</v>
      </c>
      <c r="B2756" s="62" t="s">
        <v>931</v>
      </c>
      <c r="C2756" s="63"/>
      <c r="D2756" s="64"/>
      <c r="E2756" s="65"/>
      <c r="F2756" s="66"/>
      <c r="G2756" s="63"/>
      <c r="H2756" s="67"/>
      <c r="I2756" s="68"/>
      <c r="J2756" s="68"/>
      <c r="K2756" s="32"/>
      <c r="L2756" s="75">
        <v>2756</v>
      </c>
      <c r="M2756" s="75"/>
      <c r="N2756" s="70"/>
      <c r="O2756" s="77" t="s">
        <v>179</v>
      </c>
      <c r="P2756" s="79">
        <v>44994.633831018517</v>
      </c>
      <c r="Q2756" s="77" t="s">
        <v>3962</v>
      </c>
      <c r="R2756" s="77">
        <v>0</v>
      </c>
      <c r="S2756" s="77">
        <v>0</v>
      </c>
      <c r="T2756" s="77">
        <v>1</v>
      </c>
      <c r="U2756" s="77">
        <v>0</v>
      </c>
      <c r="V2756" s="77">
        <v>579</v>
      </c>
      <c r="W2756" s="82" t="s">
        <v>6579</v>
      </c>
      <c r="X2756" s="80" t="str">
        <f>HYPERLINK("https://bc.ai/i-brlc850c0mx-n/?p=https://raf.bc.ai/")</f>
        <v>https://bc.ai/i-brlc850c0mx-n/?p=https://raf.bc.ai/</v>
      </c>
      <c r="Y2756" s="77" t="s">
        <v>7277</v>
      </c>
      <c r="Z2756" s="77"/>
      <c r="AA2756" s="77"/>
      <c r="AB2756" s="77"/>
      <c r="AC2756" s="82" t="s">
        <v>10144</v>
      </c>
      <c r="AD2756" s="77" t="s">
        <v>10184</v>
      </c>
      <c r="AE2756" s="80" t="str">
        <f>HYPERLINK("https://twitter.com/afbv2020/status/1633848296136650753")</f>
        <v>https://twitter.com/afbv2020/status/1633848296136650753</v>
      </c>
      <c r="AF2756" s="79">
        <v>44994.633831018517</v>
      </c>
      <c r="AG2756" s="85">
        <v>44994</v>
      </c>
      <c r="AH2756" s="82" t="s">
        <v>11291</v>
      </c>
      <c r="AI2756" s="77" t="b">
        <v>0</v>
      </c>
      <c r="AJ2756" s="77"/>
      <c r="AK2756" s="77"/>
      <c r="AL2756" s="77"/>
      <c r="AM2756" s="77"/>
      <c r="AN2756" s="77"/>
      <c r="AO2756" s="77"/>
      <c r="AP2756" s="77"/>
      <c r="AQ2756" s="77"/>
      <c r="AR2756" s="77"/>
      <c r="AS2756" s="77"/>
      <c r="AT2756" s="77"/>
      <c r="AU2756" s="77"/>
      <c r="AV2756" s="80" t="str">
        <f>HYPERLINK("https://pbs.twimg.com/profile_images/1634180052798656515/H0A4Btyh_normal.jpg")</f>
        <v>https://pbs.twimg.com/profile_images/1634180052798656515/H0A4Btyh_normal.jpg</v>
      </c>
      <c r="AW2756" s="82" t="s">
        <v>19522</v>
      </c>
      <c r="AX2756" s="82" t="s">
        <v>19522</v>
      </c>
      <c r="AY2756" s="77"/>
      <c r="AZ2756" s="82" t="s">
        <v>20971</v>
      </c>
      <c r="BA2756" s="82" t="s">
        <v>20971</v>
      </c>
      <c r="BB2756" s="82" t="s">
        <v>20971</v>
      </c>
      <c r="BC2756" s="82" t="s">
        <v>19522</v>
      </c>
      <c r="BD2756" s="82" t="s">
        <v>21539</v>
      </c>
      <c r="BE2756" s="77"/>
      <c r="BF2756" s="77"/>
      <c r="BG2756" s="77"/>
      <c r="BH2756" s="77"/>
      <c r="BI2756" s="77"/>
    </row>
    <row r="2757" spans="1:61" x14ac:dyDescent="0.25">
      <c r="A2757" s="62" t="s">
        <v>931</v>
      </c>
      <c r="B2757" s="62" t="s">
        <v>931</v>
      </c>
      <c r="C2757" s="63"/>
      <c r="D2757" s="64"/>
      <c r="E2757" s="65"/>
      <c r="F2757" s="66"/>
      <c r="G2757" s="63"/>
      <c r="H2757" s="67"/>
      <c r="I2757" s="68"/>
      <c r="J2757" s="68"/>
      <c r="K2757" s="32"/>
      <c r="L2757" s="75">
        <v>2757</v>
      </c>
      <c r="M2757" s="75"/>
      <c r="N2757" s="70"/>
      <c r="O2757" s="77" t="s">
        <v>179</v>
      </c>
      <c r="P2757" s="79">
        <v>44994.601585648146</v>
      </c>
      <c r="Q2757" s="77" t="s">
        <v>3963</v>
      </c>
      <c r="R2757" s="77">
        <v>0</v>
      </c>
      <c r="S2757" s="77">
        <v>0</v>
      </c>
      <c r="T2757" s="77">
        <v>1</v>
      </c>
      <c r="U2757" s="77">
        <v>0</v>
      </c>
      <c r="V2757" s="77">
        <v>458</v>
      </c>
      <c r="W2757" s="82" t="s">
        <v>6580</v>
      </c>
      <c r="X2757" s="80" t="str">
        <f>HYPERLINK("https://bc.ai/i-brlc850c0mx-n/?p=https://raf.bc.ai/")</f>
        <v>https://bc.ai/i-brlc850c0mx-n/?p=https://raf.bc.ai/</v>
      </c>
      <c r="Y2757" s="77" t="s">
        <v>7277</v>
      </c>
      <c r="Z2757" s="77"/>
      <c r="AA2757" s="77"/>
      <c r="AB2757" s="77"/>
      <c r="AC2757" s="82" t="s">
        <v>10144</v>
      </c>
      <c r="AD2757" s="77" t="s">
        <v>10184</v>
      </c>
      <c r="AE2757" s="80" t="str">
        <f>HYPERLINK("https://twitter.com/afbv2020/status/1633836607416696835")</f>
        <v>https://twitter.com/afbv2020/status/1633836607416696835</v>
      </c>
      <c r="AF2757" s="79">
        <v>44994.601585648146</v>
      </c>
      <c r="AG2757" s="85">
        <v>44994</v>
      </c>
      <c r="AH2757" s="82" t="s">
        <v>12826</v>
      </c>
      <c r="AI2757" s="77" t="b">
        <v>0</v>
      </c>
      <c r="AJ2757" s="77"/>
      <c r="AK2757" s="77"/>
      <c r="AL2757" s="77"/>
      <c r="AM2757" s="77"/>
      <c r="AN2757" s="77"/>
      <c r="AO2757" s="77"/>
      <c r="AP2757" s="77"/>
      <c r="AQ2757" s="77"/>
      <c r="AR2757" s="77"/>
      <c r="AS2757" s="77"/>
      <c r="AT2757" s="77"/>
      <c r="AU2757" s="77"/>
      <c r="AV2757" s="80" t="str">
        <f>HYPERLINK("https://pbs.twimg.com/profile_images/1634180052798656515/H0A4Btyh_normal.jpg")</f>
        <v>https://pbs.twimg.com/profile_images/1634180052798656515/H0A4Btyh_normal.jpg</v>
      </c>
      <c r="AW2757" s="82" t="s">
        <v>19523</v>
      </c>
      <c r="AX2757" s="82" t="s">
        <v>19523</v>
      </c>
      <c r="AY2757" s="77"/>
      <c r="AZ2757" s="82" t="s">
        <v>20971</v>
      </c>
      <c r="BA2757" s="82" t="s">
        <v>20971</v>
      </c>
      <c r="BB2757" s="82" t="s">
        <v>20971</v>
      </c>
      <c r="BC2757" s="82" t="s">
        <v>19523</v>
      </c>
      <c r="BD2757" s="82" t="s">
        <v>21539</v>
      </c>
      <c r="BE2757" s="77"/>
      <c r="BF2757" s="77"/>
      <c r="BG2757" s="77"/>
      <c r="BH2757" s="77"/>
      <c r="BI2757" s="77"/>
    </row>
    <row r="2758" spans="1:61" x14ac:dyDescent="0.25">
      <c r="A2758" s="62" t="s">
        <v>931</v>
      </c>
      <c r="B2758" s="62" t="s">
        <v>931</v>
      </c>
      <c r="C2758" s="63"/>
      <c r="D2758" s="64"/>
      <c r="E2758" s="65"/>
      <c r="F2758" s="66"/>
      <c r="G2758" s="63"/>
      <c r="H2758" s="67"/>
      <c r="I2758" s="68"/>
      <c r="J2758" s="68"/>
      <c r="K2758" s="32"/>
      <c r="L2758" s="75">
        <v>2758</v>
      </c>
      <c r="M2758" s="75"/>
      <c r="N2758" s="70"/>
      <c r="O2758" s="77" t="s">
        <v>179</v>
      </c>
      <c r="P2758" s="79">
        <v>44994.541932870372</v>
      </c>
      <c r="Q2758" s="77" t="s">
        <v>3964</v>
      </c>
      <c r="R2758" s="77">
        <v>0</v>
      </c>
      <c r="S2758" s="77">
        <v>0</v>
      </c>
      <c r="T2758" s="77">
        <v>1</v>
      </c>
      <c r="U2758" s="77">
        <v>0</v>
      </c>
      <c r="V2758" s="77">
        <v>590</v>
      </c>
      <c r="W2758" s="82" t="s">
        <v>6580</v>
      </c>
      <c r="X2758" s="80" t="str">
        <f>HYPERLINK("https://bc.ai/i-brlc850c0mx-n/?p=https://raf.bc.ai/")</f>
        <v>https://bc.ai/i-brlc850c0mx-n/?p=https://raf.bc.ai/</v>
      </c>
      <c r="Y2758" s="77" t="s">
        <v>7277</v>
      </c>
      <c r="Z2758" s="77"/>
      <c r="AA2758" s="77"/>
      <c r="AB2758" s="77"/>
      <c r="AC2758" s="82" t="s">
        <v>10144</v>
      </c>
      <c r="AD2758" s="77" t="s">
        <v>10184</v>
      </c>
      <c r="AE2758" s="80" t="str">
        <f>HYPERLINK("https://twitter.com/afbv2020/status/1633814989914923008")</f>
        <v>https://twitter.com/afbv2020/status/1633814989914923008</v>
      </c>
      <c r="AF2758" s="79">
        <v>44994.541932870372</v>
      </c>
      <c r="AG2758" s="85">
        <v>44994</v>
      </c>
      <c r="AH2758" s="82" t="s">
        <v>12827</v>
      </c>
      <c r="AI2758" s="77" t="b">
        <v>0</v>
      </c>
      <c r="AJ2758" s="77"/>
      <c r="AK2758" s="77"/>
      <c r="AL2758" s="77"/>
      <c r="AM2758" s="77"/>
      <c r="AN2758" s="77"/>
      <c r="AO2758" s="77"/>
      <c r="AP2758" s="77"/>
      <c r="AQ2758" s="77"/>
      <c r="AR2758" s="77"/>
      <c r="AS2758" s="77"/>
      <c r="AT2758" s="77"/>
      <c r="AU2758" s="77"/>
      <c r="AV2758" s="80" t="str">
        <f>HYPERLINK("https://pbs.twimg.com/profile_images/1634180052798656515/H0A4Btyh_normal.jpg")</f>
        <v>https://pbs.twimg.com/profile_images/1634180052798656515/H0A4Btyh_normal.jpg</v>
      </c>
      <c r="AW2758" s="82" t="s">
        <v>19524</v>
      </c>
      <c r="AX2758" s="82" t="s">
        <v>19524</v>
      </c>
      <c r="AY2758" s="77"/>
      <c r="AZ2758" s="82" t="s">
        <v>20971</v>
      </c>
      <c r="BA2758" s="82" t="s">
        <v>20971</v>
      </c>
      <c r="BB2758" s="82" t="s">
        <v>20971</v>
      </c>
      <c r="BC2758" s="82" t="s">
        <v>19524</v>
      </c>
      <c r="BD2758" s="82" t="s">
        <v>21539</v>
      </c>
      <c r="BE2758" s="77"/>
      <c r="BF2758" s="77"/>
      <c r="BG2758" s="77"/>
      <c r="BH2758" s="77"/>
      <c r="BI2758" s="77"/>
    </row>
    <row r="2759" spans="1:61" x14ac:dyDescent="0.25">
      <c r="A2759" s="62" t="s">
        <v>931</v>
      </c>
      <c r="B2759" s="62" t="s">
        <v>931</v>
      </c>
      <c r="C2759" s="63"/>
      <c r="D2759" s="64"/>
      <c r="E2759" s="65"/>
      <c r="F2759" s="66"/>
      <c r="G2759" s="63"/>
      <c r="H2759" s="67"/>
      <c r="I2759" s="68"/>
      <c r="J2759" s="68"/>
      <c r="K2759" s="32"/>
      <c r="L2759" s="75">
        <v>2759</v>
      </c>
      <c r="M2759" s="75"/>
      <c r="N2759" s="70"/>
      <c r="O2759" s="77" t="s">
        <v>179</v>
      </c>
      <c r="P2759" s="79">
        <v>44994.532789351855</v>
      </c>
      <c r="Q2759" s="77" t="s">
        <v>3965</v>
      </c>
      <c r="R2759" s="77">
        <v>0</v>
      </c>
      <c r="S2759" s="77">
        <v>0</v>
      </c>
      <c r="T2759" s="77">
        <v>1</v>
      </c>
      <c r="U2759" s="77">
        <v>0</v>
      </c>
      <c r="V2759" s="77">
        <v>172</v>
      </c>
      <c r="W2759" s="82" t="s">
        <v>6581</v>
      </c>
      <c r="X2759" s="80" t="str">
        <f>HYPERLINK("https://bc.ai/i-brlc850c0mx-n/?p=https://raf.bc.ai/")</f>
        <v>https://bc.ai/i-brlc850c0mx-n/?p=https://raf.bc.ai/</v>
      </c>
      <c r="Y2759" s="77" t="s">
        <v>7277</v>
      </c>
      <c r="Z2759" s="77"/>
      <c r="AA2759" s="77"/>
      <c r="AB2759" s="77"/>
      <c r="AC2759" s="82" t="s">
        <v>10144</v>
      </c>
      <c r="AD2759" s="77" t="s">
        <v>10184</v>
      </c>
      <c r="AE2759" s="80" t="str">
        <f>HYPERLINK("https://twitter.com/afbv2020/status/1633811680168747008")</f>
        <v>https://twitter.com/afbv2020/status/1633811680168747008</v>
      </c>
      <c r="AF2759" s="79">
        <v>44994.532789351855</v>
      </c>
      <c r="AG2759" s="85">
        <v>44994</v>
      </c>
      <c r="AH2759" s="82" t="s">
        <v>12828</v>
      </c>
      <c r="AI2759" s="77" t="b">
        <v>0</v>
      </c>
      <c r="AJ2759" s="77"/>
      <c r="AK2759" s="77"/>
      <c r="AL2759" s="77"/>
      <c r="AM2759" s="77"/>
      <c r="AN2759" s="77"/>
      <c r="AO2759" s="77"/>
      <c r="AP2759" s="77"/>
      <c r="AQ2759" s="77"/>
      <c r="AR2759" s="77"/>
      <c r="AS2759" s="77"/>
      <c r="AT2759" s="77"/>
      <c r="AU2759" s="77"/>
      <c r="AV2759" s="80" t="str">
        <f>HYPERLINK("https://pbs.twimg.com/profile_images/1634180052798656515/H0A4Btyh_normal.jpg")</f>
        <v>https://pbs.twimg.com/profile_images/1634180052798656515/H0A4Btyh_normal.jpg</v>
      </c>
      <c r="AW2759" s="82" t="s">
        <v>19525</v>
      </c>
      <c r="AX2759" s="82" t="s">
        <v>19525</v>
      </c>
      <c r="AY2759" s="77"/>
      <c r="AZ2759" s="82" t="s">
        <v>20971</v>
      </c>
      <c r="BA2759" s="82" t="s">
        <v>20971</v>
      </c>
      <c r="BB2759" s="82" t="s">
        <v>20971</v>
      </c>
      <c r="BC2759" s="82" t="s">
        <v>19525</v>
      </c>
      <c r="BD2759" s="82" t="s">
        <v>21539</v>
      </c>
      <c r="BE2759" s="77"/>
      <c r="BF2759" s="77"/>
      <c r="BG2759" s="77"/>
      <c r="BH2759" s="77"/>
      <c r="BI2759" s="77"/>
    </row>
    <row r="2760" spans="1:61" x14ac:dyDescent="0.25">
      <c r="A2760" s="62" t="s">
        <v>931</v>
      </c>
      <c r="B2760" s="62" t="s">
        <v>931</v>
      </c>
      <c r="C2760" s="63"/>
      <c r="D2760" s="64"/>
      <c r="E2760" s="65"/>
      <c r="F2760" s="66"/>
      <c r="G2760" s="63"/>
      <c r="H2760" s="67"/>
      <c r="I2760" s="68"/>
      <c r="J2760" s="68"/>
      <c r="K2760" s="32"/>
      <c r="L2760" s="75">
        <v>2760</v>
      </c>
      <c r="M2760" s="75"/>
      <c r="N2760" s="70"/>
      <c r="O2760" s="77" t="s">
        <v>179</v>
      </c>
      <c r="P2760" s="79">
        <v>44993.91684027778</v>
      </c>
      <c r="Q2760" s="77" t="s">
        <v>3966</v>
      </c>
      <c r="R2760" s="77">
        <v>0</v>
      </c>
      <c r="S2760" s="77">
        <v>0</v>
      </c>
      <c r="T2760" s="77">
        <v>1</v>
      </c>
      <c r="U2760" s="77">
        <v>0</v>
      </c>
      <c r="V2760" s="77">
        <v>1165</v>
      </c>
      <c r="W2760" s="82" t="s">
        <v>6580</v>
      </c>
      <c r="X2760" s="80" t="str">
        <f>HYPERLINK("https://bc.ai/i-brlc850c0mx-n/?p=https://raf.bc.ai/")</f>
        <v>https://bc.ai/i-brlc850c0mx-n/?p=https://raf.bc.ai/</v>
      </c>
      <c r="Y2760" s="77" t="s">
        <v>7277</v>
      </c>
      <c r="Z2760" s="77"/>
      <c r="AA2760" s="77"/>
      <c r="AB2760" s="77"/>
      <c r="AC2760" s="82" t="s">
        <v>10144</v>
      </c>
      <c r="AD2760" s="77" t="s">
        <v>10184</v>
      </c>
      <c r="AE2760" s="80" t="str">
        <f>HYPERLINK("https://twitter.com/afbv2020/status/1633588466003980295")</f>
        <v>https://twitter.com/afbv2020/status/1633588466003980295</v>
      </c>
      <c r="AF2760" s="79">
        <v>44993.91684027778</v>
      </c>
      <c r="AG2760" s="85">
        <v>44993</v>
      </c>
      <c r="AH2760" s="82" t="s">
        <v>12829</v>
      </c>
      <c r="AI2760" s="77" t="b">
        <v>0</v>
      </c>
      <c r="AJ2760" s="77"/>
      <c r="AK2760" s="77"/>
      <c r="AL2760" s="77"/>
      <c r="AM2760" s="77"/>
      <c r="AN2760" s="77"/>
      <c r="AO2760" s="77"/>
      <c r="AP2760" s="77"/>
      <c r="AQ2760" s="77"/>
      <c r="AR2760" s="77"/>
      <c r="AS2760" s="77"/>
      <c r="AT2760" s="77"/>
      <c r="AU2760" s="77"/>
      <c r="AV2760" s="80" t="str">
        <f>HYPERLINK("https://pbs.twimg.com/profile_images/1634180052798656515/H0A4Btyh_normal.jpg")</f>
        <v>https://pbs.twimg.com/profile_images/1634180052798656515/H0A4Btyh_normal.jpg</v>
      </c>
      <c r="AW2760" s="82" t="s">
        <v>19526</v>
      </c>
      <c r="AX2760" s="82" t="s">
        <v>19526</v>
      </c>
      <c r="AY2760" s="77"/>
      <c r="AZ2760" s="82" t="s">
        <v>20971</v>
      </c>
      <c r="BA2760" s="82" t="s">
        <v>20971</v>
      </c>
      <c r="BB2760" s="82" t="s">
        <v>20971</v>
      </c>
      <c r="BC2760" s="82" t="s">
        <v>19526</v>
      </c>
      <c r="BD2760" s="82" t="s">
        <v>21539</v>
      </c>
      <c r="BE2760" s="77"/>
      <c r="BF2760" s="77"/>
      <c r="BG2760" s="77"/>
      <c r="BH2760" s="77"/>
      <c r="BI2760" s="77"/>
    </row>
    <row r="2761" spans="1:61" x14ac:dyDescent="0.25">
      <c r="A2761" s="62" t="s">
        <v>931</v>
      </c>
      <c r="B2761" s="62" t="s">
        <v>931</v>
      </c>
      <c r="C2761" s="63"/>
      <c r="D2761" s="64"/>
      <c r="E2761" s="65"/>
      <c r="F2761" s="66"/>
      <c r="G2761" s="63"/>
      <c r="H2761" s="67"/>
      <c r="I2761" s="68"/>
      <c r="J2761" s="68"/>
      <c r="K2761" s="32"/>
      <c r="L2761" s="75">
        <v>2761</v>
      </c>
      <c r="M2761" s="75"/>
      <c r="N2761" s="70"/>
      <c r="O2761" s="77" t="s">
        <v>179</v>
      </c>
      <c r="P2761" s="79">
        <v>44993.726064814815</v>
      </c>
      <c r="Q2761" s="77" t="s">
        <v>3967</v>
      </c>
      <c r="R2761" s="77">
        <v>0</v>
      </c>
      <c r="S2761" s="77">
        <v>0</v>
      </c>
      <c r="T2761" s="77">
        <v>1</v>
      </c>
      <c r="U2761" s="77">
        <v>0</v>
      </c>
      <c r="V2761" s="77">
        <v>837</v>
      </c>
      <c r="W2761" s="82" t="s">
        <v>6580</v>
      </c>
      <c r="X2761" s="80" t="str">
        <f>HYPERLINK("https://bc.ai/i-brlc850c0mx-n/?p=https://raf.bc.ai/")</f>
        <v>https://bc.ai/i-brlc850c0mx-n/?p=https://raf.bc.ai/</v>
      </c>
      <c r="Y2761" s="77" t="s">
        <v>7277</v>
      </c>
      <c r="Z2761" s="77"/>
      <c r="AA2761" s="77"/>
      <c r="AB2761" s="77"/>
      <c r="AC2761" s="82" t="s">
        <v>10144</v>
      </c>
      <c r="AD2761" s="77" t="s">
        <v>10184</v>
      </c>
      <c r="AE2761" s="80" t="str">
        <f>HYPERLINK("https://twitter.com/afbv2020/status/1633519331039485970")</f>
        <v>https://twitter.com/afbv2020/status/1633519331039485970</v>
      </c>
      <c r="AF2761" s="79">
        <v>44993.726064814815</v>
      </c>
      <c r="AG2761" s="85">
        <v>44993</v>
      </c>
      <c r="AH2761" s="82" t="s">
        <v>12830</v>
      </c>
      <c r="AI2761" s="77" t="b">
        <v>0</v>
      </c>
      <c r="AJ2761" s="77"/>
      <c r="AK2761" s="77"/>
      <c r="AL2761" s="77"/>
      <c r="AM2761" s="77"/>
      <c r="AN2761" s="77"/>
      <c r="AO2761" s="77"/>
      <c r="AP2761" s="77"/>
      <c r="AQ2761" s="77"/>
      <c r="AR2761" s="77"/>
      <c r="AS2761" s="77"/>
      <c r="AT2761" s="77"/>
      <c r="AU2761" s="77"/>
      <c r="AV2761" s="80" t="str">
        <f>HYPERLINK("https://pbs.twimg.com/profile_images/1634180052798656515/H0A4Btyh_normal.jpg")</f>
        <v>https://pbs.twimg.com/profile_images/1634180052798656515/H0A4Btyh_normal.jpg</v>
      </c>
      <c r="AW2761" s="82" t="s">
        <v>19527</v>
      </c>
      <c r="AX2761" s="82" t="s">
        <v>19527</v>
      </c>
      <c r="AY2761" s="77"/>
      <c r="AZ2761" s="82" t="s">
        <v>20971</v>
      </c>
      <c r="BA2761" s="82" t="s">
        <v>20971</v>
      </c>
      <c r="BB2761" s="82" t="s">
        <v>20971</v>
      </c>
      <c r="BC2761" s="82" t="s">
        <v>19527</v>
      </c>
      <c r="BD2761" s="82" t="s">
        <v>21539</v>
      </c>
      <c r="BE2761" s="77"/>
      <c r="BF2761" s="77"/>
      <c r="BG2761" s="77"/>
      <c r="BH2761" s="77"/>
      <c r="BI2761" s="77"/>
    </row>
    <row r="2762" spans="1:61" x14ac:dyDescent="0.25">
      <c r="A2762" s="62" t="s">
        <v>931</v>
      </c>
      <c r="B2762" s="62" t="s">
        <v>931</v>
      </c>
      <c r="C2762" s="63"/>
      <c r="D2762" s="64"/>
      <c r="E2762" s="65"/>
      <c r="F2762" s="66"/>
      <c r="G2762" s="63"/>
      <c r="H2762" s="67"/>
      <c r="I2762" s="68"/>
      <c r="J2762" s="68"/>
      <c r="K2762" s="32"/>
      <c r="L2762" s="75">
        <v>2762</v>
      </c>
      <c r="M2762" s="75"/>
      <c r="N2762" s="70"/>
      <c r="O2762" s="77" t="s">
        <v>179</v>
      </c>
      <c r="P2762" s="79">
        <v>44993.590682870374</v>
      </c>
      <c r="Q2762" s="77" t="s">
        <v>3968</v>
      </c>
      <c r="R2762" s="77">
        <v>0</v>
      </c>
      <c r="S2762" s="77">
        <v>0</v>
      </c>
      <c r="T2762" s="77">
        <v>1</v>
      </c>
      <c r="U2762" s="77">
        <v>0</v>
      </c>
      <c r="V2762" s="77">
        <v>443</v>
      </c>
      <c r="W2762" s="82" t="s">
        <v>6580</v>
      </c>
      <c r="X2762" s="80" t="str">
        <f>HYPERLINK("https://bc.ai/i-brlc850c0mx-n/?p=https://raf.bc.ai/")</f>
        <v>https://bc.ai/i-brlc850c0mx-n/?p=https://raf.bc.ai/</v>
      </c>
      <c r="Y2762" s="77" t="s">
        <v>7277</v>
      </c>
      <c r="Z2762" s="77"/>
      <c r="AA2762" s="77"/>
      <c r="AB2762" s="77"/>
      <c r="AC2762" s="82" t="s">
        <v>10144</v>
      </c>
      <c r="AD2762" s="77" t="s">
        <v>10184</v>
      </c>
      <c r="AE2762" s="80" t="str">
        <f>HYPERLINK("https://twitter.com/afbv2020/status/1633470271628689408")</f>
        <v>https://twitter.com/afbv2020/status/1633470271628689408</v>
      </c>
      <c r="AF2762" s="79">
        <v>44993.590682870374</v>
      </c>
      <c r="AG2762" s="85">
        <v>44993</v>
      </c>
      <c r="AH2762" s="82" t="s">
        <v>12831</v>
      </c>
      <c r="AI2762" s="77" t="b">
        <v>0</v>
      </c>
      <c r="AJ2762" s="77"/>
      <c r="AK2762" s="77"/>
      <c r="AL2762" s="77"/>
      <c r="AM2762" s="77"/>
      <c r="AN2762" s="77"/>
      <c r="AO2762" s="77"/>
      <c r="AP2762" s="77"/>
      <c r="AQ2762" s="77"/>
      <c r="AR2762" s="77"/>
      <c r="AS2762" s="77"/>
      <c r="AT2762" s="77"/>
      <c r="AU2762" s="77"/>
      <c r="AV2762" s="80" t="str">
        <f>HYPERLINK("https://pbs.twimg.com/profile_images/1634180052798656515/H0A4Btyh_normal.jpg")</f>
        <v>https://pbs.twimg.com/profile_images/1634180052798656515/H0A4Btyh_normal.jpg</v>
      </c>
      <c r="AW2762" s="82" t="s">
        <v>19528</v>
      </c>
      <c r="AX2762" s="82" t="s">
        <v>19528</v>
      </c>
      <c r="AY2762" s="77"/>
      <c r="AZ2762" s="82" t="s">
        <v>20971</v>
      </c>
      <c r="BA2762" s="82" t="s">
        <v>20971</v>
      </c>
      <c r="BB2762" s="82" t="s">
        <v>20971</v>
      </c>
      <c r="BC2762" s="82" t="s">
        <v>19528</v>
      </c>
      <c r="BD2762" s="82" t="s">
        <v>21539</v>
      </c>
      <c r="BE2762" s="77"/>
      <c r="BF2762" s="77"/>
      <c r="BG2762" s="77"/>
      <c r="BH2762" s="77"/>
      <c r="BI2762" s="77"/>
    </row>
    <row r="2763" spans="1:61" x14ac:dyDescent="0.25">
      <c r="A2763" s="62" t="s">
        <v>931</v>
      </c>
      <c r="B2763" s="62" t="s">
        <v>931</v>
      </c>
      <c r="C2763" s="63"/>
      <c r="D2763" s="64"/>
      <c r="E2763" s="65"/>
      <c r="F2763" s="66"/>
      <c r="G2763" s="63"/>
      <c r="H2763" s="67"/>
      <c r="I2763" s="68"/>
      <c r="J2763" s="68"/>
      <c r="K2763" s="32"/>
      <c r="L2763" s="75">
        <v>2763</v>
      </c>
      <c r="M2763" s="75"/>
      <c r="N2763" s="70"/>
      <c r="O2763" s="77" t="s">
        <v>179</v>
      </c>
      <c r="P2763" s="79">
        <v>44993.171203703707</v>
      </c>
      <c r="Q2763" s="77" t="s">
        <v>3969</v>
      </c>
      <c r="R2763" s="77">
        <v>0</v>
      </c>
      <c r="S2763" s="77">
        <v>0</v>
      </c>
      <c r="T2763" s="77">
        <v>1</v>
      </c>
      <c r="U2763" s="77">
        <v>0</v>
      </c>
      <c r="V2763" s="77">
        <v>1272</v>
      </c>
      <c r="W2763" s="82" t="s">
        <v>6582</v>
      </c>
      <c r="X2763" s="80" t="str">
        <f>HYPERLINK("https://bc.ai/i-brlc850c0mx-n/?p=https://raf.bc.ai/")</f>
        <v>https://bc.ai/i-brlc850c0mx-n/?p=https://raf.bc.ai/</v>
      </c>
      <c r="Y2763" s="77" t="s">
        <v>7277</v>
      </c>
      <c r="Z2763" s="77"/>
      <c r="AA2763" s="77"/>
      <c r="AB2763" s="77"/>
      <c r="AC2763" s="82" t="s">
        <v>10144</v>
      </c>
      <c r="AD2763" s="77" t="s">
        <v>10184</v>
      </c>
      <c r="AE2763" s="80" t="str">
        <f>HYPERLINK("https://twitter.com/afbv2020/status/1633318257607278594")</f>
        <v>https://twitter.com/afbv2020/status/1633318257607278594</v>
      </c>
      <c r="AF2763" s="79">
        <v>44993.171203703707</v>
      </c>
      <c r="AG2763" s="85">
        <v>44993</v>
      </c>
      <c r="AH2763" s="82" t="s">
        <v>12832</v>
      </c>
      <c r="AI2763" s="77" t="b">
        <v>0</v>
      </c>
      <c r="AJ2763" s="77"/>
      <c r="AK2763" s="77"/>
      <c r="AL2763" s="77"/>
      <c r="AM2763" s="77"/>
      <c r="AN2763" s="77"/>
      <c r="AO2763" s="77"/>
      <c r="AP2763" s="77"/>
      <c r="AQ2763" s="77"/>
      <c r="AR2763" s="77"/>
      <c r="AS2763" s="77"/>
      <c r="AT2763" s="77"/>
      <c r="AU2763" s="77"/>
      <c r="AV2763" s="80" t="str">
        <f>HYPERLINK("https://pbs.twimg.com/profile_images/1634180052798656515/H0A4Btyh_normal.jpg")</f>
        <v>https://pbs.twimg.com/profile_images/1634180052798656515/H0A4Btyh_normal.jpg</v>
      </c>
      <c r="AW2763" s="82" t="s">
        <v>19529</v>
      </c>
      <c r="AX2763" s="82" t="s">
        <v>19529</v>
      </c>
      <c r="AY2763" s="77"/>
      <c r="AZ2763" s="82" t="s">
        <v>20971</v>
      </c>
      <c r="BA2763" s="82" t="s">
        <v>20971</v>
      </c>
      <c r="BB2763" s="82" t="s">
        <v>20971</v>
      </c>
      <c r="BC2763" s="82" t="s">
        <v>19529</v>
      </c>
      <c r="BD2763" s="82" t="s">
        <v>21539</v>
      </c>
      <c r="BE2763" s="77"/>
      <c r="BF2763" s="77"/>
      <c r="BG2763" s="77"/>
      <c r="BH2763" s="77"/>
      <c r="BI2763" s="77"/>
    </row>
    <row r="2764" spans="1:61" x14ac:dyDescent="0.25">
      <c r="A2764" s="62" t="s">
        <v>931</v>
      </c>
      <c r="B2764" s="62" t="s">
        <v>931</v>
      </c>
      <c r="C2764" s="63"/>
      <c r="D2764" s="64"/>
      <c r="E2764" s="65"/>
      <c r="F2764" s="66"/>
      <c r="G2764" s="63"/>
      <c r="H2764" s="67"/>
      <c r="I2764" s="68"/>
      <c r="J2764" s="68"/>
      <c r="K2764" s="32"/>
      <c r="L2764" s="75">
        <v>2764</v>
      </c>
      <c r="M2764" s="75"/>
      <c r="N2764" s="70"/>
      <c r="O2764" s="77" t="s">
        <v>179</v>
      </c>
      <c r="P2764" s="79">
        <v>44993.136886574073</v>
      </c>
      <c r="Q2764" s="77" t="s">
        <v>3970</v>
      </c>
      <c r="R2764" s="77">
        <v>0</v>
      </c>
      <c r="S2764" s="77">
        <v>0</v>
      </c>
      <c r="T2764" s="77">
        <v>1</v>
      </c>
      <c r="U2764" s="77">
        <v>0</v>
      </c>
      <c r="V2764" s="77">
        <v>560</v>
      </c>
      <c r="W2764" s="82" t="s">
        <v>6582</v>
      </c>
      <c r="X2764" s="80" t="str">
        <f>HYPERLINK("https://bc.ai/i-brlc850c0mx-n/?p=https://raf.bc.ai/")</f>
        <v>https://bc.ai/i-brlc850c0mx-n/?p=https://raf.bc.ai/</v>
      </c>
      <c r="Y2764" s="77" t="s">
        <v>7277</v>
      </c>
      <c r="Z2764" s="77"/>
      <c r="AA2764" s="77"/>
      <c r="AB2764" s="77"/>
      <c r="AC2764" s="82" t="s">
        <v>10144</v>
      </c>
      <c r="AD2764" s="77" t="s">
        <v>10184</v>
      </c>
      <c r="AE2764" s="80" t="str">
        <f>HYPERLINK("https://twitter.com/afbv2020/status/1633305818962579456")</f>
        <v>https://twitter.com/afbv2020/status/1633305818962579456</v>
      </c>
      <c r="AF2764" s="79">
        <v>44993.136886574073</v>
      </c>
      <c r="AG2764" s="85">
        <v>44993</v>
      </c>
      <c r="AH2764" s="82" t="s">
        <v>11341</v>
      </c>
      <c r="AI2764" s="77" t="b">
        <v>0</v>
      </c>
      <c r="AJ2764" s="77"/>
      <c r="AK2764" s="77"/>
      <c r="AL2764" s="77"/>
      <c r="AM2764" s="77"/>
      <c r="AN2764" s="77"/>
      <c r="AO2764" s="77"/>
      <c r="AP2764" s="77"/>
      <c r="AQ2764" s="77"/>
      <c r="AR2764" s="77"/>
      <c r="AS2764" s="77"/>
      <c r="AT2764" s="77"/>
      <c r="AU2764" s="77"/>
      <c r="AV2764" s="80" t="str">
        <f>HYPERLINK("https://pbs.twimg.com/profile_images/1634180052798656515/H0A4Btyh_normal.jpg")</f>
        <v>https://pbs.twimg.com/profile_images/1634180052798656515/H0A4Btyh_normal.jpg</v>
      </c>
      <c r="AW2764" s="82" t="s">
        <v>19530</v>
      </c>
      <c r="AX2764" s="82" t="s">
        <v>19530</v>
      </c>
      <c r="AY2764" s="77"/>
      <c r="AZ2764" s="82" t="s">
        <v>20971</v>
      </c>
      <c r="BA2764" s="82" t="s">
        <v>20971</v>
      </c>
      <c r="BB2764" s="82" t="s">
        <v>20971</v>
      </c>
      <c r="BC2764" s="82" t="s">
        <v>19530</v>
      </c>
      <c r="BD2764" s="82" t="s">
        <v>21539</v>
      </c>
      <c r="BE2764" s="77"/>
      <c r="BF2764" s="77"/>
      <c r="BG2764" s="77"/>
      <c r="BH2764" s="77"/>
      <c r="BI2764" s="77"/>
    </row>
    <row r="2765" spans="1:61" x14ac:dyDescent="0.25">
      <c r="A2765" s="62" t="s">
        <v>931</v>
      </c>
      <c r="B2765" s="62" t="s">
        <v>931</v>
      </c>
      <c r="C2765" s="63"/>
      <c r="D2765" s="64"/>
      <c r="E2765" s="65"/>
      <c r="F2765" s="66"/>
      <c r="G2765" s="63"/>
      <c r="H2765" s="67"/>
      <c r="I2765" s="68"/>
      <c r="J2765" s="68"/>
      <c r="K2765" s="32"/>
      <c r="L2765" s="75">
        <v>2765</v>
      </c>
      <c r="M2765" s="75"/>
      <c r="N2765" s="70"/>
      <c r="O2765" s="77" t="s">
        <v>179</v>
      </c>
      <c r="P2765" s="79">
        <v>44993.121631944443</v>
      </c>
      <c r="Q2765" s="77" t="s">
        <v>3971</v>
      </c>
      <c r="R2765" s="77">
        <v>0</v>
      </c>
      <c r="S2765" s="77">
        <v>0</v>
      </c>
      <c r="T2765" s="77">
        <v>1</v>
      </c>
      <c r="U2765" s="77">
        <v>0</v>
      </c>
      <c r="V2765" s="77">
        <v>434</v>
      </c>
      <c r="W2765" s="82" t="s">
        <v>6583</v>
      </c>
      <c r="X2765" s="80" t="str">
        <f>HYPERLINK("https://bc.ai/i-brlc850c0mx-n/?p=https://raf.bc.ai/")</f>
        <v>https://bc.ai/i-brlc850c0mx-n/?p=https://raf.bc.ai/</v>
      </c>
      <c r="Y2765" s="77" t="s">
        <v>7277</v>
      </c>
      <c r="Z2765" s="77"/>
      <c r="AA2765" s="77"/>
      <c r="AB2765" s="77"/>
      <c r="AC2765" s="82" t="s">
        <v>10144</v>
      </c>
      <c r="AD2765" s="77" t="s">
        <v>10184</v>
      </c>
      <c r="AE2765" s="80" t="str">
        <f>HYPERLINK("https://twitter.com/afbv2020/status/1633300291863863299")</f>
        <v>https://twitter.com/afbv2020/status/1633300291863863299</v>
      </c>
      <c r="AF2765" s="79">
        <v>44993.121631944443</v>
      </c>
      <c r="AG2765" s="85">
        <v>44993</v>
      </c>
      <c r="AH2765" s="82" t="s">
        <v>12833</v>
      </c>
      <c r="AI2765" s="77" t="b">
        <v>0</v>
      </c>
      <c r="AJ2765" s="77"/>
      <c r="AK2765" s="77"/>
      <c r="AL2765" s="77"/>
      <c r="AM2765" s="77"/>
      <c r="AN2765" s="77"/>
      <c r="AO2765" s="77"/>
      <c r="AP2765" s="77"/>
      <c r="AQ2765" s="77"/>
      <c r="AR2765" s="77"/>
      <c r="AS2765" s="77"/>
      <c r="AT2765" s="77"/>
      <c r="AU2765" s="77"/>
      <c r="AV2765" s="80" t="str">
        <f>HYPERLINK("https://pbs.twimg.com/profile_images/1634180052798656515/H0A4Btyh_normal.jpg")</f>
        <v>https://pbs.twimg.com/profile_images/1634180052798656515/H0A4Btyh_normal.jpg</v>
      </c>
      <c r="AW2765" s="82" t="s">
        <v>19531</v>
      </c>
      <c r="AX2765" s="82" t="s">
        <v>19531</v>
      </c>
      <c r="AY2765" s="77"/>
      <c r="AZ2765" s="82" t="s">
        <v>20971</v>
      </c>
      <c r="BA2765" s="82" t="s">
        <v>20971</v>
      </c>
      <c r="BB2765" s="82" t="s">
        <v>20971</v>
      </c>
      <c r="BC2765" s="82" t="s">
        <v>19531</v>
      </c>
      <c r="BD2765" s="82" t="s">
        <v>21539</v>
      </c>
      <c r="BE2765" s="77"/>
      <c r="BF2765" s="77"/>
      <c r="BG2765" s="77"/>
      <c r="BH2765" s="77"/>
      <c r="BI2765" s="77"/>
    </row>
    <row r="2766" spans="1:61" x14ac:dyDescent="0.25">
      <c r="A2766" s="62" t="s">
        <v>931</v>
      </c>
      <c r="B2766" s="62" t="s">
        <v>931</v>
      </c>
      <c r="C2766" s="63"/>
      <c r="D2766" s="64"/>
      <c r="E2766" s="65"/>
      <c r="F2766" s="66"/>
      <c r="G2766" s="63"/>
      <c r="H2766" s="67"/>
      <c r="I2766" s="68"/>
      <c r="J2766" s="68"/>
      <c r="K2766" s="32"/>
      <c r="L2766" s="75">
        <v>2766</v>
      </c>
      <c r="M2766" s="75"/>
      <c r="N2766" s="70"/>
      <c r="O2766" s="77" t="s">
        <v>179</v>
      </c>
      <c r="P2766" s="79">
        <v>44993.088599537034</v>
      </c>
      <c r="Q2766" s="77" t="s">
        <v>3972</v>
      </c>
      <c r="R2766" s="77">
        <v>0</v>
      </c>
      <c r="S2766" s="77">
        <v>0</v>
      </c>
      <c r="T2766" s="77">
        <v>1</v>
      </c>
      <c r="U2766" s="77">
        <v>0</v>
      </c>
      <c r="V2766" s="77">
        <v>400</v>
      </c>
      <c r="W2766" s="82" t="s">
        <v>6583</v>
      </c>
      <c r="X2766" s="80" t="str">
        <f>HYPERLINK("https://bc.ai/i-brlc850c0mx-n/?p=https://raf.bc.ai/")</f>
        <v>https://bc.ai/i-brlc850c0mx-n/?p=https://raf.bc.ai/</v>
      </c>
      <c r="Y2766" s="77" t="s">
        <v>7277</v>
      </c>
      <c r="Z2766" s="77"/>
      <c r="AA2766" s="77"/>
      <c r="AB2766" s="77"/>
      <c r="AC2766" s="82" t="s">
        <v>10144</v>
      </c>
      <c r="AD2766" s="77" t="s">
        <v>10184</v>
      </c>
      <c r="AE2766" s="80" t="str">
        <f>HYPERLINK("https://twitter.com/afbv2020/status/1633288319453786113")</f>
        <v>https://twitter.com/afbv2020/status/1633288319453786113</v>
      </c>
      <c r="AF2766" s="79">
        <v>44993.088599537034</v>
      </c>
      <c r="AG2766" s="85">
        <v>44993</v>
      </c>
      <c r="AH2766" s="82" t="s">
        <v>12834</v>
      </c>
      <c r="AI2766" s="77" t="b">
        <v>0</v>
      </c>
      <c r="AJ2766" s="77"/>
      <c r="AK2766" s="77"/>
      <c r="AL2766" s="77"/>
      <c r="AM2766" s="77"/>
      <c r="AN2766" s="77"/>
      <c r="AO2766" s="77"/>
      <c r="AP2766" s="77"/>
      <c r="AQ2766" s="77"/>
      <c r="AR2766" s="77"/>
      <c r="AS2766" s="77"/>
      <c r="AT2766" s="77"/>
      <c r="AU2766" s="77"/>
      <c r="AV2766" s="80" t="str">
        <f>HYPERLINK("https://pbs.twimg.com/profile_images/1634180052798656515/H0A4Btyh_normal.jpg")</f>
        <v>https://pbs.twimg.com/profile_images/1634180052798656515/H0A4Btyh_normal.jpg</v>
      </c>
      <c r="AW2766" s="82" t="s">
        <v>19532</v>
      </c>
      <c r="AX2766" s="82" t="s">
        <v>19532</v>
      </c>
      <c r="AY2766" s="77"/>
      <c r="AZ2766" s="82" t="s">
        <v>20971</v>
      </c>
      <c r="BA2766" s="82" t="s">
        <v>20971</v>
      </c>
      <c r="BB2766" s="82" t="s">
        <v>20971</v>
      </c>
      <c r="BC2766" s="82" t="s">
        <v>19532</v>
      </c>
      <c r="BD2766" s="82" t="s">
        <v>21539</v>
      </c>
      <c r="BE2766" s="77"/>
      <c r="BF2766" s="77"/>
      <c r="BG2766" s="77"/>
      <c r="BH2766" s="77"/>
      <c r="BI2766" s="77"/>
    </row>
    <row r="2767" spans="1:61" x14ac:dyDescent="0.25">
      <c r="A2767" s="62" t="s">
        <v>931</v>
      </c>
      <c r="B2767" s="62" t="s">
        <v>931</v>
      </c>
      <c r="C2767" s="63"/>
      <c r="D2767" s="64"/>
      <c r="E2767" s="65"/>
      <c r="F2767" s="66"/>
      <c r="G2767" s="63"/>
      <c r="H2767" s="67"/>
      <c r="I2767" s="68"/>
      <c r="J2767" s="68"/>
      <c r="K2767" s="32"/>
      <c r="L2767" s="75">
        <v>2767</v>
      </c>
      <c r="M2767" s="75"/>
      <c r="N2767" s="70"/>
      <c r="O2767" s="77" t="s">
        <v>179</v>
      </c>
      <c r="P2767" s="79">
        <v>44993.03707175926</v>
      </c>
      <c r="Q2767" s="77" t="s">
        <v>3973</v>
      </c>
      <c r="R2767" s="77">
        <v>0</v>
      </c>
      <c r="S2767" s="77">
        <v>0</v>
      </c>
      <c r="T2767" s="77">
        <v>1</v>
      </c>
      <c r="U2767" s="77">
        <v>0</v>
      </c>
      <c r="V2767" s="77">
        <v>241</v>
      </c>
      <c r="W2767" s="82" t="s">
        <v>6584</v>
      </c>
      <c r="X2767" s="80" t="str">
        <f>HYPERLINK("https://bc.ai/i-brlc850c0mx-n/?p=https://raf.bc.ai/")</f>
        <v>https://bc.ai/i-brlc850c0mx-n/?p=https://raf.bc.ai/</v>
      </c>
      <c r="Y2767" s="77" t="s">
        <v>7277</v>
      </c>
      <c r="Z2767" s="77"/>
      <c r="AA2767" s="77"/>
      <c r="AB2767" s="77"/>
      <c r="AC2767" s="82" t="s">
        <v>10144</v>
      </c>
      <c r="AD2767" s="77" t="s">
        <v>10184</v>
      </c>
      <c r="AE2767" s="80" t="str">
        <f>HYPERLINK("https://twitter.com/afbv2020/status/1633269646588559360")</f>
        <v>https://twitter.com/afbv2020/status/1633269646588559360</v>
      </c>
      <c r="AF2767" s="79">
        <v>44993.03707175926</v>
      </c>
      <c r="AG2767" s="85">
        <v>44993</v>
      </c>
      <c r="AH2767" s="82" t="s">
        <v>12835</v>
      </c>
      <c r="AI2767" s="77" t="b">
        <v>0</v>
      </c>
      <c r="AJ2767" s="77"/>
      <c r="AK2767" s="77"/>
      <c r="AL2767" s="77"/>
      <c r="AM2767" s="77"/>
      <c r="AN2767" s="77"/>
      <c r="AO2767" s="77"/>
      <c r="AP2767" s="77"/>
      <c r="AQ2767" s="77"/>
      <c r="AR2767" s="77"/>
      <c r="AS2767" s="77"/>
      <c r="AT2767" s="77"/>
      <c r="AU2767" s="77"/>
      <c r="AV2767" s="80" t="str">
        <f>HYPERLINK("https://pbs.twimg.com/profile_images/1634180052798656515/H0A4Btyh_normal.jpg")</f>
        <v>https://pbs.twimg.com/profile_images/1634180052798656515/H0A4Btyh_normal.jpg</v>
      </c>
      <c r="AW2767" s="82" t="s">
        <v>19533</v>
      </c>
      <c r="AX2767" s="82" t="s">
        <v>19533</v>
      </c>
      <c r="AY2767" s="77"/>
      <c r="AZ2767" s="82" t="s">
        <v>20971</v>
      </c>
      <c r="BA2767" s="82" t="s">
        <v>20971</v>
      </c>
      <c r="BB2767" s="82" t="s">
        <v>20971</v>
      </c>
      <c r="BC2767" s="82" t="s">
        <v>19533</v>
      </c>
      <c r="BD2767" s="82" t="s">
        <v>21539</v>
      </c>
      <c r="BE2767" s="77"/>
      <c r="BF2767" s="77"/>
      <c r="BG2767" s="77"/>
      <c r="BH2767" s="77"/>
      <c r="BI2767" s="77"/>
    </row>
    <row r="2768" spans="1:61" x14ac:dyDescent="0.25">
      <c r="A2768" s="62" t="s">
        <v>931</v>
      </c>
      <c r="B2768" s="62" t="s">
        <v>931</v>
      </c>
      <c r="C2768" s="63"/>
      <c r="D2768" s="64"/>
      <c r="E2768" s="65"/>
      <c r="F2768" s="66"/>
      <c r="G2768" s="63"/>
      <c r="H2768" s="67"/>
      <c r="I2768" s="68"/>
      <c r="J2768" s="68"/>
      <c r="K2768" s="32"/>
      <c r="L2768" s="75">
        <v>2768</v>
      </c>
      <c r="M2768" s="75"/>
      <c r="N2768" s="70"/>
      <c r="O2768" s="77" t="s">
        <v>179</v>
      </c>
      <c r="P2768" s="79">
        <v>44992.875902777778</v>
      </c>
      <c r="Q2768" s="77" t="s">
        <v>3974</v>
      </c>
      <c r="R2768" s="77">
        <v>0</v>
      </c>
      <c r="S2768" s="77">
        <v>0</v>
      </c>
      <c r="T2768" s="77">
        <v>1</v>
      </c>
      <c r="U2768" s="77">
        <v>0</v>
      </c>
      <c r="V2768" s="77">
        <v>183</v>
      </c>
      <c r="W2768" s="82" t="s">
        <v>6584</v>
      </c>
      <c r="X2768" s="80" t="str">
        <f>HYPERLINK("https://bc.ai/i-brlc850c0mx-n/?p=https://raf.bc.ai/")</f>
        <v>https://bc.ai/i-brlc850c0mx-n/?p=https://raf.bc.ai/</v>
      </c>
      <c r="Y2768" s="77" t="s">
        <v>7277</v>
      </c>
      <c r="Z2768" s="77"/>
      <c r="AA2768" s="77"/>
      <c r="AB2768" s="77"/>
      <c r="AC2768" s="82" t="s">
        <v>10144</v>
      </c>
      <c r="AD2768" s="77" t="s">
        <v>10184</v>
      </c>
      <c r="AE2768" s="80" t="str">
        <f>HYPERLINK("https://twitter.com/afbv2020/status/1633211242734055428")</f>
        <v>https://twitter.com/afbv2020/status/1633211242734055428</v>
      </c>
      <c r="AF2768" s="79">
        <v>44992.875902777778</v>
      </c>
      <c r="AG2768" s="85">
        <v>44992</v>
      </c>
      <c r="AH2768" s="82" t="s">
        <v>12050</v>
      </c>
      <c r="AI2768" s="77" t="b">
        <v>0</v>
      </c>
      <c r="AJ2768" s="77"/>
      <c r="AK2768" s="77"/>
      <c r="AL2768" s="77"/>
      <c r="AM2768" s="77"/>
      <c r="AN2768" s="77"/>
      <c r="AO2768" s="77"/>
      <c r="AP2768" s="77"/>
      <c r="AQ2768" s="77"/>
      <c r="AR2768" s="77"/>
      <c r="AS2768" s="77"/>
      <c r="AT2768" s="77"/>
      <c r="AU2768" s="77"/>
      <c r="AV2768" s="80" t="str">
        <f>HYPERLINK("https://pbs.twimg.com/profile_images/1634180052798656515/H0A4Btyh_normal.jpg")</f>
        <v>https://pbs.twimg.com/profile_images/1634180052798656515/H0A4Btyh_normal.jpg</v>
      </c>
      <c r="AW2768" s="82" t="s">
        <v>19534</v>
      </c>
      <c r="AX2768" s="82" t="s">
        <v>19534</v>
      </c>
      <c r="AY2768" s="77"/>
      <c r="AZ2768" s="82" t="s">
        <v>20971</v>
      </c>
      <c r="BA2768" s="82" t="s">
        <v>20971</v>
      </c>
      <c r="BB2768" s="82" t="s">
        <v>20971</v>
      </c>
      <c r="BC2768" s="82" t="s">
        <v>19534</v>
      </c>
      <c r="BD2768" s="82" t="s">
        <v>21539</v>
      </c>
      <c r="BE2768" s="77"/>
      <c r="BF2768" s="77"/>
      <c r="BG2768" s="77"/>
      <c r="BH2768" s="77"/>
      <c r="BI2768" s="77"/>
    </row>
    <row r="2769" spans="1:61" x14ac:dyDescent="0.25">
      <c r="A2769" s="62" t="s">
        <v>931</v>
      </c>
      <c r="B2769" s="62" t="s">
        <v>931</v>
      </c>
      <c r="C2769" s="63"/>
      <c r="D2769" s="64"/>
      <c r="E2769" s="65"/>
      <c r="F2769" s="66"/>
      <c r="G2769" s="63"/>
      <c r="H2769" s="67"/>
      <c r="I2769" s="68"/>
      <c r="J2769" s="68"/>
      <c r="K2769" s="32"/>
      <c r="L2769" s="75">
        <v>2769</v>
      </c>
      <c r="M2769" s="75"/>
      <c r="N2769" s="70"/>
      <c r="O2769" s="77" t="s">
        <v>179</v>
      </c>
      <c r="P2769" s="79">
        <v>44992.741631944446</v>
      </c>
      <c r="Q2769" s="77" t="s">
        <v>3975</v>
      </c>
      <c r="R2769" s="77">
        <v>0</v>
      </c>
      <c r="S2769" s="77">
        <v>0</v>
      </c>
      <c r="T2769" s="77">
        <v>0</v>
      </c>
      <c r="U2769" s="77">
        <v>0</v>
      </c>
      <c r="V2769" s="77">
        <v>214</v>
      </c>
      <c r="W2769" s="82" t="s">
        <v>6584</v>
      </c>
      <c r="X2769" s="80" t="str">
        <f>HYPERLINK("https://bc.ai/i-brlc850c0mx-n/?p=https://raf.bc.ai/")</f>
        <v>https://bc.ai/i-brlc850c0mx-n/?p=https://raf.bc.ai/</v>
      </c>
      <c r="Y2769" s="77" t="s">
        <v>7277</v>
      </c>
      <c r="Z2769" s="77"/>
      <c r="AA2769" s="77"/>
      <c r="AB2769" s="77"/>
      <c r="AC2769" s="82" t="s">
        <v>10144</v>
      </c>
      <c r="AD2769" s="77" t="s">
        <v>10184</v>
      </c>
      <c r="AE2769" s="80" t="str">
        <f>HYPERLINK("https://twitter.com/afbv2020/status/1633162585779388416")</f>
        <v>https://twitter.com/afbv2020/status/1633162585779388416</v>
      </c>
      <c r="AF2769" s="79">
        <v>44992.741631944446</v>
      </c>
      <c r="AG2769" s="85">
        <v>44992</v>
      </c>
      <c r="AH2769" s="82" t="s">
        <v>12836</v>
      </c>
      <c r="AI2769" s="77" t="b">
        <v>0</v>
      </c>
      <c r="AJ2769" s="77"/>
      <c r="AK2769" s="77"/>
      <c r="AL2769" s="77"/>
      <c r="AM2769" s="77"/>
      <c r="AN2769" s="77"/>
      <c r="AO2769" s="77"/>
      <c r="AP2769" s="77"/>
      <c r="AQ2769" s="77"/>
      <c r="AR2769" s="77"/>
      <c r="AS2769" s="77"/>
      <c r="AT2769" s="77"/>
      <c r="AU2769" s="77"/>
      <c r="AV2769" s="80" t="str">
        <f>HYPERLINK("https://pbs.twimg.com/profile_images/1634180052798656515/H0A4Btyh_normal.jpg")</f>
        <v>https://pbs.twimg.com/profile_images/1634180052798656515/H0A4Btyh_normal.jpg</v>
      </c>
      <c r="AW2769" s="82" t="s">
        <v>19535</v>
      </c>
      <c r="AX2769" s="82" t="s">
        <v>19535</v>
      </c>
      <c r="AY2769" s="77"/>
      <c r="AZ2769" s="82" t="s">
        <v>20971</v>
      </c>
      <c r="BA2769" s="82" t="s">
        <v>20971</v>
      </c>
      <c r="BB2769" s="82" t="s">
        <v>20971</v>
      </c>
      <c r="BC2769" s="82" t="s">
        <v>19535</v>
      </c>
      <c r="BD2769" s="82" t="s">
        <v>21539</v>
      </c>
      <c r="BE2769" s="77"/>
      <c r="BF2769" s="77"/>
      <c r="BG2769" s="77"/>
      <c r="BH2769" s="77"/>
      <c r="BI2769" s="77"/>
    </row>
    <row r="2770" spans="1:61" x14ac:dyDescent="0.25">
      <c r="A2770" s="62" t="s">
        <v>931</v>
      </c>
      <c r="B2770" s="62" t="s">
        <v>931</v>
      </c>
      <c r="C2770" s="63"/>
      <c r="D2770" s="64"/>
      <c r="E2770" s="65"/>
      <c r="F2770" s="66"/>
      <c r="G2770" s="63"/>
      <c r="H2770" s="67"/>
      <c r="I2770" s="68"/>
      <c r="J2770" s="68"/>
      <c r="K2770" s="32"/>
      <c r="L2770" s="75">
        <v>2770</v>
      </c>
      <c r="M2770" s="75"/>
      <c r="N2770" s="70"/>
      <c r="O2770" s="77" t="s">
        <v>179</v>
      </c>
      <c r="P2770" s="79">
        <v>44992.735590277778</v>
      </c>
      <c r="Q2770" s="77" t="s">
        <v>3976</v>
      </c>
      <c r="R2770" s="77">
        <v>0</v>
      </c>
      <c r="S2770" s="77">
        <v>0</v>
      </c>
      <c r="T2770" s="77">
        <v>1</v>
      </c>
      <c r="U2770" s="77">
        <v>0</v>
      </c>
      <c r="V2770" s="77">
        <v>223</v>
      </c>
      <c r="W2770" s="82" t="s">
        <v>6584</v>
      </c>
      <c r="X2770" s="80" t="str">
        <f>HYPERLINK("https://bc.ai/i-brlc850c0mx-n/?p=https://raf.bc.ai/")</f>
        <v>https://bc.ai/i-brlc850c0mx-n/?p=https://raf.bc.ai/</v>
      </c>
      <c r="Y2770" s="77" t="s">
        <v>7277</v>
      </c>
      <c r="Z2770" s="77"/>
      <c r="AA2770" s="77"/>
      <c r="AB2770" s="77"/>
      <c r="AC2770" s="82" t="s">
        <v>10144</v>
      </c>
      <c r="AD2770" s="77" t="s">
        <v>10184</v>
      </c>
      <c r="AE2770" s="80" t="str">
        <f>HYPERLINK("https://twitter.com/afbv2020/status/1633160393341169668")</f>
        <v>https://twitter.com/afbv2020/status/1633160393341169668</v>
      </c>
      <c r="AF2770" s="79">
        <v>44992.735590277778</v>
      </c>
      <c r="AG2770" s="85">
        <v>44992</v>
      </c>
      <c r="AH2770" s="82" t="s">
        <v>12837</v>
      </c>
      <c r="AI2770" s="77" t="b">
        <v>0</v>
      </c>
      <c r="AJ2770" s="77"/>
      <c r="AK2770" s="77"/>
      <c r="AL2770" s="77"/>
      <c r="AM2770" s="77"/>
      <c r="AN2770" s="77"/>
      <c r="AO2770" s="77"/>
      <c r="AP2770" s="77"/>
      <c r="AQ2770" s="77"/>
      <c r="AR2770" s="77"/>
      <c r="AS2770" s="77"/>
      <c r="AT2770" s="77"/>
      <c r="AU2770" s="77"/>
      <c r="AV2770" s="80" t="str">
        <f>HYPERLINK("https://pbs.twimg.com/profile_images/1634180052798656515/H0A4Btyh_normal.jpg")</f>
        <v>https://pbs.twimg.com/profile_images/1634180052798656515/H0A4Btyh_normal.jpg</v>
      </c>
      <c r="AW2770" s="82" t="s">
        <v>19536</v>
      </c>
      <c r="AX2770" s="82" t="s">
        <v>19536</v>
      </c>
      <c r="AY2770" s="77"/>
      <c r="AZ2770" s="82" t="s">
        <v>20971</v>
      </c>
      <c r="BA2770" s="82" t="s">
        <v>20971</v>
      </c>
      <c r="BB2770" s="82" t="s">
        <v>20971</v>
      </c>
      <c r="BC2770" s="82" t="s">
        <v>19536</v>
      </c>
      <c r="BD2770" s="82" t="s">
        <v>21539</v>
      </c>
      <c r="BE2770" s="77"/>
      <c r="BF2770" s="77"/>
      <c r="BG2770" s="77"/>
      <c r="BH2770" s="77"/>
      <c r="BI2770" s="77"/>
    </row>
    <row r="2771" spans="1:61" x14ac:dyDescent="0.25">
      <c r="A2771" s="62" t="s">
        <v>931</v>
      </c>
      <c r="B2771" s="62" t="s">
        <v>931</v>
      </c>
      <c r="C2771" s="63"/>
      <c r="D2771" s="64"/>
      <c r="E2771" s="65"/>
      <c r="F2771" s="66"/>
      <c r="G2771" s="63"/>
      <c r="H2771" s="67"/>
      <c r="I2771" s="68"/>
      <c r="J2771" s="68"/>
      <c r="K2771" s="32"/>
      <c r="L2771" s="75">
        <v>2771</v>
      </c>
      <c r="M2771" s="75"/>
      <c r="N2771" s="70"/>
      <c r="O2771" s="77" t="s">
        <v>179</v>
      </c>
      <c r="P2771" s="79">
        <v>44992.119814814818</v>
      </c>
      <c r="Q2771" s="77" t="s">
        <v>3977</v>
      </c>
      <c r="R2771" s="77">
        <v>0</v>
      </c>
      <c r="S2771" s="77">
        <v>0</v>
      </c>
      <c r="T2771" s="77">
        <v>1</v>
      </c>
      <c r="U2771" s="77">
        <v>0</v>
      </c>
      <c r="V2771" s="77">
        <v>687</v>
      </c>
      <c r="W2771" s="82" t="s">
        <v>6584</v>
      </c>
      <c r="X2771" s="80" t="str">
        <f>HYPERLINK("https://bc.ai/i-brlc850c0mx-n/?p=https://raf.bc.ai/")</f>
        <v>https://bc.ai/i-brlc850c0mx-n/?p=https://raf.bc.ai/</v>
      </c>
      <c r="Y2771" s="77" t="s">
        <v>7277</v>
      </c>
      <c r="Z2771" s="77"/>
      <c r="AA2771" s="77"/>
      <c r="AB2771" s="77"/>
      <c r="AC2771" s="82" t="s">
        <v>10144</v>
      </c>
      <c r="AD2771" s="77" t="s">
        <v>10184</v>
      </c>
      <c r="AE2771" s="80" t="str">
        <f>HYPERLINK("https://twitter.com/afbv2020/status/1632937244498571264")</f>
        <v>https://twitter.com/afbv2020/status/1632937244498571264</v>
      </c>
      <c r="AF2771" s="79">
        <v>44992.119814814818</v>
      </c>
      <c r="AG2771" s="85">
        <v>44992</v>
      </c>
      <c r="AH2771" s="82" t="s">
        <v>12838</v>
      </c>
      <c r="AI2771" s="77" t="b">
        <v>0</v>
      </c>
      <c r="AJ2771" s="77"/>
      <c r="AK2771" s="77"/>
      <c r="AL2771" s="77"/>
      <c r="AM2771" s="77"/>
      <c r="AN2771" s="77"/>
      <c r="AO2771" s="77"/>
      <c r="AP2771" s="77"/>
      <c r="AQ2771" s="77"/>
      <c r="AR2771" s="77"/>
      <c r="AS2771" s="77"/>
      <c r="AT2771" s="77"/>
      <c r="AU2771" s="77"/>
      <c r="AV2771" s="80" t="str">
        <f>HYPERLINK("https://pbs.twimg.com/profile_images/1634180052798656515/H0A4Btyh_normal.jpg")</f>
        <v>https://pbs.twimg.com/profile_images/1634180052798656515/H0A4Btyh_normal.jpg</v>
      </c>
      <c r="AW2771" s="82" t="s">
        <v>19537</v>
      </c>
      <c r="AX2771" s="82" t="s">
        <v>19537</v>
      </c>
      <c r="AY2771" s="77"/>
      <c r="AZ2771" s="82" t="s">
        <v>20971</v>
      </c>
      <c r="BA2771" s="82" t="s">
        <v>20971</v>
      </c>
      <c r="BB2771" s="82" t="s">
        <v>20971</v>
      </c>
      <c r="BC2771" s="82" t="s">
        <v>19537</v>
      </c>
      <c r="BD2771" s="82" t="s">
        <v>21539</v>
      </c>
      <c r="BE2771" s="77"/>
      <c r="BF2771" s="77"/>
      <c r="BG2771" s="77"/>
      <c r="BH2771" s="77"/>
      <c r="BI2771" s="77"/>
    </row>
    <row r="2772" spans="1:61" x14ac:dyDescent="0.25">
      <c r="A2772" s="62" t="s">
        <v>932</v>
      </c>
      <c r="B2772" s="62" t="s">
        <v>932</v>
      </c>
      <c r="C2772" s="63"/>
      <c r="D2772" s="64"/>
      <c r="E2772" s="65"/>
      <c r="F2772" s="66"/>
      <c r="G2772" s="63"/>
      <c r="H2772" s="67"/>
      <c r="I2772" s="68"/>
      <c r="J2772" s="68"/>
      <c r="K2772" s="32"/>
      <c r="L2772" s="75">
        <v>2772</v>
      </c>
      <c r="M2772" s="75"/>
      <c r="N2772" s="70"/>
      <c r="O2772" s="77" t="s">
        <v>179</v>
      </c>
      <c r="P2772" s="79">
        <v>45162.75885416667</v>
      </c>
      <c r="Q2772" s="77" t="s">
        <v>3978</v>
      </c>
      <c r="R2772" s="77">
        <v>0</v>
      </c>
      <c r="S2772" s="77">
        <v>1</v>
      </c>
      <c r="T2772" s="77">
        <v>0</v>
      </c>
      <c r="U2772" s="77">
        <v>0</v>
      </c>
      <c r="V2772" s="77">
        <v>67</v>
      </c>
      <c r="W2772" s="82" t="s">
        <v>6585</v>
      </c>
      <c r="X2772" s="80" t="str">
        <f>HYPERLINK("https://m.calica777slots.com/?gfs=369zwsyp")</f>
        <v>https://m.calica777slots.com/?gfs=369zwsyp</v>
      </c>
      <c r="Y2772" s="77" t="s">
        <v>7440</v>
      </c>
      <c r="Z2772" s="77"/>
      <c r="AA2772" s="77" t="s">
        <v>9137</v>
      </c>
      <c r="AB2772" s="77" t="s">
        <v>10128</v>
      </c>
      <c r="AC2772" s="82" t="s">
        <v>10146</v>
      </c>
      <c r="AD2772" s="77" t="s">
        <v>10184</v>
      </c>
      <c r="AE2772" s="80" t="str">
        <f>HYPERLINK("https://twitter.com/ofertazinhas/status/1694774764651327814")</f>
        <v>https://twitter.com/ofertazinhas/status/1694774764651327814</v>
      </c>
      <c r="AF2772" s="79">
        <v>45162.75885416667</v>
      </c>
      <c r="AG2772" s="85">
        <v>45162</v>
      </c>
      <c r="AH2772" s="82" t="s">
        <v>12839</v>
      </c>
      <c r="AI2772" s="77" t="b">
        <v>0</v>
      </c>
      <c r="AJ2772" s="77"/>
      <c r="AK2772" s="77"/>
      <c r="AL2772" s="77"/>
      <c r="AM2772" s="77"/>
      <c r="AN2772" s="77"/>
      <c r="AO2772" s="77"/>
      <c r="AP2772" s="77"/>
      <c r="AQ2772" s="77" t="s">
        <v>15780</v>
      </c>
      <c r="AR2772" s="77"/>
      <c r="AS2772" s="77"/>
      <c r="AT2772" s="77"/>
      <c r="AU2772" s="77"/>
      <c r="AV2772" s="80" t="str">
        <f>HYPERLINK("https://pbs.twimg.com/media/F4UMQ1LXkAEWa3O.jpg")</f>
        <v>https://pbs.twimg.com/media/F4UMQ1LXkAEWa3O.jpg</v>
      </c>
      <c r="AW2772" s="82" t="s">
        <v>19538</v>
      </c>
      <c r="AX2772" s="82" t="s">
        <v>19538</v>
      </c>
      <c r="AY2772" s="77"/>
      <c r="AZ2772" s="82" t="s">
        <v>20971</v>
      </c>
      <c r="BA2772" s="82" t="s">
        <v>20971</v>
      </c>
      <c r="BB2772" s="82" t="s">
        <v>20971</v>
      </c>
      <c r="BC2772" s="82" t="s">
        <v>19538</v>
      </c>
      <c r="BD2772" s="82" t="s">
        <v>21540</v>
      </c>
      <c r="BE2772" s="77"/>
      <c r="BF2772" s="77"/>
      <c r="BG2772" s="77"/>
      <c r="BH2772" s="77"/>
      <c r="BI2772" s="77"/>
    </row>
    <row r="2773" spans="1:61" x14ac:dyDescent="0.25">
      <c r="A2773" s="62" t="s">
        <v>933</v>
      </c>
      <c r="B2773" s="62" t="s">
        <v>933</v>
      </c>
      <c r="C2773" s="63"/>
      <c r="D2773" s="64"/>
      <c r="E2773" s="65"/>
      <c r="F2773" s="66"/>
      <c r="G2773" s="63"/>
      <c r="H2773" s="67"/>
      <c r="I2773" s="68"/>
      <c r="J2773" s="68"/>
      <c r="K2773" s="32"/>
      <c r="L2773" s="75">
        <v>2773</v>
      </c>
      <c r="M2773" s="75"/>
      <c r="N2773" s="70"/>
      <c r="O2773" s="77" t="s">
        <v>179</v>
      </c>
      <c r="P2773" s="79">
        <v>44996.773275462961</v>
      </c>
      <c r="Q2773" s="77" t="s">
        <v>3979</v>
      </c>
      <c r="R2773" s="77">
        <v>0</v>
      </c>
      <c r="S2773" s="77">
        <v>0</v>
      </c>
      <c r="T2773" s="77">
        <v>0</v>
      </c>
      <c r="U2773" s="77">
        <v>0</v>
      </c>
      <c r="V2773" s="77">
        <v>51</v>
      </c>
      <c r="W2773" s="82" t="s">
        <v>6586</v>
      </c>
      <c r="X2773" s="80" t="str">
        <f>HYPERLINK("https://go.hotmart.com/U80632196L")</f>
        <v>https://go.hotmart.com/U80632196L</v>
      </c>
      <c r="Y2773" s="77" t="s">
        <v>7251</v>
      </c>
      <c r="Z2773" s="77"/>
      <c r="AA2773" s="77" t="s">
        <v>9138</v>
      </c>
      <c r="AB2773" s="77" t="s">
        <v>10130</v>
      </c>
      <c r="AC2773" s="82" t="s">
        <v>10146</v>
      </c>
      <c r="AD2773" s="77" t="s">
        <v>10184</v>
      </c>
      <c r="AE2773" s="80" t="str">
        <f>HYPERLINK("https://twitter.com/elainebelicia/status/1634623603118317569")</f>
        <v>https://twitter.com/elainebelicia/status/1634623603118317569</v>
      </c>
      <c r="AF2773" s="79">
        <v>44996.773275462961</v>
      </c>
      <c r="AG2773" s="85">
        <v>44996</v>
      </c>
      <c r="AH2773" s="82" t="s">
        <v>12840</v>
      </c>
      <c r="AI2773" s="77" t="b">
        <v>0</v>
      </c>
      <c r="AJ2773" s="77"/>
      <c r="AK2773" s="77"/>
      <c r="AL2773" s="77"/>
      <c r="AM2773" s="77"/>
      <c r="AN2773" s="77"/>
      <c r="AO2773" s="77"/>
      <c r="AP2773" s="77"/>
      <c r="AQ2773" s="77" t="s">
        <v>15781</v>
      </c>
      <c r="AR2773" s="77"/>
      <c r="AS2773" s="77"/>
      <c r="AT2773" s="77"/>
      <c r="AU2773" s="77"/>
      <c r="AV2773" s="80" t="str">
        <f>HYPERLINK("https://pbs.twimg.com/media/Fq9Y_tCWIAEBxoJ.jpg")</f>
        <v>https://pbs.twimg.com/media/Fq9Y_tCWIAEBxoJ.jpg</v>
      </c>
      <c r="AW2773" s="82" t="s">
        <v>19539</v>
      </c>
      <c r="AX2773" s="82" t="s">
        <v>19539</v>
      </c>
      <c r="AY2773" s="77"/>
      <c r="AZ2773" s="82" t="s">
        <v>20971</v>
      </c>
      <c r="BA2773" s="82" t="s">
        <v>20971</v>
      </c>
      <c r="BB2773" s="82" t="s">
        <v>20971</v>
      </c>
      <c r="BC2773" s="82" t="s">
        <v>19539</v>
      </c>
      <c r="BD2773" s="77">
        <v>354479827</v>
      </c>
      <c r="BE2773" s="77"/>
      <c r="BF2773" s="77"/>
      <c r="BG2773" s="77"/>
      <c r="BH2773" s="77"/>
      <c r="BI2773" s="77"/>
    </row>
    <row r="2774" spans="1:61" x14ac:dyDescent="0.25">
      <c r="A2774" s="62" t="s">
        <v>933</v>
      </c>
      <c r="B2774" s="62" t="s">
        <v>933</v>
      </c>
      <c r="C2774" s="63"/>
      <c r="D2774" s="64"/>
      <c r="E2774" s="65"/>
      <c r="F2774" s="66"/>
      <c r="G2774" s="63"/>
      <c r="H2774" s="67"/>
      <c r="I2774" s="68"/>
      <c r="J2774" s="68"/>
      <c r="K2774" s="32"/>
      <c r="L2774" s="75">
        <v>2774</v>
      </c>
      <c r="M2774" s="75"/>
      <c r="N2774" s="70"/>
      <c r="O2774" s="77" t="s">
        <v>179</v>
      </c>
      <c r="P2774" s="79">
        <v>45136.098935185182</v>
      </c>
      <c r="Q2774" s="77" t="s">
        <v>3980</v>
      </c>
      <c r="R2774" s="77">
        <v>0</v>
      </c>
      <c r="S2774" s="77">
        <v>0</v>
      </c>
      <c r="T2774" s="77">
        <v>0</v>
      </c>
      <c r="U2774" s="77">
        <v>0</v>
      </c>
      <c r="V2774" s="77">
        <v>67</v>
      </c>
      <c r="W2774" s="82" t="s">
        <v>6587</v>
      </c>
      <c r="X2774" s="80" t="str">
        <f>HYPERLINK("https://kwai-video.com/w/5eAj-w3m")</f>
        <v>https://kwai-video.com/w/5eAj-w3m</v>
      </c>
      <c r="Y2774" s="77" t="s">
        <v>7299</v>
      </c>
      <c r="Z2774" s="77"/>
      <c r="AA2774" s="77" t="s">
        <v>9139</v>
      </c>
      <c r="AB2774" s="77" t="s">
        <v>10130</v>
      </c>
      <c r="AC2774" s="82" t="s">
        <v>10146</v>
      </c>
      <c r="AD2774" s="77" t="s">
        <v>10183</v>
      </c>
      <c r="AE2774" s="80" t="str">
        <f>HYPERLINK("https://twitter.com/elainebelicia/status/1685113531790733314")</f>
        <v>https://twitter.com/elainebelicia/status/1685113531790733314</v>
      </c>
      <c r="AF2774" s="79">
        <v>45136.098935185182</v>
      </c>
      <c r="AG2774" s="85">
        <v>45136</v>
      </c>
      <c r="AH2774" s="82" t="s">
        <v>12841</v>
      </c>
      <c r="AI2774" s="77" t="b">
        <v>0</v>
      </c>
      <c r="AJ2774" s="77"/>
      <c r="AK2774" s="77"/>
      <c r="AL2774" s="77"/>
      <c r="AM2774" s="77"/>
      <c r="AN2774" s="77"/>
      <c r="AO2774" s="77"/>
      <c r="AP2774" s="77"/>
      <c r="AQ2774" s="77" t="s">
        <v>15782</v>
      </c>
      <c r="AR2774" s="77"/>
      <c r="AS2774" s="77"/>
      <c r="AT2774" s="77"/>
      <c r="AU2774" s="77"/>
      <c r="AV2774" s="80" t="str">
        <f>HYPERLINK("https://pbs.twimg.com/media/F2K5I1iXIAM57eq.jpg")</f>
        <v>https://pbs.twimg.com/media/F2K5I1iXIAM57eq.jpg</v>
      </c>
      <c r="AW2774" s="82" t="s">
        <v>19540</v>
      </c>
      <c r="AX2774" s="82" t="s">
        <v>19540</v>
      </c>
      <c r="AY2774" s="77"/>
      <c r="AZ2774" s="82" t="s">
        <v>20971</v>
      </c>
      <c r="BA2774" s="82" t="s">
        <v>20971</v>
      </c>
      <c r="BB2774" s="82" t="s">
        <v>20971</v>
      </c>
      <c r="BC2774" s="82" t="s">
        <v>19540</v>
      </c>
      <c r="BD2774" s="77">
        <v>354479827</v>
      </c>
      <c r="BE2774" s="77"/>
      <c r="BF2774" s="77"/>
      <c r="BG2774" s="77"/>
      <c r="BH2774" s="77"/>
      <c r="BI2774" s="77"/>
    </row>
    <row r="2775" spans="1:61" x14ac:dyDescent="0.25">
      <c r="A2775" s="62" t="s">
        <v>934</v>
      </c>
      <c r="B2775" s="62" t="s">
        <v>934</v>
      </c>
      <c r="C2775" s="63"/>
      <c r="D2775" s="64"/>
      <c r="E2775" s="65"/>
      <c r="F2775" s="66"/>
      <c r="G2775" s="63"/>
      <c r="H2775" s="67"/>
      <c r="I2775" s="68"/>
      <c r="J2775" s="68"/>
      <c r="K2775" s="32"/>
      <c r="L2775" s="75">
        <v>2775</v>
      </c>
      <c r="M2775" s="75"/>
      <c r="N2775" s="70"/>
      <c r="O2775" s="77" t="s">
        <v>179</v>
      </c>
      <c r="P2775" s="79">
        <v>45040.955833333333</v>
      </c>
      <c r="Q2775" s="77" t="s">
        <v>3981</v>
      </c>
      <c r="R2775" s="77">
        <v>0</v>
      </c>
      <c r="S2775" s="77">
        <v>0</v>
      </c>
      <c r="T2775" s="77">
        <v>0</v>
      </c>
      <c r="U2775" s="77">
        <v>0</v>
      </c>
      <c r="V2775" s="77">
        <v>10</v>
      </c>
      <c r="W2775" s="82" t="s">
        <v>6588</v>
      </c>
      <c r="X2775" s="80" t="str">
        <f>HYPERLINK("https://magridtonini.com.br/um-novo-projeto-novas-possibilidades/")</f>
        <v>https://magridtonini.com.br/um-novo-projeto-novas-possibilidades/</v>
      </c>
      <c r="Y2775" s="77" t="s">
        <v>7252</v>
      </c>
      <c r="Z2775" s="77"/>
      <c r="AA2775" s="77" t="s">
        <v>9140</v>
      </c>
      <c r="AB2775" s="77" t="s">
        <v>10130</v>
      </c>
      <c r="AC2775" s="82" t="s">
        <v>10145</v>
      </c>
      <c r="AD2775" s="77" t="s">
        <v>10184</v>
      </c>
      <c r="AE2775" s="80" t="str">
        <f>HYPERLINK("https://twitter.com/magridtonini/status/1650634826515374085")</f>
        <v>https://twitter.com/magridtonini/status/1650634826515374085</v>
      </c>
      <c r="AF2775" s="79">
        <v>45040.955833333333</v>
      </c>
      <c r="AG2775" s="85">
        <v>45040</v>
      </c>
      <c r="AH2775" s="82" t="s">
        <v>12842</v>
      </c>
      <c r="AI2775" s="77" t="b">
        <v>0</v>
      </c>
      <c r="AJ2775" s="77"/>
      <c r="AK2775" s="77"/>
      <c r="AL2775" s="77"/>
      <c r="AM2775" s="77"/>
      <c r="AN2775" s="77"/>
      <c r="AO2775" s="77"/>
      <c r="AP2775" s="77"/>
      <c r="AQ2775" s="77" t="s">
        <v>15783</v>
      </c>
      <c r="AR2775" s="77"/>
      <c r="AS2775" s="77"/>
      <c r="AT2775" s="77"/>
      <c r="AU2775" s="77"/>
      <c r="AV2775" s="80" t="str">
        <f>HYPERLINK("https://pbs.twimg.com/media/Fug7oA0XwAAAMCj.jpg")</f>
        <v>https://pbs.twimg.com/media/Fug7oA0XwAAAMCj.jpg</v>
      </c>
      <c r="AW2775" s="82" t="s">
        <v>19541</v>
      </c>
      <c r="AX2775" s="82" t="s">
        <v>19541</v>
      </c>
      <c r="AY2775" s="77"/>
      <c r="AZ2775" s="82" t="s">
        <v>20971</v>
      </c>
      <c r="BA2775" s="82" t="s">
        <v>20971</v>
      </c>
      <c r="BB2775" s="82" t="s">
        <v>20971</v>
      </c>
      <c r="BC2775" s="82" t="s">
        <v>19541</v>
      </c>
      <c r="BD2775" s="82" t="s">
        <v>21541</v>
      </c>
      <c r="BE2775" s="77"/>
      <c r="BF2775" s="77"/>
      <c r="BG2775" s="77"/>
      <c r="BH2775" s="77"/>
      <c r="BI2775" s="77"/>
    </row>
    <row r="2776" spans="1:61" x14ac:dyDescent="0.25">
      <c r="A2776" s="62" t="s">
        <v>935</v>
      </c>
      <c r="B2776" s="62" t="s">
        <v>935</v>
      </c>
      <c r="C2776" s="63"/>
      <c r="D2776" s="64"/>
      <c r="E2776" s="65"/>
      <c r="F2776" s="66"/>
      <c r="G2776" s="63"/>
      <c r="H2776" s="67"/>
      <c r="I2776" s="68"/>
      <c r="J2776" s="68"/>
      <c r="K2776" s="32"/>
      <c r="L2776" s="75">
        <v>2776</v>
      </c>
      <c r="M2776" s="75"/>
      <c r="N2776" s="70"/>
      <c r="O2776" s="77" t="s">
        <v>179</v>
      </c>
      <c r="P2776" s="79">
        <v>44983.748240740744</v>
      </c>
      <c r="Q2776" s="77" t="s">
        <v>3982</v>
      </c>
      <c r="R2776" s="77">
        <v>1</v>
      </c>
      <c r="S2776" s="77">
        <v>4</v>
      </c>
      <c r="T2776" s="77">
        <v>4</v>
      </c>
      <c r="U2776" s="77">
        <v>0</v>
      </c>
      <c r="V2776" s="77">
        <v>411</v>
      </c>
      <c r="W2776" s="82" t="s">
        <v>6589</v>
      </c>
      <c r="X2776" s="77"/>
      <c r="Y2776" s="77"/>
      <c r="Z2776" s="77"/>
      <c r="AA2776" s="77" t="s">
        <v>9141</v>
      </c>
      <c r="AB2776" s="77" t="s">
        <v>10130</v>
      </c>
      <c r="AC2776" s="82" t="s">
        <v>10146</v>
      </c>
      <c r="AD2776" s="77" t="s">
        <v>10183</v>
      </c>
      <c r="AE2776" s="80" t="str">
        <f>HYPERLINK("https://twitter.com/gigdoll24/status/1629903490192674816")</f>
        <v>https://twitter.com/gigdoll24/status/1629903490192674816</v>
      </c>
      <c r="AF2776" s="79">
        <v>44983.748240740744</v>
      </c>
      <c r="AG2776" s="85">
        <v>44983</v>
      </c>
      <c r="AH2776" s="82" t="s">
        <v>12843</v>
      </c>
      <c r="AI2776" s="77" t="b">
        <v>0</v>
      </c>
      <c r="AJ2776" s="77"/>
      <c r="AK2776" s="77"/>
      <c r="AL2776" s="77"/>
      <c r="AM2776" s="77"/>
      <c r="AN2776" s="77"/>
      <c r="AO2776" s="77"/>
      <c r="AP2776" s="77"/>
      <c r="AQ2776" s="77" t="s">
        <v>15784</v>
      </c>
      <c r="AR2776" s="77"/>
      <c r="AS2776" s="77"/>
      <c r="AT2776" s="77"/>
      <c r="AU2776" s="77"/>
      <c r="AV2776" s="80" t="str">
        <f>HYPERLINK("https://pbs.twimg.com/media/Fp6UjBPacAAPnGk.jpg")</f>
        <v>https://pbs.twimg.com/media/Fp6UjBPacAAPnGk.jpg</v>
      </c>
      <c r="AW2776" s="82" t="s">
        <v>19542</v>
      </c>
      <c r="AX2776" s="82" t="s">
        <v>19542</v>
      </c>
      <c r="AY2776" s="77"/>
      <c r="AZ2776" s="82" t="s">
        <v>20971</v>
      </c>
      <c r="BA2776" s="82" t="s">
        <v>20971</v>
      </c>
      <c r="BB2776" s="82" t="s">
        <v>20971</v>
      </c>
      <c r="BC2776" s="82" t="s">
        <v>19542</v>
      </c>
      <c r="BD2776" s="82" t="s">
        <v>21542</v>
      </c>
      <c r="BE2776" s="77"/>
      <c r="BF2776" s="77"/>
      <c r="BG2776" s="77"/>
      <c r="BH2776" s="77"/>
      <c r="BI2776" s="77"/>
    </row>
    <row r="2777" spans="1:61" x14ac:dyDescent="0.25">
      <c r="A2777" s="62" t="s">
        <v>936</v>
      </c>
      <c r="B2777" s="62" t="s">
        <v>1241</v>
      </c>
      <c r="C2777" s="63"/>
      <c r="D2777" s="64"/>
      <c r="E2777" s="65"/>
      <c r="F2777" s="66"/>
      <c r="G2777" s="63"/>
      <c r="H2777" s="67"/>
      <c r="I2777" s="68"/>
      <c r="J2777" s="68"/>
      <c r="K2777" s="32"/>
      <c r="L2777" s="75">
        <v>2777</v>
      </c>
      <c r="M2777" s="75"/>
      <c r="N2777" s="70"/>
      <c r="O2777" s="77" t="s">
        <v>1285</v>
      </c>
      <c r="P2777" s="79">
        <v>44995.012604166666</v>
      </c>
      <c r="Q2777" s="77" t="s">
        <v>3983</v>
      </c>
      <c r="R2777" s="77">
        <v>0</v>
      </c>
      <c r="S2777" s="77">
        <v>1</v>
      </c>
      <c r="T2777" s="77">
        <v>0</v>
      </c>
      <c r="U2777" s="77">
        <v>0</v>
      </c>
      <c r="V2777" s="77">
        <v>16</v>
      </c>
      <c r="W2777" s="82" t="s">
        <v>6590</v>
      </c>
      <c r="X2777" s="80" t="str">
        <f>HYPERLINK("https://youtu.be/nI-wIaGwSeU")</f>
        <v>https://youtu.be/nI-wIaGwSeU</v>
      </c>
      <c r="Y2777" s="77" t="s">
        <v>7248</v>
      </c>
      <c r="Z2777" s="77" t="s">
        <v>1241</v>
      </c>
      <c r="AA2777" s="77"/>
      <c r="AB2777" s="77"/>
      <c r="AC2777" s="82" t="s">
        <v>10146</v>
      </c>
      <c r="AD2777" s="77" t="s">
        <v>10184</v>
      </c>
      <c r="AE2777" s="80" t="str">
        <f>HYPERLINK("https://twitter.com/lucaspereira_ef/status/1633985555401777152")</f>
        <v>https://twitter.com/lucaspereira_ef/status/1633985555401777152</v>
      </c>
      <c r="AF2777" s="79">
        <v>44995.012604166666</v>
      </c>
      <c r="AG2777" s="85">
        <v>44995</v>
      </c>
      <c r="AH2777" s="82" t="s">
        <v>12844</v>
      </c>
      <c r="AI2777" s="77" t="b">
        <v>0</v>
      </c>
      <c r="AJ2777" s="77"/>
      <c r="AK2777" s="77"/>
      <c r="AL2777" s="77"/>
      <c r="AM2777" s="77"/>
      <c r="AN2777" s="77"/>
      <c r="AO2777" s="77"/>
      <c r="AP2777" s="77"/>
      <c r="AQ2777" s="77"/>
      <c r="AR2777" s="77"/>
      <c r="AS2777" s="77"/>
      <c r="AT2777" s="77"/>
      <c r="AU2777" s="77"/>
      <c r="AV2777" s="80" t="str">
        <f>HYPERLINK("https://pbs.twimg.com/profile_images/1628185029837832193/Qb7BI_Jj_normal.jpg")</f>
        <v>https://pbs.twimg.com/profile_images/1628185029837832193/Qb7BI_Jj_normal.jpg</v>
      </c>
      <c r="AW2777" s="82" t="s">
        <v>19543</v>
      </c>
      <c r="AX2777" s="82" t="s">
        <v>19543</v>
      </c>
      <c r="AY2777" s="77"/>
      <c r="AZ2777" s="82" t="s">
        <v>20971</v>
      </c>
      <c r="BA2777" s="82" t="s">
        <v>20971</v>
      </c>
      <c r="BB2777" s="82" t="s">
        <v>20971</v>
      </c>
      <c r="BC2777" s="82" t="s">
        <v>19543</v>
      </c>
      <c r="BD2777" s="82" t="s">
        <v>21543</v>
      </c>
      <c r="BE2777" s="77"/>
      <c r="BF2777" s="77"/>
      <c r="BG2777" s="77"/>
      <c r="BH2777" s="77"/>
      <c r="BI2777" s="77"/>
    </row>
    <row r="2778" spans="1:61" x14ac:dyDescent="0.25">
      <c r="A2778" s="62" t="s">
        <v>936</v>
      </c>
      <c r="B2778" s="62" t="s">
        <v>1241</v>
      </c>
      <c r="C2778" s="63"/>
      <c r="D2778" s="64"/>
      <c r="E2778" s="65"/>
      <c r="F2778" s="66"/>
      <c r="G2778" s="63"/>
      <c r="H2778" s="67"/>
      <c r="I2778" s="68"/>
      <c r="J2778" s="68"/>
      <c r="K2778" s="32"/>
      <c r="L2778" s="75">
        <v>2778</v>
      </c>
      <c r="M2778" s="75"/>
      <c r="N2778" s="70"/>
      <c r="O2778" s="77" t="s">
        <v>1285</v>
      </c>
      <c r="P2778" s="79">
        <v>45086.007291666669</v>
      </c>
      <c r="Q2778" s="77" t="s">
        <v>3984</v>
      </c>
      <c r="R2778" s="77">
        <v>0</v>
      </c>
      <c r="S2778" s="77">
        <v>1</v>
      </c>
      <c r="T2778" s="77">
        <v>0</v>
      </c>
      <c r="U2778" s="77">
        <v>0</v>
      </c>
      <c r="V2778" s="77">
        <v>25</v>
      </c>
      <c r="W2778" s="82" t="s">
        <v>6591</v>
      </c>
      <c r="X2778" s="80" t="str">
        <f>HYPERLINK("https://youtu.be/8UQkA_uSFmA")</f>
        <v>https://youtu.be/8UQkA_uSFmA</v>
      </c>
      <c r="Y2778" s="77" t="s">
        <v>7248</v>
      </c>
      <c r="Z2778" s="77" t="s">
        <v>1241</v>
      </c>
      <c r="AA2778" s="77"/>
      <c r="AB2778" s="77"/>
      <c r="AC2778" s="82" t="s">
        <v>10146</v>
      </c>
      <c r="AD2778" s="77" t="s">
        <v>10184</v>
      </c>
      <c r="AE2778" s="80" t="str">
        <f>HYPERLINK("https://twitter.com/lucaspereira_ef/status/1666960927445381120")</f>
        <v>https://twitter.com/lucaspereira_ef/status/1666960927445381120</v>
      </c>
      <c r="AF2778" s="79">
        <v>45086.007291666669</v>
      </c>
      <c r="AG2778" s="85">
        <v>45086</v>
      </c>
      <c r="AH2778" s="82" t="s">
        <v>12845</v>
      </c>
      <c r="AI2778" s="77" t="b">
        <v>0</v>
      </c>
      <c r="AJ2778" s="77"/>
      <c r="AK2778" s="77"/>
      <c r="AL2778" s="77"/>
      <c r="AM2778" s="77"/>
      <c r="AN2778" s="77"/>
      <c r="AO2778" s="77"/>
      <c r="AP2778" s="77"/>
      <c r="AQ2778" s="77"/>
      <c r="AR2778" s="77"/>
      <c r="AS2778" s="77"/>
      <c r="AT2778" s="77"/>
      <c r="AU2778" s="77"/>
      <c r="AV2778" s="80" t="str">
        <f>HYPERLINK("https://pbs.twimg.com/profile_images/1628185029837832193/Qb7BI_Jj_normal.jpg")</f>
        <v>https://pbs.twimg.com/profile_images/1628185029837832193/Qb7BI_Jj_normal.jpg</v>
      </c>
      <c r="AW2778" s="82" t="s">
        <v>19544</v>
      </c>
      <c r="AX2778" s="82" t="s">
        <v>19544</v>
      </c>
      <c r="AY2778" s="77"/>
      <c r="AZ2778" s="82" t="s">
        <v>20971</v>
      </c>
      <c r="BA2778" s="82" t="s">
        <v>20971</v>
      </c>
      <c r="BB2778" s="82" t="s">
        <v>20971</v>
      </c>
      <c r="BC2778" s="82" t="s">
        <v>19544</v>
      </c>
      <c r="BD2778" s="82" t="s">
        <v>21543</v>
      </c>
      <c r="BE2778" s="77"/>
      <c r="BF2778" s="77"/>
      <c r="BG2778" s="77"/>
      <c r="BH2778" s="77"/>
      <c r="BI2778" s="77"/>
    </row>
    <row r="2779" spans="1:61" x14ac:dyDescent="0.25">
      <c r="A2779" s="62" t="s">
        <v>937</v>
      </c>
      <c r="B2779" s="62" t="s">
        <v>937</v>
      </c>
      <c r="C2779" s="63"/>
      <c r="D2779" s="64"/>
      <c r="E2779" s="65"/>
      <c r="F2779" s="66"/>
      <c r="G2779" s="63"/>
      <c r="H2779" s="67"/>
      <c r="I2779" s="68"/>
      <c r="J2779" s="68"/>
      <c r="K2779" s="32"/>
      <c r="L2779" s="75">
        <v>2779</v>
      </c>
      <c r="M2779" s="75"/>
      <c r="N2779" s="70"/>
      <c r="O2779" s="77" t="s">
        <v>179</v>
      </c>
      <c r="P2779" s="79">
        <v>45063.495879629627</v>
      </c>
      <c r="Q2779" s="77" t="s">
        <v>3985</v>
      </c>
      <c r="R2779" s="77">
        <v>0</v>
      </c>
      <c r="S2779" s="77">
        <v>0</v>
      </c>
      <c r="T2779" s="77">
        <v>0</v>
      </c>
      <c r="U2779" s="77">
        <v>0</v>
      </c>
      <c r="V2779" s="77">
        <v>44</v>
      </c>
      <c r="W2779" s="82" t="s">
        <v>6592</v>
      </c>
      <c r="X2779" s="77"/>
      <c r="Y2779" s="77"/>
      <c r="Z2779" s="77"/>
      <c r="AA2779" s="77" t="s">
        <v>9142</v>
      </c>
      <c r="AB2779" s="77" t="s">
        <v>10130</v>
      </c>
      <c r="AC2779" s="82" t="s">
        <v>10144</v>
      </c>
      <c r="AD2779" s="77" t="s">
        <v>10183</v>
      </c>
      <c r="AE2779" s="80" t="str">
        <f>HYPERLINK("https://twitter.com/fsouza2545/status/1658803066148118529")</f>
        <v>https://twitter.com/fsouza2545/status/1658803066148118529</v>
      </c>
      <c r="AF2779" s="79">
        <v>45063.495879629627</v>
      </c>
      <c r="AG2779" s="85">
        <v>45063</v>
      </c>
      <c r="AH2779" s="82" t="s">
        <v>12846</v>
      </c>
      <c r="AI2779" s="77" t="b">
        <v>0</v>
      </c>
      <c r="AJ2779" s="77"/>
      <c r="AK2779" s="77"/>
      <c r="AL2779" s="77"/>
      <c r="AM2779" s="77"/>
      <c r="AN2779" s="77"/>
      <c r="AO2779" s="77"/>
      <c r="AP2779" s="77"/>
      <c r="AQ2779" s="77" t="s">
        <v>15785</v>
      </c>
      <c r="AR2779" s="77"/>
      <c r="AS2779" s="77"/>
      <c r="AT2779" s="77"/>
      <c r="AU2779" s="77"/>
      <c r="AV2779" s="80" t="str">
        <f>HYPERLINK("https://pbs.twimg.com/media/FwVAl9AWAAIkC3G.jpg")</f>
        <v>https://pbs.twimg.com/media/FwVAl9AWAAIkC3G.jpg</v>
      </c>
      <c r="AW2779" s="82" t="s">
        <v>19545</v>
      </c>
      <c r="AX2779" s="82" t="s">
        <v>19545</v>
      </c>
      <c r="AY2779" s="77"/>
      <c r="AZ2779" s="82" t="s">
        <v>20971</v>
      </c>
      <c r="BA2779" s="82" t="s">
        <v>20971</v>
      </c>
      <c r="BB2779" s="82" t="s">
        <v>20971</v>
      </c>
      <c r="BC2779" s="82" t="s">
        <v>19545</v>
      </c>
      <c r="BD2779" s="82" t="s">
        <v>21544</v>
      </c>
      <c r="BE2779" s="77"/>
      <c r="BF2779" s="77"/>
      <c r="BG2779" s="77"/>
      <c r="BH2779" s="77"/>
      <c r="BI2779" s="77"/>
    </row>
    <row r="2780" spans="1:61" x14ac:dyDescent="0.25">
      <c r="A2780" s="62" t="s">
        <v>938</v>
      </c>
      <c r="B2780" s="62" t="s">
        <v>938</v>
      </c>
      <c r="C2780" s="63"/>
      <c r="D2780" s="64"/>
      <c r="E2780" s="65"/>
      <c r="F2780" s="66"/>
      <c r="G2780" s="63"/>
      <c r="H2780" s="67"/>
      <c r="I2780" s="68"/>
      <c r="J2780" s="68"/>
      <c r="K2780" s="32"/>
      <c r="L2780" s="75">
        <v>2780</v>
      </c>
      <c r="M2780" s="75"/>
      <c r="N2780" s="70"/>
      <c r="O2780" s="77" t="s">
        <v>179</v>
      </c>
      <c r="P2780" s="79">
        <v>45042.19902777778</v>
      </c>
      <c r="Q2780" s="77" t="s">
        <v>3986</v>
      </c>
      <c r="R2780" s="77">
        <v>0</v>
      </c>
      <c r="S2780" s="77">
        <v>0</v>
      </c>
      <c r="T2780" s="77">
        <v>0</v>
      </c>
      <c r="U2780" s="77">
        <v>0</v>
      </c>
      <c r="V2780" s="77">
        <v>137</v>
      </c>
      <c r="W2780" s="82" t="s">
        <v>6593</v>
      </c>
      <c r="X2780" s="77"/>
      <c r="Y2780" s="77"/>
      <c r="Z2780" s="77"/>
      <c r="AA2780" s="77" t="s">
        <v>9143</v>
      </c>
      <c r="AB2780" s="77" t="s">
        <v>10129</v>
      </c>
      <c r="AC2780" s="82" t="s">
        <v>10144</v>
      </c>
      <c r="AD2780" s="77" t="s">
        <v>10184</v>
      </c>
      <c r="AE2780" s="80" t="str">
        <f>HYPERLINK("https://twitter.com/sjcley/status/1651085343779684352")</f>
        <v>https://twitter.com/sjcley/status/1651085343779684352</v>
      </c>
      <c r="AF2780" s="79">
        <v>45042.19902777778</v>
      </c>
      <c r="AG2780" s="85">
        <v>45042</v>
      </c>
      <c r="AH2780" s="82" t="s">
        <v>12847</v>
      </c>
      <c r="AI2780" s="77" t="b">
        <v>0</v>
      </c>
      <c r="AJ2780" s="77"/>
      <c r="AK2780" s="77"/>
      <c r="AL2780" s="77"/>
      <c r="AM2780" s="77"/>
      <c r="AN2780" s="77"/>
      <c r="AO2780" s="77"/>
      <c r="AP2780" s="77"/>
      <c r="AQ2780" s="77" t="s">
        <v>15786</v>
      </c>
      <c r="AR2780" s="77">
        <v>44979</v>
      </c>
      <c r="AS2780" s="77"/>
      <c r="AT2780" s="77"/>
      <c r="AU2780" s="77"/>
      <c r="AV2780" s="80" t="str">
        <f>HYPERLINK("https://pbs.twimg.com/ext_tw_video_thumb/1651085288578461703/pu/img/Gf8Q0NSOoQC7XEpy.jpg")</f>
        <v>https://pbs.twimg.com/ext_tw_video_thumb/1651085288578461703/pu/img/Gf8Q0NSOoQC7XEpy.jpg</v>
      </c>
      <c r="AW2780" s="82" t="s">
        <v>19546</v>
      </c>
      <c r="AX2780" s="82" t="s">
        <v>19546</v>
      </c>
      <c r="AY2780" s="77"/>
      <c r="AZ2780" s="82" t="s">
        <v>20971</v>
      </c>
      <c r="BA2780" s="82" t="s">
        <v>20971</v>
      </c>
      <c r="BB2780" s="82" t="s">
        <v>20971</v>
      </c>
      <c r="BC2780" s="82" t="s">
        <v>19546</v>
      </c>
      <c r="BD2780" s="82" t="s">
        <v>21545</v>
      </c>
      <c r="BE2780" s="77"/>
      <c r="BF2780" s="77"/>
      <c r="BG2780" s="77"/>
      <c r="BH2780" s="77"/>
      <c r="BI2780" s="77"/>
    </row>
    <row r="2781" spans="1:61" x14ac:dyDescent="0.25">
      <c r="A2781" s="62" t="s">
        <v>939</v>
      </c>
      <c r="B2781" s="62" t="s">
        <v>1241</v>
      </c>
      <c r="C2781" s="63"/>
      <c r="D2781" s="64"/>
      <c r="E2781" s="65"/>
      <c r="F2781" s="66"/>
      <c r="G2781" s="63"/>
      <c r="H2781" s="67"/>
      <c r="I2781" s="68"/>
      <c r="J2781" s="68"/>
      <c r="K2781" s="32"/>
      <c r="L2781" s="75">
        <v>2781</v>
      </c>
      <c r="M2781" s="75"/>
      <c r="N2781" s="70"/>
      <c r="O2781" s="77" t="s">
        <v>1285</v>
      </c>
      <c r="P2781" s="79">
        <v>45041.575902777775</v>
      </c>
      <c r="Q2781" s="77" t="s">
        <v>3987</v>
      </c>
      <c r="R2781" s="77">
        <v>0</v>
      </c>
      <c r="S2781" s="77">
        <v>0</v>
      </c>
      <c r="T2781" s="77">
        <v>0</v>
      </c>
      <c r="U2781" s="77">
        <v>0</v>
      </c>
      <c r="V2781" s="77">
        <v>4</v>
      </c>
      <c r="W2781" s="82" t="s">
        <v>6594</v>
      </c>
      <c r="X2781" s="80" t="str">
        <f>HYPERLINK("https://youtu.be/QL1NonVjOpQ")</f>
        <v>https://youtu.be/QL1NonVjOpQ</v>
      </c>
      <c r="Y2781" s="77" t="s">
        <v>7248</v>
      </c>
      <c r="Z2781" s="77" t="s">
        <v>1241</v>
      </c>
      <c r="AA2781" s="77"/>
      <c r="AB2781" s="77"/>
      <c r="AC2781" s="82" t="s">
        <v>10146</v>
      </c>
      <c r="AD2781" s="77" t="s">
        <v>10184</v>
      </c>
      <c r="AE2781" s="80" t="str">
        <f>HYPERLINK("https://twitter.com/maestriariqueza/status/1650859532070060034")</f>
        <v>https://twitter.com/maestriariqueza/status/1650859532070060034</v>
      </c>
      <c r="AF2781" s="79">
        <v>45041.575902777775</v>
      </c>
      <c r="AG2781" s="85">
        <v>45041</v>
      </c>
      <c r="AH2781" s="82" t="s">
        <v>12848</v>
      </c>
      <c r="AI2781" s="77" t="b">
        <v>0</v>
      </c>
      <c r="AJ2781" s="77"/>
      <c r="AK2781" s="77"/>
      <c r="AL2781" s="77"/>
      <c r="AM2781" s="77"/>
      <c r="AN2781" s="77"/>
      <c r="AO2781" s="77"/>
      <c r="AP2781" s="77"/>
      <c r="AQ2781" s="77"/>
      <c r="AR2781" s="77"/>
      <c r="AS2781" s="77"/>
      <c r="AT2781" s="77"/>
      <c r="AU2781" s="77"/>
      <c r="AV2781" s="80" t="str">
        <f>HYPERLINK("https://pbs.twimg.com/profile_images/1643817541238951937/iBMls49O_normal.jpg")</f>
        <v>https://pbs.twimg.com/profile_images/1643817541238951937/iBMls49O_normal.jpg</v>
      </c>
      <c r="AW2781" s="82" t="s">
        <v>19547</v>
      </c>
      <c r="AX2781" s="82" t="s">
        <v>19547</v>
      </c>
      <c r="AY2781" s="77"/>
      <c r="AZ2781" s="82" t="s">
        <v>20971</v>
      </c>
      <c r="BA2781" s="82" t="s">
        <v>20971</v>
      </c>
      <c r="BB2781" s="82" t="s">
        <v>20971</v>
      </c>
      <c r="BC2781" s="82" t="s">
        <v>19547</v>
      </c>
      <c r="BD2781" s="82" t="s">
        <v>21546</v>
      </c>
      <c r="BE2781" s="77"/>
      <c r="BF2781" s="77"/>
      <c r="BG2781" s="77"/>
      <c r="BH2781" s="77"/>
      <c r="BI2781" s="77"/>
    </row>
    <row r="2782" spans="1:61" x14ac:dyDescent="0.25">
      <c r="A2782" s="62" t="s">
        <v>940</v>
      </c>
      <c r="B2782" s="62" t="s">
        <v>940</v>
      </c>
      <c r="C2782" s="63"/>
      <c r="D2782" s="64"/>
      <c r="E2782" s="65"/>
      <c r="F2782" s="66"/>
      <c r="G2782" s="63"/>
      <c r="H2782" s="67"/>
      <c r="I2782" s="68"/>
      <c r="J2782" s="68"/>
      <c r="K2782" s="32"/>
      <c r="L2782" s="75">
        <v>2782</v>
      </c>
      <c r="M2782" s="75"/>
      <c r="N2782" s="70"/>
      <c r="O2782" s="77" t="s">
        <v>179</v>
      </c>
      <c r="P2782" s="79">
        <v>45162.540358796294</v>
      </c>
      <c r="Q2782" s="77" t="s">
        <v>3988</v>
      </c>
      <c r="R2782" s="77">
        <v>0</v>
      </c>
      <c r="S2782" s="77">
        <v>0</v>
      </c>
      <c r="T2782" s="77">
        <v>0</v>
      </c>
      <c r="U2782" s="77">
        <v>0</v>
      </c>
      <c r="V2782" s="77">
        <v>19</v>
      </c>
      <c r="W2782" s="82" t="s">
        <v>6595</v>
      </c>
      <c r="X2782" s="80" t="str">
        <f>HYPERLINK("https://p9uu.com/sharecwbr/xaZqlrsR")</f>
        <v>https://p9uu.com/sharecwbr/xaZqlrsR</v>
      </c>
      <c r="Y2782" s="77" t="s">
        <v>7441</v>
      </c>
      <c r="Z2782" s="77"/>
      <c r="AA2782" s="77"/>
      <c r="AB2782" s="77"/>
      <c r="AC2782" s="82" t="s">
        <v>10145</v>
      </c>
      <c r="AD2782" s="77" t="s">
        <v>10184</v>
      </c>
      <c r="AE2782" s="80" t="str">
        <f>HYPERLINK("https://twitter.com/alexsandracms/status/1694695584374862148")</f>
        <v>https://twitter.com/alexsandracms/status/1694695584374862148</v>
      </c>
      <c r="AF2782" s="79">
        <v>45162.540358796294</v>
      </c>
      <c r="AG2782" s="85">
        <v>45162</v>
      </c>
      <c r="AH2782" s="82" t="s">
        <v>12849</v>
      </c>
      <c r="AI2782" s="77" t="b">
        <v>0</v>
      </c>
      <c r="AJ2782" s="77"/>
      <c r="AK2782" s="77"/>
      <c r="AL2782" s="77"/>
      <c r="AM2782" s="77"/>
      <c r="AN2782" s="77"/>
      <c r="AO2782" s="77"/>
      <c r="AP2782" s="77"/>
      <c r="AQ2782" s="77"/>
      <c r="AR2782" s="77"/>
      <c r="AS2782" s="77"/>
      <c r="AT2782" s="77"/>
      <c r="AU2782" s="77"/>
      <c r="AV2782" s="80" t="str">
        <f>HYPERLINK("https://pbs.twimg.com/profile_images/1610470988243681280/71MY9W-H_normal.jpg")</f>
        <v>https://pbs.twimg.com/profile_images/1610470988243681280/71MY9W-H_normal.jpg</v>
      </c>
      <c r="AW2782" s="82" t="s">
        <v>19548</v>
      </c>
      <c r="AX2782" s="82" t="s">
        <v>19548</v>
      </c>
      <c r="AY2782" s="77"/>
      <c r="AZ2782" s="82" t="s">
        <v>20971</v>
      </c>
      <c r="BA2782" s="82" t="s">
        <v>20971</v>
      </c>
      <c r="BB2782" s="82" t="s">
        <v>20971</v>
      </c>
      <c r="BC2782" s="82" t="s">
        <v>19548</v>
      </c>
      <c r="BD2782" s="77">
        <v>381033244</v>
      </c>
      <c r="BE2782" s="77"/>
      <c r="BF2782" s="77"/>
      <c r="BG2782" s="77"/>
      <c r="BH2782" s="77"/>
      <c r="BI2782" s="77"/>
    </row>
    <row r="2783" spans="1:61" x14ac:dyDescent="0.25">
      <c r="A2783" s="62" t="s">
        <v>941</v>
      </c>
      <c r="B2783" s="62" t="s">
        <v>941</v>
      </c>
      <c r="C2783" s="63"/>
      <c r="D2783" s="64"/>
      <c r="E2783" s="65"/>
      <c r="F2783" s="66"/>
      <c r="G2783" s="63"/>
      <c r="H2783" s="67"/>
      <c r="I2783" s="68"/>
      <c r="J2783" s="68"/>
      <c r="K2783" s="32"/>
      <c r="L2783" s="75">
        <v>2783</v>
      </c>
      <c r="M2783" s="75"/>
      <c r="N2783" s="70"/>
      <c r="O2783" s="77" t="s">
        <v>179</v>
      </c>
      <c r="P2783" s="79">
        <v>45139.967187499999</v>
      </c>
      <c r="Q2783" s="77" t="s">
        <v>3989</v>
      </c>
      <c r="R2783" s="77">
        <v>0</v>
      </c>
      <c r="S2783" s="77">
        <v>0</v>
      </c>
      <c r="T2783" s="77">
        <v>0</v>
      </c>
      <c r="U2783" s="77">
        <v>0</v>
      </c>
      <c r="V2783" s="77">
        <v>19</v>
      </c>
      <c r="W2783" s="82" t="s">
        <v>6596</v>
      </c>
      <c r="X2783" s="77" t="s">
        <v>7227</v>
      </c>
      <c r="Y2783" s="77" t="s">
        <v>7442</v>
      </c>
      <c r="Z2783" s="77"/>
      <c r="AA2783" s="77"/>
      <c r="AB2783" s="77"/>
      <c r="AC2783" s="82" t="s">
        <v>10144</v>
      </c>
      <c r="AD2783" s="77" t="s">
        <v>10184</v>
      </c>
      <c r="AE2783" s="80" t="str">
        <f>HYPERLINK("https://twitter.com/ia_double_pro/status/1686515340174401538")</f>
        <v>https://twitter.com/ia_double_pro/status/1686515340174401538</v>
      </c>
      <c r="AF2783" s="79">
        <v>45139.967187499999</v>
      </c>
      <c r="AG2783" s="85">
        <v>45139</v>
      </c>
      <c r="AH2783" s="82" t="s">
        <v>12850</v>
      </c>
      <c r="AI2783" s="77" t="b">
        <v>0</v>
      </c>
      <c r="AJ2783" s="77"/>
      <c r="AK2783" s="77"/>
      <c r="AL2783" s="77"/>
      <c r="AM2783" s="77"/>
      <c r="AN2783" s="77"/>
      <c r="AO2783" s="77"/>
      <c r="AP2783" s="77"/>
      <c r="AQ2783" s="77"/>
      <c r="AR2783" s="77"/>
      <c r="AS2783" s="77"/>
      <c r="AT2783" s="77"/>
      <c r="AU2783" s="77"/>
      <c r="AV2783" s="80" t="str">
        <f>HYPERLINK("https://pbs.twimg.com/profile_images/1685845786557362176/qA1-Do-8_normal.jpg")</f>
        <v>https://pbs.twimg.com/profile_images/1685845786557362176/qA1-Do-8_normal.jpg</v>
      </c>
      <c r="AW2783" s="82" t="s">
        <v>19549</v>
      </c>
      <c r="AX2783" s="82" t="s">
        <v>19549</v>
      </c>
      <c r="AY2783" s="77"/>
      <c r="AZ2783" s="82" t="s">
        <v>20971</v>
      </c>
      <c r="BA2783" s="82" t="s">
        <v>20971</v>
      </c>
      <c r="BB2783" s="82" t="s">
        <v>20971</v>
      </c>
      <c r="BC2783" s="82" t="s">
        <v>19549</v>
      </c>
      <c r="BD2783" s="82" t="s">
        <v>21547</v>
      </c>
      <c r="BE2783" s="77"/>
      <c r="BF2783" s="77"/>
      <c r="BG2783" s="77"/>
      <c r="BH2783" s="77"/>
      <c r="BI2783" s="77"/>
    </row>
    <row r="2784" spans="1:61" x14ac:dyDescent="0.25">
      <c r="A2784" s="62" t="s">
        <v>941</v>
      </c>
      <c r="B2784" s="62" t="s">
        <v>941</v>
      </c>
      <c r="C2784" s="63"/>
      <c r="D2784" s="64"/>
      <c r="E2784" s="65"/>
      <c r="F2784" s="66"/>
      <c r="G2784" s="63"/>
      <c r="H2784" s="67"/>
      <c r="I2784" s="68"/>
      <c r="J2784" s="68"/>
      <c r="K2784" s="32"/>
      <c r="L2784" s="75">
        <v>2784</v>
      </c>
      <c r="M2784" s="75"/>
      <c r="N2784" s="70"/>
      <c r="O2784" s="77" t="s">
        <v>179</v>
      </c>
      <c r="P2784" s="79">
        <v>45138.412222222221</v>
      </c>
      <c r="Q2784" s="77" t="s">
        <v>3990</v>
      </c>
      <c r="R2784" s="77">
        <v>0</v>
      </c>
      <c r="S2784" s="77">
        <v>0</v>
      </c>
      <c r="T2784" s="77">
        <v>0</v>
      </c>
      <c r="U2784" s="77">
        <v>0</v>
      </c>
      <c r="V2784" s="77">
        <v>20</v>
      </c>
      <c r="W2784" s="82" t="s">
        <v>6597</v>
      </c>
      <c r="X2784" s="80" t="str">
        <f>HYPERLINK("https://t.me/iadoubleprofree")</f>
        <v>https://t.me/iadoubleprofree</v>
      </c>
      <c r="Y2784" s="77" t="s">
        <v>7312</v>
      </c>
      <c r="Z2784" s="77"/>
      <c r="AA2784" s="77" t="s">
        <v>9144</v>
      </c>
      <c r="AB2784" s="77" t="s">
        <v>10129</v>
      </c>
      <c r="AC2784" s="82" t="s">
        <v>10144</v>
      </c>
      <c r="AD2784" s="77" t="s">
        <v>10184</v>
      </c>
      <c r="AE2784" s="80" t="str">
        <f>HYPERLINK("https://twitter.com/ia_double_pro/status/1685951837516779520")</f>
        <v>https://twitter.com/ia_double_pro/status/1685951837516779520</v>
      </c>
      <c r="AF2784" s="79">
        <v>45138.412222222221</v>
      </c>
      <c r="AG2784" s="85">
        <v>45138</v>
      </c>
      <c r="AH2784" s="82" t="s">
        <v>12851</v>
      </c>
      <c r="AI2784" s="77" t="b">
        <v>0</v>
      </c>
      <c r="AJ2784" s="77"/>
      <c r="AK2784" s="77"/>
      <c r="AL2784" s="77"/>
      <c r="AM2784" s="77"/>
      <c r="AN2784" s="77"/>
      <c r="AO2784" s="77"/>
      <c r="AP2784" s="77"/>
      <c r="AQ2784" s="77" t="s">
        <v>15787</v>
      </c>
      <c r="AR2784" s="77">
        <v>15236</v>
      </c>
      <c r="AS2784" s="77"/>
      <c r="AT2784" s="77"/>
      <c r="AU2784" s="77"/>
      <c r="AV2784" s="80" t="str">
        <f>HYPERLINK("https://pbs.twimg.com/ext_tw_video_thumb/1685951797993619456/pu/img/p0nUZjPC0S1DWE11.jpg")</f>
        <v>https://pbs.twimg.com/ext_tw_video_thumb/1685951797993619456/pu/img/p0nUZjPC0S1DWE11.jpg</v>
      </c>
      <c r="AW2784" s="82" t="s">
        <v>19550</v>
      </c>
      <c r="AX2784" s="82" t="s">
        <v>19550</v>
      </c>
      <c r="AY2784" s="77"/>
      <c r="AZ2784" s="82" t="s">
        <v>20971</v>
      </c>
      <c r="BA2784" s="82" t="s">
        <v>20971</v>
      </c>
      <c r="BB2784" s="82" t="s">
        <v>20971</v>
      </c>
      <c r="BC2784" s="82" t="s">
        <v>19550</v>
      </c>
      <c r="BD2784" s="82" t="s">
        <v>21547</v>
      </c>
      <c r="BE2784" s="77"/>
      <c r="BF2784" s="77"/>
      <c r="BG2784" s="77"/>
      <c r="BH2784" s="77"/>
      <c r="BI2784" s="77"/>
    </row>
    <row r="2785" spans="1:61" x14ac:dyDescent="0.25">
      <c r="A2785" s="62" t="s">
        <v>941</v>
      </c>
      <c r="B2785" s="62" t="s">
        <v>941</v>
      </c>
      <c r="C2785" s="63"/>
      <c r="D2785" s="64"/>
      <c r="E2785" s="65"/>
      <c r="F2785" s="66"/>
      <c r="G2785" s="63"/>
      <c r="H2785" s="67"/>
      <c r="I2785" s="68"/>
      <c r="J2785" s="68"/>
      <c r="K2785" s="32"/>
      <c r="L2785" s="75">
        <v>2785</v>
      </c>
      <c r="M2785" s="75"/>
      <c r="N2785" s="70"/>
      <c r="O2785" s="77" t="s">
        <v>179</v>
      </c>
      <c r="P2785" s="79">
        <v>45139.413819444446</v>
      </c>
      <c r="Q2785" s="77" t="s">
        <v>3991</v>
      </c>
      <c r="R2785" s="77">
        <v>0</v>
      </c>
      <c r="S2785" s="77">
        <v>0</v>
      </c>
      <c r="T2785" s="77">
        <v>0</v>
      </c>
      <c r="U2785" s="77">
        <v>0</v>
      </c>
      <c r="V2785" s="77">
        <v>9</v>
      </c>
      <c r="W2785" s="82" t="s">
        <v>6598</v>
      </c>
      <c r="X2785" s="80" t="str">
        <f>HYPERLINK("https://t.me/iadoubleprofree")</f>
        <v>https://t.me/iadoubleprofree</v>
      </c>
      <c r="Y2785" s="77" t="s">
        <v>7312</v>
      </c>
      <c r="Z2785" s="77"/>
      <c r="AA2785" s="77" t="s">
        <v>9145</v>
      </c>
      <c r="AB2785" s="77" t="s">
        <v>10129</v>
      </c>
      <c r="AC2785" s="82" t="s">
        <v>10144</v>
      </c>
      <c r="AD2785" s="77" t="s">
        <v>10184</v>
      </c>
      <c r="AE2785" s="80" t="str">
        <f>HYPERLINK("https://twitter.com/ia_double_pro/status/1686314805127163904")</f>
        <v>https://twitter.com/ia_double_pro/status/1686314805127163904</v>
      </c>
      <c r="AF2785" s="79">
        <v>45139.413819444446</v>
      </c>
      <c r="AG2785" s="85">
        <v>45139</v>
      </c>
      <c r="AH2785" s="82" t="s">
        <v>12852</v>
      </c>
      <c r="AI2785" s="77" t="b">
        <v>0</v>
      </c>
      <c r="AJ2785" s="77"/>
      <c r="AK2785" s="77"/>
      <c r="AL2785" s="77"/>
      <c r="AM2785" s="77"/>
      <c r="AN2785" s="77"/>
      <c r="AO2785" s="77"/>
      <c r="AP2785" s="77"/>
      <c r="AQ2785" s="77" t="s">
        <v>15788</v>
      </c>
      <c r="AR2785" s="77">
        <v>11879</v>
      </c>
      <c r="AS2785" s="77"/>
      <c r="AT2785" s="77"/>
      <c r="AU2785" s="77"/>
      <c r="AV2785" s="80" t="str">
        <f>HYPERLINK("https://pbs.twimg.com/ext_tw_video_thumb/1686314764929036288/pu/img/99BJbmDyhNGohAKe.jpg")</f>
        <v>https://pbs.twimg.com/ext_tw_video_thumb/1686314764929036288/pu/img/99BJbmDyhNGohAKe.jpg</v>
      </c>
      <c r="AW2785" s="82" t="s">
        <v>19551</v>
      </c>
      <c r="AX2785" s="82" t="s">
        <v>19551</v>
      </c>
      <c r="AY2785" s="77"/>
      <c r="AZ2785" s="82" t="s">
        <v>20971</v>
      </c>
      <c r="BA2785" s="82" t="s">
        <v>20971</v>
      </c>
      <c r="BB2785" s="82" t="s">
        <v>20971</v>
      </c>
      <c r="BC2785" s="82" t="s">
        <v>19551</v>
      </c>
      <c r="BD2785" s="82" t="s">
        <v>21547</v>
      </c>
      <c r="BE2785" s="77"/>
      <c r="BF2785" s="77"/>
      <c r="BG2785" s="77"/>
      <c r="BH2785" s="77"/>
      <c r="BI2785" s="77"/>
    </row>
    <row r="2786" spans="1:61" x14ac:dyDescent="0.25">
      <c r="A2786" s="62" t="s">
        <v>942</v>
      </c>
      <c r="B2786" s="62" t="s">
        <v>942</v>
      </c>
      <c r="C2786" s="63"/>
      <c r="D2786" s="64"/>
      <c r="E2786" s="65"/>
      <c r="F2786" s="66"/>
      <c r="G2786" s="63"/>
      <c r="H2786" s="67"/>
      <c r="I2786" s="68"/>
      <c r="J2786" s="68"/>
      <c r="K2786" s="32"/>
      <c r="L2786" s="75">
        <v>2786</v>
      </c>
      <c r="M2786" s="75"/>
      <c r="N2786" s="70"/>
      <c r="O2786" s="77" t="s">
        <v>179</v>
      </c>
      <c r="P2786" s="79">
        <v>44965.622476851851</v>
      </c>
      <c r="Q2786" s="77" t="s">
        <v>3992</v>
      </c>
      <c r="R2786" s="77">
        <v>0</v>
      </c>
      <c r="S2786" s="77">
        <v>1</v>
      </c>
      <c r="T2786" s="77">
        <v>0</v>
      </c>
      <c r="U2786" s="77">
        <v>0</v>
      </c>
      <c r="V2786" s="77">
        <v>39</v>
      </c>
      <c r="W2786" s="82" t="s">
        <v>6599</v>
      </c>
      <c r="X2786" s="80" t="str">
        <f>HYPERLINK("https://www.instagram.com/reel/CoZ77-NjWAC/?igshid=MDJmNzVkMjY=")</f>
        <v>https://www.instagram.com/reel/CoZ77-NjWAC/?igshid=MDJmNzVkMjY=</v>
      </c>
      <c r="Y2786" s="77" t="s">
        <v>7250</v>
      </c>
      <c r="Z2786" s="77"/>
      <c r="AA2786" s="77"/>
      <c r="AB2786" s="77"/>
      <c r="AC2786" s="82" t="s">
        <v>10144</v>
      </c>
      <c r="AD2786" s="77" t="s">
        <v>10184</v>
      </c>
      <c r="AE2786" s="80" t="str">
        <f>HYPERLINK("https://twitter.com/yvedeoliveira/status/1623334929697239040")</f>
        <v>https://twitter.com/yvedeoliveira/status/1623334929697239040</v>
      </c>
      <c r="AF2786" s="79">
        <v>44965.622476851851</v>
      </c>
      <c r="AG2786" s="85">
        <v>44965</v>
      </c>
      <c r="AH2786" s="82" t="s">
        <v>12853</v>
      </c>
      <c r="AI2786" s="77" t="b">
        <v>0</v>
      </c>
      <c r="AJ2786" s="77"/>
      <c r="AK2786" s="77"/>
      <c r="AL2786" s="77"/>
      <c r="AM2786" s="77"/>
      <c r="AN2786" s="77"/>
      <c r="AO2786" s="77"/>
      <c r="AP2786" s="77"/>
      <c r="AQ2786" s="77"/>
      <c r="AR2786" s="77"/>
      <c r="AS2786" s="77"/>
      <c r="AT2786" s="77"/>
      <c r="AU2786" s="77"/>
      <c r="AV2786" s="80" t="str">
        <f>HYPERLINK("https://pbs.twimg.com/profile_images/1700947671891013632/xGqlr6a9_normal.jpg")</f>
        <v>https://pbs.twimg.com/profile_images/1700947671891013632/xGqlr6a9_normal.jpg</v>
      </c>
      <c r="AW2786" s="82" t="s">
        <v>19552</v>
      </c>
      <c r="AX2786" s="82" t="s">
        <v>19552</v>
      </c>
      <c r="AY2786" s="77"/>
      <c r="AZ2786" s="82" t="s">
        <v>20971</v>
      </c>
      <c r="BA2786" s="82" t="s">
        <v>20971</v>
      </c>
      <c r="BB2786" s="82" t="s">
        <v>20971</v>
      </c>
      <c r="BC2786" s="82" t="s">
        <v>19552</v>
      </c>
      <c r="BD2786" s="77">
        <v>383995178</v>
      </c>
      <c r="BE2786" s="77"/>
      <c r="BF2786" s="77"/>
      <c r="BG2786" s="77"/>
      <c r="BH2786" s="77"/>
      <c r="BI2786" s="77"/>
    </row>
    <row r="2787" spans="1:61" x14ac:dyDescent="0.25">
      <c r="A2787" s="62" t="s">
        <v>943</v>
      </c>
      <c r="B2787" s="62" t="s">
        <v>943</v>
      </c>
      <c r="C2787" s="63"/>
      <c r="D2787" s="64"/>
      <c r="E2787" s="65"/>
      <c r="F2787" s="66"/>
      <c r="G2787" s="63"/>
      <c r="H2787" s="67"/>
      <c r="I2787" s="68"/>
      <c r="J2787" s="68"/>
      <c r="K2787" s="32"/>
      <c r="L2787" s="75">
        <v>2787</v>
      </c>
      <c r="M2787" s="75"/>
      <c r="N2787" s="70"/>
      <c r="O2787" s="77" t="s">
        <v>179</v>
      </c>
      <c r="P2787" s="79">
        <v>45150.017835648148</v>
      </c>
      <c r="Q2787" s="77" t="s">
        <v>3993</v>
      </c>
      <c r="R2787" s="77">
        <v>0</v>
      </c>
      <c r="S2787" s="77">
        <v>0</v>
      </c>
      <c r="T2787" s="77">
        <v>0</v>
      </c>
      <c r="U2787" s="77">
        <v>0</v>
      </c>
      <c r="V2787" s="77">
        <v>6</v>
      </c>
      <c r="W2787" s="82" t="s">
        <v>6600</v>
      </c>
      <c r="X2787" s="80" t="str">
        <f>HYPERLINK("https://ocapital.digital/analise/a-inteligencia-artificial-ainda-e-uma-grande-promessa/")</f>
        <v>https://ocapital.digital/analise/a-inteligencia-artificial-ainda-e-uma-grande-promessa/</v>
      </c>
      <c r="Y2787" s="77" t="s">
        <v>7443</v>
      </c>
      <c r="Z2787" s="77"/>
      <c r="AA2787" s="77"/>
      <c r="AB2787" s="77"/>
      <c r="AC2787" s="82" t="s">
        <v>10146</v>
      </c>
      <c r="AD2787" s="77" t="s">
        <v>10184</v>
      </c>
      <c r="AE2787" s="80" t="str">
        <f>HYPERLINK("https://twitter.com/ocapitaldigital/status/1690157571661869056")</f>
        <v>https://twitter.com/ocapitaldigital/status/1690157571661869056</v>
      </c>
      <c r="AF2787" s="79">
        <v>45150.017835648148</v>
      </c>
      <c r="AG2787" s="85">
        <v>45150</v>
      </c>
      <c r="AH2787" s="82" t="s">
        <v>12854</v>
      </c>
      <c r="AI2787" s="77" t="b">
        <v>0</v>
      </c>
      <c r="AJ2787" s="77"/>
      <c r="AK2787" s="77"/>
      <c r="AL2787" s="77"/>
      <c r="AM2787" s="77"/>
      <c r="AN2787" s="77"/>
      <c r="AO2787" s="77"/>
      <c r="AP2787" s="77"/>
      <c r="AQ2787" s="77"/>
      <c r="AR2787" s="77"/>
      <c r="AS2787" s="77"/>
      <c r="AT2787" s="77"/>
      <c r="AU2787" s="77"/>
      <c r="AV2787" s="80" t="str">
        <f>HYPERLINK("https://pbs.twimg.com/profile_images/1686163878537752576/OVdOC0bK_normal.jpg")</f>
        <v>https://pbs.twimg.com/profile_images/1686163878537752576/OVdOC0bK_normal.jpg</v>
      </c>
      <c r="AW2787" s="82" t="s">
        <v>19553</v>
      </c>
      <c r="AX2787" s="82" t="s">
        <v>19553</v>
      </c>
      <c r="AY2787" s="77"/>
      <c r="AZ2787" s="82" t="s">
        <v>20971</v>
      </c>
      <c r="BA2787" s="82" t="s">
        <v>20971</v>
      </c>
      <c r="BB2787" s="82" t="s">
        <v>20971</v>
      </c>
      <c r="BC2787" s="82" t="s">
        <v>19553</v>
      </c>
      <c r="BD2787" s="82" t="s">
        <v>21548</v>
      </c>
      <c r="BE2787" s="77"/>
      <c r="BF2787" s="77"/>
      <c r="BG2787" s="77"/>
      <c r="BH2787" s="77"/>
      <c r="BI2787" s="77"/>
    </row>
    <row r="2788" spans="1:61" x14ac:dyDescent="0.25">
      <c r="A2788" s="62" t="s">
        <v>943</v>
      </c>
      <c r="B2788" s="62" t="s">
        <v>943</v>
      </c>
      <c r="C2788" s="63"/>
      <c r="D2788" s="64"/>
      <c r="E2788" s="65"/>
      <c r="F2788" s="66"/>
      <c r="G2788" s="63"/>
      <c r="H2788" s="67"/>
      <c r="I2788" s="68"/>
      <c r="J2788" s="68"/>
      <c r="K2788" s="32"/>
      <c r="L2788" s="75">
        <v>2788</v>
      </c>
      <c r="M2788" s="75"/>
      <c r="N2788" s="70"/>
      <c r="O2788" s="77" t="s">
        <v>179</v>
      </c>
      <c r="P2788" s="79">
        <v>45149.911180555559</v>
      </c>
      <c r="Q2788" s="77" t="s">
        <v>3994</v>
      </c>
      <c r="R2788" s="77">
        <v>0</v>
      </c>
      <c r="S2788" s="77">
        <v>0</v>
      </c>
      <c r="T2788" s="77">
        <v>0</v>
      </c>
      <c r="U2788" s="77">
        <v>0</v>
      </c>
      <c r="V2788" s="77">
        <v>7</v>
      </c>
      <c r="W2788" s="82" t="s">
        <v>6601</v>
      </c>
      <c r="X2788" s="80" t="str">
        <f>HYPERLINK("https://ocapital.digital/educacao-financeira/juros-compostos-a-maquina-de-multiplicar-o-seu-dinheiro/")</f>
        <v>https://ocapital.digital/educacao-financeira/juros-compostos-a-maquina-de-multiplicar-o-seu-dinheiro/</v>
      </c>
      <c r="Y2788" s="77" t="s">
        <v>7443</v>
      </c>
      <c r="Z2788" s="77"/>
      <c r="AA2788" s="77"/>
      <c r="AB2788" s="77"/>
      <c r="AC2788" s="82" t="s">
        <v>10146</v>
      </c>
      <c r="AD2788" s="77" t="s">
        <v>10184</v>
      </c>
      <c r="AE2788" s="80" t="str">
        <f>HYPERLINK("https://twitter.com/ocapitaldigital/status/1690118920282193920")</f>
        <v>https://twitter.com/ocapitaldigital/status/1690118920282193920</v>
      </c>
      <c r="AF2788" s="79">
        <v>45149.911180555559</v>
      </c>
      <c r="AG2788" s="85">
        <v>45149</v>
      </c>
      <c r="AH2788" s="82" t="s">
        <v>12855</v>
      </c>
      <c r="AI2788" s="77" t="b">
        <v>0</v>
      </c>
      <c r="AJ2788" s="77"/>
      <c r="AK2788" s="77"/>
      <c r="AL2788" s="77"/>
      <c r="AM2788" s="77"/>
      <c r="AN2788" s="77"/>
      <c r="AO2788" s="77"/>
      <c r="AP2788" s="77"/>
      <c r="AQ2788" s="77"/>
      <c r="AR2788" s="77"/>
      <c r="AS2788" s="77"/>
      <c r="AT2788" s="77"/>
      <c r="AU2788" s="77"/>
      <c r="AV2788" s="80" t="str">
        <f>HYPERLINK("https://pbs.twimg.com/profile_images/1686163878537752576/OVdOC0bK_normal.jpg")</f>
        <v>https://pbs.twimg.com/profile_images/1686163878537752576/OVdOC0bK_normal.jpg</v>
      </c>
      <c r="AW2788" s="82" t="s">
        <v>19554</v>
      </c>
      <c r="AX2788" s="82" t="s">
        <v>19554</v>
      </c>
      <c r="AY2788" s="77"/>
      <c r="AZ2788" s="82" t="s">
        <v>20971</v>
      </c>
      <c r="BA2788" s="82" t="s">
        <v>20971</v>
      </c>
      <c r="BB2788" s="82" t="s">
        <v>20971</v>
      </c>
      <c r="BC2788" s="82" t="s">
        <v>19554</v>
      </c>
      <c r="BD2788" s="82" t="s">
        <v>21548</v>
      </c>
      <c r="BE2788" s="77"/>
      <c r="BF2788" s="77"/>
      <c r="BG2788" s="77"/>
      <c r="BH2788" s="77"/>
      <c r="BI2788" s="77"/>
    </row>
    <row r="2789" spans="1:61" x14ac:dyDescent="0.25">
      <c r="A2789" s="62" t="s">
        <v>944</v>
      </c>
      <c r="B2789" s="62" t="s">
        <v>944</v>
      </c>
      <c r="C2789" s="63"/>
      <c r="D2789" s="64"/>
      <c r="E2789" s="65"/>
      <c r="F2789" s="66"/>
      <c r="G2789" s="63"/>
      <c r="H2789" s="67"/>
      <c r="I2789" s="68"/>
      <c r="J2789" s="68"/>
      <c r="K2789" s="32"/>
      <c r="L2789" s="75">
        <v>2789</v>
      </c>
      <c r="M2789" s="75"/>
      <c r="N2789" s="70"/>
      <c r="O2789" s="77" t="s">
        <v>179</v>
      </c>
      <c r="P2789" s="79">
        <v>44986.690104166664</v>
      </c>
      <c r="Q2789" s="77" t="s">
        <v>3995</v>
      </c>
      <c r="R2789" s="77">
        <v>0</v>
      </c>
      <c r="S2789" s="77">
        <v>0</v>
      </c>
      <c r="T2789" s="77">
        <v>0</v>
      </c>
      <c r="U2789" s="77">
        <v>0</v>
      </c>
      <c r="V2789" s="77">
        <v>25</v>
      </c>
      <c r="W2789" s="82" t="s">
        <v>6602</v>
      </c>
      <c r="X2789" s="77"/>
      <c r="Y2789" s="77"/>
      <c r="Z2789" s="77"/>
      <c r="AA2789" s="77" t="s">
        <v>9146</v>
      </c>
      <c r="AB2789" s="77" t="s">
        <v>10129</v>
      </c>
      <c r="AC2789" s="82" t="s">
        <v>10144</v>
      </c>
      <c r="AD2789" s="77" t="s">
        <v>10184</v>
      </c>
      <c r="AE2789" s="80" t="str">
        <f>HYPERLINK("https://twitter.com/extrafluxo/status/1630969583333933059")</f>
        <v>https://twitter.com/extrafluxo/status/1630969583333933059</v>
      </c>
      <c r="AF2789" s="79">
        <v>44986.690104166664</v>
      </c>
      <c r="AG2789" s="85">
        <v>44986</v>
      </c>
      <c r="AH2789" s="82" t="s">
        <v>12856</v>
      </c>
      <c r="AI2789" s="77" t="b">
        <v>0</v>
      </c>
      <c r="AJ2789" s="77"/>
      <c r="AK2789" s="77"/>
      <c r="AL2789" s="77"/>
      <c r="AM2789" s="77"/>
      <c r="AN2789" s="77"/>
      <c r="AO2789" s="77"/>
      <c r="AP2789" s="77"/>
      <c r="AQ2789" s="77" t="s">
        <v>15789</v>
      </c>
      <c r="AR2789" s="77">
        <v>44959</v>
      </c>
      <c r="AS2789" s="77"/>
      <c r="AT2789" s="77"/>
      <c r="AU2789" s="77"/>
      <c r="AV2789" s="80" t="str">
        <f>HYPERLINK("https://pbs.twimg.com/ext_tw_video_thumb/1630969497250062336/pu/img/i1XlN5nuBfLKwlFp.jpg")</f>
        <v>https://pbs.twimg.com/ext_tw_video_thumb/1630969497250062336/pu/img/i1XlN5nuBfLKwlFp.jpg</v>
      </c>
      <c r="AW2789" s="82" t="s">
        <v>19555</v>
      </c>
      <c r="AX2789" s="82" t="s">
        <v>19555</v>
      </c>
      <c r="AY2789" s="77"/>
      <c r="AZ2789" s="82" t="s">
        <v>20971</v>
      </c>
      <c r="BA2789" s="82" t="s">
        <v>20971</v>
      </c>
      <c r="BB2789" s="82" t="s">
        <v>20971</v>
      </c>
      <c r="BC2789" s="82" t="s">
        <v>19555</v>
      </c>
      <c r="BD2789" s="82" t="s">
        <v>21549</v>
      </c>
      <c r="BE2789" s="77"/>
      <c r="BF2789" s="77"/>
      <c r="BG2789" s="77"/>
      <c r="BH2789" s="77"/>
      <c r="BI2789" s="77"/>
    </row>
    <row r="2790" spans="1:61" x14ac:dyDescent="0.25">
      <c r="A2790" s="62" t="s">
        <v>945</v>
      </c>
      <c r="B2790" s="62" t="s">
        <v>945</v>
      </c>
      <c r="C2790" s="63"/>
      <c r="D2790" s="64"/>
      <c r="E2790" s="65"/>
      <c r="F2790" s="66"/>
      <c r="G2790" s="63"/>
      <c r="H2790" s="67"/>
      <c r="I2790" s="68"/>
      <c r="J2790" s="68"/>
      <c r="K2790" s="32"/>
      <c r="L2790" s="75">
        <v>2790</v>
      </c>
      <c r="M2790" s="75"/>
      <c r="N2790" s="70"/>
      <c r="O2790" s="77" t="s">
        <v>179</v>
      </c>
      <c r="P2790" s="79">
        <v>44965.07303240741</v>
      </c>
      <c r="Q2790" s="77" t="s">
        <v>3996</v>
      </c>
      <c r="R2790" s="77">
        <v>0</v>
      </c>
      <c r="S2790" s="77">
        <v>0</v>
      </c>
      <c r="T2790" s="77">
        <v>0</v>
      </c>
      <c r="U2790" s="77">
        <v>0</v>
      </c>
      <c r="V2790" s="77">
        <v>163</v>
      </c>
      <c r="W2790" s="82" t="s">
        <v>6603</v>
      </c>
      <c r="X2790" s="80" t="str">
        <f>HYPERLINK("https://king718.com/index.html?code=2178588")</f>
        <v>https://king718.com/index.html?code=2178588</v>
      </c>
      <c r="Y2790" s="77" t="s">
        <v>7444</v>
      </c>
      <c r="Z2790" s="77"/>
      <c r="AA2790" s="77" t="s">
        <v>9147</v>
      </c>
      <c r="AB2790" s="77" t="s">
        <v>10130</v>
      </c>
      <c r="AC2790" s="82" t="s">
        <v>10144</v>
      </c>
      <c r="AD2790" s="77" t="s">
        <v>10184</v>
      </c>
      <c r="AE2790" s="80" t="str">
        <f>HYPERLINK("https://twitter.com/home_office26/status/1623135819673268224")</f>
        <v>https://twitter.com/home_office26/status/1623135819673268224</v>
      </c>
      <c r="AF2790" s="79">
        <v>44965.07303240741</v>
      </c>
      <c r="AG2790" s="85">
        <v>44965</v>
      </c>
      <c r="AH2790" s="82" t="s">
        <v>12857</v>
      </c>
      <c r="AI2790" s="77" t="b">
        <v>0</v>
      </c>
      <c r="AJ2790" s="77"/>
      <c r="AK2790" s="77"/>
      <c r="AL2790" s="77"/>
      <c r="AM2790" s="77"/>
      <c r="AN2790" s="77"/>
      <c r="AO2790" s="77"/>
      <c r="AP2790" s="77"/>
      <c r="AQ2790" s="77" t="s">
        <v>15790</v>
      </c>
      <c r="AR2790" s="77"/>
      <c r="AS2790" s="77"/>
      <c r="AT2790" s="77"/>
      <c r="AU2790" s="77"/>
      <c r="AV2790" s="80" t="str">
        <f>HYPERLINK("https://pbs.twimg.com/media/FoaJbPGWAAAJvD9.jpg")</f>
        <v>https://pbs.twimg.com/media/FoaJbPGWAAAJvD9.jpg</v>
      </c>
      <c r="AW2790" s="82" t="s">
        <v>19556</v>
      </c>
      <c r="AX2790" s="82" t="s">
        <v>19556</v>
      </c>
      <c r="AY2790" s="77"/>
      <c r="AZ2790" s="82" t="s">
        <v>20971</v>
      </c>
      <c r="BA2790" s="82" t="s">
        <v>20971</v>
      </c>
      <c r="BB2790" s="82" t="s">
        <v>20971</v>
      </c>
      <c r="BC2790" s="82" t="s">
        <v>19556</v>
      </c>
      <c r="BD2790" s="82" t="s">
        <v>21550</v>
      </c>
      <c r="BE2790" s="77"/>
      <c r="BF2790" s="77"/>
      <c r="BG2790" s="77"/>
      <c r="BH2790" s="77"/>
      <c r="BI2790" s="77"/>
    </row>
    <row r="2791" spans="1:61" x14ac:dyDescent="0.25">
      <c r="A2791" s="62" t="s">
        <v>946</v>
      </c>
      <c r="B2791" s="62" t="s">
        <v>946</v>
      </c>
      <c r="C2791" s="63"/>
      <c r="D2791" s="64"/>
      <c r="E2791" s="65"/>
      <c r="F2791" s="66"/>
      <c r="G2791" s="63"/>
      <c r="H2791" s="67"/>
      <c r="I2791" s="68"/>
      <c r="J2791" s="68"/>
      <c r="K2791" s="32"/>
      <c r="L2791" s="75">
        <v>2791</v>
      </c>
      <c r="M2791" s="75"/>
      <c r="N2791" s="70"/>
      <c r="O2791" s="77" t="s">
        <v>179</v>
      </c>
      <c r="P2791" s="79">
        <v>45000.375034722223</v>
      </c>
      <c r="Q2791" s="77" t="s">
        <v>3997</v>
      </c>
      <c r="R2791" s="77">
        <v>0</v>
      </c>
      <c r="S2791" s="77">
        <v>0</v>
      </c>
      <c r="T2791" s="77">
        <v>1</v>
      </c>
      <c r="U2791" s="77">
        <v>0</v>
      </c>
      <c r="V2791" s="77">
        <v>109</v>
      </c>
      <c r="W2791" s="82" t="s">
        <v>6604</v>
      </c>
      <c r="X2791" s="80" t="str">
        <f>HYPERLINK("https://correiodeminas.com.br/2023/03/15/pode-comemorar-salario-extra-cai-na-conta-dos-trabalhadores-hoje/")</f>
        <v>https://correiodeminas.com.br/2023/03/15/pode-comemorar-salario-extra-cai-na-conta-dos-trabalhadores-hoje/</v>
      </c>
      <c r="Y2791" s="77" t="s">
        <v>7252</v>
      </c>
      <c r="Z2791" s="77"/>
      <c r="AA2791" s="77" t="s">
        <v>9148</v>
      </c>
      <c r="AB2791" s="77" t="s">
        <v>10130</v>
      </c>
      <c r="AC2791" s="82" t="s">
        <v>10146</v>
      </c>
      <c r="AD2791" s="77" t="s">
        <v>10184</v>
      </c>
      <c r="AE2791" s="80" t="str">
        <f>HYPERLINK("https://twitter.com/correiodeminas/status/1635928837258358784")</f>
        <v>https://twitter.com/correiodeminas/status/1635928837258358784</v>
      </c>
      <c r="AF2791" s="79">
        <v>45000.375034722223</v>
      </c>
      <c r="AG2791" s="85">
        <v>45000</v>
      </c>
      <c r="AH2791" s="82" t="s">
        <v>12858</v>
      </c>
      <c r="AI2791" s="77" t="b">
        <v>0</v>
      </c>
      <c r="AJ2791" s="77"/>
      <c r="AK2791" s="77"/>
      <c r="AL2791" s="77"/>
      <c r="AM2791" s="77"/>
      <c r="AN2791" s="77"/>
      <c r="AO2791" s="77"/>
      <c r="AP2791" s="77"/>
      <c r="AQ2791" s="77" t="s">
        <v>15791</v>
      </c>
      <c r="AR2791" s="77"/>
      <c r="AS2791" s="77"/>
      <c r="AT2791" s="77"/>
      <c r="AU2791" s="77"/>
      <c r="AV2791" s="80" t="str">
        <f>HYPERLINK("https://pbs.twimg.com/media/FrM990FWAAk2KCe.jpg")</f>
        <v>https://pbs.twimg.com/media/FrM990FWAAk2KCe.jpg</v>
      </c>
      <c r="AW2791" s="82" t="s">
        <v>19557</v>
      </c>
      <c r="AX2791" s="82" t="s">
        <v>19557</v>
      </c>
      <c r="AY2791" s="77"/>
      <c r="AZ2791" s="82" t="s">
        <v>20971</v>
      </c>
      <c r="BA2791" s="82" t="s">
        <v>20971</v>
      </c>
      <c r="BB2791" s="82" t="s">
        <v>20971</v>
      </c>
      <c r="BC2791" s="82" t="s">
        <v>19557</v>
      </c>
      <c r="BD2791" s="77">
        <v>119024617</v>
      </c>
      <c r="BE2791" s="77"/>
      <c r="BF2791" s="77"/>
      <c r="BG2791" s="77"/>
      <c r="BH2791" s="77"/>
      <c r="BI2791" s="77"/>
    </row>
    <row r="2792" spans="1:61" x14ac:dyDescent="0.25">
      <c r="A2792" s="62" t="s">
        <v>946</v>
      </c>
      <c r="B2792" s="62" t="s">
        <v>946</v>
      </c>
      <c r="C2792" s="63"/>
      <c r="D2792" s="64"/>
      <c r="E2792" s="65"/>
      <c r="F2792" s="66"/>
      <c r="G2792" s="63"/>
      <c r="H2792" s="67"/>
      <c r="I2792" s="68"/>
      <c r="J2792" s="68"/>
      <c r="K2792" s="32"/>
      <c r="L2792" s="75">
        <v>2792</v>
      </c>
      <c r="M2792" s="75"/>
      <c r="N2792" s="70"/>
      <c r="O2792" s="77" t="s">
        <v>179</v>
      </c>
      <c r="P2792" s="79">
        <v>45009.083344907405</v>
      </c>
      <c r="Q2792" s="77" t="s">
        <v>3998</v>
      </c>
      <c r="R2792" s="77">
        <v>0</v>
      </c>
      <c r="S2792" s="77">
        <v>0</v>
      </c>
      <c r="T2792" s="77">
        <v>0</v>
      </c>
      <c r="U2792" s="77">
        <v>0</v>
      </c>
      <c r="V2792" s="77">
        <v>49</v>
      </c>
      <c r="W2792" s="82" t="s">
        <v>6605</v>
      </c>
      <c r="X2792" s="80" t="str">
        <f>HYPERLINK("https://correiodeminas.com.br/2023/03/23/picpay-descubra-o-caminho-para-faturar-ate-r-700-em-renda-extra/")</f>
        <v>https://correiodeminas.com.br/2023/03/23/picpay-descubra-o-caminho-para-faturar-ate-r-700-em-renda-extra/</v>
      </c>
      <c r="Y2792" s="77" t="s">
        <v>7252</v>
      </c>
      <c r="Z2792" s="77"/>
      <c r="AA2792" s="77" t="s">
        <v>9149</v>
      </c>
      <c r="AB2792" s="77" t="s">
        <v>10130</v>
      </c>
      <c r="AC2792" s="82" t="s">
        <v>10146</v>
      </c>
      <c r="AD2792" s="77" t="s">
        <v>10184</v>
      </c>
      <c r="AE2792" s="80" t="str">
        <f>HYPERLINK("https://twitter.com/correiodeminas/status/1639084623576674304")</f>
        <v>https://twitter.com/correiodeminas/status/1639084623576674304</v>
      </c>
      <c r="AF2792" s="79">
        <v>45009.083344907405</v>
      </c>
      <c r="AG2792" s="85">
        <v>45009</v>
      </c>
      <c r="AH2792" s="82" t="s">
        <v>12859</v>
      </c>
      <c r="AI2792" s="77" t="b">
        <v>0</v>
      </c>
      <c r="AJ2792" s="77"/>
      <c r="AK2792" s="77"/>
      <c r="AL2792" s="77"/>
      <c r="AM2792" s="77"/>
      <c r="AN2792" s="77"/>
      <c r="AO2792" s="77"/>
      <c r="AP2792" s="77"/>
      <c r="AQ2792" s="77" t="s">
        <v>15792</v>
      </c>
      <c r="AR2792" s="77"/>
      <c r="AS2792" s="77"/>
      <c r="AT2792" s="77"/>
      <c r="AU2792" s="77"/>
      <c r="AV2792" s="80" t="str">
        <f>HYPERLINK("https://pbs.twimg.com/media/Fr7iMyDX0BwwA_C.jpg")</f>
        <v>https://pbs.twimg.com/media/Fr7iMyDX0BwwA_C.jpg</v>
      </c>
      <c r="AW2792" s="82" t="s">
        <v>19558</v>
      </c>
      <c r="AX2792" s="82" t="s">
        <v>19558</v>
      </c>
      <c r="AY2792" s="77"/>
      <c r="AZ2792" s="82" t="s">
        <v>20971</v>
      </c>
      <c r="BA2792" s="82" t="s">
        <v>20971</v>
      </c>
      <c r="BB2792" s="82" t="s">
        <v>20971</v>
      </c>
      <c r="BC2792" s="82" t="s">
        <v>19558</v>
      </c>
      <c r="BD2792" s="77">
        <v>119024617</v>
      </c>
      <c r="BE2792" s="77"/>
      <c r="BF2792" s="77"/>
      <c r="BG2792" s="77"/>
      <c r="BH2792" s="77"/>
      <c r="BI2792" s="77"/>
    </row>
    <row r="2793" spans="1:61" x14ac:dyDescent="0.25">
      <c r="A2793" s="62" t="s">
        <v>946</v>
      </c>
      <c r="B2793" s="62" t="s">
        <v>946</v>
      </c>
      <c r="C2793" s="63"/>
      <c r="D2793" s="64"/>
      <c r="E2793" s="65"/>
      <c r="F2793" s="66"/>
      <c r="G2793" s="63"/>
      <c r="H2793" s="67"/>
      <c r="I2793" s="68"/>
      <c r="J2793" s="68"/>
      <c r="K2793" s="32"/>
      <c r="L2793" s="75">
        <v>2793</v>
      </c>
      <c r="M2793" s="75"/>
      <c r="N2793" s="70"/>
      <c r="O2793" s="77" t="s">
        <v>179</v>
      </c>
      <c r="P2793" s="79">
        <v>44958.375034722223</v>
      </c>
      <c r="Q2793" s="77" t="s">
        <v>3999</v>
      </c>
      <c r="R2793" s="77">
        <v>0</v>
      </c>
      <c r="S2793" s="77">
        <v>0</v>
      </c>
      <c r="T2793" s="77">
        <v>0</v>
      </c>
      <c r="U2793" s="77">
        <v>0</v>
      </c>
      <c r="V2793" s="77">
        <v>26</v>
      </c>
      <c r="W2793" s="82" t="s">
        <v>6606</v>
      </c>
      <c r="X2793" s="80" t="str">
        <f>HYPERLINK("https://correiodeminas.com.br/2023/02/01/governo-assina-decreto-do-inss-alegrando-os-aposentados-com-renda-extra/")</f>
        <v>https://correiodeminas.com.br/2023/02/01/governo-assina-decreto-do-inss-alegrando-os-aposentados-com-renda-extra/</v>
      </c>
      <c r="Y2793" s="77" t="s">
        <v>7252</v>
      </c>
      <c r="Z2793" s="77"/>
      <c r="AA2793" s="77" t="s">
        <v>9150</v>
      </c>
      <c r="AB2793" s="77" t="s">
        <v>10130</v>
      </c>
      <c r="AC2793" s="82" t="s">
        <v>10146</v>
      </c>
      <c r="AD2793" s="77" t="s">
        <v>10184</v>
      </c>
      <c r="AE2793" s="80" t="str">
        <f>HYPERLINK("https://twitter.com/correiodeminas/status/1620708546135326721")</f>
        <v>https://twitter.com/correiodeminas/status/1620708546135326721</v>
      </c>
      <c r="AF2793" s="79">
        <v>44958.375034722223</v>
      </c>
      <c r="AG2793" s="85">
        <v>44958</v>
      </c>
      <c r="AH2793" s="82" t="s">
        <v>12858</v>
      </c>
      <c r="AI2793" s="77" t="b">
        <v>0</v>
      </c>
      <c r="AJ2793" s="77"/>
      <c r="AK2793" s="77"/>
      <c r="AL2793" s="77"/>
      <c r="AM2793" s="77"/>
      <c r="AN2793" s="77"/>
      <c r="AO2793" s="77"/>
      <c r="AP2793" s="77"/>
      <c r="AQ2793" s="77" t="s">
        <v>15793</v>
      </c>
      <c r="AR2793" s="77"/>
      <c r="AS2793" s="77"/>
      <c r="AT2793" s="77"/>
      <c r="AU2793" s="77"/>
      <c r="AV2793" s="80" t="str">
        <f>HYPERLINK("https://pbs.twimg.com/media/Fn0rGg-XoBIyyr0.jpg")</f>
        <v>https://pbs.twimg.com/media/Fn0rGg-XoBIyyr0.jpg</v>
      </c>
      <c r="AW2793" s="82" t="s">
        <v>19559</v>
      </c>
      <c r="AX2793" s="82" t="s">
        <v>19559</v>
      </c>
      <c r="AY2793" s="77"/>
      <c r="AZ2793" s="82" t="s">
        <v>20971</v>
      </c>
      <c r="BA2793" s="82" t="s">
        <v>20971</v>
      </c>
      <c r="BB2793" s="82" t="s">
        <v>20971</v>
      </c>
      <c r="BC2793" s="82" t="s">
        <v>19559</v>
      </c>
      <c r="BD2793" s="77">
        <v>119024617</v>
      </c>
      <c r="BE2793" s="77"/>
      <c r="BF2793" s="77"/>
      <c r="BG2793" s="77"/>
      <c r="BH2793" s="77"/>
      <c r="BI2793" s="77"/>
    </row>
    <row r="2794" spans="1:61" x14ac:dyDescent="0.25">
      <c r="A2794" s="62" t="s">
        <v>946</v>
      </c>
      <c r="B2794" s="62" t="s">
        <v>946</v>
      </c>
      <c r="C2794" s="63"/>
      <c r="D2794" s="64"/>
      <c r="E2794" s="65"/>
      <c r="F2794" s="66"/>
      <c r="G2794" s="63"/>
      <c r="H2794" s="67"/>
      <c r="I2794" s="68"/>
      <c r="J2794" s="68"/>
      <c r="K2794" s="32"/>
      <c r="L2794" s="75">
        <v>2794</v>
      </c>
      <c r="M2794" s="75"/>
      <c r="N2794" s="70"/>
      <c r="O2794" s="77" t="s">
        <v>179</v>
      </c>
      <c r="P2794" s="79">
        <v>45076.777905092589</v>
      </c>
      <c r="Q2794" s="77" t="s">
        <v>4000</v>
      </c>
      <c r="R2794" s="77">
        <v>1</v>
      </c>
      <c r="S2794" s="77">
        <v>0</v>
      </c>
      <c r="T2794" s="77">
        <v>0</v>
      </c>
      <c r="U2794" s="77">
        <v>0</v>
      </c>
      <c r="V2794" s="77">
        <v>42</v>
      </c>
      <c r="W2794" s="82" t="s">
        <v>6607</v>
      </c>
      <c r="X2794" s="80" t="str">
        <f>HYPERLINK("https://correiodeminas.com.br/2023/05/30/bolsa-familia-r900-extra-beneficiarios-preparem-se-para-novidades/")</f>
        <v>https://correiodeminas.com.br/2023/05/30/bolsa-familia-r900-extra-beneficiarios-preparem-se-para-novidades/</v>
      </c>
      <c r="Y2794" s="77" t="s">
        <v>7252</v>
      </c>
      <c r="Z2794" s="77"/>
      <c r="AA2794" s="77" t="s">
        <v>9151</v>
      </c>
      <c r="AB2794" s="77" t="s">
        <v>10130</v>
      </c>
      <c r="AC2794" s="82" t="s">
        <v>10146</v>
      </c>
      <c r="AD2794" s="77" t="s">
        <v>10184</v>
      </c>
      <c r="AE2794" s="80" t="str">
        <f>HYPERLINK("https://twitter.com/correiodeminas/status/1663616311275012098")</f>
        <v>https://twitter.com/correiodeminas/status/1663616311275012098</v>
      </c>
      <c r="AF2794" s="79">
        <v>45076.777905092589</v>
      </c>
      <c r="AG2794" s="85">
        <v>45076</v>
      </c>
      <c r="AH2794" s="82" t="s">
        <v>12860</v>
      </c>
      <c r="AI2794" s="77" t="b">
        <v>0</v>
      </c>
      <c r="AJ2794" s="77"/>
      <c r="AK2794" s="77"/>
      <c r="AL2794" s="77"/>
      <c r="AM2794" s="77"/>
      <c r="AN2794" s="77"/>
      <c r="AO2794" s="77"/>
      <c r="AP2794" s="77"/>
      <c r="AQ2794" s="77" t="s">
        <v>15794</v>
      </c>
      <c r="AR2794" s="77"/>
      <c r="AS2794" s="77"/>
      <c r="AT2794" s="77"/>
      <c r="AU2794" s="77"/>
      <c r="AV2794" s="80" t="str">
        <f>HYPERLINK("https://pbs.twimg.com/media/FxZaNsgWcAAJMGc.jpg")</f>
        <v>https://pbs.twimg.com/media/FxZaNsgWcAAJMGc.jpg</v>
      </c>
      <c r="AW2794" s="82" t="s">
        <v>19560</v>
      </c>
      <c r="AX2794" s="82" t="s">
        <v>19560</v>
      </c>
      <c r="AY2794" s="77"/>
      <c r="AZ2794" s="82" t="s">
        <v>20971</v>
      </c>
      <c r="BA2794" s="82" t="s">
        <v>20971</v>
      </c>
      <c r="BB2794" s="82" t="s">
        <v>20971</v>
      </c>
      <c r="BC2794" s="82" t="s">
        <v>19560</v>
      </c>
      <c r="BD2794" s="77">
        <v>119024617</v>
      </c>
      <c r="BE2794" s="77"/>
      <c r="BF2794" s="77"/>
      <c r="BG2794" s="77"/>
      <c r="BH2794" s="77"/>
      <c r="BI2794" s="77"/>
    </row>
    <row r="2795" spans="1:61" x14ac:dyDescent="0.25">
      <c r="A2795" s="62" t="s">
        <v>946</v>
      </c>
      <c r="B2795" s="62" t="s">
        <v>946</v>
      </c>
      <c r="C2795" s="63"/>
      <c r="D2795" s="64"/>
      <c r="E2795" s="65"/>
      <c r="F2795" s="66"/>
      <c r="G2795" s="63"/>
      <c r="H2795" s="67"/>
      <c r="I2795" s="68"/>
      <c r="J2795" s="68"/>
      <c r="K2795" s="32"/>
      <c r="L2795" s="75">
        <v>2795</v>
      </c>
      <c r="M2795" s="75"/>
      <c r="N2795" s="70"/>
      <c r="O2795" s="77" t="s">
        <v>179</v>
      </c>
      <c r="P2795" s="79">
        <v>45052.375023148146</v>
      </c>
      <c r="Q2795" s="77" t="s">
        <v>4001</v>
      </c>
      <c r="R2795" s="77">
        <v>0</v>
      </c>
      <c r="S2795" s="77">
        <v>0</v>
      </c>
      <c r="T2795" s="77">
        <v>0</v>
      </c>
      <c r="U2795" s="77">
        <v>0</v>
      </c>
      <c r="V2795" s="77">
        <v>26</v>
      </c>
      <c r="W2795" s="82" t="s">
        <v>6608</v>
      </c>
      <c r="X2795" s="80" t="str">
        <f>HYPERLINK("https://correiodeminas.com.br/2023/05/06/nova-rodada-de-saques-pelo-fgts-animam-os-trabalhadores-com-renda-extra/")</f>
        <v>https://correiodeminas.com.br/2023/05/06/nova-rodada-de-saques-pelo-fgts-animam-os-trabalhadores-com-renda-extra/</v>
      </c>
      <c r="Y2795" s="77" t="s">
        <v>7252</v>
      </c>
      <c r="Z2795" s="77"/>
      <c r="AA2795" s="77" t="s">
        <v>9152</v>
      </c>
      <c r="AB2795" s="77" t="s">
        <v>10130</v>
      </c>
      <c r="AC2795" s="82" t="s">
        <v>10146</v>
      </c>
      <c r="AD2795" s="77" t="s">
        <v>10184</v>
      </c>
      <c r="AE2795" s="80" t="str">
        <f>HYPERLINK("https://twitter.com/correiodeminas/status/1654773003199344642")</f>
        <v>https://twitter.com/correiodeminas/status/1654773003199344642</v>
      </c>
      <c r="AF2795" s="79">
        <v>45052.375023148146</v>
      </c>
      <c r="AG2795" s="85">
        <v>45052</v>
      </c>
      <c r="AH2795" s="82" t="s">
        <v>12861</v>
      </c>
      <c r="AI2795" s="77" t="b">
        <v>0</v>
      </c>
      <c r="AJ2795" s="77"/>
      <c r="AK2795" s="77"/>
      <c r="AL2795" s="77"/>
      <c r="AM2795" s="77"/>
      <c r="AN2795" s="77"/>
      <c r="AO2795" s="77"/>
      <c r="AP2795" s="77"/>
      <c r="AQ2795" s="77" t="s">
        <v>15795</v>
      </c>
      <c r="AR2795" s="77"/>
      <c r="AS2795" s="77"/>
      <c r="AT2795" s="77"/>
      <c r="AU2795" s="77"/>
      <c r="AV2795" s="80" t="str">
        <f>HYPERLINK("https://pbs.twimg.com/media/FvYgZ4YX0AIcnLK.jpg")</f>
        <v>https://pbs.twimg.com/media/FvYgZ4YX0AIcnLK.jpg</v>
      </c>
      <c r="AW2795" s="82" t="s">
        <v>19561</v>
      </c>
      <c r="AX2795" s="82" t="s">
        <v>19561</v>
      </c>
      <c r="AY2795" s="77"/>
      <c r="AZ2795" s="82" t="s">
        <v>20971</v>
      </c>
      <c r="BA2795" s="82" t="s">
        <v>20971</v>
      </c>
      <c r="BB2795" s="82" t="s">
        <v>20971</v>
      </c>
      <c r="BC2795" s="82" t="s">
        <v>19561</v>
      </c>
      <c r="BD2795" s="77">
        <v>119024617</v>
      </c>
      <c r="BE2795" s="77"/>
      <c r="BF2795" s="77"/>
      <c r="BG2795" s="77"/>
      <c r="BH2795" s="77"/>
      <c r="BI2795" s="77"/>
    </row>
    <row r="2796" spans="1:61" x14ac:dyDescent="0.25">
      <c r="A2796" s="62" t="s">
        <v>946</v>
      </c>
      <c r="B2796" s="62" t="s">
        <v>946</v>
      </c>
      <c r="C2796" s="63"/>
      <c r="D2796" s="64"/>
      <c r="E2796" s="65"/>
      <c r="F2796" s="66"/>
      <c r="G2796" s="63"/>
      <c r="H2796" s="67"/>
      <c r="I2796" s="68"/>
      <c r="J2796" s="68"/>
      <c r="K2796" s="32"/>
      <c r="L2796" s="75">
        <v>2796</v>
      </c>
      <c r="M2796" s="75"/>
      <c r="N2796" s="70"/>
      <c r="O2796" s="77" t="s">
        <v>179</v>
      </c>
      <c r="P2796" s="79">
        <v>45108.041689814818</v>
      </c>
      <c r="Q2796" s="77" t="s">
        <v>4002</v>
      </c>
      <c r="R2796" s="77">
        <v>0</v>
      </c>
      <c r="S2796" s="77">
        <v>0</v>
      </c>
      <c r="T2796" s="77">
        <v>0</v>
      </c>
      <c r="U2796" s="77">
        <v>0</v>
      </c>
      <c r="V2796" s="77">
        <v>17</v>
      </c>
      <c r="W2796" s="82" t="s">
        <v>6609</v>
      </c>
      <c r="X2796" s="80" t="str">
        <f>HYPERLINK("https://correiodeminas.com.br/2023/06/30/trabalhador-que-recebe-ate-r-2-mil-tem-direito-a-renda-extra-com-saque-imediato/")</f>
        <v>https://correiodeminas.com.br/2023/06/30/trabalhador-que-recebe-ate-r-2-mil-tem-direito-a-renda-extra-com-saque-imediato/</v>
      </c>
      <c r="Y2796" s="77" t="s">
        <v>7252</v>
      </c>
      <c r="Z2796" s="77"/>
      <c r="AA2796" s="77" t="s">
        <v>9153</v>
      </c>
      <c r="AB2796" s="77" t="s">
        <v>10130</v>
      </c>
      <c r="AC2796" s="82" t="s">
        <v>10146</v>
      </c>
      <c r="AD2796" s="77" t="s">
        <v>10184</v>
      </c>
      <c r="AE2796" s="80" t="str">
        <f>HYPERLINK("https://twitter.com/correiodeminas/status/1674945925704450048")</f>
        <v>https://twitter.com/correiodeminas/status/1674945925704450048</v>
      </c>
      <c r="AF2796" s="79">
        <v>45108.041689814818</v>
      </c>
      <c r="AG2796" s="85">
        <v>45108</v>
      </c>
      <c r="AH2796" s="82" t="s">
        <v>11490</v>
      </c>
      <c r="AI2796" s="77" t="b">
        <v>0</v>
      </c>
      <c r="AJ2796" s="77"/>
      <c r="AK2796" s="77"/>
      <c r="AL2796" s="77"/>
      <c r="AM2796" s="77"/>
      <c r="AN2796" s="77"/>
      <c r="AO2796" s="77"/>
      <c r="AP2796" s="77"/>
      <c r="AQ2796" s="77" t="s">
        <v>15796</v>
      </c>
      <c r="AR2796" s="77"/>
      <c r="AS2796" s="77"/>
      <c r="AT2796" s="77"/>
      <c r="AU2796" s="77"/>
      <c r="AV2796" s="80" t="str">
        <f>HYPERLINK("https://pbs.twimg.com/media/Fz5HKUSWIAENxJ7.jpg")</f>
        <v>https://pbs.twimg.com/media/Fz5HKUSWIAENxJ7.jpg</v>
      </c>
      <c r="AW2796" s="82" t="s">
        <v>19562</v>
      </c>
      <c r="AX2796" s="82" t="s">
        <v>19562</v>
      </c>
      <c r="AY2796" s="77"/>
      <c r="AZ2796" s="82" t="s">
        <v>20971</v>
      </c>
      <c r="BA2796" s="82" t="s">
        <v>20971</v>
      </c>
      <c r="BB2796" s="82" t="s">
        <v>20971</v>
      </c>
      <c r="BC2796" s="82" t="s">
        <v>19562</v>
      </c>
      <c r="BD2796" s="77">
        <v>119024617</v>
      </c>
      <c r="BE2796" s="77"/>
      <c r="BF2796" s="77"/>
      <c r="BG2796" s="77"/>
      <c r="BH2796" s="77"/>
      <c r="BI2796" s="77"/>
    </row>
    <row r="2797" spans="1:61" x14ac:dyDescent="0.25">
      <c r="A2797" s="62" t="s">
        <v>946</v>
      </c>
      <c r="B2797" s="62" t="s">
        <v>946</v>
      </c>
      <c r="C2797" s="63"/>
      <c r="D2797" s="64"/>
      <c r="E2797" s="65"/>
      <c r="F2797" s="66"/>
      <c r="G2797" s="63"/>
      <c r="H2797" s="67"/>
      <c r="I2797" s="68"/>
      <c r="J2797" s="68"/>
      <c r="K2797" s="32"/>
      <c r="L2797" s="75">
        <v>2797</v>
      </c>
      <c r="M2797" s="75"/>
      <c r="N2797" s="70"/>
      <c r="O2797" s="77" t="s">
        <v>179</v>
      </c>
      <c r="P2797" s="79">
        <v>45101.416666666664</v>
      </c>
      <c r="Q2797" s="77" t="s">
        <v>4003</v>
      </c>
      <c r="R2797" s="77">
        <v>0</v>
      </c>
      <c r="S2797" s="77">
        <v>0</v>
      </c>
      <c r="T2797" s="77">
        <v>0</v>
      </c>
      <c r="U2797" s="77">
        <v>0</v>
      </c>
      <c r="V2797" s="77">
        <v>35</v>
      </c>
      <c r="W2797" s="82" t="s">
        <v>6610</v>
      </c>
      <c r="X2797" s="80" t="str">
        <f>HYPERLINK("https://correiodeminas.com.br/2023/06/24/lei-assinada-por-fhc-em-97-pode-fazer-brasileiros-receberem-r-2-000-de-renda-extra-entenda-por-que/")</f>
        <v>https://correiodeminas.com.br/2023/06/24/lei-assinada-por-fhc-em-97-pode-fazer-brasileiros-receberem-r-2-000-de-renda-extra-entenda-por-que/</v>
      </c>
      <c r="Y2797" s="77" t="s">
        <v>7252</v>
      </c>
      <c r="Z2797" s="77"/>
      <c r="AA2797" s="77" t="s">
        <v>9154</v>
      </c>
      <c r="AB2797" s="77" t="s">
        <v>10130</v>
      </c>
      <c r="AC2797" s="82" t="s">
        <v>10146</v>
      </c>
      <c r="AD2797" s="77" t="s">
        <v>10184</v>
      </c>
      <c r="AE2797" s="80" t="str">
        <f>HYPERLINK("https://twitter.com/correiodeminas/status/1672545097416851457")</f>
        <v>https://twitter.com/correiodeminas/status/1672545097416851457</v>
      </c>
      <c r="AF2797" s="79">
        <v>45101.416666666664</v>
      </c>
      <c r="AG2797" s="85">
        <v>45101</v>
      </c>
      <c r="AH2797" s="82" t="s">
        <v>12862</v>
      </c>
      <c r="AI2797" s="77" t="b">
        <v>0</v>
      </c>
      <c r="AJ2797" s="77"/>
      <c r="AK2797" s="77"/>
      <c r="AL2797" s="77"/>
      <c r="AM2797" s="77"/>
      <c r="AN2797" s="77"/>
      <c r="AO2797" s="77"/>
      <c r="AP2797" s="77"/>
      <c r="AQ2797" s="77" t="s">
        <v>15797</v>
      </c>
      <c r="AR2797" s="77"/>
      <c r="AS2797" s="77"/>
      <c r="AT2797" s="77"/>
      <c r="AU2797" s="77"/>
      <c r="AV2797" s="80" t="str">
        <f>HYPERLINK("https://pbs.twimg.com/media/FzVBOHOWIA4QH1K.jpg")</f>
        <v>https://pbs.twimg.com/media/FzVBOHOWIA4QH1K.jpg</v>
      </c>
      <c r="AW2797" s="82" t="s">
        <v>19563</v>
      </c>
      <c r="AX2797" s="82" t="s">
        <v>19563</v>
      </c>
      <c r="AY2797" s="77"/>
      <c r="AZ2797" s="82" t="s">
        <v>20971</v>
      </c>
      <c r="BA2797" s="82" t="s">
        <v>20971</v>
      </c>
      <c r="BB2797" s="82" t="s">
        <v>20971</v>
      </c>
      <c r="BC2797" s="82" t="s">
        <v>19563</v>
      </c>
      <c r="BD2797" s="77">
        <v>119024617</v>
      </c>
      <c r="BE2797" s="77"/>
      <c r="BF2797" s="77"/>
      <c r="BG2797" s="77"/>
      <c r="BH2797" s="77"/>
      <c r="BI2797" s="77"/>
    </row>
    <row r="2798" spans="1:61" x14ac:dyDescent="0.25">
      <c r="A2798" s="62" t="s">
        <v>947</v>
      </c>
      <c r="B2798" s="62" t="s">
        <v>947</v>
      </c>
      <c r="C2798" s="63"/>
      <c r="D2798" s="64"/>
      <c r="E2798" s="65"/>
      <c r="F2798" s="66"/>
      <c r="G2798" s="63"/>
      <c r="H2798" s="67"/>
      <c r="I2798" s="68"/>
      <c r="J2798" s="68"/>
      <c r="K2798" s="32"/>
      <c r="L2798" s="75">
        <v>2798</v>
      </c>
      <c r="M2798" s="75"/>
      <c r="N2798" s="70"/>
      <c r="O2798" s="77" t="s">
        <v>179</v>
      </c>
      <c r="P2798" s="79">
        <v>45091.132928240739</v>
      </c>
      <c r="Q2798" s="77" t="s">
        <v>4004</v>
      </c>
      <c r="R2798" s="77">
        <v>0</v>
      </c>
      <c r="S2798" s="77">
        <v>0</v>
      </c>
      <c r="T2798" s="77">
        <v>0</v>
      </c>
      <c r="U2798" s="77">
        <v>0</v>
      </c>
      <c r="V2798" s="77"/>
      <c r="W2798" s="82" t="s">
        <v>6611</v>
      </c>
      <c r="X2798" s="77" t="s">
        <v>7228</v>
      </c>
      <c r="Y2798" s="77" t="s">
        <v>7445</v>
      </c>
      <c r="Z2798" s="77"/>
      <c r="AA2798" s="77"/>
      <c r="AB2798" s="77"/>
      <c r="AC2798" s="82" t="s">
        <v>10146</v>
      </c>
      <c r="AD2798" s="77" t="s">
        <v>10184</v>
      </c>
      <c r="AE2798" s="80" t="str">
        <f>HYPERLINK("https://twitter.com/matheuspradode4/status/1668818397562544129")</f>
        <v>https://twitter.com/matheuspradode4/status/1668818397562544129</v>
      </c>
      <c r="AF2798" s="79">
        <v>45091.132928240739</v>
      </c>
      <c r="AG2798" s="85">
        <v>45091</v>
      </c>
      <c r="AH2798" s="82" t="s">
        <v>12863</v>
      </c>
      <c r="AI2798" s="77" t="b">
        <v>0</v>
      </c>
      <c r="AJ2798" s="77"/>
      <c r="AK2798" s="77"/>
      <c r="AL2798" s="77"/>
      <c r="AM2798" s="77"/>
      <c r="AN2798" s="77"/>
      <c r="AO2798" s="77"/>
      <c r="AP2798" s="77"/>
      <c r="AQ2798" s="77"/>
      <c r="AR2798" s="77"/>
      <c r="AS2798" s="77"/>
      <c r="AT2798" s="77"/>
      <c r="AU2798" s="77"/>
      <c r="AV2798" s="80" t="str">
        <f>HYPERLINK("https://pbs.twimg.com/profile_images/1503744248713289729/rgNlU3JJ_normal.png")</f>
        <v>https://pbs.twimg.com/profile_images/1503744248713289729/rgNlU3JJ_normal.png</v>
      </c>
      <c r="AW2798" s="82" t="s">
        <v>19564</v>
      </c>
      <c r="AX2798" s="82" t="s">
        <v>19564</v>
      </c>
      <c r="AY2798" s="77"/>
      <c r="AZ2798" s="82" t="s">
        <v>20971</v>
      </c>
      <c r="BA2798" s="82" t="s">
        <v>20971</v>
      </c>
      <c r="BB2798" s="82" t="s">
        <v>20971</v>
      </c>
      <c r="BC2798" s="82" t="s">
        <v>19564</v>
      </c>
      <c r="BD2798" s="82" t="s">
        <v>21551</v>
      </c>
      <c r="BE2798" s="77"/>
      <c r="BF2798" s="77"/>
      <c r="BG2798" s="77"/>
      <c r="BH2798" s="77"/>
      <c r="BI2798" s="77"/>
    </row>
    <row r="2799" spans="1:61" x14ac:dyDescent="0.25">
      <c r="A2799" s="62" t="s">
        <v>948</v>
      </c>
      <c r="B2799" s="62" t="s">
        <v>1241</v>
      </c>
      <c r="C2799" s="63"/>
      <c r="D2799" s="64"/>
      <c r="E2799" s="65"/>
      <c r="F2799" s="66"/>
      <c r="G2799" s="63"/>
      <c r="H2799" s="67"/>
      <c r="I2799" s="68"/>
      <c r="J2799" s="68"/>
      <c r="K2799" s="32"/>
      <c r="L2799" s="75">
        <v>2799</v>
      </c>
      <c r="M2799" s="75"/>
      <c r="N2799" s="70"/>
      <c r="O2799" s="77" t="s">
        <v>1285</v>
      </c>
      <c r="P2799" s="79">
        <v>44977.938761574071</v>
      </c>
      <c r="Q2799" s="77" t="s">
        <v>4005</v>
      </c>
      <c r="R2799" s="77">
        <v>0</v>
      </c>
      <c r="S2799" s="77">
        <v>2</v>
      </c>
      <c r="T2799" s="77">
        <v>0</v>
      </c>
      <c r="U2799" s="77">
        <v>0</v>
      </c>
      <c r="V2799" s="77">
        <v>62</v>
      </c>
      <c r="W2799" s="82" t="s">
        <v>6612</v>
      </c>
      <c r="X2799" s="80" t="str">
        <f>HYPERLINK("https://youtu.be/ilkgTfw_pEU")</f>
        <v>https://youtu.be/ilkgTfw_pEU</v>
      </c>
      <c r="Y2799" s="77" t="s">
        <v>7248</v>
      </c>
      <c r="Z2799" s="77" t="s">
        <v>1241</v>
      </c>
      <c r="AA2799" s="77"/>
      <c r="AB2799" s="77"/>
      <c r="AC2799" s="82" t="s">
        <v>10146</v>
      </c>
      <c r="AD2799" s="77" t="s">
        <v>10184</v>
      </c>
      <c r="AE2799" s="80" t="str">
        <f>HYPERLINK("https://twitter.com/lipeinveste/status/1627798202492637186")</f>
        <v>https://twitter.com/lipeinveste/status/1627798202492637186</v>
      </c>
      <c r="AF2799" s="79">
        <v>44977.938761574071</v>
      </c>
      <c r="AG2799" s="85">
        <v>44977</v>
      </c>
      <c r="AH2799" s="82" t="s">
        <v>12864</v>
      </c>
      <c r="AI2799" s="77" t="b">
        <v>0</v>
      </c>
      <c r="AJ2799" s="77"/>
      <c r="AK2799" s="77"/>
      <c r="AL2799" s="77"/>
      <c r="AM2799" s="77"/>
      <c r="AN2799" s="77"/>
      <c r="AO2799" s="77"/>
      <c r="AP2799" s="77"/>
      <c r="AQ2799" s="77"/>
      <c r="AR2799" s="77"/>
      <c r="AS2799" s="77"/>
      <c r="AT2799" s="77"/>
      <c r="AU2799" s="77"/>
      <c r="AV2799" s="80" t="str">
        <f>HYPERLINK("https://pbs.twimg.com/profile_images/1619416094510387200/iIGQvcL5_normal.jpg")</f>
        <v>https://pbs.twimg.com/profile_images/1619416094510387200/iIGQvcL5_normal.jpg</v>
      </c>
      <c r="AW2799" s="82" t="s">
        <v>19565</v>
      </c>
      <c r="AX2799" s="82" t="s">
        <v>19565</v>
      </c>
      <c r="AY2799" s="77"/>
      <c r="AZ2799" s="82" t="s">
        <v>20971</v>
      </c>
      <c r="BA2799" s="82" t="s">
        <v>20971</v>
      </c>
      <c r="BB2799" s="82" t="s">
        <v>20971</v>
      </c>
      <c r="BC2799" s="82" t="s">
        <v>19565</v>
      </c>
      <c r="BD2799" s="82" t="s">
        <v>21552</v>
      </c>
      <c r="BE2799" s="77"/>
      <c r="BF2799" s="77"/>
      <c r="BG2799" s="77"/>
      <c r="BH2799" s="77"/>
      <c r="BI2799" s="77"/>
    </row>
    <row r="2800" spans="1:61" x14ac:dyDescent="0.25">
      <c r="A2800" s="62" t="s">
        <v>948</v>
      </c>
      <c r="B2800" s="62" t="s">
        <v>1241</v>
      </c>
      <c r="C2800" s="63"/>
      <c r="D2800" s="64"/>
      <c r="E2800" s="65"/>
      <c r="F2800" s="66"/>
      <c r="G2800" s="63"/>
      <c r="H2800" s="67"/>
      <c r="I2800" s="68"/>
      <c r="J2800" s="68"/>
      <c r="K2800" s="32"/>
      <c r="L2800" s="75">
        <v>2800</v>
      </c>
      <c r="M2800" s="75"/>
      <c r="N2800" s="70"/>
      <c r="O2800" s="77" t="s">
        <v>1285</v>
      </c>
      <c r="P2800" s="79">
        <v>45004.629270833335</v>
      </c>
      <c r="Q2800" s="77" t="s">
        <v>4006</v>
      </c>
      <c r="R2800" s="77">
        <v>0</v>
      </c>
      <c r="S2800" s="77">
        <v>1</v>
      </c>
      <c r="T2800" s="77">
        <v>0</v>
      </c>
      <c r="U2800" s="77">
        <v>0</v>
      </c>
      <c r="V2800" s="77">
        <v>132</v>
      </c>
      <c r="W2800" s="82" t="s">
        <v>6613</v>
      </c>
      <c r="X2800" s="80" t="str">
        <f>HYPERLINK("https://youtu.be/K2Kx95xmxos")</f>
        <v>https://youtu.be/K2Kx95xmxos</v>
      </c>
      <c r="Y2800" s="77" t="s">
        <v>7248</v>
      </c>
      <c r="Z2800" s="77" t="s">
        <v>1241</v>
      </c>
      <c r="AA2800" s="77"/>
      <c r="AB2800" s="77"/>
      <c r="AC2800" s="82" t="s">
        <v>10146</v>
      </c>
      <c r="AD2800" s="77" t="s">
        <v>10184</v>
      </c>
      <c r="AE2800" s="80" t="str">
        <f>HYPERLINK("https://twitter.com/lipeinveste/status/1637470521972408322")</f>
        <v>https://twitter.com/lipeinveste/status/1637470521972408322</v>
      </c>
      <c r="AF2800" s="79">
        <v>45004.629270833335</v>
      </c>
      <c r="AG2800" s="85">
        <v>45004</v>
      </c>
      <c r="AH2800" s="82" t="s">
        <v>12865</v>
      </c>
      <c r="AI2800" s="77" t="b">
        <v>0</v>
      </c>
      <c r="AJ2800" s="77"/>
      <c r="AK2800" s="77"/>
      <c r="AL2800" s="77"/>
      <c r="AM2800" s="77"/>
      <c r="AN2800" s="77"/>
      <c r="AO2800" s="77"/>
      <c r="AP2800" s="77"/>
      <c r="AQ2800" s="77"/>
      <c r="AR2800" s="77"/>
      <c r="AS2800" s="77"/>
      <c r="AT2800" s="77"/>
      <c r="AU2800" s="77"/>
      <c r="AV2800" s="80" t="str">
        <f>HYPERLINK("https://pbs.twimg.com/profile_images/1619416094510387200/iIGQvcL5_normal.jpg")</f>
        <v>https://pbs.twimg.com/profile_images/1619416094510387200/iIGQvcL5_normal.jpg</v>
      </c>
      <c r="AW2800" s="82" t="s">
        <v>19566</v>
      </c>
      <c r="AX2800" s="82" t="s">
        <v>19566</v>
      </c>
      <c r="AY2800" s="77"/>
      <c r="AZ2800" s="82" t="s">
        <v>20971</v>
      </c>
      <c r="BA2800" s="82" t="s">
        <v>20971</v>
      </c>
      <c r="BB2800" s="82" t="s">
        <v>20971</v>
      </c>
      <c r="BC2800" s="82" t="s">
        <v>19566</v>
      </c>
      <c r="BD2800" s="82" t="s">
        <v>21552</v>
      </c>
      <c r="BE2800" s="77"/>
      <c r="BF2800" s="77"/>
      <c r="BG2800" s="77"/>
      <c r="BH2800" s="77"/>
      <c r="BI2800" s="77"/>
    </row>
    <row r="2801" spans="1:61" x14ac:dyDescent="0.25">
      <c r="A2801" s="62" t="s">
        <v>949</v>
      </c>
      <c r="B2801" s="62" t="s">
        <v>949</v>
      </c>
      <c r="C2801" s="63"/>
      <c r="D2801" s="64"/>
      <c r="E2801" s="65"/>
      <c r="F2801" s="66"/>
      <c r="G2801" s="63"/>
      <c r="H2801" s="67"/>
      <c r="I2801" s="68"/>
      <c r="J2801" s="68"/>
      <c r="K2801" s="32"/>
      <c r="L2801" s="75">
        <v>2801</v>
      </c>
      <c r="M2801" s="75"/>
      <c r="N2801" s="70"/>
      <c r="O2801" s="77" t="s">
        <v>179</v>
      </c>
      <c r="P2801" s="79">
        <v>44965.104166666664</v>
      </c>
      <c r="Q2801" s="77" t="s">
        <v>4007</v>
      </c>
      <c r="R2801" s="77">
        <v>0</v>
      </c>
      <c r="S2801" s="77">
        <v>0</v>
      </c>
      <c r="T2801" s="77">
        <v>0</v>
      </c>
      <c r="U2801" s="77">
        <v>0</v>
      </c>
      <c r="V2801" s="77">
        <v>20</v>
      </c>
      <c r="W2801" s="82" t="s">
        <v>6614</v>
      </c>
      <c r="X2801" s="80" t="str">
        <f>HYPERLINK("https://go.ticto.com.br/t/bd1f298b")</f>
        <v>https://go.ticto.com.br/t/bd1f298b</v>
      </c>
      <c r="Y2801" s="77" t="s">
        <v>7252</v>
      </c>
      <c r="Z2801" s="77"/>
      <c r="AA2801" s="77" t="s">
        <v>9155</v>
      </c>
      <c r="AB2801" s="77" t="s">
        <v>10129</v>
      </c>
      <c r="AC2801" s="82" t="s">
        <v>10146</v>
      </c>
      <c r="AD2801" s="77" t="s">
        <v>10184</v>
      </c>
      <c r="AE2801" s="80" t="str">
        <f>HYPERLINK("https://twitter.com/eddie_poker/status/1623147101118160897")</f>
        <v>https://twitter.com/eddie_poker/status/1623147101118160897</v>
      </c>
      <c r="AF2801" s="79">
        <v>44965.104166666664</v>
      </c>
      <c r="AG2801" s="85">
        <v>44965</v>
      </c>
      <c r="AH2801" s="82" t="s">
        <v>12866</v>
      </c>
      <c r="AI2801" s="77" t="b">
        <v>0</v>
      </c>
      <c r="AJ2801" s="77"/>
      <c r="AK2801" s="77"/>
      <c r="AL2801" s="77"/>
      <c r="AM2801" s="77"/>
      <c r="AN2801" s="77"/>
      <c r="AO2801" s="77"/>
      <c r="AP2801" s="77"/>
      <c r="AQ2801" s="77" t="s">
        <v>15798</v>
      </c>
      <c r="AR2801" s="77">
        <v>23475</v>
      </c>
      <c r="AS2801" s="77"/>
      <c r="AT2801" s="77"/>
      <c r="AU2801" s="77"/>
      <c r="AV2801" s="80" t="str">
        <f>HYPERLINK("https://pbs.twimg.com/ext_tw_video_thumb/1622731341665079296/pu/img/opbn6D3B1e4ORS9Q.jpg")</f>
        <v>https://pbs.twimg.com/ext_tw_video_thumb/1622731341665079296/pu/img/opbn6D3B1e4ORS9Q.jpg</v>
      </c>
      <c r="AW2801" s="82" t="s">
        <v>19567</v>
      </c>
      <c r="AX2801" s="82" t="s">
        <v>19567</v>
      </c>
      <c r="AY2801" s="77"/>
      <c r="AZ2801" s="82" t="s">
        <v>20971</v>
      </c>
      <c r="BA2801" s="82" t="s">
        <v>20971</v>
      </c>
      <c r="BB2801" s="82" t="s">
        <v>20971</v>
      </c>
      <c r="BC2801" s="82" t="s">
        <v>19567</v>
      </c>
      <c r="BD2801" s="77">
        <v>634133167</v>
      </c>
      <c r="BE2801" s="77"/>
      <c r="BF2801" s="77"/>
      <c r="BG2801" s="77"/>
      <c r="BH2801" s="77"/>
      <c r="BI2801" s="77"/>
    </row>
    <row r="2802" spans="1:61" x14ac:dyDescent="0.25">
      <c r="A2802" s="62" t="s">
        <v>949</v>
      </c>
      <c r="B2802" s="62" t="s">
        <v>949</v>
      </c>
      <c r="C2802" s="63"/>
      <c r="D2802" s="64"/>
      <c r="E2802" s="65"/>
      <c r="F2802" s="66"/>
      <c r="G2802" s="63"/>
      <c r="H2802" s="67"/>
      <c r="I2802" s="68"/>
      <c r="J2802" s="68"/>
      <c r="K2802" s="32"/>
      <c r="L2802" s="75">
        <v>2802</v>
      </c>
      <c r="M2802" s="75"/>
      <c r="N2802" s="70"/>
      <c r="O2802" s="77" t="s">
        <v>179</v>
      </c>
      <c r="P2802" s="79">
        <v>44965.0625</v>
      </c>
      <c r="Q2802" s="77" t="s">
        <v>4008</v>
      </c>
      <c r="R2802" s="77">
        <v>0</v>
      </c>
      <c r="S2802" s="77">
        <v>0</v>
      </c>
      <c r="T2802" s="77">
        <v>0</v>
      </c>
      <c r="U2802" s="77">
        <v>0</v>
      </c>
      <c r="V2802" s="77">
        <v>22</v>
      </c>
      <c r="W2802" s="82" t="s">
        <v>6614</v>
      </c>
      <c r="X2802" s="80" t="str">
        <f>HYPERLINK("https://go.ticto.com.br/t/bd1f298b")</f>
        <v>https://go.ticto.com.br/t/bd1f298b</v>
      </c>
      <c r="Y2802" s="77" t="s">
        <v>7252</v>
      </c>
      <c r="Z2802" s="77"/>
      <c r="AA2802" s="77" t="s">
        <v>9156</v>
      </c>
      <c r="AB2802" s="77" t="s">
        <v>10129</v>
      </c>
      <c r="AC2802" s="82" t="s">
        <v>10146</v>
      </c>
      <c r="AD2802" s="77" t="s">
        <v>10184</v>
      </c>
      <c r="AE2802" s="80" t="str">
        <f>HYPERLINK("https://twitter.com/eddie_poker/status/1623132002600853505")</f>
        <v>https://twitter.com/eddie_poker/status/1623132002600853505</v>
      </c>
      <c r="AF2802" s="79">
        <v>44965.0625</v>
      </c>
      <c r="AG2802" s="85">
        <v>44965</v>
      </c>
      <c r="AH2802" s="82" t="s">
        <v>12867</v>
      </c>
      <c r="AI2802" s="77" t="b">
        <v>0</v>
      </c>
      <c r="AJ2802" s="77"/>
      <c r="AK2802" s="77"/>
      <c r="AL2802" s="77"/>
      <c r="AM2802" s="77"/>
      <c r="AN2802" s="77"/>
      <c r="AO2802" s="77"/>
      <c r="AP2802" s="77"/>
      <c r="AQ2802" s="77" t="s">
        <v>15799</v>
      </c>
      <c r="AR2802" s="77">
        <v>23475</v>
      </c>
      <c r="AS2802" s="77"/>
      <c r="AT2802" s="77"/>
      <c r="AU2802" s="77"/>
      <c r="AV2802" s="80" t="str">
        <f>HYPERLINK("https://pbs.twimg.com/ext_tw_video_thumb/1622731138765664258/pu/img/DGnvUGNYcZtjvWRB.jpg")</f>
        <v>https://pbs.twimg.com/ext_tw_video_thumb/1622731138765664258/pu/img/DGnvUGNYcZtjvWRB.jpg</v>
      </c>
      <c r="AW2802" s="82" t="s">
        <v>19568</v>
      </c>
      <c r="AX2802" s="82" t="s">
        <v>19568</v>
      </c>
      <c r="AY2802" s="77"/>
      <c r="AZ2802" s="82" t="s">
        <v>20971</v>
      </c>
      <c r="BA2802" s="82" t="s">
        <v>20971</v>
      </c>
      <c r="BB2802" s="82" t="s">
        <v>20971</v>
      </c>
      <c r="BC2802" s="82" t="s">
        <v>19568</v>
      </c>
      <c r="BD2802" s="77">
        <v>634133167</v>
      </c>
      <c r="BE2802" s="77"/>
      <c r="BF2802" s="77"/>
      <c r="BG2802" s="77"/>
      <c r="BH2802" s="77"/>
      <c r="BI2802" s="77"/>
    </row>
    <row r="2803" spans="1:61" x14ac:dyDescent="0.25">
      <c r="A2803" s="62" t="s">
        <v>949</v>
      </c>
      <c r="B2803" s="62" t="s">
        <v>949</v>
      </c>
      <c r="C2803" s="63"/>
      <c r="D2803" s="64"/>
      <c r="E2803" s="65"/>
      <c r="F2803" s="66"/>
      <c r="G2803" s="63"/>
      <c r="H2803" s="67"/>
      <c r="I2803" s="68"/>
      <c r="J2803" s="68"/>
      <c r="K2803" s="32"/>
      <c r="L2803" s="75">
        <v>2803</v>
      </c>
      <c r="M2803" s="75"/>
      <c r="N2803" s="70"/>
      <c r="O2803" s="77" t="s">
        <v>179</v>
      </c>
      <c r="P2803" s="79">
        <v>44965.020833333336</v>
      </c>
      <c r="Q2803" s="77" t="s">
        <v>4009</v>
      </c>
      <c r="R2803" s="77">
        <v>0</v>
      </c>
      <c r="S2803" s="77">
        <v>0</v>
      </c>
      <c r="T2803" s="77">
        <v>0</v>
      </c>
      <c r="U2803" s="77">
        <v>0</v>
      </c>
      <c r="V2803" s="77">
        <v>11</v>
      </c>
      <c r="W2803" s="82" t="s">
        <v>6614</v>
      </c>
      <c r="X2803" s="80" t="str">
        <f>HYPERLINK("https://go.ticto.com.br/t/bd1f298b")</f>
        <v>https://go.ticto.com.br/t/bd1f298b</v>
      </c>
      <c r="Y2803" s="77" t="s">
        <v>7252</v>
      </c>
      <c r="Z2803" s="77"/>
      <c r="AA2803" s="77" t="s">
        <v>9157</v>
      </c>
      <c r="AB2803" s="77" t="s">
        <v>10129</v>
      </c>
      <c r="AC2803" s="82" t="s">
        <v>10146</v>
      </c>
      <c r="AD2803" s="77" t="s">
        <v>10184</v>
      </c>
      <c r="AE2803" s="80" t="str">
        <f>HYPERLINK("https://twitter.com/eddie_poker/status/1623116902989189120")</f>
        <v>https://twitter.com/eddie_poker/status/1623116902989189120</v>
      </c>
      <c r="AF2803" s="79">
        <v>44965.020833333336</v>
      </c>
      <c r="AG2803" s="85">
        <v>44965</v>
      </c>
      <c r="AH2803" s="82" t="s">
        <v>12868</v>
      </c>
      <c r="AI2803" s="77" t="b">
        <v>0</v>
      </c>
      <c r="AJ2803" s="77"/>
      <c r="AK2803" s="77"/>
      <c r="AL2803" s="77"/>
      <c r="AM2803" s="77"/>
      <c r="AN2803" s="77"/>
      <c r="AO2803" s="77"/>
      <c r="AP2803" s="77"/>
      <c r="AQ2803" s="77" t="s">
        <v>15800</v>
      </c>
      <c r="AR2803" s="77">
        <v>23475</v>
      </c>
      <c r="AS2803" s="77"/>
      <c r="AT2803" s="77"/>
      <c r="AU2803" s="77"/>
      <c r="AV2803" s="80" t="str">
        <f>HYPERLINK("https://pbs.twimg.com/ext_tw_video_thumb/1622730963980525569/pu/img/nKpl24ruiWK3R78J.jpg")</f>
        <v>https://pbs.twimg.com/ext_tw_video_thumb/1622730963980525569/pu/img/nKpl24ruiWK3R78J.jpg</v>
      </c>
      <c r="AW2803" s="82" t="s">
        <v>19569</v>
      </c>
      <c r="AX2803" s="82" t="s">
        <v>19569</v>
      </c>
      <c r="AY2803" s="77"/>
      <c r="AZ2803" s="82" t="s">
        <v>20971</v>
      </c>
      <c r="BA2803" s="82" t="s">
        <v>20971</v>
      </c>
      <c r="BB2803" s="82" t="s">
        <v>20971</v>
      </c>
      <c r="BC2803" s="82" t="s">
        <v>19569</v>
      </c>
      <c r="BD2803" s="77">
        <v>634133167</v>
      </c>
      <c r="BE2803" s="77"/>
      <c r="BF2803" s="77"/>
      <c r="BG2803" s="77"/>
      <c r="BH2803" s="77"/>
      <c r="BI2803" s="77"/>
    </row>
    <row r="2804" spans="1:61" x14ac:dyDescent="0.25">
      <c r="A2804" s="62" t="s">
        <v>949</v>
      </c>
      <c r="B2804" s="62" t="s">
        <v>949</v>
      </c>
      <c r="C2804" s="63"/>
      <c r="D2804" s="64"/>
      <c r="E2804" s="65"/>
      <c r="F2804" s="66"/>
      <c r="G2804" s="63"/>
      <c r="H2804" s="67"/>
      <c r="I2804" s="68"/>
      <c r="J2804" s="68"/>
      <c r="K2804" s="32"/>
      <c r="L2804" s="75">
        <v>2804</v>
      </c>
      <c r="M2804" s="75"/>
      <c r="N2804" s="70"/>
      <c r="O2804" s="77" t="s">
        <v>179</v>
      </c>
      <c r="P2804" s="79">
        <v>44964.979166666664</v>
      </c>
      <c r="Q2804" s="77" t="s">
        <v>4010</v>
      </c>
      <c r="R2804" s="77">
        <v>0</v>
      </c>
      <c r="S2804" s="77">
        <v>0</v>
      </c>
      <c r="T2804" s="77">
        <v>0</v>
      </c>
      <c r="U2804" s="77">
        <v>0</v>
      </c>
      <c r="V2804" s="77">
        <v>21</v>
      </c>
      <c r="W2804" s="82" t="s">
        <v>6614</v>
      </c>
      <c r="X2804" s="80" t="str">
        <f>HYPERLINK("https://go.ticto.com.br/t/bd1f298b")</f>
        <v>https://go.ticto.com.br/t/bd1f298b</v>
      </c>
      <c r="Y2804" s="77" t="s">
        <v>7252</v>
      </c>
      <c r="Z2804" s="77"/>
      <c r="AA2804" s="77" t="s">
        <v>9158</v>
      </c>
      <c r="AB2804" s="77" t="s">
        <v>10129</v>
      </c>
      <c r="AC2804" s="82" t="s">
        <v>10146</v>
      </c>
      <c r="AD2804" s="77" t="s">
        <v>10184</v>
      </c>
      <c r="AE2804" s="80" t="str">
        <f>HYPERLINK("https://twitter.com/eddie_poker/status/1623101805071863808")</f>
        <v>https://twitter.com/eddie_poker/status/1623101805071863808</v>
      </c>
      <c r="AF2804" s="79">
        <v>44964.979166666664</v>
      </c>
      <c r="AG2804" s="85">
        <v>44964</v>
      </c>
      <c r="AH2804" s="82" t="s">
        <v>11325</v>
      </c>
      <c r="AI2804" s="77" t="b">
        <v>0</v>
      </c>
      <c r="AJ2804" s="77"/>
      <c r="AK2804" s="77"/>
      <c r="AL2804" s="77"/>
      <c r="AM2804" s="77"/>
      <c r="AN2804" s="77"/>
      <c r="AO2804" s="77"/>
      <c r="AP2804" s="77"/>
      <c r="AQ2804" s="77" t="s">
        <v>15801</v>
      </c>
      <c r="AR2804" s="77">
        <v>23475</v>
      </c>
      <c r="AS2804" s="77"/>
      <c r="AT2804" s="77"/>
      <c r="AU2804" s="77"/>
      <c r="AV2804" s="80" t="str">
        <f>HYPERLINK("https://pbs.twimg.com/ext_tw_video_thumb/1622730630734782466/pu/img/UYcypK6tpJRXN7Ur.jpg")</f>
        <v>https://pbs.twimg.com/ext_tw_video_thumb/1622730630734782466/pu/img/UYcypK6tpJRXN7Ur.jpg</v>
      </c>
      <c r="AW2804" s="82" t="s">
        <v>19570</v>
      </c>
      <c r="AX2804" s="82" t="s">
        <v>19570</v>
      </c>
      <c r="AY2804" s="77"/>
      <c r="AZ2804" s="82" t="s">
        <v>20971</v>
      </c>
      <c r="BA2804" s="82" t="s">
        <v>20971</v>
      </c>
      <c r="BB2804" s="82" t="s">
        <v>20971</v>
      </c>
      <c r="BC2804" s="82" t="s">
        <v>19570</v>
      </c>
      <c r="BD2804" s="77">
        <v>634133167</v>
      </c>
      <c r="BE2804" s="77"/>
      <c r="BF2804" s="77"/>
      <c r="BG2804" s="77"/>
      <c r="BH2804" s="77"/>
      <c r="BI2804" s="77"/>
    </row>
    <row r="2805" spans="1:61" x14ac:dyDescent="0.25">
      <c r="A2805" s="62" t="s">
        <v>949</v>
      </c>
      <c r="B2805" s="62" t="s">
        <v>949</v>
      </c>
      <c r="C2805" s="63"/>
      <c r="D2805" s="64"/>
      <c r="E2805" s="65"/>
      <c r="F2805" s="66"/>
      <c r="G2805" s="63"/>
      <c r="H2805" s="67"/>
      <c r="I2805" s="68"/>
      <c r="J2805" s="68"/>
      <c r="K2805" s="32"/>
      <c r="L2805" s="75">
        <v>2805</v>
      </c>
      <c r="M2805" s="75"/>
      <c r="N2805" s="70"/>
      <c r="O2805" s="77" t="s">
        <v>179</v>
      </c>
      <c r="P2805" s="79">
        <v>44964.9375</v>
      </c>
      <c r="Q2805" s="77" t="s">
        <v>4011</v>
      </c>
      <c r="R2805" s="77">
        <v>0</v>
      </c>
      <c r="S2805" s="77">
        <v>0</v>
      </c>
      <c r="T2805" s="77">
        <v>0</v>
      </c>
      <c r="U2805" s="77">
        <v>0</v>
      </c>
      <c r="V2805" s="77">
        <v>24</v>
      </c>
      <c r="W2805" s="82" t="s">
        <v>6614</v>
      </c>
      <c r="X2805" s="80" t="str">
        <f>HYPERLINK("https://go.ticto.com.br/t/bd1f298b")</f>
        <v>https://go.ticto.com.br/t/bd1f298b</v>
      </c>
      <c r="Y2805" s="77" t="s">
        <v>7252</v>
      </c>
      <c r="Z2805" s="77"/>
      <c r="AA2805" s="77" t="s">
        <v>9159</v>
      </c>
      <c r="AB2805" s="77" t="s">
        <v>10129</v>
      </c>
      <c r="AC2805" s="82" t="s">
        <v>10146</v>
      </c>
      <c r="AD2805" s="77" t="s">
        <v>10184</v>
      </c>
      <c r="AE2805" s="80" t="str">
        <f>HYPERLINK("https://twitter.com/eddie_poker/status/1623086705396920327")</f>
        <v>https://twitter.com/eddie_poker/status/1623086705396920327</v>
      </c>
      <c r="AF2805" s="79">
        <v>44964.9375</v>
      </c>
      <c r="AG2805" s="85">
        <v>44964</v>
      </c>
      <c r="AH2805" s="82" t="s">
        <v>12869</v>
      </c>
      <c r="AI2805" s="77" t="b">
        <v>0</v>
      </c>
      <c r="AJ2805" s="77"/>
      <c r="AK2805" s="77"/>
      <c r="AL2805" s="77"/>
      <c r="AM2805" s="77"/>
      <c r="AN2805" s="77"/>
      <c r="AO2805" s="77"/>
      <c r="AP2805" s="77"/>
      <c r="AQ2805" s="77" t="s">
        <v>15802</v>
      </c>
      <c r="AR2805" s="77">
        <v>23475</v>
      </c>
      <c r="AS2805" s="77"/>
      <c r="AT2805" s="77"/>
      <c r="AU2805" s="77"/>
      <c r="AV2805" s="80" t="str">
        <f>HYPERLINK("https://pbs.twimg.com/ext_tw_video_thumb/1622730467622395905/pu/img/tzeZp7Jchb8YG7Zc.jpg")</f>
        <v>https://pbs.twimg.com/ext_tw_video_thumb/1622730467622395905/pu/img/tzeZp7Jchb8YG7Zc.jpg</v>
      </c>
      <c r="AW2805" s="82" t="s">
        <v>19571</v>
      </c>
      <c r="AX2805" s="82" t="s">
        <v>19571</v>
      </c>
      <c r="AY2805" s="77"/>
      <c r="AZ2805" s="82" t="s">
        <v>20971</v>
      </c>
      <c r="BA2805" s="82" t="s">
        <v>20971</v>
      </c>
      <c r="BB2805" s="82" t="s">
        <v>20971</v>
      </c>
      <c r="BC2805" s="82" t="s">
        <v>19571</v>
      </c>
      <c r="BD2805" s="77">
        <v>634133167</v>
      </c>
      <c r="BE2805" s="77"/>
      <c r="BF2805" s="77"/>
      <c r="BG2805" s="77"/>
      <c r="BH2805" s="77"/>
      <c r="BI2805" s="77"/>
    </row>
    <row r="2806" spans="1:61" x14ac:dyDescent="0.25">
      <c r="A2806" s="62" t="s">
        <v>949</v>
      </c>
      <c r="B2806" s="62" t="s">
        <v>949</v>
      </c>
      <c r="C2806" s="63"/>
      <c r="D2806" s="64"/>
      <c r="E2806" s="65"/>
      <c r="F2806" s="66"/>
      <c r="G2806" s="63"/>
      <c r="H2806" s="67"/>
      <c r="I2806" s="68"/>
      <c r="J2806" s="68"/>
      <c r="K2806" s="32"/>
      <c r="L2806" s="75">
        <v>2806</v>
      </c>
      <c r="M2806" s="75"/>
      <c r="N2806" s="70"/>
      <c r="O2806" s="77" t="s">
        <v>179</v>
      </c>
      <c r="P2806" s="79">
        <v>44964.895833333336</v>
      </c>
      <c r="Q2806" s="77" t="s">
        <v>4012</v>
      </c>
      <c r="R2806" s="77">
        <v>0</v>
      </c>
      <c r="S2806" s="77">
        <v>0</v>
      </c>
      <c r="T2806" s="77">
        <v>0</v>
      </c>
      <c r="U2806" s="77">
        <v>0</v>
      </c>
      <c r="V2806" s="77">
        <v>17</v>
      </c>
      <c r="W2806" s="82" t="s">
        <v>6614</v>
      </c>
      <c r="X2806" s="80" t="str">
        <f>HYPERLINK("https://go.ticto.com.br/t/bd1f298b")</f>
        <v>https://go.ticto.com.br/t/bd1f298b</v>
      </c>
      <c r="Y2806" s="77" t="s">
        <v>7252</v>
      </c>
      <c r="Z2806" s="77"/>
      <c r="AA2806" s="77" t="s">
        <v>9160</v>
      </c>
      <c r="AB2806" s="77" t="s">
        <v>10129</v>
      </c>
      <c r="AC2806" s="82" t="s">
        <v>10146</v>
      </c>
      <c r="AD2806" s="77" t="s">
        <v>10184</v>
      </c>
      <c r="AE2806" s="80" t="str">
        <f>HYPERLINK("https://twitter.com/eddie_poker/status/1623071604199628800")</f>
        <v>https://twitter.com/eddie_poker/status/1623071604199628800</v>
      </c>
      <c r="AF2806" s="79">
        <v>44964.895833333336</v>
      </c>
      <c r="AG2806" s="85">
        <v>44964</v>
      </c>
      <c r="AH2806" s="82" t="s">
        <v>12870</v>
      </c>
      <c r="AI2806" s="77" t="b">
        <v>0</v>
      </c>
      <c r="AJ2806" s="77"/>
      <c r="AK2806" s="77"/>
      <c r="AL2806" s="77"/>
      <c r="AM2806" s="77"/>
      <c r="AN2806" s="77"/>
      <c r="AO2806" s="77"/>
      <c r="AP2806" s="77"/>
      <c r="AQ2806" s="77" t="s">
        <v>15803</v>
      </c>
      <c r="AR2806" s="77">
        <v>23475</v>
      </c>
      <c r="AS2806" s="77"/>
      <c r="AT2806" s="77"/>
      <c r="AU2806" s="77"/>
      <c r="AV2806" s="80" t="str">
        <f>HYPERLINK("https://pbs.twimg.com/ext_tw_video_thumb/1622730302144622597/pu/img/2amZifDUez2jc69l.jpg")</f>
        <v>https://pbs.twimg.com/ext_tw_video_thumb/1622730302144622597/pu/img/2amZifDUez2jc69l.jpg</v>
      </c>
      <c r="AW2806" s="82" t="s">
        <v>19572</v>
      </c>
      <c r="AX2806" s="82" t="s">
        <v>19572</v>
      </c>
      <c r="AY2806" s="77"/>
      <c r="AZ2806" s="82" t="s">
        <v>20971</v>
      </c>
      <c r="BA2806" s="82" t="s">
        <v>20971</v>
      </c>
      <c r="BB2806" s="82" t="s">
        <v>20971</v>
      </c>
      <c r="BC2806" s="82" t="s">
        <v>19572</v>
      </c>
      <c r="BD2806" s="77">
        <v>634133167</v>
      </c>
      <c r="BE2806" s="77"/>
      <c r="BF2806" s="77"/>
      <c r="BG2806" s="77"/>
      <c r="BH2806" s="77"/>
      <c r="BI2806" s="77"/>
    </row>
    <row r="2807" spans="1:61" x14ac:dyDescent="0.25">
      <c r="A2807" s="62" t="s">
        <v>949</v>
      </c>
      <c r="B2807" s="62" t="s">
        <v>949</v>
      </c>
      <c r="C2807" s="63"/>
      <c r="D2807" s="64"/>
      <c r="E2807" s="65"/>
      <c r="F2807" s="66"/>
      <c r="G2807" s="63"/>
      <c r="H2807" s="67"/>
      <c r="I2807" s="68"/>
      <c r="J2807" s="68"/>
      <c r="K2807" s="32"/>
      <c r="L2807" s="75">
        <v>2807</v>
      </c>
      <c r="M2807" s="75"/>
      <c r="N2807" s="70"/>
      <c r="O2807" s="77" t="s">
        <v>179</v>
      </c>
      <c r="P2807" s="79">
        <v>44964.854166666664</v>
      </c>
      <c r="Q2807" s="77" t="s">
        <v>4013</v>
      </c>
      <c r="R2807" s="77">
        <v>0</v>
      </c>
      <c r="S2807" s="77">
        <v>0</v>
      </c>
      <c r="T2807" s="77">
        <v>0</v>
      </c>
      <c r="U2807" s="77">
        <v>0</v>
      </c>
      <c r="V2807" s="77">
        <v>35</v>
      </c>
      <c r="W2807" s="82" t="s">
        <v>6614</v>
      </c>
      <c r="X2807" s="80" t="str">
        <f>HYPERLINK("https://go.ticto.com.br/t/bd1f298b")</f>
        <v>https://go.ticto.com.br/t/bd1f298b</v>
      </c>
      <c r="Y2807" s="77" t="s">
        <v>7252</v>
      </c>
      <c r="Z2807" s="77"/>
      <c r="AA2807" s="77" t="s">
        <v>9161</v>
      </c>
      <c r="AB2807" s="77" t="s">
        <v>10129</v>
      </c>
      <c r="AC2807" s="82" t="s">
        <v>10146</v>
      </c>
      <c r="AD2807" s="77" t="s">
        <v>10184</v>
      </c>
      <c r="AE2807" s="80" t="str">
        <f>HYPERLINK("https://twitter.com/eddie_poker/status/1623056505397190661")</f>
        <v>https://twitter.com/eddie_poker/status/1623056505397190661</v>
      </c>
      <c r="AF2807" s="79">
        <v>44964.854166666664</v>
      </c>
      <c r="AG2807" s="85">
        <v>44964</v>
      </c>
      <c r="AH2807" s="82" t="s">
        <v>12871</v>
      </c>
      <c r="AI2807" s="77" t="b">
        <v>0</v>
      </c>
      <c r="AJ2807" s="77"/>
      <c r="AK2807" s="77"/>
      <c r="AL2807" s="77"/>
      <c r="AM2807" s="77"/>
      <c r="AN2807" s="77"/>
      <c r="AO2807" s="77"/>
      <c r="AP2807" s="77"/>
      <c r="AQ2807" s="77" t="s">
        <v>15804</v>
      </c>
      <c r="AR2807" s="77">
        <v>23475</v>
      </c>
      <c r="AS2807" s="77"/>
      <c r="AT2807" s="77"/>
      <c r="AU2807" s="77"/>
      <c r="AV2807" s="80" t="str">
        <f>HYPERLINK("https://pbs.twimg.com/ext_tw_video_thumb/1622730119344271360/pu/img/j_IJHUuUQ4TiaMha.jpg")</f>
        <v>https://pbs.twimg.com/ext_tw_video_thumb/1622730119344271360/pu/img/j_IJHUuUQ4TiaMha.jpg</v>
      </c>
      <c r="AW2807" s="82" t="s">
        <v>19573</v>
      </c>
      <c r="AX2807" s="82" t="s">
        <v>19573</v>
      </c>
      <c r="AY2807" s="77"/>
      <c r="AZ2807" s="82" t="s">
        <v>20971</v>
      </c>
      <c r="BA2807" s="82" t="s">
        <v>20971</v>
      </c>
      <c r="BB2807" s="82" t="s">
        <v>20971</v>
      </c>
      <c r="BC2807" s="82" t="s">
        <v>19573</v>
      </c>
      <c r="BD2807" s="77">
        <v>634133167</v>
      </c>
      <c r="BE2807" s="77"/>
      <c r="BF2807" s="77"/>
      <c r="BG2807" s="77"/>
      <c r="BH2807" s="77"/>
      <c r="BI2807" s="77"/>
    </row>
    <row r="2808" spans="1:61" x14ac:dyDescent="0.25">
      <c r="A2808" s="62" t="s">
        <v>949</v>
      </c>
      <c r="B2808" s="62" t="s">
        <v>949</v>
      </c>
      <c r="C2808" s="63"/>
      <c r="D2808" s="64"/>
      <c r="E2808" s="65"/>
      <c r="F2808" s="66"/>
      <c r="G2808" s="63"/>
      <c r="H2808" s="67"/>
      <c r="I2808" s="68"/>
      <c r="J2808" s="68"/>
      <c r="K2808" s="32"/>
      <c r="L2808" s="75">
        <v>2808</v>
      </c>
      <c r="M2808" s="75"/>
      <c r="N2808" s="70"/>
      <c r="O2808" s="77" t="s">
        <v>179</v>
      </c>
      <c r="P2808" s="79">
        <v>44964.8125</v>
      </c>
      <c r="Q2808" s="77" t="s">
        <v>4014</v>
      </c>
      <c r="R2808" s="77">
        <v>0</v>
      </c>
      <c r="S2808" s="77">
        <v>0</v>
      </c>
      <c r="T2808" s="77">
        <v>0</v>
      </c>
      <c r="U2808" s="77">
        <v>0</v>
      </c>
      <c r="V2808" s="77">
        <v>12</v>
      </c>
      <c r="W2808" s="82" t="s">
        <v>6614</v>
      </c>
      <c r="X2808" s="80" t="str">
        <f>HYPERLINK("https://go.ticto.com.br/t/bd1f298b")</f>
        <v>https://go.ticto.com.br/t/bd1f298b</v>
      </c>
      <c r="Y2808" s="77" t="s">
        <v>7252</v>
      </c>
      <c r="Z2808" s="77"/>
      <c r="AA2808" s="77" t="s">
        <v>9162</v>
      </c>
      <c r="AB2808" s="77" t="s">
        <v>10129</v>
      </c>
      <c r="AC2808" s="82" t="s">
        <v>10146</v>
      </c>
      <c r="AD2808" s="77" t="s">
        <v>10184</v>
      </c>
      <c r="AE2808" s="80" t="str">
        <f>HYPERLINK("https://twitter.com/eddie_poker/status/1623041407094263808")</f>
        <v>https://twitter.com/eddie_poker/status/1623041407094263808</v>
      </c>
      <c r="AF2808" s="79">
        <v>44964.8125</v>
      </c>
      <c r="AG2808" s="85">
        <v>44964</v>
      </c>
      <c r="AH2808" s="82" t="s">
        <v>12872</v>
      </c>
      <c r="AI2808" s="77" t="b">
        <v>0</v>
      </c>
      <c r="AJ2808" s="77"/>
      <c r="AK2808" s="77"/>
      <c r="AL2808" s="77"/>
      <c r="AM2808" s="77"/>
      <c r="AN2808" s="77"/>
      <c r="AO2808" s="77"/>
      <c r="AP2808" s="77"/>
      <c r="AQ2808" s="77" t="s">
        <v>15805</v>
      </c>
      <c r="AR2808" s="77">
        <v>23475</v>
      </c>
      <c r="AS2808" s="77"/>
      <c r="AT2808" s="77"/>
      <c r="AU2808" s="77"/>
      <c r="AV2808" s="80" t="str">
        <f>HYPERLINK("https://pbs.twimg.com/ext_tw_video_thumb/1622729952385814529/pu/img/m1SgJLDEbE9lbS7h.jpg")</f>
        <v>https://pbs.twimg.com/ext_tw_video_thumb/1622729952385814529/pu/img/m1SgJLDEbE9lbS7h.jpg</v>
      </c>
      <c r="AW2808" s="82" t="s">
        <v>19574</v>
      </c>
      <c r="AX2808" s="82" t="s">
        <v>19574</v>
      </c>
      <c r="AY2808" s="77"/>
      <c r="AZ2808" s="82" t="s">
        <v>20971</v>
      </c>
      <c r="BA2808" s="82" t="s">
        <v>20971</v>
      </c>
      <c r="BB2808" s="82" t="s">
        <v>20971</v>
      </c>
      <c r="BC2808" s="82" t="s">
        <v>19574</v>
      </c>
      <c r="BD2808" s="77">
        <v>634133167</v>
      </c>
      <c r="BE2808" s="77"/>
      <c r="BF2808" s="77"/>
      <c r="BG2808" s="77"/>
      <c r="BH2808" s="77"/>
      <c r="BI2808" s="77"/>
    </row>
    <row r="2809" spans="1:61" x14ac:dyDescent="0.25">
      <c r="A2809" s="62" t="s">
        <v>949</v>
      </c>
      <c r="B2809" s="62" t="s">
        <v>949</v>
      </c>
      <c r="C2809" s="63"/>
      <c r="D2809" s="64"/>
      <c r="E2809" s="65"/>
      <c r="F2809" s="66"/>
      <c r="G2809" s="63"/>
      <c r="H2809" s="67"/>
      <c r="I2809" s="68"/>
      <c r="J2809" s="68"/>
      <c r="K2809" s="32"/>
      <c r="L2809" s="75">
        <v>2809</v>
      </c>
      <c r="M2809" s="75"/>
      <c r="N2809" s="70"/>
      <c r="O2809" s="77" t="s">
        <v>179</v>
      </c>
      <c r="P2809" s="79">
        <v>44964.770833333336</v>
      </c>
      <c r="Q2809" s="77" t="s">
        <v>4015</v>
      </c>
      <c r="R2809" s="77">
        <v>0</v>
      </c>
      <c r="S2809" s="77">
        <v>0</v>
      </c>
      <c r="T2809" s="77">
        <v>0</v>
      </c>
      <c r="U2809" s="77">
        <v>0</v>
      </c>
      <c r="V2809" s="77">
        <v>24</v>
      </c>
      <c r="W2809" s="82" t="s">
        <v>6614</v>
      </c>
      <c r="X2809" s="80" t="str">
        <f>HYPERLINK("https://go.ticto.com.br/t/bd1f298b")</f>
        <v>https://go.ticto.com.br/t/bd1f298b</v>
      </c>
      <c r="Y2809" s="77" t="s">
        <v>7252</v>
      </c>
      <c r="Z2809" s="77"/>
      <c r="AA2809" s="77" t="s">
        <v>9163</v>
      </c>
      <c r="AB2809" s="77" t="s">
        <v>10129</v>
      </c>
      <c r="AC2809" s="82" t="s">
        <v>10146</v>
      </c>
      <c r="AD2809" s="77" t="s">
        <v>10184</v>
      </c>
      <c r="AE2809" s="80" t="str">
        <f>HYPERLINK("https://twitter.com/eddie_poker/status/1623026307151073280")</f>
        <v>https://twitter.com/eddie_poker/status/1623026307151073280</v>
      </c>
      <c r="AF2809" s="79">
        <v>44964.770833333336</v>
      </c>
      <c r="AG2809" s="85">
        <v>44964</v>
      </c>
      <c r="AH2809" s="82" t="s">
        <v>12040</v>
      </c>
      <c r="AI2809" s="77" t="b">
        <v>0</v>
      </c>
      <c r="AJ2809" s="77"/>
      <c r="AK2809" s="77"/>
      <c r="AL2809" s="77"/>
      <c r="AM2809" s="77"/>
      <c r="AN2809" s="77"/>
      <c r="AO2809" s="77"/>
      <c r="AP2809" s="77"/>
      <c r="AQ2809" s="77" t="s">
        <v>15806</v>
      </c>
      <c r="AR2809" s="77">
        <v>23475</v>
      </c>
      <c r="AS2809" s="77"/>
      <c r="AT2809" s="77"/>
      <c r="AU2809" s="77"/>
      <c r="AV2809" s="80" t="str">
        <f>HYPERLINK("https://pbs.twimg.com/ext_tw_video_thumb/1622729790410072065/pu/img/ALUNuug_l4aGPuKt.jpg")</f>
        <v>https://pbs.twimg.com/ext_tw_video_thumb/1622729790410072065/pu/img/ALUNuug_l4aGPuKt.jpg</v>
      </c>
      <c r="AW2809" s="82" t="s">
        <v>19575</v>
      </c>
      <c r="AX2809" s="82" t="s">
        <v>19575</v>
      </c>
      <c r="AY2809" s="77"/>
      <c r="AZ2809" s="82" t="s">
        <v>20971</v>
      </c>
      <c r="BA2809" s="82" t="s">
        <v>20971</v>
      </c>
      <c r="BB2809" s="82" t="s">
        <v>20971</v>
      </c>
      <c r="BC2809" s="82" t="s">
        <v>19575</v>
      </c>
      <c r="BD2809" s="77">
        <v>634133167</v>
      </c>
      <c r="BE2809" s="77"/>
      <c r="BF2809" s="77"/>
      <c r="BG2809" s="77"/>
      <c r="BH2809" s="77"/>
      <c r="BI2809" s="77"/>
    </row>
    <row r="2810" spans="1:61" x14ac:dyDescent="0.25">
      <c r="A2810" s="62" t="s">
        <v>949</v>
      </c>
      <c r="B2810" s="62" t="s">
        <v>949</v>
      </c>
      <c r="C2810" s="63"/>
      <c r="D2810" s="64"/>
      <c r="E2810" s="65"/>
      <c r="F2810" s="66"/>
      <c r="G2810" s="63"/>
      <c r="H2810" s="67"/>
      <c r="I2810" s="68"/>
      <c r="J2810" s="68"/>
      <c r="K2810" s="32"/>
      <c r="L2810" s="75">
        <v>2810</v>
      </c>
      <c r="M2810" s="75"/>
      <c r="N2810" s="70"/>
      <c r="O2810" s="77" t="s">
        <v>179</v>
      </c>
      <c r="P2810" s="79">
        <v>44964.729166666664</v>
      </c>
      <c r="Q2810" s="77" t="s">
        <v>4016</v>
      </c>
      <c r="R2810" s="77">
        <v>0</v>
      </c>
      <c r="S2810" s="77">
        <v>0</v>
      </c>
      <c r="T2810" s="77">
        <v>0</v>
      </c>
      <c r="U2810" s="77">
        <v>0</v>
      </c>
      <c r="V2810" s="77">
        <v>24</v>
      </c>
      <c r="W2810" s="82" t="s">
        <v>6614</v>
      </c>
      <c r="X2810" s="80" t="str">
        <f>HYPERLINK("https://go.ticto.com.br/t/bd1f298b")</f>
        <v>https://go.ticto.com.br/t/bd1f298b</v>
      </c>
      <c r="Y2810" s="77" t="s">
        <v>7252</v>
      </c>
      <c r="Z2810" s="77"/>
      <c r="AA2810" s="77" t="s">
        <v>9164</v>
      </c>
      <c r="AB2810" s="77" t="s">
        <v>10129</v>
      </c>
      <c r="AC2810" s="82" t="s">
        <v>10146</v>
      </c>
      <c r="AD2810" s="77" t="s">
        <v>10184</v>
      </c>
      <c r="AE2810" s="80" t="str">
        <f>HYPERLINK("https://twitter.com/eddie_poker/status/1623011205974732802")</f>
        <v>https://twitter.com/eddie_poker/status/1623011205974732802</v>
      </c>
      <c r="AF2810" s="79">
        <v>44964.729166666664</v>
      </c>
      <c r="AG2810" s="85">
        <v>44964</v>
      </c>
      <c r="AH2810" s="82" t="s">
        <v>12873</v>
      </c>
      <c r="AI2810" s="77" t="b">
        <v>0</v>
      </c>
      <c r="AJ2810" s="77"/>
      <c r="AK2810" s="77"/>
      <c r="AL2810" s="77"/>
      <c r="AM2810" s="77"/>
      <c r="AN2810" s="77"/>
      <c r="AO2810" s="77"/>
      <c r="AP2810" s="77"/>
      <c r="AQ2810" s="77" t="s">
        <v>15807</v>
      </c>
      <c r="AR2810" s="77">
        <v>23475</v>
      </c>
      <c r="AS2810" s="77"/>
      <c r="AT2810" s="77"/>
      <c r="AU2810" s="77"/>
      <c r="AV2810" s="80" t="str">
        <f>HYPERLINK("https://pbs.twimg.com/ext_tw_video_thumb/1622729453410328582/pu/img/qi4lWiLaxfUviAq6.jpg")</f>
        <v>https://pbs.twimg.com/ext_tw_video_thumb/1622729453410328582/pu/img/qi4lWiLaxfUviAq6.jpg</v>
      </c>
      <c r="AW2810" s="82" t="s">
        <v>19576</v>
      </c>
      <c r="AX2810" s="82" t="s">
        <v>19576</v>
      </c>
      <c r="AY2810" s="77"/>
      <c r="AZ2810" s="82" t="s">
        <v>20971</v>
      </c>
      <c r="BA2810" s="82" t="s">
        <v>20971</v>
      </c>
      <c r="BB2810" s="82" t="s">
        <v>20971</v>
      </c>
      <c r="BC2810" s="82" t="s">
        <v>19576</v>
      </c>
      <c r="BD2810" s="77">
        <v>634133167</v>
      </c>
      <c r="BE2810" s="77"/>
      <c r="BF2810" s="77"/>
      <c r="BG2810" s="77"/>
      <c r="BH2810" s="77"/>
      <c r="BI2810" s="77"/>
    </row>
    <row r="2811" spans="1:61" x14ac:dyDescent="0.25">
      <c r="A2811" s="62" t="s">
        <v>949</v>
      </c>
      <c r="B2811" s="62" t="s">
        <v>949</v>
      </c>
      <c r="C2811" s="63"/>
      <c r="D2811" s="64"/>
      <c r="E2811" s="65"/>
      <c r="F2811" s="66"/>
      <c r="G2811" s="63"/>
      <c r="H2811" s="67"/>
      <c r="I2811" s="68"/>
      <c r="J2811" s="68"/>
      <c r="K2811" s="32"/>
      <c r="L2811" s="75">
        <v>2811</v>
      </c>
      <c r="M2811" s="75"/>
      <c r="N2811" s="70"/>
      <c r="O2811" s="77" t="s">
        <v>179</v>
      </c>
      <c r="P2811" s="79">
        <v>44964.6875</v>
      </c>
      <c r="Q2811" s="77" t="s">
        <v>4017</v>
      </c>
      <c r="R2811" s="77">
        <v>0</v>
      </c>
      <c r="S2811" s="77">
        <v>0</v>
      </c>
      <c r="T2811" s="77">
        <v>0</v>
      </c>
      <c r="U2811" s="77">
        <v>0</v>
      </c>
      <c r="V2811" s="77">
        <v>17</v>
      </c>
      <c r="W2811" s="82" t="s">
        <v>6614</v>
      </c>
      <c r="X2811" s="80" t="str">
        <f>HYPERLINK("https://go.ticto.com.br/t/bd1f298b")</f>
        <v>https://go.ticto.com.br/t/bd1f298b</v>
      </c>
      <c r="Y2811" s="77" t="s">
        <v>7252</v>
      </c>
      <c r="Z2811" s="77"/>
      <c r="AA2811" s="77" t="s">
        <v>9165</v>
      </c>
      <c r="AB2811" s="77" t="s">
        <v>10129</v>
      </c>
      <c r="AC2811" s="82" t="s">
        <v>10146</v>
      </c>
      <c r="AD2811" s="77" t="s">
        <v>10184</v>
      </c>
      <c r="AE2811" s="80" t="str">
        <f>HYPERLINK("https://twitter.com/eddie_poker/status/1622996107029794816")</f>
        <v>https://twitter.com/eddie_poker/status/1622996107029794816</v>
      </c>
      <c r="AF2811" s="79">
        <v>44964.6875</v>
      </c>
      <c r="AG2811" s="85">
        <v>44964</v>
      </c>
      <c r="AH2811" s="82" t="s">
        <v>12874</v>
      </c>
      <c r="AI2811" s="77" t="b">
        <v>0</v>
      </c>
      <c r="AJ2811" s="77"/>
      <c r="AK2811" s="77"/>
      <c r="AL2811" s="77"/>
      <c r="AM2811" s="77"/>
      <c r="AN2811" s="77"/>
      <c r="AO2811" s="77"/>
      <c r="AP2811" s="77"/>
      <c r="AQ2811" s="77" t="s">
        <v>15808</v>
      </c>
      <c r="AR2811" s="77">
        <v>23475</v>
      </c>
      <c r="AS2811" s="77"/>
      <c r="AT2811" s="77"/>
      <c r="AU2811" s="77"/>
      <c r="AV2811" s="80" t="str">
        <f>HYPERLINK("https://pbs.twimg.com/ext_tw_video_thumb/1622729302621003777/pu/img/RBq5GZ0MhyZQS9A2.jpg")</f>
        <v>https://pbs.twimg.com/ext_tw_video_thumb/1622729302621003777/pu/img/RBq5GZ0MhyZQS9A2.jpg</v>
      </c>
      <c r="AW2811" s="82" t="s">
        <v>19577</v>
      </c>
      <c r="AX2811" s="82" t="s">
        <v>19577</v>
      </c>
      <c r="AY2811" s="77"/>
      <c r="AZ2811" s="82" t="s">
        <v>20971</v>
      </c>
      <c r="BA2811" s="82" t="s">
        <v>20971</v>
      </c>
      <c r="BB2811" s="82" t="s">
        <v>20971</v>
      </c>
      <c r="BC2811" s="82" t="s">
        <v>19577</v>
      </c>
      <c r="BD2811" s="77">
        <v>634133167</v>
      </c>
      <c r="BE2811" s="77"/>
      <c r="BF2811" s="77"/>
      <c r="BG2811" s="77"/>
      <c r="BH2811" s="77"/>
      <c r="BI2811" s="77"/>
    </row>
    <row r="2812" spans="1:61" x14ac:dyDescent="0.25">
      <c r="A2812" s="62" t="s">
        <v>949</v>
      </c>
      <c r="B2812" s="62" t="s">
        <v>949</v>
      </c>
      <c r="C2812" s="63"/>
      <c r="D2812" s="64"/>
      <c r="E2812" s="65"/>
      <c r="F2812" s="66"/>
      <c r="G2812" s="63"/>
      <c r="H2812" s="67"/>
      <c r="I2812" s="68"/>
      <c r="J2812" s="68"/>
      <c r="K2812" s="32"/>
      <c r="L2812" s="75">
        <v>2812</v>
      </c>
      <c r="M2812" s="75"/>
      <c r="N2812" s="70"/>
      <c r="O2812" s="77" t="s">
        <v>179</v>
      </c>
      <c r="P2812" s="79">
        <v>44964.645833333336</v>
      </c>
      <c r="Q2812" s="77" t="s">
        <v>4018</v>
      </c>
      <c r="R2812" s="77">
        <v>0</v>
      </c>
      <c r="S2812" s="77">
        <v>0</v>
      </c>
      <c r="T2812" s="77">
        <v>0</v>
      </c>
      <c r="U2812" s="77">
        <v>0</v>
      </c>
      <c r="V2812" s="77">
        <v>32</v>
      </c>
      <c r="W2812" s="82" t="s">
        <v>6614</v>
      </c>
      <c r="X2812" s="80" t="str">
        <f>HYPERLINK("https://go.ticto.com.br/t/bd1f298b")</f>
        <v>https://go.ticto.com.br/t/bd1f298b</v>
      </c>
      <c r="Y2812" s="77" t="s">
        <v>7252</v>
      </c>
      <c r="Z2812" s="77"/>
      <c r="AA2812" s="77" t="s">
        <v>9166</v>
      </c>
      <c r="AB2812" s="77" t="s">
        <v>10129</v>
      </c>
      <c r="AC2812" s="82" t="s">
        <v>10146</v>
      </c>
      <c r="AD2812" s="77" t="s">
        <v>10184</v>
      </c>
      <c r="AE2812" s="80" t="str">
        <f>HYPERLINK("https://twitter.com/eddie_poker/status/1622981007992291328")</f>
        <v>https://twitter.com/eddie_poker/status/1622981007992291328</v>
      </c>
      <c r="AF2812" s="79">
        <v>44964.645833333336</v>
      </c>
      <c r="AG2812" s="85">
        <v>44964</v>
      </c>
      <c r="AH2812" s="82" t="s">
        <v>12875</v>
      </c>
      <c r="AI2812" s="77" t="b">
        <v>0</v>
      </c>
      <c r="AJ2812" s="77"/>
      <c r="AK2812" s="77"/>
      <c r="AL2812" s="77"/>
      <c r="AM2812" s="77"/>
      <c r="AN2812" s="77"/>
      <c r="AO2812" s="77"/>
      <c r="AP2812" s="77"/>
      <c r="AQ2812" s="77" t="s">
        <v>15809</v>
      </c>
      <c r="AR2812" s="77">
        <v>23475</v>
      </c>
      <c r="AS2812" s="77"/>
      <c r="AT2812" s="77"/>
      <c r="AU2812" s="77"/>
      <c r="AV2812" s="80" t="str">
        <f>HYPERLINK("https://pbs.twimg.com/ext_tw_video_thumb/1622729150489305096/pu/img/uRA6qBHrOw3XDTbU.jpg")</f>
        <v>https://pbs.twimg.com/ext_tw_video_thumb/1622729150489305096/pu/img/uRA6qBHrOw3XDTbU.jpg</v>
      </c>
      <c r="AW2812" s="82" t="s">
        <v>19578</v>
      </c>
      <c r="AX2812" s="82" t="s">
        <v>19578</v>
      </c>
      <c r="AY2812" s="77"/>
      <c r="AZ2812" s="82" t="s">
        <v>20971</v>
      </c>
      <c r="BA2812" s="82" t="s">
        <v>20971</v>
      </c>
      <c r="BB2812" s="82" t="s">
        <v>20971</v>
      </c>
      <c r="BC2812" s="82" t="s">
        <v>19578</v>
      </c>
      <c r="BD2812" s="77">
        <v>634133167</v>
      </c>
      <c r="BE2812" s="77"/>
      <c r="BF2812" s="77"/>
      <c r="BG2812" s="77"/>
      <c r="BH2812" s="77"/>
      <c r="BI2812" s="77"/>
    </row>
    <row r="2813" spans="1:61" x14ac:dyDescent="0.25">
      <c r="A2813" s="62" t="s">
        <v>949</v>
      </c>
      <c r="B2813" s="62" t="s">
        <v>949</v>
      </c>
      <c r="C2813" s="63"/>
      <c r="D2813" s="64"/>
      <c r="E2813" s="65"/>
      <c r="F2813" s="66"/>
      <c r="G2813" s="63"/>
      <c r="H2813" s="67"/>
      <c r="I2813" s="68"/>
      <c r="J2813" s="68"/>
      <c r="K2813" s="32"/>
      <c r="L2813" s="75">
        <v>2813</v>
      </c>
      <c r="M2813" s="75"/>
      <c r="N2813" s="70"/>
      <c r="O2813" s="77" t="s">
        <v>179</v>
      </c>
      <c r="P2813" s="79">
        <v>44964.604166666664</v>
      </c>
      <c r="Q2813" s="77" t="s">
        <v>4019</v>
      </c>
      <c r="R2813" s="77">
        <v>0</v>
      </c>
      <c r="S2813" s="77">
        <v>0</v>
      </c>
      <c r="T2813" s="77">
        <v>0</v>
      </c>
      <c r="U2813" s="77">
        <v>0</v>
      </c>
      <c r="V2813" s="77">
        <v>32</v>
      </c>
      <c r="W2813" s="82" t="s">
        <v>6614</v>
      </c>
      <c r="X2813" s="80" t="str">
        <f>HYPERLINK("https://go.ticto.com.br/t/bd1f298b")</f>
        <v>https://go.ticto.com.br/t/bd1f298b</v>
      </c>
      <c r="Y2813" s="77" t="s">
        <v>7252</v>
      </c>
      <c r="Z2813" s="77"/>
      <c r="AA2813" s="77" t="s">
        <v>9167</v>
      </c>
      <c r="AB2813" s="77" t="s">
        <v>10129</v>
      </c>
      <c r="AC2813" s="82" t="s">
        <v>10146</v>
      </c>
      <c r="AD2813" s="77" t="s">
        <v>10184</v>
      </c>
      <c r="AE2813" s="80" t="str">
        <f>HYPERLINK("https://twitter.com/eddie_poker/status/1622965908472999937")</f>
        <v>https://twitter.com/eddie_poker/status/1622965908472999937</v>
      </c>
      <c r="AF2813" s="79">
        <v>44964.604166666664</v>
      </c>
      <c r="AG2813" s="85">
        <v>44964</v>
      </c>
      <c r="AH2813" s="82" t="s">
        <v>12876</v>
      </c>
      <c r="AI2813" s="77" t="b">
        <v>0</v>
      </c>
      <c r="AJ2813" s="77"/>
      <c r="AK2813" s="77"/>
      <c r="AL2813" s="77"/>
      <c r="AM2813" s="77"/>
      <c r="AN2813" s="77"/>
      <c r="AO2813" s="77"/>
      <c r="AP2813" s="77"/>
      <c r="AQ2813" s="77" t="s">
        <v>15810</v>
      </c>
      <c r="AR2813" s="77">
        <v>23475</v>
      </c>
      <c r="AS2813" s="77"/>
      <c r="AT2813" s="77"/>
      <c r="AU2813" s="77"/>
      <c r="AV2813" s="80" t="str">
        <f>HYPERLINK("https://pbs.twimg.com/ext_tw_video_thumb/1622728963998056448/pu/img/PEO_RTGZEI353v8I.jpg")</f>
        <v>https://pbs.twimg.com/ext_tw_video_thumb/1622728963998056448/pu/img/PEO_RTGZEI353v8I.jpg</v>
      </c>
      <c r="AW2813" s="82" t="s">
        <v>19579</v>
      </c>
      <c r="AX2813" s="82" t="s">
        <v>19579</v>
      </c>
      <c r="AY2813" s="77"/>
      <c r="AZ2813" s="82" t="s">
        <v>20971</v>
      </c>
      <c r="BA2813" s="82" t="s">
        <v>20971</v>
      </c>
      <c r="BB2813" s="82" t="s">
        <v>20971</v>
      </c>
      <c r="BC2813" s="82" t="s">
        <v>19579</v>
      </c>
      <c r="BD2813" s="77">
        <v>634133167</v>
      </c>
      <c r="BE2813" s="77"/>
      <c r="BF2813" s="77"/>
      <c r="BG2813" s="77"/>
      <c r="BH2813" s="77"/>
      <c r="BI2813" s="77"/>
    </row>
    <row r="2814" spans="1:61" x14ac:dyDescent="0.25">
      <c r="A2814" s="62" t="s">
        <v>949</v>
      </c>
      <c r="B2814" s="62" t="s">
        <v>949</v>
      </c>
      <c r="C2814" s="63"/>
      <c r="D2814" s="64"/>
      <c r="E2814" s="65"/>
      <c r="F2814" s="66"/>
      <c r="G2814" s="63"/>
      <c r="H2814" s="67"/>
      <c r="I2814" s="68"/>
      <c r="J2814" s="68"/>
      <c r="K2814" s="32"/>
      <c r="L2814" s="75">
        <v>2814</v>
      </c>
      <c r="M2814" s="75"/>
      <c r="N2814" s="70"/>
      <c r="O2814" s="77" t="s">
        <v>179</v>
      </c>
      <c r="P2814" s="79">
        <v>44964.5625</v>
      </c>
      <c r="Q2814" s="77" t="s">
        <v>4020</v>
      </c>
      <c r="R2814" s="77">
        <v>0</v>
      </c>
      <c r="S2814" s="77">
        <v>0</v>
      </c>
      <c r="T2814" s="77">
        <v>0</v>
      </c>
      <c r="U2814" s="77">
        <v>0</v>
      </c>
      <c r="V2814" s="77">
        <v>34</v>
      </c>
      <c r="W2814" s="82" t="s">
        <v>6614</v>
      </c>
      <c r="X2814" s="80" t="str">
        <f>HYPERLINK("https://go.ticto.com.br/t/bd1f298b")</f>
        <v>https://go.ticto.com.br/t/bd1f298b</v>
      </c>
      <c r="Y2814" s="77" t="s">
        <v>7252</v>
      </c>
      <c r="Z2814" s="77"/>
      <c r="AA2814" s="77" t="s">
        <v>9168</v>
      </c>
      <c r="AB2814" s="77" t="s">
        <v>10129</v>
      </c>
      <c r="AC2814" s="82" t="s">
        <v>10146</v>
      </c>
      <c r="AD2814" s="77" t="s">
        <v>10184</v>
      </c>
      <c r="AE2814" s="80" t="str">
        <f>HYPERLINK("https://twitter.com/eddie_poker/status/1622950810031194113")</f>
        <v>https://twitter.com/eddie_poker/status/1622950810031194113</v>
      </c>
      <c r="AF2814" s="79">
        <v>44964.5625</v>
      </c>
      <c r="AG2814" s="85">
        <v>44964</v>
      </c>
      <c r="AH2814" s="82" t="s">
        <v>12877</v>
      </c>
      <c r="AI2814" s="77" t="b">
        <v>0</v>
      </c>
      <c r="AJ2814" s="77"/>
      <c r="AK2814" s="77"/>
      <c r="AL2814" s="77"/>
      <c r="AM2814" s="77"/>
      <c r="AN2814" s="77"/>
      <c r="AO2814" s="77"/>
      <c r="AP2814" s="77"/>
      <c r="AQ2814" s="77" t="s">
        <v>15811</v>
      </c>
      <c r="AR2814" s="77">
        <v>23475</v>
      </c>
      <c r="AS2814" s="77"/>
      <c r="AT2814" s="77"/>
      <c r="AU2814" s="77"/>
      <c r="AV2814" s="80" t="str">
        <f>HYPERLINK("https://pbs.twimg.com/ext_tw_video_thumb/1622728599630409730/pu/img/IapV2X5t409vJwtH.jpg")</f>
        <v>https://pbs.twimg.com/ext_tw_video_thumb/1622728599630409730/pu/img/IapV2X5t409vJwtH.jpg</v>
      </c>
      <c r="AW2814" s="82" t="s">
        <v>19580</v>
      </c>
      <c r="AX2814" s="82" t="s">
        <v>19580</v>
      </c>
      <c r="AY2814" s="77"/>
      <c r="AZ2814" s="82" t="s">
        <v>20971</v>
      </c>
      <c r="BA2814" s="82" t="s">
        <v>20971</v>
      </c>
      <c r="BB2814" s="82" t="s">
        <v>20971</v>
      </c>
      <c r="BC2814" s="82" t="s">
        <v>19580</v>
      </c>
      <c r="BD2814" s="77">
        <v>634133167</v>
      </c>
      <c r="BE2814" s="77"/>
      <c r="BF2814" s="77"/>
      <c r="BG2814" s="77"/>
      <c r="BH2814" s="77"/>
      <c r="BI2814" s="77"/>
    </row>
    <row r="2815" spans="1:61" x14ac:dyDescent="0.25">
      <c r="A2815" s="62" t="s">
        <v>949</v>
      </c>
      <c r="B2815" s="62" t="s">
        <v>949</v>
      </c>
      <c r="C2815" s="63"/>
      <c r="D2815" s="64"/>
      <c r="E2815" s="65"/>
      <c r="F2815" s="66"/>
      <c r="G2815" s="63"/>
      <c r="H2815" s="67"/>
      <c r="I2815" s="68"/>
      <c r="J2815" s="68"/>
      <c r="K2815" s="32"/>
      <c r="L2815" s="75">
        <v>2815</v>
      </c>
      <c r="M2815" s="75"/>
      <c r="N2815" s="70"/>
      <c r="O2815" s="77" t="s">
        <v>179</v>
      </c>
      <c r="P2815" s="79">
        <v>44964.520833333336</v>
      </c>
      <c r="Q2815" s="77" t="s">
        <v>4021</v>
      </c>
      <c r="R2815" s="77">
        <v>0</v>
      </c>
      <c r="S2815" s="77">
        <v>0</v>
      </c>
      <c r="T2815" s="77">
        <v>0</v>
      </c>
      <c r="U2815" s="77">
        <v>0</v>
      </c>
      <c r="V2815" s="77">
        <v>26</v>
      </c>
      <c r="W2815" s="82" t="s">
        <v>6614</v>
      </c>
      <c r="X2815" s="80" t="str">
        <f>HYPERLINK("https://go.ticto.com.br/t/bd1f298b")</f>
        <v>https://go.ticto.com.br/t/bd1f298b</v>
      </c>
      <c r="Y2815" s="77" t="s">
        <v>7252</v>
      </c>
      <c r="Z2815" s="77"/>
      <c r="AA2815" s="77" t="s">
        <v>9169</v>
      </c>
      <c r="AB2815" s="77" t="s">
        <v>10129</v>
      </c>
      <c r="AC2815" s="82" t="s">
        <v>10146</v>
      </c>
      <c r="AD2815" s="77" t="s">
        <v>10184</v>
      </c>
      <c r="AE2815" s="80" t="str">
        <f>HYPERLINK("https://twitter.com/eddie_poker/status/1622935708368351232")</f>
        <v>https://twitter.com/eddie_poker/status/1622935708368351232</v>
      </c>
      <c r="AF2815" s="79">
        <v>44964.520833333336</v>
      </c>
      <c r="AG2815" s="85">
        <v>44964</v>
      </c>
      <c r="AH2815" s="82" t="s">
        <v>10555</v>
      </c>
      <c r="AI2815" s="77" t="b">
        <v>0</v>
      </c>
      <c r="AJ2815" s="77"/>
      <c r="AK2815" s="77"/>
      <c r="AL2815" s="77"/>
      <c r="AM2815" s="77"/>
      <c r="AN2815" s="77"/>
      <c r="AO2815" s="77"/>
      <c r="AP2815" s="77"/>
      <c r="AQ2815" s="77" t="s">
        <v>15812</v>
      </c>
      <c r="AR2815" s="77">
        <v>23475</v>
      </c>
      <c r="AS2815" s="77"/>
      <c r="AT2815" s="77"/>
      <c r="AU2815" s="77"/>
      <c r="AV2815" s="80" t="str">
        <f>HYPERLINK("https://pbs.twimg.com/ext_tw_video_thumb/1622728421812969473/pu/img/EaSBZKHHa6sCRR89.jpg")</f>
        <v>https://pbs.twimg.com/ext_tw_video_thumb/1622728421812969473/pu/img/EaSBZKHHa6sCRR89.jpg</v>
      </c>
      <c r="AW2815" s="82" t="s">
        <v>19581</v>
      </c>
      <c r="AX2815" s="82" t="s">
        <v>19581</v>
      </c>
      <c r="AY2815" s="77"/>
      <c r="AZ2815" s="82" t="s">
        <v>20971</v>
      </c>
      <c r="BA2815" s="82" t="s">
        <v>20971</v>
      </c>
      <c r="BB2815" s="82" t="s">
        <v>20971</v>
      </c>
      <c r="BC2815" s="82" t="s">
        <v>19581</v>
      </c>
      <c r="BD2815" s="77">
        <v>634133167</v>
      </c>
      <c r="BE2815" s="77"/>
      <c r="BF2815" s="77"/>
      <c r="BG2815" s="77"/>
      <c r="BH2815" s="77"/>
      <c r="BI2815" s="77"/>
    </row>
    <row r="2816" spans="1:61" x14ac:dyDescent="0.25">
      <c r="A2816" s="62" t="s">
        <v>949</v>
      </c>
      <c r="B2816" s="62" t="s">
        <v>949</v>
      </c>
      <c r="C2816" s="63"/>
      <c r="D2816" s="64"/>
      <c r="E2816" s="65"/>
      <c r="F2816" s="66"/>
      <c r="G2816" s="63"/>
      <c r="H2816" s="67"/>
      <c r="I2816" s="68"/>
      <c r="J2816" s="68"/>
      <c r="K2816" s="32"/>
      <c r="L2816" s="75">
        <v>2816</v>
      </c>
      <c r="M2816" s="75"/>
      <c r="N2816" s="70"/>
      <c r="O2816" s="77" t="s">
        <v>179</v>
      </c>
      <c r="P2816" s="79">
        <v>44964.479166666664</v>
      </c>
      <c r="Q2816" s="77" t="s">
        <v>4022</v>
      </c>
      <c r="R2816" s="77">
        <v>0</v>
      </c>
      <c r="S2816" s="77">
        <v>0</v>
      </c>
      <c r="T2816" s="77">
        <v>0</v>
      </c>
      <c r="U2816" s="77">
        <v>0</v>
      </c>
      <c r="V2816" s="77">
        <v>22</v>
      </c>
      <c r="W2816" s="82" t="s">
        <v>6614</v>
      </c>
      <c r="X2816" s="80" t="str">
        <f>HYPERLINK("https://go.ticto.com.br/t/bd1f298b")</f>
        <v>https://go.ticto.com.br/t/bd1f298b</v>
      </c>
      <c r="Y2816" s="77" t="s">
        <v>7252</v>
      </c>
      <c r="Z2816" s="77"/>
      <c r="AA2816" s="77" t="s">
        <v>9170</v>
      </c>
      <c r="AB2816" s="77" t="s">
        <v>10129</v>
      </c>
      <c r="AC2816" s="82" t="s">
        <v>10146</v>
      </c>
      <c r="AD2816" s="77" t="s">
        <v>10184</v>
      </c>
      <c r="AE2816" s="80" t="str">
        <f>HYPERLINK("https://twitter.com/eddie_poker/status/1622920608806801409")</f>
        <v>https://twitter.com/eddie_poker/status/1622920608806801409</v>
      </c>
      <c r="AF2816" s="79">
        <v>44964.479166666664</v>
      </c>
      <c r="AG2816" s="85">
        <v>44964</v>
      </c>
      <c r="AH2816" s="82" t="s">
        <v>12878</v>
      </c>
      <c r="AI2816" s="77" t="b">
        <v>0</v>
      </c>
      <c r="AJ2816" s="77"/>
      <c r="AK2816" s="77"/>
      <c r="AL2816" s="77"/>
      <c r="AM2816" s="77"/>
      <c r="AN2816" s="77"/>
      <c r="AO2816" s="77"/>
      <c r="AP2816" s="77"/>
      <c r="AQ2816" s="77" t="s">
        <v>15813</v>
      </c>
      <c r="AR2816" s="77">
        <v>23475</v>
      </c>
      <c r="AS2816" s="77"/>
      <c r="AT2816" s="77"/>
      <c r="AU2816" s="77"/>
      <c r="AV2816" s="80" t="str">
        <f>HYPERLINK("https://pbs.twimg.com/ext_tw_video_thumb/1622728109387644928/pu/img/Fj8l5Z0CA7Av2Pv_.jpg")</f>
        <v>https://pbs.twimg.com/ext_tw_video_thumb/1622728109387644928/pu/img/Fj8l5Z0CA7Av2Pv_.jpg</v>
      </c>
      <c r="AW2816" s="82" t="s">
        <v>19582</v>
      </c>
      <c r="AX2816" s="82" t="s">
        <v>19582</v>
      </c>
      <c r="AY2816" s="77"/>
      <c r="AZ2816" s="82" t="s">
        <v>20971</v>
      </c>
      <c r="BA2816" s="82" t="s">
        <v>20971</v>
      </c>
      <c r="BB2816" s="82" t="s">
        <v>20971</v>
      </c>
      <c r="BC2816" s="82" t="s">
        <v>19582</v>
      </c>
      <c r="BD2816" s="77">
        <v>634133167</v>
      </c>
      <c r="BE2816" s="77"/>
      <c r="BF2816" s="77"/>
      <c r="BG2816" s="77"/>
      <c r="BH2816" s="77"/>
      <c r="BI2816" s="77"/>
    </row>
    <row r="2817" spans="1:61" x14ac:dyDescent="0.25">
      <c r="A2817" s="62" t="s">
        <v>949</v>
      </c>
      <c r="B2817" s="62" t="s">
        <v>949</v>
      </c>
      <c r="C2817" s="63"/>
      <c r="D2817" s="64"/>
      <c r="E2817" s="65"/>
      <c r="F2817" s="66"/>
      <c r="G2817" s="63"/>
      <c r="H2817" s="67"/>
      <c r="I2817" s="68"/>
      <c r="J2817" s="68"/>
      <c r="K2817" s="32"/>
      <c r="L2817" s="75">
        <v>2817</v>
      </c>
      <c r="M2817" s="75"/>
      <c r="N2817" s="70"/>
      <c r="O2817" s="77" t="s">
        <v>179</v>
      </c>
      <c r="P2817" s="79">
        <v>44964.4375</v>
      </c>
      <c r="Q2817" s="77" t="s">
        <v>4023</v>
      </c>
      <c r="R2817" s="77">
        <v>0</v>
      </c>
      <c r="S2817" s="77">
        <v>0</v>
      </c>
      <c r="T2817" s="77">
        <v>0</v>
      </c>
      <c r="U2817" s="77">
        <v>0</v>
      </c>
      <c r="V2817" s="77">
        <v>28</v>
      </c>
      <c r="W2817" s="82" t="s">
        <v>6614</v>
      </c>
      <c r="X2817" s="80" t="str">
        <f>HYPERLINK("https://go.ticto.com.br/t/bd1f298b")</f>
        <v>https://go.ticto.com.br/t/bd1f298b</v>
      </c>
      <c r="Y2817" s="77" t="s">
        <v>7252</v>
      </c>
      <c r="Z2817" s="77"/>
      <c r="AA2817" s="77" t="s">
        <v>9171</v>
      </c>
      <c r="AB2817" s="77" t="s">
        <v>10129</v>
      </c>
      <c r="AC2817" s="82" t="s">
        <v>10146</v>
      </c>
      <c r="AD2817" s="77" t="s">
        <v>10184</v>
      </c>
      <c r="AE2817" s="80" t="str">
        <f>HYPERLINK("https://twitter.com/eddie_poker/status/1622905509803134976")</f>
        <v>https://twitter.com/eddie_poker/status/1622905509803134976</v>
      </c>
      <c r="AF2817" s="79">
        <v>44964.4375</v>
      </c>
      <c r="AG2817" s="85">
        <v>44964</v>
      </c>
      <c r="AH2817" s="82" t="s">
        <v>12879</v>
      </c>
      <c r="AI2817" s="77" t="b">
        <v>0</v>
      </c>
      <c r="AJ2817" s="77"/>
      <c r="AK2817" s="77"/>
      <c r="AL2817" s="77"/>
      <c r="AM2817" s="77"/>
      <c r="AN2817" s="77"/>
      <c r="AO2817" s="77"/>
      <c r="AP2817" s="77"/>
      <c r="AQ2817" s="77" t="s">
        <v>15814</v>
      </c>
      <c r="AR2817" s="77">
        <v>23475</v>
      </c>
      <c r="AS2817" s="77"/>
      <c r="AT2817" s="77"/>
      <c r="AU2817" s="77"/>
      <c r="AV2817" s="80" t="str">
        <f>HYPERLINK("https://pbs.twimg.com/ext_tw_video_thumb/1622727939421765633/pu/img/w8XbhvnUWjf8k6cl.jpg")</f>
        <v>https://pbs.twimg.com/ext_tw_video_thumb/1622727939421765633/pu/img/w8XbhvnUWjf8k6cl.jpg</v>
      </c>
      <c r="AW2817" s="82" t="s">
        <v>19583</v>
      </c>
      <c r="AX2817" s="82" t="s">
        <v>19583</v>
      </c>
      <c r="AY2817" s="77"/>
      <c r="AZ2817" s="82" t="s">
        <v>20971</v>
      </c>
      <c r="BA2817" s="82" t="s">
        <v>20971</v>
      </c>
      <c r="BB2817" s="82" t="s">
        <v>20971</v>
      </c>
      <c r="BC2817" s="82" t="s">
        <v>19583</v>
      </c>
      <c r="BD2817" s="77">
        <v>634133167</v>
      </c>
      <c r="BE2817" s="77"/>
      <c r="BF2817" s="77"/>
      <c r="BG2817" s="77"/>
      <c r="BH2817" s="77"/>
      <c r="BI2817" s="77"/>
    </row>
    <row r="2818" spans="1:61" x14ac:dyDescent="0.25">
      <c r="A2818" s="62" t="s">
        <v>949</v>
      </c>
      <c r="B2818" s="62" t="s">
        <v>949</v>
      </c>
      <c r="C2818" s="63"/>
      <c r="D2818" s="64"/>
      <c r="E2818" s="65"/>
      <c r="F2818" s="66"/>
      <c r="G2818" s="63"/>
      <c r="H2818" s="67"/>
      <c r="I2818" s="68"/>
      <c r="J2818" s="68"/>
      <c r="K2818" s="32"/>
      <c r="L2818" s="75">
        <v>2818</v>
      </c>
      <c r="M2818" s="75"/>
      <c r="N2818" s="70"/>
      <c r="O2818" s="77" t="s">
        <v>179</v>
      </c>
      <c r="P2818" s="79">
        <v>44964.395833333336</v>
      </c>
      <c r="Q2818" s="77" t="s">
        <v>4024</v>
      </c>
      <c r="R2818" s="77">
        <v>0</v>
      </c>
      <c r="S2818" s="77">
        <v>0</v>
      </c>
      <c r="T2818" s="77">
        <v>0</v>
      </c>
      <c r="U2818" s="77">
        <v>0</v>
      </c>
      <c r="V2818" s="77">
        <v>35</v>
      </c>
      <c r="W2818" s="82" t="s">
        <v>6355</v>
      </c>
      <c r="X2818" s="80" t="str">
        <f>HYPERLINK("https://go.ticto.com.br/t/bd1f298b")</f>
        <v>https://go.ticto.com.br/t/bd1f298b</v>
      </c>
      <c r="Y2818" s="77" t="s">
        <v>7252</v>
      </c>
      <c r="Z2818" s="77"/>
      <c r="AA2818" s="77" t="s">
        <v>9172</v>
      </c>
      <c r="AB2818" s="77" t="s">
        <v>10129</v>
      </c>
      <c r="AC2818" s="82" t="s">
        <v>10146</v>
      </c>
      <c r="AD2818" s="77" t="s">
        <v>10184</v>
      </c>
      <c r="AE2818" s="80" t="str">
        <f>HYPERLINK("https://twitter.com/eddie_poker/status/1622890412582277121")</f>
        <v>https://twitter.com/eddie_poker/status/1622890412582277121</v>
      </c>
      <c r="AF2818" s="79">
        <v>44964.395833333336</v>
      </c>
      <c r="AG2818" s="85">
        <v>44964</v>
      </c>
      <c r="AH2818" s="82" t="s">
        <v>12880</v>
      </c>
      <c r="AI2818" s="77" t="b">
        <v>0</v>
      </c>
      <c r="AJ2818" s="77"/>
      <c r="AK2818" s="77"/>
      <c r="AL2818" s="77"/>
      <c r="AM2818" s="77"/>
      <c r="AN2818" s="77"/>
      <c r="AO2818" s="77"/>
      <c r="AP2818" s="77"/>
      <c r="AQ2818" s="77" t="s">
        <v>15815</v>
      </c>
      <c r="AR2818" s="77">
        <v>23475</v>
      </c>
      <c r="AS2818" s="77"/>
      <c r="AT2818" s="77"/>
      <c r="AU2818" s="77"/>
      <c r="AV2818" s="80" t="str">
        <f>HYPERLINK("https://pbs.twimg.com/ext_tw_video_thumb/1622727704444391429/pu/img/ALoWZcHlxKakWGMy.jpg")</f>
        <v>https://pbs.twimg.com/ext_tw_video_thumb/1622727704444391429/pu/img/ALoWZcHlxKakWGMy.jpg</v>
      </c>
      <c r="AW2818" s="82" t="s">
        <v>19584</v>
      </c>
      <c r="AX2818" s="82" t="s">
        <v>19584</v>
      </c>
      <c r="AY2818" s="77"/>
      <c r="AZ2818" s="82" t="s">
        <v>20971</v>
      </c>
      <c r="BA2818" s="82" t="s">
        <v>20971</v>
      </c>
      <c r="BB2818" s="82" t="s">
        <v>20971</v>
      </c>
      <c r="BC2818" s="82" t="s">
        <v>19584</v>
      </c>
      <c r="BD2818" s="77">
        <v>634133167</v>
      </c>
      <c r="BE2818" s="77"/>
      <c r="BF2818" s="77"/>
      <c r="BG2818" s="77"/>
      <c r="BH2818" s="77"/>
      <c r="BI2818" s="77"/>
    </row>
    <row r="2819" spans="1:61" x14ac:dyDescent="0.25">
      <c r="A2819" s="62" t="s">
        <v>949</v>
      </c>
      <c r="B2819" s="62" t="s">
        <v>949</v>
      </c>
      <c r="C2819" s="63"/>
      <c r="D2819" s="64"/>
      <c r="E2819" s="65"/>
      <c r="F2819" s="66"/>
      <c r="G2819" s="63"/>
      <c r="H2819" s="67"/>
      <c r="I2819" s="68"/>
      <c r="J2819" s="68"/>
      <c r="K2819" s="32"/>
      <c r="L2819" s="75">
        <v>2819</v>
      </c>
      <c r="M2819" s="75"/>
      <c r="N2819" s="70"/>
      <c r="O2819" s="77" t="s">
        <v>179</v>
      </c>
      <c r="P2819" s="79">
        <v>44964.145833333336</v>
      </c>
      <c r="Q2819" s="77" t="s">
        <v>4025</v>
      </c>
      <c r="R2819" s="77">
        <v>0</v>
      </c>
      <c r="S2819" s="77">
        <v>0</v>
      </c>
      <c r="T2819" s="77">
        <v>0</v>
      </c>
      <c r="U2819" s="77">
        <v>0</v>
      </c>
      <c r="V2819" s="77">
        <v>34</v>
      </c>
      <c r="W2819" s="82" t="s">
        <v>6614</v>
      </c>
      <c r="X2819" s="80" t="str">
        <f>HYPERLINK("https://go.ticto.com.br/t/bd1f298b")</f>
        <v>https://go.ticto.com.br/t/bd1f298b</v>
      </c>
      <c r="Y2819" s="77" t="s">
        <v>7252</v>
      </c>
      <c r="Z2819" s="77"/>
      <c r="AA2819" s="77" t="s">
        <v>9173</v>
      </c>
      <c r="AB2819" s="77" t="s">
        <v>10129</v>
      </c>
      <c r="AC2819" s="82" t="s">
        <v>10146</v>
      </c>
      <c r="AD2819" s="77" t="s">
        <v>10184</v>
      </c>
      <c r="AE2819" s="80" t="str">
        <f>HYPERLINK("https://twitter.com/eddie_poker/status/1622799814705704961")</f>
        <v>https://twitter.com/eddie_poker/status/1622799814705704961</v>
      </c>
      <c r="AF2819" s="79">
        <v>44964.145833333336</v>
      </c>
      <c r="AG2819" s="85">
        <v>44964</v>
      </c>
      <c r="AH2819" s="82" t="s">
        <v>12881</v>
      </c>
      <c r="AI2819" s="77" t="b">
        <v>0</v>
      </c>
      <c r="AJ2819" s="77"/>
      <c r="AK2819" s="77"/>
      <c r="AL2819" s="77"/>
      <c r="AM2819" s="77"/>
      <c r="AN2819" s="77"/>
      <c r="AO2819" s="77"/>
      <c r="AP2819" s="77"/>
      <c r="AQ2819" s="77" t="s">
        <v>15816</v>
      </c>
      <c r="AR2819" s="77">
        <v>23475</v>
      </c>
      <c r="AS2819" s="77"/>
      <c r="AT2819" s="77"/>
      <c r="AU2819" s="77"/>
      <c r="AV2819" s="80" t="str">
        <f>HYPERLINK("https://pbs.twimg.com/ext_tw_video_thumb/1622731529167204352/pu/img/xFD4TE9-upRG_RK3.jpg")</f>
        <v>https://pbs.twimg.com/ext_tw_video_thumb/1622731529167204352/pu/img/xFD4TE9-upRG_RK3.jpg</v>
      </c>
      <c r="AW2819" s="82" t="s">
        <v>19585</v>
      </c>
      <c r="AX2819" s="82" t="s">
        <v>19585</v>
      </c>
      <c r="AY2819" s="77"/>
      <c r="AZ2819" s="82" t="s">
        <v>20971</v>
      </c>
      <c r="BA2819" s="82" t="s">
        <v>20971</v>
      </c>
      <c r="BB2819" s="82" t="s">
        <v>20971</v>
      </c>
      <c r="BC2819" s="82" t="s">
        <v>19585</v>
      </c>
      <c r="BD2819" s="77">
        <v>634133167</v>
      </c>
      <c r="BE2819" s="77"/>
      <c r="BF2819" s="77"/>
      <c r="BG2819" s="77"/>
      <c r="BH2819" s="77"/>
      <c r="BI2819" s="77"/>
    </row>
    <row r="2820" spans="1:61" x14ac:dyDescent="0.25">
      <c r="A2820" s="62" t="s">
        <v>949</v>
      </c>
      <c r="B2820" s="62" t="s">
        <v>949</v>
      </c>
      <c r="C2820" s="63"/>
      <c r="D2820" s="64"/>
      <c r="E2820" s="65"/>
      <c r="F2820" s="66"/>
      <c r="G2820" s="63"/>
      <c r="H2820" s="67"/>
      <c r="I2820" s="68"/>
      <c r="J2820" s="68"/>
      <c r="K2820" s="32"/>
      <c r="L2820" s="75">
        <v>2820</v>
      </c>
      <c r="M2820" s="75"/>
      <c r="N2820" s="70"/>
      <c r="O2820" s="77" t="s">
        <v>179</v>
      </c>
      <c r="P2820" s="79">
        <v>44958.104166666664</v>
      </c>
      <c r="Q2820" s="77" t="s">
        <v>4026</v>
      </c>
      <c r="R2820" s="77">
        <v>0</v>
      </c>
      <c r="S2820" s="77">
        <v>0</v>
      </c>
      <c r="T2820" s="77">
        <v>0</v>
      </c>
      <c r="U2820" s="77">
        <v>0</v>
      </c>
      <c r="V2820" s="77">
        <v>17</v>
      </c>
      <c r="W2820" s="82" t="s">
        <v>6355</v>
      </c>
      <c r="X2820" s="80" t="str">
        <f>HYPERLINK("https://go.ticto.com.br/t/bd1f298b")</f>
        <v>https://go.ticto.com.br/t/bd1f298b</v>
      </c>
      <c r="Y2820" s="77" t="s">
        <v>7252</v>
      </c>
      <c r="Z2820" s="77"/>
      <c r="AA2820" s="77" t="s">
        <v>9174</v>
      </c>
      <c r="AB2820" s="77" t="s">
        <v>10129</v>
      </c>
      <c r="AC2820" s="82" t="s">
        <v>10146</v>
      </c>
      <c r="AD2820" s="77" t="s">
        <v>10184</v>
      </c>
      <c r="AE2820" s="80" t="str">
        <f>HYPERLINK("https://twitter.com/eddie_poker/status/1620610386062868480")</f>
        <v>https://twitter.com/eddie_poker/status/1620610386062868480</v>
      </c>
      <c r="AF2820" s="79">
        <v>44958.104166666664</v>
      </c>
      <c r="AG2820" s="85">
        <v>44958</v>
      </c>
      <c r="AH2820" s="82" t="s">
        <v>12866</v>
      </c>
      <c r="AI2820" s="77" t="b">
        <v>0</v>
      </c>
      <c r="AJ2820" s="77"/>
      <c r="AK2820" s="77"/>
      <c r="AL2820" s="77"/>
      <c r="AM2820" s="77"/>
      <c r="AN2820" s="77"/>
      <c r="AO2820" s="77"/>
      <c r="AP2820" s="77"/>
      <c r="AQ2820" s="77" t="s">
        <v>15817</v>
      </c>
      <c r="AR2820" s="77">
        <v>23475</v>
      </c>
      <c r="AS2820" s="77"/>
      <c r="AT2820" s="77"/>
      <c r="AU2820" s="77"/>
      <c r="AV2820" s="80" t="str">
        <f>HYPERLINK("https://pbs.twimg.com/ext_tw_video_thumb/1620075941807390722/pu/img/b4tRJPvzXSy3g-Xo.jpg")</f>
        <v>https://pbs.twimg.com/ext_tw_video_thumb/1620075941807390722/pu/img/b4tRJPvzXSy3g-Xo.jpg</v>
      </c>
      <c r="AW2820" s="82" t="s">
        <v>19586</v>
      </c>
      <c r="AX2820" s="82" t="s">
        <v>19586</v>
      </c>
      <c r="AY2820" s="77"/>
      <c r="AZ2820" s="82" t="s">
        <v>20971</v>
      </c>
      <c r="BA2820" s="82" t="s">
        <v>20971</v>
      </c>
      <c r="BB2820" s="82" t="s">
        <v>20971</v>
      </c>
      <c r="BC2820" s="82" t="s">
        <v>19586</v>
      </c>
      <c r="BD2820" s="77">
        <v>634133167</v>
      </c>
      <c r="BE2820" s="77"/>
      <c r="BF2820" s="77"/>
      <c r="BG2820" s="77"/>
      <c r="BH2820" s="77"/>
      <c r="BI2820" s="77"/>
    </row>
    <row r="2821" spans="1:61" x14ac:dyDescent="0.25">
      <c r="A2821" s="62" t="s">
        <v>949</v>
      </c>
      <c r="B2821" s="62" t="s">
        <v>949</v>
      </c>
      <c r="C2821" s="63"/>
      <c r="D2821" s="64"/>
      <c r="E2821" s="65"/>
      <c r="F2821" s="66"/>
      <c r="G2821" s="63"/>
      <c r="H2821" s="67"/>
      <c r="I2821" s="68"/>
      <c r="J2821" s="68"/>
      <c r="K2821" s="32"/>
      <c r="L2821" s="75">
        <v>2821</v>
      </c>
      <c r="M2821" s="75"/>
      <c r="N2821" s="70"/>
      <c r="O2821" s="77" t="s">
        <v>179</v>
      </c>
      <c r="P2821" s="79">
        <v>44958.062847222223</v>
      </c>
      <c r="Q2821" s="77" t="s">
        <v>4027</v>
      </c>
      <c r="R2821" s="77">
        <v>0</v>
      </c>
      <c r="S2821" s="77">
        <v>0</v>
      </c>
      <c r="T2821" s="77">
        <v>0</v>
      </c>
      <c r="U2821" s="77">
        <v>0</v>
      </c>
      <c r="V2821" s="77">
        <v>13</v>
      </c>
      <c r="W2821" s="82" t="s">
        <v>6355</v>
      </c>
      <c r="X2821" s="80" t="str">
        <f>HYPERLINK("https://go.ticto.com.br/t/bd1f298b")</f>
        <v>https://go.ticto.com.br/t/bd1f298b</v>
      </c>
      <c r="Y2821" s="77" t="s">
        <v>7252</v>
      </c>
      <c r="Z2821" s="77"/>
      <c r="AA2821" s="77" t="s">
        <v>9175</v>
      </c>
      <c r="AB2821" s="77" t="s">
        <v>10129</v>
      </c>
      <c r="AC2821" s="82" t="s">
        <v>10146</v>
      </c>
      <c r="AD2821" s="77" t="s">
        <v>10184</v>
      </c>
      <c r="AE2821" s="80" t="str">
        <f>HYPERLINK("https://twitter.com/eddie_poker/status/1620595413039325184")</f>
        <v>https://twitter.com/eddie_poker/status/1620595413039325184</v>
      </c>
      <c r="AF2821" s="79">
        <v>44958.062847222223</v>
      </c>
      <c r="AG2821" s="85">
        <v>44958</v>
      </c>
      <c r="AH2821" s="82" t="s">
        <v>12882</v>
      </c>
      <c r="AI2821" s="77" t="b">
        <v>0</v>
      </c>
      <c r="AJ2821" s="77"/>
      <c r="AK2821" s="77"/>
      <c r="AL2821" s="77"/>
      <c r="AM2821" s="77"/>
      <c r="AN2821" s="77"/>
      <c r="AO2821" s="77"/>
      <c r="AP2821" s="77"/>
      <c r="AQ2821" s="77" t="s">
        <v>15818</v>
      </c>
      <c r="AR2821" s="77">
        <v>23475</v>
      </c>
      <c r="AS2821" s="77"/>
      <c r="AT2821" s="77"/>
      <c r="AU2821" s="77"/>
      <c r="AV2821" s="80" t="str">
        <f>HYPERLINK("https://pbs.twimg.com/ext_tw_video_thumb/1620075758692483072/pu/img/HM5sJqH3ozmEuc4P.jpg")</f>
        <v>https://pbs.twimg.com/ext_tw_video_thumb/1620075758692483072/pu/img/HM5sJqH3ozmEuc4P.jpg</v>
      </c>
      <c r="AW2821" s="82" t="s">
        <v>19587</v>
      </c>
      <c r="AX2821" s="82" t="s">
        <v>19587</v>
      </c>
      <c r="AY2821" s="77"/>
      <c r="AZ2821" s="82" t="s">
        <v>20971</v>
      </c>
      <c r="BA2821" s="82" t="s">
        <v>20971</v>
      </c>
      <c r="BB2821" s="82" t="s">
        <v>20971</v>
      </c>
      <c r="BC2821" s="82" t="s">
        <v>19587</v>
      </c>
      <c r="BD2821" s="77">
        <v>634133167</v>
      </c>
      <c r="BE2821" s="77"/>
      <c r="BF2821" s="77"/>
      <c r="BG2821" s="77"/>
      <c r="BH2821" s="77"/>
      <c r="BI2821" s="77"/>
    </row>
    <row r="2822" spans="1:61" x14ac:dyDescent="0.25">
      <c r="A2822" s="62" t="s">
        <v>949</v>
      </c>
      <c r="B2822" s="62" t="s">
        <v>949</v>
      </c>
      <c r="C2822" s="63"/>
      <c r="D2822" s="64"/>
      <c r="E2822" s="65"/>
      <c r="F2822" s="66"/>
      <c r="G2822" s="63"/>
      <c r="H2822" s="67"/>
      <c r="I2822" s="68"/>
      <c r="J2822" s="68"/>
      <c r="K2822" s="32"/>
      <c r="L2822" s="75">
        <v>2822</v>
      </c>
      <c r="M2822" s="75"/>
      <c r="N2822" s="70"/>
      <c r="O2822" s="77" t="s">
        <v>179</v>
      </c>
      <c r="P2822" s="79">
        <v>44958.020833333336</v>
      </c>
      <c r="Q2822" s="77" t="s">
        <v>4028</v>
      </c>
      <c r="R2822" s="77">
        <v>0</v>
      </c>
      <c r="S2822" s="77">
        <v>0</v>
      </c>
      <c r="T2822" s="77">
        <v>0</v>
      </c>
      <c r="U2822" s="77">
        <v>0</v>
      </c>
      <c r="V2822" s="77">
        <v>11</v>
      </c>
      <c r="W2822" s="82" t="s">
        <v>6355</v>
      </c>
      <c r="X2822" s="80" t="str">
        <f>HYPERLINK("https://go.ticto.com.br/t/bd1f298b")</f>
        <v>https://go.ticto.com.br/t/bd1f298b</v>
      </c>
      <c r="Y2822" s="77" t="s">
        <v>7252</v>
      </c>
      <c r="Z2822" s="77"/>
      <c r="AA2822" s="77" t="s">
        <v>9176</v>
      </c>
      <c r="AB2822" s="77" t="s">
        <v>10129</v>
      </c>
      <c r="AC2822" s="82" t="s">
        <v>10146</v>
      </c>
      <c r="AD2822" s="77" t="s">
        <v>10184</v>
      </c>
      <c r="AE2822" s="80" t="str">
        <f>HYPERLINK("https://twitter.com/eddie_poker/status/1620580188391178240")</f>
        <v>https://twitter.com/eddie_poker/status/1620580188391178240</v>
      </c>
      <c r="AF2822" s="79">
        <v>44958.020833333336</v>
      </c>
      <c r="AG2822" s="85">
        <v>44958</v>
      </c>
      <c r="AH2822" s="82" t="s">
        <v>12868</v>
      </c>
      <c r="AI2822" s="77" t="b">
        <v>0</v>
      </c>
      <c r="AJ2822" s="77"/>
      <c r="AK2822" s="77"/>
      <c r="AL2822" s="77"/>
      <c r="AM2822" s="77"/>
      <c r="AN2822" s="77"/>
      <c r="AO2822" s="77"/>
      <c r="AP2822" s="77"/>
      <c r="AQ2822" s="77" t="s">
        <v>15819</v>
      </c>
      <c r="AR2822" s="77">
        <v>23475</v>
      </c>
      <c r="AS2822" s="77"/>
      <c r="AT2822" s="77"/>
      <c r="AU2822" s="77"/>
      <c r="AV2822" s="80" t="str">
        <f>HYPERLINK("https://pbs.twimg.com/ext_tw_video_thumb/1620074850470576129/pu/img/uit7cplnwvVD28Kr.jpg")</f>
        <v>https://pbs.twimg.com/ext_tw_video_thumb/1620074850470576129/pu/img/uit7cplnwvVD28Kr.jpg</v>
      </c>
      <c r="AW2822" s="82" t="s">
        <v>19588</v>
      </c>
      <c r="AX2822" s="82" t="s">
        <v>19588</v>
      </c>
      <c r="AY2822" s="77"/>
      <c r="AZ2822" s="82" t="s">
        <v>20971</v>
      </c>
      <c r="BA2822" s="82" t="s">
        <v>20971</v>
      </c>
      <c r="BB2822" s="82" t="s">
        <v>20971</v>
      </c>
      <c r="BC2822" s="82" t="s">
        <v>19588</v>
      </c>
      <c r="BD2822" s="77">
        <v>634133167</v>
      </c>
      <c r="BE2822" s="77"/>
      <c r="BF2822" s="77"/>
      <c r="BG2822" s="77"/>
      <c r="BH2822" s="77"/>
      <c r="BI2822" s="77"/>
    </row>
    <row r="2823" spans="1:61" x14ac:dyDescent="0.25">
      <c r="A2823" s="62" t="s">
        <v>949</v>
      </c>
      <c r="B2823" s="62" t="s">
        <v>949</v>
      </c>
      <c r="C2823" s="63"/>
      <c r="D2823" s="64"/>
      <c r="E2823" s="65"/>
      <c r="F2823" s="66"/>
      <c r="G2823" s="63"/>
      <c r="H2823" s="67"/>
      <c r="I2823" s="68"/>
      <c r="J2823" s="68"/>
      <c r="K2823" s="32"/>
      <c r="L2823" s="75">
        <v>2823</v>
      </c>
      <c r="M2823" s="75"/>
      <c r="N2823" s="70"/>
      <c r="O2823" s="77" t="s">
        <v>179</v>
      </c>
      <c r="P2823" s="79">
        <v>44957.979513888888</v>
      </c>
      <c r="Q2823" s="77" t="s">
        <v>4029</v>
      </c>
      <c r="R2823" s="77">
        <v>0</v>
      </c>
      <c r="S2823" s="77">
        <v>0</v>
      </c>
      <c r="T2823" s="77">
        <v>0</v>
      </c>
      <c r="U2823" s="77">
        <v>0</v>
      </c>
      <c r="V2823" s="77">
        <v>14</v>
      </c>
      <c r="W2823" s="82" t="s">
        <v>6355</v>
      </c>
      <c r="X2823" s="80" t="str">
        <f>HYPERLINK("https://go.ticto.com.br/t/bd1f298b")</f>
        <v>https://go.ticto.com.br/t/bd1f298b</v>
      </c>
      <c r="Y2823" s="77" t="s">
        <v>7252</v>
      </c>
      <c r="Z2823" s="77"/>
      <c r="AA2823" s="77" t="s">
        <v>9177</v>
      </c>
      <c r="AB2823" s="77" t="s">
        <v>10129</v>
      </c>
      <c r="AC2823" s="82" t="s">
        <v>10146</v>
      </c>
      <c r="AD2823" s="77" t="s">
        <v>10184</v>
      </c>
      <c r="AE2823" s="80" t="str">
        <f>HYPERLINK("https://twitter.com/eddie_poker/status/1620565214801416192")</f>
        <v>https://twitter.com/eddie_poker/status/1620565214801416192</v>
      </c>
      <c r="AF2823" s="79">
        <v>44957.979513888888</v>
      </c>
      <c r="AG2823" s="85">
        <v>44957</v>
      </c>
      <c r="AH2823" s="82" t="s">
        <v>12883</v>
      </c>
      <c r="AI2823" s="77" t="b">
        <v>0</v>
      </c>
      <c r="AJ2823" s="77"/>
      <c r="AK2823" s="77"/>
      <c r="AL2823" s="77"/>
      <c r="AM2823" s="77"/>
      <c r="AN2823" s="77"/>
      <c r="AO2823" s="77"/>
      <c r="AP2823" s="77"/>
      <c r="AQ2823" s="77" t="s">
        <v>15820</v>
      </c>
      <c r="AR2823" s="77">
        <v>23475</v>
      </c>
      <c r="AS2823" s="77"/>
      <c r="AT2823" s="77"/>
      <c r="AU2823" s="77"/>
      <c r="AV2823" s="80" t="str">
        <f>HYPERLINK("https://pbs.twimg.com/ext_tw_video_thumb/1620074679531601922/pu/img/wFVZQy5wV9YKZK9U.jpg")</f>
        <v>https://pbs.twimg.com/ext_tw_video_thumb/1620074679531601922/pu/img/wFVZQy5wV9YKZK9U.jpg</v>
      </c>
      <c r="AW2823" s="82" t="s">
        <v>19589</v>
      </c>
      <c r="AX2823" s="82" t="s">
        <v>19589</v>
      </c>
      <c r="AY2823" s="77"/>
      <c r="AZ2823" s="82" t="s">
        <v>20971</v>
      </c>
      <c r="BA2823" s="82" t="s">
        <v>20971</v>
      </c>
      <c r="BB2823" s="82" t="s">
        <v>20971</v>
      </c>
      <c r="BC2823" s="82" t="s">
        <v>19589</v>
      </c>
      <c r="BD2823" s="77">
        <v>634133167</v>
      </c>
      <c r="BE2823" s="77"/>
      <c r="BF2823" s="77"/>
      <c r="BG2823" s="77"/>
      <c r="BH2823" s="77"/>
      <c r="BI2823" s="77"/>
    </row>
    <row r="2824" spans="1:61" x14ac:dyDescent="0.25">
      <c r="A2824" s="62" t="s">
        <v>949</v>
      </c>
      <c r="B2824" s="62" t="s">
        <v>949</v>
      </c>
      <c r="C2824" s="63"/>
      <c r="D2824" s="64"/>
      <c r="E2824" s="65"/>
      <c r="F2824" s="66"/>
      <c r="G2824" s="63"/>
      <c r="H2824" s="67"/>
      <c r="I2824" s="68"/>
      <c r="J2824" s="68"/>
      <c r="K2824" s="32"/>
      <c r="L2824" s="75">
        <v>2824</v>
      </c>
      <c r="M2824" s="75"/>
      <c r="N2824" s="70"/>
      <c r="O2824" s="77" t="s">
        <v>179</v>
      </c>
      <c r="P2824" s="79">
        <v>44957.937847222223</v>
      </c>
      <c r="Q2824" s="77" t="s">
        <v>4030</v>
      </c>
      <c r="R2824" s="77">
        <v>0</v>
      </c>
      <c r="S2824" s="77">
        <v>0</v>
      </c>
      <c r="T2824" s="77">
        <v>0</v>
      </c>
      <c r="U2824" s="77">
        <v>0</v>
      </c>
      <c r="V2824" s="77">
        <v>23</v>
      </c>
      <c r="W2824" s="82" t="s">
        <v>6355</v>
      </c>
      <c r="X2824" s="80" t="str">
        <f>HYPERLINK("https://go.ticto.com.br/t/bd1f298b")</f>
        <v>https://go.ticto.com.br/t/bd1f298b</v>
      </c>
      <c r="Y2824" s="77" t="s">
        <v>7252</v>
      </c>
      <c r="Z2824" s="77"/>
      <c r="AA2824" s="77" t="s">
        <v>9178</v>
      </c>
      <c r="AB2824" s="77" t="s">
        <v>10129</v>
      </c>
      <c r="AC2824" s="82" t="s">
        <v>10146</v>
      </c>
      <c r="AD2824" s="77" t="s">
        <v>10184</v>
      </c>
      <c r="AE2824" s="80" t="str">
        <f>HYPERLINK("https://twitter.com/eddie_poker/status/1620550114765934593")</f>
        <v>https://twitter.com/eddie_poker/status/1620550114765934593</v>
      </c>
      <c r="AF2824" s="79">
        <v>44957.937847222223</v>
      </c>
      <c r="AG2824" s="85">
        <v>44957</v>
      </c>
      <c r="AH2824" s="82" t="s">
        <v>12884</v>
      </c>
      <c r="AI2824" s="77" t="b">
        <v>0</v>
      </c>
      <c r="AJ2824" s="77"/>
      <c r="AK2824" s="77"/>
      <c r="AL2824" s="77"/>
      <c r="AM2824" s="77"/>
      <c r="AN2824" s="77"/>
      <c r="AO2824" s="77"/>
      <c r="AP2824" s="77"/>
      <c r="AQ2824" s="77" t="s">
        <v>15821</v>
      </c>
      <c r="AR2824" s="77">
        <v>23475</v>
      </c>
      <c r="AS2824" s="77"/>
      <c r="AT2824" s="77"/>
      <c r="AU2824" s="77"/>
      <c r="AV2824" s="80" t="str">
        <f>HYPERLINK("https://pbs.twimg.com/ext_tw_video_thumb/1620074497180155905/pu/img/dTabKXmRtSpFlemh.jpg")</f>
        <v>https://pbs.twimg.com/ext_tw_video_thumb/1620074497180155905/pu/img/dTabKXmRtSpFlemh.jpg</v>
      </c>
      <c r="AW2824" s="82" t="s">
        <v>19590</v>
      </c>
      <c r="AX2824" s="82" t="s">
        <v>19590</v>
      </c>
      <c r="AY2824" s="77"/>
      <c r="AZ2824" s="82" t="s">
        <v>20971</v>
      </c>
      <c r="BA2824" s="82" t="s">
        <v>20971</v>
      </c>
      <c r="BB2824" s="82" t="s">
        <v>20971</v>
      </c>
      <c r="BC2824" s="82" t="s">
        <v>19590</v>
      </c>
      <c r="BD2824" s="77">
        <v>634133167</v>
      </c>
      <c r="BE2824" s="77"/>
      <c r="BF2824" s="77"/>
      <c r="BG2824" s="77"/>
      <c r="BH2824" s="77"/>
      <c r="BI2824" s="77"/>
    </row>
    <row r="2825" spans="1:61" x14ac:dyDescent="0.25">
      <c r="A2825" s="62" t="s">
        <v>949</v>
      </c>
      <c r="B2825" s="62" t="s">
        <v>949</v>
      </c>
      <c r="C2825" s="63"/>
      <c r="D2825" s="64"/>
      <c r="E2825" s="65"/>
      <c r="F2825" s="66"/>
      <c r="G2825" s="63"/>
      <c r="H2825" s="67"/>
      <c r="I2825" s="68"/>
      <c r="J2825" s="68"/>
      <c r="K2825" s="32"/>
      <c r="L2825" s="75">
        <v>2825</v>
      </c>
      <c r="M2825" s="75"/>
      <c r="N2825" s="70"/>
      <c r="O2825" s="77" t="s">
        <v>179</v>
      </c>
      <c r="P2825" s="79">
        <v>44957.895833333336</v>
      </c>
      <c r="Q2825" s="77" t="s">
        <v>4031</v>
      </c>
      <c r="R2825" s="77">
        <v>0</v>
      </c>
      <c r="S2825" s="77">
        <v>0</v>
      </c>
      <c r="T2825" s="77">
        <v>0</v>
      </c>
      <c r="U2825" s="77">
        <v>0</v>
      </c>
      <c r="V2825" s="77">
        <v>21</v>
      </c>
      <c r="W2825" s="82" t="s">
        <v>6355</v>
      </c>
      <c r="X2825" s="80" t="str">
        <f>HYPERLINK("https://go.ticto.com.br/t/bd1f298b")</f>
        <v>https://go.ticto.com.br/t/bd1f298b</v>
      </c>
      <c r="Y2825" s="77" t="s">
        <v>7252</v>
      </c>
      <c r="Z2825" s="77"/>
      <c r="AA2825" s="77" t="s">
        <v>9179</v>
      </c>
      <c r="AB2825" s="77" t="s">
        <v>10129</v>
      </c>
      <c r="AC2825" s="82" t="s">
        <v>10146</v>
      </c>
      <c r="AD2825" s="77" t="s">
        <v>10184</v>
      </c>
      <c r="AE2825" s="80" t="str">
        <f>HYPERLINK("https://twitter.com/eddie_poker/status/1620534891229093890")</f>
        <v>https://twitter.com/eddie_poker/status/1620534891229093890</v>
      </c>
      <c r="AF2825" s="79">
        <v>44957.895833333336</v>
      </c>
      <c r="AG2825" s="85">
        <v>44957</v>
      </c>
      <c r="AH2825" s="82" t="s">
        <v>12870</v>
      </c>
      <c r="AI2825" s="77" t="b">
        <v>0</v>
      </c>
      <c r="AJ2825" s="77"/>
      <c r="AK2825" s="77"/>
      <c r="AL2825" s="77"/>
      <c r="AM2825" s="77"/>
      <c r="AN2825" s="77"/>
      <c r="AO2825" s="77"/>
      <c r="AP2825" s="77"/>
      <c r="AQ2825" s="77" t="s">
        <v>15822</v>
      </c>
      <c r="AR2825" s="77">
        <v>23475</v>
      </c>
      <c r="AS2825" s="77"/>
      <c r="AT2825" s="77"/>
      <c r="AU2825" s="77"/>
      <c r="AV2825" s="80" t="str">
        <f>HYPERLINK("https://pbs.twimg.com/ext_tw_video_thumb/1620074308927197185/pu/img/OSDS_0NHULIMQOQm.jpg")</f>
        <v>https://pbs.twimg.com/ext_tw_video_thumb/1620074308927197185/pu/img/OSDS_0NHULIMQOQm.jpg</v>
      </c>
      <c r="AW2825" s="82" t="s">
        <v>19591</v>
      </c>
      <c r="AX2825" s="82" t="s">
        <v>19591</v>
      </c>
      <c r="AY2825" s="77"/>
      <c r="AZ2825" s="82" t="s">
        <v>20971</v>
      </c>
      <c r="BA2825" s="82" t="s">
        <v>20971</v>
      </c>
      <c r="BB2825" s="82" t="s">
        <v>20971</v>
      </c>
      <c r="BC2825" s="82" t="s">
        <v>19591</v>
      </c>
      <c r="BD2825" s="77">
        <v>634133167</v>
      </c>
      <c r="BE2825" s="77"/>
      <c r="BF2825" s="77"/>
      <c r="BG2825" s="77"/>
      <c r="BH2825" s="77"/>
      <c r="BI2825" s="77"/>
    </row>
    <row r="2826" spans="1:61" x14ac:dyDescent="0.25">
      <c r="A2826" s="62" t="s">
        <v>949</v>
      </c>
      <c r="B2826" s="62" t="s">
        <v>949</v>
      </c>
      <c r="C2826" s="63"/>
      <c r="D2826" s="64"/>
      <c r="E2826" s="65"/>
      <c r="F2826" s="66"/>
      <c r="G2826" s="63"/>
      <c r="H2826" s="67"/>
      <c r="I2826" s="68"/>
      <c r="J2826" s="68"/>
      <c r="K2826" s="32"/>
      <c r="L2826" s="75">
        <v>2826</v>
      </c>
      <c r="M2826" s="75"/>
      <c r="N2826" s="70"/>
      <c r="O2826" s="77" t="s">
        <v>179</v>
      </c>
      <c r="P2826" s="79">
        <v>44957.854166666664</v>
      </c>
      <c r="Q2826" s="77" t="s">
        <v>4032</v>
      </c>
      <c r="R2826" s="77">
        <v>0</v>
      </c>
      <c r="S2826" s="77">
        <v>0</v>
      </c>
      <c r="T2826" s="77">
        <v>0</v>
      </c>
      <c r="U2826" s="77">
        <v>0</v>
      </c>
      <c r="V2826" s="77">
        <v>14</v>
      </c>
      <c r="W2826" s="82" t="s">
        <v>6355</v>
      </c>
      <c r="X2826" s="80" t="str">
        <f>HYPERLINK("https://go.ticto.com.br/t/bd1f298b")</f>
        <v>https://go.ticto.com.br/t/bd1f298b</v>
      </c>
      <c r="Y2826" s="77" t="s">
        <v>7252</v>
      </c>
      <c r="Z2826" s="77"/>
      <c r="AA2826" s="77" t="s">
        <v>9180</v>
      </c>
      <c r="AB2826" s="77" t="s">
        <v>10129</v>
      </c>
      <c r="AC2826" s="82" t="s">
        <v>10146</v>
      </c>
      <c r="AD2826" s="77" t="s">
        <v>10184</v>
      </c>
      <c r="AE2826" s="80" t="str">
        <f>HYPERLINK("https://twitter.com/eddie_poker/status/1620519789155213318")</f>
        <v>https://twitter.com/eddie_poker/status/1620519789155213318</v>
      </c>
      <c r="AF2826" s="79">
        <v>44957.854166666664</v>
      </c>
      <c r="AG2826" s="85">
        <v>44957</v>
      </c>
      <c r="AH2826" s="82" t="s">
        <v>12871</v>
      </c>
      <c r="AI2826" s="77" t="b">
        <v>0</v>
      </c>
      <c r="AJ2826" s="77"/>
      <c r="AK2826" s="77"/>
      <c r="AL2826" s="77"/>
      <c r="AM2826" s="77"/>
      <c r="AN2826" s="77"/>
      <c r="AO2826" s="77"/>
      <c r="AP2826" s="77"/>
      <c r="AQ2826" s="77" t="s">
        <v>15823</v>
      </c>
      <c r="AR2826" s="77">
        <v>23475</v>
      </c>
      <c r="AS2826" s="77"/>
      <c r="AT2826" s="77"/>
      <c r="AU2826" s="77"/>
      <c r="AV2826" s="80" t="str">
        <f>HYPERLINK("https://pbs.twimg.com/ext_tw_video_thumb/1620074134230257665/pu/img/FY-AcXGiLdqIqLsj.jpg")</f>
        <v>https://pbs.twimg.com/ext_tw_video_thumb/1620074134230257665/pu/img/FY-AcXGiLdqIqLsj.jpg</v>
      </c>
      <c r="AW2826" s="82" t="s">
        <v>19592</v>
      </c>
      <c r="AX2826" s="82" t="s">
        <v>19592</v>
      </c>
      <c r="AY2826" s="77"/>
      <c r="AZ2826" s="82" t="s">
        <v>20971</v>
      </c>
      <c r="BA2826" s="82" t="s">
        <v>20971</v>
      </c>
      <c r="BB2826" s="82" t="s">
        <v>20971</v>
      </c>
      <c r="BC2826" s="82" t="s">
        <v>19592</v>
      </c>
      <c r="BD2826" s="77">
        <v>634133167</v>
      </c>
      <c r="BE2826" s="77"/>
      <c r="BF2826" s="77"/>
      <c r="BG2826" s="77"/>
      <c r="BH2826" s="77"/>
      <c r="BI2826" s="77"/>
    </row>
    <row r="2827" spans="1:61" x14ac:dyDescent="0.25">
      <c r="A2827" s="62" t="s">
        <v>949</v>
      </c>
      <c r="B2827" s="62" t="s">
        <v>949</v>
      </c>
      <c r="C2827" s="63"/>
      <c r="D2827" s="64"/>
      <c r="E2827" s="65"/>
      <c r="F2827" s="66"/>
      <c r="G2827" s="63"/>
      <c r="H2827" s="67"/>
      <c r="I2827" s="68"/>
      <c r="J2827" s="68"/>
      <c r="K2827" s="32"/>
      <c r="L2827" s="75">
        <v>2827</v>
      </c>
      <c r="M2827" s="75"/>
      <c r="N2827" s="70"/>
      <c r="O2827" s="77" t="s">
        <v>179</v>
      </c>
      <c r="P2827" s="79">
        <v>44957.8125</v>
      </c>
      <c r="Q2827" s="77" t="s">
        <v>4033</v>
      </c>
      <c r="R2827" s="77">
        <v>0</v>
      </c>
      <c r="S2827" s="77">
        <v>0</v>
      </c>
      <c r="T2827" s="77">
        <v>0</v>
      </c>
      <c r="U2827" s="77">
        <v>0</v>
      </c>
      <c r="V2827" s="77">
        <v>12</v>
      </c>
      <c r="W2827" s="82" t="s">
        <v>6355</v>
      </c>
      <c r="X2827" s="80" t="str">
        <f>HYPERLINK("https://go.ticto.com.br/t/bd1f298b")</f>
        <v>https://go.ticto.com.br/t/bd1f298b</v>
      </c>
      <c r="Y2827" s="77" t="s">
        <v>7252</v>
      </c>
      <c r="Z2827" s="77"/>
      <c r="AA2827" s="77" t="s">
        <v>9181</v>
      </c>
      <c r="AB2827" s="77" t="s">
        <v>10129</v>
      </c>
      <c r="AC2827" s="82" t="s">
        <v>10146</v>
      </c>
      <c r="AD2827" s="77" t="s">
        <v>10184</v>
      </c>
      <c r="AE2827" s="80" t="str">
        <f>HYPERLINK("https://twitter.com/eddie_poker/status/1620504692345249817")</f>
        <v>https://twitter.com/eddie_poker/status/1620504692345249817</v>
      </c>
      <c r="AF2827" s="79">
        <v>44957.8125</v>
      </c>
      <c r="AG2827" s="85">
        <v>44957</v>
      </c>
      <c r="AH2827" s="82" t="s">
        <v>12872</v>
      </c>
      <c r="AI2827" s="77" t="b">
        <v>0</v>
      </c>
      <c r="AJ2827" s="77"/>
      <c r="AK2827" s="77"/>
      <c r="AL2827" s="77"/>
      <c r="AM2827" s="77"/>
      <c r="AN2827" s="77"/>
      <c r="AO2827" s="77"/>
      <c r="AP2827" s="77"/>
      <c r="AQ2827" s="77" t="s">
        <v>15824</v>
      </c>
      <c r="AR2827" s="77">
        <v>23475</v>
      </c>
      <c r="AS2827" s="77"/>
      <c r="AT2827" s="77"/>
      <c r="AU2827" s="77"/>
      <c r="AV2827" s="80" t="str">
        <f>HYPERLINK("https://pbs.twimg.com/ext_tw_video_thumb/1620073902931120128/pu/img/fYh1izMTKFvo3PfR.jpg")</f>
        <v>https://pbs.twimg.com/ext_tw_video_thumb/1620073902931120128/pu/img/fYh1izMTKFvo3PfR.jpg</v>
      </c>
      <c r="AW2827" s="82" t="s">
        <v>19593</v>
      </c>
      <c r="AX2827" s="82" t="s">
        <v>19593</v>
      </c>
      <c r="AY2827" s="77"/>
      <c r="AZ2827" s="82" t="s">
        <v>20971</v>
      </c>
      <c r="BA2827" s="82" t="s">
        <v>20971</v>
      </c>
      <c r="BB2827" s="82" t="s">
        <v>20971</v>
      </c>
      <c r="BC2827" s="82" t="s">
        <v>19593</v>
      </c>
      <c r="BD2827" s="77">
        <v>634133167</v>
      </c>
      <c r="BE2827" s="77"/>
      <c r="BF2827" s="77"/>
      <c r="BG2827" s="77"/>
      <c r="BH2827" s="77"/>
      <c r="BI2827" s="77"/>
    </row>
    <row r="2828" spans="1:61" x14ac:dyDescent="0.25">
      <c r="A2828" s="62" t="s">
        <v>949</v>
      </c>
      <c r="B2828" s="62" t="s">
        <v>949</v>
      </c>
      <c r="C2828" s="63"/>
      <c r="D2828" s="64"/>
      <c r="E2828" s="65"/>
      <c r="F2828" s="66"/>
      <c r="G2828" s="63"/>
      <c r="H2828" s="67"/>
      <c r="I2828" s="68"/>
      <c r="J2828" s="68"/>
      <c r="K2828" s="32"/>
      <c r="L2828" s="75">
        <v>2828</v>
      </c>
      <c r="M2828" s="75"/>
      <c r="N2828" s="70"/>
      <c r="O2828" s="77" t="s">
        <v>179</v>
      </c>
      <c r="P2828" s="79">
        <v>44957.770833333336</v>
      </c>
      <c r="Q2828" s="77" t="s">
        <v>4034</v>
      </c>
      <c r="R2828" s="77">
        <v>0</v>
      </c>
      <c r="S2828" s="77">
        <v>0</v>
      </c>
      <c r="T2828" s="77">
        <v>0</v>
      </c>
      <c r="U2828" s="77">
        <v>0</v>
      </c>
      <c r="V2828" s="77">
        <v>13</v>
      </c>
      <c r="W2828" s="82" t="s">
        <v>6355</v>
      </c>
      <c r="X2828" s="80" t="str">
        <f>HYPERLINK("https://go.ticto.com.br/t/bd1f298b")</f>
        <v>https://go.ticto.com.br/t/bd1f298b</v>
      </c>
      <c r="Y2828" s="77" t="s">
        <v>7252</v>
      </c>
      <c r="Z2828" s="77"/>
      <c r="AA2828" s="77" t="s">
        <v>9182</v>
      </c>
      <c r="AB2828" s="77" t="s">
        <v>10129</v>
      </c>
      <c r="AC2828" s="82" t="s">
        <v>10146</v>
      </c>
      <c r="AD2828" s="77" t="s">
        <v>10184</v>
      </c>
      <c r="AE2828" s="80" t="str">
        <f>HYPERLINK("https://twitter.com/eddie_poker/status/1620489592049745920")</f>
        <v>https://twitter.com/eddie_poker/status/1620489592049745920</v>
      </c>
      <c r="AF2828" s="79">
        <v>44957.770833333336</v>
      </c>
      <c r="AG2828" s="85">
        <v>44957</v>
      </c>
      <c r="AH2828" s="82" t="s">
        <v>12040</v>
      </c>
      <c r="AI2828" s="77" t="b">
        <v>0</v>
      </c>
      <c r="AJ2828" s="77"/>
      <c r="AK2828" s="77"/>
      <c r="AL2828" s="77"/>
      <c r="AM2828" s="77"/>
      <c r="AN2828" s="77"/>
      <c r="AO2828" s="77"/>
      <c r="AP2828" s="77"/>
      <c r="AQ2828" s="77" t="s">
        <v>15825</v>
      </c>
      <c r="AR2828" s="77">
        <v>23475</v>
      </c>
      <c r="AS2828" s="77"/>
      <c r="AT2828" s="77"/>
      <c r="AU2828" s="77"/>
      <c r="AV2828" s="80" t="str">
        <f>HYPERLINK("https://pbs.twimg.com/ext_tw_video_thumb/1620073728196464642/pu/img/ewS4YPwjAR8dsdkE.jpg")</f>
        <v>https://pbs.twimg.com/ext_tw_video_thumb/1620073728196464642/pu/img/ewS4YPwjAR8dsdkE.jpg</v>
      </c>
      <c r="AW2828" s="82" t="s">
        <v>19594</v>
      </c>
      <c r="AX2828" s="82" t="s">
        <v>19594</v>
      </c>
      <c r="AY2828" s="77"/>
      <c r="AZ2828" s="82" t="s">
        <v>20971</v>
      </c>
      <c r="BA2828" s="82" t="s">
        <v>20971</v>
      </c>
      <c r="BB2828" s="82" t="s">
        <v>20971</v>
      </c>
      <c r="BC2828" s="82" t="s">
        <v>19594</v>
      </c>
      <c r="BD2828" s="77">
        <v>634133167</v>
      </c>
      <c r="BE2828" s="77"/>
      <c r="BF2828" s="77"/>
      <c r="BG2828" s="77"/>
      <c r="BH2828" s="77"/>
      <c r="BI2828" s="77"/>
    </row>
    <row r="2829" spans="1:61" x14ac:dyDescent="0.25">
      <c r="A2829" s="62" t="s">
        <v>949</v>
      </c>
      <c r="B2829" s="62" t="s">
        <v>949</v>
      </c>
      <c r="C2829" s="63"/>
      <c r="D2829" s="64"/>
      <c r="E2829" s="65"/>
      <c r="F2829" s="66"/>
      <c r="G2829" s="63"/>
      <c r="H2829" s="67"/>
      <c r="I2829" s="68"/>
      <c r="J2829" s="68"/>
      <c r="K2829" s="32"/>
      <c r="L2829" s="75">
        <v>2829</v>
      </c>
      <c r="M2829" s="75"/>
      <c r="N2829" s="70"/>
      <c r="O2829" s="77" t="s">
        <v>179</v>
      </c>
      <c r="P2829" s="79">
        <v>44957.729166666664</v>
      </c>
      <c r="Q2829" s="77" t="s">
        <v>4035</v>
      </c>
      <c r="R2829" s="77">
        <v>0</v>
      </c>
      <c r="S2829" s="77">
        <v>0</v>
      </c>
      <c r="T2829" s="77">
        <v>0</v>
      </c>
      <c r="U2829" s="77">
        <v>0</v>
      </c>
      <c r="V2829" s="77">
        <v>19</v>
      </c>
      <c r="W2829" s="82" t="s">
        <v>6355</v>
      </c>
      <c r="X2829" s="80" t="str">
        <f>HYPERLINK("https://go.ticto.com.br/t/bd1f298b")</f>
        <v>https://go.ticto.com.br/t/bd1f298b</v>
      </c>
      <c r="Y2829" s="77" t="s">
        <v>7252</v>
      </c>
      <c r="Z2829" s="77"/>
      <c r="AA2829" s="77" t="s">
        <v>9183</v>
      </c>
      <c r="AB2829" s="77" t="s">
        <v>10129</v>
      </c>
      <c r="AC2829" s="82" t="s">
        <v>10146</v>
      </c>
      <c r="AD2829" s="77" t="s">
        <v>10184</v>
      </c>
      <c r="AE2829" s="80" t="str">
        <f>HYPERLINK("https://twitter.com/eddie_poker/status/1620474493205356569")</f>
        <v>https://twitter.com/eddie_poker/status/1620474493205356569</v>
      </c>
      <c r="AF2829" s="79">
        <v>44957.729166666664</v>
      </c>
      <c r="AG2829" s="85">
        <v>44957</v>
      </c>
      <c r="AH2829" s="82" t="s">
        <v>12873</v>
      </c>
      <c r="AI2829" s="77" t="b">
        <v>0</v>
      </c>
      <c r="AJ2829" s="77"/>
      <c r="AK2829" s="77"/>
      <c r="AL2829" s="77"/>
      <c r="AM2829" s="77"/>
      <c r="AN2829" s="77"/>
      <c r="AO2829" s="77"/>
      <c r="AP2829" s="77"/>
      <c r="AQ2829" s="77" t="s">
        <v>15826</v>
      </c>
      <c r="AR2829" s="77">
        <v>23475</v>
      </c>
      <c r="AS2829" s="77"/>
      <c r="AT2829" s="77"/>
      <c r="AU2829" s="77"/>
      <c r="AV2829" s="80" t="str">
        <f>HYPERLINK("https://pbs.twimg.com/ext_tw_video_thumb/1620073485421740033/pu/img/2gdRPoCJ7u-XNr2j.jpg")</f>
        <v>https://pbs.twimg.com/ext_tw_video_thumb/1620073485421740033/pu/img/2gdRPoCJ7u-XNr2j.jpg</v>
      </c>
      <c r="AW2829" s="82" t="s">
        <v>19595</v>
      </c>
      <c r="AX2829" s="82" t="s">
        <v>19595</v>
      </c>
      <c r="AY2829" s="77"/>
      <c r="AZ2829" s="82" t="s">
        <v>20971</v>
      </c>
      <c r="BA2829" s="82" t="s">
        <v>20971</v>
      </c>
      <c r="BB2829" s="82" t="s">
        <v>20971</v>
      </c>
      <c r="BC2829" s="82" t="s">
        <v>19595</v>
      </c>
      <c r="BD2829" s="77">
        <v>634133167</v>
      </c>
      <c r="BE2829" s="77"/>
      <c r="BF2829" s="77"/>
      <c r="BG2829" s="77"/>
      <c r="BH2829" s="77"/>
      <c r="BI2829" s="77"/>
    </row>
    <row r="2830" spans="1:61" x14ac:dyDescent="0.25">
      <c r="A2830" s="62" t="s">
        <v>949</v>
      </c>
      <c r="B2830" s="62" t="s">
        <v>949</v>
      </c>
      <c r="C2830" s="63"/>
      <c r="D2830" s="64"/>
      <c r="E2830" s="65"/>
      <c r="F2830" s="66"/>
      <c r="G2830" s="63"/>
      <c r="H2830" s="67"/>
      <c r="I2830" s="68"/>
      <c r="J2830" s="68"/>
      <c r="K2830" s="32"/>
      <c r="L2830" s="75">
        <v>2830</v>
      </c>
      <c r="M2830" s="75"/>
      <c r="N2830" s="70"/>
      <c r="O2830" s="77" t="s">
        <v>179</v>
      </c>
      <c r="P2830" s="79">
        <v>44957.687847222223</v>
      </c>
      <c r="Q2830" s="77" t="s">
        <v>4036</v>
      </c>
      <c r="R2830" s="77">
        <v>0</v>
      </c>
      <c r="S2830" s="77">
        <v>0</v>
      </c>
      <c r="T2830" s="77">
        <v>0</v>
      </c>
      <c r="U2830" s="77">
        <v>0</v>
      </c>
      <c r="V2830" s="77">
        <v>18</v>
      </c>
      <c r="W2830" s="82" t="s">
        <v>6355</v>
      </c>
      <c r="X2830" s="80" t="str">
        <f>HYPERLINK("https://go.ticto.com.br/t/bd1f298b")</f>
        <v>https://go.ticto.com.br/t/bd1f298b</v>
      </c>
      <c r="Y2830" s="77" t="s">
        <v>7252</v>
      </c>
      <c r="Z2830" s="77"/>
      <c r="AA2830" s="77" t="s">
        <v>9184</v>
      </c>
      <c r="AB2830" s="77" t="s">
        <v>10129</v>
      </c>
      <c r="AC2830" s="82" t="s">
        <v>10146</v>
      </c>
      <c r="AD2830" s="77" t="s">
        <v>10184</v>
      </c>
      <c r="AE2830" s="80" t="str">
        <f>HYPERLINK("https://twitter.com/eddie_poker/status/1620459518097330176")</f>
        <v>https://twitter.com/eddie_poker/status/1620459518097330176</v>
      </c>
      <c r="AF2830" s="79">
        <v>44957.687847222223</v>
      </c>
      <c r="AG2830" s="85">
        <v>44957</v>
      </c>
      <c r="AH2830" s="82" t="s">
        <v>12885</v>
      </c>
      <c r="AI2830" s="77" t="b">
        <v>0</v>
      </c>
      <c r="AJ2830" s="77"/>
      <c r="AK2830" s="77"/>
      <c r="AL2830" s="77"/>
      <c r="AM2830" s="77"/>
      <c r="AN2830" s="77"/>
      <c r="AO2830" s="77"/>
      <c r="AP2830" s="77"/>
      <c r="AQ2830" s="77" t="s">
        <v>15827</v>
      </c>
      <c r="AR2830" s="77">
        <v>23475</v>
      </c>
      <c r="AS2830" s="77"/>
      <c r="AT2830" s="77"/>
      <c r="AU2830" s="77"/>
      <c r="AV2830" s="80" t="str">
        <f>HYPERLINK("https://pbs.twimg.com/ext_tw_video_thumb/1620071638447300610/pu/img/pOPyV1SCJNO-kpKH.jpg")</f>
        <v>https://pbs.twimg.com/ext_tw_video_thumb/1620071638447300610/pu/img/pOPyV1SCJNO-kpKH.jpg</v>
      </c>
      <c r="AW2830" s="82" t="s">
        <v>19596</v>
      </c>
      <c r="AX2830" s="82" t="s">
        <v>19596</v>
      </c>
      <c r="AY2830" s="77"/>
      <c r="AZ2830" s="82" t="s">
        <v>20971</v>
      </c>
      <c r="BA2830" s="82" t="s">
        <v>20971</v>
      </c>
      <c r="BB2830" s="82" t="s">
        <v>20971</v>
      </c>
      <c r="BC2830" s="82" t="s">
        <v>19596</v>
      </c>
      <c r="BD2830" s="77">
        <v>634133167</v>
      </c>
      <c r="BE2830" s="77"/>
      <c r="BF2830" s="77"/>
      <c r="BG2830" s="77"/>
      <c r="BH2830" s="77"/>
      <c r="BI2830" s="77"/>
    </row>
    <row r="2831" spans="1:61" x14ac:dyDescent="0.25">
      <c r="A2831" s="62" t="s">
        <v>949</v>
      </c>
      <c r="B2831" s="62" t="s">
        <v>949</v>
      </c>
      <c r="C2831" s="63"/>
      <c r="D2831" s="64"/>
      <c r="E2831" s="65"/>
      <c r="F2831" s="66"/>
      <c r="G2831" s="63"/>
      <c r="H2831" s="67"/>
      <c r="I2831" s="68"/>
      <c r="J2831" s="68"/>
      <c r="K2831" s="32"/>
      <c r="L2831" s="75">
        <v>2831</v>
      </c>
      <c r="M2831" s="75"/>
      <c r="N2831" s="70"/>
      <c r="O2831" s="77" t="s">
        <v>179</v>
      </c>
      <c r="P2831" s="79">
        <v>44957.646180555559</v>
      </c>
      <c r="Q2831" s="77" t="s">
        <v>4037</v>
      </c>
      <c r="R2831" s="77">
        <v>0</v>
      </c>
      <c r="S2831" s="77">
        <v>0</v>
      </c>
      <c r="T2831" s="77">
        <v>0</v>
      </c>
      <c r="U2831" s="77">
        <v>0</v>
      </c>
      <c r="V2831" s="77">
        <v>22</v>
      </c>
      <c r="W2831" s="82" t="s">
        <v>6355</v>
      </c>
      <c r="X2831" s="80" t="str">
        <f>HYPERLINK("https://go.ticto.com.br/t/bd1f298b")</f>
        <v>https://go.ticto.com.br/t/bd1f298b</v>
      </c>
      <c r="Y2831" s="77" t="s">
        <v>7252</v>
      </c>
      <c r="Z2831" s="77"/>
      <c r="AA2831" s="77" t="s">
        <v>9185</v>
      </c>
      <c r="AB2831" s="77" t="s">
        <v>10129</v>
      </c>
      <c r="AC2831" s="82" t="s">
        <v>10146</v>
      </c>
      <c r="AD2831" s="77" t="s">
        <v>10184</v>
      </c>
      <c r="AE2831" s="80" t="str">
        <f>HYPERLINK("https://twitter.com/eddie_poker/status/1620444420666540033")</f>
        <v>https://twitter.com/eddie_poker/status/1620444420666540033</v>
      </c>
      <c r="AF2831" s="79">
        <v>44957.646180555559</v>
      </c>
      <c r="AG2831" s="85">
        <v>44957</v>
      </c>
      <c r="AH2831" s="82" t="s">
        <v>12886</v>
      </c>
      <c r="AI2831" s="77" t="b">
        <v>0</v>
      </c>
      <c r="AJ2831" s="77"/>
      <c r="AK2831" s="77"/>
      <c r="AL2831" s="77"/>
      <c r="AM2831" s="77"/>
      <c r="AN2831" s="77"/>
      <c r="AO2831" s="77"/>
      <c r="AP2831" s="77"/>
      <c r="AQ2831" s="77" t="s">
        <v>15828</v>
      </c>
      <c r="AR2831" s="77">
        <v>23475</v>
      </c>
      <c r="AS2831" s="77"/>
      <c r="AT2831" s="77"/>
      <c r="AU2831" s="77"/>
      <c r="AV2831" s="80" t="str">
        <f>HYPERLINK("https://pbs.twimg.com/ext_tw_video_thumb/1620071392686342145/pu/img/csuXC9QABN7EPbEB.jpg")</f>
        <v>https://pbs.twimg.com/ext_tw_video_thumb/1620071392686342145/pu/img/csuXC9QABN7EPbEB.jpg</v>
      </c>
      <c r="AW2831" s="82" t="s">
        <v>19597</v>
      </c>
      <c r="AX2831" s="82" t="s">
        <v>19597</v>
      </c>
      <c r="AY2831" s="77"/>
      <c r="AZ2831" s="82" t="s">
        <v>20971</v>
      </c>
      <c r="BA2831" s="82" t="s">
        <v>20971</v>
      </c>
      <c r="BB2831" s="82" t="s">
        <v>20971</v>
      </c>
      <c r="BC2831" s="82" t="s">
        <v>19597</v>
      </c>
      <c r="BD2831" s="77">
        <v>634133167</v>
      </c>
      <c r="BE2831" s="77"/>
      <c r="BF2831" s="77"/>
      <c r="BG2831" s="77"/>
      <c r="BH2831" s="77"/>
      <c r="BI2831" s="77"/>
    </row>
    <row r="2832" spans="1:61" x14ac:dyDescent="0.25">
      <c r="A2832" s="62" t="s">
        <v>949</v>
      </c>
      <c r="B2832" s="62" t="s">
        <v>949</v>
      </c>
      <c r="C2832" s="63"/>
      <c r="D2832" s="64"/>
      <c r="E2832" s="65"/>
      <c r="F2832" s="66"/>
      <c r="G2832" s="63"/>
      <c r="H2832" s="67"/>
      <c r="I2832" s="68"/>
      <c r="J2832" s="68"/>
      <c r="K2832" s="32"/>
      <c r="L2832" s="75">
        <v>2832</v>
      </c>
      <c r="M2832" s="75"/>
      <c r="N2832" s="70"/>
      <c r="O2832" s="77" t="s">
        <v>179</v>
      </c>
      <c r="P2832" s="79">
        <v>44957.604513888888</v>
      </c>
      <c r="Q2832" s="77" t="s">
        <v>4038</v>
      </c>
      <c r="R2832" s="77">
        <v>0</v>
      </c>
      <c r="S2832" s="77">
        <v>0</v>
      </c>
      <c r="T2832" s="77">
        <v>0</v>
      </c>
      <c r="U2832" s="77">
        <v>0</v>
      </c>
      <c r="V2832" s="77">
        <v>18</v>
      </c>
      <c r="W2832" s="82" t="s">
        <v>6355</v>
      </c>
      <c r="X2832" s="80" t="str">
        <f>HYPERLINK("https://go.ticto.com.br/t/bd1f298b")</f>
        <v>https://go.ticto.com.br/t/bd1f298b</v>
      </c>
      <c r="Y2832" s="77" t="s">
        <v>7252</v>
      </c>
      <c r="Z2832" s="77"/>
      <c r="AA2832" s="77" t="s">
        <v>9186</v>
      </c>
      <c r="AB2832" s="77" t="s">
        <v>10129</v>
      </c>
      <c r="AC2832" s="82" t="s">
        <v>10146</v>
      </c>
      <c r="AD2832" s="77" t="s">
        <v>10184</v>
      </c>
      <c r="AE2832" s="80" t="str">
        <f>HYPERLINK("https://twitter.com/eddie_poker/status/1620429320211628033")</f>
        <v>https://twitter.com/eddie_poker/status/1620429320211628033</v>
      </c>
      <c r="AF2832" s="79">
        <v>44957.604513888888</v>
      </c>
      <c r="AG2832" s="85">
        <v>44957</v>
      </c>
      <c r="AH2832" s="82" t="s">
        <v>12887</v>
      </c>
      <c r="AI2832" s="77" t="b">
        <v>0</v>
      </c>
      <c r="AJ2832" s="77"/>
      <c r="AK2832" s="77"/>
      <c r="AL2832" s="77"/>
      <c r="AM2832" s="77"/>
      <c r="AN2832" s="77"/>
      <c r="AO2832" s="77"/>
      <c r="AP2832" s="77"/>
      <c r="AQ2832" s="77" t="s">
        <v>15829</v>
      </c>
      <c r="AR2832" s="77">
        <v>23475</v>
      </c>
      <c r="AS2832" s="77"/>
      <c r="AT2832" s="77"/>
      <c r="AU2832" s="77"/>
      <c r="AV2832" s="80" t="str">
        <f>HYPERLINK("https://pbs.twimg.com/ext_tw_video_thumb/1620071213711196163/pu/img/4m60GwtHdMc0T3Ku.jpg")</f>
        <v>https://pbs.twimg.com/ext_tw_video_thumb/1620071213711196163/pu/img/4m60GwtHdMc0T3Ku.jpg</v>
      </c>
      <c r="AW2832" s="82" t="s">
        <v>19598</v>
      </c>
      <c r="AX2832" s="82" t="s">
        <v>19598</v>
      </c>
      <c r="AY2832" s="77"/>
      <c r="AZ2832" s="82" t="s">
        <v>20971</v>
      </c>
      <c r="BA2832" s="82" t="s">
        <v>20971</v>
      </c>
      <c r="BB2832" s="82" t="s">
        <v>20971</v>
      </c>
      <c r="BC2832" s="82" t="s">
        <v>19598</v>
      </c>
      <c r="BD2832" s="77">
        <v>634133167</v>
      </c>
      <c r="BE2832" s="77"/>
      <c r="BF2832" s="77"/>
      <c r="BG2832" s="77"/>
      <c r="BH2832" s="77"/>
      <c r="BI2832" s="77"/>
    </row>
    <row r="2833" spans="1:61" x14ac:dyDescent="0.25">
      <c r="A2833" s="62" t="s">
        <v>949</v>
      </c>
      <c r="B2833" s="62" t="s">
        <v>949</v>
      </c>
      <c r="C2833" s="63"/>
      <c r="D2833" s="64"/>
      <c r="E2833" s="65"/>
      <c r="F2833" s="66"/>
      <c r="G2833" s="63"/>
      <c r="H2833" s="67"/>
      <c r="I2833" s="68"/>
      <c r="J2833" s="68"/>
      <c r="K2833" s="32"/>
      <c r="L2833" s="75">
        <v>2833</v>
      </c>
      <c r="M2833" s="75"/>
      <c r="N2833" s="70"/>
      <c r="O2833" s="77" t="s">
        <v>179</v>
      </c>
      <c r="P2833" s="79">
        <v>44957.5625</v>
      </c>
      <c r="Q2833" s="77" t="s">
        <v>4039</v>
      </c>
      <c r="R2833" s="77">
        <v>0</v>
      </c>
      <c r="S2833" s="77">
        <v>0</v>
      </c>
      <c r="T2833" s="77">
        <v>0</v>
      </c>
      <c r="U2833" s="77">
        <v>0</v>
      </c>
      <c r="V2833" s="77">
        <v>11</v>
      </c>
      <c r="W2833" s="82" t="s">
        <v>6355</v>
      </c>
      <c r="X2833" s="80" t="str">
        <f>HYPERLINK("https://go.ticto.com.br/t/bd1f298b")</f>
        <v>https://go.ticto.com.br/t/bd1f298b</v>
      </c>
      <c r="Y2833" s="77" t="s">
        <v>7252</v>
      </c>
      <c r="Z2833" s="77"/>
      <c r="AA2833" s="77" t="s">
        <v>9187</v>
      </c>
      <c r="AB2833" s="77" t="s">
        <v>10129</v>
      </c>
      <c r="AC2833" s="82" t="s">
        <v>10146</v>
      </c>
      <c r="AD2833" s="77" t="s">
        <v>10184</v>
      </c>
      <c r="AE2833" s="80" t="str">
        <f>HYPERLINK("https://twitter.com/eddie_poker/status/1620414092732256256")</f>
        <v>https://twitter.com/eddie_poker/status/1620414092732256256</v>
      </c>
      <c r="AF2833" s="79">
        <v>44957.5625</v>
      </c>
      <c r="AG2833" s="85">
        <v>44957</v>
      </c>
      <c r="AH2833" s="82" t="s">
        <v>12877</v>
      </c>
      <c r="AI2833" s="77" t="b">
        <v>0</v>
      </c>
      <c r="AJ2833" s="77"/>
      <c r="AK2833" s="77"/>
      <c r="AL2833" s="77"/>
      <c r="AM2833" s="77"/>
      <c r="AN2833" s="77"/>
      <c r="AO2833" s="77"/>
      <c r="AP2833" s="77"/>
      <c r="AQ2833" s="77" t="s">
        <v>15830</v>
      </c>
      <c r="AR2833" s="77">
        <v>23475</v>
      </c>
      <c r="AS2833" s="77"/>
      <c r="AT2833" s="77"/>
      <c r="AU2833" s="77"/>
      <c r="AV2833" s="80" t="str">
        <f>HYPERLINK("https://pbs.twimg.com/ext_tw_video_thumb/1620071041723764743/pu/img/TxwDZlNUcvCAxDeW.jpg")</f>
        <v>https://pbs.twimg.com/ext_tw_video_thumb/1620071041723764743/pu/img/TxwDZlNUcvCAxDeW.jpg</v>
      </c>
      <c r="AW2833" s="82" t="s">
        <v>19599</v>
      </c>
      <c r="AX2833" s="82" t="s">
        <v>19599</v>
      </c>
      <c r="AY2833" s="77"/>
      <c r="AZ2833" s="82" t="s">
        <v>20971</v>
      </c>
      <c r="BA2833" s="82" t="s">
        <v>20971</v>
      </c>
      <c r="BB2833" s="82" t="s">
        <v>20971</v>
      </c>
      <c r="BC2833" s="82" t="s">
        <v>19599</v>
      </c>
      <c r="BD2833" s="77">
        <v>634133167</v>
      </c>
      <c r="BE2833" s="77"/>
      <c r="BF2833" s="77"/>
      <c r="BG2833" s="77"/>
      <c r="BH2833" s="77"/>
      <c r="BI2833" s="77"/>
    </row>
    <row r="2834" spans="1:61" x14ac:dyDescent="0.25">
      <c r="A2834" s="62" t="s">
        <v>949</v>
      </c>
      <c r="B2834" s="62" t="s">
        <v>949</v>
      </c>
      <c r="C2834" s="63"/>
      <c r="D2834" s="64"/>
      <c r="E2834" s="65"/>
      <c r="F2834" s="66"/>
      <c r="G2834" s="63"/>
      <c r="H2834" s="67"/>
      <c r="I2834" s="68"/>
      <c r="J2834" s="68"/>
      <c r="K2834" s="32"/>
      <c r="L2834" s="75">
        <v>2834</v>
      </c>
      <c r="M2834" s="75"/>
      <c r="N2834" s="70"/>
      <c r="O2834" s="77" t="s">
        <v>179</v>
      </c>
      <c r="P2834" s="79">
        <v>44957.520833333336</v>
      </c>
      <c r="Q2834" s="77" t="s">
        <v>4040</v>
      </c>
      <c r="R2834" s="77">
        <v>0</v>
      </c>
      <c r="S2834" s="77">
        <v>0</v>
      </c>
      <c r="T2834" s="77">
        <v>0</v>
      </c>
      <c r="U2834" s="77">
        <v>0</v>
      </c>
      <c r="V2834" s="77">
        <v>8</v>
      </c>
      <c r="W2834" s="82" t="s">
        <v>6355</v>
      </c>
      <c r="X2834" s="80" t="str">
        <f>HYPERLINK("https://go.ticto.com.br/t/bd1f298b")</f>
        <v>https://go.ticto.com.br/t/bd1f298b</v>
      </c>
      <c r="Y2834" s="77" t="s">
        <v>7252</v>
      </c>
      <c r="Z2834" s="77"/>
      <c r="AA2834" s="77" t="s">
        <v>9188</v>
      </c>
      <c r="AB2834" s="77" t="s">
        <v>10129</v>
      </c>
      <c r="AC2834" s="82" t="s">
        <v>10146</v>
      </c>
      <c r="AD2834" s="77" t="s">
        <v>10184</v>
      </c>
      <c r="AE2834" s="80" t="str">
        <f>HYPERLINK("https://twitter.com/eddie_poker/status/1620398995318181889")</f>
        <v>https://twitter.com/eddie_poker/status/1620398995318181889</v>
      </c>
      <c r="AF2834" s="79">
        <v>44957.520833333336</v>
      </c>
      <c r="AG2834" s="85">
        <v>44957</v>
      </c>
      <c r="AH2834" s="82" t="s">
        <v>10555</v>
      </c>
      <c r="AI2834" s="77" t="b">
        <v>0</v>
      </c>
      <c r="AJ2834" s="77"/>
      <c r="AK2834" s="77"/>
      <c r="AL2834" s="77"/>
      <c r="AM2834" s="77"/>
      <c r="AN2834" s="77"/>
      <c r="AO2834" s="77"/>
      <c r="AP2834" s="77"/>
      <c r="AQ2834" s="77" t="s">
        <v>15831</v>
      </c>
      <c r="AR2834" s="77">
        <v>23475</v>
      </c>
      <c r="AS2834" s="77"/>
      <c r="AT2834" s="77"/>
      <c r="AU2834" s="77"/>
      <c r="AV2834" s="80" t="str">
        <f>HYPERLINK("https://pbs.twimg.com/ext_tw_video_thumb/1620070696201207808/pu/img/YnBhezghtXEbYsly.jpg")</f>
        <v>https://pbs.twimg.com/ext_tw_video_thumb/1620070696201207808/pu/img/YnBhezghtXEbYsly.jpg</v>
      </c>
      <c r="AW2834" s="82" t="s">
        <v>19600</v>
      </c>
      <c r="AX2834" s="82" t="s">
        <v>19600</v>
      </c>
      <c r="AY2834" s="77"/>
      <c r="AZ2834" s="82" t="s">
        <v>20971</v>
      </c>
      <c r="BA2834" s="82" t="s">
        <v>20971</v>
      </c>
      <c r="BB2834" s="82" t="s">
        <v>20971</v>
      </c>
      <c r="BC2834" s="82" t="s">
        <v>19600</v>
      </c>
      <c r="BD2834" s="77">
        <v>634133167</v>
      </c>
      <c r="BE2834" s="77"/>
      <c r="BF2834" s="77"/>
      <c r="BG2834" s="77"/>
      <c r="BH2834" s="77"/>
      <c r="BI2834" s="77"/>
    </row>
    <row r="2835" spans="1:61" x14ac:dyDescent="0.25">
      <c r="A2835" s="62" t="s">
        <v>949</v>
      </c>
      <c r="B2835" s="62" t="s">
        <v>949</v>
      </c>
      <c r="C2835" s="63"/>
      <c r="D2835" s="64"/>
      <c r="E2835" s="65"/>
      <c r="F2835" s="66"/>
      <c r="G2835" s="63"/>
      <c r="H2835" s="67"/>
      <c r="I2835" s="68"/>
      <c r="J2835" s="68"/>
      <c r="K2835" s="32"/>
      <c r="L2835" s="75">
        <v>2835</v>
      </c>
      <c r="M2835" s="75"/>
      <c r="N2835" s="70"/>
      <c r="O2835" s="77" t="s">
        <v>179</v>
      </c>
      <c r="P2835" s="79">
        <v>44957.479513888888</v>
      </c>
      <c r="Q2835" s="77" t="s">
        <v>4041</v>
      </c>
      <c r="R2835" s="77">
        <v>0</v>
      </c>
      <c r="S2835" s="77">
        <v>0</v>
      </c>
      <c r="T2835" s="77">
        <v>0</v>
      </c>
      <c r="U2835" s="77">
        <v>0</v>
      </c>
      <c r="V2835" s="77">
        <v>13</v>
      </c>
      <c r="W2835" s="82" t="s">
        <v>6355</v>
      </c>
      <c r="X2835" s="80" t="str">
        <f>HYPERLINK("https://go.ticto.com.br/t/bd1f298b")</f>
        <v>https://go.ticto.com.br/t/bd1f298b</v>
      </c>
      <c r="Y2835" s="77" t="s">
        <v>7252</v>
      </c>
      <c r="Z2835" s="77"/>
      <c r="AA2835" s="77" t="s">
        <v>9189</v>
      </c>
      <c r="AB2835" s="77" t="s">
        <v>10129</v>
      </c>
      <c r="AC2835" s="82" t="s">
        <v>10146</v>
      </c>
      <c r="AD2835" s="77" t="s">
        <v>10184</v>
      </c>
      <c r="AE2835" s="80" t="str">
        <f>HYPERLINK("https://twitter.com/eddie_poker/status/1620384022231670784")</f>
        <v>https://twitter.com/eddie_poker/status/1620384022231670784</v>
      </c>
      <c r="AF2835" s="79">
        <v>44957.479513888888</v>
      </c>
      <c r="AG2835" s="85">
        <v>44957</v>
      </c>
      <c r="AH2835" s="82" t="s">
        <v>12888</v>
      </c>
      <c r="AI2835" s="77" t="b">
        <v>0</v>
      </c>
      <c r="AJ2835" s="77"/>
      <c r="AK2835" s="77"/>
      <c r="AL2835" s="77"/>
      <c r="AM2835" s="77"/>
      <c r="AN2835" s="77"/>
      <c r="AO2835" s="77"/>
      <c r="AP2835" s="77"/>
      <c r="AQ2835" s="77" t="s">
        <v>15832</v>
      </c>
      <c r="AR2835" s="77">
        <v>23475</v>
      </c>
      <c r="AS2835" s="77"/>
      <c r="AT2835" s="77"/>
      <c r="AU2835" s="77"/>
      <c r="AV2835" s="80" t="str">
        <f>HYPERLINK("https://pbs.twimg.com/ext_tw_video_thumb/1620070411412152322/pu/img/jkpC3nd-_julhf5c.jpg")</f>
        <v>https://pbs.twimg.com/ext_tw_video_thumb/1620070411412152322/pu/img/jkpC3nd-_julhf5c.jpg</v>
      </c>
      <c r="AW2835" s="82" t="s">
        <v>19601</v>
      </c>
      <c r="AX2835" s="82" t="s">
        <v>19601</v>
      </c>
      <c r="AY2835" s="77"/>
      <c r="AZ2835" s="82" t="s">
        <v>20971</v>
      </c>
      <c r="BA2835" s="82" t="s">
        <v>20971</v>
      </c>
      <c r="BB2835" s="82" t="s">
        <v>20971</v>
      </c>
      <c r="BC2835" s="82" t="s">
        <v>19601</v>
      </c>
      <c r="BD2835" s="77">
        <v>634133167</v>
      </c>
      <c r="BE2835" s="77"/>
      <c r="BF2835" s="77"/>
      <c r="BG2835" s="77"/>
      <c r="BH2835" s="77"/>
      <c r="BI2835" s="77"/>
    </row>
    <row r="2836" spans="1:61" x14ac:dyDescent="0.25">
      <c r="A2836" s="62" t="s">
        <v>949</v>
      </c>
      <c r="B2836" s="62" t="s">
        <v>949</v>
      </c>
      <c r="C2836" s="63"/>
      <c r="D2836" s="64"/>
      <c r="E2836" s="65"/>
      <c r="F2836" s="66"/>
      <c r="G2836" s="63"/>
      <c r="H2836" s="67"/>
      <c r="I2836" s="68"/>
      <c r="J2836" s="68"/>
      <c r="K2836" s="32"/>
      <c r="L2836" s="75">
        <v>2836</v>
      </c>
      <c r="M2836" s="75"/>
      <c r="N2836" s="70"/>
      <c r="O2836" s="77" t="s">
        <v>179</v>
      </c>
      <c r="P2836" s="79">
        <v>44957.4375</v>
      </c>
      <c r="Q2836" s="77" t="s">
        <v>4042</v>
      </c>
      <c r="R2836" s="77">
        <v>0</v>
      </c>
      <c r="S2836" s="77">
        <v>0</v>
      </c>
      <c r="T2836" s="77">
        <v>0</v>
      </c>
      <c r="U2836" s="77">
        <v>0</v>
      </c>
      <c r="V2836" s="77">
        <v>8</v>
      </c>
      <c r="W2836" s="82" t="s">
        <v>6355</v>
      </c>
      <c r="X2836" s="80" t="str">
        <f>HYPERLINK("https://go.ticto.com.br/t/bd1f298b")</f>
        <v>https://go.ticto.com.br/t/bd1f298b</v>
      </c>
      <c r="Y2836" s="77" t="s">
        <v>7252</v>
      </c>
      <c r="Z2836" s="77"/>
      <c r="AA2836" s="77" t="s">
        <v>9190</v>
      </c>
      <c r="AB2836" s="77" t="s">
        <v>10129</v>
      </c>
      <c r="AC2836" s="82" t="s">
        <v>10146</v>
      </c>
      <c r="AD2836" s="77" t="s">
        <v>10184</v>
      </c>
      <c r="AE2836" s="80" t="str">
        <f>HYPERLINK("https://twitter.com/eddie_poker/status/1620368794387447808")</f>
        <v>https://twitter.com/eddie_poker/status/1620368794387447808</v>
      </c>
      <c r="AF2836" s="79">
        <v>44957.4375</v>
      </c>
      <c r="AG2836" s="85">
        <v>44957</v>
      </c>
      <c r="AH2836" s="82" t="s">
        <v>12879</v>
      </c>
      <c r="AI2836" s="77" t="b">
        <v>0</v>
      </c>
      <c r="AJ2836" s="77"/>
      <c r="AK2836" s="77"/>
      <c r="AL2836" s="77"/>
      <c r="AM2836" s="77"/>
      <c r="AN2836" s="77"/>
      <c r="AO2836" s="77"/>
      <c r="AP2836" s="77"/>
      <c r="AQ2836" s="77" t="s">
        <v>15833</v>
      </c>
      <c r="AR2836" s="77">
        <v>23475</v>
      </c>
      <c r="AS2836" s="77"/>
      <c r="AT2836" s="77"/>
      <c r="AU2836" s="77"/>
      <c r="AV2836" s="80" t="str">
        <f>HYPERLINK("https://pbs.twimg.com/ext_tw_video_thumb/1620070248664731650/pu/img/WVLKgSd4UMcVb2Hs.jpg")</f>
        <v>https://pbs.twimg.com/ext_tw_video_thumb/1620070248664731650/pu/img/WVLKgSd4UMcVb2Hs.jpg</v>
      </c>
      <c r="AW2836" s="82" t="s">
        <v>19602</v>
      </c>
      <c r="AX2836" s="82" t="s">
        <v>19602</v>
      </c>
      <c r="AY2836" s="77"/>
      <c r="AZ2836" s="82" t="s">
        <v>20971</v>
      </c>
      <c r="BA2836" s="82" t="s">
        <v>20971</v>
      </c>
      <c r="BB2836" s="82" t="s">
        <v>20971</v>
      </c>
      <c r="BC2836" s="82" t="s">
        <v>19602</v>
      </c>
      <c r="BD2836" s="77">
        <v>634133167</v>
      </c>
      <c r="BE2836" s="77"/>
      <c r="BF2836" s="77"/>
      <c r="BG2836" s="77"/>
      <c r="BH2836" s="77"/>
      <c r="BI2836" s="77"/>
    </row>
    <row r="2837" spans="1:61" x14ac:dyDescent="0.25">
      <c r="A2837" s="62" t="s">
        <v>949</v>
      </c>
      <c r="B2837" s="62" t="s">
        <v>949</v>
      </c>
      <c r="C2837" s="63"/>
      <c r="D2837" s="64"/>
      <c r="E2837" s="65"/>
      <c r="F2837" s="66"/>
      <c r="G2837" s="63"/>
      <c r="H2837" s="67"/>
      <c r="I2837" s="68"/>
      <c r="J2837" s="68"/>
      <c r="K2837" s="32"/>
      <c r="L2837" s="75">
        <v>2837</v>
      </c>
      <c r="M2837" s="75"/>
      <c r="N2837" s="70"/>
      <c r="O2837" s="77" t="s">
        <v>179</v>
      </c>
      <c r="P2837" s="79">
        <v>44957.395833333336</v>
      </c>
      <c r="Q2837" s="77" t="s">
        <v>4043</v>
      </c>
      <c r="R2837" s="77">
        <v>0</v>
      </c>
      <c r="S2837" s="77">
        <v>0</v>
      </c>
      <c r="T2837" s="77">
        <v>0</v>
      </c>
      <c r="U2837" s="77">
        <v>0</v>
      </c>
      <c r="V2837" s="77">
        <v>17</v>
      </c>
      <c r="W2837" s="82" t="s">
        <v>6355</v>
      </c>
      <c r="X2837" s="80" t="str">
        <f>HYPERLINK("https://go.ticto.com.br/t/bd1f298b")</f>
        <v>https://go.ticto.com.br/t/bd1f298b</v>
      </c>
      <c r="Y2837" s="77" t="s">
        <v>7252</v>
      </c>
      <c r="Z2837" s="77"/>
      <c r="AA2837" s="77" t="s">
        <v>9191</v>
      </c>
      <c r="AB2837" s="77" t="s">
        <v>10129</v>
      </c>
      <c r="AC2837" s="82" t="s">
        <v>10146</v>
      </c>
      <c r="AD2837" s="77" t="s">
        <v>10184</v>
      </c>
      <c r="AE2837" s="80" t="str">
        <f>HYPERLINK("https://twitter.com/eddie_poker/status/1620353697157943296")</f>
        <v>https://twitter.com/eddie_poker/status/1620353697157943296</v>
      </c>
      <c r="AF2837" s="79">
        <v>44957.395833333336</v>
      </c>
      <c r="AG2837" s="85">
        <v>44957</v>
      </c>
      <c r="AH2837" s="82" t="s">
        <v>12880</v>
      </c>
      <c r="AI2837" s="77" t="b">
        <v>0</v>
      </c>
      <c r="AJ2837" s="77"/>
      <c r="AK2837" s="77"/>
      <c r="AL2837" s="77"/>
      <c r="AM2837" s="77"/>
      <c r="AN2837" s="77"/>
      <c r="AO2837" s="77"/>
      <c r="AP2837" s="77"/>
      <c r="AQ2837" s="77" t="s">
        <v>15834</v>
      </c>
      <c r="AR2837" s="77">
        <v>23475</v>
      </c>
      <c r="AS2837" s="77"/>
      <c r="AT2837" s="77"/>
      <c r="AU2837" s="77"/>
      <c r="AV2837" s="80" t="str">
        <f>HYPERLINK("https://pbs.twimg.com/ext_tw_video_thumb/1620070070331244550/pu/img/jAV_sSGV6Ic5N__l.jpg")</f>
        <v>https://pbs.twimg.com/ext_tw_video_thumb/1620070070331244550/pu/img/jAV_sSGV6Ic5N__l.jpg</v>
      </c>
      <c r="AW2837" s="82" t="s">
        <v>19603</v>
      </c>
      <c r="AX2837" s="82" t="s">
        <v>19603</v>
      </c>
      <c r="AY2837" s="77"/>
      <c r="AZ2837" s="82" t="s">
        <v>20971</v>
      </c>
      <c r="BA2837" s="82" t="s">
        <v>20971</v>
      </c>
      <c r="BB2837" s="82" t="s">
        <v>20971</v>
      </c>
      <c r="BC2837" s="82" t="s">
        <v>19603</v>
      </c>
      <c r="BD2837" s="77">
        <v>634133167</v>
      </c>
      <c r="BE2837" s="77"/>
      <c r="BF2837" s="77"/>
      <c r="BG2837" s="77"/>
      <c r="BH2837" s="77"/>
      <c r="BI2837" s="77"/>
    </row>
    <row r="2838" spans="1:61" x14ac:dyDescent="0.25">
      <c r="A2838" s="62" t="s">
        <v>949</v>
      </c>
      <c r="B2838" s="62" t="s">
        <v>949</v>
      </c>
      <c r="C2838" s="63"/>
      <c r="D2838" s="64"/>
      <c r="E2838" s="65"/>
      <c r="F2838" s="66"/>
      <c r="G2838" s="63"/>
      <c r="H2838" s="67"/>
      <c r="I2838" s="68"/>
      <c r="J2838" s="68"/>
      <c r="K2838" s="32"/>
      <c r="L2838" s="75">
        <v>2838</v>
      </c>
      <c r="M2838" s="75"/>
      <c r="N2838" s="70"/>
      <c r="O2838" s="77" t="s">
        <v>179</v>
      </c>
      <c r="P2838" s="79">
        <v>44957.146180555559</v>
      </c>
      <c r="Q2838" s="77" t="s">
        <v>4044</v>
      </c>
      <c r="R2838" s="77">
        <v>0</v>
      </c>
      <c r="S2838" s="77">
        <v>0</v>
      </c>
      <c r="T2838" s="77">
        <v>0</v>
      </c>
      <c r="U2838" s="77">
        <v>0</v>
      </c>
      <c r="V2838" s="77">
        <v>27</v>
      </c>
      <c r="W2838" s="82" t="s">
        <v>6355</v>
      </c>
      <c r="X2838" s="80" t="str">
        <f>HYPERLINK("https://go.ticto.com.br/t/bd1f298b")</f>
        <v>https://go.ticto.com.br/t/bd1f298b</v>
      </c>
      <c r="Y2838" s="77" t="s">
        <v>7252</v>
      </c>
      <c r="Z2838" s="77"/>
      <c r="AA2838" s="77" t="s">
        <v>9192</v>
      </c>
      <c r="AB2838" s="77" t="s">
        <v>10129</v>
      </c>
      <c r="AC2838" s="82" t="s">
        <v>10146</v>
      </c>
      <c r="AD2838" s="77" t="s">
        <v>10184</v>
      </c>
      <c r="AE2838" s="80" t="str">
        <f>HYPERLINK("https://twitter.com/eddie_poker/status/1620263224393310210")</f>
        <v>https://twitter.com/eddie_poker/status/1620263224393310210</v>
      </c>
      <c r="AF2838" s="79">
        <v>44957.146180555559</v>
      </c>
      <c r="AG2838" s="85">
        <v>44957</v>
      </c>
      <c r="AH2838" s="82" t="s">
        <v>12889</v>
      </c>
      <c r="AI2838" s="77" t="b">
        <v>0</v>
      </c>
      <c r="AJ2838" s="77"/>
      <c r="AK2838" s="77"/>
      <c r="AL2838" s="77"/>
      <c r="AM2838" s="77"/>
      <c r="AN2838" s="77"/>
      <c r="AO2838" s="77"/>
      <c r="AP2838" s="77"/>
      <c r="AQ2838" s="77" t="s">
        <v>15835</v>
      </c>
      <c r="AR2838" s="77">
        <v>23475</v>
      </c>
      <c r="AS2838" s="77"/>
      <c r="AT2838" s="77"/>
      <c r="AU2838" s="77"/>
      <c r="AV2838" s="80" t="str">
        <f>HYPERLINK("https://pbs.twimg.com/ext_tw_video_thumb/1620076115451678721/pu/img/VwB-flYXnnB2-sNA.jpg")</f>
        <v>https://pbs.twimg.com/ext_tw_video_thumb/1620076115451678721/pu/img/VwB-flYXnnB2-sNA.jpg</v>
      </c>
      <c r="AW2838" s="82" t="s">
        <v>19604</v>
      </c>
      <c r="AX2838" s="82" t="s">
        <v>19604</v>
      </c>
      <c r="AY2838" s="77"/>
      <c r="AZ2838" s="82" t="s">
        <v>20971</v>
      </c>
      <c r="BA2838" s="82" t="s">
        <v>20971</v>
      </c>
      <c r="BB2838" s="82" t="s">
        <v>20971</v>
      </c>
      <c r="BC2838" s="82" t="s">
        <v>19604</v>
      </c>
      <c r="BD2838" s="77">
        <v>634133167</v>
      </c>
      <c r="BE2838" s="77"/>
      <c r="BF2838" s="77"/>
      <c r="BG2838" s="77"/>
      <c r="BH2838" s="77"/>
      <c r="BI2838" s="77"/>
    </row>
    <row r="2839" spans="1:61" x14ac:dyDescent="0.25">
      <c r="A2839" s="62" t="s">
        <v>949</v>
      </c>
      <c r="B2839" s="62" t="s">
        <v>949</v>
      </c>
      <c r="C2839" s="63"/>
      <c r="D2839" s="64"/>
      <c r="E2839" s="65"/>
      <c r="F2839" s="66"/>
      <c r="G2839" s="63"/>
      <c r="H2839" s="67"/>
      <c r="I2839" s="68"/>
      <c r="J2839" s="68"/>
      <c r="K2839" s="32"/>
      <c r="L2839" s="75">
        <v>2839</v>
      </c>
      <c r="M2839" s="75"/>
      <c r="N2839" s="70"/>
      <c r="O2839" s="77" t="s">
        <v>179</v>
      </c>
      <c r="P2839" s="79">
        <v>44977.104166666664</v>
      </c>
      <c r="Q2839" s="77" t="s">
        <v>4045</v>
      </c>
      <c r="R2839" s="77">
        <v>0</v>
      </c>
      <c r="S2839" s="77">
        <v>0</v>
      </c>
      <c r="T2839" s="77">
        <v>0</v>
      </c>
      <c r="U2839" s="77">
        <v>0</v>
      </c>
      <c r="V2839" s="77">
        <v>205</v>
      </c>
      <c r="W2839" s="82" t="s">
        <v>6615</v>
      </c>
      <c r="X2839" s="80" t="str">
        <f>HYPERLINK("https://go.ticto.com.br/t/bd1f298b")</f>
        <v>https://go.ticto.com.br/t/bd1f298b</v>
      </c>
      <c r="Y2839" s="77" t="s">
        <v>7252</v>
      </c>
      <c r="Z2839" s="77"/>
      <c r="AA2839" s="77" t="s">
        <v>9193</v>
      </c>
      <c r="AB2839" s="77" t="s">
        <v>10129</v>
      </c>
      <c r="AC2839" s="82" t="s">
        <v>10146</v>
      </c>
      <c r="AD2839" s="77" t="s">
        <v>10184</v>
      </c>
      <c r="AE2839" s="80" t="str">
        <f>HYPERLINK("https://twitter.com/eddie_poker/status/1627495755689730048")</f>
        <v>https://twitter.com/eddie_poker/status/1627495755689730048</v>
      </c>
      <c r="AF2839" s="79">
        <v>44977.104166666664</v>
      </c>
      <c r="AG2839" s="85">
        <v>44977</v>
      </c>
      <c r="AH2839" s="82" t="s">
        <v>12866</v>
      </c>
      <c r="AI2839" s="77" t="b">
        <v>0</v>
      </c>
      <c r="AJ2839" s="77"/>
      <c r="AK2839" s="77"/>
      <c r="AL2839" s="77"/>
      <c r="AM2839" s="77"/>
      <c r="AN2839" s="77"/>
      <c r="AO2839" s="77"/>
      <c r="AP2839" s="77"/>
      <c r="AQ2839" s="77" t="s">
        <v>15836</v>
      </c>
      <c r="AR2839" s="77">
        <v>29559</v>
      </c>
      <c r="AS2839" s="77"/>
      <c r="AT2839" s="77"/>
      <c r="AU2839" s="77"/>
      <c r="AV2839" s="80" t="str">
        <f>HYPERLINK("https://pbs.twimg.com/ext_tw_video_thumb/1627084714204098560/pu/img/u3-QlAPxkS58M411.jpg")</f>
        <v>https://pbs.twimg.com/ext_tw_video_thumb/1627084714204098560/pu/img/u3-QlAPxkS58M411.jpg</v>
      </c>
      <c r="AW2839" s="82" t="s">
        <v>19605</v>
      </c>
      <c r="AX2839" s="82" t="s">
        <v>19605</v>
      </c>
      <c r="AY2839" s="77"/>
      <c r="AZ2839" s="82" t="s">
        <v>20971</v>
      </c>
      <c r="BA2839" s="82" t="s">
        <v>20971</v>
      </c>
      <c r="BB2839" s="82" t="s">
        <v>20971</v>
      </c>
      <c r="BC2839" s="82" t="s">
        <v>19605</v>
      </c>
      <c r="BD2839" s="77">
        <v>634133167</v>
      </c>
      <c r="BE2839" s="77"/>
      <c r="BF2839" s="77"/>
      <c r="BG2839" s="77"/>
      <c r="BH2839" s="77"/>
      <c r="BI2839" s="77"/>
    </row>
    <row r="2840" spans="1:61" x14ac:dyDescent="0.25">
      <c r="A2840" s="62" t="s">
        <v>949</v>
      </c>
      <c r="B2840" s="62" t="s">
        <v>949</v>
      </c>
      <c r="C2840" s="63"/>
      <c r="D2840" s="64"/>
      <c r="E2840" s="65"/>
      <c r="F2840" s="66"/>
      <c r="G2840" s="63"/>
      <c r="H2840" s="67"/>
      <c r="I2840" s="68"/>
      <c r="J2840" s="68"/>
      <c r="K2840" s="32"/>
      <c r="L2840" s="75">
        <v>2840</v>
      </c>
      <c r="M2840" s="75"/>
      <c r="N2840" s="70"/>
      <c r="O2840" s="77" t="s">
        <v>179</v>
      </c>
      <c r="P2840" s="79">
        <v>44977.0625</v>
      </c>
      <c r="Q2840" s="77" t="s">
        <v>4046</v>
      </c>
      <c r="R2840" s="77">
        <v>0</v>
      </c>
      <c r="S2840" s="77">
        <v>0</v>
      </c>
      <c r="T2840" s="77">
        <v>0</v>
      </c>
      <c r="U2840" s="77">
        <v>0</v>
      </c>
      <c r="V2840" s="77">
        <v>141</v>
      </c>
      <c r="W2840" s="82" t="s">
        <v>6615</v>
      </c>
      <c r="X2840" s="80" t="str">
        <f>HYPERLINK("https://go.ticto.com.br/t/bd1f298b")</f>
        <v>https://go.ticto.com.br/t/bd1f298b</v>
      </c>
      <c r="Y2840" s="77" t="s">
        <v>7252</v>
      </c>
      <c r="Z2840" s="77"/>
      <c r="AA2840" s="77" t="s">
        <v>9194</v>
      </c>
      <c r="AB2840" s="77" t="s">
        <v>10129</v>
      </c>
      <c r="AC2840" s="82" t="s">
        <v>10146</v>
      </c>
      <c r="AD2840" s="77" t="s">
        <v>10184</v>
      </c>
      <c r="AE2840" s="80" t="str">
        <f>HYPERLINK("https://twitter.com/eddie_poker/status/1627480657520631809")</f>
        <v>https://twitter.com/eddie_poker/status/1627480657520631809</v>
      </c>
      <c r="AF2840" s="79">
        <v>44977.0625</v>
      </c>
      <c r="AG2840" s="85">
        <v>44977</v>
      </c>
      <c r="AH2840" s="82" t="s">
        <v>12867</v>
      </c>
      <c r="AI2840" s="77" t="b">
        <v>0</v>
      </c>
      <c r="AJ2840" s="77"/>
      <c r="AK2840" s="77"/>
      <c r="AL2840" s="77"/>
      <c r="AM2840" s="77"/>
      <c r="AN2840" s="77"/>
      <c r="AO2840" s="77"/>
      <c r="AP2840" s="77"/>
      <c r="AQ2840" s="77" t="s">
        <v>15837</v>
      </c>
      <c r="AR2840" s="77">
        <v>29559</v>
      </c>
      <c r="AS2840" s="77"/>
      <c r="AT2840" s="77"/>
      <c r="AU2840" s="77"/>
      <c r="AV2840" s="80" t="str">
        <f>HYPERLINK("https://pbs.twimg.com/ext_tw_video_thumb/1627084477746003968/pu/img/KJEGzj4qPgxGilWj.jpg")</f>
        <v>https://pbs.twimg.com/ext_tw_video_thumb/1627084477746003968/pu/img/KJEGzj4qPgxGilWj.jpg</v>
      </c>
      <c r="AW2840" s="82" t="s">
        <v>19606</v>
      </c>
      <c r="AX2840" s="82" t="s">
        <v>19606</v>
      </c>
      <c r="AY2840" s="77"/>
      <c r="AZ2840" s="82" t="s">
        <v>20971</v>
      </c>
      <c r="BA2840" s="82" t="s">
        <v>20971</v>
      </c>
      <c r="BB2840" s="82" t="s">
        <v>20971</v>
      </c>
      <c r="BC2840" s="82" t="s">
        <v>19606</v>
      </c>
      <c r="BD2840" s="77">
        <v>634133167</v>
      </c>
      <c r="BE2840" s="77"/>
      <c r="BF2840" s="77"/>
      <c r="BG2840" s="77"/>
      <c r="BH2840" s="77"/>
      <c r="BI2840" s="77"/>
    </row>
    <row r="2841" spans="1:61" x14ac:dyDescent="0.25">
      <c r="A2841" s="62" t="s">
        <v>949</v>
      </c>
      <c r="B2841" s="62" t="s">
        <v>949</v>
      </c>
      <c r="C2841" s="63"/>
      <c r="D2841" s="64"/>
      <c r="E2841" s="65"/>
      <c r="F2841" s="66"/>
      <c r="G2841" s="63"/>
      <c r="H2841" s="67"/>
      <c r="I2841" s="68"/>
      <c r="J2841" s="68"/>
      <c r="K2841" s="32"/>
      <c r="L2841" s="75">
        <v>2841</v>
      </c>
      <c r="M2841" s="75"/>
      <c r="N2841" s="70"/>
      <c r="O2841" s="77" t="s">
        <v>179</v>
      </c>
      <c r="P2841" s="79">
        <v>44977.020833333336</v>
      </c>
      <c r="Q2841" s="77" t="s">
        <v>4047</v>
      </c>
      <c r="R2841" s="77">
        <v>0</v>
      </c>
      <c r="S2841" s="77">
        <v>0</v>
      </c>
      <c r="T2841" s="77">
        <v>0</v>
      </c>
      <c r="U2841" s="77">
        <v>0</v>
      </c>
      <c r="V2841" s="77">
        <v>176</v>
      </c>
      <c r="W2841" s="82" t="s">
        <v>6615</v>
      </c>
      <c r="X2841" s="80" t="str">
        <f>HYPERLINK("https://go.ticto.com.br/t/bd1f298b")</f>
        <v>https://go.ticto.com.br/t/bd1f298b</v>
      </c>
      <c r="Y2841" s="77" t="s">
        <v>7252</v>
      </c>
      <c r="Z2841" s="77"/>
      <c r="AA2841" s="77" t="s">
        <v>9195</v>
      </c>
      <c r="AB2841" s="77" t="s">
        <v>10129</v>
      </c>
      <c r="AC2841" s="82" t="s">
        <v>10146</v>
      </c>
      <c r="AD2841" s="77" t="s">
        <v>10184</v>
      </c>
      <c r="AE2841" s="80" t="str">
        <f>HYPERLINK("https://twitter.com/eddie_poker/status/1627465556856127489")</f>
        <v>https://twitter.com/eddie_poker/status/1627465556856127489</v>
      </c>
      <c r="AF2841" s="79">
        <v>44977.020833333336</v>
      </c>
      <c r="AG2841" s="85">
        <v>44977</v>
      </c>
      <c r="AH2841" s="82" t="s">
        <v>12868</v>
      </c>
      <c r="AI2841" s="77" t="b">
        <v>0</v>
      </c>
      <c r="AJ2841" s="77"/>
      <c r="AK2841" s="77"/>
      <c r="AL2841" s="77"/>
      <c r="AM2841" s="77"/>
      <c r="AN2841" s="77"/>
      <c r="AO2841" s="77"/>
      <c r="AP2841" s="77"/>
      <c r="AQ2841" s="77" t="s">
        <v>15838</v>
      </c>
      <c r="AR2841" s="77">
        <v>29559</v>
      </c>
      <c r="AS2841" s="77"/>
      <c r="AT2841" s="77"/>
      <c r="AU2841" s="77"/>
      <c r="AV2841" s="80" t="str">
        <f>HYPERLINK("https://pbs.twimg.com/ext_tw_video_thumb/1627084218575765506/pu/img/N0kwLjC6tMk-ys29.jpg")</f>
        <v>https://pbs.twimg.com/ext_tw_video_thumb/1627084218575765506/pu/img/N0kwLjC6tMk-ys29.jpg</v>
      </c>
      <c r="AW2841" s="82" t="s">
        <v>19607</v>
      </c>
      <c r="AX2841" s="82" t="s">
        <v>19607</v>
      </c>
      <c r="AY2841" s="77"/>
      <c r="AZ2841" s="82" t="s">
        <v>20971</v>
      </c>
      <c r="BA2841" s="82" t="s">
        <v>20971</v>
      </c>
      <c r="BB2841" s="82" t="s">
        <v>20971</v>
      </c>
      <c r="BC2841" s="82" t="s">
        <v>19607</v>
      </c>
      <c r="BD2841" s="77">
        <v>634133167</v>
      </c>
      <c r="BE2841" s="77"/>
      <c r="BF2841" s="77"/>
      <c r="BG2841" s="77"/>
      <c r="BH2841" s="77"/>
      <c r="BI2841" s="77"/>
    </row>
    <row r="2842" spans="1:61" x14ac:dyDescent="0.25">
      <c r="A2842" s="62" t="s">
        <v>949</v>
      </c>
      <c r="B2842" s="62" t="s">
        <v>949</v>
      </c>
      <c r="C2842" s="63"/>
      <c r="D2842" s="64"/>
      <c r="E2842" s="65"/>
      <c r="F2842" s="66"/>
      <c r="G2842" s="63"/>
      <c r="H2842" s="67"/>
      <c r="I2842" s="68"/>
      <c r="J2842" s="68"/>
      <c r="K2842" s="32"/>
      <c r="L2842" s="75">
        <v>2842</v>
      </c>
      <c r="M2842" s="75"/>
      <c r="N2842" s="70"/>
      <c r="O2842" s="77" t="s">
        <v>179</v>
      </c>
      <c r="P2842" s="79">
        <v>44976.979166666664</v>
      </c>
      <c r="Q2842" s="77" t="s">
        <v>4048</v>
      </c>
      <c r="R2842" s="77">
        <v>0</v>
      </c>
      <c r="S2842" s="77">
        <v>0</v>
      </c>
      <c r="T2842" s="77">
        <v>0</v>
      </c>
      <c r="U2842" s="77">
        <v>0</v>
      </c>
      <c r="V2842" s="77">
        <v>252</v>
      </c>
      <c r="W2842" s="82" t="s">
        <v>6615</v>
      </c>
      <c r="X2842" s="80" t="str">
        <f>HYPERLINK("https://go.ticto.com.br/t/bd1f298b")</f>
        <v>https://go.ticto.com.br/t/bd1f298b</v>
      </c>
      <c r="Y2842" s="77" t="s">
        <v>7252</v>
      </c>
      <c r="Z2842" s="77"/>
      <c r="AA2842" s="77" t="s">
        <v>9196</v>
      </c>
      <c r="AB2842" s="77" t="s">
        <v>10129</v>
      </c>
      <c r="AC2842" s="82" t="s">
        <v>10146</v>
      </c>
      <c r="AD2842" s="77" t="s">
        <v>10184</v>
      </c>
      <c r="AE2842" s="80" t="str">
        <f>HYPERLINK("https://twitter.com/eddie_poker/status/1627450457953292289")</f>
        <v>https://twitter.com/eddie_poker/status/1627450457953292289</v>
      </c>
      <c r="AF2842" s="79">
        <v>44976.979166666664</v>
      </c>
      <c r="AG2842" s="85">
        <v>44976</v>
      </c>
      <c r="AH2842" s="82" t="s">
        <v>11325</v>
      </c>
      <c r="AI2842" s="77" t="b">
        <v>0</v>
      </c>
      <c r="AJ2842" s="77"/>
      <c r="AK2842" s="77"/>
      <c r="AL2842" s="77"/>
      <c r="AM2842" s="77"/>
      <c r="AN2842" s="77"/>
      <c r="AO2842" s="77"/>
      <c r="AP2842" s="77"/>
      <c r="AQ2842" s="77" t="s">
        <v>15839</v>
      </c>
      <c r="AR2842" s="77">
        <v>29559</v>
      </c>
      <c r="AS2842" s="77"/>
      <c r="AT2842" s="77"/>
      <c r="AU2842" s="77"/>
      <c r="AV2842" s="80" t="str">
        <f>HYPERLINK("https://pbs.twimg.com/ext_tw_video_thumb/1627083876995846144/pu/img/7HYlxWfqmH8ySMUI.jpg")</f>
        <v>https://pbs.twimg.com/ext_tw_video_thumb/1627083876995846144/pu/img/7HYlxWfqmH8ySMUI.jpg</v>
      </c>
      <c r="AW2842" s="82" t="s">
        <v>19608</v>
      </c>
      <c r="AX2842" s="82" t="s">
        <v>19608</v>
      </c>
      <c r="AY2842" s="77"/>
      <c r="AZ2842" s="82" t="s">
        <v>20971</v>
      </c>
      <c r="BA2842" s="82" t="s">
        <v>20971</v>
      </c>
      <c r="BB2842" s="82" t="s">
        <v>20971</v>
      </c>
      <c r="BC2842" s="82" t="s">
        <v>19608</v>
      </c>
      <c r="BD2842" s="77">
        <v>634133167</v>
      </c>
      <c r="BE2842" s="77"/>
      <c r="BF2842" s="77"/>
      <c r="BG2842" s="77"/>
      <c r="BH2842" s="77"/>
      <c r="BI2842" s="77"/>
    </row>
    <row r="2843" spans="1:61" x14ac:dyDescent="0.25">
      <c r="A2843" s="62" t="s">
        <v>949</v>
      </c>
      <c r="B2843" s="62" t="s">
        <v>949</v>
      </c>
      <c r="C2843" s="63"/>
      <c r="D2843" s="64"/>
      <c r="E2843" s="65"/>
      <c r="F2843" s="66"/>
      <c r="G2843" s="63"/>
      <c r="H2843" s="67"/>
      <c r="I2843" s="68"/>
      <c r="J2843" s="68"/>
      <c r="K2843" s="32"/>
      <c r="L2843" s="75">
        <v>2843</v>
      </c>
      <c r="M2843" s="75"/>
      <c r="N2843" s="70"/>
      <c r="O2843" s="77" t="s">
        <v>179</v>
      </c>
      <c r="P2843" s="79">
        <v>44976.9375</v>
      </c>
      <c r="Q2843" s="77" t="s">
        <v>4049</v>
      </c>
      <c r="R2843" s="77">
        <v>0</v>
      </c>
      <c r="S2843" s="77">
        <v>1</v>
      </c>
      <c r="T2843" s="77">
        <v>0</v>
      </c>
      <c r="U2843" s="77">
        <v>0</v>
      </c>
      <c r="V2843" s="77">
        <v>286</v>
      </c>
      <c r="W2843" s="82" t="s">
        <v>6615</v>
      </c>
      <c r="X2843" s="80" t="str">
        <f>HYPERLINK("https://go.ticto.com.br/t/bd1f298b")</f>
        <v>https://go.ticto.com.br/t/bd1f298b</v>
      </c>
      <c r="Y2843" s="77" t="s">
        <v>7252</v>
      </c>
      <c r="Z2843" s="77"/>
      <c r="AA2843" s="77" t="s">
        <v>9197</v>
      </c>
      <c r="AB2843" s="77" t="s">
        <v>10129</v>
      </c>
      <c r="AC2843" s="82" t="s">
        <v>10146</v>
      </c>
      <c r="AD2843" s="77" t="s">
        <v>10184</v>
      </c>
      <c r="AE2843" s="80" t="str">
        <f>HYPERLINK("https://twitter.com/eddie_poker/status/1627435359280971776")</f>
        <v>https://twitter.com/eddie_poker/status/1627435359280971776</v>
      </c>
      <c r="AF2843" s="79">
        <v>44976.9375</v>
      </c>
      <c r="AG2843" s="85">
        <v>44976</v>
      </c>
      <c r="AH2843" s="82" t="s">
        <v>12869</v>
      </c>
      <c r="AI2843" s="77" t="b">
        <v>0</v>
      </c>
      <c r="AJ2843" s="77"/>
      <c r="AK2843" s="77"/>
      <c r="AL2843" s="77"/>
      <c r="AM2843" s="77"/>
      <c r="AN2843" s="77"/>
      <c r="AO2843" s="77"/>
      <c r="AP2843" s="77"/>
      <c r="AQ2843" s="77" t="s">
        <v>15840</v>
      </c>
      <c r="AR2843" s="77">
        <v>29559</v>
      </c>
      <c r="AS2843" s="77"/>
      <c r="AT2843" s="77"/>
      <c r="AU2843" s="77"/>
      <c r="AV2843" s="80" t="str">
        <f>HYPERLINK("https://pbs.twimg.com/ext_tw_video_thumb/1627083464448303109/pu/img/5FfsO7nYGA4PYkM2.jpg")</f>
        <v>https://pbs.twimg.com/ext_tw_video_thumb/1627083464448303109/pu/img/5FfsO7nYGA4PYkM2.jpg</v>
      </c>
      <c r="AW2843" s="82" t="s">
        <v>19609</v>
      </c>
      <c r="AX2843" s="82" t="s">
        <v>19609</v>
      </c>
      <c r="AY2843" s="77"/>
      <c r="AZ2843" s="82" t="s">
        <v>20971</v>
      </c>
      <c r="BA2843" s="82" t="s">
        <v>20971</v>
      </c>
      <c r="BB2843" s="82" t="s">
        <v>20971</v>
      </c>
      <c r="BC2843" s="82" t="s">
        <v>19609</v>
      </c>
      <c r="BD2843" s="77">
        <v>634133167</v>
      </c>
      <c r="BE2843" s="77"/>
      <c r="BF2843" s="77"/>
      <c r="BG2843" s="77"/>
      <c r="BH2843" s="77"/>
      <c r="BI2843" s="77"/>
    </row>
    <row r="2844" spans="1:61" x14ac:dyDescent="0.25">
      <c r="A2844" s="62" t="s">
        <v>949</v>
      </c>
      <c r="B2844" s="62" t="s">
        <v>949</v>
      </c>
      <c r="C2844" s="63"/>
      <c r="D2844" s="64"/>
      <c r="E2844" s="65"/>
      <c r="F2844" s="66"/>
      <c r="G2844" s="63"/>
      <c r="H2844" s="67"/>
      <c r="I2844" s="68"/>
      <c r="J2844" s="68"/>
      <c r="K2844" s="32"/>
      <c r="L2844" s="75">
        <v>2844</v>
      </c>
      <c r="M2844" s="75"/>
      <c r="N2844" s="70"/>
      <c r="O2844" s="77" t="s">
        <v>179</v>
      </c>
      <c r="P2844" s="79">
        <v>44976.895833333336</v>
      </c>
      <c r="Q2844" s="77" t="s">
        <v>4050</v>
      </c>
      <c r="R2844" s="77">
        <v>0</v>
      </c>
      <c r="S2844" s="77">
        <v>0</v>
      </c>
      <c r="T2844" s="77">
        <v>0</v>
      </c>
      <c r="U2844" s="77">
        <v>0</v>
      </c>
      <c r="V2844" s="77">
        <v>291</v>
      </c>
      <c r="W2844" s="82" t="s">
        <v>6615</v>
      </c>
      <c r="X2844" s="80" t="str">
        <f>HYPERLINK("https://go.ticto.com.br/t/bd1f298b")</f>
        <v>https://go.ticto.com.br/t/bd1f298b</v>
      </c>
      <c r="Y2844" s="77" t="s">
        <v>7252</v>
      </c>
      <c r="Z2844" s="77"/>
      <c r="AA2844" s="77" t="s">
        <v>9198</v>
      </c>
      <c r="AB2844" s="77" t="s">
        <v>10129</v>
      </c>
      <c r="AC2844" s="82" t="s">
        <v>10146</v>
      </c>
      <c r="AD2844" s="77" t="s">
        <v>10184</v>
      </c>
      <c r="AE2844" s="80" t="str">
        <f>HYPERLINK("https://twitter.com/eddie_poker/status/1627420257903341568")</f>
        <v>https://twitter.com/eddie_poker/status/1627420257903341568</v>
      </c>
      <c r="AF2844" s="79">
        <v>44976.895833333336</v>
      </c>
      <c r="AG2844" s="85">
        <v>44976</v>
      </c>
      <c r="AH2844" s="82" t="s">
        <v>12870</v>
      </c>
      <c r="AI2844" s="77" t="b">
        <v>0</v>
      </c>
      <c r="AJ2844" s="77"/>
      <c r="AK2844" s="77"/>
      <c r="AL2844" s="77"/>
      <c r="AM2844" s="77"/>
      <c r="AN2844" s="77"/>
      <c r="AO2844" s="77"/>
      <c r="AP2844" s="77"/>
      <c r="AQ2844" s="77" t="s">
        <v>15841</v>
      </c>
      <c r="AR2844" s="77">
        <v>29559</v>
      </c>
      <c r="AS2844" s="77"/>
      <c r="AT2844" s="77"/>
      <c r="AU2844" s="77"/>
      <c r="AV2844" s="80" t="str">
        <f>HYPERLINK("https://pbs.twimg.com/ext_tw_video_thumb/1627083193894703112/pu/img/ka04anpW_aAjRsrN.jpg")</f>
        <v>https://pbs.twimg.com/ext_tw_video_thumb/1627083193894703112/pu/img/ka04anpW_aAjRsrN.jpg</v>
      </c>
      <c r="AW2844" s="82" t="s">
        <v>19610</v>
      </c>
      <c r="AX2844" s="82" t="s">
        <v>19610</v>
      </c>
      <c r="AY2844" s="77"/>
      <c r="AZ2844" s="82" t="s">
        <v>20971</v>
      </c>
      <c r="BA2844" s="82" t="s">
        <v>20971</v>
      </c>
      <c r="BB2844" s="82" t="s">
        <v>20971</v>
      </c>
      <c r="BC2844" s="82" t="s">
        <v>19610</v>
      </c>
      <c r="BD2844" s="77">
        <v>634133167</v>
      </c>
      <c r="BE2844" s="77"/>
      <c r="BF2844" s="77"/>
      <c r="BG2844" s="77"/>
      <c r="BH2844" s="77"/>
      <c r="BI2844" s="77"/>
    </row>
    <row r="2845" spans="1:61" x14ac:dyDescent="0.25">
      <c r="A2845" s="62" t="s">
        <v>949</v>
      </c>
      <c r="B2845" s="62" t="s">
        <v>949</v>
      </c>
      <c r="C2845" s="63"/>
      <c r="D2845" s="64"/>
      <c r="E2845" s="65"/>
      <c r="F2845" s="66"/>
      <c r="G2845" s="63"/>
      <c r="H2845" s="67"/>
      <c r="I2845" s="68"/>
      <c r="J2845" s="68"/>
      <c r="K2845" s="32"/>
      <c r="L2845" s="75">
        <v>2845</v>
      </c>
      <c r="M2845" s="75"/>
      <c r="N2845" s="70"/>
      <c r="O2845" s="77" t="s">
        <v>179</v>
      </c>
      <c r="P2845" s="79">
        <v>44976.854166666664</v>
      </c>
      <c r="Q2845" s="77" t="s">
        <v>4051</v>
      </c>
      <c r="R2845" s="77">
        <v>0</v>
      </c>
      <c r="S2845" s="77">
        <v>0</v>
      </c>
      <c r="T2845" s="77">
        <v>0</v>
      </c>
      <c r="U2845" s="77">
        <v>0</v>
      </c>
      <c r="V2845" s="77">
        <v>400</v>
      </c>
      <c r="W2845" s="82" t="s">
        <v>6615</v>
      </c>
      <c r="X2845" s="80" t="str">
        <f>HYPERLINK("https://go.ticto.com.br/t/bd1f298b")</f>
        <v>https://go.ticto.com.br/t/bd1f298b</v>
      </c>
      <c r="Y2845" s="77" t="s">
        <v>7252</v>
      </c>
      <c r="Z2845" s="77"/>
      <c r="AA2845" s="77" t="s">
        <v>9199</v>
      </c>
      <c r="AB2845" s="77" t="s">
        <v>10129</v>
      </c>
      <c r="AC2845" s="82" t="s">
        <v>10146</v>
      </c>
      <c r="AD2845" s="77" t="s">
        <v>10184</v>
      </c>
      <c r="AE2845" s="80" t="str">
        <f>HYPERLINK("https://twitter.com/eddie_poker/status/1627405158719291392")</f>
        <v>https://twitter.com/eddie_poker/status/1627405158719291392</v>
      </c>
      <c r="AF2845" s="79">
        <v>44976.854166666664</v>
      </c>
      <c r="AG2845" s="85">
        <v>44976</v>
      </c>
      <c r="AH2845" s="82" t="s">
        <v>12871</v>
      </c>
      <c r="AI2845" s="77" t="b">
        <v>0</v>
      </c>
      <c r="AJ2845" s="77"/>
      <c r="AK2845" s="77"/>
      <c r="AL2845" s="77"/>
      <c r="AM2845" s="77"/>
      <c r="AN2845" s="77"/>
      <c r="AO2845" s="77"/>
      <c r="AP2845" s="77"/>
      <c r="AQ2845" s="77" t="s">
        <v>15842</v>
      </c>
      <c r="AR2845" s="77">
        <v>29559</v>
      </c>
      <c r="AS2845" s="77"/>
      <c r="AT2845" s="77"/>
      <c r="AU2845" s="77"/>
      <c r="AV2845" s="80" t="str">
        <f>HYPERLINK("https://pbs.twimg.com/ext_tw_video_thumb/1627082957801545734/pu/img/_CMFua9E-Rpp3mJ4.jpg")</f>
        <v>https://pbs.twimg.com/ext_tw_video_thumb/1627082957801545734/pu/img/_CMFua9E-Rpp3mJ4.jpg</v>
      </c>
      <c r="AW2845" s="82" t="s">
        <v>19611</v>
      </c>
      <c r="AX2845" s="82" t="s">
        <v>19611</v>
      </c>
      <c r="AY2845" s="77"/>
      <c r="AZ2845" s="82" t="s">
        <v>20971</v>
      </c>
      <c r="BA2845" s="82" t="s">
        <v>20971</v>
      </c>
      <c r="BB2845" s="82" t="s">
        <v>20971</v>
      </c>
      <c r="BC2845" s="82" t="s">
        <v>19611</v>
      </c>
      <c r="BD2845" s="77">
        <v>634133167</v>
      </c>
      <c r="BE2845" s="77"/>
      <c r="BF2845" s="77"/>
      <c r="BG2845" s="77"/>
      <c r="BH2845" s="77"/>
      <c r="BI2845" s="77"/>
    </row>
    <row r="2846" spans="1:61" x14ac:dyDescent="0.25">
      <c r="A2846" s="62" t="s">
        <v>949</v>
      </c>
      <c r="B2846" s="62" t="s">
        <v>949</v>
      </c>
      <c r="C2846" s="63"/>
      <c r="D2846" s="64"/>
      <c r="E2846" s="65"/>
      <c r="F2846" s="66"/>
      <c r="G2846" s="63"/>
      <c r="H2846" s="67"/>
      <c r="I2846" s="68"/>
      <c r="J2846" s="68"/>
      <c r="K2846" s="32"/>
      <c r="L2846" s="75">
        <v>2846</v>
      </c>
      <c r="M2846" s="75"/>
      <c r="N2846" s="70"/>
      <c r="O2846" s="77" t="s">
        <v>179</v>
      </c>
      <c r="P2846" s="79">
        <v>44976.8125</v>
      </c>
      <c r="Q2846" s="77" t="s">
        <v>4052</v>
      </c>
      <c r="R2846" s="77">
        <v>0</v>
      </c>
      <c r="S2846" s="77">
        <v>0</v>
      </c>
      <c r="T2846" s="77">
        <v>0</v>
      </c>
      <c r="U2846" s="77">
        <v>0</v>
      </c>
      <c r="V2846" s="77">
        <v>461</v>
      </c>
      <c r="W2846" s="82" t="s">
        <v>6615</v>
      </c>
      <c r="X2846" s="80" t="str">
        <f>HYPERLINK("https://go.ticto.com.br/t/bd1f298b")</f>
        <v>https://go.ticto.com.br/t/bd1f298b</v>
      </c>
      <c r="Y2846" s="77" t="s">
        <v>7252</v>
      </c>
      <c r="Z2846" s="77"/>
      <c r="AA2846" s="77" t="s">
        <v>9200</v>
      </c>
      <c r="AB2846" s="77" t="s">
        <v>10129</v>
      </c>
      <c r="AC2846" s="82" t="s">
        <v>10146</v>
      </c>
      <c r="AD2846" s="77" t="s">
        <v>10184</v>
      </c>
      <c r="AE2846" s="80" t="str">
        <f>HYPERLINK("https://twitter.com/eddie_poker/status/1627390059832913921")</f>
        <v>https://twitter.com/eddie_poker/status/1627390059832913921</v>
      </c>
      <c r="AF2846" s="79">
        <v>44976.8125</v>
      </c>
      <c r="AG2846" s="85">
        <v>44976</v>
      </c>
      <c r="AH2846" s="82" t="s">
        <v>12872</v>
      </c>
      <c r="AI2846" s="77" t="b">
        <v>0</v>
      </c>
      <c r="AJ2846" s="77"/>
      <c r="AK2846" s="77"/>
      <c r="AL2846" s="77"/>
      <c r="AM2846" s="77"/>
      <c r="AN2846" s="77"/>
      <c r="AO2846" s="77"/>
      <c r="AP2846" s="77"/>
      <c r="AQ2846" s="77" t="s">
        <v>15843</v>
      </c>
      <c r="AR2846" s="77">
        <v>29559</v>
      </c>
      <c r="AS2846" s="77"/>
      <c r="AT2846" s="77"/>
      <c r="AU2846" s="77"/>
      <c r="AV2846" s="80" t="str">
        <f>HYPERLINK("https://pbs.twimg.com/ext_tw_video_thumb/1627082725583900678/pu/img/5N1CCcMkZGnhH85R.jpg")</f>
        <v>https://pbs.twimg.com/ext_tw_video_thumb/1627082725583900678/pu/img/5N1CCcMkZGnhH85R.jpg</v>
      </c>
      <c r="AW2846" s="82" t="s">
        <v>19612</v>
      </c>
      <c r="AX2846" s="82" t="s">
        <v>19612</v>
      </c>
      <c r="AY2846" s="77"/>
      <c r="AZ2846" s="82" t="s">
        <v>20971</v>
      </c>
      <c r="BA2846" s="82" t="s">
        <v>20971</v>
      </c>
      <c r="BB2846" s="82" t="s">
        <v>20971</v>
      </c>
      <c r="BC2846" s="82" t="s">
        <v>19612</v>
      </c>
      <c r="BD2846" s="77">
        <v>634133167</v>
      </c>
      <c r="BE2846" s="77"/>
      <c r="BF2846" s="77"/>
      <c r="BG2846" s="77"/>
      <c r="BH2846" s="77"/>
      <c r="BI2846" s="77"/>
    </row>
    <row r="2847" spans="1:61" x14ac:dyDescent="0.25">
      <c r="A2847" s="62" t="s">
        <v>949</v>
      </c>
      <c r="B2847" s="62" t="s">
        <v>949</v>
      </c>
      <c r="C2847" s="63"/>
      <c r="D2847" s="64"/>
      <c r="E2847" s="65"/>
      <c r="F2847" s="66"/>
      <c r="G2847" s="63"/>
      <c r="H2847" s="67"/>
      <c r="I2847" s="68"/>
      <c r="J2847" s="68"/>
      <c r="K2847" s="32"/>
      <c r="L2847" s="75">
        <v>2847</v>
      </c>
      <c r="M2847" s="75"/>
      <c r="N2847" s="70"/>
      <c r="O2847" s="77" t="s">
        <v>179</v>
      </c>
      <c r="P2847" s="79">
        <v>44976.770833333336</v>
      </c>
      <c r="Q2847" s="77" t="s">
        <v>4053</v>
      </c>
      <c r="R2847" s="77">
        <v>0</v>
      </c>
      <c r="S2847" s="77">
        <v>0</v>
      </c>
      <c r="T2847" s="77">
        <v>0</v>
      </c>
      <c r="U2847" s="77">
        <v>0</v>
      </c>
      <c r="V2847" s="77">
        <v>262</v>
      </c>
      <c r="W2847" s="82" t="s">
        <v>6615</v>
      </c>
      <c r="X2847" s="80" t="str">
        <f>HYPERLINK("https://go.ticto.com.br/t/bd1f298b")</f>
        <v>https://go.ticto.com.br/t/bd1f298b</v>
      </c>
      <c r="Y2847" s="77" t="s">
        <v>7252</v>
      </c>
      <c r="Z2847" s="77"/>
      <c r="AA2847" s="77" t="s">
        <v>9201</v>
      </c>
      <c r="AB2847" s="77" t="s">
        <v>10129</v>
      </c>
      <c r="AC2847" s="82" t="s">
        <v>10146</v>
      </c>
      <c r="AD2847" s="77" t="s">
        <v>10184</v>
      </c>
      <c r="AE2847" s="80" t="str">
        <f>HYPERLINK("https://twitter.com/eddie_poker/status/1627374959722123264")</f>
        <v>https://twitter.com/eddie_poker/status/1627374959722123264</v>
      </c>
      <c r="AF2847" s="79">
        <v>44976.770833333336</v>
      </c>
      <c r="AG2847" s="85">
        <v>44976</v>
      </c>
      <c r="AH2847" s="82" t="s">
        <v>12040</v>
      </c>
      <c r="AI2847" s="77" t="b">
        <v>0</v>
      </c>
      <c r="AJ2847" s="77"/>
      <c r="AK2847" s="77"/>
      <c r="AL2847" s="77"/>
      <c r="AM2847" s="77"/>
      <c r="AN2847" s="77"/>
      <c r="AO2847" s="77"/>
      <c r="AP2847" s="77"/>
      <c r="AQ2847" s="77" t="s">
        <v>15844</v>
      </c>
      <c r="AR2847" s="77">
        <v>29559</v>
      </c>
      <c r="AS2847" s="77"/>
      <c r="AT2847" s="77"/>
      <c r="AU2847" s="77"/>
      <c r="AV2847" s="80" t="str">
        <f>HYPERLINK("https://pbs.twimg.com/ext_tw_video_thumb/1627082502946029570/pu/img/BAANMnZ7k49_gSRH.jpg")</f>
        <v>https://pbs.twimg.com/ext_tw_video_thumb/1627082502946029570/pu/img/BAANMnZ7k49_gSRH.jpg</v>
      </c>
      <c r="AW2847" s="82" t="s">
        <v>19613</v>
      </c>
      <c r="AX2847" s="82" t="s">
        <v>19613</v>
      </c>
      <c r="AY2847" s="77"/>
      <c r="AZ2847" s="82" t="s">
        <v>20971</v>
      </c>
      <c r="BA2847" s="82" t="s">
        <v>20971</v>
      </c>
      <c r="BB2847" s="82" t="s">
        <v>20971</v>
      </c>
      <c r="BC2847" s="82" t="s">
        <v>19613</v>
      </c>
      <c r="BD2847" s="77">
        <v>634133167</v>
      </c>
      <c r="BE2847" s="77"/>
      <c r="BF2847" s="77"/>
      <c r="BG2847" s="77"/>
      <c r="BH2847" s="77"/>
      <c r="BI2847" s="77"/>
    </row>
    <row r="2848" spans="1:61" x14ac:dyDescent="0.25">
      <c r="A2848" s="62" t="s">
        <v>949</v>
      </c>
      <c r="B2848" s="62" t="s">
        <v>949</v>
      </c>
      <c r="C2848" s="63"/>
      <c r="D2848" s="64"/>
      <c r="E2848" s="65"/>
      <c r="F2848" s="66"/>
      <c r="G2848" s="63"/>
      <c r="H2848" s="67"/>
      <c r="I2848" s="68"/>
      <c r="J2848" s="68"/>
      <c r="K2848" s="32"/>
      <c r="L2848" s="75">
        <v>2848</v>
      </c>
      <c r="M2848" s="75"/>
      <c r="N2848" s="70"/>
      <c r="O2848" s="77" t="s">
        <v>179</v>
      </c>
      <c r="P2848" s="79">
        <v>44976.729166666664</v>
      </c>
      <c r="Q2848" s="77" t="s">
        <v>4054</v>
      </c>
      <c r="R2848" s="77">
        <v>0</v>
      </c>
      <c r="S2848" s="77">
        <v>0</v>
      </c>
      <c r="T2848" s="77">
        <v>0</v>
      </c>
      <c r="U2848" s="77">
        <v>0</v>
      </c>
      <c r="V2848" s="77">
        <v>309</v>
      </c>
      <c r="W2848" s="82" t="s">
        <v>6615</v>
      </c>
      <c r="X2848" s="80" t="str">
        <f>HYPERLINK("https://go.ticto.com.br/t/bd1f298b")</f>
        <v>https://go.ticto.com.br/t/bd1f298b</v>
      </c>
      <c r="Y2848" s="77" t="s">
        <v>7252</v>
      </c>
      <c r="Z2848" s="77"/>
      <c r="AA2848" s="77" t="s">
        <v>9202</v>
      </c>
      <c r="AB2848" s="77" t="s">
        <v>10129</v>
      </c>
      <c r="AC2848" s="82" t="s">
        <v>10146</v>
      </c>
      <c r="AD2848" s="77" t="s">
        <v>10184</v>
      </c>
      <c r="AE2848" s="80" t="str">
        <f>HYPERLINK("https://twitter.com/eddie_poker/status/1627359860043157510")</f>
        <v>https://twitter.com/eddie_poker/status/1627359860043157510</v>
      </c>
      <c r="AF2848" s="79">
        <v>44976.729166666664</v>
      </c>
      <c r="AG2848" s="85">
        <v>44976</v>
      </c>
      <c r="AH2848" s="82" t="s">
        <v>12873</v>
      </c>
      <c r="AI2848" s="77" t="b">
        <v>0</v>
      </c>
      <c r="AJ2848" s="77"/>
      <c r="AK2848" s="77"/>
      <c r="AL2848" s="77"/>
      <c r="AM2848" s="77"/>
      <c r="AN2848" s="77"/>
      <c r="AO2848" s="77"/>
      <c r="AP2848" s="77"/>
      <c r="AQ2848" s="77" t="s">
        <v>15845</v>
      </c>
      <c r="AR2848" s="77">
        <v>29559</v>
      </c>
      <c r="AS2848" s="77"/>
      <c r="AT2848" s="77"/>
      <c r="AU2848" s="77"/>
      <c r="AV2848" s="80" t="str">
        <f>HYPERLINK("https://pbs.twimg.com/ext_tw_video_thumb/1627082273815396358/pu/img/5nPkDKrkaE1t1tKZ.jpg")</f>
        <v>https://pbs.twimg.com/ext_tw_video_thumb/1627082273815396358/pu/img/5nPkDKrkaE1t1tKZ.jpg</v>
      </c>
      <c r="AW2848" s="82" t="s">
        <v>19614</v>
      </c>
      <c r="AX2848" s="82" t="s">
        <v>19614</v>
      </c>
      <c r="AY2848" s="77"/>
      <c r="AZ2848" s="82" t="s">
        <v>20971</v>
      </c>
      <c r="BA2848" s="82" t="s">
        <v>20971</v>
      </c>
      <c r="BB2848" s="82" t="s">
        <v>20971</v>
      </c>
      <c r="BC2848" s="82" t="s">
        <v>19614</v>
      </c>
      <c r="BD2848" s="77">
        <v>634133167</v>
      </c>
      <c r="BE2848" s="77"/>
      <c r="BF2848" s="77"/>
      <c r="BG2848" s="77"/>
      <c r="BH2848" s="77"/>
      <c r="BI2848" s="77"/>
    </row>
    <row r="2849" spans="1:61" x14ac:dyDescent="0.25">
      <c r="A2849" s="62" t="s">
        <v>949</v>
      </c>
      <c r="B2849" s="62" t="s">
        <v>949</v>
      </c>
      <c r="C2849" s="63"/>
      <c r="D2849" s="64"/>
      <c r="E2849" s="65"/>
      <c r="F2849" s="66"/>
      <c r="G2849" s="63"/>
      <c r="H2849" s="67"/>
      <c r="I2849" s="68"/>
      <c r="J2849" s="68"/>
      <c r="K2849" s="32"/>
      <c r="L2849" s="75">
        <v>2849</v>
      </c>
      <c r="M2849" s="75"/>
      <c r="N2849" s="70"/>
      <c r="O2849" s="77" t="s">
        <v>179</v>
      </c>
      <c r="P2849" s="79">
        <v>44976.6875</v>
      </c>
      <c r="Q2849" s="77" t="s">
        <v>4055</v>
      </c>
      <c r="R2849" s="77">
        <v>0</v>
      </c>
      <c r="S2849" s="77">
        <v>0</v>
      </c>
      <c r="T2849" s="77">
        <v>0</v>
      </c>
      <c r="U2849" s="77">
        <v>0</v>
      </c>
      <c r="V2849" s="77">
        <v>196</v>
      </c>
      <c r="W2849" s="82" t="s">
        <v>6615</v>
      </c>
      <c r="X2849" s="80" t="str">
        <f>HYPERLINK("https://go.ticto.com.br/t/bd1f298b")</f>
        <v>https://go.ticto.com.br/t/bd1f298b</v>
      </c>
      <c r="Y2849" s="77" t="s">
        <v>7252</v>
      </c>
      <c r="Z2849" s="77"/>
      <c r="AA2849" s="77" t="s">
        <v>9203</v>
      </c>
      <c r="AB2849" s="77" t="s">
        <v>10129</v>
      </c>
      <c r="AC2849" s="82" t="s">
        <v>10146</v>
      </c>
      <c r="AD2849" s="77" t="s">
        <v>10184</v>
      </c>
      <c r="AE2849" s="80" t="str">
        <f>HYPERLINK("https://twitter.com/eddie_poker/status/1627344760636837889")</f>
        <v>https://twitter.com/eddie_poker/status/1627344760636837889</v>
      </c>
      <c r="AF2849" s="79">
        <v>44976.6875</v>
      </c>
      <c r="AG2849" s="85">
        <v>44976</v>
      </c>
      <c r="AH2849" s="82" t="s">
        <v>12874</v>
      </c>
      <c r="AI2849" s="77" t="b">
        <v>0</v>
      </c>
      <c r="AJ2849" s="77"/>
      <c r="AK2849" s="77"/>
      <c r="AL2849" s="77"/>
      <c r="AM2849" s="77"/>
      <c r="AN2849" s="77"/>
      <c r="AO2849" s="77"/>
      <c r="AP2849" s="77"/>
      <c r="AQ2849" s="77" t="s">
        <v>15846</v>
      </c>
      <c r="AR2849" s="77">
        <v>29559</v>
      </c>
      <c r="AS2849" s="77"/>
      <c r="AT2849" s="77"/>
      <c r="AU2849" s="77"/>
      <c r="AV2849" s="80" t="str">
        <f>HYPERLINK("https://pbs.twimg.com/ext_tw_video_thumb/1627082044898676737/pu/img/GWbuDpl05raxpXj8.jpg")</f>
        <v>https://pbs.twimg.com/ext_tw_video_thumb/1627082044898676737/pu/img/GWbuDpl05raxpXj8.jpg</v>
      </c>
      <c r="AW2849" s="82" t="s">
        <v>19615</v>
      </c>
      <c r="AX2849" s="82" t="s">
        <v>19615</v>
      </c>
      <c r="AY2849" s="77"/>
      <c r="AZ2849" s="82" t="s">
        <v>20971</v>
      </c>
      <c r="BA2849" s="82" t="s">
        <v>20971</v>
      </c>
      <c r="BB2849" s="82" t="s">
        <v>20971</v>
      </c>
      <c r="BC2849" s="82" t="s">
        <v>19615</v>
      </c>
      <c r="BD2849" s="77">
        <v>634133167</v>
      </c>
      <c r="BE2849" s="77"/>
      <c r="BF2849" s="77"/>
      <c r="BG2849" s="77"/>
      <c r="BH2849" s="77"/>
      <c r="BI2849" s="77"/>
    </row>
    <row r="2850" spans="1:61" x14ac:dyDescent="0.25">
      <c r="A2850" s="62" t="s">
        <v>949</v>
      </c>
      <c r="B2850" s="62" t="s">
        <v>949</v>
      </c>
      <c r="C2850" s="63"/>
      <c r="D2850" s="64"/>
      <c r="E2850" s="65"/>
      <c r="F2850" s="66"/>
      <c r="G2850" s="63"/>
      <c r="H2850" s="67"/>
      <c r="I2850" s="68"/>
      <c r="J2850" s="68"/>
      <c r="K2850" s="32"/>
      <c r="L2850" s="75">
        <v>2850</v>
      </c>
      <c r="M2850" s="75"/>
      <c r="N2850" s="70"/>
      <c r="O2850" s="77" t="s">
        <v>179</v>
      </c>
      <c r="P2850" s="79">
        <v>44976.645833333336</v>
      </c>
      <c r="Q2850" s="77" t="s">
        <v>4056</v>
      </c>
      <c r="R2850" s="77">
        <v>0</v>
      </c>
      <c r="S2850" s="77">
        <v>0</v>
      </c>
      <c r="T2850" s="77">
        <v>0</v>
      </c>
      <c r="U2850" s="77">
        <v>0</v>
      </c>
      <c r="V2850" s="77">
        <v>258</v>
      </c>
      <c r="W2850" s="82" t="s">
        <v>6615</v>
      </c>
      <c r="X2850" s="80" t="str">
        <f>HYPERLINK("https://go.ticto.com.br/t/bd1f298b")</f>
        <v>https://go.ticto.com.br/t/bd1f298b</v>
      </c>
      <c r="Y2850" s="77" t="s">
        <v>7252</v>
      </c>
      <c r="Z2850" s="77"/>
      <c r="AA2850" s="77" t="s">
        <v>9204</v>
      </c>
      <c r="AB2850" s="77" t="s">
        <v>10129</v>
      </c>
      <c r="AC2850" s="82" t="s">
        <v>10146</v>
      </c>
      <c r="AD2850" s="77" t="s">
        <v>10184</v>
      </c>
      <c r="AE2850" s="80" t="str">
        <f>HYPERLINK("https://twitter.com/eddie_poker/status/1627329661423476738")</f>
        <v>https://twitter.com/eddie_poker/status/1627329661423476738</v>
      </c>
      <c r="AF2850" s="79">
        <v>44976.645833333336</v>
      </c>
      <c r="AG2850" s="85">
        <v>44976</v>
      </c>
      <c r="AH2850" s="82" t="s">
        <v>12875</v>
      </c>
      <c r="AI2850" s="77" t="b">
        <v>0</v>
      </c>
      <c r="AJ2850" s="77"/>
      <c r="AK2850" s="77"/>
      <c r="AL2850" s="77"/>
      <c r="AM2850" s="77"/>
      <c r="AN2850" s="77"/>
      <c r="AO2850" s="77"/>
      <c r="AP2850" s="77"/>
      <c r="AQ2850" s="77" t="s">
        <v>15847</v>
      </c>
      <c r="AR2850" s="77">
        <v>29559</v>
      </c>
      <c r="AS2850" s="77"/>
      <c r="AT2850" s="77"/>
      <c r="AU2850" s="77"/>
      <c r="AV2850" s="80" t="str">
        <f>HYPERLINK("https://pbs.twimg.com/ext_tw_video_thumb/1627081813125656577/pu/img/zt9rLtms1WReU539.jpg")</f>
        <v>https://pbs.twimg.com/ext_tw_video_thumb/1627081813125656577/pu/img/zt9rLtms1WReU539.jpg</v>
      </c>
      <c r="AW2850" s="82" t="s">
        <v>19616</v>
      </c>
      <c r="AX2850" s="82" t="s">
        <v>19616</v>
      </c>
      <c r="AY2850" s="77"/>
      <c r="AZ2850" s="82" t="s">
        <v>20971</v>
      </c>
      <c r="BA2850" s="82" t="s">
        <v>20971</v>
      </c>
      <c r="BB2850" s="82" t="s">
        <v>20971</v>
      </c>
      <c r="BC2850" s="82" t="s">
        <v>19616</v>
      </c>
      <c r="BD2850" s="77">
        <v>634133167</v>
      </c>
      <c r="BE2850" s="77"/>
      <c r="BF2850" s="77"/>
      <c r="BG2850" s="77"/>
      <c r="BH2850" s="77"/>
      <c r="BI2850" s="77"/>
    </row>
    <row r="2851" spans="1:61" x14ac:dyDescent="0.25">
      <c r="A2851" s="62" t="s">
        <v>949</v>
      </c>
      <c r="B2851" s="62" t="s">
        <v>949</v>
      </c>
      <c r="C2851" s="63"/>
      <c r="D2851" s="64"/>
      <c r="E2851" s="65"/>
      <c r="F2851" s="66"/>
      <c r="G2851" s="63"/>
      <c r="H2851" s="67"/>
      <c r="I2851" s="68"/>
      <c r="J2851" s="68"/>
      <c r="K2851" s="32"/>
      <c r="L2851" s="75">
        <v>2851</v>
      </c>
      <c r="M2851" s="75"/>
      <c r="N2851" s="70"/>
      <c r="O2851" s="77" t="s">
        <v>179</v>
      </c>
      <c r="P2851" s="79">
        <v>44976.604166666664</v>
      </c>
      <c r="Q2851" s="77" t="s">
        <v>4057</v>
      </c>
      <c r="R2851" s="77">
        <v>0</v>
      </c>
      <c r="S2851" s="77">
        <v>0</v>
      </c>
      <c r="T2851" s="77">
        <v>0</v>
      </c>
      <c r="U2851" s="77">
        <v>0</v>
      </c>
      <c r="V2851" s="77">
        <v>225</v>
      </c>
      <c r="W2851" s="82" t="s">
        <v>6615</v>
      </c>
      <c r="X2851" s="80" t="str">
        <f>HYPERLINK("https://go.ticto.com.br/t/bd1f298b")</f>
        <v>https://go.ticto.com.br/t/bd1f298b</v>
      </c>
      <c r="Y2851" s="77" t="s">
        <v>7252</v>
      </c>
      <c r="Z2851" s="77"/>
      <c r="AA2851" s="77" t="s">
        <v>9205</v>
      </c>
      <c r="AB2851" s="77" t="s">
        <v>10129</v>
      </c>
      <c r="AC2851" s="82" t="s">
        <v>10146</v>
      </c>
      <c r="AD2851" s="77" t="s">
        <v>10184</v>
      </c>
      <c r="AE2851" s="80" t="str">
        <f>HYPERLINK("https://twitter.com/eddie_poker/status/1627314562990247937")</f>
        <v>https://twitter.com/eddie_poker/status/1627314562990247937</v>
      </c>
      <c r="AF2851" s="79">
        <v>44976.604166666664</v>
      </c>
      <c r="AG2851" s="85">
        <v>44976</v>
      </c>
      <c r="AH2851" s="82" t="s">
        <v>12876</v>
      </c>
      <c r="AI2851" s="77" t="b">
        <v>0</v>
      </c>
      <c r="AJ2851" s="77"/>
      <c r="AK2851" s="77"/>
      <c r="AL2851" s="77"/>
      <c r="AM2851" s="77"/>
      <c r="AN2851" s="77"/>
      <c r="AO2851" s="77"/>
      <c r="AP2851" s="77"/>
      <c r="AQ2851" s="77" t="s">
        <v>15848</v>
      </c>
      <c r="AR2851" s="77">
        <v>29559</v>
      </c>
      <c r="AS2851" s="77"/>
      <c r="AT2851" s="77"/>
      <c r="AU2851" s="77"/>
      <c r="AV2851" s="80" t="str">
        <f>HYPERLINK("https://pbs.twimg.com/ext_tw_video_thumb/1627081554039296001/pu/img/DvV3RQn6vZq9MIlv.jpg")</f>
        <v>https://pbs.twimg.com/ext_tw_video_thumb/1627081554039296001/pu/img/DvV3RQn6vZq9MIlv.jpg</v>
      </c>
      <c r="AW2851" s="82" t="s">
        <v>19617</v>
      </c>
      <c r="AX2851" s="82" t="s">
        <v>19617</v>
      </c>
      <c r="AY2851" s="77"/>
      <c r="AZ2851" s="82" t="s">
        <v>20971</v>
      </c>
      <c r="BA2851" s="82" t="s">
        <v>20971</v>
      </c>
      <c r="BB2851" s="82" t="s">
        <v>20971</v>
      </c>
      <c r="BC2851" s="82" t="s">
        <v>19617</v>
      </c>
      <c r="BD2851" s="77">
        <v>634133167</v>
      </c>
      <c r="BE2851" s="77"/>
      <c r="BF2851" s="77"/>
      <c r="BG2851" s="77"/>
      <c r="BH2851" s="77"/>
      <c r="BI2851" s="77"/>
    </row>
    <row r="2852" spans="1:61" x14ac:dyDescent="0.25">
      <c r="A2852" s="62" t="s">
        <v>949</v>
      </c>
      <c r="B2852" s="62" t="s">
        <v>949</v>
      </c>
      <c r="C2852" s="63"/>
      <c r="D2852" s="64"/>
      <c r="E2852" s="65"/>
      <c r="F2852" s="66"/>
      <c r="G2852" s="63"/>
      <c r="H2852" s="67"/>
      <c r="I2852" s="68"/>
      <c r="J2852" s="68"/>
      <c r="K2852" s="32"/>
      <c r="L2852" s="75">
        <v>2852</v>
      </c>
      <c r="M2852" s="75"/>
      <c r="N2852" s="70"/>
      <c r="O2852" s="77" t="s">
        <v>179</v>
      </c>
      <c r="P2852" s="79">
        <v>44976.5625</v>
      </c>
      <c r="Q2852" s="77" t="s">
        <v>4058</v>
      </c>
      <c r="R2852" s="77">
        <v>0</v>
      </c>
      <c r="S2852" s="77">
        <v>0</v>
      </c>
      <c r="T2852" s="77">
        <v>0</v>
      </c>
      <c r="U2852" s="77">
        <v>0</v>
      </c>
      <c r="V2852" s="77">
        <v>216</v>
      </c>
      <c r="W2852" s="82" t="s">
        <v>6615</v>
      </c>
      <c r="X2852" s="80" t="str">
        <f>HYPERLINK("https://go.ticto.com.br/t/bd1f298b")</f>
        <v>https://go.ticto.com.br/t/bd1f298b</v>
      </c>
      <c r="Y2852" s="77" t="s">
        <v>7252</v>
      </c>
      <c r="Z2852" s="77"/>
      <c r="AA2852" s="77" t="s">
        <v>9206</v>
      </c>
      <c r="AB2852" s="77" t="s">
        <v>10129</v>
      </c>
      <c r="AC2852" s="82" t="s">
        <v>10146</v>
      </c>
      <c r="AD2852" s="77" t="s">
        <v>10184</v>
      </c>
      <c r="AE2852" s="80" t="str">
        <f>HYPERLINK("https://twitter.com/eddie_poker/status/1627299462296076290")</f>
        <v>https://twitter.com/eddie_poker/status/1627299462296076290</v>
      </c>
      <c r="AF2852" s="79">
        <v>44976.5625</v>
      </c>
      <c r="AG2852" s="85">
        <v>44976</v>
      </c>
      <c r="AH2852" s="82" t="s">
        <v>12877</v>
      </c>
      <c r="AI2852" s="77" t="b">
        <v>0</v>
      </c>
      <c r="AJ2852" s="77"/>
      <c r="AK2852" s="77"/>
      <c r="AL2852" s="77"/>
      <c r="AM2852" s="77"/>
      <c r="AN2852" s="77"/>
      <c r="AO2852" s="77"/>
      <c r="AP2852" s="77"/>
      <c r="AQ2852" s="77" t="s">
        <v>15849</v>
      </c>
      <c r="AR2852" s="77">
        <v>29559</v>
      </c>
      <c r="AS2852" s="77"/>
      <c r="AT2852" s="77"/>
      <c r="AU2852" s="77"/>
      <c r="AV2852" s="80" t="str">
        <f>HYPERLINK("https://pbs.twimg.com/ext_tw_video_thumb/1627081304457236481/pu/img/Z_vzPus-fm-rXao8.jpg")</f>
        <v>https://pbs.twimg.com/ext_tw_video_thumb/1627081304457236481/pu/img/Z_vzPus-fm-rXao8.jpg</v>
      </c>
      <c r="AW2852" s="82" t="s">
        <v>19618</v>
      </c>
      <c r="AX2852" s="82" t="s">
        <v>19618</v>
      </c>
      <c r="AY2852" s="77"/>
      <c r="AZ2852" s="82" t="s">
        <v>20971</v>
      </c>
      <c r="BA2852" s="82" t="s">
        <v>20971</v>
      </c>
      <c r="BB2852" s="82" t="s">
        <v>20971</v>
      </c>
      <c r="BC2852" s="82" t="s">
        <v>19618</v>
      </c>
      <c r="BD2852" s="77">
        <v>634133167</v>
      </c>
      <c r="BE2852" s="77"/>
      <c r="BF2852" s="77"/>
      <c r="BG2852" s="77"/>
      <c r="BH2852" s="77"/>
      <c r="BI2852" s="77"/>
    </row>
    <row r="2853" spans="1:61" x14ac:dyDescent="0.25">
      <c r="A2853" s="62" t="s">
        <v>949</v>
      </c>
      <c r="B2853" s="62" t="s">
        <v>949</v>
      </c>
      <c r="C2853" s="63"/>
      <c r="D2853" s="64"/>
      <c r="E2853" s="65"/>
      <c r="F2853" s="66"/>
      <c r="G2853" s="63"/>
      <c r="H2853" s="67"/>
      <c r="I2853" s="68"/>
      <c r="J2853" s="68"/>
      <c r="K2853" s="32"/>
      <c r="L2853" s="75">
        <v>2853</v>
      </c>
      <c r="M2853" s="75"/>
      <c r="N2853" s="70"/>
      <c r="O2853" s="77" t="s">
        <v>179</v>
      </c>
      <c r="P2853" s="79">
        <v>44976.520833333336</v>
      </c>
      <c r="Q2853" s="77" t="s">
        <v>4059</v>
      </c>
      <c r="R2853" s="77">
        <v>0</v>
      </c>
      <c r="S2853" s="77">
        <v>0</v>
      </c>
      <c r="T2853" s="77">
        <v>0</v>
      </c>
      <c r="U2853" s="77">
        <v>0</v>
      </c>
      <c r="V2853" s="77">
        <v>220</v>
      </c>
      <c r="W2853" s="82" t="s">
        <v>6615</v>
      </c>
      <c r="X2853" s="80" t="str">
        <f>HYPERLINK("https://go.ticto.com.br/t/bd1f298b")</f>
        <v>https://go.ticto.com.br/t/bd1f298b</v>
      </c>
      <c r="Y2853" s="77" t="s">
        <v>7252</v>
      </c>
      <c r="Z2853" s="77"/>
      <c r="AA2853" s="77" t="s">
        <v>9207</v>
      </c>
      <c r="AB2853" s="77" t="s">
        <v>10129</v>
      </c>
      <c r="AC2853" s="82" t="s">
        <v>10146</v>
      </c>
      <c r="AD2853" s="77" t="s">
        <v>10184</v>
      </c>
      <c r="AE2853" s="80" t="str">
        <f>HYPERLINK("https://twitter.com/eddie_poker/status/1627284364722860034")</f>
        <v>https://twitter.com/eddie_poker/status/1627284364722860034</v>
      </c>
      <c r="AF2853" s="79">
        <v>44976.520833333336</v>
      </c>
      <c r="AG2853" s="85">
        <v>44976</v>
      </c>
      <c r="AH2853" s="82" t="s">
        <v>10555</v>
      </c>
      <c r="AI2853" s="77" t="b">
        <v>0</v>
      </c>
      <c r="AJ2853" s="77"/>
      <c r="AK2853" s="77"/>
      <c r="AL2853" s="77"/>
      <c r="AM2853" s="77"/>
      <c r="AN2853" s="77"/>
      <c r="AO2853" s="77"/>
      <c r="AP2853" s="77"/>
      <c r="AQ2853" s="77" t="s">
        <v>15850</v>
      </c>
      <c r="AR2853" s="77">
        <v>29559</v>
      </c>
      <c r="AS2853" s="77"/>
      <c r="AT2853" s="77"/>
      <c r="AU2853" s="77"/>
      <c r="AV2853" s="80" t="str">
        <f>HYPERLINK("https://pbs.twimg.com/ext_tw_video_thumb/1627081073548226562/pu/img/cndeMqbQKKQcNcku.jpg")</f>
        <v>https://pbs.twimg.com/ext_tw_video_thumb/1627081073548226562/pu/img/cndeMqbQKKQcNcku.jpg</v>
      </c>
      <c r="AW2853" s="82" t="s">
        <v>19619</v>
      </c>
      <c r="AX2853" s="82" t="s">
        <v>19619</v>
      </c>
      <c r="AY2853" s="77"/>
      <c r="AZ2853" s="82" t="s">
        <v>20971</v>
      </c>
      <c r="BA2853" s="82" t="s">
        <v>20971</v>
      </c>
      <c r="BB2853" s="82" t="s">
        <v>20971</v>
      </c>
      <c r="BC2853" s="82" t="s">
        <v>19619</v>
      </c>
      <c r="BD2853" s="77">
        <v>634133167</v>
      </c>
      <c r="BE2853" s="77"/>
      <c r="BF2853" s="77"/>
      <c r="BG2853" s="77"/>
      <c r="BH2853" s="77"/>
      <c r="BI2853" s="77"/>
    </row>
    <row r="2854" spans="1:61" x14ac:dyDescent="0.25">
      <c r="A2854" s="62" t="s">
        <v>949</v>
      </c>
      <c r="B2854" s="62" t="s">
        <v>949</v>
      </c>
      <c r="C2854" s="63"/>
      <c r="D2854" s="64"/>
      <c r="E2854" s="65"/>
      <c r="F2854" s="66"/>
      <c r="G2854" s="63"/>
      <c r="H2854" s="67"/>
      <c r="I2854" s="68"/>
      <c r="J2854" s="68"/>
      <c r="K2854" s="32"/>
      <c r="L2854" s="75">
        <v>2854</v>
      </c>
      <c r="M2854" s="75"/>
      <c r="N2854" s="70"/>
      <c r="O2854" s="77" t="s">
        <v>179</v>
      </c>
      <c r="P2854" s="79">
        <v>44976.479166666664</v>
      </c>
      <c r="Q2854" s="77" t="s">
        <v>4060</v>
      </c>
      <c r="R2854" s="77">
        <v>0</v>
      </c>
      <c r="S2854" s="77">
        <v>0</v>
      </c>
      <c r="T2854" s="77">
        <v>0</v>
      </c>
      <c r="U2854" s="77">
        <v>0</v>
      </c>
      <c r="V2854" s="77">
        <v>273</v>
      </c>
      <c r="W2854" s="82" t="s">
        <v>6615</v>
      </c>
      <c r="X2854" s="80" t="str">
        <f>HYPERLINK("https://go.ticto.com.br/t/bd1f298b")</f>
        <v>https://go.ticto.com.br/t/bd1f298b</v>
      </c>
      <c r="Y2854" s="77" t="s">
        <v>7252</v>
      </c>
      <c r="Z2854" s="77"/>
      <c r="AA2854" s="77" t="s">
        <v>9208</v>
      </c>
      <c r="AB2854" s="77" t="s">
        <v>10129</v>
      </c>
      <c r="AC2854" s="82" t="s">
        <v>10146</v>
      </c>
      <c r="AD2854" s="77" t="s">
        <v>10184</v>
      </c>
      <c r="AE2854" s="80" t="str">
        <f>HYPERLINK("https://twitter.com/eddie_poker/status/1627269265035530241")</f>
        <v>https://twitter.com/eddie_poker/status/1627269265035530241</v>
      </c>
      <c r="AF2854" s="79">
        <v>44976.479166666664</v>
      </c>
      <c r="AG2854" s="85">
        <v>44976</v>
      </c>
      <c r="AH2854" s="82" t="s">
        <v>12878</v>
      </c>
      <c r="AI2854" s="77" t="b">
        <v>0</v>
      </c>
      <c r="AJ2854" s="77"/>
      <c r="AK2854" s="77"/>
      <c r="AL2854" s="77"/>
      <c r="AM2854" s="77"/>
      <c r="AN2854" s="77"/>
      <c r="AO2854" s="77"/>
      <c r="AP2854" s="77"/>
      <c r="AQ2854" s="77" t="s">
        <v>15851</v>
      </c>
      <c r="AR2854" s="77">
        <v>29559</v>
      </c>
      <c r="AS2854" s="77"/>
      <c r="AT2854" s="77"/>
      <c r="AU2854" s="77"/>
      <c r="AV2854" s="80" t="str">
        <f>HYPERLINK("https://pbs.twimg.com/ext_tw_video_thumb/1627080753124352002/pu/img/-62-pABX4t5EqwKf.jpg")</f>
        <v>https://pbs.twimg.com/ext_tw_video_thumb/1627080753124352002/pu/img/-62-pABX4t5EqwKf.jpg</v>
      </c>
      <c r="AW2854" s="82" t="s">
        <v>19620</v>
      </c>
      <c r="AX2854" s="82" t="s">
        <v>19620</v>
      </c>
      <c r="AY2854" s="77"/>
      <c r="AZ2854" s="82" t="s">
        <v>20971</v>
      </c>
      <c r="BA2854" s="82" t="s">
        <v>20971</v>
      </c>
      <c r="BB2854" s="82" t="s">
        <v>20971</v>
      </c>
      <c r="BC2854" s="82" t="s">
        <v>19620</v>
      </c>
      <c r="BD2854" s="77">
        <v>634133167</v>
      </c>
      <c r="BE2854" s="77"/>
      <c r="BF2854" s="77"/>
      <c r="BG2854" s="77"/>
      <c r="BH2854" s="77"/>
      <c r="BI2854" s="77"/>
    </row>
    <row r="2855" spans="1:61" x14ac:dyDescent="0.25">
      <c r="A2855" s="62" t="s">
        <v>949</v>
      </c>
      <c r="B2855" s="62" t="s">
        <v>949</v>
      </c>
      <c r="C2855" s="63"/>
      <c r="D2855" s="64"/>
      <c r="E2855" s="65"/>
      <c r="F2855" s="66"/>
      <c r="G2855" s="63"/>
      <c r="H2855" s="67"/>
      <c r="I2855" s="68"/>
      <c r="J2855" s="68"/>
      <c r="K2855" s="32"/>
      <c r="L2855" s="75">
        <v>2855</v>
      </c>
      <c r="M2855" s="75"/>
      <c r="N2855" s="70"/>
      <c r="O2855" s="77" t="s">
        <v>179</v>
      </c>
      <c r="P2855" s="79">
        <v>44976.4375</v>
      </c>
      <c r="Q2855" s="77" t="s">
        <v>4061</v>
      </c>
      <c r="R2855" s="77">
        <v>0</v>
      </c>
      <c r="S2855" s="77">
        <v>0</v>
      </c>
      <c r="T2855" s="77">
        <v>0</v>
      </c>
      <c r="U2855" s="77">
        <v>0</v>
      </c>
      <c r="V2855" s="77">
        <v>405</v>
      </c>
      <c r="W2855" s="82" t="s">
        <v>6615</v>
      </c>
      <c r="X2855" s="80" t="str">
        <f>HYPERLINK("https://go.ticto.com.br/t/bd1f298b")</f>
        <v>https://go.ticto.com.br/t/bd1f298b</v>
      </c>
      <c r="Y2855" s="77" t="s">
        <v>7252</v>
      </c>
      <c r="Z2855" s="77"/>
      <c r="AA2855" s="77" t="s">
        <v>9209</v>
      </c>
      <c r="AB2855" s="77" t="s">
        <v>10129</v>
      </c>
      <c r="AC2855" s="82" t="s">
        <v>10146</v>
      </c>
      <c r="AD2855" s="77" t="s">
        <v>10184</v>
      </c>
      <c r="AE2855" s="80" t="str">
        <f>HYPERLINK("https://twitter.com/eddie_poker/status/1627254164777582592")</f>
        <v>https://twitter.com/eddie_poker/status/1627254164777582592</v>
      </c>
      <c r="AF2855" s="79">
        <v>44976.4375</v>
      </c>
      <c r="AG2855" s="85">
        <v>44976</v>
      </c>
      <c r="AH2855" s="82" t="s">
        <v>12879</v>
      </c>
      <c r="AI2855" s="77" t="b">
        <v>0</v>
      </c>
      <c r="AJ2855" s="77"/>
      <c r="AK2855" s="77"/>
      <c r="AL2855" s="77"/>
      <c r="AM2855" s="77"/>
      <c r="AN2855" s="77"/>
      <c r="AO2855" s="77"/>
      <c r="AP2855" s="77"/>
      <c r="AQ2855" s="77" t="s">
        <v>15852</v>
      </c>
      <c r="AR2855" s="77">
        <v>29559</v>
      </c>
      <c r="AS2855" s="77"/>
      <c r="AT2855" s="77"/>
      <c r="AU2855" s="77"/>
      <c r="AV2855" s="80" t="str">
        <f>HYPERLINK("https://pbs.twimg.com/ext_tw_video_thumb/1627080414551752710/pu/img/9MUwmxTY-TbWmuXT.jpg")</f>
        <v>https://pbs.twimg.com/ext_tw_video_thumb/1627080414551752710/pu/img/9MUwmxTY-TbWmuXT.jpg</v>
      </c>
      <c r="AW2855" s="82" t="s">
        <v>19621</v>
      </c>
      <c r="AX2855" s="82" t="s">
        <v>19621</v>
      </c>
      <c r="AY2855" s="77"/>
      <c r="AZ2855" s="82" t="s">
        <v>20971</v>
      </c>
      <c r="BA2855" s="82" t="s">
        <v>20971</v>
      </c>
      <c r="BB2855" s="82" t="s">
        <v>20971</v>
      </c>
      <c r="BC2855" s="82" t="s">
        <v>19621</v>
      </c>
      <c r="BD2855" s="77">
        <v>634133167</v>
      </c>
      <c r="BE2855" s="77"/>
      <c r="BF2855" s="77"/>
      <c r="BG2855" s="77"/>
      <c r="BH2855" s="77"/>
      <c r="BI2855" s="77"/>
    </row>
    <row r="2856" spans="1:61" x14ac:dyDescent="0.25">
      <c r="A2856" s="62" t="s">
        <v>949</v>
      </c>
      <c r="B2856" s="62" t="s">
        <v>949</v>
      </c>
      <c r="C2856" s="63"/>
      <c r="D2856" s="64"/>
      <c r="E2856" s="65"/>
      <c r="F2856" s="66"/>
      <c r="G2856" s="63"/>
      <c r="H2856" s="67"/>
      <c r="I2856" s="68"/>
      <c r="J2856" s="68"/>
      <c r="K2856" s="32"/>
      <c r="L2856" s="75">
        <v>2856</v>
      </c>
      <c r="M2856" s="75"/>
      <c r="N2856" s="70"/>
      <c r="O2856" s="77" t="s">
        <v>179</v>
      </c>
      <c r="P2856" s="79">
        <v>44976.395833333336</v>
      </c>
      <c r="Q2856" s="77" t="s">
        <v>4062</v>
      </c>
      <c r="R2856" s="77">
        <v>0</v>
      </c>
      <c r="S2856" s="77">
        <v>0</v>
      </c>
      <c r="T2856" s="77">
        <v>0</v>
      </c>
      <c r="U2856" s="77">
        <v>0</v>
      </c>
      <c r="V2856" s="77">
        <v>444</v>
      </c>
      <c r="W2856" s="82" t="s">
        <v>6615</v>
      </c>
      <c r="X2856" s="80" t="str">
        <f>HYPERLINK("https://go.ticto.com.br/t/bd1f298b")</f>
        <v>https://go.ticto.com.br/t/bd1f298b</v>
      </c>
      <c r="Y2856" s="77" t="s">
        <v>7252</v>
      </c>
      <c r="Z2856" s="77"/>
      <c r="AA2856" s="77" t="s">
        <v>9210</v>
      </c>
      <c r="AB2856" s="77" t="s">
        <v>10129</v>
      </c>
      <c r="AC2856" s="82" t="s">
        <v>10146</v>
      </c>
      <c r="AD2856" s="77" t="s">
        <v>10184</v>
      </c>
      <c r="AE2856" s="80" t="str">
        <f>HYPERLINK("https://twitter.com/eddie_poker/status/1627239064733732864")</f>
        <v>https://twitter.com/eddie_poker/status/1627239064733732864</v>
      </c>
      <c r="AF2856" s="79">
        <v>44976.395833333336</v>
      </c>
      <c r="AG2856" s="85">
        <v>44976</v>
      </c>
      <c r="AH2856" s="82" t="s">
        <v>12880</v>
      </c>
      <c r="AI2856" s="77" t="b">
        <v>0</v>
      </c>
      <c r="AJ2856" s="77"/>
      <c r="AK2856" s="77"/>
      <c r="AL2856" s="77"/>
      <c r="AM2856" s="77"/>
      <c r="AN2856" s="77"/>
      <c r="AO2856" s="77"/>
      <c r="AP2856" s="77"/>
      <c r="AQ2856" s="77" t="s">
        <v>15853</v>
      </c>
      <c r="AR2856" s="77">
        <v>29559</v>
      </c>
      <c r="AS2856" s="77"/>
      <c r="AT2856" s="77"/>
      <c r="AU2856" s="77"/>
      <c r="AV2856" s="80" t="str">
        <f>HYPERLINK("https://pbs.twimg.com/ext_tw_video_thumb/1627079922165649409/pu/img/NWDMHCzQhKLoi7ib.jpg")</f>
        <v>https://pbs.twimg.com/ext_tw_video_thumb/1627079922165649409/pu/img/NWDMHCzQhKLoi7ib.jpg</v>
      </c>
      <c r="AW2856" s="82" t="s">
        <v>19622</v>
      </c>
      <c r="AX2856" s="82" t="s">
        <v>19622</v>
      </c>
      <c r="AY2856" s="77"/>
      <c r="AZ2856" s="82" t="s">
        <v>20971</v>
      </c>
      <c r="BA2856" s="82" t="s">
        <v>20971</v>
      </c>
      <c r="BB2856" s="82" t="s">
        <v>20971</v>
      </c>
      <c r="BC2856" s="82" t="s">
        <v>19622</v>
      </c>
      <c r="BD2856" s="77">
        <v>634133167</v>
      </c>
      <c r="BE2856" s="77"/>
      <c r="BF2856" s="77"/>
      <c r="BG2856" s="77"/>
      <c r="BH2856" s="77"/>
      <c r="BI2856" s="77"/>
    </row>
    <row r="2857" spans="1:61" x14ac:dyDescent="0.25">
      <c r="A2857" s="62" t="s">
        <v>949</v>
      </c>
      <c r="B2857" s="62" t="s">
        <v>949</v>
      </c>
      <c r="C2857" s="63"/>
      <c r="D2857" s="64"/>
      <c r="E2857" s="65"/>
      <c r="F2857" s="66"/>
      <c r="G2857" s="63"/>
      <c r="H2857" s="67"/>
      <c r="I2857" s="68"/>
      <c r="J2857" s="68"/>
      <c r="K2857" s="32"/>
      <c r="L2857" s="75">
        <v>2857</v>
      </c>
      <c r="M2857" s="75"/>
      <c r="N2857" s="70"/>
      <c r="O2857" s="77" t="s">
        <v>179</v>
      </c>
      <c r="P2857" s="79">
        <v>44976.145833333336</v>
      </c>
      <c r="Q2857" s="77" t="s">
        <v>4063</v>
      </c>
      <c r="R2857" s="77">
        <v>0</v>
      </c>
      <c r="S2857" s="77">
        <v>0</v>
      </c>
      <c r="T2857" s="77">
        <v>0</v>
      </c>
      <c r="U2857" s="77">
        <v>0</v>
      </c>
      <c r="V2857" s="77">
        <v>415</v>
      </c>
      <c r="W2857" s="82" t="s">
        <v>6615</v>
      </c>
      <c r="X2857" s="80" t="str">
        <f>HYPERLINK("https://go.ticto.com.br/t/bd1f298b")</f>
        <v>https://go.ticto.com.br/t/bd1f298b</v>
      </c>
      <c r="Y2857" s="77" t="s">
        <v>7252</v>
      </c>
      <c r="Z2857" s="77"/>
      <c r="AA2857" s="77" t="s">
        <v>9211</v>
      </c>
      <c r="AB2857" s="77" t="s">
        <v>10129</v>
      </c>
      <c r="AC2857" s="82" t="s">
        <v>10146</v>
      </c>
      <c r="AD2857" s="77" t="s">
        <v>10184</v>
      </c>
      <c r="AE2857" s="80" t="str">
        <f>HYPERLINK("https://twitter.com/eddie_poker/status/1627148467054473216")</f>
        <v>https://twitter.com/eddie_poker/status/1627148467054473216</v>
      </c>
      <c r="AF2857" s="79">
        <v>44976.145833333336</v>
      </c>
      <c r="AG2857" s="85">
        <v>44976</v>
      </c>
      <c r="AH2857" s="82" t="s">
        <v>12881</v>
      </c>
      <c r="AI2857" s="77" t="b">
        <v>0</v>
      </c>
      <c r="AJ2857" s="77"/>
      <c r="AK2857" s="77"/>
      <c r="AL2857" s="77"/>
      <c r="AM2857" s="77"/>
      <c r="AN2857" s="77"/>
      <c r="AO2857" s="77"/>
      <c r="AP2857" s="77"/>
      <c r="AQ2857" s="77" t="s">
        <v>15854</v>
      </c>
      <c r="AR2857" s="77">
        <v>29559</v>
      </c>
      <c r="AS2857" s="77"/>
      <c r="AT2857" s="77"/>
      <c r="AU2857" s="77"/>
      <c r="AV2857" s="80" t="str">
        <f>HYPERLINK("https://pbs.twimg.com/ext_tw_video_thumb/1627084972074090509/pu/img/lX87vTmI3BdaOy5d.jpg")</f>
        <v>https://pbs.twimg.com/ext_tw_video_thumb/1627084972074090509/pu/img/lX87vTmI3BdaOy5d.jpg</v>
      </c>
      <c r="AW2857" s="82" t="s">
        <v>19623</v>
      </c>
      <c r="AX2857" s="82" t="s">
        <v>19623</v>
      </c>
      <c r="AY2857" s="77"/>
      <c r="AZ2857" s="82" t="s">
        <v>20971</v>
      </c>
      <c r="BA2857" s="82" t="s">
        <v>20971</v>
      </c>
      <c r="BB2857" s="82" t="s">
        <v>20971</v>
      </c>
      <c r="BC2857" s="82" t="s">
        <v>19623</v>
      </c>
      <c r="BD2857" s="77">
        <v>634133167</v>
      </c>
      <c r="BE2857" s="77"/>
      <c r="BF2857" s="77"/>
      <c r="BG2857" s="77"/>
      <c r="BH2857" s="77"/>
      <c r="BI2857" s="77"/>
    </row>
    <row r="2858" spans="1:61" x14ac:dyDescent="0.25">
      <c r="A2858" s="62" t="s">
        <v>950</v>
      </c>
      <c r="B2858" s="62" t="s">
        <v>950</v>
      </c>
      <c r="C2858" s="63"/>
      <c r="D2858" s="64"/>
      <c r="E2858" s="65"/>
      <c r="F2858" s="66"/>
      <c r="G2858" s="63"/>
      <c r="H2858" s="67"/>
      <c r="I2858" s="68"/>
      <c r="J2858" s="68"/>
      <c r="K2858" s="32"/>
      <c r="L2858" s="75">
        <v>2858</v>
      </c>
      <c r="M2858" s="75"/>
      <c r="N2858" s="70"/>
      <c r="O2858" s="77" t="s">
        <v>179</v>
      </c>
      <c r="P2858" s="79">
        <v>44988.740520833337</v>
      </c>
      <c r="Q2858" s="77" t="s">
        <v>4064</v>
      </c>
      <c r="R2858" s="77">
        <v>0</v>
      </c>
      <c r="S2858" s="77">
        <v>0</v>
      </c>
      <c r="T2858" s="77">
        <v>0</v>
      </c>
      <c r="U2858" s="77">
        <v>0</v>
      </c>
      <c r="V2858" s="77">
        <v>7</v>
      </c>
      <c r="W2858" s="82" t="s">
        <v>6616</v>
      </c>
      <c r="X2858" s="77"/>
      <c r="Y2858" s="77"/>
      <c r="Z2858" s="77"/>
      <c r="AA2858" s="77" t="s">
        <v>9212</v>
      </c>
      <c r="AB2858" s="77" t="s">
        <v>10130</v>
      </c>
      <c r="AC2858" s="82" t="s">
        <v>10175</v>
      </c>
      <c r="AD2858" s="77" t="s">
        <v>10183</v>
      </c>
      <c r="AE2858" s="80" t="str">
        <f>HYPERLINK("https://twitter.com/discoverrecipes/status/1631712631412121600")</f>
        <v>https://twitter.com/discoverrecipes/status/1631712631412121600</v>
      </c>
      <c r="AF2858" s="79">
        <v>44988.740520833337</v>
      </c>
      <c r="AG2858" s="85">
        <v>44988</v>
      </c>
      <c r="AH2858" s="82" t="s">
        <v>12890</v>
      </c>
      <c r="AI2858" s="77" t="b">
        <v>0</v>
      </c>
      <c r="AJ2858" s="77"/>
      <c r="AK2858" s="77"/>
      <c r="AL2858" s="77"/>
      <c r="AM2858" s="77"/>
      <c r="AN2858" s="77"/>
      <c r="AO2858" s="77"/>
      <c r="AP2858" s="77"/>
      <c r="AQ2858" s="77" t="s">
        <v>15855</v>
      </c>
      <c r="AR2858" s="77"/>
      <c r="AS2858" s="77"/>
      <c r="AT2858" s="77"/>
      <c r="AU2858" s="77"/>
      <c r="AV2858" s="80" t="str">
        <f>HYPERLINK("https://pbs.twimg.com/media/FqUB_aTXgAY1B4M.jpg")</f>
        <v>https://pbs.twimg.com/media/FqUB_aTXgAY1B4M.jpg</v>
      </c>
      <c r="AW2858" s="82" t="s">
        <v>19624</v>
      </c>
      <c r="AX2858" s="82" t="s">
        <v>19624</v>
      </c>
      <c r="AY2858" s="77"/>
      <c r="AZ2858" s="82" t="s">
        <v>20971</v>
      </c>
      <c r="BA2858" s="82" t="s">
        <v>20971</v>
      </c>
      <c r="BB2858" s="82" t="s">
        <v>20971</v>
      </c>
      <c r="BC2858" s="82" t="s">
        <v>19624</v>
      </c>
      <c r="BD2858" s="82" t="s">
        <v>21553</v>
      </c>
      <c r="BE2858" s="77"/>
      <c r="BF2858" s="77"/>
      <c r="BG2858" s="77"/>
      <c r="BH2858" s="77"/>
      <c r="BI2858" s="77"/>
    </row>
    <row r="2859" spans="1:61" x14ac:dyDescent="0.25">
      <c r="A2859" s="62" t="s">
        <v>951</v>
      </c>
      <c r="B2859" s="62" t="s">
        <v>951</v>
      </c>
      <c r="C2859" s="63"/>
      <c r="D2859" s="64"/>
      <c r="E2859" s="65"/>
      <c r="F2859" s="66"/>
      <c r="G2859" s="63"/>
      <c r="H2859" s="67"/>
      <c r="I2859" s="68"/>
      <c r="J2859" s="68"/>
      <c r="K2859" s="32"/>
      <c r="L2859" s="75">
        <v>2859</v>
      </c>
      <c r="M2859" s="75"/>
      <c r="N2859" s="70"/>
      <c r="O2859" s="77" t="s">
        <v>179</v>
      </c>
      <c r="P2859" s="79">
        <v>45083.837488425925</v>
      </c>
      <c r="Q2859" s="77" t="s">
        <v>4065</v>
      </c>
      <c r="R2859" s="77">
        <v>0</v>
      </c>
      <c r="S2859" s="77">
        <v>0</v>
      </c>
      <c r="T2859" s="77">
        <v>0</v>
      </c>
      <c r="U2859" s="77">
        <v>0</v>
      </c>
      <c r="V2859" s="77">
        <v>7</v>
      </c>
      <c r="W2859" s="82" t="s">
        <v>6617</v>
      </c>
      <c r="X2859" s="77" t="s">
        <v>7229</v>
      </c>
      <c r="Y2859" s="77" t="s">
        <v>7446</v>
      </c>
      <c r="Z2859" s="77"/>
      <c r="AA2859" s="77"/>
      <c r="AB2859" s="77"/>
      <c r="AC2859" s="82" t="s">
        <v>10167</v>
      </c>
      <c r="AD2859" s="77" t="s">
        <v>10184</v>
      </c>
      <c r="AE2859" s="80" t="str">
        <f>HYPERLINK("https://twitter.com/ricardofabrizio/status/1666174618892206083")</f>
        <v>https://twitter.com/ricardofabrizio/status/1666174618892206083</v>
      </c>
      <c r="AF2859" s="79">
        <v>45083.837488425925</v>
      </c>
      <c r="AG2859" s="85">
        <v>45083</v>
      </c>
      <c r="AH2859" s="82" t="s">
        <v>12891</v>
      </c>
      <c r="AI2859" s="77" t="b">
        <v>0</v>
      </c>
      <c r="AJ2859" s="77"/>
      <c r="AK2859" s="77"/>
      <c r="AL2859" s="77"/>
      <c r="AM2859" s="77"/>
      <c r="AN2859" s="77"/>
      <c r="AO2859" s="77"/>
      <c r="AP2859" s="77"/>
      <c r="AQ2859" s="77"/>
      <c r="AR2859" s="77"/>
      <c r="AS2859" s="77"/>
      <c r="AT2859" s="77"/>
      <c r="AU2859" s="77"/>
      <c r="AV2859" s="80" t="str">
        <f>HYPERLINK("https://pbs.twimg.com/profile_images/1115722625899225094/DA9SzYRC_normal.jpg")</f>
        <v>https://pbs.twimg.com/profile_images/1115722625899225094/DA9SzYRC_normal.jpg</v>
      </c>
      <c r="AW2859" s="82" t="s">
        <v>19625</v>
      </c>
      <c r="AX2859" s="82" t="s">
        <v>19625</v>
      </c>
      <c r="AY2859" s="77"/>
      <c r="AZ2859" s="82" t="s">
        <v>20971</v>
      </c>
      <c r="BA2859" s="82" t="s">
        <v>20971</v>
      </c>
      <c r="BB2859" s="82" t="s">
        <v>20971</v>
      </c>
      <c r="BC2859" s="82" t="s">
        <v>19625</v>
      </c>
      <c r="BD2859" s="77">
        <v>17084658</v>
      </c>
      <c r="BE2859" s="77"/>
      <c r="BF2859" s="77"/>
      <c r="BG2859" s="77"/>
      <c r="BH2859" s="77"/>
      <c r="BI2859" s="77"/>
    </row>
    <row r="2860" spans="1:61" x14ac:dyDescent="0.25">
      <c r="A2860" s="62" t="s">
        <v>952</v>
      </c>
      <c r="B2860" s="62" t="s">
        <v>952</v>
      </c>
      <c r="C2860" s="63"/>
      <c r="D2860" s="64"/>
      <c r="E2860" s="65"/>
      <c r="F2860" s="66"/>
      <c r="G2860" s="63"/>
      <c r="H2860" s="67"/>
      <c r="I2860" s="68"/>
      <c r="J2860" s="68"/>
      <c r="K2860" s="32"/>
      <c r="L2860" s="75">
        <v>2860</v>
      </c>
      <c r="M2860" s="75"/>
      <c r="N2860" s="70"/>
      <c r="O2860" s="77" t="s">
        <v>179</v>
      </c>
      <c r="P2860" s="79">
        <v>44978.740451388891</v>
      </c>
      <c r="Q2860" s="77" t="s">
        <v>4066</v>
      </c>
      <c r="R2860" s="77">
        <v>0</v>
      </c>
      <c r="S2860" s="77">
        <v>0</v>
      </c>
      <c r="T2860" s="77">
        <v>1</v>
      </c>
      <c r="U2860" s="77">
        <v>0</v>
      </c>
      <c r="V2860" s="77">
        <v>36</v>
      </c>
      <c r="W2860" s="82" t="s">
        <v>6618</v>
      </c>
      <c r="X2860" s="77"/>
      <c r="Y2860" s="77"/>
      <c r="Z2860" s="77"/>
      <c r="AA2860" s="77" t="s">
        <v>9213</v>
      </c>
      <c r="AB2860" s="77" t="s">
        <v>10130</v>
      </c>
      <c r="AC2860" s="82" t="s">
        <v>10144</v>
      </c>
      <c r="AD2860" s="77" t="s">
        <v>10183</v>
      </c>
      <c r="AE2860" s="80" t="str">
        <f>HYPERLINK("https://twitter.com/matheus55233118/status/1628088726575251483")</f>
        <v>https://twitter.com/matheus55233118/status/1628088726575251483</v>
      </c>
      <c r="AF2860" s="79">
        <v>44978.740451388891</v>
      </c>
      <c r="AG2860" s="85">
        <v>44978</v>
      </c>
      <c r="AH2860" s="82" t="s">
        <v>12892</v>
      </c>
      <c r="AI2860" s="77" t="b">
        <v>0</v>
      </c>
      <c r="AJ2860" s="77"/>
      <c r="AK2860" s="77"/>
      <c r="AL2860" s="77"/>
      <c r="AM2860" s="77"/>
      <c r="AN2860" s="77"/>
      <c r="AO2860" s="77"/>
      <c r="AP2860" s="77"/>
      <c r="AQ2860" s="77" t="s">
        <v>15856</v>
      </c>
      <c r="AR2860" s="77"/>
      <c r="AS2860" s="77"/>
      <c r="AT2860" s="77"/>
      <c r="AU2860" s="77"/>
      <c r="AV2860" s="80" t="str">
        <f>HYPERLINK("https://pbs.twimg.com/media/FpgiEX-WACMcfpG.jpg")</f>
        <v>https://pbs.twimg.com/media/FpgiEX-WACMcfpG.jpg</v>
      </c>
      <c r="AW2860" s="82" t="s">
        <v>19626</v>
      </c>
      <c r="AX2860" s="82" t="s">
        <v>19626</v>
      </c>
      <c r="AY2860" s="77"/>
      <c r="AZ2860" s="82" t="s">
        <v>20971</v>
      </c>
      <c r="BA2860" s="82" t="s">
        <v>20971</v>
      </c>
      <c r="BB2860" s="82" t="s">
        <v>20971</v>
      </c>
      <c r="BC2860" s="82" t="s">
        <v>19626</v>
      </c>
      <c r="BD2860" s="82" t="s">
        <v>21554</v>
      </c>
      <c r="BE2860" s="77"/>
      <c r="BF2860" s="77"/>
      <c r="BG2860" s="77"/>
      <c r="BH2860" s="77"/>
      <c r="BI2860" s="77"/>
    </row>
    <row r="2861" spans="1:61" x14ac:dyDescent="0.25">
      <c r="A2861" s="62" t="s">
        <v>953</v>
      </c>
      <c r="B2861" s="62" t="s">
        <v>953</v>
      </c>
      <c r="C2861" s="63"/>
      <c r="D2861" s="64"/>
      <c r="E2861" s="65"/>
      <c r="F2861" s="66"/>
      <c r="G2861" s="63"/>
      <c r="H2861" s="67"/>
      <c r="I2861" s="68"/>
      <c r="J2861" s="68"/>
      <c r="K2861" s="32"/>
      <c r="L2861" s="75">
        <v>2861</v>
      </c>
      <c r="M2861" s="75"/>
      <c r="N2861" s="70"/>
      <c r="O2861" s="77" t="s">
        <v>179</v>
      </c>
      <c r="P2861" s="79">
        <v>45043.782025462962</v>
      </c>
      <c r="Q2861" s="77" t="s">
        <v>4067</v>
      </c>
      <c r="R2861" s="77">
        <v>0</v>
      </c>
      <c r="S2861" s="77">
        <v>0</v>
      </c>
      <c r="T2861" s="77">
        <v>0</v>
      </c>
      <c r="U2861" s="77">
        <v>0</v>
      </c>
      <c r="V2861" s="77">
        <v>231</v>
      </c>
      <c r="W2861" s="82" t="s">
        <v>6619</v>
      </c>
      <c r="X2861" s="77"/>
      <c r="Y2861" s="77"/>
      <c r="Z2861" s="77"/>
      <c r="AA2861" s="77" t="s">
        <v>9214</v>
      </c>
      <c r="AB2861" s="77" t="s">
        <v>10130</v>
      </c>
      <c r="AC2861" s="82" t="s">
        <v>10144</v>
      </c>
      <c r="AD2861" s="77" t="s">
        <v>10184</v>
      </c>
      <c r="AE2861" s="80" t="str">
        <f>HYPERLINK("https://twitter.com/bunnieshole/status/1651659003494015000")</f>
        <v>https://twitter.com/bunnieshole/status/1651659003494015000</v>
      </c>
      <c r="AF2861" s="79">
        <v>45043.782025462962</v>
      </c>
      <c r="AG2861" s="85">
        <v>45043</v>
      </c>
      <c r="AH2861" s="82" t="s">
        <v>11865</v>
      </c>
      <c r="AI2861" s="77" t="b">
        <v>0</v>
      </c>
      <c r="AJ2861" s="77"/>
      <c r="AK2861" s="77"/>
      <c r="AL2861" s="77"/>
      <c r="AM2861" s="77"/>
      <c r="AN2861" s="77"/>
      <c r="AO2861" s="77"/>
      <c r="AP2861" s="77"/>
      <c r="AQ2861" s="77" t="s">
        <v>15857</v>
      </c>
      <c r="AR2861" s="77"/>
      <c r="AS2861" s="77"/>
      <c r="AT2861" s="77"/>
      <c r="AU2861" s="77"/>
      <c r="AV2861" s="80" t="str">
        <f>HYPERLINK("https://pbs.twimg.com/media/FuvfHDEWIBs1QGC.jpg")</f>
        <v>https://pbs.twimg.com/media/FuvfHDEWIBs1QGC.jpg</v>
      </c>
      <c r="AW2861" s="82" t="s">
        <v>19627</v>
      </c>
      <c r="AX2861" s="82" t="s">
        <v>19627</v>
      </c>
      <c r="AY2861" s="77"/>
      <c r="AZ2861" s="82" t="s">
        <v>20971</v>
      </c>
      <c r="BA2861" s="82" t="s">
        <v>20971</v>
      </c>
      <c r="BB2861" s="82" t="s">
        <v>20971</v>
      </c>
      <c r="BC2861" s="82" t="s">
        <v>19627</v>
      </c>
      <c r="BD2861" s="82" t="s">
        <v>21555</v>
      </c>
      <c r="BE2861" s="77"/>
      <c r="BF2861" s="77"/>
      <c r="BG2861" s="77"/>
      <c r="BH2861" s="77"/>
      <c r="BI2861" s="77"/>
    </row>
    <row r="2862" spans="1:61" x14ac:dyDescent="0.25">
      <c r="A2862" s="62" t="s">
        <v>953</v>
      </c>
      <c r="B2862" s="62" t="s">
        <v>953</v>
      </c>
      <c r="C2862" s="63"/>
      <c r="D2862" s="64"/>
      <c r="E2862" s="65"/>
      <c r="F2862" s="66"/>
      <c r="G2862" s="63"/>
      <c r="H2862" s="67"/>
      <c r="I2862" s="68"/>
      <c r="J2862" s="68"/>
      <c r="K2862" s="32"/>
      <c r="L2862" s="75">
        <v>2862</v>
      </c>
      <c r="M2862" s="75"/>
      <c r="N2862" s="70"/>
      <c r="O2862" s="77" t="s">
        <v>179</v>
      </c>
      <c r="P2862" s="79">
        <v>45142.737905092596</v>
      </c>
      <c r="Q2862" s="77" t="s">
        <v>4068</v>
      </c>
      <c r="R2862" s="77">
        <v>0</v>
      </c>
      <c r="S2862" s="77">
        <v>0</v>
      </c>
      <c r="T2862" s="77">
        <v>0</v>
      </c>
      <c r="U2862" s="77">
        <v>0</v>
      </c>
      <c r="V2862" s="77">
        <v>163</v>
      </c>
      <c r="W2862" s="82" t="s">
        <v>6620</v>
      </c>
      <c r="X2862" s="77"/>
      <c r="Y2862" s="77"/>
      <c r="Z2862" s="77"/>
      <c r="AA2862" s="77" t="s">
        <v>9215</v>
      </c>
      <c r="AB2862" s="77" t="s">
        <v>10130</v>
      </c>
      <c r="AC2862" s="82" t="s">
        <v>10146</v>
      </c>
      <c r="AD2862" s="77" t="s">
        <v>10184</v>
      </c>
      <c r="AE2862" s="80" t="str">
        <f>HYPERLINK("https://twitter.com/bunnieshole/status/1687519415527493642")</f>
        <v>https://twitter.com/bunnieshole/status/1687519415527493642</v>
      </c>
      <c r="AF2862" s="79">
        <v>45142.737905092596</v>
      </c>
      <c r="AG2862" s="85">
        <v>45142</v>
      </c>
      <c r="AH2862" s="82" t="s">
        <v>12893</v>
      </c>
      <c r="AI2862" s="77" t="b">
        <v>0</v>
      </c>
      <c r="AJ2862" s="77"/>
      <c r="AK2862" s="77"/>
      <c r="AL2862" s="77"/>
      <c r="AM2862" s="77"/>
      <c r="AN2862" s="77"/>
      <c r="AO2862" s="77"/>
      <c r="AP2862" s="77"/>
      <c r="AQ2862" s="77" t="s">
        <v>15858</v>
      </c>
      <c r="AR2862" s="77"/>
      <c r="AS2862" s="77"/>
      <c r="AT2862" s="77"/>
      <c r="AU2862" s="77"/>
      <c r="AV2862" s="80" t="str">
        <f>HYPERLINK("https://pbs.twimg.com/media/F2tF7-RXUAEdWyC.jpg")</f>
        <v>https://pbs.twimg.com/media/F2tF7-RXUAEdWyC.jpg</v>
      </c>
      <c r="AW2862" s="82" t="s">
        <v>19628</v>
      </c>
      <c r="AX2862" s="82" t="s">
        <v>19628</v>
      </c>
      <c r="AY2862" s="77"/>
      <c r="AZ2862" s="82" t="s">
        <v>20971</v>
      </c>
      <c r="BA2862" s="82" t="s">
        <v>20971</v>
      </c>
      <c r="BB2862" s="82" t="s">
        <v>20971</v>
      </c>
      <c r="BC2862" s="82" t="s">
        <v>19628</v>
      </c>
      <c r="BD2862" s="82" t="s">
        <v>21555</v>
      </c>
      <c r="BE2862" s="77"/>
      <c r="BF2862" s="77"/>
      <c r="BG2862" s="77"/>
      <c r="BH2862" s="77"/>
      <c r="BI2862" s="77"/>
    </row>
    <row r="2863" spans="1:61" x14ac:dyDescent="0.25">
      <c r="A2863" s="62" t="s">
        <v>954</v>
      </c>
      <c r="B2863" s="62" t="s">
        <v>954</v>
      </c>
      <c r="C2863" s="63"/>
      <c r="D2863" s="64"/>
      <c r="E2863" s="65"/>
      <c r="F2863" s="66"/>
      <c r="G2863" s="63"/>
      <c r="H2863" s="67"/>
      <c r="I2863" s="68"/>
      <c r="J2863" s="68"/>
      <c r="K2863" s="32"/>
      <c r="L2863" s="75">
        <v>2863</v>
      </c>
      <c r="M2863" s="75"/>
      <c r="N2863" s="70"/>
      <c r="O2863" s="77" t="s">
        <v>179</v>
      </c>
      <c r="P2863" s="79">
        <v>45108.000555555554</v>
      </c>
      <c r="Q2863" s="77" t="s">
        <v>4069</v>
      </c>
      <c r="R2863" s="77">
        <v>0</v>
      </c>
      <c r="S2863" s="77">
        <v>0</v>
      </c>
      <c r="T2863" s="77">
        <v>0</v>
      </c>
      <c r="U2863" s="77">
        <v>0</v>
      </c>
      <c r="V2863" s="77">
        <v>41</v>
      </c>
      <c r="W2863" s="82" t="s">
        <v>6621</v>
      </c>
      <c r="X2863" s="77"/>
      <c r="Y2863" s="77"/>
      <c r="Z2863" s="77"/>
      <c r="AA2863" s="77" t="s">
        <v>9216</v>
      </c>
      <c r="AB2863" s="77" t="s">
        <v>10130</v>
      </c>
      <c r="AC2863" s="82" t="s">
        <v>10146</v>
      </c>
      <c r="AD2863" s="77" t="s">
        <v>10183</v>
      </c>
      <c r="AE2863" s="80" t="str">
        <f>HYPERLINK("https://twitter.com/lucasmkd701/status/1674931017939820546")</f>
        <v>https://twitter.com/lucasmkd701/status/1674931017939820546</v>
      </c>
      <c r="AF2863" s="79">
        <v>45108.000555555554</v>
      </c>
      <c r="AG2863" s="85">
        <v>45108</v>
      </c>
      <c r="AH2863" s="82" t="s">
        <v>12894</v>
      </c>
      <c r="AI2863" s="77" t="b">
        <v>0</v>
      </c>
      <c r="AJ2863" s="77"/>
      <c r="AK2863" s="77"/>
      <c r="AL2863" s="77"/>
      <c r="AM2863" s="77"/>
      <c r="AN2863" s="77"/>
      <c r="AO2863" s="77"/>
      <c r="AP2863" s="77"/>
      <c r="AQ2863" s="77" t="s">
        <v>15859</v>
      </c>
      <c r="AR2863" s="77"/>
      <c r="AS2863" s="77"/>
      <c r="AT2863" s="77"/>
      <c r="AU2863" s="77"/>
      <c r="AV2863" s="80" t="str">
        <f>HYPERLINK("https://pbs.twimg.com/media/Fz6M0LHWAAEYLwM.jpg")</f>
        <v>https://pbs.twimg.com/media/Fz6M0LHWAAEYLwM.jpg</v>
      </c>
      <c r="AW2863" s="82" t="s">
        <v>19629</v>
      </c>
      <c r="AX2863" s="82" t="s">
        <v>19629</v>
      </c>
      <c r="AY2863" s="77"/>
      <c r="AZ2863" s="82" t="s">
        <v>20971</v>
      </c>
      <c r="BA2863" s="82" t="s">
        <v>20971</v>
      </c>
      <c r="BB2863" s="82" t="s">
        <v>20971</v>
      </c>
      <c r="BC2863" s="82" t="s">
        <v>19629</v>
      </c>
      <c r="BD2863" s="82" t="s">
        <v>21556</v>
      </c>
      <c r="BE2863" s="77"/>
      <c r="BF2863" s="77"/>
      <c r="BG2863" s="77"/>
      <c r="BH2863" s="77"/>
      <c r="BI2863" s="77"/>
    </row>
    <row r="2864" spans="1:61" x14ac:dyDescent="0.25">
      <c r="A2864" s="62" t="s">
        <v>954</v>
      </c>
      <c r="B2864" s="62" t="s">
        <v>954</v>
      </c>
      <c r="C2864" s="63"/>
      <c r="D2864" s="64"/>
      <c r="E2864" s="65"/>
      <c r="F2864" s="66"/>
      <c r="G2864" s="63"/>
      <c r="H2864" s="67"/>
      <c r="I2864" s="68"/>
      <c r="J2864" s="68"/>
      <c r="K2864" s="32"/>
      <c r="L2864" s="75">
        <v>2864</v>
      </c>
      <c r="M2864" s="75"/>
      <c r="N2864" s="70"/>
      <c r="O2864" s="77" t="s">
        <v>179</v>
      </c>
      <c r="P2864" s="79">
        <v>45107.99790509259</v>
      </c>
      <c r="Q2864" s="77" t="s">
        <v>4070</v>
      </c>
      <c r="R2864" s="77">
        <v>0</v>
      </c>
      <c r="S2864" s="77">
        <v>0</v>
      </c>
      <c r="T2864" s="77">
        <v>0</v>
      </c>
      <c r="U2864" s="77">
        <v>0</v>
      </c>
      <c r="V2864" s="77">
        <v>20</v>
      </c>
      <c r="W2864" s="82" t="s">
        <v>6621</v>
      </c>
      <c r="X2864" s="77"/>
      <c r="Y2864" s="77"/>
      <c r="Z2864" s="77"/>
      <c r="AA2864" s="77" t="s">
        <v>9217</v>
      </c>
      <c r="AB2864" s="77" t="s">
        <v>10130</v>
      </c>
      <c r="AC2864" s="82" t="s">
        <v>10146</v>
      </c>
      <c r="AD2864" s="77" t="s">
        <v>10183</v>
      </c>
      <c r="AE2864" s="80" t="str">
        <f>HYPERLINK("https://twitter.com/lucasmkd701/status/1674930057892986886")</f>
        <v>https://twitter.com/lucasmkd701/status/1674930057892986886</v>
      </c>
      <c r="AF2864" s="79">
        <v>45107.99790509259</v>
      </c>
      <c r="AG2864" s="85">
        <v>45107</v>
      </c>
      <c r="AH2864" s="82" t="s">
        <v>12895</v>
      </c>
      <c r="AI2864" s="77" t="b">
        <v>0</v>
      </c>
      <c r="AJ2864" s="77"/>
      <c r="AK2864" s="77"/>
      <c r="AL2864" s="77"/>
      <c r="AM2864" s="77"/>
      <c r="AN2864" s="77"/>
      <c r="AO2864" s="77"/>
      <c r="AP2864" s="77"/>
      <c r="AQ2864" s="77" t="s">
        <v>15860</v>
      </c>
      <c r="AR2864" s="77"/>
      <c r="AS2864" s="77"/>
      <c r="AT2864" s="77"/>
      <c r="AU2864" s="77"/>
      <c r="AV2864" s="80" t="str">
        <f>HYPERLINK("https://pbs.twimg.com/media/Fz6LkARXwAE5G4X.jpg")</f>
        <v>https://pbs.twimg.com/media/Fz6LkARXwAE5G4X.jpg</v>
      </c>
      <c r="AW2864" s="82" t="s">
        <v>19630</v>
      </c>
      <c r="AX2864" s="82" t="s">
        <v>19630</v>
      </c>
      <c r="AY2864" s="77"/>
      <c r="AZ2864" s="82" t="s">
        <v>20971</v>
      </c>
      <c r="BA2864" s="82" t="s">
        <v>20971</v>
      </c>
      <c r="BB2864" s="82" t="s">
        <v>20971</v>
      </c>
      <c r="BC2864" s="82" t="s">
        <v>19630</v>
      </c>
      <c r="BD2864" s="82" t="s">
        <v>21556</v>
      </c>
      <c r="BE2864" s="77"/>
      <c r="BF2864" s="77"/>
      <c r="BG2864" s="77"/>
      <c r="BH2864" s="77"/>
      <c r="BI2864" s="77"/>
    </row>
    <row r="2865" spans="1:61" x14ac:dyDescent="0.25">
      <c r="A2865" s="62" t="s">
        <v>955</v>
      </c>
      <c r="B2865" s="62" t="s">
        <v>955</v>
      </c>
      <c r="C2865" s="63"/>
      <c r="D2865" s="64"/>
      <c r="E2865" s="65"/>
      <c r="F2865" s="66"/>
      <c r="G2865" s="63"/>
      <c r="H2865" s="67"/>
      <c r="I2865" s="68"/>
      <c r="J2865" s="68"/>
      <c r="K2865" s="32"/>
      <c r="L2865" s="75">
        <v>2865</v>
      </c>
      <c r="M2865" s="75"/>
      <c r="N2865" s="70"/>
      <c r="O2865" s="77" t="s">
        <v>179</v>
      </c>
      <c r="P2865" s="79">
        <v>45174.833333333336</v>
      </c>
      <c r="Q2865" s="77" t="s">
        <v>4071</v>
      </c>
      <c r="R2865" s="77">
        <v>0</v>
      </c>
      <c r="S2865" s="77">
        <v>1</v>
      </c>
      <c r="T2865" s="77">
        <v>0</v>
      </c>
      <c r="U2865" s="77">
        <v>0</v>
      </c>
      <c r="V2865" s="77">
        <v>81</v>
      </c>
      <c r="W2865" s="82" t="s">
        <v>6622</v>
      </c>
      <c r="X2865" s="77"/>
      <c r="Y2865" s="77"/>
      <c r="Z2865" s="77"/>
      <c r="AA2865" s="77"/>
      <c r="AB2865" s="77"/>
      <c r="AC2865" s="82" t="s">
        <v>10146</v>
      </c>
      <c r="AD2865" s="77" t="s">
        <v>10184</v>
      </c>
      <c r="AE2865" s="80" t="str">
        <f>HYPERLINK("https://twitter.com/b1_bet/status/1699150407572783396")</f>
        <v>https://twitter.com/b1_bet/status/1699150407572783396</v>
      </c>
      <c r="AF2865" s="79">
        <v>45174.833333333336</v>
      </c>
      <c r="AG2865" s="85">
        <v>45174</v>
      </c>
      <c r="AH2865" s="82" t="s">
        <v>12896</v>
      </c>
      <c r="AI2865" s="77"/>
      <c r="AJ2865" s="77"/>
      <c r="AK2865" s="77"/>
      <c r="AL2865" s="77"/>
      <c r="AM2865" s="77"/>
      <c r="AN2865" s="77"/>
      <c r="AO2865" s="77"/>
      <c r="AP2865" s="77"/>
      <c r="AQ2865" s="77"/>
      <c r="AR2865" s="77"/>
      <c r="AS2865" s="77"/>
      <c r="AT2865" s="77"/>
      <c r="AU2865" s="77"/>
      <c r="AV2865" s="80" t="str">
        <f>HYPERLINK("https://pbs.twimg.com/profile_images/1611041644429574159/U79TneIP_normal.jpg")</f>
        <v>https://pbs.twimg.com/profile_images/1611041644429574159/U79TneIP_normal.jpg</v>
      </c>
      <c r="AW2865" s="82" t="s">
        <v>19631</v>
      </c>
      <c r="AX2865" s="82" t="s">
        <v>19631</v>
      </c>
      <c r="AY2865" s="77"/>
      <c r="AZ2865" s="82" t="s">
        <v>20971</v>
      </c>
      <c r="BA2865" s="82" t="s">
        <v>20971</v>
      </c>
      <c r="BB2865" s="82" t="s">
        <v>20971</v>
      </c>
      <c r="BC2865" s="82" t="s">
        <v>19631</v>
      </c>
      <c r="BD2865" s="82" t="s">
        <v>21557</v>
      </c>
      <c r="BE2865" s="77"/>
      <c r="BF2865" s="77"/>
      <c r="BG2865" s="77"/>
      <c r="BH2865" s="77"/>
      <c r="BI2865" s="77"/>
    </row>
    <row r="2866" spans="1:61" x14ac:dyDescent="0.25">
      <c r="A2866" s="62" t="s">
        <v>956</v>
      </c>
      <c r="B2866" s="62" t="s">
        <v>956</v>
      </c>
      <c r="C2866" s="63"/>
      <c r="D2866" s="64"/>
      <c r="E2866" s="65"/>
      <c r="F2866" s="66"/>
      <c r="G2866" s="63"/>
      <c r="H2866" s="67"/>
      <c r="I2866" s="68"/>
      <c r="J2866" s="68"/>
      <c r="K2866" s="32"/>
      <c r="L2866" s="75">
        <v>2866</v>
      </c>
      <c r="M2866" s="75"/>
      <c r="N2866" s="70"/>
      <c r="O2866" s="77" t="s">
        <v>179</v>
      </c>
      <c r="P2866" s="79">
        <v>45022.957546296297</v>
      </c>
      <c r="Q2866" s="77" t="s">
        <v>4072</v>
      </c>
      <c r="R2866" s="77">
        <v>0</v>
      </c>
      <c r="S2866" s="77">
        <v>0</v>
      </c>
      <c r="T2866" s="77">
        <v>0</v>
      </c>
      <c r="U2866" s="77">
        <v>0</v>
      </c>
      <c r="V2866" s="77">
        <v>13</v>
      </c>
      <c r="W2866" s="82" t="s">
        <v>6623</v>
      </c>
      <c r="X2866" s="77"/>
      <c r="Y2866" s="77"/>
      <c r="Z2866" s="77"/>
      <c r="AA2866" s="77"/>
      <c r="AB2866" s="77"/>
      <c r="AC2866" s="82" t="s">
        <v>10146</v>
      </c>
      <c r="AD2866" s="77" t="s">
        <v>10184</v>
      </c>
      <c r="AE2866" s="80" t="str">
        <f>HYPERLINK("https://twitter.com/ex_terior/status/1644112465712623616")</f>
        <v>https://twitter.com/ex_terior/status/1644112465712623616</v>
      </c>
      <c r="AF2866" s="79">
        <v>45022.957546296297</v>
      </c>
      <c r="AG2866" s="85">
        <v>45022</v>
      </c>
      <c r="AH2866" s="82" t="s">
        <v>12084</v>
      </c>
      <c r="AI2866" s="77"/>
      <c r="AJ2866" s="77"/>
      <c r="AK2866" s="77"/>
      <c r="AL2866" s="77"/>
      <c r="AM2866" s="77"/>
      <c r="AN2866" s="77"/>
      <c r="AO2866" s="77"/>
      <c r="AP2866" s="77"/>
      <c r="AQ2866" s="77"/>
      <c r="AR2866" s="77"/>
      <c r="AS2866" s="77"/>
      <c r="AT2866" s="77"/>
      <c r="AU2866" s="77"/>
      <c r="AV2866" s="80" t="str">
        <f>HYPERLINK("https://pbs.twimg.com/profile_images/1643749433325113346/r1dsz00Y_normal.jpg")</f>
        <v>https://pbs.twimg.com/profile_images/1643749433325113346/r1dsz00Y_normal.jpg</v>
      </c>
      <c r="AW2866" s="82" t="s">
        <v>19632</v>
      </c>
      <c r="AX2866" s="82" t="s">
        <v>19632</v>
      </c>
      <c r="AY2866" s="77"/>
      <c r="AZ2866" s="82" t="s">
        <v>20971</v>
      </c>
      <c r="BA2866" s="82" t="s">
        <v>20971</v>
      </c>
      <c r="BB2866" s="82" t="s">
        <v>20971</v>
      </c>
      <c r="BC2866" s="82" t="s">
        <v>19632</v>
      </c>
      <c r="BD2866" s="82" t="s">
        <v>21558</v>
      </c>
      <c r="BE2866" s="77"/>
      <c r="BF2866" s="77"/>
      <c r="BG2866" s="77"/>
      <c r="BH2866" s="77"/>
      <c r="BI2866" s="77"/>
    </row>
    <row r="2867" spans="1:61" x14ac:dyDescent="0.25">
      <c r="A2867" s="62" t="s">
        <v>957</v>
      </c>
      <c r="B2867" s="62" t="s">
        <v>957</v>
      </c>
      <c r="C2867" s="63"/>
      <c r="D2867" s="64"/>
      <c r="E2867" s="65"/>
      <c r="F2867" s="66"/>
      <c r="G2867" s="63"/>
      <c r="H2867" s="67"/>
      <c r="I2867" s="68"/>
      <c r="J2867" s="68"/>
      <c r="K2867" s="32"/>
      <c r="L2867" s="75">
        <v>2867</v>
      </c>
      <c r="M2867" s="75"/>
      <c r="N2867" s="70"/>
      <c r="O2867" s="77" t="s">
        <v>179</v>
      </c>
      <c r="P2867" s="79">
        <v>45043.916678240741</v>
      </c>
      <c r="Q2867" s="77" t="s">
        <v>4073</v>
      </c>
      <c r="R2867" s="77">
        <v>1</v>
      </c>
      <c r="S2867" s="77">
        <v>1</v>
      </c>
      <c r="T2867" s="77">
        <v>0</v>
      </c>
      <c r="U2867" s="77">
        <v>0</v>
      </c>
      <c r="V2867" s="77">
        <v>401</v>
      </c>
      <c r="W2867" s="82" t="s">
        <v>6624</v>
      </c>
      <c r="X2867" s="80" t="str">
        <f>HYPERLINK("https://bit.ly/3AxAlGL")</f>
        <v>https://bit.ly/3AxAlGL</v>
      </c>
      <c r="Y2867" s="77" t="s">
        <v>7268</v>
      </c>
      <c r="Z2867" s="77"/>
      <c r="AA2867" s="77"/>
      <c r="AB2867" s="77"/>
      <c r="AC2867" s="82" t="s">
        <v>10146</v>
      </c>
      <c r="AD2867" s="77" t="s">
        <v>10184</v>
      </c>
      <c r="AE2867" s="80" t="str">
        <f>HYPERLINK("https://twitter.com/tribunapr/status/1651707799062343681")</f>
        <v>https://twitter.com/tribunapr/status/1651707799062343681</v>
      </c>
      <c r="AF2867" s="79">
        <v>45043.916678240741</v>
      </c>
      <c r="AG2867" s="85">
        <v>45043</v>
      </c>
      <c r="AH2867" s="82" t="s">
        <v>12495</v>
      </c>
      <c r="AI2867" s="77" t="b">
        <v>0</v>
      </c>
      <c r="AJ2867" s="77"/>
      <c r="AK2867" s="77"/>
      <c r="AL2867" s="77"/>
      <c r="AM2867" s="77"/>
      <c r="AN2867" s="77"/>
      <c r="AO2867" s="77"/>
      <c r="AP2867" s="77"/>
      <c r="AQ2867" s="77"/>
      <c r="AR2867" s="77"/>
      <c r="AS2867" s="77"/>
      <c r="AT2867" s="77"/>
      <c r="AU2867" s="77"/>
      <c r="AV2867" s="80" t="str">
        <f>HYPERLINK("https://pbs.twimg.com/profile_images/1686713603594887169/OW65LBQv_normal.jpg")</f>
        <v>https://pbs.twimg.com/profile_images/1686713603594887169/OW65LBQv_normal.jpg</v>
      </c>
      <c r="AW2867" s="82" t="s">
        <v>19633</v>
      </c>
      <c r="AX2867" s="82" t="s">
        <v>19633</v>
      </c>
      <c r="AY2867" s="77"/>
      <c r="AZ2867" s="82" t="s">
        <v>20971</v>
      </c>
      <c r="BA2867" s="82" t="s">
        <v>20971</v>
      </c>
      <c r="BB2867" s="82" t="s">
        <v>20971</v>
      </c>
      <c r="BC2867" s="82" t="s">
        <v>19633</v>
      </c>
      <c r="BD2867" s="77">
        <v>112786548</v>
      </c>
      <c r="BE2867" s="77"/>
      <c r="BF2867" s="77"/>
      <c r="BG2867" s="77"/>
      <c r="BH2867" s="77"/>
      <c r="BI2867" s="77"/>
    </row>
    <row r="2868" spans="1:61" x14ac:dyDescent="0.25">
      <c r="A2868" s="62" t="s">
        <v>958</v>
      </c>
      <c r="B2868" s="62" t="s">
        <v>958</v>
      </c>
      <c r="C2868" s="63"/>
      <c r="D2868" s="64"/>
      <c r="E2868" s="65"/>
      <c r="F2868" s="66"/>
      <c r="G2868" s="63"/>
      <c r="H2868" s="67"/>
      <c r="I2868" s="68"/>
      <c r="J2868" s="68"/>
      <c r="K2868" s="32"/>
      <c r="L2868" s="75">
        <v>2868</v>
      </c>
      <c r="M2868" s="75"/>
      <c r="N2868" s="70"/>
      <c r="O2868" s="77" t="s">
        <v>179</v>
      </c>
      <c r="P2868" s="79">
        <v>45075.46802083333</v>
      </c>
      <c r="Q2868" s="77" t="s">
        <v>4074</v>
      </c>
      <c r="R2868" s="77">
        <v>0</v>
      </c>
      <c r="S2868" s="77">
        <v>0</v>
      </c>
      <c r="T2868" s="77">
        <v>0</v>
      </c>
      <c r="U2868" s="77">
        <v>0</v>
      </c>
      <c r="V2868" s="77">
        <v>6</v>
      </c>
      <c r="W2868" s="82" t="s">
        <v>6625</v>
      </c>
      <c r="X2868" s="77"/>
      <c r="Y2868" s="77"/>
      <c r="Z2868" s="77"/>
      <c r="AA2868" s="77"/>
      <c r="AB2868" s="77"/>
      <c r="AC2868" s="82" t="s">
        <v>10144</v>
      </c>
      <c r="AD2868" s="77" t="s">
        <v>10184</v>
      </c>
      <c r="AE2868" s="80" t="str">
        <f>HYPERLINK("https://twitter.com/fpribeiro8383/status/1663141622710665216")</f>
        <v>https://twitter.com/fpribeiro8383/status/1663141622710665216</v>
      </c>
      <c r="AF2868" s="79">
        <v>45075.46802083333</v>
      </c>
      <c r="AG2868" s="85">
        <v>45075</v>
      </c>
      <c r="AH2868" s="82" t="s">
        <v>12897</v>
      </c>
      <c r="AI2868" s="77"/>
      <c r="AJ2868" s="77"/>
      <c r="AK2868" s="77"/>
      <c r="AL2868" s="77"/>
      <c r="AM2868" s="77"/>
      <c r="AN2868" s="77"/>
      <c r="AO2868" s="77"/>
      <c r="AP2868" s="77"/>
      <c r="AQ2868" s="77"/>
      <c r="AR2868" s="77"/>
      <c r="AS2868" s="77"/>
      <c r="AT2868" s="77"/>
      <c r="AU2868" s="77"/>
      <c r="AV2868" s="80" t="str">
        <f>HYPERLINK("https://abs.twimg.com/sticky/default_profile_images/default_profile_normal.png")</f>
        <v>https://abs.twimg.com/sticky/default_profile_images/default_profile_normal.png</v>
      </c>
      <c r="AW2868" s="82" t="s">
        <v>19634</v>
      </c>
      <c r="AX2868" s="82" t="s">
        <v>19634</v>
      </c>
      <c r="AY2868" s="77"/>
      <c r="AZ2868" s="82" t="s">
        <v>20971</v>
      </c>
      <c r="BA2868" s="82" t="s">
        <v>20971</v>
      </c>
      <c r="BB2868" s="82" t="s">
        <v>20971</v>
      </c>
      <c r="BC2868" s="82" t="s">
        <v>19634</v>
      </c>
      <c r="BD2868" s="82" t="s">
        <v>21559</v>
      </c>
      <c r="BE2868" s="77"/>
      <c r="BF2868" s="77"/>
      <c r="BG2868" s="77"/>
      <c r="BH2868" s="77"/>
      <c r="BI2868" s="77"/>
    </row>
    <row r="2869" spans="1:61" x14ac:dyDescent="0.25">
      <c r="A2869" s="62" t="s">
        <v>959</v>
      </c>
      <c r="B2869" s="62" t="s">
        <v>959</v>
      </c>
      <c r="C2869" s="63"/>
      <c r="D2869" s="64"/>
      <c r="E2869" s="65"/>
      <c r="F2869" s="66"/>
      <c r="G2869" s="63"/>
      <c r="H2869" s="67"/>
      <c r="I2869" s="68"/>
      <c r="J2869" s="68"/>
      <c r="K2869" s="32"/>
      <c r="L2869" s="75">
        <v>2869</v>
      </c>
      <c r="M2869" s="75"/>
      <c r="N2869" s="70"/>
      <c r="O2869" s="77" t="s">
        <v>179</v>
      </c>
      <c r="P2869" s="79">
        <v>45094.420532407406</v>
      </c>
      <c r="Q2869" s="77" t="s">
        <v>4075</v>
      </c>
      <c r="R2869" s="77">
        <v>0</v>
      </c>
      <c r="S2869" s="77">
        <v>1</v>
      </c>
      <c r="T2869" s="77">
        <v>0</v>
      </c>
      <c r="U2869" s="77">
        <v>0</v>
      </c>
      <c r="V2869" s="77">
        <v>52</v>
      </c>
      <c r="W2869" s="82" t="s">
        <v>6626</v>
      </c>
      <c r="X2869" s="77"/>
      <c r="Y2869" s="77"/>
      <c r="Z2869" s="77"/>
      <c r="AA2869" s="77" t="s">
        <v>9218</v>
      </c>
      <c r="AB2869" s="77" t="s">
        <v>10129</v>
      </c>
      <c r="AC2869" s="82" t="s">
        <v>10144</v>
      </c>
      <c r="AD2869" s="77" t="s">
        <v>10184</v>
      </c>
      <c r="AE2869" s="80" t="str">
        <f>HYPERLINK("https://twitter.com/edsonbatista205/status/1670009786291703809")</f>
        <v>https://twitter.com/edsonbatista205/status/1670009786291703809</v>
      </c>
      <c r="AF2869" s="79">
        <v>45094.420532407406</v>
      </c>
      <c r="AG2869" s="85">
        <v>45094</v>
      </c>
      <c r="AH2869" s="82" t="s">
        <v>12898</v>
      </c>
      <c r="AI2869" s="77" t="b">
        <v>0</v>
      </c>
      <c r="AJ2869" s="77"/>
      <c r="AK2869" s="77"/>
      <c r="AL2869" s="77"/>
      <c r="AM2869" s="77"/>
      <c r="AN2869" s="77"/>
      <c r="AO2869" s="77"/>
      <c r="AP2869" s="77"/>
      <c r="AQ2869" s="77" t="s">
        <v>15861</v>
      </c>
      <c r="AR2869" s="77">
        <v>4967</v>
      </c>
      <c r="AS2869" s="77"/>
      <c r="AT2869" s="77"/>
      <c r="AU2869" s="77"/>
      <c r="AV2869" s="80" t="str">
        <f>HYPERLINK("https://pbs.twimg.com/ext_tw_video_thumb/1670009772165169156/pu/img/uV3IGVVS8rINqu7R.jpg")</f>
        <v>https://pbs.twimg.com/ext_tw_video_thumb/1670009772165169156/pu/img/uV3IGVVS8rINqu7R.jpg</v>
      </c>
      <c r="AW2869" s="82" t="s">
        <v>19635</v>
      </c>
      <c r="AX2869" s="82" t="s">
        <v>19635</v>
      </c>
      <c r="AY2869" s="77"/>
      <c r="AZ2869" s="82" t="s">
        <v>20971</v>
      </c>
      <c r="BA2869" s="82" t="s">
        <v>20971</v>
      </c>
      <c r="BB2869" s="82" t="s">
        <v>20971</v>
      </c>
      <c r="BC2869" s="82" t="s">
        <v>19635</v>
      </c>
      <c r="BD2869" s="82" t="s">
        <v>21560</v>
      </c>
      <c r="BE2869" s="77"/>
      <c r="BF2869" s="77"/>
      <c r="BG2869" s="77"/>
      <c r="BH2869" s="77"/>
      <c r="BI2869" s="77"/>
    </row>
    <row r="2870" spans="1:61" x14ac:dyDescent="0.25">
      <c r="A2870" s="62" t="s">
        <v>960</v>
      </c>
      <c r="B2870" s="62" t="s">
        <v>960</v>
      </c>
      <c r="C2870" s="63"/>
      <c r="D2870" s="64"/>
      <c r="E2870" s="65"/>
      <c r="F2870" s="66"/>
      <c r="G2870" s="63"/>
      <c r="H2870" s="67"/>
      <c r="I2870" s="68"/>
      <c r="J2870" s="68"/>
      <c r="K2870" s="32"/>
      <c r="L2870" s="75">
        <v>2870</v>
      </c>
      <c r="M2870" s="75"/>
      <c r="N2870" s="70"/>
      <c r="O2870" s="77" t="s">
        <v>179</v>
      </c>
      <c r="P2870" s="79">
        <v>44966.860879629632</v>
      </c>
      <c r="Q2870" s="77" t="s">
        <v>4076</v>
      </c>
      <c r="R2870" s="77">
        <v>1</v>
      </c>
      <c r="S2870" s="77">
        <v>2</v>
      </c>
      <c r="T2870" s="77">
        <v>2</v>
      </c>
      <c r="U2870" s="77">
        <v>0</v>
      </c>
      <c r="V2870" s="77">
        <v>73</v>
      </c>
      <c r="W2870" s="82" t="s">
        <v>6627</v>
      </c>
      <c r="X2870" s="77"/>
      <c r="Y2870" s="77"/>
      <c r="Z2870" s="77"/>
      <c r="AA2870" s="77"/>
      <c r="AB2870" s="77"/>
      <c r="AC2870" s="82" t="s">
        <v>10144</v>
      </c>
      <c r="AD2870" s="77" t="s">
        <v>10184</v>
      </c>
      <c r="AE2870" s="80" t="str">
        <f>HYPERLINK("https://twitter.com/xcxalessandra/status/1623783712512004096")</f>
        <v>https://twitter.com/xcxalessandra/status/1623783712512004096</v>
      </c>
      <c r="AF2870" s="79">
        <v>44966.860879629632</v>
      </c>
      <c r="AG2870" s="85">
        <v>44966</v>
      </c>
      <c r="AH2870" s="82" t="s">
        <v>12899</v>
      </c>
      <c r="AI2870" s="77"/>
      <c r="AJ2870" s="77"/>
      <c r="AK2870" s="77"/>
      <c r="AL2870" s="77"/>
      <c r="AM2870" s="77"/>
      <c r="AN2870" s="77"/>
      <c r="AO2870" s="77"/>
      <c r="AP2870" s="77"/>
      <c r="AQ2870" s="77"/>
      <c r="AR2870" s="77"/>
      <c r="AS2870" s="77"/>
      <c r="AT2870" s="77"/>
      <c r="AU2870" s="77"/>
      <c r="AV2870" s="80" t="str">
        <f>HYPERLINK("https://pbs.twimg.com/profile_images/1667528547567632385/0tXKa8c5_normal.jpg")</f>
        <v>https://pbs.twimg.com/profile_images/1667528547567632385/0tXKa8c5_normal.jpg</v>
      </c>
      <c r="AW2870" s="82" t="s">
        <v>19636</v>
      </c>
      <c r="AX2870" s="82" t="s">
        <v>19636</v>
      </c>
      <c r="AY2870" s="77"/>
      <c r="AZ2870" s="82" t="s">
        <v>20971</v>
      </c>
      <c r="BA2870" s="82" t="s">
        <v>20971</v>
      </c>
      <c r="BB2870" s="82" t="s">
        <v>20971</v>
      </c>
      <c r="BC2870" s="82" t="s">
        <v>19636</v>
      </c>
      <c r="BD2870" s="82" t="s">
        <v>21561</v>
      </c>
      <c r="BE2870" s="77"/>
      <c r="BF2870" s="77"/>
      <c r="BG2870" s="77"/>
      <c r="BH2870" s="77"/>
      <c r="BI2870" s="77"/>
    </row>
    <row r="2871" spans="1:61" x14ac:dyDescent="0.25">
      <c r="A2871" s="62" t="s">
        <v>961</v>
      </c>
      <c r="B2871" s="62" t="s">
        <v>961</v>
      </c>
      <c r="C2871" s="63"/>
      <c r="D2871" s="64"/>
      <c r="E2871" s="65"/>
      <c r="F2871" s="66"/>
      <c r="G2871" s="63"/>
      <c r="H2871" s="67"/>
      <c r="I2871" s="68"/>
      <c r="J2871" s="68"/>
      <c r="K2871" s="32"/>
      <c r="L2871" s="75">
        <v>2871</v>
      </c>
      <c r="M2871" s="75"/>
      <c r="N2871" s="70"/>
      <c r="O2871" s="77" t="s">
        <v>179</v>
      </c>
      <c r="P2871" s="79">
        <v>44991.566620370373</v>
      </c>
      <c r="Q2871" s="77" t="s">
        <v>4077</v>
      </c>
      <c r="R2871" s="77">
        <v>0</v>
      </c>
      <c r="S2871" s="77">
        <v>0</v>
      </c>
      <c r="T2871" s="77">
        <v>0</v>
      </c>
      <c r="U2871" s="77">
        <v>0</v>
      </c>
      <c r="V2871" s="77">
        <v>14</v>
      </c>
      <c r="W2871" s="82" t="s">
        <v>6628</v>
      </c>
      <c r="X2871" s="80" t="str">
        <f>HYPERLINK("http://samuelzaim.com.br/comercio/")</f>
        <v>http://samuelzaim.com.br/comercio/</v>
      </c>
      <c r="Y2871" s="77" t="s">
        <v>7252</v>
      </c>
      <c r="Z2871" s="77"/>
      <c r="AA2871" s="77" t="s">
        <v>9219</v>
      </c>
      <c r="AB2871" s="77" t="s">
        <v>10130</v>
      </c>
      <c r="AC2871" s="82" t="s">
        <v>10146</v>
      </c>
      <c r="AD2871" s="77" t="s">
        <v>10184</v>
      </c>
      <c r="AE2871" s="80" t="str">
        <f>HYPERLINK("https://twitter.com/samuelzaim/status/1632736773859074048")</f>
        <v>https://twitter.com/samuelzaim/status/1632736773859074048</v>
      </c>
      <c r="AF2871" s="79">
        <v>44991.566620370373</v>
      </c>
      <c r="AG2871" s="85">
        <v>44991</v>
      </c>
      <c r="AH2871" s="82" t="s">
        <v>12900</v>
      </c>
      <c r="AI2871" s="77" t="b">
        <v>0</v>
      </c>
      <c r="AJ2871" s="77"/>
      <c r="AK2871" s="77"/>
      <c r="AL2871" s="77"/>
      <c r="AM2871" s="77"/>
      <c r="AN2871" s="77"/>
      <c r="AO2871" s="77"/>
      <c r="AP2871" s="77"/>
      <c r="AQ2871" s="77" t="s">
        <v>15862</v>
      </c>
      <c r="AR2871" s="77"/>
      <c r="AS2871" s="77"/>
      <c r="AT2871" s="77"/>
      <c r="AU2871" s="77"/>
      <c r="AV2871" s="80" t="str">
        <f>HYPERLINK("https://pbs.twimg.com/media/FqilXunXgAE-TFk.jpg")</f>
        <v>https://pbs.twimg.com/media/FqilXunXgAE-TFk.jpg</v>
      </c>
      <c r="AW2871" s="82" t="s">
        <v>19637</v>
      </c>
      <c r="AX2871" s="82" t="s">
        <v>19637</v>
      </c>
      <c r="AY2871" s="77"/>
      <c r="AZ2871" s="82" t="s">
        <v>20971</v>
      </c>
      <c r="BA2871" s="82" t="s">
        <v>20971</v>
      </c>
      <c r="BB2871" s="82" t="s">
        <v>20971</v>
      </c>
      <c r="BC2871" s="82" t="s">
        <v>19637</v>
      </c>
      <c r="BD2871" s="82" t="s">
        <v>21562</v>
      </c>
      <c r="BE2871" s="77"/>
      <c r="BF2871" s="77"/>
      <c r="BG2871" s="77"/>
      <c r="BH2871" s="77"/>
      <c r="BI2871" s="77"/>
    </row>
    <row r="2872" spans="1:61" x14ac:dyDescent="0.25">
      <c r="A2872" s="62" t="s">
        <v>962</v>
      </c>
      <c r="B2872" s="62" t="s">
        <v>962</v>
      </c>
      <c r="C2872" s="63"/>
      <c r="D2872" s="64"/>
      <c r="E2872" s="65"/>
      <c r="F2872" s="66"/>
      <c r="G2872" s="63"/>
      <c r="H2872" s="67"/>
      <c r="I2872" s="68"/>
      <c r="J2872" s="68"/>
      <c r="K2872" s="32"/>
      <c r="L2872" s="75">
        <v>2872</v>
      </c>
      <c r="M2872" s="75"/>
      <c r="N2872" s="70"/>
      <c r="O2872" s="77" t="s">
        <v>179</v>
      </c>
      <c r="P2872" s="79">
        <v>45056.894988425927</v>
      </c>
      <c r="Q2872" s="77" t="s">
        <v>4078</v>
      </c>
      <c r="R2872" s="77">
        <v>0</v>
      </c>
      <c r="S2872" s="77">
        <v>0</v>
      </c>
      <c r="T2872" s="77">
        <v>4</v>
      </c>
      <c r="U2872" s="77">
        <v>0</v>
      </c>
      <c r="V2872" s="77">
        <v>45</v>
      </c>
      <c r="W2872" s="82" t="s">
        <v>6629</v>
      </c>
      <c r="X2872" s="80" t="str">
        <f>HYPERLINK("https://s.kwai.app/w/4s4daPAi")</f>
        <v>https://s.kwai.app/w/4s4daPAi</v>
      </c>
      <c r="Y2872" s="77" t="s">
        <v>7292</v>
      </c>
      <c r="Z2872" s="77"/>
      <c r="AA2872" s="77"/>
      <c r="AB2872" s="77"/>
      <c r="AC2872" s="82" t="s">
        <v>10144</v>
      </c>
      <c r="AD2872" s="77" t="s">
        <v>10184</v>
      </c>
      <c r="AE2872" s="80" t="str">
        <f>HYPERLINK("https://twitter.com/juliana46402600/status/1656410983550599168")</f>
        <v>https://twitter.com/juliana46402600/status/1656410983550599168</v>
      </c>
      <c r="AF2872" s="79">
        <v>45056.894988425927</v>
      </c>
      <c r="AG2872" s="85">
        <v>45056</v>
      </c>
      <c r="AH2872" s="82" t="s">
        <v>12901</v>
      </c>
      <c r="AI2872" s="77" t="b">
        <v>0</v>
      </c>
      <c r="AJ2872" s="77"/>
      <c r="AK2872" s="77"/>
      <c r="AL2872" s="77"/>
      <c r="AM2872" s="77"/>
      <c r="AN2872" s="77"/>
      <c r="AO2872" s="77"/>
      <c r="AP2872" s="77"/>
      <c r="AQ2872" s="77"/>
      <c r="AR2872" s="77"/>
      <c r="AS2872" s="77"/>
      <c r="AT2872" s="77"/>
      <c r="AU2872" s="77"/>
      <c r="AV2872" s="80" t="str">
        <f>HYPERLINK("https://pbs.twimg.com/profile_images/1570391326964719619/I44-etgP_normal.jpg")</f>
        <v>https://pbs.twimg.com/profile_images/1570391326964719619/I44-etgP_normal.jpg</v>
      </c>
      <c r="AW2872" s="82" t="s">
        <v>19638</v>
      </c>
      <c r="AX2872" s="82" t="s">
        <v>19638</v>
      </c>
      <c r="AY2872" s="77"/>
      <c r="AZ2872" s="82" t="s">
        <v>20971</v>
      </c>
      <c r="BA2872" s="82" t="s">
        <v>20971</v>
      </c>
      <c r="BB2872" s="82" t="s">
        <v>20971</v>
      </c>
      <c r="BC2872" s="82" t="s">
        <v>19638</v>
      </c>
      <c r="BD2872" s="82" t="s">
        <v>21563</v>
      </c>
      <c r="BE2872" s="77"/>
      <c r="BF2872" s="77"/>
      <c r="BG2872" s="77"/>
      <c r="BH2872" s="77"/>
      <c r="BI2872" s="77"/>
    </row>
    <row r="2873" spans="1:61" x14ac:dyDescent="0.25">
      <c r="A2873" s="62" t="s">
        <v>963</v>
      </c>
      <c r="B2873" s="62" t="s">
        <v>963</v>
      </c>
      <c r="C2873" s="63"/>
      <c r="D2873" s="64"/>
      <c r="E2873" s="65"/>
      <c r="F2873" s="66"/>
      <c r="G2873" s="63"/>
      <c r="H2873" s="67"/>
      <c r="I2873" s="68"/>
      <c r="J2873" s="68"/>
      <c r="K2873" s="32"/>
      <c r="L2873" s="75">
        <v>2873</v>
      </c>
      <c r="M2873" s="75"/>
      <c r="N2873" s="70"/>
      <c r="O2873" s="77" t="s">
        <v>179</v>
      </c>
      <c r="P2873" s="79">
        <v>45189.653391203705</v>
      </c>
      <c r="Q2873" s="77" t="s">
        <v>4079</v>
      </c>
      <c r="R2873" s="77">
        <v>0</v>
      </c>
      <c r="S2873" s="77">
        <v>0</v>
      </c>
      <c r="T2873" s="77">
        <v>0</v>
      </c>
      <c r="U2873" s="77">
        <v>0</v>
      </c>
      <c r="V2873" s="77">
        <v>24</v>
      </c>
      <c r="W2873" s="82" t="s">
        <v>6630</v>
      </c>
      <c r="X2873" s="80" t="str">
        <f>HYPERLINK("http://bbspremios.bet/registrar/EE3C21")</f>
        <v>http://bbspremios.bet/registrar/EE3C21</v>
      </c>
      <c r="Y2873" s="77" t="s">
        <v>7447</v>
      </c>
      <c r="Z2873" s="77"/>
      <c r="AA2873" s="77" t="s">
        <v>9220</v>
      </c>
      <c r="AB2873" s="77" t="s">
        <v>10129</v>
      </c>
      <c r="AC2873" s="82" t="s">
        <v>10146</v>
      </c>
      <c r="AD2873" s="77" t="s">
        <v>10184</v>
      </c>
      <c r="AE2873" s="80" t="str">
        <f>HYPERLINK("https://twitter.com/bbspremios/status/1704521018281206138")</f>
        <v>https://twitter.com/bbspremios/status/1704521018281206138</v>
      </c>
      <c r="AF2873" s="79">
        <v>45189.653391203705</v>
      </c>
      <c r="AG2873" s="85">
        <v>45189</v>
      </c>
      <c r="AH2873" s="82" t="s">
        <v>12902</v>
      </c>
      <c r="AI2873" s="77" t="b">
        <v>0</v>
      </c>
      <c r="AJ2873" s="77"/>
      <c r="AK2873" s="77"/>
      <c r="AL2873" s="77"/>
      <c r="AM2873" s="77"/>
      <c r="AN2873" s="77"/>
      <c r="AO2873" s="77"/>
      <c r="AP2873" s="77"/>
      <c r="AQ2873" s="77" t="s">
        <v>15863</v>
      </c>
      <c r="AR2873" s="77">
        <v>19411</v>
      </c>
      <c r="AS2873" s="77"/>
      <c r="AT2873" s="77"/>
      <c r="AU2873" s="77"/>
      <c r="AV2873" s="80" t="str">
        <f>HYPERLINK("https://pbs.twimg.com/ext_tw_video_thumb/1704517723097579521/pu/img/Gd5MtBSPRsMeZEE1.jpg")</f>
        <v>https://pbs.twimg.com/ext_tw_video_thumb/1704517723097579521/pu/img/Gd5MtBSPRsMeZEE1.jpg</v>
      </c>
      <c r="AW2873" s="82" t="s">
        <v>19639</v>
      </c>
      <c r="AX2873" s="82" t="s">
        <v>19639</v>
      </c>
      <c r="AY2873" s="77"/>
      <c r="AZ2873" s="82" t="s">
        <v>20971</v>
      </c>
      <c r="BA2873" s="82" t="s">
        <v>20971</v>
      </c>
      <c r="BB2873" s="82" t="s">
        <v>20971</v>
      </c>
      <c r="BC2873" s="82" t="s">
        <v>19639</v>
      </c>
      <c r="BD2873" s="82" t="s">
        <v>21564</v>
      </c>
      <c r="BE2873" s="77"/>
      <c r="BF2873" s="77"/>
      <c r="BG2873" s="77"/>
      <c r="BH2873" s="77"/>
      <c r="BI2873" s="77"/>
    </row>
    <row r="2874" spans="1:61" x14ac:dyDescent="0.25">
      <c r="A2874" s="62" t="s">
        <v>963</v>
      </c>
      <c r="B2874" s="62" t="s">
        <v>963</v>
      </c>
      <c r="C2874" s="63"/>
      <c r="D2874" s="64"/>
      <c r="E2874" s="65"/>
      <c r="F2874" s="66"/>
      <c r="G2874" s="63"/>
      <c r="H2874" s="67"/>
      <c r="I2874" s="68"/>
      <c r="J2874" s="68"/>
      <c r="K2874" s="32"/>
      <c r="L2874" s="75">
        <v>2874</v>
      </c>
      <c r="M2874" s="75"/>
      <c r="N2874" s="70"/>
      <c r="O2874" s="77" t="s">
        <v>179</v>
      </c>
      <c r="P2874" s="79">
        <v>45189.56287037037</v>
      </c>
      <c r="Q2874" s="77" t="s">
        <v>4080</v>
      </c>
      <c r="R2874" s="77">
        <v>0</v>
      </c>
      <c r="S2874" s="77">
        <v>0</v>
      </c>
      <c r="T2874" s="77">
        <v>0</v>
      </c>
      <c r="U2874" s="77">
        <v>0</v>
      </c>
      <c r="V2874" s="77">
        <v>20</v>
      </c>
      <c r="W2874" s="82" t="s">
        <v>6631</v>
      </c>
      <c r="X2874" s="80" t="str">
        <f>HYPERLINK("http://bbspremios.bet/registrar/EE3C21")</f>
        <v>http://bbspremios.bet/registrar/EE3C21</v>
      </c>
      <c r="Y2874" s="77" t="s">
        <v>7447</v>
      </c>
      <c r="Z2874" s="77"/>
      <c r="AA2874" s="77" t="s">
        <v>9221</v>
      </c>
      <c r="AB2874" s="77" t="s">
        <v>10130</v>
      </c>
      <c r="AC2874" s="82" t="s">
        <v>10146</v>
      </c>
      <c r="AD2874" s="77" t="s">
        <v>10184</v>
      </c>
      <c r="AE2874" s="80" t="str">
        <f>HYPERLINK("https://twitter.com/bbspremios/status/1704488213379760453")</f>
        <v>https://twitter.com/bbspremios/status/1704488213379760453</v>
      </c>
      <c r="AF2874" s="79">
        <v>45189.56287037037</v>
      </c>
      <c r="AG2874" s="85">
        <v>45189</v>
      </c>
      <c r="AH2874" s="82" t="s">
        <v>12903</v>
      </c>
      <c r="AI2874" s="77" t="b">
        <v>0</v>
      </c>
      <c r="AJ2874" s="77"/>
      <c r="AK2874" s="77"/>
      <c r="AL2874" s="77"/>
      <c r="AM2874" s="77"/>
      <c r="AN2874" s="77"/>
      <c r="AO2874" s="77"/>
      <c r="AP2874" s="77"/>
      <c r="AQ2874" s="77" t="s">
        <v>15864</v>
      </c>
      <c r="AR2874" s="77"/>
      <c r="AS2874" s="77"/>
      <c r="AT2874" s="77"/>
      <c r="AU2874" s="77"/>
      <c r="AV2874" s="80" t="str">
        <f>HYPERLINK("https://pbs.twimg.com/media/F6eO1GQXgAARi3d.jpg")</f>
        <v>https://pbs.twimg.com/media/F6eO1GQXgAARi3d.jpg</v>
      </c>
      <c r="AW2874" s="82" t="s">
        <v>19640</v>
      </c>
      <c r="AX2874" s="82" t="s">
        <v>19640</v>
      </c>
      <c r="AY2874" s="77"/>
      <c r="AZ2874" s="82" t="s">
        <v>20971</v>
      </c>
      <c r="BA2874" s="82" t="s">
        <v>20971</v>
      </c>
      <c r="BB2874" s="82" t="s">
        <v>20971</v>
      </c>
      <c r="BC2874" s="82" t="s">
        <v>19640</v>
      </c>
      <c r="BD2874" s="82" t="s">
        <v>21564</v>
      </c>
      <c r="BE2874" s="77"/>
      <c r="BF2874" s="77"/>
      <c r="BG2874" s="77"/>
      <c r="BH2874" s="77"/>
      <c r="BI2874" s="77"/>
    </row>
    <row r="2875" spans="1:61" x14ac:dyDescent="0.25">
      <c r="A2875" s="62" t="s">
        <v>963</v>
      </c>
      <c r="B2875" s="62" t="s">
        <v>963</v>
      </c>
      <c r="C2875" s="63"/>
      <c r="D2875" s="64"/>
      <c r="E2875" s="65"/>
      <c r="F2875" s="66"/>
      <c r="G2875" s="63"/>
      <c r="H2875" s="67"/>
      <c r="I2875" s="68"/>
      <c r="J2875" s="68"/>
      <c r="K2875" s="32"/>
      <c r="L2875" s="75">
        <v>2875</v>
      </c>
      <c r="M2875" s="75"/>
      <c r="N2875" s="70"/>
      <c r="O2875" s="77" t="s">
        <v>179</v>
      </c>
      <c r="P2875" s="79">
        <v>45191.694768518515</v>
      </c>
      <c r="Q2875" s="77" t="s">
        <v>4081</v>
      </c>
      <c r="R2875" s="77">
        <v>0</v>
      </c>
      <c r="S2875" s="77">
        <v>0</v>
      </c>
      <c r="T2875" s="77">
        <v>0</v>
      </c>
      <c r="U2875" s="77">
        <v>0</v>
      </c>
      <c r="V2875" s="77">
        <v>20</v>
      </c>
      <c r="W2875" s="82" t="s">
        <v>6632</v>
      </c>
      <c r="X2875" s="80" t="str">
        <f>HYPERLINK("http://bbspremios.bet/registrar/9BDD86")</f>
        <v>http://bbspremios.bet/registrar/9BDD86</v>
      </c>
      <c r="Y2875" s="77" t="s">
        <v>7447</v>
      </c>
      <c r="Z2875" s="77"/>
      <c r="AA2875" s="77" t="s">
        <v>9222</v>
      </c>
      <c r="AB2875" s="77" t="s">
        <v>10129</v>
      </c>
      <c r="AC2875" s="82" t="s">
        <v>10146</v>
      </c>
      <c r="AD2875" s="77" t="s">
        <v>10184</v>
      </c>
      <c r="AE2875" s="80" t="str">
        <f>HYPERLINK("https://twitter.com/bbspremios/status/1705260787369943529")</f>
        <v>https://twitter.com/bbspremios/status/1705260787369943529</v>
      </c>
      <c r="AF2875" s="79">
        <v>45191.694768518515</v>
      </c>
      <c r="AG2875" s="85">
        <v>45191</v>
      </c>
      <c r="AH2875" s="82" t="s">
        <v>12904</v>
      </c>
      <c r="AI2875" s="77" t="b">
        <v>0</v>
      </c>
      <c r="AJ2875" s="77"/>
      <c r="AK2875" s="77"/>
      <c r="AL2875" s="77"/>
      <c r="AM2875" s="77"/>
      <c r="AN2875" s="77"/>
      <c r="AO2875" s="77"/>
      <c r="AP2875" s="77"/>
      <c r="AQ2875" s="77" t="s">
        <v>15865</v>
      </c>
      <c r="AR2875" s="77">
        <v>27260</v>
      </c>
      <c r="AS2875" s="77"/>
      <c r="AT2875" s="77"/>
      <c r="AU2875" s="77"/>
      <c r="AV2875" s="80" t="str">
        <f>HYPERLINK("https://pbs.twimg.com/ext_tw_video_thumb/1705259536678821894/pu/img/DFEbquy0BAPMXPjM.jpg")</f>
        <v>https://pbs.twimg.com/ext_tw_video_thumb/1705259536678821894/pu/img/DFEbquy0BAPMXPjM.jpg</v>
      </c>
      <c r="AW2875" s="82" t="s">
        <v>19641</v>
      </c>
      <c r="AX2875" s="82" t="s">
        <v>19641</v>
      </c>
      <c r="AY2875" s="77"/>
      <c r="AZ2875" s="82" t="s">
        <v>20971</v>
      </c>
      <c r="BA2875" s="82" t="s">
        <v>20971</v>
      </c>
      <c r="BB2875" s="82" t="s">
        <v>20971</v>
      </c>
      <c r="BC2875" s="82" t="s">
        <v>19641</v>
      </c>
      <c r="BD2875" s="82" t="s">
        <v>21564</v>
      </c>
      <c r="BE2875" s="77"/>
      <c r="BF2875" s="77"/>
      <c r="BG2875" s="77"/>
      <c r="BH2875" s="77"/>
      <c r="BI2875" s="77"/>
    </row>
    <row r="2876" spans="1:61" x14ac:dyDescent="0.25">
      <c r="A2876" s="62" t="s">
        <v>963</v>
      </c>
      <c r="B2876" s="62" t="s">
        <v>963</v>
      </c>
      <c r="C2876" s="63"/>
      <c r="D2876" s="64"/>
      <c r="E2876" s="65"/>
      <c r="F2876" s="66"/>
      <c r="G2876" s="63"/>
      <c r="H2876" s="67"/>
      <c r="I2876" s="68"/>
      <c r="J2876" s="68"/>
      <c r="K2876" s="32"/>
      <c r="L2876" s="75">
        <v>2876</v>
      </c>
      <c r="M2876" s="75"/>
      <c r="N2876" s="70"/>
      <c r="O2876" s="77" t="s">
        <v>179</v>
      </c>
      <c r="P2876" s="79">
        <v>45192.568229166667</v>
      </c>
      <c r="Q2876" s="77" t="s">
        <v>4082</v>
      </c>
      <c r="R2876" s="77">
        <v>0</v>
      </c>
      <c r="S2876" s="77">
        <v>0</v>
      </c>
      <c r="T2876" s="77">
        <v>0</v>
      </c>
      <c r="U2876" s="77">
        <v>0</v>
      </c>
      <c r="V2876" s="77">
        <v>9</v>
      </c>
      <c r="W2876" s="82" t="s">
        <v>6633</v>
      </c>
      <c r="X2876" s="80" t="str">
        <f>HYPERLINK("http://bbspremios.bet/registrar/EE3C21")</f>
        <v>http://bbspremios.bet/registrar/EE3C21</v>
      </c>
      <c r="Y2876" s="77" t="s">
        <v>7447</v>
      </c>
      <c r="Z2876" s="77"/>
      <c r="AA2876" s="77" t="s">
        <v>9223</v>
      </c>
      <c r="AB2876" s="77" t="s">
        <v>10130</v>
      </c>
      <c r="AC2876" s="82" t="s">
        <v>10146</v>
      </c>
      <c r="AD2876" s="77" t="s">
        <v>10184</v>
      </c>
      <c r="AE2876" s="80" t="str">
        <f>HYPERLINK("https://twitter.com/bbspremios/status/1705577316657570270")</f>
        <v>https://twitter.com/bbspremios/status/1705577316657570270</v>
      </c>
      <c r="AF2876" s="79">
        <v>45192.568229166667</v>
      </c>
      <c r="AG2876" s="85">
        <v>45192</v>
      </c>
      <c r="AH2876" s="82" t="s">
        <v>12905</v>
      </c>
      <c r="AI2876" s="77" t="b">
        <v>0</v>
      </c>
      <c r="AJ2876" s="77"/>
      <c r="AK2876" s="77"/>
      <c r="AL2876" s="77"/>
      <c r="AM2876" s="77"/>
      <c r="AN2876" s="77"/>
      <c r="AO2876" s="77"/>
      <c r="AP2876" s="77"/>
      <c r="AQ2876" s="77" t="s">
        <v>15866</v>
      </c>
      <c r="AR2876" s="77"/>
      <c r="AS2876" s="77"/>
      <c r="AT2876" s="77"/>
      <c r="AU2876" s="77"/>
      <c r="AV2876" s="80" t="str">
        <f>HYPERLINK("https://pbs.twimg.com/media/F6ttXpEXwAARzvs.jpg")</f>
        <v>https://pbs.twimg.com/media/F6ttXpEXwAARzvs.jpg</v>
      </c>
      <c r="AW2876" s="82" t="s">
        <v>19642</v>
      </c>
      <c r="AX2876" s="82" t="s">
        <v>19642</v>
      </c>
      <c r="AY2876" s="77"/>
      <c r="AZ2876" s="82" t="s">
        <v>20971</v>
      </c>
      <c r="BA2876" s="82" t="s">
        <v>20971</v>
      </c>
      <c r="BB2876" s="82" t="s">
        <v>20971</v>
      </c>
      <c r="BC2876" s="82" t="s">
        <v>19642</v>
      </c>
      <c r="BD2876" s="82" t="s">
        <v>21564</v>
      </c>
      <c r="BE2876" s="77"/>
      <c r="BF2876" s="77"/>
      <c r="BG2876" s="77"/>
      <c r="BH2876" s="77"/>
      <c r="BI2876" s="77"/>
    </row>
    <row r="2877" spans="1:61" x14ac:dyDescent="0.25">
      <c r="A2877" s="62" t="s">
        <v>964</v>
      </c>
      <c r="B2877" s="62" t="s">
        <v>964</v>
      </c>
      <c r="C2877" s="63"/>
      <c r="D2877" s="64"/>
      <c r="E2877" s="65"/>
      <c r="F2877" s="66"/>
      <c r="G2877" s="63"/>
      <c r="H2877" s="67"/>
      <c r="I2877" s="68"/>
      <c r="J2877" s="68"/>
      <c r="K2877" s="32"/>
      <c r="L2877" s="75">
        <v>2877</v>
      </c>
      <c r="M2877" s="75"/>
      <c r="N2877" s="70"/>
      <c r="O2877" s="77" t="s">
        <v>179</v>
      </c>
      <c r="P2877" s="79">
        <v>45033.881944444445</v>
      </c>
      <c r="Q2877" s="77" t="s">
        <v>4083</v>
      </c>
      <c r="R2877" s="77">
        <v>0</v>
      </c>
      <c r="S2877" s="77">
        <v>1</v>
      </c>
      <c r="T2877" s="77">
        <v>0</v>
      </c>
      <c r="U2877" s="77">
        <v>0</v>
      </c>
      <c r="V2877" s="77">
        <v>17</v>
      </c>
      <c r="W2877" s="82" t="s">
        <v>6169</v>
      </c>
      <c r="X2877" s="80" t="str">
        <f>HYPERLINK("https://meindicaoficial.blogspot.com/2023/04/httpssaiadozeromeindica.orbitpages.onlinemodelo-padrao-pagina-de-vendasv1676392125430.html")</f>
        <v>https://meindicaoficial.blogspot.com/2023/04/httpssaiadozeromeindica.orbitpages.onlinemodelo-padrao-pagina-de-vendasv1676392125430.html</v>
      </c>
      <c r="Y2877" s="77" t="s">
        <v>7261</v>
      </c>
      <c r="Z2877" s="77"/>
      <c r="AA2877" s="77" t="s">
        <v>9224</v>
      </c>
      <c r="AB2877" s="77" t="s">
        <v>10129</v>
      </c>
      <c r="AC2877" s="82" t="s">
        <v>10144</v>
      </c>
      <c r="AD2877" s="77" t="s">
        <v>10184</v>
      </c>
      <c r="AE2877" s="80" t="str">
        <f>HYPERLINK("https://twitter.com/ahawblocfarm4/status/1648071334780387328")</f>
        <v>https://twitter.com/ahawblocfarm4/status/1648071334780387328</v>
      </c>
      <c r="AF2877" s="79">
        <v>45033.881944444445</v>
      </c>
      <c r="AG2877" s="85">
        <v>45033</v>
      </c>
      <c r="AH2877" s="82" t="s">
        <v>12906</v>
      </c>
      <c r="AI2877" s="77" t="b">
        <v>0</v>
      </c>
      <c r="AJ2877" s="77"/>
      <c r="AK2877" s="77"/>
      <c r="AL2877" s="77"/>
      <c r="AM2877" s="77"/>
      <c r="AN2877" s="77"/>
      <c r="AO2877" s="77"/>
      <c r="AP2877" s="77"/>
      <c r="AQ2877" s="77" t="s">
        <v>15867</v>
      </c>
      <c r="AR2877" s="77">
        <v>44885</v>
      </c>
      <c r="AS2877" s="77"/>
      <c r="AT2877" s="77"/>
      <c r="AU2877" s="77"/>
      <c r="AV2877" s="80" t="str">
        <f>HYPERLINK("https://pbs.twimg.com/ext_tw_video_thumb/1648071284658429953/pu/img/Si-W7mifEazPi5ux.jpg")</f>
        <v>https://pbs.twimg.com/ext_tw_video_thumb/1648071284658429953/pu/img/Si-W7mifEazPi5ux.jpg</v>
      </c>
      <c r="AW2877" s="82" t="s">
        <v>19643</v>
      </c>
      <c r="AX2877" s="82" t="s">
        <v>19643</v>
      </c>
      <c r="AY2877" s="77"/>
      <c r="AZ2877" s="82" t="s">
        <v>20971</v>
      </c>
      <c r="BA2877" s="82" t="s">
        <v>20971</v>
      </c>
      <c r="BB2877" s="82" t="s">
        <v>20971</v>
      </c>
      <c r="BC2877" s="82" t="s">
        <v>19643</v>
      </c>
      <c r="BD2877" s="82" t="s">
        <v>21565</v>
      </c>
      <c r="BE2877" s="77"/>
      <c r="BF2877" s="77"/>
      <c r="BG2877" s="77"/>
      <c r="BH2877" s="77"/>
      <c r="BI2877" s="77"/>
    </row>
    <row r="2878" spans="1:61" x14ac:dyDescent="0.25">
      <c r="A2878" s="62" t="s">
        <v>965</v>
      </c>
      <c r="B2878" s="62" t="s">
        <v>965</v>
      </c>
      <c r="C2878" s="63"/>
      <c r="D2878" s="64"/>
      <c r="E2878" s="65"/>
      <c r="F2878" s="66"/>
      <c r="G2878" s="63"/>
      <c r="H2878" s="67"/>
      <c r="I2878" s="68"/>
      <c r="J2878" s="68"/>
      <c r="K2878" s="32"/>
      <c r="L2878" s="75">
        <v>2878</v>
      </c>
      <c r="M2878" s="75"/>
      <c r="N2878" s="70"/>
      <c r="O2878" s="77" t="s">
        <v>179</v>
      </c>
      <c r="P2878" s="79">
        <v>45192.835532407407</v>
      </c>
      <c r="Q2878" s="77" t="s">
        <v>4084</v>
      </c>
      <c r="R2878" s="77">
        <v>0</v>
      </c>
      <c r="S2878" s="77">
        <v>0</v>
      </c>
      <c r="T2878" s="77">
        <v>0</v>
      </c>
      <c r="U2878" s="77">
        <v>0</v>
      </c>
      <c r="V2878" s="77">
        <v>41</v>
      </c>
      <c r="W2878" s="82" t="s">
        <v>6634</v>
      </c>
      <c r="X2878" s="80" t="str">
        <f>HYPERLINK("https://www.777jogo.com/?id=80859203")</f>
        <v>https://www.777jogo.com/?id=80859203</v>
      </c>
      <c r="Y2878" s="77" t="s">
        <v>7448</v>
      </c>
      <c r="Z2878" s="77"/>
      <c r="AA2878" s="77" t="s">
        <v>9225</v>
      </c>
      <c r="AB2878" s="77" t="s">
        <v>10130</v>
      </c>
      <c r="AC2878" s="82" t="s">
        <v>10144</v>
      </c>
      <c r="AD2878" s="77" t="s">
        <v>10184</v>
      </c>
      <c r="AE2878" s="80" t="str">
        <f>HYPERLINK("https://twitter.com/livinhoo_01/status/1705674186889273572")</f>
        <v>https://twitter.com/livinhoo_01/status/1705674186889273572</v>
      </c>
      <c r="AF2878" s="79">
        <v>45192.835532407407</v>
      </c>
      <c r="AG2878" s="85">
        <v>45192</v>
      </c>
      <c r="AH2878" s="82" t="s">
        <v>12907</v>
      </c>
      <c r="AI2878" s="77" t="b">
        <v>0</v>
      </c>
      <c r="AJ2878" s="77"/>
      <c r="AK2878" s="77"/>
      <c r="AL2878" s="77"/>
      <c r="AM2878" s="77"/>
      <c r="AN2878" s="77"/>
      <c r="AO2878" s="77"/>
      <c r="AP2878" s="77"/>
      <c r="AQ2878" s="77" t="s">
        <v>15868</v>
      </c>
      <c r="AR2878" s="77"/>
      <c r="AS2878" s="77"/>
      <c r="AT2878" s="77"/>
      <c r="AU2878" s="77"/>
      <c r="AV2878" s="80" t="str">
        <f>HYPERLINK("https://pbs.twimg.com/media/F6vFoioWMAAMLTb.jpg")</f>
        <v>https://pbs.twimg.com/media/F6vFoioWMAAMLTb.jpg</v>
      </c>
      <c r="AW2878" s="82" t="s">
        <v>19644</v>
      </c>
      <c r="AX2878" s="82" t="s">
        <v>19644</v>
      </c>
      <c r="AY2878" s="77"/>
      <c r="AZ2878" s="82" t="s">
        <v>20971</v>
      </c>
      <c r="BA2878" s="82" t="s">
        <v>20971</v>
      </c>
      <c r="BB2878" s="82" t="s">
        <v>20971</v>
      </c>
      <c r="BC2878" s="82" t="s">
        <v>19644</v>
      </c>
      <c r="BD2878" s="82" t="s">
        <v>21566</v>
      </c>
      <c r="BE2878" s="77"/>
      <c r="BF2878" s="77"/>
      <c r="BG2878" s="77"/>
      <c r="BH2878" s="77"/>
      <c r="BI2878" s="77"/>
    </row>
    <row r="2879" spans="1:61" x14ac:dyDescent="0.25">
      <c r="A2879" s="62" t="s">
        <v>966</v>
      </c>
      <c r="B2879" s="62" t="s">
        <v>966</v>
      </c>
      <c r="C2879" s="63"/>
      <c r="D2879" s="64"/>
      <c r="E2879" s="65"/>
      <c r="F2879" s="66"/>
      <c r="G2879" s="63"/>
      <c r="H2879" s="67"/>
      <c r="I2879" s="68"/>
      <c r="J2879" s="68"/>
      <c r="K2879" s="32"/>
      <c r="L2879" s="75">
        <v>2879</v>
      </c>
      <c r="M2879" s="75"/>
      <c r="N2879" s="70"/>
      <c r="O2879" s="77" t="s">
        <v>179</v>
      </c>
      <c r="P2879" s="79">
        <v>45021.682881944442</v>
      </c>
      <c r="Q2879" s="77" t="s">
        <v>4085</v>
      </c>
      <c r="R2879" s="77">
        <v>0</v>
      </c>
      <c r="S2879" s="77">
        <v>0</v>
      </c>
      <c r="T2879" s="77">
        <v>0</v>
      </c>
      <c r="U2879" s="77">
        <v>0</v>
      </c>
      <c r="V2879" s="77">
        <v>23</v>
      </c>
      <c r="W2879" s="82" t="s">
        <v>6635</v>
      </c>
      <c r="X2879" s="80" t="str">
        <f>HYPERLINK("https://linktr.ee/Alongamento_de.Unhas")</f>
        <v>https://linktr.ee/Alongamento_de.Unhas</v>
      </c>
      <c r="Y2879" s="77" t="s">
        <v>7300</v>
      </c>
      <c r="Z2879" s="77"/>
      <c r="AA2879" s="77" t="s">
        <v>9226</v>
      </c>
      <c r="AB2879" s="77" t="s">
        <v>10129</v>
      </c>
      <c r="AC2879" s="82" t="s">
        <v>10144</v>
      </c>
      <c r="AD2879" s="77" t="s">
        <v>10184</v>
      </c>
      <c r="AE2879" s="80" t="str">
        <f>HYPERLINK("https://twitter.com/naildesucesso/status/1643650542520942593")</f>
        <v>https://twitter.com/naildesucesso/status/1643650542520942593</v>
      </c>
      <c r="AF2879" s="79">
        <v>45021.682881944442</v>
      </c>
      <c r="AG2879" s="85">
        <v>45021</v>
      </c>
      <c r="AH2879" s="82" t="s">
        <v>12908</v>
      </c>
      <c r="AI2879" s="77" t="b">
        <v>0</v>
      </c>
      <c r="AJ2879" s="77"/>
      <c r="AK2879" s="77"/>
      <c r="AL2879" s="77"/>
      <c r="AM2879" s="77"/>
      <c r="AN2879" s="77"/>
      <c r="AO2879" s="77"/>
      <c r="AP2879" s="77"/>
      <c r="AQ2879" s="77" t="s">
        <v>15869</v>
      </c>
      <c r="AR2879" s="77">
        <v>14140</v>
      </c>
      <c r="AS2879" s="77"/>
      <c r="AT2879" s="77"/>
      <c r="AU2879" s="77"/>
      <c r="AV2879" s="80" t="str">
        <f>HYPERLINK("https://pbs.twimg.com/ext_tw_video_thumb/1643650375231078402/pu/img/FIV-CkrSD3lf-Pce.jpg")</f>
        <v>https://pbs.twimg.com/ext_tw_video_thumb/1643650375231078402/pu/img/FIV-CkrSD3lf-Pce.jpg</v>
      </c>
      <c r="AW2879" s="82" t="s">
        <v>19645</v>
      </c>
      <c r="AX2879" s="82" t="s">
        <v>19645</v>
      </c>
      <c r="AY2879" s="77"/>
      <c r="AZ2879" s="82" t="s">
        <v>20971</v>
      </c>
      <c r="BA2879" s="82" t="s">
        <v>20971</v>
      </c>
      <c r="BB2879" s="82" t="s">
        <v>20971</v>
      </c>
      <c r="BC2879" s="82" t="s">
        <v>19645</v>
      </c>
      <c r="BD2879" s="82" t="s">
        <v>21567</v>
      </c>
      <c r="BE2879" s="77"/>
      <c r="BF2879" s="77"/>
      <c r="BG2879" s="77"/>
      <c r="BH2879" s="77"/>
      <c r="BI2879" s="77"/>
    </row>
    <row r="2880" spans="1:61" x14ac:dyDescent="0.25">
      <c r="A2880" s="62" t="s">
        <v>966</v>
      </c>
      <c r="B2880" s="62" t="s">
        <v>966</v>
      </c>
      <c r="C2880" s="63"/>
      <c r="D2880" s="64"/>
      <c r="E2880" s="65"/>
      <c r="F2880" s="66"/>
      <c r="G2880" s="63"/>
      <c r="H2880" s="67"/>
      <c r="I2880" s="68"/>
      <c r="J2880" s="68"/>
      <c r="K2880" s="32"/>
      <c r="L2880" s="75">
        <v>2880</v>
      </c>
      <c r="M2880" s="75"/>
      <c r="N2880" s="70"/>
      <c r="O2880" s="77" t="s">
        <v>179</v>
      </c>
      <c r="P2880" s="79">
        <v>45011.70789351852</v>
      </c>
      <c r="Q2880" s="77" t="s">
        <v>4086</v>
      </c>
      <c r="R2880" s="77">
        <v>0</v>
      </c>
      <c r="S2880" s="77">
        <v>0</v>
      </c>
      <c r="T2880" s="77">
        <v>0</v>
      </c>
      <c r="U2880" s="77">
        <v>0</v>
      </c>
      <c r="V2880" s="77">
        <v>16</v>
      </c>
      <c r="W2880" s="82" t="s">
        <v>6636</v>
      </c>
      <c r="X2880" s="80" t="str">
        <f>HYPERLINK("https://linktr.ee/Alongamento_de.Unhas")</f>
        <v>https://linktr.ee/Alongamento_de.Unhas</v>
      </c>
      <c r="Y2880" s="77" t="s">
        <v>7300</v>
      </c>
      <c r="Z2880" s="77"/>
      <c r="AA2880" s="77" t="s">
        <v>9227</v>
      </c>
      <c r="AB2880" s="77" t="s">
        <v>10130</v>
      </c>
      <c r="AC2880" s="82" t="s">
        <v>10144</v>
      </c>
      <c r="AD2880" s="77" t="s">
        <v>10184</v>
      </c>
      <c r="AE2880" s="80" t="str">
        <f>HYPERLINK("https://twitter.com/naildesucesso/status/1640035729127489540")</f>
        <v>https://twitter.com/naildesucesso/status/1640035729127489540</v>
      </c>
      <c r="AF2880" s="79">
        <v>45011.70789351852</v>
      </c>
      <c r="AG2880" s="85">
        <v>45011</v>
      </c>
      <c r="AH2880" s="82" t="s">
        <v>12206</v>
      </c>
      <c r="AI2880" s="77" t="b">
        <v>0</v>
      </c>
      <c r="AJ2880" s="77"/>
      <c r="AK2880" s="77"/>
      <c r="AL2880" s="77"/>
      <c r="AM2880" s="77"/>
      <c r="AN2880" s="77"/>
      <c r="AO2880" s="77"/>
      <c r="AP2880" s="77"/>
      <c r="AQ2880" s="77" t="s">
        <v>15870</v>
      </c>
      <c r="AR2880" s="77"/>
      <c r="AS2880" s="77"/>
      <c r="AT2880" s="77"/>
      <c r="AU2880" s="77"/>
      <c r="AV2880" s="80" t="str">
        <f>HYPERLINK("https://pbs.twimg.com/media/FsKTzSXWwAId0BW.jpg")</f>
        <v>https://pbs.twimg.com/media/FsKTzSXWwAId0BW.jpg</v>
      </c>
      <c r="AW2880" s="82" t="s">
        <v>19646</v>
      </c>
      <c r="AX2880" s="82" t="s">
        <v>19646</v>
      </c>
      <c r="AY2880" s="77"/>
      <c r="AZ2880" s="82" t="s">
        <v>20971</v>
      </c>
      <c r="BA2880" s="82" t="s">
        <v>20971</v>
      </c>
      <c r="BB2880" s="82" t="s">
        <v>20971</v>
      </c>
      <c r="BC2880" s="82" t="s">
        <v>19646</v>
      </c>
      <c r="BD2880" s="82" t="s">
        <v>21567</v>
      </c>
      <c r="BE2880" s="77"/>
      <c r="BF2880" s="77"/>
      <c r="BG2880" s="77"/>
      <c r="BH2880" s="77"/>
      <c r="BI2880" s="77"/>
    </row>
    <row r="2881" spans="1:61" x14ac:dyDescent="0.25">
      <c r="A2881" s="62" t="s">
        <v>966</v>
      </c>
      <c r="B2881" s="62" t="s">
        <v>966</v>
      </c>
      <c r="C2881" s="63"/>
      <c r="D2881" s="64"/>
      <c r="E2881" s="65"/>
      <c r="F2881" s="66"/>
      <c r="G2881" s="63"/>
      <c r="H2881" s="67"/>
      <c r="I2881" s="68"/>
      <c r="J2881" s="68"/>
      <c r="K2881" s="32"/>
      <c r="L2881" s="75">
        <v>2881</v>
      </c>
      <c r="M2881" s="75"/>
      <c r="N2881" s="70"/>
      <c r="O2881" s="77" t="s">
        <v>179</v>
      </c>
      <c r="P2881" s="79">
        <v>45011.707002314812</v>
      </c>
      <c r="Q2881" s="77" t="s">
        <v>4087</v>
      </c>
      <c r="R2881" s="77">
        <v>0</v>
      </c>
      <c r="S2881" s="77">
        <v>0</v>
      </c>
      <c r="T2881" s="77">
        <v>0</v>
      </c>
      <c r="U2881" s="77">
        <v>0</v>
      </c>
      <c r="V2881" s="77">
        <v>13</v>
      </c>
      <c r="W2881" s="82" t="s">
        <v>6637</v>
      </c>
      <c r="X2881" s="80" t="str">
        <f>HYPERLINK("https://linktr.ee/Alongamento_de.Unhas")</f>
        <v>https://linktr.ee/Alongamento_de.Unhas</v>
      </c>
      <c r="Y2881" s="77" t="s">
        <v>7300</v>
      </c>
      <c r="Z2881" s="77"/>
      <c r="AA2881" s="77" t="s">
        <v>9228</v>
      </c>
      <c r="AB2881" s="77" t="s">
        <v>10129</v>
      </c>
      <c r="AC2881" s="82" t="s">
        <v>10144</v>
      </c>
      <c r="AD2881" s="77" t="s">
        <v>10184</v>
      </c>
      <c r="AE2881" s="80" t="str">
        <f>HYPERLINK("https://twitter.com/naildesucesso/status/1640035404869976068")</f>
        <v>https://twitter.com/naildesucesso/status/1640035404869976068</v>
      </c>
      <c r="AF2881" s="79">
        <v>45011.707002314812</v>
      </c>
      <c r="AG2881" s="85">
        <v>45011</v>
      </c>
      <c r="AH2881" s="82" t="s">
        <v>12909</v>
      </c>
      <c r="AI2881" s="77" t="b">
        <v>0</v>
      </c>
      <c r="AJ2881" s="77"/>
      <c r="AK2881" s="77"/>
      <c r="AL2881" s="77"/>
      <c r="AM2881" s="77"/>
      <c r="AN2881" s="77"/>
      <c r="AO2881" s="77"/>
      <c r="AP2881" s="77"/>
      <c r="AQ2881" s="77" t="s">
        <v>15871</v>
      </c>
      <c r="AR2881" s="77">
        <v>44999</v>
      </c>
      <c r="AS2881" s="77"/>
      <c r="AT2881" s="77"/>
      <c r="AU2881" s="77"/>
      <c r="AV2881" s="80" t="str">
        <f>HYPERLINK("https://pbs.twimg.com/ext_tw_video_thumb/1640035155799678977/pu/img/_G8gcJI4yXuANXo7.jpg")</f>
        <v>https://pbs.twimg.com/ext_tw_video_thumb/1640035155799678977/pu/img/_G8gcJI4yXuANXo7.jpg</v>
      </c>
      <c r="AW2881" s="82" t="s">
        <v>19647</v>
      </c>
      <c r="AX2881" s="82" t="s">
        <v>19647</v>
      </c>
      <c r="AY2881" s="77"/>
      <c r="AZ2881" s="82" t="s">
        <v>20971</v>
      </c>
      <c r="BA2881" s="82" t="s">
        <v>20971</v>
      </c>
      <c r="BB2881" s="82" t="s">
        <v>20971</v>
      </c>
      <c r="BC2881" s="82" t="s">
        <v>19647</v>
      </c>
      <c r="BD2881" s="82" t="s">
        <v>21567</v>
      </c>
      <c r="BE2881" s="77"/>
      <c r="BF2881" s="77"/>
      <c r="BG2881" s="77"/>
      <c r="BH2881" s="77"/>
      <c r="BI2881" s="77"/>
    </row>
    <row r="2882" spans="1:61" x14ac:dyDescent="0.25">
      <c r="A2882" s="62" t="s">
        <v>966</v>
      </c>
      <c r="B2882" s="62" t="s">
        <v>966</v>
      </c>
      <c r="C2882" s="63"/>
      <c r="D2882" s="64"/>
      <c r="E2882" s="65"/>
      <c r="F2882" s="66"/>
      <c r="G2882" s="63"/>
      <c r="H2882" s="67"/>
      <c r="I2882" s="68"/>
      <c r="J2882" s="68"/>
      <c r="K2882" s="32"/>
      <c r="L2882" s="75">
        <v>2882</v>
      </c>
      <c r="M2882" s="75"/>
      <c r="N2882" s="70"/>
      <c r="O2882" s="77" t="s">
        <v>179</v>
      </c>
      <c r="P2882" s="79">
        <v>45010.73609953704</v>
      </c>
      <c r="Q2882" s="77" t="s">
        <v>4088</v>
      </c>
      <c r="R2882" s="77">
        <v>0</v>
      </c>
      <c r="S2882" s="77">
        <v>0</v>
      </c>
      <c r="T2882" s="77">
        <v>0</v>
      </c>
      <c r="U2882" s="77">
        <v>0</v>
      </c>
      <c r="V2882" s="77">
        <v>18</v>
      </c>
      <c r="W2882" s="82" t="s">
        <v>6638</v>
      </c>
      <c r="X2882" s="80" t="str">
        <f>HYPERLINK("https://linktr.ee/Alongamento_de.Unhas")</f>
        <v>https://linktr.ee/Alongamento_de.Unhas</v>
      </c>
      <c r="Y2882" s="77" t="s">
        <v>7300</v>
      </c>
      <c r="Z2882" s="77"/>
      <c r="AA2882" s="77" t="s">
        <v>9229</v>
      </c>
      <c r="AB2882" s="77" t="s">
        <v>10130</v>
      </c>
      <c r="AC2882" s="82" t="s">
        <v>10144</v>
      </c>
      <c r="AD2882" s="77" t="s">
        <v>10184</v>
      </c>
      <c r="AE2882" s="80" t="str">
        <f>HYPERLINK("https://twitter.com/naildesucesso/status/1639683561484693504")</f>
        <v>https://twitter.com/naildesucesso/status/1639683561484693504</v>
      </c>
      <c r="AF2882" s="79">
        <v>45010.73609953704</v>
      </c>
      <c r="AG2882" s="85">
        <v>45010</v>
      </c>
      <c r="AH2882" s="82" t="s">
        <v>12910</v>
      </c>
      <c r="AI2882" s="77" t="b">
        <v>0</v>
      </c>
      <c r="AJ2882" s="77"/>
      <c r="AK2882" s="77"/>
      <c r="AL2882" s="77"/>
      <c r="AM2882" s="77"/>
      <c r="AN2882" s="77"/>
      <c r="AO2882" s="77"/>
      <c r="AP2882" s="77"/>
      <c r="AQ2882" s="77" t="s">
        <v>15872</v>
      </c>
      <c r="AR2882" s="77"/>
      <c r="AS2882" s="77"/>
      <c r="AT2882" s="77"/>
      <c r="AU2882" s="77"/>
      <c r="AV2882" s="80" t="str">
        <f>HYPERLINK("https://pbs.twimg.com/media/FsFTga9WwAIFtt5.jpg")</f>
        <v>https://pbs.twimg.com/media/FsFTga9WwAIFtt5.jpg</v>
      </c>
      <c r="AW2882" s="82" t="s">
        <v>19648</v>
      </c>
      <c r="AX2882" s="82" t="s">
        <v>19648</v>
      </c>
      <c r="AY2882" s="77"/>
      <c r="AZ2882" s="82" t="s">
        <v>20971</v>
      </c>
      <c r="BA2882" s="82" t="s">
        <v>20971</v>
      </c>
      <c r="BB2882" s="82" t="s">
        <v>20971</v>
      </c>
      <c r="BC2882" s="82" t="s">
        <v>19648</v>
      </c>
      <c r="BD2882" s="82" t="s">
        <v>21567</v>
      </c>
      <c r="BE2882" s="77"/>
      <c r="BF2882" s="77"/>
      <c r="BG2882" s="77"/>
      <c r="BH2882" s="77"/>
      <c r="BI2882" s="77"/>
    </row>
    <row r="2883" spans="1:61" x14ac:dyDescent="0.25">
      <c r="A2883" s="62" t="s">
        <v>967</v>
      </c>
      <c r="B2883" s="62" t="s">
        <v>967</v>
      </c>
      <c r="C2883" s="63"/>
      <c r="D2883" s="64"/>
      <c r="E2883" s="65"/>
      <c r="F2883" s="66"/>
      <c r="G2883" s="63"/>
      <c r="H2883" s="67"/>
      <c r="I2883" s="68"/>
      <c r="J2883" s="68"/>
      <c r="K2883" s="32"/>
      <c r="L2883" s="75">
        <v>2883</v>
      </c>
      <c r="M2883" s="75"/>
      <c r="N2883" s="70"/>
      <c r="O2883" s="77" t="s">
        <v>179</v>
      </c>
      <c r="P2883" s="79">
        <v>44986.776400462964</v>
      </c>
      <c r="Q2883" s="77" t="s">
        <v>4089</v>
      </c>
      <c r="R2883" s="77">
        <v>0</v>
      </c>
      <c r="S2883" s="77">
        <v>0</v>
      </c>
      <c r="T2883" s="77">
        <v>0</v>
      </c>
      <c r="U2883" s="77">
        <v>0</v>
      </c>
      <c r="V2883" s="77">
        <v>129</v>
      </c>
      <c r="W2883" s="82" t="s">
        <v>6639</v>
      </c>
      <c r="X2883" s="77"/>
      <c r="Y2883" s="77"/>
      <c r="Z2883" s="77"/>
      <c r="AA2883" s="77" t="s">
        <v>9230</v>
      </c>
      <c r="AB2883" s="77" t="s">
        <v>10129</v>
      </c>
      <c r="AC2883" s="82" t="s">
        <v>10144</v>
      </c>
      <c r="AD2883" s="77" t="s">
        <v>10184</v>
      </c>
      <c r="AE2883" s="80" t="str">
        <f>HYPERLINK("https://twitter.com/nogueiradioxote/status/1631000855800414216")</f>
        <v>https://twitter.com/nogueiradioxote/status/1631000855800414216</v>
      </c>
      <c r="AF2883" s="79">
        <v>44986.776400462964</v>
      </c>
      <c r="AG2883" s="85">
        <v>44986</v>
      </c>
      <c r="AH2883" s="82" t="s">
        <v>12911</v>
      </c>
      <c r="AI2883" s="77" t="b">
        <v>0</v>
      </c>
      <c r="AJ2883" s="77" t="s">
        <v>14028</v>
      </c>
      <c r="AK2883" s="77" t="s">
        <v>14033</v>
      </c>
      <c r="AL2883" s="77" t="s">
        <v>14035</v>
      </c>
      <c r="AM2883" s="77" t="s">
        <v>14069</v>
      </c>
      <c r="AN2883" s="77" t="s">
        <v>14107</v>
      </c>
      <c r="AO2883" s="77" t="s">
        <v>14144</v>
      </c>
      <c r="AP2883" s="77" t="s">
        <v>14149</v>
      </c>
      <c r="AQ2883" s="77" t="s">
        <v>15873</v>
      </c>
      <c r="AR2883" s="77">
        <v>24542</v>
      </c>
      <c r="AS2883" s="77"/>
      <c r="AT2883" s="77"/>
      <c r="AU2883" s="77"/>
      <c r="AV2883" s="80" t="str">
        <f>HYPERLINK("https://pbs.twimg.com/ext_tw_video_thumb/1631000816512368647/pu/img/SPPid74EdplR-1gt.jpg")</f>
        <v>https://pbs.twimg.com/ext_tw_video_thumb/1631000816512368647/pu/img/SPPid74EdplR-1gt.jpg</v>
      </c>
      <c r="AW2883" s="82" t="s">
        <v>19649</v>
      </c>
      <c r="AX2883" s="82" t="s">
        <v>19649</v>
      </c>
      <c r="AY2883" s="77"/>
      <c r="AZ2883" s="82" t="s">
        <v>20971</v>
      </c>
      <c r="BA2883" s="82" t="s">
        <v>20971</v>
      </c>
      <c r="BB2883" s="82" t="s">
        <v>20971</v>
      </c>
      <c r="BC2883" s="82" t="s">
        <v>19649</v>
      </c>
      <c r="BD2883" s="77">
        <v>185215343</v>
      </c>
      <c r="BE2883" s="77"/>
      <c r="BF2883" s="77"/>
      <c r="BG2883" s="77"/>
      <c r="BH2883" s="77"/>
      <c r="BI2883" s="77"/>
    </row>
    <row r="2884" spans="1:61" x14ac:dyDescent="0.25">
      <c r="A2884" s="62" t="s">
        <v>967</v>
      </c>
      <c r="B2884" s="62" t="s">
        <v>967</v>
      </c>
      <c r="C2884" s="63"/>
      <c r="D2884" s="64"/>
      <c r="E2884" s="65"/>
      <c r="F2884" s="66"/>
      <c r="G2884" s="63"/>
      <c r="H2884" s="67"/>
      <c r="I2884" s="68"/>
      <c r="J2884" s="68"/>
      <c r="K2884" s="32"/>
      <c r="L2884" s="75">
        <v>2884</v>
      </c>
      <c r="M2884" s="75"/>
      <c r="N2884" s="70"/>
      <c r="O2884" s="77" t="s">
        <v>179</v>
      </c>
      <c r="P2884" s="79">
        <v>44994.512592592589</v>
      </c>
      <c r="Q2884" s="77" t="s">
        <v>4090</v>
      </c>
      <c r="R2884" s="77">
        <v>0</v>
      </c>
      <c r="S2884" s="77">
        <v>0</v>
      </c>
      <c r="T2884" s="77">
        <v>0</v>
      </c>
      <c r="U2884" s="77">
        <v>0</v>
      </c>
      <c r="V2884" s="77">
        <v>36</v>
      </c>
      <c r="W2884" s="82" t="s">
        <v>6640</v>
      </c>
      <c r="X2884" s="77"/>
      <c r="Y2884" s="77"/>
      <c r="Z2884" s="77"/>
      <c r="AA2884" s="77" t="s">
        <v>9231</v>
      </c>
      <c r="AB2884" s="77" t="s">
        <v>10129</v>
      </c>
      <c r="AC2884" s="82" t="s">
        <v>10144</v>
      </c>
      <c r="AD2884" s="77" t="s">
        <v>10184</v>
      </c>
      <c r="AE2884" s="80" t="str">
        <f>HYPERLINK("https://twitter.com/nogueiradioxote/status/1633804357744377856")</f>
        <v>https://twitter.com/nogueiradioxote/status/1633804357744377856</v>
      </c>
      <c r="AF2884" s="79">
        <v>44994.512592592589</v>
      </c>
      <c r="AG2884" s="85">
        <v>44994</v>
      </c>
      <c r="AH2884" s="82" t="s">
        <v>12912</v>
      </c>
      <c r="AI2884" s="77" t="b">
        <v>0</v>
      </c>
      <c r="AJ2884" s="77" t="s">
        <v>14004</v>
      </c>
      <c r="AK2884" s="77" t="s">
        <v>14033</v>
      </c>
      <c r="AL2884" s="77" t="s">
        <v>14035</v>
      </c>
      <c r="AM2884" s="77" t="s">
        <v>14046</v>
      </c>
      <c r="AN2884" s="77" t="s">
        <v>14083</v>
      </c>
      <c r="AO2884" s="77" t="s">
        <v>14121</v>
      </c>
      <c r="AP2884" s="77" t="s">
        <v>14149</v>
      </c>
      <c r="AQ2884" s="77" t="s">
        <v>15874</v>
      </c>
      <c r="AR2884" s="77">
        <v>31100</v>
      </c>
      <c r="AS2884" s="77"/>
      <c r="AT2884" s="77"/>
      <c r="AU2884" s="77"/>
      <c r="AV2884" s="80" t="str">
        <f>HYPERLINK("https://pbs.twimg.com/ext_tw_video_thumb/1633804252643459073/pu/img/OdoM8Mo7zgiZkX7e.jpg")</f>
        <v>https://pbs.twimg.com/ext_tw_video_thumb/1633804252643459073/pu/img/OdoM8Mo7zgiZkX7e.jpg</v>
      </c>
      <c r="AW2884" s="82" t="s">
        <v>19650</v>
      </c>
      <c r="AX2884" s="82" t="s">
        <v>19650</v>
      </c>
      <c r="AY2884" s="77"/>
      <c r="AZ2884" s="82" t="s">
        <v>20971</v>
      </c>
      <c r="BA2884" s="82" t="s">
        <v>20971</v>
      </c>
      <c r="BB2884" s="82" t="s">
        <v>20971</v>
      </c>
      <c r="BC2884" s="82" t="s">
        <v>19650</v>
      </c>
      <c r="BD2884" s="77">
        <v>185215343</v>
      </c>
      <c r="BE2884" s="77"/>
      <c r="BF2884" s="77"/>
      <c r="BG2884" s="77"/>
      <c r="BH2884" s="77"/>
      <c r="BI2884" s="77"/>
    </row>
    <row r="2885" spans="1:61" x14ac:dyDescent="0.25">
      <c r="A2885" s="62" t="s">
        <v>967</v>
      </c>
      <c r="B2885" s="62" t="s">
        <v>967</v>
      </c>
      <c r="C2885" s="63"/>
      <c r="D2885" s="64"/>
      <c r="E2885" s="65"/>
      <c r="F2885" s="66"/>
      <c r="G2885" s="63"/>
      <c r="H2885" s="67"/>
      <c r="I2885" s="68"/>
      <c r="J2885" s="68"/>
      <c r="K2885" s="32"/>
      <c r="L2885" s="75">
        <v>2885</v>
      </c>
      <c r="M2885" s="75"/>
      <c r="N2885" s="70"/>
      <c r="O2885" s="77" t="s">
        <v>179</v>
      </c>
      <c r="P2885" s="79">
        <v>45050.031342592592</v>
      </c>
      <c r="Q2885" s="77" t="s">
        <v>4091</v>
      </c>
      <c r="R2885" s="77">
        <v>0</v>
      </c>
      <c r="S2885" s="77">
        <v>0</v>
      </c>
      <c r="T2885" s="77">
        <v>0</v>
      </c>
      <c r="U2885" s="77">
        <v>0</v>
      </c>
      <c r="V2885" s="77">
        <v>29</v>
      </c>
      <c r="W2885" s="82" t="s">
        <v>6641</v>
      </c>
      <c r="X2885" s="80" t="str">
        <f>HYPERLINK("https://www.instagram.com/reel/CrsmTOHAe4j/?igshid=YTgzYjQ4ZTY=")</f>
        <v>https://www.instagram.com/reel/CrsmTOHAe4j/?igshid=YTgzYjQ4ZTY=</v>
      </c>
      <c r="Y2885" s="77" t="s">
        <v>7250</v>
      </c>
      <c r="Z2885" s="77"/>
      <c r="AA2885" s="77"/>
      <c r="AB2885" s="77"/>
      <c r="AC2885" s="82" t="s">
        <v>10144</v>
      </c>
      <c r="AD2885" s="77" t="s">
        <v>10184</v>
      </c>
      <c r="AE2885" s="80" t="str">
        <f>HYPERLINK("https://twitter.com/nogueiradioxote/status/1653923680139857920")</f>
        <v>https://twitter.com/nogueiradioxote/status/1653923680139857920</v>
      </c>
      <c r="AF2885" s="79">
        <v>45050.031342592592</v>
      </c>
      <c r="AG2885" s="85">
        <v>45050</v>
      </c>
      <c r="AH2885" s="82" t="s">
        <v>12913</v>
      </c>
      <c r="AI2885" s="77" t="b">
        <v>0</v>
      </c>
      <c r="AJ2885" s="77" t="s">
        <v>14028</v>
      </c>
      <c r="AK2885" s="77" t="s">
        <v>14033</v>
      </c>
      <c r="AL2885" s="77" t="s">
        <v>14035</v>
      </c>
      <c r="AM2885" s="77" t="s">
        <v>14069</v>
      </c>
      <c r="AN2885" s="77" t="s">
        <v>14107</v>
      </c>
      <c r="AO2885" s="77" t="s">
        <v>14144</v>
      </c>
      <c r="AP2885" s="77" t="s">
        <v>14149</v>
      </c>
      <c r="AQ2885" s="77"/>
      <c r="AR2885" s="77"/>
      <c r="AS2885" s="77"/>
      <c r="AT2885" s="77"/>
      <c r="AU2885" s="77"/>
      <c r="AV2885" s="80" t="str">
        <f>HYPERLINK("https://pbs.twimg.com/profile_images/1630766583256694786/pjecSYuk_normal.jpg")</f>
        <v>https://pbs.twimg.com/profile_images/1630766583256694786/pjecSYuk_normal.jpg</v>
      </c>
      <c r="AW2885" s="82" t="s">
        <v>19651</v>
      </c>
      <c r="AX2885" s="82" t="s">
        <v>19651</v>
      </c>
      <c r="AY2885" s="77"/>
      <c r="AZ2885" s="82" t="s">
        <v>20971</v>
      </c>
      <c r="BA2885" s="82" t="s">
        <v>20971</v>
      </c>
      <c r="BB2885" s="82" t="s">
        <v>20971</v>
      </c>
      <c r="BC2885" s="82" t="s">
        <v>19651</v>
      </c>
      <c r="BD2885" s="77">
        <v>185215343</v>
      </c>
      <c r="BE2885" s="77"/>
      <c r="BF2885" s="77"/>
      <c r="BG2885" s="77"/>
      <c r="BH2885" s="77"/>
      <c r="BI2885" s="77"/>
    </row>
    <row r="2886" spans="1:61" x14ac:dyDescent="0.25">
      <c r="A2886" s="62" t="s">
        <v>968</v>
      </c>
      <c r="B2886" s="62" t="s">
        <v>968</v>
      </c>
      <c r="C2886" s="63"/>
      <c r="D2886" s="64"/>
      <c r="E2886" s="65"/>
      <c r="F2886" s="66"/>
      <c r="G2886" s="63"/>
      <c r="H2886" s="67"/>
      <c r="I2886" s="68"/>
      <c r="J2886" s="68"/>
      <c r="K2886" s="32"/>
      <c r="L2886" s="75">
        <v>2886</v>
      </c>
      <c r="M2886" s="75"/>
      <c r="N2886" s="70"/>
      <c r="O2886" s="77" t="s">
        <v>179</v>
      </c>
      <c r="P2886" s="79">
        <v>45017.663298611114</v>
      </c>
      <c r="Q2886" s="77" t="s">
        <v>4092</v>
      </c>
      <c r="R2886" s="77">
        <v>0</v>
      </c>
      <c r="S2886" s="77">
        <v>1</v>
      </c>
      <c r="T2886" s="77">
        <v>0</v>
      </c>
      <c r="U2886" s="77">
        <v>0</v>
      </c>
      <c r="V2886" s="77">
        <v>29</v>
      </c>
      <c r="W2886" s="82" t="s">
        <v>6642</v>
      </c>
      <c r="X2886" s="80" t="str">
        <f>HYPERLINK("https://wa.me/message/QAOYAL2U6YVED1")</f>
        <v>https://wa.me/message/QAOYAL2U6YVED1</v>
      </c>
      <c r="Y2886" s="77" t="s">
        <v>7279</v>
      </c>
      <c r="Z2886" s="77"/>
      <c r="AA2886" s="77" t="s">
        <v>9232</v>
      </c>
      <c r="AB2886" s="77" t="s">
        <v>10130</v>
      </c>
      <c r="AC2886" s="82" t="s">
        <v>10144</v>
      </c>
      <c r="AD2886" s="77" t="s">
        <v>10192</v>
      </c>
      <c r="AE2886" s="80" t="str">
        <f>HYPERLINK("https://twitter.com/aline_avon/status/1642193894157762562")</f>
        <v>https://twitter.com/aline_avon/status/1642193894157762562</v>
      </c>
      <c r="AF2886" s="79">
        <v>45017.663298611114</v>
      </c>
      <c r="AG2886" s="85">
        <v>45017</v>
      </c>
      <c r="AH2886" s="82" t="s">
        <v>12914</v>
      </c>
      <c r="AI2886" s="77" t="b">
        <v>0</v>
      </c>
      <c r="AJ2886" s="77"/>
      <c r="AK2886" s="77"/>
      <c r="AL2886" s="77"/>
      <c r="AM2886" s="77"/>
      <c r="AN2886" s="77"/>
      <c r="AO2886" s="77"/>
      <c r="AP2886" s="77"/>
      <c r="AQ2886" s="77" t="s">
        <v>15875</v>
      </c>
      <c r="AR2886" s="77"/>
      <c r="AS2886" s="77"/>
      <c r="AT2886" s="77"/>
      <c r="AU2886" s="77"/>
      <c r="AV2886" s="80" t="str">
        <f>HYPERLINK("https://pbs.twimg.com/media/Fso-pN9X0AE2HFP.jpg")</f>
        <v>https://pbs.twimg.com/media/Fso-pN9X0AE2HFP.jpg</v>
      </c>
      <c r="AW2886" s="82" t="s">
        <v>19652</v>
      </c>
      <c r="AX2886" s="82" t="s">
        <v>19652</v>
      </c>
      <c r="AY2886" s="77"/>
      <c r="AZ2886" s="82" t="s">
        <v>20971</v>
      </c>
      <c r="BA2886" s="82" t="s">
        <v>20971</v>
      </c>
      <c r="BB2886" s="82" t="s">
        <v>20971</v>
      </c>
      <c r="BC2886" s="82" t="s">
        <v>19652</v>
      </c>
      <c r="BD2886" s="82" t="s">
        <v>21568</v>
      </c>
      <c r="BE2886" s="77"/>
      <c r="BF2886" s="77"/>
      <c r="BG2886" s="77"/>
      <c r="BH2886" s="77"/>
      <c r="BI2886" s="77"/>
    </row>
    <row r="2887" spans="1:61" x14ac:dyDescent="0.25">
      <c r="A2887" s="62" t="s">
        <v>969</v>
      </c>
      <c r="B2887" s="62" t="s">
        <v>969</v>
      </c>
      <c r="C2887" s="63"/>
      <c r="D2887" s="64"/>
      <c r="E2887" s="65"/>
      <c r="F2887" s="66"/>
      <c r="G2887" s="63"/>
      <c r="H2887" s="67"/>
      <c r="I2887" s="68"/>
      <c r="J2887" s="68"/>
      <c r="K2887" s="32"/>
      <c r="L2887" s="75">
        <v>2887</v>
      </c>
      <c r="M2887" s="75"/>
      <c r="N2887" s="70"/>
      <c r="O2887" s="77" t="s">
        <v>1284</v>
      </c>
      <c r="P2887" s="79">
        <v>45120.606157407405</v>
      </c>
      <c r="Q2887" s="77" t="s">
        <v>4093</v>
      </c>
      <c r="R2887" s="77">
        <v>0</v>
      </c>
      <c r="S2887" s="77">
        <v>0</v>
      </c>
      <c r="T2887" s="77">
        <v>0</v>
      </c>
      <c r="U2887" s="77">
        <v>0</v>
      </c>
      <c r="V2887" s="77">
        <v>4</v>
      </c>
      <c r="W2887" s="82" t="s">
        <v>6643</v>
      </c>
      <c r="X2887" s="77"/>
      <c r="Y2887" s="77"/>
      <c r="Z2887" s="77"/>
      <c r="AA2887" s="77"/>
      <c r="AB2887" s="77"/>
      <c r="AC2887" s="82" t="s">
        <v>10145</v>
      </c>
      <c r="AD2887" s="77" t="s">
        <v>10186</v>
      </c>
      <c r="AE2887" s="80" t="str">
        <f>HYPERLINK("https://twitter.com/onlinedealmaker/status/1679499135584444416")</f>
        <v>https://twitter.com/onlinedealmaker/status/1679499135584444416</v>
      </c>
      <c r="AF2887" s="79">
        <v>45120.606157407405</v>
      </c>
      <c r="AG2887" s="85">
        <v>45120</v>
      </c>
      <c r="AH2887" s="82" t="s">
        <v>12915</v>
      </c>
      <c r="AI2887" s="77"/>
      <c r="AJ2887" s="77"/>
      <c r="AK2887" s="77"/>
      <c r="AL2887" s="77"/>
      <c r="AM2887" s="77"/>
      <c r="AN2887" s="77"/>
      <c r="AO2887" s="77"/>
      <c r="AP2887" s="77"/>
      <c r="AQ2887" s="77"/>
      <c r="AR2887" s="77"/>
      <c r="AS2887" s="77"/>
      <c r="AT2887" s="77"/>
      <c r="AU2887" s="77"/>
      <c r="AV2887" s="80" t="str">
        <f>HYPERLINK("https://pbs.twimg.com/profile_images/1679497931638939650/0_pvzkOj_normal.jpg")</f>
        <v>https://pbs.twimg.com/profile_images/1679497931638939650/0_pvzkOj_normal.jpg</v>
      </c>
      <c r="AW2887" s="82" t="s">
        <v>19653</v>
      </c>
      <c r="AX2887" s="82" t="s">
        <v>20875</v>
      </c>
      <c r="AY2887" s="82" t="s">
        <v>20957</v>
      </c>
      <c r="AZ2887" s="82" t="s">
        <v>20998</v>
      </c>
      <c r="BA2887" s="82" t="s">
        <v>20971</v>
      </c>
      <c r="BB2887" s="82" t="s">
        <v>20971</v>
      </c>
      <c r="BC2887" s="82" t="s">
        <v>20998</v>
      </c>
      <c r="BD2887" s="82" t="s">
        <v>20957</v>
      </c>
      <c r="BE2887" s="77"/>
      <c r="BF2887" s="77"/>
      <c r="BG2887" s="77"/>
      <c r="BH2887" s="77"/>
      <c r="BI2887" s="77"/>
    </row>
    <row r="2888" spans="1:61" x14ac:dyDescent="0.25">
      <c r="A2888" s="62" t="s">
        <v>970</v>
      </c>
      <c r="B2888" s="62" t="s">
        <v>970</v>
      </c>
      <c r="C2888" s="63"/>
      <c r="D2888" s="64"/>
      <c r="E2888" s="65"/>
      <c r="F2888" s="66"/>
      <c r="G2888" s="63"/>
      <c r="H2888" s="67"/>
      <c r="I2888" s="68"/>
      <c r="J2888" s="68"/>
      <c r="K2888" s="32"/>
      <c r="L2888" s="75">
        <v>2888</v>
      </c>
      <c r="M2888" s="75"/>
      <c r="N2888" s="70"/>
      <c r="O2888" s="77" t="s">
        <v>179</v>
      </c>
      <c r="P2888" s="79">
        <v>44968.712500000001</v>
      </c>
      <c r="Q2888" s="77" t="s">
        <v>4094</v>
      </c>
      <c r="R2888" s="77">
        <v>0</v>
      </c>
      <c r="S2888" s="77">
        <v>0</v>
      </c>
      <c r="T2888" s="77">
        <v>0</v>
      </c>
      <c r="U2888" s="77">
        <v>0</v>
      </c>
      <c r="V2888" s="77">
        <v>18</v>
      </c>
      <c r="W2888" s="82" t="s">
        <v>6644</v>
      </c>
      <c r="X2888" s="77"/>
      <c r="Y2888" s="77"/>
      <c r="Z2888" s="77"/>
      <c r="AA2888" s="77" t="s">
        <v>9233</v>
      </c>
      <c r="AB2888" s="77" t="s">
        <v>10131</v>
      </c>
      <c r="AC2888" s="82" t="s">
        <v>10145</v>
      </c>
      <c r="AD2888" s="77" t="s">
        <v>10184</v>
      </c>
      <c r="AE2888" s="80" t="str">
        <f>HYPERLINK("https://twitter.com/rafael97393/status/1624454720629743616")</f>
        <v>https://twitter.com/rafael97393/status/1624454720629743616</v>
      </c>
      <c r="AF2888" s="79">
        <v>44968.712500000001</v>
      </c>
      <c r="AG2888" s="85">
        <v>44968</v>
      </c>
      <c r="AH2888" s="82" t="s">
        <v>12916</v>
      </c>
      <c r="AI2888" s="77" t="b">
        <v>0</v>
      </c>
      <c r="AJ2888" s="77"/>
      <c r="AK2888" s="77"/>
      <c r="AL2888" s="77"/>
      <c r="AM2888" s="77"/>
      <c r="AN2888" s="77"/>
      <c r="AO2888" s="77"/>
      <c r="AP2888" s="77"/>
      <c r="AQ2888" s="77" t="s">
        <v>15876</v>
      </c>
      <c r="AR2888" s="77"/>
      <c r="AS2888" s="77"/>
      <c r="AT2888" s="77"/>
      <c r="AU2888" s="77"/>
      <c r="AV2888" s="80" t="str">
        <f>HYPERLINK("https://pbs.twimg.com/media/Fos48xfX0AULinz.jpg")</f>
        <v>https://pbs.twimg.com/media/Fos48xfX0AULinz.jpg</v>
      </c>
      <c r="AW2888" s="82" t="s">
        <v>19654</v>
      </c>
      <c r="AX2888" s="82" t="s">
        <v>19654</v>
      </c>
      <c r="AY2888" s="77"/>
      <c r="AZ2888" s="82" t="s">
        <v>20971</v>
      </c>
      <c r="BA2888" s="82" t="s">
        <v>20971</v>
      </c>
      <c r="BB2888" s="82" t="s">
        <v>20971</v>
      </c>
      <c r="BC2888" s="82" t="s">
        <v>19654</v>
      </c>
      <c r="BD2888" s="82" t="s">
        <v>21569</v>
      </c>
      <c r="BE2888" s="77"/>
      <c r="BF2888" s="77"/>
      <c r="BG2888" s="77"/>
      <c r="BH2888" s="77"/>
      <c r="BI2888" s="77"/>
    </row>
    <row r="2889" spans="1:61" x14ac:dyDescent="0.25">
      <c r="A2889" s="62" t="s">
        <v>970</v>
      </c>
      <c r="B2889" s="62" t="s">
        <v>970</v>
      </c>
      <c r="C2889" s="63"/>
      <c r="D2889" s="64"/>
      <c r="E2889" s="65"/>
      <c r="F2889" s="66"/>
      <c r="G2889" s="63"/>
      <c r="H2889" s="67"/>
      <c r="I2889" s="68"/>
      <c r="J2889" s="68"/>
      <c r="K2889" s="32"/>
      <c r="L2889" s="75">
        <v>2889</v>
      </c>
      <c r="M2889" s="75"/>
      <c r="N2889" s="70"/>
      <c r="O2889" s="77" t="s">
        <v>179</v>
      </c>
      <c r="P2889" s="79">
        <v>44968.292534722219</v>
      </c>
      <c r="Q2889" s="77" t="s">
        <v>4095</v>
      </c>
      <c r="R2889" s="77">
        <v>0</v>
      </c>
      <c r="S2889" s="77">
        <v>0</v>
      </c>
      <c r="T2889" s="77">
        <v>0</v>
      </c>
      <c r="U2889" s="77">
        <v>0</v>
      </c>
      <c r="V2889" s="77">
        <v>20</v>
      </c>
      <c r="W2889" s="82" t="s">
        <v>6645</v>
      </c>
      <c r="X2889" s="77"/>
      <c r="Y2889" s="77"/>
      <c r="Z2889" s="77"/>
      <c r="AA2889" s="77" t="s">
        <v>9234</v>
      </c>
      <c r="AB2889" s="77" t="s">
        <v>10129</v>
      </c>
      <c r="AC2889" s="82" t="s">
        <v>10145</v>
      </c>
      <c r="AD2889" s="77" t="s">
        <v>10183</v>
      </c>
      <c r="AE2889" s="80" t="str">
        <f>HYPERLINK("https://twitter.com/rafael97393/status/1624302528451039232")</f>
        <v>https://twitter.com/rafael97393/status/1624302528451039232</v>
      </c>
      <c r="AF2889" s="79">
        <v>44968.292534722219</v>
      </c>
      <c r="AG2889" s="85">
        <v>44968</v>
      </c>
      <c r="AH2889" s="82" t="s">
        <v>12917</v>
      </c>
      <c r="AI2889" s="77" t="b">
        <v>0</v>
      </c>
      <c r="AJ2889" s="77"/>
      <c r="AK2889" s="77"/>
      <c r="AL2889" s="77"/>
      <c r="AM2889" s="77"/>
      <c r="AN2889" s="77"/>
      <c r="AO2889" s="77"/>
      <c r="AP2889" s="77"/>
      <c r="AQ2889" s="77" t="s">
        <v>15877</v>
      </c>
      <c r="AR2889" s="77">
        <v>40000</v>
      </c>
      <c r="AS2889" s="77"/>
      <c r="AT2889" s="77"/>
      <c r="AU2889" s="77"/>
      <c r="AV2889" s="80" t="str">
        <f>HYPERLINK("https://pbs.twimg.com/ext_tw_video_thumb/1624302478941466625/pu/img/ly-6FmIveent3RRB.jpg")</f>
        <v>https://pbs.twimg.com/ext_tw_video_thumb/1624302478941466625/pu/img/ly-6FmIveent3RRB.jpg</v>
      </c>
      <c r="AW2889" s="82" t="s">
        <v>19655</v>
      </c>
      <c r="AX2889" s="82" t="s">
        <v>19655</v>
      </c>
      <c r="AY2889" s="77"/>
      <c r="AZ2889" s="82" t="s">
        <v>20971</v>
      </c>
      <c r="BA2889" s="82" t="s">
        <v>20971</v>
      </c>
      <c r="BB2889" s="82" t="s">
        <v>20971</v>
      </c>
      <c r="BC2889" s="82" t="s">
        <v>19655</v>
      </c>
      <c r="BD2889" s="82" t="s">
        <v>21569</v>
      </c>
      <c r="BE2889" s="77"/>
      <c r="BF2889" s="77"/>
      <c r="BG2889" s="77"/>
      <c r="BH2889" s="77"/>
      <c r="BI2889" s="77"/>
    </row>
    <row r="2890" spans="1:61" x14ac:dyDescent="0.25">
      <c r="A2890" s="62" t="s">
        <v>971</v>
      </c>
      <c r="B2890" s="62" t="s">
        <v>971</v>
      </c>
      <c r="C2890" s="63"/>
      <c r="D2890" s="64"/>
      <c r="E2890" s="65"/>
      <c r="F2890" s="66"/>
      <c r="G2890" s="63"/>
      <c r="H2890" s="67"/>
      <c r="I2890" s="68"/>
      <c r="J2890" s="68"/>
      <c r="K2890" s="32"/>
      <c r="L2890" s="75">
        <v>2890</v>
      </c>
      <c r="M2890" s="75"/>
      <c r="N2890" s="70"/>
      <c r="O2890" s="77" t="s">
        <v>179</v>
      </c>
      <c r="P2890" s="79">
        <v>45134.04414351852</v>
      </c>
      <c r="Q2890" s="77" t="s">
        <v>4096</v>
      </c>
      <c r="R2890" s="77">
        <v>0</v>
      </c>
      <c r="S2890" s="77">
        <v>1</v>
      </c>
      <c r="T2890" s="77">
        <v>0</v>
      </c>
      <c r="U2890" s="77">
        <v>0</v>
      </c>
      <c r="V2890" s="77">
        <v>11</v>
      </c>
      <c r="W2890" s="82" t="s">
        <v>5758</v>
      </c>
      <c r="X2890" s="80" t="str">
        <f>HYPERLINK("https://pay.kiwify.com.br/Fx1ZaXc?afid=gAkD9RXt")</f>
        <v>https://pay.kiwify.com.br/Fx1ZaXc?afid=gAkD9RXt</v>
      </c>
      <c r="Y2890" s="77" t="s">
        <v>7252</v>
      </c>
      <c r="Z2890" s="77"/>
      <c r="AA2890" s="77"/>
      <c r="AB2890" s="77"/>
      <c r="AC2890" s="82" t="s">
        <v>10144</v>
      </c>
      <c r="AD2890" s="77" t="s">
        <v>10184</v>
      </c>
      <c r="AE2890" s="80" t="str">
        <f>HYPERLINK("https://twitter.com/geracaogm/status/1684368901415526401")</f>
        <v>https://twitter.com/geracaogm/status/1684368901415526401</v>
      </c>
      <c r="AF2890" s="79">
        <v>45134.04414351852</v>
      </c>
      <c r="AG2890" s="85">
        <v>45134</v>
      </c>
      <c r="AH2890" s="82" t="s">
        <v>12918</v>
      </c>
      <c r="AI2890" s="77" t="b">
        <v>0</v>
      </c>
      <c r="AJ2890" s="77"/>
      <c r="AK2890" s="77"/>
      <c r="AL2890" s="77"/>
      <c r="AM2890" s="77"/>
      <c r="AN2890" s="77"/>
      <c r="AO2890" s="77"/>
      <c r="AP2890" s="77"/>
      <c r="AQ2890" s="77"/>
      <c r="AR2890" s="77"/>
      <c r="AS2890" s="77"/>
      <c r="AT2890" s="77"/>
      <c r="AU2890" s="77"/>
      <c r="AV2890" s="80" t="str">
        <f>HYPERLINK("https://pbs.twimg.com/profile_images/1684013047206105089/Z31jRvI5_normal.jpg")</f>
        <v>https://pbs.twimg.com/profile_images/1684013047206105089/Z31jRvI5_normal.jpg</v>
      </c>
      <c r="AW2890" s="82" t="s">
        <v>19656</v>
      </c>
      <c r="AX2890" s="82" t="s">
        <v>19656</v>
      </c>
      <c r="AY2890" s="77"/>
      <c r="AZ2890" s="82" t="s">
        <v>20971</v>
      </c>
      <c r="BA2890" s="82" t="s">
        <v>20971</v>
      </c>
      <c r="BB2890" s="82" t="s">
        <v>20971</v>
      </c>
      <c r="BC2890" s="82" t="s">
        <v>19656</v>
      </c>
      <c r="BD2890" s="82" t="s">
        <v>21570</v>
      </c>
      <c r="BE2890" s="77"/>
      <c r="BF2890" s="77"/>
      <c r="BG2890" s="77"/>
      <c r="BH2890" s="77"/>
      <c r="BI2890" s="77"/>
    </row>
    <row r="2891" spans="1:61" x14ac:dyDescent="0.25">
      <c r="A2891" s="62" t="s">
        <v>971</v>
      </c>
      <c r="B2891" s="62" t="s">
        <v>971</v>
      </c>
      <c r="C2891" s="63"/>
      <c r="D2891" s="64"/>
      <c r="E2891" s="65"/>
      <c r="F2891" s="66"/>
      <c r="G2891" s="63"/>
      <c r="H2891" s="67"/>
      <c r="I2891" s="68"/>
      <c r="J2891" s="68"/>
      <c r="K2891" s="32"/>
      <c r="L2891" s="75">
        <v>2891</v>
      </c>
      <c r="M2891" s="75"/>
      <c r="N2891" s="70"/>
      <c r="O2891" s="77" t="s">
        <v>179</v>
      </c>
      <c r="P2891" s="79">
        <v>45133.087650462963</v>
      </c>
      <c r="Q2891" s="77" t="s">
        <v>4097</v>
      </c>
      <c r="R2891" s="77">
        <v>0</v>
      </c>
      <c r="S2891" s="77">
        <v>0</v>
      </c>
      <c r="T2891" s="77">
        <v>0</v>
      </c>
      <c r="U2891" s="77">
        <v>0</v>
      </c>
      <c r="V2891" s="77">
        <v>30</v>
      </c>
      <c r="W2891" s="82" t="s">
        <v>6646</v>
      </c>
      <c r="X2891" s="77"/>
      <c r="Y2891" s="77"/>
      <c r="Z2891" s="77"/>
      <c r="AA2891" s="77"/>
      <c r="AB2891" s="77"/>
      <c r="AC2891" s="82" t="s">
        <v>10144</v>
      </c>
      <c r="AD2891" s="77" t="s">
        <v>10184</v>
      </c>
      <c r="AE2891" s="80" t="str">
        <f>HYPERLINK("https://twitter.com/geracaogm/status/1684022279762583553")</f>
        <v>https://twitter.com/geracaogm/status/1684022279762583553</v>
      </c>
      <c r="AF2891" s="79">
        <v>45133.087650462963</v>
      </c>
      <c r="AG2891" s="85">
        <v>45133</v>
      </c>
      <c r="AH2891" s="82" t="s">
        <v>12919</v>
      </c>
      <c r="AI2891" s="77"/>
      <c r="AJ2891" s="77"/>
      <c r="AK2891" s="77"/>
      <c r="AL2891" s="77"/>
      <c r="AM2891" s="77"/>
      <c r="AN2891" s="77"/>
      <c r="AO2891" s="77"/>
      <c r="AP2891" s="77"/>
      <c r="AQ2891" s="77"/>
      <c r="AR2891" s="77"/>
      <c r="AS2891" s="77"/>
      <c r="AT2891" s="77"/>
      <c r="AU2891" s="77"/>
      <c r="AV2891" s="80" t="str">
        <f>HYPERLINK("https://pbs.twimg.com/profile_images/1684013047206105089/Z31jRvI5_normal.jpg")</f>
        <v>https://pbs.twimg.com/profile_images/1684013047206105089/Z31jRvI5_normal.jpg</v>
      </c>
      <c r="AW2891" s="82" t="s">
        <v>19657</v>
      </c>
      <c r="AX2891" s="82" t="s">
        <v>19657</v>
      </c>
      <c r="AY2891" s="77"/>
      <c r="AZ2891" s="82" t="s">
        <v>20971</v>
      </c>
      <c r="BA2891" s="82" t="s">
        <v>20971</v>
      </c>
      <c r="BB2891" s="82" t="s">
        <v>20971</v>
      </c>
      <c r="BC2891" s="82" t="s">
        <v>19657</v>
      </c>
      <c r="BD2891" s="82" t="s">
        <v>21570</v>
      </c>
      <c r="BE2891" s="77"/>
      <c r="BF2891" s="77"/>
      <c r="BG2891" s="77"/>
      <c r="BH2891" s="77"/>
      <c r="BI2891" s="77"/>
    </row>
    <row r="2892" spans="1:61" x14ac:dyDescent="0.25">
      <c r="A2892" s="62" t="s">
        <v>972</v>
      </c>
      <c r="B2892" s="62" t="s">
        <v>972</v>
      </c>
      <c r="C2892" s="63"/>
      <c r="D2892" s="64"/>
      <c r="E2892" s="65"/>
      <c r="F2892" s="66"/>
      <c r="G2892" s="63"/>
      <c r="H2892" s="67"/>
      <c r="I2892" s="68"/>
      <c r="J2892" s="68"/>
      <c r="K2892" s="32"/>
      <c r="L2892" s="75">
        <v>2892</v>
      </c>
      <c r="M2892" s="75"/>
      <c r="N2892" s="70"/>
      <c r="O2892" s="77" t="s">
        <v>179</v>
      </c>
      <c r="P2892" s="79">
        <v>45102.112314814818</v>
      </c>
      <c r="Q2892" s="77" t="s">
        <v>4098</v>
      </c>
      <c r="R2892" s="77">
        <v>0</v>
      </c>
      <c r="S2892" s="77">
        <v>0</v>
      </c>
      <c r="T2892" s="77">
        <v>0</v>
      </c>
      <c r="U2892" s="77">
        <v>0</v>
      </c>
      <c r="V2892" s="77">
        <v>55</v>
      </c>
      <c r="W2892" s="82" t="s">
        <v>6647</v>
      </c>
      <c r="X2892" s="80" t="str">
        <f>HYPERLINK("https://linktr.ee/larissacamposs")</f>
        <v>https://linktr.ee/larissacamposs</v>
      </c>
      <c r="Y2892" s="77" t="s">
        <v>7300</v>
      </c>
      <c r="Z2892" s="77"/>
      <c r="AA2892" s="77" t="s">
        <v>9235</v>
      </c>
      <c r="AB2892" s="77" t="s">
        <v>10130</v>
      </c>
      <c r="AC2892" s="82" t="s">
        <v>10144</v>
      </c>
      <c r="AD2892" s="77" t="s">
        <v>10184</v>
      </c>
      <c r="AE2892" s="80" t="str">
        <f>HYPERLINK("https://twitter.com/campossecrett/status/1672797193760129027")</f>
        <v>https://twitter.com/campossecrett/status/1672797193760129027</v>
      </c>
      <c r="AF2892" s="79">
        <v>45102.112314814818</v>
      </c>
      <c r="AG2892" s="85">
        <v>45102</v>
      </c>
      <c r="AH2892" s="82" t="s">
        <v>12920</v>
      </c>
      <c r="AI2892" s="77" t="b">
        <v>0</v>
      </c>
      <c r="AJ2892" s="77"/>
      <c r="AK2892" s="77"/>
      <c r="AL2892" s="77"/>
      <c r="AM2892" s="77"/>
      <c r="AN2892" s="77"/>
      <c r="AO2892" s="77"/>
      <c r="AP2892" s="77"/>
      <c r="AQ2892" s="77" t="s">
        <v>15878</v>
      </c>
      <c r="AR2892" s="77"/>
      <c r="AS2892" s="77"/>
      <c r="AT2892" s="77"/>
      <c r="AU2892" s="77"/>
      <c r="AV2892" s="80" t="str">
        <f>HYPERLINK("https://pbs.twimg.com/media/Fzb4LfYWIAAxzV1.jpg")</f>
        <v>https://pbs.twimg.com/media/Fzb4LfYWIAAxzV1.jpg</v>
      </c>
      <c r="AW2892" s="82" t="s">
        <v>19658</v>
      </c>
      <c r="AX2892" s="82" t="s">
        <v>19658</v>
      </c>
      <c r="AY2892" s="77"/>
      <c r="AZ2892" s="82" t="s">
        <v>20971</v>
      </c>
      <c r="BA2892" s="82" t="s">
        <v>20971</v>
      </c>
      <c r="BB2892" s="82" t="s">
        <v>20971</v>
      </c>
      <c r="BC2892" s="82" t="s">
        <v>19658</v>
      </c>
      <c r="BD2892" s="82" t="s">
        <v>21571</v>
      </c>
      <c r="BE2892" s="77"/>
      <c r="BF2892" s="77"/>
      <c r="BG2892" s="77"/>
      <c r="BH2892" s="77"/>
      <c r="BI2892" s="77"/>
    </row>
    <row r="2893" spans="1:61" x14ac:dyDescent="0.25">
      <c r="A2893" s="62" t="s">
        <v>973</v>
      </c>
      <c r="B2893" s="62" t="s">
        <v>973</v>
      </c>
      <c r="C2893" s="63"/>
      <c r="D2893" s="64"/>
      <c r="E2893" s="65"/>
      <c r="F2893" s="66"/>
      <c r="G2893" s="63"/>
      <c r="H2893" s="67"/>
      <c r="I2893" s="68"/>
      <c r="J2893" s="68"/>
      <c r="K2893" s="32"/>
      <c r="L2893" s="75">
        <v>2893</v>
      </c>
      <c r="M2893" s="75"/>
      <c r="N2893" s="70"/>
      <c r="O2893" s="77" t="s">
        <v>179</v>
      </c>
      <c r="P2893" s="79">
        <v>45026.165972222225</v>
      </c>
      <c r="Q2893" s="77" t="s">
        <v>4099</v>
      </c>
      <c r="R2893" s="77">
        <v>0</v>
      </c>
      <c r="S2893" s="77">
        <v>0</v>
      </c>
      <c r="T2893" s="77">
        <v>0</v>
      </c>
      <c r="U2893" s="77">
        <v>0</v>
      </c>
      <c r="V2893" s="77">
        <v>30</v>
      </c>
      <c r="W2893" s="82" t="s">
        <v>6648</v>
      </c>
      <c r="X2893" s="77"/>
      <c r="Y2893" s="77"/>
      <c r="Z2893" s="77"/>
      <c r="AA2893" s="77" t="s">
        <v>9236</v>
      </c>
      <c r="AB2893" s="77" t="s">
        <v>10130</v>
      </c>
      <c r="AC2893" s="82" t="s">
        <v>10146</v>
      </c>
      <c r="AD2893" s="77" t="s">
        <v>10185</v>
      </c>
      <c r="AE2893" s="80" t="str">
        <f>HYPERLINK("https://twitter.com/jittudesign01/status/1645275158616080390")</f>
        <v>https://twitter.com/jittudesign01/status/1645275158616080390</v>
      </c>
      <c r="AF2893" s="79">
        <v>45026.165972222225</v>
      </c>
      <c r="AG2893" s="85">
        <v>45026</v>
      </c>
      <c r="AH2893" s="82" t="s">
        <v>12921</v>
      </c>
      <c r="AI2893" s="77" t="b">
        <v>0</v>
      </c>
      <c r="AJ2893" s="77"/>
      <c r="AK2893" s="77"/>
      <c r="AL2893" s="77"/>
      <c r="AM2893" s="77"/>
      <c r="AN2893" s="77"/>
      <c r="AO2893" s="77"/>
      <c r="AP2893" s="77"/>
      <c r="AQ2893" s="77" t="s">
        <v>15879</v>
      </c>
      <c r="AR2893" s="77"/>
      <c r="AS2893" s="77"/>
      <c r="AT2893" s="77"/>
      <c r="AU2893" s="77"/>
      <c r="AV2893" s="80" t="str">
        <f>HYPERLINK("https://pbs.twimg.com/media/FtScXz7acAA32OJ.jpg")</f>
        <v>https://pbs.twimg.com/media/FtScXz7acAA32OJ.jpg</v>
      </c>
      <c r="AW2893" s="82" t="s">
        <v>19659</v>
      </c>
      <c r="AX2893" s="82" t="s">
        <v>19659</v>
      </c>
      <c r="AY2893" s="77"/>
      <c r="AZ2893" s="82" t="s">
        <v>20971</v>
      </c>
      <c r="BA2893" s="82" t="s">
        <v>20971</v>
      </c>
      <c r="BB2893" s="82" t="s">
        <v>20971</v>
      </c>
      <c r="BC2893" s="82" t="s">
        <v>19659</v>
      </c>
      <c r="BD2893" s="82" t="s">
        <v>21572</v>
      </c>
      <c r="BE2893" s="77"/>
      <c r="BF2893" s="77"/>
      <c r="BG2893" s="77"/>
      <c r="BH2893" s="77"/>
      <c r="BI2893" s="77"/>
    </row>
    <row r="2894" spans="1:61" x14ac:dyDescent="0.25">
      <c r="A2894" s="62" t="s">
        <v>974</v>
      </c>
      <c r="B2894" s="62" t="s">
        <v>974</v>
      </c>
      <c r="C2894" s="63"/>
      <c r="D2894" s="64"/>
      <c r="E2894" s="65"/>
      <c r="F2894" s="66"/>
      <c r="G2894" s="63"/>
      <c r="H2894" s="67"/>
      <c r="I2894" s="68"/>
      <c r="J2894" s="68"/>
      <c r="K2894" s="32"/>
      <c r="L2894" s="75">
        <v>2894</v>
      </c>
      <c r="M2894" s="75"/>
      <c r="N2894" s="70"/>
      <c r="O2894" s="77" t="s">
        <v>179</v>
      </c>
      <c r="P2894" s="79">
        <v>45173.133009259262</v>
      </c>
      <c r="Q2894" s="77" t="s">
        <v>4100</v>
      </c>
      <c r="R2894" s="77">
        <v>0</v>
      </c>
      <c r="S2894" s="77">
        <v>0</v>
      </c>
      <c r="T2894" s="77">
        <v>0</v>
      </c>
      <c r="U2894" s="77">
        <v>0</v>
      </c>
      <c r="V2894" s="77">
        <v>20</v>
      </c>
      <c r="W2894" s="82" t="s">
        <v>6649</v>
      </c>
      <c r="X2894" s="77"/>
      <c r="Y2894" s="77"/>
      <c r="Z2894" s="77"/>
      <c r="AA2894" s="77" t="s">
        <v>9237</v>
      </c>
      <c r="AB2894" s="77" t="s">
        <v>10130</v>
      </c>
      <c r="AC2894" s="82" t="s">
        <v>10144</v>
      </c>
      <c r="AD2894" s="77" t="s">
        <v>10184</v>
      </c>
      <c r="AE2894" s="80" t="str">
        <f>HYPERLINK("https://twitter.com/murilo_business/status/1698534230735610239")</f>
        <v>https://twitter.com/murilo_business/status/1698534230735610239</v>
      </c>
      <c r="AF2894" s="79">
        <v>45173.133009259262</v>
      </c>
      <c r="AG2894" s="85">
        <v>45173</v>
      </c>
      <c r="AH2894" s="82" t="s">
        <v>12922</v>
      </c>
      <c r="AI2894" s="77" t="b">
        <v>0</v>
      </c>
      <c r="AJ2894" s="77"/>
      <c r="AK2894" s="77"/>
      <c r="AL2894" s="77"/>
      <c r="AM2894" s="77"/>
      <c r="AN2894" s="77"/>
      <c r="AO2894" s="77"/>
      <c r="AP2894" s="77"/>
      <c r="AQ2894" s="77" t="s">
        <v>15880</v>
      </c>
      <c r="AR2894" s="77"/>
      <c r="AS2894" s="77"/>
      <c r="AT2894" s="77"/>
      <c r="AU2894" s="77"/>
      <c r="AV2894" s="80" t="str">
        <f>HYPERLINK("https://pbs.twimg.com/media/F5Jn4b_WQAArhDo.jpg")</f>
        <v>https://pbs.twimg.com/media/F5Jn4b_WQAArhDo.jpg</v>
      </c>
      <c r="AW2894" s="82" t="s">
        <v>19660</v>
      </c>
      <c r="AX2894" s="82" t="s">
        <v>19660</v>
      </c>
      <c r="AY2894" s="77"/>
      <c r="AZ2894" s="82" t="s">
        <v>20971</v>
      </c>
      <c r="BA2894" s="82" t="s">
        <v>20971</v>
      </c>
      <c r="BB2894" s="82" t="s">
        <v>20971</v>
      </c>
      <c r="BC2894" s="82" t="s">
        <v>19660</v>
      </c>
      <c r="BD2894" s="82" t="s">
        <v>21573</v>
      </c>
      <c r="BE2894" s="77"/>
      <c r="BF2894" s="77"/>
      <c r="BG2894" s="77"/>
      <c r="BH2894" s="77"/>
      <c r="BI2894" s="77"/>
    </row>
    <row r="2895" spans="1:61" x14ac:dyDescent="0.25">
      <c r="A2895" s="62" t="s">
        <v>975</v>
      </c>
      <c r="B2895" s="62" t="s">
        <v>975</v>
      </c>
      <c r="C2895" s="63"/>
      <c r="D2895" s="64"/>
      <c r="E2895" s="65"/>
      <c r="F2895" s="66"/>
      <c r="G2895" s="63"/>
      <c r="H2895" s="67"/>
      <c r="I2895" s="68"/>
      <c r="J2895" s="68"/>
      <c r="K2895" s="32"/>
      <c r="L2895" s="75">
        <v>2895</v>
      </c>
      <c r="M2895" s="75"/>
      <c r="N2895" s="70"/>
      <c r="O2895" s="77" t="s">
        <v>179</v>
      </c>
      <c r="P2895" s="79">
        <v>45107.109340277777</v>
      </c>
      <c r="Q2895" s="77" t="s">
        <v>4101</v>
      </c>
      <c r="R2895" s="77">
        <v>0</v>
      </c>
      <c r="S2895" s="77">
        <v>0</v>
      </c>
      <c r="T2895" s="77">
        <v>0</v>
      </c>
      <c r="U2895" s="77">
        <v>0</v>
      </c>
      <c r="V2895" s="77">
        <v>88</v>
      </c>
      <c r="W2895" s="82" t="s">
        <v>6650</v>
      </c>
      <c r="X2895" s="80" t="str">
        <f>HYPERLINK("https://poplottery.com/#/register?r_code=u5zKd186746")</f>
        <v>https://poplottery.com/#/register?r_code=u5zKd186746</v>
      </c>
      <c r="Y2895" s="77" t="s">
        <v>7259</v>
      </c>
      <c r="Z2895" s="77"/>
      <c r="AA2895" s="77"/>
      <c r="AB2895" s="77"/>
      <c r="AC2895" s="82" t="s">
        <v>10146</v>
      </c>
      <c r="AD2895" s="77" t="s">
        <v>10184</v>
      </c>
      <c r="AE2895" s="80" t="str">
        <f>HYPERLINK("https://twitter.com/wsleyslva/status/1674608054854205441")</f>
        <v>https://twitter.com/wsleyslva/status/1674608054854205441</v>
      </c>
      <c r="AF2895" s="79">
        <v>45107.109340277777</v>
      </c>
      <c r="AG2895" s="85">
        <v>45107</v>
      </c>
      <c r="AH2895" s="82" t="s">
        <v>12923</v>
      </c>
      <c r="AI2895" s="77" t="b">
        <v>0</v>
      </c>
      <c r="AJ2895" s="77"/>
      <c r="AK2895" s="77"/>
      <c r="AL2895" s="77"/>
      <c r="AM2895" s="77"/>
      <c r="AN2895" s="77"/>
      <c r="AO2895" s="77"/>
      <c r="AP2895" s="77"/>
      <c r="AQ2895" s="77"/>
      <c r="AR2895" s="77"/>
      <c r="AS2895" s="77"/>
      <c r="AT2895" s="77"/>
      <c r="AU2895" s="77"/>
      <c r="AV2895" s="80" t="str">
        <f>HYPERLINK("https://abs.twimg.com/sticky/default_profile_images/default_profile_normal.png")</f>
        <v>https://abs.twimg.com/sticky/default_profile_images/default_profile_normal.png</v>
      </c>
      <c r="AW2895" s="82" t="s">
        <v>19661</v>
      </c>
      <c r="AX2895" s="82" t="s">
        <v>19661</v>
      </c>
      <c r="AY2895" s="77"/>
      <c r="AZ2895" s="82" t="s">
        <v>20971</v>
      </c>
      <c r="BA2895" s="82" t="s">
        <v>20971</v>
      </c>
      <c r="BB2895" s="82" t="s">
        <v>20971</v>
      </c>
      <c r="BC2895" s="82" t="s">
        <v>19661</v>
      </c>
      <c r="BD2895" s="82" t="s">
        <v>21574</v>
      </c>
      <c r="BE2895" s="77"/>
      <c r="BF2895" s="77"/>
      <c r="BG2895" s="77"/>
      <c r="BH2895" s="77"/>
      <c r="BI2895" s="77"/>
    </row>
    <row r="2896" spans="1:61" x14ac:dyDescent="0.25">
      <c r="A2896" s="62" t="s">
        <v>976</v>
      </c>
      <c r="B2896" s="62" t="s">
        <v>976</v>
      </c>
      <c r="C2896" s="63"/>
      <c r="D2896" s="64"/>
      <c r="E2896" s="65"/>
      <c r="F2896" s="66"/>
      <c r="G2896" s="63"/>
      <c r="H2896" s="67"/>
      <c r="I2896" s="68"/>
      <c r="J2896" s="68"/>
      <c r="K2896" s="32"/>
      <c r="L2896" s="75">
        <v>2896</v>
      </c>
      <c r="M2896" s="75"/>
      <c r="N2896" s="70"/>
      <c r="O2896" s="77" t="s">
        <v>179</v>
      </c>
      <c r="P2896" s="79">
        <v>44967.693611111114</v>
      </c>
      <c r="Q2896" s="77" t="s">
        <v>4102</v>
      </c>
      <c r="R2896" s="77">
        <v>0</v>
      </c>
      <c r="S2896" s="77">
        <v>0</v>
      </c>
      <c r="T2896" s="77">
        <v>0</v>
      </c>
      <c r="U2896" s="77">
        <v>0</v>
      </c>
      <c r="V2896" s="77">
        <v>86</v>
      </c>
      <c r="W2896" s="82" t="s">
        <v>6651</v>
      </c>
      <c r="X2896" s="77"/>
      <c r="Y2896" s="77"/>
      <c r="Z2896" s="77"/>
      <c r="AA2896" s="77" t="s">
        <v>9238</v>
      </c>
      <c r="AB2896" s="77" t="s">
        <v>10129</v>
      </c>
      <c r="AC2896" s="82" t="s">
        <v>10145</v>
      </c>
      <c r="AD2896" s="77" t="s">
        <v>10184</v>
      </c>
      <c r="AE2896" s="80" t="str">
        <f>HYPERLINK("https://twitter.com/eudrpimenta/status/1624085484925333507")</f>
        <v>https://twitter.com/eudrpimenta/status/1624085484925333507</v>
      </c>
      <c r="AF2896" s="79">
        <v>44967.693611111114</v>
      </c>
      <c r="AG2896" s="85">
        <v>44967</v>
      </c>
      <c r="AH2896" s="82" t="s">
        <v>12924</v>
      </c>
      <c r="AI2896" s="77" t="b">
        <v>0</v>
      </c>
      <c r="AJ2896" s="77"/>
      <c r="AK2896" s="77"/>
      <c r="AL2896" s="77"/>
      <c r="AM2896" s="77"/>
      <c r="AN2896" s="77"/>
      <c r="AO2896" s="77"/>
      <c r="AP2896" s="77"/>
      <c r="AQ2896" s="77" t="s">
        <v>15881</v>
      </c>
      <c r="AR2896" s="77">
        <v>20900</v>
      </c>
      <c r="AS2896" s="77"/>
      <c r="AT2896" s="77"/>
      <c r="AU2896" s="77"/>
      <c r="AV2896" s="80" t="str">
        <f>HYPERLINK("https://pbs.twimg.com/ext_tw_video_thumb/1624085270588010504/pu/img/-ssWUogfqpMVa8q3.jpg")</f>
        <v>https://pbs.twimg.com/ext_tw_video_thumb/1624085270588010504/pu/img/-ssWUogfqpMVa8q3.jpg</v>
      </c>
      <c r="AW2896" s="82" t="s">
        <v>19662</v>
      </c>
      <c r="AX2896" s="82" t="s">
        <v>19662</v>
      </c>
      <c r="AY2896" s="77"/>
      <c r="AZ2896" s="82" t="s">
        <v>20971</v>
      </c>
      <c r="BA2896" s="82" t="s">
        <v>20971</v>
      </c>
      <c r="BB2896" s="82" t="s">
        <v>20971</v>
      </c>
      <c r="BC2896" s="82" t="s">
        <v>19662</v>
      </c>
      <c r="BD2896" s="82" t="s">
        <v>21575</v>
      </c>
      <c r="BE2896" s="77"/>
      <c r="BF2896" s="77"/>
      <c r="BG2896" s="77"/>
      <c r="BH2896" s="77"/>
      <c r="BI2896" s="77"/>
    </row>
    <row r="2897" spans="1:61" x14ac:dyDescent="0.25">
      <c r="A2897" s="62" t="s">
        <v>977</v>
      </c>
      <c r="B2897" s="62" t="s">
        <v>977</v>
      </c>
      <c r="C2897" s="63"/>
      <c r="D2897" s="64"/>
      <c r="E2897" s="65"/>
      <c r="F2897" s="66"/>
      <c r="G2897" s="63"/>
      <c r="H2897" s="67"/>
      <c r="I2897" s="68"/>
      <c r="J2897" s="68"/>
      <c r="K2897" s="32"/>
      <c r="L2897" s="75">
        <v>2897</v>
      </c>
      <c r="M2897" s="75"/>
      <c r="N2897" s="70"/>
      <c r="O2897" s="77" t="s">
        <v>179</v>
      </c>
      <c r="P2897" s="79">
        <v>44975.071076388886</v>
      </c>
      <c r="Q2897" s="77" t="s">
        <v>4103</v>
      </c>
      <c r="R2897" s="77">
        <v>0</v>
      </c>
      <c r="S2897" s="77">
        <v>0</v>
      </c>
      <c r="T2897" s="77">
        <v>0</v>
      </c>
      <c r="U2897" s="77">
        <v>0</v>
      </c>
      <c r="V2897" s="77">
        <v>24</v>
      </c>
      <c r="W2897" s="82" t="s">
        <v>6652</v>
      </c>
      <c r="X2897" s="80" t="str">
        <f>HYPERLINK("https://youtu.be/56yMy6ezcvI")</f>
        <v>https://youtu.be/56yMy6ezcvI</v>
      </c>
      <c r="Y2897" s="77" t="s">
        <v>7248</v>
      </c>
      <c r="Z2897" s="77"/>
      <c r="AA2897" s="77"/>
      <c r="AB2897" s="77"/>
      <c r="AC2897" s="82" t="s">
        <v>10145</v>
      </c>
      <c r="AD2897" s="77" t="s">
        <v>10184</v>
      </c>
      <c r="AE2897" s="80" t="str">
        <f>HYPERLINK("https://twitter.com/pense_rico/status/1626758990783807490")</f>
        <v>https://twitter.com/pense_rico/status/1626758990783807490</v>
      </c>
      <c r="AF2897" s="79">
        <v>44975.071076388886</v>
      </c>
      <c r="AG2897" s="85">
        <v>44975</v>
      </c>
      <c r="AH2897" s="82" t="s">
        <v>12925</v>
      </c>
      <c r="AI2897" s="77" t="b">
        <v>0</v>
      </c>
      <c r="AJ2897" s="77"/>
      <c r="AK2897" s="77"/>
      <c r="AL2897" s="77"/>
      <c r="AM2897" s="77"/>
      <c r="AN2897" s="77"/>
      <c r="AO2897" s="77"/>
      <c r="AP2897" s="77"/>
      <c r="AQ2897" s="77"/>
      <c r="AR2897" s="77"/>
      <c r="AS2897" s="77"/>
      <c r="AT2897" s="77"/>
      <c r="AU2897" s="77"/>
      <c r="AV2897" s="80" t="str">
        <f>HYPERLINK("https://pbs.twimg.com/profile_images/1663983306101145616/8YmbU-t7_normal.jpg")</f>
        <v>https://pbs.twimg.com/profile_images/1663983306101145616/8YmbU-t7_normal.jpg</v>
      </c>
      <c r="AW2897" s="82" t="s">
        <v>19663</v>
      </c>
      <c r="AX2897" s="82" t="s">
        <v>19663</v>
      </c>
      <c r="AY2897" s="77"/>
      <c r="AZ2897" s="82" t="s">
        <v>20971</v>
      </c>
      <c r="BA2897" s="82" t="s">
        <v>20971</v>
      </c>
      <c r="BB2897" s="82" t="s">
        <v>20971</v>
      </c>
      <c r="BC2897" s="82" t="s">
        <v>19663</v>
      </c>
      <c r="BD2897" s="82" t="s">
        <v>21576</v>
      </c>
      <c r="BE2897" s="77"/>
      <c r="BF2897" s="77"/>
      <c r="BG2897" s="77"/>
      <c r="BH2897" s="77"/>
      <c r="BI2897" s="77"/>
    </row>
    <row r="2898" spans="1:61" x14ac:dyDescent="0.25">
      <c r="A2898" s="62" t="s">
        <v>977</v>
      </c>
      <c r="B2898" s="62" t="s">
        <v>977</v>
      </c>
      <c r="C2898" s="63"/>
      <c r="D2898" s="64"/>
      <c r="E2898" s="65"/>
      <c r="F2898" s="66"/>
      <c r="G2898" s="63"/>
      <c r="H2898" s="67"/>
      <c r="I2898" s="68"/>
      <c r="J2898" s="68"/>
      <c r="K2898" s="32"/>
      <c r="L2898" s="75">
        <v>2898</v>
      </c>
      <c r="M2898" s="75"/>
      <c r="N2898" s="70"/>
      <c r="O2898" s="77" t="s">
        <v>179</v>
      </c>
      <c r="P2898" s="79">
        <v>45146.5783912037</v>
      </c>
      <c r="Q2898" s="77" t="s">
        <v>4104</v>
      </c>
      <c r="R2898" s="77">
        <v>0</v>
      </c>
      <c r="S2898" s="77">
        <v>0</v>
      </c>
      <c r="T2898" s="77">
        <v>0</v>
      </c>
      <c r="U2898" s="77">
        <v>0</v>
      </c>
      <c r="V2898" s="77">
        <v>28</v>
      </c>
      <c r="W2898" s="82" t="s">
        <v>6653</v>
      </c>
      <c r="X2898" s="77"/>
      <c r="Y2898" s="77"/>
      <c r="Z2898" s="77"/>
      <c r="AA2898" s="77" t="s">
        <v>9239</v>
      </c>
      <c r="AB2898" s="77" t="s">
        <v>10129</v>
      </c>
      <c r="AC2898" s="82" t="s">
        <v>10145</v>
      </c>
      <c r="AD2898" s="77" t="s">
        <v>10184</v>
      </c>
      <c r="AE2898" s="80" t="str">
        <f>HYPERLINK("https://twitter.com/pense_rico/status/1688911160408776706")</f>
        <v>https://twitter.com/pense_rico/status/1688911160408776706</v>
      </c>
      <c r="AF2898" s="79">
        <v>45146.5783912037</v>
      </c>
      <c r="AG2898" s="85">
        <v>45146</v>
      </c>
      <c r="AH2898" s="82" t="s">
        <v>12926</v>
      </c>
      <c r="AI2898" s="77" t="b">
        <v>0</v>
      </c>
      <c r="AJ2898" s="77"/>
      <c r="AK2898" s="77"/>
      <c r="AL2898" s="77"/>
      <c r="AM2898" s="77"/>
      <c r="AN2898" s="77"/>
      <c r="AO2898" s="77"/>
      <c r="AP2898" s="77"/>
      <c r="AQ2898" s="77" t="s">
        <v>15882</v>
      </c>
      <c r="AR2898" s="77">
        <v>18400</v>
      </c>
      <c r="AS2898" s="77"/>
      <c r="AT2898" s="77"/>
      <c r="AU2898" s="77"/>
      <c r="AV2898" s="80" t="str">
        <f>HYPERLINK("https://pbs.twimg.com/ext_tw_video_thumb/1688911088241479680/pu/img/zd4beTPfOuFzzd-_.jpg")</f>
        <v>https://pbs.twimg.com/ext_tw_video_thumb/1688911088241479680/pu/img/zd4beTPfOuFzzd-_.jpg</v>
      </c>
      <c r="AW2898" s="82" t="s">
        <v>19664</v>
      </c>
      <c r="AX2898" s="82" t="s">
        <v>19664</v>
      </c>
      <c r="AY2898" s="77"/>
      <c r="AZ2898" s="82" t="s">
        <v>20971</v>
      </c>
      <c r="BA2898" s="82" t="s">
        <v>20971</v>
      </c>
      <c r="BB2898" s="82" t="s">
        <v>20971</v>
      </c>
      <c r="BC2898" s="82" t="s">
        <v>19664</v>
      </c>
      <c r="BD2898" s="82" t="s">
        <v>21576</v>
      </c>
      <c r="BE2898" s="77"/>
      <c r="BF2898" s="77"/>
      <c r="BG2898" s="77"/>
      <c r="BH2898" s="77"/>
      <c r="BI2898" s="77"/>
    </row>
    <row r="2899" spans="1:61" x14ac:dyDescent="0.25">
      <c r="A2899" s="62" t="s">
        <v>978</v>
      </c>
      <c r="B2899" s="62" t="s">
        <v>978</v>
      </c>
      <c r="C2899" s="63"/>
      <c r="D2899" s="64"/>
      <c r="E2899" s="65"/>
      <c r="F2899" s="66"/>
      <c r="G2899" s="63"/>
      <c r="H2899" s="67"/>
      <c r="I2899" s="68"/>
      <c r="J2899" s="68"/>
      <c r="K2899" s="32"/>
      <c r="L2899" s="75">
        <v>2899</v>
      </c>
      <c r="M2899" s="75"/>
      <c r="N2899" s="70"/>
      <c r="O2899" s="77" t="s">
        <v>179</v>
      </c>
      <c r="P2899" s="79">
        <v>44975.844050925924</v>
      </c>
      <c r="Q2899" s="77" t="s">
        <v>4105</v>
      </c>
      <c r="R2899" s="77">
        <v>0</v>
      </c>
      <c r="S2899" s="77">
        <v>0</v>
      </c>
      <c r="T2899" s="77">
        <v>0</v>
      </c>
      <c r="U2899" s="77">
        <v>0</v>
      </c>
      <c r="V2899" s="77">
        <v>315</v>
      </c>
      <c r="W2899" s="82" t="s">
        <v>6454</v>
      </c>
      <c r="X2899" s="80" t="str">
        <f>HYPERLINK("http://wa.link/qn8d9p")</f>
        <v>http://wa.link/qn8d9p</v>
      </c>
      <c r="Y2899" s="77" t="s">
        <v>7368</v>
      </c>
      <c r="Z2899" s="77"/>
      <c r="AA2899" s="77" t="s">
        <v>9240</v>
      </c>
      <c r="AB2899" s="77" t="s">
        <v>10130</v>
      </c>
      <c r="AC2899" s="82" t="s">
        <v>10146</v>
      </c>
      <c r="AD2899" s="77" t="s">
        <v>10184</v>
      </c>
      <c r="AE2899" s="80" t="str">
        <f>HYPERLINK("https://twitter.com/ogabreu_/status/1627039106331996160")</f>
        <v>https://twitter.com/ogabreu_/status/1627039106331996160</v>
      </c>
      <c r="AF2899" s="79">
        <v>44975.844050925924</v>
      </c>
      <c r="AG2899" s="85">
        <v>44975</v>
      </c>
      <c r="AH2899" s="82" t="s">
        <v>12927</v>
      </c>
      <c r="AI2899" s="77" t="b">
        <v>0</v>
      </c>
      <c r="AJ2899" s="77"/>
      <c r="AK2899" s="77"/>
      <c r="AL2899" s="77"/>
      <c r="AM2899" s="77"/>
      <c r="AN2899" s="77"/>
      <c r="AO2899" s="77"/>
      <c r="AP2899" s="77"/>
      <c r="AQ2899" s="77" t="s">
        <v>15883</v>
      </c>
      <c r="AR2899" s="77"/>
      <c r="AS2899" s="77"/>
      <c r="AT2899" s="77"/>
      <c r="AU2899" s="77"/>
      <c r="AV2899" s="80" t="str">
        <f>HYPERLINK("https://pbs.twimg.com/media/FpRncE7XsAAXcpK.jpg")</f>
        <v>https://pbs.twimg.com/media/FpRncE7XsAAXcpK.jpg</v>
      </c>
      <c r="AW2899" s="82" t="s">
        <v>19665</v>
      </c>
      <c r="AX2899" s="82" t="s">
        <v>19665</v>
      </c>
      <c r="AY2899" s="77"/>
      <c r="AZ2899" s="82" t="s">
        <v>20971</v>
      </c>
      <c r="BA2899" s="82" t="s">
        <v>20971</v>
      </c>
      <c r="BB2899" s="82" t="s">
        <v>20971</v>
      </c>
      <c r="BC2899" s="82" t="s">
        <v>19665</v>
      </c>
      <c r="BD2899" s="82" t="s">
        <v>21577</v>
      </c>
      <c r="BE2899" s="77"/>
      <c r="BF2899" s="77"/>
      <c r="BG2899" s="77"/>
      <c r="BH2899" s="77"/>
      <c r="BI2899" s="77"/>
    </row>
    <row r="2900" spans="1:61" x14ac:dyDescent="0.25">
      <c r="A2900" s="62" t="s">
        <v>979</v>
      </c>
      <c r="B2900" s="62" t="s">
        <v>979</v>
      </c>
      <c r="C2900" s="63"/>
      <c r="D2900" s="64"/>
      <c r="E2900" s="65"/>
      <c r="F2900" s="66"/>
      <c r="G2900" s="63"/>
      <c r="H2900" s="67"/>
      <c r="I2900" s="68"/>
      <c r="J2900" s="68"/>
      <c r="K2900" s="32"/>
      <c r="L2900" s="75">
        <v>2900</v>
      </c>
      <c r="M2900" s="75"/>
      <c r="N2900" s="70"/>
      <c r="O2900" s="77" t="s">
        <v>179</v>
      </c>
      <c r="P2900" s="79">
        <v>45027.547280092593</v>
      </c>
      <c r="Q2900" s="77" t="s">
        <v>4106</v>
      </c>
      <c r="R2900" s="77">
        <v>0</v>
      </c>
      <c r="S2900" s="77">
        <v>0</v>
      </c>
      <c r="T2900" s="77">
        <v>0</v>
      </c>
      <c r="U2900" s="77">
        <v>0</v>
      </c>
      <c r="V2900" s="77">
        <v>53</v>
      </c>
      <c r="W2900" s="82" t="s">
        <v>6654</v>
      </c>
      <c r="X2900" s="80" t="str">
        <f>HYPERLINK("https://wa.me/message/LQJIYQS3RUZ4O1")</f>
        <v>https://wa.me/message/LQJIYQS3RUZ4O1</v>
      </c>
      <c r="Y2900" s="77" t="s">
        <v>7279</v>
      </c>
      <c r="Z2900" s="77"/>
      <c r="AA2900" s="77" t="s">
        <v>9241</v>
      </c>
      <c r="AB2900" s="77" t="s">
        <v>10130</v>
      </c>
      <c r="AC2900" s="82" t="s">
        <v>10144</v>
      </c>
      <c r="AD2900" s="77" t="s">
        <v>10184</v>
      </c>
      <c r="AE2900" s="80" t="str">
        <f>HYPERLINK("https://twitter.com/wendell56720540/status/1645775729450266625")</f>
        <v>https://twitter.com/wendell56720540/status/1645775729450266625</v>
      </c>
      <c r="AF2900" s="79">
        <v>45027.547280092593</v>
      </c>
      <c r="AG2900" s="85">
        <v>45027</v>
      </c>
      <c r="AH2900" s="82" t="s">
        <v>12928</v>
      </c>
      <c r="AI2900" s="77" t="b">
        <v>0</v>
      </c>
      <c r="AJ2900" s="77"/>
      <c r="AK2900" s="77"/>
      <c r="AL2900" s="77"/>
      <c r="AM2900" s="77"/>
      <c r="AN2900" s="77"/>
      <c r="AO2900" s="77"/>
      <c r="AP2900" s="77"/>
      <c r="AQ2900" s="77" t="s">
        <v>15884</v>
      </c>
      <c r="AR2900" s="77"/>
      <c r="AS2900" s="77"/>
      <c r="AT2900" s="77"/>
      <c r="AU2900" s="77"/>
      <c r="AV2900" s="80" t="str">
        <f>HYPERLINK("https://pbs.twimg.com/media/Ftb4TPAXgAAAeCK.jpg")</f>
        <v>https://pbs.twimg.com/media/Ftb4TPAXgAAAeCK.jpg</v>
      </c>
      <c r="AW2900" s="82" t="s">
        <v>19666</v>
      </c>
      <c r="AX2900" s="82" t="s">
        <v>19666</v>
      </c>
      <c r="AY2900" s="77"/>
      <c r="AZ2900" s="82" t="s">
        <v>20971</v>
      </c>
      <c r="BA2900" s="82" t="s">
        <v>20971</v>
      </c>
      <c r="BB2900" s="82" t="s">
        <v>20971</v>
      </c>
      <c r="BC2900" s="82" t="s">
        <v>19666</v>
      </c>
      <c r="BD2900" s="82" t="s">
        <v>21578</v>
      </c>
      <c r="BE2900" s="77"/>
      <c r="BF2900" s="77"/>
      <c r="BG2900" s="77"/>
      <c r="BH2900" s="77"/>
      <c r="BI2900" s="77"/>
    </row>
    <row r="2901" spans="1:61" x14ac:dyDescent="0.25">
      <c r="A2901" s="62" t="s">
        <v>980</v>
      </c>
      <c r="B2901" s="62" t="s">
        <v>980</v>
      </c>
      <c r="C2901" s="63"/>
      <c r="D2901" s="64"/>
      <c r="E2901" s="65"/>
      <c r="F2901" s="66"/>
      <c r="G2901" s="63"/>
      <c r="H2901" s="67"/>
      <c r="I2901" s="68"/>
      <c r="J2901" s="68"/>
      <c r="K2901" s="32"/>
      <c r="L2901" s="75">
        <v>2901</v>
      </c>
      <c r="M2901" s="75"/>
      <c r="N2901" s="70"/>
      <c r="O2901" s="77" t="s">
        <v>179</v>
      </c>
      <c r="P2901" s="79">
        <v>45017.799039351848</v>
      </c>
      <c r="Q2901" s="77" t="s">
        <v>4107</v>
      </c>
      <c r="R2901" s="77">
        <v>0</v>
      </c>
      <c r="S2901" s="77">
        <v>0</v>
      </c>
      <c r="T2901" s="77">
        <v>0</v>
      </c>
      <c r="U2901" s="77">
        <v>0</v>
      </c>
      <c r="V2901" s="77">
        <v>33</v>
      </c>
      <c r="W2901" s="82" t="s">
        <v>6655</v>
      </c>
      <c r="X2901" s="77"/>
      <c r="Y2901" s="77"/>
      <c r="Z2901" s="77"/>
      <c r="AA2901" s="77" t="s">
        <v>9242</v>
      </c>
      <c r="AB2901" s="77" t="s">
        <v>10130</v>
      </c>
      <c r="AC2901" s="82" t="s">
        <v>10146</v>
      </c>
      <c r="AD2901" s="77" t="s">
        <v>10184</v>
      </c>
      <c r="AE2901" s="80" t="str">
        <f>HYPERLINK("https://twitter.com/milionaria_br/status/1642243083990360064")</f>
        <v>https://twitter.com/milionaria_br/status/1642243083990360064</v>
      </c>
      <c r="AF2901" s="79">
        <v>45017.799039351848</v>
      </c>
      <c r="AG2901" s="85">
        <v>45017</v>
      </c>
      <c r="AH2901" s="82" t="s">
        <v>12929</v>
      </c>
      <c r="AI2901" s="77" t="b">
        <v>0</v>
      </c>
      <c r="AJ2901" s="77"/>
      <c r="AK2901" s="77"/>
      <c r="AL2901" s="77"/>
      <c r="AM2901" s="77"/>
      <c r="AN2901" s="77"/>
      <c r="AO2901" s="77"/>
      <c r="AP2901" s="77"/>
      <c r="AQ2901" s="77" t="s">
        <v>15885</v>
      </c>
      <c r="AR2901" s="77"/>
      <c r="AS2901" s="77"/>
      <c r="AT2901" s="77"/>
      <c r="AU2901" s="77"/>
      <c r="AV2901" s="80" t="str">
        <f>HYPERLINK("https://pbs.twimg.com/media/FspqXMJXoAEVNfc.jpg")</f>
        <v>https://pbs.twimg.com/media/FspqXMJXoAEVNfc.jpg</v>
      </c>
      <c r="AW2901" s="82" t="s">
        <v>19667</v>
      </c>
      <c r="AX2901" s="82" t="s">
        <v>19667</v>
      </c>
      <c r="AY2901" s="77"/>
      <c r="AZ2901" s="82" t="s">
        <v>20971</v>
      </c>
      <c r="BA2901" s="82" t="s">
        <v>20971</v>
      </c>
      <c r="BB2901" s="82" t="s">
        <v>20971</v>
      </c>
      <c r="BC2901" s="82" t="s">
        <v>19667</v>
      </c>
      <c r="BD2901" s="82" t="s">
        <v>21579</v>
      </c>
      <c r="BE2901" s="77"/>
      <c r="BF2901" s="77"/>
      <c r="BG2901" s="77"/>
      <c r="BH2901" s="77"/>
      <c r="BI2901" s="77"/>
    </row>
    <row r="2902" spans="1:61" x14ac:dyDescent="0.25">
      <c r="A2902" s="62" t="s">
        <v>980</v>
      </c>
      <c r="B2902" s="62" t="s">
        <v>980</v>
      </c>
      <c r="C2902" s="63"/>
      <c r="D2902" s="64"/>
      <c r="E2902" s="65"/>
      <c r="F2902" s="66"/>
      <c r="G2902" s="63"/>
      <c r="H2902" s="67"/>
      <c r="I2902" s="68"/>
      <c r="J2902" s="68"/>
      <c r="K2902" s="32"/>
      <c r="L2902" s="75">
        <v>2902</v>
      </c>
      <c r="M2902" s="75"/>
      <c r="N2902" s="70"/>
      <c r="O2902" s="77" t="s">
        <v>179</v>
      </c>
      <c r="P2902" s="79">
        <v>45016.758784722224</v>
      </c>
      <c r="Q2902" s="77" t="s">
        <v>4108</v>
      </c>
      <c r="R2902" s="77">
        <v>0</v>
      </c>
      <c r="S2902" s="77">
        <v>0</v>
      </c>
      <c r="T2902" s="77">
        <v>0</v>
      </c>
      <c r="U2902" s="77">
        <v>0</v>
      </c>
      <c r="V2902" s="77">
        <v>13</v>
      </c>
      <c r="W2902" s="82" t="s">
        <v>6656</v>
      </c>
      <c r="X2902" s="77"/>
      <c r="Y2902" s="77"/>
      <c r="Z2902" s="77"/>
      <c r="AA2902" s="77"/>
      <c r="AB2902" s="77"/>
      <c r="AC2902" s="82" t="s">
        <v>10144</v>
      </c>
      <c r="AD2902" s="77" t="s">
        <v>10184</v>
      </c>
      <c r="AE2902" s="80" t="str">
        <f>HYPERLINK("https://twitter.com/milionaria_br/status/1641866109107175426")</f>
        <v>https://twitter.com/milionaria_br/status/1641866109107175426</v>
      </c>
      <c r="AF2902" s="79">
        <v>45016.758784722224</v>
      </c>
      <c r="AG2902" s="85">
        <v>45016</v>
      </c>
      <c r="AH2902" s="82" t="s">
        <v>12930</v>
      </c>
      <c r="AI2902" s="77"/>
      <c r="AJ2902" s="77"/>
      <c r="AK2902" s="77"/>
      <c r="AL2902" s="77"/>
      <c r="AM2902" s="77"/>
      <c r="AN2902" s="77"/>
      <c r="AO2902" s="77"/>
      <c r="AP2902" s="77"/>
      <c r="AQ2902" s="77"/>
      <c r="AR2902" s="77"/>
      <c r="AS2902" s="77"/>
      <c r="AT2902" s="77"/>
      <c r="AU2902" s="77"/>
      <c r="AV2902" s="80" t="str">
        <f>HYPERLINK("https://pbs.twimg.com/profile_images/1641815269000527876/l4Z8Njig_normal.jpg")</f>
        <v>https://pbs.twimg.com/profile_images/1641815269000527876/l4Z8Njig_normal.jpg</v>
      </c>
      <c r="AW2902" s="82" t="s">
        <v>19668</v>
      </c>
      <c r="AX2902" s="82" t="s">
        <v>19668</v>
      </c>
      <c r="AY2902" s="77"/>
      <c r="AZ2902" s="82" t="s">
        <v>20971</v>
      </c>
      <c r="BA2902" s="82" t="s">
        <v>20971</v>
      </c>
      <c r="BB2902" s="82" t="s">
        <v>20971</v>
      </c>
      <c r="BC2902" s="82" t="s">
        <v>19668</v>
      </c>
      <c r="BD2902" s="82" t="s">
        <v>21579</v>
      </c>
      <c r="BE2902" s="77"/>
      <c r="BF2902" s="77"/>
      <c r="BG2902" s="77"/>
      <c r="BH2902" s="77"/>
      <c r="BI2902" s="77"/>
    </row>
    <row r="2903" spans="1:61" x14ac:dyDescent="0.25">
      <c r="A2903" s="62" t="s">
        <v>981</v>
      </c>
      <c r="B2903" s="62" t="s">
        <v>981</v>
      </c>
      <c r="C2903" s="63"/>
      <c r="D2903" s="64"/>
      <c r="E2903" s="65"/>
      <c r="F2903" s="66"/>
      <c r="G2903" s="63"/>
      <c r="H2903" s="67"/>
      <c r="I2903" s="68"/>
      <c r="J2903" s="68"/>
      <c r="K2903" s="32"/>
      <c r="L2903" s="75">
        <v>2903</v>
      </c>
      <c r="M2903" s="75"/>
      <c r="N2903" s="70"/>
      <c r="O2903" s="77" t="s">
        <v>179</v>
      </c>
      <c r="P2903" s="79">
        <v>45169.954097222224</v>
      </c>
      <c r="Q2903" s="77" t="s">
        <v>4109</v>
      </c>
      <c r="R2903" s="77">
        <v>0</v>
      </c>
      <c r="S2903" s="77">
        <v>1</v>
      </c>
      <c r="T2903" s="77">
        <v>0</v>
      </c>
      <c r="U2903" s="77">
        <v>0</v>
      </c>
      <c r="V2903" s="77">
        <v>110</v>
      </c>
      <c r="W2903" s="82" t="s">
        <v>6657</v>
      </c>
      <c r="X2903" s="77"/>
      <c r="Y2903" s="77"/>
      <c r="Z2903" s="77"/>
      <c r="AA2903" s="77" t="s">
        <v>9243</v>
      </c>
      <c r="AB2903" s="77" t="s">
        <v>10129</v>
      </c>
      <c r="AC2903" s="82" t="s">
        <v>10144</v>
      </c>
      <c r="AD2903" s="77" t="s">
        <v>10184</v>
      </c>
      <c r="AE2903" s="80" t="str">
        <f>HYPERLINK("https://twitter.com/cortescomestilo/status/1697382231969288349")</f>
        <v>https://twitter.com/cortescomestilo/status/1697382231969288349</v>
      </c>
      <c r="AF2903" s="79">
        <v>45169.954097222224</v>
      </c>
      <c r="AG2903" s="85">
        <v>45169</v>
      </c>
      <c r="AH2903" s="82" t="s">
        <v>12931</v>
      </c>
      <c r="AI2903" s="77" t="b">
        <v>0</v>
      </c>
      <c r="AJ2903" s="77"/>
      <c r="AK2903" s="77"/>
      <c r="AL2903" s="77"/>
      <c r="AM2903" s="77"/>
      <c r="AN2903" s="77"/>
      <c r="AO2903" s="77"/>
      <c r="AP2903" s="77"/>
      <c r="AQ2903" s="77" t="s">
        <v>15886</v>
      </c>
      <c r="AR2903" s="77">
        <v>44938</v>
      </c>
      <c r="AS2903" s="77"/>
      <c r="AT2903" s="77"/>
      <c r="AU2903" s="77"/>
      <c r="AV2903" s="80" t="str">
        <f>HYPERLINK("https://pbs.twimg.com/ext_tw_video_thumb/1697382040860041216/pu/img/cILiuyeaS61fOeqh.jpg")</f>
        <v>https://pbs.twimg.com/ext_tw_video_thumb/1697382040860041216/pu/img/cILiuyeaS61fOeqh.jpg</v>
      </c>
      <c r="AW2903" s="82" t="s">
        <v>19669</v>
      </c>
      <c r="AX2903" s="82" t="s">
        <v>19669</v>
      </c>
      <c r="AY2903" s="77"/>
      <c r="AZ2903" s="82" t="s">
        <v>20971</v>
      </c>
      <c r="BA2903" s="82" t="s">
        <v>20971</v>
      </c>
      <c r="BB2903" s="82" t="s">
        <v>20971</v>
      </c>
      <c r="BC2903" s="82" t="s">
        <v>19669</v>
      </c>
      <c r="BD2903" s="82" t="s">
        <v>21580</v>
      </c>
      <c r="BE2903" s="77"/>
      <c r="BF2903" s="77"/>
      <c r="BG2903" s="77"/>
      <c r="BH2903" s="77"/>
      <c r="BI2903" s="77"/>
    </row>
    <row r="2904" spans="1:61" x14ac:dyDescent="0.25">
      <c r="A2904" s="62" t="s">
        <v>981</v>
      </c>
      <c r="B2904" s="62" t="s">
        <v>981</v>
      </c>
      <c r="C2904" s="63"/>
      <c r="D2904" s="64"/>
      <c r="E2904" s="65"/>
      <c r="F2904" s="66"/>
      <c r="G2904" s="63"/>
      <c r="H2904" s="67"/>
      <c r="I2904" s="68"/>
      <c r="J2904" s="68"/>
      <c r="K2904" s="32"/>
      <c r="L2904" s="75">
        <v>2904</v>
      </c>
      <c r="M2904" s="75"/>
      <c r="N2904" s="70"/>
      <c r="O2904" s="77" t="s">
        <v>179</v>
      </c>
      <c r="P2904" s="79">
        <v>45169.954085648147</v>
      </c>
      <c r="Q2904" s="77" t="s">
        <v>4110</v>
      </c>
      <c r="R2904" s="77">
        <v>0</v>
      </c>
      <c r="S2904" s="77">
        <v>1</v>
      </c>
      <c r="T2904" s="77">
        <v>0</v>
      </c>
      <c r="U2904" s="77">
        <v>0</v>
      </c>
      <c r="V2904" s="77">
        <v>66</v>
      </c>
      <c r="W2904" s="82" t="s">
        <v>6658</v>
      </c>
      <c r="X2904" s="77"/>
      <c r="Y2904" s="77"/>
      <c r="Z2904" s="77"/>
      <c r="AA2904" s="77" t="s">
        <v>9244</v>
      </c>
      <c r="AB2904" s="77" t="s">
        <v>10129</v>
      </c>
      <c r="AC2904" s="82" t="s">
        <v>10144</v>
      </c>
      <c r="AD2904" s="77" t="s">
        <v>10184</v>
      </c>
      <c r="AE2904" s="80" t="str">
        <f>HYPERLINK("https://twitter.com/cortescomestilo/status/1697382229251420398")</f>
        <v>https://twitter.com/cortescomestilo/status/1697382229251420398</v>
      </c>
      <c r="AF2904" s="79">
        <v>45169.954085648147</v>
      </c>
      <c r="AG2904" s="85">
        <v>45169</v>
      </c>
      <c r="AH2904" s="82" t="s">
        <v>12932</v>
      </c>
      <c r="AI2904" s="77" t="b">
        <v>0</v>
      </c>
      <c r="AJ2904" s="77"/>
      <c r="AK2904" s="77"/>
      <c r="AL2904" s="77"/>
      <c r="AM2904" s="77"/>
      <c r="AN2904" s="77"/>
      <c r="AO2904" s="77"/>
      <c r="AP2904" s="77"/>
      <c r="AQ2904" s="77" t="s">
        <v>15887</v>
      </c>
      <c r="AR2904" s="77">
        <v>44952</v>
      </c>
      <c r="AS2904" s="77"/>
      <c r="AT2904" s="77"/>
      <c r="AU2904" s="77"/>
      <c r="AV2904" s="80" t="str">
        <f>HYPERLINK("https://pbs.twimg.com/ext_tw_video_thumb/1697382040860049408/pu/img/BeNARZAxwA08dMFN.jpg")</f>
        <v>https://pbs.twimg.com/ext_tw_video_thumb/1697382040860049408/pu/img/BeNARZAxwA08dMFN.jpg</v>
      </c>
      <c r="AW2904" s="82" t="s">
        <v>19670</v>
      </c>
      <c r="AX2904" s="82" t="s">
        <v>19670</v>
      </c>
      <c r="AY2904" s="77"/>
      <c r="AZ2904" s="82" t="s">
        <v>20971</v>
      </c>
      <c r="BA2904" s="82" t="s">
        <v>20971</v>
      </c>
      <c r="BB2904" s="82" t="s">
        <v>20971</v>
      </c>
      <c r="BC2904" s="82" t="s">
        <v>19670</v>
      </c>
      <c r="BD2904" s="82" t="s">
        <v>21580</v>
      </c>
      <c r="BE2904" s="77"/>
      <c r="BF2904" s="77"/>
      <c r="BG2904" s="77"/>
      <c r="BH2904" s="77"/>
      <c r="BI2904" s="77"/>
    </row>
    <row r="2905" spans="1:61" x14ac:dyDescent="0.25">
      <c r="A2905" s="62" t="s">
        <v>981</v>
      </c>
      <c r="B2905" s="62" t="s">
        <v>981</v>
      </c>
      <c r="C2905" s="63"/>
      <c r="D2905" s="64"/>
      <c r="E2905" s="65"/>
      <c r="F2905" s="66"/>
      <c r="G2905" s="63"/>
      <c r="H2905" s="67"/>
      <c r="I2905" s="68"/>
      <c r="J2905" s="68"/>
      <c r="K2905" s="32"/>
      <c r="L2905" s="75">
        <v>2905</v>
      </c>
      <c r="M2905" s="75"/>
      <c r="N2905" s="70"/>
      <c r="O2905" s="77" t="s">
        <v>179</v>
      </c>
      <c r="P2905" s="79">
        <v>45169.954050925924</v>
      </c>
      <c r="Q2905" s="77" t="s">
        <v>4111</v>
      </c>
      <c r="R2905" s="77">
        <v>0</v>
      </c>
      <c r="S2905" s="77">
        <v>1</v>
      </c>
      <c r="T2905" s="77">
        <v>0</v>
      </c>
      <c r="U2905" s="77">
        <v>0</v>
      </c>
      <c r="V2905" s="77">
        <v>56</v>
      </c>
      <c r="W2905" s="82" t="s">
        <v>6659</v>
      </c>
      <c r="X2905" s="77"/>
      <c r="Y2905" s="77"/>
      <c r="Z2905" s="77"/>
      <c r="AA2905" s="77" t="s">
        <v>9245</v>
      </c>
      <c r="AB2905" s="77" t="s">
        <v>10129</v>
      </c>
      <c r="AC2905" s="82" t="s">
        <v>10144</v>
      </c>
      <c r="AD2905" s="77" t="s">
        <v>10184</v>
      </c>
      <c r="AE2905" s="80" t="str">
        <f>HYPERLINK("https://twitter.com/cortescomestilo/status/1697382215515062505")</f>
        <v>https://twitter.com/cortescomestilo/status/1697382215515062505</v>
      </c>
      <c r="AF2905" s="79">
        <v>45169.954050925924</v>
      </c>
      <c r="AG2905" s="85">
        <v>45169</v>
      </c>
      <c r="AH2905" s="82" t="s">
        <v>12933</v>
      </c>
      <c r="AI2905" s="77" t="b">
        <v>0</v>
      </c>
      <c r="AJ2905" s="77"/>
      <c r="AK2905" s="77"/>
      <c r="AL2905" s="77"/>
      <c r="AM2905" s="77"/>
      <c r="AN2905" s="77"/>
      <c r="AO2905" s="77"/>
      <c r="AP2905" s="77"/>
      <c r="AQ2905" s="77" t="s">
        <v>15888</v>
      </c>
      <c r="AR2905" s="77">
        <v>15633</v>
      </c>
      <c r="AS2905" s="77"/>
      <c r="AT2905" s="77"/>
      <c r="AU2905" s="77"/>
      <c r="AV2905" s="80" t="str">
        <f>HYPERLINK("https://pbs.twimg.com/ext_tw_video_thumb/1697382094756798465/pu/img/s_XKMEhfvloD1r0M.jpg")</f>
        <v>https://pbs.twimg.com/ext_tw_video_thumb/1697382094756798465/pu/img/s_XKMEhfvloD1r0M.jpg</v>
      </c>
      <c r="AW2905" s="82" t="s">
        <v>19671</v>
      </c>
      <c r="AX2905" s="82" t="s">
        <v>19671</v>
      </c>
      <c r="AY2905" s="77"/>
      <c r="AZ2905" s="82" t="s">
        <v>20971</v>
      </c>
      <c r="BA2905" s="82" t="s">
        <v>20971</v>
      </c>
      <c r="BB2905" s="82" t="s">
        <v>20971</v>
      </c>
      <c r="BC2905" s="82" t="s">
        <v>19671</v>
      </c>
      <c r="BD2905" s="82" t="s">
        <v>21580</v>
      </c>
      <c r="BE2905" s="77"/>
      <c r="BF2905" s="77"/>
      <c r="BG2905" s="77"/>
      <c r="BH2905" s="77"/>
      <c r="BI2905" s="77"/>
    </row>
    <row r="2906" spans="1:61" x14ac:dyDescent="0.25">
      <c r="A2906" s="62" t="s">
        <v>981</v>
      </c>
      <c r="B2906" s="62" t="s">
        <v>981</v>
      </c>
      <c r="C2906" s="63"/>
      <c r="D2906" s="64"/>
      <c r="E2906" s="65"/>
      <c r="F2906" s="66"/>
      <c r="G2906" s="63"/>
      <c r="H2906" s="67"/>
      <c r="I2906" s="68"/>
      <c r="J2906" s="68"/>
      <c r="K2906" s="32"/>
      <c r="L2906" s="75">
        <v>2906</v>
      </c>
      <c r="M2906" s="75"/>
      <c r="N2906" s="70"/>
      <c r="O2906" s="77" t="s">
        <v>179</v>
      </c>
      <c r="P2906" s="79">
        <v>45169.953067129631</v>
      </c>
      <c r="Q2906" s="77" t="s">
        <v>4112</v>
      </c>
      <c r="R2906" s="77">
        <v>0</v>
      </c>
      <c r="S2906" s="77">
        <v>1</v>
      </c>
      <c r="T2906" s="77">
        <v>0</v>
      </c>
      <c r="U2906" s="77">
        <v>0</v>
      </c>
      <c r="V2906" s="77">
        <v>31</v>
      </c>
      <c r="W2906" s="82" t="s">
        <v>6657</v>
      </c>
      <c r="X2906" s="77"/>
      <c r="Y2906" s="77"/>
      <c r="Z2906" s="77"/>
      <c r="AA2906" s="77" t="s">
        <v>9246</v>
      </c>
      <c r="AB2906" s="77" t="s">
        <v>10129</v>
      </c>
      <c r="AC2906" s="82" t="s">
        <v>10144</v>
      </c>
      <c r="AD2906" s="77" t="s">
        <v>10184</v>
      </c>
      <c r="AE2906" s="80" t="str">
        <f>HYPERLINK("https://twitter.com/cortescomestilo/status/1697381857493500040")</f>
        <v>https://twitter.com/cortescomestilo/status/1697381857493500040</v>
      </c>
      <c r="AF2906" s="79">
        <v>45169.953067129631</v>
      </c>
      <c r="AG2906" s="85">
        <v>45169</v>
      </c>
      <c r="AH2906" s="82" t="s">
        <v>12934</v>
      </c>
      <c r="AI2906" s="77" t="b">
        <v>0</v>
      </c>
      <c r="AJ2906" s="77"/>
      <c r="AK2906" s="77"/>
      <c r="AL2906" s="77"/>
      <c r="AM2906" s="77"/>
      <c r="AN2906" s="77"/>
      <c r="AO2906" s="77"/>
      <c r="AP2906" s="77"/>
      <c r="AQ2906" s="77" t="s">
        <v>15889</v>
      </c>
      <c r="AR2906" s="77">
        <v>44933</v>
      </c>
      <c r="AS2906" s="77"/>
      <c r="AT2906" s="77"/>
      <c r="AU2906" s="77"/>
      <c r="AV2906" s="80" t="str">
        <f>HYPERLINK("https://pbs.twimg.com/ext_tw_video_thumb/1697381765717934080/pu/img/nFk4ywgSvg2m6xSj.jpg")</f>
        <v>https://pbs.twimg.com/ext_tw_video_thumb/1697381765717934080/pu/img/nFk4ywgSvg2m6xSj.jpg</v>
      </c>
      <c r="AW2906" s="82" t="s">
        <v>19672</v>
      </c>
      <c r="AX2906" s="82" t="s">
        <v>19672</v>
      </c>
      <c r="AY2906" s="77"/>
      <c r="AZ2906" s="82" t="s">
        <v>20971</v>
      </c>
      <c r="BA2906" s="82" t="s">
        <v>20971</v>
      </c>
      <c r="BB2906" s="82" t="s">
        <v>20971</v>
      </c>
      <c r="BC2906" s="82" t="s">
        <v>19672</v>
      </c>
      <c r="BD2906" s="82" t="s">
        <v>21580</v>
      </c>
      <c r="BE2906" s="77"/>
      <c r="BF2906" s="77"/>
      <c r="BG2906" s="77"/>
      <c r="BH2906" s="77"/>
      <c r="BI2906" s="77"/>
    </row>
    <row r="2907" spans="1:61" x14ac:dyDescent="0.25">
      <c r="A2907" s="62" t="s">
        <v>982</v>
      </c>
      <c r="B2907" s="62" t="s">
        <v>982</v>
      </c>
      <c r="C2907" s="63"/>
      <c r="D2907" s="64"/>
      <c r="E2907" s="65"/>
      <c r="F2907" s="66"/>
      <c r="G2907" s="63"/>
      <c r="H2907" s="67"/>
      <c r="I2907" s="68"/>
      <c r="J2907" s="68"/>
      <c r="K2907" s="32"/>
      <c r="L2907" s="75">
        <v>2907</v>
      </c>
      <c r="M2907" s="75"/>
      <c r="N2907" s="70"/>
      <c r="O2907" s="77" t="s">
        <v>179</v>
      </c>
      <c r="P2907" s="79">
        <v>45128.119641203702</v>
      </c>
      <c r="Q2907" s="77" t="s">
        <v>4113</v>
      </c>
      <c r="R2907" s="77">
        <v>0</v>
      </c>
      <c r="S2907" s="77">
        <v>0</v>
      </c>
      <c r="T2907" s="77">
        <v>0</v>
      </c>
      <c r="U2907" s="77">
        <v>0</v>
      </c>
      <c r="V2907" s="77">
        <v>44</v>
      </c>
      <c r="W2907" s="82" t="s">
        <v>6660</v>
      </c>
      <c r="X2907" s="80" t="str">
        <f>HYPERLINK("https://www.bbrbet.com/c-DXjPDbkB?lang=pt")</f>
        <v>https://www.bbrbet.com/c-DXjPDbkB?lang=pt</v>
      </c>
      <c r="Y2907" s="77" t="s">
        <v>7280</v>
      </c>
      <c r="Z2907" s="77"/>
      <c r="AA2907" s="77" t="s">
        <v>9247</v>
      </c>
      <c r="AB2907" s="77" t="s">
        <v>10128</v>
      </c>
      <c r="AC2907" s="82" t="s">
        <v>10144</v>
      </c>
      <c r="AD2907" s="77" t="s">
        <v>10184</v>
      </c>
      <c r="AE2907" s="80" t="str">
        <f>HYPERLINK("https://twitter.com/paulasouza48562/status/1682221934283456514")</f>
        <v>https://twitter.com/paulasouza48562/status/1682221934283456514</v>
      </c>
      <c r="AF2907" s="79">
        <v>45128.119641203702</v>
      </c>
      <c r="AG2907" s="85">
        <v>45128</v>
      </c>
      <c r="AH2907" s="82" t="s">
        <v>12935</v>
      </c>
      <c r="AI2907" s="77" t="b">
        <v>0</v>
      </c>
      <c r="AJ2907" s="77"/>
      <c r="AK2907" s="77"/>
      <c r="AL2907" s="77"/>
      <c r="AM2907" s="77"/>
      <c r="AN2907" s="77"/>
      <c r="AO2907" s="77"/>
      <c r="AP2907" s="77"/>
      <c r="AQ2907" s="77" t="s">
        <v>15890</v>
      </c>
      <c r="AR2907" s="77"/>
      <c r="AS2907" s="77"/>
      <c r="AT2907" s="77"/>
      <c r="AU2907" s="77"/>
      <c r="AV2907" s="80" t="str">
        <f>HYPERLINK("https://pbs.twimg.com/media/F1hz7bcXoAAkTOr.jpg")</f>
        <v>https://pbs.twimg.com/media/F1hz7bcXoAAkTOr.jpg</v>
      </c>
      <c r="AW2907" s="82" t="s">
        <v>19673</v>
      </c>
      <c r="AX2907" s="82" t="s">
        <v>19673</v>
      </c>
      <c r="AY2907" s="77"/>
      <c r="AZ2907" s="82" t="s">
        <v>20971</v>
      </c>
      <c r="BA2907" s="82" t="s">
        <v>20971</v>
      </c>
      <c r="BB2907" s="82" t="s">
        <v>20971</v>
      </c>
      <c r="BC2907" s="82" t="s">
        <v>19673</v>
      </c>
      <c r="BD2907" s="82" t="s">
        <v>21581</v>
      </c>
      <c r="BE2907" s="77"/>
      <c r="BF2907" s="77"/>
      <c r="BG2907" s="77"/>
      <c r="BH2907" s="77"/>
      <c r="BI2907" s="77"/>
    </row>
    <row r="2908" spans="1:61" x14ac:dyDescent="0.25">
      <c r="A2908" s="62" t="s">
        <v>983</v>
      </c>
      <c r="B2908" s="62" t="s">
        <v>983</v>
      </c>
      <c r="C2908" s="63"/>
      <c r="D2908" s="64"/>
      <c r="E2908" s="65"/>
      <c r="F2908" s="66"/>
      <c r="G2908" s="63"/>
      <c r="H2908" s="67"/>
      <c r="I2908" s="68"/>
      <c r="J2908" s="68"/>
      <c r="K2908" s="32"/>
      <c r="L2908" s="75">
        <v>2908</v>
      </c>
      <c r="M2908" s="75"/>
      <c r="N2908" s="70"/>
      <c r="O2908" s="77" t="s">
        <v>1284</v>
      </c>
      <c r="P2908" s="79">
        <v>45099.671458333331</v>
      </c>
      <c r="Q2908" s="77" t="s">
        <v>4114</v>
      </c>
      <c r="R2908" s="77">
        <v>0</v>
      </c>
      <c r="S2908" s="77">
        <v>4</v>
      </c>
      <c r="T2908" s="77">
        <v>1</v>
      </c>
      <c r="U2908" s="77">
        <v>0</v>
      </c>
      <c r="V2908" s="77">
        <v>327</v>
      </c>
      <c r="W2908" s="82" t="s">
        <v>6661</v>
      </c>
      <c r="X2908" s="77"/>
      <c r="Y2908" s="77"/>
      <c r="Z2908" s="77"/>
      <c r="AA2908" s="77"/>
      <c r="AB2908" s="77"/>
      <c r="AC2908" s="82" t="s">
        <v>10144</v>
      </c>
      <c r="AD2908" s="77" t="s">
        <v>10187</v>
      </c>
      <c r="AE2908" s="80" t="str">
        <f>HYPERLINK("https://twitter.com/coreanasfrases_/status/1671912658025496579")</f>
        <v>https://twitter.com/coreanasfrases_/status/1671912658025496579</v>
      </c>
      <c r="AF2908" s="79">
        <v>45099.671458333331</v>
      </c>
      <c r="AG2908" s="85">
        <v>45099</v>
      </c>
      <c r="AH2908" s="82" t="s">
        <v>12936</v>
      </c>
      <c r="AI2908" s="77"/>
      <c r="AJ2908" s="77"/>
      <c r="AK2908" s="77"/>
      <c r="AL2908" s="77"/>
      <c r="AM2908" s="77"/>
      <c r="AN2908" s="77"/>
      <c r="AO2908" s="77"/>
      <c r="AP2908" s="77"/>
      <c r="AQ2908" s="77"/>
      <c r="AR2908" s="77"/>
      <c r="AS2908" s="77"/>
      <c r="AT2908" s="77"/>
      <c r="AU2908" s="77"/>
      <c r="AV2908" s="80" t="str">
        <f>HYPERLINK("https://pbs.twimg.com/profile_images/1656872092481060865/2pdhvtW1_normal.jpg")</f>
        <v>https://pbs.twimg.com/profile_images/1656872092481060865/2pdhvtW1_normal.jpg</v>
      </c>
      <c r="AW2908" s="82" t="s">
        <v>19674</v>
      </c>
      <c r="AX2908" s="82" t="s">
        <v>20876</v>
      </c>
      <c r="AY2908" s="82" t="s">
        <v>20958</v>
      </c>
      <c r="AZ2908" s="82" t="s">
        <v>20876</v>
      </c>
      <c r="BA2908" s="82" t="s">
        <v>20971</v>
      </c>
      <c r="BB2908" s="82" t="s">
        <v>20971</v>
      </c>
      <c r="BC2908" s="82" t="s">
        <v>20876</v>
      </c>
      <c r="BD2908" s="82" t="s">
        <v>20958</v>
      </c>
      <c r="BE2908" s="77"/>
      <c r="BF2908" s="77"/>
      <c r="BG2908" s="77"/>
      <c r="BH2908" s="77"/>
      <c r="BI2908" s="77"/>
    </row>
    <row r="2909" spans="1:61" x14ac:dyDescent="0.25">
      <c r="A2909" s="62" t="s">
        <v>984</v>
      </c>
      <c r="B2909" s="62" t="s">
        <v>984</v>
      </c>
      <c r="C2909" s="63"/>
      <c r="D2909" s="64"/>
      <c r="E2909" s="65"/>
      <c r="F2909" s="66"/>
      <c r="G2909" s="63"/>
      <c r="H2909" s="67"/>
      <c r="I2909" s="68"/>
      <c r="J2909" s="68"/>
      <c r="K2909" s="32"/>
      <c r="L2909" s="75">
        <v>2909</v>
      </c>
      <c r="M2909" s="75"/>
      <c r="N2909" s="70"/>
      <c r="O2909" s="77" t="s">
        <v>179</v>
      </c>
      <c r="P2909" s="79">
        <v>45098.113622685189</v>
      </c>
      <c r="Q2909" s="77" t="s">
        <v>4115</v>
      </c>
      <c r="R2909" s="77">
        <v>0</v>
      </c>
      <c r="S2909" s="77">
        <v>0</v>
      </c>
      <c r="T2909" s="77">
        <v>0</v>
      </c>
      <c r="U2909" s="77">
        <v>0</v>
      </c>
      <c r="V2909" s="77">
        <v>19</v>
      </c>
      <c r="W2909" s="82" t="s">
        <v>6662</v>
      </c>
      <c r="X2909" s="80" t="str">
        <f>HYPERLINK("https://carvalhoempreende.com.br/primeiros-passos-construir-renda-passiva-internet/")</f>
        <v>https://carvalhoempreende.com.br/primeiros-passos-construir-renda-passiva-internet/</v>
      </c>
      <c r="Y2909" s="77" t="s">
        <v>7252</v>
      </c>
      <c r="Z2909" s="77"/>
      <c r="AA2909" s="77"/>
      <c r="AB2909" s="77"/>
      <c r="AC2909" s="82" t="s">
        <v>10146</v>
      </c>
      <c r="AD2909" s="77" t="s">
        <v>10183</v>
      </c>
      <c r="AE2909" s="80" t="str">
        <f>HYPERLINK("https://twitter.com/cempreende/status/1671348117181022208")</f>
        <v>https://twitter.com/cempreende/status/1671348117181022208</v>
      </c>
      <c r="AF2909" s="79">
        <v>45098.113622685189</v>
      </c>
      <c r="AG2909" s="85">
        <v>45098</v>
      </c>
      <c r="AH2909" s="82" t="s">
        <v>12937</v>
      </c>
      <c r="AI2909" s="77" t="b">
        <v>0</v>
      </c>
      <c r="AJ2909" s="77"/>
      <c r="AK2909" s="77"/>
      <c r="AL2909" s="77"/>
      <c r="AM2909" s="77"/>
      <c r="AN2909" s="77"/>
      <c r="AO2909" s="77"/>
      <c r="AP2909" s="77"/>
      <c r="AQ2909" s="77"/>
      <c r="AR2909" s="77"/>
      <c r="AS2909" s="77"/>
      <c r="AT2909" s="77"/>
      <c r="AU2909" s="77"/>
      <c r="AV2909" s="80" t="str">
        <f>HYPERLINK("https://pbs.twimg.com/profile_images/1326569189495156739/itFNtyIK_normal.jpg")</f>
        <v>https://pbs.twimg.com/profile_images/1326569189495156739/itFNtyIK_normal.jpg</v>
      </c>
      <c r="AW2909" s="82" t="s">
        <v>19675</v>
      </c>
      <c r="AX2909" s="82" t="s">
        <v>19675</v>
      </c>
      <c r="AY2909" s="77"/>
      <c r="AZ2909" s="82" t="s">
        <v>20971</v>
      </c>
      <c r="BA2909" s="82" t="s">
        <v>20971</v>
      </c>
      <c r="BB2909" s="82" t="s">
        <v>20971</v>
      </c>
      <c r="BC2909" s="82" t="s">
        <v>19675</v>
      </c>
      <c r="BD2909" s="82" t="s">
        <v>21582</v>
      </c>
      <c r="BE2909" s="77"/>
      <c r="BF2909" s="77"/>
      <c r="BG2909" s="77"/>
      <c r="BH2909" s="77"/>
      <c r="BI2909" s="77"/>
    </row>
    <row r="2910" spans="1:61" x14ac:dyDescent="0.25">
      <c r="A2910" s="62" t="s">
        <v>985</v>
      </c>
      <c r="B2910" s="62" t="s">
        <v>985</v>
      </c>
      <c r="C2910" s="63"/>
      <c r="D2910" s="64"/>
      <c r="E2910" s="65"/>
      <c r="F2910" s="66"/>
      <c r="G2910" s="63"/>
      <c r="H2910" s="67"/>
      <c r="I2910" s="68"/>
      <c r="J2910" s="68"/>
      <c r="K2910" s="32"/>
      <c r="L2910" s="75">
        <v>2910</v>
      </c>
      <c r="M2910" s="75"/>
      <c r="N2910" s="70"/>
      <c r="O2910" s="77" t="s">
        <v>179</v>
      </c>
      <c r="P2910" s="79">
        <v>45060.719826388886</v>
      </c>
      <c r="Q2910" s="77" t="s">
        <v>4116</v>
      </c>
      <c r="R2910" s="77">
        <v>0</v>
      </c>
      <c r="S2910" s="77">
        <v>0</v>
      </c>
      <c r="T2910" s="77">
        <v>0</v>
      </c>
      <c r="U2910" s="77">
        <v>0</v>
      </c>
      <c r="V2910" s="77">
        <v>57</v>
      </c>
      <c r="W2910" s="82" t="s">
        <v>6663</v>
      </c>
      <c r="X2910" s="77"/>
      <c r="Y2910" s="77"/>
      <c r="Z2910" s="77"/>
      <c r="AA2910" s="77" t="s">
        <v>9248</v>
      </c>
      <c r="AB2910" s="77" t="s">
        <v>10129</v>
      </c>
      <c r="AC2910" s="82" t="s">
        <v>10144</v>
      </c>
      <c r="AD2910" s="77" t="s">
        <v>10184</v>
      </c>
      <c r="AE2910" s="80" t="str">
        <f>HYPERLINK("https://twitter.com/sobrancelhas_id/status/1657797055593545730")</f>
        <v>https://twitter.com/sobrancelhas_id/status/1657797055593545730</v>
      </c>
      <c r="AF2910" s="79">
        <v>45060.719826388886</v>
      </c>
      <c r="AG2910" s="85">
        <v>45060</v>
      </c>
      <c r="AH2910" s="82" t="s">
        <v>12938</v>
      </c>
      <c r="AI2910" s="77" t="b">
        <v>0</v>
      </c>
      <c r="AJ2910" s="77"/>
      <c r="AK2910" s="77"/>
      <c r="AL2910" s="77"/>
      <c r="AM2910" s="77"/>
      <c r="AN2910" s="77"/>
      <c r="AO2910" s="77"/>
      <c r="AP2910" s="77"/>
      <c r="AQ2910" s="77" t="s">
        <v>15891</v>
      </c>
      <c r="AR2910" s="77">
        <v>44942</v>
      </c>
      <c r="AS2910" s="77"/>
      <c r="AT2910" s="77"/>
      <c r="AU2910" s="77"/>
      <c r="AV2910" s="80" t="str">
        <f>HYPERLINK("https://pbs.twimg.com/ext_tw_video_thumb/1657796983527014402/pu/img/mV3LLNaJWgteYcJ7.jpg")</f>
        <v>https://pbs.twimg.com/ext_tw_video_thumb/1657796983527014402/pu/img/mV3LLNaJWgteYcJ7.jpg</v>
      </c>
      <c r="AW2910" s="82" t="s">
        <v>19676</v>
      </c>
      <c r="AX2910" s="82" t="s">
        <v>19676</v>
      </c>
      <c r="AY2910" s="77"/>
      <c r="AZ2910" s="82" t="s">
        <v>20971</v>
      </c>
      <c r="BA2910" s="82" t="s">
        <v>20971</v>
      </c>
      <c r="BB2910" s="82" t="s">
        <v>20971</v>
      </c>
      <c r="BC2910" s="82" t="s">
        <v>19676</v>
      </c>
      <c r="BD2910" s="82" t="s">
        <v>21583</v>
      </c>
      <c r="BE2910" s="77"/>
      <c r="BF2910" s="77"/>
      <c r="BG2910" s="77"/>
      <c r="BH2910" s="77"/>
      <c r="BI2910" s="77"/>
    </row>
    <row r="2911" spans="1:61" x14ac:dyDescent="0.25">
      <c r="A2911" s="62" t="s">
        <v>985</v>
      </c>
      <c r="B2911" s="62" t="s">
        <v>985</v>
      </c>
      <c r="C2911" s="63"/>
      <c r="D2911" s="64"/>
      <c r="E2911" s="65"/>
      <c r="F2911" s="66"/>
      <c r="G2911" s="63"/>
      <c r="H2911" s="67"/>
      <c r="I2911" s="68"/>
      <c r="J2911" s="68"/>
      <c r="K2911" s="32"/>
      <c r="L2911" s="75">
        <v>2911</v>
      </c>
      <c r="M2911" s="75"/>
      <c r="N2911" s="70"/>
      <c r="O2911" s="77" t="s">
        <v>179</v>
      </c>
      <c r="P2911" s="79">
        <v>45068.623576388891</v>
      </c>
      <c r="Q2911" s="77" t="s">
        <v>4117</v>
      </c>
      <c r="R2911" s="77">
        <v>0</v>
      </c>
      <c r="S2911" s="77">
        <v>0</v>
      </c>
      <c r="T2911" s="77">
        <v>1</v>
      </c>
      <c r="U2911" s="77">
        <v>0</v>
      </c>
      <c r="V2911" s="77">
        <v>71</v>
      </c>
      <c r="W2911" s="82" t="s">
        <v>6664</v>
      </c>
      <c r="X2911" s="77"/>
      <c r="Y2911" s="77"/>
      <c r="Z2911" s="77"/>
      <c r="AA2911" s="77" t="s">
        <v>9249</v>
      </c>
      <c r="AB2911" s="77" t="s">
        <v>10129</v>
      </c>
      <c r="AC2911" s="82" t="s">
        <v>10144</v>
      </c>
      <c r="AD2911" s="77" t="s">
        <v>10184</v>
      </c>
      <c r="AE2911" s="80" t="str">
        <f>HYPERLINK("https://twitter.com/sobrancelhas_id/status/1660661279046893574")</f>
        <v>https://twitter.com/sobrancelhas_id/status/1660661279046893574</v>
      </c>
      <c r="AF2911" s="79">
        <v>45068.623576388891</v>
      </c>
      <c r="AG2911" s="85">
        <v>45068</v>
      </c>
      <c r="AH2911" s="82" t="s">
        <v>12939</v>
      </c>
      <c r="AI2911" s="77" t="b">
        <v>0</v>
      </c>
      <c r="AJ2911" s="77"/>
      <c r="AK2911" s="77"/>
      <c r="AL2911" s="77"/>
      <c r="AM2911" s="77"/>
      <c r="AN2911" s="77"/>
      <c r="AO2911" s="77"/>
      <c r="AP2911" s="77"/>
      <c r="AQ2911" s="77" t="s">
        <v>15892</v>
      </c>
      <c r="AR2911" s="77">
        <v>10766</v>
      </c>
      <c r="AS2911" s="77"/>
      <c r="AT2911" s="77"/>
      <c r="AU2911" s="77"/>
      <c r="AV2911" s="80" t="str">
        <f>HYPERLINK("https://pbs.twimg.com/ext_tw_video_thumb/1660661156191543302/pu/img/BU3e45HaVBUdDp4V.jpg")</f>
        <v>https://pbs.twimg.com/ext_tw_video_thumb/1660661156191543302/pu/img/BU3e45HaVBUdDp4V.jpg</v>
      </c>
      <c r="AW2911" s="82" t="s">
        <v>19677</v>
      </c>
      <c r="AX2911" s="82" t="s">
        <v>19677</v>
      </c>
      <c r="AY2911" s="77"/>
      <c r="AZ2911" s="82" t="s">
        <v>20971</v>
      </c>
      <c r="BA2911" s="82" t="s">
        <v>20971</v>
      </c>
      <c r="BB2911" s="82" t="s">
        <v>20971</v>
      </c>
      <c r="BC2911" s="82" t="s">
        <v>19677</v>
      </c>
      <c r="BD2911" s="82" t="s">
        <v>21583</v>
      </c>
      <c r="BE2911" s="77"/>
      <c r="BF2911" s="77"/>
      <c r="BG2911" s="77"/>
      <c r="BH2911" s="77"/>
      <c r="BI2911" s="77"/>
    </row>
    <row r="2912" spans="1:61" x14ac:dyDescent="0.25">
      <c r="A2912" s="62" t="s">
        <v>985</v>
      </c>
      <c r="B2912" s="62" t="s">
        <v>985</v>
      </c>
      <c r="C2912" s="63"/>
      <c r="D2912" s="64"/>
      <c r="E2912" s="65"/>
      <c r="F2912" s="66"/>
      <c r="G2912" s="63"/>
      <c r="H2912" s="67"/>
      <c r="I2912" s="68"/>
      <c r="J2912" s="68"/>
      <c r="K2912" s="32"/>
      <c r="L2912" s="75">
        <v>2912</v>
      </c>
      <c r="M2912" s="75"/>
      <c r="N2912" s="70"/>
      <c r="O2912" s="77" t="s">
        <v>179</v>
      </c>
      <c r="P2912" s="79">
        <v>45074.680694444447</v>
      </c>
      <c r="Q2912" s="77" t="s">
        <v>4118</v>
      </c>
      <c r="R2912" s="77">
        <v>0</v>
      </c>
      <c r="S2912" s="77">
        <v>0</v>
      </c>
      <c r="T2912" s="77">
        <v>0</v>
      </c>
      <c r="U2912" s="77">
        <v>0</v>
      </c>
      <c r="V2912" s="77">
        <v>8</v>
      </c>
      <c r="W2912" s="82" t="s">
        <v>6665</v>
      </c>
      <c r="X2912" s="77"/>
      <c r="Y2912" s="77"/>
      <c r="Z2912" s="77"/>
      <c r="AA2912" s="77" t="s">
        <v>9250</v>
      </c>
      <c r="AB2912" s="77" t="s">
        <v>10129</v>
      </c>
      <c r="AC2912" s="82" t="s">
        <v>10144</v>
      </c>
      <c r="AD2912" s="77" t="s">
        <v>10184</v>
      </c>
      <c r="AE2912" s="80" t="str">
        <f>HYPERLINK("https://twitter.com/sobrancelhas_id/status/1662856306544332801")</f>
        <v>https://twitter.com/sobrancelhas_id/status/1662856306544332801</v>
      </c>
      <c r="AF2912" s="79">
        <v>45074.680694444447</v>
      </c>
      <c r="AG2912" s="85">
        <v>45074</v>
      </c>
      <c r="AH2912" s="82" t="s">
        <v>12940</v>
      </c>
      <c r="AI2912" s="77" t="b">
        <v>0</v>
      </c>
      <c r="AJ2912" s="77"/>
      <c r="AK2912" s="77"/>
      <c r="AL2912" s="77"/>
      <c r="AM2912" s="77"/>
      <c r="AN2912" s="77"/>
      <c r="AO2912" s="77"/>
      <c r="AP2912" s="77"/>
      <c r="AQ2912" s="77" t="s">
        <v>15893</v>
      </c>
      <c r="AR2912" s="77">
        <v>29800</v>
      </c>
      <c r="AS2912" s="77"/>
      <c r="AT2912" s="77"/>
      <c r="AU2912" s="77"/>
      <c r="AV2912" s="80" t="str">
        <f>HYPERLINK("https://pbs.twimg.com/ext_tw_video_thumb/1662856245940822021/pu/img/Rc9bFv6uUKDze_rX.jpg")</f>
        <v>https://pbs.twimg.com/ext_tw_video_thumb/1662856245940822021/pu/img/Rc9bFv6uUKDze_rX.jpg</v>
      </c>
      <c r="AW2912" s="82" t="s">
        <v>19678</v>
      </c>
      <c r="AX2912" s="82" t="s">
        <v>19678</v>
      </c>
      <c r="AY2912" s="77"/>
      <c r="AZ2912" s="82" t="s">
        <v>20971</v>
      </c>
      <c r="BA2912" s="82" t="s">
        <v>20971</v>
      </c>
      <c r="BB2912" s="82" t="s">
        <v>20971</v>
      </c>
      <c r="BC2912" s="82" t="s">
        <v>19678</v>
      </c>
      <c r="BD2912" s="82" t="s">
        <v>21583</v>
      </c>
      <c r="BE2912" s="77"/>
      <c r="BF2912" s="77"/>
      <c r="BG2912" s="77"/>
      <c r="BH2912" s="77"/>
      <c r="BI2912" s="77"/>
    </row>
    <row r="2913" spans="1:61" x14ac:dyDescent="0.25">
      <c r="A2913" s="62" t="s">
        <v>985</v>
      </c>
      <c r="B2913" s="62" t="s">
        <v>985</v>
      </c>
      <c r="C2913" s="63"/>
      <c r="D2913" s="64"/>
      <c r="E2913" s="65"/>
      <c r="F2913" s="66"/>
      <c r="G2913" s="63"/>
      <c r="H2913" s="67"/>
      <c r="I2913" s="68"/>
      <c r="J2913" s="68"/>
      <c r="K2913" s="32"/>
      <c r="L2913" s="75">
        <v>2913</v>
      </c>
      <c r="M2913" s="75"/>
      <c r="N2913" s="70"/>
      <c r="O2913" s="77" t="s">
        <v>179</v>
      </c>
      <c r="P2913" s="79">
        <v>45073.591273148151</v>
      </c>
      <c r="Q2913" s="77" t="s">
        <v>4119</v>
      </c>
      <c r="R2913" s="77">
        <v>0</v>
      </c>
      <c r="S2913" s="77">
        <v>0</v>
      </c>
      <c r="T2913" s="77">
        <v>0</v>
      </c>
      <c r="U2913" s="77">
        <v>0</v>
      </c>
      <c r="V2913" s="77">
        <v>71</v>
      </c>
      <c r="W2913" s="82" t="s">
        <v>6666</v>
      </c>
      <c r="X2913" s="77"/>
      <c r="Y2913" s="77"/>
      <c r="Z2913" s="77"/>
      <c r="AA2913" s="77" t="s">
        <v>9251</v>
      </c>
      <c r="AB2913" s="77" t="s">
        <v>10129</v>
      </c>
      <c r="AC2913" s="82" t="s">
        <v>10144</v>
      </c>
      <c r="AD2913" s="77" t="s">
        <v>10184</v>
      </c>
      <c r="AE2913" s="80" t="str">
        <f>HYPERLINK("https://twitter.com/sobrancelhas_id/status/1662461514064732162")</f>
        <v>https://twitter.com/sobrancelhas_id/status/1662461514064732162</v>
      </c>
      <c r="AF2913" s="79">
        <v>45073.591273148151</v>
      </c>
      <c r="AG2913" s="85">
        <v>45073</v>
      </c>
      <c r="AH2913" s="82" t="s">
        <v>12941</v>
      </c>
      <c r="AI2913" s="77" t="b">
        <v>0</v>
      </c>
      <c r="AJ2913" s="77"/>
      <c r="AK2913" s="77"/>
      <c r="AL2913" s="77"/>
      <c r="AM2913" s="77"/>
      <c r="AN2913" s="77"/>
      <c r="AO2913" s="77"/>
      <c r="AP2913" s="77"/>
      <c r="AQ2913" s="77" t="s">
        <v>15894</v>
      </c>
      <c r="AR2913" s="77">
        <v>16866</v>
      </c>
      <c r="AS2913" s="77"/>
      <c r="AT2913" s="77"/>
      <c r="AU2913" s="77"/>
      <c r="AV2913" s="80" t="str">
        <f>HYPERLINK("https://pbs.twimg.com/ext_tw_video_thumb/1662461449745182721/pu/img/romLYDFUnyBLuoKU.jpg")</f>
        <v>https://pbs.twimg.com/ext_tw_video_thumb/1662461449745182721/pu/img/romLYDFUnyBLuoKU.jpg</v>
      </c>
      <c r="AW2913" s="82" t="s">
        <v>19679</v>
      </c>
      <c r="AX2913" s="82" t="s">
        <v>19679</v>
      </c>
      <c r="AY2913" s="77"/>
      <c r="AZ2913" s="82" t="s">
        <v>20971</v>
      </c>
      <c r="BA2913" s="82" t="s">
        <v>20971</v>
      </c>
      <c r="BB2913" s="82" t="s">
        <v>20971</v>
      </c>
      <c r="BC2913" s="82" t="s">
        <v>19679</v>
      </c>
      <c r="BD2913" s="82" t="s">
        <v>21583</v>
      </c>
      <c r="BE2913" s="77"/>
      <c r="BF2913" s="77"/>
      <c r="BG2913" s="77"/>
      <c r="BH2913" s="77"/>
      <c r="BI2913" s="77"/>
    </row>
    <row r="2914" spans="1:61" x14ac:dyDescent="0.25">
      <c r="A2914" s="62" t="s">
        <v>985</v>
      </c>
      <c r="B2914" s="62" t="s">
        <v>985</v>
      </c>
      <c r="C2914" s="63"/>
      <c r="D2914" s="64"/>
      <c r="E2914" s="65"/>
      <c r="F2914" s="66"/>
      <c r="G2914" s="63"/>
      <c r="H2914" s="67"/>
      <c r="I2914" s="68"/>
      <c r="J2914" s="68"/>
      <c r="K2914" s="32"/>
      <c r="L2914" s="75">
        <v>2914</v>
      </c>
      <c r="M2914" s="75"/>
      <c r="N2914" s="70"/>
      <c r="O2914" s="77" t="s">
        <v>179</v>
      </c>
      <c r="P2914" s="79">
        <v>45065.479467592595</v>
      </c>
      <c r="Q2914" s="77" t="s">
        <v>4120</v>
      </c>
      <c r="R2914" s="77">
        <v>0</v>
      </c>
      <c r="S2914" s="77">
        <v>0</v>
      </c>
      <c r="T2914" s="77">
        <v>0</v>
      </c>
      <c r="U2914" s="77">
        <v>0</v>
      </c>
      <c r="V2914" s="77">
        <v>105</v>
      </c>
      <c r="W2914" s="82" t="s">
        <v>6667</v>
      </c>
      <c r="X2914" s="77"/>
      <c r="Y2914" s="77"/>
      <c r="Z2914" s="77"/>
      <c r="AA2914" s="77" t="s">
        <v>9252</v>
      </c>
      <c r="AB2914" s="77" t="s">
        <v>10129</v>
      </c>
      <c r="AC2914" s="82" t="s">
        <v>10144</v>
      </c>
      <c r="AD2914" s="77" t="s">
        <v>10184</v>
      </c>
      <c r="AE2914" s="80" t="str">
        <f>HYPERLINK("https://twitter.com/sobrancelhas_id/status/1659521892905000960")</f>
        <v>https://twitter.com/sobrancelhas_id/status/1659521892905000960</v>
      </c>
      <c r="AF2914" s="79">
        <v>45065.479467592595</v>
      </c>
      <c r="AG2914" s="85">
        <v>45065</v>
      </c>
      <c r="AH2914" s="82" t="s">
        <v>12942</v>
      </c>
      <c r="AI2914" s="77" t="b">
        <v>0</v>
      </c>
      <c r="AJ2914" s="77"/>
      <c r="AK2914" s="77"/>
      <c r="AL2914" s="77"/>
      <c r="AM2914" s="77"/>
      <c r="AN2914" s="77"/>
      <c r="AO2914" s="77"/>
      <c r="AP2914" s="77"/>
      <c r="AQ2914" s="77" t="s">
        <v>15895</v>
      </c>
      <c r="AR2914" s="77">
        <v>9967</v>
      </c>
      <c r="AS2914" s="77"/>
      <c r="AT2914" s="77"/>
      <c r="AU2914" s="77"/>
      <c r="AV2914" s="80" t="str">
        <f>HYPERLINK("https://pbs.twimg.com/ext_tw_video_thumb/1659521846235082752/pu/img/xUBCe0Ldk-VTuzr-.jpg")</f>
        <v>https://pbs.twimg.com/ext_tw_video_thumb/1659521846235082752/pu/img/xUBCe0Ldk-VTuzr-.jpg</v>
      </c>
      <c r="AW2914" s="82" t="s">
        <v>19680</v>
      </c>
      <c r="AX2914" s="82" t="s">
        <v>19680</v>
      </c>
      <c r="AY2914" s="77"/>
      <c r="AZ2914" s="82" t="s">
        <v>20971</v>
      </c>
      <c r="BA2914" s="82" t="s">
        <v>20971</v>
      </c>
      <c r="BB2914" s="82" t="s">
        <v>20971</v>
      </c>
      <c r="BC2914" s="82" t="s">
        <v>19680</v>
      </c>
      <c r="BD2914" s="82" t="s">
        <v>21583</v>
      </c>
      <c r="BE2914" s="77"/>
      <c r="BF2914" s="77"/>
      <c r="BG2914" s="77"/>
      <c r="BH2914" s="77"/>
      <c r="BI2914" s="77"/>
    </row>
    <row r="2915" spans="1:61" x14ac:dyDescent="0.25">
      <c r="A2915" s="62" t="s">
        <v>985</v>
      </c>
      <c r="B2915" s="62" t="s">
        <v>985</v>
      </c>
      <c r="C2915" s="63"/>
      <c r="D2915" s="64"/>
      <c r="E2915" s="65"/>
      <c r="F2915" s="66"/>
      <c r="G2915" s="63"/>
      <c r="H2915" s="67"/>
      <c r="I2915" s="68"/>
      <c r="J2915" s="68"/>
      <c r="K2915" s="32"/>
      <c r="L2915" s="75">
        <v>2915</v>
      </c>
      <c r="M2915" s="75"/>
      <c r="N2915" s="70"/>
      <c r="O2915" s="77" t="s">
        <v>179</v>
      </c>
      <c r="P2915" s="79">
        <v>45064.05846064815</v>
      </c>
      <c r="Q2915" s="77" t="s">
        <v>4121</v>
      </c>
      <c r="R2915" s="77">
        <v>0</v>
      </c>
      <c r="S2915" s="77">
        <v>0</v>
      </c>
      <c r="T2915" s="77">
        <v>0</v>
      </c>
      <c r="U2915" s="77">
        <v>0</v>
      </c>
      <c r="V2915" s="77">
        <v>27</v>
      </c>
      <c r="W2915" s="82" t="s">
        <v>6668</v>
      </c>
      <c r="X2915" s="77"/>
      <c r="Y2915" s="77"/>
      <c r="Z2915" s="77"/>
      <c r="AA2915" s="77" t="s">
        <v>9253</v>
      </c>
      <c r="AB2915" s="77" t="s">
        <v>10129</v>
      </c>
      <c r="AC2915" s="82" t="s">
        <v>10144</v>
      </c>
      <c r="AD2915" s="77" t="s">
        <v>10184</v>
      </c>
      <c r="AE2915" s="80" t="str">
        <f>HYPERLINK("https://twitter.com/sobrancelhas_id/status/1659006938720485380")</f>
        <v>https://twitter.com/sobrancelhas_id/status/1659006938720485380</v>
      </c>
      <c r="AF2915" s="79">
        <v>45064.05846064815</v>
      </c>
      <c r="AG2915" s="85">
        <v>45064</v>
      </c>
      <c r="AH2915" s="82" t="s">
        <v>12943</v>
      </c>
      <c r="AI2915" s="77" t="b">
        <v>0</v>
      </c>
      <c r="AJ2915" s="77"/>
      <c r="AK2915" s="77"/>
      <c r="AL2915" s="77"/>
      <c r="AM2915" s="77"/>
      <c r="AN2915" s="77"/>
      <c r="AO2915" s="77"/>
      <c r="AP2915" s="77"/>
      <c r="AQ2915" s="77" t="s">
        <v>15896</v>
      </c>
      <c r="AR2915" s="77">
        <v>75900</v>
      </c>
      <c r="AS2915" s="77"/>
      <c r="AT2915" s="77"/>
      <c r="AU2915" s="77"/>
      <c r="AV2915" s="80" t="str">
        <f>HYPERLINK("https://pbs.twimg.com/ext_tw_video_thumb/1659006788019138561/pu/img/ikXS6S-0XcqNX-vN.jpg")</f>
        <v>https://pbs.twimg.com/ext_tw_video_thumb/1659006788019138561/pu/img/ikXS6S-0XcqNX-vN.jpg</v>
      </c>
      <c r="AW2915" s="82" t="s">
        <v>19681</v>
      </c>
      <c r="AX2915" s="82" t="s">
        <v>19681</v>
      </c>
      <c r="AY2915" s="77"/>
      <c r="AZ2915" s="82" t="s">
        <v>20971</v>
      </c>
      <c r="BA2915" s="82" t="s">
        <v>20971</v>
      </c>
      <c r="BB2915" s="82" t="s">
        <v>20971</v>
      </c>
      <c r="BC2915" s="82" t="s">
        <v>19681</v>
      </c>
      <c r="BD2915" s="82" t="s">
        <v>21583</v>
      </c>
      <c r="BE2915" s="77"/>
      <c r="BF2915" s="77"/>
      <c r="BG2915" s="77"/>
      <c r="BH2915" s="77"/>
      <c r="BI2915" s="77"/>
    </row>
    <row r="2916" spans="1:61" x14ac:dyDescent="0.25">
      <c r="A2916" s="62" t="s">
        <v>985</v>
      </c>
      <c r="B2916" s="62" t="s">
        <v>985</v>
      </c>
      <c r="C2916" s="63"/>
      <c r="D2916" s="64"/>
      <c r="E2916" s="65"/>
      <c r="F2916" s="66"/>
      <c r="G2916" s="63"/>
      <c r="H2916" s="67"/>
      <c r="I2916" s="68"/>
      <c r="J2916" s="68"/>
      <c r="K2916" s="32"/>
      <c r="L2916" s="75">
        <v>2916</v>
      </c>
      <c r="M2916" s="75"/>
      <c r="N2916" s="70"/>
      <c r="O2916" s="77" t="s">
        <v>179</v>
      </c>
      <c r="P2916" s="79">
        <v>45056.12604166667</v>
      </c>
      <c r="Q2916" s="77" t="s">
        <v>4122</v>
      </c>
      <c r="R2916" s="77">
        <v>0</v>
      </c>
      <c r="S2916" s="77">
        <v>0</v>
      </c>
      <c r="T2916" s="77">
        <v>1</v>
      </c>
      <c r="U2916" s="77">
        <v>0</v>
      </c>
      <c r="V2916" s="77">
        <v>81</v>
      </c>
      <c r="W2916" s="82" t="s">
        <v>6669</v>
      </c>
      <c r="X2916" s="77"/>
      <c r="Y2916" s="77"/>
      <c r="Z2916" s="77"/>
      <c r="AA2916" s="77" t="s">
        <v>9254</v>
      </c>
      <c r="AB2916" s="77" t="s">
        <v>10129</v>
      </c>
      <c r="AC2916" s="82" t="s">
        <v>10144</v>
      </c>
      <c r="AD2916" s="77" t="s">
        <v>10184</v>
      </c>
      <c r="AE2916" s="80" t="str">
        <f>HYPERLINK("https://twitter.com/sobrancelhas_id/status/1656132323547512832")</f>
        <v>https://twitter.com/sobrancelhas_id/status/1656132323547512832</v>
      </c>
      <c r="AF2916" s="79">
        <v>45056.12604166667</v>
      </c>
      <c r="AG2916" s="85">
        <v>45056</v>
      </c>
      <c r="AH2916" s="82" t="s">
        <v>12944</v>
      </c>
      <c r="AI2916" s="77" t="b">
        <v>0</v>
      </c>
      <c r="AJ2916" s="77"/>
      <c r="AK2916" s="77"/>
      <c r="AL2916" s="77"/>
      <c r="AM2916" s="77"/>
      <c r="AN2916" s="77"/>
      <c r="AO2916" s="77"/>
      <c r="AP2916" s="77"/>
      <c r="AQ2916" s="77" t="s">
        <v>15897</v>
      </c>
      <c r="AR2916" s="77">
        <v>30233</v>
      </c>
      <c r="AS2916" s="77"/>
      <c r="AT2916" s="77"/>
      <c r="AU2916" s="77"/>
      <c r="AV2916" s="80" t="str">
        <f>HYPERLINK("https://pbs.twimg.com/ext_tw_video_thumb/1656132243201355776/pu/img/g6uV9Slr5dZfPkSo.jpg")</f>
        <v>https://pbs.twimg.com/ext_tw_video_thumb/1656132243201355776/pu/img/g6uV9Slr5dZfPkSo.jpg</v>
      </c>
      <c r="AW2916" s="82" t="s">
        <v>19682</v>
      </c>
      <c r="AX2916" s="82" t="s">
        <v>19682</v>
      </c>
      <c r="AY2916" s="77"/>
      <c r="AZ2916" s="82" t="s">
        <v>20971</v>
      </c>
      <c r="BA2916" s="82" t="s">
        <v>20971</v>
      </c>
      <c r="BB2916" s="82" t="s">
        <v>20971</v>
      </c>
      <c r="BC2916" s="82" t="s">
        <v>19682</v>
      </c>
      <c r="BD2916" s="82" t="s">
        <v>21583</v>
      </c>
      <c r="BE2916" s="77"/>
      <c r="BF2916" s="77"/>
      <c r="BG2916" s="77"/>
      <c r="BH2916" s="77"/>
      <c r="BI2916" s="77"/>
    </row>
    <row r="2917" spans="1:61" x14ac:dyDescent="0.25">
      <c r="A2917" s="62" t="s">
        <v>985</v>
      </c>
      <c r="B2917" s="62" t="s">
        <v>985</v>
      </c>
      <c r="C2917" s="63"/>
      <c r="D2917" s="64"/>
      <c r="E2917" s="65"/>
      <c r="F2917" s="66"/>
      <c r="G2917" s="63"/>
      <c r="H2917" s="67"/>
      <c r="I2917" s="68"/>
      <c r="J2917" s="68"/>
      <c r="K2917" s="32"/>
      <c r="L2917" s="75">
        <v>2917</v>
      </c>
      <c r="M2917" s="75"/>
      <c r="N2917" s="70"/>
      <c r="O2917" s="77" t="s">
        <v>179</v>
      </c>
      <c r="P2917" s="79">
        <v>45072.037835648145</v>
      </c>
      <c r="Q2917" s="77" t="s">
        <v>4123</v>
      </c>
      <c r="R2917" s="77">
        <v>0</v>
      </c>
      <c r="S2917" s="77">
        <v>0</v>
      </c>
      <c r="T2917" s="77">
        <v>0</v>
      </c>
      <c r="U2917" s="77">
        <v>0</v>
      </c>
      <c r="V2917" s="77">
        <v>50</v>
      </c>
      <c r="W2917" s="82" t="s">
        <v>6670</v>
      </c>
      <c r="X2917" s="77"/>
      <c r="Y2917" s="77"/>
      <c r="Z2917" s="77"/>
      <c r="AA2917" s="77" t="s">
        <v>9255</v>
      </c>
      <c r="AB2917" s="77" t="s">
        <v>10129</v>
      </c>
      <c r="AC2917" s="82" t="s">
        <v>10144</v>
      </c>
      <c r="AD2917" s="77" t="s">
        <v>10184</v>
      </c>
      <c r="AE2917" s="80" t="str">
        <f>HYPERLINK("https://twitter.com/sobrancelhas_id/status/1661898565717839874")</f>
        <v>https://twitter.com/sobrancelhas_id/status/1661898565717839874</v>
      </c>
      <c r="AF2917" s="79">
        <v>45072.037835648145</v>
      </c>
      <c r="AG2917" s="85">
        <v>45072</v>
      </c>
      <c r="AH2917" s="82" t="s">
        <v>12945</v>
      </c>
      <c r="AI2917" s="77" t="b">
        <v>0</v>
      </c>
      <c r="AJ2917" s="77"/>
      <c r="AK2917" s="77"/>
      <c r="AL2917" s="77"/>
      <c r="AM2917" s="77"/>
      <c r="AN2917" s="77"/>
      <c r="AO2917" s="77"/>
      <c r="AP2917" s="77"/>
      <c r="AQ2917" s="77" t="s">
        <v>15898</v>
      </c>
      <c r="AR2917" s="77">
        <v>93333</v>
      </c>
      <c r="AS2917" s="77"/>
      <c r="AT2917" s="77"/>
      <c r="AU2917" s="77"/>
      <c r="AV2917" s="80" t="str">
        <f>HYPERLINK("https://pbs.twimg.com/ext_tw_video_thumb/1661898468460318720/pu/img/3sCKC9ZypjO2dOMp.jpg")</f>
        <v>https://pbs.twimg.com/ext_tw_video_thumb/1661898468460318720/pu/img/3sCKC9ZypjO2dOMp.jpg</v>
      </c>
      <c r="AW2917" s="82" t="s">
        <v>19683</v>
      </c>
      <c r="AX2917" s="82" t="s">
        <v>19683</v>
      </c>
      <c r="AY2917" s="77"/>
      <c r="AZ2917" s="82" t="s">
        <v>20971</v>
      </c>
      <c r="BA2917" s="82" t="s">
        <v>20971</v>
      </c>
      <c r="BB2917" s="82" t="s">
        <v>20971</v>
      </c>
      <c r="BC2917" s="82" t="s">
        <v>19683</v>
      </c>
      <c r="BD2917" s="82" t="s">
        <v>21583</v>
      </c>
      <c r="BE2917" s="77"/>
      <c r="BF2917" s="77"/>
      <c r="BG2917" s="77"/>
      <c r="BH2917" s="77"/>
      <c r="BI2917" s="77"/>
    </row>
    <row r="2918" spans="1:61" x14ac:dyDescent="0.25">
      <c r="A2918" s="62" t="s">
        <v>985</v>
      </c>
      <c r="B2918" s="62" t="s">
        <v>985</v>
      </c>
      <c r="C2918" s="63"/>
      <c r="D2918" s="64"/>
      <c r="E2918" s="65"/>
      <c r="F2918" s="66"/>
      <c r="G2918" s="63"/>
      <c r="H2918" s="67"/>
      <c r="I2918" s="68"/>
      <c r="J2918" s="68"/>
      <c r="K2918" s="32"/>
      <c r="L2918" s="75">
        <v>2918</v>
      </c>
      <c r="M2918" s="75"/>
      <c r="N2918" s="70"/>
      <c r="O2918" s="77" t="s">
        <v>179</v>
      </c>
      <c r="P2918" s="79">
        <v>45070.017094907409</v>
      </c>
      <c r="Q2918" s="77" t="s">
        <v>4124</v>
      </c>
      <c r="R2918" s="77">
        <v>0</v>
      </c>
      <c r="S2918" s="77">
        <v>0</v>
      </c>
      <c r="T2918" s="77">
        <v>0</v>
      </c>
      <c r="U2918" s="77">
        <v>0</v>
      </c>
      <c r="V2918" s="77">
        <v>94</v>
      </c>
      <c r="W2918" s="82" t="s">
        <v>6671</v>
      </c>
      <c r="X2918" s="77"/>
      <c r="Y2918" s="77"/>
      <c r="Z2918" s="77"/>
      <c r="AA2918" s="77" t="s">
        <v>9256</v>
      </c>
      <c r="AB2918" s="77" t="s">
        <v>10129</v>
      </c>
      <c r="AC2918" s="82" t="s">
        <v>10144</v>
      </c>
      <c r="AD2918" s="77" t="s">
        <v>10184</v>
      </c>
      <c r="AE2918" s="80" t="str">
        <f>HYPERLINK("https://twitter.com/sobrancelhas_id/status/1661166275710574593")</f>
        <v>https://twitter.com/sobrancelhas_id/status/1661166275710574593</v>
      </c>
      <c r="AF2918" s="79">
        <v>45070.017094907409</v>
      </c>
      <c r="AG2918" s="85">
        <v>45070</v>
      </c>
      <c r="AH2918" s="82" t="s">
        <v>12946</v>
      </c>
      <c r="AI2918" s="77" t="b">
        <v>0</v>
      </c>
      <c r="AJ2918" s="77"/>
      <c r="AK2918" s="77"/>
      <c r="AL2918" s="77"/>
      <c r="AM2918" s="77"/>
      <c r="AN2918" s="77"/>
      <c r="AO2918" s="77"/>
      <c r="AP2918" s="77"/>
      <c r="AQ2918" s="77" t="s">
        <v>15899</v>
      </c>
      <c r="AR2918" s="77">
        <v>52333</v>
      </c>
      <c r="AS2918" s="77"/>
      <c r="AT2918" s="77"/>
      <c r="AU2918" s="77"/>
      <c r="AV2918" s="80" t="str">
        <f>HYPERLINK("https://pbs.twimg.com/ext_tw_video_thumb/1661166189656113154/pu/img/ojuoCRwm9nAhQE1I.jpg")</f>
        <v>https://pbs.twimg.com/ext_tw_video_thumb/1661166189656113154/pu/img/ojuoCRwm9nAhQE1I.jpg</v>
      </c>
      <c r="AW2918" s="82" t="s">
        <v>19684</v>
      </c>
      <c r="AX2918" s="82" t="s">
        <v>19684</v>
      </c>
      <c r="AY2918" s="77"/>
      <c r="AZ2918" s="82" t="s">
        <v>20971</v>
      </c>
      <c r="BA2918" s="82" t="s">
        <v>20971</v>
      </c>
      <c r="BB2918" s="82" t="s">
        <v>20971</v>
      </c>
      <c r="BC2918" s="82" t="s">
        <v>19684</v>
      </c>
      <c r="BD2918" s="82" t="s">
        <v>21583</v>
      </c>
      <c r="BE2918" s="77"/>
      <c r="BF2918" s="77"/>
      <c r="BG2918" s="77"/>
      <c r="BH2918" s="77"/>
      <c r="BI2918" s="77"/>
    </row>
    <row r="2919" spans="1:61" x14ac:dyDescent="0.25">
      <c r="A2919" s="62" t="s">
        <v>985</v>
      </c>
      <c r="B2919" s="62" t="s">
        <v>985</v>
      </c>
      <c r="C2919" s="63"/>
      <c r="D2919" s="64"/>
      <c r="E2919" s="65"/>
      <c r="F2919" s="66"/>
      <c r="G2919" s="63"/>
      <c r="H2919" s="67"/>
      <c r="I2919" s="68"/>
      <c r="J2919" s="68"/>
      <c r="K2919" s="32"/>
      <c r="L2919" s="75">
        <v>2919</v>
      </c>
      <c r="M2919" s="75"/>
      <c r="N2919" s="70"/>
      <c r="O2919" s="77" t="s">
        <v>179</v>
      </c>
      <c r="P2919" s="79">
        <v>45086.564259259256</v>
      </c>
      <c r="Q2919" s="77" t="s">
        <v>4125</v>
      </c>
      <c r="R2919" s="77">
        <v>0</v>
      </c>
      <c r="S2919" s="77">
        <v>0</v>
      </c>
      <c r="T2919" s="77">
        <v>0</v>
      </c>
      <c r="U2919" s="77">
        <v>0</v>
      </c>
      <c r="V2919" s="77">
        <v>234</v>
      </c>
      <c r="W2919" s="82" t="s">
        <v>6672</v>
      </c>
      <c r="X2919" s="77"/>
      <c r="Y2919" s="77"/>
      <c r="Z2919" s="77"/>
      <c r="AA2919" s="77" t="s">
        <v>9257</v>
      </c>
      <c r="AB2919" s="77" t="s">
        <v>10129</v>
      </c>
      <c r="AC2919" s="82" t="s">
        <v>10144</v>
      </c>
      <c r="AD2919" s="77" t="s">
        <v>10184</v>
      </c>
      <c r="AE2919" s="80" t="str">
        <f>HYPERLINK("https://twitter.com/sobrancelhas_id/status/1667162765125992448")</f>
        <v>https://twitter.com/sobrancelhas_id/status/1667162765125992448</v>
      </c>
      <c r="AF2919" s="79">
        <v>45086.564259259256</v>
      </c>
      <c r="AG2919" s="85">
        <v>45086</v>
      </c>
      <c r="AH2919" s="82" t="s">
        <v>12947</v>
      </c>
      <c r="AI2919" s="77" t="b">
        <v>0</v>
      </c>
      <c r="AJ2919" s="77"/>
      <c r="AK2919" s="77"/>
      <c r="AL2919" s="77"/>
      <c r="AM2919" s="77"/>
      <c r="AN2919" s="77"/>
      <c r="AO2919" s="77"/>
      <c r="AP2919" s="77"/>
      <c r="AQ2919" s="77" t="s">
        <v>15900</v>
      </c>
      <c r="AR2919" s="77">
        <v>44881</v>
      </c>
      <c r="AS2919" s="77"/>
      <c r="AT2919" s="77"/>
      <c r="AU2919" s="77"/>
      <c r="AV2919" s="80" t="str">
        <f>HYPERLINK("https://pbs.twimg.com/ext_tw_video_thumb/1667162663023984641/pu/img/atjvhz9Z13GaKl1Y.jpg")</f>
        <v>https://pbs.twimg.com/ext_tw_video_thumb/1667162663023984641/pu/img/atjvhz9Z13GaKl1Y.jpg</v>
      </c>
      <c r="AW2919" s="82" t="s">
        <v>19685</v>
      </c>
      <c r="AX2919" s="82" t="s">
        <v>19685</v>
      </c>
      <c r="AY2919" s="77"/>
      <c r="AZ2919" s="82" t="s">
        <v>20971</v>
      </c>
      <c r="BA2919" s="82" t="s">
        <v>20971</v>
      </c>
      <c r="BB2919" s="82" t="s">
        <v>20971</v>
      </c>
      <c r="BC2919" s="82" t="s">
        <v>19685</v>
      </c>
      <c r="BD2919" s="82" t="s">
        <v>21583</v>
      </c>
      <c r="BE2919" s="77"/>
      <c r="BF2919" s="77"/>
      <c r="BG2919" s="77"/>
      <c r="BH2919" s="77"/>
      <c r="BI2919" s="77"/>
    </row>
    <row r="2920" spans="1:61" x14ac:dyDescent="0.25">
      <c r="A2920" s="62" t="s">
        <v>985</v>
      </c>
      <c r="B2920" s="62" t="s">
        <v>985</v>
      </c>
      <c r="C2920" s="63"/>
      <c r="D2920" s="64"/>
      <c r="E2920" s="65"/>
      <c r="F2920" s="66"/>
      <c r="G2920" s="63"/>
      <c r="H2920" s="67"/>
      <c r="I2920" s="68"/>
      <c r="J2920" s="68"/>
      <c r="K2920" s="32"/>
      <c r="L2920" s="75">
        <v>2920</v>
      </c>
      <c r="M2920" s="75"/>
      <c r="N2920" s="70"/>
      <c r="O2920" s="77" t="s">
        <v>179</v>
      </c>
      <c r="P2920" s="79">
        <v>45059.729201388887</v>
      </c>
      <c r="Q2920" s="77" t="s">
        <v>4126</v>
      </c>
      <c r="R2920" s="77">
        <v>0</v>
      </c>
      <c r="S2920" s="77">
        <v>0</v>
      </c>
      <c r="T2920" s="77">
        <v>0</v>
      </c>
      <c r="U2920" s="77">
        <v>0</v>
      </c>
      <c r="V2920" s="77">
        <v>111</v>
      </c>
      <c r="W2920" s="82" t="s">
        <v>6673</v>
      </c>
      <c r="X2920" s="77"/>
      <c r="Y2920" s="77"/>
      <c r="Z2920" s="77"/>
      <c r="AA2920" s="77" t="s">
        <v>9258</v>
      </c>
      <c r="AB2920" s="77" t="s">
        <v>10129</v>
      </c>
      <c r="AC2920" s="82" t="s">
        <v>10144</v>
      </c>
      <c r="AD2920" s="77" t="s">
        <v>10184</v>
      </c>
      <c r="AE2920" s="80" t="str">
        <f>HYPERLINK("https://twitter.com/sobrancelhas_id/status/1657438065294561280")</f>
        <v>https://twitter.com/sobrancelhas_id/status/1657438065294561280</v>
      </c>
      <c r="AF2920" s="79">
        <v>45059.729201388887</v>
      </c>
      <c r="AG2920" s="85">
        <v>45059</v>
      </c>
      <c r="AH2920" s="82" t="s">
        <v>12948</v>
      </c>
      <c r="AI2920" s="77" t="b">
        <v>0</v>
      </c>
      <c r="AJ2920" s="77"/>
      <c r="AK2920" s="77"/>
      <c r="AL2920" s="77"/>
      <c r="AM2920" s="77"/>
      <c r="AN2920" s="77"/>
      <c r="AO2920" s="77"/>
      <c r="AP2920" s="77"/>
      <c r="AQ2920" s="77" t="s">
        <v>15901</v>
      </c>
      <c r="AR2920" s="77">
        <v>15300</v>
      </c>
      <c r="AS2920" s="77"/>
      <c r="AT2920" s="77"/>
      <c r="AU2920" s="77"/>
      <c r="AV2920" s="80" t="str">
        <f>HYPERLINK("https://pbs.twimg.com/ext_tw_video_thumb/1657438033971486723/pu/img/Slu7N05rRS59K_Gh.jpg")</f>
        <v>https://pbs.twimg.com/ext_tw_video_thumb/1657438033971486723/pu/img/Slu7N05rRS59K_Gh.jpg</v>
      </c>
      <c r="AW2920" s="82" t="s">
        <v>19686</v>
      </c>
      <c r="AX2920" s="82" t="s">
        <v>19686</v>
      </c>
      <c r="AY2920" s="77"/>
      <c r="AZ2920" s="82" t="s">
        <v>20971</v>
      </c>
      <c r="BA2920" s="82" t="s">
        <v>20971</v>
      </c>
      <c r="BB2920" s="82" t="s">
        <v>20971</v>
      </c>
      <c r="BC2920" s="82" t="s">
        <v>19686</v>
      </c>
      <c r="BD2920" s="82" t="s">
        <v>21583</v>
      </c>
      <c r="BE2920" s="77"/>
      <c r="BF2920" s="77"/>
      <c r="BG2920" s="77"/>
      <c r="BH2920" s="77"/>
      <c r="BI2920" s="77"/>
    </row>
    <row r="2921" spans="1:61" x14ac:dyDescent="0.25">
      <c r="A2921" s="62" t="s">
        <v>985</v>
      </c>
      <c r="B2921" s="62" t="s">
        <v>985</v>
      </c>
      <c r="C2921" s="63"/>
      <c r="D2921" s="64"/>
      <c r="E2921" s="65"/>
      <c r="F2921" s="66"/>
      <c r="G2921" s="63"/>
      <c r="H2921" s="67"/>
      <c r="I2921" s="68"/>
      <c r="J2921" s="68"/>
      <c r="K2921" s="32"/>
      <c r="L2921" s="75">
        <v>2921</v>
      </c>
      <c r="M2921" s="75"/>
      <c r="N2921" s="70"/>
      <c r="O2921" s="77" t="s">
        <v>179</v>
      </c>
      <c r="P2921" s="79">
        <v>45058.600868055553</v>
      </c>
      <c r="Q2921" s="77" t="s">
        <v>4127</v>
      </c>
      <c r="R2921" s="77">
        <v>0</v>
      </c>
      <c r="S2921" s="77">
        <v>0</v>
      </c>
      <c r="T2921" s="77">
        <v>0</v>
      </c>
      <c r="U2921" s="77">
        <v>0</v>
      </c>
      <c r="V2921" s="77">
        <v>90</v>
      </c>
      <c r="W2921" s="82" t="s">
        <v>6674</v>
      </c>
      <c r="X2921" s="77"/>
      <c r="Y2921" s="77"/>
      <c r="Z2921" s="77"/>
      <c r="AA2921" s="77" t="s">
        <v>9259</v>
      </c>
      <c r="AB2921" s="77" t="s">
        <v>10129</v>
      </c>
      <c r="AC2921" s="82" t="s">
        <v>10144</v>
      </c>
      <c r="AD2921" s="77" t="s">
        <v>10184</v>
      </c>
      <c r="AE2921" s="80" t="str">
        <f>HYPERLINK("https://twitter.com/sobrancelhas_id/status/1657029172655521794")</f>
        <v>https://twitter.com/sobrancelhas_id/status/1657029172655521794</v>
      </c>
      <c r="AF2921" s="79">
        <v>45058.600868055553</v>
      </c>
      <c r="AG2921" s="85">
        <v>45058</v>
      </c>
      <c r="AH2921" s="82" t="s">
        <v>12949</v>
      </c>
      <c r="AI2921" s="77" t="b">
        <v>0</v>
      </c>
      <c r="AJ2921" s="77"/>
      <c r="AK2921" s="77"/>
      <c r="AL2921" s="77"/>
      <c r="AM2921" s="77"/>
      <c r="AN2921" s="77"/>
      <c r="AO2921" s="77"/>
      <c r="AP2921" s="77"/>
      <c r="AQ2921" s="77" t="s">
        <v>15902</v>
      </c>
      <c r="AR2921" s="77">
        <v>37067</v>
      </c>
      <c r="AS2921" s="77"/>
      <c r="AT2921" s="77"/>
      <c r="AU2921" s="77"/>
      <c r="AV2921" s="80" t="str">
        <f>HYPERLINK("https://pbs.twimg.com/ext_tw_video_thumb/1657029126723624963/pu/img/Xgq7RH4oeOyHZUEy.jpg")</f>
        <v>https://pbs.twimg.com/ext_tw_video_thumb/1657029126723624963/pu/img/Xgq7RH4oeOyHZUEy.jpg</v>
      </c>
      <c r="AW2921" s="82" t="s">
        <v>19687</v>
      </c>
      <c r="AX2921" s="82" t="s">
        <v>19687</v>
      </c>
      <c r="AY2921" s="77"/>
      <c r="AZ2921" s="82" t="s">
        <v>20971</v>
      </c>
      <c r="BA2921" s="82" t="s">
        <v>20971</v>
      </c>
      <c r="BB2921" s="82" t="s">
        <v>20971</v>
      </c>
      <c r="BC2921" s="82" t="s">
        <v>19687</v>
      </c>
      <c r="BD2921" s="82" t="s">
        <v>21583</v>
      </c>
      <c r="BE2921" s="77"/>
      <c r="BF2921" s="77"/>
      <c r="BG2921" s="77"/>
      <c r="BH2921" s="77"/>
      <c r="BI2921" s="77"/>
    </row>
    <row r="2922" spans="1:61" x14ac:dyDescent="0.25">
      <c r="A2922" s="62" t="s">
        <v>985</v>
      </c>
      <c r="B2922" s="62" t="s">
        <v>985</v>
      </c>
      <c r="C2922" s="63"/>
      <c r="D2922" s="64"/>
      <c r="E2922" s="65"/>
      <c r="F2922" s="66"/>
      <c r="G2922" s="63"/>
      <c r="H2922" s="67"/>
      <c r="I2922" s="68"/>
      <c r="J2922" s="68"/>
      <c r="K2922" s="32"/>
      <c r="L2922" s="75">
        <v>2922</v>
      </c>
      <c r="M2922" s="75"/>
      <c r="N2922" s="70"/>
      <c r="O2922" s="77" t="s">
        <v>179</v>
      </c>
      <c r="P2922" s="79">
        <v>45058.084409722222</v>
      </c>
      <c r="Q2922" s="77" t="s">
        <v>4128</v>
      </c>
      <c r="R2922" s="77">
        <v>0</v>
      </c>
      <c r="S2922" s="77">
        <v>0</v>
      </c>
      <c r="T2922" s="77">
        <v>1</v>
      </c>
      <c r="U2922" s="77">
        <v>0</v>
      </c>
      <c r="V2922" s="77">
        <v>74</v>
      </c>
      <c r="W2922" s="82" t="s">
        <v>6675</v>
      </c>
      <c r="X2922" s="77"/>
      <c r="Y2922" s="77"/>
      <c r="Z2922" s="77"/>
      <c r="AA2922" s="77" t="s">
        <v>9260</v>
      </c>
      <c r="AB2922" s="77" t="s">
        <v>10129</v>
      </c>
      <c r="AC2922" s="82" t="s">
        <v>10144</v>
      </c>
      <c r="AD2922" s="77" t="s">
        <v>10184</v>
      </c>
      <c r="AE2922" s="80" t="str">
        <f>HYPERLINK("https://twitter.com/sobrancelhas_id/status/1656842012681797632")</f>
        <v>https://twitter.com/sobrancelhas_id/status/1656842012681797632</v>
      </c>
      <c r="AF2922" s="79">
        <v>45058.084409722222</v>
      </c>
      <c r="AG2922" s="85">
        <v>45058</v>
      </c>
      <c r="AH2922" s="82" t="s">
        <v>12950</v>
      </c>
      <c r="AI2922" s="77" t="b">
        <v>0</v>
      </c>
      <c r="AJ2922" s="77"/>
      <c r="AK2922" s="77"/>
      <c r="AL2922" s="77"/>
      <c r="AM2922" s="77"/>
      <c r="AN2922" s="77"/>
      <c r="AO2922" s="77"/>
      <c r="AP2922" s="77"/>
      <c r="AQ2922" s="77" t="s">
        <v>15903</v>
      </c>
      <c r="AR2922" s="77">
        <v>9967</v>
      </c>
      <c r="AS2922" s="77"/>
      <c r="AT2922" s="77"/>
      <c r="AU2922" s="77"/>
      <c r="AV2922" s="80" t="str">
        <f>HYPERLINK("https://pbs.twimg.com/ext_tw_video_thumb/1656841987394265088/pu/img/o28CCxayQX1tvJsV.jpg")</f>
        <v>https://pbs.twimg.com/ext_tw_video_thumb/1656841987394265088/pu/img/o28CCxayQX1tvJsV.jpg</v>
      </c>
      <c r="AW2922" s="82" t="s">
        <v>19688</v>
      </c>
      <c r="AX2922" s="82" t="s">
        <v>19688</v>
      </c>
      <c r="AY2922" s="77"/>
      <c r="AZ2922" s="82" t="s">
        <v>20971</v>
      </c>
      <c r="BA2922" s="82" t="s">
        <v>20971</v>
      </c>
      <c r="BB2922" s="82" t="s">
        <v>20971</v>
      </c>
      <c r="BC2922" s="82" t="s">
        <v>19688</v>
      </c>
      <c r="BD2922" s="82" t="s">
        <v>21583</v>
      </c>
      <c r="BE2922" s="77"/>
      <c r="BF2922" s="77"/>
      <c r="BG2922" s="77"/>
      <c r="BH2922" s="77"/>
      <c r="BI2922" s="77"/>
    </row>
    <row r="2923" spans="1:61" x14ac:dyDescent="0.25">
      <c r="A2923" s="62" t="s">
        <v>985</v>
      </c>
      <c r="B2923" s="62" t="s">
        <v>985</v>
      </c>
      <c r="C2923" s="63"/>
      <c r="D2923" s="64"/>
      <c r="E2923" s="65"/>
      <c r="F2923" s="66"/>
      <c r="G2923" s="63"/>
      <c r="H2923" s="67"/>
      <c r="I2923" s="68"/>
      <c r="J2923" s="68"/>
      <c r="K2923" s="32"/>
      <c r="L2923" s="75">
        <v>2923</v>
      </c>
      <c r="M2923" s="75"/>
      <c r="N2923" s="70"/>
      <c r="O2923" s="77" t="s">
        <v>179</v>
      </c>
      <c r="P2923" s="79">
        <v>45057.766782407409</v>
      </c>
      <c r="Q2923" s="77" t="s">
        <v>4129</v>
      </c>
      <c r="R2923" s="77">
        <v>0</v>
      </c>
      <c r="S2923" s="77">
        <v>0</v>
      </c>
      <c r="T2923" s="77">
        <v>1</v>
      </c>
      <c r="U2923" s="77">
        <v>0</v>
      </c>
      <c r="V2923" s="77">
        <v>161</v>
      </c>
      <c r="W2923" s="82" t="s">
        <v>6676</v>
      </c>
      <c r="X2923" s="77"/>
      <c r="Y2923" s="77"/>
      <c r="Z2923" s="77"/>
      <c r="AA2923" s="77" t="s">
        <v>9261</v>
      </c>
      <c r="AB2923" s="77" t="s">
        <v>10129</v>
      </c>
      <c r="AC2923" s="82" t="s">
        <v>10144</v>
      </c>
      <c r="AD2923" s="77" t="s">
        <v>10184</v>
      </c>
      <c r="AE2923" s="80" t="str">
        <f>HYPERLINK("https://twitter.com/sobrancelhas_id/status/1656726908833234953")</f>
        <v>https://twitter.com/sobrancelhas_id/status/1656726908833234953</v>
      </c>
      <c r="AF2923" s="79">
        <v>45057.766782407409</v>
      </c>
      <c r="AG2923" s="85">
        <v>45057</v>
      </c>
      <c r="AH2923" s="82" t="s">
        <v>12951</v>
      </c>
      <c r="AI2923" s="77" t="b">
        <v>0</v>
      </c>
      <c r="AJ2923" s="77"/>
      <c r="AK2923" s="77"/>
      <c r="AL2923" s="77"/>
      <c r="AM2923" s="77"/>
      <c r="AN2923" s="77"/>
      <c r="AO2923" s="77"/>
      <c r="AP2923" s="77"/>
      <c r="AQ2923" s="77" t="s">
        <v>15904</v>
      </c>
      <c r="AR2923" s="77">
        <v>44989</v>
      </c>
      <c r="AS2923" s="77"/>
      <c r="AT2923" s="77"/>
      <c r="AU2923" s="77"/>
      <c r="AV2923" s="80" t="str">
        <f>HYPERLINK("https://pbs.twimg.com/ext_tw_video_thumb/1656726846560518146/pu/img/PhOku7iMvHWKgJ-r.jpg")</f>
        <v>https://pbs.twimg.com/ext_tw_video_thumb/1656726846560518146/pu/img/PhOku7iMvHWKgJ-r.jpg</v>
      </c>
      <c r="AW2923" s="82" t="s">
        <v>19689</v>
      </c>
      <c r="AX2923" s="82" t="s">
        <v>19689</v>
      </c>
      <c r="AY2923" s="77"/>
      <c r="AZ2923" s="82" t="s">
        <v>20971</v>
      </c>
      <c r="BA2923" s="82" t="s">
        <v>20971</v>
      </c>
      <c r="BB2923" s="82" t="s">
        <v>20971</v>
      </c>
      <c r="BC2923" s="82" t="s">
        <v>19689</v>
      </c>
      <c r="BD2923" s="82" t="s">
        <v>21583</v>
      </c>
      <c r="BE2923" s="77"/>
      <c r="BF2923" s="77"/>
      <c r="BG2923" s="77"/>
      <c r="BH2923" s="77"/>
      <c r="BI2923" s="77"/>
    </row>
    <row r="2924" spans="1:61" x14ac:dyDescent="0.25">
      <c r="A2924" s="62" t="s">
        <v>985</v>
      </c>
      <c r="B2924" s="62" t="s">
        <v>985</v>
      </c>
      <c r="C2924" s="63"/>
      <c r="D2924" s="64"/>
      <c r="E2924" s="65"/>
      <c r="F2924" s="66"/>
      <c r="G2924" s="63"/>
      <c r="H2924" s="67"/>
      <c r="I2924" s="68"/>
      <c r="J2924" s="68"/>
      <c r="K2924" s="32"/>
      <c r="L2924" s="75">
        <v>2924</v>
      </c>
      <c r="M2924" s="75"/>
      <c r="N2924" s="70"/>
      <c r="O2924" s="77" t="s">
        <v>179</v>
      </c>
      <c r="P2924" s="79">
        <v>45081.73474537037</v>
      </c>
      <c r="Q2924" s="77" t="s">
        <v>4130</v>
      </c>
      <c r="R2924" s="77">
        <v>0</v>
      </c>
      <c r="S2924" s="77">
        <v>0</v>
      </c>
      <c r="T2924" s="77">
        <v>0</v>
      </c>
      <c r="U2924" s="77">
        <v>0</v>
      </c>
      <c r="V2924" s="77">
        <v>64</v>
      </c>
      <c r="W2924" s="82" t="s">
        <v>6677</v>
      </c>
      <c r="X2924" s="77"/>
      <c r="Y2924" s="77"/>
      <c r="Z2924" s="77"/>
      <c r="AA2924" s="77" t="s">
        <v>9262</v>
      </c>
      <c r="AB2924" s="77" t="s">
        <v>10129</v>
      </c>
      <c r="AC2924" s="82" t="s">
        <v>10144</v>
      </c>
      <c r="AD2924" s="77" t="s">
        <v>10184</v>
      </c>
      <c r="AE2924" s="80" t="str">
        <f>HYPERLINK("https://twitter.com/sobrancelhas_id/status/1665412608558526465")</f>
        <v>https://twitter.com/sobrancelhas_id/status/1665412608558526465</v>
      </c>
      <c r="AF2924" s="79">
        <v>45081.73474537037</v>
      </c>
      <c r="AG2924" s="85">
        <v>45081</v>
      </c>
      <c r="AH2924" s="82" t="s">
        <v>12952</v>
      </c>
      <c r="AI2924" s="77" t="b">
        <v>0</v>
      </c>
      <c r="AJ2924" s="77"/>
      <c r="AK2924" s="77"/>
      <c r="AL2924" s="77"/>
      <c r="AM2924" s="77"/>
      <c r="AN2924" s="77"/>
      <c r="AO2924" s="77"/>
      <c r="AP2924" s="77"/>
      <c r="AQ2924" s="77" t="s">
        <v>15905</v>
      </c>
      <c r="AR2924" s="77">
        <v>57603</v>
      </c>
      <c r="AS2924" s="77"/>
      <c r="AT2924" s="77"/>
      <c r="AU2924" s="77"/>
      <c r="AV2924" s="80" t="str">
        <f>HYPERLINK("https://pbs.twimg.com/ext_tw_video_thumb/1665412509363216386/pu/img/n5mP1I8Bim4apZ9q.jpg")</f>
        <v>https://pbs.twimg.com/ext_tw_video_thumb/1665412509363216386/pu/img/n5mP1I8Bim4apZ9q.jpg</v>
      </c>
      <c r="AW2924" s="82" t="s">
        <v>19690</v>
      </c>
      <c r="AX2924" s="82" t="s">
        <v>19690</v>
      </c>
      <c r="AY2924" s="77"/>
      <c r="AZ2924" s="82" t="s">
        <v>20971</v>
      </c>
      <c r="BA2924" s="82" t="s">
        <v>20971</v>
      </c>
      <c r="BB2924" s="82" t="s">
        <v>20971</v>
      </c>
      <c r="BC2924" s="82" t="s">
        <v>19690</v>
      </c>
      <c r="BD2924" s="82" t="s">
        <v>21583</v>
      </c>
      <c r="BE2924" s="77"/>
      <c r="BF2924" s="77"/>
      <c r="BG2924" s="77"/>
      <c r="BH2924" s="77"/>
      <c r="BI2924" s="77"/>
    </row>
    <row r="2925" spans="1:61" x14ac:dyDescent="0.25">
      <c r="A2925" s="62" t="s">
        <v>985</v>
      </c>
      <c r="B2925" s="62" t="s">
        <v>985</v>
      </c>
      <c r="C2925" s="63"/>
      <c r="D2925" s="64"/>
      <c r="E2925" s="65"/>
      <c r="F2925" s="66"/>
      <c r="G2925" s="63"/>
      <c r="H2925" s="67"/>
      <c r="I2925" s="68"/>
      <c r="J2925" s="68"/>
      <c r="K2925" s="32"/>
      <c r="L2925" s="75">
        <v>2925</v>
      </c>
      <c r="M2925" s="75"/>
      <c r="N2925" s="70"/>
      <c r="O2925" s="77" t="s">
        <v>179</v>
      </c>
      <c r="P2925" s="79">
        <v>45080.6796412037</v>
      </c>
      <c r="Q2925" s="77" t="s">
        <v>4131</v>
      </c>
      <c r="R2925" s="77">
        <v>0</v>
      </c>
      <c r="S2925" s="77">
        <v>0</v>
      </c>
      <c r="T2925" s="77">
        <v>0</v>
      </c>
      <c r="U2925" s="77">
        <v>0</v>
      </c>
      <c r="V2925" s="77">
        <v>68</v>
      </c>
      <c r="W2925" s="82" t="s">
        <v>6678</v>
      </c>
      <c r="X2925" s="77"/>
      <c r="Y2925" s="77"/>
      <c r="Z2925" s="77"/>
      <c r="AA2925" s="77" t="s">
        <v>9263</v>
      </c>
      <c r="AB2925" s="77" t="s">
        <v>10129</v>
      </c>
      <c r="AC2925" s="82" t="s">
        <v>10144</v>
      </c>
      <c r="AD2925" s="77" t="s">
        <v>10184</v>
      </c>
      <c r="AE2925" s="80" t="str">
        <f>HYPERLINK("https://twitter.com/sobrancelhas_id/status/1665030251099897857")</f>
        <v>https://twitter.com/sobrancelhas_id/status/1665030251099897857</v>
      </c>
      <c r="AF2925" s="79">
        <v>45080.6796412037</v>
      </c>
      <c r="AG2925" s="85">
        <v>45080</v>
      </c>
      <c r="AH2925" s="82" t="s">
        <v>12953</v>
      </c>
      <c r="AI2925" s="77" t="b">
        <v>0</v>
      </c>
      <c r="AJ2925" s="77"/>
      <c r="AK2925" s="77"/>
      <c r="AL2925" s="77"/>
      <c r="AM2925" s="77"/>
      <c r="AN2925" s="77"/>
      <c r="AO2925" s="77"/>
      <c r="AP2925" s="77"/>
      <c r="AQ2925" s="77" t="s">
        <v>15906</v>
      </c>
      <c r="AR2925" s="77">
        <v>56966</v>
      </c>
      <c r="AS2925" s="77"/>
      <c r="AT2925" s="77"/>
      <c r="AU2925" s="77"/>
      <c r="AV2925" s="80" t="str">
        <f>HYPERLINK("https://pbs.twimg.com/ext_tw_video_thumb/1665030177154269187/pu/img/cAB5LbIGVc5onC3T.jpg")</f>
        <v>https://pbs.twimg.com/ext_tw_video_thumb/1665030177154269187/pu/img/cAB5LbIGVc5onC3T.jpg</v>
      </c>
      <c r="AW2925" s="82" t="s">
        <v>19691</v>
      </c>
      <c r="AX2925" s="82" t="s">
        <v>19691</v>
      </c>
      <c r="AY2925" s="77"/>
      <c r="AZ2925" s="82" t="s">
        <v>20971</v>
      </c>
      <c r="BA2925" s="82" t="s">
        <v>20971</v>
      </c>
      <c r="BB2925" s="82" t="s">
        <v>20971</v>
      </c>
      <c r="BC2925" s="82" t="s">
        <v>19691</v>
      </c>
      <c r="BD2925" s="82" t="s">
        <v>21583</v>
      </c>
      <c r="BE2925" s="77"/>
      <c r="BF2925" s="77"/>
      <c r="BG2925" s="77"/>
      <c r="BH2925" s="77"/>
      <c r="BI2925" s="77"/>
    </row>
    <row r="2926" spans="1:61" x14ac:dyDescent="0.25">
      <c r="A2926" s="62" t="s">
        <v>985</v>
      </c>
      <c r="B2926" s="62" t="s">
        <v>985</v>
      </c>
      <c r="C2926" s="63"/>
      <c r="D2926" s="64"/>
      <c r="E2926" s="65"/>
      <c r="F2926" s="66"/>
      <c r="G2926" s="63"/>
      <c r="H2926" s="67"/>
      <c r="I2926" s="68"/>
      <c r="J2926" s="68"/>
      <c r="K2926" s="32"/>
      <c r="L2926" s="75">
        <v>2926</v>
      </c>
      <c r="M2926" s="75"/>
      <c r="N2926" s="70"/>
      <c r="O2926" s="77" t="s">
        <v>179</v>
      </c>
      <c r="P2926" s="79">
        <v>45079.755787037036</v>
      </c>
      <c r="Q2926" s="77" t="s">
        <v>4132</v>
      </c>
      <c r="R2926" s="77">
        <v>0</v>
      </c>
      <c r="S2926" s="77">
        <v>0</v>
      </c>
      <c r="T2926" s="77">
        <v>0</v>
      </c>
      <c r="U2926" s="77">
        <v>0</v>
      </c>
      <c r="V2926" s="77">
        <v>38</v>
      </c>
      <c r="W2926" s="82" t="s">
        <v>6679</v>
      </c>
      <c r="X2926" s="77"/>
      <c r="Y2926" s="77"/>
      <c r="Z2926" s="77"/>
      <c r="AA2926" s="77" t="s">
        <v>9264</v>
      </c>
      <c r="AB2926" s="77" t="s">
        <v>10129</v>
      </c>
      <c r="AC2926" s="82" t="s">
        <v>10144</v>
      </c>
      <c r="AD2926" s="77" t="s">
        <v>10184</v>
      </c>
      <c r="AE2926" s="80" t="str">
        <f>HYPERLINK("https://twitter.com/sobrancelhas_id/status/1664695457648353280")</f>
        <v>https://twitter.com/sobrancelhas_id/status/1664695457648353280</v>
      </c>
      <c r="AF2926" s="79">
        <v>45079.755787037036</v>
      </c>
      <c r="AG2926" s="85">
        <v>45079</v>
      </c>
      <c r="AH2926" s="82" t="s">
        <v>12954</v>
      </c>
      <c r="AI2926" s="77" t="b">
        <v>0</v>
      </c>
      <c r="AJ2926" s="77"/>
      <c r="AK2926" s="77"/>
      <c r="AL2926" s="77"/>
      <c r="AM2926" s="77"/>
      <c r="AN2926" s="77"/>
      <c r="AO2926" s="77"/>
      <c r="AP2926" s="77"/>
      <c r="AQ2926" s="77" t="s">
        <v>15907</v>
      </c>
      <c r="AR2926" s="77">
        <v>20916</v>
      </c>
      <c r="AS2926" s="77"/>
      <c r="AT2926" s="77"/>
      <c r="AU2926" s="77"/>
      <c r="AV2926" s="80" t="str">
        <f>HYPERLINK("https://pbs.twimg.com/ext_tw_video_thumb/1664695389390360578/pu/img/W_qm4gJkdxapcjiN.jpg")</f>
        <v>https://pbs.twimg.com/ext_tw_video_thumb/1664695389390360578/pu/img/W_qm4gJkdxapcjiN.jpg</v>
      </c>
      <c r="AW2926" s="82" t="s">
        <v>19692</v>
      </c>
      <c r="AX2926" s="82" t="s">
        <v>19692</v>
      </c>
      <c r="AY2926" s="77"/>
      <c r="AZ2926" s="82" t="s">
        <v>20971</v>
      </c>
      <c r="BA2926" s="82" t="s">
        <v>20971</v>
      </c>
      <c r="BB2926" s="82" t="s">
        <v>20971</v>
      </c>
      <c r="BC2926" s="82" t="s">
        <v>19692</v>
      </c>
      <c r="BD2926" s="82" t="s">
        <v>21583</v>
      </c>
      <c r="BE2926" s="77"/>
      <c r="BF2926" s="77"/>
      <c r="BG2926" s="77"/>
      <c r="BH2926" s="77"/>
      <c r="BI2926" s="77"/>
    </row>
    <row r="2927" spans="1:61" x14ac:dyDescent="0.25">
      <c r="A2927" s="62" t="s">
        <v>985</v>
      </c>
      <c r="B2927" s="62" t="s">
        <v>985</v>
      </c>
      <c r="C2927" s="63"/>
      <c r="D2927" s="64"/>
      <c r="E2927" s="65"/>
      <c r="F2927" s="66"/>
      <c r="G2927" s="63"/>
      <c r="H2927" s="67"/>
      <c r="I2927" s="68"/>
      <c r="J2927" s="68"/>
      <c r="K2927" s="32"/>
      <c r="L2927" s="75">
        <v>2927</v>
      </c>
      <c r="M2927" s="75"/>
      <c r="N2927" s="70"/>
      <c r="O2927" s="77" t="s">
        <v>179</v>
      </c>
      <c r="P2927" s="79">
        <v>45063.089097222219</v>
      </c>
      <c r="Q2927" s="77" t="s">
        <v>4133</v>
      </c>
      <c r="R2927" s="77">
        <v>0</v>
      </c>
      <c r="S2927" s="77">
        <v>0</v>
      </c>
      <c r="T2927" s="77">
        <v>0</v>
      </c>
      <c r="U2927" s="77">
        <v>0</v>
      </c>
      <c r="V2927" s="77">
        <v>79</v>
      </c>
      <c r="W2927" s="82" t="s">
        <v>6680</v>
      </c>
      <c r="X2927" s="77"/>
      <c r="Y2927" s="77"/>
      <c r="Z2927" s="77"/>
      <c r="AA2927" s="77" t="s">
        <v>9265</v>
      </c>
      <c r="AB2927" s="77" t="s">
        <v>10129</v>
      </c>
      <c r="AC2927" s="82" t="s">
        <v>10144</v>
      </c>
      <c r="AD2927" s="77" t="s">
        <v>10184</v>
      </c>
      <c r="AE2927" s="80" t="str">
        <f>HYPERLINK("https://twitter.com/sobrancelhas_id/status/1658655653102059524")</f>
        <v>https://twitter.com/sobrancelhas_id/status/1658655653102059524</v>
      </c>
      <c r="AF2927" s="79">
        <v>45063.089097222219</v>
      </c>
      <c r="AG2927" s="85">
        <v>45063</v>
      </c>
      <c r="AH2927" s="82" t="s">
        <v>12955</v>
      </c>
      <c r="AI2927" s="77" t="b">
        <v>0</v>
      </c>
      <c r="AJ2927" s="77"/>
      <c r="AK2927" s="77"/>
      <c r="AL2927" s="77"/>
      <c r="AM2927" s="77"/>
      <c r="AN2927" s="77"/>
      <c r="AO2927" s="77"/>
      <c r="AP2927" s="77"/>
      <c r="AQ2927" s="77" t="s">
        <v>15908</v>
      </c>
      <c r="AR2927" s="77">
        <v>8367</v>
      </c>
      <c r="AS2927" s="77"/>
      <c r="AT2927" s="77"/>
      <c r="AU2927" s="77"/>
      <c r="AV2927" s="80" t="str">
        <f>HYPERLINK("https://pbs.twimg.com/ext_tw_video_thumb/1658655616347385856/pu/img/zg3akcTeQ42HDlhC.jpg")</f>
        <v>https://pbs.twimg.com/ext_tw_video_thumb/1658655616347385856/pu/img/zg3akcTeQ42HDlhC.jpg</v>
      </c>
      <c r="AW2927" s="82" t="s">
        <v>19693</v>
      </c>
      <c r="AX2927" s="82" t="s">
        <v>19693</v>
      </c>
      <c r="AY2927" s="77"/>
      <c r="AZ2927" s="82" t="s">
        <v>20971</v>
      </c>
      <c r="BA2927" s="82" t="s">
        <v>20971</v>
      </c>
      <c r="BB2927" s="82" t="s">
        <v>20971</v>
      </c>
      <c r="BC2927" s="82" t="s">
        <v>19693</v>
      </c>
      <c r="BD2927" s="82" t="s">
        <v>21583</v>
      </c>
      <c r="BE2927" s="77"/>
      <c r="BF2927" s="77"/>
      <c r="BG2927" s="77"/>
      <c r="BH2927" s="77"/>
      <c r="BI2927" s="77"/>
    </row>
    <row r="2928" spans="1:61" x14ac:dyDescent="0.25">
      <c r="A2928" s="62" t="s">
        <v>986</v>
      </c>
      <c r="B2928" s="62" t="s">
        <v>986</v>
      </c>
      <c r="C2928" s="63"/>
      <c r="D2928" s="64"/>
      <c r="E2928" s="65"/>
      <c r="F2928" s="66"/>
      <c r="G2928" s="63"/>
      <c r="H2928" s="67"/>
      <c r="I2928" s="68"/>
      <c r="J2928" s="68"/>
      <c r="K2928" s="32"/>
      <c r="L2928" s="75">
        <v>2928</v>
      </c>
      <c r="M2928" s="75"/>
      <c r="N2928" s="70"/>
      <c r="O2928" s="77" t="s">
        <v>179</v>
      </c>
      <c r="P2928" s="79">
        <v>44998.768831018519</v>
      </c>
      <c r="Q2928" s="77" t="s">
        <v>4134</v>
      </c>
      <c r="R2928" s="77">
        <v>0</v>
      </c>
      <c r="S2928" s="77">
        <v>0</v>
      </c>
      <c r="T2928" s="77">
        <v>0</v>
      </c>
      <c r="U2928" s="77">
        <v>0</v>
      </c>
      <c r="V2928" s="77">
        <v>385</v>
      </c>
      <c r="W2928" s="82" t="s">
        <v>6681</v>
      </c>
      <c r="X2928" s="80" t="str">
        <f>HYPERLINK("http://bit.ly/3WMtwd0")</f>
        <v>http://bit.ly/3WMtwd0</v>
      </c>
      <c r="Y2928" s="77" t="s">
        <v>7268</v>
      </c>
      <c r="Z2928" s="77"/>
      <c r="AA2928" s="77" t="s">
        <v>9266</v>
      </c>
      <c r="AB2928" s="77" t="s">
        <v>10130</v>
      </c>
      <c r="AC2928" s="82" t="s">
        <v>10144</v>
      </c>
      <c r="AD2928" s="77" t="s">
        <v>10184</v>
      </c>
      <c r="AE2928" s="80" t="str">
        <f>HYPERLINK("https://twitter.com/eu_danieleanile/status/1635346769885417472")</f>
        <v>https://twitter.com/eu_danieleanile/status/1635346769885417472</v>
      </c>
      <c r="AF2928" s="79">
        <v>44998.768831018519</v>
      </c>
      <c r="AG2928" s="85">
        <v>44998</v>
      </c>
      <c r="AH2928" s="82" t="s">
        <v>12956</v>
      </c>
      <c r="AI2928" s="77" t="b">
        <v>0</v>
      </c>
      <c r="AJ2928" s="77"/>
      <c r="AK2928" s="77"/>
      <c r="AL2928" s="77"/>
      <c r="AM2928" s="77"/>
      <c r="AN2928" s="77"/>
      <c r="AO2928" s="77"/>
      <c r="AP2928" s="77"/>
      <c r="AQ2928" s="77" t="s">
        <v>15909</v>
      </c>
      <c r="AR2928" s="77"/>
      <c r="AS2928" s="77"/>
      <c r="AT2928" s="77"/>
      <c r="AU2928" s="77"/>
      <c r="AV2928" s="80" t="str">
        <f>HYPERLINK("https://pbs.twimg.com/media/FrHrOFzWICIDqwo.jpg")</f>
        <v>https://pbs.twimg.com/media/FrHrOFzWICIDqwo.jpg</v>
      </c>
      <c r="AW2928" s="82" t="s">
        <v>19694</v>
      </c>
      <c r="AX2928" s="82" t="s">
        <v>19694</v>
      </c>
      <c r="AY2928" s="77"/>
      <c r="AZ2928" s="82" t="s">
        <v>20971</v>
      </c>
      <c r="BA2928" s="82" t="s">
        <v>20971</v>
      </c>
      <c r="BB2928" s="82" t="s">
        <v>20971</v>
      </c>
      <c r="BC2928" s="82" t="s">
        <v>19694</v>
      </c>
      <c r="BD2928" s="82" t="s">
        <v>21584</v>
      </c>
      <c r="BE2928" s="77"/>
      <c r="BF2928" s="77"/>
      <c r="BG2928" s="77"/>
      <c r="BH2928" s="77"/>
      <c r="BI2928" s="77"/>
    </row>
    <row r="2929" spans="1:61" x14ac:dyDescent="0.25">
      <c r="A2929" s="62" t="s">
        <v>986</v>
      </c>
      <c r="B2929" s="62" t="s">
        <v>986</v>
      </c>
      <c r="C2929" s="63"/>
      <c r="D2929" s="64"/>
      <c r="E2929" s="65"/>
      <c r="F2929" s="66"/>
      <c r="G2929" s="63"/>
      <c r="H2929" s="67"/>
      <c r="I2929" s="68"/>
      <c r="J2929" s="68"/>
      <c r="K2929" s="32"/>
      <c r="L2929" s="75">
        <v>2929</v>
      </c>
      <c r="M2929" s="75"/>
      <c r="N2929" s="70"/>
      <c r="O2929" s="77" t="s">
        <v>179</v>
      </c>
      <c r="P2929" s="79">
        <v>44998.579305555555</v>
      </c>
      <c r="Q2929" s="77" t="s">
        <v>4135</v>
      </c>
      <c r="R2929" s="77">
        <v>0</v>
      </c>
      <c r="S2929" s="77">
        <v>0</v>
      </c>
      <c r="T2929" s="77">
        <v>0</v>
      </c>
      <c r="U2929" s="77">
        <v>1</v>
      </c>
      <c r="V2929" s="77">
        <v>303</v>
      </c>
      <c r="W2929" s="82" t="s">
        <v>6682</v>
      </c>
      <c r="X2929" s="80" t="str">
        <f>HYPERLINK("http://bit.ly/3XIypog")</f>
        <v>http://bit.ly/3XIypog</v>
      </c>
      <c r="Y2929" s="77" t="s">
        <v>7268</v>
      </c>
      <c r="Z2929" s="77"/>
      <c r="AA2929" s="77" t="s">
        <v>9267</v>
      </c>
      <c r="AB2929" s="77" t="s">
        <v>10129</v>
      </c>
      <c r="AC2929" s="82" t="s">
        <v>10144</v>
      </c>
      <c r="AD2929" s="77" t="s">
        <v>10184</v>
      </c>
      <c r="AE2929" s="80" t="str">
        <f>HYPERLINK("https://twitter.com/eu_danieleanile/status/1635278086051893248")</f>
        <v>https://twitter.com/eu_danieleanile/status/1635278086051893248</v>
      </c>
      <c r="AF2929" s="79">
        <v>44998.579305555555</v>
      </c>
      <c r="AG2929" s="85">
        <v>44998</v>
      </c>
      <c r="AH2929" s="82" t="s">
        <v>12957</v>
      </c>
      <c r="AI2929" s="77" t="b">
        <v>0</v>
      </c>
      <c r="AJ2929" s="77"/>
      <c r="AK2929" s="77"/>
      <c r="AL2929" s="77"/>
      <c r="AM2929" s="77"/>
      <c r="AN2929" s="77"/>
      <c r="AO2929" s="77"/>
      <c r="AP2929" s="77"/>
      <c r="AQ2929" s="77" t="s">
        <v>15910</v>
      </c>
      <c r="AR2929" s="77">
        <v>23200</v>
      </c>
      <c r="AS2929" s="77"/>
      <c r="AT2929" s="77"/>
      <c r="AU2929" s="77"/>
      <c r="AV2929" s="80" t="str">
        <f>HYPERLINK("https://pbs.twimg.com/ext_tw_video_thumb/1635277931609214976/pu/img/1tplphZkbYsuIEfW.jpg")</f>
        <v>https://pbs.twimg.com/ext_tw_video_thumb/1635277931609214976/pu/img/1tplphZkbYsuIEfW.jpg</v>
      </c>
      <c r="AW2929" s="82" t="s">
        <v>19695</v>
      </c>
      <c r="AX2929" s="82" t="s">
        <v>19695</v>
      </c>
      <c r="AY2929" s="77"/>
      <c r="AZ2929" s="82" t="s">
        <v>20971</v>
      </c>
      <c r="BA2929" s="82" t="s">
        <v>20971</v>
      </c>
      <c r="BB2929" s="82" t="s">
        <v>20971</v>
      </c>
      <c r="BC2929" s="82" t="s">
        <v>19695</v>
      </c>
      <c r="BD2929" s="82" t="s">
        <v>21584</v>
      </c>
      <c r="BE2929" s="77"/>
      <c r="BF2929" s="77"/>
      <c r="BG2929" s="77"/>
      <c r="BH2929" s="77"/>
      <c r="BI2929" s="77"/>
    </row>
    <row r="2930" spans="1:61" x14ac:dyDescent="0.25">
      <c r="A2930" s="62" t="s">
        <v>986</v>
      </c>
      <c r="B2930" s="62" t="s">
        <v>986</v>
      </c>
      <c r="C2930" s="63"/>
      <c r="D2930" s="64"/>
      <c r="E2930" s="65"/>
      <c r="F2930" s="66"/>
      <c r="G2930" s="63"/>
      <c r="H2930" s="67"/>
      <c r="I2930" s="68"/>
      <c r="J2930" s="68"/>
      <c r="K2930" s="32"/>
      <c r="L2930" s="75">
        <v>2930</v>
      </c>
      <c r="M2930" s="75"/>
      <c r="N2930" s="70"/>
      <c r="O2930" s="77" t="s">
        <v>179</v>
      </c>
      <c r="P2930" s="79">
        <v>44997.734560185185</v>
      </c>
      <c r="Q2930" s="77" t="s">
        <v>4136</v>
      </c>
      <c r="R2930" s="77">
        <v>0</v>
      </c>
      <c r="S2930" s="77">
        <v>0</v>
      </c>
      <c r="T2930" s="77">
        <v>0</v>
      </c>
      <c r="U2930" s="77">
        <v>0</v>
      </c>
      <c r="V2930" s="77">
        <v>314</v>
      </c>
      <c r="W2930" s="82" t="s">
        <v>6682</v>
      </c>
      <c r="X2930" s="80" t="str">
        <f>HYPERLINK("https://bit.ly/3XIypog")</f>
        <v>https://bit.ly/3XIypog</v>
      </c>
      <c r="Y2930" s="77" t="s">
        <v>7268</v>
      </c>
      <c r="Z2930" s="77"/>
      <c r="AA2930" s="77" t="s">
        <v>9268</v>
      </c>
      <c r="AB2930" s="77" t="s">
        <v>10129</v>
      </c>
      <c r="AC2930" s="82" t="s">
        <v>10144</v>
      </c>
      <c r="AD2930" s="77" t="s">
        <v>10184</v>
      </c>
      <c r="AE2930" s="80" t="str">
        <f>HYPERLINK("https://twitter.com/eu_danieleanile/status/1634971963071537152")</f>
        <v>https://twitter.com/eu_danieleanile/status/1634971963071537152</v>
      </c>
      <c r="AF2930" s="79">
        <v>44997.734560185185</v>
      </c>
      <c r="AG2930" s="85">
        <v>44997</v>
      </c>
      <c r="AH2930" s="82" t="s">
        <v>12958</v>
      </c>
      <c r="AI2930" s="77" t="b">
        <v>0</v>
      </c>
      <c r="AJ2930" s="77"/>
      <c r="AK2930" s="77"/>
      <c r="AL2930" s="77"/>
      <c r="AM2930" s="77"/>
      <c r="AN2930" s="77"/>
      <c r="AO2930" s="77"/>
      <c r="AP2930" s="77"/>
      <c r="AQ2930" s="77" t="s">
        <v>15911</v>
      </c>
      <c r="AR2930" s="77">
        <v>20666</v>
      </c>
      <c r="AS2930" s="77"/>
      <c r="AT2930" s="77"/>
      <c r="AU2930" s="77"/>
      <c r="AV2930" s="80" t="str">
        <f>HYPERLINK("https://pbs.twimg.com/ext_tw_video_thumb/1634971785497067521/pu/img/mcBLbaPNJmnTz3t0.jpg")</f>
        <v>https://pbs.twimg.com/ext_tw_video_thumb/1634971785497067521/pu/img/mcBLbaPNJmnTz3t0.jpg</v>
      </c>
      <c r="AW2930" s="82" t="s">
        <v>19696</v>
      </c>
      <c r="AX2930" s="82" t="s">
        <v>19696</v>
      </c>
      <c r="AY2930" s="77"/>
      <c r="AZ2930" s="82" t="s">
        <v>20971</v>
      </c>
      <c r="BA2930" s="82" t="s">
        <v>20971</v>
      </c>
      <c r="BB2930" s="82" t="s">
        <v>20971</v>
      </c>
      <c r="BC2930" s="82" t="s">
        <v>19696</v>
      </c>
      <c r="BD2930" s="82" t="s">
        <v>21584</v>
      </c>
      <c r="BE2930" s="77"/>
      <c r="BF2930" s="77"/>
      <c r="BG2930" s="77"/>
      <c r="BH2930" s="77"/>
      <c r="BI2930" s="77"/>
    </row>
    <row r="2931" spans="1:61" x14ac:dyDescent="0.25">
      <c r="A2931" s="62" t="s">
        <v>986</v>
      </c>
      <c r="B2931" s="62" t="s">
        <v>986</v>
      </c>
      <c r="C2931" s="63"/>
      <c r="D2931" s="64"/>
      <c r="E2931" s="65"/>
      <c r="F2931" s="66"/>
      <c r="G2931" s="63"/>
      <c r="H2931" s="67"/>
      <c r="I2931" s="68"/>
      <c r="J2931" s="68"/>
      <c r="K2931" s="32"/>
      <c r="L2931" s="75">
        <v>2931</v>
      </c>
      <c r="M2931" s="75"/>
      <c r="N2931" s="70"/>
      <c r="O2931" s="77" t="s">
        <v>179</v>
      </c>
      <c r="P2931" s="79">
        <v>44996.677488425928</v>
      </c>
      <c r="Q2931" s="77" t="s">
        <v>4137</v>
      </c>
      <c r="R2931" s="77">
        <v>0</v>
      </c>
      <c r="S2931" s="77">
        <v>0</v>
      </c>
      <c r="T2931" s="77">
        <v>0</v>
      </c>
      <c r="U2931" s="77">
        <v>0</v>
      </c>
      <c r="V2931" s="77">
        <v>596</v>
      </c>
      <c r="W2931" s="82" t="s">
        <v>6681</v>
      </c>
      <c r="X2931" s="80" t="str">
        <f>HYPERLINK("https://bit.ly/3WMtwd0")</f>
        <v>https://bit.ly/3WMtwd0</v>
      </c>
      <c r="Y2931" s="77" t="s">
        <v>7268</v>
      </c>
      <c r="Z2931" s="77"/>
      <c r="AA2931" s="77" t="s">
        <v>9269</v>
      </c>
      <c r="AB2931" s="77" t="s">
        <v>10129</v>
      </c>
      <c r="AC2931" s="82" t="s">
        <v>10144</v>
      </c>
      <c r="AD2931" s="77" t="s">
        <v>10184</v>
      </c>
      <c r="AE2931" s="80" t="str">
        <f>HYPERLINK("https://twitter.com/eu_danieleanile/status/1634588890051883014")</f>
        <v>https://twitter.com/eu_danieleanile/status/1634588890051883014</v>
      </c>
      <c r="AF2931" s="79">
        <v>44996.677488425928</v>
      </c>
      <c r="AG2931" s="85">
        <v>44996</v>
      </c>
      <c r="AH2931" s="82" t="s">
        <v>12959</v>
      </c>
      <c r="AI2931" s="77" t="b">
        <v>0</v>
      </c>
      <c r="AJ2931" s="77"/>
      <c r="AK2931" s="77"/>
      <c r="AL2931" s="77"/>
      <c r="AM2931" s="77"/>
      <c r="AN2931" s="77"/>
      <c r="AO2931" s="77"/>
      <c r="AP2931" s="77"/>
      <c r="AQ2931" s="77" t="s">
        <v>15912</v>
      </c>
      <c r="AR2931" s="77">
        <v>15000</v>
      </c>
      <c r="AS2931" s="77"/>
      <c r="AT2931" s="77"/>
      <c r="AU2931" s="77"/>
      <c r="AV2931" s="80" t="str">
        <f>HYPERLINK("https://pbs.twimg.com/ext_tw_video_thumb/1634588831226757120/pu/img/OnENUyf85G2lSgUY.jpg")</f>
        <v>https://pbs.twimg.com/ext_tw_video_thumb/1634588831226757120/pu/img/OnENUyf85G2lSgUY.jpg</v>
      </c>
      <c r="AW2931" s="82" t="s">
        <v>19697</v>
      </c>
      <c r="AX2931" s="82" t="s">
        <v>19697</v>
      </c>
      <c r="AY2931" s="77"/>
      <c r="AZ2931" s="82" t="s">
        <v>20971</v>
      </c>
      <c r="BA2931" s="82" t="s">
        <v>20971</v>
      </c>
      <c r="BB2931" s="82" t="s">
        <v>20971</v>
      </c>
      <c r="BC2931" s="82" t="s">
        <v>19697</v>
      </c>
      <c r="BD2931" s="82" t="s">
        <v>21584</v>
      </c>
      <c r="BE2931" s="77"/>
      <c r="BF2931" s="77"/>
      <c r="BG2931" s="77"/>
      <c r="BH2931" s="77"/>
      <c r="BI2931" s="77"/>
    </row>
    <row r="2932" spans="1:61" x14ac:dyDescent="0.25">
      <c r="A2932" s="62" t="s">
        <v>986</v>
      </c>
      <c r="B2932" s="62" t="s">
        <v>986</v>
      </c>
      <c r="C2932" s="63"/>
      <c r="D2932" s="64"/>
      <c r="E2932" s="65"/>
      <c r="F2932" s="66"/>
      <c r="G2932" s="63"/>
      <c r="H2932" s="67"/>
      <c r="I2932" s="68"/>
      <c r="J2932" s="68"/>
      <c r="K2932" s="32"/>
      <c r="L2932" s="75">
        <v>2932</v>
      </c>
      <c r="M2932" s="75"/>
      <c r="N2932" s="70"/>
      <c r="O2932" s="77" t="s">
        <v>179</v>
      </c>
      <c r="P2932" s="79">
        <v>44996.479189814818</v>
      </c>
      <c r="Q2932" s="77" t="s">
        <v>4138</v>
      </c>
      <c r="R2932" s="77">
        <v>0</v>
      </c>
      <c r="S2932" s="77">
        <v>0</v>
      </c>
      <c r="T2932" s="77">
        <v>0</v>
      </c>
      <c r="U2932" s="77">
        <v>0</v>
      </c>
      <c r="V2932" s="77">
        <v>328</v>
      </c>
      <c r="W2932" s="82" t="s">
        <v>6683</v>
      </c>
      <c r="X2932" s="80" t="str">
        <f>HYPERLINK("https://bit.ly/419rMhm")</f>
        <v>https://bit.ly/419rMhm</v>
      </c>
      <c r="Y2932" s="77" t="s">
        <v>7268</v>
      </c>
      <c r="Z2932" s="77"/>
      <c r="AA2932" s="77" t="s">
        <v>9270</v>
      </c>
      <c r="AB2932" s="77" t="s">
        <v>10129</v>
      </c>
      <c r="AC2932" s="82" t="s">
        <v>10144</v>
      </c>
      <c r="AD2932" s="77" t="s">
        <v>10184</v>
      </c>
      <c r="AE2932" s="80" t="str">
        <f>HYPERLINK("https://twitter.com/eu_danieleanile/status/1634517028970061825")</f>
        <v>https://twitter.com/eu_danieleanile/status/1634517028970061825</v>
      </c>
      <c r="AF2932" s="79">
        <v>44996.479189814818</v>
      </c>
      <c r="AG2932" s="85">
        <v>44996</v>
      </c>
      <c r="AH2932" s="82" t="s">
        <v>12960</v>
      </c>
      <c r="AI2932" s="77" t="b">
        <v>0</v>
      </c>
      <c r="AJ2932" s="77"/>
      <c r="AK2932" s="77"/>
      <c r="AL2932" s="77"/>
      <c r="AM2932" s="77"/>
      <c r="AN2932" s="77"/>
      <c r="AO2932" s="77"/>
      <c r="AP2932" s="77"/>
      <c r="AQ2932" s="77" t="s">
        <v>15913</v>
      </c>
      <c r="AR2932" s="77">
        <v>44906</v>
      </c>
      <c r="AS2932" s="77"/>
      <c r="AT2932" s="77"/>
      <c r="AU2932" s="77"/>
      <c r="AV2932" s="80" t="str">
        <f>HYPERLINK("https://pbs.twimg.com/ext_tw_video_thumb/1634516889748533251/pu/img/nMeUnBlxhPGxGQLy.jpg")</f>
        <v>https://pbs.twimg.com/ext_tw_video_thumb/1634516889748533251/pu/img/nMeUnBlxhPGxGQLy.jpg</v>
      </c>
      <c r="AW2932" s="82" t="s">
        <v>19698</v>
      </c>
      <c r="AX2932" s="82" t="s">
        <v>19698</v>
      </c>
      <c r="AY2932" s="77"/>
      <c r="AZ2932" s="82" t="s">
        <v>20971</v>
      </c>
      <c r="BA2932" s="82" t="s">
        <v>20971</v>
      </c>
      <c r="BB2932" s="82" t="s">
        <v>20971</v>
      </c>
      <c r="BC2932" s="82" t="s">
        <v>19698</v>
      </c>
      <c r="BD2932" s="82" t="s">
        <v>21584</v>
      </c>
      <c r="BE2932" s="77"/>
      <c r="BF2932" s="77"/>
      <c r="BG2932" s="77"/>
      <c r="BH2932" s="77"/>
      <c r="BI2932" s="77"/>
    </row>
    <row r="2933" spans="1:61" x14ac:dyDescent="0.25">
      <c r="A2933" s="62" t="s">
        <v>986</v>
      </c>
      <c r="B2933" s="62" t="s">
        <v>986</v>
      </c>
      <c r="C2933" s="63"/>
      <c r="D2933" s="64"/>
      <c r="E2933" s="65"/>
      <c r="F2933" s="66"/>
      <c r="G2933" s="63"/>
      <c r="H2933" s="67"/>
      <c r="I2933" s="68"/>
      <c r="J2933" s="68"/>
      <c r="K2933" s="32"/>
      <c r="L2933" s="75">
        <v>2933</v>
      </c>
      <c r="M2933" s="75"/>
      <c r="N2933" s="70"/>
      <c r="O2933" s="77" t="s">
        <v>179</v>
      </c>
      <c r="P2933" s="79">
        <v>44996.104247685187</v>
      </c>
      <c r="Q2933" s="77" t="s">
        <v>4139</v>
      </c>
      <c r="R2933" s="77">
        <v>0</v>
      </c>
      <c r="S2933" s="77">
        <v>0</v>
      </c>
      <c r="T2933" s="77">
        <v>0</v>
      </c>
      <c r="U2933" s="77">
        <v>0</v>
      </c>
      <c r="V2933" s="77">
        <v>220</v>
      </c>
      <c r="W2933" s="82" t="s">
        <v>6684</v>
      </c>
      <c r="X2933" s="80" t="str">
        <f>HYPERLINK("http://bit.ly/3XIypog")</f>
        <v>http://bit.ly/3XIypog</v>
      </c>
      <c r="Y2933" s="77" t="s">
        <v>7268</v>
      </c>
      <c r="Z2933" s="77"/>
      <c r="AA2933" s="77" t="s">
        <v>9271</v>
      </c>
      <c r="AB2933" s="77" t="s">
        <v>10129</v>
      </c>
      <c r="AC2933" s="82" t="s">
        <v>10144</v>
      </c>
      <c r="AD2933" s="77" t="s">
        <v>10184</v>
      </c>
      <c r="AE2933" s="80" t="str">
        <f>HYPERLINK("https://twitter.com/eu_danieleanile/status/1634381154500354048")</f>
        <v>https://twitter.com/eu_danieleanile/status/1634381154500354048</v>
      </c>
      <c r="AF2933" s="79">
        <v>44996.104247685187</v>
      </c>
      <c r="AG2933" s="85">
        <v>44996</v>
      </c>
      <c r="AH2933" s="82" t="s">
        <v>12961</v>
      </c>
      <c r="AI2933" s="77" t="b">
        <v>0</v>
      </c>
      <c r="AJ2933" s="77"/>
      <c r="AK2933" s="77"/>
      <c r="AL2933" s="77"/>
      <c r="AM2933" s="77"/>
      <c r="AN2933" s="77"/>
      <c r="AO2933" s="77"/>
      <c r="AP2933" s="77"/>
      <c r="AQ2933" s="77" t="s">
        <v>15914</v>
      </c>
      <c r="AR2933" s="77">
        <v>7733</v>
      </c>
      <c r="AS2933" s="77"/>
      <c r="AT2933" s="77"/>
      <c r="AU2933" s="77"/>
      <c r="AV2933" s="80" t="str">
        <f>HYPERLINK("https://pbs.twimg.com/ext_tw_video_thumb/1634381107494830080/pu/img/ceBKprfWKKYAf7RL.jpg")</f>
        <v>https://pbs.twimg.com/ext_tw_video_thumb/1634381107494830080/pu/img/ceBKprfWKKYAf7RL.jpg</v>
      </c>
      <c r="AW2933" s="82" t="s">
        <v>19699</v>
      </c>
      <c r="AX2933" s="82" t="s">
        <v>19699</v>
      </c>
      <c r="AY2933" s="77"/>
      <c r="AZ2933" s="82" t="s">
        <v>20971</v>
      </c>
      <c r="BA2933" s="82" t="s">
        <v>20971</v>
      </c>
      <c r="BB2933" s="82" t="s">
        <v>20971</v>
      </c>
      <c r="BC2933" s="82" t="s">
        <v>19699</v>
      </c>
      <c r="BD2933" s="82" t="s">
        <v>21584</v>
      </c>
      <c r="BE2933" s="77"/>
      <c r="BF2933" s="77"/>
      <c r="BG2933" s="77"/>
      <c r="BH2933" s="77"/>
      <c r="BI2933" s="77"/>
    </row>
    <row r="2934" spans="1:61" x14ac:dyDescent="0.25">
      <c r="A2934" s="62" t="s">
        <v>986</v>
      </c>
      <c r="B2934" s="62" t="s">
        <v>986</v>
      </c>
      <c r="C2934" s="63"/>
      <c r="D2934" s="64"/>
      <c r="E2934" s="65"/>
      <c r="F2934" s="66"/>
      <c r="G2934" s="63"/>
      <c r="H2934" s="67"/>
      <c r="I2934" s="68"/>
      <c r="J2934" s="68"/>
      <c r="K2934" s="32"/>
      <c r="L2934" s="75">
        <v>2934</v>
      </c>
      <c r="M2934" s="75"/>
      <c r="N2934" s="70"/>
      <c r="O2934" s="77" t="s">
        <v>179</v>
      </c>
      <c r="P2934" s="79">
        <v>44995.432442129626</v>
      </c>
      <c r="Q2934" s="77" t="s">
        <v>4140</v>
      </c>
      <c r="R2934" s="77">
        <v>0</v>
      </c>
      <c r="S2934" s="77">
        <v>2</v>
      </c>
      <c r="T2934" s="77">
        <v>0</v>
      </c>
      <c r="U2934" s="77">
        <v>0</v>
      </c>
      <c r="V2934" s="77">
        <v>319</v>
      </c>
      <c r="W2934" s="82" t="s">
        <v>6684</v>
      </c>
      <c r="X2934" s="80" t="str">
        <f>HYPERLINK("https://bit.ly/3XIypog")</f>
        <v>https://bit.ly/3XIypog</v>
      </c>
      <c r="Y2934" s="77" t="s">
        <v>7268</v>
      </c>
      <c r="Z2934" s="77"/>
      <c r="AA2934" s="77" t="s">
        <v>9272</v>
      </c>
      <c r="AB2934" s="77" t="s">
        <v>10130</v>
      </c>
      <c r="AC2934" s="82" t="s">
        <v>10144</v>
      </c>
      <c r="AD2934" s="77" t="s">
        <v>10184</v>
      </c>
      <c r="AE2934" s="80" t="str">
        <f>HYPERLINK("https://twitter.com/eu_danieleanile/status/1634137701778587649")</f>
        <v>https://twitter.com/eu_danieleanile/status/1634137701778587649</v>
      </c>
      <c r="AF2934" s="79">
        <v>44995.432442129626</v>
      </c>
      <c r="AG2934" s="85">
        <v>44995</v>
      </c>
      <c r="AH2934" s="82" t="s">
        <v>12962</v>
      </c>
      <c r="AI2934" s="77" t="b">
        <v>0</v>
      </c>
      <c r="AJ2934" s="77"/>
      <c r="AK2934" s="77"/>
      <c r="AL2934" s="77"/>
      <c r="AM2934" s="77"/>
      <c r="AN2934" s="77"/>
      <c r="AO2934" s="77"/>
      <c r="AP2934" s="77"/>
      <c r="AQ2934" s="77" t="s">
        <v>15915</v>
      </c>
      <c r="AR2934" s="77"/>
      <c r="AS2934" s="77"/>
      <c r="AT2934" s="77"/>
      <c r="AU2934" s="77"/>
      <c r="AV2934" s="80" t="str">
        <f>HYPERLINK("https://pbs.twimg.com/media/Fq2flGRXsAEwplN.jpg")</f>
        <v>https://pbs.twimg.com/media/Fq2flGRXsAEwplN.jpg</v>
      </c>
      <c r="AW2934" s="82" t="s">
        <v>19700</v>
      </c>
      <c r="AX2934" s="82" t="s">
        <v>19700</v>
      </c>
      <c r="AY2934" s="77"/>
      <c r="AZ2934" s="82" t="s">
        <v>20971</v>
      </c>
      <c r="BA2934" s="82" t="s">
        <v>20971</v>
      </c>
      <c r="BB2934" s="82" t="s">
        <v>20971</v>
      </c>
      <c r="BC2934" s="82" t="s">
        <v>19700</v>
      </c>
      <c r="BD2934" s="82" t="s">
        <v>21584</v>
      </c>
      <c r="BE2934" s="77"/>
      <c r="BF2934" s="77"/>
      <c r="BG2934" s="77"/>
      <c r="BH2934" s="77"/>
      <c r="BI2934" s="77"/>
    </row>
    <row r="2935" spans="1:61" x14ac:dyDescent="0.25">
      <c r="A2935" s="62" t="s">
        <v>986</v>
      </c>
      <c r="B2935" s="62" t="s">
        <v>986</v>
      </c>
      <c r="C2935" s="63"/>
      <c r="D2935" s="64"/>
      <c r="E2935" s="65"/>
      <c r="F2935" s="66"/>
      <c r="G2935" s="63"/>
      <c r="H2935" s="67"/>
      <c r="I2935" s="68"/>
      <c r="J2935" s="68"/>
      <c r="K2935" s="32"/>
      <c r="L2935" s="75">
        <v>2935</v>
      </c>
      <c r="M2935" s="75"/>
      <c r="N2935" s="70"/>
      <c r="O2935" s="77" t="s">
        <v>179</v>
      </c>
      <c r="P2935" s="79">
        <v>44994.874976851854</v>
      </c>
      <c r="Q2935" s="77" t="s">
        <v>4141</v>
      </c>
      <c r="R2935" s="77">
        <v>0</v>
      </c>
      <c r="S2935" s="77">
        <v>0</v>
      </c>
      <c r="T2935" s="77">
        <v>0</v>
      </c>
      <c r="U2935" s="77">
        <v>0</v>
      </c>
      <c r="V2935" s="77">
        <v>215</v>
      </c>
      <c r="W2935" s="82" t="s">
        <v>6685</v>
      </c>
      <c r="X2935" s="80" t="str">
        <f>HYPERLINK("http://bit.ly/3WMtwd0")</f>
        <v>http://bit.ly/3WMtwd0</v>
      </c>
      <c r="Y2935" s="77" t="s">
        <v>7268</v>
      </c>
      <c r="Z2935" s="77"/>
      <c r="AA2935" s="77" t="s">
        <v>9273</v>
      </c>
      <c r="AB2935" s="77" t="s">
        <v>10130</v>
      </c>
      <c r="AC2935" s="82" t="s">
        <v>10144</v>
      </c>
      <c r="AD2935" s="77" t="s">
        <v>10184</v>
      </c>
      <c r="AE2935" s="80" t="str">
        <f>HYPERLINK("https://twitter.com/eu_danieleanile/status/1633935681314512898")</f>
        <v>https://twitter.com/eu_danieleanile/status/1633935681314512898</v>
      </c>
      <c r="AF2935" s="79">
        <v>44994.874976851854</v>
      </c>
      <c r="AG2935" s="85">
        <v>44994</v>
      </c>
      <c r="AH2935" s="82" t="s">
        <v>12963</v>
      </c>
      <c r="AI2935" s="77" t="b">
        <v>0</v>
      </c>
      <c r="AJ2935" s="77"/>
      <c r="AK2935" s="77"/>
      <c r="AL2935" s="77"/>
      <c r="AM2935" s="77"/>
      <c r="AN2935" s="77"/>
      <c r="AO2935" s="77"/>
      <c r="AP2935" s="77"/>
      <c r="AQ2935" s="77" t="s">
        <v>15916</v>
      </c>
      <c r="AR2935" s="77"/>
      <c r="AS2935" s="77"/>
      <c r="AT2935" s="77"/>
      <c r="AU2935" s="77"/>
      <c r="AV2935" s="80" t="str">
        <f>HYPERLINK("https://pbs.twimg.com/media/Fqzn13TWIAIRy7Z.jpg")</f>
        <v>https://pbs.twimg.com/media/Fqzn13TWIAIRy7Z.jpg</v>
      </c>
      <c r="AW2935" s="82" t="s">
        <v>19701</v>
      </c>
      <c r="AX2935" s="82" t="s">
        <v>19701</v>
      </c>
      <c r="AY2935" s="77"/>
      <c r="AZ2935" s="82" t="s">
        <v>20971</v>
      </c>
      <c r="BA2935" s="82" t="s">
        <v>20971</v>
      </c>
      <c r="BB2935" s="82" t="s">
        <v>20971</v>
      </c>
      <c r="BC2935" s="82" t="s">
        <v>19701</v>
      </c>
      <c r="BD2935" s="82" t="s">
        <v>21584</v>
      </c>
      <c r="BE2935" s="77"/>
      <c r="BF2935" s="77"/>
      <c r="BG2935" s="77"/>
      <c r="BH2935" s="77"/>
      <c r="BI2935" s="77"/>
    </row>
    <row r="2936" spans="1:61" x14ac:dyDescent="0.25">
      <c r="A2936" s="62" t="s">
        <v>986</v>
      </c>
      <c r="B2936" s="62" t="s">
        <v>986</v>
      </c>
      <c r="C2936" s="63"/>
      <c r="D2936" s="64"/>
      <c r="E2936" s="65"/>
      <c r="F2936" s="66"/>
      <c r="G2936" s="63"/>
      <c r="H2936" s="67"/>
      <c r="I2936" s="68"/>
      <c r="J2936" s="68"/>
      <c r="K2936" s="32"/>
      <c r="L2936" s="75">
        <v>2936</v>
      </c>
      <c r="M2936" s="75"/>
      <c r="N2936" s="70"/>
      <c r="O2936" s="77" t="s">
        <v>179</v>
      </c>
      <c r="P2936" s="79">
        <v>44993.516956018517</v>
      </c>
      <c r="Q2936" s="77" t="s">
        <v>4142</v>
      </c>
      <c r="R2936" s="77">
        <v>0</v>
      </c>
      <c r="S2936" s="77">
        <v>0</v>
      </c>
      <c r="T2936" s="77">
        <v>0</v>
      </c>
      <c r="U2936" s="77">
        <v>0</v>
      </c>
      <c r="V2936" s="77">
        <v>277</v>
      </c>
      <c r="W2936" s="82" t="s">
        <v>6685</v>
      </c>
      <c r="X2936" s="80" t="str">
        <f>HYPERLINK("https://bit.ly/3WMtwd0")</f>
        <v>https://bit.ly/3WMtwd0</v>
      </c>
      <c r="Y2936" s="77" t="s">
        <v>7268</v>
      </c>
      <c r="Z2936" s="77"/>
      <c r="AA2936" s="77" t="s">
        <v>9274</v>
      </c>
      <c r="AB2936" s="77" t="s">
        <v>10129</v>
      </c>
      <c r="AC2936" s="82" t="s">
        <v>10144</v>
      </c>
      <c r="AD2936" s="77" t="s">
        <v>10184</v>
      </c>
      <c r="AE2936" s="80" t="str">
        <f>HYPERLINK("https://twitter.com/eu_danieleanile/status/1633443554549702657")</f>
        <v>https://twitter.com/eu_danieleanile/status/1633443554549702657</v>
      </c>
      <c r="AF2936" s="79">
        <v>44993.516956018517</v>
      </c>
      <c r="AG2936" s="85">
        <v>44993</v>
      </c>
      <c r="AH2936" s="82" t="s">
        <v>12964</v>
      </c>
      <c r="AI2936" s="77" t="b">
        <v>0</v>
      </c>
      <c r="AJ2936" s="77"/>
      <c r="AK2936" s="77"/>
      <c r="AL2936" s="77"/>
      <c r="AM2936" s="77"/>
      <c r="AN2936" s="77"/>
      <c r="AO2936" s="77"/>
      <c r="AP2936" s="77"/>
      <c r="AQ2936" s="77" t="s">
        <v>15917</v>
      </c>
      <c r="AR2936" s="77">
        <v>16133</v>
      </c>
      <c r="AS2936" s="77"/>
      <c r="AT2936" s="77"/>
      <c r="AU2936" s="77"/>
      <c r="AV2936" s="80" t="str">
        <f>HYPERLINK("https://pbs.twimg.com/ext_tw_video_thumb/1633443485658370048/pu/img/cJrsutOiYeM1lXTZ.jpg")</f>
        <v>https://pbs.twimg.com/ext_tw_video_thumb/1633443485658370048/pu/img/cJrsutOiYeM1lXTZ.jpg</v>
      </c>
      <c r="AW2936" s="82" t="s">
        <v>19702</v>
      </c>
      <c r="AX2936" s="82" t="s">
        <v>19702</v>
      </c>
      <c r="AY2936" s="77"/>
      <c r="AZ2936" s="82" t="s">
        <v>20971</v>
      </c>
      <c r="BA2936" s="82" t="s">
        <v>20971</v>
      </c>
      <c r="BB2936" s="82" t="s">
        <v>20971</v>
      </c>
      <c r="BC2936" s="82" t="s">
        <v>19702</v>
      </c>
      <c r="BD2936" s="82" t="s">
        <v>21584</v>
      </c>
      <c r="BE2936" s="77"/>
      <c r="BF2936" s="77"/>
      <c r="BG2936" s="77"/>
      <c r="BH2936" s="77"/>
      <c r="BI2936" s="77"/>
    </row>
    <row r="2937" spans="1:61" x14ac:dyDescent="0.25">
      <c r="A2937" s="62" t="s">
        <v>986</v>
      </c>
      <c r="B2937" s="62" t="s">
        <v>986</v>
      </c>
      <c r="C2937" s="63"/>
      <c r="D2937" s="64"/>
      <c r="E2937" s="65"/>
      <c r="F2937" s="66"/>
      <c r="G2937" s="63"/>
      <c r="H2937" s="67"/>
      <c r="I2937" s="68"/>
      <c r="J2937" s="68"/>
      <c r="K2937" s="32"/>
      <c r="L2937" s="75">
        <v>2937</v>
      </c>
      <c r="M2937" s="75"/>
      <c r="N2937" s="70"/>
      <c r="O2937" s="77" t="s">
        <v>179</v>
      </c>
      <c r="P2937" s="79">
        <v>45014.437199074076</v>
      </c>
      <c r="Q2937" s="77" t="s">
        <v>4143</v>
      </c>
      <c r="R2937" s="77">
        <v>0</v>
      </c>
      <c r="S2937" s="77">
        <v>0</v>
      </c>
      <c r="T2937" s="77">
        <v>0</v>
      </c>
      <c r="U2937" s="77">
        <v>0</v>
      </c>
      <c r="V2937" s="77">
        <v>157</v>
      </c>
      <c r="W2937" s="82" t="s">
        <v>6686</v>
      </c>
      <c r="X2937" s="80" t="str">
        <f>HYPERLINK("http://bit.ly/3WMtwd0")</f>
        <v>http://bit.ly/3WMtwd0</v>
      </c>
      <c r="Y2937" s="77" t="s">
        <v>7268</v>
      </c>
      <c r="Z2937" s="77"/>
      <c r="AA2937" s="77" t="s">
        <v>9275</v>
      </c>
      <c r="AB2937" s="77" t="s">
        <v>10129</v>
      </c>
      <c r="AC2937" s="82" t="s">
        <v>10144</v>
      </c>
      <c r="AD2937" s="77" t="s">
        <v>10184</v>
      </c>
      <c r="AE2937" s="80" t="str">
        <f>HYPERLINK("https://twitter.com/eu_danieleanile/status/1641024793355988993")</f>
        <v>https://twitter.com/eu_danieleanile/status/1641024793355988993</v>
      </c>
      <c r="AF2937" s="79">
        <v>45014.437199074076</v>
      </c>
      <c r="AG2937" s="85">
        <v>45014</v>
      </c>
      <c r="AH2937" s="82" t="s">
        <v>12965</v>
      </c>
      <c r="AI2937" s="77" t="b">
        <v>0</v>
      </c>
      <c r="AJ2937" s="77"/>
      <c r="AK2937" s="77"/>
      <c r="AL2937" s="77"/>
      <c r="AM2937" s="77"/>
      <c r="AN2937" s="77"/>
      <c r="AO2937" s="77"/>
      <c r="AP2937" s="77"/>
      <c r="AQ2937" s="77" t="s">
        <v>15918</v>
      </c>
      <c r="AR2937" s="77">
        <v>10727</v>
      </c>
      <c r="AS2937" s="77"/>
      <c r="AT2937" s="77"/>
      <c r="AU2937" s="77"/>
      <c r="AV2937" s="80" t="str">
        <f>HYPERLINK("https://pbs.twimg.com/ext_tw_video_thumb/1641024750376955905/pu/img/UXr1MI4PtoR6aIPE.jpg")</f>
        <v>https://pbs.twimg.com/ext_tw_video_thumb/1641024750376955905/pu/img/UXr1MI4PtoR6aIPE.jpg</v>
      </c>
      <c r="AW2937" s="82" t="s">
        <v>19703</v>
      </c>
      <c r="AX2937" s="82" t="s">
        <v>19703</v>
      </c>
      <c r="AY2937" s="77"/>
      <c r="AZ2937" s="82" t="s">
        <v>20971</v>
      </c>
      <c r="BA2937" s="82" t="s">
        <v>20971</v>
      </c>
      <c r="BB2937" s="82" t="s">
        <v>20971</v>
      </c>
      <c r="BC2937" s="82" t="s">
        <v>19703</v>
      </c>
      <c r="BD2937" s="82" t="s">
        <v>21584</v>
      </c>
      <c r="BE2937" s="77"/>
      <c r="BF2937" s="77"/>
      <c r="BG2937" s="77"/>
      <c r="BH2937" s="77"/>
      <c r="BI2937" s="77"/>
    </row>
    <row r="2938" spans="1:61" x14ac:dyDescent="0.25">
      <c r="A2938" s="62" t="s">
        <v>986</v>
      </c>
      <c r="B2938" s="62" t="s">
        <v>986</v>
      </c>
      <c r="C2938" s="63"/>
      <c r="D2938" s="64"/>
      <c r="E2938" s="65"/>
      <c r="F2938" s="66"/>
      <c r="G2938" s="63"/>
      <c r="H2938" s="67"/>
      <c r="I2938" s="68"/>
      <c r="J2938" s="68"/>
      <c r="K2938" s="32"/>
      <c r="L2938" s="75">
        <v>2938</v>
      </c>
      <c r="M2938" s="75"/>
      <c r="N2938" s="70"/>
      <c r="O2938" s="77" t="s">
        <v>179</v>
      </c>
      <c r="P2938" s="79">
        <v>45004.985254629632</v>
      </c>
      <c r="Q2938" s="77" t="s">
        <v>4144</v>
      </c>
      <c r="R2938" s="77">
        <v>0</v>
      </c>
      <c r="S2938" s="77">
        <v>1</v>
      </c>
      <c r="T2938" s="77">
        <v>0</v>
      </c>
      <c r="U2938" s="77">
        <v>0</v>
      </c>
      <c r="V2938" s="77">
        <v>241</v>
      </c>
      <c r="W2938" s="82" t="s">
        <v>6687</v>
      </c>
      <c r="X2938" s="80" t="str">
        <f>HYPERLINK("https://bit.ly/3WMtwd0")</f>
        <v>https://bit.ly/3WMtwd0</v>
      </c>
      <c r="Y2938" s="77" t="s">
        <v>7268</v>
      </c>
      <c r="Z2938" s="77"/>
      <c r="AA2938" s="77" t="s">
        <v>9276</v>
      </c>
      <c r="AB2938" s="77" t="s">
        <v>10130</v>
      </c>
      <c r="AC2938" s="82" t="s">
        <v>10144</v>
      </c>
      <c r="AD2938" s="77" t="s">
        <v>10184</v>
      </c>
      <c r="AE2938" s="80" t="str">
        <f>HYPERLINK("https://twitter.com/eu_danieleanile/status/1637599523018031106")</f>
        <v>https://twitter.com/eu_danieleanile/status/1637599523018031106</v>
      </c>
      <c r="AF2938" s="79">
        <v>45004.985254629632</v>
      </c>
      <c r="AG2938" s="85">
        <v>45004</v>
      </c>
      <c r="AH2938" s="82" t="s">
        <v>12966</v>
      </c>
      <c r="AI2938" s="77" t="b">
        <v>0</v>
      </c>
      <c r="AJ2938" s="77"/>
      <c r="AK2938" s="77"/>
      <c r="AL2938" s="77"/>
      <c r="AM2938" s="77"/>
      <c r="AN2938" s="77"/>
      <c r="AO2938" s="77"/>
      <c r="AP2938" s="77"/>
      <c r="AQ2938" s="77" t="s">
        <v>15919</v>
      </c>
      <c r="AR2938" s="77"/>
      <c r="AS2938" s="77"/>
      <c r="AT2938" s="77"/>
      <c r="AU2938" s="77"/>
      <c r="AV2938" s="80" t="str">
        <f>HYPERLINK("https://pbs.twimg.com/media/FrnsFlKXwAIF6NR.jpg")</f>
        <v>https://pbs.twimg.com/media/FrnsFlKXwAIF6NR.jpg</v>
      </c>
      <c r="AW2938" s="82" t="s">
        <v>19704</v>
      </c>
      <c r="AX2938" s="82" t="s">
        <v>19704</v>
      </c>
      <c r="AY2938" s="77"/>
      <c r="AZ2938" s="82" t="s">
        <v>20971</v>
      </c>
      <c r="BA2938" s="82" t="s">
        <v>20971</v>
      </c>
      <c r="BB2938" s="82" t="s">
        <v>20971</v>
      </c>
      <c r="BC2938" s="82" t="s">
        <v>19704</v>
      </c>
      <c r="BD2938" s="82" t="s">
        <v>21584</v>
      </c>
      <c r="BE2938" s="77"/>
      <c r="BF2938" s="77"/>
      <c r="BG2938" s="77"/>
      <c r="BH2938" s="77"/>
      <c r="BI2938" s="77"/>
    </row>
    <row r="2939" spans="1:61" x14ac:dyDescent="0.25">
      <c r="A2939" s="62" t="s">
        <v>986</v>
      </c>
      <c r="B2939" s="62" t="s">
        <v>986</v>
      </c>
      <c r="C2939" s="63"/>
      <c r="D2939" s="64"/>
      <c r="E2939" s="65"/>
      <c r="F2939" s="66"/>
      <c r="G2939" s="63"/>
      <c r="H2939" s="67"/>
      <c r="I2939" s="68"/>
      <c r="J2939" s="68"/>
      <c r="K2939" s="32"/>
      <c r="L2939" s="75">
        <v>2939</v>
      </c>
      <c r="M2939" s="75"/>
      <c r="N2939" s="70"/>
      <c r="O2939" s="77" t="s">
        <v>179</v>
      </c>
      <c r="P2939" s="79">
        <v>45002.71770833333</v>
      </c>
      <c r="Q2939" s="77" t="s">
        <v>4145</v>
      </c>
      <c r="R2939" s="77">
        <v>0</v>
      </c>
      <c r="S2939" s="77">
        <v>0</v>
      </c>
      <c r="T2939" s="77">
        <v>0</v>
      </c>
      <c r="U2939" s="77">
        <v>0</v>
      </c>
      <c r="V2939" s="77">
        <v>190</v>
      </c>
      <c r="W2939" s="82" t="s">
        <v>6682</v>
      </c>
      <c r="X2939" s="80" t="str">
        <f>HYPERLINK("http://bit.ly/3XIypog")</f>
        <v>http://bit.ly/3XIypog</v>
      </c>
      <c r="Y2939" s="77" t="s">
        <v>7268</v>
      </c>
      <c r="Z2939" s="77"/>
      <c r="AA2939" s="77" t="s">
        <v>9277</v>
      </c>
      <c r="AB2939" s="77" t="s">
        <v>10129</v>
      </c>
      <c r="AC2939" s="82" t="s">
        <v>10144</v>
      </c>
      <c r="AD2939" s="77" t="s">
        <v>10184</v>
      </c>
      <c r="AE2939" s="80" t="str">
        <f>HYPERLINK("https://twitter.com/eu_danieleanile/status/1636777792636436489")</f>
        <v>https://twitter.com/eu_danieleanile/status/1636777792636436489</v>
      </c>
      <c r="AF2939" s="79">
        <v>45002.71770833333</v>
      </c>
      <c r="AG2939" s="85">
        <v>45002</v>
      </c>
      <c r="AH2939" s="82" t="s">
        <v>10991</v>
      </c>
      <c r="AI2939" s="77" t="b">
        <v>0</v>
      </c>
      <c r="AJ2939" s="77"/>
      <c r="AK2939" s="77"/>
      <c r="AL2939" s="77"/>
      <c r="AM2939" s="77"/>
      <c r="AN2939" s="77"/>
      <c r="AO2939" s="77"/>
      <c r="AP2939" s="77"/>
      <c r="AQ2939" s="77" t="s">
        <v>15920</v>
      </c>
      <c r="AR2939" s="77">
        <v>16067</v>
      </c>
      <c r="AS2939" s="77"/>
      <c r="AT2939" s="77"/>
      <c r="AU2939" s="77"/>
      <c r="AV2939" s="80" t="str">
        <f>HYPERLINK("https://pbs.twimg.com/ext_tw_video_thumb/1636777698134573104/pu/img/vtReIQsWeJ0Md9RH.jpg")</f>
        <v>https://pbs.twimg.com/ext_tw_video_thumb/1636777698134573104/pu/img/vtReIQsWeJ0Md9RH.jpg</v>
      </c>
      <c r="AW2939" s="82" t="s">
        <v>19705</v>
      </c>
      <c r="AX2939" s="82" t="s">
        <v>19705</v>
      </c>
      <c r="AY2939" s="77"/>
      <c r="AZ2939" s="82" t="s">
        <v>20971</v>
      </c>
      <c r="BA2939" s="82" t="s">
        <v>20971</v>
      </c>
      <c r="BB2939" s="82" t="s">
        <v>20971</v>
      </c>
      <c r="BC2939" s="82" t="s">
        <v>19705</v>
      </c>
      <c r="BD2939" s="82" t="s">
        <v>21584</v>
      </c>
      <c r="BE2939" s="77"/>
      <c r="BF2939" s="77"/>
      <c r="BG2939" s="77"/>
      <c r="BH2939" s="77"/>
      <c r="BI2939" s="77"/>
    </row>
    <row r="2940" spans="1:61" x14ac:dyDescent="0.25">
      <c r="A2940" s="62" t="s">
        <v>986</v>
      </c>
      <c r="B2940" s="62" t="s">
        <v>986</v>
      </c>
      <c r="C2940" s="63"/>
      <c r="D2940" s="64"/>
      <c r="E2940" s="65"/>
      <c r="F2940" s="66"/>
      <c r="G2940" s="63"/>
      <c r="H2940" s="67"/>
      <c r="I2940" s="68"/>
      <c r="J2940" s="68"/>
      <c r="K2940" s="32"/>
      <c r="L2940" s="75">
        <v>2940</v>
      </c>
      <c r="M2940" s="75"/>
      <c r="N2940" s="70"/>
      <c r="O2940" s="77" t="s">
        <v>179</v>
      </c>
      <c r="P2940" s="79">
        <v>45002.48678240741</v>
      </c>
      <c r="Q2940" s="77" t="s">
        <v>4146</v>
      </c>
      <c r="R2940" s="77">
        <v>0</v>
      </c>
      <c r="S2940" s="77">
        <v>1</v>
      </c>
      <c r="T2940" s="77">
        <v>0</v>
      </c>
      <c r="U2940" s="77">
        <v>0</v>
      </c>
      <c r="V2940" s="77">
        <v>411</v>
      </c>
      <c r="W2940" s="82" t="s">
        <v>6688</v>
      </c>
      <c r="X2940" s="80" t="str">
        <f>HYPERLINK("http://bit.ly/3XIypog")</f>
        <v>http://bit.ly/3XIypog</v>
      </c>
      <c r="Y2940" s="77" t="s">
        <v>7268</v>
      </c>
      <c r="Z2940" s="77"/>
      <c r="AA2940" s="77" t="s">
        <v>9278</v>
      </c>
      <c r="AB2940" s="77" t="s">
        <v>10130</v>
      </c>
      <c r="AC2940" s="82" t="s">
        <v>10144</v>
      </c>
      <c r="AD2940" s="77" t="s">
        <v>10184</v>
      </c>
      <c r="AE2940" s="80" t="str">
        <f>HYPERLINK("https://twitter.com/eu_danieleanile/status/1636694109577441280")</f>
        <v>https://twitter.com/eu_danieleanile/status/1636694109577441280</v>
      </c>
      <c r="AF2940" s="79">
        <v>45002.48678240741</v>
      </c>
      <c r="AG2940" s="85">
        <v>45002</v>
      </c>
      <c r="AH2940" s="82" t="s">
        <v>12967</v>
      </c>
      <c r="AI2940" s="77" t="b">
        <v>0</v>
      </c>
      <c r="AJ2940" s="77"/>
      <c r="AK2940" s="77"/>
      <c r="AL2940" s="77"/>
      <c r="AM2940" s="77"/>
      <c r="AN2940" s="77"/>
      <c r="AO2940" s="77"/>
      <c r="AP2940" s="77"/>
      <c r="AQ2940" s="77" t="s">
        <v>15921</v>
      </c>
      <c r="AR2940" s="77"/>
      <c r="AS2940" s="77"/>
      <c r="AT2940" s="77"/>
      <c r="AU2940" s="77"/>
      <c r="AV2940" s="80" t="str">
        <f>HYPERLINK("https://pbs.twimg.com/media/Fra0nmPWIAAZjgP.jpg")</f>
        <v>https://pbs.twimg.com/media/Fra0nmPWIAAZjgP.jpg</v>
      </c>
      <c r="AW2940" s="82" t="s">
        <v>19706</v>
      </c>
      <c r="AX2940" s="82" t="s">
        <v>19706</v>
      </c>
      <c r="AY2940" s="77"/>
      <c r="AZ2940" s="82" t="s">
        <v>20971</v>
      </c>
      <c r="BA2940" s="82" t="s">
        <v>20971</v>
      </c>
      <c r="BB2940" s="82" t="s">
        <v>20971</v>
      </c>
      <c r="BC2940" s="82" t="s">
        <v>19706</v>
      </c>
      <c r="BD2940" s="82" t="s">
        <v>21584</v>
      </c>
      <c r="BE2940" s="77"/>
      <c r="BF2940" s="77"/>
      <c r="BG2940" s="77"/>
      <c r="BH2940" s="77"/>
      <c r="BI2940" s="77"/>
    </row>
    <row r="2941" spans="1:61" x14ac:dyDescent="0.25">
      <c r="A2941" s="62" t="s">
        <v>986</v>
      </c>
      <c r="B2941" s="62" t="s">
        <v>986</v>
      </c>
      <c r="C2941" s="63"/>
      <c r="D2941" s="64"/>
      <c r="E2941" s="65"/>
      <c r="F2941" s="66"/>
      <c r="G2941" s="63"/>
      <c r="H2941" s="67"/>
      <c r="I2941" s="68"/>
      <c r="J2941" s="68"/>
      <c r="K2941" s="32"/>
      <c r="L2941" s="75">
        <v>2941</v>
      </c>
      <c r="M2941" s="75"/>
      <c r="N2941" s="70"/>
      <c r="O2941" s="77" t="s">
        <v>179</v>
      </c>
      <c r="P2941" s="79">
        <v>45012.966354166667</v>
      </c>
      <c r="Q2941" s="77" t="s">
        <v>4147</v>
      </c>
      <c r="R2941" s="77">
        <v>0</v>
      </c>
      <c r="S2941" s="77">
        <v>0</v>
      </c>
      <c r="T2941" s="77">
        <v>0</v>
      </c>
      <c r="U2941" s="77">
        <v>0</v>
      </c>
      <c r="V2941" s="77">
        <v>208</v>
      </c>
      <c r="W2941" s="82" t="s">
        <v>6686</v>
      </c>
      <c r="X2941" s="80" t="str">
        <f>HYPERLINK("http://bit.ly/3WMtwd0")</f>
        <v>http://bit.ly/3WMtwd0</v>
      </c>
      <c r="Y2941" s="77" t="s">
        <v>7268</v>
      </c>
      <c r="Z2941" s="77"/>
      <c r="AA2941" s="77" t="s">
        <v>9279</v>
      </c>
      <c r="AB2941" s="77" t="s">
        <v>10130</v>
      </c>
      <c r="AC2941" s="82" t="s">
        <v>10144</v>
      </c>
      <c r="AD2941" s="77" t="s">
        <v>10184</v>
      </c>
      <c r="AE2941" s="80" t="str">
        <f>HYPERLINK("https://twitter.com/eu_danieleanile/status/1640491779928596482")</f>
        <v>https://twitter.com/eu_danieleanile/status/1640491779928596482</v>
      </c>
      <c r="AF2941" s="79">
        <v>45012.966354166667</v>
      </c>
      <c r="AG2941" s="85">
        <v>45012</v>
      </c>
      <c r="AH2941" s="82" t="s">
        <v>12968</v>
      </c>
      <c r="AI2941" s="77" t="b">
        <v>0</v>
      </c>
      <c r="AJ2941" s="77"/>
      <c r="AK2941" s="77"/>
      <c r="AL2941" s="77"/>
      <c r="AM2941" s="77"/>
      <c r="AN2941" s="77"/>
      <c r="AO2941" s="77"/>
      <c r="AP2941" s="77"/>
      <c r="AQ2941" s="77" t="s">
        <v>15922</v>
      </c>
      <c r="AR2941" s="77"/>
      <c r="AS2941" s="77"/>
      <c r="AT2941" s="77"/>
      <c r="AU2941" s="77"/>
      <c r="AV2941" s="80" t="str">
        <f>HYPERLINK("https://pbs.twimg.com/media/FsQylEOXoAEk2eZ.jpg")</f>
        <v>https://pbs.twimg.com/media/FsQylEOXoAEk2eZ.jpg</v>
      </c>
      <c r="AW2941" s="82" t="s">
        <v>19707</v>
      </c>
      <c r="AX2941" s="82" t="s">
        <v>19707</v>
      </c>
      <c r="AY2941" s="77"/>
      <c r="AZ2941" s="82" t="s">
        <v>20971</v>
      </c>
      <c r="BA2941" s="82" t="s">
        <v>20971</v>
      </c>
      <c r="BB2941" s="82" t="s">
        <v>20971</v>
      </c>
      <c r="BC2941" s="82" t="s">
        <v>19707</v>
      </c>
      <c r="BD2941" s="82" t="s">
        <v>21584</v>
      </c>
      <c r="BE2941" s="77"/>
      <c r="BF2941" s="77"/>
      <c r="BG2941" s="77"/>
      <c r="BH2941" s="77"/>
      <c r="BI2941" s="77"/>
    </row>
    <row r="2942" spans="1:61" x14ac:dyDescent="0.25">
      <c r="A2942" s="62" t="s">
        <v>986</v>
      </c>
      <c r="B2942" s="62" t="s">
        <v>986</v>
      </c>
      <c r="C2942" s="63"/>
      <c r="D2942" s="64"/>
      <c r="E2942" s="65"/>
      <c r="F2942" s="66"/>
      <c r="G2942" s="63"/>
      <c r="H2942" s="67"/>
      <c r="I2942" s="68"/>
      <c r="J2942" s="68"/>
      <c r="K2942" s="32"/>
      <c r="L2942" s="75">
        <v>2942</v>
      </c>
      <c r="M2942" s="75"/>
      <c r="N2942" s="70"/>
      <c r="O2942" s="77" t="s">
        <v>179</v>
      </c>
      <c r="P2942" s="79">
        <v>45031.855057870373</v>
      </c>
      <c r="Q2942" s="77" t="s">
        <v>4148</v>
      </c>
      <c r="R2942" s="77">
        <v>0</v>
      </c>
      <c r="S2942" s="77">
        <v>0</v>
      </c>
      <c r="T2942" s="77">
        <v>0</v>
      </c>
      <c r="U2942" s="77">
        <v>0</v>
      </c>
      <c r="V2942" s="77">
        <v>258</v>
      </c>
      <c r="W2942" s="82" t="s">
        <v>6689</v>
      </c>
      <c r="X2942" s="80" t="str">
        <f>HYPERLINK("http://bit.ly/3WMtwd0")</f>
        <v>http://bit.ly/3WMtwd0</v>
      </c>
      <c r="Y2942" s="77" t="s">
        <v>7268</v>
      </c>
      <c r="Z2942" s="77"/>
      <c r="AA2942" s="77" t="s">
        <v>9280</v>
      </c>
      <c r="AB2942" s="77" t="s">
        <v>10129</v>
      </c>
      <c r="AC2942" s="82" t="s">
        <v>10144</v>
      </c>
      <c r="AD2942" s="77" t="s">
        <v>10184</v>
      </c>
      <c r="AE2942" s="80" t="str">
        <f>HYPERLINK("https://twitter.com/eu_danieleanile/status/1647336814296924161")</f>
        <v>https://twitter.com/eu_danieleanile/status/1647336814296924161</v>
      </c>
      <c r="AF2942" s="79">
        <v>45031.855057870373</v>
      </c>
      <c r="AG2942" s="85">
        <v>45031</v>
      </c>
      <c r="AH2942" s="82" t="s">
        <v>12969</v>
      </c>
      <c r="AI2942" s="77" t="b">
        <v>0</v>
      </c>
      <c r="AJ2942" s="77"/>
      <c r="AK2942" s="77"/>
      <c r="AL2942" s="77"/>
      <c r="AM2942" s="77"/>
      <c r="AN2942" s="77"/>
      <c r="AO2942" s="77"/>
      <c r="AP2942" s="77"/>
      <c r="AQ2942" s="77" t="s">
        <v>15923</v>
      </c>
      <c r="AR2942" s="77">
        <v>11666</v>
      </c>
      <c r="AS2942" s="77"/>
      <c r="AT2942" s="77"/>
      <c r="AU2942" s="77"/>
      <c r="AV2942" s="80" t="str">
        <f>HYPERLINK("https://pbs.twimg.com/ext_tw_video_thumb/1647336772177743872/pu/img/8Oy7wSquku6e60vK.jpg")</f>
        <v>https://pbs.twimg.com/ext_tw_video_thumb/1647336772177743872/pu/img/8Oy7wSquku6e60vK.jpg</v>
      </c>
      <c r="AW2942" s="82" t="s">
        <v>19708</v>
      </c>
      <c r="AX2942" s="82" t="s">
        <v>19708</v>
      </c>
      <c r="AY2942" s="77"/>
      <c r="AZ2942" s="82" t="s">
        <v>20971</v>
      </c>
      <c r="BA2942" s="82" t="s">
        <v>20971</v>
      </c>
      <c r="BB2942" s="82" t="s">
        <v>20971</v>
      </c>
      <c r="BC2942" s="82" t="s">
        <v>19708</v>
      </c>
      <c r="BD2942" s="82" t="s">
        <v>21584</v>
      </c>
      <c r="BE2942" s="77"/>
      <c r="BF2942" s="77"/>
      <c r="BG2942" s="77"/>
      <c r="BH2942" s="77"/>
      <c r="BI2942" s="77"/>
    </row>
    <row r="2943" spans="1:61" x14ac:dyDescent="0.25">
      <c r="A2943" s="62" t="s">
        <v>986</v>
      </c>
      <c r="B2943" s="62" t="s">
        <v>986</v>
      </c>
      <c r="C2943" s="63"/>
      <c r="D2943" s="64"/>
      <c r="E2943" s="65"/>
      <c r="F2943" s="66"/>
      <c r="G2943" s="63"/>
      <c r="H2943" s="67"/>
      <c r="I2943" s="68"/>
      <c r="J2943" s="68"/>
      <c r="K2943" s="32"/>
      <c r="L2943" s="75">
        <v>2943</v>
      </c>
      <c r="M2943" s="75"/>
      <c r="N2943" s="70"/>
      <c r="O2943" s="77" t="s">
        <v>179</v>
      </c>
      <c r="P2943" s="79">
        <v>45008.539270833331</v>
      </c>
      <c r="Q2943" s="77" t="s">
        <v>4149</v>
      </c>
      <c r="R2943" s="77">
        <v>0</v>
      </c>
      <c r="S2943" s="77">
        <v>0</v>
      </c>
      <c r="T2943" s="77">
        <v>0</v>
      </c>
      <c r="U2943" s="77">
        <v>0</v>
      </c>
      <c r="V2943" s="77">
        <v>333</v>
      </c>
      <c r="W2943" s="82" t="s">
        <v>6690</v>
      </c>
      <c r="X2943" s="80" t="str">
        <f>HYPERLINK("https://bit.ly/3WMtwd0")</f>
        <v>https://bit.ly/3WMtwd0</v>
      </c>
      <c r="Y2943" s="77" t="s">
        <v>7268</v>
      </c>
      <c r="Z2943" s="77"/>
      <c r="AA2943" s="77" t="s">
        <v>9281</v>
      </c>
      <c r="AB2943" s="77" t="s">
        <v>10130</v>
      </c>
      <c r="AC2943" s="82" t="s">
        <v>10144</v>
      </c>
      <c r="AD2943" s="77" t="s">
        <v>10184</v>
      </c>
      <c r="AE2943" s="80" t="str">
        <f>HYPERLINK("https://twitter.com/eu_danieleanile/status/1638887455897034754")</f>
        <v>https://twitter.com/eu_danieleanile/status/1638887455897034754</v>
      </c>
      <c r="AF2943" s="79">
        <v>45008.539270833331</v>
      </c>
      <c r="AG2943" s="85">
        <v>45008</v>
      </c>
      <c r="AH2943" s="82" t="s">
        <v>12970</v>
      </c>
      <c r="AI2943" s="77" t="b">
        <v>0</v>
      </c>
      <c r="AJ2943" s="77"/>
      <c r="AK2943" s="77"/>
      <c r="AL2943" s="77"/>
      <c r="AM2943" s="77"/>
      <c r="AN2943" s="77"/>
      <c r="AO2943" s="77"/>
      <c r="AP2943" s="77"/>
      <c r="AQ2943" s="77" t="s">
        <v>15924</v>
      </c>
      <c r="AR2943" s="77"/>
      <c r="AS2943" s="77"/>
      <c r="AT2943" s="77"/>
      <c r="AU2943" s="77"/>
      <c r="AV2943" s="80" t="str">
        <f>HYPERLINK("https://pbs.twimg.com/media/Fr5_dIPWYAILYQX.jpg")</f>
        <v>https://pbs.twimg.com/media/Fr5_dIPWYAILYQX.jpg</v>
      </c>
      <c r="AW2943" s="82" t="s">
        <v>19709</v>
      </c>
      <c r="AX2943" s="82" t="s">
        <v>19709</v>
      </c>
      <c r="AY2943" s="77"/>
      <c r="AZ2943" s="82" t="s">
        <v>20971</v>
      </c>
      <c r="BA2943" s="82" t="s">
        <v>20971</v>
      </c>
      <c r="BB2943" s="82" t="s">
        <v>20971</v>
      </c>
      <c r="BC2943" s="82" t="s">
        <v>19709</v>
      </c>
      <c r="BD2943" s="82" t="s">
        <v>21584</v>
      </c>
      <c r="BE2943" s="77"/>
      <c r="BF2943" s="77"/>
      <c r="BG2943" s="77"/>
      <c r="BH2943" s="77"/>
      <c r="BI2943" s="77"/>
    </row>
    <row r="2944" spans="1:61" x14ac:dyDescent="0.25">
      <c r="A2944" s="62" t="s">
        <v>986</v>
      </c>
      <c r="B2944" s="62" t="s">
        <v>986</v>
      </c>
      <c r="C2944" s="63"/>
      <c r="D2944" s="64"/>
      <c r="E2944" s="65"/>
      <c r="F2944" s="66"/>
      <c r="G2944" s="63"/>
      <c r="H2944" s="67"/>
      <c r="I2944" s="68"/>
      <c r="J2944" s="68"/>
      <c r="K2944" s="32"/>
      <c r="L2944" s="75">
        <v>2944</v>
      </c>
      <c r="M2944" s="75"/>
      <c r="N2944" s="70"/>
      <c r="O2944" s="77" t="s">
        <v>179</v>
      </c>
      <c r="P2944" s="79">
        <v>45053.046689814815</v>
      </c>
      <c r="Q2944" s="77" t="s">
        <v>4150</v>
      </c>
      <c r="R2944" s="77">
        <v>0</v>
      </c>
      <c r="S2944" s="77">
        <v>0</v>
      </c>
      <c r="T2944" s="77">
        <v>0</v>
      </c>
      <c r="U2944" s="77">
        <v>0</v>
      </c>
      <c r="V2944" s="77">
        <v>147</v>
      </c>
      <c r="W2944" s="82" t="s">
        <v>6691</v>
      </c>
      <c r="X2944" s="80" t="str">
        <f>HYPERLINK("https://bit.ly/3mj8bv2")</f>
        <v>https://bit.ly/3mj8bv2</v>
      </c>
      <c r="Y2944" s="77" t="s">
        <v>7268</v>
      </c>
      <c r="Z2944" s="77"/>
      <c r="AA2944" s="77" t="s">
        <v>9282</v>
      </c>
      <c r="AB2944" s="77" t="s">
        <v>10129</v>
      </c>
      <c r="AC2944" s="82" t="s">
        <v>10144</v>
      </c>
      <c r="AD2944" s="77" t="s">
        <v>10184</v>
      </c>
      <c r="AE2944" s="80" t="str">
        <f>HYPERLINK("https://twitter.com/eu_danieleanile/status/1655016406121840640")</f>
        <v>https://twitter.com/eu_danieleanile/status/1655016406121840640</v>
      </c>
      <c r="AF2944" s="79">
        <v>45053.046689814815</v>
      </c>
      <c r="AG2944" s="85">
        <v>45053</v>
      </c>
      <c r="AH2944" s="82" t="s">
        <v>12971</v>
      </c>
      <c r="AI2944" s="77" t="b">
        <v>0</v>
      </c>
      <c r="AJ2944" s="77"/>
      <c r="AK2944" s="77"/>
      <c r="AL2944" s="77"/>
      <c r="AM2944" s="77"/>
      <c r="AN2944" s="77"/>
      <c r="AO2944" s="77"/>
      <c r="AP2944" s="77"/>
      <c r="AQ2944" s="77" t="s">
        <v>15925</v>
      </c>
      <c r="AR2944" s="77">
        <v>11145</v>
      </c>
      <c r="AS2944" s="77"/>
      <c r="AT2944" s="77"/>
      <c r="AU2944" s="77"/>
      <c r="AV2944" s="80" t="str">
        <f>HYPERLINK("https://pbs.twimg.com/ext_tw_video_thumb/1655016360521465858/pu/img/gblxptQquHUGi10y.jpg")</f>
        <v>https://pbs.twimg.com/ext_tw_video_thumb/1655016360521465858/pu/img/gblxptQquHUGi10y.jpg</v>
      </c>
      <c r="AW2944" s="82" t="s">
        <v>19710</v>
      </c>
      <c r="AX2944" s="82" t="s">
        <v>19710</v>
      </c>
      <c r="AY2944" s="77"/>
      <c r="AZ2944" s="82" t="s">
        <v>20971</v>
      </c>
      <c r="BA2944" s="82" t="s">
        <v>20971</v>
      </c>
      <c r="BB2944" s="82" t="s">
        <v>20971</v>
      </c>
      <c r="BC2944" s="82" t="s">
        <v>19710</v>
      </c>
      <c r="BD2944" s="82" t="s">
        <v>21584</v>
      </c>
      <c r="BE2944" s="77"/>
      <c r="BF2944" s="77"/>
      <c r="BG2944" s="77"/>
      <c r="BH2944" s="77"/>
      <c r="BI2944" s="77"/>
    </row>
    <row r="2945" spans="1:61" x14ac:dyDescent="0.25">
      <c r="A2945" s="62" t="s">
        <v>986</v>
      </c>
      <c r="B2945" s="62" t="s">
        <v>986</v>
      </c>
      <c r="C2945" s="63"/>
      <c r="D2945" s="64"/>
      <c r="E2945" s="65"/>
      <c r="F2945" s="66"/>
      <c r="G2945" s="63"/>
      <c r="H2945" s="67"/>
      <c r="I2945" s="68"/>
      <c r="J2945" s="68"/>
      <c r="K2945" s="32"/>
      <c r="L2945" s="75">
        <v>2945</v>
      </c>
      <c r="M2945" s="75"/>
      <c r="N2945" s="70"/>
      <c r="O2945" s="77" t="s">
        <v>179</v>
      </c>
      <c r="P2945" s="79">
        <v>45052.109317129631</v>
      </c>
      <c r="Q2945" s="77" t="s">
        <v>4151</v>
      </c>
      <c r="R2945" s="77">
        <v>0</v>
      </c>
      <c r="S2945" s="77">
        <v>0</v>
      </c>
      <c r="T2945" s="77">
        <v>0</v>
      </c>
      <c r="U2945" s="77">
        <v>0</v>
      </c>
      <c r="V2945" s="77">
        <v>153</v>
      </c>
      <c r="W2945" s="82" t="s">
        <v>6692</v>
      </c>
      <c r="X2945" s="80" t="str">
        <f>HYPERLINK("http://bit.ly/3mj8bv2")</f>
        <v>http://bit.ly/3mj8bv2</v>
      </c>
      <c r="Y2945" s="77" t="s">
        <v>7268</v>
      </c>
      <c r="Z2945" s="77"/>
      <c r="AA2945" s="77" t="s">
        <v>9283</v>
      </c>
      <c r="AB2945" s="77" t="s">
        <v>10130</v>
      </c>
      <c r="AC2945" s="82" t="s">
        <v>10144</v>
      </c>
      <c r="AD2945" s="77" t="s">
        <v>10184</v>
      </c>
      <c r="AE2945" s="80" t="str">
        <f>HYPERLINK("https://twitter.com/eu_danieleanile/status/1654676715140968450")</f>
        <v>https://twitter.com/eu_danieleanile/status/1654676715140968450</v>
      </c>
      <c r="AF2945" s="79">
        <v>45052.109317129631</v>
      </c>
      <c r="AG2945" s="85">
        <v>45052</v>
      </c>
      <c r="AH2945" s="82" t="s">
        <v>12972</v>
      </c>
      <c r="AI2945" s="77" t="b">
        <v>0</v>
      </c>
      <c r="AJ2945" s="77"/>
      <c r="AK2945" s="77"/>
      <c r="AL2945" s="77"/>
      <c r="AM2945" s="77"/>
      <c r="AN2945" s="77"/>
      <c r="AO2945" s="77"/>
      <c r="AP2945" s="77"/>
      <c r="AQ2945" s="77" t="s">
        <v>15926</v>
      </c>
      <c r="AR2945" s="77"/>
      <c r="AS2945" s="77"/>
      <c r="AT2945" s="77"/>
      <c r="AU2945" s="77"/>
      <c r="AV2945" s="80" t="str">
        <f>HYPERLINK("https://pbs.twimg.com/media/FvaXs--XsAABx81.jpg")</f>
        <v>https://pbs.twimg.com/media/FvaXs--XsAABx81.jpg</v>
      </c>
      <c r="AW2945" s="82" t="s">
        <v>19711</v>
      </c>
      <c r="AX2945" s="82" t="s">
        <v>19711</v>
      </c>
      <c r="AY2945" s="77"/>
      <c r="AZ2945" s="82" t="s">
        <v>20971</v>
      </c>
      <c r="BA2945" s="82" t="s">
        <v>20971</v>
      </c>
      <c r="BB2945" s="82" t="s">
        <v>20971</v>
      </c>
      <c r="BC2945" s="82" t="s">
        <v>19711</v>
      </c>
      <c r="BD2945" s="82" t="s">
        <v>21584</v>
      </c>
      <c r="BE2945" s="77"/>
      <c r="BF2945" s="77"/>
      <c r="BG2945" s="77"/>
      <c r="BH2945" s="77"/>
      <c r="BI2945" s="77"/>
    </row>
    <row r="2946" spans="1:61" x14ac:dyDescent="0.25">
      <c r="A2946" s="62" t="s">
        <v>986</v>
      </c>
      <c r="B2946" s="62" t="s">
        <v>986</v>
      </c>
      <c r="C2946" s="63"/>
      <c r="D2946" s="64"/>
      <c r="E2946" s="65"/>
      <c r="F2946" s="66"/>
      <c r="G2946" s="63"/>
      <c r="H2946" s="67"/>
      <c r="I2946" s="68"/>
      <c r="J2946" s="68"/>
      <c r="K2946" s="32"/>
      <c r="L2946" s="75">
        <v>2946</v>
      </c>
      <c r="M2946" s="75"/>
      <c r="N2946" s="70"/>
      <c r="O2946" s="77" t="s">
        <v>179</v>
      </c>
      <c r="P2946" s="79">
        <v>45028.531747685185</v>
      </c>
      <c r="Q2946" s="77" t="s">
        <v>4152</v>
      </c>
      <c r="R2946" s="77">
        <v>0</v>
      </c>
      <c r="S2946" s="77">
        <v>0</v>
      </c>
      <c r="T2946" s="77">
        <v>0</v>
      </c>
      <c r="U2946" s="77">
        <v>0</v>
      </c>
      <c r="V2946" s="77">
        <v>173</v>
      </c>
      <c r="W2946" s="82" t="s">
        <v>6689</v>
      </c>
      <c r="X2946" s="80" t="str">
        <f>HYPERLINK("http://bit.ly/3WMtwd0")</f>
        <v>http://bit.ly/3WMtwd0</v>
      </c>
      <c r="Y2946" s="77" t="s">
        <v>7268</v>
      </c>
      <c r="Z2946" s="77"/>
      <c r="AA2946" s="77" t="s">
        <v>9284</v>
      </c>
      <c r="AB2946" s="77" t="s">
        <v>10129</v>
      </c>
      <c r="AC2946" s="82" t="s">
        <v>10144</v>
      </c>
      <c r="AD2946" s="77" t="s">
        <v>10184</v>
      </c>
      <c r="AE2946" s="80" t="str">
        <f>HYPERLINK("https://twitter.com/eu_danieleanile/status/1646132488870277120")</f>
        <v>https://twitter.com/eu_danieleanile/status/1646132488870277120</v>
      </c>
      <c r="AF2946" s="79">
        <v>45028.531747685185</v>
      </c>
      <c r="AG2946" s="85">
        <v>45028</v>
      </c>
      <c r="AH2946" s="82" t="s">
        <v>12973</v>
      </c>
      <c r="AI2946" s="77" t="b">
        <v>0</v>
      </c>
      <c r="AJ2946" s="77"/>
      <c r="AK2946" s="77"/>
      <c r="AL2946" s="77"/>
      <c r="AM2946" s="77"/>
      <c r="AN2946" s="77"/>
      <c r="AO2946" s="77"/>
      <c r="AP2946" s="77"/>
      <c r="AQ2946" s="77" t="s">
        <v>15927</v>
      </c>
      <c r="AR2946" s="77">
        <v>14999</v>
      </c>
      <c r="AS2946" s="77"/>
      <c r="AT2946" s="77"/>
      <c r="AU2946" s="77"/>
      <c r="AV2946" s="80" t="str">
        <f>HYPERLINK("https://pbs.twimg.com/ext_tw_video_thumb/1646132454283935744/pu/img/Me3rKaGHyzFbn_Ga.jpg")</f>
        <v>https://pbs.twimg.com/ext_tw_video_thumb/1646132454283935744/pu/img/Me3rKaGHyzFbn_Ga.jpg</v>
      </c>
      <c r="AW2946" s="82" t="s">
        <v>19712</v>
      </c>
      <c r="AX2946" s="82" t="s">
        <v>19712</v>
      </c>
      <c r="AY2946" s="77"/>
      <c r="AZ2946" s="82" t="s">
        <v>20971</v>
      </c>
      <c r="BA2946" s="82" t="s">
        <v>20971</v>
      </c>
      <c r="BB2946" s="82" t="s">
        <v>20971</v>
      </c>
      <c r="BC2946" s="82" t="s">
        <v>19712</v>
      </c>
      <c r="BD2946" s="82" t="s">
        <v>21584</v>
      </c>
      <c r="BE2946" s="77"/>
      <c r="BF2946" s="77"/>
      <c r="BG2946" s="77"/>
      <c r="BH2946" s="77"/>
      <c r="BI2946" s="77"/>
    </row>
    <row r="2947" spans="1:61" x14ac:dyDescent="0.25">
      <c r="A2947" s="62" t="s">
        <v>986</v>
      </c>
      <c r="B2947" s="62" t="s">
        <v>986</v>
      </c>
      <c r="C2947" s="63"/>
      <c r="D2947" s="64"/>
      <c r="E2947" s="65"/>
      <c r="F2947" s="66"/>
      <c r="G2947" s="63"/>
      <c r="H2947" s="67"/>
      <c r="I2947" s="68"/>
      <c r="J2947" s="68"/>
      <c r="K2947" s="32"/>
      <c r="L2947" s="75">
        <v>2947</v>
      </c>
      <c r="M2947" s="75"/>
      <c r="N2947" s="70"/>
      <c r="O2947" s="77" t="s">
        <v>179</v>
      </c>
      <c r="P2947" s="79">
        <v>45021.859050925923</v>
      </c>
      <c r="Q2947" s="77" t="s">
        <v>4153</v>
      </c>
      <c r="R2947" s="77">
        <v>0</v>
      </c>
      <c r="S2947" s="77">
        <v>0</v>
      </c>
      <c r="T2947" s="77">
        <v>0</v>
      </c>
      <c r="U2947" s="77">
        <v>0</v>
      </c>
      <c r="V2947" s="77">
        <v>184</v>
      </c>
      <c r="W2947" s="82" t="s">
        <v>6693</v>
      </c>
      <c r="X2947" s="80" t="str">
        <f>HYPERLINK("https://bit.ly/3WMtwd0")</f>
        <v>https://bit.ly/3WMtwd0</v>
      </c>
      <c r="Y2947" s="77" t="s">
        <v>7268</v>
      </c>
      <c r="Z2947" s="77"/>
      <c r="AA2947" s="77" t="s">
        <v>9285</v>
      </c>
      <c r="AB2947" s="77" t="s">
        <v>10130</v>
      </c>
      <c r="AC2947" s="82" t="s">
        <v>10144</v>
      </c>
      <c r="AD2947" s="77" t="s">
        <v>10184</v>
      </c>
      <c r="AE2947" s="80" t="str">
        <f>HYPERLINK("https://twitter.com/eu_danieleanile/status/1643714384194314253")</f>
        <v>https://twitter.com/eu_danieleanile/status/1643714384194314253</v>
      </c>
      <c r="AF2947" s="79">
        <v>45021.859050925923</v>
      </c>
      <c r="AG2947" s="85">
        <v>45021</v>
      </c>
      <c r="AH2947" s="82" t="s">
        <v>12974</v>
      </c>
      <c r="AI2947" s="77" t="b">
        <v>0</v>
      </c>
      <c r="AJ2947" s="77"/>
      <c r="AK2947" s="77"/>
      <c r="AL2947" s="77"/>
      <c r="AM2947" s="77"/>
      <c r="AN2947" s="77"/>
      <c r="AO2947" s="77"/>
      <c r="AP2947" s="77"/>
      <c r="AQ2947" s="77" t="s">
        <v>15928</v>
      </c>
      <c r="AR2947" s="77"/>
      <c r="AS2947" s="77"/>
      <c r="AT2947" s="77"/>
      <c r="AU2947" s="77"/>
      <c r="AV2947" s="80" t="str">
        <f>HYPERLINK("https://pbs.twimg.com/media/Fs-lhReXsAQpfEl.jpg")</f>
        <v>https://pbs.twimg.com/media/Fs-lhReXsAQpfEl.jpg</v>
      </c>
      <c r="AW2947" s="82" t="s">
        <v>19713</v>
      </c>
      <c r="AX2947" s="82" t="s">
        <v>19713</v>
      </c>
      <c r="AY2947" s="77"/>
      <c r="AZ2947" s="82" t="s">
        <v>20971</v>
      </c>
      <c r="BA2947" s="82" t="s">
        <v>20971</v>
      </c>
      <c r="BB2947" s="82" t="s">
        <v>20971</v>
      </c>
      <c r="BC2947" s="82" t="s">
        <v>19713</v>
      </c>
      <c r="BD2947" s="82" t="s">
        <v>21584</v>
      </c>
      <c r="BE2947" s="77"/>
      <c r="BF2947" s="77"/>
      <c r="BG2947" s="77"/>
      <c r="BH2947" s="77"/>
      <c r="BI2947" s="77"/>
    </row>
    <row r="2948" spans="1:61" x14ac:dyDescent="0.25">
      <c r="A2948" s="62" t="s">
        <v>986</v>
      </c>
      <c r="B2948" s="62" t="s">
        <v>986</v>
      </c>
      <c r="C2948" s="63"/>
      <c r="D2948" s="64"/>
      <c r="E2948" s="65"/>
      <c r="F2948" s="66"/>
      <c r="G2948" s="63"/>
      <c r="H2948" s="67"/>
      <c r="I2948" s="68"/>
      <c r="J2948" s="68"/>
      <c r="K2948" s="32"/>
      <c r="L2948" s="75">
        <v>2948</v>
      </c>
      <c r="M2948" s="75"/>
      <c r="N2948" s="70"/>
      <c r="O2948" s="77" t="s">
        <v>179</v>
      </c>
      <c r="P2948" s="79">
        <v>45021.7112037037</v>
      </c>
      <c r="Q2948" s="77" t="s">
        <v>4154</v>
      </c>
      <c r="R2948" s="77">
        <v>0</v>
      </c>
      <c r="S2948" s="77">
        <v>0</v>
      </c>
      <c r="T2948" s="77">
        <v>0</v>
      </c>
      <c r="U2948" s="77">
        <v>0</v>
      </c>
      <c r="V2948" s="77">
        <v>174</v>
      </c>
      <c r="W2948" s="82" t="s">
        <v>6689</v>
      </c>
      <c r="X2948" s="80" t="str">
        <f>HYPERLINK("http://bit.ly/3WMtwd0")</f>
        <v>http://bit.ly/3WMtwd0</v>
      </c>
      <c r="Y2948" s="77" t="s">
        <v>7268</v>
      </c>
      <c r="Z2948" s="77"/>
      <c r="AA2948" s="77" t="s">
        <v>9286</v>
      </c>
      <c r="AB2948" s="77" t="s">
        <v>10129</v>
      </c>
      <c r="AC2948" s="82" t="s">
        <v>10144</v>
      </c>
      <c r="AD2948" s="77" t="s">
        <v>10184</v>
      </c>
      <c r="AE2948" s="80" t="str">
        <f>HYPERLINK("https://twitter.com/eu_danieleanile/status/1643660806981025792")</f>
        <v>https://twitter.com/eu_danieleanile/status/1643660806981025792</v>
      </c>
      <c r="AF2948" s="79">
        <v>45021.7112037037</v>
      </c>
      <c r="AG2948" s="85">
        <v>45021</v>
      </c>
      <c r="AH2948" s="82" t="s">
        <v>12975</v>
      </c>
      <c r="AI2948" s="77" t="b">
        <v>0</v>
      </c>
      <c r="AJ2948" s="77"/>
      <c r="AK2948" s="77"/>
      <c r="AL2948" s="77"/>
      <c r="AM2948" s="77"/>
      <c r="AN2948" s="77"/>
      <c r="AO2948" s="77"/>
      <c r="AP2948" s="77"/>
      <c r="AQ2948" s="77" t="s">
        <v>15929</v>
      </c>
      <c r="AR2948" s="77">
        <v>22383</v>
      </c>
      <c r="AS2948" s="77"/>
      <c r="AT2948" s="77"/>
      <c r="AU2948" s="77"/>
      <c r="AV2948" s="80" t="str">
        <f>HYPERLINK("https://pbs.twimg.com/ext_tw_video_thumb/1643660752962584581/pu/img/zA-5m8_wGgVS4zUL.jpg")</f>
        <v>https://pbs.twimg.com/ext_tw_video_thumb/1643660752962584581/pu/img/zA-5m8_wGgVS4zUL.jpg</v>
      </c>
      <c r="AW2948" s="82" t="s">
        <v>19714</v>
      </c>
      <c r="AX2948" s="82" t="s">
        <v>19714</v>
      </c>
      <c r="AY2948" s="77"/>
      <c r="AZ2948" s="82" t="s">
        <v>20971</v>
      </c>
      <c r="BA2948" s="82" t="s">
        <v>20971</v>
      </c>
      <c r="BB2948" s="82" t="s">
        <v>20971</v>
      </c>
      <c r="BC2948" s="82" t="s">
        <v>19714</v>
      </c>
      <c r="BD2948" s="82" t="s">
        <v>21584</v>
      </c>
      <c r="BE2948" s="77"/>
      <c r="BF2948" s="77"/>
      <c r="BG2948" s="77"/>
      <c r="BH2948" s="77"/>
      <c r="BI2948" s="77"/>
    </row>
    <row r="2949" spans="1:61" x14ac:dyDescent="0.25">
      <c r="A2949" s="62" t="s">
        <v>986</v>
      </c>
      <c r="B2949" s="62" t="s">
        <v>986</v>
      </c>
      <c r="C2949" s="63"/>
      <c r="D2949" s="64"/>
      <c r="E2949" s="65"/>
      <c r="F2949" s="66"/>
      <c r="G2949" s="63"/>
      <c r="H2949" s="67"/>
      <c r="I2949" s="68"/>
      <c r="J2949" s="68"/>
      <c r="K2949" s="32"/>
      <c r="L2949" s="75">
        <v>2949</v>
      </c>
      <c r="M2949" s="75"/>
      <c r="N2949" s="70"/>
      <c r="O2949" s="77" t="s">
        <v>179</v>
      </c>
      <c r="P2949" s="79">
        <v>45061.972083333334</v>
      </c>
      <c r="Q2949" s="77" t="s">
        <v>4155</v>
      </c>
      <c r="R2949" s="77">
        <v>0</v>
      </c>
      <c r="S2949" s="77">
        <v>0</v>
      </c>
      <c r="T2949" s="77">
        <v>0</v>
      </c>
      <c r="U2949" s="77">
        <v>1</v>
      </c>
      <c r="V2949" s="77">
        <v>89</v>
      </c>
      <c r="W2949" s="82" t="s">
        <v>6694</v>
      </c>
      <c r="X2949" s="80" t="str">
        <f>HYPERLINK("http://bit.ly/3mj8bv2")</f>
        <v>http://bit.ly/3mj8bv2</v>
      </c>
      <c r="Y2949" s="77" t="s">
        <v>7268</v>
      </c>
      <c r="Z2949" s="77"/>
      <c r="AA2949" s="77" t="s">
        <v>9287</v>
      </c>
      <c r="AB2949" s="77" t="s">
        <v>10129</v>
      </c>
      <c r="AC2949" s="82" t="s">
        <v>10144</v>
      </c>
      <c r="AD2949" s="77" t="s">
        <v>10184</v>
      </c>
      <c r="AE2949" s="80" t="str">
        <f>HYPERLINK("https://twitter.com/eu_danieleanile/status/1658250861917753347")</f>
        <v>https://twitter.com/eu_danieleanile/status/1658250861917753347</v>
      </c>
      <c r="AF2949" s="79">
        <v>45061.972083333334</v>
      </c>
      <c r="AG2949" s="85">
        <v>45061</v>
      </c>
      <c r="AH2949" s="82" t="s">
        <v>12976</v>
      </c>
      <c r="AI2949" s="77" t="b">
        <v>0</v>
      </c>
      <c r="AJ2949" s="77"/>
      <c r="AK2949" s="77"/>
      <c r="AL2949" s="77"/>
      <c r="AM2949" s="77"/>
      <c r="AN2949" s="77"/>
      <c r="AO2949" s="77"/>
      <c r="AP2949" s="77"/>
      <c r="AQ2949" s="77" t="s">
        <v>15930</v>
      </c>
      <c r="AR2949" s="77">
        <v>14767</v>
      </c>
      <c r="AS2949" s="77"/>
      <c r="AT2949" s="77"/>
      <c r="AU2949" s="77"/>
      <c r="AV2949" s="80" t="str">
        <f>HYPERLINK("https://pbs.twimg.com/ext_tw_video_thumb/1658250720699621376/pu/img/__yTkrB8hEDK6LHy.jpg")</f>
        <v>https://pbs.twimg.com/ext_tw_video_thumb/1658250720699621376/pu/img/__yTkrB8hEDK6LHy.jpg</v>
      </c>
      <c r="AW2949" s="82" t="s">
        <v>19715</v>
      </c>
      <c r="AX2949" s="82" t="s">
        <v>19715</v>
      </c>
      <c r="AY2949" s="77"/>
      <c r="AZ2949" s="82" t="s">
        <v>20971</v>
      </c>
      <c r="BA2949" s="82" t="s">
        <v>20971</v>
      </c>
      <c r="BB2949" s="82" t="s">
        <v>20971</v>
      </c>
      <c r="BC2949" s="82" t="s">
        <v>19715</v>
      </c>
      <c r="BD2949" s="82" t="s">
        <v>21584</v>
      </c>
      <c r="BE2949" s="77"/>
      <c r="BF2949" s="77"/>
      <c r="BG2949" s="77"/>
      <c r="BH2949" s="77"/>
      <c r="BI2949" s="77"/>
    </row>
    <row r="2950" spans="1:61" x14ac:dyDescent="0.25">
      <c r="A2950" s="62" t="s">
        <v>986</v>
      </c>
      <c r="B2950" s="62" t="s">
        <v>986</v>
      </c>
      <c r="C2950" s="63"/>
      <c r="D2950" s="64"/>
      <c r="E2950" s="65"/>
      <c r="F2950" s="66"/>
      <c r="G2950" s="63"/>
      <c r="H2950" s="67"/>
      <c r="I2950" s="68"/>
      <c r="J2950" s="68"/>
      <c r="K2950" s="32"/>
      <c r="L2950" s="75">
        <v>2950</v>
      </c>
      <c r="M2950" s="75"/>
      <c r="N2950" s="70"/>
      <c r="O2950" s="77" t="s">
        <v>179</v>
      </c>
      <c r="P2950" s="79">
        <v>45021.482615740744</v>
      </c>
      <c r="Q2950" s="77" t="s">
        <v>4156</v>
      </c>
      <c r="R2950" s="77">
        <v>0</v>
      </c>
      <c r="S2950" s="77">
        <v>0</v>
      </c>
      <c r="T2950" s="77">
        <v>0</v>
      </c>
      <c r="U2950" s="77">
        <v>0</v>
      </c>
      <c r="V2950" s="77">
        <v>222</v>
      </c>
      <c r="W2950" s="82" t="s">
        <v>6689</v>
      </c>
      <c r="X2950" s="80" t="str">
        <f>HYPERLINK("https://bit.ly/3WMtwd0")</f>
        <v>https://bit.ly/3WMtwd0</v>
      </c>
      <c r="Y2950" s="77" t="s">
        <v>7268</v>
      </c>
      <c r="Z2950" s="77"/>
      <c r="AA2950" s="77" t="s">
        <v>9288</v>
      </c>
      <c r="AB2950" s="77" t="s">
        <v>10129</v>
      </c>
      <c r="AC2950" s="82" t="s">
        <v>10144</v>
      </c>
      <c r="AD2950" s="77" t="s">
        <v>10184</v>
      </c>
      <c r="AE2950" s="80" t="str">
        <f>HYPERLINK("https://twitter.com/eu_danieleanile/status/1643577969800093696")</f>
        <v>https://twitter.com/eu_danieleanile/status/1643577969800093696</v>
      </c>
      <c r="AF2950" s="79">
        <v>45021.482615740744</v>
      </c>
      <c r="AG2950" s="85">
        <v>45021</v>
      </c>
      <c r="AH2950" s="82" t="s">
        <v>12977</v>
      </c>
      <c r="AI2950" s="77" t="b">
        <v>0</v>
      </c>
      <c r="AJ2950" s="77"/>
      <c r="AK2950" s="77"/>
      <c r="AL2950" s="77"/>
      <c r="AM2950" s="77"/>
      <c r="AN2950" s="77"/>
      <c r="AO2950" s="77"/>
      <c r="AP2950" s="77"/>
      <c r="AQ2950" s="77" t="s">
        <v>15931</v>
      </c>
      <c r="AR2950" s="77">
        <v>16392</v>
      </c>
      <c r="AS2950" s="77"/>
      <c r="AT2950" s="77"/>
      <c r="AU2950" s="77"/>
      <c r="AV2950" s="80" t="str">
        <f>HYPERLINK("https://pbs.twimg.com/ext_tw_video_thumb/1643577912078086146/pu/img/L3E9ECwlpgPkPPJW.jpg")</f>
        <v>https://pbs.twimg.com/ext_tw_video_thumb/1643577912078086146/pu/img/L3E9ECwlpgPkPPJW.jpg</v>
      </c>
      <c r="AW2950" s="82" t="s">
        <v>19716</v>
      </c>
      <c r="AX2950" s="82" t="s">
        <v>19716</v>
      </c>
      <c r="AY2950" s="77"/>
      <c r="AZ2950" s="82" t="s">
        <v>20971</v>
      </c>
      <c r="BA2950" s="82" t="s">
        <v>20971</v>
      </c>
      <c r="BB2950" s="82" t="s">
        <v>20971</v>
      </c>
      <c r="BC2950" s="82" t="s">
        <v>19716</v>
      </c>
      <c r="BD2950" s="82" t="s">
        <v>21584</v>
      </c>
      <c r="BE2950" s="77"/>
      <c r="BF2950" s="77"/>
      <c r="BG2950" s="77"/>
      <c r="BH2950" s="77"/>
      <c r="BI2950" s="77"/>
    </row>
    <row r="2951" spans="1:61" x14ac:dyDescent="0.25">
      <c r="A2951" s="62" t="s">
        <v>986</v>
      </c>
      <c r="B2951" s="62" t="s">
        <v>986</v>
      </c>
      <c r="C2951" s="63"/>
      <c r="D2951" s="64"/>
      <c r="E2951" s="65"/>
      <c r="F2951" s="66"/>
      <c r="G2951" s="63"/>
      <c r="H2951" s="67"/>
      <c r="I2951" s="68"/>
      <c r="J2951" s="68"/>
      <c r="K2951" s="32"/>
      <c r="L2951" s="75">
        <v>2951</v>
      </c>
      <c r="M2951" s="75"/>
      <c r="N2951" s="70"/>
      <c r="O2951" s="77" t="s">
        <v>179</v>
      </c>
      <c r="P2951" s="79">
        <v>45000.994826388887</v>
      </c>
      <c r="Q2951" s="77" t="s">
        <v>4157</v>
      </c>
      <c r="R2951" s="77">
        <v>0</v>
      </c>
      <c r="S2951" s="77">
        <v>0</v>
      </c>
      <c r="T2951" s="77">
        <v>0</v>
      </c>
      <c r="U2951" s="77">
        <v>0</v>
      </c>
      <c r="V2951" s="77">
        <v>316</v>
      </c>
      <c r="W2951" s="82" t="s">
        <v>6682</v>
      </c>
      <c r="X2951" s="80" t="str">
        <f>HYPERLINK("http://bit.ly/3XIypog")</f>
        <v>http://bit.ly/3XIypog</v>
      </c>
      <c r="Y2951" s="77" t="s">
        <v>7268</v>
      </c>
      <c r="Z2951" s="77"/>
      <c r="AA2951" s="77" t="s">
        <v>9289</v>
      </c>
      <c r="AB2951" s="77" t="s">
        <v>10129</v>
      </c>
      <c r="AC2951" s="82" t="s">
        <v>10144</v>
      </c>
      <c r="AD2951" s="77" t="s">
        <v>10184</v>
      </c>
      <c r="AE2951" s="80" t="str">
        <f>HYPERLINK("https://twitter.com/eu_danieleanile/status/1636153442518327297")</f>
        <v>https://twitter.com/eu_danieleanile/status/1636153442518327297</v>
      </c>
      <c r="AF2951" s="79">
        <v>45000.994826388887</v>
      </c>
      <c r="AG2951" s="85">
        <v>45000</v>
      </c>
      <c r="AH2951" s="82" t="s">
        <v>12978</v>
      </c>
      <c r="AI2951" s="77" t="b">
        <v>0</v>
      </c>
      <c r="AJ2951" s="77"/>
      <c r="AK2951" s="77"/>
      <c r="AL2951" s="77"/>
      <c r="AM2951" s="77"/>
      <c r="AN2951" s="77"/>
      <c r="AO2951" s="77"/>
      <c r="AP2951" s="77"/>
      <c r="AQ2951" s="77" t="s">
        <v>15932</v>
      </c>
      <c r="AR2951" s="77">
        <v>23200</v>
      </c>
      <c r="AS2951" s="77"/>
      <c r="AT2951" s="77"/>
      <c r="AU2951" s="77"/>
      <c r="AV2951" s="80" t="str">
        <f>HYPERLINK("https://pbs.twimg.com/ext_tw_video_thumb/1636153363631861761/pu/img/RLhda_Qk--4WBtJW.jpg")</f>
        <v>https://pbs.twimg.com/ext_tw_video_thumb/1636153363631861761/pu/img/RLhda_Qk--4WBtJW.jpg</v>
      </c>
      <c r="AW2951" s="82" t="s">
        <v>19717</v>
      </c>
      <c r="AX2951" s="82" t="s">
        <v>19717</v>
      </c>
      <c r="AY2951" s="77"/>
      <c r="AZ2951" s="82" t="s">
        <v>20971</v>
      </c>
      <c r="BA2951" s="82" t="s">
        <v>20971</v>
      </c>
      <c r="BB2951" s="82" t="s">
        <v>20971</v>
      </c>
      <c r="BC2951" s="82" t="s">
        <v>19717</v>
      </c>
      <c r="BD2951" s="82" t="s">
        <v>21584</v>
      </c>
      <c r="BE2951" s="77"/>
      <c r="BF2951" s="77"/>
      <c r="BG2951" s="77"/>
      <c r="BH2951" s="77"/>
      <c r="BI2951" s="77"/>
    </row>
    <row r="2952" spans="1:61" x14ac:dyDescent="0.25">
      <c r="A2952" s="62" t="s">
        <v>986</v>
      </c>
      <c r="B2952" s="62" t="s">
        <v>986</v>
      </c>
      <c r="C2952" s="63"/>
      <c r="D2952" s="64"/>
      <c r="E2952" s="65"/>
      <c r="F2952" s="66"/>
      <c r="G2952" s="63"/>
      <c r="H2952" s="67"/>
      <c r="I2952" s="68"/>
      <c r="J2952" s="68"/>
      <c r="K2952" s="32"/>
      <c r="L2952" s="75">
        <v>2952</v>
      </c>
      <c r="M2952" s="75"/>
      <c r="N2952" s="70"/>
      <c r="O2952" s="77" t="s">
        <v>179</v>
      </c>
      <c r="P2952" s="79">
        <v>45090.394814814812</v>
      </c>
      <c r="Q2952" s="77" t="s">
        <v>4158</v>
      </c>
      <c r="R2952" s="77">
        <v>0</v>
      </c>
      <c r="S2952" s="77">
        <v>0</v>
      </c>
      <c r="T2952" s="77">
        <v>0</v>
      </c>
      <c r="U2952" s="77">
        <v>0</v>
      </c>
      <c r="V2952" s="77">
        <v>63</v>
      </c>
      <c r="W2952" s="82" t="s">
        <v>6695</v>
      </c>
      <c r="X2952" s="80" t="str">
        <f>HYPERLINK("http://bit.ly/3mj8bv2")</f>
        <v>http://bit.ly/3mj8bv2</v>
      </c>
      <c r="Y2952" s="77" t="s">
        <v>7268</v>
      </c>
      <c r="Z2952" s="77"/>
      <c r="AA2952" s="77" t="s">
        <v>9290</v>
      </c>
      <c r="AB2952" s="77" t="s">
        <v>10129</v>
      </c>
      <c r="AC2952" s="82" t="s">
        <v>10144</v>
      </c>
      <c r="AD2952" s="77" t="s">
        <v>10184</v>
      </c>
      <c r="AE2952" s="80" t="str">
        <f>HYPERLINK("https://twitter.com/eu_danieleanile/status/1668550913466720257")</f>
        <v>https://twitter.com/eu_danieleanile/status/1668550913466720257</v>
      </c>
      <c r="AF2952" s="79">
        <v>45090.394814814812</v>
      </c>
      <c r="AG2952" s="85">
        <v>45090</v>
      </c>
      <c r="AH2952" s="82" t="s">
        <v>12979</v>
      </c>
      <c r="AI2952" s="77" t="b">
        <v>0</v>
      </c>
      <c r="AJ2952" s="77"/>
      <c r="AK2952" s="77"/>
      <c r="AL2952" s="77"/>
      <c r="AM2952" s="77"/>
      <c r="AN2952" s="77"/>
      <c r="AO2952" s="77"/>
      <c r="AP2952" s="77"/>
      <c r="AQ2952" s="77" t="s">
        <v>15933</v>
      </c>
      <c r="AR2952" s="77">
        <v>11145</v>
      </c>
      <c r="AS2952" s="77"/>
      <c r="AT2952" s="77"/>
      <c r="AU2952" s="77"/>
      <c r="AV2952" s="80" t="str">
        <f>HYPERLINK("https://pbs.twimg.com/ext_tw_video_thumb/1668550821053706241/pu/img/mfI3kZOU0De2H7Ge.jpg")</f>
        <v>https://pbs.twimg.com/ext_tw_video_thumb/1668550821053706241/pu/img/mfI3kZOU0De2H7Ge.jpg</v>
      </c>
      <c r="AW2952" s="82" t="s">
        <v>19718</v>
      </c>
      <c r="AX2952" s="82" t="s">
        <v>19718</v>
      </c>
      <c r="AY2952" s="77"/>
      <c r="AZ2952" s="82" t="s">
        <v>20971</v>
      </c>
      <c r="BA2952" s="82" t="s">
        <v>20971</v>
      </c>
      <c r="BB2952" s="82" t="s">
        <v>20971</v>
      </c>
      <c r="BC2952" s="82" t="s">
        <v>19718</v>
      </c>
      <c r="BD2952" s="82" t="s">
        <v>21584</v>
      </c>
      <c r="BE2952" s="77"/>
      <c r="BF2952" s="77"/>
      <c r="BG2952" s="77"/>
      <c r="BH2952" s="77"/>
      <c r="BI2952" s="77"/>
    </row>
    <row r="2953" spans="1:61" x14ac:dyDescent="0.25">
      <c r="A2953" s="62" t="s">
        <v>986</v>
      </c>
      <c r="B2953" s="62" t="s">
        <v>986</v>
      </c>
      <c r="C2953" s="63"/>
      <c r="D2953" s="64"/>
      <c r="E2953" s="65"/>
      <c r="F2953" s="66"/>
      <c r="G2953" s="63"/>
      <c r="H2953" s="67"/>
      <c r="I2953" s="68"/>
      <c r="J2953" s="68"/>
      <c r="K2953" s="32"/>
      <c r="L2953" s="75">
        <v>2953</v>
      </c>
      <c r="M2953" s="75"/>
      <c r="N2953" s="70"/>
      <c r="O2953" s="77" t="s">
        <v>179</v>
      </c>
      <c r="P2953" s="79">
        <v>45012.036585648151</v>
      </c>
      <c r="Q2953" s="77" t="s">
        <v>4159</v>
      </c>
      <c r="R2953" s="77">
        <v>0</v>
      </c>
      <c r="S2953" s="77">
        <v>1</v>
      </c>
      <c r="T2953" s="77">
        <v>0</v>
      </c>
      <c r="U2953" s="77">
        <v>0</v>
      </c>
      <c r="V2953" s="77">
        <v>253</v>
      </c>
      <c r="W2953" s="82" t="s">
        <v>6686</v>
      </c>
      <c r="X2953" s="80" t="str">
        <f>HYPERLINK("https://bit.ly/3WMtwd0")</f>
        <v>https://bit.ly/3WMtwd0</v>
      </c>
      <c r="Y2953" s="77" t="s">
        <v>7268</v>
      </c>
      <c r="Z2953" s="77"/>
      <c r="AA2953" s="77" t="s">
        <v>9291</v>
      </c>
      <c r="AB2953" s="77" t="s">
        <v>10129</v>
      </c>
      <c r="AC2953" s="82" t="s">
        <v>10144</v>
      </c>
      <c r="AD2953" s="77" t="s">
        <v>10184</v>
      </c>
      <c r="AE2953" s="80" t="str">
        <f>HYPERLINK("https://twitter.com/eu_danieleanile/status/1640154842336247809")</f>
        <v>https://twitter.com/eu_danieleanile/status/1640154842336247809</v>
      </c>
      <c r="AF2953" s="79">
        <v>45012.036585648151</v>
      </c>
      <c r="AG2953" s="85">
        <v>45012</v>
      </c>
      <c r="AH2953" s="82" t="s">
        <v>12980</v>
      </c>
      <c r="AI2953" s="77" t="b">
        <v>0</v>
      </c>
      <c r="AJ2953" s="77"/>
      <c r="AK2953" s="77"/>
      <c r="AL2953" s="77"/>
      <c r="AM2953" s="77"/>
      <c r="AN2953" s="77"/>
      <c r="AO2953" s="77"/>
      <c r="AP2953" s="77"/>
      <c r="AQ2953" s="77" t="s">
        <v>15934</v>
      </c>
      <c r="AR2953" s="77">
        <v>7978</v>
      </c>
      <c r="AS2953" s="77"/>
      <c r="AT2953" s="77"/>
      <c r="AU2953" s="77"/>
      <c r="AV2953" s="80" t="str">
        <f>HYPERLINK("https://pbs.twimg.com/ext_tw_video_thumb/1640154787097239553/pu/img/VJAlmHt5XWQ02kcZ.jpg")</f>
        <v>https://pbs.twimg.com/ext_tw_video_thumb/1640154787097239553/pu/img/VJAlmHt5XWQ02kcZ.jpg</v>
      </c>
      <c r="AW2953" s="82" t="s">
        <v>19719</v>
      </c>
      <c r="AX2953" s="82" t="s">
        <v>19719</v>
      </c>
      <c r="AY2953" s="77"/>
      <c r="AZ2953" s="82" t="s">
        <v>20971</v>
      </c>
      <c r="BA2953" s="82" t="s">
        <v>20971</v>
      </c>
      <c r="BB2953" s="82" t="s">
        <v>20971</v>
      </c>
      <c r="BC2953" s="82" t="s">
        <v>19719</v>
      </c>
      <c r="BD2953" s="82" t="s">
        <v>21584</v>
      </c>
      <c r="BE2953" s="77"/>
      <c r="BF2953" s="77"/>
      <c r="BG2953" s="77"/>
      <c r="BH2953" s="77"/>
      <c r="BI2953" s="77"/>
    </row>
    <row r="2954" spans="1:61" x14ac:dyDescent="0.25">
      <c r="A2954" s="62" t="s">
        <v>986</v>
      </c>
      <c r="B2954" s="62" t="s">
        <v>986</v>
      </c>
      <c r="C2954" s="63"/>
      <c r="D2954" s="64"/>
      <c r="E2954" s="65"/>
      <c r="F2954" s="66"/>
      <c r="G2954" s="63"/>
      <c r="H2954" s="67"/>
      <c r="I2954" s="68"/>
      <c r="J2954" s="68"/>
      <c r="K2954" s="32"/>
      <c r="L2954" s="75">
        <v>2954</v>
      </c>
      <c r="M2954" s="75"/>
      <c r="N2954" s="70"/>
      <c r="O2954" s="77" t="s">
        <v>179</v>
      </c>
      <c r="P2954" s="79">
        <v>45011.482673611114</v>
      </c>
      <c r="Q2954" s="77" t="s">
        <v>4160</v>
      </c>
      <c r="R2954" s="77">
        <v>0</v>
      </c>
      <c r="S2954" s="77">
        <v>0</v>
      </c>
      <c r="T2954" s="77">
        <v>0</v>
      </c>
      <c r="U2954" s="77">
        <v>0</v>
      </c>
      <c r="V2954" s="77">
        <v>178</v>
      </c>
      <c r="W2954" s="82" t="s">
        <v>6696</v>
      </c>
      <c r="X2954" s="80" t="str">
        <f>HYPERLINK("http://bit.ly/3WMtwd0")</f>
        <v>http://bit.ly/3WMtwd0</v>
      </c>
      <c r="Y2954" s="77" t="s">
        <v>7268</v>
      </c>
      <c r="Z2954" s="77"/>
      <c r="AA2954" s="77" t="s">
        <v>9292</v>
      </c>
      <c r="AB2954" s="77" t="s">
        <v>10129</v>
      </c>
      <c r="AC2954" s="82" t="s">
        <v>10144</v>
      </c>
      <c r="AD2954" s="77" t="s">
        <v>10184</v>
      </c>
      <c r="AE2954" s="80" t="str">
        <f>HYPERLINK("https://twitter.com/eu_danieleanile/status/1639954110454677507")</f>
        <v>https://twitter.com/eu_danieleanile/status/1639954110454677507</v>
      </c>
      <c r="AF2954" s="79">
        <v>45011.482673611114</v>
      </c>
      <c r="AG2954" s="85">
        <v>45011</v>
      </c>
      <c r="AH2954" s="82" t="s">
        <v>11805</v>
      </c>
      <c r="AI2954" s="77" t="b">
        <v>0</v>
      </c>
      <c r="AJ2954" s="77"/>
      <c r="AK2954" s="77"/>
      <c r="AL2954" s="77"/>
      <c r="AM2954" s="77"/>
      <c r="AN2954" s="77"/>
      <c r="AO2954" s="77"/>
      <c r="AP2954" s="77"/>
      <c r="AQ2954" s="77" t="s">
        <v>15935</v>
      </c>
      <c r="AR2954" s="77">
        <v>16400</v>
      </c>
      <c r="AS2954" s="77"/>
      <c r="AT2954" s="77"/>
      <c r="AU2954" s="77"/>
      <c r="AV2954" s="80" t="str">
        <f>HYPERLINK("https://pbs.twimg.com/ext_tw_video_thumb/1639954044847267842/pu/img/rkdSW6P3MqDh8fkU.jpg")</f>
        <v>https://pbs.twimg.com/ext_tw_video_thumb/1639954044847267842/pu/img/rkdSW6P3MqDh8fkU.jpg</v>
      </c>
      <c r="AW2954" s="82" t="s">
        <v>19720</v>
      </c>
      <c r="AX2954" s="82" t="s">
        <v>19720</v>
      </c>
      <c r="AY2954" s="77"/>
      <c r="AZ2954" s="82" t="s">
        <v>20971</v>
      </c>
      <c r="BA2954" s="82" t="s">
        <v>20971</v>
      </c>
      <c r="BB2954" s="82" t="s">
        <v>20971</v>
      </c>
      <c r="BC2954" s="82" t="s">
        <v>19720</v>
      </c>
      <c r="BD2954" s="82" t="s">
        <v>21584</v>
      </c>
      <c r="BE2954" s="77"/>
      <c r="BF2954" s="77"/>
      <c r="BG2954" s="77"/>
      <c r="BH2954" s="77"/>
      <c r="BI2954" s="77"/>
    </row>
    <row r="2955" spans="1:61" x14ac:dyDescent="0.25">
      <c r="A2955" s="62" t="s">
        <v>986</v>
      </c>
      <c r="B2955" s="62" t="s">
        <v>986</v>
      </c>
      <c r="C2955" s="63"/>
      <c r="D2955" s="64"/>
      <c r="E2955" s="65"/>
      <c r="F2955" s="66"/>
      <c r="G2955" s="63"/>
      <c r="H2955" s="67"/>
      <c r="I2955" s="68"/>
      <c r="J2955" s="68"/>
      <c r="K2955" s="32"/>
      <c r="L2955" s="75">
        <v>2955</v>
      </c>
      <c r="M2955" s="75"/>
      <c r="N2955" s="70"/>
      <c r="O2955" s="77" t="s">
        <v>179</v>
      </c>
      <c r="P2955" s="79">
        <v>45010.543194444443</v>
      </c>
      <c r="Q2955" s="77" t="s">
        <v>4161</v>
      </c>
      <c r="R2955" s="77">
        <v>0</v>
      </c>
      <c r="S2955" s="77">
        <v>0</v>
      </c>
      <c r="T2955" s="77">
        <v>0</v>
      </c>
      <c r="U2955" s="77">
        <v>0</v>
      </c>
      <c r="V2955" s="77">
        <v>250</v>
      </c>
      <c r="W2955" s="82" t="s">
        <v>6696</v>
      </c>
      <c r="X2955" s="80" t="str">
        <f>HYPERLINK("http://bit.ly/3WMtwd0")</f>
        <v>http://bit.ly/3WMtwd0</v>
      </c>
      <c r="Y2955" s="77" t="s">
        <v>7268</v>
      </c>
      <c r="Z2955" s="77"/>
      <c r="AA2955" s="77" t="s">
        <v>9293</v>
      </c>
      <c r="AB2955" s="77" t="s">
        <v>10130</v>
      </c>
      <c r="AC2955" s="82" t="s">
        <v>10144</v>
      </c>
      <c r="AD2955" s="77" t="s">
        <v>10184</v>
      </c>
      <c r="AE2955" s="80" t="str">
        <f>HYPERLINK("https://twitter.com/eu_danieleanile/status/1639613656563318785")</f>
        <v>https://twitter.com/eu_danieleanile/status/1639613656563318785</v>
      </c>
      <c r="AF2955" s="79">
        <v>45010.543194444443</v>
      </c>
      <c r="AG2955" s="85">
        <v>45010</v>
      </c>
      <c r="AH2955" s="82" t="s">
        <v>12981</v>
      </c>
      <c r="AI2955" s="77" t="b">
        <v>0</v>
      </c>
      <c r="AJ2955" s="77"/>
      <c r="AK2955" s="77"/>
      <c r="AL2955" s="77"/>
      <c r="AM2955" s="77"/>
      <c r="AN2955" s="77"/>
      <c r="AO2955" s="77"/>
      <c r="AP2955" s="77"/>
      <c r="AQ2955" s="77" t="s">
        <v>15936</v>
      </c>
      <c r="AR2955" s="77"/>
      <c r="AS2955" s="77"/>
      <c r="AT2955" s="77"/>
      <c r="AU2955" s="77"/>
      <c r="AV2955" s="80" t="str">
        <f>HYPERLINK("https://pbs.twimg.com/media/FsET7oEWwAMgL30.jpg")</f>
        <v>https://pbs.twimg.com/media/FsET7oEWwAMgL30.jpg</v>
      </c>
      <c r="AW2955" s="82" t="s">
        <v>19721</v>
      </c>
      <c r="AX2955" s="82" t="s">
        <v>19721</v>
      </c>
      <c r="AY2955" s="77"/>
      <c r="AZ2955" s="82" t="s">
        <v>20971</v>
      </c>
      <c r="BA2955" s="82" t="s">
        <v>20971</v>
      </c>
      <c r="BB2955" s="82" t="s">
        <v>20971</v>
      </c>
      <c r="BC2955" s="82" t="s">
        <v>19721</v>
      </c>
      <c r="BD2955" s="82" t="s">
        <v>21584</v>
      </c>
      <c r="BE2955" s="77"/>
      <c r="BF2955" s="77"/>
      <c r="BG2955" s="77"/>
      <c r="BH2955" s="77"/>
      <c r="BI2955" s="77"/>
    </row>
    <row r="2956" spans="1:61" x14ac:dyDescent="0.25">
      <c r="A2956" s="62" t="s">
        <v>987</v>
      </c>
      <c r="B2956" s="62" t="s">
        <v>987</v>
      </c>
      <c r="C2956" s="63"/>
      <c r="D2956" s="64"/>
      <c r="E2956" s="65"/>
      <c r="F2956" s="66"/>
      <c r="G2956" s="63"/>
      <c r="H2956" s="67"/>
      <c r="I2956" s="68"/>
      <c r="J2956" s="68"/>
      <c r="K2956" s="32"/>
      <c r="L2956" s="75">
        <v>2956</v>
      </c>
      <c r="M2956" s="75"/>
      <c r="N2956" s="70"/>
      <c r="O2956" s="77" t="s">
        <v>179</v>
      </c>
      <c r="P2956" s="79">
        <v>45125.598993055559</v>
      </c>
      <c r="Q2956" s="77" t="s">
        <v>4162</v>
      </c>
      <c r="R2956" s="77">
        <v>2</v>
      </c>
      <c r="S2956" s="77">
        <v>3</v>
      </c>
      <c r="T2956" s="77">
        <v>0</v>
      </c>
      <c r="U2956" s="77">
        <v>0</v>
      </c>
      <c r="V2956" s="77">
        <v>131</v>
      </c>
      <c r="W2956" s="82" t="s">
        <v>5236</v>
      </c>
      <c r="X2956" s="77"/>
      <c r="Y2956" s="77"/>
      <c r="Z2956" s="77"/>
      <c r="AA2956" s="77" t="s">
        <v>9294</v>
      </c>
      <c r="AB2956" s="77" t="s">
        <v>10129</v>
      </c>
      <c r="AC2956" s="82" t="s">
        <v>10146</v>
      </c>
      <c r="AD2956" s="77" t="s">
        <v>10184</v>
      </c>
      <c r="AE2956" s="80" t="str">
        <f>HYPERLINK("https://twitter.com/ardennessi93834/status/1681308478105845763")</f>
        <v>https://twitter.com/ardennessi93834/status/1681308478105845763</v>
      </c>
      <c r="AF2956" s="79">
        <v>45125.598993055559</v>
      </c>
      <c r="AG2956" s="85">
        <v>45125</v>
      </c>
      <c r="AH2956" s="82" t="s">
        <v>12982</v>
      </c>
      <c r="AI2956" s="77" t="b">
        <v>0</v>
      </c>
      <c r="AJ2956" s="77"/>
      <c r="AK2956" s="77"/>
      <c r="AL2956" s="77"/>
      <c r="AM2956" s="77"/>
      <c r="AN2956" s="77"/>
      <c r="AO2956" s="77"/>
      <c r="AP2956" s="77"/>
      <c r="AQ2956" s="77" t="s">
        <v>15937</v>
      </c>
      <c r="AR2956" s="77">
        <v>44680</v>
      </c>
      <c r="AS2956" s="77"/>
      <c r="AT2956" s="77"/>
      <c r="AU2956" s="77"/>
      <c r="AV2956" s="80" t="str">
        <f>HYPERLINK("https://pbs.twimg.com/ext_tw_video_thumb/1681307226185797633/pu/img/HodbnmcFqHvF52ON.jpg")</f>
        <v>https://pbs.twimg.com/ext_tw_video_thumb/1681307226185797633/pu/img/HodbnmcFqHvF52ON.jpg</v>
      </c>
      <c r="AW2956" s="82" t="s">
        <v>19722</v>
      </c>
      <c r="AX2956" s="82" t="s">
        <v>19722</v>
      </c>
      <c r="AY2956" s="77"/>
      <c r="AZ2956" s="82" t="s">
        <v>20971</v>
      </c>
      <c r="BA2956" s="82" t="s">
        <v>20971</v>
      </c>
      <c r="BB2956" s="82" t="s">
        <v>20971</v>
      </c>
      <c r="BC2956" s="82" t="s">
        <v>19722</v>
      </c>
      <c r="BD2956" s="82" t="s">
        <v>21585</v>
      </c>
      <c r="BE2956" s="77"/>
      <c r="BF2956" s="77"/>
      <c r="BG2956" s="77"/>
      <c r="BH2956" s="77"/>
      <c r="BI2956" s="77"/>
    </row>
    <row r="2957" spans="1:61" x14ac:dyDescent="0.25">
      <c r="A2957" s="62" t="s">
        <v>987</v>
      </c>
      <c r="B2957" s="62" t="s">
        <v>987</v>
      </c>
      <c r="C2957" s="63"/>
      <c r="D2957" s="64"/>
      <c r="E2957" s="65"/>
      <c r="F2957" s="66"/>
      <c r="G2957" s="63"/>
      <c r="H2957" s="67"/>
      <c r="I2957" s="68"/>
      <c r="J2957" s="68"/>
      <c r="K2957" s="32"/>
      <c r="L2957" s="75">
        <v>2957</v>
      </c>
      <c r="M2957" s="75"/>
      <c r="N2957" s="70"/>
      <c r="O2957" s="77" t="s">
        <v>179</v>
      </c>
      <c r="P2957" s="79">
        <v>45123.065486111111</v>
      </c>
      <c r="Q2957" s="77" t="s">
        <v>4163</v>
      </c>
      <c r="R2957" s="77">
        <v>0</v>
      </c>
      <c r="S2957" s="77">
        <v>0</v>
      </c>
      <c r="T2957" s="77">
        <v>0</v>
      </c>
      <c r="U2957" s="77">
        <v>0</v>
      </c>
      <c r="V2957" s="77">
        <v>46</v>
      </c>
      <c r="W2957" s="82" t="s">
        <v>5236</v>
      </c>
      <c r="X2957" s="77"/>
      <c r="Y2957" s="77"/>
      <c r="Z2957" s="77"/>
      <c r="AA2957" s="77" t="s">
        <v>9295</v>
      </c>
      <c r="AB2957" s="77" t="s">
        <v>10129</v>
      </c>
      <c r="AC2957" s="82" t="s">
        <v>10146</v>
      </c>
      <c r="AD2957" s="77" t="s">
        <v>10184</v>
      </c>
      <c r="AE2957" s="80" t="str">
        <f>HYPERLINK("https://twitter.com/ardennessi93834/status/1680390366304821248")</f>
        <v>https://twitter.com/ardennessi93834/status/1680390366304821248</v>
      </c>
      <c r="AF2957" s="79">
        <v>45123.065486111111</v>
      </c>
      <c r="AG2957" s="85">
        <v>45123</v>
      </c>
      <c r="AH2957" s="82" t="s">
        <v>12983</v>
      </c>
      <c r="AI2957" s="77" t="b">
        <v>0</v>
      </c>
      <c r="AJ2957" s="77"/>
      <c r="AK2957" s="77"/>
      <c r="AL2957" s="77"/>
      <c r="AM2957" s="77"/>
      <c r="AN2957" s="77"/>
      <c r="AO2957" s="77"/>
      <c r="AP2957" s="77"/>
      <c r="AQ2957" s="77" t="s">
        <v>15938</v>
      </c>
      <c r="AR2957" s="77">
        <v>30291</v>
      </c>
      <c r="AS2957" s="77"/>
      <c r="AT2957" s="77"/>
      <c r="AU2957" s="77"/>
      <c r="AV2957" s="80" t="str">
        <f>HYPERLINK("https://pbs.twimg.com/ext_tw_video_thumb/1680390166903414784/pu/img/V5VV6_JzqgO05mV9.jpg")</f>
        <v>https://pbs.twimg.com/ext_tw_video_thumb/1680390166903414784/pu/img/V5VV6_JzqgO05mV9.jpg</v>
      </c>
      <c r="AW2957" s="82" t="s">
        <v>19723</v>
      </c>
      <c r="AX2957" s="82" t="s">
        <v>19723</v>
      </c>
      <c r="AY2957" s="77"/>
      <c r="AZ2957" s="82" t="s">
        <v>20971</v>
      </c>
      <c r="BA2957" s="82" t="s">
        <v>20971</v>
      </c>
      <c r="BB2957" s="82" t="s">
        <v>20971</v>
      </c>
      <c r="BC2957" s="82" t="s">
        <v>19723</v>
      </c>
      <c r="BD2957" s="82" t="s">
        <v>21585</v>
      </c>
      <c r="BE2957" s="77"/>
      <c r="BF2957" s="77"/>
      <c r="BG2957" s="77"/>
      <c r="BH2957" s="77"/>
      <c r="BI2957" s="77"/>
    </row>
    <row r="2958" spans="1:61" x14ac:dyDescent="0.25">
      <c r="A2958" s="62" t="s">
        <v>987</v>
      </c>
      <c r="B2958" s="62" t="s">
        <v>987</v>
      </c>
      <c r="C2958" s="63"/>
      <c r="D2958" s="64"/>
      <c r="E2958" s="65"/>
      <c r="F2958" s="66"/>
      <c r="G2958" s="63"/>
      <c r="H2958" s="67"/>
      <c r="I2958" s="68"/>
      <c r="J2958" s="68"/>
      <c r="K2958" s="32"/>
      <c r="L2958" s="75">
        <v>2958</v>
      </c>
      <c r="M2958" s="75"/>
      <c r="N2958" s="70"/>
      <c r="O2958" s="77" t="s">
        <v>179</v>
      </c>
      <c r="P2958" s="79">
        <v>45123.020833333336</v>
      </c>
      <c r="Q2958" s="77" t="s">
        <v>4164</v>
      </c>
      <c r="R2958" s="77">
        <v>0</v>
      </c>
      <c r="S2958" s="77">
        <v>0</v>
      </c>
      <c r="T2958" s="77">
        <v>0</v>
      </c>
      <c r="U2958" s="77">
        <v>0</v>
      </c>
      <c r="V2958" s="77">
        <v>43</v>
      </c>
      <c r="W2958" s="82" t="s">
        <v>6697</v>
      </c>
      <c r="X2958" s="77"/>
      <c r="Y2958" s="77"/>
      <c r="Z2958" s="77"/>
      <c r="AA2958" s="77" t="s">
        <v>9296</v>
      </c>
      <c r="AB2958" s="77" t="s">
        <v>10129</v>
      </c>
      <c r="AC2958" s="82" t="s">
        <v>10146</v>
      </c>
      <c r="AD2958" s="77" t="s">
        <v>10184</v>
      </c>
      <c r="AE2958" s="80" t="str">
        <f>HYPERLINK("https://twitter.com/ardennessi93834/status/1680374187465101313")</f>
        <v>https://twitter.com/ardennessi93834/status/1680374187465101313</v>
      </c>
      <c r="AF2958" s="79">
        <v>45123.020833333336</v>
      </c>
      <c r="AG2958" s="85">
        <v>45123</v>
      </c>
      <c r="AH2958" s="82" t="s">
        <v>12868</v>
      </c>
      <c r="AI2958" s="77" t="b">
        <v>0</v>
      </c>
      <c r="AJ2958" s="77"/>
      <c r="AK2958" s="77"/>
      <c r="AL2958" s="77"/>
      <c r="AM2958" s="77"/>
      <c r="AN2958" s="77"/>
      <c r="AO2958" s="77"/>
      <c r="AP2958" s="77"/>
      <c r="AQ2958" s="77" t="s">
        <v>15939</v>
      </c>
      <c r="AR2958" s="77">
        <v>16432</v>
      </c>
      <c r="AS2958" s="77"/>
      <c r="AT2958" s="77"/>
      <c r="AU2958" s="77"/>
      <c r="AV2958" s="80" t="str">
        <f>HYPERLINK("https://pbs.twimg.com/ext_tw_video_thumb/1680374051611475969/pu/img/ibWl01_mW5lvyvPD.jpg")</f>
        <v>https://pbs.twimg.com/ext_tw_video_thumb/1680374051611475969/pu/img/ibWl01_mW5lvyvPD.jpg</v>
      </c>
      <c r="AW2958" s="82" t="s">
        <v>19724</v>
      </c>
      <c r="AX2958" s="82" t="s">
        <v>19724</v>
      </c>
      <c r="AY2958" s="77"/>
      <c r="AZ2958" s="82" t="s">
        <v>20971</v>
      </c>
      <c r="BA2958" s="82" t="s">
        <v>20971</v>
      </c>
      <c r="BB2958" s="82" t="s">
        <v>20971</v>
      </c>
      <c r="BC2958" s="82" t="s">
        <v>19724</v>
      </c>
      <c r="BD2958" s="82" t="s">
        <v>21585</v>
      </c>
      <c r="BE2958" s="77"/>
      <c r="BF2958" s="77"/>
      <c r="BG2958" s="77"/>
      <c r="BH2958" s="77"/>
      <c r="BI2958" s="77"/>
    </row>
    <row r="2959" spans="1:61" x14ac:dyDescent="0.25">
      <c r="A2959" s="62" t="s">
        <v>987</v>
      </c>
      <c r="B2959" s="62" t="s">
        <v>987</v>
      </c>
      <c r="C2959" s="63"/>
      <c r="D2959" s="64"/>
      <c r="E2959" s="65"/>
      <c r="F2959" s="66"/>
      <c r="G2959" s="63"/>
      <c r="H2959" s="67"/>
      <c r="I2959" s="68"/>
      <c r="J2959" s="68"/>
      <c r="K2959" s="32"/>
      <c r="L2959" s="75">
        <v>2959</v>
      </c>
      <c r="M2959" s="75"/>
      <c r="N2959" s="70"/>
      <c r="O2959" s="77" t="s">
        <v>179</v>
      </c>
      <c r="P2959" s="79">
        <v>45123.007407407407</v>
      </c>
      <c r="Q2959" s="77" t="s">
        <v>4165</v>
      </c>
      <c r="R2959" s="77">
        <v>0</v>
      </c>
      <c r="S2959" s="77">
        <v>0</v>
      </c>
      <c r="T2959" s="77">
        <v>0</v>
      </c>
      <c r="U2959" s="77">
        <v>0</v>
      </c>
      <c r="V2959" s="77">
        <v>45</v>
      </c>
      <c r="W2959" s="82" t="s">
        <v>5236</v>
      </c>
      <c r="X2959" s="77"/>
      <c r="Y2959" s="77"/>
      <c r="Z2959" s="77"/>
      <c r="AA2959" s="77" t="s">
        <v>9297</v>
      </c>
      <c r="AB2959" s="77" t="s">
        <v>10129</v>
      </c>
      <c r="AC2959" s="82" t="s">
        <v>10146</v>
      </c>
      <c r="AD2959" s="77" t="s">
        <v>10184</v>
      </c>
      <c r="AE2959" s="80" t="str">
        <f>HYPERLINK("https://twitter.com/ardennessi93834/status/1680369321195831296")</f>
        <v>https://twitter.com/ardennessi93834/status/1680369321195831296</v>
      </c>
      <c r="AF2959" s="79">
        <v>45123.007407407407</v>
      </c>
      <c r="AG2959" s="85">
        <v>45123</v>
      </c>
      <c r="AH2959" s="82" t="s">
        <v>12984</v>
      </c>
      <c r="AI2959" s="77" t="b">
        <v>0</v>
      </c>
      <c r="AJ2959" s="77"/>
      <c r="AK2959" s="77"/>
      <c r="AL2959" s="77"/>
      <c r="AM2959" s="77"/>
      <c r="AN2959" s="77"/>
      <c r="AO2959" s="77"/>
      <c r="AP2959" s="77"/>
      <c r="AQ2959" s="77" t="s">
        <v>15940</v>
      </c>
      <c r="AR2959" s="77">
        <v>17644</v>
      </c>
      <c r="AS2959" s="77"/>
      <c r="AT2959" s="77"/>
      <c r="AU2959" s="77"/>
      <c r="AV2959" s="80" t="str">
        <f>HYPERLINK("https://pbs.twimg.com/ext_tw_video_thumb/1680369255961731072/pu/img/wsK9nEvKg3xih7sl.jpg")</f>
        <v>https://pbs.twimg.com/ext_tw_video_thumb/1680369255961731072/pu/img/wsK9nEvKg3xih7sl.jpg</v>
      </c>
      <c r="AW2959" s="82" t="s">
        <v>19725</v>
      </c>
      <c r="AX2959" s="82" t="s">
        <v>19725</v>
      </c>
      <c r="AY2959" s="77"/>
      <c r="AZ2959" s="82" t="s">
        <v>20971</v>
      </c>
      <c r="BA2959" s="82" t="s">
        <v>20971</v>
      </c>
      <c r="BB2959" s="82" t="s">
        <v>20971</v>
      </c>
      <c r="BC2959" s="82" t="s">
        <v>19725</v>
      </c>
      <c r="BD2959" s="82" t="s">
        <v>21585</v>
      </c>
      <c r="BE2959" s="77"/>
      <c r="BF2959" s="77"/>
      <c r="BG2959" s="77"/>
      <c r="BH2959" s="77"/>
      <c r="BI2959" s="77"/>
    </row>
    <row r="2960" spans="1:61" x14ac:dyDescent="0.25">
      <c r="A2960" s="62" t="s">
        <v>987</v>
      </c>
      <c r="B2960" s="62" t="s">
        <v>987</v>
      </c>
      <c r="C2960" s="63"/>
      <c r="D2960" s="64"/>
      <c r="E2960" s="65"/>
      <c r="F2960" s="66"/>
      <c r="G2960" s="63"/>
      <c r="H2960" s="67"/>
      <c r="I2960" s="68"/>
      <c r="J2960" s="68"/>
      <c r="K2960" s="32"/>
      <c r="L2960" s="75">
        <v>2960</v>
      </c>
      <c r="M2960" s="75"/>
      <c r="N2960" s="70"/>
      <c r="O2960" s="77" t="s">
        <v>179</v>
      </c>
      <c r="P2960" s="79">
        <v>45122.180601851855</v>
      </c>
      <c r="Q2960" s="77" t="s">
        <v>4166</v>
      </c>
      <c r="R2960" s="77">
        <v>0</v>
      </c>
      <c r="S2960" s="77">
        <v>0</v>
      </c>
      <c r="T2960" s="77">
        <v>0</v>
      </c>
      <c r="U2960" s="77">
        <v>0</v>
      </c>
      <c r="V2960" s="77">
        <v>22</v>
      </c>
      <c r="W2960" s="82" t="s">
        <v>6698</v>
      </c>
      <c r="X2960" s="77"/>
      <c r="Y2960" s="77"/>
      <c r="Z2960" s="77"/>
      <c r="AA2960" s="77" t="s">
        <v>9298</v>
      </c>
      <c r="AB2960" s="77" t="s">
        <v>10129</v>
      </c>
      <c r="AC2960" s="82" t="s">
        <v>10146</v>
      </c>
      <c r="AD2960" s="77" t="s">
        <v>10184</v>
      </c>
      <c r="AE2960" s="80" t="str">
        <f>HYPERLINK("https://twitter.com/ardennessi93834/status/1680069697092427776")</f>
        <v>https://twitter.com/ardennessi93834/status/1680069697092427776</v>
      </c>
      <c r="AF2960" s="79">
        <v>45122.180601851855</v>
      </c>
      <c r="AG2960" s="85">
        <v>45122</v>
      </c>
      <c r="AH2960" s="82" t="s">
        <v>12985</v>
      </c>
      <c r="AI2960" s="77" t="b">
        <v>0</v>
      </c>
      <c r="AJ2960" s="77"/>
      <c r="AK2960" s="77"/>
      <c r="AL2960" s="77"/>
      <c r="AM2960" s="77"/>
      <c r="AN2960" s="77"/>
      <c r="AO2960" s="77"/>
      <c r="AP2960" s="77"/>
      <c r="AQ2960" s="77" t="s">
        <v>15941</v>
      </c>
      <c r="AR2960" s="77">
        <v>37366</v>
      </c>
      <c r="AS2960" s="77"/>
      <c r="AT2960" s="77"/>
      <c r="AU2960" s="77"/>
      <c r="AV2960" s="80" t="str">
        <f>HYPERLINK("https://pbs.twimg.com/ext_tw_video_thumb/1680069613864853504/pu/img/ymuSG-toxt8WnjVH.jpg")</f>
        <v>https://pbs.twimg.com/ext_tw_video_thumb/1680069613864853504/pu/img/ymuSG-toxt8WnjVH.jpg</v>
      </c>
      <c r="AW2960" s="82" t="s">
        <v>19726</v>
      </c>
      <c r="AX2960" s="82" t="s">
        <v>19726</v>
      </c>
      <c r="AY2960" s="77"/>
      <c r="AZ2960" s="82" t="s">
        <v>20971</v>
      </c>
      <c r="BA2960" s="82" t="s">
        <v>20971</v>
      </c>
      <c r="BB2960" s="82" t="s">
        <v>20971</v>
      </c>
      <c r="BC2960" s="82" t="s">
        <v>19726</v>
      </c>
      <c r="BD2960" s="82" t="s">
        <v>21585</v>
      </c>
      <c r="BE2960" s="77"/>
      <c r="BF2960" s="77"/>
      <c r="BG2960" s="77"/>
      <c r="BH2960" s="77"/>
      <c r="BI2960" s="77"/>
    </row>
    <row r="2961" spans="1:61" x14ac:dyDescent="0.25">
      <c r="A2961" s="62" t="s">
        <v>987</v>
      </c>
      <c r="B2961" s="62" t="s">
        <v>987</v>
      </c>
      <c r="C2961" s="63"/>
      <c r="D2961" s="64"/>
      <c r="E2961" s="65"/>
      <c r="F2961" s="66"/>
      <c r="G2961" s="63"/>
      <c r="H2961" s="67"/>
      <c r="I2961" s="68"/>
      <c r="J2961" s="68"/>
      <c r="K2961" s="32"/>
      <c r="L2961" s="75">
        <v>2961</v>
      </c>
      <c r="M2961" s="75"/>
      <c r="N2961" s="70"/>
      <c r="O2961" s="77" t="s">
        <v>179</v>
      </c>
      <c r="P2961" s="79">
        <v>45127.643518518518</v>
      </c>
      <c r="Q2961" s="77" t="s">
        <v>4167</v>
      </c>
      <c r="R2961" s="77">
        <v>0</v>
      </c>
      <c r="S2961" s="77">
        <v>0</v>
      </c>
      <c r="T2961" s="77">
        <v>0</v>
      </c>
      <c r="U2961" s="77">
        <v>0</v>
      </c>
      <c r="V2961" s="77">
        <v>11</v>
      </c>
      <c r="W2961" s="82" t="s">
        <v>6699</v>
      </c>
      <c r="X2961" s="77"/>
      <c r="Y2961" s="77"/>
      <c r="Z2961" s="77"/>
      <c r="AA2961" s="77" t="s">
        <v>9299</v>
      </c>
      <c r="AB2961" s="77" t="s">
        <v>10130</v>
      </c>
      <c r="AC2961" s="82" t="s">
        <v>10146</v>
      </c>
      <c r="AD2961" s="77" t="s">
        <v>10184</v>
      </c>
      <c r="AE2961" s="80" t="str">
        <f>HYPERLINK("https://twitter.com/ardennessi93834/status/1682049390926524416")</f>
        <v>https://twitter.com/ardennessi93834/status/1682049390926524416</v>
      </c>
      <c r="AF2961" s="79">
        <v>45127.643518518518</v>
      </c>
      <c r="AG2961" s="85">
        <v>45127</v>
      </c>
      <c r="AH2961" s="82" t="s">
        <v>12986</v>
      </c>
      <c r="AI2961" s="77" t="b">
        <v>0</v>
      </c>
      <c r="AJ2961" s="77"/>
      <c r="AK2961" s="77"/>
      <c r="AL2961" s="77"/>
      <c r="AM2961" s="77"/>
      <c r="AN2961" s="77"/>
      <c r="AO2961" s="77"/>
      <c r="AP2961" s="77"/>
      <c r="AQ2961" s="77" t="s">
        <v>15942</v>
      </c>
      <c r="AR2961" s="77"/>
      <c r="AS2961" s="77"/>
      <c r="AT2961" s="77"/>
      <c r="AU2961" s="77"/>
      <c r="AV2961" s="80" t="str">
        <f>HYPERLINK("https://pbs.twimg.com/media/F1fW_LwXgAIPCqw.jpg")</f>
        <v>https://pbs.twimg.com/media/F1fW_LwXgAIPCqw.jpg</v>
      </c>
      <c r="AW2961" s="82" t="s">
        <v>19727</v>
      </c>
      <c r="AX2961" s="82" t="s">
        <v>19727</v>
      </c>
      <c r="AY2961" s="77"/>
      <c r="AZ2961" s="82" t="s">
        <v>20971</v>
      </c>
      <c r="BA2961" s="82" t="s">
        <v>20971</v>
      </c>
      <c r="BB2961" s="82" t="s">
        <v>20971</v>
      </c>
      <c r="BC2961" s="82" t="s">
        <v>19727</v>
      </c>
      <c r="BD2961" s="82" t="s">
        <v>21585</v>
      </c>
      <c r="BE2961" s="77"/>
      <c r="BF2961" s="77"/>
      <c r="BG2961" s="77"/>
      <c r="BH2961" s="77"/>
      <c r="BI2961" s="77"/>
    </row>
    <row r="2962" spans="1:61" x14ac:dyDescent="0.25">
      <c r="A2962" s="62" t="s">
        <v>987</v>
      </c>
      <c r="B2962" s="62" t="s">
        <v>987</v>
      </c>
      <c r="C2962" s="63"/>
      <c r="D2962" s="64"/>
      <c r="E2962" s="65"/>
      <c r="F2962" s="66"/>
      <c r="G2962" s="63"/>
      <c r="H2962" s="67"/>
      <c r="I2962" s="68"/>
      <c r="J2962" s="68"/>
      <c r="K2962" s="32"/>
      <c r="L2962" s="75">
        <v>2962</v>
      </c>
      <c r="M2962" s="75"/>
      <c r="N2962" s="70"/>
      <c r="O2962" s="77" t="s">
        <v>179</v>
      </c>
      <c r="P2962" s="79">
        <v>45123.089189814818</v>
      </c>
      <c r="Q2962" s="77" t="s">
        <v>4168</v>
      </c>
      <c r="R2962" s="77">
        <v>0</v>
      </c>
      <c r="S2962" s="77">
        <v>0</v>
      </c>
      <c r="T2962" s="77">
        <v>0</v>
      </c>
      <c r="U2962" s="77">
        <v>0</v>
      </c>
      <c r="V2962" s="77">
        <v>24</v>
      </c>
      <c r="W2962" s="82" t="s">
        <v>6700</v>
      </c>
      <c r="X2962" s="77"/>
      <c r="Y2962" s="77"/>
      <c r="Z2962" s="77"/>
      <c r="AA2962" s="77" t="s">
        <v>9300</v>
      </c>
      <c r="AB2962" s="77" t="s">
        <v>10129</v>
      </c>
      <c r="AC2962" s="82" t="s">
        <v>10146</v>
      </c>
      <c r="AD2962" s="77" t="s">
        <v>10184</v>
      </c>
      <c r="AE2962" s="80" t="str">
        <f>HYPERLINK("https://twitter.com/ardennessi93834/status/1680398957543866368")</f>
        <v>https://twitter.com/ardennessi93834/status/1680398957543866368</v>
      </c>
      <c r="AF2962" s="79">
        <v>45123.089189814818</v>
      </c>
      <c r="AG2962" s="85">
        <v>45123</v>
      </c>
      <c r="AH2962" s="82" t="s">
        <v>12987</v>
      </c>
      <c r="AI2962" s="77" t="b">
        <v>0</v>
      </c>
      <c r="AJ2962" s="77"/>
      <c r="AK2962" s="77"/>
      <c r="AL2962" s="77"/>
      <c r="AM2962" s="77"/>
      <c r="AN2962" s="77"/>
      <c r="AO2962" s="77"/>
      <c r="AP2962" s="77"/>
      <c r="AQ2962" s="77" t="s">
        <v>15943</v>
      </c>
      <c r="AR2962" s="77">
        <v>68100</v>
      </c>
      <c r="AS2962" s="77"/>
      <c r="AT2962" s="77"/>
      <c r="AU2962" s="77"/>
      <c r="AV2962" s="80" t="str">
        <f>HYPERLINK("https://pbs.twimg.com/ext_tw_video_thumb/1680398870470094848/pu/img/lHtepXhvrEt6wvWA.jpg")</f>
        <v>https://pbs.twimg.com/ext_tw_video_thumb/1680398870470094848/pu/img/lHtepXhvrEt6wvWA.jpg</v>
      </c>
      <c r="AW2962" s="82" t="s">
        <v>19728</v>
      </c>
      <c r="AX2962" s="82" t="s">
        <v>19728</v>
      </c>
      <c r="AY2962" s="77"/>
      <c r="AZ2962" s="82" t="s">
        <v>20971</v>
      </c>
      <c r="BA2962" s="82" t="s">
        <v>20971</v>
      </c>
      <c r="BB2962" s="82" t="s">
        <v>20971</v>
      </c>
      <c r="BC2962" s="82" t="s">
        <v>19728</v>
      </c>
      <c r="BD2962" s="82" t="s">
        <v>21585</v>
      </c>
      <c r="BE2962" s="77"/>
      <c r="BF2962" s="77"/>
      <c r="BG2962" s="77"/>
      <c r="BH2962" s="77"/>
      <c r="BI2962" s="77"/>
    </row>
    <row r="2963" spans="1:61" x14ac:dyDescent="0.25">
      <c r="A2963" s="62" t="s">
        <v>987</v>
      </c>
      <c r="B2963" s="62" t="s">
        <v>987</v>
      </c>
      <c r="C2963" s="63"/>
      <c r="D2963" s="64"/>
      <c r="E2963" s="65"/>
      <c r="F2963" s="66"/>
      <c r="G2963" s="63"/>
      <c r="H2963" s="67"/>
      <c r="I2963" s="68"/>
      <c r="J2963" s="68"/>
      <c r="K2963" s="32"/>
      <c r="L2963" s="75">
        <v>2963</v>
      </c>
      <c r="M2963" s="75"/>
      <c r="N2963" s="70"/>
      <c r="O2963" s="77" t="s">
        <v>179</v>
      </c>
      <c r="P2963" s="79">
        <v>45134.622118055559</v>
      </c>
      <c r="Q2963" s="77" t="s">
        <v>4169</v>
      </c>
      <c r="R2963" s="77">
        <v>1</v>
      </c>
      <c r="S2963" s="77">
        <v>1</v>
      </c>
      <c r="T2963" s="77">
        <v>1</v>
      </c>
      <c r="U2963" s="77">
        <v>0</v>
      </c>
      <c r="V2963" s="77">
        <v>89</v>
      </c>
      <c r="W2963" s="82" t="s">
        <v>6700</v>
      </c>
      <c r="X2963" s="77"/>
      <c r="Y2963" s="77"/>
      <c r="Z2963" s="77"/>
      <c r="AA2963" s="77" t="s">
        <v>9301</v>
      </c>
      <c r="AB2963" s="77" t="s">
        <v>10129</v>
      </c>
      <c r="AC2963" s="82" t="s">
        <v>10146</v>
      </c>
      <c r="AD2963" s="77" t="s">
        <v>10184</v>
      </c>
      <c r="AE2963" s="80" t="str">
        <f>HYPERLINK("https://twitter.com/ardennessi93834/status/1684578349149196290")</f>
        <v>https://twitter.com/ardennessi93834/status/1684578349149196290</v>
      </c>
      <c r="AF2963" s="79">
        <v>45134.622118055559</v>
      </c>
      <c r="AG2963" s="85">
        <v>45134</v>
      </c>
      <c r="AH2963" s="82" t="s">
        <v>12988</v>
      </c>
      <c r="AI2963" s="77" t="b">
        <v>0</v>
      </c>
      <c r="AJ2963" s="77"/>
      <c r="AK2963" s="77"/>
      <c r="AL2963" s="77"/>
      <c r="AM2963" s="77"/>
      <c r="AN2963" s="77"/>
      <c r="AO2963" s="77"/>
      <c r="AP2963" s="77"/>
      <c r="AQ2963" s="77" t="s">
        <v>15944</v>
      </c>
      <c r="AR2963" s="77">
        <v>13400</v>
      </c>
      <c r="AS2963" s="77"/>
      <c r="AT2963" s="77"/>
      <c r="AU2963" s="77"/>
      <c r="AV2963" s="80" t="str">
        <f>HYPERLINK("https://pbs.twimg.com/ext_tw_video_thumb/1684578166751498240/pu/img/ByP6syE5Oam1ER5J.jpg")</f>
        <v>https://pbs.twimg.com/ext_tw_video_thumb/1684578166751498240/pu/img/ByP6syE5Oam1ER5J.jpg</v>
      </c>
      <c r="AW2963" s="82" t="s">
        <v>19729</v>
      </c>
      <c r="AX2963" s="82" t="s">
        <v>19729</v>
      </c>
      <c r="AY2963" s="77"/>
      <c r="AZ2963" s="82" t="s">
        <v>20971</v>
      </c>
      <c r="BA2963" s="82" t="s">
        <v>20971</v>
      </c>
      <c r="BB2963" s="82" t="s">
        <v>20971</v>
      </c>
      <c r="BC2963" s="82" t="s">
        <v>19729</v>
      </c>
      <c r="BD2963" s="82" t="s">
        <v>21585</v>
      </c>
      <c r="BE2963" s="77"/>
      <c r="BF2963" s="77"/>
      <c r="BG2963" s="77"/>
      <c r="BH2963" s="77"/>
      <c r="BI2963" s="77"/>
    </row>
    <row r="2964" spans="1:61" x14ac:dyDescent="0.25">
      <c r="A2964" s="62" t="s">
        <v>987</v>
      </c>
      <c r="B2964" s="62" t="s">
        <v>987</v>
      </c>
      <c r="C2964" s="63"/>
      <c r="D2964" s="64"/>
      <c r="E2964" s="65"/>
      <c r="F2964" s="66"/>
      <c r="G2964" s="63"/>
      <c r="H2964" s="67"/>
      <c r="I2964" s="68"/>
      <c r="J2964" s="68"/>
      <c r="K2964" s="32"/>
      <c r="L2964" s="75">
        <v>2964</v>
      </c>
      <c r="M2964" s="75"/>
      <c r="N2964" s="70"/>
      <c r="O2964" s="77" t="s">
        <v>179</v>
      </c>
      <c r="P2964" s="79">
        <v>45133.623194444444</v>
      </c>
      <c r="Q2964" s="77" t="s">
        <v>4170</v>
      </c>
      <c r="R2964" s="77">
        <v>0</v>
      </c>
      <c r="S2964" s="77">
        <v>0</v>
      </c>
      <c r="T2964" s="77">
        <v>0</v>
      </c>
      <c r="U2964" s="77">
        <v>0</v>
      </c>
      <c r="V2964" s="77">
        <v>10</v>
      </c>
      <c r="W2964" s="82" t="s">
        <v>6700</v>
      </c>
      <c r="X2964" s="77"/>
      <c r="Y2964" s="77"/>
      <c r="Z2964" s="77"/>
      <c r="AA2964" s="77" t="s">
        <v>9302</v>
      </c>
      <c r="AB2964" s="77" t="s">
        <v>10130</v>
      </c>
      <c r="AC2964" s="82" t="s">
        <v>10146</v>
      </c>
      <c r="AD2964" s="77" t="s">
        <v>10184</v>
      </c>
      <c r="AE2964" s="80" t="str">
        <f>HYPERLINK("https://twitter.com/ardennessi93834/status/1684216355069779969")</f>
        <v>https://twitter.com/ardennessi93834/status/1684216355069779969</v>
      </c>
      <c r="AF2964" s="79">
        <v>45133.623194444444</v>
      </c>
      <c r="AG2964" s="85">
        <v>45133</v>
      </c>
      <c r="AH2964" s="82" t="s">
        <v>12989</v>
      </c>
      <c r="AI2964" s="77" t="b">
        <v>0</v>
      </c>
      <c r="AJ2964" s="77"/>
      <c r="AK2964" s="77"/>
      <c r="AL2964" s="77"/>
      <c r="AM2964" s="77"/>
      <c r="AN2964" s="77"/>
      <c r="AO2964" s="77"/>
      <c r="AP2964" s="77"/>
      <c r="AQ2964" s="77" t="s">
        <v>15945</v>
      </c>
      <c r="AR2964" s="77"/>
      <c r="AS2964" s="77"/>
      <c r="AT2964" s="77"/>
      <c r="AU2964" s="77"/>
      <c r="AV2964" s="80" t="str">
        <f>HYPERLINK("https://pbs.twimg.com/media/F1-J00FXoAQRnSt.jpg")</f>
        <v>https://pbs.twimg.com/media/F1-J00FXoAQRnSt.jpg</v>
      </c>
      <c r="AW2964" s="82" t="s">
        <v>19730</v>
      </c>
      <c r="AX2964" s="82" t="s">
        <v>19730</v>
      </c>
      <c r="AY2964" s="77"/>
      <c r="AZ2964" s="82" t="s">
        <v>20971</v>
      </c>
      <c r="BA2964" s="82" t="s">
        <v>20971</v>
      </c>
      <c r="BB2964" s="82" t="s">
        <v>20971</v>
      </c>
      <c r="BC2964" s="82" t="s">
        <v>19730</v>
      </c>
      <c r="BD2964" s="82" t="s">
        <v>21585</v>
      </c>
      <c r="BE2964" s="77"/>
      <c r="BF2964" s="77"/>
      <c r="BG2964" s="77"/>
      <c r="BH2964" s="77"/>
      <c r="BI2964" s="77"/>
    </row>
    <row r="2965" spans="1:61" x14ac:dyDescent="0.25">
      <c r="A2965" s="62" t="s">
        <v>987</v>
      </c>
      <c r="B2965" s="62" t="s">
        <v>987</v>
      </c>
      <c r="C2965" s="63"/>
      <c r="D2965" s="64"/>
      <c r="E2965" s="65"/>
      <c r="F2965" s="66"/>
      <c r="G2965" s="63"/>
      <c r="H2965" s="67"/>
      <c r="I2965" s="68"/>
      <c r="J2965" s="68"/>
      <c r="K2965" s="32"/>
      <c r="L2965" s="75">
        <v>2965</v>
      </c>
      <c r="M2965" s="75"/>
      <c r="N2965" s="70"/>
      <c r="O2965" s="77" t="s">
        <v>179</v>
      </c>
      <c r="P2965" s="79">
        <v>45148.508564814816</v>
      </c>
      <c r="Q2965" s="77" t="s">
        <v>4171</v>
      </c>
      <c r="R2965" s="77">
        <v>0</v>
      </c>
      <c r="S2965" s="77">
        <v>0</v>
      </c>
      <c r="T2965" s="77">
        <v>0</v>
      </c>
      <c r="U2965" s="77">
        <v>0</v>
      </c>
      <c r="V2965" s="77">
        <v>14</v>
      </c>
      <c r="W2965" s="82" t="s">
        <v>6700</v>
      </c>
      <c r="X2965" s="77"/>
      <c r="Y2965" s="77"/>
      <c r="Z2965" s="77"/>
      <c r="AA2965" s="77" t="s">
        <v>9303</v>
      </c>
      <c r="AB2965" s="77" t="s">
        <v>10130</v>
      </c>
      <c r="AC2965" s="82" t="s">
        <v>10146</v>
      </c>
      <c r="AD2965" s="77" t="s">
        <v>10184</v>
      </c>
      <c r="AE2965" s="80" t="str">
        <f>HYPERLINK("https://twitter.com/ardennessi93834/status/1689610632000126977")</f>
        <v>https://twitter.com/ardennessi93834/status/1689610632000126977</v>
      </c>
      <c r="AF2965" s="79">
        <v>45148.508564814816</v>
      </c>
      <c r="AG2965" s="85">
        <v>45148</v>
      </c>
      <c r="AH2965" s="82" t="s">
        <v>12990</v>
      </c>
      <c r="AI2965" s="77" t="b">
        <v>0</v>
      </c>
      <c r="AJ2965" s="77"/>
      <c r="AK2965" s="77"/>
      <c r="AL2965" s="77"/>
      <c r="AM2965" s="77"/>
      <c r="AN2965" s="77"/>
      <c r="AO2965" s="77"/>
      <c r="AP2965" s="77"/>
      <c r="AQ2965" s="77" t="s">
        <v>15946</v>
      </c>
      <c r="AR2965" s="77"/>
      <c r="AS2965" s="77"/>
      <c r="AT2965" s="77"/>
      <c r="AU2965" s="77"/>
      <c r="AV2965" s="80" t="str">
        <f>HYPERLINK("https://pbs.twimg.com/media/F3Kz4ofXEAAStca.jpg")</f>
        <v>https://pbs.twimg.com/media/F3Kz4ofXEAAStca.jpg</v>
      </c>
      <c r="AW2965" s="82" t="s">
        <v>19731</v>
      </c>
      <c r="AX2965" s="82" t="s">
        <v>19731</v>
      </c>
      <c r="AY2965" s="77"/>
      <c r="AZ2965" s="82" t="s">
        <v>20971</v>
      </c>
      <c r="BA2965" s="82" t="s">
        <v>20971</v>
      </c>
      <c r="BB2965" s="82" t="s">
        <v>20971</v>
      </c>
      <c r="BC2965" s="82" t="s">
        <v>19731</v>
      </c>
      <c r="BD2965" s="82" t="s">
        <v>21585</v>
      </c>
      <c r="BE2965" s="77"/>
      <c r="BF2965" s="77"/>
      <c r="BG2965" s="77"/>
      <c r="BH2965" s="77"/>
      <c r="BI2965" s="77"/>
    </row>
    <row r="2966" spans="1:61" x14ac:dyDescent="0.25">
      <c r="A2966" s="62" t="s">
        <v>987</v>
      </c>
      <c r="B2966" s="62" t="s">
        <v>987</v>
      </c>
      <c r="C2966" s="63"/>
      <c r="D2966" s="64"/>
      <c r="E2966" s="65"/>
      <c r="F2966" s="66"/>
      <c r="G2966" s="63"/>
      <c r="H2966" s="67"/>
      <c r="I2966" s="68"/>
      <c r="J2966" s="68"/>
      <c r="K2966" s="32"/>
      <c r="L2966" s="75">
        <v>2966</v>
      </c>
      <c r="M2966" s="75"/>
      <c r="N2966" s="70"/>
      <c r="O2966" s="77" t="s">
        <v>179</v>
      </c>
      <c r="P2966" s="79">
        <v>45148.506898148145</v>
      </c>
      <c r="Q2966" s="77" t="s">
        <v>4172</v>
      </c>
      <c r="R2966" s="77">
        <v>0</v>
      </c>
      <c r="S2966" s="77">
        <v>0</v>
      </c>
      <c r="T2966" s="77">
        <v>0</v>
      </c>
      <c r="U2966" s="77">
        <v>0</v>
      </c>
      <c r="V2966" s="77">
        <v>10</v>
      </c>
      <c r="W2966" s="82" t="s">
        <v>6700</v>
      </c>
      <c r="X2966" s="77"/>
      <c r="Y2966" s="77"/>
      <c r="Z2966" s="77"/>
      <c r="AA2966" s="77" t="s">
        <v>9304</v>
      </c>
      <c r="AB2966" s="77" t="s">
        <v>10130</v>
      </c>
      <c r="AC2966" s="82" t="s">
        <v>10146</v>
      </c>
      <c r="AD2966" s="77" t="s">
        <v>10184</v>
      </c>
      <c r="AE2966" s="80" t="str">
        <f>HYPERLINK("https://twitter.com/ardennessi93834/status/1689610026640429057")</f>
        <v>https://twitter.com/ardennessi93834/status/1689610026640429057</v>
      </c>
      <c r="AF2966" s="79">
        <v>45148.506898148145</v>
      </c>
      <c r="AG2966" s="85">
        <v>45148</v>
      </c>
      <c r="AH2966" s="82" t="s">
        <v>12991</v>
      </c>
      <c r="AI2966" s="77" t="b">
        <v>0</v>
      </c>
      <c r="AJ2966" s="77"/>
      <c r="AK2966" s="77"/>
      <c r="AL2966" s="77"/>
      <c r="AM2966" s="77"/>
      <c r="AN2966" s="77"/>
      <c r="AO2966" s="77"/>
      <c r="AP2966" s="77"/>
      <c r="AQ2966" s="77" t="s">
        <v>15947</v>
      </c>
      <c r="AR2966" s="77"/>
      <c r="AS2966" s="77"/>
      <c r="AT2966" s="77"/>
      <c r="AU2966" s="77"/>
      <c r="AV2966" s="80" t="str">
        <f>HYPERLINK("https://pbs.twimg.com/media/F3KzUIvWYAEAU7V.jpg")</f>
        <v>https://pbs.twimg.com/media/F3KzUIvWYAEAU7V.jpg</v>
      </c>
      <c r="AW2966" s="82" t="s">
        <v>19732</v>
      </c>
      <c r="AX2966" s="82" t="s">
        <v>19732</v>
      </c>
      <c r="AY2966" s="77"/>
      <c r="AZ2966" s="82" t="s">
        <v>20971</v>
      </c>
      <c r="BA2966" s="82" t="s">
        <v>20971</v>
      </c>
      <c r="BB2966" s="82" t="s">
        <v>20971</v>
      </c>
      <c r="BC2966" s="82" t="s">
        <v>19732</v>
      </c>
      <c r="BD2966" s="82" t="s">
        <v>21585</v>
      </c>
      <c r="BE2966" s="77"/>
      <c r="BF2966" s="77"/>
      <c r="BG2966" s="77"/>
      <c r="BH2966" s="77"/>
      <c r="BI2966" s="77"/>
    </row>
    <row r="2967" spans="1:61" x14ac:dyDescent="0.25">
      <c r="A2967" s="62" t="s">
        <v>987</v>
      </c>
      <c r="B2967" s="62" t="s">
        <v>987</v>
      </c>
      <c r="C2967" s="63"/>
      <c r="D2967" s="64"/>
      <c r="E2967" s="65"/>
      <c r="F2967" s="66"/>
      <c r="G2967" s="63"/>
      <c r="H2967" s="67"/>
      <c r="I2967" s="68"/>
      <c r="J2967" s="68"/>
      <c r="K2967" s="32"/>
      <c r="L2967" s="75">
        <v>2967</v>
      </c>
      <c r="M2967" s="75"/>
      <c r="N2967" s="70"/>
      <c r="O2967" s="77" t="s">
        <v>179</v>
      </c>
      <c r="P2967" s="79">
        <v>45126.548541666663</v>
      </c>
      <c r="Q2967" s="77" t="s">
        <v>4173</v>
      </c>
      <c r="R2967" s="77">
        <v>1</v>
      </c>
      <c r="S2967" s="77">
        <v>1</v>
      </c>
      <c r="T2967" s="77">
        <v>0</v>
      </c>
      <c r="U2967" s="77">
        <v>0</v>
      </c>
      <c r="V2967" s="77">
        <v>17</v>
      </c>
      <c r="W2967" s="82" t="s">
        <v>6697</v>
      </c>
      <c r="X2967" s="77"/>
      <c r="Y2967" s="77"/>
      <c r="Z2967" s="77"/>
      <c r="AA2967" s="77" t="s">
        <v>9305</v>
      </c>
      <c r="AB2967" s="77" t="s">
        <v>10130</v>
      </c>
      <c r="AC2967" s="82" t="s">
        <v>10146</v>
      </c>
      <c r="AD2967" s="77" t="s">
        <v>10184</v>
      </c>
      <c r="AE2967" s="80" t="str">
        <f>HYPERLINK("https://twitter.com/ardennessi93834/status/1681652585713872898")</f>
        <v>https://twitter.com/ardennessi93834/status/1681652585713872898</v>
      </c>
      <c r="AF2967" s="79">
        <v>45126.548541666663</v>
      </c>
      <c r="AG2967" s="85">
        <v>45126</v>
      </c>
      <c r="AH2967" s="82" t="s">
        <v>12992</v>
      </c>
      <c r="AI2967" s="77" t="b">
        <v>0</v>
      </c>
      <c r="AJ2967" s="77"/>
      <c r="AK2967" s="77"/>
      <c r="AL2967" s="77"/>
      <c r="AM2967" s="77"/>
      <c r="AN2967" s="77"/>
      <c r="AO2967" s="77"/>
      <c r="AP2967" s="77"/>
      <c r="AQ2967" s="77" t="s">
        <v>15948</v>
      </c>
      <c r="AR2967" s="77"/>
      <c r="AS2967" s="77"/>
      <c r="AT2967" s="77"/>
      <c r="AU2967" s="77"/>
      <c r="AV2967" s="80" t="str">
        <f>HYPERLINK("https://pbs.twimg.com/media/F1ZuGQ5X0AECqOl.jpg")</f>
        <v>https://pbs.twimg.com/media/F1ZuGQ5X0AECqOl.jpg</v>
      </c>
      <c r="AW2967" s="82" t="s">
        <v>19733</v>
      </c>
      <c r="AX2967" s="82" t="s">
        <v>19733</v>
      </c>
      <c r="AY2967" s="77"/>
      <c r="AZ2967" s="82" t="s">
        <v>20971</v>
      </c>
      <c r="BA2967" s="82" t="s">
        <v>20971</v>
      </c>
      <c r="BB2967" s="82" t="s">
        <v>20971</v>
      </c>
      <c r="BC2967" s="82" t="s">
        <v>19733</v>
      </c>
      <c r="BD2967" s="82" t="s">
        <v>21585</v>
      </c>
      <c r="BE2967" s="77"/>
      <c r="BF2967" s="77"/>
      <c r="BG2967" s="77"/>
      <c r="BH2967" s="77"/>
      <c r="BI2967" s="77"/>
    </row>
    <row r="2968" spans="1:61" x14ac:dyDescent="0.25">
      <c r="A2968" s="62" t="s">
        <v>987</v>
      </c>
      <c r="B2968" s="62" t="s">
        <v>987</v>
      </c>
      <c r="C2968" s="63"/>
      <c r="D2968" s="64"/>
      <c r="E2968" s="65"/>
      <c r="F2968" s="66"/>
      <c r="G2968" s="63"/>
      <c r="H2968" s="67"/>
      <c r="I2968" s="68"/>
      <c r="J2968" s="68"/>
      <c r="K2968" s="32"/>
      <c r="L2968" s="75">
        <v>2968</v>
      </c>
      <c r="M2968" s="75"/>
      <c r="N2968" s="70"/>
      <c r="O2968" s="77" t="s">
        <v>179</v>
      </c>
      <c r="P2968" s="79">
        <v>45126.128495370373</v>
      </c>
      <c r="Q2968" s="77" t="s">
        <v>4174</v>
      </c>
      <c r="R2968" s="77">
        <v>1</v>
      </c>
      <c r="S2968" s="77">
        <v>1</v>
      </c>
      <c r="T2968" s="77">
        <v>0</v>
      </c>
      <c r="U2968" s="77">
        <v>0</v>
      </c>
      <c r="V2968" s="77">
        <v>55</v>
      </c>
      <c r="W2968" s="82" t="s">
        <v>6700</v>
      </c>
      <c r="X2968" s="77"/>
      <c r="Y2968" s="77"/>
      <c r="Z2968" s="77"/>
      <c r="AA2968" s="77" t="s">
        <v>9306</v>
      </c>
      <c r="AB2968" s="77" t="s">
        <v>10129</v>
      </c>
      <c r="AC2968" s="82" t="s">
        <v>10146</v>
      </c>
      <c r="AD2968" s="77" t="s">
        <v>10184</v>
      </c>
      <c r="AE2968" s="80" t="str">
        <f>HYPERLINK("https://twitter.com/ardennessi93834/status/1681500365139726337")</f>
        <v>https://twitter.com/ardennessi93834/status/1681500365139726337</v>
      </c>
      <c r="AF2968" s="79">
        <v>45126.128495370373</v>
      </c>
      <c r="AG2968" s="85">
        <v>45126</v>
      </c>
      <c r="AH2968" s="82" t="s">
        <v>12993</v>
      </c>
      <c r="AI2968" s="77" t="b">
        <v>0</v>
      </c>
      <c r="AJ2968" s="77"/>
      <c r="AK2968" s="77"/>
      <c r="AL2968" s="77"/>
      <c r="AM2968" s="77"/>
      <c r="AN2968" s="77"/>
      <c r="AO2968" s="77"/>
      <c r="AP2968" s="77"/>
      <c r="AQ2968" s="77" t="s">
        <v>15949</v>
      </c>
      <c r="AR2968" s="77">
        <v>60800</v>
      </c>
      <c r="AS2968" s="77"/>
      <c r="AT2968" s="77"/>
      <c r="AU2968" s="77"/>
      <c r="AV2968" s="80" t="str">
        <f>HYPERLINK("https://pbs.twimg.com/ext_tw_video_thumb/1681500260193976320/pu/img/st3iZqPT-McKnjAI.jpg")</f>
        <v>https://pbs.twimg.com/ext_tw_video_thumb/1681500260193976320/pu/img/st3iZqPT-McKnjAI.jpg</v>
      </c>
      <c r="AW2968" s="82" t="s">
        <v>19734</v>
      </c>
      <c r="AX2968" s="82" t="s">
        <v>19734</v>
      </c>
      <c r="AY2968" s="77"/>
      <c r="AZ2968" s="82" t="s">
        <v>20971</v>
      </c>
      <c r="BA2968" s="82" t="s">
        <v>20971</v>
      </c>
      <c r="BB2968" s="82" t="s">
        <v>20971</v>
      </c>
      <c r="BC2968" s="82" t="s">
        <v>19734</v>
      </c>
      <c r="BD2968" s="82" t="s">
        <v>21585</v>
      </c>
      <c r="BE2968" s="77"/>
      <c r="BF2968" s="77"/>
      <c r="BG2968" s="77"/>
      <c r="BH2968" s="77"/>
      <c r="BI2968" s="77"/>
    </row>
    <row r="2969" spans="1:61" x14ac:dyDescent="0.25">
      <c r="A2969" s="62" t="s">
        <v>987</v>
      </c>
      <c r="B2969" s="62" t="s">
        <v>987</v>
      </c>
      <c r="C2969" s="63"/>
      <c r="D2969" s="64"/>
      <c r="E2969" s="65"/>
      <c r="F2969" s="66"/>
      <c r="G2969" s="63"/>
      <c r="H2969" s="67"/>
      <c r="I2969" s="68"/>
      <c r="J2969" s="68"/>
      <c r="K2969" s="32"/>
      <c r="L2969" s="75">
        <v>2969</v>
      </c>
      <c r="M2969" s="75"/>
      <c r="N2969" s="70"/>
      <c r="O2969" s="77" t="s">
        <v>179</v>
      </c>
      <c r="P2969" s="79">
        <v>45122.176817129628</v>
      </c>
      <c r="Q2969" s="77" t="s">
        <v>4175</v>
      </c>
      <c r="R2969" s="77">
        <v>0</v>
      </c>
      <c r="S2969" s="77">
        <v>0</v>
      </c>
      <c r="T2969" s="77">
        <v>0</v>
      </c>
      <c r="U2969" s="77">
        <v>0</v>
      </c>
      <c r="V2969" s="77">
        <v>12</v>
      </c>
      <c r="W2969" s="82" t="s">
        <v>6701</v>
      </c>
      <c r="X2969" s="77"/>
      <c r="Y2969" s="77"/>
      <c r="Z2969" s="77"/>
      <c r="AA2969" s="77" t="s">
        <v>9307</v>
      </c>
      <c r="AB2969" s="77" t="s">
        <v>10129</v>
      </c>
      <c r="AC2969" s="82" t="s">
        <v>10146</v>
      </c>
      <c r="AD2969" s="77" t="s">
        <v>10184</v>
      </c>
      <c r="AE2969" s="80" t="str">
        <f>HYPERLINK("https://twitter.com/ardennessi93834/status/1680068325676666882")</f>
        <v>https://twitter.com/ardennessi93834/status/1680068325676666882</v>
      </c>
      <c r="AF2969" s="79">
        <v>45122.176817129628</v>
      </c>
      <c r="AG2969" s="85">
        <v>45122</v>
      </c>
      <c r="AH2969" s="82" t="s">
        <v>12994</v>
      </c>
      <c r="AI2969" s="77" t="b">
        <v>0</v>
      </c>
      <c r="AJ2969" s="77"/>
      <c r="AK2969" s="77"/>
      <c r="AL2969" s="77"/>
      <c r="AM2969" s="77"/>
      <c r="AN2969" s="77"/>
      <c r="AO2969" s="77"/>
      <c r="AP2969" s="77"/>
      <c r="AQ2969" s="77" t="s">
        <v>15950</v>
      </c>
      <c r="AR2969" s="77">
        <v>36566</v>
      </c>
      <c r="AS2969" s="77"/>
      <c r="AT2969" s="77"/>
      <c r="AU2969" s="77"/>
      <c r="AV2969" s="80" t="str">
        <f>HYPERLINK("https://pbs.twimg.com/ext_tw_video_thumb/1680068264573952000/pu/img/9ZqTsDdJNK_ASLQO.jpg")</f>
        <v>https://pbs.twimg.com/ext_tw_video_thumb/1680068264573952000/pu/img/9ZqTsDdJNK_ASLQO.jpg</v>
      </c>
      <c r="AW2969" s="82" t="s">
        <v>19735</v>
      </c>
      <c r="AX2969" s="82" t="s">
        <v>19735</v>
      </c>
      <c r="AY2969" s="77"/>
      <c r="AZ2969" s="82" t="s">
        <v>20971</v>
      </c>
      <c r="BA2969" s="82" t="s">
        <v>20971</v>
      </c>
      <c r="BB2969" s="82" t="s">
        <v>20971</v>
      </c>
      <c r="BC2969" s="82" t="s">
        <v>19735</v>
      </c>
      <c r="BD2969" s="82" t="s">
        <v>21585</v>
      </c>
      <c r="BE2969" s="77"/>
      <c r="BF2969" s="77"/>
      <c r="BG2969" s="77"/>
      <c r="BH2969" s="77"/>
      <c r="BI2969" s="77"/>
    </row>
    <row r="2970" spans="1:61" x14ac:dyDescent="0.25">
      <c r="A2970" s="62" t="s">
        <v>987</v>
      </c>
      <c r="B2970" s="62" t="s">
        <v>987</v>
      </c>
      <c r="C2970" s="63"/>
      <c r="D2970" s="64"/>
      <c r="E2970" s="65"/>
      <c r="F2970" s="66"/>
      <c r="G2970" s="63"/>
      <c r="H2970" s="67"/>
      <c r="I2970" s="68"/>
      <c r="J2970" s="68"/>
      <c r="K2970" s="32"/>
      <c r="L2970" s="75">
        <v>2970</v>
      </c>
      <c r="M2970" s="75"/>
      <c r="N2970" s="70"/>
      <c r="O2970" s="77" t="s">
        <v>179</v>
      </c>
      <c r="P2970" s="79">
        <v>45122.173726851855</v>
      </c>
      <c r="Q2970" s="77" t="s">
        <v>4176</v>
      </c>
      <c r="R2970" s="77">
        <v>0</v>
      </c>
      <c r="S2970" s="77">
        <v>0</v>
      </c>
      <c r="T2970" s="77">
        <v>0</v>
      </c>
      <c r="U2970" s="77">
        <v>0</v>
      </c>
      <c r="V2970" s="77">
        <v>18</v>
      </c>
      <c r="W2970" s="82" t="s">
        <v>6702</v>
      </c>
      <c r="X2970" s="77"/>
      <c r="Y2970" s="77"/>
      <c r="Z2970" s="77"/>
      <c r="AA2970" s="77" t="s">
        <v>9308</v>
      </c>
      <c r="AB2970" s="77" t="s">
        <v>10129</v>
      </c>
      <c r="AC2970" s="82" t="s">
        <v>10146</v>
      </c>
      <c r="AD2970" s="77" t="s">
        <v>10184</v>
      </c>
      <c r="AE2970" s="80" t="str">
        <f>HYPERLINK("https://twitter.com/ardennessi93834/status/1680067203624828928")</f>
        <v>https://twitter.com/ardennessi93834/status/1680067203624828928</v>
      </c>
      <c r="AF2970" s="79">
        <v>45122.173726851855</v>
      </c>
      <c r="AG2970" s="85">
        <v>45122</v>
      </c>
      <c r="AH2970" s="82" t="s">
        <v>12995</v>
      </c>
      <c r="AI2970" s="77" t="b">
        <v>0</v>
      </c>
      <c r="AJ2970" s="77"/>
      <c r="AK2970" s="77"/>
      <c r="AL2970" s="77"/>
      <c r="AM2970" s="77"/>
      <c r="AN2970" s="77"/>
      <c r="AO2970" s="77"/>
      <c r="AP2970" s="77"/>
      <c r="AQ2970" s="77" t="s">
        <v>15951</v>
      </c>
      <c r="AR2970" s="77">
        <v>30032</v>
      </c>
      <c r="AS2970" s="77"/>
      <c r="AT2970" s="77"/>
      <c r="AU2970" s="77"/>
      <c r="AV2970" s="80" t="str">
        <f>HYPERLINK("https://pbs.twimg.com/ext_tw_video_thumb/1680067158699565056/pu/img/YB6zO1S2ClBWtwYv.jpg")</f>
        <v>https://pbs.twimg.com/ext_tw_video_thumb/1680067158699565056/pu/img/YB6zO1S2ClBWtwYv.jpg</v>
      </c>
      <c r="AW2970" s="82" t="s">
        <v>19736</v>
      </c>
      <c r="AX2970" s="82" t="s">
        <v>19736</v>
      </c>
      <c r="AY2970" s="77"/>
      <c r="AZ2970" s="82" t="s">
        <v>20971</v>
      </c>
      <c r="BA2970" s="82" t="s">
        <v>20971</v>
      </c>
      <c r="BB2970" s="82" t="s">
        <v>20971</v>
      </c>
      <c r="BC2970" s="82" t="s">
        <v>19736</v>
      </c>
      <c r="BD2970" s="82" t="s">
        <v>21585</v>
      </c>
      <c r="BE2970" s="77"/>
      <c r="BF2970" s="77"/>
      <c r="BG2970" s="77"/>
      <c r="BH2970" s="77"/>
      <c r="BI2970" s="77"/>
    </row>
    <row r="2971" spans="1:61" x14ac:dyDescent="0.25">
      <c r="A2971" s="62" t="s">
        <v>987</v>
      </c>
      <c r="B2971" s="62" t="s">
        <v>987</v>
      </c>
      <c r="C2971" s="63"/>
      <c r="D2971" s="64"/>
      <c r="E2971" s="65"/>
      <c r="F2971" s="66"/>
      <c r="G2971" s="63"/>
      <c r="H2971" s="67"/>
      <c r="I2971" s="68"/>
      <c r="J2971" s="68"/>
      <c r="K2971" s="32"/>
      <c r="L2971" s="75">
        <v>2971</v>
      </c>
      <c r="M2971" s="75"/>
      <c r="N2971" s="70"/>
      <c r="O2971" s="77" t="s">
        <v>179</v>
      </c>
      <c r="P2971" s="79">
        <v>45122.169849537036</v>
      </c>
      <c r="Q2971" s="77" t="s">
        <v>4177</v>
      </c>
      <c r="R2971" s="77">
        <v>0</v>
      </c>
      <c r="S2971" s="77">
        <v>0</v>
      </c>
      <c r="T2971" s="77">
        <v>0</v>
      </c>
      <c r="U2971" s="77">
        <v>0</v>
      </c>
      <c r="V2971" s="77">
        <v>8</v>
      </c>
      <c r="W2971" s="82" t="s">
        <v>6703</v>
      </c>
      <c r="X2971" s="77"/>
      <c r="Y2971" s="77"/>
      <c r="Z2971" s="77"/>
      <c r="AA2971" s="77" t="s">
        <v>9309</v>
      </c>
      <c r="AB2971" s="77" t="s">
        <v>10129</v>
      </c>
      <c r="AC2971" s="82" t="s">
        <v>10146</v>
      </c>
      <c r="AD2971" s="77" t="s">
        <v>10184</v>
      </c>
      <c r="AE2971" s="80" t="str">
        <f>HYPERLINK("https://twitter.com/ardennessi93834/status/1680065798537195520")</f>
        <v>https://twitter.com/ardennessi93834/status/1680065798537195520</v>
      </c>
      <c r="AF2971" s="79">
        <v>45122.169849537036</v>
      </c>
      <c r="AG2971" s="85">
        <v>45122</v>
      </c>
      <c r="AH2971" s="82" t="s">
        <v>12996</v>
      </c>
      <c r="AI2971" s="77" t="b">
        <v>0</v>
      </c>
      <c r="AJ2971" s="77"/>
      <c r="AK2971" s="77"/>
      <c r="AL2971" s="77"/>
      <c r="AM2971" s="77"/>
      <c r="AN2971" s="77"/>
      <c r="AO2971" s="77"/>
      <c r="AP2971" s="77"/>
      <c r="AQ2971" s="77" t="s">
        <v>15952</v>
      </c>
      <c r="AR2971" s="77">
        <v>19366</v>
      </c>
      <c r="AS2971" s="77"/>
      <c r="AT2971" s="77"/>
      <c r="AU2971" s="77"/>
      <c r="AV2971" s="80" t="str">
        <f>HYPERLINK("https://pbs.twimg.com/ext_tw_video_thumb/1680065743327571968/pu/img/pupsZJ6l-0iTEdTj.jpg")</f>
        <v>https://pbs.twimg.com/ext_tw_video_thumb/1680065743327571968/pu/img/pupsZJ6l-0iTEdTj.jpg</v>
      </c>
      <c r="AW2971" s="82" t="s">
        <v>19737</v>
      </c>
      <c r="AX2971" s="82" t="s">
        <v>19737</v>
      </c>
      <c r="AY2971" s="77"/>
      <c r="AZ2971" s="82" t="s">
        <v>20971</v>
      </c>
      <c r="BA2971" s="82" t="s">
        <v>20971</v>
      </c>
      <c r="BB2971" s="82" t="s">
        <v>20971</v>
      </c>
      <c r="BC2971" s="82" t="s">
        <v>19737</v>
      </c>
      <c r="BD2971" s="82" t="s">
        <v>21585</v>
      </c>
      <c r="BE2971" s="77"/>
      <c r="BF2971" s="77"/>
      <c r="BG2971" s="77"/>
      <c r="BH2971" s="77"/>
      <c r="BI2971" s="77"/>
    </row>
    <row r="2972" spans="1:61" x14ac:dyDescent="0.25">
      <c r="A2972" s="62" t="s">
        <v>987</v>
      </c>
      <c r="B2972" s="62" t="s">
        <v>987</v>
      </c>
      <c r="C2972" s="63"/>
      <c r="D2972" s="64"/>
      <c r="E2972" s="65"/>
      <c r="F2972" s="66"/>
      <c r="G2972" s="63"/>
      <c r="H2972" s="67"/>
      <c r="I2972" s="68"/>
      <c r="J2972" s="68"/>
      <c r="K2972" s="32"/>
      <c r="L2972" s="75">
        <v>2972</v>
      </c>
      <c r="M2972" s="75"/>
      <c r="N2972" s="70"/>
      <c r="O2972" s="77" t="s">
        <v>179</v>
      </c>
      <c r="P2972" s="79">
        <v>45122.163738425923</v>
      </c>
      <c r="Q2972" s="77" t="s">
        <v>4178</v>
      </c>
      <c r="R2972" s="77">
        <v>0</v>
      </c>
      <c r="S2972" s="77">
        <v>0</v>
      </c>
      <c r="T2972" s="77">
        <v>0</v>
      </c>
      <c r="U2972" s="77">
        <v>0</v>
      </c>
      <c r="V2972" s="77">
        <v>24</v>
      </c>
      <c r="W2972" s="82" t="s">
        <v>6704</v>
      </c>
      <c r="X2972" s="77"/>
      <c r="Y2972" s="77"/>
      <c r="Z2972" s="77"/>
      <c r="AA2972" s="77" t="s">
        <v>9310</v>
      </c>
      <c r="AB2972" s="77" t="s">
        <v>10129</v>
      </c>
      <c r="AC2972" s="82" t="s">
        <v>10146</v>
      </c>
      <c r="AD2972" s="77" t="s">
        <v>10184</v>
      </c>
      <c r="AE2972" s="80" t="str">
        <f>HYPERLINK("https://twitter.com/ardennessi93834/status/1680063586725515266")</f>
        <v>https://twitter.com/ardennessi93834/status/1680063586725515266</v>
      </c>
      <c r="AF2972" s="79">
        <v>45122.163738425923</v>
      </c>
      <c r="AG2972" s="85">
        <v>45122</v>
      </c>
      <c r="AH2972" s="82" t="s">
        <v>12997</v>
      </c>
      <c r="AI2972" s="77" t="b">
        <v>0</v>
      </c>
      <c r="AJ2972" s="77"/>
      <c r="AK2972" s="77"/>
      <c r="AL2972" s="77"/>
      <c r="AM2972" s="77"/>
      <c r="AN2972" s="77"/>
      <c r="AO2972" s="77"/>
      <c r="AP2972" s="77"/>
      <c r="AQ2972" s="77" t="s">
        <v>15953</v>
      </c>
      <c r="AR2972" s="77">
        <v>28520</v>
      </c>
      <c r="AS2972" s="77"/>
      <c r="AT2972" s="77"/>
      <c r="AU2972" s="77"/>
      <c r="AV2972" s="80" t="str">
        <f>HYPERLINK("https://pbs.twimg.com/ext_tw_video_thumb/1680063537102692353/pu/img/8uK9zQoMHyCFYhCd.jpg")</f>
        <v>https://pbs.twimg.com/ext_tw_video_thumb/1680063537102692353/pu/img/8uK9zQoMHyCFYhCd.jpg</v>
      </c>
      <c r="AW2972" s="82" t="s">
        <v>19738</v>
      </c>
      <c r="AX2972" s="82" t="s">
        <v>19738</v>
      </c>
      <c r="AY2972" s="77"/>
      <c r="AZ2972" s="82" t="s">
        <v>20971</v>
      </c>
      <c r="BA2972" s="82" t="s">
        <v>20971</v>
      </c>
      <c r="BB2972" s="82" t="s">
        <v>20971</v>
      </c>
      <c r="BC2972" s="82" t="s">
        <v>19738</v>
      </c>
      <c r="BD2972" s="82" t="s">
        <v>21585</v>
      </c>
      <c r="BE2972" s="77"/>
      <c r="BF2972" s="77"/>
      <c r="BG2972" s="77"/>
      <c r="BH2972" s="77"/>
      <c r="BI2972" s="77"/>
    </row>
    <row r="2973" spans="1:61" x14ac:dyDescent="0.25">
      <c r="A2973" s="62" t="s">
        <v>987</v>
      </c>
      <c r="B2973" s="62" t="s">
        <v>987</v>
      </c>
      <c r="C2973" s="63"/>
      <c r="D2973" s="64"/>
      <c r="E2973" s="65"/>
      <c r="F2973" s="66"/>
      <c r="G2973" s="63"/>
      <c r="H2973" s="67"/>
      <c r="I2973" s="68"/>
      <c r="J2973" s="68"/>
      <c r="K2973" s="32"/>
      <c r="L2973" s="75">
        <v>2973</v>
      </c>
      <c r="M2973" s="75"/>
      <c r="N2973" s="70"/>
      <c r="O2973" s="77" t="s">
        <v>179</v>
      </c>
      <c r="P2973" s="79">
        <v>45121.664201388892</v>
      </c>
      <c r="Q2973" s="77" t="s">
        <v>4179</v>
      </c>
      <c r="R2973" s="77">
        <v>1</v>
      </c>
      <c r="S2973" s="77">
        <v>3</v>
      </c>
      <c r="T2973" s="77">
        <v>0</v>
      </c>
      <c r="U2973" s="77">
        <v>0</v>
      </c>
      <c r="V2973" s="77">
        <v>117</v>
      </c>
      <c r="W2973" s="82" t="s">
        <v>5236</v>
      </c>
      <c r="X2973" s="77"/>
      <c r="Y2973" s="77"/>
      <c r="Z2973" s="77"/>
      <c r="AA2973" s="77" t="s">
        <v>9311</v>
      </c>
      <c r="AB2973" s="77" t="s">
        <v>10129</v>
      </c>
      <c r="AC2973" s="82" t="s">
        <v>10146</v>
      </c>
      <c r="AD2973" s="77" t="s">
        <v>10184</v>
      </c>
      <c r="AE2973" s="80" t="str">
        <f>HYPERLINK("https://twitter.com/ardennessi93834/status/1679882560321515520")</f>
        <v>https://twitter.com/ardennessi93834/status/1679882560321515520</v>
      </c>
      <c r="AF2973" s="79">
        <v>45121.664201388892</v>
      </c>
      <c r="AG2973" s="85">
        <v>45121</v>
      </c>
      <c r="AH2973" s="82" t="s">
        <v>12998</v>
      </c>
      <c r="AI2973" s="77" t="b">
        <v>0</v>
      </c>
      <c r="AJ2973" s="77"/>
      <c r="AK2973" s="77"/>
      <c r="AL2973" s="77"/>
      <c r="AM2973" s="77"/>
      <c r="AN2973" s="77"/>
      <c r="AO2973" s="77"/>
      <c r="AP2973" s="77"/>
      <c r="AQ2973" s="77" t="s">
        <v>15954</v>
      </c>
      <c r="AR2973" s="77">
        <v>46732</v>
      </c>
      <c r="AS2973" s="77"/>
      <c r="AT2973" s="77"/>
      <c r="AU2973" s="77"/>
      <c r="AV2973" s="80" t="str">
        <f>HYPERLINK("https://pbs.twimg.com/ext_tw_video_thumb/1679882484979204096/pu/img/1_d18fxWgoNO9i_u.jpg")</f>
        <v>https://pbs.twimg.com/ext_tw_video_thumb/1679882484979204096/pu/img/1_d18fxWgoNO9i_u.jpg</v>
      </c>
      <c r="AW2973" s="82" t="s">
        <v>19739</v>
      </c>
      <c r="AX2973" s="82" t="s">
        <v>19739</v>
      </c>
      <c r="AY2973" s="77"/>
      <c r="AZ2973" s="82" t="s">
        <v>20971</v>
      </c>
      <c r="BA2973" s="82" t="s">
        <v>20971</v>
      </c>
      <c r="BB2973" s="82" t="s">
        <v>20971</v>
      </c>
      <c r="BC2973" s="82" t="s">
        <v>19739</v>
      </c>
      <c r="BD2973" s="82" t="s">
        <v>21585</v>
      </c>
      <c r="BE2973" s="77"/>
      <c r="BF2973" s="77"/>
      <c r="BG2973" s="77"/>
      <c r="BH2973" s="77"/>
      <c r="BI2973" s="77"/>
    </row>
    <row r="2974" spans="1:61" x14ac:dyDescent="0.25">
      <c r="A2974" s="62" t="s">
        <v>987</v>
      </c>
      <c r="B2974" s="62" t="s">
        <v>987</v>
      </c>
      <c r="C2974" s="63"/>
      <c r="D2974" s="64"/>
      <c r="E2974" s="65"/>
      <c r="F2974" s="66"/>
      <c r="G2974" s="63"/>
      <c r="H2974" s="67"/>
      <c r="I2974" s="68"/>
      <c r="J2974" s="68"/>
      <c r="K2974" s="32"/>
      <c r="L2974" s="75">
        <v>2974</v>
      </c>
      <c r="M2974" s="75"/>
      <c r="N2974" s="70"/>
      <c r="O2974" s="77" t="s">
        <v>179</v>
      </c>
      <c r="P2974" s="79">
        <v>45153.597673611112</v>
      </c>
      <c r="Q2974" s="77" t="s">
        <v>4180</v>
      </c>
      <c r="R2974" s="77">
        <v>0</v>
      </c>
      <c r="S2974" s="77">
        <v>0</v>
      </c>
      <c r="T2974" s="77">
        <v>0</v>
      </c>
      <c r="U2974" s="77">
        <v>0</v>
      </c>
      <c r="V2974" s="77">
        <v>9</v>
      </c>
      <c r="W2974" s="82" t="s">
        <v>6700</v>
      </c>
      <c r="X2974" s="77"/>
      <c r="Y2974" s="77"/>
      <c r="Z2974" s="77"/>
      <c r="AA2974" s="77" t="s">
        <v>9312</v>
      </c>
      <c r="AB2974" s="77" t="s">
        <v>10130</v>
      </c>
      <c r="AC2974" s="82" t="s">
        <v>10146</v>
      </c>
      <c r="AD2974" s="77" t="s">
        <v>10184</v>
      </c>
      <c r="AE2974" s="80" t="str">
        <f>HYPERLINK("https://twitter.com/ardennessi93834/status/1691454861500637184")</f>
        <v>https://twitter.com/ardennessi93834/status/1691454861500637184</v>
      </c>
      <c r="AF2974" s="79">
        <v>45153.597673611112</v>
      </c>
      <c r="AG2974" s="85">
        <v>45153</v>
      </c>
      <c r="AH2974" s="82" t="s">
        <v>12999</v>
      </c>
      <c r="AI2974" s="77" t="b">
        <v>0</v>
      </c>
      <c r="AJ2974" s="77"/>
      <c r="AK2974" s="77"/>
      <c r="AL2974" s="77"/>
      <c r="AM2974" s="77"/>
      <c r="AN2974" s="77"/>
      <c r="AO2974" s="77"/>
      <c r="AP2974" s="77"/>
      <c r="AQ2974" s="77" t="s">
        <v>15955</v>
      </c>
      <c r="AR2974" s="77"/>
      <c r="AS2974" s="77"/>
      <c r="AT2974" s="77"/>
      <c r="AU2974" s="77"/>
      <c r="AV2974" s="80" t="str">
        <f>HYPERLINK("https://pbs.twimg.com/media/F3lBOBpaYAAxbSN.jpg")</f>
        <v>https://pbs.twimg.com/media/F3lBOBpaYAAxbSN.jpg</v>
      </c>
      <c r="AW2974" s="82" t="s">
        <v>19740</v>
      </c>
      <c r="AX2974" s="82" t="s">
        <v>19740</v>
      </c>
      <c r="AY2974" s="77"/>
      <c r="AZ2974" s="82" t="s">
        <v>20971</v>
      </c>
      <c r="BA2974" s="82" t="s">
        <v>20971</v>
      </c>
      <c r="BB2974" s="82" t="s">
        <v>20971</v>
      </c>
      <c r="BC2974" s="82" t="s">
        <v>19740</v>
      </c>
      <c r="BD2974" s="82" t="s">
        <v>21585</v>
      </c>
      <c r="BE2974" s="77"/>
      <c r="BF2974" s="77"/>
      <c r="BG2974" s="77"/>
      <c r="BH2974" s="77"/>
      <c r="BI2974" s="77"/>
    </row>
    <row r="2975" spans="1:61" x14ac:dyDescent="0.25">
      <c r="A2975" s="62" t="s">
        <v>987</v>
      </c>
      <c r="B2975" s="62" t="s">
        <v>987</v>
      </c>
      <c r="C2975" s="63"/>
      <c r="D2975" s="64"/>
      <c r="E2975" s="65"/>
      <c r="F2975" s="66"/>
      <c r="G2975" s="63"/>
      <c r="H2975" s="67"/>
      <c r="I2975" s="68"/>
      <c r="J2975" s="68"/>
      <c r="K2975" s="32"/>
      <c r="L2975" s="75">
        <v>2975</v>
      </c>
      <c r="M2975" s="75"/>
      <c r="N2975" s="70"/>
      <c r="O2975" s="77" t="s">
        <v>179</v>
      </c>
      <c r="P2975" s="79">
        <v>45153.59474537037</v>
      </c>
      <c r="Q2975" s="77" t="s">
        <v>4181</v>
      </c>
      <c r="R2975" s="77">
        <v>0</v>
      </c>
      <c r="S2975" s="77">
        <v>0</v>
      </c>
      <c r="T2975" s="77">
        <v>0</v>
      </c>
      <c r="U2975" s="77">
        <v>0</v>
      </c>
      <c r="V2975" s="77">
        <v>8</v>
      </c>
      <c r="W2975" s="82" t="s">
        <v>6700</v>
      </c>
      <c r="X2975" s="77"/>
      <c r="Y2975" s="77"/>
      <c r="Z2975" s="77"/>
      <c r="AA2975" s="77" t="s">
        <v>9313</v>
      </c>
      <c r="AB2975" s="77" t="s">
        <v>10130</v>
      </c>
      <c r="AC2975" s="82" t="s">
        <v>10146</v>
      </c>
      <c r="AD2975" s="77" t="s">
        <v>10184</v>
      </c>
      <c r="AE2975" s="80" t="str">
        <f>HYPERLINK("https://twitter.com/ardennessi93834/status/1691453801566502912")</f>
        <v>https://twitter.com/ardennessi93834/status/1691453801566502912</v>
      </c>
      <c r="AF2975" s="79">
        <v>45153.59474537037</v>
      </c>
      <c r="AG2975" s="85">
        <v>45153</v>
      </c>
      <c r="AH2975" s="82" t="s">
        <v>13000</v>
      </c>
      <c r="AI2975" s="77" t="b">
        <v>0</v>
      </c>
      <c r="AJ2975" s="77"/>
      <c r="AK2975" s="77"/>
      <c r="AL2975" s="77"/>
      <c r="AM2975" s="77"/>
      <c r="AN2975" s="77"/>
      <c r="AO2975" s="77"/>
      <c r="AP2975" s="77"/>
      <c r="AQ2975" s="77" t="s">
        <v>15956</v>
      </c>
      <c r="AR2975" s="77"/>
      <c r="AS2975" s="77"/>
      <c r="AT2975" s="77"/>
      <c r="AU2975" s="77"/>
      <c r="AV2975" s="80" t="str">
        <f>HYPERLINK("https://pbs.twimg.com/media/F3lAOWoasAEWxYX.jpg")</f>
        <v>https://pbs.twimg.com/media/F3lAOWoasAEWxYX.jpg</v>
      </c>
      <c r="AW2975" s="82" t="s">
        <v>19741</v>
      </c>
      <c r="AX2975" s="82" t="s">
        <v>19741</v>
      </c>
      <c r="AY2975" s="77"/>
      <c r="AZ2975" s="82" t="s">
        <v>20971</v>
      </c>
      <c r="BA2975" s="82" t="s">
        <v>20971</v>
      </c>
      <c r="BB2975" s="82" t="s">
        <v>20971</v>
      </c>
      <c r="BC2975" s="82" t="s">
        <v>19741</v>
      </c>
      <c r="BD2975" s="82" t="s">
        <v>21585</v>
      </c>
      <c r="BE2975" s="77"/>
      <c r="BF2975" s="77"/>
      <c r="BG2975" s="77"/>
      <c r="BH2975" s="77"/>
      <c r="BI2975" s="77"/>
    </row>
    <row r="2976" spans="1:61" x14ac:dyDescent="0.25">
      <c r="A2976" s="62" t="s">
        <v>987</v>
      </c>
      <c r="B2976" s="62" t="s">
        <v>987</v>
      </c>
      <c r="C2976" s="63"/>
      <c r="D2976" s="64"/>
      <c r="E2976" s="65"/>
      <c r="F2976" s="66"/>
      <c r="G2976" s="63"/>
      <c r="H2976" s="67"/>
      <c r="I2976" s="68"/>
      <c r="J2976" s="68"/>
      <c r="K2976" s="32"/>
      <c r="L2976" s="75">
        <v>2976</v>
      </c>
      <c r="M2976" s="75"/>
      <c r="N2976" s="70"/>
      <c r="O2976" s="77" t="s">
        <v>179</v>
      </c>
      <c r="P2976" s="79">
        <v>45153.592048611114</v>
      </c>
      <c r="Q2976" s="77" t="s">
        <v>4182</v>
      </c>
      <c r="R2976" s="77">
        <v>0</v>
      </c>
      <c r="S2976" s="77">
        <v>0</v>
      </c>
      <c r="T2976" s="77">
        <v>0</v>
      </c>
      <c r="U2976" s="77">
        <v>0</v>
      </c>
      <c r="V2976" s="77">
        <v>9</v>
      </c>
      <c r="W2976" s="82" t="s">
        <v>6700</v>
      </c>
      <c r="X2976" s="77"/>
      <c r="Y2976" s="77"/>
      <c r="Z2976" s="77"/>
      <c r="AA2976" s="77" t="s">
        <v>9314</v>
      </c>
      <c r="AB2976" s="77" t="s">
        <v>10130</v>
      </c>
      <c r="AC2976" s="82" t="s">
        <v>10146</v>
      </c>
      <c r="AD2976" s="77" t="s">
        <v>10184</v>
      </c>
      <c r="AE2976" s="80" t="str">
        <f>HYPERLINK("https://twitter.com/ardennessi93834/status/1691452825207988224")</f>
        <v>https://twitter.com/ardennessi93834/status/1691452825207988224</v>
      </c>
      <c r="AF2976" s="79">
        <v>45153.592048611114</v>
      </c>
      <c r="AG2976" s="85">
        <v>45153</v>
      </c>
      <c r="AH2976" s="82" t="s">
        <v>13001</v>
      </c>
      <c r="AI2976" s="77" t="b">
        <v>0</v>
      </c>
      <c r="AJ2976" s="77"/>
      <c r="AK2976" s="77"/>
      <c r="AL2976" s="77"/>
      <c r="AM2976" s="77"/>
      <c r="AN2976" s="77"/>
      <c r="AO2976" s="77"/>
      <c r="AP2976" s="77"/>
      <c r="AQ2976" s="77" t="s">
        <v>15957</v>
      </c>
      <c r="AR2976" s="77"/>
      <c r="AS2976" s="77"/>
      <c r="AT2976" s="77"/>
      <c r="AU2976" s="77"/>
      <c r="AV2976" s="80" t="str">
        <f>HYPERLINK("https://pbs.twimg.com/media/F3k_VoQagAAjsL_.jpg")</f>
        <v>https://pbs.twimg.com/media/F3k_VoQagAAjsL_.jpg</v>
      </c>
      <c r="AW2976" s="82" t="s">
        <v>19742</v>
      </c>
      <c r="AX2976" s="82" t="s">
        <v>19742</v>
      </c>
      <c r="AY2976" s="77"/>
      <c r="AZ2976" s="82" t="s">
        <v>20971</v>
      </c>
      <c r="BA2976" s="82" t="s">
        <v>20971</v>
      </c>
      <c r="BB2976" s="82" t="s">
        <v>20971</v>
      </c>
      <c r="BC2976" s="82" t="s">
        <v>19742</v>
      </c>
      <c r="BD2976" s="82" t="s">
        <v>21585</v>
      </c>
      <c r="BE2976" s="77"/>
      <c r="BF2976" s="77"/>
      <c r="BG2976" s="77"/>
      <c r="BH2976" s="77"/>
      <c r="BI2976" s="77"/>
    </row>
    <row r="2977" spans="1:61" x14ac:dyDescent="0.25">
      <c r="A2977" s="62" t="s">
        <v>987</v>
      </c>
      <c r="B2977" s="62" t="s">
        <v>987</v>
      </c>
      <c r="C2977" s="63"/>
      <c r="D2977" s="64"/>
      <c r="E2977" s="65"/>
      <c r="F2977" s="66"/>
      <c r="G2977" s="63"/>
      <c r="H2977" s="67"/>
      <c r="I2977" s="68"/>
      <c r="J2977" s="68"/>
      <c r="K2977" s="32"/>
      <c r="L2977" s="75">
        <v>2977</v>
      </c>
      <c r="M2977" s="75"/>
      <c r="N2977" s="70"/>
      <c r="O2977" s="77" t="s">
        <v>179</v>
      </c>
      <c r="P2977" s="79">
        <v>45184.92596064815</v>
      </c>
      <c r="Q2977" s="77" t="s">
        <v>4183</v>
      </c>
      <c r="R2977" s="77">
        <v>2</v>
      </c>
      <c r="S2977" s="77">
        <v>2</v>
      </c>
      <c r="T2977" s="77">
        <v>0</v>
      </c>
      <c r="U2977" s="77">
        <v>0</v>
      </c>
      <c r="V2977" s="77">
        <v>155</v>
      </c>
      <c r="W2977" s="82" t="s">
        <v>6705</v>
      </c>
      <c r="X2977" s="77"/>
      <c r="Y2977" s="77"/>
      <c r="Z2977" s="77"/>
      <c r="AA2977" s="77" t="s">
        <v>9315</v>
      </c>
      <c r="AB2977" s="77" t="s">
        <v>10129</v>
      </c>
      <c r="AC2977" s="82" t="s">
        <v>10146</v>
      </c>
      <c r="AD2977" s="77" t="s">
        <v>10184</v>
      </c>
      <c r="AE2977" s="80" t="str">
        <f>HYPERLINK("https://twitter.com/ardennessi93834/status/1702807853705163039")</f>
        <v>https://twitter.com/ardennessi93834/status/1702807853705163039</v>
      </c>
      <c r="AF2977" s="79">
        <v>45184.92596064815</v>
      </c>
      <c r="AG2977" s="85">
        <v>45184</v>
      </c>
      <c r="AH2977" s="82" t="s">
        <v>13002</v>
      </c>
      <c r="AI2977" s="77" t="b">
        <v>0</v>
      </c>
      <c r="AJ2977" s="77"/>
      <c r="AK2977" s="77"/>
      <c r="AL2977" s="77"/>
      <c r="AM2977" s="77"/>
      <c r="AN2977" s="77"/>
      <c r="AO2977" s="77"/>
      <c r="AP2977" s="77"/>
      <c r="AQ2977" s="77" t="s">
        <v>15958</v>
      </c>
      <c r="AR2977" s="77">
        <v>57166</v>
      </c>
      <c r="AS2977" s="77"/>
      <c r="AT2977" s="77"/>
      <c r="AU2977" s="77"/>
      <c r="AV2977" s="80" t="str">
        <f>HYPERLINK("https://pbs.twimg.com/ext_tw_video_thumb/1702807208772124673/pu/img/ksFM9x1TTLpzAXG6.jpg")</f>
        <v>https://pbs.twimg.com/ext_tw_video_thumb/1702807208772124673/pu/img/ksFM9x1TTLpzAXG6.jpg</v>
      </c>
      <c r="AW2977" s="82" t="s">
        <v>19743</v>
      </c>
      <c r="AX2977" s="82" t="s">
        <v>19743</v>
      </c>
      <c r="AY2977" s="77"/>
      <c r="AZ2977" s="82" t="s">
        <v>20971</v>
      </c>
      <c r="BA2977" s="82" t="s">
        <v>20971</v>
      </c>
      <c r="BB2977" s="82" t="s">
        <v>20971</v>
      </c>
      <c r="BC2977" s="82" t="s">
        <v>19743</v>
      </c>
      <c r="BD2977" s="82" t="s">
        <v>21585</v>
      </c>
      <c r="BE2977" s="77"/>
      <c r="BF2977" s="77"/>
      <c r="BG2977" s="77"/>
      <c r="BH2977" s="77"/>
      <c r="BI2977" s="77"/>
    </row>
    <row r="2978" spans="1:61" x14ac:dyDescent="0.25">
      <c r="A2978" s="62" t="s">
        <v>987</v>
      </c>
      <c r="B2978" s="62" t="s">
        <v>987</v>
      </c>
      <c r="C2978" s="63"/>
      <c r="D2978" s="64"/>
      <c r="E2978" s="65"/>
      <c r="F2978" s="66"/>
      <c r="G2978" s="63"/>
      <c r="H2978" s="67"/>
      <c r="I2978" s="68"/>
      <c r="J2978" s="68"/>
      <c r="K2978" s="32"/>
      <c r="L2978" s="75">
        <v>2978</v>
      </c>
      <c r="M2978" s="75"/>
      <c r="N2978" s="70"/>
      <c r="O2978" s="77" t="s">
        <v>179</v>
      </c>
      <c r="P2978" s="79">
        <v>45156.876689814817</v>
      </c>
      <c r="Q2978" s="77" t="s">
        <v>4184</v>
      </c>
      <c r="R2978" s="77">
        <v>0</v>
      </c>
      <c r="S2978" s="77">
        <v>0</v>
      </c>
      <c r="T2978" s="77">
        <v>0</v>
      </c>
      <c r="U2978" s="77">
        <v>0</v>
      </c>
      <c r="V2978" s="77">
        <v>19</v>
      </c>
      <c r="W2978" s="82" t="s">
        <v>6700</v>
      </c>
      <c r="X2978" s="77"/>
      <c r="Y2978" s="77"/>
      <c r="Z2978" s="77"/>
      <c r="AA2978" s="77" t="s">
        <v>9316</v>
      </c>
      <c r="AB2978" s="77" t="s">
        <v>10130</v>
      </c>
      <c r="AC2978" s="82" t="s">
        <v>10146</v>
      </c>
      <c r="AD2978" s="77" t="s">
        <v>10184</v>
      </c>
      <c r="AE2978" s="80" t="str">
        <f>HYPERLINK("https://twitter.com/ardennessi93834/status/1692643137871544628")</f>
        <v>https://twitter.com/ardennessi93834/status/1692643137871544628</v>
      </c>
      <c r="AF2978" s="79">
        <v>45156.876689814817</v>
      </c>
      <c r="AG2978" s="85">
        <v>45156</v>
      </c>
      <c r="AH2978" s="82" t="s">
        <v>13003</v>
      </c>
      <c r="AI2978" s="77" t="b">
        <v>0</v>
      </c>
      <c r="AJ2978" s="77"/>
      <c r="AK2978" s="77"/>
      <c r="AL2978" s="77"/>
      <c r="AM2978" s="77"/>
      <c r="AN2978" s="77"/>
      <c r="AO2978" s="77"/>
      <c r="AP2978" s="77"/>
      <c r="AQ2978" s="77" t="s">
        <v>15959</v>
      </c>
      <c r="AR2978" s="77"/>
      <c r="AS2978" s="77"/>
      <c r="AT2978" s="77"/>
      <c r="AU2978" s="77"/>
      <c r="AV2978" s="80" t="str">
        <f>HYPERLINK("https://pbs.twimg.com/media/F3156-qX0AAl7kl.jpg")</f>
        <v>https://pbs.twimg.com/media/F3156-qX0AAl7kl.jpg</v>
      </c>
      <c r="AW2978" s="82" t="s">
        <v>19744</v>
      </c>
      <c r="AX2978" s="82" t="s">
        <v>19744</v>
      </c>
      <c r="AY2978" s="77"/>
      <c r="AZ2978" s="82" t="s">
        <v>20971</v>
      </c>
      <c r="BA2978" s="82" t="s">
        <v>20971</v>
      </c>
      <c r="BB2978" s="82" t="s">
        <v>20971</v>
      </c>
      <c r="BC2978" s="82" t="s">
        <v>19744</v>
      </c>
      <c r="BD2978" s="82" t="s">
        <v>21585</v>
      </c>
      <c r="BE2978" s="77"/>
      <c r="BF2978" s="77"/>
      <c r="BG2978" s="77"/>
      <c r="BH2978" s="77"/>
      <c r="BI2978" s="77"/>
    </row>
    <row r="2979" spans="1:61" x14ac:dyDescent="0.25">
      <c r="A2979" s="62" t="s">
        <v>987</v>
      </c>
      <c r="B2979" s="62" t="s">
        <v>987</v>
      </c>
      <c r="C2979" s="63"/>
      <c r="D2979" s="64"/>
      <c r="E2979" s="65"/>
      <c r="F2979" s="66"/>
      <c r="G2979" s="63"/>
      <c r="H2979" s="67"/>
      <c r="I2979" s="68"/>
      <c r="J2979" s="68"/>
      <c r="K2979" s="32"/>
      <c r="L2979" s="75">
        <v>2979</v>
      </c>
      <c r="M2979" s="75"/>
      <c r="N2979" s="70"/>
      <c r="O2979" s="77" t="s">
        <v>179</v>
      </c>
      <c r="P2979" s="79">
        <v>45156.86959490741</v>
      </c>
      <c r="Q2979" s="77" t="s">
        <v>4185</v>
      </c>
      <c r="R2979" s="77">
        <v>0</v>
      </c>
      <c r="S2979" s="77">
        <v>0</v>
      </c>
      <c r="T2979" s="77">
        <v>0</v>
      </c>
      <c r="U2979" s="77">
        <v>0</v>
      </c>
      <c r="V2979" s="77">
        <v>13</v>
      </c>
      <c r="W2979" s="82" t="s">
        <v>6700</v>
      </c>
      <c r="X2979" s="77"/>
      <c r="Y2979" s="77"/>
      <c r="Z2979" s="77"/>
      <c r="AA2979" s="77" t="s">
        <v>9317</v>
      </c>
      <c r="AB2979" s="77" t="s">
        <v>10130</v>
      </c>
      <c r="AC2979" s="82" t="s">
        <v>10146</v>
      </c>
      <c r="AD2979" s="77" t="s">
        <v>10184</v>
      </c>
      <c r="AE2979" s="80" t="str">
        <f>HYPERLINK("https://twitter.com/ardennessi93834/status/1692640566813528409")</f>
        <v>https://twitter.com/ardennessi93834/status/1692640566813528409</v>
      </c>
      <c r="AF2979" s="79">
        <v>45156.86959490741</v>
      </c>
      <c r="AG2979" s="85">
        <v>45156</v>
      </c>
      <c r="AH2979" s="82" t="s">
        <v>13004</v>
      </c>
      <c r="AI2979" s="77" t="b">
        <v>0</v>
      </c>
      <c r="AJ2979" s="77"/>
      <c r="AK2979" s="77"/>
      <c r="AL2979" s="77"/>
      <c r="AM2979" s="77"/>
      <c r="AN2979" s="77"/>
      <c r="AO2979" s="77"/>
      <c r="AP2979" s="77"/>
      <c r="AQ2979" s="77" t="s">
        <v>15960</v>
      </c>
      <c r="AR2979" s="77"/>
      <c r="AS2979" s="77"/>
      <c r="AT2979" s="77"/>
      <c r="AU2979" s="77"/>
      <c r="AV2979" s="80" t="str">
        <f>HYPERLINK("https://pbs.twimg.com/media/F313X8yWQAA28ch.jpg")</f>
        <v>https://pbs.twimg.com/media/F313X8yWQAA28ch.jpg</v>
      </c>
      <c r="AW2979" s="82" t="s">
        <v>19745</v>
      </c>
      <c r="AX2979" s="82" t="s">
        <v>19745</v>
      </c>
      <c r="AY2979" s="77"/>
      <c r="AZ2979" s="82" t="s">
        <v>20971</v>
      </c>
      <c r="BA2979" s="82" t="s">
        <v>20971</v>
      </c>
      <c r="BB2979" s="82" t="s">
        <v>20971</v>
      </c>
      <c r="BC2979" s="82" t="s">
        <v>19745</v>
      </c>
      <c r="BD2979" s="82" t="s">
        <v>21585</v>
      </c>
      <c r="BE2979" s="77"/>
      <c r="BF2979" s="77"/>
      <c r="BG2979" s="77"/>
      <c r="BH2979" s="77"/>
      <c r="BI2979" s="77"/>
    </row>
    <row r="2980" spans="1:61" x14ac:dyDescent="0.25">
      <c r="A2980" s="62" t="s">
        <v>987</v>
      </c>
      <c r="B2980" s="62" t="s">
        <v>987</v>
      </c>
      <c r="C2980" s="63"/>
      <c r="D2980" s="64"/>
      <c r="E2980" s="65"/>
      <c r="F2980" s="66"/>
      <c r="G2980" s="63"/>
      <c r="H2980" s="67"/>
      <c r="I2980" s="68"/>
      <c r="J2980" s="68"/>
      <c r="K2980" s="32"/>
      <c r="L2980" s="75">
        <v>2980</v>
      </c>
      <c r="M2980" s="75"/>
      <c r="N2980" s="70"/>
      <c r="O2980" s="77" t="s">
        <v>179</v>
      </c>
      <c r="P2980" s="79">
        <v>45156.86246527778</v>
      </c>
      <c r="Q2980" s="77" t="s">
        <v>4186</v>
      </c>
      <c r="R2980" s="77">
        <v>0</v>
      </c>
      <c r="S2980" s="77">
        <v>0</v>
      </c>
      <c r="T2980" s="77">
        <v>0</v>
      </c>
      <c r="U2980" s="77">
        <v>0</v>
      </c>
      <c r="V2980" s="77">
        <v>17</v>
      </c>
      <c r="W2980" s="82" t="s">
        <v>6700</v>
      </c>
      <c r="X2980" s="77"/>
      <c r="Y2980" s="77"/>
      <c r="Z2980" s="77"/>
      <c r="AA2980" s="77" t="s">
        <v>9318</v>
      </c>
      <c r="AB2980" s="77" t="s">
        <v>10130</v>
      </c>
      <c r="AC2980" s="82" t="s">
        <v>10146</v>
      </c>
      <c r="AD2980" s="77" t="s">
        <v>10184</v>
      </c>
      <c r="AE2980" s="80" t="str">
        <f>HYPERLINK("https://twitter.com/ardennessi93834/status/1692637982044344642")</f>
        <v>https://twitter.com/ardennessi93834/status/1692637982044344642</v>
      </c>
      <c r="AF2980" s="79">
        <v>45156.86246527778</v>
      </c>
      <c r="AG2980" s="85">
        <v>45156</v>
      </c>
      <c r="AH2980" s="82" t="s">
        <v>13005</v>
      </c>
      <c r="AI2980" s="77" t="b">
        <v>0</v>
      </c>
      <c r="AJ2980" s="77"/>
      <c r="AK2980" s="77"/>
      <c r="AL2980" s="77"/>
      <c r="AM2980" s="77"/>
      <c r="AN2980" s="77"/>
      <c r="AO2980" s="77"/>
      <c r="AP2980" s="77"/>
      <c r="AQ2980" s="77" t="s">
        <v>15961</v>
      </c>
      <c r="AR2980" s="77"/>
      <c r="AS2980" s="77"/>
      <c r="AT2980" s="77"/>
      <c r="AU2980" s="77"/>
      <c r="AV2980" s="80" t="str">
        <f>HYPERLINK("https://pbs.twimg.com/media/F311QbiW0AAFIUq.png")</f>
        <v>https://pbs.twimg.com/media/F311QbiW0AAFIUq.png</v>
      </c>
      <c r="AW2980" s="82" t="s">
        <v>19746</v>
      </c>
      <c r="AX2980" s="82" t="s">
        <v>19746</v>
      </c>
      <c r="AY2980" s="77"/>
      <c r="AZ2980" s="82" t="s">
        <v>20971</v>
      </c>
      <c r="BA2980" s="82" t="s">
        <v>20971</v>
      </c>
      <c r="BB2980" s="82" t="s">
        <v>20971</v>
      </c>
      <c r="BC2980" s="82" t="s">
        <v>19746</v>
      </c>
      <c r="BD2980" s="82" t="s">
        <v>21585</v>
      </c>
      <c r="BE2980" s="77"/>
      <c r="BF2980" s="77"/>
      <c r="BG2980" s="77"/>
      <c r="BH2980" s="77"/>
      <c r="BI2980" s="77"/>
    </row>
    <row r="2981" spans="1:61" x14ac:dyDescent="0.25">
      <c r="A2981" s="62" t="s">
        <v>987</v>
      </c>
      <c r="B2981" s="62" t="s">
        <v>987</v>
      </c>
      <c r="C2981" s="63"/>
      <c r="D2981" s="64"/>
      <c r="E2981" s="65"/>
      <c r="F2981" s="66"/>
      <c r="G2981" s="63"/>
      <c r="H2981" s="67"/>
      <c r="I2981" s="68"/>
      <c r="J2981" s="68"/>
      <c r="K2981" s="32"/>
      <c r="L2981" s="75">
        <v>2981</v>
      </c>
      <c r="M2981" s="75"/>
      <c r="N2981" s="70"/>
      <c r="O2981" s="77" t="s">
        <v>179</v>
      </c>
      <c r="P2981" s="79">
        <v>45155.813032407408</v>
      </c>
      <c r="Q2981" s="77" t="s">
        <v>4187</v>
      </c>
      <c r="R2981" s="77">
        <v>0</v>
      </c>
      <c r="S2981" s="77">
        <v>1</v>
      </c>
      <c r="T2981" s="77">
        <v>0</v>
      </c>
      <c r="U2981" s="77">
        <v>0</v>
      </c>
      <c r="V2981" s="77">
        <v>13</v>
      </c>
      <c r="W2981" s="82" t="s">
        <v>6700</v>
      </c>
      <c r="X2981" s="77"/>
      <c r="Y2981" s="77"/>
      <c r="Z2981" s="77"/>
      <c r="AA2981" s="77" t="s">
        <v>9319</v>
      </c>
      <c r="AB2981" s="77" t="s">
        <v>10130</v>
      </c>
      <c r="AC2981" s="82" t="s">
        <v>10146</v>
      </c>
      <c r="AD2981" s="77" t="s">
        <v>10184</v>
      </c>
      <c r="AE2981" s="80" t="str">
        <f>HYPERLINK("https://twitter.com/ardennessi93834/status/1692257680864211004")</f>
        <v>https://twitter.com/ardennessi93834/status/1692257680864211004</v>
      </c>
      <c r="AF2981" s="79">
        <v>45155.813032407408</v>
      </c>
      <c r="AG2981" s="85">
        <v>45155</v>
      </c>
      <c r="AH2981" s="82" t="s">
        <v>13006</v>
      </c>
      <c r="AI2981" s="77" t="b">
        <v>0</v>
      </c>
      <c r="AJ2981" s="77"/>
      <c r="AK2981" s="77"/>
      <c r="AL2981" s="77"/>
      <c r="AM2981" s="77"/>
      <c r="AN2981" s="77"/>
      <c r="AO2981" s="77"/>
      <c r="AP2981" s="77"/>
      <c r="AQ2981" s="77" t="s">
        <v>15962</v>
      </c>
      <c r="AR2981" s="77"/>
      <c r="AS2981" s="77"/>
      <c r="AT2981" s="77"/>
      <c r="AU2981" s="77"/>
      <c r="AV2981" s="80" t="str">
        <f>HYPERLINK("https://pbs.twimg.com/media/F3wbXSVWUAExv-8.jpg")</f>
        <v>https://pbs.twimg.com/media/F3wbXSVWUAExv-8.jpg</v>
      </c>
      <c r="AW2981" s="82" t="s">
        <v>19747</v>
      </c>
      <c r="AX2981" s="82" t="s">
        <v>19747</v>
      </c>
      <c r="AY2981" s="77"/>
      <c r="AZ2981" s="82" t="s">
        <v>20971</v>
      </c>
      <c r="BA2981" s="82" t="s">
        <v>20971</v>
      </c>
      <c r="BB2981" s="82" t="s">
        <v>20971</v>
      </c>
      <c r="BC2981" s="82" t="s">
        <v>19747</v>
      </c>
      <c r="BD2981" s="82" t="s">
        <v>21585</v>
      </c>
      <c r="BE2981" s="77"/>
      <c r="BF2981" s="77"/>
      <c r="BG2981" s="77"/>
      <c r="BH2981" s="77"/>
      <c r="BI2981" s="77"/>
    </row>
    <row r="2982" spans="1:61" x14ac:dyDescent="0.25">
      <c r="A2982" s="62" t="s">
        <v>987</v>
      </c>
      <c r="B2982" s="62" t="s">
        <v>987</v>
      </c>
      <c r="C2982" s="63"/>
      <c r="D2982" s="64"/>
      <c r="E2982" s="65"/>
      <c r="F2982" s="66"/>
      <c r="G2982" s="63"/>
      <c r="H2982" s="67"/>
      <c r="I2982" s="68"/>
      <c r="J2982" s="68"/>
      <c r="K2982" s="32"/>
      <c r="L2982" s="75">
        <v>2982</v>
      </c>
      <c r="M2982" s="75"/>
      <c r="N2982" s="70"/>
      <c r="O2982" s="77" t="s">
        <v>179</v>
      </c>
      <c r="P2982" s="79">
        <v>45155.812592592592</v>
      </c>
      <c r="Q2982" s="77" t="s">
        <v>4188</v>
      </c>
      <c r="R2982" s="77">
        <v>0</v>
      </c>
      <c r="S2982" s="77">
        <v>1</v>
      </c>
      <c r="T2982" s="77">
        <v>0</v>
      </c>
      <c r="U2982" s="77">
        <v>0</v>
      </c>
      <c r="V2982" s="77">
        <v>13</v>
      </c>
      <c r="W2982" s="82" t="s">
        <v>6700</v>
      </c>
      <c r="X2982" s="77"/>
      <c r="Y2982" s="77"/>
      <c r="Z2982" s="77"/>
      <c r="AA2982" s="77" t="s">
        <v>9320</v>
      </c>
      <c r="AB2982" s="77" t="s">
        <v>10130</v>
      </c>
      <c r="AC2982" s="82" t="s">
        <v>10146</v>
      </c>
      <c r="AD2982" s="77" t="s">
        <v>10184</v>
      </c>
      <c r="AE2982" s="80" t="str">
        <f>HYPERLINK("https://twitter.com/ardennessi93834/status/1692257523250627051")</f>
        <v>https://twitter.com/ardennessi93834/status/1692257523250627051</v>
      </c>
      <c r="AF2982" s="79">
        <v>45155.812592592592</v>
      </c>
      <c r="AG2982" s="85">
        <v>45155</v>
      </c>
      <c r="AH2982" s="82" t="s">
        <v>13007</v>
      </c>
      <c r="AI2982" s="77" t="b">
        <v>0</v>
      </c>
      <c r="AJ2982" s="77"/>
      <c r="AK2982" s="77"/>
      <c r="AL2982" s="77"/>
      <c r="AM2982" s="77"/>
      <c r="AN2982" s="77"/>
      <c r="AO2982" s="77"/>
      <c r="AP2982" s="77"/>
      <c r="AQ2982" s="77" t="s">
        <v>15963</v>
      </c>
      <c r="AR2982" s="77"/>
      <c r="AS2982" s="77"/>
      <c r="AT2982" s="77"/>
      <c r="AU2982" s="77"/>
      <c r="AV2982" s="80" t="str">
        <f>HYPERLINK("https://pbs.twimg.com/media/F3wbOqtWgAA4aq4.jpg")</f>
        <v>https://pbs.twimg.com/media/F3wbOqtWgAA4aq4.jpg</v>
      </c>
      <c r="AW2982" s="82" t="s">
        <v>19748</v>
      </c>
      <c r="AX2982" s="82" t="s">
        <v>19748</v>
      </c>
      <c r="AY2982" s="77"/>
      <c r="AZ2982" s="82" t="s">
        <v>20971</v>
      </c>
      <c r="BA2982" s="82" t="s">
        <v>20971</v>
      </c>
      <c r="BB2982" s="82" t="s">
        <v>20971</v>
      </c>
      <c r="BC2982" s="82" t="s">
        <v>19748</v>
      </c>
      <c r="BD2982" s="82" t="s">
        <v>21585</v>
      </c>
      <c r="BE2982" s="77"/>
      <c r="BF2982" s="77"/>
      <c r="BG2982" s="77"/>
      <c r="BH2982" s="77"/>
      <c r="BI2982" s="77"/>
    </row>
    <row r="2983" spans="1:61" x14ac:dyDescent="0.25">
      <c r="A2983" s="62" t="s">
        <v>987</v>
      </c>
      <c r="B2983" s="62" t="s">
        <v>987</v>
      </c>
      <c r="C2983" s="63"/>
      <c r="D2983" s="64"/>
      <c r="E2983" s="65"/>
      <c r="F2983" s="66"/>
      <c r="G2983" s="63"/>
      <c r="H2983" s="67"/>
      <c r="I2983" s="68"/>
      <c r="J2983" s="68"/>
      <c r="K2983" s="32"/>
      <c r="L2983" s="75">
        <v>2983</v>
      </c>
      <c r="M2983" s="75"/>
      <c r="N2983" s="70"/>
      <c r="O2983" s="77" t="s">
        <v>179</v>
      </c>
      <c r="P2983" s="79">
        <v>45155.811828703707</v>
      </c>
      <c r="Q2983" s="77" t="s">
        <v>4189</v>
      </c>
      <c r="R2983" s="77">
        <v>0</v>
      </c>
      <c r="S2983" s="77">
        <v>1</v>
      </c>
      <c r="T2983" s="77">
        <v>0</v>
      </c>
      <c r="U2983" s="77">
        <v>0</v>
      </c>
      <c r="V2983" s="77">
        <v>16</v>
      </c>
      <c r="W2983" s="82" t="s">
        <v>6700</v>
      </c>
      <c r="X2983" s="77"/>
      <c r="Y2983" s="77"/>
      <c r="Z2983" s="77"/>
      <c r="AA2983" s="77" t="s">
        <v>9321</v>
      </c>
      <c r="AB2983" s="77" t="s">
        <v>10130</v>
      </c>
      <c r="AC2983" s="82" t="s">
        <v>10146</v>
      </c>
      <c r="AD2983" s="77" t="s">
        <v>10184</v>
      </c>
      <c r="AE2983" s="80" t="str">
        <f>HYPERLINK("https://twitter.com/ardennessi93834/status/1692257243134042260")</f>
        <v>https://twitter.com/ardennessi93834/status/1692257243134042260</v>
      </c>
      <c r="AF2983" s="79">
        <v>45155.811828703707</v>
      </c>
      <c r="AG2983" s="85">
        <v>45155</v>
      </c>
      <c r="AH2983" s="82" t="s">
        <v>13008</v>
      </c>
      <c r="AI2983" s="77" t="b">
        <v>0</v>
      </c>
      <c r="AJ2983" s="77"/>
      <c r="AK2983" s="77"/>
      <c r="AL2983" s="77"/>
      <c r="AM2983" s="77"/>
      <c r="AN2983" s="77"/>
      <c r="AO2983" s="77"/>
      <c r="AP2983" s="77"/>
      <c r="AQ2983" s="77" t="s">
        <v>15964</v>
      </c>
      <c r="AR2983" s="77"/>
      <c r="AS2983" s="77"/>
      <c r="AT2983" s="77"/>
      <c r="AU2983" s="77"/>
      <c r="AV2983" s="80" t="str">
        <f>HYPERLINK("https://pbs.twimg.com/media/F3wa9MgXwAAekJw.jpg")</f>
        <v>https://pbs.twimg.com/media/F3wa9MgXwAAekJw.jpg</v>
      </c>
      <c r="AW2983" s="82" t="s">
        <v>19749</v>
      </c>
      <c r="AX2983" s="82" t="s">
        <v>19749</v>
      </c>
      <c r="AY2983" s="77"/>
      <c r="AZ2983" s="82" t="s">
        <v>20971</v>
      </c>
      <c r="BA2983" s="82" t="s">
        <v>20971</v>
      </c>
      <c r="BB2983" s="82" t="s">
        <v>20971</v>
      </c>
      <c r="BC2983" s="82" t="s">
        <v>19749</v>
      </c>
      <c r="BD2983" s="82" t="s">
        <v>21585</v>
      </c>
      <c r="BE2983" s="77"/>
      <c r="BF2983" s="77"/>
      <c r="BG2983" s="77"/>
      <c r="BH2983" s="77"/>
      <c r="BI2983" s="77"/>
    </row>
    <row r="2984" spans="1:61" x14ac:dyDescent="0.25">
      <c r="A2984" s="62" t="s">
        <v>987</v>
      </c>
      <c r="B2984" s="62" t="s">
        <v>987</v>
      </c>
      <c r="C2984" s="63"/>
      <c r="D2984" s="64"/>
      <c r="E2984" s="65"/>
      <c r="F2984" s="66"/>
      <c r="G2984" s="63"/>
      <c r="H2984" s="67"/>
      <c r="I2984" s="68"/>
      <c r="J2984" s="68"/>
      <c r="K2984" s="32"/>
      <c r="L2984" s="75">
        <v>2984</v>
      </c>
      <c r="M2984" s="75"/>
      <c r="N2984" s="70"/>
      <c r="O2984" s="77" t="s">
        <v>179</v>
      </c>
      <c r="P2984" s="79">
        <v>45138.613819444443</v>
      </c>
      <c r="Q2984" s="77" t="s">
        <v>4190</v>
      </c>
      <c r="R2984" s="77">
        <v>1</v>
      </c>
      <c r="S2984" s="77">
        <v>1</v>
      </c>
      <c r="T2984" s="77">
        <v>1</v>
      </c>
      <c r="U2984" s="77">
        <v>0</v>
      </c>
      <c r="V2984" s="77">
        <v>51</v>
      </c>
      <c r="W2984" s="82" t="s">
        <v>6700</v>
      </c>
      <c r="X2984" s="77"/>
      <c r="Y2984" s="77"/>
      <c r="Z2984" s="77"/>
      <c r="AA2984" s="77" t="s">
        <v>9322</v>
      </c>
      <c r="AB2984" s="77" t="s">
        <v>10129</v>
      </c>
      <c r="AC2984" s="82" t="s">
        <v>10146</v>
      </c>
      <c r="AD2984" s="77" t="s">
        <v>10184</v>
      </c>
      <c r="AE2984" s="80" t="str">
        <f>HYPERLINK("https://twitter.com/ardennessi93834/status/1686024893580587011")</f>
        <v>https://twitter.com/ardennessi93834/status/1686024893580587011</v>
      </c>
      <c r="AF2984" s="79">
        <v>45138.613819444443</v>
      </c>
      <c r="AG2984" s="85">
        <v>45138</v>
      </c>
      <c r="AH2984" s="82" t="s">
        <v>13009</v>
      </c>
      <c r="AI2984" s="77" t="b">
        <v>0</v>
      </c>
      <c r="AJ2984" s="77"/>
      <c r="AK2984" s="77"/>
      <c r="AL2984" s="77"/>
      <c r="AM2984" s="77"/>
      <c r="AN2984" s="77"/>
      <c r="AO2984" s="77"/>
      <c r="AP2984" s="77"/>
      <c r="AQ2984" s="77" t="s">
        <v>15965</v>
      </c>
      <c r="AR2984" s="77">
        <v>60000</v>
      </c>
      <c r="AS2984" s="77"/>
      <c r="AT2984" s="77"/>
      <c r="AU2984" s="77"/>
      <c r="AV2984" s="80" t="str">
        <f>HYPERLINK("https://pbs.twimg.com/ext_tw_video_thumb/1686024814572564480/pu/img/wUfcCa4Ixnbtoizc.jpg")</f>
        <v>https://pbs.twimg.com/ext_tw_video_thumb/1686024814572564480/pu/img/wUfcCa4Ixnbtoizc.jpg</v>
      </c>
      <c r="AW2984" s="82" t="s">
        <v>19750</v>
      </c>
      <c r="AX2984" s="82" t="s">
        <v>19750</v>
      </c>
      <c r="AY2984" s="77"/>
      <c r="AZ2984" s="82" t="s">
        <v>20971</v>
      </c>
      <c r="BA2984" s="82" t="s">
        <v>20971</v>
      </c>
      <c r="BB2984" s="82" t="s">
        <v>20971</v>
      </c>
      <c r="BC2984" s="82" t="s">
        <v>19750</v>
      </c>
      <c r="BD2984" s="82" t="s">
        <v>21585</v>
      </c>
      <c r="BE2984" s="77"/>
      <c r="BF2984" s="77"/>
      <c r="BG2984" s="77"/>
      <c r="BH2984" s="77"/>
      <c r="BI2984" s="77"/>
    </row>
    <row r="2985" spans="1:61" x14ac:dyDescent="0.25">
      <c r="A2985" s="62" t="s">
        <v>987</v>
      </c>
      <c r="B2985" s="62" t="s">
        <v>987</v>
      </c>
      <c r="C2985" s="63"/>
      <c r="D2985" s="64"/>
      <c r="E2985" s="65"/>
      <c r="F2985" s="66"/>
      <c r="G2985" s="63"/>
      <c r="H2985" s="67"/>
      <c r="I2985" s="68"/>
      <c r="J2985" s="68"/>
      <c r="K2985" s="32"/>
      <c r="L2985" s="75">
        <v>2985</v>
      </c>
      <c r="M2985" s="75"/>
      <c r="N2985" s="70"/>
      <c r="O2985" s="77" t="s">
        <v>179</v>
      </c>
      <c r="P2985" s="79">
        <v>45135.553553240738</v>
      </c>
      <c r="Q2985" s="77" t="s">
        <v>4191</v>
      </c>
      <c r="R2985" s="77">
        <v>1</v>
      </c>
      <c r="S2985" s="77">
        <v>1</v>
      </c>
      <c r="T2985" s="77">
        <v>1</v>
      </c>
      <c r="U2985" s="77">
        <v>0</v>
      </c>
      <c r="V2985" s="77">
        <v>39</v>
      </c>
      <c r="W2985" s="82" t="s">
        <v>6700</v>
      </c>
      <c r="X2985" s="77"/>
      <c r="Y2985" s="77"/>
      <c r="Z2985" s="77"/>
      <c r="AA2985" s="77" t="s">
        <v>9323</v>
      </c>
      <c r="AB2985" s="77" t="s">
        <v>10130</v>
      </c>
      <c r="AC2985" s="82" t="s">
        <v>10146</v>
      </c>
      <c r="AD2985" s="77" t="s">
        <v>10184</v>
      </c>
      <c r="AE2985" s="80" t="str">
        <f>HYPERLINK("https://twitter.com/ardennessi93834/status/1684915890762948610")</f>
        <v>https://twitter.com/ardennessi93834/status/1684915890762948610</v>
      </c>
      <c r="AF2985" s="79">
        <v>45135.553553240738</v>
      </c>
      <c r="AG2985" s="85">
        <v>45135</v>
      </c>
      <c r="AH2985" s="82" t="s">
        <v>13010</v>
      </c>
      <c r="AI2985" s="77" t="b">
        <v>0</v>
      </c>
      <c r="AJ2985" s="77"/>
      <c r="AK2985" s="77"/>
      <c r="AL2985" s="77"/>
      <c r="AM2985" s="77"/>
      <c r="AN2985" s="77"/>
      <c r="AO2985" s="77"/>
      <c r="AP2985" s="77"/>
      <c r="AQ2985" s="77" t="s">
        <v>15966</v>
      </c>
      <c r="AR2985" s="77"/>
      <c r="AS2985" s="77"/>
      <c r="AT2985" s="77"/>
      <c r="AU2985" s="77"/>
      <c r="AV2985" s="80" t="str">
        <f>HYPERLINK("https://pbs.twimg.com/media/F2IGD-SWkAEbXyn.jpg")</f>
        <v>https://pbs.twimg.com/media/F2IGD-SWkAEbXyn.jpg</v>
      </c>
      <c r="AW2985" s="82" t="s">
        <v>19751</v>
      </c>
      <c r="AX2985" s="82" t="s">
        <v>19751</v>
      </c>
      <c r="AY2985" s="77"/>
      <c r="AZ2985" s="82" t="s">
        <v>20971</v>
      </c>
      <c r="BA2985" s="82" t="s">
        <v>20971</v>
      </c>
      <c r="BB2985" s="82" t="s">
        <v>20971</v>
      </c>
      <c r="BC2985" s="82" t="s">
        <v>19751</v>
      </c>
      <c r="BD2985" s="82" t="s">
        <v>21585</v>
      </c>
      <c r="BE2985" s="77"/>
      <c r="BF2985" s="77"/>
      <c r="BG2985" s="77"/>
      <c r="BH2985" s="77"/>
      <c r="BI2985" s="77"/>
    </row>
    <row r="2986" spans="1:61" x14ac:dyDescent="0.25">
      <c r="A2986" s="62" t="s">
        <v>988</v>
      </c>
      <c r="B2986" s="62" t="s">
        <v>988</v>
      </c>
      <c r="C2986" s="63"/>
      <c r="D2986" s="64"/>
      <c r="E2986" s="65"/>
      <c r="F2986" s="66"/>
      <c r="G2986" s="63"/>
      <c r="H2986" s="67"/>
      <c r="I2986" s="68"/>
      <c r="J2986" s="68"/>
      <c r="K2986" s="32"/>
      <c r="L2986" s="75">
        <v>2986</v>
      </c>
      <c r="M2986" s="75"/>
      <c r="N2986" s="70"/>
      <c r="O2986" s="77" t="s">
        <v>179</v>
      </c>
      <c r="P2986" s="79">
        <v>44998.759525462963</v>
      </c>
      <c r="Q2986" s="77" t="s">
        <v>4192</v>
      </c>
      <c r="R2986" s="77">
        <v>0</v>
      </c>
      <c r="S2986" s="77">
        <v>0</v>
      </c>
      <c r="T2986" s="77">
        <v>0</v>
      </c>
      <c r="U2986" s="77">
        <v>0</v>
      </c>
      <c r="V2986" s="77">
        <v>144</v>
      </c>
      <c r="W2986" s="82" t="s">
        <v>6706</v>
      </c>
      <c r="X2986" s="80" t="str">
        <f>HYPERLINK("https://telegrupos.com.br/comunidade-de-marketing-gratuito/")</f>
        <v>https://telegrupos.com.br/comunidade-de-marketing-gratuito/</v>
      </c>
      <c r="Y2986" s="77" t="s">
        <v>7252</v>
      </c>
      <c r="Z2986" s="77"/>
      <c r="AA2986" s="77" t="s">
        <v>9324</v>
      </c>
      <c r="AB2986" s="77" t="s">
        <v>10130</v>
      </c>
      <c r="AC2986" s="82" t="s">
        <v>10176</v>
      </c>
      <c r="AD2986" s="77" t="s">
        <v>10184</v>
      </c>
      <c r="AE2986" s="80" t="str">
        <f>HYPERLINK("https://twitter.com/telegrupos/status/1635343397132304385")</f>
        <v>https://twitter.com/telegrupos/status/1635343397132304385</v>
      </c>
      <c r="AF2986" s="79">
        <v>44998.759525462963</v>
      </c>
      <c r="AG2986" s="85">
        <v>44998</v>
      </c>
      <c r="AH2986" s="82" t="s">
        <v>13011</v>
      </c>
      <c r="AI2986" s="77" t="b">
        <v>0</v>
      </c>
      <c r="AJ2986" s="77"/>
      <c r="AK2986" s="77"/>
      <c r="AL2986" s="77"/>
      <c r="AM2986" s="77"/>
      <c r="AN2986" s="77"/>
      <c r="AO2986" s="77"/>
      <c r="AP2986" s="77"/>
      <c r="AQ2986" s="77" t="s">
        <v>15967</v>
      </c>
      <c r="AR2986" s="77"/>
      <c r="AS2986" s="77"/>
      <c r="AT2986" s="77"/>
      <c r="AU2986" s="77"/>
      <c r="AV2986" s="80" t="str">
        <f>HYPERLINK("https://pbs.twimg.com/media/FrHoJ1qWIAAeKz0.jpg")</f>
        <v>https://pbs.twimg.com/media/FrHoJ1qWIAAeKz0.jpg</v>
      </c>
      <c r="AW2986" s="82" t="s">
        <v>19752</v>
      </c>
      <c r="AX2986" s="82" t="s">
        <v>19752</v>
      </c>
      <c r="AY2986" s="77"/>
      <c r="AZ2986" s="82" t="s">
        <v>20971</v>
      </c>
      <c r="BA2986" s="82" t="s">
        <v>20971</v>
      </c>
      <c r="BB2986" s="82" t="s">
        <v>20971</v>
      </c>
      <c r="BC2986" s="82" t="s">
        <v>19752</v>
      </c>
      <c r="BD2986" s="82" t="s">
        <v>21586</v>
      </c>
      <c r="BE2986" s="77"/>
      <c r="BF2986" s="77"/>
      <c r="BG2986" s="77"/>
      <c r="BH2986" s="77"/>
      <c r="BI2986" s="77"/>
    </row>
    <row r="2987" spans="1:61" x14ac:dyDescent="0.25">
      <c r="A2987" s="62" t="s">
        <v>989</v>
      </c>
      <c r="B2987" s="62" t="s">
        <v>989</v>
      </c>
      <c r="C2987" s="63"/>
      <c r="D2987" s="64"/>
      <c r="E2987" s="65"/>
      <c r="F2987" s="66"/>
      <c r="G2987" s="63"/>
      <c r="H2987" s="67"/>
      <c r="I2987" s="68"/>
      <c r="J2987" s="68"/>
      <c r="K2987" s="32"/>
      <c r="L2987" s="75">
        <v>2987</v>
      </c>
      <c r="M2987" s="75"/>
      <c r="N2987" s="70"/>
      <c r="O2987" s="77" t="s">
        <v>179</v>
      </c>
      <c r="P2987" s="79">
        <v>45180.925752314812</v>
      </c>
      <c r="Q2987" s="77" t="s">
        <v>4193</v>
      </c>
      <c r="R2987" s="77">
        <v>0</v>
      </c>
      <c r="S2987" s="77">
        <v>0</v>
      </c>
      <c r="T2987" s="77">
        <v>0</v>
      </c>
      <c r="U2987" s="77">
        <v>0</v>
      </c>
      <c r="V2987" s="77">
        <v>24</v>
      </c>
      <c r="W2987" s="82" t="s">
        <v>5236</v>
      </c>
      <c r="X2987" s="80" t="str">
        <f>HYPERLINK("https://olhargreen.com.br/ganhar-dinheiro-lendo-e-mail/")</f>
        <v>https://olhargreen.com.br/ganhar-dinheiro-lendo-e-mail/</v>
      </c>
      <c r="Y2987" s="77" t="s">
        <v>7252</v>
      </c>
      <c r="Z2987" s="77"/>
      <c r="AA2987" s="77" t="s">
        <v>9325</v>
      </c>
      <c r="AB2987" s="77" t="s">
        <v>10130</v>
      </c>
      <c r="AC2987" s="82" t="s">
        <v>10146</v>
      </c>
      <c r="AD2987" s="77" t="s">
        <v>10184</v>
      </c>
      <c r="AE2987" s="80" t="str">
        <f>HYPERLINK("https://twitter.com/olhargreen/status/1701358225025593534")</f>
        <v>https://twitter.com/olhargreen/status/1701358225025593534</v>
      </c>
      <c r="AF2987" s="79">
        <v>45180.925752314812</v>
      </c>
      <c r="AG2987" s="85">
        <v>45180</v>
      </c>
      <c r="AH2987" s="82" t="s">
        <v>13012</v>
      </c>
      <c r="AI2987" s="77" t="b">
        <v>0</v>
      </c>
      <c r="AJ2987" s="77"/>
      <c r="AK2987" s="77"/>
      <c r="AL2987" s="77"/>
      <c r="AM2987" s="77"/>
      <c r="AN2987" s="77"/>
      <c r="AO2987" s="77"/>
      <c r="AP2987" s="77"/>
      <c r="AQ2987" s="77" t="s">
        <v>15968</v>
      </c>
      <c r="AR2987" s="77"/>
      <c r="AS2987" s="77"/>
      <c r="AT2987" s="77"/>
      <c r="AU2987" s="77"/>
      <c r="AV2987" s="80" t="str">
        <f>HYPERLINK("https://pbs.twimg.com/media/F5xwNU-XMAA8X5a.jpg")</f>
        <v>https://pbs.twimg.com/media/F5xwNU-XMAA8X5a.jpg</v>
      </c>
      <c r="AW2987" s="82" t="s">
        <v>19753</v>
      </c>
      <c r="AX2987" s="82" t="s">
        <v>19753</v>
      </c>
      <c r="AY2987" s="77"/>
      <c r="AZ2987" s="82" t="s">
        <v>20971</v>
      </c>
      <c r="BA2987" s="82" t="s">
        <v>20971</v>
      </c>
      <c r="BB2987" s="82" t="s">
        <v>20971</v>
      </c>
      <c r="BC2987" s="82" t="s">
        <v>19753</v>
      </c>
      <c r="BD2987" s="82" t="s">
        <v>21587</v>
      </c>
      <c r="BE2987" s="77"/>
      <c r="BF2987" s="77"/>
      <c r="BG2987" s="77"/>
      <c r="BH2987" s="77"/>
      <c r="BI2987" s="77"/>
    </row>
    <row r="2988" spans="1:61" x14ac:dyDescent="0.25">
      <c r="A2988" s="62" t="s">
        <v>990</v>
      </c>
      <c r="B2988" s="62" t="s">
        <v>990</v>
      </c>
      <c r="C2988" s="63"/>
      <c r="D2988" s="64"/>
      <c r="E2988" s="65"/>
      <c r="F2988" s="66"/>
      <c r="G2988" s="63"/>
      <c r="H2988" s="67"/>
      <c r="I2988" s="68"/>
      <c r="J2988" s="68"/>
      <c r="K2988" s="32"/>
      <c r="L2988" s="75">
        <v>2988</v>
      </c>
      <c r="M2988" s="75"/>
      <c r="N2988" s="70"/>
      <c r="O2988" s="77" t="s">
        <v>179</v>
      </c>
      <c r="P2988" s="79">
        <v>45012.858854166669</v>
      </c>
      <c r="Q2988" s="77" t="s">
        <v>4194</v>
      </c>
      <c r="R2988" s="77">
        <v>0</v>
      </c>
      <c r="S2988" s="77">
        <v>1</v>
      </c>
      <c r="T2988" s="77">
        <v>1</v>
      </c>
      <c r="U2988" s="77">
        <v>0</v>
      </c>
      <c r="V2988" s="77">
        <v>16</v>
      </c>
      <c r="W2988" s="82" t="s">
        <v>6707</v>
      </c>
      <c r="X2988" s="77"/>
      <c r="Y2988" s="77"/>
      <c r="Z2988" s="77"/>
      <c r="AA2988" s="77" t="s">
        <v>9326</v>
      </c>
      <c r="AB2988" s="77" t="s">
        <v>10129</v>
      </c>
      <c r="AC2988" s="82" t="s">
        <v>10146</v>
      </c>
      <c r="AD2988" s="77" t="s">
        <v>10183</v>
      </c>
      <c r="AE2988" s="80" t="str">
        <f>HYPERLINK("https://twitter.com/canal7ag/status/1640452821270102020")</f>
        <v>https://twitter.com/canal7ag/status/1640452821270102020</v>
      </c>
      <c r="AF2988" s="79">
        <v>45012.858854166669</v>
      </c>
      <c r="AG2988" s="85">
        <v>45012</v>
      </c>
      <c r="AH2988" s="82" t="s">
        <v>13013</v>
      </c>
      <c r="AI2988" s="77" t="b">
        <v>0</v>
      </c>
      <c r="AJ2988" s="77"/>
      <c r="AK2988" s="77"/>
      <c r="AL2988" s="77"/>
      <c r="AM2988" s="77"/>
      <c r="AN2988" s="77"/>
      <c r="AO2988" s="77"/>
      <c r="AP2988" s="77"/>
      <c r="AQ2988" s="77" t="s">
        <v>15969</v>
      </c>
      <c r="AR2988" s="77">
        <v>15070</v>
      </c>
      <c r="AS2988" s="77"/>
      <c r="AT2988" s="77"/>
      <c r="AU2988" s="77"/>
      <c r="AV2988" s="80" t="str">
        <f>HYPERLINK("https://pbs.twimg.com/ext_tw_video_thumb/1640452189981143040/pu/img/QknRJQj_zxJ9z5H2.jpg")</f>
        <v>https://pbs.twimg.com/ext_tw_video_thumb/1640452189981143040/pu/img/QknRJQj_zxJ9z5H2.jpg</v>
      </c>
      <c r="AW2988" s="82" t="s">
        <v>19754</v>
      </c>
      <c r="AX2988" s="82" t="s">
        <v>19754</v>
      </c>
      <c r="AY2988" s="77"/>
      <c r="AZ2988" s="82" t="s">
        <v>20971</v>
      </c>
      <c r="BA2988" s="82" t="s">
        <v>20971</v>
      </c>
      <c r="BB2988" s="82" t="s">
        <v>20971</v>
      </c>
      <c r="BC2988" s="82" t="s">
        <v>19754</v>
      </c>
      <c r="BD2988" s="82" t="s">
        <v>21588</v>
      </c>
      <c r="BE2988" s="77"/>
      <c r="BF2988" s="77"/>
      <c r="BG2988" s="77"/>
      <c r="BH2988" s="77"/>
      <c r="BI2988" s="77"/>
    </row>
    <row r="2989" spans="1:61" x14ac:dyDescent="0.25">
      <c r="A2989" s="62" t="s">
        <v>991</v>
      </c>
      <c r="B2989" s="62" t="s">
        <v>991</v>
      </c>
      <c r="C2989" s="63"/>
      <c r="D2989" s="64"/>
      <c r="E2989" s="65"/>
      <c r="F2989" s="66"/>
      <c r="G2989" s="63"/>
      <c r="H2989" s="67"/>
      <c r="I2989" s="68"/>
      <c r="J2989" s="68"/>
      <c r="K2989" s="32"/>
      <c r="L2989" s="75">
        <v>2989</v>
      </c>
      <c r="M2989" s="75"/>
      <c r="N2989" s="70"/>
      <c r="O2989" s="77" t="s">
        <v>179</v>
      </c>
      <c r="P2989" s="79">
        <v>44972.707800925928</v>
      </c>
      <c r="Q2989" s="77" t="s">
        <v>4195</v>
      </c>
      <c r="R2989" s="77">
        <v>0</v>
      </c>
      <c r="S2989" s="77">
        <v>0</v>
      </c>
      <c r="T2989" s="77">
        <v>0</v>
      </c>
      <c r="U2989" s="77">
        <v>0</v>
      </c>
      <c r="V2989" s="77">
        <v>45</v>
      </c>
      <c r="W2989" s="82" t="s">
        <v>6708</v>
      </c>
      <c r="X2989" s="77"/>
      <c r="Y2989" s="77"/>
      <c r="Z2989" s="77"/>
      <c r="AA2989" s="77" t="s">
        <v>9327</v>
      </c>
      <c r="AB2989" s="77" t="s">
        <v>10129</v>
      </c>
      <c r="AC2989" s="82" t="s">
        <v>10154</v>
      </c>
      <c r="AD2989" s="77" t="s">
        <v>10184</v>
      </c>
      <c r="AE2989" s="80" t="str">
        <f>HYPERLINK("https://twitter.com/jfugice/status/1625902566893662233")</f>
        <v>https://twitter.com/jfugice/status/1625902566893662233</v>
      </c>
      <c r="AF2989" s="79">
        <v>44972.707800925928</v>
      </c>
      <c r="AG2989" s="85">
        <v>44972</v>
      </c>
      <c r="AH2989" s="82" t="s">
        <v>13014</v>
      </c>
      <c r="AI2989" s="77" t="b">
        <v>0</v>
      </c>
      <c r="AJ2989" s="77"/>
      <c r="AK2989" s="77"/>
      <c r="AL2989" s="77"/>
      <c r="AM2989" s="77"/>
      <c r="AN2989" s="77"/>
      <c r="AO2989" s="77"/>
      <c r="AP2989" s="77"/>
      <c r="AQ2989" s="77" t="s">
        <v>15970</v>
      </c>
      <c r="AR2989" s="77">
        <v>55133</v>
      </c>
      <c r="AS2989" s="77"/>
      <c r="AT2989" s="77"/>
      <c r="AU2989" s="77"/>
      <c r="AV2989" s="80" t="str">
        <f>HYPERLINK("https://pbs.twimg.com/ext_tw_video_thumb/1625902514380976132/pu/img/Hn44yN9FtcI1j9HV.jpg")</f>
        <v>https://pbs.twimg.com/ext_tw_video_thumb/1625902514380976132/pu/img/Hn44yN9FtcI1j9HV.jpg</v>
      </c>
      <c r="AW2989" s="82" t="s">
        <v>19755</v>
      </c>
      <c r="AX2989" s="82" t="s">
        <v>19755</v>
      </c>
      <c r="AY2989" s="77"/>
      <c r="AZ2989" s="82" t="s">
        <v>20971</v>
      </c>
      <c r="BA2989" s="82" t="s">
        <v>20971</v>
      </c>
      <c r="BB2989" s="82" t="s">
        <v>20971</v>
      </c>
      <c r="BC2989" s="82" t="s">
        <v>19755</v>
      </c>
      <c r="BD2989" s="82" t="s">
        <v>21589</v>
      </c>
      <c r="BE2989" s="77"/>
      <c r="BF2989" s="77"/>
      <c r="BG2989" s="77"/>
      <c r="BH2989" s="77"/>
      <c r="BI2989" s="77"/>
    </row>
    <row r="2990" spans="1:61" x14ac:dyDescent="0.25">
      <c r="A2990" s="62" t="s">
        <v>991</v>
      </c>
      <c r="B2990" s="62" t="s">
        <v>991</v>
      </c>
      <c r="C2990" s="63"/>
      <c r="D2990" s="64"/>
      <c r="E2990" s="65"/>
      <c r="F2990" s="66"/>
      <c r="G2990" s="63"/>
      <c r="H2990" s="67"/>
      <c r="I2990" s="68"/>
      <c r="J2990" s="68"/>
      <c r="K2990" s="32"/>
      <c r="L2990" s="75">
        <v>2990</v>
      </c>
      <c r="M2990" s="75"/>
      <c r="N2990" s="70"/>
      <c r="O2990" s="77" t="s">
        <v>179</v>
      </c>
      <c r="P2990" s="79">
        <v>45070.629062499997</v>
      </c>
      <c r="Q2990" s="77" t="s">
        <v>4196</v>
      </c>
      <c r="R2990" s="77">
        <v>0</v>
      </c>
      <c r="S2990" s="77">
        <v>0</v>
      </c>
      <c r="T2990" s="77">
        <v>0</v>
      </c>
      <c r="U2990" s="77">
        <v>0</v>
      </c>
      <c r="V2990" s="77">
        <v>17</v>
      </c>
      <c r="W2990" s="82" t="s">
        <v>6709</v>
      </c>
      <c r="X2990" s="77"/>
      <c r="Y2990" s="77"/>
      <c r="Z2990" s="77"/>
      <c r="AA2990" s="77" t="s">
        <v>9328</v>
      </c>
      <c r="AB2990" s="77" t="s">
        <v>10130</v>
      </c>
      <c r="AC2990" s="82" t="s">
        <v>10154</v>
      </c>
      <c r="AD2990" s="77" t="s">
        <v>10184</v>
      </c>
      <c r="AE2990" s="80" t="str">
        <f>HYPERLINK("https://twitter.com/jfugice/status/1661388043977207808")</f>
        <v>https://twitter.com/jfugice/status/1661388043977207808</v>
      </c>
      <c r="AF2990" s="79">
        <v>45070.629062499997</v>
      </c>
      <c r="AG2990" s="85">
        <v>45070</v>
      </c>
      <c r="AH2990" s="82" t="s">
        <v>13015</v>
      </c>
      <c r="AI2990" s="77" t="b">
        <v>0</v>
      </c>
      <c r="AJ2990" s="77"/>
      <c r="AK2990" s="77"/>
      <c r="AL2990" s="77"/>
      <c r="AM2990" s="77"/>
      <c r="AN2990" s="77"/>
      <c r="AO2990" s="77"/>
      <c r="AP2990" s="77"/>
      <c r="AQ2990" s="77" t="s">
        <v>15971</v>
      </c>
      <c r="AR2990" s="77"/>
      <c r="AS2990" s="77"/>
      <c r="AT2990" s="77"/>
      <c r="AU2990" s="77"/>
      <c r="AV2990" s="80" t="str">
        <f>HYPERLINK("https://pbs.twimg.com/media/Fw5vnyaWcAAsryy.jpg")</f>
        <v>https://pbs.twimg.com/media/Fw5vnyaWcAAsryy.jpg</v>
      </c>
      <c r="AW2990" s="82" t="s">
        <v>19756</v>
      </c>
      <c r="AX2990" s="82" t="s">
        <v>19756</v>
      </c>
      <c r="AY2990" s="77"/>
      <c r="AZ2990" s="82" t="s">
        <v>20971</v>
      </c>
      <c r="BA2990" s="82" t="s">
        <v>20971</v>
      </c>
      <c r="BB2990" s="82" t="s">
        <v>20971</v>
      </c>
      <c r="BC2990" s="82" t="s">
        <v>19756</v>
      </c>
      <c r="BD2990" s="82" t="s">
        <v>21589</v>
      </c>
      <c r="BE2990" s="77"/>
      <c r="BF2990" s="77"/>
      <c r="BG2990" s="77"/>
      <c r="BH2990" s="77"/>
      <c r="BI2990" s="77"/>
    </row>
    <row r="2991" spans="1:61" x14ac:dyDescent="0.25">
      <c r="A2991" s="62" t="s">
        <v>991</v>
      </c>
      <c r="B2991" s="62" t="s">
        <v>991</v>
      </c>
      <c r="C2991" s="63"/>
      <c r="D2991" s="64"/>
      <c r="E2991" s="65"/>
      <c r="F2991" s="66"/>
      <c r="G2991" s="63"/>
      <c r="H2991" s="67"/>
      <c r="I2991" s="68"/>
      <c r="J2991" s="68"/>
      <c r="K2991" s="32"/>
      <c r="L2991" s="75">
        <v>2991</v>
      </c>
      <c r="M2991" s="75"/>
      <c r="N2991" s="70"/>
      <c r="O2991" s="77" t="s">
        <v>179</v>
      </c>
      <c r="P2991" s="79">
        <v>45097.587638888886</v>
      </c>
      <c r="Q2991" s="77" t="s">
        <v>4197</v>
      </c>
      <c r="R2991" s="77">
        <v>0</v>
      </c>
      <c r="S2991" s="77">
        <v>0</v>
      </c>
      <c r="T2991" s="77">
        <v>0</v>
      </c>
      <c r="U2991" s="77">
        <v>0</v>
      </c>
      <c r="V2991" s="77">
        <v>23</v>
      </c>
      <c r="W2991" s="82" t="s">
        <v>6710</v>
      </c>
      <c r="X2991" s="80" t="str">
        <f>HYPERLINK("https://youtu.be/kMJAJnfjdTU")</f>
        <v>https://youtu.be/kMJAJnfjdTU</v>
      </c>
      <c r="Y2991" s="77" t="s">
        <v>7248</v>
      </c>
      <c r="Z2991" s="77"/>
      <c r="AA2991" s="77" t="s">
        <v>9329</v>
      </c>
      <c r="AB2991" s="77" t="s">
        <v>10129</v>
      </c>
      <c r="AC2991" s="82" t="s">
        <v>10154</v>
      </c>
      <c r="AD2991" s="77" t="s">
        <v>10184</v>
      </c>
      <c r="AE2991" s="80" t="str">
        <f>HYPERLINK("https://twitter.com/jfugice/status/1671157505718890497")</f>
        <v>https://twitter.com/jfugice/status/1671157505718890497</v>
      </c>
      <c r="AF2991" s="79">
        <v>45097.587638888886</v>
      </c>
      <c r="AG2991" s="85">
        <v>45097</v>
      </c>
      <c r="AH2991" s="82" t="s">
        <v>13016</v>
      </c>
      <c r="AI2991" s="77" t="b">
        <v>0</v>
      </c>
      <c r="AJ2991" s="77"/>
      <c r="AK2991" s="77"/>
      <c r="AL2991" s="77"/>
      <c r="AM2991" s="77"/>
      <c r="AN2991" s="77"/>
      <c r="AO2991" s="77"/>
      <c r="AP2991" s="77"/>
      <c r="AQ2991" s="77" t="s">
        <v>15972</v>
      </c>
      <c r="AR2991" s="77">
        <v>34600</v>
      </c>
      <c r="AS2991" s="77"/>
      <c r="AT2991" s="77"/>
      <c r="AU2991" s="77"/>
      <c r="AV2991" s="80" t="str">
        <f>HYPERLINK("https://pbs.twimg.com/ext_tw_video_thumb/1671157434768056325/pu/img/J3biohUGNZ_Kbn9A.jpg")</f>
        <v>https://pbs.twimg.com/ext_tw_video_thumb/1671157434768056325/pu/img/J3biohUGNZ_Kbn9A.jpg</v>
      </c>
      <c r="AW2991" s="82" t="s">
        <v>19757</v>
      </c>
      <c r="AX2991" s="82" t="s">
        <v>19757</v>
      </c>
      <c r="AY2991" s="77"/>
      <c r="AZ2991" s="82" t="s">
        <v>20971</v>
      </c>
      <c r="BA2991" s="82" t="s">
        <v>20971</v>
      </c>
      <c r="BB2991" s="82" t="s">
        <v>20971</v>
      </c>
      <c r="BC2991" s="82" t="s">
        <v>19757</v>
      </c>
      <c r="BD2991" s="82" t="s">
        <v>21589</v>
      </c>
      <c r="BE2991" s="77"/>
      <c r="BF2991" s="77"/>
      <c r="BG2991" s="77"/>
      <c r="BH2991" s="77"/>
      <c r="BI2991" s="77"/>
    </row>
    <row r="2992" spans="1:61" x14ac:dyDescent="0.25">
      <c r="A2992" s="62" t="s">
        <v>991</v>
      </c>
      <c r="B2992" s="62" t="s">
        <v>991</v>
      </c>
      <c r="C2992" s="63"/>
      <c r="D2992" s="64"/>
      <c r="E2992" s="65"/>
      <c r="F2992" s="66"/>
      <c r="G2992" s="63"/>
      <c r="H2992" s="67"/>
      <c r="I2992" s="68"/>
      <c r="J2992" s="68"/>
      <c r="K2992" s="32"/>
      <c r="L2992" s="75">
        <v>2992</v>
      </c>
      <c r="M2992" s="75"/>
      <c r="N2992" s="70"/>
      <c r="O2992" s="77" t="s">
        <v>179</v>
      </c>
      <c r="P2992" s="79">
        <v>45129.61482638889</v>
      </c>
      <c r="Q2992" s="77" t="s">
        <v>4198</v>
      </c>
      <c r="R2992" s="77">
        <v>0</v>
      </c>
      <c r="S2992" s="77">
        <v>0</v>
      </c>
      <c r="T2992" s="77">
        <v>0</v>
      </c>
      <c r="U2992" s="77">
        <v>0</v>
      </c>
      <c r="V2992" s="77">
        <v>17</v>
      </c>
      <c r="W2992" s="82" t="s">
        <v>6711</v>
      </c>
      <c r="X2992" s="77"/>
      <c r="Y2992" s="77"/>
      <c r="Z2992" s="77"/>
      <c r="AA2992" s="77" t="s">
        <v>9330</v>
      </c>
      <c r="AB2992" s="77" t="s">
        <v>10130</v>
      </c>
      <c r="AC2992" s="82" t="s">
        <v>10154</v>
      </c>
      <c r="AD2992" s="77" t="s">
        <v>10184</v>
      </c>
      <c r="AE2992" s="80" t="str">
        <f>HYPERLINK("https://twitter.com/jfugice/status/1682763770580418561")</f>
        <v>https://twitter.com/jfugice/status/1682763770580418561</v>
      </c>
      <c r="AF2992" s="79">
        <v>45129.61482638889</v>
      </c>
      <c r="AG2992" s="85">
        <v>45129</v>
      </c>
      <c r="AH2992" s="82" t="s">
        <v>13017</v>
      </c>
      <c r="AI2992" s="77" t="b">
        <v>0</v>
      </c>
      <c r="AJ2992" s="77"/>
      <c r="AK2992" s="77"/>
      <c r="AL2992" s="77"/>
      <c r="AM2992" s="77"/>
      <c r="AN2992" s="77"/>
      <c r="AO2992" s="77"/>
      <c r="AP2992" s="77"/>
      <c r="AQ2992" s="77" t="s">
        <v>15973</v>
      </c>
      <c r="AR2992" s="77"/>
      <c r="AS2992" s="77"/>
      <c r="AT2992" s="77"/>
      <c r="AU2992" s="77"/>
      <c r="AV2992" s="80" t="str">
        <f>HYPERLINK("https://pbs.twimg.com/media/F1pgu1hXwAAJgtc.jpg")</f>
        <v>https://pbs.twimg.com/media/F1pgu1hXwAAJgtc.jpg</v>
      </c>
      <c r="AW2992" s="82" t="s">
        <v>19758</v>
      </c>
      <c r="AX2992" s="82" t="s">
        <v>19758</v>
      </c>
      <c r="AY2992" s="77"/>
      <c r="AZ2992" s="82" t="s">
        <v>20971</v>
      </c>
      <c r="BA2992" s="82" t="s">
        <v>20971</v>
      </c>
      <c r="BB2992" s="82" t="s">
        <v>20971</v>
      </c>
      <c r="BC2992" s="82" t="s">
        <v>19758</v>
      </c>
      <c r="BD2992" s="82" t="s">
        <v>21589</v>
      </c>
      <c r="BE2992" s="77"/>
      <c r="BF2992" s="77"/>
      <c r="BG2992" s="77"/>
      <c r="BH2992" s="77"/>
      <c r="BI2992" s="77"/>
    </row>
    <row r="2993" spans="1:61" x14ac:dyDescent="0.25">
      <c r="A2993" s="62" t="s">
        <v>991</v>
      </c>
      <c r="B2993" s="62" t="s">
        <v>991</v>
      </c>
      <c r="C2993" s="63"/>
      <c r="D2993" s="64"/>
      <c r="E2993" s="65"/>
      <c r="F2993" s="66"/>
      <c r="G2993" s="63"/>
      <c r="H2993" s="67"/>
      <c r="I2993" s="68"/>
      <c r="J2993" s="68"/>
      <c r="K2993" s="32"/>
      <c r="L2993" s="75">
        <v>2993</v>
      </c>
      <c r="M2993" s="75"/>
      <c r="N2993" s="70"/>
      <c r="O2993" s="77" t="s">
        <v>179</v>
      </c>
      <c r="P2993" s="79">
        <v>45125.875925925924</v>
      </c>
      <c r="Q2993" s="77" t="s">
        <v>4199</v>
      </c>
      <c r="R2993" s="77">
        <v>0</v>
      </c>
      <c r="S2993" s="77">
        <v>0</v>
      </c>
      <c r="T2993" s="77">
        <v>0</v>
      </c>
      <c r="U2993" s="77">
        <v>0</v>
      </c>
      <c r="V2993" s="77">
        <v>66</v>
      </c>
      <c r="W2993" s="82" t="s">
        <v>6712</v>
      </c>
      <c r="X2993" s="77"/>
      <c r="Y2993" s="77"/>
      <c r="Z2993" s="77"/>
      <c r="AA2993" s="77" t="s">
        <v>9331</v>
      </c>
      <c r="AB2993" s="77" t="s">
        <v>10130</v>
      </c>
      <c r="AC2993" s="82" t="s">
        <v>10154</v>
      </c>
      <c r="AD2993" s="77" t="s">
        <v>10184</v>
      </c>
      <c r="AE2993" s="80" t="str">
        <f>HYPERLINK("https://twitter.com/jfugice/status/1681408837872435229")</f>
        <v>https://twitter.com/jfugice/status/1681408837872435229</v>
      </c>
      <c r="AF2993" s="79">
        <v>45125.875925925924</v>
      </c>
      <c r="AG2993" s="85">
        <v>45125</v>
      </c>
      <c r="AH2993" s="82" t="s">
        <v>13018</v>
      </c>
      <c r="AI2993" s="77" t="b">
        <v>0</v>
      </c>
      <c r="AJ2993" s="77"/>
      <c r="AK2993" s="77"/>
      <c r="AL2993" s="77"/>
      <c r="AM2993" s="77"/>
      <c r="AN2993" s="77"/>
      <c r="AO2993" s="77"/>
      <c r="AP2993" s="77"/>
      <c r="AQ2993" s="77" t="s">
        <v>15974</v>
      </c>
      <c r="AR2993" s="77"/>
      <c r="AS2993" s="77"/>
      <c r="AT2993" s="77"/>
      <c r="AU2993" s="77"/>
      <c r="AV2993" s="80" t="str">
        <f>HYPERLINK("https://pbs.twimg.com/media/F1WQbY4WwBAk-00.jpg")</f>
        <v>https://pbs.twimg.com/media/F1WQbY4WwBAk-00.jpg</v>
      </c>
      <c r="AW2993" s="82" t="s">
        <v>19759</v>
      </c>
      <c r="AX2993" s="82" t="s">
        <v>19759</v>
      </c>
      <c r="AY2993" s="77"/>
      <c r="AZ2993" s="82" t="s">
        <v>20971</v>
      </c>
      <c r="BA2993" s="82" t="s">
        <v>20971</v>
      </c>
      <c r="BB2993" s="82" t="s">
        <v>20971</v>
      </c>
      <c r="BC2993" s="82" t="s">
        <v>19759</v>
      </c>
      <c r="BD2993" s="82" t="s">
        <v>21589</v>
      </c>
      <c r="BE2993" s="77"/>
      <c r="BF2993" s="77"/>
      <c r="BG2993" s="77"/>
      <c r="BH2993" s="77"/>
      <c r="BI2993" s="77"/>
    </row>
    <row r="2994" spans="1:61" x14ac:dyDescent="0.25">
      <c r="A2994" s="62" t="s">
        <v>992</v>
      </c>
      <c r="B2994" s="62" t="s">
        <v>992</v>
      </c>
      <c r="C2994" s="63"/>
      <c r="D2994" s="64"/>
      <c r="E2994" s="65"/>
      <c r="F2994" s="66"/>
      <c r="G2994" s="63"/>
      <c r="H2994" s="67"/>
      <c r="I2994" s="68"/>
      <c r="J2994" s="68"/>
      <c r="K2994" s="32"/>
      <c r="L2994" s="75">
        <v>2994</v>
      </c>
      <c r="M2994" s="75"/>
      <c r="N2994" s="70"/>
      <c r="O2994" s="77" t="s">
        <v>179</v>
      </c>
      <c r="P2994" s="79">
        <v>45089.630266203705</v>
      </c>
      <c r="Q2994" s="77" t="s">
        <v>4200</v>
      </c>
      <c r="R2994" s="77">
        <v>0</v>
      </c>
      <c r="S2994" s="77">
        <v>0</v>
      </c>
      <c r="T2994" s="77">
        <v>0</v>
      </c>
      <c r="U2994" s="77">
        <v>0</v>
      </c>
      <c r="V2994" s="77">
        <v>17</v>
      </c>
      <c r="W2994" s="82" t="s">
        <v>6713</v>
      </c>
      <c r="X2994" s="80" t="str">
        <f>HYPERLINK("https://www.telesena.com.br/campanhas/811/crm/sms.html?af=DE322E98-4495-4412-A290-DA06B4F933D9")</f>
        <v>https://www.telesena.com.br/campanhas/811/crm/sms.html?af=DE322E98-4495-4412-A290-DA06B4F933D9</v>
      </c>
      <c r="Y2994" s="77" t="s">
        <v>7252</v>
      </c>
      <c r="Z2994" s="77"/>
      <c r="AA2994" s="77"/>
      <c r="AB2994" s="77"/>
      <c r="AC2994" s="82" t="s">
        <v>10144</v>
      </c>
      <c r="AD2994" s="77" t="s">
        <v>10184</v>
      </c>
      <c r="AE2994" s="80" t="str">
        <f>HYPERLINK("https://twitter.com/tamiscosta_/status/1668273849513701385")</f>
        <v>https://twitter.com/tamiscosta_/status/1668273849513701385</v>
      </c>
      <c r="AF2994" s="79">
        <v>45089.630266203705</v>
      </c>
      <c r="AG2994" s="85">
        <v>45089</v>
      </c>
      <c r="AH2994" s="82" t="s">
        <v>13019</v>
      </c>
      <c r="AI2994" s="77" t="b">
        <v>0</v>
      </c>
      <c r="AJ2994" s="77"/>
      <c r="AK2994" s="77"/>
      <c r="AL2994" s="77"/>
      <c r="AM2994" s="77"/>
      <c r="AN2994" s="77"/>
      <c r="AO2994" s="77"/>
      <c r="AP2994" s="77"/>
      <c r="AQ2994" s="77"/>
      <c r="AR2994" s="77"/>
      <c r="AS2994" s="77"/>
      <c r="AT2994" s="77"/>
      <c r="AU2994" s="77"/>
      <c r="AV2994" s="80" t="str">
        <f>HYPERLINK("https://pbs.twimg.com/profile_images/1487943892238540802/t6D505q0_normal.jpg")</f>
        <v>https://pbs.twimg.com/profile_images/1487943892238540802/t6D505q0_normal.jpg</v>
      </c>
      <c r="AW2994" s="82" t="s">
        <v>19760</v>
      </c>
      <c r="AX2994" s="82" t="s">
        <v>19760</v>
      </c>
      <c r="AY2994" s="77"/>
      <c r="AZ2994" s="82" t="s">
        <v>20971</v>
      </c>
      <c r="BA2994" s="82" t="s">
        <v>20971</v>
      </c>
      <c r="BB2994" s="82" t="s">
        <v>20971</v>
      </c>
      <c r="BC2994" s="82" t="s">
        <v>19760</v>
      </c>
      <c r="BD2994" s="77">
        <v>569614540</v>
      </c>
      <c r="BE2994" s="77"/>
      <c r="BF2994" s="77"/>
      <c r="BG2994" s="77"/>
      <c r="BH2994" s="77"/>
      <c r="BI2994" s="77"/>
    </row>
    <row r="2995" spans="1:61" x14ac:dyDescent="0.25">
      <c r="A2995" s="62" t="s">
        <v>993</v>
      </c>
      <c r="B2995" s="62" t="s">
        <v>993</v>
      </c>
      <c r="C2995" s="63"/>
      <c r="D2995" s="64"/>
      <c r="E2995" s="65"/>
      <c r="F2995" s="66"/>
      <c r="G2995" s="63"/>
      <c r="H2995" s="67"/>
      <c r="I2995" s="68"/>
      <c r="J2995" s="68"/>
      <c r="K2995" s="32"/>
      <c r="L2995" s="75">
        <v>2995</v>
      </c>
      <c r="M2995" s="75"/>
      <c r="N2995" s="70"/>
      <c r="O2995" s="77" t="s">
        <v>179</v>
      </c>
      <c r="P2995" s="79">
        <v>45138.577951388892</v>
      </c>
      <c r="Q2995" s="77" t="s">
        <v>4201</v>
      </c>
      <c r="R2995" s="77">
        <v>0</v>
      </c>
      <c r="S2995" s="77">
        <v>0</v>
      </c>
      <c r="T2995" s="77">
        <v>0</v>
      </c>
      <c r="U2995" s="77">
        <v>0</v>
      </c>
      <c r="V2995" s="77">
        <v>7</v>
      </c>
      <c r="W2995" s="82" t="s">
        <v>6714</v>
      </c>
      <c r="X2995" s="80" t="str">
        <f>HYPERLINK("https://app.cincoin.asia/#/invite/cXhSaFMvODVxaEU9")</f>
        <v>https://app.cincoin.asia/#/invite/cXhSaFMvODVxaEU9</v>
      </c>
      <c r="Y2995" s="77" t="s">
        <v>7449</v>
      </c>
      <c r="Z2995" s="77"/>
      <c r="AA2995" s="77"/>
      <c r="AB2995" s="77"/>
      <c r="AC2995" s="82" t="s">
        <v>10144</v>
      </c>
      <c r="AD2995" s="77" t="s">
        <v>10183</v>
      </c>
      <c r="AE2995" s="80" t="str">
        <f>HYPERLINK("https://twitter.com/tchoyasilva1/status/1686011896657334273")</f>
        <v>https://twitter.com/tchoyasilva1/status/1686011896657334273</v>
      </c>
      <c r="AF2995" s="79">
        <v>45138.577951388892</v>
      </c>
      <c r="AG2995" s="85">
        <v>45138</v>
      </c>
      <c r="AH2995" s="82" t="s">
        <v>13020</v>
      </c>
      <c r="AI2995" s="77" t="b">
        <v>0</v>
      </c>
      <c r="AJ2995" s="77"/>
      <c r="AK2995" s="77"/>
      <c r="AL2995" s="77"/>
      <c r="AM2995" s="77"/>
      <c r="AN2995" s="77"/>
      <c r="AO2995" s="77"/>
      <c r="AP2995" s="77"/>
      <c r="AQ2995" s="77"/>
      <c r="AR2995" s="77"/>
      <c r="AS2995" s="77"/>
      <c r="AT2995" s="77"/>
      <c r="AU2995" s="77"/>
      <c r="AV2995" s="80" t="str">
        <f>HYPERLINK("https://pbs.twimg.com/profile_images/1472713028827291651/jop1q8v8_normal.jpg")</f>
        <v>https://pbs.twimg.com/profile_images/1472713028827291651/jop1q8v8_normal.jpg</v>
      </c>
      <c r="AW2995" s="82" t="s">
        <v>19761</v>
      </c>
      <c r="AX2995" s="82" t="s">
        <v>19761</v>
      </c>
      <c r="AY2995" s="77"/>
      <c r="AZ2995" s="82" t="s">
        <v>20971</v>
      </c>
      <c r="BA2995" s="82" t="s">
        <v>20971</v>
      </c>
      <c r="BB2995" s="82" t="s">
        <v>20971</v>
      </c>
      <c r="BC2995" s="82" t="s">
        <v>19761</v>
      </c>
      <c r="BD2995" s="82" t="s">
        <v>21590</v>
      </c>
      <c r="BE2995" s="77"/>
      <c r="BF2995" s="77"/>
      <c r="BG2995" s="77"/>
      <c r="BH2995" s="77"/>
      <c r="BI2995" s="77"/>
    </row>
    <row r="2996" spans="1:61" x14ac:dyDescent="0.25">
      <c r="A2996" s="62" t="s">
        <v>994</v>
      </c>
      <c r="B2996" s="62" t="s">
        <v>994</v>
      </c>
      <c r="C2996" s="63"/>
      <c r="D2996" s="64"/>
      <c r="E2996" s="65"/>
      <c r="F2996" s="66"/>
      <c r="G2996" s="63"/>
      <c r="H2996" s="67"/>
      <c r="I2996" s="68"/>
      <c r="J2996" s="68"/>
      <c r="K2996" s="32"/>
      <c r="L2996" s="75">
        <v>2996</v>
      </c>
      <c r="M2996" s="75"/>
      <c r="N2996" s="70"/>
      <c r="O2996" s="77" t="s">
        <v>179</v>
      </c>
      <c r="P2996" s="79">
        <v>45186.687060185184</v>
      </c>
      <c r="Q2996" s="77" t="s">
        <v>4202</v>
      </c>
      <c r="R2996" s="77">
        <v>0</v>
      </c>
      <c r="S2996" s="77">
        <v>0</v>
      </c>
      <c r="T2996" s="77">
        <v>0</v>
      </c>
      <c r="U2996" s="77">
        <v>0</v>
      </c>
      <c r="V2996" s="77">
        <v>40</v>
      </c>
      <c r="W2996" s="82" t="s">
        <v>6715</v>
      </c>
      <c r="X2996" s="80" t="str">
        <f>HYPERLINK("http://m.bear777slots.com/?gfs=bd4dwke8")</f>
        <v>http://m.bear777slots.com/?gfs=bd4dwke8</v>
      </c>
      <c r="Y2996" s="77" t="s">
        <v>7450</v>
      </c>
      <c r="Z2996" s="77"/>
      <c r="AA2996" s="77" t="s">
        <v>9332</v>
      </c>
      <c r="AB2996" s="77" t="s">
        <v>10131</v>
      </c>
      <c r="AC2996" s="82" t="s">
        <v>10145</v>
      </c>
      <c r="AD2996" s="77" t="s">
        <v>10184</v>
      </c>
      <c r="AE2996" s="80" t="str">
        <f>HYPERLINK("https://twitter.com/slotsdazuzu/status/1703446052831953280")</f>
        <v>https://twitter.com/slotsdazuzu/status/1703446052831953280</v>
      </c>
      <c r="AF2996" s="79">
        <v>45186.687060185184</v>
      </c>
      <c r="AG2996" s="85">
        <v>45186</v>
      </c>
      <c r="AH2996" s="82" t="s">
        <v>13021</v>
      </c>
      <c r="AI2996" s="77" t="b">
        <v>0</v>
      </c>
      <c r="AJ2996" s="77"/>
      <c r="AK2996" s="77"/>
      <c r="AL2996" s="77"/>
      <c r="AM2996" s="77"/>
      <c r="AN2996" s="77"/>
      <c r="AO2996" s="77"/>
      <c r="AP2996" s="77"/>
      <c r="AQ2996" s="77" t="s">
        <v>15975</v>
      </c>
      <c r="AR2996" s="77"/>
      <c r="AS2996" s="77"/>
      <c r="AT2996" s="77"/>
      <c r="AU2996" s="77"/>
      <c r="AV2996" s="80" t="str">
        <f>HYPERLINK("https://pbs.twimg.com/media/F6PbJxEWsAATBpS.jpg")</f>
        <v>https://pbs.twimg.com/media/F6PbJxEWsAATBpS.jpg</v>
      </c>
      <c r="AW2996" s="82" t="s">
        <v>19762</v>
      </c>
      <c r="AX2996" s="82" t="s">
        <v>19762</v>
      </c>
      <c r="AY2996" s="77"/>
      <c r="AZ2996" s="82" t="s">
        <v>20971</v>
      </c>
      <c r="BA2996" s="82" t="s">
        <v>20971</v>
      </c>
      <c r="BB2996" s="82" t="s">
        <v>20971</v>
      </c>
      <c r="BC2996" s="82" t="s">
        <v>19762</v>
      </c>
      <c r="BD2996" s="82" t="s">
        <v>21591</v>
      </c>
      <c r="BE2996" s="77"/>
      <c r="BF2996" s="77"/>
      <c r="BG2996" s="77"/>
      <c r="BH2996" s="77"/>
      <c r="BI2996" s="77"/>
    </row>
    <row r="2997" spans="1:61" x14ac:dyDescent="0.25">
      <c r="A2997" s="62" t="s">
        <v>994</v>
      </c>
      <c r="B2997" s="62" t="s">
        <v>994</v>
      </c>
      <c r="C2997" s="63"/>
      <c r="D2997" s="64"/>
      <c r="E2997" s="65"/>
      <c r="F2997" s="66"/>
      <c r="G2997" s="63"/>
      <c r="H2997" s="67"/>
      <c r="I2997" s="68"/>
      <c r="J2997" s="68"/>
      <c r="K2997" s="32"/>
      <c r="L2997" s="75">
        <v>2997</v>
      </c>
      <c r="M2997" s="75"/>
      <c r="N2997" s="70"/>
      <c r="O2997" s="77" t="s">
        <v>179</v>
      </c>
      <c r="P2997" s="79">
        <v>45186.685902777775</v>
      </c>
      <c r="Q2997" s="77" t="s">
        <v>4203</v>
      </c>
      <c r="R2997" s="77">
        <v>0</v>
      </c>
      <c r="S2997" s="77">
        <v>0</v>
      </c>
      <c r="T2997" s="77">
        <v>0</v>
      </c>
      <c r="U2997" s="77">
        <v>0</v>
      </c>
      <c r="V2997" s="77">
        <v>38</v>
      </c>
      <c r="W2997" s="82" t="s">
        <v>6715</v>
      </c>
      <c r="X2997" s="80" t="str">
        <f>HYPERLINK("http://m.bear777slots.com/?gfs=bd4dwke8")</f>
        <v>http://m.bear777slots.com/?gfs=bd4dwke8</v>
      </c>
      <c r="Y2997" s="77" t="s">
        <v>7450</v>
      </c>
      <c r="Z2997" s="77"/>
      <c r="AA2997" s="77" t="s">
        <v>9333</v>
      </c>
      <c r="AB2997" s="77" t="s">
        <v>10131</v>
      </c>
      <c r="AC2997" s="82" t="s">
        <v>10145</v>
      </c>
      <c r="AD2997" s="77" t="s">
        <v>10184</v>
      </c>
      <c r="AE2997" s="80" t="str">
        <f>HYPERLINK("https://twitter.com/slotsdazuzu/status/1703445632919216286")</f>
        <v>https://twitter.com/slotsdazuzu/status/1703445632919216286</v>
      </c>
      <c r="AF2997" s="79">
        <v>45186.685902777775</v>
      </c>
      <c r="AG2997" s="85">
        <v>45186</v>
      </c>
      <c r="AH2997" s="82" t="s">
        <v>13022</v>
      </c>
      <c r="AI2997" s="77" t="b">
        <v>0</v>
      </c>
      <c r="AJ2997" s="77"/>
      <c r="AK2997" s="77"/>
      <c r="AL2997" s="77"/>
      <c r="AM2997" s="77"/>
      <c r="AN2997" s="77"/>
      <c r="AO2997" s="77"/>
      <c r="AP2997" s="77"/>
      <c r="AQ2997" s="77" t="s">
        <v>15976</v>
      </c>
      <c r="AR2997" s="77"/>
      <c r="AS2997" s="77"/>
      <c r="AT2997" s="77"/>
      <c r="AU2997" s="77"/>
      <c r="AV2997" s="80" t="str">
        <f>HYPERLINK("https://pbs.twimg.com/media/F6PaxU8WQAAWAnW.jpg")</f>
        <v>https://pbs.twimg.com/media/F6PaxU8WQAAWAnW.jpg</v>
      </c>
      <c r="AW2997" s="82" t="s">
        <v>19763</v>
      </c>
      <c r="AX2997" s="82" t="s">
        <v>19763</v>
      </c>
      <c r="AY2997" s="77"/>
      <c r="AZ2997" s="82" t="s">
        <v>20971</v>
      </c>
      <c r="BA2997" s="82" t="s">
        <v>20971</v>
      </c>
      <c r="BB2997" s="82" t="s">
        <v>20971</v>
      </c>
      <c r="BC2997" s="82" t="s">
        <v>19763</v>
      </c>
      <c r="BD2997" s="82" t="s">
        <v>21591</v>
      </c>
      <c r="BE2997" s="77"/>
      <c r="BF2997" s="77"/>
      <c r="BG2997" s="77"/>
      <c r="BH2997" s="77"/>
      <c r="BI2997" s="77"/>
    </row>
    <row r="2998" spans="1:61" x14ac:dyDescent="0.25">
      <c r="A2998" s="62" t="s">
        <v>994</v>
      </c>
      <c r="B2998" s="62" t="s">
        <v>994</v>
      </c>
      <c r="C2998" s="63"/>
      <c r="D2998" s="64"/>
      <c r="E2998" s="65"/>
      <c r="F2998" s="66"/>
      <c r="G2998" s="63"/>
      <c r="H2998" s="67"/>
      <c r="I2998" s="68"/>
      <c r="J2998" s="68"/>
      <c r="K2998" s="32"/>
      <c r="L2998" s="75">
        <v>2998</v>
      </c>
      <c r="M2998" s="75"/>
      <c r="N2998" s="70"/>
      <c r="O2998" s="77" t="s">
        <v>179</v>
      </c>
      <c r="P2998" s="79">
        <v>45186.51766203704</v>
      </c>
      <c r="Q2998" s="77" t="s">
        <v>4204</v>
      </c>
      <c r="R2998" s="77">
        <v>0</v>
      </c>
      <c r="S2998" s="77">
        <v>0</v>
      </c>
      <c r="T2998" s="77">
        <v>0</v>
      </c>
      <c r="U2998" s="77">
        <v>0</v>
      </c>
      <c r="V2998" s="77">
        <v>12</v>
      </c>
      <c r="W2998" s="82" t="s">
        <v>6716</v>
      </c>
      <c r="X2998" s="80" t="str">
        <f>HYPERLINK("http://m.bear777slots.com/?gfs=bd4dwke8")</f>
        <v>http://m.bear777slots.com/?gfs=bd4dwke8</v>
      </c>
      <c r="Y2998" s="77" t="s">
        <v>7450</v>
      </c>
      <c r="Z2998" s="77"/>
      <c r="AA2998" s="77" t="s">
        <v>9334</v>
      </c>
      <c r="AB2998" s="77" t="s">
        <v>10131</v>
      </c>
      <c r="AC2998" s="82" t="s">
        <v>10145</v>
      </c>
      <c r="AD2998" s="77" t="s">
        <v>10184</v>
      </c>
      <c r="AE2998" s="80" t="str">
        <f>HYPERLINK("https://twitter.com/slotsdazuzu/status/1703384665782890905")</f>
        <v>https://twitter.com/slotsdazuzu/status/1703384665782890905</v>
      </c>
      <c r="AF2998" s="79">
        <v>45186.51766203704</v>
      </c>
      <c r="AG2998" s="85">
        <v>45186</v>
      </c>
      <c r="AH2998" s="82" t="s">
        <v>13023</v>
      </c>
      <c r="AI2998" s="77" t="b">
        <v>0</v>
      </c>
      <c r="AJ2998" s="77"/>
      <c r="AK2998" s="77"/>
      <c r="AL2998" s="77"/>
      <c r="AM2998" s="77"/>
      <c r="AN2998" s="77"/>
      <c r="AO2998" s="77"/>
      <c r="AP2998" s="77"/>
      <c r="AQ2998" s="77" t="s">
        <v>15977</v>
      </c>
      <c r="AR2998" s="77"/>
      <c r="AS2998" s="77"/>
      <c r="AT2998" s="77"/>
      <c r="AU2998" s="77"/>
      <c r="AV2998" s="80" t="str">
        <f>HYPERLINK("https://pbs.twimg.com/media/F6OjUpSXwAAqT2i.jpg")</f>
        <v>https://pbs.twimg.com/media/F6OjUpSXwAAqT2i.jpg</v>
      </c>
      <c r="AW2998" s="82" t="s">
        <v>19764</v>
      </c>
      <c r="AX2998" s="82" t="s">
        <v>19764</v>
      </c>
      <c r="AY2998" s="77"/>
      <c r="AZ2998" s="82" t="s">
        <v>20971</v>
      </c>
      <c r="BA2998" s="82" t="s">
        <v>20971</v>
      </c>
      <c r="BB2998" s="82" t="s">
        <v>20971</v>
      </c>
      <c r="BC2998" s="82" t="s">
        <v>19764</v>
      </c>
      <c r="BD2998" s="82" t="s">
        <v>21591</v>
      </c>
      <c r="BE2998" s="77"/>
      <c r="BF2998" s="77"/>
      <c r="BG2998" s="77"/>
      <c r="BH2998" s="77"/>
      <c r="BI2998" s="77"/>
    </row>
    <row r="2999" spans="1:61" x14ac:dyDescent="0.25">
      <c r="A2999" s="62" t="s">
        <v>994</v>
      </c>
      <c r="B2999" s="62" t="s">
        <v>994</v>
      </c>
      <c r="C2999" s="63"/>
      <c r="D2999" s="64"/>
      <c r="E2999" s="65"/>
      <c r="F2999" s="66"/>
      <c r="G2999" s="63"/>
      <c r="H2999" s="67"/>
      <c r="I2999" s="68"/>
      <c r="J2999" s="68"/>
      <c r="K2999" s="32"/>
      <c r="L2999" s="75">
        <v>2999</v>
      </c>
      <c r="M2999" s="75"/>
      <c r="N2999" s="70"/>
      <c r="O2999" s="77" t="s">
        <v>179</v>
      </c>
      <c r="P2999" s="79">
        <v>45186.125543981485</v>
      </c>
      <c r="Q2999" s="77" t="s">
        <v>4205</v>
      </c>
      <c r="R2999" s="77">
        <v>0</v>
      </c>
      <c r="S2999" s="77">
        <v>0</v>
      </c>
      <c r="T2999" s="77">
        <v>0</v>
      </c>
      <c r="U2999" s="77">
        <v>0</v>
      </c>
      <c r="V2999" s="77">
        <v>16</v>
      </c>
      <c r="W2999" s="82" t="s">
        <v>6716</v>
      </c>
      <c r="X2999" s="80" t="str">
        <f>HYPERLINK("http://m.bear777slots.com/?gfs=bd4dwke8")</f>
        <v>http://m.bear777slots.com/?gfs=bd4dwke8</v>
      </c>
      <c r="Y2999" s="77" t="s">
        <v>7450</v>
      </c>
      <c r="Z2999" s="77"/>
      <c r="AA2999" s="77" t="s">
        <v>9335</v>
      </c>
      <c r="AB2999" s="77" t="s">
        <v>10128</v>
      </c>
      <c r="AC2999" s="82" t="s">
        <v>10145</v>
      </c>
      <c r="AD2999" s="77" t="s">
        <v>10184</v>
      </c>
      <c r="AE2999" s="80" t="str">
        <f>HYPERLINK("https://twitter.com/slotsdazuzu/status/1703242569273016324")</f>
        <v>https://twitter.com/slotsdazuzu/status/1703242569273016324</v>
      </c>
      <c r="AF2999" s="79">
        <v>45186.125543981485</v>
      </c>
      <c r="AG2999" s="85">
        <v>45186</v>
      </c>
      <c r="AH2999" s="82" t="s">
        <v>13024</v>
      </c>
      <c r="AI2999" s="77" t="b">
        <v>0</v>
      </c>
      <c r="AJ2999" s="77"/>
      <c r="AK2999" s="77"/>
      <c r="AL2999" s="77"/>
      <c r="AM2999" s="77"/>
      <c r="AN2999" s="77"/>
      <c r="AO2999" s="77"/>
      <c r="AP2999" s="77"/>
      <c r="AQ2999" s="77" t="s">
        <v>15978</v>
      </c>
      <c r="AR2999" s="77"/>
      <c r="AS2999" s="77"/>
      <c r="AT2999" s="77"/>
      <c r="AU2999" s="77"/>
      <c r="AV2999" s="80" t="str">
        <f>HYPERLINK("https://pbs.twimg.com/media/F6MiFlBXEAEE9b1.jpg")</f>
        <v>https://pbs.twimg.com/media/F6MiFlBXEAEE9b1.jpg</v>
      </c>
      <c r="AW2999" s="82" t="s">
        <v>19765</v>
      </c>
      <c r="AX2999" s="82" t="s">
        <v>19765</v>
      </c>
      <c r="AY2999" s="77"/>
      <c r="AZ2999" s="82" t="s">
        <v>20971</v>
      </c>
      <c r="BA2999" s="82" t="s">
        <v>20971</v>
      </c>
      <c r="BB2999" s="82" t="s">
        <v>20971</v>
      </c>
      <c r="BC2999" s="82" t="s">
        <v>19765</v>
      </c>
      <c r="BD2999" s="82" t="s">
        <v>21591</v>
      </c>
      <c r="BE2999" s="77"/>
      <c r="BF2999" s="77"/>
      <c r="BG2999" s="77"/>
      <c r="BH2999" s="77"/>
      <c r="BI2999" s="77"/>
    </row>
    <row r="3000" spans="1:61" x14ac:dyDescent="0.25">
      <c r="A3000" s="62" t="s">
        <v>994</v>
      </c>
      <c r="B3000" s="62" t="s">
        <v>994</v>
      </c>
      <c r="C3000" s="63"/>
      <c r="D3000" s="64"/>
      <c r="E3000" s="65"/>
      <c r="F3000" s="66"/>
      <c r="G3000" s="63"/>
      <c r="H3000" s="67"/>
      <c r="I3000" s="68"/>
      <c r="J3000" s="68"/>
      <c r="K3000" s="32"/>
      <c r="L3000" s="75">
        <v>3000</v>
      </c>
      <c r="M3000" s="75"/>
      <c r="N3000" s="70"/>
      <c r="O3000" s="77" t="s">
        <v>179</v>
      </c>
      <c r="P3000" s="79">
        <v>45187.044745370367</v>
      </c>
      <c r="Q3000" s="77" t="s">
        <v>4206</v>
      </c>
      <c r="R3000" s="77">
        <v>0</v>
      </c>
      <c r="S3000" s="77">
        <v>0</v>
      </c>
      <c r="T3000" s="77">
        <v>0</v>
      </c>
      <c r="U3000" s="77">
        <v>0</v>
      </c>
      <c r="V3000" s="77">
        <v>15</v>
      </c>
      <c r="W3000" s="82" t="s">
        <v>6717</v>
      </c>
      <c r="X3000" s="80" t="str">
        <f>HYPERLINK("https://m.bear777slots.com/?gfs=bd4dwke8")</f>
        <v>https://m.bear777slots.com/?gfs=bd4dwke8</v>
      </c>
      <c r="Y3000" s="77" t="s">
        <v>7450</v>
      </c>
      <c r="Z3000" s="77"/>
      <c r="AA3000" s="77" t="s">
        <v>9336</v>
      </c>
      <c r="AB3000" s="77" t="s">
        <v>10128</v>
      </c>
      <c r="AC3000" s="82" t="s">
        <v>10145</v>
      </c>
      <c r="AD3000" s="77" t="s">
        <v>10184</v>
      </c>
      <c r="AE3000" s="80" t="str">
        <f>HYPERLINK("https://twitter.com/slotsdazuzu/status/1703575676299694357")</f>
        <v>https://twitter.com/slotsdazuzu/status/1703575676299694357</v>
      </c>
      <c r="AF3000" s="79">
        <v>45187.044745370367</v>
      </c>
      <c r="AG3000" s="85">
        <v>45187</v>
      </c>
      <c r="AH3000" s="82" t="s">
        <v>13025</v>
      </c>
      <c r="AI3000" s="77" t="b">
        <v>0</v>
      </c>
      <c r="AJ3000" s="77"/>
      <c r="AK3000" s="77"/>
      <c r="AL3000" s="77"/>
      <c r="AM3000" s="77"/>
      <c r="AN3000" s="77"/>
      <c r="AO3000" s="77"/>
      <c r="AP3000" s="77"/>
      <c r="AQ3000" s="77" t="s">
        <v>15979</v>
      </c>
      <c r="AR3000" s="77"/>
      <c r="AS3000" s="77"/>
      <c r="AT3000" s="77"/>
      <c r="AU3000" s="77"/>
      <c r="AV3000" s="80" t="str">
        <f>HYPERLINK("https://pbs.twimg.com/media/F6RRC9wWYAAp2Jt.jpg")</f>
        <v>https://pbs.twimg.com/media/F6RRC9wWYAAp2Jt.jpg</v>
      </c>
      <c r="AW3000" s="82" t="s">
        <v>19766</v>
      </c>
      <c r="AX3000" s="82" t="s">
        <v>19766</v>
      </c>
      <c r="AY3000" s="77"/>
      <c r="AZ3000" s="82" t="s">
        <v>20971</v>
      </c>
      <c r="BA3000" s="82" t="s">
        <v>20971</v>
      </c>
      <c r="BB3000" s="82" t="s">
        <v>20971</v>
      </c>
      <c r="BC3000" s="82" t="s">
        <v>19766</v>
      </c>
      <c r="BD3000" s="82" t="s">
        <v>21591</v>
      </c>
      <c r="BE3000" s="77"/>
      <c r="BF3000" s="77"/>
      <c r="BG3000" s="77"/>
      <c r="BH3000" s="77"/>
      <c r="BI3000" s="77"/>
    </row>
    <row r="3001" spans="1:61" x14ac:dyDescent="0.25">
      <c r="A3001" s="62" t="s">
        <v>994</v>
      </c>
      <c r="B3001" s="62" t="s">
        <v>994</v>
      </c>
      <c r="C3001" s="63"/>
      <c r="D3001" s="64"/>
      <c r="E3001" s="65"/>
      <c r="F3001" s="66"/>
      <c r="G3001" s="63"/>
      <c r="H3001" s="67"/>
      <c r="I3001" s="68"/>
      <c r="J3001" s="68"/>
      <c r="K3001" s="32"/>
      <c r="L3001" s="75">
        <v>3001</v>
      </c>
      <c r="M3001" s="75"/>
      <c r="N3001" s="70"/>
      <c r="O3001" s="77" t="s">
        <v>179</v>
      </c>
      <c r="P3001" s="79">
        <v>45186.965729166666</v>
      </c>
      <c r="Q3001" s="77" t="s">
        <v>4207</v>
      </c>
      <c r="R3001" s="77">
        <v>0</v>
      </c>
      <c r="S3001" s="77">
        <v>0</v>
      </c>
      <c r="T3001" s="77">
        <v>0</v>
      </c>
      <c r="U3001" s="77">
        <v>0</v>
      </c>
      <c r="V3001" s="77">
        <v>46</v>
      </c>
      <c r="W3001" s="82" t="s">
        <v>6718</v>
      </c>
      <c r="X3001" s="80" t="str">
        <f>HYPERLINK("http://m.bear777slots.com/?gfs=bd4dwke8")</f>
        <v>http://m.bear777slots.com/?gfs=bd4dwke8</v>
      </c>
      <c r="Y3001" s="77" t="s">
        <v>7450</v>
      </c>
      <c r="Z3001" s="77"/>
      <c r="AA3001" s="77" t="s">
        <v>9337</v>
      </c>
      <c r="AB3001" s="77" t="s">
        <v>10131</v>
      </c>
      <c r="AC3001" s="82" t="s">
        <v>10145</v>
      </c>
      <c r="AD3001" s="77" t="s">
        <v>10184</v>
      </c>
      <c r="AE3001" s="80" t="str">
        <f>HYPERLINK("https://twitter.com/slotsdazuzu/status/1703547042067304891")</f>
        <v>https://twitter.com/slotsdazuzu/status/1703547042067304891</v>
      </c>
      <c r="AF3001" s="79">
        <v>45186.965729166666</v>
      </c>
      <c r="AG3001" s="85">
        <v>45186</v>
      </c>
      <c r="AH3001" s="82" t="s">
        <v>13026</v>
      </c>
      <c r="AI3001" s="77" t="b">
        <v>0</v>
      </c>
      <c r="AJ3001" s="77"/>
      <c r="AK3001" s="77"/>
      <c r="AL3001" s="77"/>
      <c r="AM3001" s="77"/>
      <c r="AN3001" s="77"/>
      <c r="AO3001" s="77"/>
      <c r="AP3001" s="77"/>
      <c r="AQ3001" s="77" t="s">
        <v>15980</v>
      </c>
      <c r="AR3001" s="77"/>
      <c r="AS3001" s="77"/>
      <c r="AT3001" s="77"/>
      <c r="AU3001" s="77"/>
      <c r="AV3001" s="80" t="str">
        <f>HYPERLINK("https://pbs.twimg.com/media/F6Q3AISWEAA5nO4.jpg")</f>
        <v>https://pbs.twimg.com/media/F6Q3AISWEAA5nO4.jpg</v>
      </c>
      <c r="AW3001" s="82" t="s">
        <v>19767</v>
      </c>
      <c r="AX3001" s="82" t="s">
        <v>19767</v>
      </c>
      <c r="AY3001" s="77"/>
      <c r="AZ3001" s="82" t="s">
        <v>20971</v>
      </c>
      <c r="BA3001" s="82" t="s">
        <v>20971</v>
      </c>
      <c r="BB3001" s="82" t="s">
        <v>20971</v>
      </c>
      <c r="BC3001" s="82" t="s">
        <v>19767</v>
      </c>
      <c r="BD3001" s="82" t="s">
        <v>21591</v>
      </c>
      <c r="BE3001" s="77"/>
      <c r="BF3001" s="77"/>
      <c r="BG3001" s="77"/>
      <c r="BH3001" s="77"/>
      <c r="BI3001" s="77"/>
    </row>
    <row r="3002" spans="1:61" x14ac:dyDescent="0.25">
      <c r="A3002" s="62" t="s">
        <v>994</v>
      </c>
      <c r="B3002" s="62" t="s">
        <v>994</v>
      </c>
      <c r="C3002" s="63"/>
      <c r="D3002" s="64"/>
      <c r="E3002" s="65"/>
      <c r="F3002" s="66"/>
      <c r="G3002" s="63"/>
      <c r="H3002" s="67"/>
      <c r="I3002" s="68"/>
      <c r="J3002" s="68"/>
      <c r="K3002" s="32"/>
      <c r="L3002" s="75">
        <v>3002</v>
      </c>
      <c r="M3002" s="75"/>
      <c r="N3002" s="70"/>
      <c r="O3002" s="77" t="s">
        <v>179</v>
      </c>
      <c r="P3002" s="79">
        <v>45186.964791666665</v>
      </c>
      <c r="Q3002" s="77" t="s">
        <v>4208</v>
      </c>
      <c r="R3002" s="77">
        <v>0</v>
      </c>
      <c r="S3002" s="77">
        <v>0</v>
      </c>
      <c r="T3002" s="77">
        <v>0</v>
      </c>
      <c r="U3002" s="77">
        <v>0</v>
      </c>
      <c r="V3002" s="77">
        <v>41</v>
      </c>
      <c r="W3002" s="82" t="s">
        <v>6718</v>
      </c>
      <c r="X3002" s="80" t="str">
        <f>HYPERLINK("http://m.bear777slots.com/?gfs=bd4dwke8")</f>
        <v>http://m.bear777slots.com/?gfs=bd4dwke8</v>
      </c>
      <c r="Y3002" s="77" t="s">
        <v>7450</v>
      </c>
      <c r="Z3002" s="77"/>
      <c r="AA3002" s="77" t="s">
        <v>9338</v>
      </c>
      <c r="AB3002" s="77" t="s">
        <v>10131</v>
      </c>
      <c r="AC3002" s="82" t="s">
        <v>10145</v>
      </c>
      <c r="AD3002" s="77" t="s">
        <v>10184</v>
      </c>
      <c r="AE3002" s="80" t="str">
        <f>HYPERLINK("https://twitter.com/slotsdazuzu/status/1703546702039339038")</f>
        <v>https://twitter.com/slotsdazuzu/status/1703546702039339038</v>
      </c>
      <c r="AF3002" s="79">
        <v>45186.964791666665</v>
      </c>
      <c r="AG3002" s="85">
        <v>45186</v>
      </c>
      <c r="AH3002" s="82" t="s">
        <v>13027</v>
      </c>
      <c r="AI3002" s="77" t="b">
        <v>0</v>
      </c>
      <c r="AJ3002" s="77"/>
      <c r="AK3002" s="77"/>
      <c r="AL3002" s="77"/>
      <c r="AM3002" s="77"/>
      <c r="AN3002" s="77"/>
      <c r="AO3002" s="77"/>
      <c r="AP3002" s="77"/>
      <c r="AQ3002" s="77" t="s">
        <v>15981</v>
      </c>
      <c r="AR3002" s="77"/>
      <c r="AS3002" s="77"/>
      <c r="AT3002" s="77"/>
      <c r="AU3002" s="77"/>
      <c r="AV3002" s="80" t="str">
        <f>HYPERLINK("https://pbs.twimg.com/media/F6Q2sVfXEAAexJD.jpg")</f>
        <v>https://pbs.twimg.com/media/F6Q2sVfXEAAexJD.jpg</v>
      </c>
      <c r="AW3002" s="82" t="s">
        <v>19768</v>
      </c>
      <c r="AX3002" s="82" t="s">
        <v>19768</v>
      </c>
      <c r="AY3002" s="77"/>
      <c r="AZ3002" s="82" t="s">
        <v>20971</v>
      </c>
      <c r="BA3002" s="82" t="s">
        <v>20971</v>
      </c>
      <c r="BB3002" s="82" t="s">
        <v>20971</v>
      </c>
      <c r="BC3002" s="82" t="s">
        <v>19768</v>
      </c>
      <c r="BD3002" s="82" t="s">
        <v>21591</v>
      </c>
      <c r="BE3002" s="77"/>
      <c r="BF3002" s="77"/>
      <c r="BG3002" s="77"/>
      <c r="BH3002" s="77"/>
      <c r="BI3002" s="77"/>
    </row>
    <row r="3003" spans="1:61" x14ac:dyDescent="0.25">
      <c r="A3003" s="62" t="s">
        <v>994</v>
      </c>
      <c r="B3003" s="62" t="s">
        <v>994</v>
      </c>
      <c r="C3003" s="63"/>
      <c r="D3003" s="64"/>
      <c r="E3003" s="65"/>
      <c r="F3003" s="66"/>
      <c r="G3003" s="63"/>
      <c r="H3003" s="67"/>
      <c r="I3003" s="68"/>
      <c r="J3003" s="68"/>
      <c r="K3003" s="32"/>
      <c r="L3003" s="75">
        <v>3003</v>
      </c>
      <c r="M3003" s="75"/>
      <c r="N3003" s="70"/>
      <c r="O3003" s="77" t="s">
        <v>179</v>
      </c>
      <c r="P3003" s="79">
        <v>45186.105914351851</v>
      </c>
      <c r="Q3003" s="77" t="s">
        <v>4209</v>
      </c>
      <c r="R3003" s="77">
        <v>0</v>
      </c>
      <c r="S3003" s="77">
        <v>0</v>
      </c>
      <c r="T3003" s="77">
        <v>0</v>
      </c>
      <c r="U3003" s="77">
        <v>0</v>
      </c>
      <c r="V3003" s="77">
        <v>26</v>
      </c>
      <c r="W3003" s="82" t="s">
        <v>6719</v>
      </c>
      <c r="X3003" s="80" t="str">
        <f>HYPERLINK("http://m.bear777slots.com/?gfs=bd4dwke8")</f>
        <v>http://m.bear777slots.com/?gfs=bd4dwke8</v>
      </c>
      <c r="Y3003" s="77" t="s">
        <v>7450</v>
      </c>
      <c r="Z3003" s="77"/>
      <c r="AA3003" s="77" t="s">
        <v>9339</v>
      </c>
      <c r="AB3003" s="77" t="s">
        <v>10131</v>
      </c>
      <c r="AC3003" s="82" t="s">
        <v>10145</v>
      </c>
      <c r="AD3003" s="77" t="s">
        <v>10184</v>
      </c>
      <c r="AE3003" s="80" t="str">
        <f>HYPERLINK("https://twitter.com/slotsdazuzu/status/1703235452986163621")</f>
        <v>https://twitter.com/slotsdazuzu/status/1703235452986163621</v>
      </c>
      <c r="AF3003" s="79">
        <v>45186.105914351851</v>
      </c>
      <c r="AG3003" s="85">
        <v>45186</v>
      </c>
      <c r="AH3003" s="82" t="s">
        <v>13028</v>
      </c>
      <c r="AI3003" s="77" t="b">
        <v>0</v>
      </c>
      <c r="AJ3003" s="77"/>
      <c r="AK3003" s="77"/>
      <c r="AL3003" s="77"/>
      <c r="AM3003" s="77"/>
      <c r="AN3003" s="77"/>
      <c r="AO3003" s="77"/>
      <c r="AP3003" s="77"/>
      <c r="AQ3003" s="77" t="s">
        <v>15982</v>
      </c>
      <c r="AR3003" s="77"/>
      <c r="AS3003" s="77"/>
      <c r="AT3003" s="77"/>
      <c r="AU3003" s="77"/>
      <c r="AV3003" s="80" t="str">
        <f>HYPERLINK("https://pbs.twimg.com/media/F6MbnTUWEAA5bGg.jpg")</f>
        <v>https://pbs.twimg.com/media/F6MbnTUWEAA5bGg.jpg</v>
      </c>
      <c r="AW3003" s="82" t="s">
        <v>19769</v>
      </c>
      <c r="AX3003" s="82" t="s">
        <v>19769</v>
      </c>
      <c r="AY3003" s="77"/>
      <c r="AZ3003" s="82" t="s">
        <v>20971</v>
      </c>
      <c r="BA3003" s="82" t="s">
        <v>20971</v>
      </c>
      <c r="BB3003" s="82" t="s">
        <v>20971</v>
      </c>
      <c r="BC3003" s="82" t="s">
        <v>19769</v>
      </c>
      <c r="BD3003" s="82" t="s">
        <v>21591</v>
      </c>
      <c r="BE3003" s="77"/>
      <c r="BF3003" s="77"/>
      <c r="BG3003" s="77"/>
      <c r="BH3003" s="77"/>
      <c r="BI3003" s="77"/>
    </row>
    <row r="3004" spans="1:61" x14ac:dyDescent="0.25">
      <c r="A3004" s="62" t="s">
        <v>994</v>
      </c>
      <c r="B3004" s="62" t="s">
        <v>994</v>
      </c>
      <c r="C3004" s="63"/>
      <c r="D3004" s="64"/>
      <c r="E3004" s="65"/>
      <c r="F3004" s="66"/>
      <c r="G3004" s="63"/>
      <c r="H3004" s="67"/>
      <c r="I3004" s="68"/>
      <c r="J3004" s="68"/>
      <c r="K3004" s="32"/>
      <c r="L3004" s="75">
        <v>3004</v>
      </c>
      <c r="M3004" s="75"/>
      <c r="N3004" s="70"/>
      <c r="O3004" s="77" t="s">
        <v>179</v>
      </c>
      <c r="P3004" s="79">
        <v>45186.100011574075</v>
      </c>
      <c r="Q3004" s="77" t="s">
        <v>4210</v>
      </c>
      <c r="R3004" s="77">
        <v>0</v>
      </c>
      <c r="S3004" s="77">
        <v>0</v>
      </c>
      <c r="T3004" s="77">
        <v>0</v>
      </c>
      <c r="U3004" s="77">
        <v>0</v>
      </c>
      <c r="V3004" s="77">
        <v>16</v>
      </c>
      <c r="W3004" s="82" t="s">
        <v>6719</v>
      </c>
      <c r="X3004" s="80" t="str">
        <f>HYPERLINK("http://m.bear777slots.com/?gfs=bd4dwke8")</f>
        <v>http://m.bear777slots.com/?gfs=bd4dwke8</v>
      </c>
      <c r="Y3004" s="77" t="s">
        <v>7450</v>
      </c>
      <c r="Z3004" s="77"/>
      <c r="AA3004" s="77" t="s">
        <v>9340</v>
      </c>
      <c r="AB3004" s="77" t="s">
        <v>10128</v>
      </c>
      <c r="AC3004" s="82" t="s">
        <v>10145</v>
      </c>
      <c r="AD3004" s="77" t="s">
        <v>10184</v>
      </c>
      <c r="AE3004" s="80" t="str">
        <f>HYPERLINK("https://twitter.com/slotsdazuzu/status/1703233313219936562")</f>
        <v>https://twitter.com/slotsdazuzu/status/1703233313219936562</v>
      </c>
      <c r="AF3004" s="79">
        <v>45186.100011574075</v>
      </c>
      <c r="AG3004" s="85">
        <v>45186</v>
      </c>
      <c r="AH3004" s="82" t="s">
        <v>13029</v>
      </c>
      <c r="AI3004" s="77" t="b">
        <v>0</v>
      </c>
      <c r="AJ3004" s="77"/>
      <c r="AK3004" s="77"/>
      <c r="AL3004" s="77"/>
      <c r="AM3004" s="77"/>
      <c r="AN3004" s="77"/>
      <c r="AO3004" s="77"/>
      <c r="AP3004" s="77"/>
      <c r="AQ3004" s="77" t="s">
        <v>15983</v>
      </c>
      <c r="AR3004" s="77"/>
      <c r="AS3004" s="77"/>
      <c r="AT3004" s="77"/>
      <c r="AU3004" s="77"/>
      <c r="AV3004" s="80" t="str">
        <f>HYPERLINK("https://pbs.twimg.com/media/F6MZqgcWUAAliek.jpg")</f>
        <v>https://pbs.twimg.com/media/F6MZqgcWUAAliek.jpg</v>
      </c>
      <c r="AW3004" s="82" t="s">
        <v>19770</v>
      </c>
      <c r="AX3004" s="82" t="s">
        <v>19770</v>
      </c>
      <c r="AY3004" s="77"/>
      <c r="AZ3004" s="82" t="s">
        <v>20971</v>
      </c>
      <c r="BA3004" s="82" t="s">
        <v>20971</v>
      </c>
      <c r="BB3004" s="82" t="s">
        <v>20971</v>
      </c>
      <c r="BC3004" s="82" t="s">
        <v>19770</v>
      </c>
      <c r="BD3004" s="82" t="s">
        <v>21591</v>
      </c>
      <c r="BE3004" s="77"/>
      <c r="BF3004" s="77"/>
      <c r="BG3004" s="77"/>
      <c r="BH3004" s="77"/>
      <c r="BI3004" s="77"/>
    </row>
    <row r="3005" spans="1:61" x14ac:dyDescent="0.25">
      <c r="A3005" s="62" t="s">
        <v>994</v>
      </c>
      <c r="B3005" s="62" t="s">
        <v>994</v>
      </c>
      <c r="C3005" s="63"/>
      <c r="D3005" s="64"/>
      <c r="E3005" s="65"/>
      <c r="F3005" s="66"/>
      <c r="G3005" s="63"/>
      <c r="H3005" s="67"/>
      <c r="I3005" s="68"/>
      <c r="J3005" s="68"/>
      <c r="K3005" s="32"/>
      <c r="L3005" s="75">
        <v>3005</v>
      </c>
      <c r="M3005" s="75"/>
      <c r="N3005" s="70"/>
      <c r="O3005" s="77" t="s">
        <v>179</v>
      </c>
      <c r="P3005" s="79">
        <v>45186.090358796297</v>
      </c>
      <c r="Q3005" s="77" t="s">
        <v>4211</v>
      </c>
      <c r="R3005" s="77">
        <v>0</v>
      </c>
      <c r="S3005" s="77">
        <v>0</v>
      </c>
      <c r="T3005" s="77">
        <v>0</v>
      </c>
      <c r="U3005" s="77">
        <v>0</v>
      </c>
      <c r="V3005" s="77">
        <v>12</v>
      </c>
      <c r="W3005" s="82" t="s">
        <v>6716</v>
      </c>
      <c r="X3005" s="80" t="str">
        <f>HYPERLINK("http://m.bear777slots.com/?gfs=bd4dwke8")</f>
        <v>http://m.bear777slots.com/?gfs=bd4dwke8</v>
      </c>
      <c r="Y3005" s="77" t="s">
        <v>7450</v>
      </c>
      <c r="Z3005" s="77"/>
      <c r="AA3005" s="77" t="s">
        <v>9341</v>
      </c>
      <c r="AB3005" s="77" t="s">
        <v>10129</v>
      </c>
      <c r="AC3005" s="82" t="s">
        <v>10145</v>
      </c>
      <c r="AD3005" s="77" t="s">
        <v>10184</v>
      </c>
      <c r="AE3005" s="80" t="str">
        <f>HYPERLINK("https://twitter.com/slotsdazuzu/status/1703229815485067631")</f>
        <v>https://twitter.com/slotsdazuzu/status/1703229815485067631</v>
      </c>
      <c r="AF3005" s="79">
        <v>45186.090358796297</v>
      </c>
      <c r="AG3005" s="85">
        <v>45186</v>
      </c>
      <c r="AH3005" s="82" t="s">
        <v>13030</v>
      </c>
      <c r="AI3005" s="77" t="b">
        <v>0</v>
      </c>
      <c r="AJ3005" s="77"/>
      <c r="AK3005" s="77"/>
      <c r="AL3005" s="77"/>
      <c r="AM3005" s="77"/>
      <c r="AN3005" s="77"/>
      <c r="AO3005" s="77"/>
      <c r="AP3005" s="77"/>
      <c r="AQ3005" s="77" t="s">
        <v>15984</v>
      </c>
      <c r="AR3005" s="77">
        <v>45001</v>
      </c>
      <c r="AS3005" s="77"/>
      <c r="AT3005" s="77"/>
      <c r="AU3005" s="77"/>
      <c r="AV3005" s="80" t="str">
        <f>HYPERLINK("https://pbs.twimg.com/ext_tw_video_thumb/1703229615185985536/pu/img/R0IPkYHbyvLPlXDD.jpg")</f>
        <v>https://pbs.twimg.com/ext_tw_video_thumb/1703229615185985536/pu/img/R0IPkYHbyvLPlXDD.jpg</v>
      </c>
      <c r="AW3005" s="82" t="s">
        <v>19771</v>
      </c>
      <c r="AX3005" s="82" t="s">
        <v>19771</v>
      </c>
      <c r="AY3005" s="77"/>
      <c r="AZ3005" s="82" t="s">
        <v>20971</v>
      </c>
      <c r="BA3005" s="82" t="s">
        <v>20971</v>
      </c>
      <c r="BB3005" s="82" t="s">
        <v>20971</v>
      </c>
      <c r="BC3005" s="82" t="s">
        <v>19771</v>
      </c>
      <c r="BD3005" s="82" t="s">
        <v>21591</v>
      </c>
      <c r="BE3005" s="77"/>
      <c r="BF3005" s="77"/>
      <c r="BG3005" s="77"/>
      <c r="BH3005" s="77"/>
      <c r="BI3005" s="77"/>
    </row>
    <row r="3006" spans="1:61" x14ac:dyDescent="0.25">
      <c r="A3006" s="62" t="s">
        <v>994</v>
      </c>
      <c r="B3006" s="62" t="s">
        <v>994</v>
      </c>
      <c r="C3006" s="63"/>
      <c r="D3006" s="64"/>
      <c r="E3006" s="65"/>
      <c r="F3006" s="66"/>
      <c r="G3006" s="63"/>
      <c r="H3006" s="67"/>
      <c r="I3006" s="68"/>
      <c r="J3006" s="68"/>
      <c r="K3006" s="32"/>
      <c r="L3006" s="75">
        <v>3006</v>
      </c>
      <c r="M3006" s="75"/>
      <c r="N3006" s="70"/>
      <c r="O3006" s="77" t="s">
        <v>179</v>
      </c>
      <c r="P3006" s="79">
        <v>45186.080787037034</v>
      </c>
      <c r="Q3006" s="77" t="s">
        <v>4212</v>
      </c>
      <c r="R3006" s="77">
        <v>0</v>
      </c>
      <c r="S3006" s="77">
        <v>0</v>
      </c>
      <c r="T3006" s="77">
        <v>0</v>
      </c>
      <c r="U3006" s="77">
        <v>0</v>
      </c>
      <c r="V3006" s="77">
        <v>25</v>
      </c>
      <c r="W3006" s="82" t="s">
        <v>6720</v>
      </c>
      <c r="X3006" s="80" t="str">
        <f>HYPERLINK("https://m.bear777slots.com/?gfs=bd4dwke8")</f>
        <v>https://m.bear777slots.com/?gfs=bd4dwke8</v>
      </c>
      <c r="Y3006" s="77" t="s">
        <v>7450</v>
      </c>
      <c r="Z3006" s="77"/>
      <c r="AA3006" s="77" t="s">
        <v>9342</v>
      </c>
      <c r="AB3006" s="77" t="s">
        <v>10131</v>
      </c>
      <c r="AC3006" s="82" t="s">
        <v>10145</v>
      </c>
      <c r="AD3006" s="77" t="s">
        <v>10184</v>
      </c>
      <c r="AE3006" s="80" t="str">
        <f>HYPERLINK("https://twitter.com/slotsdazuzu/status/1703226349161206088")</f>
        <v>https://twitter.com/slotsdazuzu/status/1703226349161206088</v>
      </c>
      <c r="AF3006" s="79">
        <v>45186.080787037034</v>
      </c>
      <c r="AG3006" s="85">
        <v>45186</v>
      </c>
      <c r="AH3006" s="82" t="s">
        <v>13031</v>
      </c>
      <c r="AI3006" s="77" t="b">
        <v>0</v>
      </c>
      <c r="AJ3006" s="77"/>
      <c r="AK3006" s="77"/>
      <c r="AL3006" s="77"/>
      <c r="AM3006" s="77"/>
      <c r="AN3006" s="77"/>
      <c r="AO3006" s="77"/>
      <c r="AP3006" s="77"/>
      <c r="AQ3006" s="77" t="s">
        <v>15985</v>
      </c>
      <c r="AR3006" s="77"/>
      <c r="AS3006" s="77"/>
      <c r="AT3006" s="77"/>
      <c r="AU3006" s="77"/>
      <c r="AV3006" s="80" t="str">
        <f>HYPERLINK("https://pbs.twimg.com/media/F6MTVcMW4AEARX8.jpg")</f>
        <v>https://pbs.twimg.com/media/F6MTVcMW4AEARX8.jpg</v>
      </c>
      <c r="AW3006" s="82" t="s">
        <v>19772</v>
      </c>
      <c r="AX3006" s="82" t="s">
        <v>19772</v>
      </c>
      <c r="AY3006" s="77"/>
      <c r="AZ3006" s="82" t="s">
        <v>20971</v>
      </c>
      <c r="BA3006" s="82" t="s">
        <v>20971</v>
      </c>
      <c r="BB3006" s="82" t="s">
        <v>20971</v>
      </c>
      <c r="BC3006" s="82" t="s">
        <v>19772</v>
      </c>
      <c r="BD3006" s="82" t="s">
        <v>21591</v>
      </c>
      <c r="BE3006" s="77"/>
      <c r="BF3006" s="77"/>
      <c r="BG3006" s="77"/>
      <c r="BH3006" s="77"/>
      <c r="BI3006" s="77"/>
    </row>
    <row r="3007" spans="1:61" x14ac:dyDescent="0.25">
      <c r="A3007" s="62" t="s">
        <v>995</v>
      </c>
      <c r="B3007" s="62" t="s">
        <v>995</v>
      </c>
      <c r="C3007" s="63"/>
      <c r="D3007" s="64"/>
      <c r="E3007" s="65"/>
      <c r="F3007" s="66"/>
      <c r="G3007" s="63"/>
      <c r="H3007" s="67"/>
      <c r="I3007" s="68"/>
      <c r="J3007" s="68"/>
      <c r="K3007" s="32"/>
      <c r="L3007" s="75">
        <v>3007</v>
      </c>
      <c r="M3007" s="75"/>
      <c r="N3007" s="70"/>
      <c r="O3007" s="77" t="s">
        <v>179</v>
      </c>
      <c r="P3007" s="79">
        <v>45106.044004629628</v>
      </c>
      <c r="Q3007" s="77" t="s">
        <v>4213</v>
      </c>
      <c r="R3007" s="77">
        <v>0</v>
      </c>
      <c r="S3007" s="77">
        <v>1</v>
      </c>
      <c r="T3007" s="77">
        <v>0</v>
      </c>
      <c r="U3007" s="77">
        <v>0</v>
      </c>
      <c r="V3007" s="77">
        <v>43</v>
      </c>
      <c r="W3007" s="82" t="s">
        <v>6721</v>
      </c>
      <c r="X3007" s="80" t="str">
        <f>HYPERLINK("https://s.kwai.app/w/dF-3yWjj")</f>
        <v>https://s.kwai.app/w/dF-3yWjj</v>
      </c>
      <c r="Y3007" s="77" t="s">
        <v>7292</v>
      </c>
      <c r="Z3007" s="77"/>
      <c r="AA3007" s="77"/>
      <c r="AB3007" s="77"/>
      <c r="AC3007" s="82" t="s">
        <v>10144</v>
      </c>
      <c r="AD3007" s="77" t="s">
        <v>10184</v>
      </c>
      <c r="AE3007" s="80" t="str">
        <f>HYPERLINK("https://twitter.com/loohcarolline/status/1674221990452817920")</f>
        <v>https://twitter.com/loohcarolline/status/1674221990452817920</v>
      </c>
      <c r="AF3007" s="79">
        <v>45106.044004629628</v>
      </c>
      <c r="AG3007" s="85">
        <v>45106</v>
      </c>
      <c r="AH3007" s="82" t="s">
        <v>13032</v>
      </c>
      <c r="AI3007" s="77" t="b">
        <v>0</v>
      </c>
      <c r="AJ3007" s="77"/>
      <c r="AK3007" s="77"/>
      <c r="AL3007" s="77"/>
      <c r="AM3007" s="77"/>
      <c r="AN3007" s="77"/>
      <c r="AO3007" s="77"/>
      <c r="AP3007" s="77"/>
      <c r="AQ3007" s="77"/>
      <c r="AR3007" s="77"/>
      <c r="AS3007" s="77"/>
      <c r="AT3007" s="77"/>
      <c r="AU3007" s="77"/>
      <c r="AV3007" s="80" t="str">
        <f>HYPERLINK("https://pbs.twimg.com/profile_images/1692630860581785601/Sgapxxwx_normal.jpg")</f>
        <v>https://pbs.twimg.com/profile_images/1692630860581785601/Sgapxxwx_normal.jpg</v>
      </c>
      <c r="AW3007" s="82" t="s">
        <v>19773</v>
      </c>
      <c r="AX3007" s="82" t="s">
        <v>19773</v>
      </c>
      <c r="AY3007" s="77"/>
      <c r="AZ3007" s="82" t="s">
        <v>20971</v>
      </c>
      <c r="BA3007" s="82" t="s">
        <v>20971</v>
      </c>
      <c r="BB3007" s="82" t="s">
        <v>20971</v>
      </c>
      <c r="BC3007" s="82" t="s">
        <v>19773</v>
      </c>
      <c r="BD3007" s="77">
        <v>2893182514</v>
      </c>
      <c r="BE3007" s="77"/>
      <c r="BF3007" s="77"/>
      <c r="BG3007" s="77"/>
      <c r="BH3007" s="77"/>
      <c r="BI3007" s="77"/>
    </row>
    <row r="3008" spans="1:61" x14ac:dyDescent="0.25">
      <c r="A3008" s="62" t="s">
        <v>995</v>
      </c>
      <c r="B3008" s="62" t="s">
        <v>995</v>
      </c>
      <c r="C3008" s="63"/>
      <c r="D3008" s="64"/>
      <c r="E3008" s="65"/>
      <c r="F3008" s="66"/>
      <c r="G3008" s="63"/>
      <c r="H3008" s="67"/>
      <c r="I3008" s="68"/>
      <c r="J3008" s="68"/>
      <c r="K3008" s="32"/>
      <c r="L3008" s="75">
        <v>3008</v>
      </c>
      <c r="M3008" s="75"/>
      <c r="N3008" s="70"/>
      <c r="O3008" s="77" t="s">
        <v>179</v>
      </c>
      <c r="P3008" s="79">
        <v>45128.000555555554</v>
      </c>
      <c r="Q3008" s="77" t="s">
        <v>4214</v>
      </c>
      <c r="R3008" s="77">
        <v>0</v>
      </c>
      <c r="S3008" s="77">
        <v>0</v>
      </c>
      <c r="T3008" s="77">
        <v>0</v>
      </c>
      <c r="U3008" s="77">
        <v>0</v>
      </c>
      <c r="V3008" s="77">
        <v>105</v>
      </c>
      <c r="W3008" s="82" t="s">
        <v>6722</v>
      </c>
      <c r="X3008" s="80" t="str">
        <f>HYPERLINK("https://www.akfbet.com/?id=79212681")</f>
        <v>https://www.akfbet.com/?id=79212681</v>
      </c>
      <c r="Y3008" s="77" t="s">
        <v>7451</v>
      </c>
      <c r="Z3008" s="77"/>
      <c r="AA3008" s="77" t="s">
        <v>9343</v>
      </c>
      <c r="AB3008" s="77" t="s">
        <v>10130</v>
      </c>
      <c r="AC3008" s="82" t="s">
        <v>10144</v>
      </c>
      <c r="AD3008" s="77" t="s">
        <v>10184</v>
      </c>
      <c r="AE3008" s="80" t="str">
        <f>HYPERLINK("https://twitter.com/loohcarolline/status/1682178775818162181")</f>
        <v>https://twitter.com/loohcarolline/status/1682178775818162181</v>
      </c>
      <c r="AF3008" s="79">
        <v>45128.000555555554</v>
      </c>
      <c r="AG3008" s="85">
        <v>45128</v>
      </c>
      <c r="AH3008" s="82" t="s">
        <v>12894</v>
      </c>
      <c r="AI3008" s="77" t="b">
        <v>0</v>
      </c>
      <c r="AJ3008" s="77"/>
      <c r="AK3008" s="77"/>
      <c r="AL3008" s="77"/>
      <c r="AM3008" s="77"/>
      <c r="AN3008" s="77"/>
      <c r="AO3008" s="77"/>
      <c r="AP3008" s="77"/>
      <c r="AQ3008" s="77" t="s">
        <v>15986</v>
      </c>
      <c r="AR3008" s="77"/>
      <c r="AS3008" s="77"/>
      <c r="AT3008" s="77"/>
      <c r="AU3008" s="77"/>
      <c r="AV3008" s="80" t="str">
        <f>HYPERLINK("https://pbs.twimg.com/media/F1hMrm9XsAAVHDH.jpg")</f>
        <v>https://pbs.twimg.com/media/F1hMrm9XsAAVHDH.jpg</v>
      </c>
      <c r="AW3008" s="82" t="s">
        <v>19774</v>
      </c>
      <c r="AX3008" s="82" t="s">
        <v>19774</v>
      </c>
      <c r="AY3008" s="77"/>
      <c r="AZ3008" s="82" t="s">
        <v>20971</v>
      </c>
      <c r="BA3008" s="82" t="s">
        <v>20971</v>
      </c>
      <c r="BB3008" s="82" t="s">
        <v>20971</v>
      </c>
      <c r="BC3008" s="82" t="s">
        <v>19774</v>
      </c>
      <c r="BD3008" s="77">
        <v>2893182514</v>
      </c>
      <c r="BE3008" s="77"/>
      <c r="BF3008" s="77"/>
      <c r="BG3008" s="77"/>
      <c r="BH3008" s="77"/>
      <c r="BI3008" s="77"/>
    </row>
    <row r="3009" spans="1:61" x14ac:dyDescent="0.25">
      <c r="A3009" s="62" t="s">
        <v>996</v>
      </c>
      <c r="B3009" s="62" t="s">
        <v>996</v>
      </c>
      <c r="C3009" s="63"/>
      <c r="D3009" s="64"/>
      <c r="E3009" s="65"/>
      <c r="F3009" s="66"/>
      <c r="G3009" s="63"/>
      <c r="H3009" s="67"/>
      <c r="I3009" s="68"/>
      <c r="J3009" s="68"/>
      <c r="K3009" s="32"/>
      <c r="L3009" s="75">
        <v>3009</v>
      </c>
      <c r="M3009" s="75"/>
      <c r="N3009" s="70"/>
      <c r="O3009" s="77" t="s">
        <v>179</v>
      </c>
      <c r="P3009" s="79">
        <v>45001.732233796298</v>
      </c>
      <c r="Q3009" s="77" t="s">
        <v>4215</v>
      </c>
      <c r="R3009" s="77">
        <v>0</v>
      </c>
      <c r="S3009" s="77">
        <v>1</v>
      </c>
      <c r="T3009" s="77">
        <v>0</v>
      </c>
      <c r="U3009" s="77">
        <v>0</v>
      </c>
      <c r="V3009" s="77">
        <v>80</v>
      </c>
      <c r="W3009" s="82" t="s">
        <v>6723</v>
      </c>
      <c r="X3009" s="77"/>
      <c r="Y3009" s="77"/>
      <c r="Z3009" s="77"/>
      <c r="AA3009" s="77" t="s">
        <v>9344</v>
      </c>
      <c r="AB3009" s="77" t="s">
        <v>10129</v>
      </c>
      <c r="AC3009" s="82" t="s">
        <v>10144</v>
      </c>
      <c r="AD3009" s="77" t="s">
        <v>10184</v>
      </c>
      <c r="AE3009" s="80" t="str">
        <f>HYPERLINK("https://twitter.com/jobsonpacheco/status/1636420668420964357")</f>
        <v>https://twitter.com/jobsonpacheco/status/1636420668420964357</v>
      </c>
      <c r="AF3009" s="79">
        <v>45001.732233796298</v>
      </c>
      <c r="AG3009" s="85">
        <v>45001</v>
      </c>
      <c r="AH3009" s="82" t="s">
        <v>13033</v>
      </c>
      <c r="AI3009" s="77" t="b">
        <v>0</v>
      </c>
      <c r="AJ3009" s="77"/>
      <c r="AK3009" s="77"/>
      <c r="AL3009" s="77"/>
      <c r="AM3009" s="77"/>
      <c r="AN3009" s="77"/>
      <c r="AO3009" s="77"/>
      <c r="AP3009" s="77"/>
      <c r="AQ3009" s="77" t="s">
        <v>15987</v>
      </c>
      <c r="AR3009" s="77">
        <v>17483</v>
      </c>
      <c r="AS3009" s="77"/>
      <c r="AT3009" s="77"/>
      <c r="AU3009" s="77"/>
      <c r="AV3009" s="80" t="str">
        <f>HYPERLINK("https://pbs.twimg.com/ext_tw_video_thumb/1636420591119941663/pu/img/_4nJhViz8-ZElKOB.jpg")</f>
        <v>https://pbs.twimg.com/ext_tw_video_thumb/1636420591119941663/pu/img/_4nJhViz8-ZElKOB.jpg</v>
      </c>
      <c r="AW3009" s="82" t="s">
        <v>19775</v>
      </c>
      <c r="AX3009" s="82" t="s">
        <v>19775</v>
      </c>
      <c r="AY3009" s="77"/>
      <c r="AZ3009" s="82" t="s">
        <v>20971</v>
      </c>
      <c r="BA3009" s="82" t="s">
        <v>20971</v>
      </c>
      <c r="BB3009" s="82" t="s">
        <v>20971</v>
      </c>
      <c r="BC3009" s="82" t="s">
        <v>19775</v>
      </c>
      <c r="BD3009" s="77">
        <v>212431065</v>
      </c>
      <c r="BE3009" s="77"/>
      <c r="BF3009" s="77"/>
      <c r="BG3009" s="77"/>
      <c r="BH3009" s="77"/>
      <c r="BI3009" s="77"/>
    </row>
    <row r="3010" spans="1:61" x14ac:dyDescent="0.25">
      <c r="A3010" s="62" t="s">
        <v>997</v>
      </c>
      <c r="B3010" s="62" t="s">
        <v>997</v>
      </c>
      <c r="C3010" s="63"/>
      <c r="D3010" s="64"/>
      <c r="E3010" s="65"/>
      <c r="F3010" s="66"/>
      <c r="G3010" s="63"/>
      <c r="H3010" s="67"/>
      <c r="I3010" s="68"/>
      <c r="J3010" s="68"/>
      <c r="K3010" s="32"/>
      <c r="L3010" s="75">
        <v>3010</v>
      </c>
      <c r="M3010" s="75"/>
      <c r="N3010" s="70"/>
      <c r="O3010" s="77" t="s">
        <v>179</v>
      </c>
      <c r="P3010" s="79">
        <v>44959.629178240742</v>
      </c>
      <c r="Q3010" s="77" t="s">
        <v>4216</v>
      </c>
      <c r="R3010" s="77">
        <v>0</v>
      </c>
      <c r="S3010" s="77">
        <v>0</v>
      </c>
      <c r="T3010" s="77">
        <v>0</v>
      </c>
      <c r="U3010" s="77">
        <v>0</v>
      </c>
      <c r="V3010" s="77">
        <v>69</v>
      </c>
      <c r="W3010" s="82" t="s">
        <v>6724</v>
      </c>
      <c r="X3010" s="80" t="str">
        <f>HYPERLINK("http://blaze.com/r/Qy1jVL")</f>
        <v>http://blaze.com/r/Qy1jVL</v>
      </c>
      <c r="Y3010" s="77" t="s">
        <v>7452</v>
      </c>
      <c r="Z3010" s="77"/>
      <c r="AA3010" s="77"/>
      <c r="AB3010" s="77"/>
      <c r="AC3010" s="82" t="s">
        <v>10144</v>
      </c>
      <c r="AD3010" s="77" t="s">
        <v>10184</v>
      </c>
      <c r="AE3010" s="80" t="str">
        <f>HYPERLINK("https://twitter.com/renatamontezz/status/1621163032528441344")</f>
        <v>https://twitter.com/renatamontezz/status/1621163032528441344</v>
      </c>
      <c r="AF3010" s="79">
        <v>44959.629178240742</v>
      </c>
      <c r="AG3010" s="85">
        <v>44959</v>
      </c>
      <c r="AH3010" s="82" t="s">
        <v>13034</v>
      </c>
      <c r="AI3010" s="77" t="b">
        <v>0</v>
      </c>
      <c r="AJ3010" s="77"/>
      <c r="AK3010" s="77"/>
      <c r="AL3010" s="77"/>
      <c r="AM3010" s="77"/>
      <c r="AN3010" s="77"/>
      <c r="AO3010" s="77"/>
      <c r="AP3010" s="77"/>
      <c r="AQ3010" s="77"/>
      <c r="AR3010" s="77"/>
      <c r="AS3010" s="77"/>
      <c r="AT3010" s="77"/>
      <c r="AU3010" s="77"/>
      <c r="AV3010" s="80" t="str">
        <f>HYPERLINK("https://pbs.twimg.com/profile_images/1621156735762440193/bCL5YVwT_normal.jpg")</f>
        <v>https://pbs.twimg.com/profile_images/1621156735762440193/bCL5YVwT_normal.jpg</v>
      </c>
      <c r="AW3010" s="82" t="s">
        <v>19776</v>
      </c>
      <c r="AX3010" s="82" t="s">
        <v>19776</v>
      </c>
      <c r="AY3010" s="77"/>
      <c r="AZ3010" s="82" t="s">
        <v>20971</v>
      </c>
      <c r="BA3010" s="82" t="s">
        <v>20971</v>
      </c>
      <c r="BB3010" s="82" t="s">
        <v>20971</v>
      </c>
      <c r="BC3010" s="82" t="s">
        <v>19776</v>
      </c>
      <c r="BD3010" s="82" t="s">
        <v>21592</v>
      </c>
      <c r="BE3010" s="77"/>
      <c r="BF3010" s="77"/>
      <c r="BG3010" s="77"/>
      <c r="BH3010" s="77"/>
      <c r="BI3010" s="77"/>
    </row>
    <row r="3011" spans="1:61" x14ac:dyDescent="0.25">
      <c r="A3011" s="62" t="s">
        <v>998</v>
      </c>
      <c r="B3011" s="62" t="s">
        <v>998</v>
      </c>
      <c r="C3011" s="63"/>
      <c r="D3011" s="64"/>
      <c r="E3011" s="65"/>
      <c r="F3011" s="66"/>
      <c r="G3011" s="63"/>
      <c r="H3011" s="67"/>
      <c r="I3011" s="68"/>
      <c r="J3011" s="68"/>
      <c r="K3011" s="32"/>
      <c r="L3011" s="75">
        <v>3011</v>
      </c>
      <c r="M3011" s="75"/>
      <c r="N3011" s="70"/>
      <c r="O3011" s="77" t="s">
        <v>179</v>
      </c>
      <c r="P3011" s="79">
        <v>44998.400520833333</v>
      </c>
      <c r="Q3011" s="77" t="s">
        <v>4217</v>
      </c>
      <c r="R3011" s="77">
        <v>1</v>
      </c>
      <c r="S3011" s="77">
        <v>0</v>
      </c>
      <c r="T3011" s="77">
        <v>0</v>
      </c>
      <c r="U3011" s="77">
        <v>0</v>
      </c>
      <c r="V3011" s="77">
        <v>37</v>
      </c>
      <c r="W3011" s="82" t="s">
        <v>6725</v>
      </c>
      <c r="X3011" s="80" t="str">
        <f>HYPERLINK("https://unhasonline.prateleiraonline.shop/")</f>
        <v>https://unhasonline.prateleiraonline.shop/</v>
      </c>
      <c r="Y3011" s="77" t="s">
        <v>7453</v>
      </c>
      <c r="Z3011" s="77"/>
      <c r="AA3011" s="77" t="s">
        <v>9345</v>
      </c>
      <c r="AB3011" s="77" t="s">
        <v>10130</v>
      </c>
      <c r="AC3011" s="82" t="s">
        <v>10144</v>
      </c>
      <c r="AD3011" s="77" t="s">
        <v>10184</v>
      </c>
      <c r="AE3011" s="80" t="str">
        <f>HYPERLINK("https://twitter.com/prateleirao/status/1635213298902908928")</f>
        <v>https://twitter.com/prateleirao/status/1635213298902908928</v>
      </c>
      <c r="AF3011" s="79">
        <v>44998.400520833333</v>
      </c>
      <c r="AG3011" s="85">
        <v>44998</v>
      </c>
      <c r="AH3011" s="82" t="s">
        <v>13035</v>
      </c>
      <c r="AI3011" s="77" t="b">
        <v>0</v>
      </c>
      <c r="AJ3011" s="77"/>
      <c r="AK3011" s="77"/>
      <c r="AL3011" s="77"/>
      <c r="AM3011" s="77"/>
      <c r="AN3011" s="77"/>
      <c r="AO3011" s="77"/>
      <c r="AP3011" s="77"/>
      <c r="AQ3011" s="77" t="s">
        <v>15988</v>
      </c>
      <c r="AR3011" s="77"/>
      <c r="AS3011" s="77"/>
      <c r="AT3011" s="77"/>
      <c r="AU3011" s="77"/>
      <c r="AV3011" s="80" t="str">
        <f>HYPERLINK("https://pbs.twimg.com/media/FrFx06AWIAEGpYK.jpg")</f>
        <v>https://pbs.twimg.com/media/FrFx06AWIAEGpYK.jpg</v>
      </c>
      <c r="AW3011" s="82" t="s">
        <v>19777</v>
      </c>
      <c r="AX3011" s="82" t="s">
        <v>19777</v>
      </c>
      <c r="AY3011" s="77"/>
      <c r="AZ3011" s="82" t="s">
        <v>20971</v>
      </c>
      <c r="BA3011" s="82" t="s">
        <v>20971</v>
      </c>
      <c r="BB3011" s="82" t="s">
        <v>20971</v>
      </c>
      <c r="BC3011" s="82" t="s">
        <v>19777</v>
      </c>
      <c r="BD3011" s="82" t="s">
        <v>21593</v>
      </c>
      <c r="BE3011" s="77"/>
      <c r="BF3011" s="77"/>
      <c r="BG3011" s="77"/>
      <c r="BH3011" s="77"/>
      <c r="BI3011" s="77"/>
    </row>
    <row r="3012" spans="1:61" x14ac:dyDescent="0.25">
      <c r="A3012" s="62" t="s">
        <v>999</v>
      </c>
      <c r="B3012" s="62" t="s">
        <v>999</v>
      </c>
      <c r="C3012" s="63"/>
      <c r="D3012" s="64"/>
      <c r="E3012" s="65"/>
      <c r="F3012" s="66"/>
      <c r="G3012" s="63"/>
      <c r="H3012" s="67"/>
      <c r="I3012" s="68"/>
      <c r="J3012" s="68"/>
      <c r="K3012" s="32"/>
      <c r="L3012" s="75">
        <v>3012</v>
      </c>
      <c r="M3012" s="75"/>
      <c r="N3012" s="70"/>
      <c r="O3012" s="77" t="s">
        <v>179</v>
      </c>
      <c r="P3012" s="79">
        <v>45035.047638888886</v>
      </c>
      <c r="Q3012" s="77" t="s">
        <v>4218</v>
      </c>
      <c r="R3012" s="77">
        <v>0</v>
      </c>
      <c r="S3012" s="77">
        <v>1</v>
      </c>
      <c r="T3012" s="77">
        <v>2</v>
      </c>
      <c r="U3012" s="77">
        <v>0</v>
      </c>
      <c r="V3012" s="77">
        <v>51</v>
      </c>
      <c r="W3012" s="82" t="s">
        <v>6726</v>
      </c>
      <c r="X3012" s="77"/>
      <c r="Y3012" s="77"/>
      <c r="Z3012" s="77"/>
      <c r="AA3012" s="77" t="s">
        <v>9346</v>
      </c>
      <c r="AB3012" s="77" t="s">
        <v>10130</v>
      </c>
      <c r="AC3012" s="82" t="s">
        <v>10144</v>
      </c>
      <c r="AD3012" s="77" t="s">
        <v>10183</v>
      </c>
      <c r="AE3012" s="80" t="str">
        <f>HYPERLINK("https://twitter.com/patriciafini/status/1648493769925488640")</f>
        <v>https://twitter.com/patriciafini/status/1648493769925488640</v>
      </c>
      <c r="AF3012" s="79">
        <v>45035.047638888886</v>
      </c>
      <c r="AG3012" s="85">
        <v>45035</v>
      </c>
      <c r="AH3012" s="82" t="s">
        <v>13036</v>
      </c>
      <c r="AI3012" s="77" t="b">
        <v>0</v>
      </c>
      <c r="AJ3012" s="77"/>
      <c r="AK3012" s="77"/>
      <c r="AL3012" s="77"/>
      <c r="AM3012" s="77"/>
      <c r="AN3012" s="77"/>
      <c r="AO3012" s="77"/>
      <c r="AP3012" s="77"/>
      <c r="AQ3012" s="77" t="s">
        <v>15989</v>
      </c>
      <c r="AR3012" s="77"/>
      <c r="AS3012" s="77"/>
      <c r="AT3012" s="77"/>
      <c r="AU3012" s="77"/>
      <c r="AV3012" s="80" t="str">
        <f>HYPERLINK("https://pbs.twimg.com/media/FuCgWNlWIAAH3R3.jpg")</f>
        <v>https://pbs.twimg.com/media/FuCgWNlWIAAH3R3.jpg</v>
      </c>
      <c r="AW3012" s="82" t="s">
        <v>19778</v>
      </c>
      <c r="AX3012" s="82" t="s">
        <v>19778</v>
      </c>
      <c r="AY3012" s="77"/>
      <c r="AZ3012" s="82" t="s">
        <v>20971</v>
      </c>
      <c r="BA3012" s="82" t="s">
        <v>20971</v>
      </c>
      <c r="BB3012" s="82" t="s">
        <v>20971</v>
      </c>
      <c r="BC3012" s="82" t="s">
        <v>19778</v>
      </c>
      <c r="BD3012" s="77">
        <v>3670197507</v>
      </c>
      <c r="BE3012" s="77"/>
      <c r="BF3012" s="77"/>
      <c r="BG3012" s="77"/>
      <c r="BH3012" s="77"/>
      <c r="BI3012" s="77"/>
    </row>
    <row r="3013" spans="1:61" x14ac:dyDescent="0.25">
      <c r="A3013" s="62" t="s">
        <v>999</v>
      </c>
      <c r="B3013" s="62" t="s">
        <v>999</v>
      </c>
      <c r="C3013" s="63"/>
      <c r="D3013" s="64"/>
      <c r="E3013" s="65"/>
      <c r="F3013" s="66"/>
      <c r="G3013" s="63"/>
      <c r="H3013" s="67"/>
      <c r="I3013" s="68"/>
      <c r="J3013" s="68"/>
      <c r="K3013" s="32"/>
      <c r="L3013" s="75">
        <v>3013</v>
      </c>
      <c r="M3013" s="75"/>
      <c r="N3013" s="70"/>
      <c r="O3013" s="77" t="s">
        <v>179</v>
      </c>
      <c r="P3013" s="79">
        <v>45036.445659722223</v>
      </c>
      <c r="Q3013" s="77" t="s">
        <v>4219</v>
      </c>
      <c r="R3013" s="77">
        <v>0</v>
      </c>
      <c r="S3013" s="77">
        <v>1</v>
      </c>
      <c r="T3013" s="77">
        <v>0</v>
      </c>
      <c r="U3013" s="77">
        <v>0</v>
      </c>
      <c r="V3013" s="77">
        <v>43</v>
      </c>
      <c r="W3013" s="82" t="s">
        <v>5236</v>
      </c>
      <c r="X3013" s="80" t="str">
        <f>HYPERLINK("https://edzz.la/NFHPA?a=64604500")</f>
        <v>https://edzz.la/NFHPA?a=64604500</v>
      </c>
      <c r="Y3013" s="77" t="s">
        <v>7271</v>
      </c>
      <c r="Z3013" s="77"/>
      <c r="AA3013" s="77"/>
      <c r="AB3013" s="77"/>
      <c r="AC3013" s="82" t="s">
        <v>10144</v>
      </c>
      <c r="AD3013" s="77" t="s">
        <v>10184</v>
      </c>
      <c r="AE3013" s="80" t="str">
        <f>HYPERLINK("https://twitter.com/patriciafini/status/1649000392854757377")</f>
        <v>https://twitter.com/patriciafini/status/1649000392854757377</v>
      </c>
      <c r="AF3013" s="79">
        <v>45036.445659722223</v>
      </c>
      <c r="AG3013" s="85">
        <v>45036</v>
      </c>
      <c r="AH3013" s="82" t="s">
        <v>13037</v>
      </c>
      <c r="AI3013" s="77" t="b">
        <v>0</v>
      </c>
      <c r="AJ3013" s="77"/>
      <c r="AK3013" s="77"/>
      <c r="AL3013" s="77"/>
      <c r="AM3013" s="77"/>
      <c r="AN3013" s="77"/>
      <c r="AO3013" s="77"/>
      <c r="AP3013" s="77"/>
      <c r="AQ3013" s="77"/>
      <c r="AR3013" s="77"/>
      <c r="AS3013" s="77"/>
      <c r="AT3013" s="77"/>
      <c r="AU3013" s="77"/>
      <c r="AV3013" s="80" t="str">
        <f>HYPERLINK("https://pbs.twimg.com/profile_images/1648138603778768897/IAG5KGbp_normal.jpg")</f>
        <v>https://pbs.twimg.com/profile_images/1648138603778768897/IAG5KGbp_normal.jpg</v>
      </c>
      <c r="AW3013" s="82" t="s">
        <v>19779</v>
      </c>
      <c r="AX3013" s="82" t="s">
        <v>19779</v>
      </c>
      <c r="AY3013" s="77"/>
      <c r="AZ3013" s="82" t="s">
        <v>20971</v>
      </c>
      <c r="BA3013" s="82" t="s">
        <v>20971</v>
      </c>
      <c r="BB3013" s="82" t="s">
        <v>20971</v>
      </c>
      <c r="BC3013" s="82" t="s">
        <v>19779</v>
      </c>
      <c r="BD3013" s="77">
        <v>3670197507</v>
      </c>
      <c r="BE3013" s="77"/>
      <c r="BF3013" s="77"/>
      <c r="BG3013" s="77"/>
      <c r="BH3013" s="77"/>
      <c r="BI3013" s="77"/>
    </row>
    <row r="3014" spans="1:61" x14ac:dyDescent="0.25">
      <c r="A3014" s="62" t="s">
        <v>1000</v>
      </c>
      <c r="B3014" s="62" t="s">
        <v>1000</v>
      </c>
      <c r="C3014" s="63"/>
      <c r="D3014" s="64"/>
      <c r="E3014" s="65"/>
      <c r="F3014" s="66"/>
      <c r="G3014" s="63"/>
      <c r="H3014" s="67"/>
      <c r="I3014" s="68"/>
      <c r="J3014" s="68"/>
      <c r="K3014" s="32"/>
      <c r="L3014" s="75">
        <v>3014</v>
      </c>
      <c r="M3014" s="75"/>
      <c r="N3014" s="70"/>
      <c r="O3014" s="77" t="s">
        <v>179</v>
      </c>
      <c r="P3014" s="79">
        <v>45093.642418981479</v>
      </c>
      <c r="Q3014" s="77" t="s">
        <v>4220</v>
      </c>
      <c r="R3014" s="77">
        <v>0</v>
      </c>
      <c r="S3014" s="77">
        <v>0</v>
      </c>
      <c r="T3014" s="77">
        <v>0</v>
      </c>
      <c r="U3014" s="77">
        <v>0</v>
      </c>
      <c r="V3014" s="77">
        <v>16</v>
      </c>
      <c r="W3014" s="82" t="s">
        <v>6727</v>
      </c>
      <c r="X3014" s="80" t="str">
        <f>HYPERLINK("https://invistaelucre.com.br/dominando-os-investimentos-imobiliarios/")</f>
        <v>https://invistaelucre.com.br/dominando-os-investimentos-imobiliarios/</v>
      </c>
      <c r="Y3014" s="77" t="s">
        <v>7252</v>
      </c>
      <c r="Z3014" s="77"/>
      <c r="AA3014" s="77" t="s">
        <v>9347</v>
      </c>
      <c r="AB3014" s="77" t="s">
        <v>10130</v>
      </c>
      <c r="AC3014" s="82" t="s">
        <v>10144</v>
      </c>
      <c r="AD3014" s="77" t="s">
        <v>10184</v>
      </c>
      <c r="AE3014" s="80" t="str">
        <f>HYPERLINK("https://twitter.com/engdaniloarruda/status/1669727805876105216")</f>
        <v>https://twitter.com/engdaniloarruda/status/1669727805876105216</v>
      </c>
      <c r="AF3014" s="79">
        <v>45093.642418981479</v>
      </c>
      <c r="AG3014" s="85">
        <v>45093</v>
      </c>
      <c r="AH3014" s="82" t="s">
        <v>10417</v>
      </c>
      <c r="AI3014" s="77" t="b">
        <v>0</v>
      </c>
      <c r="AJ3014" s="77" t="s">
        <v>14006</v>
      </c>
      <c r="AK3014" s="77" t="s">
        <v>14033</v>
      </c>
      <c r="AL3014" s="77" t="s">
        <v>14035</v>
      </c>
      <c r="AM3014" s="77" t="s">
        <v>14048</v>
      </c>
      <c r="AN3014" s="77" t="s">
        <v>14085</v>
      </c>
      <c r="AO3014" s="77" t="s">
        <v>14123</v>
      </c>
      <c r="AP3014" s="77" t="s">
        <v>14149</v>
      </c>
      <c r="AQ3014" s="77" t="s">
        <v>15990</v>
      </c>
      <c r="AR3014" s="77"/>
      <c r="AS3014" s="77"/>
      <c r="AT3014" s="77"/>
      <c r="AU3014" s="77"/>
      <c r="AV3014" s="80" t="str">
        <f>HYPERLINK("https://pbs.twimg.com/media/FywQlvzWcAABL1u.jpg")</f>
        <v>https://pbs.twimg.com/media/FywQlvzWcAABL1u.jpg</v>
      </c>
      <c r="AW3014" s="82" t="s">
        <v>19780</v>
      </c>
      <c r="AX3014" s="82" t="s">
        <v>19780</v>
      </c>
      <c r="AY3014" s="77"/>
      <c r="AZ3014" s="82" t="s">
        <v>20971</v>
      </c>
      <c r="BA3014" s="82" t="s">
        <v>20971</v>
      </c>
      <c r="BB3014" s="82" t="s">
        <v>20971</v>
      </c>
      <c r="BC3014" s="82" t="s">
        <v>19780</v>
      </c>
      <c r="BD3014" s="77">
        <v>79887395</v>
      </c>
      <c r="BE3014" s="77"/>
      <c r="BF3014" s="77"/>
      <c r="BG3014" s="77"/>
      <c r="BH3014" s="77"/>
      <c r="BI3014" s="77"/>
    </row>
    <row r="3015" spans="1:61" x14ac:dyDescent="0.25">
      <c r="A3015" s="62" t="s">
        <v>1001</v>
      </c>
      <c r="B3015" s="62" t="s">
        <v>1001</v>
      </c>
      <c r="C3015" s="63"/>
      <c r="D3015" s="64"/>
      <c r="E3015" s="65"/>
      <c r="F3015" s="66"/>
      <c r="G3015" s="63"/>
      <c r="H3015" s="67"/>
      <c r="I3015" s="68"/>
      <c r="J3015" s="68"/>
      <c r="K3015" s="32"/>
      <c r="L3015" s="75">
        <v>3015</v>
      </c>
      <c r="M3015" s="75"/>
      <c r="N3015" s="70"/>
      <c r="O3015" s="77" t="s">
        <v>179</v>
      </c>
      <c r="P3015" s="79">
        <v>45082.13616898148</v>
      </c>
      <c r="Q3015" s="77" t="s">
        <v>4221</v>
      </c>
      <c r="R3015" s="77">
        <v>0</v>
      </c>
      <c r="S3015" s="77">
        <v>2</v>
      </c>
      <c r="T3015" s="77">
        <v>1</v>
      </c>
      <c r="U3015" s="77">
        <v>0</v>
      </c>
      <c r="V3015" s="77">
        <v>108</v>
      </c>
      <c r="W3015" s="82" t="s">
        <v>6728</v>
      </c>
      <c r="X3015" s="77"/>
      <c r="Y3015" s="77"/>
      <c r="Z3015" s="77"/>
      <c r="AA3015" s="77" t="s">
        <v>9348</v>
      </c>
      <c r="AB3015" s="77" t="s">
        <v>10129</v>
      </c>
      <c r="AC3015" s="82" t="s">
        <v>10145</v>
      </c>
      <c r="AD3015" s="77" t="s">
        <v>10185</v>
      </c>
      <c r="AE3015" s="80" t="str">
        <f>HYPERLINK("https://twitter.com/mtalham2019/status/1665558078702465024")</f>
        <v>https://twitter.com/mtalham2019/status/1665558078702465024</v>
      </c>
      <c r="AF3015" s="79">
        <v>45082.13616898148</v>
      </c>
      <c r="AG3015" s="85">
        <v>45082</v>
      </c>
      <c r="AH3015" s="82" t="s">
        <v>13038</v>
      </c>
      <c r="AI3015" s="77" t="b">
        <v>0</v>
      </c>
      <c r="AJ3015" s="77"/>
      <c r="AK3015" s="77"/>
      <c r="AL3015" s="77"/>
      <c r="AM3015" s="77"/>
      <c r="AN3015" s="77"/>
      <c r="AO3015" s="77"/>
      <c r="AP3015" s="77"/>
      <c r="AQ3015" s="77" t="s">
        <v>15991</v>
      </c>
      <c r="AR3015" s="77">
        <v>7000</v>
      </c>
      <c r="AS3015" s="77"/>
      <c r="AT3015" s="77"/>
      <c r="AU3015" s="77"/>
      <c r="AV3015" s="80" t="str">
        <f>HYPERLINK("https://pbs.twimg.com/ext_tw_video_thumb/1665558053968838656/pu/img/ndRk5vWF8Xsd9KiI.jpg")</f>
        <v>https://pbs.twimg.com/ext_tw_video_thumb/1665558053968838656/pu/img/ndRk5vWF8Xsd9KiI.jpg</v>
      </c>
      <c r="AW3015" s="82" t="s">
        <v>19781</v>
      </c>
      <c r="AX3015" s="82" t="s">
        <v>19781</v>
      </c>
      <c r="AY3015" s="77"/>
      <c r="AZ3015" s="82" t="s">
        <v>20971</v>
      </c>
      <c r="BA3015" s="82" t="s">
        <v>20971</v>
      </c>
      <c r="BB3015" s="82" t="s">
        <v>20971</v>
      </c>
      <c r="BC3015" s="82" t="s">
        <v>19781</v>
      </c>
      <c r="BD3015" s="82" t="s">
        <v>21594</v>
      </c>
      <c r="BE3015" s="77"/>
      <c r="BF3015" s="77"/>
      <c r="BG3015" s="77"/>
      <c r="BH3015" s="77"/>
      <c r="BI3015" s="77"/>
    </row>
    <row r="3016" spans="1:61" x14ac:dyDescent="0.25">
      <c r="A3016" s="62" t="s">
        <v>1002</v>
      </c>
      <c r="B3016" s="62" t="s">
        <v>1002</v>
      </c>
      <c r="C3016" s="63"/>
      <c r="D3016" s="64"/>
      <c r="E3016" s="65"/>
      <c r="F3016" s="66"/>
      <c r="G3016" s="63"/>
      <c r="H3016" s="67"/>
      <c r="I3016" s="68"/>
      <c r="J3016" s="68"/>
      <c r="K3016" s="32"/>
      <c r="L3016" s="75">
        <v>3016</v>
      </c>
      <c r="M3016" s="75"/>
      <c r="N3016" s="70"/>
      <c r="O3016" s="77" t="s">
        <v>179</v>
      </c>
      <c r="P3016" s="79">
        <v>45143.982164351852</v>
      </c>
      <c r="Q3016" s="77" t="s">
        <v>4222</v>
      </c>
      <c r="R3016" s="77">
        <v>0</v>
      </c>
      <c r="S3016" s="77">
        <v>1</v>
      </c>
      <c r="T3016" s="77">
        <v>0</v>
      </c>
      <c r="U3016" s="77">
        <v>0</v>
      </c>
      <c r="V3016" s="77">
        <v>28</v>
      </c>
      <c r="W3016" s="82" t="s">
        <v>6729</v>
      </c>
      <c r="X3016" s="80" t="str">
        <f>HYPERLINK("https://instagram.com/oleos_primavera?igshid=OGQ5ZDc2ODk2ZA==")</f>
        <v>https://instagram.com/oleos_primavera?igshid=OGQ5ZDc2ODk2ZA==</v>
      </c>
      <c r="Y3016" s="77" t="s">
        <v>7250</v>
      </c>
      <c r="Z3016" s="77"/>
      <c r="AA3016" s="77"/>
      <c r="AB3016" s="77"/>
      <c r="AC3016" s="82" t="s">
        <v>10145</v>
      </c>
      <c r="AD3016" s="77" t="s">
        <v>10184</v>
      </c>
      <c r="AE3016" s="80" t="str">
        <f>HYPERLINK("https://twitter.com/trajano85/status/1687970317916901376")</f>
        <v>https://twitter.com/trajano85/status/1687970317916901376</v>
      </c>
      <c r="AF3016" s="79">
        <v>45143.982164351852</v>
      </c>
      <c r="AG3016" s="85">
        <v>45143</v>
      </c>
      <c r="AH3016" s="82" t="s">
        <v>13039</v>
      </c>
      <c r="AI3016" s="77" t="b">
        <v>0</v>
      </c>
      <c r="AJ3016" s="77"/>
      <c r="AK3016" s="77"/>
      <c r="AL3016" s="77"/>
      <c r="AM3016" s="77"/>
      <c r="AN3016" s="77"/>
      <c r="AO3016" s="77"/>
      <c r="AP3016" s="77"/>
      <c r="AQ3016" s="77"/>
      <c r="AR3016" s="77"/>
      <c r="AS3016" s="77"/>
      <c r="AT3016" s="77"/>
      <c r="AU3016" s="77"/>
      <c r="AV3016" s="80" t="str">
        <f>HYPERLINK("https://pbs.twimg.com/profile_images/1563578581971636228/27Qj1QsN_normal.jpg")</f>
        <v>https://pbs.twimg.com/profile_images/1563578581971636228/27Qj1QsN_normal.jpg</v>
      </c>
      <c r="AW3016" s="82" t="s">
        <v>19782</v>
      </c>
      <c r="AX3016" s="82" t="s">
        <v>19782</v>
      </c>
      <c r="AY3016" s="77"/>
      <c r="AZ3016" s="82" t="s">
        <v>20971</v>
      </c>
      <c r="BA3016" s="82" t="s">
        <v>20971</v>
      </c>
      <c r="BB3016" s="82" t="s">
        <v>20971</v>
      </c>
      <c r="BC3016" s="82" t="s">
        <v>19782</v>
      </c>
      <c r="BD3016" s="77">
        <v>54028630</v>
      </c>
      <c r="BE3016" s="77"/>
      <c r="BF3016" s="77"/>
      <c r="BG3016" s="77"/>
      <c r="BH3016" s="77"/>
      <c r="BI3016" s="77"/>
    </row>
    <row r="3017" spans="1:61" x14ac:dyDescent="0.25">
      <c r="A3017" s="62" t="s">
        <v>1003</v>
      </c>
      <c r="B3017" s="62" t="s">
        <v>1241</v>
      </c>
      <c r="C3017" s="63"/>
      <c r="D3017" s="64"/>
      <c r="E3017" s="65"/>
      <c r="F3017" s="66"/>
      <c r="G3017" s="63"/>
      <c r="H3017" s="67"/>
      <c r="I3017" s="68"/>
      <c r="J3017" s="68"/>
      <c r="K3017" s="32"/>
      <c r="L3017" s="75">
        <v>3017</v>
      </c>
      <c r="M3017" s="75"/>
      <c r="N3017" s="70"/>
      <c r="O3017" s="77" t="s">
        <v>1285</v>
      </c>
      <c r="P3017" s="79">
        <v>44975.220925925925</v>
      </c>
      <c r="Q3017" s="77" t="s">
        <v>4223</v>
      </c>
      <c r="R3017" s="77">
        <v>0</v>
      </c>
      <c r="S3017" s="77">
        <v>1</v>
      </c>
      <c r="T3017" s="77">
        <v>0</v>
      </c>
      <c r="U3017" s="77">
        <v>0</v>
      </c>
      <c r="V3017" s="77">
        <v>38</v>
      </c>
      <c r="W3017" s="82" t="s">
        <v>6730</v>
      </c>
      <c r="X3017" s="80" t="str">
        <f>HYPERLINK("https://youtu.be/l6QsyGrwOi8")</f>
        <v>https://youtu.be/l6QsyGrwOi8</v>
      </c>
      <c r="Y3017" s="77" t="s">
        <v>7248</v>
      </c>
      <c r="Z3017" s="77" t="s">
        <v>1241</v>
      </c>
      <c r="AA3017" s="77"/>
      <c r="AB3017" s="77"/>
      <c r="AC3017" s="82" t="s">
        <v>10146</v>
      </c>
      <c r="AD3017" s="77" t="s">
        <v>10184</v>
      </c>
      <c r="AE3017" s="80" t="str">
        <f>HYPERLINK("https://twitter.com/produtosdivulg2/status/1626813294995546112")</f>
        <v>https://twitter.com/produtosdivulg2/status/1626813294995546112</v>
      </c>
      <c r="AF3017" s="79">
        <v>44975.220925925925</v>
      </c>
      <c r="AG3017" s="85">
        <v>44975</v>
      </c>
      <c r="AH3017" s="82" t="s">
        <v>13040</v>
      </c>
      <c r="AI3017" s="77" t="b">
        <v>0</v>
      </c>
      <c r="AJ3017" s="77"/>
      <c r="AK3017" s="77"/>
      <c r="AL3017" s="77"/>
      <c r="AM3017" s="77"/>
      <c r="AN3017" s="77"/>
      <c r="AO3017" s="77"/>
      <c r="AP3017" s="77"/>
      <c r="AQ3017" s="77"/>
      <c r="AR3017" s="77"/>
      <c r="AS3017" s="77"/>
      <c r="AT3017" s="77"/>
      <c r="AU3017" s="77"/>
      <c r="AV3017" s="80" t="str">
        <f>HYPERLINK("https://abs.twimg.com/sticky/default_profile_images/default_profile_normal.png")</f>
        <v>https://abs.twimg.com/sticky/default_profile_images/default_profile_normal.png</v>
      </c>
      <c r="AW3017" s="82" t="s">
        <v>19783</v>
      </c>
      <c r="AX3017" s="82" t="s">
        <v>19783</v>
      </c>
      <c r="AY3017" s="77"/>
      <c r="AZ3017" s="82" t="s">
        <v>20971</v>
      </c>
      <c r="BA3017" s="82" t="s">
        <v>20971</v>
      </c>
      <c r="BB3017" s="82" t="s">
        <v>20971</v>
      </c>
      <c r="BC3017" s="82" t="s">
        <v>19783</v>
      </c>
      <c r="BD3017" s="82" t="s">
        <v>21595</v>
      </c>
      <c r="BE3017" s="77"/>
      <c r="BF3017" s="77"/>
      <c r="BG3017" s="77"/>
      <c r="BH3017" s="77"/>
      <c r="BI3017" s="77"/>
    </row>
    <row r="3018" spans="1:61" x14ac:dyDescent="0.25">
      <c r="A3018" s="62" t="s">
        <v>1003</v>
      </c>
      <c r="B3018" s="62" t="s">
        <v>1241</v>
      </c>
      <c r="C3018" s="63"/>
      <c r="D3018" s="64"/>
      <c r="E3018" s="65"/>
      <c r="F3018" s="66"/>
      <c r="G3018" s="63"/>
      <c r="H3018" s="67"/>
      <c r="I3018" s="68"/>
      <c r="J3018" s="68"/>
      <c r="K3018" s="32"/>
      <c r="L3018" s="75">
        <v>3018</v>
      </c>
      <c r="M3018" s="75"/>
      <c r="N3018" s="70"/>
      <c r="O3018" s="77" t="s">
        <v>1285</v>
      </c>
      <c r="P3018" s="79">
        <v>44978.247349537036</v>
      </c>
      <c r="Q3018" s="77" t="s">
        <v>4224</v>
      </c>
      <c r="R3018" s="77">
        <v>0</v>
      </c>
      <c r="S3018" s="77">
        <v>1</v>
      </c>
      <c r="T3018" s="77">
        <v>0</v>
      </c>
      <c r="U3018" s="77">
        <v>0</v>
      </c>
      <c r="V3018" s="77">
        <v>153</v>
      </c>
      <c r="W3018" s="82" t="s">
        <v>6731</v>
      </c>
      <c r="X3018" s="80" t="str">
        <f>HYPERLINK("https://youtu.be/Fo3IlYZ7xck")</f>
        <v>https://youtu.be/Fo3IlYZ7xck</v>
      </c>
      <c r="Y3018" s="77" t="s">
        <v>7248</v>
      </c>
      <c r="Z3018" s="77" t="s">
        <v>1241</v>
      </c>
      <c r="AA3018" s="77"/>
      <c r="AB3018" s="77"/>
      <c r="AC3018" s="82" t="s">
        <v>10146</v>
      </c>
      <c r="AD3018" s="77" t="s">
        <v>10184</v>
      </c>
      <c r="AE3018" s="80" t="str">
        <f>HYPERLINK("https://twitter.com/produtosdivulg2/status/1627910032703602693")</f>
        <v>https://twitter.com/produtosdivulg2/status/1627910032703602693</v>
      </c>
      <c r="AF3018" s="79">
        <v>44978.247349537036</v>
      </c>
      <c r="AG3018" s="85">
        <v>44978</v>
      </c>
      <c r="AH3018" s="82" t="s">
        <v>13041</v>
      </c>
      <c r="AI3018" s="77" t="b">
        <v>0</v>
      </c>
      <c r="AJ3018" s="77"/>
      <c r="AK3018" s="77"/>
      <c r="AL3018" s="77"/>
      <c r="AM3018" s="77"/>
      <c r="AN3018" s="77"/>
      <c r="AO3018" s="77"/>
      <c r="AP3018" s="77"/>
      <c r="AQ3018" s="77"/>
      <c r="AR3018" s="77"/>
      <c r="AS3018" s="77"/>
      <c r="AT3018" s="77"/>
      <c r="AU3018" s="77"/>
      <c r="AV3018" s="80" t="str">
        <f>HYPERLINK("https://abs.twimg.com/sticky/default_profile_images/default_profile_normal.png")</f>
        <v>https://abs.twimg.com/sticky/default_profile_images/default_profile_normal.png</v>
      </c>
      <c r="AW3018" s="82" t="s">
        <v>19784</v>
      </c>
      <c r="AX3018" s="82" t="s">
        <v>19784</v>
      </c>
      <c r="AY3018" s="77"/>
      <c r="AZ3018" s="82" t="s">
        <v>20971</v>
      </c>
      <c r="BA3018" s="82" t="s">
        <v>20971</v>
      </c>
      <c r="BB3018" s="82" t="s">
        <v>20971</v>
      </c>
      <c r="BC3018" s="82" t="s">
        <v>19784</v>
      </c>
      <c r="BD3018" s="82" t="s">
        <v>21595</v>
      </c>
      <c r="BE3018" s="77"/>
      <c r="BF3018" s="77"/>
      <c r="BG3018" s="77"/>
      <c r="BH3018" s="77"/>
      <c r="BI3018" s="77"/>
    </row>
    <row r="3019" spans="1:61" x14ac:dyDescent="0.25">
      <c r="A3019" s="62" t="s">
        <v>1003</v>
      </c>
      <c r="B3019" s="62" t="s">
        <v>1241</v>
      </c>
      <c r="C3019" s="63"/>
      <c r="D3019" s="64"/>
      <c r="E3019" s="65"/>
      <c r="F3019" s="66"/>
      <c r="G3019" s="63"/>
      <c r="H3019" s="67"/>
      <c r="I3019" s="68"/>
      <c r="J3019" s="68"/>
      <c r="K3019" s="32"/>
      <c r="L3019" s="75">
        <v>3019</v>
      </c>
      <c r="M3019" s="75"/>
      <c r="N3019" s="70"/>
      <c r="O3019" s="77" t="s">
        <v>1285</v>
      </c>
      <c r="P3019" s="79">
        <v>44962.567499999997</v>
      </c>
      <c r="Q3019" s="77" t="s">
        <v>4225</v>
      </c>
      <c r="R3019" s="77">
        <v>0</v>
      </c>
      <c r="S3019" s="77">
        <v>1</v>
      </c>
      <c r="T3019" s="77">
        <v>0</v>
      </c>
      <c r="U3019" s="77">
        <v>0</v>
      </c>
      <c r="V3019" s="77">
        <v>261</v>
      </c>
      <c r="W3019" s="82" t="s">
        <v>6732</v>
      </c>
      <c r="X3019" s="80" t="str">
        <f>HYPERLINK("https://youtu.be/lIdt0rnn5K4")</f>
        <v>https://youtu.be/lIdt0rnn5K4</v>
      </c>
      <c r="Y3019" s="77" t="s">
        <v>7248</v>
      </c>
      <c r="Z3019" s="77" t="s">
        <v>1241</v>
      </c>
      <c r="AA3019" s="77"/>
      <c r="AB3019" s="77"/>
      <c r="AC3019" s="82" t="s">
        <v>10146</v>
      </c>
      <c r="AD3019" s="77" t="s">
        <v>10184</v>
      </c>
      <c r="AE3019" s="80" t="str">
        <f>HYPERLINK("https://twitter.com/produtosdivulg2/status/1622227844641263616")</f>
        <v>https://twitter.com/produtosdivulg2/status/1622227844641263616</v>
      </c>
      <c r="AF3019" s="79">
        <v>44962.567499999997</v>
      </c>
      <c r="AG3019" s="85">
        <v>44962</v>
      </c>
      <c r="AH3019" s="82" t="s">
        <v>13042</v>
      </c>
      <c r="AI3019" s="77" t="b">
        <v>0</v>
      </c>
      <c r="AJ3019" s="77"/>
      <c r="AK3019" s="77"/>
      <c r="AL3019" s="77"/>
      <c r="AM3019" s="77"/>
      <c r="AN3019" s="77"/>
      <c r="AO3019" s="77"/>
      <c r="AP3019" s="77"/>
      <c r="AQ3019" s="77"/>
      <c r="AR3019" s="77"/>
      <c r="AS3019" s="77"/>
      <c r="AT3019" s="77"/>
      <c r="AU3019" s="77"/>
      <c r="AV3019" s="80" t="str">
        <f>HYPERLINK("https://abs.twimg.com/sticky/default_profile_images/default_profile_normal.png")</f>
        <v>https://abs.twimg.com/sticky/default_profile_images/default_profile_normal.png</v>
      </c>
      <c r="AW3019" s="82" t="s">
        <v>19785</v>
      </c>
      <c r="AX3019" s="82" t="s">
        <v>19785</v>
      </c>
      <c r="AY3019" s="77"/>
      <c r="AZ3019" s="82" t="s">
        <v>20971</v>
      </c>
      <c r="BA3019" s="82" t="s">
        <v>20971</v>
      </c>
      <c r="BB3019" s="82" t="s">
        <v>20971</v>
      </c>
      <c r="BC3019" s="82" t="s">
        <v>19785</v>
      </c>
      <c r="BD3019" s="82" t="s">
        <v>21595</v>
      </c>
      <c r="BE3019" s="77"/>
      <c r="BF3019" s="77"/>
      <c r="BG3019" s="77"/>
      <c r="BH3019" s="77"/>
      <c r="BI3019" s="77"/>
    </row>
    <row r="3020" spans="1:61" x14ac:dyDescent="0.25">
      <c r="A3020" s="62" t="s">
        <v>1003</v>
      </c>
      <c r="B3020" s="62" t="s">
        <v>1241</v>
      </c>
      <c r="C3020" s="63"/>
      <c r="D3020" s="64"/>
      <c r="E3020" s="65"/>
      <c r="F3020" s="66"/>
      <c r="G3020" s="63"/>
      <c r="H3020" s="67"/>
      <c r="I3020" s="68"/>
      <c r="J3020" s="68"/>
      <c r="K3020" s="32"/>
      <c r="L3020" s="75">
        <v>3020</v>
      </c>
      <c r="M3020" s="75"/>
      <c r="N3020" s="70"/>
      <c r="O3020" s="77" t="s">
        <v>1285</v>
      </c>
      <c r="P3020" s="79">
        <v>44974.151689814818</v>
      </c>
      <c r="Q3020" s="77" t="s">
        <v>4226</v>
      </c>
      <c r="R3020" s="77">
        <v>0</v>
      </c>
      <c r="S3020" s="77">
        <v>1</v>
      </c>
      <c r="T3020" s="77">
        <v>0</v>
      </c>
      <c r="U3020" s="77">
        <v>0</v>
      </c>
      <c r="V3020" s="77">
        <v>18</v>
      </c>
      <c r="W3020" s="82" t="s">
        <v>6733</v>
      </c>
      <c r="X3020" s="80" t="str">
        <f>HYPERLINK("https://youtu.be/w07ZHsK15qY")</f>
        <v>https://youtu.be/w07ZHsK15qY</v>
      </c>
      <c r="Y3020" s="77" t="s">
        <v>7248</v>
      </c>
      <c r="Z3020" s="77" t="s">
        <v>1241</v>
      </c>
      <c r="AA3020" s="77"/>
      <c r="AB3020" s="77"/>
      <c r="AC3020" s="82" t="s">
        <v>10146</v>
      </c>
      <c r="AD3020" s="77" t="s">
        <v>10184</v>
      </c>
      <c r="AE3020" s="80" t="str">
        <f>HYPERLINK("https://twitter.com/produtosdivulg2/status/1626425816467881986")</f>
        <v>https://twitter.com/produtosdivulg2/status/1626425816467881986</v>
      </c>
      <c r="AF3020" s="79">
        <v>44974.151689814818</v>
      </c>
      <c r="AG3020" s="85">
        <v>44974</v>
      </c>
      <c r="AH3020" s="82" t="s">
        <v>13043</v>
      </c>
      <c r="AI3020" s="77" t="b">
        <v>0</v>
      </c>
      <c r="AJ3020" s="77"/>
      <c r="AK3020" s="77"/>
      <c r="AL3020" s="77"/>
      <c r="AM3020" s="77"/>
      <c r="AN3020" s="77"/>
      <c r="AO3020" s="77"/>
      <c r="AP3020" s="77"/>
      <c r="AQ3020" s="77"/>
      <c r="AR3020" s="77"/>
      <c r="AS3020" s="77"/>
      <c r="AT3020" s="77"/>
      <c r="AU3020" s="77"/>
      <c r="AV3020" s="80" t="str">
        <f>HYPERLINK("https://abs.twimg.com/sticky/default_profile_images/default_profile_normal.png")</f>
        <v>https://abs.twimg.com/sticky/default_profile_images/default_profile_normal.png</v>
      </c>
      <c r="AW3020" s="82" t="s">
        <v>19786</v>
      </c>
      <c r="AX3020" s="82" t="s">
        <v>19786</v>
      </c>
      <c r="AY3020" s="77"/>
      <c r="AZ3020" s="82" t="s">
        <v>20971</v>
      </c>
      <c r="BA3020" s="82" t="s">
        <v>20971</v>
      </c>
      <c r="BB3020" s="82" t="s">
        <v>20971</v>
      </c>
      <c r="BC3020" s="82" t="s">
        <v>19786</v>
      </c>
      <c r="BD3020" s="82" t="s">
        <v>21595</v>
      </c>
      <c r="BE3020" s="77"/>
      <c r="BF3020" s="77"/>
      <c r="BG3020" s="77"/>
      <c r="BH3020" s="77"/>
      <c r="BI3020" s="77"/>
    </row>
    <row r="3021" spans="1:61" x14ac:dyDescent="0.25">
      <c r="A3021" s="62" t="s">
        <v>1003</v>
      </c>
      <c r="B3021" s="62" t="s">
        <v>1241</v>
      </c>
      <c r="C3021" s="63"/>
      <c r="D3021" s="64"/>
      <c r="E3021" s="65"/>
      <c r="F3021" s="66"/>
      <c r="G3021" s="63"/>
      <c r="H3021" s="67"/>
      <c r="I3021" s="68"/>
      <c r="J3021" s="68"/>
      <c r="K3021" s="32"/>
      <c r="L3021" s="75">
        <v>3021</v>
      </c>
      <c r="M3021" s="75"/>
      <c r="N3021" s="70"/>
      <c r="O3021" s="77" t="s">
        <v>1285</v>
      </c>
      <c r="P3021" s="79">
        <v>44972.041307870371</v>
      </c>
      <c r="Q3021" s="77" t="s">
        <v>4227</v>
      </c>
      <c r="R3021" s="77">
        <v>0</v>
      </c>
      <c r="S3021" s="77">
        <v>1</v>
      </c>
      <c r="T3021" s="77">
        <v>0</v>
      </c>
      <c r="U3021" s="77">
        <v>0</v>
      </c>
      <c r="V3021" s="77">
        <v>12</v>
      </c>
      <c r="W3021" s="82" t="s">
        <v>6734</v>
      </c>
      <c r="X3021" s="80" t="str">
        <f>HYPERLINK("https://youtu.be/9lCaOH4Y9jo")</f>
        <v>https://youtu.be/9lCaOH4Y9jo</v>
      </c>
      <c r="Y3021" s="77" t="s">
        <v>7248</v>
      </c>
      <c r="Z3021" s="77" t="s">
        <v>1241</v>
      </c>
      <c r="AA3021" s="77"/>
      <c r="AB3021" s="77"/>
      <c r="AC3021" s="82" t="s">
        <v>10146</v>
      </c>
      <c r="AD3021" s="77" t="s">
        <v>10184</v>
      </c>
      <c r="AE3021" s="80" t="str">
        <f>HYPERLINK("https://twitter.com/produtosdivulg2/status/1625661037511942144")</f>
        <v>https://twitter.com/produtosdivulg2/status/1625661037511942144</v>
      </c>
      <c r="AF3021" s="79">
        <v>44972.041307870371</v>
      </c>
      <c r="AG3021" s="85">
        <v>44972</v>
      </c>
      <c r="AH3021" s="82" t="s">
        <v>13044</v>
      </c>
      <c r="AI3021" s="77" t="b">
        <v>0</v>
      </c>
      <c r="AJ3021" s="77"/>
      <c r="AK3021" s="77"/>
      <c r="AL3021" s="77"/>
      <c r="AM3021" s="77"/>
      <c r="AN3021" s="77"/>
      <c r="AO3021" s="77"/>
      <c r="AP3021" s="77"/>
      <c r="AQ3021" s="77"/>
      <c r="AR3021" s="77"/>
      <c r="AS3021" s="77"/>
      <c r="AT3021" s="77"/>
      <c r="AU3021" s="77"/>
      <c r="AV3021" s="80" t="str">
        <f>HYPERLINK("https://abs.twimg.com/sticky/default_profile_images/default_profile_normal.png")</f>
        <v>https://abs.twimg.com/sticky/default_profile_images/default_profile_normal.png</v>
      </c>
      <c r="AW3021" s="82" t="s">
        <v>19787</v>
      </c>
      <c r="AX3021" s="82" t="s">
        <v>19787</v>
      </c>
      <c r="AY3021" s="77"/>
      <c r="AZ3021" s="82" t="s">
        <v>20971</v>
      </c>
      <c r="BA3021" s="82" t="s">
        <v>20971</v>
      </c>
      <c r="BB3021" s="82" t="s">
        <v>20971</v>
      </c>
      <c r="BC3021" s="82" t="s">
        <v>19787</v>
      </c>
      <c r="BD3021" s="82" t="s">
        <v>21595</v>
      </c>
      <c r="BE3021" s="77"/>
      <c r="BF3021" s="77"/>
      <c r="BG3021" s="77"/>
      <c r="BH3021" s="77"/>
      <c r="BI3021" s="77"/>
    </row>
    <row r="3022" spans="1:61" x14ac:dyDescent="0.25">
      <c r="A3022" s="62" t="s">
        <v>1003</v>
      </c>
      <c r="B3022" s="62" t="s">
        <v>1241</v>
      </c>
      <c r="C3022" s="63"/>
      <c r="D3022" s="64"/>
      <c r="E3022" s="65"/>
      <c r="F3022" s="66"/>
      <c r="G3022" s="63"/>
      <c r="H3022" s="67"/>
      <c r="I3022" s="68"/>
      <c r="J3022" s="68"/>
      <c r="K3022" s="32"/>
      <c r="L3022" s="75">
        <v>3022</v>
      </c>
      <c r="M3022" s="75"/>
      <c r="N3022" s="70"/>
      <c r="O3022" s="77" t="s">
        <v>1285</v>
      </c>
      <c r="P3022" s="79">
        <v>45022.842303240737</v>
      </c>
      <c r="Q3022" s="77" t="s">
        <v>4228</v>
      </c>
      <c r="R3022" s="77">
        <v>0</v>
      </c>
      <c r="S3022" s="77">
        <v>1</v>
      </c>
      <c r="T3022" s="77">
        <v>0</v>
      </c>
      <c r="U3022" s="77">
        <v>0</v>
      </c>
      <c r="V3022" s="77">
        <v>7</v>
      </c>
      <c r="W3022" s="82" t="s">
        <v>6735</v>
      </c>
      <c r="X3022" s="80" t="str">
        <f>HYPERLINK("https://youtu.be/LdcjlQUjYzY")</f>
        <v>https://youtu.be/LdcjlQUjYzY</v>
      </c>
      <c r="Y3022" s="77" t="s">
        <v>7248</v>
      </c>
      <c r="Z3022" s="77" t="s">
        <v>1241</v>
      </c>
      <c r="AA3022" s="77"/>
      <c r="AB3022" s="77"/>
      <c r="AC3022" s="82" t="s">
        <v>10146</v>
      </c>
      <c r="AD3022" s="77" t="s">
        <v>10184</v>
      </c>
      <c r="AE3022" s="80" t="str">
        <f>HYPERLINK("https://twitter.com/produtosdivulg2/status/1644070701492568067")</f>
        <v>https://twitter.com/produtosdivulg2/status/1644070701492568067</v>
      </c>
      <c r="AF3022" s="79">
        <v>45022.842303240737</v>
      </c>
      <c r="AG3022" s="85">
        <v>45022</v>
      </c>
      <c r="AH3022" s="82" t="s">
        <v>13045</v>
      </c>
      <c r="AI3022" s="77" t="b">
        <v>0</v>
      </c>
      <c r="AJ3022" s="77"/>
      <c r="AK3022" s="77"/>
      <c r="AL3022" s="77"/>
      <c r="AM3022" s="77"/>
      <c r="AN3022" s="77"/>
      <c r="AO3022" s="77"/>
      <c r="AP3022" s="77"/>
      <c r="AQ3022" s="77"/>
      <c r="AR3022" s="77"/>
      <c r="AS3022" s="77"/>
      <c r="AT3022" s="77"/>
      <c r="AU3022" s="77"/>
      <c r="AV3022" s="80" t="str">
        <f>HYPERLINK("https://abs.twimg.com/sticky/default_profile_images/default_profile_normal.png")</f>
        <v>https://abs.twimg.com/sticky/default_profile_images/default_profile_normal.png</v>
      </c>
      <c r="AW3022" s="82" t="s">
        <v>19788</v>
      </c>
      <c r="AX3022" s="82" t="s">
        <v>19788</v>
      </c>
      <c r="AY3022" s="77"/>
      <c r="AZ3022" s="82" t="s">
        <v>20971</v>
      </c>
      <c r="BA3022" s="82" t="s">
        <v>20971</v>
      </c>
      <c r="BB3022" s="82" t="s">
        <v>20971</v>
      </c>
      <c r="BC3022" s="82" t="s">
        <v>19788</v>
      </c>
      <c r="BD3022" s="82" t="s">
        <v>21595</v>
      </c>
      <c r="BE3022" s="77"/>
      <c r="BF3022" s="77"/>
      <c r="BG3022" s="77"/>
      <c r="BH3022" s="77"/>
      <c r="BI3022" s="77"/>
    </row>
    <row r="3023" spans="1:61" x14ac:dyDescent="0.25">
      <c r="A3023" s="62" t="s">
        <v>1004</v>
      </c>
      <c r="B3023" s="62" t="s">
        <v>1004</v>
      </c>
      <c r="C3023" s="63"/>
      <c r="D3023" s="64"/>
      <c r="E3023" s="65"/>
      <c r="F3023" s="66"/>
      <c r="G3023" s="63"/>
      <c r="H3023" s="67"/>
      <c r="I3023" s="68"/>
      <c r="J3023" s="68"/>
      <c r="K3023" s="32"/>
      <c r="L3023" s="75">
        <v>3023</v>
      </c>
      <c r="M3023" s="75"/>
      <c r="N3023" s="70"/>
      <c r="O3023" s="77" t="s">
        <v>1284</v>
      </c>
      <c r="P3023" s="79">
        <v>45006.027175925927</v>
      </c>
      <c r="Q3023" s="77" t="s">
        <v>4229</v>
      </c>
      <c r="R3023" s="77">
        <v>0</v>
      </c>
      <c r="S3023" s="77">
        <v>1</v>
      </c>
      <c r="T3023" s="77">
        <v>0</v>
      </c>
      <c r="U3023" s="77">
        <v>0</v>
      </c>
      <c r="V3023" s="77">
        <v>15</v>
      </c>
      <c r="W3023" s="82" t="s">
        <v>5236</v>
      </c>
      <c r="X3023" s="77"/>
      <c r="Y3023" s="77"/>
      <c r="Z3023" s="77"/>
      <c r="AA3023" s="77"/>
      <c r="AB3023" s="77"/>
      <c r="AC3023" s="82" t="s">
        <v>10146</v>
      </c>
      <c r="AD3023" s="77" t="s">
        <v>10184</v>
      </c>
      <c r="AE3023" s="80" t="str">
        <f>HYPERLINK("https://twitter.com/fdcabral14/status/1637977104678543360")</f>
        <v>https://twitter.com/fdcabral14/status/1637977104678543360</v>
      </c>
      <c r="AF3023" s="79">
        <v>45006.027175925927</v>
      </c>
      <c r="AG3023" s="85">
        <v>45006</v>
      </c>
      <c r="AH3023" s="82" t="s">
        <v>13046</v>
      </c>
      <c r="AI3023" s="77"/>
      <c r="AJ3023" s="77"/>
      <c r="AK3023" s="77"/>
      <c r="AL3023" s="77"/>
      <c r="AM3023" s="77"/>
      <c r="AN3023" s="77"/>
      <c r="AO3023" s="77"/>
      <c r="AP3023" s="77"/>
      <c r="AQ3023" s="77"/>
      <c r="AR3023" s="77"/>
      <c r="AS3023" s="77"/>
      <c r="AT3023" s="77"/>
      <c r="AU3023" s="77"/>
      <c r="AV3023" s="80" t="str">
        <f>HYPERLINK("https://pbs.twimg.com/profile_images/1474167314610372612/f2uYpmem_normal.jpg")</f>
        <v>https://pbs.twimg.com/profile_images/1474167314610372612/f2uYpmem_normal.jpg</v>
      </c>
      <c r="AW3023" s="82" t="s">
        <v>19789</v>
      </c>
      <c r="AX3023" s="82" t="s">
        <v>20877</v>
      </c>
      <c r="AY3023" s="82" t="s">
        <v>20959</v>
      </c>
      <c r="AZ3023" s="82" t="s">
        <v>20877</v>
      </c>
      <c r="BA3023" s="82" t="s">
        <v>20971</v>
      </c>
      <c r="BB3023" s="82" t="s">
        <v>20971</v>
      </c>
      <c r="BC3023" s="82" t="s">
        <v>20877</v>
      </c>
      <c r="BD3023" s="77">
        <v>2826642239</v>
      </c>
      <c r="BE3023" s="77"/>
      <c r="BF3023" s="77"/>
      <c r="BG3023" s="77"/>
      <c r="BH3023" s="77"/>
      <c r="BI3023" s="77"/>
    </row>
    <row r="3024" spans="1:61" x14ac:dyDescent="0.25">
      <c r="A3024" s="62" t="s">
        <v>1005</v>
      </c>
      <c r="B3024" s="62" t="s">
        <v>1005</v>
      </c>
      <c r="C3024" s="63"/>
      <c r="D3024" s="64"/>
      <c r="E3024" s="65"/>
      <c r="F3024" s="66"/>
      <c r="G3024" s="63"/>
      <c r="H3024" s="67"/>
      <c r="I3024" s="68"/>
      <c r="J3024" s="68"/>
      <c r="K3024" s="32"/>
      <c r="L3024" s="75">
        <v>3024</v>
      </c>
      <c r="M3024" s="75"/>
      <c r="N3024" s="70"/>
      <c r="O3024" s="77" t="s">
        <v>179</v>
      </c>
      <c r="P3024" s="79">
        <v>45069.120000000003</v>
      </c>
      <c r="Q3024" s="77" t="s">
        <v>4230</v>
      </c>
      <c r="R3024" s="77">
        <v>0</v>
      </c>
      <c r="S3024" s="77">
        <v>0</v>
      </c>
      <c r="T3024" s="77">
        <v>2</v>
      </c>
      <c r="U3024" s="77">
        <v>0</v>
      </c>
      <c r="V3024" s="77">
        <v>37</v>
      </c>
      <c r="W3024" s="82" t="s">
        <v>6736</v>
      </c>
      <c r="X3024" s="80" t="str">
        <f>HYPERLINK("https://sshortly.net/Uvdm7i")</f>
        <v>https://sshortly.net/Uvdm7i</v>
      </c>
      <c r="Y3024" s="77" t="s">
        <v>7454</v>
      </c>
      <c r="Z3024" s="77"/>
      <c r="AA3024" s="77" t="s">
        <v>9349</v>
      </c>
      <c r="AB3024" s="77" t="s">
        <v>10130</v>
      </c>
      <c r="AC3024" s="82" t="s">
        <v>10146</v>
      </c>
      <c r="AD3024" s="77" t="s">
        <v>10184</v>
      </c>
      <c r="AE3024" s="80" t="str">
        <f>HYPERLINK("https://twitter.com/sabrina63789572/status/1660841178684694528")</f>
        <v>https://twitter.com/sabrina63789572/status/1660841178684694528</v>
      </c>
      <c r="AF3024" s="79">
        <v>45069.120000000003</v>
      </c>
      <c r="AG3024" s="85">
        <v>45069</v>
      </c>
      <c r="AH3024" s="82" t="s">
        <v>13047</v>
      </c>
      <c r="AI3024" s="77" t="b">
        <v>0</v>
      </c>
      <c r="AJ3024" s="77"/>
      <c r="AK3024" s="77"/>
      <c r="AL3024" s="77"/>
      <c r="AM3024" s="77"/>
      <c r="AN3024" s="77"/>
      <c r="AO3024" s="77"/>
      <c r="AP3024" s="77"/>
      <c r="AQ3024" s="77" t="s">
        <v>15992</v>
      </c>
      <c r="AR3024" s="77"/>
      <c r="AS3024" s="77"/>
      <c r="AT3024" s="77"/>
      <c r="AU3024" s="77"/>
      <c r="AV3024" s="80" t="str">
        <f>HYPERLINK("https://pbs.twimg.com/media/Fwx9z72X0AASciO.jpg")</f>
        <v>https://pbs.twimg.com/media/Fwx9z72X0AASciO.jpg</v>
      </c>
      <c r="AW3024" s="82" t="s">
        <v>19790</v>
      </c>
      <c r="AX3024" s="82" t="s">
        <v>19790</v>
      </c>
      <c r="AY3024" s="77"/>
      <c r="AZ3024" s="82" t="s">
        <v>20971</v>
      </c>
      <c r="BA3024" s="82" t="s">
        <v>20971</v>
      </c>
      <c r="BB3024" s="82" t="s">
        <v>20971</v>
      </c>
      <c r="BC3024" s="82" t="s">
        <v>19790</v>
      </c>
      <c r="BD3024" s="82" t="s">
        <v>21596</v>
      </c>
      <c r="BE3024" s="77"/>
      <c r="BF3024" s="77"/>
      <c r="BG3024" s="77"/>
      <c r="BH3024" s="77"/>
      <c r="BI3024" s="77"/>
    </row>
    <row r="3025" spans="1:61" x14ac:dyDescent="0.25">
      <c r="A3025" s="62" t="s">
        <v>1005</v>
      </c>
      <c r="B3025" s="62" t="s">
        <v>1005</v>
      </c>
      <c r="C3025" s="63"/>
      <c r="D3025" s="64"/>
      <c r="E3025" s="65"/>
      <c r="F3025" s="66"/>
      <c r="G3025" s="63"/>
      <c r="H3025" s="67"/>
      <c r="I3025" s="68"/>
      <c r="J3025" s="68"/>
      <c r="K3025" s="32"/>
      <c r="L3025" s="75">
        <v>3025</v>
      </c>
      <c r="M3025" s="75"/>
      <c r="N3025" s="70"/>
      <c r="O3025" s="77" t="s">
        <v>179</v>
      </c>
      <c r="P3025" s="79">
        <v>45091.440462962964</v>
      </c>
      <c r="Q3025" s="77" t="s">
        <v>4231</v>
      </c>
      <c r="R3025" s="77">
        <v>0</v>
      </c>
      <c r="S3025" s="77">
        <v>0</v>
      </c>
      <c r="T3025" s="77">
        <v>0</v>
      </c>
      <c r="U3025" s="77">
        <v>0</v>
      </c>
      <c r="V3025" s="77">
        <v>26</v>
      </c>
      <c r="W3025" s="82" t="s">
        <v>6737</v>
      </c>
      <c r="X3025" s="80" t="str">
        <f>HYPERLINK("https://sshortly.net/Uvdm7i")</f>
        <v>https://sshortly.net/Uvdm7i</v>
      </c>
      <c r="Y3025" s="77" t="s">
        <v>7454</v>
      </c>
      <c r="Z3025" s="77"/>
      <c r="AA3025" s="77" t="s">
        <v>9350</v>
      </c>
      <c r="AB3025" s="77" t="s">
        <v>10129</v>
      </c>
      <c r="AC3025" s="82" t="s">
        <v>10146</v>
      </c>
      <c r="AD3025" s="77" t="s">
        <v>10184</v>
      </c>
      <c r="AE3025" s="80" t="str">
        <f>HYPERLINK("https://twitter.com/sabrina63789572/status/1668929843075903488")</f>
        <v>https://twitter.com/sabrina63789572/status/1668929843075903488</v>
      </c>
      <c r="AF3025" s="79">
        <v>45091.440462962964</v>
      </c>
      <c r="AG3025" s="85">
        <v>45091</v>
      </c>
      <c r="AH3025" s="82" t="s">
        <v>13048</v>
      </c>
      <c r="AI3025" s="77" t="b">
        <v>0</v>
      </c>
      <c r="AJ3025" s="77"/>
      <c r="AK3025" s="77"/>
      <c r="AL3025" s="77"/>
      <c r="AM3025" s="77"/>
      <c r="AN3025" s="77"/>
      <c r="AO3025" s="77"/>
      <c r="AP3025" s="77"/>
      <c r="AQ3025" s="77" t="s">
        <v>15993</v>
      </c>
      <c r="AR3025" s="77">
        <v>36966</v>
      </c>
      <c r="AS3025" s="77"/>
      <c r="AT3025" s="77"/>
      <c r="AU3025" s="77"/>
      <c r="AV3025" s="80" t="str">
        <f>HYPERLINK("https://pbs.twimg.com/ext_tw_video_thumb/1668929286504415233/pu/img/9b-2RJPraT8Xcyq-.jpg")</f>
        <v>https://pbs.twimg.com/ext_tw_video_thumb/1668929286504415233/pu/img/9b-2RJPraT8Xcyq-.jpg</v>
      </c>
      <c r="AW3025" s="82" t="s">
        <v>19791</v>
      </c>
      <c r="AX3025" s="82" t="s">
        <v>19791</v>
      </c>
      <c r="AY3025" s="77"/>
      <c r="AZ3025" s="82" t="s">
        <v>20971</v>
      </c>
      <c r="BA3025" s="82" t="s">
        <v>20971</v>
      </c>
      <c r="BB3025" s="82" t="s">
        <v>20971</v>
      </c>
      <c r="BC3025" s="82" t="s">
        <v>19791</v>
      </c>
      <c r="BD3025" s="82" t="s">
        <v>21596</v>
      </c>
      <c r="BE3025" s="77"/>
      <c r="BF3025" s="77"/>
      <c r="BG3025" s="77"/>
      <c r="BH3025" s="77"/>
      <c r="BI3025" s="77"/>
    </row>
    <row r="3026" spans="1:61" x14ac:dyDescent="0.25">
      <c r="A3026" s="62" t="s">
        <v>1005</v>
      </c>
      <c r="B3026" s="62" t="s">
        <v>1005</v>
      </c>
      <c r="C3026" s="63"/>
      <c r="D3026" s="64"/>
      <c r="E3026" s="65"/>
      <c r="F3026" s="66"/>
      <c r="G3026" s="63"/>
      <c r="H3026" s="67"/>
      <c r="I3026" s="68"/>
      <c r="J3026" s="68"/>
      <c r="K3026" s="32"/>
      <c r="L3026" s="75">
        <v>3026</v>
      </c>
      <c r="M3026" s="75"/>
      <c r="N3026" s="70"/>
      <c r="O3026" s="77" t="s">
        <v>179</v>
      </c>
      <c r="P3026" s="79">
        <v>45091.436006944445</v>
      </c>
      <c r="Q3026" s="77" t="s">
        <v>4232</v>
      </c>
      <c r="R3026" s="77">
        <v>0</v>
      </c>
      <c r="S3026" s="77">
        <v>0</v>
      </c>
      <c r="T3026" s="77">
        <v>0</v>
      </c>
      <c r="U3026" s="77">
        <v>0</v>
      </c>
      <c r="V3026" s="77">
        <v>18</v>
      </c>
      <c r="W3026" s="82" t="s">
        <v>6738</v>
      </c>
      <c r="X3026" s="80" t="str">
        <f>HYPERLINK("https://sshortly.net/Uvdm7i")</f>
        <v>https://sshortly.net/Uvdm7i</v>
      </c>
      <c r="Y3026" s="77" t="s">
        <v>7454</v>
      </c>
      <c r="Z3026" s="77"/>
      <c r="AA3026" s="77" t="s">
        <v>9351</v>
      </c>
      <c r="AB3026" s="77" t="s">
        <v>10130</v>
      </c>
      <c r="AC3026" s="82" t="s">
        <v>10146</v>
      </c>
      <c r="AD3026" s="77" t="s">
        <v>10184</v>
      </c>
      <c r="AE3026" s="80" t="str">
        <f>HYPERLINK("https://twitter.com/sabrina63789572/status/1668928229560791041")</f>
        <v>https://twitter.com/sabrina63789572/status/1668928229560791041</v>
      </c>
      <c r="AF3026" s="79">
        <v>45091.436006944445</v>
      </c>
      <c r="AG3026" s="85">
        <v>45091</v>
      </c>
      <c r="AH3026" s="82" t="s">
        <v>13049</v>
      </c>
      <c r="AI3026" s="77" t="b">
        <v>0</v>
      </c>
      <c r="AJ3026" s="77"/>
      <c r="AK3026" s="77"/>
      <c r="AL3026" s="77"/>
      <c r="AM3026" s="77"/>
      <c r="AN3026" s="77"/>
      <c r="AO3026" s="77"/>
      <c r="AP3026" s="77"/>
      <c r="AQ3026" s="77" t="s">
        <v>15994</v>
      </c>
      <c r="AR3026" s="77"/>
      <c r="AS3026" s="77"/>
      <c r="AT3026" s="77"/>
      <c r="AU3026" s="77"/>
      <c r="AV3026" s="80" t="str">
        <f>HYPERLINK("https://pbs.twimg.com/media/Fyk5A-xX0AEA2fs.jpg")</f>
        <v>https://pbs.twimg.com/media/Fyk5A-xX0AEA2fs.jpg</v>
      </c>
      <c r="AW3026" s="82" t="s">
        <v>19792</v>
      </c>
      <c r="AX3026" s="82" t="s">
        <v>19792</v>
      </c>
      <c r="AY3026" s="77"/>
      <c r="AZ3026" s="82" t="s">
        <v>20971</v>
      </c>
      <c r="BA3026" s="82" t="s">
        <v>20971</v>
      </c>
      <c r="BB3026" s="82" t="s">
        <v>20971</v>
      </c>
      <c r="BC3026" s="82" t="s">
        <v>19792</v>
      </c>
      <c r="BD3026" s="82" t="s">
        <v>21596</v>
      </c>
      <c r="BE3026" s="77"/>
      <c r="BF3026" s="77"/>
      <c r="BG3026" s="77"/>
      <c r="BH3026" s="77"/>
      <c r="BI3026" s="77"/>
    </row>
    <row r="3027" spans="1:61" x14ac:dyDescent="0.25">
      <c r="A3027" s="62" t="s">
        <v>1005</v>
      </c>
      <c r="B3027" s="62" t="s">
        <v>1005</v>
      </c>
      <c r="C3027" s="63"/>
      <c r="D3027" s="64"/>
      <c r="E3027" s="65"/>
      <c r="F3027" s="66"/>
      <c r="G3027" s="63"/>
      <c r="H3027" s="67"/>
      <c r="I3027" s="68"/>
      <c r="J3027" s="68"/>
      <c r="K3027" s="32"/>
      <c r="L3027" s="75">
        <v>3027</v>
      </c>
      <c r="M3027" s="75"/>
      <c r="N3027" s="70"/>
      <c r="O3027" s="77" t="s">
        <v>179</v>
      </c>
      <c r="P3027" s="79">
        <v>45091.434652777774</v>
      </c>
      <c r="Q3027" s="77" t="s">
        <v>4233</v>
      </c>
      <c r="R3027" s="77">
        <v>0</v>
      </c>
      <c r="S3027" s="77">
        <v>0</v>
      </c>
      <c r="T3027" s="77">
        <v>0</v>
      </c>
      <c r="U3027" s="77">
        <v>0</v>
      </c>
      <c r="V3027" s="77">
        <v>57</v>
      </c>
      <c r="W3027" s="82" t="s">
        <v>6739</v>
      </c>
      <c r="X3027" s="80" t="str">
        <f>HYPERLINK("https://sshortly.net/Uvdm7i")</f>
        <v>https://sshortly.net/Uvdm7i</v>
      </c>
      <c r="Y3027" s="77" t="s">
        <v>7454</v>
      </c>
      <c r="Z3027" s="77"/>
      <c r="AA3027" s="77" t="s">
        <v>9352</v>
      </c>
      <c r="AB3027" s="77" t="s">
        <v>10130</v>
      </c>
      <c r="AC3027" s="82" t="s">
        <v>10146</v>
      </c>
      <c r="AD3027" s="77" t="s">
        <v>10184</v>
      </c>
      <c r="AE3027" s="80" t="str">
        <f>HYPERLINK("https://twitter.com/sabrina63789572/status/1668927739305312256")</f>
        <v>https://twitter.com/sabrina63789572/status/1668927739305312256</v>
      </c>
      <c r="AF3027" s="79">
        <v>45091.434652777774</v>
      </c>
      <c r="AG3027" s="85">
        <v>45091</v>
      </c>
      <c r="AH3027" s="82" t="s">
        <v>13050</v>
      </c>
      <c r="AI3027" s="77" t="b">
        <v>0</v>
      </c>
      <c r="AJ3027" s="77"/>
      <c r="AK3027" s="77"/>
      <c r="AL3027" s="77"/>
      <c r="AM3027" s="77"/>
      <c r="AN3027" s="77"/>
      <c r="AO3027" s="77"/>
      <c r="AP3027" s="77"/>
      <c r="AQ3027" s="77" t="s">
        <v>15995</v>
      </c>
      <c r="AR3027" s="77"/>
      <c r="AS3027" s="77"/>
      <c r="AT3027" s="77"/>
      <c r="AU3027" s="77"/>
      <c r="AV3027" s="80" t="str">
        <f>HYPERLINK("https://pbs.twimg.com/media/Fyk4ncaWYAAI79m.jpg")</f>
        <v>https://pbs.twimg.com/media/Fyk4ncaWYAAI79m.jpg</v>
      </c>
      <c r="AW3027" s="82" t="s">
        <v>19793</v>
      </c>
      <c r="AX3027" s="82" t="s">
        <v>19793</v>
      </c>
      <c r="AY3027" s="77"/>
      <c r="AZ3027" s="82" t="s">
        <v>20971</v>
      </c>
      <c r="BA3027" s="82" t="s">
        <v>20971</v>
      </c>
      <c r="BB3027" s="82" t="s">
        <v>20971</v>
      </c>
      <c r="BC3027" s="82" t="s">
        <v>19793</v>
      </c>
      <c r="BD3027" s="82" t="s">
        <v>21596</v>
      </c>
      <c r="BE3027" s="77"/>
      <c r="BF3027" s="77"/>
      <c r="BG3027" s="77"/>
      <c r="BH3027" s="77"/>
      <c r="BI3027" s="77"/>
    </row>
    <row r="3028" spans="1:61" x14ac:dyDescent="0.25">
      <c r="A3028" s="62" t="s">
        <v>1006</v>
      </c>
      <c r="B3028" s="62" t="s">
        <v>1006</v>
      </c>
      <c r="C3028" s="63"/>
      <c r="D3028" s="64"/>
      <c r="E3028" s="65"/>
      <c r="F3028" s="66"/>
      <c r="G3028" s="63"/>
      <c r="H3028" s="67"/>
      <c r="I3028" s="68"/>
      <c r="J3028" s="68"/>
      <c r="K3028" s="32"/>
      <c r="L3028" s="75">
        <v>3028</v>
      </c>
      <c r="M3028" s="75"/>
      <c r="N3028" s="70"/>
      <c r="O3028" s="77" t="s">
        <v>179</v>
      </c>
      <c r="P3028" s="79">
        <v>45112.835289351853</v>
      </c>
      <c r="Q3028" s="77" t="s">
        <v>4234</v>
      </c>
      <c r="R3028" s="77">
        <v>0</v>
      </c>
      <c r="S3028" s="77">
        <v>0</v>
      </c>
      <c r="T3028" s="77">
        <v>0</v>
      </c>
      <c r="U3028" s="77">
        <v>0</v>
      </c>
      <c r="V3028" s="77">
        <v>96</v>
      </c>
      <c r="W3028" s="82" t="s">
        <v>6740</v>
      </c>
      <c r="X3028" s="77"/>
      <c r="Y3028" s="77"/>
      <c r="Z3028" s="77"/>
      <c r="AA3028" s="77" t="s">
        <v>9353</v>
      </c>
      <c r="AB3028" s="77" t="s">
        <v>10130</v>
      </c>
      <c r="AC3028" s="82" t="s">
        <v>10147</v>
      </c>
      <c r="AD3028" s="77" t="s">
        <v>10184</v>
      </c>
      <c r="AE3028" s="80" t="str">
        <f>HYPERLINK("https://twitter.com/imdasmilhas/status/1676683069879721984")</f>
        <v>https://twitter.com/imdasmilhas/status/1676683069879721984</v>
      </c>
      <c r="AF3028" s="79">
        <v>45112.835289351853</v>
      </c>
      <c r="AG3028" s="85">
        <v>45112</v>
      </c>
      <c r="AH3028" s="82" t="s">
        <v>13051</v>
      </c>
      <c r="AI3028" s="77" t="b">
        <v>0</v>
      </c>
      <c r="AJ3028" s="77"/>
      <c r="AK3028" s="77"/>
      <c r="AL3028" s="77"/>
      <c r="AM3028" s="77"/>
      <c r="AN3028" s="77"/>
      <c r="AO3028" s="77"/>
      <c r="AP3028" s="77"/>
      <c r="AQ3028" s="77" t="s">
        <v>15996</v>
      </c>
      <c r="AR3028" s="77"/>
      <c r="AS3028" s="77"/>
      <c r="AT3028" s="77"/>
      <c r="AU3028" s="77"/>
      <c r="AV3028" s="80" t="str">
        <f>HYPERLINK("https://pbs.twimg.com/media/F0TGXZPXgAAC3Jl.jpg")</f>
        <v>https://pbs.twimg.com/media/F0TGXZPXgAAC3Jl.jpg</v>
      </c>
      <c r="AW3028" s="82" t="s">
        <v>19794</v>
      </c>
      <c r="AX3028" s="82" t="s">
        <v>19794</v>
      </c>
      <c r="AY3028" s="77"/>
      <c r="AZ3028" s="82" t="s">
        <v>20971</v>
      </c>
      <c r="BA3028" s="82" t="s">
        <v>20971</v>
      </c>
      <c r="BB3028" s="82" t="s">
        <v>20971</v>
      </c>
      <c r="BC3028" s="82" t="s">
        <v>19794</v>
      </c>
      <c r="BD3028" s="82" t="s">
        <v>21597</v>
      </c>
      <c r="BE3028" s="77"/>
      <c r="BF3028" s="77"/>
      <c r="BG3028" s="77"/>
      <c r="BH3028" s="77"/>
      <c r="BI3028" s="77"/>
    </row>
    <row r="3029" spans="1:61" x14ac:dyDescent="0.25">
      <c r="A3029" s="62" t="s">
        <v>1006</v>
      </c>
      <c r="B3029" s="62" t="s">
        <v>1006</v>
      </c>
      <c r="C3029" s="63"/>
      <c r="D3029" s="64"/>
      <c r="E3029" s="65"/>
      <c r="F3029" s="66"/>
      <c r="G3029" s="63"/>
      <c r="H3029" s="67"/>
      <c r="I3029" s="68"/>
      <c r="J3029" s="68"/>
      <c r="K3029" s="32"/>
      <c r="L3029" s="75">
        <v>3029</v>
      </c>
      <c r="M3029" s="75"/>
      <c r="N3029" s="70"/>
      <c r="O3029" s="77" t="s">
        <v>179</v>
      </c>
      <c r="P3029" s="79">
        <v>45112.655509259261</v>
      </c>
      <c r="Q3029" s="77" t="s">
        <v>4235</v>
      </c>
      <c r="R3029" s="77">
        <v>0</v>
      </c>
      <c r="S3029" s="77">
        <v>0</v>
      </c>
      <c r="T3029" s="77">
        <v>0</v>
      </c>
      <c r="U3029" s="77">
        <v>0</v>
      </c>
      <c r="V3029" s="77">
        <v>67</v>
      </c>
      <c r="W3029" s="82" t="s">
        <v>6740</v>
      </c>
      <c r="X3029" s="77"/>
      <c r="Y3029" s="77"/>
      <c r="Z3029" s="77"/>
      <c r="AA3029" s="77" t="s">
        <v>9354</v>
      </c>
      <c r="AB3029" s="77" t="s">
        <v>10130</v>
      </c>
      <c r="AC3029" s="82" t="s">
        <v>10147</v>
      </c>
      <c r="AD3029" s="77" t="s">
        <v>10184</v>
      </c>
      <c r="AE3029" s="80" t="str">
        <f>HYPERLINK("https://twitter.com/imdasmilhas/status/1676617920359612417")</f>
        <v>https://twitter.com/imdasmilhas/status/1676617920359612417</v>
      </c>
      <c r="AF3029" s="79">
        <v>45112.655509259261</v>
      </c>
      <c r="AG3029" s="85">
        <v>45112</v>
      </c>
      <c r="AH3029" s="82" t="s">
        <v>13052</v>
      </c>
      <c r="AI3029" s="77" t="b">
        <v>0</v>
      </c>
      <c r="AJ3029" s="77"/>
      <c r="AK3029" s="77"/>
      <c r="AL3029" s="77"/>
      <c r="AM3029" s="77"/>
      <c r="AN3029" s="77"/>
      <c r="AO3029" s="77"/>
      <c r="AP3029" s="77"/>
      <c r="AQ3029" s="77" t="s">
        <v>15997</v>
      </c>
      <c r="AR3029" s="77"/>
      <c r="AS3029" s="77"/>
      <c r="AT3029" s="77"/>
      <c r="AU3029" s="77"/>
      <c r="AV3029" s="80" t="str">
        <f>HYPERLINK("https://pbs.twimg.com/media/F0SLHNpXwAApfoF.jpg")</f>
        <v>https://pbs.twimg.com/media/F0SLHNpXwAApfoF.jpg</v>
      </c>
      <c r="AW3029" s="82" t="s">
        <v>19795</v>
      </c>
      <c r="AX3029" s="82" t="s">
        <v>19795</v>
      </c>
      <c r="AY3029" s="77"/>
      <c r="AZ3029" s="82" t="s">
        <v>20971</v>
      </c>
      <c r="BA3029" s="82" t="s">
        <v>20971</v>
      </c>
      <c r="BB3029" s="82" t="s">
        <v>20971</v>
      </c>
      <c r="BC3029" s="82" t="s">
        <v>19795</v>
      </c>
      <c r="BD3029" s="82" t="s">
        <v>21597</v>
      </c>
      <c r="BE3029" s="77"/>
      <c r="BF3029" s="77"/>
      <c r="BG3029" s="77"/>
      <c r="BH3029" s="77"/>
      <c r="BI3029" s="77"/>
    </row>
    <row r="3030" spans="1:61" x14ac:dyDescent="0.25">
      <c r="A3030" s="62" t="s">
        <v>1006</v>
      </c>
      <c r="B3030" s="62" t="s">
        <v>1006</v>
      </c>
      <c r="C3030" s="63"/>
      <c r="D3030" s="64"/>
      <c r="E3030" s="65"/>
      <c r="F3030" s="66"/>
      <c r="G3030" s="63"/>
      <c r="H3030" s="67"/>
      <c r="I3030" s="68"/>
      <c r="J3030" s="68"/>
      <c r="K3030" s="32"/>
      <c r="L3030" s="75">
        <v>3030</v>
      </c>
      <c r="M3030" s="75"/>
      <c r="N3030" s="70"/>
      <c r="O3030" s="77" t="s">
        <v>179</v>
      </c>
      <c r="P3030" s="79">
        <v>45112.655034722222</v>
      </c>
      <c r="Q3030" s="77" t="s">
        <v>4236</v>
      </c>
      <c r="R3030" s="77">
        <v>0</v>
      </c>
      <c r="S3030" s="77">
        <v>0</v>
      </c>
      <c r="T3030" s="77">
        <v>0</v>
      </c>
      <c r="U3030" s="77">
        <v>0</v>
      </c>
      <c r="V3030" s="77">
        <v>60</v>
      </c>
      <c r="W3030" s="82" t="s">
        <v>6740</v>
      </c>
      <c r="X3030" s="77"/>
      <c r="Y3030" s="77"/>
      <c r="Z3030" s="77"/>
      <c r="AA3030" s="77" t="s">
        <v>9355</v>
      </c>
      <c r="AB3030" s="77" t="s">
        <v>10130</v>
      </c>
      <c r="AC3030" s="82" t="s">
        <v>10147</v>
      </c>
      <c r="AD3030" s="77" t="s">
        <v>10184</v>
      </c>
      <c r="AE3030" s="80" t="str">
        <f>HYPERLINK("https://twitter.com/imdasmilhas/status/1676617745276850177")</f>
        <v>https://twitter.com/imdasmilhas/status/1676617745276850177</v>
      </c>
      <c r="AF3030" s="79">
        <v>45112.655034722222</v>
      </c>
      <c r="AG3030" s="85">
        <v>45112</v>
      </c>
      <c r="AH3030" s="82" t="s">
        <v>13053</v>
      </c>
      <c r="AI3030" s="77" t="b">
        <v>0</v>
      </c>
      <c r="AJ3030" s="77"/>
      <c r="AK3030" s="77"/>
      <c r="AL3030" s="77"/>
      <c r="AM3030" s="77"/>
      <c r="AN3030" s="77"/>
      <c r="AO3030" s="77"/>
      <c r="AP3030" s="77"/>
      <c r="AQ3030" s="77" t="s">
        <v>15998</v>
      </c>
      <c r="AR3030" s="77"/>
      <c r="AS3030" s="77"/>
      <c r="AT3030" s="77"/>
      <c r="AU3030" s="77"/>
      <c r="AV3030" s="80" t="str">
        <f>HYPERLINK("https://pbs.twimg.com/media/F0SK9DQWwAILw6Y.jpg")</f>
        <v>https://pbs.twimg.com/media/F0SK9DQWwAILw6Y.jpg</v>
      </c>
      <c r="AW3030" s="82" t="s">
        <v>19796</v>
      </c>
      <c r="AX3030" s="82" t="s">
        <v>19796</v>
      </c>
      <c r="AY3030" s="77"/>
      <c r="AZ3030" s="82" t="s">
        <v>20971</v>
      </c>
      <c r="BA3030" s="82" t="s">
        <v>20971</v>
      </c>
      <c r="BB3030" s="82" t="s">
        <v>20971</v>
      </c>
      <c r="BC3030" s="82" t="s">
        <v>19796</v>
      </c>
      <c r="BD3030" s="82" t="s">
        <v>21597</v>
      </c>
      <c r="BE3030" s="77"/>
      <c r="BF3030" s="77"/>
      <c r="BG3030" s="77"/>
      <c r="BH3030" s="77"/>
      <c r="BI3030" s="77"/>
    </row>
    <row r="3031" spans="1:61" x14ac:dyDescent="0.25">
      <c r="A3031" s="62" t="s">
        <v>1006</v>
      </c>
      <c r="B3031" s="62" t="s">
        <v>1006</v>
      </c>
      <c r="C3031" s="63"/>
      <c r="D3031" s="64"/>
      <c r="E3031" s="65"/>
      <c r="F3031" s="66"/>
      <c r="G3031" s="63"/>
      <c r="H3031" s="67"/>
      <c r="I3031" s="68"/>
      <c r="J3031" s="68"/>
      <c r="K3031" s="32"/>
      <c r="L3031" s="75">
        <v>3031</v>
      </c>
      <c r="M3031" s="75"/>
      <c r="N3031" s="70"/>
      <c r="O3031" s="77" t="s">
        <v>179</v>
      </c>
      <c r="P3031" s="79">
        <v>45112.654606481483</v>
      </c>
      <c r="Q3031" s="77" t="s">
        <v>4237</v>
      </c>
      <c r="R3031" s="77">
        <v>0</v>
      </c>
      <c r="S3031" s="77">
        <v>0</v>
      </c>
      <c r="T3031" s="77">
        <v>0</v>
      </c>
      <c r="U3031" s="77">
        <v>0</v>
      </c>
      <c r="V3031" s="77">
        <v>82</v>
      </c>
      <c r="W3031" s="82" t="s">
        <v>6740</v>
      </c>
      <c r="X3031" s="77"/>
      <c r="Y3031" s="77"/>
      <c r="Z3031" s="77"/>
      <c r="AA3031" s="77" t="s">
        <v>9356</v>
      </c>
      <c r="AB3031" s="77" t="s">
        <v>10130</v>
      </c>
      <c r="AC3031" s="82" t="s">
        <v>10147</v>
      </c>
      <c r="AD3031" s="77" t="s">
        <v>10184</v>
      </c>
      <c r="AE3031" s="80" t="str">
        <f>HYPERLINK("https://twitter.com/imdasmilhas/status/1676617592016887814")</f>
        <v>https://twitter.com/imdasmilhas/status/1676617592016887814</v>
      </c>
      <c r="AF3031" s="79">
        <v>45112.654606481483</v>
      </c>
      <c r="AG3031" s="85">
        <v>45112</v>
      </c>
      <c r="AH3031" s="82" t="s">
        <v>13054</v>
      </c>
      <c r="AI3031" s="77" t="b">
        <v>0</v>
      </c>
      <c r="AJ3031" s="77"/>
      <c r="AK3031" s="77"/>
      <c r="AL3031" s="77"/>
      <c r="AM3031" s="77"/>
      <c r="AN3031" s="77"/>
      <c r="AO3031" s="77"/>
      <c r="AP3031" s="77"/>
      <c r="AQ3031" s="77" t="s">
        <v>15999</v>
      </c>
      <c r="AR3031" s="77"/>
      <c r="AS3031" s="77"/>
      <c r="AT3031" s="77"/>
      <c r="AU3031" s="77"/>
      <c r="AV3031" s="80" t="str">
        <f>HYPERLINK("https://pbs.twimg.com/media/F0SK0JcWwAMCsbg.jpg")</f>
        <v>https://pbs.twimg.com/media/F0SK0JcWwAMCsbg.jpg</v>
      </c>
      <c r="AW3031" s="82" t="s">
        <v>19797</v>
      </c>
      <c r="AX3031" s="82" t="s">
        <v>19797</v>
      </c>
      <c r="AY3031" s="77"/>
      <c r="AZ3031" s="82" t="s">
        <v>20971</v>
      </c>
      <c r="BA3031" s="82" t="s">
        <v>20971</v>
      </c>
      <c r="BB3031" s="82" t="s">
        <v>20971</v>
      </c>
      <c r="BC3031" s="82" t="s">
        <v>19797</v>
      </c>
      <c r="BD3031" s="82" t="s">
        <v>21597</v>
      </c>
      <c r="BE3031" s="77"/>
      <c r="BF3031" s="77"/>
      <c r="BG3031" s="77"/>
      <c r="BH3031" s="77"/>
      <c r="BI3031" s="77"/>
    </row>
    <row r="3032" spans="1:61" x14ac:dyDescent="0.25">
      <c r="A3032" s="62" t="s">
        <v>1006</v>
      </c>
      <c r="B3032" s="62" t="s">
        <v>1006</v>
      </c>
      <c r="C3032" s="63"/>
      <c r="D3032" s="64"/>
      <c r="E3032" s="65"/>
      <c r="F3032" s="66"/>
      <c r="G3032" s="63"/>
      <c r="H3032" s="67"/>
      <c r="I3032" s="68"/>
      <c r="J3032" s="68"/>
      <c r="K3032" s="32"/>
      <c r="L3032" s="75">
        <v>3032</v>
      </c>
      <c r="M3032" s="75"/>
      <c r="N3032" s="70"/>
      <c r="O3032" s="77" t="s">
        <v>179</v>
      </c>
      <c r="P3032" s="79">
        <v>45111.838437500002</v>
      </c>
      <c r="Q3032" s="77" t="s">
        <v>4238</v>
      </c>
      <c r="R3032" s="77">
        <v>0</v>
      </c>
      <c r="S3032" s="77">
        <v>0</v>
      </c>
      <c r="T3032" s="77">
        <v>0</v>
      </c>
      <c r="U3032" s="77">
        <v>0</v>
      </c>
      <c r="V3032" s="77">
        <v>82</v>
      </c>
      <c r="W3032" s="82" t="s">
        <v>6741</v>
      </c>
      <c r="X3032" s="77"/>
      <c r="Y3032" s="77"/>
      <c r="Z3032" s="77"/>
      <c r="AA3032" s="77" t="s">
        <v>9357</v>
      </c>
      <c r="AB3032" s="77" t="s">
        <v>10130</v>
      </c>
      <c r="AC3032" s="82" t="s">
        <v>10147</v>
      </c>
      <c r="AD3032" s="77" t="s">
        <v>10184</v>
      </c>
      <c r="AE3032" s="80" t="str">
        <f>HYPERLINK("https://twitter.com/imdasmilhas/status/1676321821304422400")</f>
        <v>https://twitter.com/imdasmilhas/status/1676321821304422400</v>
      </c>
      <c r="AF3032" s="79">
        <v>45111.838437500002</v>
      </c>
      <c r="AG3032" s="85">
        <v>45111</v>
      </c>
      <c r="AH3032" s="82" t="s">
        <v>13055</v>
      </c>
      <c r="AI3032" s="77" t="b">
        <v>0</v>
      </c>
      <c r="AJ3032" s="77"/>
      <c r="AK3032" s="77"/>
      <c r="AL3032" s="77"/>
      <c r="AM3032" s="77"/>
      <c r="AN3032" s="77"/>
      <c r="AO3032" s="77"/>
      <c r="AP3032" s="77"/>
      <c r="AQ3032" s="77" t="s">
        <v>16000</v>
      </c>
      <c r="AR3032" s="77"/>
      <c r="AS3032" s="77"/>
      <c r="AT3032" s="77"/>
      <c r="AU3032" s="77"/>
      <c r="AV3032" s="80" t="str">
        <f>HYPERLINK("https://pbs.twimg.com/media/F0N9z-jWcAI9xEn.jpg")</f>
        <v>https://pbs.twimg.com/media/F0N9z-jWcAI9xEn.jpg</v>
      </c>
      <c r="AW3032" s="82" t="s">
        <v>19798</v>
      </c>
      <c r="AX3032" s="82" t="s">
        <v>19798</v>
      </c>
      <c r="AY3032" s="77"/>
      <c r="AZ3032" s="82" t="s">
        <v>20971</v>
      </c>
      <c r="BA3032" s="82" t="s">
        <v>20971</v>
      </c>
      <c r="BB3032" s="82" t="s">
        <v>20971</v>
      </c>
      <c r="BC3032" s="82" t="s">
        <v>19798</v>
      </c>
      <c r="BD3032" s="82" t="s">
        <v>21597</v>
      </c>
      <c r="BE3032" s="77"/>
      <c r="BF3032" s="77"/>
      <c r="BG3032" s="77"/>
      <c r="BH3032" s="77"/>
      <c r="BI3032" s="77"/>
    </row>
    <row r="3033" spans="1:61" x14ac:dyDescent="0.25">
      <c r="A3033" s="62" t="s">
        <v>1006</v>
      </c>
      <c r="B3033" s="62" t="s">
        <v>1006</v>
      </c>
      <c r="C3033" s="63"/>
      <c r="D3033" s="64"/>
      <c r="E3033" s="65"/>
      <c r="F3033" s="66"/>
      <c r="G3033" s="63"/>
      <c r="H3033" s="67"/>
      <c r="I3033" s="68"/>
      <c r="J3033" s="68"/>
      <c r="K3033" s="32"/>
      <c r="L3033" s="75">
        <v>3033</v>
      </c>
      <c r="M3033" s="75"/>
      <c r="N3033" s="70"/>
      <c r="O3033" s="77" t="s">
        <v>179</v>
      </c>
      <c r="P3033" s="79">
        <v>45111.617430555554</v>
      </c>
      <c r="Q3033" s="77" t="s">
        <v>4239</v>
      </c>
      <c r="R3033" s="77">
        <v>0</v>
      </c>
      <c r="S3033" s="77">
        <v>0</v>
      </c>
      <c r="T3033" s="77">
        <v>0</v>
      </c>
      <c r="U3033" s="77">
        <v>0</v>
      </c>
      <c r="V3033" s="77">
        <v>82</v>
      </c>
      <c r="W3033" s="82" t="s">
        <v>6740</v>
      </c>
      <c r="X3033" s="77"/>
      <c r="Y3033" s="77"/>
      <c r="Z3033" s="77"/>
      <c r="AA3033" s="77" t="s">
        <v>9358</v>
      </c>
      <c r="AB3033" s="77" t="s">
        <v>10130</v>
      </c>
      <c r="AC3033" s="82" t="s">
        <v>10147</v>
      </c>
      <c r="AD3033" s="77" t="s">
        <v>10184</v>
      </c>
      <c r="AE3033" s="80" t="str">
        <f>HYPERLINK("https://twitter.com/imdasmilhas/status/1676241733338689537")</f>
        <v>https://twitter.com/imdasmilhas/status/1676241733338689537</v>
      </c>
      <c r="AF3033" s="79">
        <v>45111.617430555554</v>
      </c>
      <c r="AG3033" s="85">
        <v>45111</v>
      </c>
      <c r="AH3033" s="82" t="s">
        <v>13056</v>
      </c>
      <c r="AI3033" s="77" t="b">
        <v>0</v>
      </c>
      <c r="AJ3033" s="77"/>
      <c r="AK3033" s="77"/>
      <c r="AL3033" s="77"/>
      <c r="AM3033" s="77"/>
      <c r="AN3033" s="77"/>
      <c r="AO3033" s="77"/>
      <c r="AP3033" s="77"/>
      <c r="AQ3033" s="77" t="s">
        <v>16001</v>
      </c>
      <c r="AR3033" s="77"/>
      <c r="AS3033" s="77"/>
      <c r="AT3033" s="77"/>
      <c r="AU3033" s="77"/>
      <c r="AV3033" s="80" t="str">
        <f>HYPERLINK("https://pbs.twimg.com/media/F0M0-PLWAAEitCH.jpg")</f>
        <v>https://pbs.twimg.com/media/F0M0-PLWAAEitCH.jpg</v>
      </c>
      <c r="AW3033" s="82" t="s">
        <v>19799</v>
      </c>
      <c r="AX3033" s="82" t="s">
        <v>19799</v>
      </c>
      <c r="AY3033" s="77"/>
      <c r="AZ3033" s="82" t="s">
        <v>20971</v>
      </c>
      <c r="BA3033" s="82" t="s">
        <v>20971</v>
      </c>
      <c r="BB3033" s="82" t="s">
        <v>20971</v>
      </c>
      <c r="BC3033" s="82" t="s">
        <v>19799</v>
      </c>
      <c r="BD3033" s="82" t="s">
        <v>21597</v>
      </c>
      <c r="BE3033" s="77"/>
      <c r="BF3033" s="77"/>
      <c r="BG3033" s="77"/>
      <c r="BH3033" s="77"/>
      <c r="BI3033" s="77"/>
    </row>
    <row r="3034" spans="1:61" x14ac:dyDescent="0.25">
      <c r="A3034" s="62" t="s">
        <v>1006</v>
      </c>
      <c r="B3034" s="62" t="s">
        <v>1006</v>
      </c>
      <c r="C3034" s="63"/>
      <c r="D3034" s="64"/>
      <c r="E3034" s="65"/>
      <c r="F3034" s="66"/>
      <c r="G3034" s="63"/>
      <c r="H3034" s="67"/>
      <c r="I3034" s="68"/>
      <c r="J3034" s="68"/>
      <c r="K3034" s="32"/>
      <c r="L3034" s="75">
        <v>3034</v>
      </c>
      <c r="M3034" s="75"/>
      <c r="N3034" s="70"/>
      <c r="O3034" s="77" t="s">
        <v>179</v>
      </c>
      <c r="P3034" s="79">
        <v>45111.616875</v>
      </c>
      <c r="Q3034" s="77" t="s">
        <v>4240</v>
      </c>
      <c r="R3034" s="77">
        <v>0</v>
      </c>
      <c r="S3034" s="77">
        <v>0</v>
      </c>
      <c r="T3034" s="77">
        <v>0</v>
      </c>
      <c r="U3034" s="77">
        <v>0</v>
      </c>
      <c r="V3034" s="77">
        <v>88</v>
      </c>
      <c r="W3034" s="82" t="s">
        <v>6740</v>
      </c>
      <c r="X3034" s="77"/>
      <c r="Y3034" s="77"/>
      <c r="Z3034" s="77"/>
      <c r="AA3034" s="77" t="s">
        <v>9359</v>
      </c>
      <c r="AB3034" s="77" t="s">
        <v>10130</v>
      </c>
      <c r="AC3034" s="82" t="s">
        <v>10147</v>
      </c>
      <c r="AD3034" s="77" t="s">
        <v>10184</v>
      </c>
      <c r="AE3034" s="80" t="str">
        <f>HYPERLINK("https://twitter.com/imdasmilhas/status/1676241530493730816")</f>
        <v>https://twitter.com/imdasmilhas/status/1676241530493730816</v>
      </c>
      <c r="AF3034" s="79">
        <v>45111.616875</v>
      </c>
      <c r="AG3034" s="85">
        <v>45111</v>
      </c>
      <c r="AH3034" s="82" t="s">
        <v>13057</v>
      </c>
      <c r="AI3034" s="77" t="b">
        <v>0</v>
      </c>
      <c r="AJ3034" s="77"/>
      <c r="AK3034" s="77"/>
      <c r="AL3034" s="77"/>
      <c r="AM3034" s="77"/>
      <c r="AN3034" s="77"/>
      <c r="AO3034" s="77"/>
      <c r="AP3034" s="77"/>
      <c r="AQ3034" s="77" t="s">
        <v>16002</v>
      </c>
      <c r="AR3034" s="77"/>
      <c r="AS3034" s="77"/>
      <c r="AT3034" s="77"/>
      <c r="AU3034" s="77"/>
      <c r="AV3034" s="80" t="str">
        <f>HYPERLINK("https://pbs.twimg.com/media/F0M0yeAXgAEJ0aK.jpg")</f>
        <v>https://pbs.twimg.com/media/F0M0yeAXgAEJ0aK.jpg</v>
      </c>
      <c r="AW3034" s="82" t="s">
        <v>19800</v>
      </c>
      <c r="AX3034" s="82" t="s">
        <v>19800</v>
      </c>
      <c r="AY3034" s="77"/>
      <c r="AZ3034" s="82" t="s">
        <v>20971</v>
      </c>
      <c r="BA3034" s="82" t="s">
        <v>20971</v>
      </c>
      <c r="BB3034" s="82" t="s">
        <v>20971</v>
      </c>
      <c r="BC3034" s="82" t="s">
        <v>19800</v>
      </c>
      <c r="BD3034" s="82" t="s">
        <v>21597</v>
      </c>
      <c r="BE3034" s="77"/>
      <c r="BF3034" s="77"/>
      <c r="BG3034" s="77"/>
      <c r="BH3034" s="77"/>
      <c r="BI3034" s="77"/>
    </row>
    <row r="3035" spans="1:61" x14ac:dyDescent="0.25">
      <c r="A3035" s="62" t="s">
        <v>1006</v>
      </c>
      <c r="B3035" s="62" t="s">
        <v>1006</v>
      </c>
      <c r="C3035" s="63"/>
      <c r="D3035" s="64"/>
      <c r="E3035" s="65"/>
      <c r="F3035" s="66"/>
      <c r="G3035" s="63"/>
      <c r="H3035" s="67"/>
      <c r="I3035" s="68"/>
      <c r="J3035" s="68"/>
      <c r="K3035" s="32"/>
      <c r="L3035" s="75">
        <v>3035</v>
      </c>
      <c r="M3035" s="75"/>
      <c r="N3035" s="70"/>
      <c r="O3035" s="77" t="s">
        <v>179</v>
      </c>
      <c r="P3035" s="79">
        <v>45092.818194444444</v>
      </c>
      <c r="Q3035" s="77" t="s">
        <v>4241</v>
      </c>
      <c r="R3035" s="77">
        <v>0</v>
      </c>
      <c r="S3035" s="77">
        <v>1</v>
      </c>
      <c r="T3035" s="77">
        <v>0</v>
      </c>
      <c r="U3035" s="77">
        <v>0</v>
      </c>
      <c r="V3035" s="77">
        <v>181</v>
      </c>
      <c r="W3035" s="82" t="s">
        <v>6740</v>
      </c>
      <c r="X3035" s="77"/>
      <c r="Y3035" s="77"/>
      <c r="Z3035" s="77"/>
      <c r="AA3035" s="77" t="s">
        <v>9360</v>
      </c>
      <c r="AB3035" s="77" t="s">
        <v>10130</v>
      </c>
      <c r="AC3035" s="82" t="s">
        <v>10147</v>
      </c>
      <c r="AD3035" s="77" t="s">
        <v>10184</v>
      </c>
      <c r="AE3035" s="80" t="str">
        <f>HYPERLINK("https://twitter.com/imdasmilhas/status/1669429115286441987")</f>
        <v>https://twitter.com/imdasmilhas/status/1669429115286441987</v>
      </c>
      <c r="AF3035" s="79">
        <v>45092.818194444444</v>
      </c>
      <c r="AG3035" s="85">
        <v>45092</v>
      </c>
      <c r="AH3035" s="82" t="s">
        <v>13058</v>
      </c>
      <c r="AI3035" s="77" t="b">
        <v>0</v>
      </c>
      <c r="AJ3035" s="77"/>
      <c r="AK3035" s="77"/>
      <c r="AL3035" s="77"/>
      <c r="AM3035" s="77"/>
      <c r="AN3035" s="77"/>
      <c r="AO3035" s="77"/>
      <c r="AP3035" s="77"/>
      <c r="AQ3035" s="77" t="s">
        <v>16003</v>
      </c>
      <c r="AR3035" s="77"/>
      <c r="AS3035" s="77"/>
      <c r="AT3035" s="77"/>
      <c r="AU3035" s="77"/>
      <c r="AV3035" s="80" t="str">
        <f>HYPERLINK("https://pbs.twimg.com/media/FysA7u8WYAEwhEZ.jpg")</f>
        <v>https://pbs.twimg.com/media/FysA7u8WYAEwhEZ.jpg</v>
      </c>
      <c r="AW3035" s="82" t="s">
        <v>19801</v>
      </c>
      <c r="AX3035" s="82" t="s">
        <v>19801</v>
      </c>
      <c r="AY3035" s="77"/>
      <c r="AZ3035" s="82" t="s">
        <v>20971</v>
      </c>
      <c r="BA3035" s="82" t="s">
        <v>20971</v>
      </c>
      <c r="BB3035" s="82" t="s">
        <v>20971</v>
      </c>
      <c r="BC3035" s="82" t="s">
        <v>19801</v>
      </c>
      <c r="BD3035" s="82" t="s">
        <v>21597</v>
      </c>
      <c r="BE3035" s="77"/>
      <c r="BF3035" s="77"/>
      <c r="BG3035" s="77"/>
      <c r="BH3035" s="77"/>
      <c r="BI3035" s="77"/>
    </row>
    <row r="3036" spans="1:61" x14ac:dyDescent="0.25">
      <c r="A3036" s="62" t="s">
        <v>1006</v>
      </c>
      <c r="B3036" s="62" t="s">
        <v>1006</v>
      </c>
      <c r="C3036" s="63"/>
      <c r="D3036" s="64"/>
      <c r="E3036" s="65"/>
      <c r="F3036" s="66"/>
      <c r="G3036" s="63"/>
      <c r="H3036" s="67"/>
      <c r="I3036" s="68"/>
      <c r="J3036" s="68"/>
      <c r="K3036" s="32"/>
      <c r="L3036" s="75">
        <v>3036</v>
      </c>
      <c r="M3036" s="75"/>
      <c r="N3036" s="70"/>
      <c r="O3036" s="77" t="s">
        <v>179</v>
      </c>
      <c r="P3036" s="79">
        <v>45092.81753472222</v>
      </c>
      <c r="Q3036" s="77" t="s">
        <v>4242</v>
      </c>
      <c r="R3036" s="77">
        <v>0</v>
      </c>
      <c r="S3036" s="77">
        <v>0</v>
      </c>
      <c r="T3036" s="77">
        <v>0</v>
      </c>
      <c r="U3036" s="77">
        <v>0</v>
      </c>
      <c r="V3036" s="77">
        <v>90</v>
      </c>
      <c r="W3036" s="82" t="s">
        <v>6742</v>
      </c>
      <c r="X3036" s="77"/>
      <c r="Y3036" s="77"/>
      <c r="Z3036" s="77"/>
      <c r="AA3036" s="77" t="s">
        <v>9361</v>
      </c>
      <c r="AB3036" s="77" t="s">
        <v>10130</v>
      </c>
      <c r="AC3036" s="82" t="s">
        <v>10147</v>
      </c>
      <c r="AD3036" s="77" t="s">
        <v>10184</v>
      </c>
      <c r="AE3036" s="80" t="str">
        <f>HYPERLINK("https://twitter.com/imdasmilhas/status/1669428875808366593")</f>
        <v>https://twitter.com/imdasmilhas/status/1669428875808366593</v>
      </c>
      <c r="AF3036" s="79">
        <v>45092.81753472222</v>
      </c>
      <c r="AG3036" s="85">
        <v>45092</v>
      </c>
      <c r="AH3036" s="82" t="s">
        <v>13059</v>
      </c>
      <c r="AI3036" s="77" t="b">
        <v>0</v>
      </c>
      <c r="AJ3036" s="77"/>
      <c r="AK3036" s="77"/>
      <c r="AL3036" s="77"/>
      <c r="AM3036" s="77"/>
      <c r="AN3036" s="77"/>
      <c r="AO3036" s="77"/>
      <c r="AP3036" s="77"/>
      <c r="AQ3036" s="77" t="s">
        <v>16004</v>
      </c>
      <c r="AR3036" s="77"/>
      <c r="AS3036" s="77"/>
      <c r="AT3036" s="77"/>
      <c r="AU3036" s="77"/>
      <c r="AV3036" s="80" t="str">
        <f>HYPERLINK("https://pbs.twimg.com/media/FysAtudX0AUozc8.jpg")</f>
        <v>https://pbs.twimg.com/media/FysAtudX0AUozc8.jpg</v>
      </c>
      <c r="AW3036" s="82" t="s">
        <v>19802</v>
      </c>
      <c r="AX3036" s="82" t="s">
        <v>19802</v>
      </c>
      <c r="AY3036" s="77"/>
      <c r="AZ3036" s="82" t="s">
        <v>20971</v>
      </c>
      <c r="BA3036" s="82" t="s">
        <v>20971</v>
      </c>
      <c r="BB3036" s="82" t="s">
        <v>20971</v>
      </c>
      <c r="BC3036" s="82" t="s">
        <v>19802</v>
      </c>
      <c r="BD3036" s="82" t="s">
        <v>21597</v>
      </c>
      <c r="BE3036" s="77"/>
      <c r="BF3036" s="77"/>
      <c r="BG3036" s="77"/>
      <c r="BH3036" s="77"/>
      <c r="BI3036" s="77"/>
    </row>
    <row r="3037" spans="1:61" x14ac:dyDescent="0.25">
      <c r="A3037" s="62" t="s">
        <v>1006</v>
      </c>
      <c r="B3037" s="62" t="s">
        <v>1006</v>
      </c>
      <c r="C3037" s="63"/>
      <c r="D3037" s="64"/>
      <c r="E3037" s="65"/>
      <c r="F3037" s="66"/>
      <c r="G3037" s="63"/>
      <c r="H3037" s="67"/>
      <c r="I3037" s="68"/>
      <c r="J3037" s="68"/>
      <c r="K3037" s="32"/>
      <c r="L3037" s="75">
        <v>3037</v>
      </c>
      <c r="M3037" s="75"/>
      <c r="N3037" s="70"/>
      <c r="O3037" s="77" t="s">
        <v>179</v>
      </c>
      <c r="P3037" s="79">
        <v>45092.816724537035</v>
      </c>
      <c r="Q3037" s="77" t="s">
        <v>4243</v>
      </c>
      <c r="R3037" s="77">
        <v>0</v>
      </c>
      <c r="S3037" s="77">
        <v>0</v>
      </c>
      <c r="T3037" s="77">
        <v>0</v>
      </c>
      <c r="U3037" s="77">
        <v>0</v>
      </c>
      <c r="V3037" s="77">
        <v>97</v>
      </c>
      <c r="W3037" s="82" t="s">
        <v>6740</v>
      </c>
      <c r="X3037" s="77"/>
      <c r="Y3037" s="77"/>
      <c r="Z3037" s="77"/>
      <c r="AA3037" s="77" t="s">
        <v>9362</v>
      </c>
      <c r="AB3037" s="77" t="s">
        <v>10130</v>
      </c>
      <c r="AC3037" s="82" t="s">
        <v>10147</v>
      </c>
      <c r="AD3037" s="77" t="s">
        <v>10184</v>
      </c>
      <c r="AE3037" s="80" t="str">
        <f>HYPERLINK("https://twitter.com/imdasmilhas/status/1669428583914143745")</f>
        <v>https://twitter.com/imdasmilhas/status/1669428583914143745</v>
      </c>
      <c r="AF3037" s="79">
        <v>45092.816724537035</v>
      </c>
      <c r="AG3037" s="85">
        <v>45092</v>
      </c>
      <c r="AH3037" s="82" t="s">
        <v>13060</v>
      </c>
      <c r="AI3037" s="77" t="b">
        <v>0</v>
      </c>
      <c r="AJ3037" s="77"/>
      <c r="AK3037" s="77"/>
      <c r="AL3037" s="77"/>
      <c r="AM3037" s="77"/>
      <c r="AN3037" s="77"/>
      <c r="AO3037" s="77"/>
      <c r="AP3037" s="77"/>
      <c r="AQ3037" s="77" t="s">
        <v>16005</v>
      </c>
      <c r="AR3037" s="77"/>
      <c r="AS3037" s="77"/>
      <c r="AT3037" s="77"/>
      <c r="AU3037" s="77"/>
      <c r="AV3037" s="80" t="str">
        <f>HYPERLINK("https://pbs.twimg.com/media/FysAcyuX0AYSLz1.jpg")</f>
        <v>https://pbs.twimg.com/media/FysAcyuX0AYSLz1.jpg</v>
      </c>
      <c r="AW3037" s="82" t="s">
        <v>19803</v>
      </c>
      <c r="AX3037" s="82" t="s">
        <v>19803</v>
      </c>
      <c r="AY3037" s="77"/>
      <c r="AZ3037" s="82" t="s">
        <v>20971</v>
      </c>
      <c r="BA3037" s="82" t="s">
        <v>20971</v>
      </c>
      <c r="BB3037" s="82" t="s">
        <v>20971</v>
      </c>
      <c r="BC3037" s="82" t="s">
        <v>19803</v>
      </c>
      <c r="BD3037" s="82" t="s">
        <v>21597</v>
      </c>
      <c r="BE3037" s="77"/>
      <c r="BF3037" s="77"/>
      <c r="BG3037" s="77"/>
      <c r="BH3037" s="77"/>
      <c r="BI3037" s="77"/>
    </row>
    <row r="3038" spans="1:61" x14ac:dyDescent="0.25">
      <c r="A3038" s="62" t="s">
        <v>1006</v>
      </c>
      <c r="B3038" s="62" t="s">
        <v>1006</v>
      </c>
      <c r="C3038" s="63"/>
      <c r="D3038" s="64"/>
      <c r="E3038" s="65"/>
      <c r="F3038" s="66"/>
      <c r="G3038" s="63"/>
      <c r="H3038" s="67"/>
      <c r="I3038" s="68"/>
      <c r="J3038" s="68"/>
      <c r="K3038" s="32"/>
      <c r="L3038" s="75">
        <v>3038</v>
      </c>
      <c r="M3038" s="75"/>
      <c r="N3038" s="70"/>
      <c r="O3038" s="77" t="s">
        <v>179</v>
      </c>
      <c r="P3038" s="79">
        <v>45092.814930555556</v>
      </c>
      <c r="Q3038" s="77" t="s">
        <v>4244</v>
      </c>
      <c r="R3038" s="77">
        <v>0</v>
      </c>
      <c r="S3038" s="77">
        <v>1</v>
      </c>
      <c r="T3038" s="77">
        <v>0</v>
      </c>
      <c r="U3038" s="77">
        <v>0</v>
      </c>
      <c r="V3038" s="77">
        <v>55</v>
      </c>
      <c r="W3038" s="82" t="s">
        <v>6740</v>
      </c>
      <c r="X3038" s="77"/>
      <c r="Y3038" s="77"/>
      <c r="Z3038" s="77"/>
      <c r="AA3038" s="77" t="s">
        <v>9363</v>
      </c>
      <c r="AB3038" s="77" t="s">
        <v>10130</v>
      </c>
      <c r="AC3038" s="82" t="s">
        <v>10147</v>
      </c>
      <c r="AD3038" s="77" t="s">
        <v>10184</v>
      </c>
      <c r="AE3038" s="80" t="str">
        <f>HYPERLINK("https://twitter.com/imdasmilhas/status/1669427935621664775")</f>
        <v>https://twitter.com/imdasmilhas/status/1669427935621664775</v>
      </c>
      <c r="AF3038" s="79">
        <v>45092.814930555556</v>
      </c>
      <c r="AG3038" s="85">
        <v>45092</v>
      </c>
      <c r="AH3038" s="82" t="s">
        <v>13061</v>
      </c>
      <c r="AI3038" s="77" t="b">
        <v>0</v>
      </c>
      <c r="AJ3038" s="77"/>
      <c r="AK3038" s="77"/>
      <c r="AL3038" s="77"/>
      <c r="AM3038" s="77"/>
      <c r="AN3038" s="77"/>
      <c r="AO3038" s="77"/>
      <c r="AP3038" s="77"/>
      <c r="AQ3038" s="77" t="s">
        <v>16006</v>
      </c>
      <c r="AR3038" s="77"/>
      <c r="AS3038" s="77"/>
      <c r="AT3038" s="77"/>
      <c r="AU3038" s="77"/>
      <c r="AV3038" s="80" t="str">
        <f>HYPERLINK("https://pbs.twimg.com/media/Fyr_29DX0AsU4wj.jpg")</f>
        <v>https://pbs.twimg.com/media/Fyr_29DX0AsU4wj.jpg</v>
      </c>
      <c r="AW3038" s="82" t="s">
        <v>19804</v>
      </c>
      <c r="AX3038" s="82" t="s">
        <v>19804</v>
      </c>
      <c r="AY3038" s="77"/>
      <c r="AZ3038" s="82" t="s">
        <v>20971</v>
      </c>
      <c r="BA3038" s="82" t="s">
        <v>20971</v>
      </c>
      <c r="BB3038" s="82" t="s">
        <v>20971</v>
      </c>
      <c r="BC3038" s="82" t="s">
        <v>19804</v>
      </c>
      <c r="BD3038" s="82" t="s">
        <v>21597</v>
      </c>
      <c r="BE3038" s="77"/>
      <c r="BF3038" s="77"/>
      <c r="BG3038" s="77"/>
      <c r="BH3038" s="77"/>
      <c r="BI3038" s="77"/>
    </row>
    <row r="3039" spans="1:61" x14ac:dyDescent="0.25">
      <c r="A3039" s="62" t="s">
        <v>1006</v>
      </c>
      <c r="B3039" s="62" t="s">
        <v>1006</v>
      </c>
      <c r="C3039" s="63"/>
      <c r="D3039" s="64"/>
      <c r="E3039" s="65"/>
      <c r="F3039" s="66"/>
      <c r="G3039" s="63"/>
      <c r="H3039" s="67"/>
      <c r="I3039" s="68"/>
      <c r="J3039" s="68"/>
      <c r="K3039" s="32"/>
      <c r="L3039" s="75">
        <v>3039</v>
      </c>
      <c r="M3039" s="75"/>
      <c r="N3039" s="70"/>
      <c r="O3039" s="77" t="s">
        <v>179</v>
      </c>
      <c r="P3039" s="79">
        <v>45092.814398148148</v>
      </c>
      <c r="Q3039" s="77" t="s">
        <v>4245</v>
      </c>
      <c r="R3039" s="77">
        <v>0</v>
      </c>
      <c r="S3039" s="77">
        <v>0</v>
      </c>
      <c r="T3039" s="77">
        <v>0</v>
      </c>
      <c r="U3039" s="77">
        <v>0</v>
      </c>
      <c r="V3039" s="77">
        <v>72</v>
      </c>
      <c r="W3039" s="82" t="s">
        <v>6740</v>
      </c>
      <c r="X3039" s="77"/>
      <c r="Y3039" s="77"/>
      <c r="Z3039" s="77"/>
      <c r="AA3039" s="77" t="s">
        <v>9364</v>
      </c>
      <c r="AB3039" s="77" t="s">
        <v>10130</v>
      </c>
      <c r="AC3039" s="82" t="s">
        <v>10147</v>
      </c>
      <c r="AD3039" s="77" t="s">
        <v>10184</v>
      </c>
      <c r="AE3039" s="80" t="str">
        <f>HYPERLINK("https://twitter.com/imdasmilhas/status/1669427741328920579")</f>
        <v>https://twitter.com/imdasmilhas/status/1669427741328920579</v>
      </c>
      <c r="AF3039" s="79">
        <v>45092.814398148148</v>
      </c>
      <c r="AG3039" s="85">
        <v>45092</v>
      </c>
      <c r="AH3039" s="82" t="s">
        <v>13062</v>
      </c>
      <c r="AI3039" s="77" t="b">
        <v>0</v>
      </c>
      <c r="AJ3039" s="77"/>
      <c r="AK3039" s="77"/>
      <c r="AL3039" s="77"/>
      <c r="AM3039" s="77"/>
      <c r="AN3039" s="77"/>
      <c r="AO3039" s="77"/>
      <c r="AP3039" s="77"/>
      <c r="AQ3039" s="77" t="s">
        <v>16007</v>
      </c>
      <c r="AR3039" s="77"/>
      <c r="AS3039" s="77"/>
      <c r="AT3039" s="77"/>
      <c r="AU3039" s="77"/>
      <c r="AV3039" s="80" t="str">
        <f>HYPERLINK("https://pbs.twimg.com/media/Fyr_rvkWwAEf6pF.jpg")</f>
        <v>https://pbs.twimg.com/media/Fyr_rvkWwAEf6pF.jpg</v>
      </c>
      <c r="AW3039" s="82" t="s">
        <v>19805</v>
      </c>
      <c r="AX3039" s="82" t="s">
        <v>19805</v>
      </c>
      <c r="AY3039" s="77"/>
      <c r="AZ3039" s="82" t="s">
        <v>20971</v>
      </c>
      <c r="BA3039" s="82" t="s">
        <v>20971</v>
      </c>
      <c r="BB3039" s="82" t="s">
        <v>20971</v>
      </c>
      <c r="BC3039" s="82" t="s">
        <v>19805</v>
      </c>
      <c r="BD3039" s="82" t="s">
        <v>21597</v>
      </c>
      <c r="BE3039" s="77"/>
      <c r="BF3039" s="77"/>
      <c r="BG3039" s="77"/>
      <c r="BH3039" s="77"/>
      <c r="BI3039" s="77"/>
    </row>
    <row r="3040" spans="1:61" x14ac:dyDescent="0.25">
      <c r="A3040" s="62" t="s">
        <v>1006</v>
      </c>
      <c r="B3040" s="62" t="s">
        <v>1006</v>
      </c>
      <c r="C3040" s="63"/>
      <c r="D3040" s="64"/>
      <c r="E3040" s="65"/>
      <c r="F3040" s="66"/>
      <c r="G3040" s="63"/>
      <c r="H3040" s="67"/>
      <c r="I3040" s="68"/>
      <c r="J3040" s="68"/>
      <c r="K3040" s="32"/>
      <c r="L3040" s="75">
        <v>3040</v>
      </c>
      <c r="M3040" s="75"/>
      <c r="N3040" s="70"/>
      <c r="O3040" s="77" t="s">
        <v>179</v>
      </c>
      <c r="P3040" s="79">
        <v>45091.766030092593</v>
      </c>
      <c r="Q3040" s="77" t="s">
        <v>4246</v>
      </c>
      <c r="R3040" s="77">
        <v>0</v>
      </c>
      <c r="S3040" s="77">
        <v>0</v>
      </c>
      <c r="T3040" s="77">
        <v>0</v>
      </c>
      <c r="U3040" s="77">
        <v>0</v>
      </c>
      <c r="V3040" s="77">
        <v>99</v>
      </c>
      <c r="W3040" s="82" t="s">
        <v>6742</v>
      </c>
      <c r="X3040" s="77"/>
      <c r="Y3040" s="77"/>
      <c r="Z3040" s="77"/>
      <c r="AA3040" s="77" t="s">
        <v>9365</v>
      </c>
      <c r="AB3040" s="77" t="s">
        <v>10130</v>
      </c>
      <c r="AC3040" s="82" t="s">
        <v>10147</v>
      </c>
      <c r="AD3040" s="77" t="s">
        <v>10184</v>
      </c>
      <c r="AE3040" s="80" t="str">
        <f>HYPERLINK("https://twitter.com/imdasmilhas/status/1669047826716712973")</f>
        <v>https://twitter.com/imdasmilhas/status/1669047826716712973</v>
      </c>
      <c r="AF3040" s="79">
        <v>45091.766030092593</v>
      </c>
      <c r="AG3040" s="85">
        <v>45091</v>
      </c>
      <c r="AH3040" s="82" t="s">
        <v>13063</v>
      </c>
      <c r="AI3040" s="77" t="b">
        <v>0</v>
      </c>
      <c r="AJ3040" s="77"/>
      <c r="AK3040" s="77"/>
      <c r="AL3040" s="77"/>
      <c r="AM3040" s="77"/>
      <c r="AN3040" s="77"/>
      <c r="AO3040" s="77"/>
      <c r="AP3040" s="77"/>
      <c r="AQ3040" s="77" t="s">
        <v>16008</v>
      </c>
      <c r="AR3040" s="77"/>
      <c r="AS3040" s="77"/>
      <c r="AT3040" s="77"/>
      <c r="AU3040" s="77"/>
      <c r="AV3040" s="80" t="str">
        <f>HYPERLINK("https://pbs.twimg.com/media/FymmJzlWYA8JSHn.jpg")</f>
        <v>https://pbs.twimg.com/media/FymmJzlWYA8JSHn.jpg</v>
      </c>
      <c r="AW3040" s="82" t="s">
        <v>19806</v>
      </c>
      <c r="AX3040" s="82" t="s">
        <v>19806</v>
      </c>
      <c r="AY3040" s="77"/>
      <c r="AZ3040" s="82" t="s">
        <v>20971</v>
      </c>
      <c r="BA3040" s="82" t="s">
        <v>20971</v>
      </c>
      <c r="BB3040" s="82" t="s">
        <v>20971</v>
      </c>
      <c r="BC3040" s="82" t="s">
        <v>19806</v>
      </c>
      <c r="BD3040" s="82" t="s">
        <v>21597</v>
      </c>
      <c r="BE3040" s="77"/>
      <c r="BF3040" s="77"/>
      <c r="BG3040" s="77"/>
      <c r="BH3040" s="77"/>
      <c r="BI3040" s="77"/>
    </row>
    <row r="3041" spans="1:61" x14ac:dyDescent="0.25">
      <c r="A3041" s="62" t="s">
        <v>1006</v>
      </c>
      <c r="B3041" s="62" t="s">
        <v>1006</v>
      </c>
      <c r="C3041" s="63"/>
      <c r="D3041" s="64"/>
      <c r="E3041" s="65"/>
      <c r="F3041" s="66"/>
      <c r="G3041" s="63"/>
      <c r="H3041" s="67"/>
      <c r="I3041" s="68"/>
      <c r="J3041" s="68"/>
      <c r="K3041" s="32"/>
      <c r="L3041" s="75">
        <v>3041</v>
      </c>
      <c r="M3041" s="75"/>
      <c r="N3041" s="70"/>
      <c r="O3041" s="77" t="s">
        <v>179</v>
      </c>
      <c r="P3041" s="79">
        <v>45091.765150462961</v>
      </c>
      <c r="Q3041" s="77" t="s">
        <v>4247</v>
      </c>
      <c r="R3041" s="77">
        <v>0</v>
      </c>
      <c r="S3041" s="77">
        <v>1</v>
      </c>
      <c r="T3041" s="77">
        <v>0</v>
      </c>
      <c r="U3041" s="77">
        <v>0</v>
      </c>
      <c r="V3041" s="77">
        <v>97</v>
      </c>
      <c r="W3041" s="82" t="s">
        <v>6740</v>
      </c>
      <c r="X3041" s="77"/>
      <c r="Y3041" s="77"/>
      <c r="Z3041" s="77"/>
      <c r="AA3041" s="77" t="s">
        <v>9366</v>
      </c>
      <c r="AB3041" s="77" t="s">
        <v>10130</v>
      </c>
      <c r="AC3041" s="82" t="s">
        <v>10147</v>
      </c>
      <c r="AD3041" s="77" t="s">
        <v>10184</v>
      </c>
      <c r="AE3041" s="80" t="str">
        <f>HYPERLINK("https://twitter.com/imdasmilhas/status/1669047507706314752")</f>
        <v>https://twitter.com/imdasmilhas/status/1669047507706314752</v>
      </c>
      <c r="AF3041" s="79">
        <v>45091.765150462961</v>
      </c>
      <c r="AG3041" s="85">
        <v>45091</v>
      </c>
      <c r="AH3041" s="82" t="s">
        <v>13064</v>
      </c>
      <c r="AI3041" s="77" t="b">
        <v>0</v>
      </c>
      <c r="AJ3041" s="77"/>
      <c r="AK3041" s="77"/>
      <c r="AL3041" s="77"/>
      <c r="AM3041" s="77"/>
      <c r="AN3041" s="77"/>
      <c r="AO3041" s="77"/>
      <c r="AP3041" s="77"/>
      <c r="AQ3041" s="77" t="s">
        <v>16009</v>
      </c>
      <c r="AR3041" s="77"/>
      <c r="AS3041" s="77"/>
      <c r="AT3041" s="77"/>
      <c r="AU3041" s="77"/>
      <c r="AV3041" s="80" t="str">
        <f>HYPERLINK("https://pbs.twimg.com/media/Fyml3QJWYAQ_aH-.jpg")</f>
        <v>https://pbs.twimg.com/media/Fyml3QJWYAQ_aH-.jpg</v>
      </c>
      <c r="AW3041" s="82" t="s">
        <v>19807</v>
      </c>
      <c r="AX3041" s="82" t="s">
        <v>19807</v>
      </c>
      <c r="AY3041" s="77"/>
      <c r="AZ3041" s="82" t="s">
        <v>20971</v>
      </c>
      <c r="BA3041" s="82" t="s">
        <v>20971</v>
      </c>
      <c r="BB3041" s="82" t="s">
        <v>20971</v>
      </c>
      <c r="BC3041" s="82" t="s">
        <v>19807</v>
      </c>
      <c r="BD3041" s="82" t="s">
        <v>21597</v>
      </c>
      <c r="BE3041" s="77"/>
      <c r="BF3041" s="77"/>
      <c r="BG3041" s="77"/>
      <c r="BH3041" s="77"/>
      <c r="BI3041" s="77"/>
    </row>
    <row r="3042" spans="1:61" x14ac:dyDescent="0.25">
      <c r="A3042" s="62" t="s">
        <v>1006</v>
      </c>
      <c r="B3042" s="62" t="s">
        <v>1006</v>
      </c>
      <c r="C3042" s="63"/>
      <c r="D3042" s="64"/>
      <c r="E3042" s="65"/>
      <c r="F3042" s="66"/>
      <c r="G3042" s="63"/>
      <c r="H3042" s="67"/>
      <c r="I3042" s="68"/>
      <c r="J3042" s="68"/>
      <c r="K3042" s="32"/>
      <c r="L3042" s="75">
        <v>3042</v>
      </c>
      <c r="M3042" s="75"/>
      <c r="N3042" s="70"/>
      <c r="O3042" s="77" t="s">
        <v>179</v>
      </c>
      <c r="P3042" s="79">
        <v>45091.747604166667</v>
      </c>
      <c r="Q3042" s="77" t="s">
        <v>4248</v>
      </c>
      <c r="R3042" s="77">
        <v>0</v>
      </c>
      <c r="S3042" s="77">
        <v>1</v>
      </c>
      <c r="T3042" s="77">
        <v>0</v>
      </c>
      <c r="U3042" s="77">
        <v>0</v>
      </c>
      <c r="V3042" s="77">
        <v>104</v>
      </c>
      <c r="W3042" s="82" t="s">
        <v>6740</v>
      </c>
      <c r="X3042" s="77"/>
      <c r="Y3042" s="77"/>
      <c r="Z3042" s="77"/>
      <c r="AA3042" s="77" t="s">
        <v>9367</v>
      </c>
      <c r="AB3042" s="77" t="s">
        <v>10130</v>
      </c>
      <c r="AC3042" s="82" t="s">
        <v>10147</v>
      </c>
      <c r="AD3042" s="77" t="s">
        <v>10184</v>
      </c>
      <c r="AE3042" s="80" t="str">
        <f>HYPERLINK("https://twitter.com/imdasmilhas/status/1669041146335485974")</f>
        <v>https://twitter.com/imdasmilhas/status/1669041146335485974</v>
      </c>
      <c r="AF3042" s="79">
        <v>45091.747604166667</v>
      </c>
      <c r="AG3042" s="85">
        <v>45091</v>
      </c>
      <c r="AH3042" s="82" t="s">
        <v>13065</v>
      </c>
      <c r="AI3042" s="77" t="b">
        <v>0</v>
      </c>
      <c r="AJ3042" s="77"/>
      <c r="AK3042" s="77"/>
      <c r="AL3042" s="77"/>
      <c r="AM3042" s="77"/>
      <c r="AN3042" s="77"/>
      <c r="AO3042" s="77"/>
      <c r="AP3042" s="77"/>
      <c r="AQ3042" s="77" t="s">
        <v>16010</v>
      </c>
      <c r="AR3042" s="77"/>
      <c r="AS3042" s="77"/>
      <c r="AT3042" s="77"/>
      <c r="AU3042" s="77"/>
      <c r="AV3042" s="80" t="str">
        <f>HYPERLINK("https://pbs.twimg.com/media/FymgE8vXsAUNP1h.jpg")</f>
        <v>https://pbs.twimg.com/media/FymgE8vXsAUNP1h.jpg</v>
      </c>
      <c r="AW3042" s="82" t="s">
        <v>19808</v>
      </c>
      <c r="AX3042" s="82" t="s">
        <v>19808</v>
      </c>
      <c r="AY3042" s="77"/>
      <c r="AZ3042" s="82" t="s">
        <v>20971</v>
      </c>
      <c r="BA3042" s="82" t="s">
        <v>20971</v>
      </c>
      <c r="BB3042" s="82" t="s">
        <v>20971</v>
      </c>
      <c r="BC3042" s="82" t="s">
        <v>19808</v>
      </c>
      <c r="BD3042" s="82" t="s">
        <v>21597</v>
      </c>
      <c r="BE3042" s="77"/>
      <c r="BF3042" s="77"/>
      <c r="BG3042" s="77"/>
      <c r="BH3042" s="77"/>
      <c r="BI3042" s="77"/>
    </row>
    <row r="3043" spans="1:61" x14ac:dyDescent="0.25">
      <c r="A3043" s="62" t="s">
        <v>1006</v>
      </c>
      <c r="B3043" s="62" t="s">
        <v>1006</v>
      </c>
      <c r="C3043" s="63"/>
      <c r="D3043" s="64"/>
      <c r="E3043" s="65"/>
      <c r="F3043" s="66"/>
      <c r="G3043" s="63"/>
      <c r="H3043" s="67"/>
      <c r="I3043" s="68"/>
      <c r="J3043" s="68"/>
      <c r="K3043" s="32"/>
      <c r="L3043" s="75">
        <v>3043</v>
      </c>
      <c r="M3043" s="75"/>
      <c r="N3043" s="70"/>
      <c r="O3043" s="77" t="s">
        <v>179</v>
      </c>
      <c r="P3043" s="79">
        <v>45091.744953703703</v>
      </c>
      <c r="Q3043" s="77" t="s">
        <v>4249</v>
      </c>
      <c r="R3043" s="77">
        <v>0</v>
      </c>
      <c r="S3043" s="77">
        <v>0</v>
      </c>
      <c r="T3043" s="77">
        <v>0</v>
      </c>
      <c r="U3043" s="77">
        <v>0</v>
      </c>
      <c r="V3043" s="77">
        <v>73</v>
      </c>
      <c r="W3043" s="82" t="s">
        <v>6740</v>
      </c>
      <c r="X3043" s="77"/>
      <c r="Y3043" s="77"/>
      <c r="Z3043" s="77"/>
      <c r="AA3043" s="77" t="s">
        <v>9368</v>
      </c>
      <c r="AB3043" s="77" t="s">
        <v>10130</v>
      </c>
      <c r="AC3043" s="82" t="s">
        <v>10147</v>
      </c>
      <c r="AD3043" s="77" t="s">
        <v>10184</v>
      </c>
      <c r="AE3043" s="80" t="str">
        <f>HYPERLINK("https://twitter.com/imdasmilhas/status/1669040188452945920")</f>
        <v>https://twitter.com/imdasmilhas/status/1669040188452945920</v>
      </c>
      <c r="AF3043" s="79">
        <v>45091.744953703703</v>
      </c>
      <c r="AG3043" s="85">
        <v>45091</v>
      </c>
      <c r="AH3043" s="82" t="s">
        <v>13066</v>
      </c>
      <c r="AI3043" s="77" t="b">
        <v>0</v>
      </c>
      <c r="AJ3043" s="77"/>
      <c r="AK3043" s="77"/>
      <c r="AL3043" s="77"/>
      <c r="AM3043" s="77"/>
      <c r="AN3043" s="77"/>
      <c r="AO3043" s="77"/>
      <c r="AP3043" s="77"/>
      <c r="AQ3043" s="77" t="s">
        <v>16011</v>
      </c>
      <c r="AR3043" s="77"/>
      <c r="AS3043" s="77"/>
      <c r="AT3043" s="77"/>
      <c r="AU3043" s="77"/>
      <c r="AV3043" s="80" t="str">
        <f>HYPERLINK("https://pbs.twimg.com/media/FymfNNQWYAEpW6L.jpg")</f>
        <v>https://pbs.twimg.com/media/FymfNNQWYAEpW6L.jpg</v>
      </c>
      <c r="AW3043" s="82" t="s">
        <v>19809</v>
      </c>
      <c r="AX3043" s="82" t="s">
        <v>19809</v>
      </c>
      <c r="AY3043" s="77"/>
      <c r="AZ3043" s="82" t="s">
        <v>20971</v>
      </c>
      <c r="BA3043" s="82" t="s">
        <v>20971</v>
      </c>
      <c r="BB3043" s="82" t="s">
        <v>20971</v>
      </c>
      <c r="BC3043" s="82" t="s">
        <v>19809</v>
      </c>
      <c r="BD3043" s="82" t="s">
        <v>21597</v>
      </c>
      <c r="BE3043" s="77"/>
      <c r="BF3043" s="77"/>
      <c r="BG3043" s="77"/>
      <c r="BH3043" s="77"/>
      <c r="BI3043" s="77"/>
    </row>
    <row r="3044" spans="1:61" x14ac:dyDescent="0.25">
      <c r="A3044" s="62" t="s">
        <v>1006</v>
      </c>
      <c r="B3044" s="62" t="s">
        <v>1006</v>
      </c>
      <c r="C3044" s="63"/>
      <c r="D3044" s="64"/>
      <c r="E3044" s="65"/>
      <c r="F3044" s="66"/>
      <c r="G3044" s="63"/>
      <c r="H3044" s="67"/>
      <c r="I3044" s="68"/>
      <c r="J3044" s="68"/>
      <c r="K3044" s="32"/>
      <c r="L3044" s="75">
        <v>3044</v>
      </c>
      <c r="M3044" s="75"/>
      <c r="N3044" s="70"/>
      <c r="O3044" s="77" t="s">
        <v>179</v>
      </c>
      <c r="P3044" s="79">
        <v>45091.615300925929</v>
      </c>
      <c r="Q3044" s="77" t="s">
        <v>4250</v>
      </c>
      <c r="R3044" s="77">
        <v>0</v>
      </c>
      <c r="S3044" s="77">
        <v>0</v>
      </c>
      <c r="T3044" s="77">
        <v>0</v>
      </c>
      <c r="U3044" s="77">
        <v>0</v>
      </c>
      <c r="V3044" s="77">
        <v>76</v>
      </c>
      <c r="W3044" s="82" t="s">
        <v>6740</v>
      </c>
      <c r="X3044" s="77"/>
      <c r="Y3044" s="77"/>
      <c r="Z3044" s="77"/>
      <c r="AA3044" s="77" t="s">
        <v>9369</v>
      </c>
      <c r="AB3044" s="77" t="s">
        <v>10130</v>
      </c>
      <c r="AC3044" s="82" t="s">
        <v>10147</v>
      </c>
      <c r="AD3044" s="77" t="s">
        <v>10184</v>
      </c>
      <c r="AE3044" s="80" t="str">
        <f>HYPERLINK("https://twitter.com/imdasmilhas/status/1668993200680316929")</f>
        <v>https://twitter.com/imdasmilhas/status/1668993200680316929</v>
      </c>
      <c r="AF3044" s="79">
        <v>45091.615300925929</v>
      </c>
      <c r="AG3044" s="85">
        <v>45091</v>
      </c>
      <c r="AH3044" s="82" t="s">
        <v>13067</v>
      </c>
      <c r="AI3044" s="77" t="b">
        <v>0</v>
      </c>
      <c r="AJ3044" s="77"/>
      <c r="AK3044" s="77"/>
      <c r="AL3044" s="77"/>
      <c r="AM3044" s="77"/>
      <c r="AN3044" s="77"/>
      <c r="AO3044" s="77"/>
      <c r="AP3044" s="77"/>
      <c r="AQ3044" s="77" t="s">
        <v>16012</v>
      </c>
      <c r="AR3044" s="77"/>
      <c r="AS3044" s="77"/>
      <c r="AT3044" s="77"/>
      <c r="AU3044" s="77"/>
      <c r="AV3044" s="80" t="str">
        <f>HYPERLINK("https://pbs.twimg.com/media/Fyl0eJWX0AEn-fe.jpg")</f>
        <v>https://pbs.twimg.com/media/Fyl0eJWX0AEn-fe.jpg</v>
      </c>
      <c r="AW3044" s="82" t="s">
        <v>19810</v>
      </c>
      <c r="AX3044" s="82" t="s">
        <v>19810</v>
      </c>
      <c r="AY3044" s="77"/>
      <c r="AZ3044" s="82" t="s">
        <v>20971</v>
      </c>
      <c r="BA3044" s="82" t="s">
        <v>20971</v>
      </c>
      <c r="BB3044" s="82" t="s">
        <v>20971</v>
      </c>
      <c r="BC3044" s="82" t="s">
        <v>19810</v>
      </c>
      <c r="BD3044" s="82" t="s">
        <v>21597</v>
      </c>
      <c r="BE3044" s="77"/>
      <c r="BF3044" s="77"/>
      <c r="BG3044" s="77"/>
      <c r="BH3044" s="77"/>
      <c r="BI3044" s="77"/>
    </row>
    <row r="3045" spans="1:61" x14ac:dyDescent="0.25">
      <c r="A3045" s="62" t="s">
        <v>1006</v>
      </c>
      <c r="B3045" s="62" t="s">
        <v>1006</v>
      </c>
      <c r="C3045" s="63"/>
      <c r="D3045" s="64"/>
      <c r="E3045" s="65"/>
      <c r="F3045" s="66"/>
      <c r="G3045" s="63"/>
      <c r="H3045" s="67"/>
      <c r="I3045" s="68"/>
      <c r="J3045" s="68"/>
      <c r="K3045" s="32"/>
      <c r="L3045" s="75">
        <v>3045</v>
      </c>
      <c r="M3045" s="75"/>
      <c r="N3045" s="70"/>
      <c r="O3045" s="77" t="s">
        <v>179</v>
      </c>
      <c r="P3045" s="79">
        <v>45090.686736111114</v>
      </c>
      <c r="Q3045" s="77" t="s">
        <v>4251</v>
      </c>
      <c r="R3045" s="77">
        <v>0</v>
      </c>
      <c r="S3045" s="77">
        <v>0</v>
      </c>
      <c r="T3045" s="77">
        <v>0</v>
      </c>
      <c r="U3045" s="77">
        <v>0</v>
      </c>
      <c r="V3045" s="77">
        <v>145</v>
      </c>
      <c r="W3045" s="82" t="s">
        <v>6740</v>
      </c>
      <c r="X3045" s="77"/>
      <c r="Y3045" s="77"/>
      <c r="Z3045" s="77"/>
      <c r="AA3045" s="77" t="s">
        <v>9370</v>
      </c>
      <c r="AB3045" s="77" t="s">
        <v>10130</v>
      </c>
      <c r="AC3045" s="82" t="s">
        <v>10147</v>
      </c>
      <c r="AD3045" s="77" t="s">
        <v>10184</v>
      </c>
      <c r="AE3045" s="80" t="str">
        <f>HYPERLINK("https://twitter.com/imdasmilhas/status/1668656701057138691")</f>
        <v>https://twitter.com/imdasmilhas/status/1668656701057138691</v>
      </c>
      <c r="AF3045" s="79">
        <v>45090.686736111114</v>
      </c>
      <c r="AG3045" s="85">
        <v>45090</v>
      </c>
      <c r="AH3045" s="82" t="s">
        <v>13068</v>
      </c>
      <c r="AI3045" s="77" t="b">
        <v>0</v>
      </c>
      <c r="AJ3045" s="77"/>
      <c r="AK3045" s="77"/>
      <c r="AL3045" s="77"/>
      <c r="AM3045" s="77"/>
      <c r="AN3045" s="77"/>
      <c r="AO3045" s="77"/>
      <c r="AP3045" s="77"/>
      <c r="AQ3045" s="77" t="s">
        <v>16013</v>
      </c>
      <c r="AR3045" s="77"/>
      <c r="AS3045" s="77"/>
      <c r="AT3045" s="77"/>
      <c r="AU3045" s="77"/>
      <c r="AV3045" s="80" t="str">
        <f>HYPERLINK("https://pbs.twimg.com/media/FyhCbTzXgAA2P1R.jpg")</f>
        <v>https://pbs.twimg.com/media/FyhCbTzXgAA2P1R.jpg</v>
      </c>
      <c r="AW3045" s="82" t="s">
        <v>19811</v>
      </c>
      <c r="AX3045" s="82" t="s">
        <v>19811</v>
      </c>
      <c r="AY3045" s="77"/>
      <c r="AZ3045" s="82" t="s">
        <v>20971</v>
      </c>
      <c r="BA3045" s="82" t="s">
        <v>20971</v>
      </c>
      <c r="BB3045" s="82" t="s">
        <v>20971</v>
      </c>
      <c r="BC3045" s="82" t="s">
        <v>19811</v>
      </c>
      <c r="BD3045" s="82" t="s">
        <v>21597</v>
      </c>
      <c r="BE3045" s="77"/>
      <c r="BF3045" s="77"/>
      <c r="BG3045" s="77"/>
      <c r="BH3045" s="77"/>
      <c r="BI3045" s="77"/>
    </row>
    <row r="3046" spans="1:61" x14ac:dyDescent="0.25">
      <c r="A3046" s="62" t="s">
        <v>1006</v>
      </c>
      <c r="B3046" s="62" t="s">
        <v>1006</v>
      </c>
      <c r="C3046" s="63"/>
      <c r="D3046" s="64"/>
      <c r="E3046" s="65"/>
      <c r="F3046" s="66"/>
      <c r="G3046" s="63"/>
      <c r="H3046" s="67"/>
      <c r="I3046" s="68"/>
      <c r="J3046" s="68"/>
      <c r="K3046" s="32"/>
      <c r="L3046" s="75">
        <v>3046</v>
      </c>
      <c r="M3046" s="75"/>
      <c r="N3046" s="70"/>
      <c r="O3046" s="77" t="s">
        <v>179</v>
      </c>
      <c r="P3046" s="79">
        <v>45090.68644675926</v>
      </c>
      <c r="Q3046" s="77" t="s">
        <v>4252</v>
      </c>
      <c r="R3046" s="77">
        <v>0</v>
      </c>
      <c r="S3046" s="77">
        <v>0</v>
      </c>
      <c r="T3046" s="77">
        <v>0</v>
      </c>
      <c r="U3046" s="77">
        <v>0</v>
      </c>
      <c r="V3046" s="77">
        <v>100</v>
      </c>
      <c r="W3046" s="82" t="s">
        <v>6742</v>
      </c>
      <c r="X3046" s="77"/>
      <c r="Y3046" s="77"/>
      <c r="Z3046" s="77"/>
      <c r="AA3046" s="77" t="s">
        <v>9371</v>
      </c>
      <c r="AB3046" s="77" t="s">
        <v>10130</v>
      </c>
      <c r="AC3046" s="82" t="s">
        <v>10147</v>
      </c>
      <c r="AD3046" s="77" t="s">
        <v>10184</v>
      </c>
      <c r="AE3046" s="80" t="str">
        <f>HYPERLINK("https://twitter.com/imdasmilhas/status/1668656597353082892")</f>
        <v>https://twitter.com/imdasmilhas/status/1668656597353082892</v>
      </c>
      <c r="AF3046" s="79">
        <v>45090.68644675926</v>
      </c>
      <c r="AG3046" s="85">
        <v>45090</v>
      </c>
      <c r="AH3046" s="82" t="s">
        <v>10624</v>
      </c>
      <c r="AI3046" s="77" t="b">
        <v>0</v>
      </c>
      <c r="AJ3046" s="77"/>
      <c r="AK3046" s="77"/>
      <c r="AL3046" s="77"/>
      <c r="AM3046" s="77"/>
      <c r="AN3046" s="77"/>
      <c r="AO3046" s="77"/>
      <c r="AP3046" s="77"/>
      <c r="AQ3046" s="77" t="s">
        <v>16014</v>
      </c>
      <c r="AR3046" s="77"/>
      <c r="AS3046" s="77"/>
      <c r="AT3046" s="77"/>
      <c r="AU3046" s="77"/>
      <c r="AV3046" s="80" t="str">
        <f>HYPERLINK("https://pbs.twimg.com/media/FyhCVOdXoAEOpYN.jpg")</f>
        <v>https://pbs.twimg.com/media/FyhCVOdXoAEOpYN.jpg</v>
      </c>
      <c r="AW3046" s="82" t="s">
        <v>19812</v>
      </c>
      <c r="AX3046" s="82" t="s">
        <v>19812</v>
      </c>
      <c r="AY3046" s="77"/>
      <c r="AZ3046" s="82" t="s">
        <v>20971</v>
      </c>
      <c r="BA3046" s="82" t="s">
        <v>20971</v>
      </c>
      <c r="BB3046" s="82" t="s">
        <v>20971</v>
      </c>
      <c r="BC3046" s="82" t="s">
        <v>19812</v>
      </c>
      <c r="BD3046" s="82" t="s">
        <v>21597</v>
      </c>
      <c r="BE3046" s="77"/>
      <c r="BF3046" s="77"/>
      <c r="BG3046" s="77"/>
      <c r="BH3046" s="77"/>
      <c r="BI3046" s="77"/>
    </row>
    <row r="3047" spans="1:61" x14ac:dyDescent="0.25">
      <c r="A3047" s="62" t="s">
        <v>1006</v>
      </c>
      <c r="B3047" s="62" t="s">
        <v>1006</v>
      </c>
      <c r="C3047" s="63"/>
      <c r="D3047" s="64"/>
      <c r="E3047" s="65"/>
      <c r="F3047" s="66"/>
      <c r="G3047" s="63"/>
      <c r="H3047" s="67"/>
      <c r="I3047" s="68"/>
      <c r="J3047" s="68"/>
      <c r="K3047" s="32"/>
      <c r="L3047" s="75">
        <v>3047</v>
      </c>
      <c r="M3047" s="75"/>
      <c r="N3047" s="70"/>
      <c r="O3047" s="77" t="s">
        <v>179</v>
      </c>
      <c r="P3047" s="79">
        <v>45071.761747685188</v>
      </c>
      <c r="Q3047" s="77" t="s">
        <v>4253</v>
      </c>
      <c r="R3047" s="77">
        <v>0</v>
      </c>
      <c r="S3047" s="77">
        <v>0</v>
      </c>
      <c r="T3047" s="77">
        <v>0</v>
      </c>
      <c r="U3047" s="77">
        <v>0</v>
      </c>
      <c r="V3047" s="77">
        <v>78</v>
      </c>
      <c r="W3047" s="82" t="s">
        <v>6740</v>
      </c>
      <c r="X3047" s="77"/>
      <c r="Y3047" s="77"/>
      <c r="Z3047" s="77"/>
      <c r="AA3047" s="77" t="s">
        <v>9372</v>
      </c>
      <c r="AB3047" s="77" t="s">
        <v>10130</v>
      </c>
      <c r="AC3047" s="82" t="s">
        <v>10147</v>
      </c>
      <c r="AD3047" s="77" t="s">
        <v>10184</v>
      </c>
      <c r="AE3047" s="80" t="str">
        <f>HYPERLINK("https://twitter.com/imdasmilhas/status/1661798514467242005")</f>
        <v>https://twitter.com/imdasmilhas/status/1661798514467242005</v>
      </c>
      <c r="AF3047" s="79">
        <v>45071.761747685188</v>
      </c>
      <c r="AG3047" s="85">
        <v>45071</v>
      </c>
      <c r="AH3047" s="82" t="s">
        <v>13069</v>
      </c>
      <c r="AI3047" s="77" t="b">
        <v>0</v>
      </c>
      <c r="AJ3047" s="77"/>
      <c r="AK3047" s="77"/>
      <c r="AL3047" s="77"/>
      <c r="AM3047" s="77"/>
      <c r="AN3047" s="77"/>
      <c r="AO3047" s="77"/>
      <c r="AP3047" s="77"/>
      <c r="AQ3047" s="77" t="s">
        <v>16015</v>
      </c>
      <c r="AR3047" s="77"/>
      <c r="AS3047" s="77"/>
      <c r="AT3047" s="77"/>
      <c r="AU3047" s="77"/>
      <c r="AV3047" s="80" t="str">
        <f>HYPERLINK("https://pbs.twimg.com/media/Fw_k8TMXgAMYSiy.jpg")</f>
        <v>https://pbs.twimg.com/media/Fw_k8TMXgAMYSiy.jpg</v>
      </c>
      <c r="AW3047" s="82" t="s">
        <v>19813</v>
      </c>
      <c r="AX3047" s="82" t="s">
        <v>19813</v>
      </c>
      <c r="AY3047" s="77"/>
      <c r="AZ3047" s="82" t="s">
        <v>20971</v>
      </c>
      <c r="BA3047" s="82" t="s">
        <v>20971</v>
      </c>
      <c r="BB3047" s="82" t="s">
        <v>20971</v>
      </c>
      <c r="BC3047" s="82" t="s">
        <v>19813</v>
      </c>
      <c r="BD3047" s="82" t="s">
        <v>21597</v>
      </c>
      <c r="BE3047" s="77"/>
      <c r="BF3047" s="77"/>
      <c r="BG3047" s="77"/>
      <c r="BH3047" s="77"/>
      <c r="BI3047" s="77"/>
    </row>
    <row r="3048" spans="1:61" x14ac:dyDescent="0.25">
      <c r="A3048" s="62" t="s">
        <v>1006</v>
      </c>
      <c r="B3048" s="62" t="s">
        <v>1006</v>
      </c>
      <c r="C3048" s="63"/>
      <c r="D3048" s="64"/>
      <c r="E3048" s="65"/>
      <c r="F3048" s="66"/>
      <c r="G3048" s="63"/>
      <c r="H3048" s="67"/>
      <c r="I3048" s="68"/>
      <c r="J3048" s="68"/>
      <c r="K3048" s="32"/>
      <c r="L3048" s="75">
        <v>3048</v>
      </c>
      <c r="M3048" s="75"/>
      <c r="N3048" s="70"/>
      <c r="O3048" s="77" t="s">
        <v>179</v>
      </c>
      <c r="P3048" s="79">
        <v>45071.751759259256</v>
      </c>
      <c r="Q3048" s="77" t="s">
        <v>4254</v>
      </c>
      <c r="R3048" s="77">
        <v>0</v>
      </c>
      <c r="S3048" s="77">
        <v>0</v>
      </c>
      <c r="T3048" s="77">
        <v>0</v>
      </c>
      <c r="U3048" s="77">
        <v>0</v>
      </c>
      <c r="V3048" s="77">
        <v>63</v>
      </c>
      <c r="W3048" s="82" t="s">
        <v>6740</v>
      </c>
      <c r="X3048" s="77"/>
      <c r="Y3048" s="77"/>
      <c r="Z3048" s="77"/>
      <c r="AA3048" s="77" t="s">
        <v>9373</v>
      </c>
      <c r="AB3048" s="77" t="s">
        <v>10130</v>
      </c>
      <c r="AC3048" s="82" t="s">
        <v>10147</v>
      </c>
      <c r="AD3048" s="77" t="s">
        <v>10184</v>
      </c>
      <c r="AE3048" s="80" t="str">
        <f>HYPERLINK("https://twitter.com/imdasmilhas/status/1661794894279581696")</f>
        <v>https://twitter.com/imdasmilhas/status/1661794894279581696</v>
      </c>
      <c r="AF3048" s="79">
        <v>45071.751759259256</v>
      </c>
      <c r="AG3048" s="85">
        <v>45071</v>
      </c>
      <c r="AH3048" s="82" t="s">
        <v>13070</v>
      </c>
      <c r="AI3048" s="77" t="b">
        <v>0</v>
      </c>
      <c r="AJ3048" s="77"/>
      <c r="AK3048" s="77"/>
      <c r="AL3048" s="77"/>
      <c r="AM3048" s="77"/>
      <c r="AN3048" s="77"/>
      <c r="AO3048" s="77"/>
      <c r="AP3048" s="77"/>
      <c r="AQ3048" s="77" t="s">
        <v>16016</v>
      </c>
      <c r="AR3048" s="77"/>
      <c r="AS3048" s="77"/>
      <c r="AT3048" s="77"/>
      <c r="AU3048" s="77"/>
      <c r="AV3048" s="80" t="str">
        <f>HYPERLINK("https://pbs.twimg.com/media/Fw_hplRWcAAJmGV.jpg")</f>
        <v>https://pbs.twimg.com/media/Fw_hplRWcAAJmGV.jpg</v>
      </c>
      <c r="AW3048" s="82" t="s">
        <v>19814</v>
      </c>
      <c r="AX3048" s="82" t="s">
        <v>19814</v>
      </c>
      <c r="AY3048" s="77"/>
      <c r="AZ3048" s="82" t="s">
        <v>20971</v>
      </c>
      <c r="BA3048" s="82" t="s">
        <v>20971</v>
      </c>
      <c r="BB3048" s="82" t="s">
        <v>20971</v>
      </c>
      <c r="BC3048" s="82" t="s">
        <v>19814</v>
      </c>
      <c r="BD3048" s="82" t="s">
        <v>21597</v>
      </c>
      <c r="BE3048" s="77"/>
      <c r="BF3048" s="77"/>
      <c r="BG3048" s="77"/>
      <c r="BH3048" s="77"/>
      <c r="BI3048" s="77"/>
    </row>
    <row r="3049" spans="1:61" x14ac:dyDescent="0.25">
      <c r="A3049" s="62" t="s">
        <v>1006</v>
      </c>
      <c r="B3049" s="62" t="s">
        <v>1006</v>
      </c>
      <c r="C3049" s="63"/>
      <c r="D3049" s="64"/>
      <c r="E3049" s="65"/>
      <c r="F3049" s="66"/>
      <c r="G3049" s="63"/>
      <c r="H3049" s="67"/>
      <c r="I3049" s="68"/>
      <c r="J3049" s="68"/>
      <c r="K3049" s="32"/>
      <c r="L3049" s="75">
        <v>3049</v>
      </c>
      <c r="M3049" s="75"/>
      <c r="N3049" s="70"/>
      <c r="O3049" s="77" t="s">
        <v>179</v>
      </c>
      <c r="P3049" s="79">
        <v>45071.751226851855</v>
      </c>
      <c r="Q3049" s="77" t="s">
        <v>4255</v>
      </c>
      <c r="R3049" s="77">
        <v>0</v>
      </c>
      <c r="S3049" s="77">
        <v>0</v>
      </c>
      <c r="T3049" s="77">
        <v>0</v>
      </c>
      <c r="U3049" s="77">
        <v>0</v>
      </c>
      <c r="V3049" s="77">
        <v>83</v>
      </c>
      <c r="W3049" s="82" t="s">
        <v>6740</v>
      </c>
      <c r="X3049" s="77"/>
      <c r="Y3049" s="77"/>
      <c r="Z3049" s="77"/>
      <c r="AA3049" s="77" t="s">
        <v>9374</v>
      </c>
      <c r="AB3049" s="77" t="s">
        <v>10130</v>
      </c>
      <c r="AC3049" s="82" t="s">
        <v>10147</v>
      </c>
      <c r="AD3049" s="77" t="s">
        <v>10184</v>
      </c>
      <c r="AE3049" s="80" t="str">
        <f>HYPERLINK("https://twitter.com/imdasmilhas/status/1661794702989901825")</f>
        <v>https://twitter.com/imdasmilhas/status/1661794702989901825</v>
      </c>
      <c r="AF3049" s="79">
        <v>45071.751226851855</v>
      </c>
      <c r="AG3049" s="85">
        <v>45071</v>
      </c>
      <c r="AH3049" s="82" t="s">
        <v>13071</v>
      </c>
      <c r="AI3049" s="77" t="b">
        <v>0</v>
      </c>
      <c r="AJ3049" s="77"/>
      <c r="AK3049" s="77"/>
      <c r="AL3049" s="77"/>
      <c r="AM3049" s="77"/>
      <c r="AN3049" s="77"/>
      <c r="AO3049" s="77"/>
      <c r="AP3049" s="77"/>
      <c r="AQ3049" s="77" t="s">
        <v>16017</v>
      </c>
      <c r="AR3049" s="77"/>
      <c r="AS3049" s="77"/>
      <c r="AT3049" s="77"/>
      <c r="AU3049" s="77"/>
      <c r="AV3049" s="80" t="str">
        <f>HYPERLINK("https://pbs.twimg.com/media/Fw_heZyWIAE4iOQ.jpg")</f>
        <v>https://pbs.twimg.com/media/Fw_heZyWIAE4iOQ.jpg</v>
      </c>
      <c r="AW3049" s="82" t="s">
        <v>19815</v>
      </c>
      <c r="AX3049" s="82" t="s">
        <v>19815</v>
      </c>
      <c r="AY3049" s="77"/>
      <c r="AZ3049" s="82" t="s">
        <v>20971</v>
      </c>
      <c r="BA3049" s="82" t="s">
        <v>20971</v>
      </c>
      <c r="BB3049" s="82" t="s">
        <v>20971</v>
      </c>
      <c r="BC3049" s="82" t="s">
        <v>19815</v>
      </c>
      <c r="BD3049" s="82" t="s">
        <v>21597</v>
      </c>
      <c r="BE3049" s="77"/>
      <c r="BF3049" s="77"/>
      <c r="BG3049" s="77"/>
      <c r="BH3049" s="77"/>
      <c r="BI3049" s="77"/>
    </row>
    <row r="3050" spans="1:61" x14ac:dyDescent="0.25">
      <c r="A3050" s="62" t="s">
        <v>1006</v>
      </c>
      <c r="B3050" s="62" t="s">
        <v>1006</v>
      </c>
      <c r="C3050" s="63"/>
      <c r="D3050" s="64"/>
      <c r="E3050" s="65"/>
      <c r="F3050" s="66"/>
      <c r="G3050" s="63"/>
      <c r="H3050" s="67"/>
      <c r="I3050" s="68"/>
      <c r="J3050" s="68"/>
      <c r="K3050" s="32"/>
      <c r="L3050" s="75">
        <v>3050</v>
      </c>
      <c r="M3050" s="75"/>
      <c r="N3050" s="70"/>
      <c r="O3050" s="77" t="s">
        <v>179</v>
      </c>
      <c r="P3050" s="79">
        <v>45071.750821759262</v>
      </c>
      <c r="Q3050" s="77" t="s">
        <v>4256</v>
      </c>
      <c r="R3050" s="77">
        <v>0</v>
      </c>
      <c r="S3050" s="77">
        <v>0</v>
      </c>
      <c r="T3050" s="77">
        <v>0</v>
      </c>
      <c r="U3050" s="77">
        <v>0</v>
      </c>
      <c r="V3050" s="77">
        <v>62</v>
      </c>
      <c r="W3050" s="82" t="s">
        <v>6740</v>
      </c>
      <c r="X3050" s="77"/>
      <c r="Y3050" s="77"/>
      <c r="Z3050" s="77"/>
      <c r="AA3050" s="77" t="s">
        <v>9375</v>
      </c>
      <c r="AB3050" s="77" t="s">
        <v>10130</v>
      </c>
      <c r="AC3050" s="82" t="s">
        <v>10147</v>
      </c>
      <c r="AD3050" s="77" t="s">
        <v>10184</v>
      </c>
      <c r="AE3050" s="80" t="str">
        <f>HYPERLINK("https://twitter.com/imdasmilhas/status/1661794557476892672")</f>
        <v>https://twitter.com/imdasmilhas/status/1661794557476892672</v>
      </c>
      <c r="AF3050" s="79">
        <v>45071.750821759262</v>
      </c>
      <c r="AG3050" s="85">
        <v>45071</v>
      </c>
      <c r="AH3050" s="82" t="s">
        <v>13072</v>
      </c>
      <c r="AI3050" s="77" t="b">
        <v>0</v>
      </c>
      <c r="AJ3050" s="77"/>
      <c r="AK3050" s="77"/>
      <c r="AL3050" s="77"/>
      <c r="AM3050" s="77"/>
      <c r="AN3050" s="77"/>
      <c r="AO3050" s="77"/>
      <c r="AP3050" s="77"/>
      <c r="AQ3050" s="77" t="s">
        <v>16018</v>
      </c>
      <c r="AR3050" s="77"/>
      <c r="AS3050" s="77"/>
      <c r="AT3050" s="77"/>
      <c r="AU3050" s="77"/>
      <c r="AV3050" s="80" t="str">
        <f>HYPERLINK("https://pbs.twimg.com/media/Fw_hV4EWcAEdle2.jpg")</f>
        <v>https://pbs.twimg.com/media/Fw_hV4EWcAEdle2.jpg</v>
      </c>
      <c r="AW3050" s="82" t="s">
        <v>19816</v>
      </c>
      <c r="AX3050" s="82" t="s">
        <v>19816</v>
      </c>
      <c r="AY3050" s="77"/>
      <c r="AZ3050" s="82" t="s">
        <v>20971</v>
      </c>
      <c r="BA3050" s="82" t="s">
        <v>20971</v>
      </c>
      <c r="BB3050" s="82" t="s">
        <v>20971</v>
      </c>
      <c r="BC3050" s="82" t="s">
        <v>19816</v>
      </c>
      <c r="BD3050" s="82" t="s">
        <v>21597</v>
      </c>
      <c r="BE3050" s="77"/>
      <c r="BF3050" s="77"/>
      <c r="BG3050" s="77"/>
      <c r="BH3050" s="77"/>
      <c r="BI3050" s="77"/>
    </row>
    <row r="3051" spans="1:61" x14ac:dyDescent="0.25">
      <c r="A3051" s="62" t="s">
        <v>1006</v>
      </c>
      <c r="B3051" s="62" t="s">
        <v>1006</v>
      </c>
      <c r="C3051" s="63"/>
      <c r="D3051" s="64"/>
      <c r="E3051" s="65"/>
      <c r="F3051" s="66"/>
      <c r="G3051" s="63"/>
      <c r="H3051" s="67"/>
      <c r="I3051" s="68"/>
      <c r="J3051" s="68"/>
      <c r="K3051" s="32"/>
      <c r="L3051" s="75">
        <v>3051</v>
      </c>
      <c r="M3051" s="75"/>
      <c r="N3051" s="70"/>
      <c r="O3051" s="77" t="s">
        <v>179</v>
      </c>
      <c r="P3051" s="79">
        <v>45071.750590277778</v>
      </c>
      <c r="Q3051" s="77" t="s">
        <v>4257</v>
      </c>
      <c r="R3051" s="77">
        <v>0</v>
      </c>
      <c r="S3051" s="77">
        <v>0</v>
      </c>
      <c r="T3051" s="77">
        <v>0</v>
      </c>
      <c r="U3051" s="77">
        <v>0</v>
      </c>
      <c r="V3051" s="77">
        <v>69</v>
      </c>
      <c r="W3051" s="82" t="s">
        <v>6740</v>
      </c>
      <c r="X3051" s="77"/>
      <c r="Y3051" s="77"/>
      <c r="Z3051" s="77"/>
      <c r="AA3051" s="77" t="s">
        <v>9376</v>
      </c>
      <c r="AB3051" s="77" t="s">
        <v>10130</v>
      </c>
      <c r="AC3051" s="82" t="s">
        <v>10147</v>
      </c>
      <c r="AD3051" s="77" t="s">
        <v>10184</v>
      </c>
      <c r="AE3051" s="80" t="str">
        <f>HYPERLINK("https://twitter.com/imdasmilhas/status/1661794473959981064")</f>
        <v>https://twitter.com/imdasmilhas/status/1661794473959981064</v>
      </c>
      <c r="AF3051" s="79">
        <v>45071.750590277778</v>
      </c>
      <c r="AG3051" s="85">
        <v>45071</v>
      </c>
      <c r="AH3051" s="82" t="s">
        <v>13073</v>
      </c>
      <c r="AI3051" s="77" t="b">
        <v>0</v>
      </c>
      <c r="AJ3051" s="77"/>
      <c r="AK3051" s="77"/>
      <c r="AL3051" s="77"/>
      <c r="AM3051" s="77"/>
      <c r="AN3051" s="77"/>
      <c r="AO3051" s="77"/>
      <c r="AP3051" s="77"/>
      <c r="AQ3051" s="77" t="s">
        <v>16019</v>
      </c>
      <c r="AR3051" s="77"/>
      <c r="AS3051" s="77"/>
      <c r="AT3051" s="77"/>
      <c r="AU3051" s="77"/>
      <c r="AV3051" s="80" t="str">
        <f>HYPERLINK("https://pbs.twimg.com/media/Fw_hRHFXgAU7gh-.jpg")</f>
        <v>https://pbs.twimg.com/media/Fw_hRHFXgAU7gh-.jpg</v>
      </c>
      <c r="AW3051" s="82" t="s">
        <v>19817</v>
      </c>
      <c r="AX3051" s="82" t="s">
        <v>19817</v>
      </c>
      <c r="AY3051" s="77"/>
      <c r="AZ3051" s="82" t="s">
        <v>20971</v>
      </c>
      <c r="BA3051" s="82" t="s">
        <v>20971</v>
      </c>
      <c r="BB3051" s="82" t="s">
        <v>20971</v>
      </c>
      <c r="BC3051" s="82" t="s">
        <v>19817</v>
      </c>
      <c r="BD3051" s="82" t="s">
        <v>21597</v>
      </c>
      <c r="BE3051" s="77"/>
      <c r="BF3051" s="77"/>
      <c r="BG3051" s="77"/>
      <c r="BH3051" s="77"/>
      <c r="BI3051" s="77"/>
    </row>
    <row r="3052" spans="1:61" x14ac:dyDescent="0.25">
      <c r="A3052" s="62" t="s">
        <v>1006</v>
      </c>
      <c r="B3052" s="62" t="s">
        <v>1006</v>
      </c>
      <c r="C3052" s="63"/>
      <c r="D3052" s="64"/>
      <c r="E3052" s="65"/>
      <c r="F3052" s="66"/>
      <c r="G3052" s="63"/>
      <c r="H3052" s="67"/>
      <c r="I3052" s="68"/>
      <c r="J3052" s="68"/>
      <c r="K3052" s="32"/>
      <c r="L3052" s="75">
        <v>3052</v>
      </c>
      <c r="M3052" s="75"/>
      <c r="N3052" s="70"/>
      <c r="O3052" s="77" t="s">
        <v>179</v>
      </c>
      <c r="P3052" s="79">
        <v>45071.677071759259</v>
      </c>
      <c r="Q3052" s="77" t="s">
        <v>4258</v>
      </c>
      <c r="R3052" s="77">
        <v>0</v>
      </c>
      <c r="S3052" s="77">
        <v>0</v>
      </c>
      <c r="T3052" s="77">
        <v>0</v>
      </c>
      <c r="U3052" s="77">
        <v>0</v>
      </c>
      <c r="V3052" s="77">
        <v>73</v>
      </c>
      <c r="W3052" s="82" t="s">
        <v>6740</v>
      </c>
      <c r="X3052" s="77"/>
      <c r="Y3052" s="77"/>
      <c r="Z3052" s="77"/>
      <c r="AA3052" s="77" t="s">
        <v>9377</v>
      </c>
      <c r="AB3052" s="77" t="s">
        <v>10130</v>
      </c>
      <c r="AC3052" s="82" t="s">
        <v>10147</v>
      </c>
      <c r="AD3052" s="77" t="s">
        <v>10184</v>
      </c>
      <c r="AE3052" s="80" t="str">
        <f>HYPERLINK("https://twitter.com/imdasmilhas/status/1661767830520381442")</f>
        <v>https://twitter.com/imdasmilhas/status/1661767830520381442</v>
      </c>
      <c r="AF3052" s="79">
        <v>45071.677071759259</v>
      </c>
      <c r="AG3052" s="85">
        <v>45071</v>
      </c>
      <c r="AH3052" s="82" t="s">
        <v>13074</v>
      </c>
      <c r="AI3052" s="77" t="b">
        <v>0</v>
      </c>
      <c r="AJ3052" s="77"/>
      <c r="AK3052" s="77"/>
      <c r="AL3052" s="77"/>
      <c r="AM3052" s="77"/>
      <c r="AN3052" s="77"/>
      <c r="AO3052" s="77"/>
      <c r="AP3052" s="77"/>
      <c r="AQ3052" s="77" t="s">
        <v>16020</v>
      </c>
      <c r="AR3052" s="77"/>
      <c r="AS3052" s="77"/>
      <c r="AT3052" s="77"/>
      <c r="AU3052" s="77"/>
      <c r="AV3052" s="80" t="str">
        <f>HYPERLINK("https://pbs.twimg.com/media/Fw_JCPFXsAMDtI5.jpg")</f>
        <v>https://pbs.twimg.com/media/Fw_JCPFXsAMDtI5.jpg</v>
      </c>
      <c r="AW3052" s="82" t="s">
        <v>19818</v>
      </c>
      <c r="AX3052" s="82" t="s">
        <v>19818</v>
      </c>
      <c r="AY3052" s="77"/>
      <c r="AZ3052" s="82" t="s">
        <v>20971</v>
      </c>
      <c r="BA3052" s="82" t="s">
        <v>20971</v>
      </c>
      <c r="BB3052" s="82" t="s">
        <v>20971</v>
      </c>
      <c r="BC3052" s="82" t="s">
        <v>19818</v>
      </c>
      <c r="BD3052" s="82" t="s">
        <v>21597</v>
      </c>
      <c r="BE3052" s="77"/>
      <c r="BF3052" s="77"/>
      <c r="BG3052" s="77"/>
      <c r="BH3052" s="77"/>
      <c r="BI3052" s="77"/>
    </row>
    <row r="3053" spans="1:61" x14ac:dyDescent="0.25">
      <c r="A3053" s="62" t="s">
        <v>1006</v>
      </c>
      <c r="B3053" s="62" t="s">
        <v>1006</v>
      </c>
      <c r="C3053" s="63"/>
      <c r="D3053" s="64"/>
      <c r="E3053" s="65"/>
      <c r="F3053" s="66"/>
      <c r="G3053" s="63"/>
      <c r="H3053" s="67"/>
      <c r="I3053" s="68"/>
      <c r="J3053" s="68"/>
      <c r="K3053" s="32"/>
      <c r="L3053" s="75">
        <v>3053</v>
      </c>
      <c r="M3053" s="75"/>
      <c r="N3053" s="70"/>
      <c r="O3053" s="77" t="s">
        <v>179</v>
      </c>
      <c r="P3053" s="79">
        <v>45070.788587962961</v>
      </c>
      <c r="Q3053" s="77" t="s">
        <v>4259</v>
      </c>
      <c r="R3053" s="77">
        <v>0</v>
      </c>
      <c r="S3053" s="77">
        <v>0</v>
      </c>
      <c r="T3053" s="77">
        <v>0</v>
      </c>
      <c r="U3053" s="77">
        <v>0</v>
      </c>
      <c r="V3053" s="77">
        <v>73</v>
      </c>
      <c r="W3053" s="82" t="s">
        <v>6740</v>
      </c>
      <c r="X3053" s="77"/>
      <c r="Y3053" s="77"/>
      <c r="Z3053" s="77"/>
      <c r="AA3053" s="77" t="s">
        <v>9378</v>
      </c>
      <c r="AB3053" s="77" t="s">
        <v>10130</v>
      </c>
      <c r="AC3053" s="82" t="s">
        <v>10147</v>
      </c>
      <c r="AD3053" s="77" t="s">
        <v>10184</v>
      </c>
      <c r="AE3053" s="80" t="str">
        <f>HYPERLINK("https://twitter.com/imdasmilhas/status/1661445852668330012")</f>
        <v>https://twitter.com/imdasmilhas/status/1661445852668330012</v>
      </c>
      <c r="AF3053" s="79">
        <v>45070.788587962961</v>
      </c>
      <c r="AG3053" s="85">
        <v>45070</v>
      </c>
      <c r="AH3053" s="82" t="s">
        <v>13075</v>
      </c>
      <c r="AI3053" s="77" t="b">
        <v>0</v>
      </c>
      <c r="AJ3053" s="77"/>
      <c r="AK3053" s="77"/>
      <c r="AL3053" s="77"/>
      <c r="AM3053" s="77"/>
      <c r="AN3053" s="77"/>
      <c r="AO3053" s="77"/>
      <c r="AP3053" s="77"/>
      <c r="AQ3053" s="77" t="s">
        <v>16021</v>
      </c>
      <c r="AR3053" s="77"/>
      <c r="AS3053" s="77"/>
      <c r="AT3053" s="77"/>
      <c r="AU3053" s="77"/>
      <c r="AV3053" s="80" t="str">
        <f>HYPERLINK("https://pbs.twimg.com/media/Fw6kMsAXsAA52MM.jpg")</f>
        <v>https://pbs.twimg.com/media/Fw6kMsAXsAA52MM.jpg</v>
      </c>
      <c r="AW3053" s="82" t="s">
        <v>19819</v>
      </c>
      <c r="AX3053" s="82" t="s">
        <v>19819</v>
      </c>
      <c r="AY3053" s="77"/>
      <c r="AZ3053" s="82" t="s">
        <v>20971</v>
      </c>
      <c r="BA3053" s="82" t="s">
        <v>20971</v>
      </c>
      <c r="BB3053" s="82" t="s">
        <v>20971</v>
      </c>
      <c r="BC3053" s="82" t="s">
        <v>19819</v>
      </c>
      <c r="BD3053" s="82" t="s">
        <v>21597</v>
      </c>
      <c r="BE3053" s="77"/>
      <c r="BF3053" s="77"/>
      <c r="BG3053" s="77"/>
      <c r="BH3053" s="77"/>
      <c r="BI3053" s="77"/>
    </row>
    <row r="3054" spans="1:61" x14ac:dyDescent="0.25">
      <c r="A3054" s="62" t="s">
        <v>1006</v>
      </c>
      <c r="B3054" s="62" t="s">
        <v>1006</v>
      </c>
      <c r="C3054" s="63"/>
      <c r="D3054" s="64"/>
      <c r="E3054" s="65"/>
      <c r="F3054" s="66"/>
      <c r="G3054" s="63"/>
      <c r="H3054" s="67"/>
      <c r="I3054" s="68"/>
      <c r="J3054" s="68"/>
      <c r="K3054" s="32"/>
      <c r="L3054" s="75">
        <v>3054</v>
      </c>
      <c r="M3054" s="75"/>
      <c r="N3054" s="70"/>
      <c r="O3054" s="77" t="s">
        <v>179</v>
      </c>
      <c r="P3054" s="79">
        <v>45070.786932870367</v>
      </c>
      <c r="Q3054" s="77" t="s">
        <v>4260</v>
      </c>
      <c r="R3054" s="77">
        <v>0</v>
      </c>
      <c r="S3054" s="77">
        <v>0</v>
      </c>
      <c r="T3054" s="77">
        <v>0</v>
      </c>
      <c r="U3054" s="77">
        <v>0</v>
      </c>
      <c r="V3054" s="77">
        <v>128</v>
      </c>
      <c r="W3054" s="82" t="s">
        <v>6740</v>
      </c>
      <c r="X3054" s="77"/>
      <c r="Y3054" s="77"/>
      <c r="Z3054" s="77"/>
      <c r="AA3054" s="77" t="s">
        <v>9379</v>
      </c>
      <c r="AB3054" s="77" t="s">
        <v>10130</v>
      </c>
      <c r="AC3054" s="82" t="s">
        <v>10147</v>
      </c>
      <c r="AD3054" s="77" t="s">
        <v>10184</v>
      </c>
      <c r="AE3054" s="80" t="str">
        <f>HYPERLINK("https://twitter.com/imdasmilhas/status/1661445253730107416")</f>
        <v>https://twitter.com/imdasmilhas/status/1661445253730107416</v>
      </c>
      <c r="AF3054" s="79">
        <v>45070.786932870367</v>
      </c>
      <c r="AG3054" s="85">
        <v>45070</v>
      </c>
      <c r="AH3054" s="82" t="s">
        <v>13076</v>
      </c>
      <c r="AI3054" s="77" t="b">
        <v>0</v>
      </c>
      <c r="AJ3054" s="77"/>
      <c r="AK3054" s="77"/>
      <c r="AL3054" s="77"/>
      <c r="AM3054" s="77"/>
      <c r="AN3054" s="77"/>
      <c r="AO3054" s="77"/>
      <c r="AP3054" s="77"/>
      <c r="AQ3054" s="77" t="s">
        <v>16022</v>
      </c>
      <c r="AR3054" s="77"/>
      <c r="AS3054" s="77"/>
      <c r="AT3054" s="77"/>
      <c r="AU3054" s="77"/>
      <c r="AV3054" s="80" t="str">
        <f>HYPERLINK("https://pbs.twimg.com/media/Fw6jp0fXgAE9kxT.jpg")</f>
        <v>https://pbs.twimg.com/media/Fw6jp0fXgAE9kxT.jpg</v>
      </c>
      <c r="AW3054" s="82" t="s">
        <v>19820</v>
      </c>
      <c r="AX3054" s="82" t="s">
        <v>19820</v>
      </c>
      <c r="AY3054" s="77"/>
      <c r="AZ3054" s="82" t="s">
        <v>20971</v>
      </c>
      <c r="BA3054" s="82" t="s">
        <v>20971</v>
      </c>
      <c r="BB3054" s="82" t="s">
        <v>20971</v>
      </c>
      <c r="BC3054" s="82" t="s">
        <v>19820</v>
      </c>
      <c r="BD3054" s="82" t="s">
        <v>21597</v>
      </c>
      <c r="BE3054" s="77"/>
      <c r="BF3054" s="77"/>
      <c r="BG3054" s="77"/>
      <c r="BH3054" s="77"/>
      <c r="BI3054" s="77"/>
    </row>
    <row r="3055" spans="1:61" x14ac:dyDescent="0.25">
      <c r="A3055" s="62" t="s">
        <v>1006</v>
      </c>
      <c r="B3055" s="62" t="s">
        <v>1006</v>
      </c>
      <c r="C3055" s="63"/>
      <c r="D3055" s="64"/>
      <c r="E3055" s="65"/>
      <c r="F3055" s="66"/>
      <c r="G3055" s="63"/>
      <c r="H3055" s="67"/>
      <c r="I3055" s="68"/>
      <c r="J3055" s="68"/>
      <c r="K3055" s="32"/>
      <c r="L3055" s="75">
        <v>3055</v>
      </c>
      <c r="M3055" s="75"/>
      <c r="N3055" s="70"/>
      <c r="O3055" s="77" t="s">
        <v>179</v>
      </c>
      <c r="P3055" s="79">
        <v>45070.74324074074</v>
      </c>
      <c r="Q3055" s="77" t="s">
        <v>4261</v>
      </c>
      <c r="R3055" s="77">
        <v>0</v>
      </c>
      <c r="S3055" s="77">
        <v>0</v>
      </c>
      <c r="T3055" s="77">
        <v>0</v>
      </c>
      <c r="U3055" s="77">
        <v>0</v>
      </c>
      <c r="V3055" s="77">
        <v>101</v>
      </c>
      <c r="W3055" s="82" t="s">
        <v>6740</v>
      </c>
      <c r="X3055" s="77"/>
      <c r="Y3055" s="77"/>
      <c r="Z3055" s="77"/>
      <c r="AA3055" s="77" t="s">
        <v>9380</v>
      </c>
      <c r="AB3055" s="77" t="s">
        <v>10130</v>
      </c>
      <c r="AC3055" s="82" t="s">
        <v>10147</v>
      </c>
      <c r="AD3055" s="77" t="s">
        <v>10184</v>
      </c>
      <c r="AE3055" s="80" t="str">
        <f>HYPERLINK("https://twitter.com/imdasmilhas/status/1661429420471484416")</f>
        <v>https://twitter.com/imdasmilhas/status/1661429420471484416</v>
      </c>
      <c r="AF3055" s="79">
        <v>45070.74324074074</v>
      </c>
      <c r="AG3055" s="85">
        <v>45070</v>
      </c>
      <c r="AH3055" s="82" t="s">
        <v>13077</v>
      </c>
      <c r="AI3055" s="77" t="b">
        <v>0</v>
      </c>
      <c r="AJ3055" s="77"/>
      <c r="AK3055" s="77"/>
      <c r="AL3055" s="77"/>
      <c r="AM3055" s="77"/>
      <c r="AN3055" s="77"/>
      <c r="AO3055" s="77"/>
      <c r="AP3055" s="77"/>
      <c r="AQ3055" s="77" t="s">
        <v>16023</v>
      </c>
      <c r="AR3055" s="77"/>
      <c r="AS3055" s="77"/>
      <c r="AT3055" s="77"/>
      <c r="AU3055" s="77"/>
      <c r="AV3055" s="80" t="str">
        <f>HYPERLINK("https://pbs.twimg.com/media/Fw6VQKyXgAAiBIw.jpg")</f>
        <v>https://pbs.twimg.com/media/Fw6VQKyXgAAiBIw.jpg</v>
      </c>
      <c r="AW3055" s="82" t="s">
        <v>19821</v>
      </c>
      <c r="AX3055" s="82" t="s">
        <v>19821</v>
      </c>
      <c r="AY3055" s="77"/>
      <c r="AZ3055" s="82" t="s">
        <v>20971</v>
      </c>
      <c r="BA3055" s="82" t="s">
        <v>20971</v>
      </c>
      <c r="BB3055" s="82" t="s">
        <v>20971</v>
      </c>
      <c r="BC3055" s="82" t="s">
        <v>19821</v>
      </c>
      <c r="BD3055" s="82" t="s">
        <v>21597</v>
      </c>
      <c r="BE3055" s="77"/>
      <c r="BF3055" s="77"/>
      <c r="BG3055" s="77"/>
      <c r="BH3055" s="77"/>
      <c r="BI3055" s="77"/>
    </row>
    <row r="3056" spans="1:61" x14ac:dyDescent="0.25">
      <c r="A3056" s="62" t="s">
        <v>1006</v>
      </c>
      <c r="B3056" s="62" t="s">
        <v>1006</v>
      </c>
      <c r="C3056" s="63"/>
      <c r="D3056" s="64"/>
      <c r="E3056" s="65"/>
      <c r="F3056" s="66"/>
      <c r="G3056" s="63"/>
      <c r="H3056" s="67"/>
      <c r="I3056" s="68"/>
      <c r="J3056" s="68"/>
      <c r="K3056" s="32"/>
      <c r="L3056" s="75">
        <v>3056</v>
      </c>
      <c r="M3056" s="75"/>
      <c r="N3056" s="70"/>
      <c r="O3056" s="77" t="s">
        <v>179</v>
      </c>
      <c r="P3056" s="79">
        <v>45070.742905092593</v>
      </c>
      <c r="Q3056" s="77" t="s">
        <v>4262</v>
      </c>
      <c r="R3056" s="77">
        <v>0</v>
      </c>
      <c r="S3056" s="77">
        <v>0</v>
      </c>
      <c r="T3056" s="77">
        <v>0</v>
      </c>
      <c r="U3056" s="77">
        <v>0</v>
      </c>
      <c r="V3056" s="77">
        <v>64</v>
      </c>
      <c r="W3056" s="82" t="s">
        <v>6740</v>
      </c>
      <c r="X3056" s="77"/>
      <c r="Y3056" s="77"/>
      <c r="Z3056" s="77"/>
      <c r="AA3056" s="77" t="s">
        <v>9381</v>
      </c>
      <c r="AB3056" s="77" t="s">
        <v>10130</v>
      </c>
      <c r="AC3056" s="82" t="s">
        <v>10147</v>
      </c>
      <c r="AD3056" s="77" t="s">
        <v>10184</v>
      </c>
      <c r="AE3056" s="80" t="str">
        <f>HYPERLINK("https://twitter.com/imdasmilhas/status/1661429298455085061")</f>
        <v>https://twitter.com/imdasmilhas/status/1661429298455085061</v>
      </c>
      <c r="AF3056" s="79">
        <v>45070.742905092593</v>
      </c>
      <c r="AG3056" s="85">
        <v>45070</v>
      </c>
      <c r="AH3056" s="82" t="s">
        <v>13078</v>
      </c>
      <c r="AI3056" s="77" t="b">
        <v>0</v>
      </c>
      <c r="AJ3056" s="77"/>
      <c r="AK3056" s="77"/>
      <c r="AL3056" s="77"/>
      <c r="AM3056" s="77"/>
      <c r="AN3056" s="77"/>
      <c r="AO3056" s="77"/>
      <c r="AP3056" s="77"/>
      <c r="AQ3056" s="77" t="s">
        <v>16024</v>
      </c>
      <c r="AR3056" s="77"/>
      <c r="AS3056" s="77"/>
      <c r="AT3056" s="77"/>
      <c r="AU3056" s="77"/>
      <c r="AV3056" s="80" t="str">
        <f>HYPERLINK("https://pbs.twimg.com/media/Fw6VJDMXgBcxj9z.jpg")</f>
        <v>https://pbs.twimg.com/media/Fw6VJDMXgBcxj9z.jpg</v>
      </c>
      <c r="AW3056" s="82" t="s">
        <v>19822</v>
      </c>
      <c r="AX3056" s="82" t="s">
        <v>19822</v>
      </c>
      <c r="AY3056" s="77"/>
      <c r="AZ3056" s="82" t="s">
        <v>20971</v>
      </c>
      <c r="BA3056" s="82" t="s">
        <v>20971</v>
      </c>
      <c r="BB3056" s="82" t="s">
        <v>20971</v>
      </c>
      <c r="BC3056" s="82" t="s">
        <v>19822</v>
      </c>
      <c r="BD3056" s="82" t="s">
        <v>21597</v>
      </c>
      <c r="BE3056" s="77"/>
      <c r="BF3056" s="77"/>
      <c r="BG3056" s="77"/>
      <c r="BH3056" s="77"/>
      <c r="BI3056" s="77"/>
    </row>
    <row r="3057" spans="1:61" x14ac:dyDescent="0.25">
      <c r="A3057" s="62" t="s">
        <v>1006</v>
      </c>
      <c r="B3057" s="62" t="s">
        <v>1006</v>
      </c>
      <c r="C3057" s="63"/>
      <c r="D3057" s="64"/>
      <c r="E3057" s="65"/>
      <c r="F3057" s="66"/>
      <c r="G3057" s="63"/>
      <c r="H3057" s="67"/>
      <c r="I3057" s="68"/>
      <c r="J3057" s="68"/>
      <c r="K3057" s="32"/>
      <c r="L3057" s="75">
        <v>3057</v>
      </c>
      <c r="M3057" s="75"/>
      <c r="N3057" s="70"/>
      <c r="O3057" s="77" t="s">
        <v>179</v>
      </c>
      <c r="P3057" s="79">
        <v>45070.742627314816</v>
      </c>
      <c r="Q3057" s="77" t="s">
        <v>4263</v>
      </c>
      <c r="R3057" s="77">
        <v>0</v>
      </c>
      <c r="S3057" s="77">
        <v>0</v>
      </c>
      <c r="T3057" s="77">
        <v>0</v>
      </c>
      <c r="U3057" s="77">
        <v>0</v>
      </c>
      <c r="V3057" s="77">
        <v>50</v>
      </c>
      <c r="W3057" s="82" t="s">
        <v>6740</v>
      </c>
      <c r="X3057" s="77"/>
      <c r="Y3057" s="77"/>
      <c r="Z3057" s="77"/>
      <c r="AA3057" s="77" t="s">
        <v>9382</v>
      </c>
      <c r="AB3057" s="77" t="s">
        <v>10130</v>
      </c>
      <c r="AC3057" s="82" t="s">
        <v>10147</v>
      </c>
      <c r="AD3057" s="77" t="s">
        <v>10184</v>
      </c>
      <c r="AE3057" s="80" t="str">
        <f>HYPERLINK("https://twitter.com/imdasmilhas/status/1661429200018980864")</f>
        <v>https://twitter.com/imdasmilhas/status/1661429200018980864</v>
      </c>
      <c r="AF3057" s="79">
        <v>45070.742627314816</v>
      </c>
      <c r="AG3057" s="85">
        <v>45070</v>
      </c>
      <c r="AH3057" s="82" t="s">
        <v>13079</v>
      </c>
      <c r="AI3057" s="77" t="b">
        <v>0</v>
      </c>
      <c r="AJ3057" s="77"/>
      <c r="AK3057" s="77"/>
      <c r="AL3057" s="77"/>
      <c r="AM3057" s="77"/>
      <c r="AN3057" s="77"/>
      <c r="AO3057" s="77"/>
      <c r="AP3057" s="77"/>
      <c r="AQ3057" s="77" t="s">
        <v>16025</v>
      </c>
      <c r="AR3057" s="77"/>
      <c r="AS3057" s="77"/>
      <c r="AT3057" s="77"/>
      <c r="AU3057" s="77"/>
      <c r="AV3057" s="80" t="str">
        <f>HYPERLINK("https://pbs.twimg.com/media/Fw6VDUrXgBcrjWU.jpg")</f>
        <v>https://pbs.twimg.com/media/Fw6VDUrXgBcrjWU.jpg</v>
      </c>
      <c r="AW3057" s="82" t="s">
        <v>19823</v>
      </c>
      <c r="AX3057" s="82" t="s">
        <v>19823</v>
      </c>
      <c r="AY3057" s="77"/>
      <c r="AZ3057" s="82" t="s">
        <v>20971</v>
      </c>
      <c r="BA3057" s="82" t="s">
        <v>20971</v>
      </c>
      <c r="BB3057" s="82" t="s">
        <v>20971</v>
      </c>
      <c r="BC3057" s="82" t="s">
        <v>19823</v>
      </c>
      <c r="BD3057" s="82" t="s">
        <v>21597</v>
      </c>
      <c r="BE3057" s="77"/>
      <c r="BF3057" s="77"/>
      <c r="BG3057" s="77"/>
      <c r="BH3057" s="77"/>
      <c r="BI3057" s="77"/>
    </row>
    <row r="3058" spans="1:61" x14ac:dyDescent="0.25">
      <c r="A3058" s="62" t="s">
        <v>1006</v>
      </c>
      <c r="B3058" s="62" t="s">
        <v>1006</v>
      </c>
      <c r="C3058" s="63"/>
      <c r="D3058" s="64"/>
      <c r="E3058" s="65"/>
      <c r="F3058" s="66"/>
      <c r="G3058" s="63"/>
      <c r="H3058" s="67"/>
      <c r="I3058" s="68"/>
      <c r="J3058" s="68"/>
      <c r="K3058" s="32"/>
      <c r="L3058" s="75">
        <v>3058</v>
      </c>
      <c r="M3058" s="75"/>
      <c r="N3058" s="70"/>
      <c r="O3058" s="77" t="s">
        <v>179</v>
      </c>
      <c r="P3058" s="79">
        <v>45070.742337962962</v>
      </c>
      <c r="Q3058" s="77" t="s">
        <v>4264</v>
      </c>
      <c r="R3058" s="77">
        <v>0</v>
      </c>
      <c r="S3058" s="77">
        <v>0</v>
      </c>
      <c r="T3058" s="77">
        <v>0</v>
      </c>
      <c r="U3058" s="77">
        <v>0</v>
      </c>
      <c r="V3058" s="77">
        <v>82</v>
      </c>
      <c r="W3058" s="82" t="s">
        <v>6740</v>
      </c>
      <c r="X3058" s="77"/>
      <c r="Y3058" s="77"/>
      <c r="Z3058" s="77"/>
      <c r="AA3058" s="77" t="s">
        <v>9383</v>
      </c>
      <c r="AB3058" s="77" t="s">
        <v>10130</v>
      </c>
      <c r="AC3058" s="82" t="s">
        <v>10147</v>
      </c>
      <c r="AD3058" s="77" t="s">
        <v>10184</v>
      </c>
      <c r="AE3058" s="80" t="str">
        <f>HYPERLINK("https://twitter.com/imdasmilhas/status/1661429092967645186")</f>
        <v>https://twitter.com/imdasmilhas/status/1661429092967645186</v>
      </c>
      <c r="AF3058" s="79">
        <v>45070.742337962962</v>
      </c>
      <c r="AG3058" s="85">
        <v>45070</v>
      </c>
      <c r="AH3058" s="82" t="s">
        <v>13080</v>
      </c>
      <c r="AI3058" s="77" t="b">
        <v>0</v>
      </c>
      <c r="AJ3058" s="77"/>
      <c r="AK3058" s="77"/>
      <c r="AL3058" s="77"/>
      <c r="AM3058" s="77"/>
      <c r="AN3058" s="77"/>
      <c r="AO3058" s="77"/>
      <c r="AP3058" s="77"/>
      <c r="AQ3058" s="77" t="s">
        <v>16026</v>
      </c>
      <c r="AR3058" s="77"/>
      <c r="AS3058" s="77"/>
      <c r="AT3058" s="77"/>
      <c r="AU3058" s="77"/>
      <c r="AV3058" s="80" t="str">
        <f>HYPERLINK("https://pbs.twimg.com/media/Fw6U9F5XsAACjaY.jpg")</f>
        <v>https://pbs.twimg.com/media/Fw6U9F5XsAACjaY.jpg</v>
      </c>
      <c r="AW3058" s="82" t="s">
        <v>19824</v>
      </c>
      <c r="AX3058" s="82" t="s">
        <v>19824</v>
      </c>
      <c r="AY3058" s="77"/>
      <c r="AZ3058" s="82" t="s">
        <v>20971</v>
      </c>
      <c r="BA3058" s="82" t="s">
        <v>20971</v>
      </c>
      <c r="BB3058" s="82" t="s">
        <v>20971</v>
      </c>
      <c r="BC3058" s="82" t="s">
        <v>19824</v>
      </c>
      <c r="BD3058" s="82" t="s">
        <v>21597</v>
      </c>
      <c r="BE3058" s="77"/>
      <c r="BF3058" s="77"/>
      <c r="BG3058" s="77"/>
      <c r="BH3058" s="77"/>
      <c r="BI3058" s="77"/>
    </row>
    <row r="3059" spans="1:61" x14ac:dyDescent="0.25">
      <c r="A3059" s="62" t="s">
        <v>1006</v>
      </c>
      <c r="B3059" s="62" t="s">
        <v>1006</v>
      </c>
      <c r="C3059" s="63"/>
      <c r="D3059" s="64"/>
      <c r="E3059" s="65"/>
      <c r="F3059" s="66"/>
      <c r="G3059" s="63"/>
      <c r="H3059" s="67"/>
      <c r="I3059" s="68"/>
      <c r="J3059" s="68"/>
      <c r="K3059" s="32"/>
      <c r="L3059" s="75">
        <v>3059</v>
      </c>
      <c r="M3059" s="75"/>
      <c r="N3059" s="70"/>
      <c r="O3059" s="77" t="s">
        <v>179</v>
      </c>
      <c r="P3059" s="79">
        <v>45070.663298611114</v>
      </c>
      <c r="Q3059" s="77" t="s">
        <v>4265</v>
      </c>
      <c r="R3059" s="77">
        <v>0</v>
      </c>
      <c r="S3059" s="77">
        <v>0</v>
      </c>
      <c r="T3059" s="77">
        <v>0</v>
      </c>
      <c r="U3059" s="77">
        <v>0</v>
      </c>
      <c r="V3059" s="77">
        <v>71</v>
      </c>
      <c r="W3059" s="82" t="s">
        <v>6740</v>
      </c>
      <c r="X3059" s="77"/>
      <c r="Y3059" s="77"/>
      <c r="Z3059" s="77"/>
      <c r="AA3059" s="77" t="s">
        <v>9384</v>
      </c>
      <c r="AB3059" s="77" t="s">
        <v>10130</v>
      </c>
      <c r="AC3059" s="82" t="s">
        <v>10147</v>
      </c>
      <c r="AD3059" s="77" t="s">
        <v>10184</v>
      </c>
      <c r="AE3059" s="80" t="str">
        <f>HYPERLINK("https://twitter.com/imdasmilhas/status/1661400449935634433")</f>
        <v>https://twitter.com/imdasmilhas/status/1661400449935634433</v>
      </c>
      <c r="AF3059" s="79">
        <v>45070.663298611114</v>
      </c>
      <c r="AG3059" s="85">
        <v>45070</v>
      </c>
      <c r="AH3059" s="82" t="s">
        <v>12914</v>
      </c>
      <c r="AI3059" s="77" t="b">
        <v>0</v>
      </c>
      <c r="AJ3059" s="77"/>
      <c r="AK3059" s="77"/>
      <c r="AL3059" s="77"/>
      <c r="AM3059" s="77"/>
      <c r="AN3059" s="77"/>
      <c r="AO3059" s="77"/>
      <c r="AP3059" s="77"/>
      <c r="AQ3059" s="77" t="s">
        <v>16027</v>
      </c>
      <c r="AR3059" s="77"/>
      <c r="AS3059" s="77"/>
      <c r="AT3059" s="77"/>
      <c r="AU3059" s="77"/>
      <c r="AV3059" s="80" t="str">
        <f>HYPERLINK("https://pbs.twimg.com/media/Fw5655SXwAAZKlk.jpg")</f>
        <v>https://pbs.twimg.com/media/Fw5655SXwAAZKlk.jpg</v>
      </c>
      <c r="AW3059" s="82" t="s">
        <v>19825</v>
      </c>
      <c r="AX3059" s="82" t="s">
        <v>19825</v>
      </c>
      <c r="AY3059" s="77"/>
      <c r="AZ3059" s="82" t="s">
        <v>20971</v>
      </c>
      <c r="BA3059" s="82" t="s">
        <v>20971</v>
      </c>
      <c r="BB3059" s="82" t="s">
        <v>20971</v>
      </c>
      <c r="BC3059" s="82" t="s">
        <v>19825</v>
      </c>
      <c r="BD3059" s="82" t="s">
        <v>21597</v>
      </c>
      <c r="BE3059" s="77"/>
      <c r="BF3059" s="77"/>
      <c r="BG3059" s="77"/>
      <c r="BH3059" s="77"/>
      <c r="BI3059" s="77"/>
    </row>
    <row r="3060" spans="1:61" x14ac:dyDescent="0.25">
      <c r="A3060" s="62" t="s">
        <v>1006</v>
      </c>
      <c r="B3060" s="62" t="s">
        <v>1006</v>
      </c>
      <c r="C3060" s="63"/>
      <c r="D3060" s="64"/>
      <c r="E3060" s="65"/>
      <c r="F3060" s="66"/>
      <c r="G3060" s="63"/>
      <c r="H3060" s="67"/>
      <c r="I3060" s="68"/>
      <c r="J3060" s="68"/>
      <c r="K3060" s="32"/>
      <c r="L3060" s="75">
        <v>3060</v>
      </c>
      <c r="M3060" s="75"/>
      <c r="N3060" s="70"/>
      <c r="O3060" s="77" t="s">
        <v>179</v>
      </c>
      <c r="P3060" s="79">
        <v>45070.663055555553</v>
      </c>
      <c r="Q3060" s="77" t="s">
        <v>4266</v>
      </c>
      <c r="R3060" s="77">
        <v>0</v>
      </c>
      <c r="S3060" s="77">
        <v>0</v>
      </c>
      <c r="T3060" s="77">
        <v>0</v>
      </c>
      <c r="U3060" s="77">
        <v>0</v>
      </c>
      <c r="V3060" s="77">
        <v>40</v>
      </c>
      <c r="W3060" s="82" t="s">
        <v>6740</v>
      </c>
      <c r="X3060" s="77"/>
      <c r="Y3060" s="77"/>
      <c r="Z3060" s="77"/>
      <c r="AA3060" s="77" t="s">
        <v>9385</v>
      </c>
      <c r="AB3060" s="77" t="s">
        <v>10130</v>
      </c>
      <c r="AC3060" s="82" t="s">
        <v>10147</v>
      </c>
      <c r="AD3060" s="77" t="s">
        <v>10184</v>
      </c>
      <c r="AE3060" s="80" t="str">
        <f>HYPERLINK("https://twitter.com/imdasmilhas/status/1661400363688239106")</f>
        <v>https://twitter.com/imdasmilhas/status/1661400363688239106</v>
      </c>
      <c r="AF3060" s="79">
        <v>45070.663055555553</v>
      </c>
      <c r="AG3060" s="85">
        <v>45070</v>
      </c>
      <c r="AH3060" s="82" t="s">
        <v>13081</v>
      </c>
      <c r="AI3060" s="77" t="b">
        <v>0</v>
      </c>
      <c r="AJ3060" s="77"/>
      <c r="AK3060" s="77"/>
      <c r="AL3060" s="77"/>
      <c r="AM3060" s="77"/>
      <c r="AN3060" s="77"/>
      <c r="AO3060" s="77"/>
      <c r="AP3060" s="77"/>
      <c r="AQ3060" s="77" t="s">
        <v>16028</v>
      </c>
      <c r="AR3060" s="77"/>
      <c r="AS3060" s="77"/>
      <c r="AT3060" s="77"/>
      <c r="AU3060" s="77"/>
      <c r="AV3060" s="80" t="str">
        <f>HYPERLINK("https://pbs.twimg.com/media/Fw5603sXwAEDj19.jpg")</f>
        <v>https://pbs.twimg.com/media/Fw5603sXwAEDj19.jpg</v>
      </c>
      <c r="AW3060" s="82" t="s">
        <v>19826</v>
      </c>
      <c r="AX3060" s="82" t="s">
        <v>19826</v>
      </c>
      <c r="AY3060" s="77"/>
      <c r="AZ3060" s="82" t="s">
        <v>20971</v>
      </c>
      <c r="BA3060" s="82" t="s">
        <v>20971</v>
      </c>
      <c r="BB3060" s="82" t="s">
        <v>20971</v>
      </c>
      <c r="BC3060" s="82" t="s">
        <v>19826</v>
      </c>
      <c r="BD3060" s="82" t="s">
        <v>21597</v>
      </c>
      <c r="BE3060" s="77"/>
      <c r="BF3060" s="77"/>
      <c r="BG3060" s="77"/>
      <c r="BH3060" s="77"/>
      <c r="BI3060" s="77"/>
    </row>
    <row r="3061" spans="1:61" x14ac:dyDescent="0.25">
      <c r="A3061" s="62" t="s">
        <v>1006</v>
      </c>
      <c r="B3061" s="62" t="s">
        <v>1006</v>
      </c>
      <c r="C3061" s="63"/>
      <c r="D3061" s="64"/>
      <c r="E3061" s="65"/>
      <c r="F3061" s="66"/>
      <c r="G3061" s="63"/>
      <c r="H3061" s="67"/>
      <c r="I3061" s="68"/>
      <c r="J3061" s="68"/>
      <c r="K3061" s="32"/>
      <c r="L3061" s="75">
        <v>3061</v>
      </c>
      <c r="M3061" s="75"/>
      <c r="N3061" s="70"/>
      <c r="O3061" s="77" t="s">
        <v>179</v>
      </c>
      <c r="P3061" s="79">
        <v>45048.732488425929</v>
      </c>
      <c r="Q3061" s="77" t="s">
        <v>4267</v>
      </c>
      <c r="R3061" s="77">
        <v>0</v>
      </c>
      <c r="S3061" s="77">
        <v>0</v>
      </c>
      <c r="T3061" s="77">
        <v>0</v>
      </c>
      <c r="U3061" s="77">
        <v>0</v>
      </c>
      <c r="V3061" s="77">
        <v>76</v>
      </c>
      <c r="W3061" s="82" t="s">
        <v>6740</v>
      </c>
      <c r="X3061" s="77"/>
      <c r="Y3061" s="77"/>
      <c r="Z3061" s="77"/>
      <c r="AA3061" s="77" t="s">
        <v>9386</v>
      </c>
      <c r="AB3061" s="77" t="s">
        <v>10130</v>
      </c>
      <c r="AC3061" s="82" t="s">
        <v>10147</v>
      </c>
      <c r="AD3061" s="77" t="s">
        <v>10184</v>
      </c>
      <c r="AE3061" s="80" t="str">
        <f>HYPERLINK("https://twitter.com/imdasmilhas/status/1653452993444839437")</f>
        <v>https://twitter.com/imdasmilhas/status/1653452993444839437</v>
      </c>
      <c r="AF3061" s="79">
        <v>45048.732488425929</v>
      </c>
      <c r="AG3061" s="85">
        <v>45048</v>
      </c>
      <c r="AH3061" s="82" t="s">
        <v>13082</v>
      </c>
      <c r="AI3061" s="77" t="b">
        <v>0</v>
      </c>
      <c r="AJ3061" s="77"/>
      <c r="AK3061" s="77"/>
      <c r="AL3061" s="77"/>
      <c r="AM3061" s="77"/>
      <c r="AN3061" s="77"/>
      <c r="AO3061" s="77"/>
      <c r="AP3061" s="77"/>
      <c r="AQ3061" s="77" t="s">
        <v>16029</v>
      </c>
      <c r="AR3061" s="77"/>
      <c r="AS3061" s="77"/>
      <c r="AT3061" s="77"/>
      <c r="AU3061" s="77"/>
      <c r="AV3061" s="80" t="str">
        <f>HYPERLINK("https://pbs.twimg.com/media/FvI-u_cWAB0lmyT.jpg")</f>
        <v>https://pbs.twimg.com/media/FvI-u_cWAB0lmyT.jpg</v>
      </c>
      <c r="AW3061" s="82" t="s">
        <v>19827</v>
      </c>
      <c r="AX3061" s="82" t="s">
        <v>19827</v>
      </c>
      <c r="AY3061" s="77"/>
      <c r="AZ3061" s="82" t="s">
        <v>20971</v>
      </c>
      <c r="BA3061" s="82" t="s">
        <v>20971</v>
      </c>
      <c r="BB3061" s="82" t="s">
        <v>20971</v>
      </c>
      <c r="BC3061" s="82" t="s">
        <v>19827</v>
      </c>
      <c r="BD3061" s="82" t="s">
        <v>21597</v>
      </c>
      <c r="BE3061" s="77"/>
      <c r="BF3061" s="77"/>
      <c r="BG3061" s="77"/>
      <c r="BH3061" s="77"/>
      <c r="BI3061" s="77"/>
    </row>
    <row r="3062" spans="1:61" x14ac:dyDescent="0.25">
      <c r="A3062" s="62" t="s">
        <v>1006</v>
      </c>
      <c r="B3062" s="62" t="s">
        <v>1006</v>
      </c>
      <c r="C3062" s="63"/>
      <c r="D3062" s="64"/>
      <c r="E3062" s="65"/>
      <c r="F3062" s="66"/>
      <c r="G3062" s="63"/>
      <c r="H3062" s="67"/>
      <c r="I3062" s="68"/>
      <c r="J3062" s="68"/>
      <c r="K3062" s="32"/>
      <c r="L3062" s="75">
        <v>3062</v>
      </c>
      <c r="M3062" s="75"/>
      <c r="N3062" s="70"/>
      <c r="O3062" s="77" t="s">
        <v>179</v>
      </c>
      <c r="P3062" s="79">
        <v>45048.732245370367</v>
      </c>
      <c r="Q3062" s="77" t="s">
        <v>4268</v>
      </c>
      <c r="R3062" s="77">
        <v>0</v>
      </c>
      <c r="S3062" s="77">
        <v>0</v>
      </c>
      <c r="T3062" s="77">
        <v>0</v>
      </c>
      <c r="U3062" s="77">
        <v>0</v>
      </c>
      <c r="V3062" s="77">
        <v>87</v>
      </c>
      <c r="W3062" s="82" t="s">
        <v>6740</v>
      </c>
      <c r="X3062" s="77"/>
      <c r="Y3062" s="77"/>
      <c r="Z3062" s="77"/>
      <c r="AA3062" s="77" t="s">
        <v>9387</v>
      </c>
      <c r="AB3062" s="77" t="s">
        <v>10130</v>
      </c>
      <c r="AC3062" s="82" t="s">
        <v>10147</v>
      </c>
      <c r="AD3062" s="77" t="s">
        <v>10184</v>
      </c>
      <c r="AE3062" s="80" t="str">
        <f>HYPERLINK("https://twitter.com/imdasmilhas/status/1653452903300857892")</f>
        <v>https://twitter.com/imdasmilhas/status/1653452903300857892</v>
      </c>
      <c r="AF3062" s="79">
        <v>45048.732245370367</v>
      </c>
      <c r="AG3062" s="85">
        <v>45048</v>
      </c>
      <c r="AH3062" s="82" t="s">
        <v>13083</v>
      </c>
      <c r="AI3062" s="77" t="b">
        <v>0</v>
      </c>
      <c r="AJ3062" s="77"/>
      <c r="AK3062" s="77"/>
      <c r="AL3062" s="77"/>
      <c r="AM3062" s="77"/>
      <c r="AN3062" s="77"/>
      <c r="AO3062" s="77"/>
      <c r="AP3062" s="77"/>
      <c r="AQ3062" s="77" t="s">
        <v>16030</v>
      </c>
      <c r="AR3062" s="77"/>
      <c r="AS3062" s="77"/>
      <c r="AT3062" s="77"/>
      <c r="AU3062" s="77"/>
      <c r="AV3062" s="80" t="str">
        <f>HYPERLINK("https://pbs.twimg.com/media/FvI-pxaXoAA6cKY.jpg")</f>
        <v>https://pbs.twimg.com/media/FvI-pxaXoAA6cKY.jpg</v>
      </c>
      <c r="AW3062" s="82" t="s">
        <v>19828</v>
      </c>
      <c r="AX3062" s="82" t="s">
        <v>19828</v>
      </c>
      <c r="AY3062" s="77"/>
      <c r="AZ3062" s="82" t="s">
        <v>20971</v>
      </c>
      <c r="BA3062" s="82" t="s">
        <v>20971</v>
      </c>
      <c r="BB3062" s="82" t="s">
        <v>20971</v>
      </c>
      <c r="BC3062" s="82" t="s">
        <v>19828</v>
      </c>
      <c r="BD3062" s="82" t="s">
        <v>21597</v>
      </c>
      <c r="BE3062" s="77"/>
      <c r="BF3062" s="77"/>
      <c r="BG3062" s="77"/>
      <c r="BH3062" s="77"/>
      <c r="BI3062" s="77"/>
    </row>
    <row r="3063" spans="1:61" x14ac:dyDescent="0.25">
      <c r="A3063" s="62" t="s">
        <v>1006</v>
      </c>
      <c r="B3063" s="62" t="s">
        <v>1006</v>
      </c>
      <c r="C3063" s="63"/>
      <c r="D3063" s="64"/>
      <c r="E3063" s="65"/>
      <c r="F3063" s="66"/>
      <c r="G3063" s="63"/>
      <c r="H3063" s="67"/>
      <c r="I3063" s="68"/>
      <c r="J3063" s="68"/>
      <c r="K3063" s="32"/>
      <c r="L3063" s="75">
        <v>3063</v>
      </c>
      <c r="M3063" s="75"/>
      <c r="N3063" s="70"/>
      <c r="O3063" s="77" t="s">
        <v>179</v>
      </c>
      <c r="P3063" s="79">
        <v>45048.731898148151</v>
      </c>
      <c r="Q3063" s="77" t="s">
        <v>4269</v>
      </c>
      <c r="R3063" s="77">
        <v>0</v>
      </c>
      <c r="S3063" s="77">
        <v>0</v>
      </c>
      <c r="T3063" s="77">
        <v>0</v>
      </c>
      <c r="U3063" s="77">
        <v>0</v>
      </c>
      <c r="V3063" s="77">
        <v>43</v>
      </c>
      <c r="W3063" s="82" t="s">
        <v>6740</v>
      </c>
      <c r="X3063" s="77"/>
      <c r="Y3063" s="77"/>
      <c r="Z3063" s="77"/>
      <c r="AA3063" s="77" t="s">
        <v>9388</v>
      </c>
      <c r="AB3063" s="77" t="s">
        <v>10130</v>
      </c>
      <c r="AC3063" s="82" t="s">
        <v>10147</v>
      </c>
      <c r="AD3063" s="77" t="s">
        <v>10184</v>
      </c>
      <c r="AE3063" s="80" t="str">
        <f>HYPERLINK("https://twitter.com/imdasmilhas/status/1653452776624599040")</f>
        <v>https://twitter.com/imdasmilhas/status/1653452776624599040</v>
      </c>
      <c r="AF3063" s="79">
        <v>45048.731898148151</v>
      </c>
      <c r="AG3063" s="85">
        <v>45048</v>
      </c>
      <c r="AH3063" s="82" t="s">
        <v>13084</v>
      </c>
      <c r="AI3063" s="77" t="b">
        <v>0</v>
      </c>
      <c r="AJ3063" s="77"/>
      <c r="AK3063" s="77"/>
      <c r="AL3063" s="77"/>
      <c r="AM3063" s="77"/>
      <c r="AN3063" s="77"/>
      <c r="AO3063" s="77"/>
      <c r="AP3063" s="77"/>
      <c r="AQ3063" s="77" t="s">
        <v>16031</v>
      </c>
      <c r="AR3063" s="77"/>
      <c r="AS3063" s="77"/>
      <c r="AT3063" s="77"/>
      <c r="AU3063" s="77"/>
      <c r="AV3063" s="80" t="str">
        <f>HYPERLINK("https://pbs.twimg.com/media/FvI-iZxWAAcp2NX.jpg")</f>
        <v>https://pbs.twimg.com/media/FvI-iZxWAAcp2NX.jpg</v>
      </c>
      <c r="AW3063" s="82" t="s">
        <v>19829</v>
      </c>
      <c r="AX3063" s="82" t="s">
        <v>19829</v>
      </c>
      <c r="AY3063" s="77"/>
      <c r="AZ3063" s="82" t="s">
        <v>20971</v>
      </c>
      <c r="BA3063" s="82" t="s">
        <v>20971</v>
      </c>
      <c r="BB3063" s="82" t="s">
        <v>20971</v>
      </c>
      <c r="BC3063" s="82" t="s">
        <v>19829</v>
      </c>
      <c r="BD3063" s="82" t="s">
        <v>21597</v>
      </c>
      <c r="BE3063" s="77"/>
      <c r="BF3063" s="77"/>
      <c r="BG3063" s="77"/>
      <c r="BH3063" s="77"/>
      <c r="BI3063" s="77"/>
    </row>
    <row r="3064" spans="1:61" x14ac:dyDescent="0.25">
      <c r="A3064" s="62" t="s">
        <v>1006</v>
      </c>
      <c r="B3064" s="62" t="s">
        <v>1006</v>
      </c>
      <c r="C3064" s="63"/>
      <c r="D3064" s="64"/>
      <c r="E3064" s="65"/>
      <c r="F3064" s="66"/>
      <c r="G3064" s="63"/>
      <c r="H3064" s="67"/>
      <c r="I3064" s="68"/>
      <c r="J3064" s="68"/>
      <c r="K3064" s="32"/>
      <c r="L3064" s="75">
        <v>3064</v>
      </c>
      <c r="M3064" s="75"/>
      <c r="N3064" s="70"/>
      <c r="O3064" s="77" t="s">
        <v>179</v>
      </c>
      <c r="P3064" s="79">
        <v>45048.73165509259</v>
      </c>
      <c r="Q3064" s="77" t="s">
        <v>4270</v>
      </c>
      <c r="R3064" s="77">
        <v>0</v>
      </c>
      <c r="S3064" s="77">
        <v>1</v>
      </c>
      <c r="T3064" s="77">
        <v>0</v>
      </c>
      <c r="U3064" s="77">
        <v>0</v>
      </c>
      <c r="V3064" s="77">
        <v>72</v>
      </c>
      <c r="W3064" s="82" t="s">
        <v>6740</v>
      </c>
      <c r="X3064" s="77"/>
      <c r="Y3064" s="77"/>
      <c r="Z3064" s="77"/>
      <c r="AA3064" s="77" t="s">
        <v>9389</v>
      </c>
      <c r="AB3064" s="77" t="s">
        <v>10130</v>
      </c>
      <c r="AC3064" s="82" t="s">
        <v>10147</v>
      </c>
      <c r="AD3064" s="77" t="s">
        <v>10184</v>
      </c>
      <c r="AE3064" s="80" t="str">
        <f>HYPERLINK("https://twitter.com/imdasmilhas/status/1653452688355360772")</f>
        <v>https://twitter.com/imdasmilhas/status/1653452688355360772</v>
      </c>
      <c r="AF3064" s="79">
        <v>45048.73165509259</v>
      </c>
      <c r="AG3064" s="85">
        <v>45048</v>
      </c>
      <c r="AH3064" s="82" t="s">
        <v>13085</v>
      </c>
      <c r="AI3064" s="77" t="b">
        <v>0</v>
      </c>
      <c r="AJ3064" s="77"/>
      <c r="AK3064" s="77"/>
      <c r="AL3064" s="77"/>
      <c r="AM3064" s="77"/>
      <c r="AN3064" s="77"/>
      <c r="AO3064" s="77"/>
      <c r="AP3064" s="77"/>
      <c r="AQ3064" s="77" t="s">
        <v>16032</v>
      </c>
      <c r="AR3064" s="77"/>
      <c r="AS3064" s="77"/>
      <c r="AT3064" s="77"/>
      <c r="AU3064" s="77"/>
      <c r="AV3064" s="80" t="str">
        <f>HYPERLINK("https://pbs.twimg.com/media/FvI-dQvWAA4Nqo0.jpg")</f>
        <v>https://pbs.twimg.com/media/FvI-dQvWAA4Nqo0.jpg</v>
      </c>
      <c r="AW3064" s="82" t="s">
        <v>19830</v>
      </c>
      <c r="AX3064" s="82" t="s">
        <v>19830</v>
      </c>
      <c r="AY3064" s="77"/>
      <c r="AZ3064" s="82" t="s">
        <v>20971</v>
      </c>
      <c r="BA3064" s="82" t="s">
        <v>20971</v>
      </c>
      <c r="BB3064" s="82" t="s">
        <v>20971</v>
      </c>
      <c r="BC3064" s="82" t="s">
        <v>19830</v>
      </c>
      <c r="BD3064" s="82" t="s">
        <v>21597</v>
      </c>
      <c r="BE3064" s="77"/>
      <c r="BF3064" s="77"/>
      <c r="BG3064" s="77"/>
      <c r="BH3064" s="77"/>
      <c r="BI3064" s="77"/>
    </row>
    <row r="3065" spans="1:61" x14ac:dyDescent="0.25">
      <c r="A3065" s="62" t="s">
        <v>1006</v>
      </c>
      <c r="B3065" s="62" t="s">
        <v>1006</v>
      </c>
      <c r="C3065" s="63"/>
      <c r="D3065" s="64"/>
      <c r="E3065" s="65"/>
      <c r="F3065" s="66"/>
      <c r="G3065" s="63"/>
      <c r="H3065" s="67"/>
      <c r="I3065" s="68"/>
      <c r="J3065" s="68"/>
      <c r="K3065" s="32"/>
      <c r="L3065" s="75">
        <v>3065</v>
      </c>
      <c r="M3065" s="75"/>
      <c r="N3065" s="70"/>
      <c r="O3065" s="77" t="s">
        <v>179</v>
      </c>
      <c r="P3065" s="79">
        <v>45048.651539351849</v>
      </c>
      <c r="Q3065" s="77" t="s">
        <v>4271</v>
      </c>
      <c r="R3065" s="77">
        <v>0</v>
      </c>
      <c r="S3065" s="77">
        <v>0</v>
      </c>
      <c r="T3065" s="77">
        <v>0</v>
      </c>
      <c r="U3065" s="77">
        <v>0</v>
      </c>
      <c r="V3065" s="77">
        <v>71</v>
      </c>
      <c r="W3065" s="82" t="s">
        <v>6740</v>
      </c>
      <c r="X3065" s="77"/>
      <c r="Y3065" s="77"/>
      <c r="Z3065" s="77"/>
      <c r="AA3065" s="77" t="s">
        <v>9390</v>
      </c>
      <c r="AB3065" s="77" t="s">
        <v>10130</v>
      </c>
      <c r="AC3065" s="82" t="s">
        <v>10147</v>
      </c>
      <c r="AD3065" s="77" t="s">
        <v>10184</v>
      </c>
      <c r="AE3065" s="80" t="str">
        <f>HYPERLINK("https://twitter.com/imdasmilhas/status/1653423658252075008")</f>
        <v>https://twitter.com/imdasmilhas/status/1653423658252075008</v>
      </c>
      <c r="AF3065" s="79">
        <v>45048.651539351849</v>
      </c>
      <c r="AG3065" s="85">
        <v>45048</v>
      </c>
      <c r="AH3065" s="82" t="s">
        <v>13086</v>
      </c>
      <c r="AI3065" s="77" t="b">
        <v>0</v>
      </c>
      <c r="AJ3065" s="77"/>
      <c r="AK3065" s="77"/>
      <c r="AL3065" s="77"/>
      <c r="AM3065" s="77"/>
      <c r="AN3065" s="77"/>
      <c r="AO3065" s="77"/>
      <c r="AP3065" s="77"/>
      <c r="AQ3065" s="77" t="s">
        <v>16033</v>
      </c>
      <c r="AR3065" s="77"/>
      <c r="AS3065" s="77"/>
      <c r="AT3065" s="77"/>
      <c r="AU3065" s="77"/>
      <c r="AV3065" s="80" t="str">
        <f>HYPERLINK("https://pbs.twimg.com/media/FvIkDelXgAo4hHp.jpg")</f>
        <v>https://pbs.twimg.com/media/FvIkDelXgAo4hHp.jpg</v>
      </c>
      <c r="AW3065" s="82" t="s">
        <v>19831</v>
      </c>
      <c r="AX3065" s="82" t="s">
        <v>19831</v>
      </c>
      <c r="AY3065" s="77"/>
      <c r="AZ3065" s="82" t="s">
        <v>20971</v>
      </c>
      <c r="BA3065" s="82" t="s">
        <v>20971</v>
      </c>
      <c r="BB3065" s="82" t="s">
        <v>20971</v>
      </c>
      <c r="BC3065" s="82" t="s">
        <v>19831</v>
      </c>
      <c r="BD3065" s="82" t="s">
        <v>21597</v>
      </c>
      <c r="BE3065" s="77"/>
      <c r="BF3065" s="77"/>
      <c r="BG3065" s="77"/>
      <c r="BH3065" s="77"/>
      <c r="BI3065" s="77"/>
    </row>
    <row r="3066" spans="1:61" x14ac:dyDescent="0.25">
      <c r="A3066" s="62" t="s">
        <v>1006</v>
      </c>
      <c r="B3066" s="62" t="s">
        <v>1006</v>
      </c>
      <c r="C3066" s="63"/>
      <c r="D3066" s="64"/>
      <c r="E3066" s="65"/>
      <c r="F3066" s="66"/>
      <c r="G3066" s="63"/>
      <c r="H3066" s="67"/>
      <c r="I3066" s="68"/>
      <c r="J3066" s="68"/>
      <c r="K3066" s="32"/>
      <c r="L3066" s="75">
        <v>3066</v>
      </c>
      <c r="M3066" s="75"/>
      <c r="N3066" s="70"/>
      <c r="O3066" s="77" t="s">
        <v>179</v>
      </c>
      <c r="P3066" s="79">
        <v>45048.65115740741</v>
      </c>
      <c r="Q3066" s="77" t="s">
        <v>4272</v>
      </c>
      <c r="R3066" s="77">
        <v>0</v>
      </c>
      <c r="S3066" s="77">
        <v>0</v>
      </c>
      <c r="T3066" s="77">
        <v>0</v>
      </c>
      <c r="U3066" s="77">
        <v>0</v>
      </c>
      <c r="V3066" s="77">
        <v>59</v>
      </c>
      <c r="W3066" s="82" t="s">
        <v>6740</v>
      </c>
      <c r="X3066" s="77"/>
      <c r="Y3066" s="77"/>
      <c r="Z3066" s="77"/>
      <c r="AA3066" s="77" t="s">
        <v>9391</v>
      </c>
      <c r="AB3066" s="77" t="s">
        <v>10130</v>
      </c>
      <c r="AC3066" s="82" t="s">
        <v>10147</v>
      </c>
      <c r="AD3066" s="77" t="s">
        <v>10184</v>
      </c>
      <c r="AE3066" s="80" t="str">
        <f>HYPERLINK("https://twitter.com/imdasmilhas/status/1653423516291678208")</f>
        <v>https://twitter.com/imdasmilhas/status/1653423516291678208</v>
      </c>
      <c r="AF3066" s="79">
        <v>45048.65115740741</v>
      </c>
      <c r="AG3066" s="85">
        <v>45048</v>
      </c>
      <c r="AH3066" s="82" t="s">
        <v>13087</v>
      </c>
      <c r="AI3066" s="77" t="b">
        <v>0</v>
      </c>
      <c r="AJ3066" s="77"/>
      <c r="AK3066" s="77"/>
      <c r="AL3066" s="77"/>
      <c r="AM3066" s="77"/>
      <c r="AN3066" s="77"/>
      <c r="AO3066" s="77"/>
      <c r="AP3066" s="77"/>
      <c r="AQ3066" s="77" t="s">
        <v>16034</v>
      </c>
      <c r="AR3066" s="77"/>
      <c r="AS3066" s="77"/>
      <c r="AT3066" s="77"/>
      <c r="AU3066" s="77"/>
      <c r="AV3066" s="80" t="str">
        <f>HYPERLINK("https://pbs.twimg.com/media/FvIj7PhXoAIN7jm.jpg")</f>
        <v>https://pbs.twimg.com/media/FvIj7PhXoAIN7jm.jpg</v>
      </c>
      <c r="AW3066" s="82" t="s">
        <v>19832</v>
      </c>
      <c r="AX3066" s="82" t="s">
        <v>19832</v>
      </c>
      <c r="AY3066" s="77"/>
      <c r="AZ3066" s="82" t="s">
        <v>20971</v>
      </c>
      <c r="BA3066" s="82" t="s">
        <v>20971</v>
      </c>
      <c r="BB3066" s="82" t="s">
        <v>20971</v>
      </c>
      <c r="BC3066" s="82" t="s">
        <v>19832</v>
      </c>
      <c r="BD3066" s="82" t="s">
        <v>21597</v>
      </c>
      <c r="BE3066" s="77"/>
      <c r="BF3066" s="77"/>
      <c r="BG3066" s="77"/>
      <c r="BH3066" s="77"/>
      <c r="BI3066" s="77"/>
    </row>
    <row r="3067" spans="1:61" x14ac:dyDescent="0.25">
      <c r="A3067" s="62" t="s">
        <v>1006</v>
      </c>
      <c r="B3067" s="62" t="s">
        <v>1006</v>
      </c>
      <c r="C3067" s="63"/>
      <c r="D3067" s="64"/>
      <c r="E3067" s="65"/>
      <c r="F3067" s="66"/>
      <c r="G3067" s="63"/>
      <c r="H3067" s="67"/>
      <c r="I3067" s="68"/>
      <c r="J3067" s="68"/>
      <c r="K3067" s="32"/>
      <c r="L3067" s="75">
        <v>3067</v>
      </c>
      <c r="M3067" s="75"/>
      <c r="N3067" s="70"/>
      <c r="O3067" s="77" t="s">
        <v>179</v>
      </c>
      <c r="P3067" s="79">
        <v>45044.81354166667</v>
      </c>
      <c r="Q3067" s="77" t="s">
        <v>4273</v>
      </c>
      <c r="R3067" s="77">
        <v>0</v>
      </c>
      <c r="S3067" s="77">
        <v>1</v>
      </c>
      <c r="T3067" s="77">
        <v>0</v>
      </c>
      <c r="U3067" s="77">
        <v>0</v>
      </c>
      <c r="V3067" s="77">
        <v>134</v>
      </c>
      <c r="W3067" s="82" t="s">
        <v>6740</v>
      </c>
      <c r="X3067" s="77"/>
      <c r="Y3067" s="77"/>
      <c r="Z3067" s="77"/>
      <c r="AA3067" s="77" t="s">
        <v>9392</v>
      </c>
      <c r="AB3067" s="77" t="s">
        <v>10130</v>
      </c>
      <c r="AC3067" s="82" t="s">
        <v>10147</v>
      </c>
      <c r="AD3067" s="77" t="s">
        <v>10184</v>
      </c>
      <c r="AE3067" s="80" t="str">
        <f>HYPERLINK("https://twitter.com/imdasmilhas/status/1652032813460344834")</f>
        <v>https://twitter.com/imdasmilhas/status/1652032813460344834</v>
      </c>
      <c r="AF3067" s="79">
        <v>45044.81354166667</v>
      </c>
      <c r="AG3067" s="85">
        <v>45044</v>
      </c>
      <c r="AH3067" s="82" t="s">
        <v>13088</v>
      </c>
      <c r="AI3067" s="77" t="b">
        <v>0</v>
      </c>
      <c r="AJ3067" s="77"/>
      <c r="AK3067" s="77"/>
      <c r="AL3067" s="77"/>
      <c r="AM3067" s="77"/>
      <c r="AN3067" s="77"/>
      <c r="AO3067" s="77"/>
      <c r="AP3067" s="77"/>
      <c r="AQ3067" s="77" t="s">
        <v>16035</v>
      </c>
      <c r="AR3067" s="77"/>
      <c r="AS3067" s="77"/>
      <c r="AT3067" s="77"/>
      <c r="AU3067" s="77"/>
      <c r="AV3067" s="80" t="str">
        <f>HYPERLINK("https://pbs.twimg.com/media/Fu0zFr4XgAA444n.jpg")</f>
        <v>https://pbs.twimg.com/media/Fu0zFr4XgAA444n.jpg</v>
      </c>
      <c r="AW3067" s="82" t="s">
        <v>19833</v>
      </c>
      <c r="AX3067" s="82" t="s">
        <v>19833</v>
      </c>
      <c r="AY3067" s="77"/>
      <c r="AZ3067" s="82" t="s">
        <v>20971</v>
      </c>
      <c r="BA3067" s="82" t="s">
        <v>20971</v>
      </c>
      <c r="BB3067" s="82" t="s">
        <v>20971</v>
      </c>
      <c r="BC3067" s="82" t="s">
        <v>19833</v>
      </c>
      <c r="BD3067" s="82" t="s">
        <v>21597</v>
      </c>
      <c r="BE3067" s="77"/>
      <c r="BF3067" s="77"/>
      <c r="BG3067" s="77"/>
      <c r="BH3067" s="77"/>
      <c r="BI3067" s="77"/>
    </row>
    <row r="3068" spans="1:61" x14ac:dyDescent="0.25">
      <c r="A3068" s="62" t="s">
        <v>1006</v>
      </c>
      <c r="B3068" s="62" t="s">
        <v>1006</v>
      </c>
      <c r="C3068" s="63"/>
      <c r="D3068" s="64"/>
      <c r="E3068" s="65"/>
      <c r="F3068" s="66"/>
      <c r="G3068" s="63"/>
      <c r="H3068" s="67"/>
      <c r="I3068" s="68"/>
      <c r="J3068" s="68"/>
      <c r="K3068" s="32"/>
      <c r="L3068" s="75">
        <v>3068</v>
      </c>
      <c r="M3068" s="75"/>
      <c r="N3068" s="70"/>
      <c r="O3068" s="77" t="s">
        <v>179</v>
      </c>
      <c r="P3068" s="79">
        <v>45044.797083333331</v>
      </c>
      <c r="Q3068" s="77" t="s">
        <v>4274</v>
      </c>
      <c r="R3068" s="77">
        <v>0</v>
      </c>
      <c r="S3068" s="77">
        <v>0</v>
      </c>
      <c r="T3068" s="77">
        <v>0</v>
      </c>
      <c r="U3068" s="77">
        <v>0</v>
      </c>
      <c r="V3068" s="77">
        <v>97</v>
      </c>
      <c r="W3068" s="82" t="s">
        <v>6740</v>
      </c>
      <c r="X3068" s="77"/>
      <c r="Y3068" s="77"/>
      <c r="Z3068" s="77"/>
      <c r="AA3068" s="77" t="s">
        <v>9393</v>
      </c>
      <c r="AB3068" s="77" t="s">
        <v>10130</v>
      </c>
      <c r="AC3068" s="82" t="s">
        <v>10147</v>
      </c>
      <c r="AD3068" s="77" t="s">
        <v>10184</v>
      </c>
      <c r="AE3068" s="80" t="str">
        <f>HYPERLINK("https://twitter.com/imdasmilhas/status/1652026846446231559")</f>
        <v>https://twitter.com/imdasmilhas/status/1652026846446231559</v>
      </c>
      <c r="AF3068" s="79">
        <v>45044.797083333331</v>
      </c>
      <c r="AG3068" s="85">
        <v>45044</v>
      </c>
      <c r="AH3068" s="82" t="s">
        <v>13089</v>
      </c>
      <c r="AI3068" s="77" t="b">
        <v>0</v>
      </c>
      <c r="AJ3068" s="77"/>
      <c r="AK3068" s="77"/>
      <c r="AL3068" s="77"/>
      <c r="AM3068" s="77"/>
      <c r="AN3068" s="77"/>
      <c r="AO3068" s="77"/>
      <c r="AP3068" s="77"/>
      <c r="AQ3068" s="77" t="s">
        <v>16036</v>
      </c>
      <c r="AR3068" s="77"/>
      <c r="AS3068" s="77"/>
      <c r="AT3068" s="77"/>
      <c r="AU3068" s="77"/>
      <c r="AV3068" s="80" t="str">
        <f>HYPERLINK("https://pbs.twimg.com/media/Fu0tqU6WwAQz-X6.jpg")</f>
        <v>https://pbs.twimg.com/media/Fu0tqU6WwAQz-X6.jpg</v>
      </c>
      <c r="AW3068" s="82" t="s">
        <v>19834</v>
      </c>
      <c r="AX3068" s="82" t="s">
        <v>19834</v>
      </c>
      <c r="AY3068" s="77"/>
      <c r="AZ3068" s="82" t="s">
        <v>20971</v>
      </c>
      <c r="BA3068" s="82" t="s">
        <v>20971</v>
      </c>
      <c r="BB3068" s="82" t="s">
        <v>20971</v>
      </c>
      <c r="BC3068" s="82" t="s">
        <v>19834</v>
      </c>
      <c r="BD3068" s="82" t="s">
        <v>21597</v>
      </c>
      <c r="BE3068" s="77"/>
      <c r="BF3068" s="77"/>
      <c r="BG3068" s="77"/>
      <c r="BH3068" s="77"/>
      <c r="BI3068" s="77"/>
    </row>
    <row r="3069" spans="1:61" x14ac:dyDescent="0.25">
      <c r="A3069" s="62" t="s">
        <v>1006</v>
      </c>
      <c r="B3069" s="62" t="s">
        <v>1006</v>
      </c>
      <c r="C3069" s="63"/>
      <c r="D3069" s="64"/>
      <c r="E3069" s="65"/>
      <c r="F3069" s="66"/>
      <c r="G3069" s="63"/>
      <c r="H3069" s="67"/>
      <c r="I3069" s="68"/>
      <c r="J3069" s="68"/>
      <c r="K3069" s="32"/>
      <c r="L3069" s="75">
        <v>3069</v>
      </c>
      <c r="M3069" s="75"/>
      <c r="N3069" s="70"/>
      <c r="O3069" s="77" t="s">
        <v>179</v>
      </c>
      <c r="P3069" s="79">
        <v>45044.774108796293</v>
      </c>
      <c r="Q3069" s="77" t="s">
        <v>4275</v>
      </c>
      <c r="R3069" s="77">
        <v>0</v>
      </c>
      <c r="S3069" s="77">
        <v>0</v>
      </c>
      <c r="T3069" s="77">
        <v>0</v>
      </c>
      <c r="U3069" s="77">
        <v>0</v>
      </c>
      <c r="V3069" s="77">
        <v>83</v>
      </c>
      <c r="W3069" s="82" t="s">
        <v>6740</v>
      </c>
      <c r="X3069" s="77"/>
      <c r="Y3069" s="77"/>
      <c r="Z3069" s="77"/>
      <c r="AA3069" s="77" t="s">
        <v>9394</v>
      </c>
      <c r="AB3069" s="77" t="s">
        <v>10130</v>
      </c>
      <c r="AC3069" s="82" t="s">
        <v>10147</v>
      </c>
      <c r="AD3069" s="77" t="s">
        <v>10184</v>
      </c>
      <c r="AE3069" s="80" t="str">
        <f>HYPERLINK("https://twitter.com/imdasmilhas/status/1652018522296336389")</f>
        <v>https://twitter.com/imdasmilhas/status/1652018522296336389</v>
      </c>
      <c r="AF3069" s="79">
        <v>45044.774108796293</v>
      </c>
      <c r="AG3069" s="85">
        <v>45044</v>
      </c>
      <c r="AH3069" s="82" t="s">
        <v>13090</v>
      </c>
      <c r="AI3069" s="77" t="b">
        <v>0</v>
      </c>
      <c r="AJ3069" s="77"/>
      <c r="AK3069" s="77"/>
      <c r="AL3069" s="77"/>
      <c r="AM3069" s="77"/>
      <c r="AN3069" s="77"/>
      <c r="AO3069" s="77"/>
      <c r="AP3069" s="77"/>
      <c r="AQ3069" s="77" t="s">
        <v>16037</v>
      </c>
      <c r="AR3069" s="77"/>
      <c r="AS3069" s="77"/>
      <c r="AT3069" s="77"/>
      <c r="AU3069" s="77"/>
      <c r="AV3069" s="80" t="str">
        <f>HYPERLINK("https://pbs.twimg.com/media/Fu0mFz3WwAMami2.jpg")</f>
        <v>https://pbs.twimg.com/media/Fu0mFz3WwAMami2.jpg</v>
      </c>
      <c r="AW3069" s="82" t="s">
        <v>19835</v>
      </c>
      <c r="AX3069" s="82" t="s">
        <v>19835</v>
      </c>
      <c r="AY3069" s="77"/>
      <c r="AZ3069" s="82" t="s">
        <v>20971</v>
      </c>
      <c r="BA3069" s="82" t="s">
        <v>20971</v>
      </c>
      <c r="BB3069" s="82" t="s">
        <v>20971</v>
      </c>
      <c r="BC3069" s="82" t="s">
        <v>19835</v>
      </c>
      <c r="BD3069" s="82" t="s">
        <v>21597</v>
      </c>
      <c r="BE3069" s="77"/>
      <c r="BF3069" s="77"/>
      <c r="BG3069" s="77"/>
      <c r="BH3069" s="77"/>
      <c r="BI3069" s="77"/>
    </row>
    <row r="3070" spans="1:61" x14ac:dyDescent="0.25">
      <c r="A3070" s="62" t="s">
        <v>1006</v>
      </c>
      <c r="B3070" s="62" t="s">
        <v>1006</v>
      </c>
      <c r="C3070" s="63"/>
      <c r="D3070" s="64"/>
      <c r="E3070" s="65"/>
      <c r="F3070" s="66"/>
      <c r="G3070" s="63"/>
      <c r="H3070" s="67"/>
      <c r="I3070" s="68"/>
      <c r="J3070" s="68"/>
      <c r="K3070" s="32"/>
      <c r="L3070" s="75">
        <v>3070</v>
      </c>
      <c r="M3070" s="75"/>
      <c r="N3070" s="70"/>
      <c r="O3070" s="77" t="s">
        <v>179</v>
      </c>
      <c r="P3070" s="79">
        <v>45044.763692129629</v>
      </c>
      <c r="Q3070" s="77" t="s">
        <v>4276</v>
      </c>
      <c r="R3070" s="77">
        <v>0</v>
      </c>
      <c r="S3070" s="77">
        <v>0</v>
      </c>
      <c r="T3070" s="77">
        <v>0</v>
      </c>
      <c r="U3070" s="77">
        <v>0</v>
      </c>
      <c r="V3070" s="77">
        <v>96</v>
      </c>
      <c r="W3070" s="82" t="s">
        <v>6740</v>
      </c>
      <c r="X3070" s="77"/>
      <c r="Y3070" s="77"/>
      <c r="Z3070" s="77"/>
      <c r="AA3070" s="77" t="s">
        <v>9395</v>
      </c>
      <c r="AB3070" s="77" t="s">
        <v>10130</v>
      </c>
      <c r="AC3070" s="82" t="s">
        <v>10147</v>
      </c>
      <c r="AD3070" s="77" t="s">
        <v>10184</v>
      </c>
      <c r="AE3070" s="80" t="str">
        <f>HYPERLINK("https://twitter.com/imdasmilhas/status/1652014746768424962")</f>
        <v>https://twitter.com/imdasmilhas/status/1652014746768424962</v>
      </c>
      <c r="AF3070" s="79">
        <v>45044.763692129629</v>
      </c>
      <c r="AG3070" s="85">
        <v>45044</v>
      </c>
      <c r="AH3070" s="82" t="s">
        <v>13091</v>
      </c>
      <c r="AI3070" s="77" t="b">
        <v>0</v>
      </c>
      <c r="AJ3070" s="77"/>
      <c r="AK3070" s="77"/>
      <c r="AL3070" s="77"/>
      <c r="AM3070" s="77"/>
      <c r="AN3070" s="77"/>
      <c r="AO3070" s="77"/>
      <c r="AP3070" s="77"/>
      <c r="AQ3070" s="77" t="s">
        <v>16038</v>
      </c>
      <c r="AR3070" s="77"/>
      <c r="AS3070" s="77"/>
      <c r="AT3070" s="77"/>
      <c r="AU3070" s="77"/>
      <c r="AV3070" s="80" t="str">
        <f>HYPERLINK("https://pbs.twimg.com/media/Fu0iqB4WAAAllxx.jpg")</f>
        <v>https://pbs.twimg.com/media/Fu0iqB4WAAAllxx.jpg</v>
      </c>
      <c r="AW3070" s="82" t="s">
        <v>19836</v>
      </c>
      <c r="AX3070" s="82" t="s">
        <v>19836</v>
      </c>
      <c r="AY3070" s="77"/>
      <c r="AZ3070" s="82" t="s">
        <v>20971</v>
      </c>
      <c r="BA3070" s="82" t="s">
        <v>20971</v>
      </c>
      <c r="BB3070" s="82" t="s">
        <v>20971</v>
      </c>
      <c r="BC3070" s="82" t="s">
        <v>19836</v>
      </c>
      <c r="BD3070" s="82" t="s">
        <v>21597</v>
      </c>
      <c r="BE3070" s="77"/>
      <c r="BF3070" s="77"/>
      <c r="BG3070" s="77"/>
      <c r="BH3070" s="77"/>
      <c r="BI3070" s="77"/>
    </row>
    <row r="3071" spans="1:61" x14ac:dyDescent="0.25">
      <c r="A3071" s="62" t="s">
        <v>1006</v>
      </c>
      <c r="B3071" s="62" t="s">
        <v>1006</v>
      </c>
      <c r="C3071" s="63"/>
      <c r="D3071" s="64"/>
      <c r="E3071" s="65"/>
      <c r="F3071" s="66"/>
      <c r="G3071" s="63"/>
      <c r="H3071" s="67"/>
      <c r="I3071" s="68"/>
      <c r="J3071" s="68"/>
      <c r="K3071" s="32"/>
      <c r="L3071" s="75">
        <v>3071</v>
      </c>
      <c r="M3071" s="75"/>
      <c r="N3071" s="70"/>
      <c r="O3071" s="77" t="s">
        <v>179</v>
      </c>
      <c r="P3071" s="79">
        <v>45044.762696759259</v>
      </c>
      <c r="Q3071" s="77" t="s">
        <v>4277</v>
      </c>
      <c r="R3071" s="77">
        <v>0</v>
      </c>
      <c r="S3071" s="77">
        <v>0</v>
      </c>
      <c r="T3071" s="77">
        <v>0</v>
      </c>
      <c r="U3071" s="77">
        <v>0</v>
      </c>
      <c r="V3071" s="77">
        <v>75</v>
      </c>
      <c r="W3071" s="82" t="s">
        <v>6740</v>
      </c>
      <c r="X3071" s="77"/>
      <c r="Y3071" s="77"/>
      <c r="Z3071" s="77"/>
      <c r="AA3071" s="77" t="s">
        <v>9396</v>
      </c>
      <c r="AB3071" s="77" t="s">
        <v>10130</v>
      </c>
      <c r="AC3071" s="82" t="s">
        <v>10147</v>
      </c>
      <c r="AD3071" s="77" t="s">
        <v>10184</v>
      </c>
      <c r="AE3071" s="80" t="str">
        <f>HYPERLINK("https://twitter.com/imdasmilhas/status/1652014387996049410")</f>
        <v>https://twitter.com/imdasmilhas/status/1652014387996049410</v>
      </c>
      <c r="AF3071" s="79">
        <v>45044.762696759259</v>
      </c>
      <c r="AG3071" s="85">
        <v>45044</v>
      </c>
      <c r="AH3071" s="82" t="s">
        <v>13092</v>
      </c>
      <c r="AI3071" s="77" t="b">
        <v>0</v>
      </c>
      <c r="AJ3071" s="77"/>
      <c r="AK3071" s="77"/>
      <c r="AL3071" s="77"/>
      <c r="AM3071" s="77"/>
      <c r="AN3071" s="77"/>
      <c r="AO3071" s="77"/>
      <c r="AP3071" s="77"/>
      <c r="AQ3071" s="77" t="s">
        <v>16039</v>
      </c>
      <c r="AR3071" s="77"/>
      <c r="AS3071" s="77"/>
      <c r="AT3071" s="77"/>
      <c r="AU3071" s="77"/>
      <c r="AV3071" s="80" t="str">
        <f>HYPERLINK("https://pbs.twimg.com/media/Fu0iVLxWwA0CQcJ.jpg")</f>
        <v>https://pbs.twimg.com/media/Fu0iVLxWwA0CQcJ.jpg</v>
      </c>
      <c r="AW3071" s="82" t="s">
        <v>19837</v>
      </c>
      <c r="AX3071" s="82" t="s">
        <v>19837</v>
      </c>
      <c r="AY3071" s="77"/>
      <c r="AZ3071" s="82" t="s">
        <v>20971</v>
      </c>
      <c r="BA3071" s="82" t="s">
        <v>20971</v>
      </c>
      <c r="BB3071" s="82" t="s">
        <v>20971</v>
      </c>
      <c r="BC3071" s="82" t="s">
        <v>19837</v>
      </c>
      <c r="BD3071" s="82" t="s">
        <v>21597</v>
      </c>
      <c r="BE3071" s="77"/>
      <c r="BF3071" s="77"/>
      <c r="BG3071" s="77"/>
      <c r="BH3071" s="77"/>
      <c r="BI3071" s="77"/>
    </row>
    <row r="3072" spans="1:61" x14ac:dyDescent="0.25">
      <c r="A3072" s="62" t="s">
        <v>1006</v>
      </c>
      <c r="B3072" s="62" t="s">
        <v>1006</v>
      </c>
      <c r="C3072" s="63"/>
      <c r="D3072" s="64"/>
      <c r="E3072" s="65"/>
      <c r="F3072" s="66"/>
      <c r="G3072" s="63"/>
      <c r="H3072" s="67"/>
      <c r="I3072" s="68"/>
      <c r="J3072" s="68"/>
      <c r="K3072" s="32"/>
      <c r="L3072" s="75">
        <v>3072</v>
      </c>
      <c r="M3072" s="75"/>
      <c r="N3072" s="70"/>
      <c r="O3072" s="77" t="s">
        <v>179</v>
      </c>
      <c r="P3072" s="79">
        <v>45044.636608796296</v>
      </c>
      <c r="Q3072" s="77" t="s">
        <v>4278</v>
      </c>
      <c r="R3072" s="77">
        <v>0</v>
      </c>
      <c r="S3072" s="77">
        <v>0</v>
      </c>
      <c r="T3072" s="77">
        <v>0</v>
      </c>
      <c r="U3072" s="77">
        <v>0</v>
      </c>
      <c r="V3072" s="77">
        <v>86</v>
      </c>
      <c r="W3072" s="82" t="s">
        <v>6740</v>
      </c>
      <c r="X3072" s="77"/>
      <c r="Y3072" s="77"/>
      <c r="Z3072" s="77"/>
      <c r="AA3072" s="77" t="s">
        <v>9397</v>
      </c>
      <c r="AB3072" s="77" t="s">
        <v>10130</v>
      </c>
      <c r="AC3072" s="82" t="s">
        <v>10147</v>
      </c>
      <c r="AD3072" s="77" t="s">
        <v>10184</v>
      </c>
      <c r="AE3072" s="80" t="str">
        <f>HYPERLINK("https://twitter.com/imdasmilhas/status/1651968695885873153")</f>
        <v>https://twitter.com/imdasmilhas/status/1651968695885873153</v>
      </c>
      <c r="AF3072" s="79">
        <v>45044.636608796296</v>
      </c>
      <c r="AG3072" s="85">
        <v>45044</v>
      </c>
      <c r="AH3072" s="82" t="s">
        <v>13093</v>
      </c>
      <c r="AI3072" s="77" t="b">
        <v>0</v>
      </c>
      <c r="AJ3072" s="77"/>
      <c r="AK3072" s="77"/>
      <c r="AL3072" s="77"/>
      <c r="AM3072" s="77"/>
      <c r="AN3072" s="77"/>
      <c r="AO3072" s="77"/>
      <c r="AP3072" s="77"/>
      <c r="AQ3072" s="77" t="s">
        <v>16040</v>
      </c>
      <c r="AR3072" s="77"/>
      <c r="AS3072" s="77"/>
      <c r="AT3072" s="77"/>
      <c r="AU3072" s="77"/>
      <c r="AV3072" s="80" t="str">
        <f>HYPERLINK("https://pbs.twimg.com/media/Fuz4xejXwAE30M-.jpg")</f>
        <v>https://pbs.twimg.com/media/Fuz4xejXwAE30M-.jpg</v>
      </c>
      <c r="AW3072" s="82" t="s">
        <v>19838</v>
      </c>
      <c r="AX3072" s="82" t="s">
        <v>19838</v>
      </c>
      <c r="AY3072" s="77"/>
      <c r="AZ3072" s="82" t="s">
        <v>20971</v>
      </c>
      <c r="BA3072" s="82" t="s">
        <v>20971</v>
      </c>
      <c r="BB3072" s="82" t="s">
        <v>20971</v>
      </c>
      <c r="BC3072" s="82" t="s">
        <v>19838</v>
      </c>
      <c r="BD3072" s="82" t="s">
        <v>21597</v>
      </c>
      <c r="BE3072" s="77"/>
      <c r="BF3072" s="77"/>
      <c r="BG3072" s="77"/>
      <c r="BH3072" s="77"/>
      <c r="BI3072" s="77"/>
    </row>
    <row r="3073" spans="1:61" x14ac:dyDescent="0.25">
      <c r="A3073" s="62" t="s">
        <v>1006</v>
      </c>
      <c r="B3073" s="62" t="s">
        <v>1006</v>
      </c>
      <c r="C3073" s="63"/>
      <c r="D3073" s="64"/>
      <c r="E3073" s="65"/>
      <c r="F3073" s="66"/>
      <c r="G3073" s="63"/>
      <c r="H3073" s="67"/>
      <c r="I3073" s="68"/>
      <c r="J3073" s="68"/>
      <c r="K3073" s="32"/>
      <c r="L3073" s="75">
        <v>3073</v>
      </c>
      <c r="M3073" s="75"/>
      <c r="N3073" s="70"/>
      <c r="O3073" s="77" t="s">
        <v>179</v>
      </c>
      <c r="P3073" s="79">
        <v>45044.63621527778</v>
      </c>
      <c r="Q3073" s="77" t="s">
        <v>4279</v>
      </c>
      <c r="R3073" s="77">
        <v>0</v>
      </c>
      <c r="S3073" s="77">
        <v>0</v>
      </c>
      <c r="T3073" s="77">
        <v>0</v>
      </c>
      <c r="U3073" s="77">
        <v>0</v>
      </c>
      <c r="V3073" s="77">
        <v>81</v>
      </c>
      <c r="W3073" s="82" t="s">
        <v>6740</v>
      </c>
      <c r="X3073" s="77"/>
      <c r="Y3073" s="77"/>
      <c r="Z3073" s="77"/>
      <c r="AA3073" s="77" t="s">
        <v>9398</v>
      </c>
      <c r="AB3073" s="77" t="s">
        <v>10130</v>
      </c>
      <c r="AC3073" s="82" t="s">
        <v>10147</v>
      </c>
      <c r="AD3073" s="77" t="s">
        <v>10184</v>
      </c>
      <c r="AE3073" s="80" t="str">
        <f>HYPERLINK("https://twitter.com/imdasmilhas/status/1651968551455010816")</f>
        <v>https://twitter.com/imdasmilhas/status/1651968551455010816</v>
      </c>
      <c r="AF3073" s="79">
        <v>45044.63621527778</v>
      </c>
      <c r="AG3073" s="85">
        <v>45044</v>
      </c>
      <c r="AH3073" s="82" t="s">
        <v>13094</v>
      </c>
      <c r="AI3073" s="77" t="b">
        <v>0</v>
      </c>
      <c r="AJ3073" s="77"/>
      <c r="AK3073" s="77"/>
      <c r="AL3073" s="77"/>
      <c r="AM3073" s="77"/>
      <c r="AN3073" s="77"/>
      <c r="AO3073" s="77"/>
      <c r="AP3073" s="77"/>
      <c r="AQ3073" s="77" t="s">
        <v>16041</v>
      </c>
      <c r="AR3073" s="77"/>
      <c r="AS3073" s="77"/>
      <c r="AT3073" s="77"/>
      <c r="AU3073" s="77"/>
      <c r="AV3073" s="80" t="str">
        <f>HYPERLINK("https://pbs.twimg.com/media/Fuz4pHbWYAIaSIh.jpg")</f>
        <v>https://pbs.twimg.com/media/Fuz4pHbWYAIaSIh.jpg</v>
      </c>
      <c r="AW3073" s="82" t="s">
        <v>19839</v>
      </c>
      <c r="AX3073" s="82" t="s">
        <v>19839</v>
      </c>
      <c r="AY3073" s="77"/>
      <c r="AZ3073" s="82" t="s">
        <v>20971</v>
      </c>
      <c r="BA3073" s="82" t="s">
        <v>20971</v>
      </c>
      <c r="BB3073" s="82" t="s">
        <v>20971</v>
      </c>
      <c r="BC3073" s="82" t="s">
        <v>19839</v>
      </c>
      <c r="BD3073" s="82" t="s">
        <v>21597</v>
      </c>
      <c r="BE3073" s="77"/>
      <c r="BF3073" s="77"/>
      <c r="BG3073" s="77"/>
      <c r="BH3073" s="77"/>
      <c r="BI3073" s="77"/>
    </row>
    <row r="3074" spans="1:61" x14ac:dyDescent="0.25">
      <c r="A3074" s="62" t="s">
        <v>1006</v>
      </c>
      <c r="B3074" s="62" t="s">
        <v>1006</v>
      </c>
      <c r="C3074" s="63"/>
      <c r="D3074" s="64"/>
      <c r="E3074" s="65"/>
      <c r="F3074" s="66"/>
      <c r="G3074" s="63"/>
      <c r="H3074" s="67"/>
      <c r="I3074" s="68"/>
      <c r="J3074" s="68"/>
      <c r="K3074" s="32"/>
      <c r="L3074" s="75">
        <v>3074</v>
      </c>
      <c r="M3074" s="75"/>
      <c r="N3074" s="70"/>
      <c r="O3074" s="77" t="s">
        <v>179</v>
      </c>
      <c r="P3074" s="79">
        <v>45044.635891203703</v>
      </c>
      <c r="Q3074" s="77" t="s">
        <v>4280</v>
      </c>
      <c r="R3074" s="77">
        <v>0</v>
      </c>
      <c r="S3074" s="77">
        <v>0</v>
      </c>
      <c r="T3074" s="77">
        <v>0</v>
      </c>
      <c r="U3074" s="77">
        <v>0</v>
      </c>
      <c r="V3074" s="77">
        <v>138</v>
      </c>
      <c r="W3074" s="82" t="s">
        <v>6740</v>
      </c>
      <c r="X3074" s="77"/>
      <c r="Y3074" s="77"/>
      <c r="Z3074" s="77"/>
      <c r="AA3074" s="77" t="s">
        <v>9399</v>
      </c>
      <c r="AB3074" s="77" t="s">
        <v>10130</v>
      </c>
      <c r="AC3074" s="82" t="s">
        <v>10147</v>
      </c>
      <c r="AD3074" s="77" t="s">
        <v>10184</v>
      </c>
      <c r="AE3074" s="80" t="str">
        <f>HYPERLINK("https://twitter.com/imdasmilhas/status/1651968433599180800")</f>
        <v>https://twitter.com/imdasmilhas/status/1651968433599180800</v>
      </c>
      <c r="AF3074" s="79">
        <v>45044.635891203703</v>
      </c>
      <c r="AG3074" s="85">
        <v>45044</v>
      </c>
      <c r="AH3074" s="82" t="s">
        <v>13095</v>
      </c>
      <c r="AI3074" s="77" t="b">
        <v>0</v>
      </c>
      <c r="AJ3074" s="77"/>
      <c r="AK3074" s="77"/>
      <c r="AL3074" s="77"/>
      <c r="AM3074" s="77"/>
      <c r="AN3074" s="77"/>
      <c r="AO3074" s="77"/>
      <c r="AP3074" s="77"/>
      <c r="AQ3074" s="77" t="s">
        <v>16042</v>
      </c>
      <c r="AR3074" s="77"/>
      <c r="AS3074" s="77"/>
      <c r="AT3074" s="77"/>
      <c r="AU3074" s="77"/>
      <c r="AV3074" s="80" t="str">
        <f>HYPERLINK("https://pbs.twimg.com/media/Fuz4iQlXgAEWT4v.jpg")</f>
        <v>https://pbs.twimg.com/media/Fuz4iQlXgAEWT4v.jpg</v>
      </c>
      <c r="AW3074" s="82" t="s">
        <v>19840</v>
      </c>
      <c r="AX3074" s="82" t="s">
        <v>19840</v>
      </c>
      <c r="AY3074" s="77"/>
      <c r="AZ3074" s="82" t="s">
        <v>20971</v>
      </c>
      <c r="BA3074" s="82" t="s">
        <v>20971</v>
      </c>
      <c r="BB3074" s="82" t="s">
        <v>20971</v>
      </c>
      <c r="BC3074" s="82" t="s">
        <v>19840</v>
      </c>
      <c r="BD3074" s="82" t="s">
        <v>21597</v>
      </c>
      <c r="BE3074" s="77"/>
      <c r="BF3074" s="77"/>
      <c r="BG3074" s="77"/>
      <c r="BH3074" s="77"/>
      <c r="BI3074" s="77"/>
    </row>
    <row r="3075" spans="1:61" x14ac:dyDescent="0.25">
      <c r="A3075" s="62" t="s">
        <v>1006</v>
      </c>
      <c r="B3075" s="62" t="s">
        <v>1006</v>
      </c>
      <c r="C3075" s="63"/>
      <c r="D3075" s="64"/>
      <c r="E3075" s="65"/>
      <c r="F3075" s="66"/>
      <c r="G3075" s="63"/>
      <c r="H3075" s="67"/>
      <c r="I3075" s="68"/>
      <c r="J3075" s="68"/>
      <c r="K3075" s="32"/>
      <c r="L3075" s="75">
        <v>3075</v>
      </c>
      <c r="M3075" s="75"/>
      <c r="N3075" s="70"/>
      <c r="O3075" s="77" t="s">
        <v>179</v>
      </c>
      <c r="P3075" s="79">
        <v>45016.753020833334</v>
      </c>
      <c r="Q3075" s="77" t="s">
        <v>4281</v>
      </c>
      <c r="R3075" s="77">
        <v>0</v>
      </c>
      <c r="S3075" s="77">
        <v>0</v>
      </c>
      <c r="T3075" s="77">
        <v>0</v>
      </c>
      <c r="U3075" s="77">
        <v>0</v>
      </c>
      <c r="V3075" s="77">
        <v>114</v>
      </c>
      <c r="W3075" s="82" t="s">
        <v>6740</v>
      </c>
      <c r="X3075" s="77"/>
      <c r="Y3075" s="77"/>
      <c r="Z3075" s="77"/>
      <c r="AA3075" s="77" t="s">
        <v>9400</v>
      </c>
      <c r="AB3075" s="77" t="s">
        <v>10130</v>
      </c>
      <c r="AC3075" s="82" t="s">
        <v>10147</v>
      </c>
      <c r="AD3075" s="77" t="s">
        <v>10184</v>
      </c>
      <c r="AE3075" s="80" t="str">
        <f>HYPERLINK("https://twitter.com/imdasmilhas/status/1641864020712906762")</f>
        <v>https://twitter.com/imdasmilhas/status/1641864020712906762</v>
      </c>
      <c r="AF3075" s="79">
        <v>45016.753020833334</v>
      </c>
      <c r="AG3075" s="85">
        <v>45016</v>
      </c>
      <c r="AH3075" s="82" t="s">
        <v>13096</v>
      </c>
      <c r="AI3075" s="77" t="b">
        <v>0</v>
      </c>
      <c r="AJ3075" s="77"/>
      <c r="AK3075" s="77"/>
      <c r="AL3075" s="77"/>
      <c r="AM3075" s="77"/>
      <c r="AN3075" s="77"/>
      <c r="AO3075" s="77"/>
      <c r="AP3075" s="77"/>
      <c r="AQ3075" s="77" t="s">
        <v>16043</v>
      </c>
      <c r="AR3075" s="77"/>
      <c r="AS3075" s="77"/>
      <c r="AT3075" s="77"/>
      <c r="AU3075" s="77"/>
      <c r="AV3075" s="80" t="str">
        <f>HYPERLINK("https://pbs.twimg.com/media/FskSoBNWIAExH2i.jpg")</f>
        <v>https://pbs.twimg.com/media/FskSoBNWIAExH2i.jpg</v>
      </c>
      <c r="AW3075" s="82" t="s">
        <v>19841</v>
      </c>
      <c r="AX3075" s="82" t="s">
        <v>19841</v>
      </c>
      <c r="AY3075" s="77"/>
      <c r="AZ3075" s="82" t="s">
        <v>20971</v>
      </c>
      <c r="BA3075" s="82" t="s">
        <v>20971</v>
      </c>
      <c r="BB3075" s="82" t="s">
        <v>20971</v>
      </c>
      <c r="BC3075" s="82" t="s">
        <v>19841</v>
      </c>
      <c r="BD3075" s="82" t="s">
        <v>21597</v>
      </c>
      <c r="BE3075" s="77"/>
      <c r="BF3075" s="77"/>
      <c r="BG3075" s="77"/>
      <c r="BH3075" s="77"/>
      <c r="BI3075" s="77"/>
    </row>
    <row r="3076" spans="1:61" x14ac:dyDescent="0.25">
      <c r="A3076" s="62" t="s">
        <v>1006</v>
      </c>
      <c r="B3076" s="62" t="s">
        <v>1006</v>
      </c>
      <c r="C3076" s="63"/>
      <c r="D3076" s="64"/>
      <c r="E3076" s="65"/>
      <c r="F3076" s="66"/>
      <c r="G3076" s="63"/>
      <c r="H3076" s="67"/>
      <c r="I3076" s="68"/>
      <c r="J3076" s="68"/>
      <c r="K3076" s="32"/>
      <c r="L3076" s="75">
        <v>3076</v>
      </c>
      <c r="M3076" s="75"/>
      <c r="N3076" s="70"/>
      <c r="O3076" s="77" t="s">
        <v>179</v>
      </c>
      <c r="P3076" s="79">
        <v>45016.752314814818</v>
      </c>
      <c r="Q3076" s="77" t="s">
        <v>4282</v>
      </c>
      <c r="R3076" s="77">
        <v>0</v>
      </c>
      <c r="S3076" s="77">
        <v>0</v>
      </c>
      <c r="T3076" s="77">
        <v>0</v>
      </c>
      <c r="U3076" s="77">
        <v>0</v>
      </c>
      <c r="V3076" s="77">
        <v>104</v>
      </c>
      <c r="W3076" s="82" t="s">
        <v>6740</v>
      </c>
      <c r="X3076" s="77"/>
      <c r="Y3076" s="77"/>
      <c r="Z3076" s="77"/>
      <c r="AA3076" s="77" t="s">
        <v>9401</v>
      </c>
      <c r="AB3076" s="77" t="s">
        <v>10130</v>
      </c>
      <c r="AC3076" s="82" t="s">
        <v>10147</v>
      </c>
      <c r="AD3076" s="77" t="s">
        <v>10184</v>
      </c>
      <c r="AE3076" s="80" t="str">
        <f>HYPERLINK("https://twitter.com/imdasmilhas/status/1641863763509796874")</f>
        <v>https://twitter.com/imdasmilhas/status/1641863763509796874</v>
      </c>
      <c r="AF3076" s="79">
        <v>45016.752314814818</v>
      </c>
      <c r="AG3076" s="85">
        <v>45016</v>
      </c>
      <c r="AH3076" s="82" t="s">
        <v>13097</v>
      </c>
      <c r="AI3076" s="77" t="b">
        <v>0</v>
      </c>
      <c r="AJ3076" s="77"/>
      <c r="AK3076" s="77"/>
      <c r="AL3076" s="77"/>
      <c r="AM3076" s="77"/>
      <c r="AN3076" s="77"/>
      <c r="AO3076" s="77"/>
      <c r="AP3076" s="77"/>
      <c r="AQ3076" s="77" t="s">
        <v>16044</v>
      </c>
      <c r="AR3076" s="77"/>
      <c r="AS3076" s="77"/>
      <c r="AT3076" s="77"/>
      <c r="AU3076" s="77"/>
      <c r="AV3076" s="80" t="str">
        <f>HYPERLINK("https://pbs.twimg.com/media/FskSZEVXoAEjI9m.jpg")</f>
        <v>https://pbs.twimg.com/media/FskSZEVXoAEjI9m.jpg</v>
      </c>
      <c r="AW3076" s="82" t="s">
        <v>19842</v>
      </c>
      <c r="AX3076" s="82" t="s">
        <v>19842</v>
      </c>
      <c r="AY3076" s="77"/>
      <c r="AZ3076" s="82" t="s">
        <v>20971</v>
      </c>
      <c r="BA3076" s="82" t="s">
        <v>20971</v>
      </c>
      <c r="BB3076" s="82" t="s">
        <v>20971</v>
      </c>
      <c r="BC3076" s="82" t="s">
        <v>19842</v>
      </c>
      <c r="BD3076" s="82" t="s">
        <v>21597</v>
      </c>
      <c r="BE3076" s="77"/>
      <c r="BF3076" s="77"/>
      <c r="BG3076" s="77"/>
      <c r="BH3076" s="77"/>
      <c r="BI3076" s="77"/>
    </row>
    <row r="3077" spans="1:61" x14ac:dyDescent="0.25">
      <c r="A3077" s="62" t="s">
        <v>1006</v>
      </c>
      <c r="B3077" s="62" t="s">
        <v>1006</v>
      </c>
      <c r="C3077" s="63"/>
      <c r="D3077" s="64"/>
      <c r="E3077" s="65"/>
      <c r="F3077" s="66"/>
      <c r="G3077" s="63"/>
      <c r="H3077" s="67"/>
      <c r="I3077" s="68"/>
      <c r="J3077" s="68"/>
      <c r="K3077" s="32"/>
      <c r="L3077" s="75">
        <v>3077</v>
      </c>
      <c r="M3077" s="75"/>
      <c r="N3077" s="70"/>
      <c r="O3077" s="77" t="s">
        <v>179</v>
      </c>
      <c r="P3077" s="79">
        <v>45016.751620370371</v>
      </c>
      <c r="Q3077" s="77" t="s">
        <v>4283</v>
      </c>
      <c r="R3077" s="77">
        <v>0</v>
      </c>
      <c r="S3077" s="77">
        <v>0</v>
      </c>
      <c r="T3077" s="77">
        <v>0</v>
      </c>
      <c r="U3077" s="77">
        <v>0</v>
      </c>
      <c r="V3077" s="77">
        <v>98</v>
      </c>
      <c r="W3077" s="82" t="s">
        <v>6740</v>
      </c>
      <c r="X3077" s="77"/>
      <c r="Y3077" s="77"/>
      <c r="Z3077" s="77"/>
      <c r="AA3077" s="77" t="s">
        <v>9402</v>
      </c>
      <c r="AB3077" s="77" t="s">
        <v>10130</v>
      </c>
      <c r="AC3077" s="82" t="s">
        <v>10147</v>
      </c>
      <c r="AD3077" s="77" t="s">
        <v>10184</v>
      </c>
      <c r="AE3077" s="80" t="str">
        <f>HYPERLINK("https://twitter.com/imdasmilhas/status/1641863511071506432")</f>
        <v>https://twitter.com/imdasmilhas/status/1641863511071506432</v>
      </c>
      <c r="AF3077" s="79">
        <v>45016.751620370371</v>
      </c>
      <c r="AG3077" s="85">
        <v>45016</v>
      </c>
      <c r="AH3077" s="82" t="s">
        <v>13098</v>
      </c>
      <c r="AI3077" s="77" t="b">
        <v>0</v>
      </c>
      <c r="AJ3077" s="77"/>
      <c r="AK3077" s="77"/>
      <c r="AL3077" s="77"/>
      <c r="AM3077" s="77"/>
      <c r="AN3077" s="77"/>
      <c r="AO3077" s="77"/>
      <c r="AP3077" s="77"/>
      <c r="AQ3077" s="77" t="s">
        <v>16045</v>
      </c>
      <c r="AR3077" s="77"/>
      <c r="AS3077" s="77"/>
      <c r="AT3077" s="77"/>
      <c r="AU3077" s="77"/>
      <c r="AV3077" s="80" t="str">
        <f>HYPERLINK("https://pbs.twimg.com/media/FskSKW8WYAogqn9.jpg")</f>
        <v>https://pbs.twimg.com/media/FskSKW8WYAogqn9.jpg</v>
      </c>
      <c r="AW3077" s="82" t="s">
        <v>19843</v>
      </c>
      <c r="AX3077" s="82" t="s">
        <v>19843</v>
      </c>
      <c r="AY3077" s="77"/>
      <c r="AZ3077" s="82" t="s">
        <v>20971</v>
      </c>
      <c r="BA3077" s="82" t="s">
        <v>20971</v>
      </c>
      <c r="BB3077" s="82" t="s">
        <v>20971</v>
      </c>
      <c r="BC3077" s="82" t="s">
        <v>19843</v>
      </c>
      <c r="BD3077" s="82" t="s">
        <v>21597</v>
      </c>
      <c r="BE3077" s="77"/>
      <c r="BF3077" s="77"/>
      <c r="BG3077" s="77"/>
      <c r="BH3077" s="77"/>
      <c r="BI3077" s="77"/>
    </row>
    <row r="3078" spans="1:61" x14ac:dyDescent="0.25">
      <c r="A3078" s="62" t="s">
        <v>1006</v>
      </c>
      <c r="B3078" s="62" t="s">
        <v>1006</v>
      </c>
      <c r="C3078" s="63"/>
      <c r="D3078" s="64"/>
      <c r="E3078" s="65"/>
      <c r="F3078" s="66"/>
      <c r="G3078" s="63"/>
      <c r="H3078" s="67"/>
      <c r="I3078" s="68"/>
      <c r="J3078" s="68"/>
      <c r="K3078" s="32"/>
      <c r="L3078" s="75">
        <v>3078</v>
      </c>
      <c r="M3078" s="75"/>
      <c r="N3078" s="70"/>
      <c r="O3078" s="77" t="s">
        <v>179</v>
      </c>
      <c r="P3078" s="79">
        <v>45016.742650462962</v>
      </c>
      <c r="Q3078" s="77" t="s">
        <v>4284</v>
      </c>
      <c r="R3078" s="77">
        <v>0</v>
      </c>
      <c r="S3078" s="77">
        <v>0</v>
      </c>
      <c r="T3078" s="77">
        <v>0</v>
      </c>
      <c r="U3078" s="77">
        <v>0</v>
      </c>
      <c r="V3078" s="77">
        <v>81</v>
      </c>
      <c r="W3078" s="82" t="s">
        <v>6740</v>
      </c>
      <c r="X3078" s="77"/>
      <c r="Y3078" s="77"/>
      <c r="Z3078" s="77"/>
      <c r="AA3078" s="77" t="s">
        <v>9403</v>
      </c>
      <c r="AB3078" s="77" t="s">
        <v>10130</v>
      </c>
      <c r="AC3078" s="82" t="s">
        <v>10147</v>
      </c>
      <c r="AD3078" s="77" t="s">
        <v>10184</v>
      </c>
      <c r="AE3078" s="80" t="str">
        <f>HYPERLINK("https://twitter.com/imdasmilhas/status/1641860260565602304")</f>
        <v>https://twitter.com/imdasmilhas/status/1641860260565602304</v>
      </c>
      <c r="AF3078" s="79">
        <v>45016.742650462962</v>
      </c>
      <c r="AG3078" s="85">
        <v>45016</v>
      </c>
      <c r="AH3078" s="82" t="s">
        <v>13099</v>
      </c>
      <c r="AI3078" s="77" t="b">
        <v>0</v>
      </c>
      <c r="AJ3078" s="77"/>
      <c r="AK3078" s="77"/>
      <c r="AL3078" s="77"/>
      <c r="AM3078" s="77"/>
      <c r="AN3078" s="77"/>
      <c r="AO3078" s="77"/>
      <c r="AP3078" s="77"/>
      <c r="AQ3078" s="77" t="s">
        <v>16046</v>
      </c>
      <c r="AR3078" s="77"/>
      <c r="AS3078" s="77"/>
      <c r="AT3078" s="77"/>
      <c r="AU3078" s="77"/>
      <c r="AV3078" s="80" t="str">
        <f>HYPERLINK("https://pbs.twimg.com/media/FskPNJ4WYAo87DX.jpg")</f>
        <v>https://pbs.twimg.com/media/FskPNJ4WYAo87DX.jpg</v>
      </c>
      <c r="AW3078" s="82" t="s">
        <v>19844</v>
      </c>
      <c r="AX3078" s="82" t="s">
        <v>19844</v>
      </c>
      <c r="AY3078" s="77"/>
      <c r="AZ3078" s="82" t="s">
        <v>20971</v>
      </c>
      <c r="BA3078" s="82" t="s">
        <v>20971</v>
      </c>
      <c r="BB3078" s="82" t="s">
        <v>20971</v>
      </c>
      <c r="BC3078" s="82" t="s">
        <v>19844</v>
      </c>
      <c r="BD3078" s="82" t="s">
        <v>21597</v>
      </c>
      <c r="BE3078" s="77"/>
      <c r="BF3078" s="77"/>
      <c r="BG3078" s="77"/>
      <c r="BH3078" s="77"/>
      <c r="BI3078" s="77"/>
    </row>
    <row r="3079" spans="1:61" x14ac:dyDescent="0.25">
      <c r="A3079" s="62" t="s">
        <v>1006</v>
      </c>
      <c r="B3079" s="62" t="s">
        <v>1006</v>
      </c>
      <c r="C3079" s="63"/>
      <c r="D3079" s="64"/>
      <c r="E3079" s="65"/>
      <c r="F3079" s="66"/>
      <c r="G3079" s="63"/>
      <c r="H3079" s="67"/>
      <c r="I3079" s="68"/>
      <c r="J3079" s="68"/>
      <c r="K3079" s="32"/>
      <c r="L3079" s="75">
        <v>3079</v>
      </c>
      <c r="M3079" s="75"/>
      <c r="N3079" s="70"/>
      <c r="O3079" s="77" t="s">
        <v>179</v>
      </c>
      <c r="P3079" s="79">
        <v>45016.740671296298</v>
      </c>
      <c r="Q3079" s="77" t="s">
        <v>4285</v>
      </c>
      <c r="R3079" s="77">
        <v>0</v>
      </c>
      <c r="S3079" s="77">
        <v>0</v>
      </c>
      <c r="T3079" s="77">
        <v>0</v>
      </c>
      <c r="U3079" s="77">
        <v>0</v>
      </c>
      <c r="V3079" s="77">
        <v>101</v>
      </c>
      <c r="W3079" s="82" t="s">
        <v>6740</v>
      </c>
      <c r="X3079" s="77"/>
      <c r="Y3079" s="77"/>
      <c r="Z3079" s="77"/>
      <c r="AA3079" s="77" t="s">
        <v>9404</v>
      </c>
      <c r="AB3079" s="77" t="s">
        <v>10130</v>
      </c>
      <c r="AC3079" s="82" t="s">
        <v>10147</v>
      </c>
      <c r="AD3079" s="77" t="s">
        <v>10184</v>
      </c>
      <c r="AE3079" s="80" t="str">
        <f>HYPERLINK("https://twitter.com/imdasmilhas/status/1641859543456964610")</f>
        <v>https://twitter.com/imdasmilhas/status/1641859543456964610</v>
      </c>
      <c r="AF3079" s="79">
        <v>45016.740671296298</v>
      </c>
      <c r="AG3079" s="85">
        <v>45016</v>
      </c>
      <c r="AH3079" s="82" t="s">
        <v>13100</v>
      </c>
      <c r="AI3079" s="77" t="b">
        <v>0</v>
      </c>
      <c r="AJ3079" s="77"/>
      <c r="AK3079" s="77"/>
      <c r="AL3079" s="77"/>
      <c r="AM3079" s="77"/>
      <c r="AN3079" s="77"/>
      <c r="AO3079" s="77"/>
      <c r="AP3079" s="77"/>
      <c r="AQ3079" s="77" t="s">
        <v>16047</v>
      </c>
      <c r="AR3079" s="77"/>
      <c r="AS3079" s="77"/>
      <c r="AT3079" s="77"/>
      <c r="AU3079" s="77"/>
      <c r="AV3079" s="80" t="str">
        <f>HYPERLINK("https://pbs.twimg.com/media/FskOjcrXwAAXAne.jpg")</f>
        <v>https://pbs.twimg.com/media/FskOjcrXwAAXAne.jpg</v>
      </c>
      <c r="AW3079" s="82" t="s">
        <v>19845</v>
      </c>
      <c r="AX3079" s="82" t="s">
        <v>19845</v>
      </c>
      <c r="AY3079" s="77"/>
      <c r="AZ3079" s="82" t="s">
        <v>20971</v>
      </c>
      <c r="BA3079" s="82" t="s">
        <v>20971</v>
      </c>
      <c r="BB3079" s="82" t="s">
        <v>20971</v>
      </c>
      <c r="BC3079" s="82" t="s">
        <v>19845</v>
      </c>
      <c r="BD3079" s="82" t="s">
        <v>21597</v>
      </c>
      <c r="BE3079" s="77"/>
      <c r="BF3079" s="77"/>
      <c r="BG3079" s="77"/>
      <c r="BH3079" s="77"/>
      <c r="BI3079" s="77"/>
    </row>
    <row r="3080" spans="1:61" x14ac:dyDescent="0.25">
      <c r="A3080" s="62" t="s">
        <v>1006</v>
      </c>
      <c r="B3080" s="62" t="s">
        <v>1006</v>
      </c>
      <c r="C3080" s="63"/>
      <c r="D3080" s="64"/>
      <c r="E3080" s="65"/>
      <c r="F3080" s="66"/>
      <c r="G3080" s="63"/>
      <c r="H3080" s="67"/>
      <c r="I3080" s="68"/>
      <c r="J3080" s="68"/>
      <c r="K3080" s="32"/>
      <c r="L3080" s="75">
        <v>3080</v>
      </c>
      <c r="M3080" s="75"/>
      <c r="N3080" s="70"/>
      <c r="O3080" s="77" t="s">
        <v>179</v>
      </c>
      <c r="P3080" s="79">
        <v>45016.739722222221</v>
      </c>
      <c r="Q3080" s="77" t="s">
        <v>4286</v>
      </c>
      <c r="R3080" s="77">
        <v>0</v>
      </c>
      <c r="S3080" s="77">
        <v>0</v>
      </c>
      <c r="T3080" s="77">
        <v>0</v>
      </c>
      <c r="U3080" s="77">
        <v>0</v>
      </c>
      <c r="V3080" s="77">
        <v>45</v>
      </c>
      <c r="W3080" s="82" t="s">
        <v>6740</v>
      </c>
      <c r="X3080" s="77"/>
      <c r="Y3080" s="77"/>
      <c r="Z3080" s="77"/>
      <c r="AA3080" s="77" t="s">
        <v>9405</v>
      </c>
      <c r="AB3080" s="77" t="s">
        <v>10130</v>
      </c>
      <c r="AC3080" s="82" t="s">
        <v>10147</v>
      </c>
      <c r="AD3080" s="77" t="s">
        <v>10184</v>
      </c>
      <c r="AE3080" s="80" t="str">
        <f>HYPERLINK("https://twitter.com/imdasmilhas/status/1641859201654743046")</f>
        <v>https://twitter.com/imdasmilhas/status/1641859201654743046</v>
      </c>
      <c r="AF3080" s="79">
        <v>45016.739722222221</v>
      </c>
      <c r="AG3080" s="85">
        <v>45016</v>
      </c>
      <c r="AH3080" s="82" t="s">
        <v>13101</v>
      </c>
      <c r="AI3080" s="77" t="b">
        <v>0</v>
      </c>
      <c r="AJ3080" s="77"/>
      <c r="AK3080" s="77"/>
      <c r="AL3080" s="77"/>
      <c r="AM3080" s="77"/>
      <c r="AN3080" s="77"/>
      <c r="AO3080" s="77"/>
      <c r="AP3080" s="77"/>
      <c r="AQ3080" s="77" t="s">
        <v>16048</v>
      </c>
      <c r="AR3080" s="77"/>
      <c r="AS3080" s="77"/>
      <c r="AT3080" s="77"/>
      <c r="AU3080" s="77"/>
      <c r="AV3080" s="80" t="str">
        <f>HYPERLINK("https://pbs.twimg.com/media/FskOPg-XgAACrRW.jpg")</f>
        <v>https://pbs.twimg.com/media/FskOPg-XgAACrRW.jpg</v>
      </c>
      <c r="AW3080" s="82" t="s">
        <v>19846</v>
      </c>
      <c r="AX3080" s="82" t="s">
        <v>19846</v>
      </c>
      <c r="AY3080" s="77"/>
      <c r="AZ3080" s="82" t="s">
        <v>20971</v>
      </c>
      <c r="BA3080" s="82" t="s">
        <v>20971</v>
      </c>
      <c r="BB3080" s="82" t="s">
        <v>20971</v>
      </c>
      <c r="BC3080" s="82" t="s">
        <v>19846</v>
      </c>
      <c r="BD3080" s="82" t="s">
        <v>21597</v>
      </c>
      <c r="BE3080" s="77"/>
      <c r="BF3080" s="77"/>
      <c r="BG3080" s="77"/>
      <c r="BH3080" s="77"/>
      <c r="BI3080" s="77"/>
    </row>
    <row r="3081" spans="1:61" x14ac:dyDescent="0.25">
      <c r="A3081" s="62" t="s">
        <v>1006</v>
      </c>
      <c r="B3081" s="62" t="s">
        <v>1006</v>
      </c>
      <c r="C3081" s="63"/>
      <c r="D3081" s="64"/>
      <c r="E3081" s="65"/>
      <c r="F3081" s="66"/>
      <c r="G3081" s="63"/>
      <c r="H3081" s="67"/>
      <c r="I3081" s="68"/>
      <c r="J3081" s="68"/>
      <c r="K3081" s="32"/>
      <c r="L3081" s="75">
        <v>3081</v>
      </c>
      <c r="M3081" s="75"/>
      <c r="N3081" s="70"/>
      <c r="O3081" s="77" t="s">
        <v>179</v>
      </c>
      <c r="P3081" s="79">
        <v>45016.739155092589</v>
      </c>
      <c r="Q3081" s="77" t="s">
        <v>4287</v>
      </c>
      <c r="R3081" s="77">
        <v>0</v>
      </c>
      <c r="S3081" s="77">
        <v>0</v>
      </c>
      <c r="T3081" s="77">
        <v>0</v>
      </c>
      <c r="U3081" s="77">
        <v>0</v>
      </c>
      <c r="V3081" s="77">
        <v>95</v>
      </c>
      <c r="W3081" s="82" t="s">
        <v>6740</v>
      </c>
      <c r="X3081" s="77"/>
      <c r="Y3081" s="77"/>
      <c r="Z3081" s="77"/>
      <c r="AA3081" s="77" t="s">
        <v>9406</v>
      </c>
      <c r="AB3081" s="77" t="s">
        <v>10130</v>
      </c>
      <c r="AC3081" s="82" t="s">
        <v>10147</v>
      </c>
      <c r="AD3081" s="77" t="s">
        <v>10184</v>
      </c>
      <c r="AE3081" s="80" t="str">
        <f>HYPERLINK("https://twitter.com/imdasmilhas/status/1641858995190128640")</f>
        <v>https://twitter.com/imdasmilhas/status/1641858995190128640</v>
      </c>
      <c r="AF3081" s="79">
        <v>45016.739155092589</v>
      </c>
      <c r="AG3081" s="85">
        <v>45016</v>
      </c>
      <c r="AH3081" s="82" t="s">
        <v>13102</v>
      </c>
      <c r="AI3081" s="77" t="b">
        <v>0</v>
      </c>
      <c r="AJ3081" s="77"/>
      <c r="AK3081" s="77"/>
      <c r="AL3081" s="77"/>
      <c r="AM3081" s="77"/>
      <c r="AN3081" s="77"/>
      <c r="AO3081" s="77"/>
      <c r="AP3081" s="77"/>
      <c r="AQ3081" s="77" t="s">
        <v>16049</v>
      </c>
      <c r="AR3081" s="77"/>
      <c r="AS3081" s="77"/>
      <c r="AT3081" s="77"/>
      <c r="AU3081" s="77"/>
      <c r="AV3081" s="80" t="str">
        <f>HYPERLINK("https://pbs.twimg.com/media/FskODfXWIAAgRRT.jpg")</f>
        <v>https://pbs.twimg.com/media/FskODfXWIAAgRRT.jpg</v>
      </c>
      <c r="AW3081" s="82" t="s">
        <v>19847</v>
      </c>
      <c r="AX3081" s="82" t="s">
        <v>19847</v>
      </c>
      <c r="AY3081" s="77"/>
      <c r="AZ3081" s="82" t="s">
        <v>20971</v>
      </c>
      <c r="BA3081" s="82" t="s">
        <v>20971</v>
      </c>
      <c r="BB3081" s="82" t="s">
        <v>20971</v>
      </c>
      <c r="BC3081" s="82" t="s">
        <v>19847</v>
      </c>
      <c r="BD3081" s="82" t="s">
        <v>21597</v>
      </c>
      <c r="BE3081" s="77"/>
      <c r="BF3081" s="77"/>
      <c r="BG3081" s="77"/>
      <c r="BH3081" s="77"/>
      <c r="BI3081" s="77"/>
    </row>
    <row r="3082" spans="1:61" x14ac:dyDescent="0.25">
      <c r="A3082" s="62" t="s">
        <v>1006</v>
      </c>
      <c r="B3082" s="62" t="s">
        <v>1006</v>
      </c>
      <c r="C3082" s="63"/>
      <c r="D3082" s="64"/>
      <c r="E3082" s="65"/>
      <c r="F3082" s="66"/>
      <c r="G3082" s="63"/>
      <c r="H3082" s="67"/>
      <c r="I3082" s="68"/>
      <c r="J3082" s="68"/>
      <c r="K3082" s="32"/>
      <c r="L3082" s="75">
        <v>3082</v>
      </c>
      <c r="M3082" s="75"/>
      <c r="N3082" s="70"/>
      <c r="O3082" s="77" t="s">
        <v>179</v>
      </c>
      <c r="P3082" s="79">
        <v>45106.789467592593</v>
      </c>
      <c r="Q3082" s="77" t="s">
        <v>4288</v>
      </c>
      <c r="R3082" s="77">
        <v>0</v>
      </c>
      <c r="S3082" s="77">
        <v>0</v>
      </c>
      <c r="T3082" s="77">
        <v>0</v>
      </c>
      <c r="U3082" s="77">
        <v>0</v>
      </c>
      <c r="V3082" s="77">
        <v>80</v>
      </c>
      <c r="W3082" s="82" t="s">
        <v>6740</v>
      </c>
      <c r="X3082" s="77"/>
      <c r="Y3082" s="77"/>
      <c r="Z3082" s="77"/>
      <c r="AA3082" s="77" t="s">
        <v>9407</v>
      </c>
      <c r="AB3082" s="77" t="s">
        <v>10130</v>
      </c>
      <c r="AC3082" s="82" t="s">
        <v>10147</v>
      </c>
      <c r="AD3082" s="77" t="s">
        <v>10184</v>
      </c>
      <c r="AE3082" s="80" t="str">
        <f>HYPERLINK("https://twitter.com/imdasmilhas/status/1674492135741980672")</f>
        <v>https://twitter.com/imdasmilhas/status/1674492135741980672</v>
      </c>
      <c r="AF3082" s="79">
        <v>45106.789467592593</v>
      </c>
      <c r="AG3082" s="85">
        <v>45106</v>
      </c>
      <c r="AH3082" s="82" t="s">
        <v>13103</v>
      </c>
      <c r="AI3082" s="77" t="b">
        <v>0</v>
      </c>
      <c r="AJ3082" s="77"/>
      <c r="AK3082" s="77"/>
      <c r="AL3082" s="77"/>
      <c r="AM3082" s="77"/>
      <c r="AN3082" s="77"/>
      <c r="AO3082" s="77"/>
      <c r="AP3082" s="77"/>
      <c r="AQ3082" s="77" t="s">
        <v>16050</v>
      </c>
      <c r="AR3082" s="77"/>
      <c r="AS3082" s="77"/>
      <c r="AT3082" s="77"/>
      <c r="AU3082" s="77"/>
      <c r="AV3082" s="80" t="str">
        <f>HYPERLINK("https://pbs.twimg.com/media/Fzz9uTNWAAAPTrR.jpg")</f>
        <v>https://pbs.twimg.com/media/Fzz9uTNWAAAPTrR.jpg</v>
      </c>
      <c r="AW3082" s="82" t="s">
        <v>19848</v>
      </c>
      <c r="AX3082" s="82" t="s">
        <v>19848</v>
      </c>
      <c r="AY3082" s="77"/>
      <c r="AZ3082" s="82" t="s">
        <v>20971</v>
      </c>
      <c r="BA3082" s="82" t="s">
        <v>20971</v>
      </c>
      <c r="BB3082" s="82" t="s">
        <v>20971</v>
      </c>
      <c r="BC3082" s="82" t="s">
        <v>19848</v>
      </c>
      <c r="BD3082" s="82" t="s">
        <v>21597</v>
      </c>
      <c r="BE3082" s="77"/>
      <c r="BF3082" s="77"/>
      <c r="BG3082" s="77"/>
      <c r="BH3082" s="77"/>
      <c r="BI3082" s="77"/>
    </row>
    <row r="3083" spans="1:61" x14ac:dyDescent="0.25">
      <c r="A3083" s="62" t="s">
        <v>1006</v>
      </c>
      <c r="B3083" s="62" t="s">
        <v>1006</v>
      </c>
      <c r="C3083" s="63"/>
      <c r="D3083" s="64"/>
      <c r="E3083" s="65"/>
      <c r="F3083" s="66"/>
      <c r="G3083" s="63"/>
      <c r="H3083" s="67"/>
      <c r="I3083" s="68"/>
      <c r="J3083" s="68"/>
      <c r="K3083" s="32"/>
      <c r="L3083" s="75">
        <v>3083</v>
      </c>
      <c r="M3083" s="75"/>
      <c r="N3083" s="70"/>
      <c r="O3083" s="77" t="s">
        <v>179</v>
      </c>
      <c r="P3083" s="79">
        <v>45106.718009259261</v>
      </c>
      <c r="Q3083" s="77" t="s">
        <v>4289</v>
      </c>
      <c r="R3083" s="77">
        <v>0</v>
      </c>
      <c r="S3083" s="77">
        <v>0</v>
      </c>
      <c r="T3083" s="77">
        <v>0</v>
      </c>
      <c r="U3083" s="77">
        <v>0</v>
      </c>
      <c r="V3083" s="77">
        <v>78</v>
      </c>
      <c r="W3083" s="82" t="s">
        <v>6740</v>
      </c>
      <c r="X3083" s="77"/>
      <c r="Y3083" s="77"/>
      <c r="Z3083" s="77"/>
      <c r="AA3083" s="77" t="s">
        <v>9408</v>
      </c>
      <c r="AB3083" s="77" t="s">
        <v>10130</v>
      </c>
      <c r="AC3083" s="82" t="s">
        <v>10147</v>
      </c>
      <c r="AD3083" s="77" t="s">
        <v>10184</v>
      </c>
      <c r="AE3083" s="80" t="str">
        <f>HYPERLINK("https://twitter.com/imdasmilhas/status/1674466239580712970")</f>
        <v>https://twitter.com/imdasmilhas/status/1674466239580712970</v>
      </c>
      <c r="AF3083" s="79">
        <v>45106.718009259261</v>
      </c>
      <c r="AG3083" s="85">
        <v>45106</v>
      </c>
      <c r="AH3083" s="82" t="s">
        <v>13104</v>
      </c>
      <c r="AI3083" s="77" t="b">
        <v>0</v>
      </c>
      <c r="AJ3083" s="77"/>
      <c r="AK3083" s="77"/>
      <c r="AL3083" s="77"/>
      <c r="AM3083" s="77"/>
      <c r="AN3083" s="77"/>
      <c r="AO3083" s="77"/>
      <c r="AP3083" s="77"/>
      <c r="AQ3083" s="77" t="s">
        <v>16051</v>
      </c>
      <c r="AR3083" s="77"/>
      <c r="AS3083" s="77"/>
      <c r="AT3083" s="77"/>
      <c r="AU3083" s="77"/>
      <c r="AV3083" s="80" t="str">
        <f>HYPERLINK("https://pbs.twimg.com/media/FzzmK8qWYAAnn9o.jpg")</f>
        <v>https://pbs.twimg.com/media/FzzmK8qWYAAnn9o.jpg</v>
      </c>
      <c r="AW3083" s="82" t="s">
        <v>19849</v>
      </c>
      <c r="AX3083" s="82" t="s">
        <v>19849</v>
      </c>
      <c r="AY3083" s="77"/>
      <c r="AZ3083" s="82" t="s">
        <v>20971</v>
      </c>
      <c r="BA3083" s="82" t="s">
        <v>20971</v>
      </c>
      <c r="BB3083" s="82" t="s">
        <v>20971</v>
      </c>
      <c r="BC3083" s="82" t="s">
        <v>19849</v>
      </c>
      <c r="BD3083" s="82" t="s">
        <v>21597</v>
      </c>
      <c r="BE3083" s="77"/>
      <c r="BF3083" s="77"/>
      <c r="BG3083" s="77"/>
      <c r="BH3083" s="77"/>
      <c r="BI3083" s="77"/>
    </row>
    <row r="3084" spans="1:61" x14ac:dyDescent="0.25">
      <c r="A3084" s="62" t="s">
        <v>1006</v>
      </c>
      <c r="B3084" s="62" t="s">
        <v>1006</v>
      </c>
      <c r="C3084" s="63"/>
      <c r="D3084" s="64"/>
      <c r="E3084" s="65"/>
      <c r="F3084" s="66"/>
      <c r="G3084" s="63"/>
      <c r="H3084" s="67"/>
      <c r="I3084" s="68"/>
      <c r="J3084" s="68"/>
      <c r="K3084" s="32"/>
      <c r="L3084" s="75">
        <v>3084</v>
      </c>
      <c r="M3084" s="75"/>
      <c r="N3084" s="70"/>
      <c r="O3084" s="77" t="s">
        <v>179</v>
      </c>
      <c r="P3084" s="79">
        <v>45106.717627314814</v>
      </c>
      <c r="Q3084" s="77" t="s">
        <v>4290</v>
      </c>
      <c r="R3084" s="77">
        <v>0</v>
      </c>
      <c r="S3084" s="77">
        <v>0</v>
      </c>
      <c r="T3084" s="77">
        <v>0</v>
      </c>
      <c r="U3084" s="77">
        <v>0</v>
      </c>
      <c r="V3084" s="77">
        <v>68</v>
      </c>
      <c r="W3084" s="82" t="s">
        <v>6741</v>
      </c>
      <c r="X3084" s="77"/>
      <c r="Y3084" s="77"/>
      <c r="Z3084" s="77"/>
      <c r="AA3084" s="77" t="s">
        <v>9409</v>
      </c>
      <c r="AB3084" s="77" t="s">
        <v>10130</v>
      </c>
      <c r="AC3084" s="82" t="s">
        <v>10147</v>
      </c>
      <c r="AD3084" s="77" t="s">
        <v>10184</v>
      </c>
      <c r="AE3084" s="80" t="str">
        <f>HYPERLINK("https://twitter.com/imdasmilhas/status/1674466104285048839")</f>
        <v>https://twitter.com/imdasmilhas/status/1674466104285048839</v>
      </c>
      <c r="AF3084" s="79">
        <v>45106.717627314814</v>
      </c>
      <c r="AG3084" s="85">
        <v>45106</v>
      </c>
      <c r="AH3084" s="82" t="s">
        <v>13105</v>
      </c>
      <c r="AI3084" s="77" t="b">
        <v>0</v>
      </c>
      <c r="AJ3084" s="77"/>
      <c r="AK3084" s="77"/>
      <c r="AL3084" s="77"/>
      <c r="AM3084" s="77"/>
      <c r="AN3084" s="77"/>
      <c r="AO3084" s="77"/>
      <c r="AP3084" s="77"/>
      <c r="AQ3084" s="77" t="s">
        <v>16052</v>
      </c>
      <c r="AR3084" s="77"/>
      <c r="AS3084" s="77"/>
      <c r="AT3084" s="77"/>
      <c r="AU3084" s="77"/>
      <c r="AV3084" s="80" t="str">
        <f>HYPERLINK("https://pbs.twimg.com/media/FzzmDEWXsBgpUjj.jpg")</f>
        <v>https://pbs.twimg.com/media/FzzmDEWXsBgpUjj.jpg</v>
      </c>
      <c r="AW3084" s="82" t="s">
        <v>19850</v>
      </c>
      <c r="AX3084" s="82" t="s">
        <v>19850</v>
      </c>
      <c r="AY3084" s="77"/>
      <c r="AZ3084" s="82" t="s">
        <v>20971</v>
      </c>
      <c r="BA3084" s="82" t="s">
        <v>20971</v>
      </c>
      <c r="BB3084" s="82" t="s">
        <v>20971</v>
      </c>
      <c r="BC3084" s="82" t="s">
        <v>19850</v>
      </c>
      <c r="BD3084" s="82" t="s">
        <v>21597</v>
      </c>
      <c r="BE3084" s="77"/>
      <c r="BF3084" s="77"/>
      <c r="BG3084" s="77"/>
      <c r="BH3084" s="77"/>
      <c r="BI3084" s="77"/>
    </row>
    <row r="3085" spans="1:61" x14ac:dyDescent="0.25">
      <c r="A3085" s="62" t="s">
        <v>1006</v>
      </c>
      <c r="B3085" s="62" t="s">
        <v>1006</v>
      </c>
      <c r="C3085" s="63"/>
      <c r="D3085" s="64"/>
      <c r="E3085" s="65"/>
      <c r="F3085" s="66"/>
      <c r="G3085" s="63"/>
      <c r="H3085" s="67"/>
      <c r="I3085" s="68"/>
      <c r="J3085" s="68"/>
      <c r="K3085" s="32"/>
      <c r="L3085" s="75">
        <v>3085</v>
      </c>
      <c r="M3085" s="75"/>
      <c r="N3085" s="70"/>
      <c r="O3085" s="77" t="s">
        <v>179</v>
      </c>
      <c r="P3085" s="79">
        <v>45106.717326388891</v>
      </c>
      <c r="Q3085" s="77" t="s">
        <v>4291</v>
      </c>
      <c r="R3085" s="77">
        <v>0</v>
      </c>
      <c r="S3085" s="77">
        <v>0</v>
      </c>
      <c r="T3085" s="77">
        <v>0</v>
      </c>
      <c r="U3085" s="77">
        <v>0</v>
      </c>
      <c r="V3085" s="77">
        <v>59</v>
      </c>
      <c r="W3085" s="82" t="s">
        <v>6740</v>
      </c>
      <c r="X3085" s="77"/>
      <c r="Y3085" s="77"/>
      <c r="Z3085" s="77"/>
      <c r="AA3085" s="77" t="s">
        <v>9410</v>
      </c>
      <c r="AB3085" s="77" t="s">
        <v>10130</v>
      </c>
      <c r="AC3085" s="82" t="s">
        <v>10147</v>
      </c>
      <c r="AD3085" s="77" t="s">
        <v>10184</v>
      </c>
      <c r="AE3085" s="80" t="str">
        <f>HYPERLINK("https://twitter.com/imdasmilhas/status/1674465992670425089")</f>
        <v>https://twitter.com/imdasmilhas/status/1674465992670425089</v>
      </c>
      <c r="AF3085" s="79">
        <v>45106.717326388891</v>
      </c>
      <c r="AG3085" s="85">
        <v>45106</v>
      </c>
      <c r="AH3085" s="82" t="s">
        <v>13106</v>
      </c>
      <c r="AI3085" s="77" t="b">
        <v>0</v>
      </c>
      <c r="AJ3085" s="77"/>
      <c r="AK3085" s="77"/>
      <c r="AL3085" s="77"/>
      <c r="AM3085" s="77"/>
      <c r="AN3085" s="77"/>
      <c r="AO3085" s="77"/>
      <c r="AP3085" s="77"/>
      <c r="AQ3085" s="77" t="s">
        <v>16053</v>
      </c>
      <c r="AR3085" s="77"/>
      <c r="AS3085" s="77"/>
      <c r="AT3085" s="77"/>
      <c r="AU3085" s="77"/>
      <c r="AV3085" s="80" t="str">
        <f>HYPERLINK("https://pbs.twimg.com/media/Fzzl8fOXsAYLUio.jpg")</f>
        <v>https://pbs.twimg.com/media/Fzzl8fOXsAYLUio.jpg</v>
      </c>
      <c r="AW3085" s="82" t="s">
        <v>19851</v>
      </c>
      <c r="AX3085" s="82" t="s">
        <v>19851</v>
      </c>
      <c r="AY3085" s="77"/>
      <c r="AZ3085" s="82" t="s">
        <v>20971</v>
      </c>
      <c r="BA3085" s="82" t="s">
        <v>20971</v>
      </c>
      <c r="BB3085" s="82" t="s">
        <v>20971</v>
      </c>
      <c r="BC3085" s="82" t="s">
        <v>19851</v>
      </c>
      <c r="BD3085" s="82" t="s">
        <v>21597</v>
      </c>
      <c r="BE3085" s="77"/>
      <c r="BF3085" s="77"/>
      <c r="BG3085" s="77"/>
      <c r="BH3085" s="77"/>
      <c r="BI3085" s="77"/>
    </row>
    <row r="3086" spans="1:61" x14ac:dyDescent="0.25">
      <c r="A3086" s="62" t="s">
        <v>1006</v>
      </c>
      <c r="B3086" s="62" t="s">
        <v>1006</v>
      </c>
      <c r="C3086" s="63"/>
      <c r="D3086" s="64"/>
      <c r="E3086" s="65"/>
      <c r="F3086" s="66"/>
      <c r="G3086" s="63"/>
      <c r="H3086" s="67"/>
      <c r="I3086" s="68"/>
      <c r="J3086" s="68"/>
      <c r="K3086" s="32"/>
      <c r="L3086" s="75">
        <v>3086</v>
      </c>
      <c r="M3086" s="75"/>
      <c r="N3086" s="70"/>
      <c r="O3086" s="77" t="s">
        <v>179</v>
      </c>
      <c r="P3086" s="79">
        <v>45106.71465277778</v>
      </c>
      <c r="Q3086" s="77" t="s">
        <v>4292</v>
      </c>
      <c r="R3086" s="77">
        <v>0</v>
      </c>
      <c r="S3086" s="77">
        <v>0</v>
      </c>
      <c r="T3086" s="77">
        <v>0</v>
      </c>
      <c r="U3086" s="77">
        <v>0</v>
      </c>
      <c r="V3086" s="77">
        <v>75</v>
      </c>
      <c r="W3086" s="82" t="s">
        <v>6740</v>
      </c>
      <c r="X3086" s="77"/>
      <c r="Y3086" s="77"/>
      <c r="Z3086" s="77"/>
      <c r="AA3086" s="77" t="s">
        <v>9411</v>
      </c>
      <c r="AB3086" s="77" t="s">
        <v>10130</v>
      </c>
      <c r="AC3086" s="82" t="s">
        <v>10147</v>
      </c>
      <c r="AD3086" s="77" t="s">
        <v>10184</v>
      </c>
      <c r="AE3086" s="80" t="str">
        <f>HYPERLINK("https://twitter.com/imdasmilhas/status/1674465022586630177")</f>
        <v>https://twitter.com/imdasmilhas/status/1674465022586630177</v>
      </c>
      <c r="AF3086" s="79">
        <v>45106.71465277778</v>
      </c>
      <c r="AG3086" s="85">
        <v>45106</v>
      </c>
      <c r="AH3086" s="82" t="s">
        <v>10489</v>
      </c>
      <c r="AI3086" s="77" t="b">
        <v>0</v>
      </c>
      <c r="AJ3086" s="77"/>
      <c r="AK3086" s="77"/>
      <c r="AL3086" s="77"/>
      <c r="AM3086" s="77"/>
      <c r="AN3086" s="77"/>
      <c r="AO3086" s="77"/>
      <c r="AP3086" s="77"/>
      <c r="AQ3086" s="77" t="s">
        <v>16054</v>
      </c>
      <c r="AR3086" s="77"/>
      <c r="AS3086" s="77"/>
      <c r="AT3086" s="77"/>
      <c r="AU3086" s="77"/>
      <c r="AV3086" s="80" t="str">
        <f>HYPERLINK("https://pbs.twimg.com/media/FzzlEFMXsA4NST7.jpg")</f>
        <v>https://pbs.twimg.com/media/FzzlEFMXsA4NST7.jpg</v>
      </c>
      <c r="AW3086" s="82" t="s">
        <v>19852</v>
      </c>
      <c r="AX3086" s="82" t="s">
        <v>19852</v>
      </c>
      <c r="AY3086" s="77"/>
      <c r="AZ3086" s="82" t="s">
        <v>20971</v>
      </c>
      <c r="BA3086" s="82" t="s">
        <v>20971</v>
      </c>
      <c r="BB3086" s="82" t="s">
        <v>20971</v>
      </c>
      <c r="BC3086" s="82" t="s">
        <v>19852</v>
      </c>
      <c r="BD3086" s="82" t="s">
        <v>21597</v>
      </c>
      <c r="BE3086" s="77"/>
      <c r="BF3086" s="77"/>
      <c r="BG3086" s="77"/>
      <c r="BH3086" s="77"/>
      <c r="BI3086" s="77"/>
    </row>
    <row r="3087" spans="1:61" x14ac:dyDescent="0.25">
      <c r="A3087" s="62" t="s">
        <v>1006</v>
      </c>
      <c r="B3087" s="62" t="s">
        <v>1006</v>
      </c>
      <c r="C3087" s="63"/>
      <c r="D3087" s="64"/>
      <c r="E3087" s="65"/>
      <c r="F3087" s="66"/>
      <c r="G3087" s="63"/>
      <c r="H3087" s="67"/>
      <c r="I3087" s="68"/>
      <c r="J3087" s="68"/>
      <c r="K3087" s="32"/>
      <c r="L3087" s="75">
        <v>3087</v>
      </c>
      <c r="M3087" s="75"/>
      <c r="N3087" s="70"/>
      <c r="O3087" s="77" t="s">
        <v>179</v>
      </c>
      <c r="P3087" s="79">
        <v>45097.744050925925</v>
      </c>
      <c r="Q3087" s="77" t="s">
        <v>4293</v>
      </c>
      <c r="R3087" s="77">
        <v>0</v>
      </c>
      <c r="S3087" s="77">
        <v>1</v>
      </c>
      <c r="T3087" s="77">
        <v>0</v>
      </c>
      <c r="U3087" s="77">
        <v>0</v>
      </c>
      <c r="V3087" s="77">
        <v>50</v>
      </c>
      <c r="W3087" s="82" t="s">
        <v>6740</v>
      </c>
      <c r="X3087" s="77"/>
      <c r="Y3087" s="77"/>
      <c r="Z3087" s="77"/>
      <c r="AA3087" s="77" t="s">
        <v>9412</v>
      </c>
      <c r="AB3087" s="77" t="s">
        <v>10130</v>
      </c>
      <c r="AC3087" s="82" t="s">
        <v>10147</v>
      </c>
      <c r="AD3087" s="77" t="s">
        <v>10184</v>
      </c>
      <c r="AE3087" s="80" t="str">
        <f>HYPERLINK("https://twitter.com/imdasmilhas/status/1671214188750839808")</f>
        <v>https://twitter.com/imdasmilhas/status/1671214188750839808</v>
      </c>
      <c r="AF3087" s="79">
        <v>45097.744050925925</v>
      </c>
      <c r="AG3087" s="85">
        <v>45097</v>
      </c>
      <c r="AH3087" s="82" t="s">
        <v>13107</v>
      </c>
      <c r="AI3087" s="77" t="b">
        <v>0</v>
      </c>
      <c r="AJ3087" s="77"/>
      <c r="AK3087" s="77"/>
      <c r="AL3087" s="77"/>
      <c r="AM3087" s="77"/>
      <c r="AN3087" s="77"/>
      <c r="AO3087" s="77"/>
      <c r="AP3087" s="77"/>
      <c r="AQ3087" s="77" t="s">
        <v>16055</v>
      </c>
      <c r="AR3087" s="77"/>
      <c r="AS3087" s="77"/>
      <c r="AT3087" s="77"/>
      <c r="AU3087" s="77"/>
      <c r="AV3087" s="80" t="str">
        <f>HYPERLINK("https://pbs.twimg.com/media/FzFYcpEWAAwi9LG.jpg")</f>
        <v>https://pbs.twimg.com/media/FzFYcpEWAAwi9LG.jpg</v>
      </c>
      <c r="AW3087" s="82" t="s">
        <v>19853</v>
      </c>
      <c r="AX3087" s="82" t="s">
        <v>19853</v>
      </c>
      <c r="AY3087" s="77"/>
      <c r="AZ3087" s="82" t="s">
        <v>20971</v>
      </c>
      <c r="BA3087" s="82" t="s">
        <v>20971</v>
      </c>
      <c r="BB3087" s="82" t="s">
        <v>20971</v>
      </c>
      <c r="BC3087" s="82" t="s">
        <v>19853</v>
      </c>
      <c r="BD3087" s="82" t="s">
        <v>21597</v>
      </c>
      <c r="BE3087" s="77"/>
      <c r="BF3087" s="77"/>
      <c r="BG3087" s="77"/>
      <c r="BH3087" s="77"/>
      <c r="BI3087" s="77"/>
    </row>
    <row r="3088" spans="1:61" x14ac:dyDescent="0.25">
      <c r="A3088" s="62" t="s">
        <v>1006</v>
      </c>
      <c r="B3088" s="62" t="s">
        <v>1006</v>
      </c>
      <c r="C3088" s="63"/>
      <c r="D3088" s="64"/>
      <c r="E3088" s="65"/>
      <c r="F3088" s="66"/>
      <c r="G3088" s="63"/>
      <c r="H3088" s="67"/>
      <c r="I3088" s="68"/>
      <c r="J3088" s="68"/>
      <c r="K3088" s="32"/>
      <c r="L3088" s="75">
        <v>3088</v>
      </c>
      <c r="M3088" s="75"/>
      <c r="N3088" s="70"/>
      <c r="O3088" s="77" t="s">
        <v>179</v>
      </c>
      <c r="P3088" s="79">
        <v>45096.845520833333</v>
      </c>
      <c r="Q3088" s="77" t="s">
        <v>4294</v>
      </c>
      <c r="R3088" s="77">
        <v>0</v>
      </c>
      <c r="S3088" s="77">
        <v>1</v>
      </c>
      <c r="T3088" s="77">
        <v>0</v>
      </c>
      <c r="U3088" s="77">
        <v>0</v>
      </c>
      <c r="V3088" s="77">
        <v>114</v>
      </c>
      <c r="W3088" s="82" t="s">
        <v>6740</v>
      </c>
      <c r="X3088" s="77"/>
      <c r="Y3088" s="77"/>
      <c r="Z3088" s="77"/>
      <c r="AA3088" s="77" t="s">
        <v>9413</v>
      </c>
      <c r="AB3088" s="77" t="s">
        <v>10130</v>
      </c>
      <c r="AC3088" s="82" t="s">
        <v>10147</v>
      </c>
      <c r="AD3088" s="77" t="s">
        <v>10184</v>
      </c>
      <c r="AE3088" s="80" t="str">
        <f>HYPERLINK("https://twitter.com/imdasmilhas/status/1670888571010445327")</f>
        <v>https://twitter.com/imdasmilhas/status/1670888571010445327</v>
      </c>
      <c r="AF3088" s="79">
        <v>45096.845520833333</v>
      </c>
      <c r="AG3088" s="85">
        <v>45096</v>
      </c>
      <c r="AH3088" s="82" t="s">
        <v>13108</v>
      </c>
      <c r="AI3088" s="77" t="b">
        <v>0</v>
      </c>
      <c r="AJ3088" s="77"/>
      <c r="AK3088" s="77"/>
      <c r="AL3088" s="77"/>
      <c r="AM3088" s="77"/>
      <c r="AN3088" s="77"/>
      <c r="AO3088" s="77"/>
      <c r="AP3088" s="77"/>
      <c r="AQ3088" s="77" t="s">
        <v>16056</v>
      </c>
      <c r="AR3088" s="77"/>
      <c r="AS3088" s="77"/>
      <c r="AT3088" s="77"/>
      <c r="AU3088" s="77"/>
      <c r="AV3088" s="80" t="str">
        <f>HYPERLINK("https://pbs.twimg.com/media/FzAwTMRWcA8vlRd.jpg")</f>
        <v>https://pbs.twimg.com/media/FzAwTMRWcA8vlRd.jpg</v>
      </c>
      <c r="AW3088" s="82" t="s">
        <v>19854</v>
      </c>
      <c r="AX3088" s="82" t="s">
        <v>19854</v>
      </c>
      <c r="AY3088" s="77"/>
      <c r="AZ3088" s="82" t="s">
        <v>20971</v>
      </c>
      <c r="BA3088" s="82" t="s">
        <v>20971</v>
      </c>
      <c r="BB3088" s="82" t="s">
        <v>20971</v>
      </c>
      <c r="BC3088" s="82" t="s">
        <v>19854</v>
      </c>
      <c r="BD3088" s="82" t="s">
        <v>21597</v>
      </c>
      <c r="BE3088" s="77"/>
      <c r="BF3088" s="77"/>
      <c r="BG3088" s="77"/>
      <c r="BH3088" s="77"/>
      <c r="BI3088" s="77"/>
    </row>
    <row r="3089" spans="1:61" x14ac:dyDescent="0.25">
      <c r="A3089" s="62" t="s">
        <v>1006</v>
      </c>
      <c r="B3089" s="62" t="s">
        <v>1006</v>
      </c>
      <c r="C3089" s="63"/>
      <c r="D3089" s="64"/>
      <c r="E3089" s="65"/>
      <c r="F3089" s="66"/>
      <c r="G3089" s="63"/>
      <c r="H3089" s="67"/>
      <c r="I3089" s="68"/>
      <c r="J3089" s="68"/>
      <c r="K3089" s="32"/>
      <c r="L3089" s="75">
        <v>3089</v>
      </c>
      <c r="M3089" s="75"/>
      <c r="N3089" s="70"/>
      <c r="O3089" s="77" t="s">
        <v>179</v>
      </c>
      <c r="P3089" s="79">
        <v>45096.809618055559</v>
      </c>
      <c r="Q3089" s="77" t="s">
        <v>4295</v>
      </c>
      <c r="R3089" s="77">
        <v>0</v>
      </c>
      <c r="S3089" s="77">
        <v>1</v>
      </c>
      <c r="T3089" s="77">
        <v>0</v>
      </c>
      <c r="U3089" s="77">
        <v>0</v>
      </c>
      <c r="V3089" s="77">
        <v>89</v>
      </c>
      <c r="W3089" s="82" t="s">
        <v>6740</v>
      </c>
      <c r="X3089" s="77"/>
      <c r="Y3089" s="77"/>
      <c r="Z3089" s="77"/>
      <c r="AA3089" s="77" t="s">
        <v>9414</v>
      </c>
      <c r="AB3089" s="77" t="s">
        <v>10130</v>
      </c>
      <c r="AC3089" s="82" t="s">
        <v>10147</v>
      </c>
      <c r="AD3089" s="77" t="s">
        <v>10184</v>
      </c>
      <c r="AE3089" s="80" t="str">
        <f>HYPERLINK("https://twitter.com/imdasmilhas/status/1670875557859323908")</f>
        <v>https://twitter.com/imdasmilhas/status/1670875557859323908</v>
      </c>
      <c r="AF3089" s="79">
        <v>45096.809618055559</v>
      </c>
      <c r="AG3089" s="85">
        <v>45096</v>
      </c>
      <c r="AH3089" s="82" t="s">
        <v>13109</v>
      </c>
      <c r="AI3089" s="77" t="b">
        <v>0</v>
      </c>
      <c r="AJ3089" s="77"/>
      <c r="AK3089" s="77"/>
      <c r="AL3089" s="77"/>
      <c r="AM3089" s="77"/>
      <c r="AN3089" s="77"/>
      <c r="AO3089" s="77"/>
      <c r="AP3089" s="77"/>
      <c r="AQ3089" s="77" t="s">
        <v>16057</v>
      </c>
      <c r="AR3089" s="77"/>
      <c r="AS3089" s="77"/>
      <c r="AT3089" s="77"/>
      <c r="AU3089" s="77"/>
      <c r="AV3089" s="80" t="str">
        <f>HYPERLINK("https://pbs.twimg.com/media/FzAkduiX0AEGpxJ.jpg")</f>
        <v>https://pbs.twimg.com/media/FzAkduiX0AEGpxJ.jpg</v>
      </c>
      <c r="AW3089" s="82" t="s">
        <v>19855</v>
      </c>
      <c r="AX3089" s="82" t="s">
        <v>19855</v>
      </c>
      <c r="AY3089" s="77"/>
      <c r="AZ3089" s="82" t="s">
        <v>20971</v>
      </c>
      <c r="BA3089" s="82" t="s">
        <v>20971</v>
      </c>
      <c r="BB3089" s="82" t="s">
        <v>20971</v>
      </c>
      <c r="BC3089" s="82" t="s">
        <v>19855</v>
      </c>
      <c r="BD3089" s="82" t="s">
        <v>21597</v>
      </c>
      <c r="BE3089" s="77"/>
      <c r="BF3089" s="77"/>
      <c r="BG3089" s="77"/>
      <c r="BH3089" s="77"/>
      <c r="BI3089" s="77"/>
    </row>
    <row r="3090" spans="1:61" x14ac:dyDescent="0.25">
      <c r="A3090" s="62" t="s">
        <v>1006</v>
      </c>
      <c r="B3090" s="62" t="s">
        <v>1006</v>
      </c>
      <c r="C3090" s="63"/>
      <c r="D3090" s="64"/>
      <c r="E3090" s="65"/>
      <c r="F3090" s="66"/>
      <c r="G3090" s="63"/>
      <c r="H3090" s="67"/>
      <c r="I3090" s="68"/>
      <c r="J3090" s="68"/>
      <c r="K3090" s="32"/>
      <c r="L3090" s="75">
        <v>3090</v>
      </c>
      <c r="M3090" s="75"/>
      <c r="N3090" s="70"/>
      <c r="O3090" s="77" t="s">
        <v>179</v>
      </c>
      <c r="P3090" s="79">
        <v>45096.809004629627</v>
      </c>
      <c r="Q3090" s="77" t="s">
        <v>4296</v>
      </c>
      <c r="R3090" s="77">
        <v>0</v>
      </c>
      <c r="S3090" s="77">
        <v>0</v>
      </c>
      <c r="T3090" s="77">
        <v>0</v>
      </c>
      <c r="U3090" s="77">
        <v>0</v>
      </c>
      <c r="V3090" s="77">
        <v>178</v>
      </c>
      <c r="W3090" s="82" t="s">
        <v>6740</v>
      </c>
      <c r="X3090" s="77"/>
      <c r="Y3090" s="77"/>
      <c r="Z3090" s="77"/>
      <c r="AA3090" s="77" t="s">
        <v>9415</v>
      </c>
      <c r="AB3090" s="77" t="s">
        <v>10130</v>
      </c>
      <c r="AC3090" s="82" t="s">
        <v>10147</v>
      </c>
      <c r="AD3090" s="77" t="s">
        <v>10184</v>
      </c>
      <c r="AE3090" s="80" t="str">
        <f>HYPERLINK("https://twitter.com/imdasmilhas/status/1670875337377345545")</f>
        <v>https://twitter.com/imdasmilhas/status/1670875337377345545</v>
      </c>
      <c r="AF3090" s="79">
        <v>45096.809004629627</v>
      </c>
      <c r="AG3090" s="85">
        <v>45096</v>
      </c>
      <c r="AH3090" s="82" t="s">
        <v>13110</v>
      </c>
      <c r="AI3090" s="77" t="b">
        <v>0</v>
      </c>
      <c r="AJ3090" s="77"/>
      <c r="AK3090" s="77"/>
      <c r="AL3090" s="77"/>
      <c r="AM3090" s="77"/>
      <c r="AN3090" s="77"/>
      <c r="AO3090" s="77"/>
      <c r="AP3090" s="77"/>
      <c r="AQ3090" s="77" t="s">
        <v>16058</v>
      </c>
      <c r="AR3090" s="77"/>
      <c r="AS3090" s="77"/>
      <c r="AT3090" s="77"/>
      <c r="AU3090" s="77"/>
      <c r="AV3090" s="80" t="str">
        <f>HYPERLINK("https://pbs.twimg.com/media/FzAkQ96XoAAoOuQ.jpg")</f>
        <v>https://pbs.twimg.com/media/FzAkQ96XoAAoOuQ.jpg</v>
      </c>
      <c r="AW3090" s="82" t="s">
        <v>19856</v>
      </c>
      <c r="AX3090" s="82" t="s">
        <v>19856</v>
      </c>
      <c r="AY3090" s="77"/>
      <c r="AZ3090" s="82" t="s">
        <v>20971</v>
      </c>
      <c r="BA3090" s="82" t="s">
        <v>20971</v>
      </c>
      <c r="BB3090" s="82" t="s">
        <v>20971</v>
      </c>
      <c r="BC3090" s="82" t="s">
        <v>19856</v>
      </c>
      <c r="BD3090" s="82" t="s">
        <v>21597</v>
      </c>
      <c r="BE3090" s="77"/>
      <c r="BF3090" s="77"/>
      <c r="BG3090" s="77"/>
      <c r="BH3090" s="77"/>
      <c r="BI3090" s="77"/>
    </row>
    <row r="3091" spans="1:61" x14ac:dyDescent="0.25">
      <c r="A3091" s="62" t="s">
        <v>1006</v>
      </c>
      <c r="B3091" s="62" t="s">
        <v>1006</v>
      </c>
      <c r="C3091" s="63"/>
      <c r="D3091" s="64"/>
      <c r="E3091" s="65"/>
      <c r="F3091" s="66"/>
      <c r="G3091" s="63"/>
      <c r="H3091" s="67"/>
      <c r="I3091" s="68"/>
      <c r="J3091" s="68"/>
      <c r="K3091" s="32"/>
      <c r="L3091" s="75">
        <v>3091</v>
      </c>
      <c r="M3091" s="75"/>
      <c r="N3091" s="70"/>
      <c r="O3091" s="77" t="s">
        <v>179</v>
      </c>
      <c r="P3091" s="79">
        <v>45096.802835648145</v>
      </c>
      <c r="Q3091" s="77" t="s">
        <v>4297</v>
      </c>
      <c r="R3091" s="77">
        <v>0</v>
      </c>
      <c r="S3091" s="77">
        <v>0</v>
      </c>
      <c r="T3091" s="77">
        <v>0</v>
      </c>
      <c r="U3091" s="77">
        <v>0</v>
      </c>
      <c r="V3091" s="77">
        <v>73</v>
      </c>
      <c r="W3091" s="82" t="s">
        <v>6740</v>
      </c>
      <c r="X3091" s="77"/>
      <c r="Y3091" s="77"/>
      <c r="Z3091" s="77"/>
      <c r="AA3091" s="77" t="s">
        <v>9416</v>
      </c>
      <c r="AB3091" s="77" t="s">
        <v>10130</v>
      </c>
      <c r="AC3091" s="82" t="s">
        <v>10147</v>
      </c>
      <c r="AD3091" s="77" t="s">
        <v>10184</v>
      </c>
      <c r="AE3091" s="80" t="str">
        <f>HYPERLINK("https://twitter.com/imdasmilhas/status/1670873101242888195")</f>
        <v>https://twitter.com/imdasmilhas/status/1670873101242888195</v>
      </c>
      <c r="AF3091" s="79">
        <v>45096.802835648145</v>
      </c>
      <c r="AG3091" s="85">
        <v>45096</v>
      </c>
      <c r="AH3091" s="82" t="s">
        <v>13111</v>
      </c>
      <c r="AI3091" s="77" t="b">
        <v>0</v>
      </c>
      <c r="AJ3091" s="77"/>
      <c r="AK3091" s="77"/>
      <c r="AL3091" s="77"/>
      <c r="AM3091" s="77"/>
      <c r="AN3091" s="77"/>
      <c r="AO3091" s="77"/>
      <c r="AP3091" s="77"/>
      <c r="AQ3091" s="77" t="s">
        <v>16059</v>
      </c>
      <c r="AR3091" s="77"/>
      <c r="AS3091" s="77"/>
      <c r="AT3091" s="77"/>
      <c r="AU3091" s="77"/>
      <c r="AV3091" s="80" t="str">
        <f>HYPERLINK("https://pbs.twimg.com/media/FzAiOx1XoAIP3rb.jpg")</f>
        <v>https://pbs.twimg.com/media/FzAiOx1XoAIP3rb.jpg</v>
      </c>
      <c r="AW3091" s="82" t="s">
        <v>19857</v>
      </c>
      <c r="AX3091" s="82" t="s">
        <v>19857</v>
      </c>
      <c r="AY3091" s="77"/>
      <c r="AZ3091" s="82" t="s">
        <v>20971</v>
      </c>
      <c r="BA3091" s="82" t="s">
        <v>20971</v>
      </c>
      <c r="BB3091" s="82" t="s">
        <v>20971</v>
      </c>
      <c r="BC3091" s="82" t="s">
        <v>19857</v>
      </c>
      <c r="BD3091" s="82" t="s">
        <v>21597</v>
      </c>
      <c r="BE3091" s="77"/>
      <c r="BF3091" s="77"/>
      <c r="BG3091" s="77"/>
      <c r="BH3091" s="77"/>
      <c r="BI3091" s="77"/>
    </row>
    <row r="3092" spans="1:61" x14ac:dyDescent="0.25">
      <c r="A3092" s="62" t="s">
        <v>1006</v>
      </c>
      <c r="B3092" s="62" t="s">
        <v>1006</v>
      </c>
      <c r="C3092" s="63"/>
      <c r="D3092" s="64"/>
      <c r="E3092" s="65"/>
      <c r="F3092" s="66"/>
      <c r="G3092" s="63"/>
      <c r="H3092" s="67"/>
      <c r="I3092" s="68"/>
      <c r="J3092" s="68"/>
      <c r="K3092" s="32"/>
      <c r="L3092" s="75">
        <v>3092</v>
      </c>
      <c r="M3092" s="75"/>
      <c r="N3092" s="70"/>
      <c r="O3092" s="77" t="s">
        <v>179</v>
      </c>
      <c r="P3092" s="79">
        <v>45096.778437499997</v>
      </c>
      <c r="Q3092" s="77" t="s">
        <v>4298</v>
      </c>
      <c r="R3092" s="77">
        <v>0</v>
      </c>
      <c r="S3092" s="77">
        <v>0</v>
      </c>
      <c r="T3092" s="77">
        <v>0</v>
      </c>
      <c r="U3092" s="77">
        <v>0</v>
      </c>
      <c r="V3092" s="77">
        <v>54</v>
      </c>
      <c r="W3092" s="82" t="s">
        <v>6740</v>
      </c>
      <c r="X3092" s="77"/>
      <c r="Y3092" s="77"/>
      <c r="Z3092" s="77"/>
      <c r="AA3092" s="77" t="s">
        <v>9417</v>
      </c>
      <c r="AB3092" s="77" t="s">
        <v>10130</v>
      </c>
      <c r="AC3092" s="82" t="s">
        <v>10147</v>
      </c>
      <c r="AD3092" s="77" t="s">
        <v>10184</v>
      </c>
      <c r="AE3092" s="80" t="str">
        <f>HYPERLINK("https://twitter.com/imdasmilhas/status/1670864262086918149")</f>
        <v>https://twitter.com/imdasmilhas/status/1670864262086918149</v>
      </c>
      <c r="AF3092" s="79">
        <v>45096.778437499997</v>
      </c>
      <c r="AG3092" s="85">
        <v>45096</v>
      </c>
      <c r="AH3092" s="82" t="s">
        <v>13112</v>
      </c>
      <c r="AI3092" s="77" t="b">
        <v>0</v>
      </c>
      <c r="AJ3092" s="77"/>
      <c r="AK3092" s="77"/>
      <c r="AL3092" s="77"/>
      <c r="AM3092" s="77"/>
      <c r="AN3092" s="77"/>
      <c r="AO3092" s="77"/>
      <c r="AP3092" s="77"/>
      <c r="AQ3092" s="77" t="s">
        <v>16060</v>
      </c>
      <c r="AR3092" s="77"/>
      <c r="AS3092" s="77"/>
      <c r="AT3092" s="77"/>
      <c r="AU3092" s="77"/>
      <c r="AV3092" s="80" t="str">
        <f>HYPERLINK("https://pbs.twimg.com/media/FzAaMQnXoAU9S_A.jpg")</f>
        <v>https://pbs.twimg.com/media/FzAaMQnXoAU9S_A.jpg</v>
      </c>
      <c r="AW3092" s="82" t="s">
        <v>19858</v>
      </c>
      <c r="AX3092" s="82" t="s">
        <v>19858</v>
      </c>
      <c r="AY3092" s="77"/>
      <c r="AZ3092" s="82" t="s">
        <v>20971</v>
      </c>
      <c r="BA3092" s="82" t="s">
        <v>20971</v>
      </c>
      <c r="BB3092" s="82" t="s">
        <v>20971</v>
      </c>
      <c r="BC3092" s="82" t="s">
        <v>19858</v>
      </c>
      <c r="BD3092" s="82" t="s">
        <v>21597</v>
      </c>
      <c r="BE3092" s="77"/>
      <c r="BF3092" s="77"/>
      <c r="BG3092" s="77"/>
      <c r="BH3092" s="77"/>
      <c r="BI3092" s="77"/>
    </row>
    <row r="3093" spans="1:61" x14ac:dyDescent="0.25">
      <c r="A3093" s="62" t="s">
        <v>1006</v>
      </c>
      <c r="B3093" s="62" t="s">
        <v>1006</v>
      </c>
      <c r="C3093" s="63"/>
      <c r="D3093" s="64"/>
      <c r="E3093" s="65"/>
      <c r="F3093" s="66"/>
      <c r="G3093" s="63"/>
      <c r="H3093" s="67"/>
      <c r="I3093" s="68"/>
      <c r="J3093" s="68"/>
      <c r="K3093" s="32"/>
      <c r="L3093" s="75">
        <v>3093</v>
      </c>
      <c r="M3093" s="75"/>
      <c r="N3093" s="70"/>
      <c r="O3093" s="77" t="s">
        <v>179</v>
      </c>
      <c r="P3093" s="79">
        <v>45083.775266203702</v>
      </c>
      <c r="Q3093" s="77" t="s">
        <v>4299</v>
      </c>
      <c r="R3093" s="77">
        <v>0</v>
      </c>
      <c r="S3093" s="77">
        <v>1</v>
      </c>
      <c r="T3093" s="77">
        <v>0</v>
      </c>
      <c r="U3093" s="77">
        <v>0</v>
      </c>
      <c r="V3093" s="77">
        <v>148</v>
      </c>
      <c r="W3093" s="82" t="s">
        <v>6740</v>
      </c>
      <c r="X3093" s="77"/>
      <c r="Y3093" s="77"/>
      <c r="Z3093" s="77"/>
      <c r="AA3093" s="77" t="s">
        <v>9418</v>
      </c>
      <c r="AB3093" s="77" t="s">
        <v>10130</v>
      </c>
      <c r="AC3093" s="82" t="s">
        <v>10147</v>
      </c>
      <c r="AD3093" s="77" t="s">
        <v>10184</v>
      </c>
      <c r="AE3093" s="80" t="str">
        <f>HYPERLINK("https://twitter.com/imdasmilhas/status/1666152069990842396")</f>
        <v>https://twitter.com/imdasmilhas/status/1666152069990842396</v>
      </c>
      <c r="AF3093" s="79">
        <v>45083.775266203702</v>
      </c>
      <c r="AG3093" s="85">
        <v>45083</v>
      </c>
      <c r="AH3093" s="82" t="s">
        <v>13113</v>
      </c>
      <c r="AI3093" s="77" t="b">
        <v>0</v>
      </c>
      <c r="AJ3093" s="77"/>
      <c r="AK3093" s="77"/>
      <c r="AL3093" s="77"/>
      <c r="AM3093" s="77"/>
      <c r="AN3093" s="77"/>
      <c r="AO3093" s="77"/>
      <c r="AP3093" s="77"/>
      <c r="AQ3093" s="77" t="s">
        <v>16061</v>
      </c>
      <c r="AR3093" s="77"/>
      <c r="AS3093" s="77"/>
      <c r="AT3093" s="77"/>
      <c r="AU3093" s="77"/>
      <c r="AV3093" s="80" t="str">
        <f>HYPERLINK("https://pbs.twimg.com/media/Fx9celNWwAMkIPw.jpg")</f>
        <v>https://pbs.twimg.com/media/Fx9celNWwAMkIPw.jpg</v>
      </c>
      <c r="AW3093" s="82" t="s">
        <v>19859</v>
      </c>
      <c r="AX3093" s="82" t="s">
        <v>19859</v>
      </c>
      <c r="AY3093" s="77"/>
      <c r="AZ3093" s="82" t="s">
        <v>20971</v>
      </c>
      <c r="BA3093" s="82" t="s">
        <v>20971</v>
      </c>
      <c r="BB3093" s="82" t="s">
        <v>20971</v>
      </c>
      <c r="BC3093" s="82" t="s">
        <v>19859</v>
      </c>
      <c r="BD3093" s="82" t="s">
        <v>21597</v>
      </c>
      <c r="BE3093" s="77"/>
      <c r="BF3093" s="77"/>
      <c r="BG3093" s="77"/>
      <c r="BH3093" s="77"/>
      <c r="BI3093" s="77"/>
    </row>
    <row r="3094" spans="1:61" x14ac:dyDescent="0.25">
      <c r="A3094" s="62" t="s">
        <v>1006</v>
      </c>
      <c r="B3094" s="62" t="s">
        <v>1006</v>
      </c>
      <c r="C3094" s="63"/>
      <c r="D3094" s="64"/>
      <c r="E3094" s="65"/>
      <c r="F3094" s="66"/>
      <c r="G3094" s="63"/>
      <c r="H3094" s="67"/>
      <c r="I3094" s="68"/>
      <c r="J3094" s="68"/>
      <c r="K3094" s="32"/>
      <c r="L3094" s="75">
        <v>3094</v>
      </c>
      <c r="M3094" s="75"/>
      <c r="N3094" s="70"/>
      <c r="O3094" s="77" t="s">
        <v>179</v>
      </c>
      <c r="P3094" s="79">
        <v>45083.772256944445</v>
      </c>
      <c r="Q3094" s="77" t="s">
        <v>4300</v>
      </c>
      <c r="R3094" s="77">
        <v>0</v>
      </c>
      <c r="S3094" s="77">
        <v>1</v>
      </c>
      <c r="T3094" s="77">
        <v>0</v>
      </c>
      <c r="U3094" s="77">
        <v>0</v>
      </c>
      <c r="V3094" s="77">
        <v>168</v>
      </c>
      <c r="W3094" s="82" t="s">
        <v>6740</v>
      </c>
      <c r="X3094" s="77"/>
      <c r="Y3094" s="77"/>
      <c r="Z3094" s="77"/>
      <c r="AA3094" s="77" t="s">
        <v>9419</v>
      </c>
      <c r="AB3094" s="77" t="s">
        <v>10130</v>
      </c>
      <c r="AC3094" s="82" t="s">
        <v>10147</v>
      </c>
      <c r="AD3094" s="77" t="s">
        <v>10184</v>
      </c>
      <c r="AE3094" s="80" t="str">
        <f>HYPERLINK("https://twitter.com/imdasmilhas/status/1666150980222697472")</f>
        <v>https://twitter.com/imdasmilhas/status/1666150980222697472</v>
      </c>
      <c r="AF3094" s="79">
        <v>45083.772256944445</v>
      </c>
      <c r="AG3094" s="85">
        <v>45083</v>
      </c>
      <c r="AH3094" s="82" t="s">
        <v>13114</v>
      </c>
      <c r="AI3094" s="77" t="b">
        <v>0</v>
      </c>
      <c r="AJ3094" s="77"/>
      <c r="AK3094" s="77"/>
      <c r="AL3094" s="77"/>
      <c r="AM3094" s="77"/>
      <c r="AN3094" s="77"/>
      <c r="AO3094" s="77"/>
      <c r="AP3094" s="77"/>
      <c r="AQ3094" s="77" t="s">
        <v>16062</v>
      </c>
      <c r="AR3094" s="77"/>
      <c r="AS3094" s="77"/>
      <c r="AT3094" s="77"/>
      <c r="AU3094" s="77"/>
      <c r="AV3094" s="80" t="str">
        <f>HYPERLINK("https://pbs.twimg.com/media/Fx9bfI0WAAYqc6c.jpg")</f>
        <v>https://pbs.twimg.com/media/Fx9bfI0WAAYqc6c.jpg</v>
      </c>
      <c r="AW3094" s="82" t="s">
        <v>19860</v>
      </c>
      <c r="AX3094" s="82" t="s">
        <v>19860</v>
      </c>
      <c r="AY3094" s="77"/>
      <c r="AZ3094" s="82" t="s">
        <v>20971</v>
      </c>
      <c r="BA3094" s="82" t="s">
        <v>20971</v>
      </c>
      <c r="BB3094" s="82" t="s">
        <v>20971</v>
      </c>
      <c r="BC3094" s="82" t="s">
        <v>19860</v>
      </c>
      <c r="BD3094" s="82" t="s">
        <v>21597</v>
      </c>
      <c r="BE3094" s="77"/>
      <c r="BF3094" s="77"/>
      <c r="BG3094" s="77"/>
      <c r="BH3094" s="77"/>
      <c r="BI3094" s="77"/>
    </row>
    <row r="3095" spans="1:61" x14ac:dyDescent="0.25">
      <c r="A3095" s="62" t="s">
        <v>1006</v>
      </c>
      <c r="B3095" s="62" t="s">
        <v>1006</v>
      </c>
      <c r="C3095" s="63"/>
      <c r="D3095" s="64"/>
      <c r="E3095" s="65"/>
      <c r="F3095" s="66"/>
      <c r="G3095" s="63"/>
      <c r="H3095" s="67"/>
      <c r="I3095" s="68"/>
      <c r="J3095" s="68"/>
      <c r="K3095" s="32"/>
      <c r="L3095" s="75">
        <v>3095</v>
      </c>
      <c r="M3095" s="75"/>
      <c r="N3095" s="70"/>
      <c r="O3095" s="77" t="s">
        <v>179</v>
      </c>
      <c r="P3095" s="79">
        <v>45083.771886574075</v>
      </c>
      <c r="Q3095" s="77" t="s">
        <v>4301</v>
      </c>
      <c r="R3095" s="77">
        <v>0</v>
      </c>
      <c r="S3095" s="77">
        <v>1</v>
      </c>
      <c r="T3095" s="77">
        <v>0</v>
      </c>
      <c r="U3095" s="77">
        <v>0</v>
      </c>
      <c r="V3095" s="77">
        <v>273</v>
      </c>
      <c r="W3095" s="82" t="s">
        <v>6740</v>
      </c>
      <c r="X3095" s="77"/>
      <c r="Y3095" s="77"/>
      <c r="Z3095" s="77"/>
      <c r="AA3095" s="77" t="s">
        <v>9420</v>
      </c>
      <c r="AB3095" s="77" t="s">
        <v>10130</v>
      </c>
      <c r="AC3095" s="82" t="s">
        <v>10147</v>
      </c>
      <c r="AD3095" s="77" t="s">
        <v>10184</v>
      </c>
      <c r="AE3095" s="80" t="str">
        <f>HYPERLINK("https://twitter.com/imdasmilhas/status/1666150843303841792")</f>
        <v>https://twitter.com/imdasmilhas/status/1666150843303841792</v>
      </c>
      <c r="AF3095" s="79">
        <v>45083.771886574075</v>
      </c>
      <c r="AG3095" s="85">
        <v>45083</v>
      </c>
      <c r="AH3095" s="82" t="s">
        <v>13115</v>
      </c>
      <c r="AI3095" s="77" t="b">
        <v>0</v>
      </c>
      <c r="AJ3095" s="77"/>
      <c r="AK3095" s="77"/>
      <c r="AL3095" s="77"/>
      <c r="AM3095" s="77"/>
      <c r="AN3095" s="77"/>
      <c r="AO3095" s="77"/>
      <c r="AP3095" s="77"/>
      <c r="AQ3095" s="77" t="s">
        <v>16063</v>
      </c>
      <c r="AR3095" s="77"/>
      <c r="AS3095" s="77"/>
      <c r="AT3095" s="77"/>
      <c r="AU3095" s="77"/>
      <c r="AV3095" s="80" t="str">
        <f>HYPERLINK("https://pbs.twimg.com/media/Fx9bXGDWIAA4Jer.jpg")</f>
        <v>https://pbs.twimg.com/media/Fx9bXGDWIAA4Jer.jpg</v>
      </c>
      <c r="AW3095" s="82" t="s">
        <v>19861</v>
      </c>
      <c r="AX3095" s="82" t="s">
        <v>19861</v>
      </c>
      <c r="AY3095" s="77"/>
      <c r="AZ3095" s="82" t="s">
        <v>20971</v>
      </c>
      <c r="BA3095" s="82" t="s">
        <v>20971</v>
      </c>
      <c r="BB3095" s="82" t="s">
        <v>20971</v>
      </c>
      <c r="BC3095" s="82" t="s">
        <v>19861</v>
      </c>
      <c r="BD3095" s="82" t="s">
        <v>21597</v>
      </c>
      <c r="BE3095" s="77"/>
      <c r="BF3095" s="77"/>
      <c r="BG3095" s="77"/>
      <c r="BH3095" s="77"/>
      <c r="BI3095" s="77"/>
    </row>
    <row r="3096" spans="1:61" x14ac:dyDescent="0.25">
      <c r="A3096" s="62" t="s">
        <v>1006</v>
      </c>
      <c r="B3096" s="62" t="s">
        <v>1006</v>
      </c>
      <c r="C3096" s="63"/>
      <c r="D3096" s="64"/>
      <c r="E3096" s="65"/>
      <c r="F3096" s="66"/>
      <c r="G3096" s="63"/>
      <c r="H3096" s="67"/>
      <c r="I3096" s="68"/>
      <c r="J3096" s="68"/>
      <c r="K3096" s="32"/>
      <c r="L3096" s="75">
        <v>3096</v>
      </c>
      <c r="M3096" s="75"/>
      <c r="N3096" s="70"/>
      <c r="O3096" s="77" t="s">
        <v>179</v>
      </c>
      <c r="P3096" s="79">
        <v>45083.762662037036</v>
      </c>
      <c r="Q3096" s="77" t="s">
        <v>4302</v>
      </c>
      <c r="R3096" s="77">
        <v>0</v>
      </c>
      <c r="S3096" s="77">
        <v>1</v>
      </c>
      <c r="T3096" s="77">
        <v>0</v>
      </c>
      <c r="U3096" s="77">
        <v>0</v>
      </c>
      <c r="V3096" s="77">
        <v>95</v>
      </c>
      <c r="W3096" s="82" t="s">
        <v>6740</v>
      </c>
      <c r="X3096" s="77"/>
      <c r="Y3096" s="77"/>
      <c r="Z3096" s="77"/>
      <c r="AA3096" s="77" t="s">
        <v>9421</v>
      </c>
      <c r="AB3096" s="77" t="s">
        <v>10130</v>
      </c>
      <c r="AC3096" s="82" t="s">
        <v>10147</v>
      </c>
      <c r="AD3096" s="77" t="s">
        <v>10184</v>
      </c>
      <c r="AE3096" s="80" t="str">
        <f>HYPERLINK("https://twitter.com/imdasmilhas/status/1666147502116990979")</f>
        <v>https://twitter.com/imdasmilhas/status/1666147502116990979</v>
      </c>
      <c r="AF3096" s="79">
        <v>45083.762662037036</v>
      </c>
      <c r="AG3096" s="85">
        <v>45083</v>
      </c>
      <c r="AH3096" s="82" t="s">
        <v>13116</v>
      </c>
      <c r="AI3096" s="77" t="b">
        <v>0</v>
      </c>
      <c r="AJ3096" s="77"/>
      <c r="AK3096" s="77"/>
      <c r="AL3096" s="77"/>
      <c r="AM3096" s="77"/>
      <c r="AN3096" s="77"/>
      <c r="AO3096" s="77"/>
      <c r="AP3096" s="77"/>
      <c r="AQ3096" s="77" t="s">
        <v>16064</v>
      </c>
      <c r="AR3096" s="77"/>
      <c r="AS3096" s="77"/>
      <c r="AT3096" s="77"/>
      <c r="AU3096" s="77"/>
      <c r="AV3096" s="80" t="str">
        <f>HYPERLINK("https://pbs.twimg.com/media/Fx9YUrhWAAQUWSr.jpg")</f>
        <v>https://pbs.twimg.com/media/Fx9YUrhWAAQUWSr.jpg</v>
      </c>
      <c r="AW3096" s="82" t="s">
        <v>19862</v>
      </c>
      <c r="AX3096" s="82" t="s">
        <v>19862</v>
      </c>
      <c r="AY3096" s="77"/>
      <c r="AZ3096" s="82" t="s">
        <v>20971</v>
      </c>
      <c r="BA3096" s="82" t="s">
        <v>20971</v>
      </c>
      <c r="BB3096" s="82" t="s">
        <v>20971</v>
      </c>
      <c r="BC3096" s="82" t="s">
        <v>19862</v>
      </c>
      <c r="BD3096" s="82" t="s">
        <v>21597</v>
      </c>
      <c r="BE3096" s="77"/>
      <c r="BF3096" s="77"/>
      <c r="BG3096" s="77"/>
      <c r="BH3096" s="77"/>
      <c r="BI3096" s="77"/>
    </row>
    <row r="3097" spans="1:61" x14ac:dyDescent="0.25">
      <c r="A3097" s="62" t="s">
        <v>1006</v>
      </c>
      <c r="B3097" s="62" t="s">
        <v>1006</v>
      </c>
      <c r="C3097" s="63"/>
      <c r="D3097" s="64"/>
      <c r="E3097" s="65"/>
      <c r="F3097" s="66"/>
      <c r="G3097" s="63"/>
      <c r="H3097" s="67"/>
      <c r="I3097" s="68"/>
      <c r="J3097" s="68"/>
      <c r="K3097" s="32"/>
      <c r="L3097" s="75">
        <v>3097</v>
      </c>
      <c r="M3097" s="75"/>
      <c r="N3097" s="70"/>
      <c r="O3097" s="77" t="s">
        <v>179</v>
      </c>
      <c r="P3097" s="79">
        <v>45065.848321759258</v>
      </c>
      <c r="Q3097" s="77" t="s">
        <v>4303</v>
      </c>
      <c r="R3097" s="77">
        <v>0</v>
      </c>
      <c r="S3097" s="77">
        <v>0</v>
      </c>
      <c r="T3097" s="77">
        <v>0</v>
      </c>
      <c r="U3097" s="77">
        <v>0</v>
      </c>
      <c r="V3097" s="77">
        <v>114</v>
      </c>
      <c r="W3097" s="82" t="s">
        <v>6740</v>
      </c>
      <c r="X3097" s="77"/>
      <c r="Y3097" s="77"/>
      <c r="Z3097" s="77"/>
      <c r="AA3097" s="77" t="s">
        <v>9422</v>
      </c>
      <c r="AB3097" s="77" t="s">
        <v>10130</v>
      </c>
      <c r="AC3097" s="82" t="s">
        <v>10147</v>
      </c>
      <c r="AD3097" s="77" t="s">
        <v>10184</v>
      </c>
      <c r="AE3097" s="80" t="str">
        <f>HYPERLINK("https://twitter.com/imdasmilhas/status/1659655559891525688")</f>
        <v>https://twitter.com/imdasmilhas/status/1659655559891525688</v>
      </c>
      <c r="AF3097" s="79">
        <v>45065.848321759258</v>
      </c>
      <c r="AG3097" s="85">
        <v>45065</v>
      </c>
      <c r="AH3097" s="82" t="s">
        <v>13117</v>
      </c>
      <c r="AI3097" s="77" t="b">
        <v>0</v>
      </c>
      <c r="AJ3097" s="77"/>
      <c r="AK3097" s="77"/>
      <c r="AL3097" s="77"/>
      <c r="AM3097" s="77"/>
      <c r="AN3097" s="77"/>
      <c r="AO3097" s="77"/>
      <c r="AP3097" s="77"/>
      <c r="AQ3097" s="77" t="s">
        <v>16065</v>
      </c>
      <c r="AR3097" s="77"/>
      <c r="AS3097" s="77"/>
      <c r="AT3097" s="77"/>
      <c r="AU3097" s="77"/>
      <c r="AV3097" s="80" t="str">
        <f>HYPERLINK("https://pbs.twimg.com/media/FwhH77GWIAcC3gY.jpg")</f>
        <v>https://pbs.twimg.com/media/FwhH77GWIAcC3gY.jpg</v>
      </c>
      <c r="AW3097" s="82" t="s">
        <v>19863</v>
      </c>
      <c r="AX3097" s="82" t="s">
        <v>19863</v>
      </c>
      <c r="AY3097" s="77"/>
      <c r="AZ3097" s="82" t="s">
        <v>20971</v>
      </c>
      <c r="BA3097" s="82" t="s">
        <v>20971</v>
      </c>
      <c r="BB3097" s="82" t="s">
        <v>20971</v>
      </c>
      <c r="BC3097" s="82" t="s">
        <v>19863</v>
      </c>
      <c r="BD3097" s="82" t="s">
        <v>21597</v>
      </c>
      <c r="BE3097" s="77"/>
      <c r="BF3097" s="77"/>
      <c r="BG3097" s="77"/>
      <c r="BH3097" s="77"/>
      <c r="BI3097" s="77"/>
    </row>
    <row r="3098" spans="1:61" x14ac:dyDescent="0.25">
      <c r="A3098" s="62" t="s">
        <v>1006</v>
      </c>
      <c r="B3098" s="62" t="s">
        <v>1006</v>
      </c>
      <c r="C3098" s="63"/>
      <c r="D3098" s="64"/>
      <c r="E3098" s="65"/>
      <c r="F3098" s="66"/>
      <c r="G3098" s="63"/>
      <c r="H3098" s="67"/>
      <c r="I3098" s="68"/>
      <c r="J3098" s="68"/>
      <c r="K3098" s="32"/>
      <c r="L3098" s="75">
        <v>3098</v>
      </c>
      <c r="M3098" s="75"/>
      <c r="N3098" s="70"/>
      <c r="O3098" s="77" t="s">
        <v>179</v>
      </c>
      <c r="P3098" s="79">
        <v>45065.845648148148</v>
      </c>
      <c r="Q3098" s="77" t="s">
        <v>4304</v>
      </c>
      <c r="R3098" s="77">
        <v>0</v>
      </c>
      <c r="S3098" s="77">
        <v>0</v>
      </c>
      <c r="T3098" s="77">
        <v>0</v>
      </c>
      <c r="U3098" s="77">
        <v>0</v>
      </c>
      <c r="V3098" s="77">
        <v>101</v>
      </c>
      <c r="W3098" s="82" t="s">
        <v>6740</v>
      </c>
      <c r="X3098" s="77"/>
      <c r="Y3098" s="77"/>
      <c r="Z3098" s="77"/>
      <c r="AA3098" s="77" t="s">
        <v>9423</v>
      </c>
      <c r="AB3098" s="77" t="s">
        <v>10130</v>
      </c>
      <c r="AC3098" s="82" t="s">
        <v>10147</v>
      </c>
      <c r="AD3098" s="77" t="s">
        <v>10184</v>
      </c>
      <c r="AE3098" s="80" t="str">
        <f>HYPERLINK("https://twitter.com/imdasmilhas/status/1659654594832523264")</f>
        <v>https://twitter.com/imdasmilhas/status/1659654594832523264</v>
      </c>
      <c r="AF3098" s="79">
        <v>45065.845648148148</v>
      </c>
      <c r="AG3098" s="85">
        <v>45065</v>
      </c>
      <c r="AH3098" s="82" t="s">
        <v>13118</v>
      </c>
      <c r="AI3098" s="77" t="b">
        <v>0</v>
      </c>
      <c r="AJ3098" s="77"/>
      <c r="AK3098" s="77"/>
      <c r="AL3098" s="77"/>
      <c r="AM3098" s="77"/>
      <c r="AN3098" s="77"/>
      <c r="AO3098" s="77"/>
      <c r="AP3098" s="77"/>
      <c r="AQ3098" s="77" t="s">
        <v>16066</v>
      </c>
      <c r="AR3098" s="77"/>
      <c r="AS3098" s="77"/>
      <c r="AT3098" s="77"/>
      <c r="AU3098" s="77"/>
      <c r="AV3098" s="80" t="str">
        <f>HYPERLINK("https://pbs.twimg.com/media/FwhHDweXsAAo894.jpg")</f>
        <v>https://pbs.twimg.com/media/FwhHDweXsAAo894.jpg</v>
      </c>
      <c r="AW3098" s="82" t="s">
        <v>19864</v>
      </c>
      <c r="AX3098" s="82" t="s">
        <v>19864</v>
      </c>
      <c r="AY3098" s="77"/>
      <c r="AZ3098" s="82" t="s">
        <v>20971</v>
      </c>
      <c r="BA3098" s="82" t="s">
        <v>20971</v>
      </c>
      <c r="BB3098" s="82" t="s">
        <v>20971</v>
      </c>
      <c r="BC3098" s="82" t="s">
        <v>19864</v>
      </c>
      <c r="BD3098" s="82" t="s">
        <v>21597</v>
      </c>
      <c r="BE3098" s="77"/>
      <c r="BF3098" s="77"/>
      <c r="BG3098" s="77"/>
      <c r="BH3098" s="77"/>
      <c r="BI3098" s="77"/>
    </row>
    <row r="3099" spans="1:61" x14ac:dyDescent="0.25">
      <c r="A3099" s="62" t="s">
        <v>1006</v>
      </c>
      <c r="B3099" s="62" t="s">
        <v>1006</v>
      </c>
      <c r="C3099" s="63"/>
      <c r="D3099" s="64"/>
      <c r="E3099" s="65"/>
      <c r="F3099" s="66"/>
      <c r="G3099" s="63"/>
      <c r="H3099" s="67"/>
      <c r="I3099" s="68"/>
      <c r="J3099" s="68"/>
      <c r="K3099" s="32"/>
      <c r="L3099" s="75">
        <v>3099</v>
      </c>
      <c r="M3099" s="75"/>
      <c r="N3099" s="70"/>
      <c r="O3099" s="77" t="s">
        <v>179</v>
      </c>
      <c r="P3099" s="79">
        <v>45065.684386574074</v>
      </c>
      <c r="Q3099" s="77" t="s">
        <v>4305</v>
      </c>
      <c r="R3099" s="77">
        <v>0</v>
      </c>
      <c r="S3099" s="77">
        <v>0</v>
      </c>
      <c r="T3099" s="77">
        <v>0</v>
      </c>
      <c r="U3099" s="77">
        <v>0</v>
      </c>
      <c r="V3099" s="77">
        <v>210</v>
      </c>
      <c r="W3099" s="82" t="s">
        <v>6740</v>
      </c>
      <c r="X3099" s="77"/>
      <c r="Y3099" s="77"/>
      <c r="Z3099" s="77"/>
      <c r="AA3099" s="77" t="s">
        <v>9424</v>
      </c>
      <c r="AB3099" s="77" t="s">
        <v>10130</v>
      </c>
      <c r="AC3099" s="82" t="s">
        <v>10147</v>
      </c>
      <c r="AD3099" s="77" t="s">
        <v>10184</v>
      </c>
      <c r="AE3099" s="80" t="str">
        <f>HYPERLINK("https://twitter.com/imdasmilhas/status/1659596155380981762")</f>
        <v>https://twitter.com/imdasmilhas/status/1659596155380981762</v>
      </c>
      <c r="AF3099" s="79">
        <v>45065.684386574074</v>
      </c>
      <c r="AG3099" s="85">
        <v>45065</v>
      </c>
      <c r="AH3099" s="82" t="s">
        <v>13119</v>
      </c>
      <c r="AI3099" s="77" t="b">
        <v>0</v>
      </c>
      <c r="AJ3099" s="77"/>
      <c r="AK3099" s="77"/>
      <c r="AL3099" s="77"/>
      <c r="AM3099" s="77"/>
      <c r="AN3099" s="77"/>
      <c r="AO3099" s="77"/>
      <c r="AP3099" s="77"/>
      <c r="AQ3099" s="77" t="s">
        <v>16067</v>
      </c>
      <c r="AR3099" s="77"/>
      <c r="AS3099" s="77"/>
      <c r="AT3099" s="77"/>
      <c r="AU3099" s="77"/>
      <c r="AV3099" s="80" t="str">
        <f>HYPERLINK("https://pbs.twimg.com/media/FwgR6HOWIAE5-L6.jpg")</f>
        <v>https://pbs.twimg.com/media/FwgR6HOWIAE5-L6.jpg</v>
      </c>
      <c r="AW3099" s="82" t="s">
        <v>19865</v>
      </c>
      <c r="AX3099" s="82" t="s">
        <v>19865</v>
      </c>
      <c r="AY3099" s="77"/>
      <c r="AZ3099" s="82" t="s">
        <v>20971</v>
      </c>
      <c r="BA3099" s="82" t="s">
        <v>20971</v>
      </c>
      <c r="BB3099" s="82" t="s">
        <v>20971</v>
      </c>
      <c r="BC3099" s="82" t="s">
        <v>19865</v>
      </c>
      <c r="BD3099" s="82" t="s">
        <v>21597</v>
      </c>
      <c r="BE3099" s="77"/>
      <c r="BF3099" s="77"/>
      <c r="BG3099" s="77"/>
      <c r="BH3099" s="77"/>
      <c r="BI3099" s="77"/>
    </row>
    <row r="3100" spans="1:61" x14ac:dyDescent="0.25">
      <c r="A3100" s="62" t="s">
        <v>1006</v>
      </c>
      <c r="B3100" s="62" t="s">
        <v>1006</v>
      </c>
      <c r="C3100" s="63"/>
      <c r="D3100" s="64"/>
      <c r="E3100" s="65"/>
      <c r="F3100" s="66"/>
      <c r="G3100" s="63"/>
      <c r="H3100" s="67"/>
      <c r="I3100" s="68"/>
      <c r="J3100" s="68"/>
      <c r="K3100" s="32"/>
      <c r="L3100" s="75">
        <v>3100</v>
      </c>
      <c r="M3100" s="75"/>
      <c r="N3100" s="70"/>
      <c r="O3100" s="77" t="s">
        <v>179</v>
      </c>
      <c r="P3100" s="79">
        <v>45065.683796296296</v>
      </c>
      <c r="Q3100" s="77" t="s">
        <v>4306</v>
      </c>
      <c r="R3100" s="77">
        <v>0</v>
      </c>
      <c r="S3100" s="77">
        <v>0</v>
      </c>
      <c r="T3100" s="77">
        <v>0</v>
      </c>
      <c r="U3100" s="77">
        <v>0</v>
      </c>
      <c r="V3100" s="77">
        <v>75</v>
      </c>
      <c r="W3100" s="82" t="s">
        <v>6740</v>
      </c>
      <c r="X3100" s="77"/>
      <c r="Y3100" s="77"/>
      <c r="Z3100" s="77"/>
      <c r="AA3100" s="77" t="s">
        <v>9425</v>
      </c>
      <c r="AB3100" s="77" t="s">
        <v>10130</v>
      </c>
      <c r="AC3100" s="82" t="s">
        <v>10147</v>
      </c>
      <c r="AD3100" s="77" t="s">
        <v>10184</v>
      </c>
      <c r="AE3100" s="80" t="str">
        <f>HYPERLINK("https://twitter.com/imdasmilhas/status/1659595940410408961")</f>
        <v>https://twitter.com/imdasmilhas/status/1659595940410408961</v>
      </c>
      <c r="AF3100" s="79">
        <v>45065.683796296296</v>
      </c>
      <c r="AG3100" s="85">
        <v>45065</v>
      </c>
      <c r="AH3100" s="82" t="s">
        <v>13120</v>
      </c>
      <c r="AI3100" s="77" t="b">
        <v>0</v>
      </c>
      <c r="AJ3100" s="77"/>
      <c r="AK3100" s="77"/>
      <c r="AL3100" s="77"/>
      <c r="AM3100" s="77"/>
      <c r="AN3100" s="77"/>
      <c r="AO3100" s="77"/>
      <c r="AP3100" s="77"/>
      <c r="AQ3100" s="77" t="s">
        <v>16068</v>
      </c>
      <c r="AR3100" s="77"/>
      <c r="AS3100" s="77"/>
      <c r="AT3100" s="77"/>
      <c r="AU3100" s="77"/>
      <c r="AV3100" s="80" t="str">
        <f>HYPERLINK("https://pbs.twimg.com/media/FwgRtmOXwAMoNe0.jpg")</f>
        <v>https://pbs.twimg.com/media/FwgRtmOXwAMoNe0.jpg</v>
      </c>
      <c r="AW3100" s="82" t="s">
        <v>19866</v>
      </c>
      <c r="AX3100" s="82" t="s">
        <v>19866</v>
      </c>
      <c r="AY3100" s="77"/>
      <c r="AZ3100" s="82" t="s">
        <v>20971</v>
      </c>
      <c r="BA3100" s="82" t="s">
        <v>20971</v>
      </c>
      <c r="BB3100" s="82" t="s">
        <v>20971</v>
      </c>
      <c r="BC3100" s="82" t="s">
        <v>19866</v>
      </c>
      <c r="BD3100" s="82" t="s">
        <v>21597</v>
      </c>
      <c r="BE3100" s="77"/>
      <c r="BF3100" s="77"/>
      <c r="BG3100" s="77"/>
      <c r="BH3100" s="77"/>
      <c r="BI3100" s="77"/>
    </row>
    <row r="3101" spans="1:61" x14ac:dyDescent="0.25">
      <c r="A3101" s="62" t="s">
        <v>1006</v>
      </c>
      <c r="B3101" s="62" t="s">
        <v>1006</v>
      </c>
      <c r="C3101" s="63"/>
      <c r="D3101" s="64"/>
      <c r="E3101" s="65"/>
      <c r="F3101" s="66"/>
      <c r="G3101" s="63"/>
      <c r="H3101" s="67"/>
      <c r="I3101" s="68"/>
      <c r="J3101" s="68"/>
      <c r="K3101" s="32"/>
      <c r="L3101" s="75">
        <v>3101</v>
      </c>
      <c r="M3101" s="75"/>
      <c r="N3101" s="70"/>
      <c r="O3101" s="77" t="s">
        <v>179</v>
      </c>
      <c r="P3101" s="79">
        <v>45065.68340277778</v>
      </c>
      <c r="Q3101" s="77" t="s">
        <v>4307</v>
      </c>
      <c r="R3101" s="77">
        <v>0</v>
      </c>
      <c r="S3101" s="77">
        <v>0</v>
      </c>
      <c r="T3101" s="77">
        <v>0</v>
      </c>
      <c r="U3101" s="77">
        <v>0</v>
      </c>
      <c r="V3101" s="77">
        <v>55</v>
      </c>
      <c r="W3101" s="82" t="s">
        <v>6740</v>
      </c>
      <c r="X3101" s="77"/>
      <c r="Y3101" s="77"/>
      <c r="Z3101" s="77"/>
      <c r="AA3101" s="77" t="s">
        <v>9426</v>
      </c>
      <c r="AB3101" s="77" t="s">
        <v>10130</v>
      </c>
      <c r="AC3101" s="82" t="s">
        <v>10147</v>
      </c>
      <c r="AD3101" s="77" t="s">
        <v>10184</v>
      </c>
      <c r="AE3101" s="80" t="str">
        <f>HYPERLINK("https://twitter.com/imdasmilhas/status/1659595795337736198")</f>
        <v>https://twitter.com/imdasmilhas/status/1659595795337736198</v>
      </c>
      <c r="AF3101" s="79">
        <v>45065.68340277778</v>
      </c>
      <c r="AG3101" s="85">
        <v>45065</v>
      </c>
      <c r="AH3101" s="82" t="s">
        <v>13121</v>
      </c>
      <c r="AI3101" s="77" t="b">
        <v>0</v>
      </c>
      <c r="AJ3101" s="77"/>
      <c r="AK3101" s="77"/>
      <c r="AL3101" s="77"/>
      <c r="AM3101" s="77"/>
      <c r="AN3101" s="77"/>
      <c r="AO3101" s="77"/>
      <c r="AP3101" s="77"/>
      <c r="AQ3101" s="77" t="s">
        <v>16069</v>
      </c>
      <c r="AR3101" s="77"/>
      <c r="AS3101" s="77"/>
      <c r="AT3101" s="77"/>
      <c r="AU3101" s="77"/>
      <c r="AV3101" s="80" t="str">
        <f>HYPERLINK("https://pbs.twimg.com/media/FwgRlCYXwAEQnzP.jpg")</f>
        <v>https://pbs.twimg.com/media/FwgRlCYXwAEQnzP.jpg</v>
      </c>
      <c r="AW3101" s="82" t="s">
        <v>19867</v>
      </c>
      <c r="AX3101" s="82" t="s">
        <v>19867</v>
      </c>
      <c r="AY3101" s="77"/>
      <c r="AZ3101" s="82" t="s">
        <v>20971</v>
      </c>
      <c r="BA3101" s="82" t="s">
        <v>20971</v>
      </c>
      <c r="BB3101" s="82" t="s">
        <v>20971</v>
      </c>
      <c r="BC3101" s="82" t="s">
        <v>19867</v>
      </c>
      <c r="BD3101" s="82" t="s">
        <v>21597</v>
      </c>
      <c r="BE3101" s="77"/>
      <c r="BF3101" s="77"/>
      <c r="BG3101" s="77"/>
      <c r="BH3101" s="77"/>
      <c r="BI3101" s="77"/>
    </row>
    <row r="3102" spans="1:61" x14ac:dyDescent="0.25">
      <c r="A3102" s="62" t="s">
        <v>1006</v>
      </c>
      <c r="B3102" s="62" t="s">
        <v>1006</v>
      </c>
      <c r="C3102" s="63"/>
      <c r="D3102" s="64"/>
      <c r="E3102" s="65"/>
      <c r="F3102" s="66"/>
      <c r="G3102" s="63"/>
      <c r="H3102" s="67"/>
      <c r="I3102" s="68"/>
      <c r="J3102" s="68"/>
      <c r="K3102" s="32"/>
      <c r="L3102" s="75">
        <v>3102</v>
      </c>
      <c r="M3102" s="75"/>
      <c r="N3102" s="70"/>
      <c r="O3102" s="77" t="s">
        <v>179</v>
      </c>
      <c r="P3102" s="79">
        <v>45065.682986111111</v>
      </c>
      <c r="Q3102" s="77" t="s">
        <v>4308</v>
      </c>
      <c r="R3102" s="77">
        <v>0</v>
      </c>
      <c r="S3102" s="77">
        <v>0</v>
      </c>
      <c r="T3102" s="77">
        <v>0</v>
      </c>
      <c r="U3102" s="77">
        <v>0</v>
      </c>
      <c r="V3102" s="77">
        <v>93</v>
      </c>
      <c r="W3102" s="82" t="s">
        <v>6740</v>
      </c>
      <c r="X3102" s="77"/>
      <c r="Y3102" s="77"/>
      <c r="Z3102" s="77"/>
      <c r="AA3102" s="77" t="s">
        <v>9427</v>
      </c>
      <c r="AB3102" s="77" t="s">
        <v>10130</v>
      </c>
      <c r="AC3102" s="82" t="s">
        <v>10147</v>
      </c>
      <c r="AD3102" s="77" t="s">
        <v>10184</v>
      </c>
      <c r="AE3102" s="80" t="str">
        <f>HYPERLINK("https://twitter.com/imdasmilhas/status/1659595646897143816")</f>
        <v>https://twitter.com/imdasmilhas/status/1659595646897143816</v>
      </c>
      <c r="AF3102" s="79">
        <v>45065.682986111111</v>
      </c>
      <c r="AG3102" s="85">
        <v>45065</v>
      </c>
      <c r="AH3102" s="82" t="s">
        <v>13122</v>
      </c>
      <c r="AI3102" s="77" t="b">
        <v>0</v>
      </c>
      <c r="AJ3102" s="77"/>
      <c r="AK3102" s="77"/>
      <c r="AL3102" s="77"/>
      <c r="AM3102" s="77"/>
      <c r="AN3102" s="77"/>
      <c r="AO3102" s="77"/>
      <c r="AP3102" s="77"/>
      <c r="AQ3102" s="77" t="s">
        <v>16070</v>
      </c>
      <c r="AR3102" s="77"/>
      <c r="AS3102" s="77"/>
      <c r="AT3102" s="77"/>
      <c r="AU3102" s="77"/>
      <c r="AV3102" s="80" t="str">
        <f>HYPERLINK("https://pbs.twimg.com/media/FwgRcg9XwBAxyYh.jpg")</f>
        <v>https://pbs.twimg.com/media/FwgRcg9XwBAxyYh.jpg</v>
      </c>
      <c r="AW3102" s="82" t="s">
        <v>19868</v>
      </c>
      <c r="AX3102" s="82" t="s">
        <v>19868</v>
      </c>
      <c r="AY3102" s="77"/>
      <c r="AZ3102" s="82" t="s">
        <v>20971</v>
      </c>
      <c r="BA3102" s="82" t="s">
        <v>20971</v>
      </c>
      <c r="BB3102" s="82" t="s">
        <v>20971</v>
      </c>
      <c r="BC3102" s="82" t="s">
        <v>19868</v>
      </c>
      <c r="BD3102" s="82" t="s">
        <v>21597</v>
      </c>
      <c r="BE3102" s="77"/>
      <c r="BF3102" s="77"/>
      <c r="BG3102" s="77"/>
      <c r="BH3102" s="77"/>
      <c r="BI3102" s="77"/>
    </row>
    <row r="3103" spans="1:61" x14ac:dyDescent="0.25">
      <c r="A3103" s="62" t="s">
        <v>1006</v>
      </c>
      <c r="B3103" s="62" t="s">
        <v>1006</v>
      </c>
      <c r="C3103" s="63"/>
      <c r="D3103" s="64"/>
      <c r="E3103" s="65"/>
      <c r="F3103" s="66"/>
      <c r="G3103" s="63"/>
      <c r="H3103" s="67"/>
      <c r="I3103" s="68"/>
      <c r="J3103" s="68"/>
      <c r="K3103" s="32"/>
      <c r="L3103" s="75">
        <v>3103</v>
      </c>
      <c r="M3103" s="75"/>
      <c r="N3103" s="70"/>
      <c r="O3103" s="77" t="s">
        <v>179</v>
      </c>
      <c r="P3103" s="79">
        <v>45061.849930555552</v>
      </c>
      <c r="Q3103" s="77" t="s">
        <v>4309</v>
      </c>
      <c r="R3103" s="77">
        <v>0</v>
      </c>
      <c r="S3103" s="77">
        <v>0</v>
      </c>
      <c r="T3103" s="77">
        <v>0</v>
      </c>
      <c r="U3103" s="77">
        <v>0</v>
      </c>
      <c r="V3103" s="77">
        <v>93</v>
      </c>
      <c r="W3103" s="82" t="s">
        <v>6740</v>
      </c>
      <c r="X3103" s="77"/>
      <c r="Y3103" s="77"/>
      <c r="Z3103" s="77"/>
      <c r="AA3103" s="77" t="s">
        <v>9428</v>
      </c>
      <c r="AB3103" s="77" t="s">
        <v>10130</v>
      </c>
      <c r="AC3103" s="82" t="s">
        <v>10147</v>
      </c>
      <c r="AD3103" s="77" t="s">
        <v>10184</v>
      </c>
      <c r="AE3103" s="80" t="str">
        <f>HYPERLINK("https://twitter.com/imdasmilhas/status/1658206592628604929")</f>
        <v>https://twitter.com/imdasmilhas/status/1658206592628604929</v>
      </c>
      <c r="AF3103" s="79">
        <v>45061.849930555552</v>
      </c>
      <c r="AG3103" s="85">
        <v>45061</v>
      </c>
      <c r="AH3103" s="82" t="s">
        <v>13123</v>
      </c>
      <c r="AI3103" s="77" t="b">
        <v>0</v>
      </c>
      <c r="AJ3103" s="77"/>
      <c r="AK3103" s="77"/>
      <c r="AL3103" s="77"/>
      <c r="AM3103" s="77"/>
      <c r="AN3103" s="77"/>
      <c r="AO3103" s="77"/>
      <c r="AP3103" s="77"/>
      <c r="AQ3103" s="77" t="s">
        <v>16071</v>
      </c>
      <c r="AR3103" s="77"/>
      <c r="AS3103" s="77"/>
      <c r="AT3103" s="77"/>
      <c r="AU3103" s="77"/>
      <c r="AV3103" s="80" t="str">
        <f>HYPERLINK("https://pbs.twimg.com/media/FwMiG6QXoAA1W7X.jpg")</f>
        <v>https://pbs.twimg.com/media/FwMiG6QXoAA1W7X.jpg</v>
      </c>
      <c r="AW3103" s="82" t="s">
        <v>19869</v>
      </c>
      <c r="AX3103" s="82" t="s">
        <v>19869</v>
      </c>
      <c r="AY3103" s="77"/>
      <c r="AZ3103" s="82" t="s">
        <v>20971</v>
      </c>
      <c r="BA3103" s="82" t="s">
        <v>20971</v>
      </c>
      <c r="BB3103" s="82" t="s">
        <v>20971</v>
      </c>
      <c r="BC3103" s="82" t="s">
        <v>19869</v>
      </c>
      <c r="BD3103" s="82" t="s">
        <v>21597</v>
      </c>
      <c r="BE3103" s="77"/>
      <c r="BF3103" s="77"/>
      <c r="BG3103" s="77"/>
      <c r="BH3103" s="77"/>
      <c r="BI3103" s="77"/>
    </row>
    <row r="3104" spans="1:61" x14ac:dyDescent="0.25">
      <c r="A3104" s="62" t="s">
        <v>1006</v>
      </c>
      <c r="B3104" s="62" t="s">
        <v>1006</v>
      </c>
      <c r="C3104" s="63"/>
      <c r="D3104" s="64"/>
      <c r="E3104" s="65"/>
      <c r="F3104" s="66"/>
      <c r="G3104" s="63"/>
      <c r="H3104" s="67"/>
      <c r="I3104" s="68"/>
      <c r="J3104" s="68"/>
      <c r="K3104" s="32"/>
      <c r="L3104" s="75">
        <v>3104</v>
      </c>
      <c r="M3104" s="75"/>
      <c r="N3104" s="70"/>
      <c r="O3104" s="77" t="s">
        <v>179</v>
      </c>
      <c r="P3104" s="79">
        <v>45061.848263888889</v>
      </c>
      <c r="Q3104" s="77" t="s">
        <v>4310</v>
      </c>
      <c r="R3104" s="77">
        <v>0</v>
      </c>
      <c r="S3104" s="77">
        <v>0</v>
      </c>
      <c r="T3104" s="77">
        <v>0</v>
      </c>
      <c r="U3104" s="77">
        <v>0</v>
      </c>
      <c r="V3104" s="77">
        <v>88</v>
      </c>
      <c r="W3104" s="82" t="s">
        <v>6741</v>
      </c>
      <c r="X3104" s="77"/>
      <c r="Y3104" s="77"/>
      <c r="Z3104" s="77"/>
      <c r="AA3104" s="77" t="s">
        <v>9429</v>
      </c>
      <c r="AB3104" s="77" t="s">
        <v>10130</v>
      </c>
      <c r="AC3104" s="82" t="s">
        <v>10147</v>
      </c>
      <c r="AD3104" s="77" t="s">
        <v>10184</v>
      </c>
      <c r="AE3104" s="80" t="str">
        <f>HYPERLINK("https://twitter.com/imdasmilhas/status/1658205989105967119")</f>
        <v>https://twitter.com/imdasmilhas/status/1658205989105967119</v>
      </c>
      <c r="AF3104" s="79">
        <v>45061.848263888889</v>
      </c>
      <c r="AG3104" s="85">
        <v>45061</v>
      </c>
      <c r="AH3104" s="82" t="s">
        <v>13124</v>
      </c>
      <c r="AI3104" s="77" t="b">
        <v>0</v>
      </c>
      <c r="AJ3104" s="77"/>
      <c r="AK3104" s="77"/>
      <c r="AL3104" s="77"/>
      <c r="AM3104" s="77"/>
      <c r="AN3104" s="77"/>
      <c r="AO3104" s="77"/>
      <c r="AP3104" s="77"/>
      <c r="AQ3104" s="77" t="s">
        <v>16072</v>
      </c>
      <c r="AR3104" s="77"/>
      <c r="AS3104" s="77"/>
      <c r="AT3104" s="77"/>
      <c r="AU3104" s="77"/>
      <c r="AV3104" s="80" t="str">
        <f>HYPERLINK("https://pbs.twimg.com/media/FwMhjx4WICgDKxd.jpg")</f>
        <v>https://pbs.twimg.com/media/FwMhjx4WICgDKxd.jpg</v>
      </c>
      <c r="AW3104" s="82" t="s">
        <v>19870</v>
      </c>
      <c r="AX3104" s="82" t="s">
        <v>19870</v>
      </c>
      <c r="AY3104" s="77"/>
      <c r="AZ3104" s="82" t="s">
        <v>20971</v>
      </c>
      <c r="BA3104" s="82" t="s">
        <v>20971</v>
      </c>
      <c r="BB3104" s="82" t="s">
        <v>20971</v>
      </c>
      <c r="BC3104" s="82" t="s">
        <v>19870</v>
      </c>
      <c r="BD3104" s="82" t="s">
        <v>21597</v>
      </c>
      <c r="BE3104" s="77"/>
      <c r="BF3104" s="77"/>
      <c r="BG3104" s="77"/>
      <c r="BH3104" s="77"/>
      <c r="BI3104" s="77"/>
    </row>
    <row r="3105" spans="1:61" x14ac:dyDescent="0.25">
      <c r="A3105" s="62" t="s">
        <v>1006</v>
      </c>
      <c r="B3105" s="62" t="s">
        <v>1006</v>
      </c>
      <c r="C3105" s="63"/>
      <c r="D3105" s="64"/>
      <c r="E3105" s="65"/>
      <c r="F3105" s="66"/>
      <c r="G3105" s="63"/>
      <c r="H3105" s="67"/>
      <c r="I3105" s="68"/>
      <c r="J3105" s="68"/>
      <c r="K3105" s="32"/>
      <c r="L3105" s="75">
        <v>3105</v>
      </c>
      <c r="M3105" s="75"/>
      <c r="N3105" s="70"/>
      <c r="O3105" s="77" t="s">
        <v>179</v>
      </c>
      <c r="P3105" s="79">
        <v>45061.79115740741</v>
      </c>
      <c r="Q3105" s="77" t="s">
        <v>4311</v>
      </c>
      <c r="R3105" s="77">
        <v>0</v>
      </c>
      <c r="S3105" s="77">
        <v>0</v>
      </c>
      <c r="T3105" s="77">
        <v>0</v>
      </c>
      <c r="U3105" s="77">
        <v>0</v>
      </c>
      <c r="V3105" s="77">
        <v>33</v>
      </c>
      <c r="W3105" s="82" t="s">
        <v>6740</v>
      </c>
      <c r="X3105" s="77"/>
      <c r="Y3105" s="77"/>
      <c r="Z3105" s="77"/>
      <c r="AA3105" s="77" t="s">
        <v>9430</v>
      </c>
      <c r="AB3105" s="77" t="s">
        <v>10130</v>
      </c>
      <c r="AC3105" s="82" t="s">
        <v>10147</v>
      </c>
      <c r="AD3105" s="77" t="s">
        <v>10184</v>
      </c>
      <c r="AE3105" s="80" t="str">
        <f>HYPERLINK("https://twitter.com/imdasmilhas/status/1658185296582696985")</f>
        <v>https://twitter.com/imdasmilhas/status/1658185296582696985</v>
      </c>
      <c r="AF3105" s="79">
        <v>45061.79115740741</v>
      </c>
      <c r="AG3105" s="85">
        <v>45061</v>
      </c>
      <c r="AH3105" s="82" t="s">
        <v>13125</v>
      </c>
      <c r="AI3105" s="77" t="b">
        <v>0</v>
      </c>
      <c r="AJ3105" s="77"/>
      <c r="AK3105" s="77"/>
      <c r="AL3105" s="77"/>
      <c r="AM3105" s="77"/>
      <c r="AN3105" s="77"/>
      <c r="AO3105" s="77"/>
      <c r="AP3105" s="77"/>
      <c r="AQ3105" s="77" t="s">
        <v>16073</v>
      </c>
      <c r="AR3105" s="77"/>
      <c r="AS3105" s="77"/>
      <c r="AT3105" s="77"/>
      <c r="AU3105" s="77"/>
      <c r="AV3105" s="80" t="str">
        <f>HYPERLINK("https://pbs.twimg.com/media/FwMOvU3WYAUWOrk.jpg")</f>
        <v>https://pbs.twimg.com/media/FwMOvU3WYAUWOrk.jpg</v>
      </c>
      <c r="AW3105" s="82" t="s">
        <v>19871</v>
      </c>
      <c r="AX3105" s="82" t="s">
        <v>19871</v>
      </c>
      <c r="AY3105" s="77"/>
      <c r="AZ3105" s="82" t="s">
        <v>20971</v>
      </c>
      <c r="BA3105" s="82" t="s">
        <v>20971</v>
      </c>
      <c r="BB3105" s="82" t="s">
        <v>20971</v>
      </c>
      <c r="BC3105" s="82" t="s">
        <v>19871</v>
      </c>
      <c r="BD3105" s="82" t="s">
        <v>21597</v>
      </c>
      <c r="BE3105" s="77"/>
      <c r="BF3105" s="77"/>
      <c r="BG3105" s="77"/>
      <c r="BH3105" s="77"/>
      <c r="BI3105" s="77"/>
    </row>
    <row r="3106" spans="1:61" x14ac:dyDescent="0.25">
      <c r="A3106" s="62" t="s">
        <v>1006</v>
      </c>
      <c r="B3106" s="62" t="s">
        <v>1006</v>
      </c>
      <c r="C3106" s="63"/>
      <c r="D3106" s="64"/>
      <c r="E3106" s="65"/>
      <c r="F3106" s="66"/>
      <c r="G3106" s="63"/>
      <c r="H3106" s="67"/>
      <c r="I3106" s="68"/>
      <c r="J3106" s="68"/>
      <c r="K3106" s="32"/>
      <c r="L3106" s="75">
        <v>3106</v>
      </c>
      <c r="M3106" s="75"/>
      <c r="N3106" s="70"/>
      <c r="O3106" s="77" t="s">
        <v>179</v>
      </c>
      <c r="P3106" s="79">
        <v>45061.789178240739</v>
      </c>
      <c r="Q3106" s="77" t="s">
        <v>4312</v>
      </c>
      <c r="R3106" s="77">
        <v>0</v>
      </c>
      <c r="S3106" s="77">
        <v>1</v>
      </c>
      <c r="T3106" s="77">
        <v>0</v>
      </c>
      <c r="U3106" s="77">
        <v>0</v>
      </c>
      <c r="V3106" s="77">
        <v>79</v>
      </c>
      <c r="W3106" s="82" t="s">
        <v>6740</v>
      </c>
      <c r="X3106" s="77"/>
      <c r="Y3106" s="77"/>
      <c r="Z3106" s="77"/>
      <c r="AA3106" s="77" t="s">
        <v>9431</v>
      </c>
      <c r="AB3106" s="77" t="s">
        <v>10130</v>
      </c>
      <c r="AC3106" s="82" t="s">
        <v>10147</v>
      </c>
      <c r="AD3106" s="77" t="s">
        <v>10184</v>
      </c>
      <c r="AE3106" s="80" t="str">
        <f>HYPERLINK("https://twitter.com/imdasmilhas/status/1658184578555682816")</f>
        <v>https://twitter.com/imdasmilhas/status/1658184578555682816</v>
      </c>
      <c r="AF3106" s="79">
        <v>45061.789178240739</v>
      </c>
      <c r="AG3106" s="85">
        <v>45061</v>
      </c>
      <c r="AH3106" s="82" t="s">
        <v>13126</v>
      </c>
      <c r="AI3106" s="77" t="b">
        <v>0</v>
      </c>
      <c r="AJ3106" s="77"/>
      <c r="AK3106" s="77"/>
      <c r="AL3106" s="77"/>
      <c r="AM3106" s="77"/>
      <c r="AN3106" s="77"/>
      <c r="AO3106" s="77"/>
      <c r="AP3106" s="77"/>
      <c r="AQ3106" s="77" t="s">
        <v>16074</v>
      </c>
      <c r="AR3106" s="77"/>
      <c r="AS3106" s="77"/>
      <c r="AT3106" s="77"/>
      <c r="AU3106" s="77"/>
      <c r="AV3106" s="80" t="str">
        <f>HYPERLINK("https://pbs.twimg.com/media/FwMOFgKWYAUtRSC.jpg")</f>
        <v>https://pbs.twimg.com/media/FwMOFgKWYAUtRSC.jpg</v>
      </c>
      <c r="AW3106" s="82" t="s">
        <v>19872</v>
      </c>
      <c r="AX3106" s="82" t="s">
        <v>19872</v>
      </c>
      <c r="AY3106" s="77"/>
      <c r="AZ3106" s="82" t="s">
        <v>20971</v>
      </c>
      <c r="BA3106" s="82" t="s">
        <v>20971</v>
      </c>
      <c r="BB3106" s="82" t="s">
        <v>20971</v>
      </c>
      <c r="BC3106" s="82" t="s">
        <v>19872</v>
      </c>
      <c r="BD3106" s="82" t="s">
        <v>21597</v>
      </c>
      <c r="BE3106" s="77"/>
      <c r="BF3106" s="77"/>
      <c r="BG3106" s="77"/>
      <c r="BH3106" s="77"/>
      <c r="BI3106" s="77"/>
    </row>
    <row r="3107" spans="1:61" x14ac:dyDescent="0.25">
      <c r="A3107" s="62" t="s">
        <v>1006</v>
      </c>
      <c r="B3107" s="62" t="s">
        <v>1006</v>
      </c>
      <c r="C3107" s="63"/>
      <c r="D3107" s="64"/>
      <c r="E3107" s="65"/>
      <c r="F3107" s="66"/>
      <c r="G3107" s="63"/>
      <c r="H3107" s="67"/>
      <c r="I3107" s="68"/>
      <c r="J3107" s="68"/>
      <c r="K3107" s="32"/>
      <c r="L3107" s="75">
        <v>3107</v>
      </c>
      <c r="M3107" s="75"/>
      <c r="N3107" s="70"/>
      <c r="O3107" s="77" t="s">
        <v>179</v>
      </c>
      <c r="P3107" s="79">
        <v>45061.788703703707</v>
      </c>
      <c r="Q3107" s="77" t="s">
        <v>4313</v>
      </c>
      <c r="R3107" s="77">
        <v>0</v>
      </c>
      <c r="S3107" s="77">
        <v>0</v>
      </c>
      <c r="T3107" s="77">
        <v>0</v>
      </c>
      <c r="U3107" s="77">
        <v>0</v>
      </c>
      <c r="V3107" s="77">
        <v>84</v>
      </c>
      <c r="W3107" s="82" t="s">
        <v>6740</v>
      </c>
      <c r="X3107" s="77"/>
      <c r="Y3107" s="77"/>
      <c r="Z3107" s="77"/>
      <c r="AA3107" s="77" t="s">
        <v>9432</v>
      </c>
      <c r="AB3107" s="77" t="s">
        <v>10130</v>
      </c>
      <c r="AC3107" s="82" t="s">
        <v>10147</v>
      </c>
      <c r="AD3107" s="77" t="s">
        <v>10184</v>
      </c>
      <c r="AE3107" s="80" t="str">
        <f>HYPERLINK("https://twitter.com/imdasmilhas/status/1658184406278758403")</f>
        <v>https://twitter.com/imdasmilhas/status/1658184406278758403</v>
      </c>
      <c r="AF3107" s="79">
        <v>45061.788703703707</v>
      </c>
      <c r="AG3107" s="85">
        <v>45061</v>
      </c>
      <c r="AH3107" s="82" t="s">
        <v>13127</v>
      </c>
      <c r="AI3107" s="77" t="b">
        <v>0</v>
      </c>
      <c r="AJ3107" s="77"/>
      <c r="AK3107" s="77"/>
      <c r="AL3107" s="77"/>
      <c r="AM3107" s="77"/>
      <c r="AN3107" s="77"/>
      <c r="AO3107" s="77"/>
      <c r="AP3107" s="77"/>
      <c r="AQ3107" s="77" t="s">
        <v>16075</v>
      </c>
      <c r="AR3107" s="77"/>
      <c r="AS3107" s="77"/>
      <c r="AT3107" s="77"/>
      <c r="AU3107" s="77"/>
      <c r="AV3107" s="80" t="str">
        <f>HYPERLINK("https://pbs.twimg.com/media/FwMN7glWYAk3Oh3.jpg")</f>
        <v>https://pbs.twimg.com/media/FwMN7glWYAk3Oh3.jpg</v>
      </c>
      <c r="AW3107" s="82" t="s">
        <v>19873</v>
      </c>
      <c r="AX3107" s="82" t="s">
        <v>19873</v>
      </c>
      <c r="AY3107" s="77"/>
      <c r="AZ3107" s="82" t="s">
        <v>20971</v>
      </c>
      <c r="BA3107" s="82" t="s">
        <v>20971</v>
      </c>
      <c r="BB3107" s="82" t="s">
        <v>20971</v>
      </c>
      <c r="BC3107" s="82" t="s">
        <v>19873</v>
      </c>
      <c r="BD3107" s="82" t="s">
        <v>21597</v>
      </c>
      <c r="BE3107" s="77"/>
      <c r="BF3107" s="77"/>
      <c r="BG3107" s="77"/>
      <c r="BH3107" s="77"/>
      <c r="BI3107" s="77"/>
    </row>
    <row r="3108" spans="1:61" x14ac:dyDescent="0.25">
      <c r="A3108" s="62" t="s">
        <v>1006</v>
      </c>
      <c r="B3108" s="62" t="s">
        <v>1006</v>
      </c>
      <c r="C3108" s="63"/>
      <c r="D3108" s="64"/>
      <c r="E3108" s="65"/>
      <c r="F3108" s="66"/>
      <c r="G3108" s="63"/>
      <c r="H3108" s="67"/>
      <c r="I3108" s="68"/>
      <c r="J3108" s="68"/>
      <c r="K3108" s="32"/>
      <c r="L3108" s="75">
        <v>3108</v>
      </c>
      <c r="M3108" s="75"/>
      <c r="N3108" s="70"/>
      <c r="O3108" s="77" t="s">
        <v>179</v>
      </c>
      <c r="P3108" s="79">
        <v>45061.788321759261</v>
      </c>
      <c r="Q3108" s="77" t="s">
        <v>4314</v>
      </c>
      <c r="R3108" s="77">
        <v>0</v>
      </c>
      <c r="S3108" s="77">
        <v>0</v>
      </c>
      <c r="T3108" s="77">
        <v>0</v>
      </c>
      <c r="U3108" s="77">
        <v>0</v>
      </c>
      <c r="V3108" s="77">
        <v>42</v>
      </c>
      <c r="W3108" s="82" t="s">
        <v>6740</v>
      </c>
      <c r="X3108" s="77"/>
      <c r="Y3108" s="77"/>
      <c r="Z3108" s="77"/>
      <c r="AA3108" s="77" t="s">
        <v>9433</v>
      </c>
      <c r="AB3108" s="77" t="s">
        <v>10130</v>
      </c>
      <c r="AC3108" s="82" t="s">
        <v>10147</v>
      </c>
      <c r="AD3108" s="77" t="s">
        <v>10184</v>
      </c>
      <c r="AE3108" s="80" t="str">
        <f>HYPERLINK("https://twitter.com/imdasmilhas/status/1658184264985239565")</f>
        <v>https://twitter.com/imdasmilhas/status/1658184264985239565</v>
      </c>
      <c r="AF3108" s="79">
        <v>45061.788321759261</v>
      </c>
      <c r="AG3108" s="85">
        <v>45061</v>
      </c>
      <c r="AH3108" s="82" t="s">
        <v>13128</v>
      </c>
      <c r="AI3108" s="77" t="b">
        <v>0</v>
      </c>
      <c r="AJ3108" s="77"/>
      <c r="AK3108" s="77"/>
      <c r="AL3108" s="77"/>
      <c r="AM3108" s="77"/>
      <c r="AN3108" s="77"/>
      <c r="AO3108" s="77"/>
      <c r="AP3108" s="77"/>
      <c r="AQ3108" s="77" t="s">
        <v>16076</v>
      </c>
      <c r="AR3108" s="77"/>
      <c r="AS3108" s="77"/>
      <c r="AT3108" s="77"/>
      <c r="AU3108" s="77"/>
      <c r="AV3108" s="80" t="str">
        <f>HYPERLINK("https://pbs.twimg.com/media/FwMNzS6WYB8RR05.jpg")</f>
        <v>https://pbs.twimg.com/media/FwMNzS6WYB8RR05.jpg</v>
      </c>
      <c r="AW3108" s="82" t="s">
        <v>19874</v>
      </c>
      <c r="AX3108" s="82" t="s">
        <v>19874</v>
      </c>
      <c r="AY3108" s="77"/>
      <c r="AZ3108" s="82" t="s">
        <v>20971</v>
      </c>
      <c r="BA3108" s="82" t="s">
        <v>20971</v>
      </c>
      <c r="BB3108" s="82" t="s">
        <v>20971</v>
      </c>
      <c r="BC3108" s="82" t="s">
        <v>19874</v>
      </c>
      <c r="BD3108" s="82" t="s">
        <v>21597</v>
      </c>
      <c r="BE3108" s="77"/>
      <c r="BF3108" s="77"/>
      <c r="BG3108" s="77"/>
      <c r="BH3108" s="77"/>
      <c r="BI3108" s="77"/>
    </row>
    <row r="3109" spans="1:61" x14ac:dyDescent="0.25">
      <c r="A3109" s="62" t="s">
        <v>1006</v>
      </c>
      <c r="B3109" s="62" t="s">
        <v>1006</v>
      </c>
      <c r="C3109" s="63"/>
      <c r="D3109" s="64"/>
      <c r="E3109" s="65"/>
      <c r="F3109" s="66"/>
      <c r="G3109" s="63"/>
      <c r="H3109" s="67"/>
      <c r="I3109" s="68"/>
      <c r="J3109" s="68"/>
      <c r="K3109" s="32"/>
      <c r="L3109" s="75">
        <v>3109</v>
      </c>
      <c r="M3109" s="75"/>
      <c r="N3109" s="70"/>
      <c r="O3109" s="77" t="s">
        <v>179</v>
      </c>
      <c r="P3109" s="79">
        <v>45050.794247685182</v>
      </c>
      <c r="Q3109" s="77" t="s">
        <v>4315</v>
      </c>
      <c r="R3109" s="77">
        <v>0</v>
      </c>
      <c r="S3109" s="77">
        <v>0</v>
      </c>
      <c r="T3109" s="77">
        <v>0</v>
      </c>
      <c r="U3109" s="77">
        <v>0</v>
      </c>
      <c r="V3109" s="77">
        <v>72</v>
      </c>
      <c r="W3109" s="82" t="s">
        <v>6740</v>
      </c>
      <c r="X3109" s="77"/>
      <c r="Y3109" s="77"/>
      <c r="Z3109" s="77"/>
      <c r="AA3109" s="77" t="s">
        <v>9434</v>
      </c>
      <c r="AB3109" s="77" t="s">
        <v>10130</v>
      </c>
      <c r="AC3109" s="82" t="s">
        <v>10147</v>
      </c>
      <c r="AD3109" s="77" t="s">
        <v>10184</v>
      </c>
      <c r="AE3109" s="80" t="str">
        <f>HYPERLINK("https://twitter.com/imdasmilhas/status/1654200147776098330")</f>
        <v>https://twitter.com/imdasmilhas/status/1654200147776098330</v>
      </c>
      <c r="AF3109" s="79">
        <v>45050.794247685182</v>
      </c>
      <c r="AG3109" s="85">
        <v>45050</v>
      </c>
      <c r="AH3109" s="82" t="s">
        <v>13129</v>
      </c>
      <c r="AI3109" s="77" t="b">
        <v>0</v>
      </c>
      <c r="AJ3109" s="77"/>
      <c r="AK3109" s="77"/>
      <c r="AL3109" s="77"/>
      <c r="AM3109" s="77"/>
      <c r="AN3109" s="77"/>
      <c r="AO3109" s="77"/>
      <c r="AP3109" s="77"/>
      <c r="AQ3109" s="77" t="s">
        <v>16077</v>
      </c>
      <c r="AR3109" s="77"/>
      <c r="AS3109" s="77"/>
      <c r="AT3109" s="77"/>
      <c r="AU3109" s="77"/>
      <c r="AV3109" s="80" t="str">
        <f>HYPERLINK("https://pbs.twimg.com/media/FvTmRJ-X0AIAIJI.jpg")</f>
        <v>https://pbs.twimg.com/media/FvTmRJ-X0AIAIJI.jpg</v>
      </c>
      <c r="AW3109" s="82" t="s">
        <v>19875</v>
      </c>
      <c r="AX3109" s="82" t="s">
        <v>19875</v>
      </c>
      <c r="AY3109" s="77"/>
      <c r="AZ3109" s="82" t="s">
        <v>20971</v>
      </c>
      <c r="BA3109" s="82" t="s">
        <v>20971</v>
      </c>
      <c r="BB3109" s="82" t="s">
        <v>20971</v>
      </c>
      <c r="BC3109" s="82" t="s">
        <v>19875</v>
      </c>
      <c r="BD3109" s="82" t="s">
        <v>21597</v>
      </c>
      <c r="BE3109" s="77"/>
      <c r="BF3109" s="77"/>
      <c r="BG3109" s="77"/>
      <c r="BH3109" s="77"/>
      <c r="BI3109" s="77"/>
    </row>
    <row r="3110" spans="1:61" x14ac:dyDescent="0.25">
      <c r="A3110" s="62" t="s">
        <v>1006</v>
      </c>
      <c r="B3110" s="62" t="s">
        <v>1006</v>
      </c>
      <c r="C3110" s="63"/>
      <c r="D3110" s="64"/>
      <c r="E3110" s="65"/>
      <c r="F3110" s="66"/>
      <c r="G3110" s="63"/>
      <c r="H3110" s="67"/>
      <c r="I3110" s="68"/>
      <c r="J3110" s="68"/>
      <c r="K3110" s="32"/>
      <c r="L3110" s="75">
        <v>3110</v>
      </c>
      <c r="M3110" s="75"/>
      <c r="N3110" s="70"/>
      <c r="O3110" s="77" t="s">
        <v>179</v>
      </c>
      <c r="P3110" s="79">
        <v>45050.792662037034</v>
      </c>
      <c r="Q3110" s="77" t="s">
        <v>4316</v>
      </c>
      <c r="R3110" s="77">
        <v>0</v>
      </c>
      <c r="S3110" s="77">
        <v>0</v>
      </c>
      <c r="T3110" s="77">
        <v>0</v>
      </c>
      <c r="U3110" s="77">
        <v>0</v>
      </c>
      <c r="V3110" s="77">
        <v>54</v>
      </c>
      <c r="W3110" s="82" t="s">
        <v>6740</v>
      </c>
      <c r="X3110" s="77"/>
      <c r="Y3110" s="77"/>
      <c r="Z3110" s="77"/>
      <c r="AA3110" s="77" t="s">
        <v>9435</v>
      </c>
      <c r="AB3110" s="77" t="s">
        <v>10130</v>
      </c>
      <c r="AC3110" s="82" t="s">
        <v>10147</v>
      </c>
      <c r="AD3110" s="77" t="s">
        <v>10184</v>
      </c>
      <c r="AE3110" s="80" t="str">
        <f>HYPERLINK("https://twitter.com/imdasmilhas/status/1654199573445857287")</f>
        <v>https://twitter.com/imdasmilhas/status/1654199573445857287</v>
      </c>
      <c r="AF3110" s="79">
        <v>45050.792662037034</v>
      </c>
      <c r="AG3110" s="85">
        <v>45050</v>
      </c>
      <c r="AH3110" s="82" t="s">
        <v>13130</v>
      </c>
      <c r="AI3110" s="77" t="b">
        <v>0</v>
      </c>
      <c r="AJ3110" s="77"/>
      <c r="AK3110" s="77"/>
      <c r="AL3110" s="77"/>
      <c r="AM3110" s="77"/>
      <c r="AN3110" s="77"/>
      <c r="AO3110" s="77"/>
      <c r="AP3110" s="77"/>
      <c r="AQ3110" s="77" t="s">
        <v>16078</v>
      </c>
      <c r="AR3110" s="77"/>
      <c r="AS3110" s="77"/>
      <c r="AT3110" s="77"/>
      <c r="AU3110" s="77"/>
      <c r="AV3110" s="80" t="str">
        <f>HYPERLINK("https://pbs.twimg.com/media/FvTlvtZX0AsX2I1.jpg")</f>
        <v>https://pbs.twimg.com/media/FvTlvtZX0AsX2I1.jpg</v>
      </c>
      <c r="AW3110" s="82" t="s">
        <v>19876</v>
      </c>
      <c r="AX3110" s="82" t="s">
        <v>19876</v>
      </c>
      <c r="AY3110" s="77"/>
      <c r="AZ3110" s="82" t="s">
        <v>20971</v>
      </c>
      <c r="BA3110" s="82" t="s">
        <v>20971</v>
      </c>
      <c r="BB3110" s="82" t="s">
        <v>20971</v>
      </c>
      <c r="BC3110" s="82" t="s">
        <v>19876</v>
      </c>
      <c r="BD3110" s="82" t="s">
        <v>21597</v>
      </c>
      <c r="BE3110" s="77"/>
      <c r="BF3110" s="77"/>
      <c r="BG3110" s="77"/>
      <c r="BH3110" s="77"/>
      <c r="BI3110" s="77"/>
    </row>
    <row r="3111" spans="1:61" x14ac:dyDescent="0.25">
      <c r="A3111" s="62" t="s">
        <v>1006</v>
      </c>
      <c r="B3111" s="62" t="s">
        <v>1006</v>
      </c>
      <c r="C3111" s="63"/>
      <c r="D3111" s="64"/>
      <c r="E3111" s="65"/>
      <c r="F3111" s="66"/>
      <c r="G3111" s="63"/>
      <c r="H3111" s="67"/>
      <c r="I3111" s="68"/>
      <c r="J3111" s="68"/>
      <c r="K3111" s="32"/>
      <c r="L3111" s="75">
        <v>3111</v>
      </c>
      <c r="M3111" s="75"/>
      <c r="N3111" s="70"/>
      <c r="O3111" s="77" t="s">
        <v>179</v>
      </c>
      <c r="P3111" s="79">
        <v>45050.668124999997</v>
      </c>
      <c r="Q3111" s="77" t="s">
        <v>4317</v>
      </c>
      <c r="R3111" s="77">
        <v>0</v>
      </c>
      <c r="S3111" s="77">
        <v>0</v>
      </c>
      <c r="T3111" s="77">
        <v>0</v>
      </c>
      <c r="U3111" s="77">
        <v>0</v>
      </c>
      <c r="V3111" s="77">
        <v>65</v>
      </c>
      <c r="W3111" s="82" t="s">
        <v>6740</v>
      </c>
      <c r="X3111" s="77"/>
      <c r="Y3111" s="77"/>
      <c r="Z3111" s="77"/>
      <c r="AA3111" s="77" t="s">
        <v>9436</v>
      </c>
      <c r="AB3111" s="77" t="s">
        <v>10130</v>
      </c>
      <c r="AC3111" s="82" t="s">
        <v>10147</v>
      </c>
      <c r="AD3111" s="77" t="s">
        <v>10184</v>
      </c>
      <c r="AE3111" s="80" t="str">
        <f>HYPERLINK("https://twitter.com/imdasmilhas/status/1654154443275882497")</f>
        <v>https://twitter.com/imdasmilhas/status/1654154443275882497</v>
      </c>
      <c r="AF3111" s="79">
        <v>45050.668124999997</v>
      </c>
      <c r="AG3111" s="85">
        <v>45050</v>
      </c>
      <c r="AH3111" s="82" t="s">
        <v>13131</v>
      </c>
      <c r="AI3111" s="77" t="b">
        <v>0</v>
      </c>
      <c r="AJ3111" s="77"/>
      <c r="AK3111" s="77"/>
      <c r="AL3111" s="77"/>
      <c r="AM3111" s="77"/>
      <c r="AN3111" s="77"/>
      <c r="AO3111" s="77"/>
      <c r="AP3111" s="77"/>
      <c r="AQ3111" s="77" t="s">
        <v>16079</v>
      </c>
      <c r="AR3111" s="77"/>
      <c r="AS3111" s="77"/>
      <c r="AT3111" s="77"/>
      <c r="AU3111" s="77"/>
      <c r="AV3111" s="80" t="str">
        <f>HYPERLINK("https://pbs.twimg.com/media/FvS8sylXgAI3jpW.jpg")</f>
        <v>https://pbs.twimg.com/media/FvS8sylXgAI3jpW.jpg</v>
      </c>
      <c r="AW3111" s="82" t="s">
        <v>19877</v>
      </c>
      <c r="AX3111" s="82" t="s">
        <v>19877</v>
      </c>
      <c r="AY3111" s="77"/>
      <c r="AZ3111" s="82" t="s">
        <v>20971</v>
      </c>
      <c r="BA3111" s="82" t="s">
        <v>20971</v>
      </c>
      <c r="BB3111" s="82" t="s">
        <v>20971</v>
      </c>
      <c r="BC3111" s="82" t="s">
        <v>19877</v>
      </c>
      <c r="BD3111" s="82" t="s">
        <v>21597</v>
      </c>
      <c r="BE3111" s="77"/>
      <c r="BF3111" s="77"/>
      <c r="BG3111" s="77"/>
      <c r="BH3111" s="77"/>
      <c r="BI3111" s="77"/>
    </row>
    <row r="3112" spans="1:61" x14ac:dyDescent="0.25">
      <c r="A3112" s="62" t="s">
        <v>1006</v>
      </c>
      <c r="B3112" s="62" t="s">
        <v>1006</v>
      </c>
      <c r="C3112" s="63"/>
      <c r="D3112" s="64"/>
      <c r="E3112" s="65"/>
      <c r="F3112" s="66"/>
      <c r="G3112" s="63"/>
      <c r="H3112" s="67"/>
      <c r="I3112" s="68"/>
      <c r="J3112" s="68"/>
      <c r="K3112" s="32"/>
      <c r="L3112" s="75">
        <v>3112</v>
      </c>
      <c r="M3112" s="75"/>
      <c r="N3112" s="70"/>
      <c r="O3112" s="77" t="s">
        <v>179</v>
      </c>
      <c r="P3112" s="79">
        <v>45050.667893518519</v>
      </c>
      <c r="Q3112" s="77" t="s">
        <v>4318</v>
      </c>
      <c r="R3112" s="77">
        <v>0</v>
      </c>
      <c r="S3112" s="77">
        <v>0</v>
      </c>
      <c r="T3112" s="77">
        <v>0</v>
      </c>
      <c r="U3112" s="77">
        <v>0</v>
      </c>
      <c r="V3112" s="77">
        <v>15</v>
      </c>
      <c r="W3112" s="82" t="s">
        <v>6740</v>
      </c>
      <c r="X3112" s="77"/>
      <c r="Y3112" s="77"/>
      <c r="Z3112" s="77"/>
      <c r="AA3112" s="77" t="s">
        <v>9437</v>
      </c>
      <c r="AB3112" s="77" t="s">
        <v>10130</v>
      </c>
      <c r="AC3112" s="82" t="s">
        <v>10147</v>
      </c>
      <c r="AD3112" s="77" t="s">
        <v>10184</v>
      </c>
      <c r="AE3112" s="80" t="str">
        <f>HYPERLINK("https://twitter.com/imdasmilhas/status/1654154357313503232")</f>
        <v>https://twitter.com/imdasmilhas/status/1654154357313503232</v>
      </c>
      <c r="AF3112" s="79">
        <v>45050.667893518519</v>
      </c>
      <c r="AG3112" s="85">
        <v>45050</v>
      </c>
      <c r="AH3112" s="82" t="s">
        <v>13132</v>
      </c>
      <c r="AI3112" s="77" t="b">
        <v>0</v>
      </c>
      <c r="AJ3112" s="77"/>
      <c r="AK3112" s="77"/>
      <c r="AL3112" s="77"/>
      <c r="AM3112" s="77"/>
      <c r="AN3112" s="77"/>
      <c r="AO3112" s="77"/>
      <c r="AP3112" s="77"/>
      <c r="AQ3112" s="77" t="s">
        <v>16080</v>
      </c>
      <c r="AR3112" s="77"/>
      <c r="AS3112" s="77"/>
      <c r="AT3112" s="77"/>
      <c r="AU3112" s="77"/>
      <c r="AV3112" s="80" t="str">
        <f>HYPERLINK("https://pbs.twimg.com/media/FvS8nv4WYAANcG0.jpg")</f>
        <v>https://pbs.twimg.com/media/FvS8nv4WYAANcG0.jpg</v>
      </c>
      <c r="AW3112" s="82" t="s">
        <v>19878</v>
      </c>
      <c r="AX3112" s="82" t="s">
        <v>19878</v>
      </c>
      <c r="AY3112" s="77"/>
      <c r="AZ3112" s="82" t="s">
        <v>20971</v>
      </c>
      <c r="BA3112" s="82" t="s">
        <v>20971</v>
      </c>
      <c r="BB3112" s="82" t="s">
        <v>20971</v>
      </c>
      <c r="BC3112" s="82" t="s">
        <v>19878</v>
      </c>
      <c r="BD3112" s="82" t="s">
        <v>21597</v>
      </c>
      <c r="BE3112" s="77"/>
      <c r="BF3112" s="77"/>
      <c r="BG3112" s="77"/>
      <c r="BH3112" s="77"/>
      <c r="BI3112" s="77"/>
    </row>
    <row r="3113" spans="1:61" x14ac:dyDescent="0.25">
      <c r="A3113" s="62" t="s">
        <v>1006</v>
      </c>
      <c r="B3113" s="62" t="s">
        <v>1006</v>
      </c>
      <c r="C3113" s="63"/>
      <c r="D3113" s="64"/>
      <c r="E3113" s="65"/>
      <c r="F3113" s="66"/>
      <c r="G3113" s="63"/>
      <c r="H3113" s="67"/>
      <c r="I3113" s="68"/>
      <c r="J3113" s="68"/>
      <c r="K3113" s="32"/>
      <c r="L3113" s="75">
        <v>3113</v>
      </c>
      <c r="M3113" s="75"/>
      <c r="N3113" s="70"/>
      <c r="O3113" s="77" t="s">
        <v>179</v>
      </c>
      <c r="P3113" s="79">
        <v>45050.667337962965</v>
      </c>
      <c r="Q3113" s="77" t="s">
        <v>4319</v>
      </c>
      <c r="R3113" s="77">
        <v>0</v>
      </c>
      <c r="S3113" s="77">
        <v>0</v>
      </c>
      <c r="T3113" s="77">
        <v>0</v>
      </c>
      <c r="U3113" s="77">
        <v>0</v>
      </c>
      <c r="V3113" s="77">
        <v>97</v>
      </c>
      <c r="W3113" s="82" t="s">
        <v>6740</v>
      </c>
      <c r="X3113" s="77"/>
      <c r="Y3113" s="77"/>
      <c r="Z3113" s="77"/>
      <c r="AA3113" s="77" t="s">
        <v>9438</v>
      </c>
      <c r="AB3113" s="77" t="s">
        <v>10130</v>
      </c>
      <c r="AC3113" s="82" t="s">
        <v>10147</v>
      </c>
      <c r="AD3113" s="77" t="s">
        <v>10184</v>
      </c>
      <c r="AE3113" s="80" t="str">
        <f>HYPERLINK("https://twitter.com/imdasmilhas/status/1654154159283634182")</f>
        <v>https://twitter.com/imdasmilhas/status/1654154159283634182</v>
      </c>
      <c r="AF3113" s="79">
        <v>45050.667337962965</v>
      </c>
      <c r="AG3113" s="85">
        <v>45050</v>
      </c>
      <c r="AH3113" s="82" t="s">
        <v>13133</v>
      </c>
      <c r="AI3113" s="77" t="b">
        <v>0</v>
      </c>
      <c r="AJ3113" s="77"/>
      <c r="AK3113" s="77"/>
      <c r="AL3113" s="77"/>
      <c r="AM3113" s="77"/>
      <c r="AN3113" s="77"/>
      <c r="AO3113" s="77"/>
      <c r="AP3113" s="77"/>
      <c r="AQ3113" s="77" t="s">
        <v>16081</v>
      </c>
      <c r="AR3113" s="77"/>
      <c r="AS3113" s="77"/>
      <c r="AT3113" s="77"/>
      <c r="AU3113" s="77"/>
      <c r="AV3113" s="80" t="str">
        <f>HYPERLINK("https://pbs.twimg.com/media/FvS8cPGWIAAMBkd.jpg")</f>
        <v>https://pbs.twimg.com/media/FvS8cPGWIAAMBkd.jpg</v>
      </c>
      <c r="AW3113" s="82" t="s">
        <v>19879</v>
      </c>
      <c r="AX3113" s="82" t="s">
        <v>19879</v>
      </c>
      <c r="AY3113" s="77"/>
      <c r="AZ3113" s="82" t="s">
        <v>20971</v>
      </c>
      <c r="BA3113" s="82" t="s">
        <v>20971</v>
      </c>
      <c r="BB3113" s="82" t="s">
        <v>20971</v>
      </c>
      <c r="BC3113" s="82" t="s">
        <v>19879</v>
      </c>
      <c r="BD3113" s="82" t="s">
        <v>21597</v>
      </c>
      <c r="BE3113" s="77"/>
      <c r="BF3113" s="77"/>
      <c r="BG3113" s="77"/>
      <c r="BH3113" s="77"/>
      <c r="BI3113" s="77"/>
    </row>
    <row r="3114" spans="1:61" x14ac:dyDescent="0.25">
      <c r="A3114" s="62" t="s">
        <v>1006</v>
      </c>
      <c r="B3114" s="62" t="s">
        <v>1006</v>
      </c>
      <c r="C3114" s="63"/>
      <c r="D3114" s="64"/>
      <c r="E3114" s="65"/>
      <c r="F3114" s="66"/>
      <c r="G3114" s="63"/>
      <c r="H3114" s="67"/>
      <c r="I3114" s="68"/>
      <c r="J3114" s="68"/>
      <c r="K3114" s="32"/>
      <c r="L3114" s="75">
        <v>3114</v>
      </c>
      <c r="M3114" s="75"/>
      <c r="N3114" s="70"/>
      <c r="O3114" s="77" t="s">
        <v>179</v>
      </c>
      <c r="P3114" s="79">
        <v>45050.632361111115</v>
      </c>
      <c r="Q3114" s="77" t="s">
        <v>4320</v>
      </c>
      <c r="R3114" s="77">
        <v>0</v>
      </c>
      <c r="S3114" s="77">
        <v>0</v>
      </c>
      <c r="T3114" s="77">
        <v>0</v>
      </c>
      <c r="U3114" s="77">
        <v>0</v>
      </c>
      <c r="V3114" s="77">
        <v>73</v>
      </c>
      <c r="W3114" s="82" t="s">
        <v>6740</v>
      </c>
      <c r="X3114" s="77"/>
      <c r="Y3114" s="77"/>
      <c r="Z3114" s="77"/>
      <c r="AA3114" s="77" t="s">
        <v>9439</v>
      </c>
      <c r="AB3114" s="77" t="s">
        <v>10130</v>
      </c>
      <c r="AC3114" s="82" t="s">
        <v>10147</v>
      </c>
      <c r="AD3114" s="77" t="s">
        <v>10184</v>
      </c>
      <c r="AE3114" s="80" t="str">
        <f>HYPERLINK("https://twitter.com/imdasmilhas/status/1654141482389983233")</f>
        <v>https://twitter.com/imdasmilhas/status/1654141482389983233</v>
      </c>
      <c r="AF3114" s="79">
        <v>45050.632361111115</v>
      </c>
      <c r="AG3114" s="85">
        <v>45050</v>
      </c>
      <c r="AH3114" s="82" t="s">
        <v>13134</v>
      </c>
      <c r="AI3114" s="77" t="b">
        <v>0</v>
      </c>
      <c r="AJ3114" s="77"/>
      <c r="AK3114" s="77"/>
      <c r="AL3114" s="77"/>
      <c r="AM3114" s="77"/>
      <c r="AN3114" s="77"/>
      <c r="AO3114" s="77"/>
      <c r="AP3114" s="77"/>
      <c r="AQ3114" s="77" t="s">
        <v>16082</v>
      </c>
      <c r="AR3114" s="77"/>
      <c r="AS3114" s="77"/>
      <c r="AT3114" s="77"/>
      <c r="AU3114" s="77"/>
      <c r="AV3114" s="80" t="str">
        <f>HYPERLINK("https://pbs.twimg.com/media/FvSw6WWWYAAGvdo.jpg")</f>
        <v>https://pbs.twimg.com/media/FvSw6WWWYAAGvdo.jpg</v>
      </c>
      <c r="AW3114" s="82" t="s">
        <v>19880</v>
      </c>
      <c r="AX3114" s="82" t="s">
        <v>19880</v>
      </c>
      <c r="AY3114" s="77"/>
      <c r="AZ3114" s="82" t="s">
        <v>20971</v>
      </c>
      <c r="BA3114" s="82" t="s">
        <v>20971</v>
      </c>
      <c r="BB3114" s="82" t="s">
        <v>20971</v>
      </c>
      <c r="BC3114" s="82" t="s">
        <v>19880</v>
      </c>
      <c r="BD3114" s="82" t="s">
        <v>21597</v>
      </c>
      <c r="BE3114" s="77"/>
      <c r="BF3114" s="77"/>
      <c r="BG3114" s="77"/>
      <c r="BH3114" s="77"/>
      <c r="BI3114" s="77"/>
    </row>
    <row r="3115" spans="1:61" x14ac:dyDescent="0.25">
      <c r="A3115" s="62" t="s">
        <v>1006</v>
      </c>
      <c r="B3115" s="62" t="s">
        <v>1006</v>
      </c>
      <c r="C3115" s="63"/>
      <c r="D3115" s="64"/>
      <c r="E3115" s="65"/>
      <c r="F3115" s="66"/>
      <c r="G3115" s="63"/>
      <c r="H3115" s="67"/>
      <c r="I3115" s="68"/>
      <c r="J3115" s="68"/>
      <c r="K3115" s="32"/>
      <c r="L3115" s="75">
        <v>3115</v>
      </c>
      <c r="M3115" s="75"/>
      <c r="N3115" s="70"/>
      <c r="O3115" s="77" t="s">
        <v>179</v>
      </c>
      <c r="P3115" s="79">
        <v>45049.787037037036</v>
      </c>
      <c r="Q3115" s="77" t="s">
        <v>4321</v>
      </c>
      <c r="R3115" s="77">
        <v>0</v>
      </c>
      <c r="S3115" s="77">
        <v>0</v>
      </c>
      <c r="T3115" s="77">
        <v>0</v>
      </c>
      <c r="U3115" s="77">
        <v>0</v>
      </c>
      <c r="V3115" s="77">
        <v>106</v>
      </c>
      <c r="W3115" s="82" t="s">
        <v>6742</v>
      </c>
      <c r="X3115" s="77"/>
      <c r="Y3115" s="77"/>
      <c r="Z3115" s="77"/>
      <c r="AA3115" s="77" t="s">
        <v>9440</v>
      </c>
      <c r="AB3115" s="77" t="s">
        <v>10130</v>
      </c>
      <c r="AC3115" s="82" t="s">
        <v>10147</v>
      </c>
      <c r="AD3115" s="77" t="s">
        <v>10184</v>
      </c>
      <c r="AE3115" s="80" t="str">
        <f>HYPERLINK("https://twitter.com/imdasmilhas/status/1653835148050178049")</f>
        <v>https://twitter.com/imdasmilhas/status/1653835148050178049</v>
      </c>
      <c r="AF3115" s="79">
        <v>45049.787037037036</v>
      </c>
      <c r="AG3115" s="85">
        <v>45049</v>
      </c>
      <c r="AH3115" s="82" t="s">
        <v>13135</v>
      </c>
      <c r="AI3115" s="77" t="b">
        <v>0</v>
      </c>
      <c r="AJ3115" s="77"/>
      <c r="AK3115" s="77"/>
      <c r="AL3115" s="77"/>
      <c r="AM3115" s="77"/>
      <c r="AN3115" s="77"/>
      <c r="AO3115" s="77"/>
      <c r="AP3115" s="77"/>
      <c r="AQ3115" s="77" t="s">
        <v>16083</v>
      </c>
      <c r="AR3115" s="77"/>
      <c r="AS3115" s="77"/>
      <c r="AT3115" s="77"/>
      <c r="AU3115" s="77"/>
      <c r="AV3115" s="80" t="str">
        <f>HYPERLINK("https://pbs.twimg.com/media/FvOaTU6WIBkx_Ol.jpg")</f>
        <v>https://pbs.twimg.com/media/FvOaTU6WIBkx_Ol.jpg</v>
      </c>
      <c r="AW3115" s="82" t="s">
        <v>19881</v>
      </c>
      <c r="AX3115" s="82" t="s">
        <v>19881</v>
      </c>
      <c r="AY3115" s="77"/>
      <c r="AZ3115" s="82" t="s">
        <v>20971</v>
      </c>
      <c r="BA3115" s="82" t="s">
        <v>20971</v>
      </c>
      <c r="BB3115" s="82" t="s">
        <v>20971</v>
      </c>
      <c r="BC3115" s="82" t="s">
        <v>19881</v>
      </c>
      <c r="BD3115" s="82" t="s">
        <v>21597</v>
      </c>
      <c r="BE3115" s="77"/>
      <c r="BF3115" s="77"/>
      <c r="BG3115" s="77"/>
      <c r="BH3115" s="77"/>
      <c r="BI3115" s="77"/>
    </row>
    <row r="3116" spans="1:61" x14ac:dyDescent="0.25">
      <c r="A3116" s="62" t="s">
        <v>1006</v>
      </c>
      <c r="B3116" s="62" t="s">
        <v>1006</v>
      </c>
      <c r="C3116" s="63"/>
      <c r="D3116" s="64"/>
      <c r="E3116" s="65"/>
      <c r="F3116" s="66"/>
      <c r="G3116" s="63"/>
      <c r="H3116" s="67"/>
      <c r="I3116" s="68"/>
      <c r="J3116" s="68"/>
      <c r="K3116" s="32"/>
      <c r="L3116" s="75">
        <v>3116</v>
      </c>
      <c r="M3116" s="75"/>
      <c r="N3116" s="70"/>
      <c r="O3116" s="77" t="s">
        <v>179</v>
      </c>
      <c r="P3116" s="79">
        <v>45049.724872685183</v>
      </c>
      <c r="Q3116" s="77" t="s">
        <v>4322</v>
      </c>
      <c r="R3116" s="77">
        <v>0</v>
      </c>
      <c r="S3116" s="77">
        <v>0</v>
      </c>
      <c r="T3116" s="77">
        <v>0</v>
      </c>
      <c r="U3116" s="77">
        <v>0</v>
      </c>
      <c r="V3116" s="77">
        <v>105</v>
      </c>
      <c r="W3116" s="82" t="s">
        <v>6740</v>
      </c>
      <c r="X3116" s="77"/>
      <c r="Y3116" s="77"/>
      <c r="Z3116" s="77"/>
      <c r="AA3116" s="77" t="s">
        <v>9441</v>
      </c>
      <c r="AB3116" s="77" t="s">
        <v>10130</v>
      </c>
      <c r="AC3116" s="82" t="s">
        <v>10147</v>
      </c>
      <c r="AD3116" s="77" t="s">
        <v>10184</v>
      </c>
      <c r="AE3116" s="80" t="str">
        <f>HYPERLINK("https://twitter.com/imdasmilhas/status/1653812619671744527")</f>
        <v>https://twitter.com/imdasmilhas/status/1653812619671744527</v>
      </c>
      <c r="AF3116" s="79">
        <v>45049.724872685183</v>
      </c>
      <c r="AG3116" s="85">
        <v>45049</v>
      </c>
      <c r="AH3116" s="82" t="s">
        <v>13136</v>
      </c>
      <c r="AI3116" s="77" t="b">
        <v>0</v>
      </c>
      <c r="AJ3116" s="77"/>
      <c r="AK3116" s="77"/>
      <c r="AL3116" s="77"/>
      <c r="AM3116" s="77"/>
      <c r="AN3116" s="77"/>
      <c r="AO3116" s="77"/>
      <c r="AP3116" s="77"/>
      <c r="AQ3116" s="77" t="s">
        <v>16084</v>
      </c>
      <c r="AR3116" s="77"/>
      <c r="AS3116" s="77"/>
      <c r="AT3116" s="77"/>
      <c r="AU3116" s="77"/>
      <c r="AV3116" s="80" t="str">
        <f>HYPERLINK("https://pbs.twimg.com/media/FvOF0DQXsAorZXa.jpg")</f>
        <v>https://pbs.twimg.com/media/FvOF0DQXsAorZXa.jpg</v>
      </c>
      <c r="AW3116" s="82" t="s">
        <v>19882</v>
      </c>
      <c r="AX3116" s="82" t="s">
        <v>19882</v>
      </c>
      <c r="AY3116" s="77"/>
      <c r="AZ3116" s="82" t="s">
        <v>20971</v>
      </c>
      <c r="BA3116" s="82" t="s">
        <v>20971</v>
      </c>
      <c r="BB3116" s="82" t="s">
        <v>20971</v>
      </c>
      <c r="BC3116" s="82" t="s">
        <v>19882</v>
      </c>
      <c r="BD3116" s="82" t="s">
        <v>21597</v>
      </c>
      <c r="BE3116" s="77"/>
      <c r="BF3116" s="77"/>
      <c r="BG3116" s="77"/>
      <c r="BH3116" s="77"/>
      <c r="BI3116" s="77"/>
    </row>
    <row r="3117" spans="1:61" x14ac:dyDescent="0.25">
      <c r="A3117" s="62" t="s">
        <v>1006</v>
      </c>
      <c r="B3117" s="62" t="s">
        <v>1006</v>
      </c>
      <c r="C3117" s="63"/>
      <c r="D3117" s="64"/>
      <c r="E3117" s="65"/>
      <c r="F3117" s="66"/>
      <c r="G3117" s="63"/>
      <c r="H3117" s="67"/>
      <c r="I3117" s="68"/>
      <c r="J3117" s="68"/>
      <c r="K3117" s="32"/>
      <c r="L3117" s="75">
        <v>3117</v>
      </c>
      <c r="M3117" s="75"/>
      <c r="N3117" s="70"/>
      <c r="O3117" s="77" t="s">
        <v>179</v>
      </c>
      <c r="P3117" s="79">
        <v>45049.724537037036</v>
      </c>
      <c r="Q3117" s="77" t="s">
        <v>4323</v>
      </c>
      <c r="R3117" s="77">
        <v>0</v>
      </c>
      <c r="S3117" s="77">
        <v>0</v>
      </c>
      <c r="T3117" s="77">
        <v>0</v>
      </c>
      <c r="U3117" s="77">
        <v>0</v>
      </c>
      <c r="V3117" s="77">
        <v>79</v>
      </c>
      <c r="W3117" s="82" t="s">
        <v>6740</v>
      </c>
      <c r="X3117" s="77"/>
      <c r="Y3117" s="77"/>
      <c r="Z3117" s="77"/>
      <c r="AA3117" s="77" t="s">
        <v>9442</v>
      </c>
      <c r="AB3117" s="77" t="s">
        <v>10130</v>
      </c>
      <c r="AC3117" s="82" t="s">
        <v>10147</v>
      </c>
      <c r="AD3117" s="77" t="s">
        <v>10184</v>
      </c>
      <c r="AE3117" s="80" t="str">
        <f>HYPERLINK("https://twitter.com/imdasmilhas/status/1653812497109987344")</f>
        <v>https://twitter.com/imdasmilhas/status/1653812497109987344</v>
      </c>
      <c r="AF3117" s="79">
        <v>45049.724537037036</v>
      </c>
      <c r="AG3117" s="85">
        <v>45049</v>
      </c>
      <c r="AH3117" s="82" t="s">
        <v>13137</v>
      </c>
      <c r="AI3117" s="77" t="b">
        <v>0</v>
      </c>
      <c r="AJ3117" s="77"/>
      <c r="AK3117" s="77"/>
      <c r="AL3117" s="77"/>
      <c r="AM3117" s="77"/>
      <c r="AN3117" s="77"/>
      <c r="AO3117" s="77"/>
      <c r="AP3117" s="77"/>
      <c r="AQ3117" s="77" t="s">
        <v>16085</v>
      </c>
      <c r="AR3117" s="77"/>
      <c r="AS3117" s="77"/>
      <c r="AT3117" s="77"/>
      <c r="AU3117" s="77"/>
      <c r="AV3117" s="80" t="str">
        <f>HYPERLINK("https://pbs.twimg.com/media/FvOFs4pXsAgrXVG.jpg")</f>
        <v>https://pbs.twimg.com/media/FvOFs4pXsAgrXVG.jpg</v>
      </c>
      <c r="AW3117" s="82" t="s">
        <v>19883</v>
      </c>
      <c r="AX3117" s="82" t="s">
        <v>19883</v>
      </c>
      <c r="AY3117" s="77"/>
      <c r="AZ3117" s="82" t="s">
        <v>20971</v>
      </c>
      <c r="BA3117" s="82" t="s">
        <v>20971</v>
      </c>
      <c r="BB3117" s="82" t="s">
        <v>20971</v>
      </c>
      <c r="BC3117" s="82" t="s">
        <v>19883</v>
      </c>
      <c r="BD3117" s="82" t="s">
        <v>21597</v>
      </c>
      <c r="BE3117" s="77"/>
      <c r="BF3117" s="77"/>
      <c r="BG3117" s="77"/>
      <c r="BH3117" s="77"/>
      <c r="BI3117" s="77"/>
    </row>
    <row r="3118" spans="1:61" x14ac:dyDescent="0.25">
      <c r="A3118" s="62" t="s">
        <v>1006</v>
      </c>
      <c r="B3118" s="62" t="s">
        <v>1006</v>
      </c>
      <c r="C3118" s="63"/>
      <c r="D3118" s="64"/>
      <c r="E3118" s="65"/>
      <c r="F3118" s="66"/>
      <c r="G3118" s="63"/>
      <c r="H3118" s="67"/>
      <c r="I3118" s="68"/>
      <c r="J3118" s="68"/>
      <c r="K3118" s="32"/>
      <c r="L3118" s="75">
        <v>3118</v>
      </c>
      <c r="M3118" s="75"/>
      <c r="N3118" s="70"/>
      <c r="O3118" s="77" t="s">
        <v>179</v>
      </c>
      <c r="P3118" s="79">
        <v>45049.723912037036</v>
      </c>
      <c r="Q3118" s="77" t="s">
        <v>4324</v>
      </c>
      <c r="R3118" s="77">
        <v>0</v>
      </c>
      <c r="S3118" s="77">
        <v>0</v>
      </c>
      <c r="T3118" s="77">
        <v>0</v>
      </c>
      <c r="U3118" s="77">
        <v>0</v>
      </c>
      <c r="V3118" s="77">
        <v>114</v>
      </c>
      <c r="W3118" s="82" t="s">
        <v>6740</v>
      </c>
      <c r="X3118" s="77"/>
      <c r="Y3118" s="77"/>
      <c r="Z3118" s="77"/>
      <c r="AA3118" s="77" t="s">
        <v>9443</v>
      </c>
      <c r="AB3118" s="77" t="s">
        <v>10130</v>
      </c>
      <c r="AC3118" s="82" t="s">
        <v>10147</v>
      </c>
      <c r="AD3118" s="77" t="s">
        <v>10184</v>
      </c>
      <c r="AE3118" s="80" t="str">
        <f>HYPERLINK("https://twitter.com/imdasmilhas/status/1653812270852366337")</f>
        <v>https://twitter.com/imdasmilhas/status/1653812270852366337</v>
      </c>
      <c r="AF3118" s="79">
        <v>45049.723912037036</v>
      </c>
      <c r="AG3118" s="85">
        <v>45049</v>
      </c>
      <c r="AH3118" s="82" t="s">
        <v>13138</v>
      </c>
      <c r="AI3118" s="77" t="b">
        <v>0</v>
      </c>
      <c r="AJ3118" s="77"/>
      <c r="AK3118" s="77"/>
      <c r="AL3118" s="77"/>
      <c r="AM3118" s="77"/>
      <c r="AN3118" s="77"/>
      <c r="AO3118" s="77"/>
      <c r="AP3118" s="77"/>
      <c r="AQ3118" s="77" t="s">
        <v>16086</v>
      </c>
      <c r="AR3118" s="77"/>
      <c r="AS3118" s="77"/>
      <c r="AT3118" s="77"/>
      <c r="AU3118" s="77"/>
      <c r="AV3118" s="80" t="str">
        <f>HYPERLINK("https://pbs.twimg.com/media/FvOFftiWwAA7-BX.jpg")</f>
        <v>https://pbs.twimg.com/media/FvOFftiWwAA7-BX.jpg</v>
      </c>
      <c r="AW3118" s="82" t="s">
        <v>19884</v>
      </c>
      <c r="AX3118" s="82" t="s">
        <v>19884</v>
      </c>
      <c r="AY3118" s="77"/>
      <c r="AZ3118" s="82" t="s">
        <v>20971</v>
      </c>
      <c r="BA3118" s="82" t="s">
        <v>20971</v>
      </c>
      <c r="BB3118" s="82" t="s">
        <v>20971</v>
      </c>
      <c r="BC3118" s="82" t="s">
        <v>19884</v>
      </c>
      <c r="BD3118" s="82" t="s">
        <v>21597</v>
      </c>
      <c r="BE3118" s="77"/>
      <c r="BF3118" s="77"/>
      <c r="BG3118" s="77"/>
      <c r="BH3118" s="77"/>
      <c r="BI3118" s="77"/>
    </row>
    <row r="3119" spans="1:61" x14ac:dyDescent="0.25">
      <c r="A3119" s="62" t="s">
        <v>1006</v>
      </c>
      <c r="B3119" s="62" t="s">
        <v>1006</v>
      </c>
      <c r="C3119" s="63"/>
      <c r="D3119" s="64"/>
      <c r="E3119" s="65"/>
      <c r="F3119" s="66"/>
      <c r="G3119" s="63"/>
      <c r="H3119" s="67"/>
      <c r="I3119" s="68"/>
      <c r="J3119" s="68"/>
      <c r="K3119" s="32"/>
      <c r="L3119" s="75">
        <v>3119</v>
      </c>
      <c r="M3119" s="75"/>
      <c r="N3119" s="70"/>
      <c r="O3119" s="77" t="s">
        <v>179</v>
      </c>
      <c r="P3119" s="79">
        <v>45049.723553240743</v>
      </c>
      <c r="Q3119" s="77" t="s">
        <v>4325</v>
      </c>
      <c r="R3119" s="77">
        <v>0</v>
      </c>
      <c r="S3119" s="77">
        <v>0</v>
      </c>
      <c r="T3119" s="77">
        <v>0</v>
      </c>
      <c r="U3119" s="77">
        <v>0</v>
      </c>
      <c r="V3119" s="77">
        <v>75</v>
      </c>
      <c r="W3119" s="82" t="s">
        <v>6740</v>
      </c>
      <c r="X3119" s="77"/>
      <c r="Y3119" s="77"/>
      <c r="Z3119" s="77"/>
      <c r="AA3119" s="77" t="s">
        <v>9444</v>
      </c>
      <c r="AB3119" s="77" t="s">
        <v>10130</v>
      </c>
      <c r="AC3119" s="82" t="s">
        <v>10147</v>
      </c>
      <c r="AD3119" s="77" t="s">
        <v>10184</v>
      </c>
      <c r="AE3119" s="80" t="str">
        <f>HYPERLINK("https://twitter.com/imdasmilhas/status/1653812142645161984")</f>
        <v>https://twitter.com/imdasmilhas/status/1653812142645161984</v>
      </c>
      <c r="AF3119" s="79">
        <v>45049.723553240743</v>
      </c>
      <c r="AG3119" s="85">
        <v>45049</v>
      </c>
      <c r="AH3119" s="82" t="s">
        <v>13139</v>
      </c>
      <c r="AI3119" s="77" t="b">
        <v>0</v>
      </c>
      <c r="AJ3119" s="77"/>
      <c r="AK3119" s="77"/>
      <c r="AL3119" s="77"/>
      <c r="AM3119" s="77"/>
      <c r="AN3119" s="77"/>
      <c r="AO3119" s="77"/>
      <c r="AP3119" s="77"/>
      <c r="AQ3119" s="77" t="s">
        <v>16087</v>
      </c>
      <c r="AR3119" s="77"/>
      <c r="AS3119" s="77"/>
      <c r="AT3119" s="77"/>
      <c r="AU3119" s="77"/>
      <c r="AV3119" s="80" t="str">
        <f>HYPERLINK("https://pbs.twimg.com/media/FvOFYQ2XsAw24b3.jpg")</f>
        <v>https://pbs.twimg.com/media/FvOFYQ2XsAw24b3.jpg</v>
      </c>
      <c r="AW3119" s="82" t="s">
        <v>19885</v>
      </c>
      <c r="AX3119" s="82" t="s">
        <v>19885</v>
      </c>
      <c r="AY3119" s="77"/>
      <c r="AZ3119" s="82" t="s">
        <v>20971</v>
      </c>
      <c r="BA3119" s="82" t="s">
        <v>20971</v>
      </c>
      <c r="BB3119" s="82" t="s">
        <v>20971</v>
      </c>
      <c r="BC3119" s="82" t="s">
        <v>19885</v>
      </c>
      <c r="BD3119" s="82" t="s">
        <v>21597</v>
      </c>
      <c r="BE3119" s="77"/>
      <c r="BF3119" s="77"/>
      <c r="BG3119" s="77"/>
      <c r="BH3119" s="77"/>
      <c r="BI3119" s="77"/>
    </row>
    <row r="3120" spans="1:61" x14ac:dyDescent="0.25">
      <c r="A3120" s="62" t="s">
        <v>1006</v>
      </c>
      <c r="B3120" s="62" t="s">
        <v>1006</v>
      </c>
      <c r="C3120" s="63"/>
      <c r="D3120" s="64"/>
      <c r="E3120" s="65"/>
      <c r="F3120" s="66"/>
      <c r="G3120" s="63"/>
      <c r="H3120" s="67"/>
      <c r="I3120" s="68"/>
      <c r="J3120" s="68"/>
      <c r="K3120" s="32"/>
      <c r="L3120" s="75">
        <v>3120</v>
      </c>
      <c r="M3120" s="75"/>
      <c r="N3120" s="70"/>
      <c r="O3120" s="77" t="s">
        <v>179</v>
      </c>
      <c r="P3120" s="79">
        <v>45049.723240740743</v>
      </c>
      <c r="Q3120" s="77" t="s">
        <v>4326</v>
      </c>
      <c r="R3120" s="77">
        <v>0</v>
      </c>
      <c r="S3120" s="77">
        <v>0</v>
      </c>
      <c r="T3120" s="77">
        <v>0</v>
      </c>
      <c r="U3120" s="77">
        <v>0</v>
      </c>
      <c r="V3120" s="77">
        <v>67</v>
      </c>
      <c r="W3120" s="82" t="s">
        <v>6740</v>
      </c>
      <c r="X3120" s="77"/>
      <c r="Y3120" s="77"/>
      <c r="Z3120" s="77"/>
      <c r="AA3120" s="77" t="s">
        <v>9445</v>
      </c>
      <c r="AB3120" s="77" t="s">
        <v>10130</v>
      </c>
      <c r="AC3120" s="82" t="s">
        <v>10147</v>
      </c>
      <c r="AD3120" s="77" t="s">
        <v>10184</v>
      </c>
      <c r="AE3120" s="80" t="str">
        <f>HYPERLINK("https://twitter.com/imdasmilhas/status/1653812028069359637")</f>
        <v>https://twitter.com/imdasmilhas/status/1653812028069359637</v>
      </c>
      <c r="AF3120" s="79">
        <v>45049.723240740743</v>
      </c>
      <c r="AG3120" s="85">
        <v>45049</v>
      </c>
      <c r="AH3120" s="82" t="s">
        <v>13140</v>
      </c>
      <c r="AI3120" s="77" t="b">
        <v>0</v>
      </c>
      <c r="AJ3120" s="77"/>
      <c r="AK3120" s="77"/>
      <c r="AL3120" s="77"/>
      <c r="AM3120" s="77"/>
      <c r="AN3120" s="77"/>
      <c r="AO3120" s="77"/>
      <c r="AP3120" s="77"/>
      <c r="AQ3120" s="77" t="s">
        <v>16088</v>
      </c>
      <c r="AR3120" s="77"/>
      <c r="AS3120" s="77"/>
      <c r="AT3120" s="77"/>
      <c r="AU3120" s="77"/>
      <c r="AV3120" s="80" t="str">
        <f>HYPERLINK("https://pbs.twimg.com/media/FvOFRmuXsBMlRLv.jpg")</f>
        <v>https://pbs.twimg.com/media/FvOFRmuXsBMlRLv.jpg</v>
      </c>
      <c r="AW3120" s="82" t="s">
        <v>19886</v>
      </c>
      <c r="AX3120" s="82" t="s">
        <v>19886</v>
      </c>
      <c r="AY3120" s="77"/>
      <c r="AZ3120" s="82" t="s">
        <v>20971</v>
      </c>
      <c r="BA3120" s="82" t="s">
        <v>20971</v>
      </c>
      <c r="BB3120" s="82" t="s">
        <v>20971</v>
      </c>
      <c r="BC3120" s="82" t="s">
        <v>19886</v>
      </c>
      <c r="BD3120" s="82" t="s">
        <v>21597</v>
      </c>
      <c r="BE3120" s="77"/>
      <c r="BF3120" s="77"/>
      <c r="BG3120" s="77"/>
      <c r="BH3120" s="77"/>
      <c r="BI3120" s="77"/>
    </row>
    <row r="3121" spans="1:61" x14ac:dyDescent="0.25">
      <c r="A3121" s="62" t="s">
        <v>1006</v>
      </c>
      <c r="B3121" s="62" t="s">
        <v>1006</v>
      </c>
      <c r="C3121" s="63"/>
      <c r="D3121" s="64"/>
      <c r="E3121" s="65"/>
      <c r="F3121" s="66"/>
      <c r="G3121" s="63"/>
      <c r="H3121" s="67"/>
      <c r="I3121" s="68"/>
      <c r="J3121" s="68"/>
      <c r="K3121" s="32"/>
      <c r="L3121" s="75">
        <v>3121</v>
      </c>
      <c r="M3121" s="75"/>
      <c r="N3121" s="70"/>
      <c r="O3121" s="77" t="s">
        <v>179</v>
      </c>
      <c r="P3121" s="79">
        <v>45034.829548611109</v>
      </c>
      <c r="Q3121" s="77" t="s">
        <v>4327</v>
      </c>
      <c r="R3121" s="77">
        <v>0</v>
      </c>
      <c r="S3121" s="77">
        <v>0</v>
      </c>
      <c r="T3121" s="77">
        <v>0</v>
      </c>
      <c r="U3121" s="77">
        <v>0</v>
      </c>
      <c r="V3121" s="77">
        <v>98</v>
      </c>
      <c r="W3121" s="82" t="s">
        <v>6740</v>
      </c>
      <c r="X3121" s="77"/>
      <c r="Y3121" s="77"/>
      <c r="Z3121" s="77"/>
      <c r="AA3121" s="77" t="s">
        <v>9446</v>
      </c>
      <c r="AB3121" s="77" t="s">
        <v>10130</v>
      </c>
      <c r="AC3121" s="82" t="s">
        <v>10147</v>
      </c>
      <c r="AD3121" s="77" t="s">
        <v>10184</v>
      </c>
      <c r="AE3121" s="80" t="str">
        <f>HYPERLINK("https://twitter.com/imdasmilhas/status/1648414733907947520")</f>
        <v>https://twitter.com/imdasmilhas/status/1648414733907947520</v>
      </c>
      <c r="AF3121" s="79">
        <v>45034.829548611109</v>
      </c>
      <c r="AG3121" s="85">
        <v>45034</v>
      </c>
      <c r="AH3121" s="82" t="s">
        <v>13141</v>
      </c>
      <c r="AI3121" s="77" t="b">
        <v>0</v>
      </c>
      <c r="AJ3121" s="77"/>
      <c r="AK3121" s="77"/>
      <c r="AL3121" s="77"/>
      <c r="AM3121" s="77"/>
      <c r="AN3121" s="77"/>
      <c r="AO3121" s="77"/>
      <c r="AP3121" s="77"/>
      <c r="AQ3121" s="77" t="s">
        <v>16089</v>
      </c>
      <c r="AR3121" s="77"/>
      <c r="AS3121" s="77"/>
      <c r="AT3121" s="77"/>
      <c r="AU3121" s="77"/>
      <c r="AV3121" s="80" t="str">
        <f>HYPERLINK("https://pbs.twimg.com/media/FuBYdtqXwAkhfFO.jpg")</f>
        <v>https://pbs.twimg.com/media/FuBYdtqXwAkhfFO.jpg</v>
      </c>
      <c r="AW3121" s="82" t="s">
        <v>19887</v>
      </c>
      <c r="AX3121" s="82" t="s">
        <v>19887</v>
      </c>
      <c r="AY3121" s="77"/>
      <c r="AZ3121" s="82" t="s">
        <v>20971</v>
      </c>
      <c r="BA3121" s="82" t="s">
        <v>20971</v>
      </c>
      <c r="BB3121" s="82" t="s">
        <v>20971</v>
      </c>
      <c r="BC3121" s="82" t="s">
        <v>19887</v>
      </c>
      <c r="BD3121" s="82" t="s">
        <v>21597</v>
      </c>
      <c r="BE3121" s="77"/>
      <c r="BF3121" s="77"/>
      <c r="BG3121" s="77"/>
      <c r="BH3121" s="77"/>
      <c r="BI3121" s="77"/>
    </row>
    <row r="3122" spans="1:61" x14ac:dyDescent="0.25">
      <c r="A3122" s="62" t="s">
        <v>1006</v>
      </c>
      <c r="B3122" s="62" t="s">
        <v>1006</v>
      </c>
      <c r="C3122" s="63"/>
      <c r="D3122" s="64"/>
      <c r="E3122" s="65"/>
      <c r="F3122" s="66"/>
      <c r="G3122" s="63"/>
      <c r="H3122" s="67"/>
      <c r="I3122" s="68"/>
      <c r="J3122" s="68"/>
      <c r="K3122" s="32"/>
      <c r="L3122" s="75">
        <v>3122</v>
      </c>
      <c r="M3122" s="75"/>
      <c r="N3122" s="70"/>
      <c r="O3122" s="77" t="s">
        <v>179</v>
      </c>
      <c r="P3122" s="79">
        <v>45034.829143518517</v>
      </c>
      <c r="Q3122" s="77" t="s">
        <v>4328</v>
      </c>
      <c r="R3122" s="77">
        <v>0</v>
      </c>
      <c r="S3122" s="77">
        <v>0</v>
      </c>
      <c r="T3122" s="77">
        <v>0</v>
      </c>
      <c r="U3122" s="77">
        <v>0</v>
      </c>
      <c r="V3122" s="77">
        <v>66</v>
      </c>
      <c r="W3122" s="82" t="s">
        <v>6740</v>
      </c>
      <c r="X3122" s="77"/>
      <c r="Y3122" s="77"/>
      <c r="Z3122" s="77"/>
      <c r="AA3122" s="77" t="s">
        <v>9447</v>
      </c>
      <c r="AB3122" s="77" t="s">
        <v>10130</v>
      </c>
      <c r="AC3122" s="82" t="s">
        <v>10147</v>
      </c>
      <c r="AD3122" s="77" t="s">
        <v>10184</v>
      </c>
      <c r="AE3122" s="80" t="str">
        <f>HYPERLINK("https://twitter.com/imdasmilhas/status/1648414589347065856")</f>
        <v>https://twitter.com/imdasmilhas/status/1648414589347065856</v>
      </c>
      <c r="AF3122" s="79">
        <v>45034.829143518517</v>
      </c>
      <c r="AG3122" s="85">
        <v>45034</v>
      </c>
      <c r="AH3122" s="82" t="s">
        <v>13142</v>
      </c>
      <c r="AI3122" s="77" t="b">
        <v>0</v>
      </c>
      <c r="AJ3122" s="77"/>
      <c r="AK3122" s="77"/>
      <c r="AL3122" s="77"/>
      <c r="AM3122" s="77"/>
      <c r="AN3122" s="77"/>
      <c r="AO3122" s="77"/>
      <c r="AP3122" s="77"/>
      <c r="AQ3122" s="77" t="s">
        <v>16090</v>
      </c>
      <c r="AR3122" s="77"/>
      <c r="AS3122" s="77"/>
      <c r="AT3122" s="77"/>
      <c r="AU3122" s="77"/>
      <c r="AV3122" s="80" t="str">
        <f>HYPERLINK("https://pbs.twimg.com/media/FuBYVSVWwAIC-LS.jpg")</f>
        <v>https://pbs.twimg.com/media/FuBYVSVWwAIC-LS.jpg</v>
      </c>
      <c r="AW3122" s="82" t="s">
        <v>19888</v>
      </c>
      <c r="AX3122" s="82" t="s">
        <v>19888</v>
      </c>
      <c r="AY3122" s="77"/>
      <c r="AZ3122" s="82" t="s">
        <v>20971</v>
      </c>
      <c r="BA3122" s="82" t="s">
        <v>20971</v>
      </c>
      <c r="BB3122" s="82" t="s">
        <v>20971</v>
      </c>
      <c r="BC3122" s="82" t="s">
        <v>19888</v>
      </c>
      <c r="BD3122" s="82" t="s">
        <v>21597</v>
      </c>
      <c r="BE3122" s="77"/>
      <c r="BF3122" s="77"/>
      <c r="BG3122" s="77"/>
      <c r="BH3122" s="77"/>
      <c r="BI3122" s="77"/>
    </row>
    <row r="3123" spans="1:61" x14ac:dyDescent="0.25">
      <c r="A3123" s="62" t="s">
        <v>1006</v>
      </c>
      <c r="B3123" s="62" t="s">
        <v>1006</v>
      </c>
      <c r="C3123" s="63"/>
      <c r="D3123" s="64"/>
      <c r="E3123" s="65"/>
      <c r="F3123" s="66"/>
      <c r="G3123" s="63"/>
      <c r="H3123" s="67"/>
      <c r="I3123" s="68"/>
      <c r="J3123" s="68"/>
      <c r="K3123" s="32"/>
      <c r="L3123" s="75">
        <v>3123</v>
      </c>
      <c r="M3123" s="75"/>
      <c r="N3123" s="70"/>
      <c r="O3123" s="77" t="s">
        <v>179</v>
      </c>
      <c r="P3123" s="79">
        <v>45034.74491898148</v>
      </c>
      <c r="Q3123" s="77" t="s">
        <v>4329</v>
      </c>
      <c r="R3123" s="77">
        <v>0</v>
      </c>
      <c r="S3123" s="77">
        <v>0</v>
      </c>
      <c r="T3123" s="77">
        <v>0</v>
      </c>
      <c r="U3123" s="77">
        <v>0</v>
      </c>
      <c r="V3123" s="77">
        <v>54</v>
      </c>
      <c r="W3123" s="82" t="s">
        <v>6740</v>
      </c>
      <c r="X3123" s="77"/>
      <c r="Y3123" s="77"/>
      <c r="Z3123" s="77"/>
      <c r="AA3123" s="77" t="s">
        <v>9448</v>
      </c>
      <c r="AB3123" s="77" t="s">
        <v>10130</v>
      </c>
      <c r="AC3123" s="82" t="s">
        <v>10147</v>
      </c>
      <c r="AD3123" s="77" t="s">
        <v>10184</v>
      </c>
      <c r="AE3123" s="80" t="str">
        <f>HYPERLINK("https://twitter.com/imdasmilhas/status/1648384067572846593")</f>
        <v>https://twitter.com/imdasmilhas/status/1648384067572846593</v>
      </c>
      <c r="AF3123" s="79">
        <v>45034.74491898148</v>
      </c>
      <c r="AG3123" s="85">
        <v>45034</v>
      </c>
      <c r="AH3123" s="82" t="s">
        <v>13143</v>
      </c>
      <c r="AI3123" s="77" t="b">
        <v>0</v>
      </c>
      <c r="AJ3123" s="77"/>
      <c r="AK3123" s="77"/>
      <c r="AL3123" s="77"/>
      <c r="AM3123" s="77"/>
      <c r="AN3123" s="77"/>
      <c r="AO3123" s="77"/>
      <c r="AP3123" s="77"/>
      <c r="AQ3123" s="77" t="s">
        <v>16091</v>
      </c>
      <c r="AR3123" s="77"/>
      <c r="AS3123" s="77"/>
      <c r="AT3123" s="77"/>
      <c r="AU3123" s="77"/>
      <c r="AV3123" s="80" t="str">
        <f>HYPERLINK("https://pbs.twimg.com/media/FuA8kt8WAAMoynq.jpg")</f>
        <v>https://pbs.twimg.com/media/FuA8kt8WAAMoynq.jpg</v>
      </c>
      <c r="AW3123" s="82" t="s">
        <v>19889</v>
      </c>
      <c r="AX3123" s="82" t="s">
        <v>19889</v>
      </c>
      <c r="AY3123" s="77"/>
      <c r="AZ3123" s="82" t="s">
        <v>20971</v>
      </c>
      <c r="BA3123" s="82" t="s">
        <v>20971</v>
      </c>
      <c r="BB3123" s="82" t="s">
        <v>20971</v>
      </c>
      <c r="BC3123" s="82" t="s">
        <v>19889</v>
      </c>
      <c r="BD3123" s="82" t="s">
        <v>21597</v>
      </c>
      <c r="BE3123" s="77"/>
      <c r="BF3123" s="77"/>
      <c r="BG3123" s="77"/>
      <c r="BH3123" s="77"/>
      <c r="BI3123" s="77"/>
    </row>
    <row r="3124" spans="1:61" x14ac:dyDescent="0.25">
      <c r="A3124" s="62" t="s">
        <v>1006</v>
      </c>
      <c r="B3124" s="62" t="s">
        <v>1006</v>
      </c>
      <c r="C3124" s="63"/>
      <c r="D3124" s="64"/>
      <c r="E3124" s="65"/>
      <c r="F3124" s="66"/>
      <c r="G3124" s="63"/>
      <c r="H3124" s="67"/>
      <c r="I3124" s="68"/>
      <c r="J3124" s="68"/>
      <c r="K3124" s="32"/>
      <c r="L3124" s="75">
        <v>3124</v>
      </c>
      <c r="M3124" s="75"/>
      <c r="N3124" s="70"/>
      <c r="O3124" s="77" t="s">
        <v>179</v>
      </c>
      <c r="P3124" s="79">
        <v>45034.744537037041</v>
      </c>
      <c r="Q3124" s="77" t="s">
        <v>4330</v>
      </c>
      <c r="R3124" s="77">
        <v>0</v>
      </c>
      <c r="S3124" s="77">
        <v>0</v>
      </c>
      <c r="T3124" s="77">
        <v>0</v>
      </c>
      <c r="U3124" s="77">
        <v>0</v>
      </c>
      <c r="V3124" s="77">
        <v>67</v>
      </c>
      <c r="W3124" s="82" t="s">
        <v>6740</v>
      </c>
      <c r="X3124" s="77"/>
      <c r="Y3124" s="77"/>
      <c r="Z3124" s="77"/>
      <c r="AA3124" s="77" t="s">
        <v>9449</v>
      </c>
      <c r="AB3124" s="77" t="s">
        <v>10130</v>
      </c>
      <c r="AC3124" s="82" t="s">
        <v>10147</v>
      </c>
      <c r="AD3124" s="77" t="s">
        <v>10184</v>
      </c>
      <c r="AE3124" s="80" t="str">
        <f>HYPERLINK("https://twitter.com/imdasmilhas/status/1648383925692276737")</f>
        <v>https://twitter.com/imdasmilhas/status/1648383925692276737</v>
      </c>
      <c r="AF3124" s="79">
        <v>45034.744537037041</v>
      </c>
      <c r="AG3124" s="85">
        <v>45034</v>
      </c>
      <c r="AH3124" s="82" t="s">
        <v>13144</v>
      </c>
      <c r="AI3124" s="77" t="b">
        <v>0</v>
      </c>
      <c r="AJ3124" s="77"/>
      <c r="AK3124" s="77"/>
      <c r="AL3124" s="77"/>
      <c r="AM3124" s="77"/>
      <c r="AN3124" s="77"/>
      <c r="AO3124" s="77"/>
      <c r="AP3124" s="77"/>
      <c r="AQ3124" s="77" t="s">
        <v>16092</v>
      </c>
      <c r="AR3124" s="77"/>
      <c r="AS3124" s="77"/>
      <c r="AT3124" s="77"/>
      <c r="AU3124" s="77"/>
      <c r="AV3124" s="80" t="str">
        <f>HYPERLINK("https://pbs.twimg.com/media/FuA8caFWcAExDNP.jpg")</f>
        <v>https://pbs.twimg.com/media/FuA8caFWcAExDNP.jpg</v>
      </c>
      <c r="AW3124" s="82" t="s">
        <v>19890</v>
      </c>
      <c r="AX3124" s="82" t="s">
        <v>19890</v>
      </c>
      <c r="AY3124" s="77"/>
      <c r="AZ3124" s="82" t="s">
        <v>20971</v>
      </c>
      <c r="BA3124" s="82" t="s">
        <v>20971</v>
      </c>
      <c r="BB3124" s="82" t="s">
        <v>20971</v>
      </c>
      <c r="BC3124" s="82" t="s">
        <v>19890</v>
      </c>
      <c r="BD3124" s="82" t="s">
        <v>21597</v>
      </c>
      <c r="BE3124" s="77"/>
      <c r="BF3124" s="77"/>
      <c r="BG3124" s="77"/>
      <c r="BH3124" s="77"/>
      <c r="BI3124" s="77"/>
    </row>
    <row r="3125" spans="1:61" x14ac:dyDescent="0.25">
      <c r="A3125" s="62" t="s">
        <v>1006</v>
      </c>
      <c r="B3125" s="62" t="s">
        <v>1006</v>
      </c>
      <c r="C3125" s="63"/>
      <c r="D3125" s="64"/>
      <c r="E3125" s="65"/>
      <c r="F3125" s="66"/>
      <c r="G3125" s="63"/>
      <c r="H3125" s="67"/>
      <c r="I3125" s="68"/>
      <c r="J3125" s="68"/>
      <c r="K3125" s="32"/>
      <c r="L3125" s="75">
        <v>3125</v>
      </c>
      <c r="M3125" s="75"/>
      <c r="N3125" s="70"/>
      <c r="O3125" s="77" t="s">
        <v>179</v>
      </c>
      <c r="P3125" s="79">
        <v>45034.743969907409</v>
      </c>
      <c r="Q3125" s="77" t="s">
        <v>4331</v>
      </c>
      <c r="R3125" s="77">
        <v>0</v>
      </c>
      <c r="S3125" s="77">
        <v>0</v>
      </c>
      <c r="T3125" s="77">
        <v>0</v>
      </c>
      <c r="U3125" s="77">
        <v>0</v>
      </c>
      <c r="V3125" s="77">
        <v>56</v>
      </c>
      <c r="W3125" s="82" t="s">
        <v>6740</v>
      </c>
      <c r="X3125" s="77"/>
      <c r="Y3125" s="77"/>
      <c r="Z3125" s="77"/>
      <c r="AA3125" s="77" t="s">
        <v>9450</v>
      </c>
      <c r="AB3125" s="77" t="s">
        <v>10130</v>
      </c>
      <c r="AC3125" s="82" t="s">
        <v>10147</v>
      </c>
      <c r="AD3125" s="77" t="s">
        <v>10184</v>
      </c>
      <c r="AE3125" s="80" t="str">
        <f>HYPERLINK("https://twitter.com/imdasmilhas/status/1648383721626583042")</f>
        <v>https://twitter.com/imdasmilhas/status/1648383721626583042</v>
      </c>
      <c r="AF3125" s="79">
        <v>45034.743969907409</v>
      </c>
      <c r="AG3125" s="85">
        <v>45034</v>
      </c>
      <c r="AH3125" s="82" t="s">
        <v>13145</v>
      </c>
      <c r="AI3125" s="77" t="b">
        <v>0</v>
      </c>
      <c r="AJ3125" s="77"/>
      <c r="AK3125" s="77"/>
      <c r="AL3125" s="77"/>
      <c r="AM3125" s="77"/>
      <c r="AN3125" s="77"/>
      <c r="AO3125" s="77"/>
      <c r="AP3125" s="77"/>
      <c r="AQ3125" s="77" t="s">
        <v>16093</v>
      </c>
      <c r="AR3125" s="77"/>
      <c r="AS3125" s="77"/>
      <c r="AT3125" s="77"/>
      <c r="AU3125" s="77"/>
      <c r="AV3125" s="80" t="str">
        <f>HYPERLINK("https://pbs.twimg.com/media/FuA8QjyWYAA6QVo.jpg")</f>
        <v>https://pbs.twimg.com/media/FuA8QjyWYAA6QVo.jpg</v>
      </c>
      <c r="AW3125" s="82" t="s">
        <v>19891</v>
      </c>
      <c r="AX3125" s="82" t="s">
        <v>19891</v>
      </c>
      <c r="AY3125" s="77"/>
      <c r="AZ3125" s="82" t="s">
        <v>20971</v>
      </c>
      <c r="BA3125" s="82" t="s">
        <v>20971</v>
      </c>
      <c r="BB3125" s="82" t="s">
        <v>20971</v>
      </c>
      <c r="BC3125" s="82" t="s">
        <v>19891</v>
      </c>
      <c r="BD3125" s="82" t="s">
        <v>21597</v>
      </c>
      <c r="BE3125" s="77"/>
      <c r="BF3125" s="77"/>
      <c r="BG3125" s="77"/>
      <c r="BH3125" s="77"/>
      <c r="BI3125" s="77"/>
    </row>
    <row r="3126" spans="1:61" x14ac:dyDescent="0.25">
      <c r="A3126" s="62" t="s">
        <v>1006</v>
      </c>
      <c r="B3126" s="62" t="s">
        <v>1006</v>
      </c>
      <c r="C3126" s="63"/>
      <c r="D3126" s="64"/>
      <c r="E3126" s="65"/>
      <c r="F3126" s="66"/>
      <c r="G3126" s="63"/>
      <c r="H3126" s="67"/>
      <c r="I3126" s="68"/>
      <c r="J3126" s="68"/>
      <c r="K3126" s="32"/>
      <c r="L3126" s="75">
        <v>3126</v>
      </c>
      <c r="M3126" s="75"/>
      <c r="N3126" s="70"/>
      <c r="O3126" s="77" t="s">
        <v>179</v>
      </c>
      <c r="P3126" s="79">
        <v>45020.745729166665</v>
      </c>
      <c r="Q3126" s="77" t="s">
        <v>4332</v>
      </c>
      <c r="R3126" s="77">
        <v>0</v>
      </c>
      <c r="S3126" s="77">
        <v>0</v>
      </c>
      <c r="T3126" s="77">
        <v>0</v>
      </c>
      <c r="U3126" s="77">
        <v>0</v>
      </c>
      <c r="V3126" s="77">
        <v>86</v>
      </c>
      <c r="W3126" s="82" t="s">
        <v>6740</v>
      </c>
      <c r="X3126" s="77"/>
      <c r="Y3126" s="77"/>
      <c r="Z3126" s="77"/>
      <c r="AA3126" s="77" t="s">
        <v>9451</v>
      </c>
      <c r="AB3126" s="77" t="s">
        <v>10130</v>
      </c>
      <c r="AC3126" s="82" t="s">
        <v>10147</v>
      </c>
      <c r="AD3126" s="77" t="s">
        <v>10184</v>
      </c>
      <c r="AE3126" s="80" t="str">
        <f>HYPERLINK("https://twitter.com/imdasmilhas/status/1643310928589455361")</f>
        <v>https://twitter.com/imdasmilhas/status/1643310928589455361</v>
      </c>
      <c r="AF3126" s="79">
        <v>45020.745729166665</v>
      </c>
      <c r="AG3126" s="85">
        <v>45020</v>
      </c>
      <c r="AH3126" s="82" t="s">
        <v>13146</v>
      </c>
      <c r="AI3126" s="77" t="b">
        <v>0</v>
      </c>
      <c r="AJ3126" s="77"/>
      <c r="AK3126" s="77"/>
      <c r="AL3126" s="77"/>
      <c r="AM3126" s="77"/>
      <c r="AN3126" s="77"/>
      <c r="AO3126" s="77"/>
      <c r="AP3126" s="77"/>
      <c r="AQ3126" s="77" t="s">
        <v>16094</v>
      </c>
      <c r="AR3126" s="77"/>
      <c r="AS3126" s="77"/>
      <c r="AT3126" s="77"/>
      <c r="AU3126" s="77"/>
      <c r="AV3126" s="80" t="str">
        <f>HYPERLINK("https://pbs.twimg.com/media/Fs42lKTWIA080vm.jpg")</f>
        <v>https://pbs.twimg.com/media/Fs42lKTWIA080vm.jpg</v>
      </c>
      <c r="AW3126" s="82" t="s">
        <v>19892</v>
      </c>
      <c r="AX3126" s="82" t="s">
        <v>19892</v>
      </c>
      <c r="AY3126" s="77"/>
      <c r="AZ3126" s="82" t="s">
        <v>20971</v>
      </c>
      <c r="BA3126" s="82" t="s">
        <v>20971</v>
      </c>
      <c r="BB3126" s="82" t="s">
        <v>20971</v>
      </c>
      <c r="BC3126" s="82" t="s">
        <v>19892</v>
      </c>
      <c r="BD3126" s="82" t="s">
        <v>21597</v>
      </c>
      <c r="BE3126" s="77"/>
      <c r="BF3126" s="77"/>
      <c r="BG3126" s="77"/>
      <c r="BH3126" s="77"/>
      <c r="BI3126" s="77"/>
    </row>
    <row r="3127" spans="1:61" x14ac:dyDescent="0.25">
      <c r="A3127" s="62" t="s">
        <v>1006</v>
      </c>
      <c r="B3127" s="62" t="s">
        <v>1006</v>
      </c>
      <c r="C3127" s="63"/>
      <c r="D3127" s="64"/>
      <c r="E3127" s="65"/>
      <c r="F3127" s="66"/>
      <c r="G3127" s="63"/>
      <c r="H3127" s="67"/>
      <c r="I3127" s="68"/>
      <c r="J3127" s="68"/>
      <c r="K3127" s="32"/>
      <c r="L3127" s="75">
        <v>3127</v>
      </c>
      <c r="M3127" s="75"/>
      <c r="N3127" s="70"/>
      <c r="O3127" s="77" t="s">
        <v>179</v>
      </c>
      <c r="P3127" s="79">
        <v>45020.745393518519</v>
      </c>
      <c r="Q3127" s="77" t="s">
        <v>4333</v>
      </c>
      <c r="R3127" s="77">
        <v>0</v>
      </c>
      <c r="S3127" s="77">
        <v>0</v>
      </c>
      <c r="T3127" s="77">
        <v>0</v>
      </c>
      <c r="U3127" s="77">
        <v>0</v>
      </c>
      <c r="V3127" s="77">
        <v>99</v>
      </c>
      <c r="W3127" s="82" t="s">
        <v>6740</v>
      </c>
      <c r="X3127" s="77"/>
      <c r="Y3127" s="77"/>
      <c r="Z3127" s="77"/>
      <c r="AA3127" s="77" t="s">
        <v>9452</v>
      </c>
      <c r="AB3127" s="77" t="s">
        <v>10130</v>
      </c>
      <c r="AC3127" s="82" t="s">
        <v>10147</v>
      </c>
      <c r="AD3127" s="77" t="s">
        <v>10184</v>
      </c>
      <c r="AE3127" s="80" t="str">
        <f>HYPERLINK("https://twitter.com/imdasmilhas/status/1643310805935431680")</f>
        <v>https://twitter.com/imdasmilhas/status/1643310805935431680</v>
      </c>
      <c r="AF3127" s="79">
        <v>45020.745393518519</v>
      </c>
      <c r="AG3127" s="85">
        <v>45020</v>
      </c>
      <c r="AH3127" s="82" t="s">
        <v>13147</v>
      </c>
      <c r="AI3127" s="77" t="b">
        <v>0</v>
      </c>
      <c r="AJ3127" s="77"/>
      <c r="AK3127" s="77"/>
      <c r="AL3127" s="77"/>
      <c r="AM3127" s="77"/>
      <c r="AN3127" s="77"/>
      <c r="AO3127" s="77"/>
      <c r="AP3127" s="77"/>
      <c r="AQ3127" s="77" t="s">
        <v>16095</v>
      </c>
      <c r="AR3127" s="77"/>
      <c r="AS3127" s="77"/>
      <c r="AT3127" s="77"/>
      <c r="AU3127" s="77"/>
      <c r="AV3127" s="80" t="str">
        <f>HYPERLINK("https://pbs.twimg.com/media/Fs42eCIX0AAoL8x.jpg")</f>
        <v>https://pbs.twimg.com/media/Fs42eCIX0AAoL8x.jpg</v>
      </c>
      <c r="AW3127" s="82" t="s">
        <v>19893</v>
      </c>
      <c r="AX3127" s="82" t="s">
        <v>19893</v>
      </c>
      <c r="AY3127" s="77"/>
      <c r="AZ3127" s="82" t="s">
        <v>20971</v>
      </c>
      <c r="BA3127" s="82" t="s">
        <v>20971</v>
      </c>
      <c r="BB3127" s="82" t="s">
        <v>20971</v>
      </c>
      <c r="BC3127" s="82" t="s">
        <v>19893</v>
      </c>
      <c r="BD3127" s="82" t="s">
        <v>21597</v>
      </c>
      <c r="BE3127" s="77"/>
      <c r="BF3127" s="77"/>
      <c r="BG3127" s="77"/>
      <c r="BH3127" s="77"/>
      <c r="BI3127" s="77"/>
    </row>
    <row r="3128" spans="1:61" x14ac:dyDescent="0.25">
      <c r="A3128" s="62" t="s">
        <v>1006</v>
      </c>
      <c r="B3128" s="62" t="s">
        <v>1006</v>
      </c>
      <c r="C3128" s="63"/>
      <c r="D3128" s="64"/>
      <c r="E3128" s="65"/>
      <c r="F3128" s="66"/>
      <c r="G3128" s="63"/>
      <c r="H3128" s="67"/>
      <c r="I3128" s="68"/>
      <c r="J3128" s="68"/>
      <c r="K3128" s="32"/>
      <c r="L3128" s="75">
        <v>3128</v>
      </c>
      <c r="M3128" s="75"/>
      <c r="N3128" s="70"/>
      <c r="O3128" s="77" t="s">
        <v>179</v>
      </c>
      <c r="P3128" s="79">
        <v>45020.74491898148</v>
      </c>
      <c r="Q3128" s="77" t="s">
        <v>4334</v>
      </c>
      <c r="R3128" s="77">
        <v>0</v>
      </c>
      <c r="S3128" s="77">
        <v>0</v>
      </c>
      <c r="T3128" s="77">
        <v>0</v>
      </c>
      <c r="U3128" s="77">
        <v>0</v>
      </c>
      <c r="V3128" s="77">
        <v>81</v>
      </c>
      <c r="W3128" s="82" t="s">
        <v>6740</v>
      </c>
      <c r="X3128" s="77"/>
      <c r="Y3128" s="77"/>
      <c r="Z3128" s="77"/>
      <c r="AA3128" s="77" t="s">
        <v>9453</v>
      </c>
      <c r="AB3128" s="77" t="s">
        <v>10130</v>
      </c>
      <c r="AC3128" s="82" t="s">
        <v>10147</v>
      </c>
      <c r="AD3128" s="77" t="s">
        <v>10184</v>
      </c>
      <c r="AE3128" s="80" t="str">
        <f>HYPERLINK("https://twitter.com/imdasmilhas/status/1643310635113934854")</f>
        <v>https://twitter.com/imdasmilhas/status/1643310635113934854</v>
      </c>
      <c r="AF3128" s="79">
        <v>45020.74491898148</v>
      </c>
      <c r="AG3128" s="85">
        <v>45020</v>
      </c>
      <c r="AH3128" s="82" t="s">
        <v>13143</v>
      </c>
      <c r="AI3128" s="77" t="b">
        <v>0</v>
      </c>
      <c r="AJ3128" s="77"/>
      <c r="AK3128" s="77"/>
      <c r="AL3128" s="77"/>
      <c r="AM3128" s="77"/>
      <c r="AN3128" s="77"/>
      <c r="AO3128" s="77"/>
      <c r="AP3128" s="77"/>
      <c r="AQ3128" s="77" t="s">
        <v>16096</v>
      </c>
      <c r="AR3128" s="77"/>
      <c r="AS3128" s="77"/>
      <c r="AT3128" s="77"/>
      <c r="AU3128" s="77"/>
      <c r="AV3128" s="80" t="str">
        <f>HYPERLINK("https://pbs.twimg.com/media/Fs42UE0XgAAxk_K.jpg")</f>
        <v>https://pbs.twimg.com/media/Fs42UE0XgAAxk_K.jpg</v>
      </c>
      <c r="AW3128" s="82" t="s">
        <v>19894</v>
      </c>
      <c r="AX3128" s="82" t="s">
        <v>19894</v>
      </c>
      <c r="AY3128" s="77"/>
      <c r="AZ3128" s="82" t="s">
        <v>20971</v>
      </c>
      <c r="BA3128" s="82" t="s">
        <v>20971</v>
      </c>
      <c r="BB3128" s="82" t="s">
        <v>20971</v>
      </c>
      <c r="BC3128" s="82" t="s">
        <v>19894</v>
      </c>
      <c r="BD3128" s="82" t="s">
        <v>21597</v>
      </c>
      <c r="BE3128" s="77"/>
      <c r="BF3128" s="77"/>
      <c r="BG3128" s="77"/>
      <c r="BH3128" s="77"/>
      <c r="BI3128" s="77"/>
    </row>
    <row r="3129" spans="1:61" x14ac:dyDescent="0.25">
      <c r="A3129" s="62" t="s">
        <v>1006</v>
      </c>
      <c r="B3129" s="62" t="s">
        <v>1006</v>
      </c>
      <c r="C3129" s="63"/>
      <c r="D3129" s="64"/>
      <c r="E3129" s="65"/>
      <c r="F3129" s="66"/>
      <c r="G3129" s="63"/>
      <c r="H3129" s="67"/>
      <c r="I3129" s="68"/>
      <c r="J3129" s="68"/>
      <c r="K3129" s="32"/>
      <c r="L3129" s="75">
        <v>3129</v>
      </c>
      <c r="M3129" s="75"/>
      <c r="N3129" s="70"/>
      <c r="O3129" s="77" t="s">
        <v>179</v>
      </c>
      <c r="P3129" s="79">
        <v>45020.743946759256</v>
      </c>
      <c r="Q3129" s="77" t="s">
        <v>4335</v>
      </c>
      <c r="R3129" s="77">
        <v>0</v>
      </c>
      <c r="S3129" s="77">
        <v>0</v>
      </c>
      <c r="T3129" s="77">
        <v>0</v>
      </c>
      <c r="U3129" s="77">
        <v>0</v>
      </c>
      <c r="V3129" s="77">
        <v>97</v>
      </c>
      <c r="W3129" s="82" t="s">
        <v>6740</v>
      </c>
      <c r="X3129" s="77"/>
      <c r="Y3129" s="77"/>
      <c r="Z3129" s="77"/>
      <c r="AA3129" s="77" t="s">
        <v>9454</v>
      </c>
      <c r="AB3129" s="77" t="s">
        <v>10130</v>
      </c>
      <c r="AC3129" s="82" t="s">
        <v>10147</v>
      </c>
      <c r="AD3129" s="77" t="s">
        <v>10184</v>
      </c>
      <c r="AE3129" s="80" t="str">
        <f>HYPERLINK("https://twitter.com/imdasmilhas/status/1643310283895582720")</f>
        <v>https://twitter.com/imdasmilhas/status/1643310283895582720</v>
      </c>
      <c r="AF3129" s="79">
        <v>45020.743946759256</v>
      </c>
      <c r="AG3129" s="85">
        <v>45020</v>
      </c>
      <c r="AH3129" s="82" t="s">
        <v>13148</v>
      </c>
      <c r="AI3129" s="77" t="b">
        <v>0</v>
      </c>
      <c r="AJ3129" s="77"/>
      <c r="AK3129" s="77"/>
      <c r="AL3129" s="77"/>
      <c r="AM3129" s="77"/>
      <c r="AN3129" s="77"/>
      <c r="AO3129" s="77"/>
      <c r="AP3129" s="77"/>
      <c r="AQ3129" s="77" t="s">
        <v>16097</v>
      </c>
      <c r="AR3129" s="77"/>
      <c r="AS3129" s="77"/>
      <c r="AT3129" s="77"/>
      <c r="AU3129" s="77"/>
      <c r="AV3129" s="80" t="str">
        <f>HYPERLINK("https://pbs.twimg.com/media/Fs41_mWWIA0xKgA.jpg")</f>
        <v>https://pbs.twimg.com/media/Fs41_mWWIA0xKgA.jpg</v>
      </c>
      <c r="AW3129" s="82" t="s">
        <v>19895</v>
      </c>
      <c r="AX3129" s="82" t="s">
        <v>19895</v>
      </c>
      <c r="AY3129" s="77"/>
      <c r="AZ3129" s="82" t="s">
        <v>20971</v>
      </c>
      <c r="BA3129" s="82" t="s">
        <v>20971</v>
      </c>
      <c r="BB3129" s="82" t="s">
        <v>20971</v>
      </c>
      <c r="BC3129" s="82" t="s">
        <v>19895</v>
      </c>
      <c r="BD3129" s="82" t="s">
        <v>21597</v>
      </c>
      <c r="BE3129" s="77"/>
      <c r="BF3129" s="77"/>
      <c r="BG3129" s="77"/>
      <c r="BH3129" s="77"/>
      <c r="BI3129" s="77"/>
    </row>
    <row r="3130" spans="1:61" x14ac:dyDescent="0.25">
      <c r="A3130" s="62" t="s">
        <v>1006</v>
      </c>
      <c r="B3130" s="62" t="s">
        <v>1006</v>
      </c>
      <c r="C3130" s="63"/>
      <c r="D3130" s="64"/>
      <c r="E3130" s="65"/>
      <c r="F3130" s="66"/>
      <c r="G3130" s="63"/>
      <c r="H3130" s="67"/>
      <c r="I3130" s="68"/>
      <c r="J3130" s="68"/>
      <c r="K3130" s="32"/>
      <c r="L3130" s="75">
        <v>3130</v>
      </c>
      <c r="M3130" s="75"/>
      <c r="N3130" s="70"/>
      <c r="O3130" s="77" t="s">
        <v>179</v>
      </c>
      <c r="P3130" s="79">
        <v>45020.743391203701</v>
      </c>
      <c r="Q3130" s="77" t="s">
        <v>4336</v>
      </c>
      <c r="R3130" s="77">
        <v>0</v>
      </c>
      <c r="S3130" s="77">
        <v>0</v>
      </c>
      <c r="T3130" s="77">
        <v>0</v>
      </c>
      <c r="U3130" s="77">
        <v>0</v>
      </c>
      <c r="V3130" s="77">
        <v>86</v>
      </c>
      <c r="W3130" s="82" t="s">
        <v>6740</v>
      </c>
      <c r="X3130" s="77"/>
      <c r="Y3130" s="77"/>
      <c r="Z3130" s="77"/>
      <c r="AA3130" s="77" t="s">
        <v>9455</v>
      </c>
      <c r="AB3130" s="77" t="s">
        <v>10130</v>
      </c>
      <c r="AC3130" s="82" t="s">
        <v>10147</v>
      </c>
      <c r="AD3130" s="77" t="s">
        <v>10184</v>
      </c>
      <c r="AE3130" s="80" t="str">
        <f>HYPERLINK("https://twitter.com/imdasmilhas/status/1643310082887745536")</f>
        <v>https://twitter.com/imdasmilhas/status/1643310082887745536</v>
      </c>
      <c r="AF3130" s="79">
        <v>45020.743391203701</v>
      </c>
      <c r="AG3130" s="85">
        <v>45020</v>
      </c>
      <c r="AH3130" s="82" t="s">
        <v>13149</v>
      </c>
      <c r="AI3130" s="77" t="b">
        <v>0</v>
      </c>
      <c r="AJ3130" s="77"/>
      <c r="AK3130" s="77"/>
      <c r="AL3130" s="77"/>
      <c r="AM3130" s="77"/>
      <c r="AN3130" s="77"/>
      <c r="AO3130" s="77"/>
      <c r="AP3130" s="77"/>
      <c r="AQ3130" s="77" t="s">
        <v>16098</v>
      </c>
      <c r="AR3130" s="77"/>
      <c r="AS3130" s="77"/>
      <c r="AT3130" s="77"/>
      <c r="AU3130" s="77"/>
      <c r="AV3130" s="80" t="str">
        <f>HYPERLINK("https://pbs.twimg.com/media/Fs41z7bXgAEO9Lk.jpg")</f>
        <v>https://pbs.twimg.com/media/Fs41z7bXgAEO9Lk.jpg</v>
      </c>
      <c r="AW3130" s="82" t="s">
        <v>19896</v>
      </c>
      <c r="AX3130" s="82" t="s">
        <v>19896</v>
      </c>
      <c r="AY3130" s="77"/>
      <c r="AZ3130" s="82" t="s">
        <v>20971</v>
      </c>
      <c r="BA3130" s="82" t="s">
        <v>20971</v>
      </c>
      <c r="BB3130" s="82" t="s">
        <v>20971</v>
      </c>
      <c r="BC3130" s="82" t="s">
        <v>19896</v>
      </c>
      <c r="BD3130" s="82" t="s">
        <v>21597</v>
      </c>
      <c r="BE3130" s="77"/>
      <c r="BF3130" s="77"/>
      <c r="BG3130" s="77"/>
      <c r="BH3130" s="77"/>
      <c r="BI3130" s="77"/>
    </row>
    <row r="3131" spans="1:61" x14ac:dyDescent="0.25">
      <c r="A3131" s="62" t="s">
        <v>1006</v>
      </c>
      <c r="B3131" s="62" t="s">
        <v>1006</v>
      </c>
      <c r="C3131" s="63"/>
      <c r="D3131" s="64"/>
      <c r="E3131" s="65"/>
      <c r="F3131" s="66"/>
      <c r="G3131" s="63"/>
      <c r="H3131" s="67"/>
      <c r="I3131" s="68"/>
      <c r="J3131" s="68"/>
      <c r="K3131" s="32"/>
      <c r="L3131" s="75">
        <v>3131</v>
      </c>
      <c r="M3131" s="75"/>
      <c r="N3131" s="70"/>
      <c r="O3131" s="77" t="s">
        <v>179</v>
      </c>
      <c r="P3131" s="79">
        <v>45019.733206018522</v>
      </c>
      <c r="Q3131" s="77" t="s">
        <v>4337</v>
      </c>
      <c r="R3131" s="77">
        <v>0</v>
      </c>
      <c r="S3131" s="77">
        <v>0</v>
      </c>
      <c r="T3131" s="77">
        <v>0</v>
      </c>
      <c r="U3131" s="77">
        <v>0</v>
      </c>
      <c r="V3131" s="77">
        <v>88</v>
      </c>
      <c r="W3131" s="82" t="s">
        <v>6740</v>
      </c>
      <c r="X3131" s="77"/>
      <c r="Y3131" s="77"/>
      <c r="Z3131" s="77"/>
      <c r="AA3131" s="77" t="s">
        <v>9456</v>
      </c>
      <c r="AB3131" s="77" t="s">
        <v>10130</v>
      </c>
      <c r="AC3131" s="82" t="s">
        <v>10147</v>
      </c>
      <c r="AD3131" s="77" t="s">
        <v>10184</v>
      </c>
      <c r="AE3131" s="80" t="str">
        <f>HYPERLINK("https://twitter.com/imdasmilhas/status/1642944005460615168")</f>
        <v>https://twitter.com/imdasmilhas/status/1642944005460615168</v>
      </c>
      <c r="AF3131" s="79">
        <v>45019.733206018522</v>
      </c>
      <c r="AG3131" s="85">
        <v>45019</v>
      </c>
      <c r="AH3131" s="82" t="s">
        <v>13150</v>
      </c>
      <c r="AI3131" s="77" t="b">
        <v>0</v>
      </c>
      <c r="AJ3131" s="77"/>
      <c r="AK3131" s="77"/>
      <c r="AL3131" s="77"/>
      <c r="AM3131" s="77"/>
      <c r="AN3131" s="77"/>
      <c r="AO3131" s="77"/>
      <c r="AP3131" s="77"/>
      <c r="AQ3131" s="77" t="s">
        <v>16099</v>
      </c>
      <c r="AR3131" s="77"/>
      <c r="AS3131" s="77"/>
      <c r="AT3131" s="77"/>
      <c r="AU3131" s="77"/>
      <c r="AV3131" s="80" t="str">
        <f>HYPERLINK("https://pbs.twimg.com/media/Fszo3aaXwAsWVXJ.jpg")</f>
        <v>https://pbs.twimg.com/media/Fszo3aaXwAsWVXJ.jpg</v>
      </c>
      <c r="AW3131" s="82" t="s">
        <v>19897</v>
      </c>
      <c r="AX3131" s="82" t="s">
        <v>19897</v>
      </c>
      <c r="AY3131" s="77"/>
      <c r="AZ3131" s="82" t="s">
        <v>20971</v>
      </c>
      <c r="BA3131" s="82" t="s">
        <v>20971</v>
      </c>
      <c r="BB3131" s="82" t="s">
        <v>20971</v>
      </c>
      <c r="BC3131" s="82" t="s">
        <v>19897</v>
      </c>
      <c r="BD3131" s="82" t="s">
        <v>21597</v>
      </c>
      <c r="BE3131" s="77"/>
      <c r="BF3131" s="77"/>
      <c r="BG3131" s="77"/>
      <c r="BH3131" s="77"/>
      <c r="BI3131" s="77"/>
    </row>
    <row r="3132" spans="1:61" x14ac:dyDescent="0.25">
      <c r="A3132" s="62" t="s">
        <v>1006</v>
      </c>
      <c r="B3132" s="62" t="s">
        <v>1006</v>
      </c>
      <c r="C3132" s="63"/>
      <c r="D3132" s="64"/>
      <c r="E3132" s="65"/>
      <c r="F3132" s="66"/>
      <c r="G3132" s="63"/>
      <c r="H3132" s="67"/>
      <c r="I3132" s="68"/>
      <c r="J3132" s="68"/>
      <c r="K3132" s="32"/>
      <c r="L3132" s="75">
        <v>3132</v>
      </c>
      <c r="M3132" s="75"/>
      <c r="N3132" s="70"/>
      <c r="O3132" s="77" t="s">
        <v>179</v>
      </c>
      <c r="P3132" s="79">
        <v>45019.732916666668</v>
      </c>
      <c r="Q3132" s="77" t="s">
        <v>4338</v>
      </c>
      <c r="R3132" s="77">
        <v>0</v>
      </c>
      <c r="S3132" s="77">
        <v>0</v>
      </c>
      <c r="T3132" s="77">
        <v>0</v>
      </c>
      <c r="U3132" s="77">
        <v>0</v>
      </c>
      <c r="V3132" s="77">
        <v>88</v>
      </c>
      <c r="W3132" s="82" t="s">
        <v>6740</v>
      </c>
      <c r="X3132" s="77"/>
      <c r="Y3132" s="77"/>
      <c r="Z3132" s="77"/>
      <c r="AA3132" s="77" t="s">
        <v>9457</v>
      </c>
      <c r="AB3132" s="77" t="s">
        <v>10130</v>
      </c>
      <c r="AC3132" s="82" t="s">
        <v>10147</v>
      </c>
      <c r="AD3132" s="77" t="s">
        <v>10184</v>
      </c>
      <c r="AE3132" s="80" t="str">
        <f>HYPERLINK("https://twitter.com/imdasmilhas/status/1642943899286093834")</f>
        <v>https://twitter.com/imdasmilhas/status/1642943899286093834</v>
      </c>
      <c r="AF3132" s="79">
        <v>45019.732916666668</v>
      </c>
      <c r="AG3132" s="85">
        <v>45019</v>
      </c>
      <c r="AH3132" s="82" t="s">
        <v>13151</v>
      </c>
      <c r="AI3132" s="77" t="b">
        <v>0</v>
      </c>
      <c r="AJ3132" s="77"/>
      <c r="AK3132" s="77"/>
      <c r="AL3132" s="77"/>
      <c r="AM3132" s="77"/>
      <c r="AN3132" s="77"/>
      <c r="AO3132" s="77"/>
      <c r="AP3132" s="77"/>
      <c r="AQ3132" s="77" t="s">
        <v>16100</v>
      </c>
      <c r="AR3132" s="77"/>
      <c r="AS3132" s="77"/>
      <c r="AT3132" s="77"/>
      <c r="AU3132" s="77"/>
      <c r="AV3132" s="80" t="str">
        <f>HYPERLINK("https://pbs.twimg.com/media/FszoxPpXwB03i0q.jpg")</f>
        <v>https://pbs.twimg.com/media/FszoxPpXwB03i0q.jpg</v>
      </c>
      <c r="AW3132" s="82" t="s">
        <v>19898</v>
      </c>
      <c r="AX3132" s="82" t="s">
        <v>19898</v>
      </c>
      <c r="AY3132" s="77"/>
      <c r="AZ3132" s="82" t="s">
        <v>20971</v>
      </c>
      <c r="BA3132" s="82" t="s">
        <v>20971</v>
      </c>
      <c r="BB3132" s="82" t="s">
        <v>20971</v>
      </c>
      <c r="BC3132" s="82" t="s">
        <v>19898</v>
      </c>
      <c r="BD3132" s="82" t="s">
        <v>21597</v>
      </c>
      <c r="BE3132" s="77"/>
      <c r="BF3132" s="77"/>
      <c r="BG3132" s="77"/>
      <c r="BH3132" s="77"/>
      <c r="BI3132" s="77"/>
    </row>
    <row r="3133" spans="1:61" x14ac:dyDescent="0.25">
      <c r="A3133" s="62" t="s">
        <v>1006</v>
      </c>
      <c r="B3133" s="62" t="s">
        <v>1006</v>
      </c>
      <c r="C3133" s="63"/>
      <c r="D3133" s="64"/>
      <c r="E3133" s="65"/>
      <c r="F3133" s="66"/>
      <c r="G3133" s="63"/>
      <c r="H3133" s="67"/>
      <c r="I3133" s="68"/>
      <c r="J3133" s="68"/>
      <c r="K3133" s="32"/>
      <c r="L3133" s="75">
        <v>3133</v>
      </c>
      <c r="M3133" s="75"/>
      <c r="N3133" s="70"/>
      <c r="O3133" s="77" t="s">
        <v>179</v>
      </c>
      <c r="P3133" s="79">
        <v>45019.617256944446</v>
      </c>
      <c r="Q3133" s="77" t="s">
        <v>4339</v>
      </c>
      <c r="R3133" s="77">
        <v>0</v>
      </c>
      <c r="S3133" s="77">
        <v>0</v>
      </c>
      <c r="T3133" s="77">
        <v>0</v>
      </c>
      <c r="U3133" s="77">
        <v>0</v>
      </c>
      <c r="V3133" s="77">
        <v>117</v>
      </c>
      <c r="W3133" s="82" t="s">
        <v>6740</v>
      </c>
      <c r="X3133" s="77"/>
      <c r="Y3133" s="77"/>
      <c r="Z3133" s="77"/>
      <c r="AA3133" s="77" t="s">
        <v>9458</v>
      </c>
      <c r="AB3133" s="77" t="s">
        <v>10130</v>
      </c>
      <c r="AC3133" s="82" t="s">
        <v>10147</v>
      </c>
      <c r="AD3133" s="77" t="s">
        <v>10184</v>
      </c>
      <c r="AE3133" s="80" t="str">
        <f>HYPERLINK("https://twitter.com/imdasmilhas/status/1642901983022444545")</f>
        <v>https://twitter.com/imdasmilhas/status/1642901983022444545</v>
      </c>
      <c r="AF3133" s="79">
        <v>45019.617256944446</v>
      </c>
      <c r="AG3133" s="85">
        <v>45019</v>
      </c>
      <c r="AH3133" s="82" t="s">
        <v>13152</v>
      </c>
      <c r="AI3133" s="77" t="b">
        <v>0</v>
      </c>
      <c r="AJ3133" s="77"/>
      <c r="AK3133" s="77"/>
      <c r="AL3133" s="77"/>
      <c r="AM3133" s="77"/>
      <c r="AN3133" s="77"/>
      <c r="AO3133" s="77"/>
      <c r="AP3133" s="77"/>
      <c r="AQ3133" s="77" t="s">
        <v>16101</v>
      </c>
      <c r="AR3133" s="77"/>
      <c r="AS3133" s="77"/>
      <c r="AT3133" s="77"/>
      <c r="AU3133" s="77"/>
      <c r="AV3133" s="80" t="str">
        <f>HYPERLINK("https://pbs.twimg.com/media/FszCpXgXwAArtcA.jpg")</f>
        <v>https://pbs.twimg.com/media/FszCpXgXwAArtcA.jpg</v>
      </c>
      <c r="AW3133" s="82" t="s">
        <v>19899</v>
      </c>
      <c r="AX3133" s="82" t="s">
        <v>19899</v>
      </c>
      <c r="AY3133" s="77"/>
      <c r="AZ3133" s="82" t="s">
        <v>20971</v>
      </c>
      <c r="BA3133" s="82" t="s">
        <v>20971</v>
      </c>
      <c r="BB3133" s="82" t="s">
        <v>20971</v>
      </c>
      <c r="BC3133" s="82" t="s">
        <v>19899</v>
      </c>
      <c r="BD3133" s="82" t="s">
        <v>21597</v>
      </c>
      <c r="BE3133" s="77"/>
      <c r="BF3133" s="77"/>
      <c r="BG3133" s="77"/>
      <c r="BH3133" s="77"/>
      <c r="BI3133" s="77"/>
    </row>
    <row r="3134" spans="1:61" x14ac:dyDescent="0.25">
      <c r="A3134" s="62" t="s">
        <v>1006</v>
      </c>
      <c r="B3134" s="62" t="s">
        <v>1006</v>
      </c>
      <c r="C3134" s="63"/>
      <c r="D3134" s="64"/>
      <c r="E3134" s="65"/>
      <c r="F3134" s="66"/>
      <c r="G3134" s="63"/>
      <c r="H3134" s="67"/>
      <c r="I3134" s="68"/>
      <c r="J3134" s="68"/>
      <c r="K3134" s="32"/>
      <c r="L3134" s="75">
        <v>3134</v>
      </c>
      <c r="M3134" s="75"/>
      <c r="N3134" s="70"/>
      <c r="O3134" s="77" t="s">
        <v>179</v>
      </c>
      <c r="P3134" s="79">
        <v>45019.616840277777</v>
      </c>
      <c r="Q3134" s="77" t="s">
        <v>4340</v>
      </c>
      <c r="R3134" s="77">
        <v>0</v>
      </c>
      <c r="S3134" s="77">
        <v>0</v>
      </c>
      <c r="T3134" s="77">
        <v>0</v>
      </c>
      <c r="U3134" s="77">
        <v>0</v>
      </c>
      <c r="V3134" s="77">
        <v>96</v>
      </c>
      <c r="W3134" s="82" t="s">
        <v>6740</v>
      </c>
      <c r="X3134" s="77"/>
      <c r="Y3134" s="77"/>
      <c r="Z3134" s="77"/>
      <c r="AA3134" s="77" t="s">
        <v>9459</v>
      </c>
      <c r="AB3134" s="77" t="s">
        <v>10130</v>
      </c>
      <c r="AC3134" s="82" t="s">
        <v>10147</v>
      </c>
      <c r="AD3134" s="77" t="s">
        <v>10184</v>
      </c>
      <c r="AE3134" s="80" t="str">
        <f>HYPERLINK("https://twitter.com/imdasmilhas/status/1642901833390735361")</f>
        <v>https://twitter.com/imdasmilhas/status/1642901833390735361</v>
      </c>
      <c r="AF3134" s="79">
        <v>45019.616840277777</v>
      </c>
      <c r="AG3134" s="85">
        <v>45019</v>
      </c>
      <c r="AH3134" s="82" t="s">
        <v>13153</v>
      </c>
      <c r="AI3134" s="77" t="b">
        <v>0</v>
      </c>
      <c r="AJ3134" s="77"/>
      <c r="AK3134" s="77"/>
      <c r="AL3134" s="77"/>
      <c r="AM3134" s="77"/>
      <c r="AN3134" s="77"/>
      <c r="AO3134" s="77"/>
      <c r="AP3134" s="77"/>
      <c r="AQ3134" s="77" t="s">
        <v>16102</v>
      </c>
      <c r="AR3134" s="77"/>
      <c r="AS3134" s="77"/>
      <c r="AT3134" s="77"/>
      <c r="AU3134" s="77"/>
      <c r="AV3134" s="80" t="str">
        <f>HYPERLINK("https://pbs.twimg.com/media/FszCgpeWAAM6xLg.jpg")</f>
        <v>https://pbs.twimg.com/media/FszCgpeWAAM6xLg.jpg</v>
      </c>
      <c r="AW3134" s="82" t="s">
        <v>19900</v>
      </c>
      <c r="AX3134" s="82" t="s">
        <v>19900</v>
      </c>
      <c r="AY3134" s="77"/>
      <c r="AZ3134" s="82" t="s">
        <v>20971</v>
      </c>
      <c r="BA3134" s="82" t="s">
        <v>20971</v>
      </c>
      <c r="BB3134" s="82" t="s">
        <v>20971</v>
      </c>
      <c r="BC3134" s="82" t="s">
        <v>19900</v>
      </c>
      <c r="BD3134" s="82" t="s">
        <v>21597</v>
      </c>
      <c r="BE3134" s="77"/>
      <c r="BF3134" s="77"/>
      <c r="BG3134" s="77"/>
      <c r="BH3134" s="77"/>
      <c r="BI3134" s="77"/>
    </row>
    <row r="3135" spans="1:61" x14ac:dyDescent="0.25">
      <c r="A3135" s="62" t="s">
        <v>1006</v>
      </c>
      <c r="B3135" s="62" t="s">
        <v>1006</v>
      </c>
      <c r="C3135" s="63"/>
      <c r="D3135" s="64"/>
      <c r="E3135" s="65"/>
      <c r="F3135" s="66"/>
      <c r="G3135" s="63"/>
      <c r="H3135" s="67"/>
      <c r="I3135" s="68"/>
      <c r="J3135" s="68"/>
      <c r="K3135" s="32"/>
      <c r="L3135" s="75">
        <v>3135</v>
      </c>
      <c r="M3135" s="75"/>
      <c r="N3135" s="70"/>
      <c r="O3135" s="77" t="s">
        <v>179</v>
      </c>
      <c r="P3135" s="79">
        <v>45019.614421296297</v>
      </c>
      <c r="Q3135" s="77" t="s">
        <v>4341</v>
      </c>
      <c r="R3135" s="77">
        <v>0</v>
      </c>
      <c r="S3135" s="77">
        <v>0</v>
      </c>
      <c r="T3135" s="77">
        <v>0</v>
      </c>
      <c r="U3135" s="77">
        <v>0</v>
      </c>
      <c r="V3135" s="77">
        <v>87</v>
      </c>
      <c r="W3135" s="82" t="s">
        <v>6740</v>
      </c>
      <c r="X3135" s="77"/>
      <c r="Y3135" s="77"/>
      <c r="Z3135" s="77"/>
      <c r="AA3135" s="77" t="s">
        <v>9460</v>
      </c>
      <c r="AB3135" s="77" t="s">
        <v>10130</v>
      </c>
      <c r="AC3135" s="82" t="s">
        <v>10147</v>
      </c>
      <c r="AD3135" s="77" t="s">
        <v>10184</v>
      </c>
      <c r="AE3135" s="80" t="str">
        <f>HYPERLINK("https://twitter.com/imdasmilhas/status/1642900956147744778")</f>
        <v>https://twitter.com/imdasmilhas/status/1642900956147744778</v>
      </c>
      <c r="AF3135" s="79">
        <v>45019.614421296297</v>
      </c>
      <c r="AG3135" s="85">
        <v>45019</v>
      </c>
      <c r="AH3135" s="82" t="s">
        <v>13154</v>
      </c>
      <c r="AI3135" s="77" t="b">
        <v>0</v>
      </c>
      <c r="AJ3135" s="77"/>
      <c r="AK3135" s="77"/>
      <c r="AL3135" s="77"/>
      <c r="AM3135" s="77"/>
      <c r="AN3135" s="77"/>
      <c r="AO3135" s="77"/>
      <c r="AP3135" s="77"/>
      <c r="AQ3135" s="77" t="s">
        <v>16103</v>
      </c>
      <c r="AR3135" s="77"/>
      <c r="AS3135" s="77"/>
      <c r="AT3135" s="77"/>
      <c r="AU3135" s="77"/>
      <c r="AV3135" s="80" t="str">
        <f>HYPERLINK("https://pbs.twimg.com/media/FszBth6WcAQK21p.jpg")</f>
        <v>https://pbs.twimg.com/media/FszBth6WcAQK21p.jpg</v>
      </c>
      <c r="AW3135" s="82" t="s">
        <v>19901</v>
      </c>
      <c r="AX3135" s="82" t="s">
        <v>19901</v>
      </c>
      <c r="AY3135" s="77"/>
      <c r="AZ3135" s="82" t="s">
        <v>20971</v>
      </c>
      <c r="BA3135" s="82" t="s">
        <v>20971</v>
      </c>
      <c r="BB3135" s="82" t="s">
        <v>20971</v>
      </c>
      <c r="BC3135" s="82" t="s">
        <v>19901</v>
      </c>
      <c r="BD3135" s="82" t="s">
        <v>21597</v>
      </c>
      <c r="BE3135" s="77"/>
      <c r="BF3135" s="77"/>
      <c r="BG3135" s="77"/>
      <c r="BH3135" s="77"/>
      <c r="BI3135" s="77"/>
    </row>
    <row r="3136" spans="1:61" x14ac:dyDescent="0.25">
      <c r="A3136" s="62" t="s">
        <v>1006</v>
      </c>
      <c r="B3136" s="62" t="s">
        <v>1006</v>
      </c>
      <c r="C3136" s="63"/>
      <c r="D3136" s="64"/>
      <c r="E3136" s="65"/>
      <c r="F3136" s="66"/>
      <c r="G3136" s="63"/>
      <c r="H3136" s="67"/>
      <c r="I3136" s="68"/>
      <c r="J3136" s="68"/>
      <c r="K3136" s="32"/>
      <c r="L3136" s="75">
        <v>3136</v>
      </c>
      <c r="M3136" s="75"/>
      <c r="N3136" s="70"/>
      <c r="O3136" s="77" t="s">
        <v>179</v>
      </c>
      <c r="P3136" s="79">
        <v>45001.833240740743</v>
      </c>
      <c r="Q3136" s="77" t="s">
        <v>4342</v>
      </c>
      <c r="R3136" s="77">
        <v>0</v>
      </c>
      <c r="S3136" s="77">
        <v>1</v>
      </c>
      <c r="T3136" s="77">
        <v>0</v>
      </c>
      <c r="U3136" s="77">
        <v>0</v>
      </c>
      <c r="V3136" s="77">
        <v>96</v>
      </c>
      <c r="W3136" s="82" t="s">
        <v>6740</v>
      </c>
      <c r="X3136" s="77"/>
      <c r="Y3136" s="77"/>
      <c r="Z3136" s="77"/>
      <c r="AA3136" s="77" t="s">
        <v>9461</v>
      </c>
      <c r="AB3136" s="77" t="s">
        <v>10130</v>
      </c>
      <c r="AC3136" s="82" t="s">
        <v>10147</v>
      </c>
      <c r="AD3136" s="77" t="s">
        <v>10184</v>
      </c>
      <c r="AE3136" s="80" t="str">
        <f>HYPERLINK("https://twitter.com/imdasmilhas/status/1636457271780581383")</f>
        <v>https://twitter.com/imdasmilhas/status/1636457271780581383</v>
      </c>
      <c r="AF3136" s="79">
        <v>45001.833240740743</v>
      </c>
      <c r="AG3136" s="85">
        <v>45001</v>
      </c>
      <c r="AH3136" s="82" t="s">
        <v>13155</v>
      </c>
      <c r="AI3136" s="77" t="b">
        <v>0</v>
      </c>
      <c r="AJ3136" s="77"/>
      <c r="AK3136" s="77"/>
      <c r="AL3136" s="77"/>
      <c r="AM3136" s="77"/>
      <c r="AN3136" s="77"/>
      <c r="AO3136" s="77"/>
      <c r="AP3136" s="77"/>
      <c r="AQ3136" s="77" t="s">
        <v>16104</v>
      </c>
      <c r="AR3136" s="77"/>
      <c r="AS3136" s="77"/>
      <c r="AT3136" s="77"/>
      <c r="AU3136" s="77"/>
      <c r="AV3136" s="80" t="str">
        <f>HYPERLINK("https://pbs.twimg.com/media/FrXdN23XsAA-hlA.jpg")</f>
        <v>https://pbs.twimg.com/media/FrXdN23XsAA-hlA.jpg</v>
      </c>
      <c r="AW3136" s="82" t="s">
        <v>19902</v>
      </c>
      <c r="AX3136" s="82" t="s">
        <v>19902</v>
      </c>
      <c r="AY3136" s="77"/>
      <c r="AZ3136" s="82" t="s">
        <v>20971</v>
      </c>
      <c r="BA3136" s="82" t="s">
        <v>20971</v>
      </c>
      <c r="BB3136" s="82" t="s">
        <v>20971</v>
      </c>
      <c r="BC3136" s="82" t="s">
        <v>19902</v>
      </c>
      <c r="BD3136" s="82" t="s">
        <v>21597</v>
      </c>
      <c r="BE3136" s="77"/>
      <c r="BF3136" s="77"/>
      <c r="BG3136" s="77"/>
      <c r="BH3136" s="77"/>
      <c r="BI3136" s="77"/>
    </row>
    <row r="3137" spans="1:61" x14ac:dyDescent="0.25">
      <c r="A3137" s="62" t="s">
        <v>1006</v>
      </c>
      <c r="B3137" s="62" t="s">
        <v>1006</v>
      </c>
      <c r="C3137" s="63"/>
      <c r="D3137" s="64"/>
      <c r="E3137" s="65"/>
      <c r="F3137" s="66"/>
      <c r="G3137" s="63"/>
      <c r="H3137" s="67"/>
      <c r="I3137" s="68"/>
      <c r="J3137" s="68"/>
      <c r="K3137" s="32"/>
      <c r="L3137" s="75">
        <v>3137</v>
      </c>
      <c r="M3137" s="75"/>
      <c r="N3137" s="70"/>
      <c r="O3137" s="77" t="s">
        <v>179</v>
      </c>
      <c r="P3137" s="79">
        <v>45001.832615740743</v>
      </c>
      <c r="Q3137" s="77" t="s">
        <v>4343</v>
      </c>
      <c r="R3137" s="77">
        <v>0</v>
      </c>
      <c r="S3137" s="77">
        <v>0</v>
      </c>
      <c r="T3137" s="77">
        <v>0</v>
      </c>
      <c r="U3137" s="77">
        <v>0</v>
      </c>
      <c r="V3137" s="77">
        <v>70</v>
      </c>
      <c r="W3137" s="82" t="s">
        <v>6740</v>
      </c>
      <c r="X3137" s="77"/>
      <c r="Y3137" s="77"/>
      <c r="Z3137" s="77"/>
      <c r="AA3137" s="77" t="s">
        <v>9462</v>
      </c>
      <c r="AB3137" s="77" t="s">
        <v>10130</v>
      </c>
      <c r="AC3137" s="82" t="s">
        <v>10147</v>
      </c>
      <c r="AD3137" s="77" t="s">
        <v>10184</v>
      </c>
      <c r="AE3137" s="80" t="str">
        <f>HYPERLINK("https://twitter.com/imdasmilhas/status/1636457045116198930")</f>
        <v>https://twitter.com/imdasmilhas/status/1636457045116198930</v>
      </c>
      <c r="AF3137" s="79">
        <v>45001.832615740743</v>
      </c>
      <c r="AG3137" s="85">
        <v>45001</v>
      </c>
      <c r="AH3137" s="82" t="s">
        <v>13156</v>
      </c>
      <c r="AI3137" s="77" t="b">
        <v>0</v>
      </c>
      <c r="AJ3137" s="77"/>
      <c r="AK3137" s="77"/>
      <c r="AL3137" s="77"/>
      <c r="AM3137" s="77"/>
      <c r="AN3137" s="77"/>
      <c r="AO3137" s="77"/>
      <c r="AP3137" s="77"/>
      <c r="AQ3137" s="77" t="s">
        <v>16105</v>
      </c>
      <c r="AR3137" s="77"/>
      <c r="AS3137" s="77"/>
      <c r="AT3137" s="77"/>
      <c r="AU3137" s="77"/>
      <c r="AV3137" s="80" t="str">
        <f>HYPERLINK("https://pbs.twimg.com/media/FrXdAppWIBciZar.jpg")</f>
        <v>https://pbs.twimg.com/media/FrXdAppWIBciZar.jpg</v>
      </c>
      <c r="AW3137" s="82" t="s">
        <v>19903</v>
      </c>
      <c r="AX3137" s="82" t="s">
        <v>19903</v>
      </c>
      <c r="AY3137" s="77"/>
      <c r="AZ3137" s="82" t="s">
        <v>20971</v>
      </c>
      <c r="BA3137" s="82" t="s">
        <v>20971</v>
      </c>
      <c r="BB3137" s="82" t="s">
        <v>20971</v>
      </c>
      <c r="BC3137" s="82" t="s">
        <v>19903</v>
      </c>
      <c r="BD3137" s="82" t="s">
        <v>21597</v>
      </c>
      <c r="BE3137" s="77"/>
      <c r="BF3137" s="77"/>
      <c r="BG3137" s="77"/>
      <c r="BH3137" s="77"/>
      <c r="BI3137" s="77"/>
    </row>
    <row r="3138" spans="1:61" x14ac:dyDescent="0.25">
      <c r="A3138" s="62" t="s">
        <v>1006</v>
      </c>
      <c r="B3138" s="62" t="s">
        <v>1006</v>
      </c>
      <c r="C3138" s="63"/>
      <c r="D3138" s="64"/>
      <c r="E3138" s="65"/>
      <c r="F3138" s="66"/>
      <c r="G3138" s="63"/>
      <c r="H3138" s="67"/>
      <c r="I3138" s="68"/>
      <c r="J3138" s="68"/>
      <c r="K3138" s="32"/>
      <c r="L3138" s="75">
        <v>3138</v>
      </c>
      <c r="M3138" s="75"/>
      <c r="N3138" s="70"/>
      <c r="O3138" s="77" t="s">
        <v>179</v>
      </c>
      <c r="P3138" s="79">
        <v>45001.832106481481</v>
      </c>
      <c r="Q3138" s="77" t="s">
        <v>4344</v>
      </c>
      <c r="R3138" s="77">
        <v>0</v>
      </c>
      <c r="S3138" s="77">
        <v>0</v>
      </c>
      <c r="T3138" s="77">
        <v>0</v>
      </c>
      <c r="U3138" s="77">
        <v>0</v>
      </c>
      <c r="V3138" s="77">
        <v>68</v>
      </c>
      <c r="W3138" s="82" t="s">
        <v>6740</v>
      </c>
      <c r="X3138" s="77"/>
      <c r="Y3138" s="77"/>
      <c r="Z3138" s="77"/>
      <c r="AA3138" s="77" t="s">
        <v>9463</v>
      </c>
      <c r="AB3138" s="77" t="s">
        <v>10130</v>
      </c>
      <c r="AC3138" s="82" t="s">
        <v>10147</v>
      </c>
      <c r="AD3138" s="77" t="s">
        <v>10184</v>
      </c>
      <c r="AE3138" s="80" t="str">
        <f>HYPERLINK("https://twitter.com/imdasmilhas/status/1636456863146319880")</f>
        <v>https://twitter.com/imdasmilhas/status/1636456863146319880</v>
      </c>
      <c r="AF3138" s="79">
        <v>45001.832106481481</v>
      </c>
      <c r="AG3138" s="85">
        <v>45001</v>
      </c>
      <c r="AH3138" s="82" t="s">
        <v>13157</v>
      </c>
      <c r="AI3138" s="77" t="b">
        <v>0</v>
      </c>
      <c r="AJ3138" s="77"/>
      <c r="AK3138" s="77"/>
      <c r="AL3138" s="77"/>
      <c r="AM3138" s="77"/>
      <c r="AN3138" s="77"/>
      <c r="AO3138" s="77"/>
      <c r="AP3138" s="77"/>
      <c r="AQ3138" s="77" t="s">
        <v>16106</v>
      </c>
      <c r="AR3138" s="77"/>
      <c r="AS3138" s="77"/>
      <c r="AT3138" s="77"/>
      <c r="AU3138" s="77"/>
      <c r="AV3138" s="80" t="str">
        <f>HYPERLINK("https://pbs.twimg.com/media/FrXc2BfWIBAV2Ej.jpg")</f>
        <v>https://pbs.twimg.com/media/FrXc2BfWIBAV2Ej.jpg</v>
      </c>
      <c r="AW3138" s="82" t="s">
        <v>19904</v>
      </c>
      <c r="AX3138" s="82" t="s">
        <v>19904</v>
      </c>
      <c r="AY3138" s="77"/>
      <c r="AZ3138" s="82" t="s">
        <v>20971</v>
      </c>
      <c r="BA3138" s="82" t="s">
        <v>20971</v>
      </c>
      <c r="BB3138" s="82" t="s">
        <v>20971</v>
      </c>
      <c r="BC3138" s="82" t="s">
        <v>19904</v>
      </c>
      <c r="BD3138" s="82" t="s">
        <v>21597</v>
      </c>
      <c r="BE3138" s="77"/>
      <c r="BF3138" s="77"/>
      <c r="BG3138" s="77"/>
      <c r="BH3138" s="77"/>
      <c r="BI3138" s="77"/>
    </row>
    <row r="3139" spans="1:61" x14ac:dyDescent="0.25">
      <c r="A3139" s="62" t="s">
        <v>1006</v>
      </c>
      <c r="B3139" s="62" t="s">
        <v>1006</v>
      </c>
      <c r="C3139" s="63"/>
      <c r="D3139" s="64"/>
      <c r="E3139" s="65"/>
      <c r="F3139" s="66"/>
      <c r="G3139" s="63"/>
      <c r="H3139" s="67"/>
      <c r="I3139" s="68"/>
      <c r="J3139" s="68"/>
      <c r="K3139" s="32"/>
      <c r="L3139" s="75">
        <v>3139</v>
      </c>
      <c r="M3139" s="75"/>
      <c r="N3139" s="70"/>
      <c r="O3139" s="77" t="s">
        <v>179</v>
      </c>
      <c r="P3139" s="79">
        <v>45001.83152777778</v>
      </c>
      <c r="Q3139" s="77" t="s">
        <v>4345</v>
      </c>
      <c r="R3139" s="77">
        <v>0</v>
      </c>
      <c r="S3139" s="77">
        <v>0</v>
      </c>
      <c r="T3139" s="77">
        <v>0</v>
      </c>
      <c r="U3139" s="77">
        <v>0</v>
      </c>
      <c r="V3139" s="77">
        <v>65</v>
      </c>
      <c r="W3139" s="82" t="s">
        <v>6740</v>
      </c>
      <c r="X3139" s="77"/>
      <c r="Y3139" s="77"/>
      <c r="Z3139" s="77"/>
      <c r="AA3139" s="77" t="s">
        <v>9464</v>
      </c>
      <c r="AB3139" s="77" t="s">
        <v>10130</v>
      </c>
      <c r="AC3139" s="82" t="s">
        <v>10147</v>
      </c>
      <c r="AD3139" s="77" t="s">
        <v>10184</v>
      </c>
      <c r="AE3139" s="80" t="str">
        <f>HYPERLINK("https://twitter.com/imdasmilhas/status/1636456653510811666")</f>
        <v>https://twitter.com/imdasmilhas/status/1636456653510811666</v>
      </c>
      <c r="AF3139" s="79">
        <v>45001.83152777778</v>
      </c>
      <c r="AG3139" s="85">
        <v>45001</v>
      </c>
      <c r="AH3139" s="82" t="s">
        <v>13158</v>
      </c>
      <c r="AI3139" s="77" t="b">
        <v>0</v>
      </c>
      <c r="AJ3139" s="77"/>
      <c r="AK3139" s="77"/>
      <c r="AL3139" s="77"/>
      <c r="AM3139" s="77"/>
      <c r="AN3139" s="77"/>
      <c r="AO3139" s="77"/>
      <c r="AP3139" s="77"/>
      <c r="AQ3139" s="77" t="s">
        <v>16107</v>
      </c>
      <c r="AR3139" s="77"/>
      <c r="AS3139" s="77"/>
      <c r="AT3139" s="77"/>
      <c r="AU3139" s="77"/>
      <c r="AV3139" s="80" t="str">
        <f>HYPERLINK("https://pbs.twimg.com/media/FrXcpyHWIAItPqA.jpg")</f>
        <v>https://pbs.twimg.com/media/FrXcpyHWIAItPqA.jpg</v>
      </c>
      <c r="AW3139" s="82" t="s">
        <v>19905</v>
      </c>
      <c r="AX3139" s="82" t="s">
        <v>19905</v>
      </c>
      <c r="AY3139" s="77"/>
      <c r="AZ3139" s="82" t="s">
        <v>20971</v>
      </c>
      <c r="BA3139" s="82" t="s">
        <v>20971</v>
      </c>
      <c r="BB3139" s="82" t="s">
        <v>20971</v>
      </c>
      <c r="BC3139" s="82" t="s">
        <v>19905</v>
      </c>
      <c r="BD3139" s="82" t="s">
        <v>21597</v>
      </c>
      <c r="BE3139" s="77"/>
      <c r="BF3139" s="77"/>
      <c r="BG3139" s="77"/>
      <c r="BH3139" s="77"/>
      <c r="BI3139" s="77"/>
    </row>
    <row r="3140" spans="1:61" x14ac:dyDescent="0.25">
      <c r="A3140" s="62" t="s">
        <v>1006</v>
      </c>
      <c r="B3140" s="62" t="s">
        <v>1006</v>
      </c>
      <c r="C3140" s="63"/>
      <c r="D3140" s="64"/>
      <c r="E3140" s="65"/>
      <c r="F3140" s="66"/>
      <c r="G3140" s="63"/>
      <c r="H3140" s="67"/>
      <c r="I3140" s="68"/>
      <c r="J3140" s="68"/>
      <c r="K3140" s="32"/>
      <c r="L3140" s="75">
        <v>3140</v>
      </c>
      <c r="M3140" s="75"/>
      <c r="N3140" s="70"/>
      <c r="O3140" s="77" t="s">
        <v>179</v>
      </c>
      <c r="P3140" s="79">
        <v>45000.7734837963</v>
      </c>
      <c r="Q3140" s="77" t="s">
        <v>4346</v>
      </c>
      <c r="R3140" s="77">
        <v>0</v>
      </c>
      <c r="S3140" s="77">
        <v>0</v>
      </c>
      <c r="T3140" s="77">
        <v>1</v>
      </c>
      <c r="U3140" s="77">
        <v>0</v>
      </c>
      <c r="V3140" s="77">
        <v>65</v>
      </c>
      <c r="W3140" s="82" t="s">
        <v>6743</v>
      </c>
      <c r="X3140" s="77"/>
      <c r="Y3140" s="77"/>
      <c r="Z3140" s="77"/>
      <c r="AA3140" s="77" t="s">
        <v>9465</v>
      </c>
      <c r="AB3140" s="77" t="s">
        <v>10130</v>
      </c>
      <c r="AC3140" s="82" t="s">
        <v>10147</v>
      </c>
      <c r="AD3140" s="77" t="s">
        <v>10184</v>
      </c>
      <c r="AE3140" s="80" t="str">
        <f>HYPERLINK("https://twitter.com/imdasmilhas/status/1636073231076425730")</f>
        <v>https://twitter.com/imdasmilhas/status/1636073231076425730</v>
      </c>
      <c r="AF3140" s="79">
        <v>45000.7734837963</v>
      </c>
      <c r="AG3140" s="85">
        <v>45000</v>
      </c>
      <c r="AH3140" s="82" t="s">
        <v>13159</v>
      </c>
      <c r="AI3140" s="77" t="b">
        <v>0</v>
      </c>
      <c r="AJ3140" s="77"/>
      <c r="AK3140" s="77"/>
      <c r="AL3140" s="77"/>
      <c r="AM3140" s="77"/>
      <c r="AN3140" s="77"/>
      <c r="AO3140" s="77"/>
      <c r="AP3140" s="77"/>
      <c r="AQ3140" s="77" t="s">
        <v>16108</v>
      </c>
      <c r="AR3140" s="77"/>
      <c r="AS3140" s="77"/>
      <c r="AT3140" s="77"/>
      <c r="AU3140" s="77"/>
      <c r="AV3140" s="80" t="str">
        <f>HYPERLINK("https://pbs.twimg.com/media/FrR_7u2WcAAP1Zw.jpg")</f>
        <v>https://pbs.twimg.com/media/FrR_7u2WcAAP1Zw.jpg</v>
      </c>
      <c r="AW3140" s="82" t="s">
        <v>19906</v>
      </c>
      <c r="AX3140" s="82" t="s">
        <v>19906</v>
      </c>
      <c r="AY3140" s="77"/>
      <c r="AZ3140" s="82" t="s">
        <v>20971</v>
      </c>
      <c r="BA3140" s="82" t="s">
        <v>20971</v>
      </c>
      <c r="BB3140" s="82" t="s">
        <v>20971</v>
      </c>
      <c r="BC3140" s="82" t="s">
        <v>19906</v>
      </c>
      <c r="BD3140" s="82" t="s">
        <v>21597</v>
      </c>
      <c r="BE3140" s="77"/>
      <c r="BF3140" s="77"/>
      <c r="BG3140" s="77"/>
      <c r="BH3140" s="77"/>
      <c r="BI3140" s="77"/>
    </row>
    <row r="3141" spans="1:61" x14ac:dyDescent="0.25">
      <c r="A3141" s="62" t="s">
        <v>1006</v>
      </c>
      <c r="B3141" s="62" t="s">
        <v>1006</v>
      </c>
      <c r="C3141" s="63"/>
      <c r="D3141" s="64"/>
      <c r="E3141" s="65"/>
      <c r="F3141" s="66"/>
      <c r="G3141" s="63"/>
      <c r="H3141" s="67"/>
      <c r="I3141" s="68"/>
      <c r="J3141" s="68"/>
      <c r="K3141" s="32"/>
      <c r="L3141" s="75">
        <v>3141</v>
      </c>
      <c r="M3141" s="75"/>
      <c r="N3141" s="70"/>
      <c r="O3141" s="77" t="s">
        <v>179</v>
      </c>
      <c r="P3141" s="79">
        <v>45000.771678240744</v>
      </c>
      <c r="Q3141" s="77" t="s">
        <v>4347</v>
      </c>
      <c r="R3141" s="77">
        <v>0</v>
      </c>
      <c r="S3141" s="77">
        <v>0</v>
      </c>
      <c r="T3141" s="77">
        <v>0</v>
      </c>
      <c r="U3141" s="77">
        <v>0</v>
      </c>
      <c r="V3141" s="77">
        <v>46</v>
      </c>
      <c r="W3141" s="82" t="s">
        <v>6744</v>
      </c>
      <c r="X3141" s="77"/>
      <c r="Y3141" s="77"/>
      <c r="Z3141" s="77"/>
      <c r="AA3141" s="77" t="s">
        <v>9466</v>
      </c>
      <c r="AB3141" s="77" t="s">
        <v>10130</v>
      </c>
      <c r="AC3141" s="82" t="s">
        <v>10147</v>
      </c>
      <c r="AD3141" s="77" t="s">
        <v>10184</v>
      </c>
      <c r="AE3141" s="80" t="str">
        <f>HYPERLINK("https://twitter.com/imdasmilhas/status/1636072576425373696")</f>
        <v>https://twitter.com/imdasmilhas/status/1636072576425373696</v>
      </c>
      <c r="AF3141" s="79">
        <v>45000.771678240744</v>
      </c>
      <c r="AG3141" s="85">
        <v>45000</v>
      </c>
      <c r="AH3141" s="82" t="s">
        <v>13160</v>
      </c>
      <c r="AI3141" s="77" t="b">
        <v>0</v>
      </c>
      <c r="AJ3141" s="77"/>
      <c r="AK3141" s="77"/>
      <c r="AL3141" s="77"/>
      <c r="AM3141" s="77"/>
      <c r="AN3141" s="77"/>
      <c r="AO3141" s="77"/>
      <c r="AP3141" s="77"/>
      <c r="AQ3141" s="77" t="s">
        <v>16109</v>
      </c>
      <c r="AR3141" s="77"/>
      <c r="AS3141" s="77"/>
      <c r="AT3141" s="77"/>
      <c r="AU3141" s="77"/>
      <c r="AV3141" s="80" t="str">
        <f>HYPERLINK("https://pbs.twimg.com/media/FrR_ViHXgAAsOHj.jpg")</f>
        <v>https://pbs.twimg.com/media/FrR_ViHXgAAsOHj.jpg</v>
      </c>
      <c r="AW3141" s="82" t="s">
        <v>19907</v>
      </c>
      <c r="AX3141" s="82" t="s">
        <v>19907</v>
      </c>
      <c r="AY3141" s="77"/>
      <c r="AZ3141" s="82" t="s">
        <v>20971</v>
      </c>
      <c r="BA3141" s="82" t="s">
        <v>20971</v>
      </c>
      <c r="BB3141" s="82" t="s">
        <v>20971</v>
      </c>
      <c r="BC3141" s="82" t="s">
        <v>19907</v>
      </c>
      <c r="BD3141" s="82" t="s">
        <v>21597</v>
      </c>
      <c r="BE3141" s="77"/>
      <c r="BF3141" s="77"/>
      <c r="BG3141" s="77"/>
      <c r="BH3141" s="77"/>
      <c r="BI3141" s="77"/>
    </row>
    <row r="3142" spans="1:61" x14ac:dyDescent="0.25">
      <c r="A3142" s="62" t="s">
        <v>1006</v>
      </c>
      <c r="B3142" s="62" t="s">
        <v>1006</v>
      </c>
      <c r="C3142" s="63"/>
      <c r="D3142" s="64"/>
      <c r="E3142" s="65"/>
      <c r="F3142" s="66"/>
      <c r="G3142" s="63"/>
      <c r="H3142" s="67"/>
      <c r="I3142" s="68"/>
      <c r="J3142" s="68"/>
      <c r="K3142" s="32"/>
      <c r="L3142" s="75">
        <v>3142</v>
      </c>
      <c r="M3142" s="75"/>
      <c r="N3142" s="70"/>
      <c r="O3142" s="77" t="s">
        <v>179</v>
      </c>
      <c r="P3142" s="79">
        <v>45000.771678240744</v>
      </c>
      <c r="Q3142" s="77" t="s">
        <v>4348</v>
      </c>
      <c r="R3142" s="77">
        <v>0</v>
      </c>
      <c r="S3142" s="77">
        <v>0</v>
      </c>
      <c r="T3142" s="77">
        <v>0</v>
      </c>
      <c r="U3142" s="77">
        <v>0</v>
      </c>
      <c r="V3142" s="77">
        <v>52</v>
      </c>
      <c r="W3142" s="82" t="s">
        <v>6745</v>
      </c>
      <c r="X3142" s="77"/>
      <c r="Y3142" s="77"/>
      <c r="Z3142" s="77"/>
      <c r="AA3142" s="77" t="s">
        <v>9467</v>
      </c>
      <c r="AB3142" s="77" t="s">
        <v>10130</v>
      </c>
      <c r="AC3142" s="82" t="s">
        <v>10147</v>
      </c>
      <c r="AD3142" s="77" t="s">
        <v>10184</v>
      </c>
      <c r="AE3142" s="80" t="str">
        <f>HYPERLINK("https://twitter.com/imdasmilhas/status/1636072576383348737")</f>
        <v>https://twitter.com/imdasmilhas/status/1636072576383348737</v>
      </c>
      <c r="AF3142" s="79">
        <v>45000.771678240744</v>
      </c>
      <c r="AG3142" s="85">
        <v>45000</v>
      </c>
      <c r="AH3142" s="82" t="s">
        <v>13160</v>
      </c>
      <c r="AI3142" s="77" t="b">
        <v>0</v>
      </c>
      <c r="AJ3142" s="77"/>
      <c r="AK3142" s="77"/>
      <c r="AL3142" s="77"/>
      <c r="AM3142" s="77"/>
      <c r="AN3142" s="77"/>
      <c r="AO3142" s="77"/>
      <c r="AP3142" s="77"/>
      <c r="AQ3142" s="77" t="s">
        <v>16110</v>
      </c>
      <c r="AR3142" s="77"/>
      <c r="AS3142" s="77"/>
      <c r="AT3142" s="77"/>
      <c r="AU3142" s="77"/>
      <c r="AV3142" s="80" t="str">
        <f>HYPERLINK("https://pbs.twimg.com/media/FrR_VmkXsAIB0AU.jpg")</f>
        <v>https://pbs.twimg.com/media/FrR_VmkXsAIB0AU.jpg</v>
      </c>
      <c r="AW3142" s="82" t="s">
        <v>19908</v>
      </c>
      <c r="AX3142" s="82" t="s">
        <v>19908</v>
      </c>
      <c r="AY3142" s="77"/>
      <c r="AZ3142" s="82" t="s">
        <v>20971</v>
      </c>
      <c r="BA3142" s="82" t="s">
        <v>20971</v>
      </c>
      <c r="BB3142" s="82" t="s">
        <v>20971</v>
      </c>
      <c r="BC3142" s="82" t="s">
        <v>19908</v>
      </c>
      <c r="BD3142" s="82" t="s">
        <v>21597</v>
      </c>
      <c r="BE3142" s="77"/>
      <c r="BF3142" s="77"/>
      <c r="BG3142" s="77"/>
      <c r="BH3142" s="77"/>
      <c r="BI3142" s="77"/>
    </row>
    <row r="3143" spans="1:61" x14ac:dyDescent="0.25">
      <c r="A3143" s="62" t="s">
        <v>1006</v>
      </c>
      <c r="B3143" s="62" t="s">
        <v>1006</v>
      </c>
      <c r="C3143" s="63"/>
      <c r="D3143" s="64"/>
      <c r="E3143" s="65"/>
      <c r="F3143" s="66"/>
      <c r="G3143" s="63"/>
      <c r="H3143" s="67"/>
      <c r="I3143" s="68"/>
      <c r="J3143" s="68"/>
      <c r="K3143" s="32"/>
      <c r="L3143" s="75">
        <v>3143</v>
      </c>
      <c r="M3143" s="75"/>
      <c r="N3143" s="70"/>
      <c r="O3143" s="77" t="s">
        <v>179</v>
      </c>
      <c r="P3143" s="79">
        <v>45000.768784722219</v>
      </c>
      <c r="Q3143" s="77" t="s">
        <v>4349</v>
      </c>
      <c r="R3143" s="77">
        <v>0</v>
      </c>
      <c r="S3143" s="77">
        <v>0</v>
      </c>
      <c r="T3143" s="77">
        <v>0</v>
      </c>
      <c r="U3143" s="77">
        <v>0</v>
      </c>
      <c r="V3143" s="77">
        <v>73</v>
      </c>
      <c r="W3143" s="82" t="s">
        <v>6746</v>
      </c>
      <c r="X3143" s="77"/>
      <c r="Y3143" s="77"/>
      <c r="Z3143" s="77"/>
      <c r="AA3143" s="77" t="s">
        <v>9468</v>
      </c>
      <c r="AB3143" s="77" t="s">
        <v>10130</v>
      </c>
      <c r="AC3143" s="82" t="s">
        <v>10147</v>
      </c>
      <c r="AD3143" s="77" t="s">
        <v>10184</v>
      </c>
      <c r="AE3143" s="80" t="str">
        <f>HYPERLINK("https://twitter.com/imdasmilhas/status/1636071528981749760")</f>
        <v>https://twitter.com/imdasmilhas/status/1636071528981749760</v>
      </c>
      <c r="AF3143" s="79">
        <v>45000.768784722219</v>
      </c>
      <c r="AG3143" s="85">
        <v>45000</v>
      </c>
      <c r="AH3143" s="82" t="s">
        <v>13161</v>
      </c>
      <c r="AI3143" s="77" t="b">
        <v>0</v>
      </c>
      <c r="AJ3143" s="77"/>
      <c r="AK3143" s="77"/>
      <c r="AL3143" s="77"/>
      <c r="AM3143" s="77"/>
      <c r="AN3143" s="77"/>
      <c r="AO3143" s="77"/>
      <c r="AP3143" s="77"/>
      <c r="AQ3143" s="77" t="s">
        <v>16111</v>
      </c>
      <c r="AR3143" s="77"/>
      <c r="AS3143" s="77"/>
      <c r="AT3143" s="77"/>
      <c r="AU3143" s="77"/>
      <c r="AV3143" s="80" t="str">
        <f>HYPERLINK("https://pbs.twimg.com/media/FrR-Ym-XoAEW7yS.jpg")</f>
        <v>https://pbs.twimg.com/media/FrR-Ym-XoAEW7yS.jpg</v>
      </c>
      <c r="AW3143" s="82" t="s">
        <v>19909</v>
      </c>
      <c r="AX3143" s="82" t="s">
        <v>19909</v>
      </c>
      <c r="AY3143" s="77"/>
      <c r="AZ3143" s="82" t="s">
        <v>20971</v>
      </c>
      <c r="BA3143" s="82" t="s">
        <v>20971</v>
      </c>
      <c r="BB3143" s="82" t="s">
        <v>20971</v>
      </c>
      <c r="BC3143" s="82" t="s">
        <v>19909</v>
      </c>
      <c r="BD3143" s="82" t="s">
        <v>21597</v>
      </c>
      <c r="BE3143" s="77"/>
      <c r="BF3143" s="77"/>
      <c r="BG3143" s="77"/>
      <c r="BH3143" s="77"/>
      <c r="BI3143" s="77"/>
    </row>
    <row r="3144" spans="1:61" x14ac:dyDescent="0.25">
      <c r="A3144" s="62" t="s">
        <v>1006</v>
      </c>
      <c r="B3144" s="62" t="s">
        <v>1006</v>
      </c>
      <c r="C3144" s="63"/>
      <c r="D3144" s="64"/>
      <c r="E3144" s="65"/>
      <c r="F3144" s="66"/>
      <c r="G3144" s="63"/>
      <c r="H3144" s="67"/>
      <c r="I3144" s="68"/>
      <c r="J3144" s="68"/>
      <c r="K3144" s="32"/>
      <c r="L3144" s="75">
        <v>3144</v>
      </c>
      <c r="M3144" s="75"/>
      <c r="N3144" s="70"/>
      <c r="O3144" s="77" t="s">
        <v>179</v>
      </c>
      <c r="P3144" s="79">
        <v>45110.719965277778</v>
      </c>
      <c r="Q3144" s="77" t="s">
        <v>4350</v>
      </c>
      <c r="R3144" s="77">
        <v>0</v>
      </c>
      <c r="S3144" s="77">
        <v>0</v>
      </c>
      <c r="T3144" s="77">
        <v>0</v>
      </c>
      <c r="U3144" s="77">
        <v>0</v>
      </c>
      <c r="V3144" s="77">
        <v>140</v>
      </c>
      <c r="W3144" s="82" t="s">
        <v>6740</v>
      </c>
      <c r="X3144" s="77"/>
      <c r="Y3144" s="77"/>
      <c r="Z3144" s="77"/>
      <c r="AA3144" s="77" t="s">
        <v>9469</v>
      </c>
      <c r="AB3144" s="77" t="s">
        <v>10130</v>
      </c>
      <c r="AC3144" s="82" t="s">
        <v>10147</v>
      </c>
      <c r="AD3144" s="77" t="s">
        <v>10184</v>
      </c>
      <c r="AE3144" s="80" t="str">
        <f>HYPERLINK("https://twitter.com/imdasmilhas/status/1675916501923115016")</f>
        <v>https://twitter.com/imdasmilhas/status/1675916501923115016</v>
      </c>
      <c r="AF3144" s="79">
        <v>45110.719965277778</v>
      </c>
      <c r="AG3144" s="85">
        <v>45110</v>
      </c>
      <c r="AH3144" s="82" t="s">
        <v>13162</v>
      </c>
      <c r="AI3144" s="77" t="b">
        <v>0</v>
      </c>
      <c r="AJ3144" s="77"/>
      <c r="AK3144" s="77"/>
      <c r="AL3144" s="77"/>
      <c r="AM3144" s="77"/>
      <c r="AN3144" s="77"/>
      <c r="AO3144" s="77"/>
      <c r="AP3144" s="77"/>
      <c r="AQ3144" s="77" t="s">
        <v>16112</v>
      </c>
      <c r="AR3144" s="77"/>
      <c r="AS3144" s="77"/>
      <c r="AT3144" s="77"/>
      <c r="AU3144" s="77"/>
      <c r="AV3144" s="80" t="str">
        <f>HYPERLINK("https://pbs.twimg.com/media/F0INLUwXsBUtFP2.jpg")</f>
        <v>https://pbs.twimg.com/media/F0INLUwXsBUtFP2.jpg</v>
      </c>
      <c r="AW3144" s="82" t="s">
        <v>19910</v>
      </c>
      <c r="AX3144" s="82" t="s">
        <v>19910</v>
      </c>
      <c r="AY3144" s="77"/>
      <c r="AZ3144" s="82" t="s">
        <v>20971</v>
      </c>
      <c r="BA3144" s="82" t="s">
        <v>20971</v>
      </c>
      <c r="BB3144" s="82" t="s">
        <v>20971</v>
      </c>
      <c r="BC3144" s="82" t="s">
        <v>19910</v>
      </c>
      <c r="BD3144" s="82" t="s">
        <v>21597</v>
      </c>
      <c r="BE3144" s="77"/>
      <c r="BF3144" s="77"/>
      <c r="BG3144" s="77"/>
      <c r="BH3144" s="77"/>
      <c r="BI3144" s="77"/>
    </row>
    <row r="3145" spans="1:61" x14ac:dyDescent="0.25">
      <c r="A3145" s="62" t="s">
        <v>1006</v>
      </c>
      <c r="B3145" s="62" t="s">
        <v>1006</v>
      </c>
      <c r="C3145" s="63"/>
      <c r="D3145" s="64"/>
      <c r="E3145" s="65"/>
      <c r="F3145" s="66"/>
      <c r="G3145" s="63"/>
      <c r="H3145" s="67"/>
      <c r="I3145" s="68"/>
      <c r="J3145" s="68"/>
      <c r="K3145" s="32"/>
      <c r="L3145" s="75">
        <v>3145</v>
      </c>
      <c r="M3145" s="75"/>
      <c r="N3145" s="70"/>
      <c r="O3145" s="77" t="s">
        <v>179</v>
      </c>
      <c r="P3145" s="79">
        <v>45110.719259259262</v>
      </c>
      <c r="Q3145" s="77" t="s">
        <v>4351</v>
      </c>
      <c r="R3145" s="77">
        <v>0</v>
      </c>
      <c r="S3145" s="77">
        <v>0</v>
      </c>
      <c r="T3145" s="77">
        <v>0</v>
      </c>
      <c r="U3145" s="77">
        <v>0</v>
      </c>
      <c r="V3145" s="77">
        <v>97</v>
      </c>
      <c r="W3145" s="82" t="s">
        <v>6740</v>
      </c>
      <c r="X3145" s="77"/>
      <c r="Y3145" s="77"/>
      <c r="Z3145" s="77"/>
      <c r="AA3145" s="77" t="s">
        <v>9470</v>
      </c>
      <c r="AB3145" s="77" t="s">
        <v>10130</v>
      </c>
      <c r="AC3145" s="82" t="s">
        <v>10147</v>
      </c>
      <c r="AD3145" s="77" t="s">
        <v>10184</v>
      </c>
      <c r="AE3145" s="80" t="str">
        <f>HYPERLINK("https://twitter.com/imdasmilhas/status/1675916245059743748")</f>
        <v>https://twitter.com/imdasmilhas/status/1675916245059743748</v>
      </c>
      <c r="AF3145" s="79">
        <v>45110.719259259262</v>
      </c>
      <c r="AG3145" s="85">
        <v>45110</v>
      </c>
      <c r="AH3145" s="82" t="s">
        <v>13163</v>
      </c>
      <c r="AI3145" s="77" t="b">
        <v>0</v>
      </c>
      <c r="AJ3145" s="77"/>
      <c r="AK3145" s="77"/>
      <c r="AL3145" s="77"/>
      <c r="AM3145" s="77"/>
      <c r="AN3145" s="77"/>
      <c r="AO3145" s="77"/>
      <c r="AP3145" s="77"/>
      <c r="AQ3145" s="77" t="s">
        <v>16113</v>
      </c>
      <c r="AR3145" s="77"/>
      <c r="AS3145" s="77"/>
      <c r="AT3145" s="77"/>
      <c r="AU3145" s="77"/>
      <c r="AV3145" s="80" t="str">
        <f>HYPERLINK("https://pbs.twimg.com/media/F0IM8V8XsBoTW4W.jpg")</f>
        <v>https://pbs.twimg.com/media/F0IM8V8XsBoTW4W.jpg</v>
      </c>
      <c r="AW3145" s="82" t="s">
        <v>19911</v>
      </c>
      <c r="AX3145" s="82" t="s">
        <v>19911</v>
      </c>
      <c r="AY3145" s="77"/>
      <c r="AZ3145" s="82" t="s">
        <v>20971</v>
      </c>
      <c r="BA3145" s="82" t="s">
        <v>20971</v>
      </c>
      <c r="BB3145" s="82" t="s">
        <v>20971</v>
      </c>
      <c r="BC3145" s="82" t="s">
        <v>19911</v>
      </c>
      <c r="BD3145" s="82" t="s">
        <v>21597</v>
      </c>
      <c r="BE3145" s="77"/>
      <c r="BF3145" s="77"/>
      <c r="BG3145" s="77"/>
      <c r="BH3145" s="77"/>
      <c r="BI3145" s="77"/>
    </row>
    <row r="3146" spans="1:61" x14ac:dyDescent="0.25">
      <c r="A3146" s="62" t="s">
        <v>1006</v>
      </c>
      <c r="B3146" s="62" t="s">
        <v>1006</v>
      </c>
      <c r="C3146" s="63"/>
      <c r="D3146" s="64"/>
      <c r="E3146" s="65"/>
      <c r="F3146" s="66"/>
      <c r="G3146" s="63"/>
      <c r="H3146" s="67"/>
      <c r="I3146" s="68"/>
      <c r="J3146" s="68"/>
      <c r="K3146" s="32"/>
      <c r="L3146" s="75">
        <v>3146</v>
      </c>
      <c r="M3146" s="75"/>
      <c r="N3146" s="70"/>
      <c r="O3146" s="77" t="s">
        <v>179</v>
      </c>
      <c r="P3146" s="79">
        <v>45110.718900462962</v>
      </c>
      <c r="Q3146" s="77" t="s">
        <v>4352</v>
      </c>
      <c r="R3146" s="77">
        <v>0</v>
      </c>
      <c r="S3146" s="77">
        <v>0</v>
      </c>
      <c r="T3146" s="77">
        <v>0</v>
      </c>
      <c r="U3146" s="77">
        <v>0</v>
      </c>
      <c r="V3146" s="77">
        <v>184</v>
      </c>
      <c r="W3146" s="82" t="s">
        <v>6740</v>
      </c>
      <c r="X3146" s="77"/>
      <c r="Y3146" s="77"/>
      <c r="Z3146" s="77"/>
      <c r="AA3146" s="77" t="s">
        <v>9471</v>
      </c>
      <c r="AB3146" s="77" t="s">
        <v>10130</v>
      </c>
      <c r="AC3146" s="82" t="s">
        <v>10147</v>
      </c>
      <c r="AD3146" s="77" t="s">
        <v>10184</v>
      </c>
      <c r="AE3146" s="80" t="str">
        <f>HYPERLINK("https://twitter.com/imdasmilhas/status/1675916116273639451")</f>
        <v>https://twitter.com/imdasmilhas/status/1675916116273639451</v>
      </c>
      <c r="AF3146" s="79">
        <v>45110.718900462962</v>
      </c>
      <c r="AG3146" s="85">
        <v>45110</v>
      </c>
      <c r="AH3146" s="82" t="s">
        <v>13164</v>
      </c>
      <c r="AI3146" s="77" t="b">
        <v>0</v>
      </c>
      <c r="AJ3146" s="77"/>
      <c r="AK3146" s="77"/>
      <c r="AL3146" s="77"/>
      <c r="AM3146" s="77"/>
      <c r="AN3146" s="77"/>
      <c r="AO3146" s="77"/>
      <c r="AP3146" s="77"/>
      <c r="AQ3146" s="77" t="s">
        <v>16114</v>
      </c>
      <c r="AR3146" s="77"/>
      <c r="AS3146" s="77"/>
      <c r="AT3146" s="77"/>
      <c r="AU3146" s="77"/>
      <c r="AV3146" s="80" t="str">
        <f>HYPERLINK("https://pbs.twimg.com/media/F0IM03hXsCo5_RM.jpg")</f>
        <v>https://pbs.twimg.com/media/F0IM03hXsCo5_RM.jpg</v>
      </c>
      <c r="AW3146" s="82" t="s">
        <v>19912</v>
      </c>
      <c r="AX3146" s="82" t="s">
        <v>19912</v>
      </c>
      <c r="AY3146" s="77"/>
      <c r="AZ3146" s="82" t="s">
        <v>20971</v>
      </c>
      <c r="BA3146" s="82" t="s">
        <v>20971</v>
      </c>
      <c r="BB3146" s="82" t="s">
        <v>20971</v>
      </c>
      <c r="BC3146" s="82" t="s">
        <v>19912</v>
      </c>
      <c r="BD3146" s="82" t="s">
        <v>21597</v>
      </c>
      <c r="BE3146" s="77"/>
      <c r="BF3146" s="77"/>
      <c r="BG3146" s="77"/>
      <c r="BH3146" s="77"/>
      <c r="BI3146" s="77"/>
    </row>
    <row r="3147" spans="1:61" x14ac:dyDescent="0.25">
      <c r="A3147" s="62" t="s">
        <v>1006</v>
      </c>
      <c r="B3147" s="62" t="s">
        <v>1006</v>
      </c>
      <c r="C3147" s="63"/>
      <c r="D3147" s="64"/>
      <c r="E3147" s="65"/>
      <c r="F3147" s="66"/>
      <c r="G3147" s="63"/>
      <c r="H3147" s="67"/>
      <c r="I3147" s="68"/>
      <c r="J3147" s="68"/>
      <c r="K3147" s="32"/>
      <c r="L3147" s="75">
        <v>3147</v>
      </c>
      <c r="M3147" s="75"/>
      <c r="N3147" s="70"/>
      <c r="O3147" s="77" t="s">
        <v>179</v>
      </c>
      <c r="P3147" s="79">
        <v>45089.804097222222</v>
      </c>
      <c r="Q3147" s="77" t="s">
        <v>4353</v>
      </c>
      <c r="R3147" s="77">
        <v>0</v>
      </c>
      <c r="S3147" s="77">
        <v>0</v>
      </c>
      <c r="T3147" s="77">
        <v>0</v>
      </c>
      <c r="U3147" s="77">
        <v>0</v>
      </c>
      <c r="V3147" s="77">
        <v>91</v>
      </c>
      <c r="W3147" s="82" t="s">
        <v>6740</v>
      </c>
      <c r="X3147" s="77"/>
      <c r="Y3147" s="77"/>
      <c r="Z3147" s="77"/>
      <c r="AA3147" s="77" t="s">
        <v>9472</v>
      </c>
      <c r="AB3147" s="77" t="s">
        <v>10130</v>
      </c>
      <c r="AC3147" s="82" t="s">
        <v>10147</v>
      </c>
      <c r="AD3147" s="77" t="s">
        <v>10184</v>
      </c>
      <c r="AE3147" s="80" t="str">
        <f>HYPERLINK("https://twitter.com/imdasmilhas/status/1668336844319125507")</f>
        <v>https://twitter.com/imdasmilhas/status/1668336844319125507</v>
      </c>
      <c r="AF3147" s="79">
        <v>45089.804097222222</v>
      </c>
      <c r="AG3147" s="85">
        <v>45089</v>
      </c>
      <c r="AH3147" s="82" t="s">
        <v>13165</v>
      </c>
      <c r="AI3147" s="77" t="b">
        <v>0</v>
      </c>
      <c r="AJ3147" s="77"/>
      <c r="AK3147" s="77"/>
      <c r="AL3147" s="77"/>
      <c r="AM3147" s="77"/>
      <c r="AN3147" s="77"/>
      <c r="AO3147" s="77"/>
      <c r="AP3147" s="77"/>
      <c r="AQ3147" s="77" t="s">
        <v>16115</v>
      </c>
      <c r="AR3147" s="77"/>
      <c r="AS3147" s="77"/>
      <c r="AT3147" s="77"/>
      <c r="AU3147" s="77"/>
      <c r="AV3147" s="80" t="str">
        <f>HYPERLINK("https://pbs.twimg.com/media/FycfhKVXoAQMS2S.jpg")</f>
        <v>https://pbs.twimg.com/media/FycfhKVXoAQMS2S.jpg</v>
      </c>
      <c r="AW3147" s="82" t="s">
        <v>19913</v>
      </c>
      <c r="AX3147" s="82" t="s">
        <v>19913</v>
      </c>
      <c r="AY3147" s="77"/>
      <c r="AZ3147" s="82" t="s">
        <v>20971</v>
      </c>
      <c r="BA3147" s="82" t="s">
        <v>20971</v>
      </c>
      <c r="BB3147" s="82" t="s">
        <v>20971</v>
      </c>
      <c r="BC3147" s="82" t="s">
        <v>19913</v>
      </c>
      <c r="BD3147" s="82" t="s">
        <v>21597</v>
      </c>
      <c r="BE3147" s="77"/>
      <c r="BF3147" s="77"/>
      <c r="BG3147" s="77"/>
      <c r="BH3147" s="77"/>
      <c r="BI3147" s="77"/>
    </row>
    <row r="3148" spans="1:61" x14ac:dyDescent="0.25">
      <c r="A3148" s="62" t="s">
        <v>1006</v>
      </c>
      <c r="B3148" s="62" t="s">
        <v>1006</v>
      </c>
      <c r="C3148" s="63"/>
      <c r="D3148" s="64"/>
      <c r="E3148" s="65"/>
      <c r="F3148" s="66"/>
      <c r="G3148" s="63"/>
      <c r="H3148" s="67"/>
      <c r="I3148" s="68"/>
      <c r="J3148" s="68"/>
      <c r="K3148" s="32"/>
      <c r="L3148" s="75">
        <v>3148</v>
      </c>
      <c r="M3148" s="75"/>
      <c r="N3148" s="70"/>
      <c r="O3148" s="77" t="s">
        <v>179</v>
      </c>
      <c r="P3148" s="79">
        <v>45089.803726851853</v>
      </c>
      <c r="Q3148" s="77" t="s">
        <v>4354</v>
      </c>
      <c r="R3148" s="77">
        <v>0</v>
      </c>
      <c r="S3148" s="77">
        <v>0</v>
      </c>
      <c r="T3148" s="77">
        <v>0</v>
      </c>
      <c r="U3148" s="77">
        <v>0</v>
      </c>
      <c r="V3148" s="77">
        <v>71</v>
      </c>
      <c r="W3148" s="82" t="s">
        <v>6740</v>
      </c>
      <c r="X3148" s="77"/>
      <c r="Y3148" s="77"/>
      <c r="Z3148" s="77"/>
      <c r="AA3148" s="77" t="s">
        <v>9473</v>
      </c>
      <c r="AB3148" s="77" t="s">
        <v>10130</v>
      </c>
      <c r="AC3148" s="82" t="s">
        <v>10147</v>
      </c>
      <c r="AD3148" s="77" t="s">
        <v>10184</v>
      </c>
      <c r="AE3148" s="80" t="str">
        <f>HYPERLINK("https://twitter.com/imdasmilhas/status/1668336711024140289")</f>
        <v>https://twitter.com/imdasmilhas/status/1668336711024140289</v>
      </c>
      <c r="AF3148" s="79">
        <v>45089.803726851853</v>
      </c>
      <c r="AG3148" s="85">
        <v>45089</v>
      </c>
      <c r="AH3148" s="82" t="s">
        <v>13166</v>
      </c>
      <c r="AI3148" s="77" t="b">
        <v>0</v>
      </c>
      <c r="AJ3148" s="77"/>
      <c r="AK3148" s="77"/>
      <c r="AL3148" s="77"/>
      <c r="AM3148" s="77"/>
      <c r="AN3148" s="77"/>
      <c r="AO3148" s="77"/>
      <c r="AP3148" s="77"/>
      <c r="AQ3148" s="77" t="s">
        <v>16116</v>
      </c>
      <c r="AR3148" s="77"/>
      <c r="AS3148" s="77"/>
      <c r="AT3148" s="77"/>
      <c r="AU3148" s="77"/>
      <c r="AV3148" s="80" t="str">
        <f>HYPERLINK("https://pbs.twimg.com/media/FycfZbvWYA8pWdW.jpg")</f>
        <v>https://pbs.twimg.com/media/FycfZbvWYA8pWdW.jpg</v>
      </c>
      <c r="AW3148" s="82" t="s">
        <v>19914</v>
      </c>
      <c r="AX3148" s="82" t="s">
        <v>19914</v>
      </c>
      <c r="AY3148" s="77"/>
      <c r="AZ3148" s="82" t="s">
        <v>20971</v>
      </c>
      <c r="BA3148" s="82" t="s">
        <v>20971</v>
      </c>
      <c r="BB3148" s="82" t="s">
        <v>20971</v>
      </c>
      <c r="BC3148" s="82" t="s">
        <v>19914</v>
      </c>
      <c r="BD3148" s="82" t="s">
        <v>21597</v>
      </c>
      <c r="BE3148" s="77"/>
      <c r="BF3148" s="77"/>
      <c r="BG3148" s="77"/>
      <c r="BH3148" s="77"/>
      <c r="BI3148" s="77"/>
    </row>
    <row r="3149" spans="1:61" x14ac:dyDescent="0.25">
      <c r="A3149" s="62" t="s">
        <v>1006</v>
      </c>
      <c r="B3149" s="62" t="s">
        <v>1006</v>
      </c>
      <c r="C3149" s="63"/>
      <c r="D3149" s="64"/>
      <c r="E3149" s="65"/>
      <c r="F3149" s="66"/>
      <c r="G3149" s="63"/>
      <c r="H3149" s="67"/>
      <c r="I3149" s="68"/>
      <c r="J3149" s="68"/>
      <c r="K3149" s="32"/>
      <c r="L3149" s="75">
        <v>3149</v>
      </c>
      <c r="M3149" s="75"/>
      <c r="N3149" s="70"/>
      <c r="O3149" s="77" t="s">
        <v>179</v>
      </c>
      <c r="P3149" s="79">
        <v>45089.803194444445</v>
      </c>
      <c r="Q3149" s="77" t="s">
        <v>4355</v>
      </c>
      <c r="R3149" s="77">
        <v>0</v>
      </c>
      <c r="S3149" s="77">
        <v>0</v>
      </c>
      <c r="T3149" s="77">
        <v>0</v>
      </c>
      <c r="U3149" s="77">
        <v>0</v>
      </c>
      <c r="V3149" s="77">
        <v>58</v>
      </c>
      <c r="W3149" s="82" t="s">
        <v>6741</v>
      </c>
      <c r="X3149" s="77"/>
      <c r="Y3149" s="77"/>
      <c r="Z3149" s="77"/>
      <c r="AA3149" s="77" t="s">
        <v>9474</v>
      </c>
      <c r="AB3149" s="77" t="s">
        <v>10130</v>
      </c>
      <c r="AC3149" s="82" t="s">
        <v>10147</v>
      </c>
      <c r="AD3149" s="77" t="s">
        <v>10184</v>
      </c>
      <c r="AE3149" s="80" t="str">
        <f>HYPERLINK("https://twitter.com/imdasmilhas/status/1668336517683503109")</f>
        <v>https://twitter.com/imdasmilhas/status/1668336517683503109</v>
      </c>
      <c r="AF3149" s="79">
        <v>45089.803194444445</v>
      </c>
      <c r="AG3149" s="85">
        <v>45089</v>
      </c>
      <c r="AH3149" s="82" t="s">
        <v>13167</v>
      </c>
      <c r="AI3149" s="77" t="b">
        <v>0</v>
      </c>
      <c r="AJ3149" s="77"/>
      <c r="AK3149" s="77"/>
      <c r="AL3149" s="77"/>
      <c r="AM3149" s="77"/>
      <c r="AN3149" s="77"/>
      <c r="AO3149" s="77"/>
      <c r="AP3149" s="77"/>
      <c r="AQ3149" s="77" t="s">
        <v>16117</v>
      </c>
      <c r="AR3149" s="77"/>
      <c r="AS3149" s="77"/>
      <c r="AT3149" s="77"/>
      <c r="AU3149" s="77"/>
      <c r="AV3149" s="80" t="str">
        <f>HYPERLINK("https://pbs.twimg.com/media/FycfOKvX0AAVqqG.jpg")</f>
        <v>https://pbs.twimg.com/media/FycfOKvX0AAVqqG.jpg</v>
      </c>
      <c r="AW3149" s="82" t="s">
        <v>19915</v>
      </c>
      <c r="AX3149" s="82" t="s">
        <v>19915</v>
      </c>
      <c r="AY3149" s="77"/>
      <c r="AZ3149" s="82" t="s">
        <v>20971</v>
      </c>
      <c r="BA3149" s="82" t="s">
        <v>20971</v>
      </c>
      <c r="BB3149" s="82" t="s">
        <v>20971</v>
      </c>
      <c r="BC3149" s="82" t="s">
        <v>19915</v>
      </c>
      <c r="BD3149" s="82" t="s">
        <v>21597</v>
      </c>
      <c r="BE3149" s="77"/>
      <c r="BF3149" s="77"/>
      <c r="BG3149" s="77"/>
      <c r="BH3149" s="77"/>
      <c r="BI3149" s="77"/>
    </row>
    <row r="3150" spans="1:61" x14ac:dyDescent="0.25">
      <c r="A3150" s="62" t="s">
        <v>1006</v>
      </c>
      <c r="B3150" s="62" t="s">
        <v>1006</v>
      </c>
      <c r="C3150" s="63"/>
      <c r="D3150" s="64"/>
      <c r="E3150" s="65"/>
      <c r="F3150" s="66"/>
      <c r="G3150" s="63"/>
      <c r="H3150" s="67"/>
      <c r="I3150" s="68"/>
      <c r="J3150" s="68"/>
      <c r="K3150" s="32"/>
      <c r="L3150" s="75">
        <v>3150</v>
      </c>
      <c r="M3150" s="75"/>
      <c r="N3150" s="70"/>
      <c r="O3150" s="77" t="s">
        <v>179</v>
      </c>
      <c r="P3150" s="79">
        <v>45089.802766203706</v>
      </c>
      <c r="Q3150" s="77" t="s">
        <v>4356</v>
      </c>
      <c r="R3150" s="77">
        <v>0</v>
      </c>
      <c r="S3150" s="77">
        <v>1</v>
      </c>
      <c r="T3150" s="77">
        <v>0</v>
      </c>
      <c r="U3150" s="77">
        <v>0</v>
      </c>
      <c r="V3150" s="77">
        <v>88</v>
      </c>
      <c r="W3150" s="82" t="s">
        <v>6742</v>
      </c>
      <c r="X3150" s="77"/>
      <c r="Y3150" s="77"/>
      <c r="Z3150" s="77"/>
      <c r="AA3150" s="77" t="s">
        <v>9475</v>
      </c>
      <c r="AB3150" s="77" t="s">
        <v>10130</v>
      </c>
      <c r="AC3150" s="82" t="s">
        <v>10147</v>
      </c>
      <c r="AD3150" s="77" t="s">
        <v>10184</v>
      </c>
      <c r="AE3150" s="80" t="str">
        <f>HYPERLINK("https://twitter.com/imdasmilhas/status/1668336361697337345")</f>
        <v>https://twitter.com/imdasmilhas/status/1668336361697337345</v>
      </c>
      <c r="AF3150" s="79">
        <v>45089.802766203706</v>
      </c>
      <c r="AG3150" s="85">
        <v>45089</v>
      </c>
      <c r="AH3150" s="82" t="s">
        <v>13168</v>
      </c>
      <c r="AI3150" s="77" t="b">
        <v>0</v>
      </c>
      <c r="AJ3150" s="77"/>
      <c r="AK3150" s="77"/>
      <c r="AL3150" s="77"/>
      <c r="AM3150" s="77"/>
      <c r="AN3150" s="77"/>
      <c r="AO3150" s="77"/>
      <c r="AP3150" s="77"/>
      <c r="AQ3150" s="77" t="s">
        <v>16118</v>
      </c>
      <c r="AR3150" s="77"/>
      <c r="AS3150" s="77"/>
      <c r="AT3150" s="77"/>
      <c r="AU3150" s="77"/>
      <c r="AV3150" s="80" t="str">
        <f>HYPERLINK("https://pbs.twimg.com/media/FycfFF7WcAAIO9k.jpg")</f>
        <v>https://pbs.twimg.com/media/FycfFF7WcAAIO9k.jpg</v>
      </c>
      <c r="AW3150" s="82" t="s">
        <v>19916</v>
      </c>
      <c r="AX3150" s="82" t="s">
        <v>19916</v>
      </c>
      <c r="AY3150" s="77"/>
      <c r="AZ3150" s="82" t="s">
        <v>20971</v>
      </c>
      <c r="BA3150" s="82" t="s">
        <v>20971</v>
      </c>
      <c r="BB3150" s="82" t="s">
        <v>20971</v>
      </c>
      <c r="BC3150" s="82" t="s">
        <v>19916</v>
      </c>
      <c r="BD3150" s="82" t="s">
        <v>21597</v>
      </c>
      <c r="BE3150" s="77"/>
      <c r="BF3150" s="77"/>
      <c r="BG3150" s="77"/>
      <c r="BH3150" s="77"/>
      <c r="BI3150" s="77"/>
    </row>
    <row r="3151" spans="1:61" x14ac:dyDescent="0.25">
      <c r="A3151" s="62" t="s">
        <v>1006</v>
      </c>
      <c r="B3151" s="62" t="s">
        <v>1006</v>
      </c>
      <c r="C3151" s="63"/>
      <c r="D3151" s="64"/>
      <c r="E3151" s="65"/>
      <c r="F3151" s="66"/>
      <c r="G3151" s="63"/>
      <c r="H3151" s="67"/>
      <c r="I3151" s="68"/>
      <c r="J3151" s="68"/>
      <c r="K3151" s="32"/>
      <c r="L3151" s="75">
        <v>3151</v>
      </c>
      <c r="M3151" s="75"/>
      <c r="N3151" s="70"/>
      <c r="O3151" s="77" t="s">
        <v>179</v>
      </c>
      <c r="P3151" s="79">
        <v>45089.801921296297</v>
      </c>
      <c r="Q3151" s="77" t="s">
        <v>4357</v>
      </c>
      <c r="R3151" s="77">
        <v>0</v>
      </c>
      <c r="S3151" s="77">
        <v>0</v>
      </c>
      <c r="T3151" s="77">
        <v>0</v>
      </c>
      <c r="U3151" s="77">
        <v>0</v>
      </c>
      <c r="V3151" s="77">
        <v>90</v>
      </c>
      <c r="W3151" s="82" t="s">
        <v>6740</v>
      </c>
      <c r="X3151" s="77"/>
      <c r="Y3151" s="77"/>
      <c r="Z3151" s="77"/>
      <c r="AA3151" s="77" t="s">
        <v>9476</v>
      </c>
      <c r="AB3151" s="77" t="s">
        <v>10130</v>
      </c>
      <c r="AC3151" s="82" t="s">
        <v>10147</v>
      </c>
      <c r="AD3151" s="77" t="s">
        <v>10184</v>
      </c>
      <c r="AE3151" s="80" t="str">
        <f>HYPERLINK("https://twitter.com/imdasmilhas/status/1668336054825254915")</f>
        <v>https://twitter.com/imdasmilhas/status/1668336054825254915</v>
      </c>
      <c r="AF3151" s="79">
        <v>45089.801921296297</v>
      </c>
      <c r="AG3151" s="85">
        <v>45089</v>
      </c>
      <c r="AH3151" s="82" t="s">
        <v>13169</v>
      </c>
      <c r="AI3151" s="77" t="b">
        <v>0</v>
      </c>
      <c r="AJ3151" s="77"/>
      <c r="AK3151" s="77"/>
      <c r="AL3151" s="77"/>
      <c r="AM3151" s="77"/>
      <c r="AN3151" s="77"/>
      <c r="AO3151" s="77"/>
      <c r="AP3151" s="77"/>
      <c r="AQ3151" s="77" t="s">
        <v>16119</v>
      </c>
      <c r="AR3151" s="77"/>
      <c r="AS3151" s="77"/>
      <c r="AT3151" s="77"/>
      <c r="AU3151" s="77"/>
      <c r="AV3151" s="80" t="str">
        <f>HYPERLINK("https://pbs.twimg.com/media/FycezN5WYAM3Kgr.jpg")</f>
        <v>https://pbs.twimg.com/media/FycezN5WYAM3Kgr.jpg</v>
      </c>
      <c r="AW3151" s="82" t="s">
        <v>19917</v>
      </c>
      <c r="AX3151" s="82" t="s">
        <v>19917</v>
      </c>
      <c r="AY3151" s="77"/>
      <c r="AZ3151" s="82" t="s">
        <v>20971</v>
      </c>
      <c r="BA3151" s="82" t="s">
        <v>20971</v>
      </c>
      <c r="BB3151" s="82" t="s">
        <v>20971</v>
      </c>
      <c r="BC3151" s="82" t="s">
        <v>19917</v>
      </c>
      <c r="BD3151" s="82" t="s">
        <v>21597</v>
      </c>
      <c r="BE3151" s="77"/>
      <c r="BF3151" s="77"/>
      <c r="BG3151" s="77"/>
      <c r="BH3151" s="77"/>
      <c r="BI3151" s="77"/>
    </row>
    <row r="3152" spans="1:61" x14ac:dyDescent="0.25">
      <c r="A3152" s="62" t="s">
        <v>1006</v>
      </c>
      <c r="B3152" s="62" t="s">
        <v>1006</v>
      </c>
      <c r="C3152" s="63"/>
      <c r="D3152" s="64"/>
      <c r="E3152" s="65"/>
      <c r="F3152" s="66"/>
      <c r="G3152" s="63"/>
      <c r="H3152" s="67"/>
      <c r="I3152" s="68"/>
      <c r="J3152" s="68"/>
      <c r="K3152" s="32"/>
      <c r="L3152" s="75">
        <v>3152</v>
      </c>
      <c r="M3152" s="75"/>
      <c r="N3152" s="70"/>
      <c r="O3152" s="77" t="s">
        <v>179</v>
      </c>
      <c r="P3152" s="79">
        <v>45089.659328703703</v>
      </c>
      <c r="Q3152" s="77" t="s">
        <v>4358</v>
      </c>
      <c r="R3152" s="77">
        <v>0</v>
      </c>
      <c r="S3152" s="77">
        <v>0</v>
      </c>
      <c r="T3152" s="77">
        <v>0</v>
      </c>
      <c r="U3152" s="77">
        <v>0</v>
      </c>
      <c r="V3152" s="77">
        <v>77</v>
      </c>
      <c r="W3152" s="82" t="s">
        <v>6740</v>
      </c>
      <c r="X3152" s="77"/>
      <c r="Y3152" s="77"/>
      <c r="Z3152" s="77"/>
      <c r="AA3152" s="77" t="s">
        <v>9477</v>
      </c>
      <c r="AB3152" s="77" t="s">
        <v>10130</v>
      </c>
      <c r="AC3152" s="82" t="s">
        <v>10147</v>
      </c>
      <c r="AD3152" s="77" t="s">
        <v>10184</v>
      </c>
      <c r="AE3152" s="80" t="str">
        <f>HYPERLINK("https://twitter.com/imdasmilhas/status/1668284382640246793")</f>
        <v>https://twitter.com/imdasmilhas/status/1668284382640246793</v>
      </c>
      <c r="AF3152" s="79">
        <v>45089.659328703703</v>
      </c>
      <c r="AG3152" s="85">
        <v>45089</v>
      </c>
      <c r="AH3152" s="82" t="s">
        <v>12592</v>
      </c>
      <c r="AI3152" s="77" t="b">
        <v>0</v>
      </c>
      <c r="AJ3152" s="77"/>
      <c r="AK3152" s="77"/>
      <c r="AL3152" s="77"/>
      <c r="AM3152" s="77"/>
      <c r="AN3152" s="77"/>
      <c r="AO3152" s="77"/>
      <c r="AP3152" s="77"/>
      <c r="AQ3152" s="77" t="s">
        <v>16120</v>
      </c>
      <c r="AR3152" s="77"/>
      <c r="AS3152" s="77"/>
      <c r="AT3152" s="77"/>
      <c r="AU3152" s="77"/>
      <c r="AV3152" s="80" t="str">
        <f>HYPERLINK("https://pbs.twimg.com/media/Fybvza7WIAAQy7R.jpg")</f>
        <v>https://pbs.twimg.com/media/Fybvza7WIAAQy7R.jpg</v>
      </c>
      <c r="AW3152" s="82" t="s">
        <v>19918</v>
      </c>
      <c r="AX3152" s="82" t="s">
        <v>19918</v>
      </c>
      <c r="AY3152" s="77"/>
      <c r="AZ3152" s="82" t="s">
        <v>20971</v>
      </c>
      <c r="BA3152" s="82" t="s">
        <v>20971</v>
      </c>
      <c r="BB3152" s="82" t="s">
        <v>20971</v>
      </c>
      <c r="BC3152" s="82" t="s">
        <v>19918</v>
      </c>
      <c r="BD3152" s="82" t="s">
        <v>21597</v>
      </c>
      <c r="BE3152" s="77"/>
      <c r="BF3152" s="77"/>
      <c r="BG3152" s="77"/>
      <c r="BH3152" s="77"/>
      <c r="BI3152" s="77"/>
    </row>
    <row r="3153" spans="1:61" x14ac:dyDescent="0.25">
      <c r="A3153" s="62" t="s">
        <v>1006</v>
      </c>
      <c r="B3153" s="62" t="s">
        <v>1006</v>
      </c>
      <c r="C3153" s="63"/>
      <c r="D3153" s="64"/>
      <c r="E3153" s="65"/>
      <c r="F3153" s="66"/>
      <c r="G3153" s="63"/>
      <c r="H3153" s="67"/>
      <c r="I3153" s="68"/>
      <c r="J3153" s="68"/>
      <c r="K3153" s="32"/>
      <c r="L3153" s="75">
        <v>3153</v>
      </c>
      <c r="M3153" s="75"/>
      <c r="N3153" s="70"/>
      <c r="O3153" s="77" t="s">
        <v>179</v>
      </c>
      <c r="P3153" s="79">
        <v>45089.658888888887</v>
      </c>
      <c r="Q3153" s="77" t="s">
        <v>4359</v>
      </c>
      <c r="R3153" s="77">
        <v>0</v>
      </c>
      <c r="S3153" s="77">
        <v>0</v>
      </c>
      <c r="T3153" s="77">
        <v>0</v>
      </c>
      <c r="U3153" s="77">
        <v>0</v>
      </c>
      <c r="V3153" s="77">
        <v>107</v>
      </c>
      <c r="W3153" s="82" t="s">
        <v>6740</v>
      </c>
      <c r="X3153" s="77"/>
      <c r="Y3153" s="77"/>
      <c r="Z3153" s="77"/>
      <c r="AA3153" s="77" t="s">
        <v>9478</v>
      </c>
      <c r="AB3153" s="77" t="s">
        <v>10130</v>
      </c>
      <c r="AC3153" s="82" t="s">
        <v>10147</v>
      </c>
      <c r="AD3153" s="77" t="s">
        <v>10184</v>
      </c>
      <c r="AE3153" s="80" t="str">
        <f>HYPERLINK("https://twitter.com/imdasmilhas/status/1668284224258883588")</f>
        <v>https://twitter.com/imdasmilhas/status/1668284224258883588</v>
      </c>
      <c r="AF3153" s="79">
        <v>45089.658888888887</v>
      </c>
      <c r="AG3153" s="85">
        <v>45089</v>
      </c>
      <c r="AH3153" s="82" t="s">
        <v>13170</v>
      </c>
      <c r="AI3153" s="77" t="b">
        <v>0</v>
      </c>
      <c r="AJ3153" s="77"/>
      <c r="AK3153" s="77"/>
      <c r="AL3153" s="77"/>
      <c r="AM3153" s="77"/>
      <c r="AN3153" s="77"/>
      <c r="AO3153" s="77"/>
      <c r="AP3153" s="77"/>
      <c r="AQ3153" s="77" t="s">
        <v>16121</v>
      </c>
      <c r="AR3153" s="77"/>
      <c r="AS3153" s="77"/>
      <c r="AT3153" s="77"/>
      <c r="AU3153" s="77"/>
      <c r="AV3153" s="80" t="str">
        <f>HYPERLINK("https://pbs.twimg.com/media/FybvqTvWcAA8Aik.jpg")</f>
        <v>https://pbs.twimg.com/media/FybvqTvWcAA8Aik.jpg</v>
      </c>
      <c r="AW3153" s="82" t="s">
        <v>19919</v>
      </c>
      <c r="AX3153" s="82" t="s">
        <v>19919</v>
      </c>
      <c r="AY3153" s="77"/>
      <c r="AZ3153" s="82" t="s">
        <v>20971</v>
      </c>
      <c r="BA3153" s="82" t="s">
        <v>20971</v>
      </c>
      <c r="BB3153" s="82" t="s">
        <v>20971</v>
      </c>
      <c r="BC3153" s="82" t="s">
        <v>19919</v>
      </c>
      <c r="BD3153" s="82" t="s">
        <v>21597</v>
      </c>
      <c r="BE3153" s="77"/>
      <c r="BF3153" s="77"/>
      <c r="BG3153" s="77"/>
      <c r="BH3153" s="77"/>
      <c r="BI3153" s="77"/>
    </row>
    <row r="3154" spans="1:61" x14ac:dyDescent="0.25">
      <c r="A3154" s="62" t="s">
        <v>1006</v>
      </c>
      <c r="B3154" s="62" t="s">
        <v>1006</v>
      </c>
      <c r="C3154" s="63"/>
      <c r="D3154" s="64"/>
      <c r="E3154" s="65"/>
      <c r="F3154" s="66"/>
      <c r="G3154" s="63"/>
      <c r="H3154" s="67"/>
      <c r="I3154" s="68"/>
      <c r="J3154" s="68"/>
      <c r="K3154" s="32"/>
      <c r="L3154" s="75">
        <v>3154</v>
      </c>
      <c r="M3154" s="75"/>
      <c r="N3154" s="70"/>
      <c r="O3154" s="77" t="s">
        <v>179</v>
      </c>
      <c r="P3154" s="79">
        <v>45069.63753472222</v>
      </c>
      <c r="Q3154" s="77" t="s">
        <v>4360</v>
      </c>
      <c r="R3154" s="77">
        <v>0</v>
      </c>
      <c r="S3154" s="77">
        <v>0</v>
      </c>
      <c r="T3154" s="77">
        <v>1</v>
      </c>
      <c r="U3154" s="77">
        <v>0</v>
      </c>
      <c r="V3154" s="77">
        <v>111</v>
      </c>
      <c r="W3154" s="82" t="s">
        <v>6740</v>
      </c>
      <c r="X3154" s="77"/>
      <c r="Y3154" s="77"/>
      <c r="Z3154" s="77"/>
      <c r="AA3154" s="77" t="s">
        <v>9479</v>
      </c>
      <c r="AB3154" s="77" t="s">
        <v>10130</v>
      </c>
      <c r="AC3154" s="82" t="s">
        <v>10147</v>
      </c>
      <c r="AD3154" s="77" t="s">
        <v>10184</v>
      </c>
      <c r="AE3154" s="80" t="str">
        <f>HYPERLINK("https://twitter.com/imdasmilhas/status/1661028727633920000")</f>
        <v>https://twitter.com/imdasmilhas/status/1661028727633920000</v>
      </c>
      <c r="AF3154" s="79">
        <v>45069.63753472222</v>
      </c>
      <c r="AG3154" s="85">
        <v>45069</v>
      </c>
      <c r="AH3154" s="82" t="s">
        <v>10676</v>
      </c>
      <c r="AI3154" s="77" t="b">
        <v>0</v>
      </c>
      <c r="AJ3154" s="77"/>
      <c r="AK3154" s="77"/>
      <c r="AL3154" s="77"/>
      <c r="AM3154" s="77"/>
      <c r="AN3154" s="77"/>
      <c r="AO3154" s="77"/>
      <c r="AP3154" s="77"/>
      <c r="AQ3154" s="77" t="s">
        <v>16122</v>
      </c>
      <c r="AR3154" s="77"/>
      <c r="AS3154" s="77"/>
      <c r="AT3154" s="77"/>
      <c r="AU3154" s="77"/>
      <c r="AV3154" s="80" t="str">
        <f>HYPERLINK("https://pbs.twimg.com/media/Fw0o0zFXsAYD3W8.jpg")</f>
        <v>https://pbs.twimg.com/media/Fw0o0zFXsAYD3W8.jpg</v>
      </c>
      <c r="AW3154" s="82" t="s">
        <v>19920</v>
      </c>
      <c r="AX3154" s="82" t="s">
        <v>19920</v>
      </c>
      <c r="AY3154" s="77"/>
      <c r="AZ3154" s="82" t="s">
        <v>20971</v>
      </c>
      <c r="BA3154" s="82" t="s">
        <v>20971</v>
      </c>
      <c r="BB3154" s="82" t="s">
        <v>20971</v>
      </c>
      <c r="BC3154" s="82" t="s">
        <v>19920</v>
      </c>
      <c r="BD3154" s="82" t="s">
        <v>21597</v>
      </c>
      <c r="BE3154" s="77"/>
      <c r="BF3154" s="77"/>
      <c r="BG3154" s="77"/>
      <c r="BH3154" s="77"/>
      <c r="BI3154" s="77"/>
    </row>
    <row r="3155" spans="1:61" x14ac:dyDescent="0.25">
      <c r="A3155" s="62" t="s">
        <v>1006</v>
      </c>
      <c r="B3155" s="62" t="s">
        <v>1006</v>
      </c>
      <c r="C3155" s="63"/>
      <c r="D3155" s="64"/>
      <c r="E3155" s="65"/>
      <c r="F3155" s="66"/>
      <c r="G3155" s="63"/>
      <c r="H3155" s="67"/>
      <c r="I3155" s="68"/>
      <c r="J3155" s="68"/>
      <c r="K3155" s="32"/>
      <c r="L3155" s="75">
        <v>3155</v>
      </c>
      <c r="M3155" s="75"/>
      <c r="N3155" s="70"/>
      <c r="O3155" s="77" t="s">
        <v>179</v>
      </c>
      <c r="P3155" s="79">
        <v>45069.637060185189</v>
      </c>
      <c r="Q3155" s="77" t="s">
        <v>4361</v>
      </c>
      <c r="R3155" s="77">
        <v>0</v>
      </c>
      <c r="S3155" s="77">
        <v>0</v>
      </c>
      <c r="T3155" s="77">
        <v>1</v>
      </c>
      <c r="U3155" s="77">
        <v>0</v>
      </c>
      <c r="V3155" s="77">
        <v>54</v>
      </c>
      <c r="W3155" s="82" t="s">
        <v>6740</v>
      </c>
      <c r="X3155" s="77"/>
      <c r="Y3155" s="77"/>
      <c r="Z3155" s="77"/>
      <c r="AA3155" s="77" t="s">
        <v>9480</v>
      </c>
      <c r="AB3155" s="77" t="s">
        <v>10130</v>
      </c>
      <c r="AC3155" s="82" t="s">
        <v>10147</v>
      </c>
      <c r="AD3155" s="77" t="s">
        <v>10184</v>
      </c>
      <c r="AE3155" s="80" t="str">
        <f>HYPERLINK("https://twitter.com/imdasmilhas/status/1661028555541676033")</f>
        <v>https://twitter.com/imdasmilhas/status/1661028555541676033</v>
      </c>
      <c r="AF3155" s="79">
        <v>45069.637060185189</v>
      </c>
      <c r="AG3155" s="85">
        <v>45069</v>
      </c>
      <c r="AH3155" s="82" t="s">
        <v>13171</v>
      </c>
      <c r="AI3155" s="77" t="b">
        <v>0</v>
      </c>
      <c r="AJ3155" s="77"/>
      <c r="AK3155" s="77"/>
      <c r="AL3155" s="77"/>
      <c r="AM3155" s="77"/>
      <c r="AN3155" s="77"/>
      <c r="AO3155" s="77"/>
      <c r="AP3155" s="77"/>
      <c r="AQ3155" s="77" t="s">
        <v>16123</v>
      </c>
      <c r="AR3155" s="77"/>
      <c r="AS3155" s="77"/>
      <c r="AT3155" s="77"/>
      <c r="AU3155" s="77"/>
      <c r="AV3155" s="80" t="str">
        <f>HYPERLINK("https://pbs.twimg.com/media/Fw0oqytWYAEZoAA.jpg")</f>
        <v>https://pbs.twimg.com/media/Fw0oqytWYAEZoAA.jpg</v>
      </c>
      <c r="AW3155" s="82" t="s">
        <v>19921</v>
      </c>
      <c r="AX3155" s="82" t="s">
        <v>19921</v>
      </c>
      <c r="AY3155" s="77"/>
      <c r="AZ3155" s="82" t="s">
        <v>20971</v>
      </c>
      <c r="BA3155" s="82" t="s">
        <v>20971</v>
      </c>
      <c r="BB3155" s="82" t="s">
        <v>20971</v>
      </c>
      <c r="BC3155" s="82" t="s">
        <v>19921</v>
      </c>
      <c r="BD3155" s="82" t="s">
        <v>21597</v>
      </c>
      <c r="BE3155" s="77"/>
      <c r="BF3155" s="77"/>
      <c r="BG3155" s="77"/>
      <c r="BH3155" s="77"/>
      <c r="BI3155" s="77"/>
    </row>
    <row r="3156" spans="1:61" x14ac:dyDescent="0.25">
      <c r="A3156" s="62" t="s">
        <v>1006</v>
      </c>
      <c r="B3156" s="62" t="s">
        <v>1006</v>
      </c>
      <c r="C3156" s="63"/>
      <c r="D3156" s="64"/>
      <c r="E3156" s="65"/>
      <c r="F3156" s="66"/>
      <c r="G3156" s="63"/>
      <c r="H3156" s="67"/>
      <c r="I3156" s="68"/>
      <c r="J3156" s="68"/>
      <c r="K3156" s="32"/>
      <c r="L3156" s="75">
        <v>3156</v>
      </c>
      <c r="M3156" s="75"/>
      <c r="N3156" s="70"/>
      <c r="O3156" s="77" t="s">
        <v>179</v>
      </c>
      <c r="P3156" s="79">
        <v>45069.636296296296</v>
      </c>
      <c r="Q3156" s="77" t="s">
        <v>4362</v>
      </c>
      <c r="R3156" s="77">
        <v>0</v>
      </c>
      <c r="S3156" s="77">
        <v>0</v>
      </c>
      <c r="T3156" s="77">
        <v>1</v>
      </c>
      <c r="U3156" s="77">
        <v>0</v>
      </c>
      <c r="V3156" s="77">
        <v>83</v>
      </c>
      <c r="W3156" s="82" t="s">
        <v>6740</v>
      </c>
      <c r="X3156" s="77"/>
      <c r="Y3156" s="77"/>
      <c r="Z3156" s="77"/>
      <c r="AA3156" s="77" t="s">
        <v>9481</v>
      </c>
      <c r="AB3156" s="77" t="s">
        <v>10130</v>
      </c>
      <c r="AC3156" s="82" t="s">
        <v>10147</v>
      </c>
      <c r="AD3156" s="77" t="s">
        <v>10184</v>
      </c>
      <c r="AE3156" s="80" t="str">
        <f>HYPERLINK("https://twitter.com/imdasmilhas/status/1661028278277226496")</f>
        <v>https://twitter.com/imdasmilhas/status/1661028278277226496</v>
      </c>
      <c r="AF3156" s="79">
        <v>45069.636296296296</v>
      </c>
      <c r="AG3156" s="85">
        <v>45069</v>
      </c>
      <c r="AH3156" s="82" t="s">
        <v>13172</v>
      </c>
      <c r="AI3156" s="77" t="b">
        <v>0</v>
      </c>
      <c r="AJ3156" s="77"/>
      <c r="AK3156" s="77"/>
      <c r="AL3156" s="77"/>
      <c r="AM3156" s="77"/>
      <c r="AN3156" s="77"/>
      <c r="AO3156" s="77"/>
      <c r="AP3156" s="77"/>
      <c r="AQ3156" s="77" t="s">
        <v>16124</v>
      </c>
      <c r="AR3156" s="77"/>
      <c r="AS3156" s="77"/>
      <c r="AT3156" s="77"/>
      <c r="AU3156" s="77"/>
      <c r="AV3156" s="80" t="str">
        <f>HYPERLINK("https://pbs.twimg.com/media/Fw0oaqLXoAA40RG.jpg")</f>
        <v>https://pbs.twimg.com/media/Fw0oaqLXoAA40RG.jpg</v>
      </c>
      <c r="AW3156" s="82" t="s">
        <v>19922</v>
      </c>
      <c r="AX3156" s="82" t="s">
        <v>19922</v>
      </c>
      <c r="AY3156" s="77"/>
      <c r="AZ3156" s="82" t="s">
        <v>20971</v>
      </c>
      <c r="BA3156" s="82" t="s">
        <v>20971</v>
      </c>
      <c r="BB3156" s="82" t="s">
        <v>20971</v>
      </c>
      <c r="BC3156" s="82" t="s">
        <v>19922</v>
      </c>
      <c r="BD3156" s="82" t="s">
        <v>21597</v>
      </c>
      <c r="BE3156" s="77"/>
      <c r="BF3156" s="77"/>
      <c r="BG3156" s="77"/>
      <c r="BH3156" s="77"/>
      <c r="BI3156" s="77"/>
    </row>
    <row r="3157" spans="1:61" x14ac:dyDescent="0.25">
      <c r="A3157" s="62" t="s">
        <v>1006</v>
      </c>
      <c r="B3157" s="62" t="s">
        <v>1006</v>
      </c>
      <c r="C3157" s="63"/>
      <c r="D3157" s="64"/>
      <c r="E3157" s="65"/>
      <c r="F3157" s="66"/>
      <c r="G3157" s="63"/>
      <c r="H3157" s="67"/>
      <c r="I3157" s="68"/>
      <c r="J3157" s="68"/>
      <c r="K3157" s="32"/>
      <c r="L3157" s="75">
        <v>3157</v>
      </c>
      <c r="M3157" s="75"/>
      <c r="N3157" s="70"/>
      <c r="O3157" s="77" t="s">
        <v>179</v>
      </c>
      <c r="P3157" s="79">
        <v>45068.743206018517</v>
      </c>
      <c r="Q3157" s="77" t="s">
        <v>4363</v>
      </c>
      <c r="R3157" s="77">
        <v>0</v>
      </c>
      <c r="S3157" s="77">
        <v>2</v>
      </c>
      <c r="T3157" s="77">
        <v>1</v>
      </c>
      <c r="U3157" s="77">
        <v>0</v>
      </c>
      <c r="V3157" s="77">
        <v>126</v>
      </c>
      <c r="W3157" s="82" t="s">
        <v>6740</v>
      </c>
      <c r="X3157" s="77"/>
      <c r="Y3157" s="77"/>
      <c r="Z3157" s="77"/>
      <c r="AA3157" s="77" t="s">
        <v>9482</v>
      </c>
      <c r="AB3157" s="77" t="s">
        <v>10130</v>
      </c>
      <c r="AC3157" s="82" t="s">
        <v>10147</v>
      </c>
      <c r="AD3157" s="77" t="s">
        <v>10184</v>
      </c>
      <c r="AE3157" s="80" t="str">
        <f>HYPERLINK("https://twitter.com/imdasmilhas/status/1660704631058472982")</f>
        <v>https://twitter.com/imdasmilhas/status/1660704631058472982</v>
      </c>
      <c r="AF3157" s="79">
        <v>45068.743206018517</v>
      </c>
      <c r="AG3157" s="85">
        <v>45068</v>
      </c>
      <c r="AH3157" s="82" t="s">
        <v>13173</v>
      </c>
      <c r="AI3157" s="77" t="b">
        <v>0</v>
      </c>
      <c r="AJ3157" s="77"/>
      <c r="AK3157" s="77"/>
      <c r="AL3157" s="77"/>
      <c r="AM3157" s="77"/>
      <c r="AN3157" s="77"/>
      <c r="AO3157" s="77"/>
      <c r="AP3157" s="77"/>
      <c r="AQ3157" s="77" t="s">
        <v>16125</v>
      </c>
      <c r="AR3157" s="77"/>
      <c r="AS3157" s="77"/>
      <c r="AT3157" s="77"/>
      <c r="AU3157" s="77"/>
      <c r="AV3157" s="80" t="str">
        <f>HYPERLINK("https://pbs.twimg.com/media/FwwCD6GXwAAK5Ut.jpg")</f>
        <v>https://pbs.twimg.com/media/FwwCD6GXwAAK5Ut.jpg</v>
      </c>
      <c r="AW3157" s="82" t="s">
        <v>19923</v>
      </c>
      <c r="AX3157" s="82" t="s">
        <v>19923</v>
      </c>
      <c r="AY3157" s="77"/>
      <c r="AZ3157" s="82" t="s">
        <v>20971</v>
      </c>
      <c r="BA3157" s="82" t="s">
        <v>20971</v>
      </c>
      <c r="BB3157" s="82" t="s">
        <v>20971</v>
      </c>
      <c r="BC3157" s="82" t="s">
        <v>19923</v>
      </c>
      <c r="BD3157" s="82" t="s">
        <v>21597</v>
      </c>
      <c r="BE3157" s="77"/>
      <c r="BF3157" s="77"/>
      <c r="BG3157" s="77"/>
      <c r="BH3157" s="77"/>
      <c r="BI3157" s="77"/>
    </row>
    <row r="3158" spans="1:61" x14ac:dyDescent="0.25">
      <c r="A3158" s="62" t="s">
        <v>1006</v>
      </c>
      <c r="B3158" s="62" t="s">
        <v>1006</v>
      </c>
      <c r="C3158" s="63"/>
      <c r="D3158" s="64"/>
      <c r="E3158" s="65"/>
      <c r="F3158" s="66"/>
      <c r="G3158" s="63"/>
      <c r="H3158" s="67"/>
      <c r="I3158" s="68"/>
      <c r="J3158" s="68"/>
      <c r="K3158" s="32"/>
      <c r="L3158" s="75">
        <v>3158</v>
      </c>
      <c r="M3158" s="75"/>
      <c r="N3158" s="70"/>
      <c r="O3158" s="77" t="s">
        <v>179</v>
      </c>
      <c r="P3158" s="79">
        <v>45068.7419212963</v>
      </c>
      <c r="Q3158" s="77" t="s">
        <v>4364</v>
      </c>
      <c r="R3158" s="77">
        <v>0</v>
      </c>
      <c r="S3158" s="77">
        <v>1</v>
      </c>
      <c r="T3158" s="77">
        <v>1</v>
      </c>
      <c r="U3158" s="77">
        <v>0</v>
      </c>
      <c r="V3158" s="77">
        <v>87</v>
      </c>
      <c r="W3158" s="82" t="s">
        <v>6740</v>
      </c>
      <c r="X3158" s="77"/>
      <c r="Y3158" s="77"/>
      <c r="Z3158" s="77"/>
      <c r="AA3158" s="77" t="s">
        <v>9483</v>
      </c>
      <c r="AB3158" s="77" t="s">
        <v>10130</v>
      </c>
      <c r="AC3158" s="82" t="s">
        <v>10147</v>
      </c>
      <c r="AD3158" s="77" t="s">
        <v>10184</v>
      </c>
      <c r="AE3158" s="80" t="str">
        <f>HYPERLINK("https://twitter.com/imdasmilhas/status/1660704165826273293")</f>
        <v>https://twitter.com/imdasmilhas/status/1660704165826273293</v>
      </c>
      <c r="AF3158" s="79">
        <v>45068.7419212963</v>
      </c>
      <c r="AG3158" s="85">
        <v>45068</v>
      </c>
      <c r="AH3158" s="82" t="s">
        <v>13174</v>
      </c>
      <c r="AI3158" s="77" t="b">
        <v>0</v>
      </c>
      <c r="AJ3158" s="77"/>
      <c r="AK3158" s="77"/>
      <c r="AL3158" s="77"/>
      <c r="AM3158" s="77"/>
      <c r="AN3158" s="77"/>
      <c r="AO3158" s="77"/>
      <c r="AP3158" s="77"/>
      <c r="AQ3158" s="77" t="s">
        <v>16126</v>
      </c>
      <c r="AR3158" s="77"/>
      <c r="AS3158" s="77"/>
      <c r="AT3158" s="77"/>
      <c r="AU3158" s="77"/>
      <c r="AV3158" s="80" t="str">
        <f>HYPERLINK("https://pbs.twimg.com/media/FwwBoyyWIA0u1lk.jpg")</f>
        <v>https://pbs.twimg.com/media/FwwBoyyWIA0u1lk.jpg</v>
      </c>
      <c r="AW3158" s="82" t="s">
        <v>19924</v>
      </c>
      <c r="AX3158" s="82" t="s">
        <v>19924</v>
      </c>
      <c r="AY3158" s="77"/>
      <c r="AZ3158" s="82" t="s">
        <v>20971</v>
      </c>
      <c r="BA3158" s="82" t="s">
        <v>20971</v>
      </c>
      <c r="BB3158" s="82" t="s">
        <v>20971</v>
      </c>
      <c r="BC3158" s="82" t="s">
        <v>19924</v>
      </c>
      <c r="BD3158" s="82" t="s">
        <v>21597</v>
      </c>
      <c r="BE3158" s="77"/>
      <c r="BF3158" s="77"/>
      <c r="BG3158" s="77"/>
      <c r="BH3158" s="77"/>
      <c r="BI3158" s="77"/>
    </row>
    <row r="3159" spans="1:61" x14ac:dyDescent="0.25">
      <c r="A3159" s="62" t="s">
        <v>1006</v>
      </c>
      <c r="B3159" s="62" t="s">
        <v>1006</v>
      </c>
      <c r="C3159" s="63"/>
      <c r="D3159" s="64"/>
      <c r="E3159" s="65"/>
      <c r="F3159" s="66"/>
      <c r="G3159" s="63"/>
      <c r="H3159" s="67"/>
      <c r="I3159" s="68"/>
      <c r="J3159" s="68"/>
      <c r="K3159" s="32"/>
      <c r="L3159" s="75">
        <v>3159</v>
      </c>
      <c r="M3159" s="75"/>
      <c r="N3159" s="70"/>
      <c r="O3159" s="77" t="s">
        <v>179</v>
      </c>
      <c r="P3159" s="79">
        <v>45068.652499999997</v>
      </c>
      <c r="Q3159" s="77" t="s">
        <v>4365</v>
      </c>
      <c r="R3159" s="77">
        <v>0</v>
      </c>
      <c r="S3159" s="77">
        <v>1</v>
      </c>
      <c r="T3159" s="77">
        <v>1</v>
      </c>
      <c r="U3159" s="77">
        <v>0</v>
      </c>
      <c r="V3159" s="77">
        <v>151</v>
      </c>
      <c r="W3159" s="82" t="s">
        <v>6741</v>
      </c>
      <c r="X3159" s="77"/>
      <c r="Y3159" s="77"/>
      <c r="Z3159" s="77"/>
      <c r="AA3159" s="77" t="s">
        <v>9484</v>
      </c>
      <c r="AB3159" s="77" t="s">
        <v>10130</v>
      </c>
      <c r="AC3159" s="82" t="s">
        <v>10147</v>
      </c>
      <c r="AD3159" s="77" t="s">
        <v>10184</v>
      </c>
      <c r="AE3159" s="80" t="str">
        <f>HYPERLINK("https://twitter.com/imdasmilhas/status/1660671760814030851")</f>
        <v>https://twitter.com/imdasmilhas/status/1660671760814030851</v>
      </c>
      <c r="AF3159" s="79">
        <v>45068.652499999997</v>
      </c>
      <c r="AG3159" s="85">
        <v>45068</v>
      </c>
      <c r="AH3159" s="82" t="s">
        <v>13175</v>
      </c>
      <c r="AI3159" s="77" t="b">
        <v>0</v>
      </c>
      <c r="AJ3159" s="77"/>
      <c r="AK3159" s="77"/>
      <c r="AL3159" s="77"/>
      <c r="AM3159" s="77"/>
      <c r="AN3159" s="77"/>
      <c r="AO3159" s="77"/>
      <c r="AP3159" s="77"/>
      <c r="AQ3159" s="77" t="s">
        <v>16127</v>
      </c>
      <c r="AR3159" s="77"/>
      <c r="AS3159" s="77"/>
      <c r="AT3159" s="77"/>
      <c r="AU3159" s="77"/>
      <c r="AV3159" s="80" t="str">
        <f>HYPERLINK("https://pbs.twimg.com/media/FwvkKnzXwAE4ywp.jpg")</f>
        <v>https://pbs.twimg.com/media/FwvkKnzXwAE4ywp.jpg</v>
      </c>
      <c r="AW3159" s="82" t="s">
        <v>19925</v>
      </c>
      <c r="AX3159" s="82" t="s">
        <v>19925</v>
      </c>
      <c r="AY3159" s="77"/>
      <c r="AZ3159" s="82" t="s">
        <v>20971</v>
      </c>
      <c r="BA3159" s="82" t="s">
        <v>20971</v>
      </c>
      <c r="BB3159" s="82" t="s">
        <v>20971</v>
      </c>
      <c r="BC3159" s="82" t="s">
        <v>19925</v>
      </c>
      <c r="BD3159" s="82" t="s">
        <v>21597</v>
      </c>
      <c r="BE3159" s="77"/>
      <c r="BF3159" s="77"/>
      <c r="BG3159" s="77"/>
      <c r="BH3159" s="77"/>
      <c r="BI3159" s="77"/>
    </row>
    <row r="3160" spans="1:61" x14ac:dyDescent="0.25">
      <c r="A3160" s="62" t="s">
        <v>1006</v>
      </c>
      <c r="B3160" s="62" t="s">
        <v>1006</v>
      </c>
      <c r="C3160" s="63"/>
      <c r="D3160" s="64"/>
      <c r="E3160" s="65"/>
      <c r="F3160" s="66"/>
      <c r="G3160" s="63"/>
      <c r="H3160" s="67"/>
      <c r="I3160" s="68"/>
      <c r="J3160" s="68"/>
      <c r="K3160" s="32"/>
      <c r="L3160" s="75">
        <v>3160</v>
      </c>
      <c r="M3160" s="75"/>
      <c r="N3160" s="70"/>
      <c r="O3160" s="77" t="s">
        <v>179</v>
      </c>
      <c r="P3160" s="79">
        <v>45068.652048611111</v>
      </c>
      <c r="Q3160" s="77" t="s">
        <v>4366</v>
      </c>
      <c r="R3160" s="77">
        <v>0</v>
      </c>
      <c r="S3160" s="77">
        <v>1</v>
      </c>
      <c r="T3160" s="77">
        <v>0</v>
      </c>
      <c r="U3160" s="77">
        <v>0</v>
      </c>
      <c r="V3160" s="77">
        <v>76</v>
      </c>
      <c r="W3160" s="82" t="s">
        <v>6740</v>
      </c>
      <c r="X3160" s="77"/>
      <c r="Y3160" s="77"/>
      <c r="Z3160" s="77"/>
      <c r="AA3160" s="77" t="s">
        <v>9485</v>
      </c>
      <c r="AB3160" s="77" t="s">
        <v>10130</v>
      </c>
      <c r="AC3160" s="82" t="s">
        <v>10147</v>
      </c>
      <c r="AD3160" s="77" t="s">
        <v>10184</v>
      </c>
      <c r="AE3160" s="80" t="str">
        <f>HYPERLINK("https://twitter.com/imdasmilhas/status/1660671599182245889")</f>
        <v>https://twitter.com/imdasmilhas/status/1660671599182245889</v>
      </c>
      <c r="AF3160" s="79">
        <v>45068.652048611111</v>
      </c>
      <c r="AG3160" s="85">
        <v>45068</v>
      </c>
      <c r="AH3160" s="82" t="s">
        <v>12253</v>
      </c>
      <c r="AI3160" s="77" t="b">
        <v>0</v>
      </c>
      <c r="AJ3160" s="77"/>
      <c r="AK3160" s="77"/>
      <c r="AL3160" s="77"/>
      <c r="AM3160" s="77"/>
      <c r="AN3160" s="77"/>
      <c r="AO3160" s="77"/>
      <c r="AP3160" s="77"/>
      <c r="AQ3160" s="77" t="s">
        <v>16128</v>
      </c>
      <c r="AR3160" s="77"/>
      <c r="AS3160" s="77"/>
      <c r="AT3160" s="77"/>
      <c r="AU3160" s="77"/>
      <c r="AV3160" s="80" t="str">
        <f>HYPERLINK("https://pbs.twimg.com/media/FwvkBMrX0AAUdiL.jpg")</f>
        <v>https://pbs.twimg.com/media/FwvkBMrX0AAUdiL.jpg</v>
      </c>
      <c r="AW3160" s="82" t="s">
        <v>19926</v>
      </c>
      <c r="AX3160" s="82" t="s">
        <v>19926</v>
      </c>
      <c r="AY3160" s="77"/>
      <c r="AZ3160" s="82" t="s">
        <v>20971</v>
      </c>
      <c r="BA3160" s="82" t="s">
        <v>20971</v>
      </c>
      <c r="BB3160" s="82" t="s">
        <v>20971</v>
      </c>
      <c r="BC3160" s="82" t="s">
        <v>19926</v>
      </c>
      <c r="BD3160" s="82" t="s">
        <v>21597</v>
      </c>
      <c r="BE3160" s="77"/>
      <c r="BF3160" s="77"/>
      <c r="BG3160" s="77"/>
      <c r="BH3160" s="77"/>
      <c r="BI3160" s="77"/>
    </row>
    <row r="3161" spans="1:61" x14ac:dyDescent="0.25">
      <c r="A3161" s="62" t="s">
        <v>1006</v>
      </c>
      <c r="B3161" s="62" t="s">
        <v>1006</v>
      </c>
      <c r="C3161" s="63"/>
      <c r="D3161" s="64"/>
      <c r="E3161" s="65"/>
      <c r="F3161" s="66"/>
      <c r="G3161" s="63"/>
      <c r="H3161" s="67"/>
      <c r="I3161" s="68"/>
      <c r="J3161" s="68"/>
      <c r="K3161" s="32"/>
      <c r="L3161" s="75">
        <v>3161</v>
      </c>
      <c r="M3161" s="75"/>
      <c r="N3161" s="70"/>
      <c r="O3161" s="77" t="s">
        <v>179</v>
      </c>
      <c r="P3161" s="79">
        <v>45068.641944444447</v>
      </c>
      <c r="Q3161" s="77" t="s">
        <v>4367</v>
      </c>
      <c r="R3161" s="77">
        <v>0</v>
      </c>
      <c r="S3161" s="77">
        <v>1</v>
      </c>
      <c r="T3161" s="77">
        <v>0</v>
      </c>
      <c r="U3161" s="77">
        <v>0</v>
      </c>
      <c r="V3161" s="77">
        <v>73</v>
      </c>
      <c r="W3161" s="82" t="s">
        <v>6740</v>
      </c>
      <c r="X3161" s="77"/>
      <c r="Y3161" s="77"/>
      <c r="Z3161" s="77"/>
      <c r="AA3161" s="77" t="s">
        <v>9486</v>
      </c>
      <c r="AB3161" s="77" t="s">
        <v>10130</v>
      </c>
      <c r="AC3161" s="82" t="s">
        <v>10147</v>
      </c>
      <c r="AD3161" s="77" t="s">
        <v>10184</v>
      </c>
      <c r="AE3161" s="80" t="str">
        <f>HYPERLINK("https://twitter.com/imdasmilhas/status/1660667935847768065")</f>
        <v>https://twitter.com/imdasmilhas/status/1660667935847768065</v>
      </c>
      <c r="AF3161" s="79">
        <v>45068.641944444447</v>
      </c>
      <c r="AG3161" s="85">
        <v>45068</v>
      </c>
      <c r="AH3161" s="82" t="s">
        <v>13176</v>
      </c>
      <c r="AI3161" s="77" t="b">
        <v>0</v>
      </c>
      <c r="AJ3161" s="77"/>
      <c r="AK3161" s="77"/>
      <c r="AL3161" s="77"/>
      <c r="AM3161" s="77"/>
      <c r="AN3161" s="77"/>
      <c r="AO3161" s="77"/>
      <c r="AP3161" s="77"/>
      <c r="AQ3161" s="77" t="s">
        <v>16129</v>
      </c>
      <c r="AR3161" s="77"/>
      <c r="AS3161" s="77"/>
      <c r="AT3161" s="77"/>
      <c r="AU3161" s="77"/>
      <c r="AV3161" s="80" t="str">
        <f>HYPERLINK("https://pbs.twimg.com/media/Fwvgr7NWcAAm_Ey.jpg")</f>
        <v>https://pbs.twimg.com/media/Fwvgr7NWcAAm_Ey.jpg</v>
      </c>
      <c r="AW3161" s="82" t="s">
        <v>19927</v>
      </c>
      <c r="AX3161" s="82" t="s">
        <v>19927</v>
      </c>
      <c r="AY3161" s="77"/>
      <c r="AZ3161" s="82" t="s">
        <v>20971</v>
      </c>
      <c r="BA3161" s="82" t="s">
        <v>20971</v>
      </c>
      <c r="BB3161" s="82" t="s">
        <v>20971</v>
      </c>
      <c r="BC3161" s="82" t="s">
        <v>19927</v>
      </c>
      <c r="BD3161" s="82" t="s">
        <v>21597</v>
      </c>
      <c r="BE3161" s="77"/>
      <c r="BF3161" s="77"/>
      <c r="BG3161" s="77"/>
      <c r="BH3161" s="77"/>
      <c r="BI3161" s="77"/>
    </row>
    <row r="3162" spans="1:61" x14ac:dyDescent="0.25">
      <c r="A3162" s="62" t="s">
        <v>1006</v>
      </c>
      <c r="B3162" s="62" t="s">
        <v>1006</v>
      </c>
      <c r="C3162" s="63"/>
      <c r="D3162" s="64"/>
      <c r="E3162" s="65"/>
      <c r="F3162" s="66"/>
      <c r="G3162" s="63"/>
      <c r="H3162" s="67"/>
      <c r="I3162" s="68"/>
      <c r="J3162" s="68"/>
      <c r="K3162" s="32"/>
      <c r="L3162" s="75">
        <v>3162</v>
      </c>
      <c r="M3162" s="75"/>
      <c r="N3162" s="70"/>
      <c r="O3162" s="77" t="s">
        <v>179</v>
      </c>
      <c r="P3162" s="79">
        <v>45068.632187499999</v>
      </c>
      <c r="Q3162" s="77" t="s">
        <v>4368</v>
      </c>
      <c r="R3162" s="77">
        <v>0</v>
      </c>
      <c r="S3162" s="77">
        <v>1</v>
      </c>
      <c r="T3162" s="77">
        <v>0</v>
      </c>
      <c r="U3162" s="77">
        <v>0</v>
      </c>
      <c r="V3162" s="77">
        <v>110</v>
      </c>
      <c r="W3162" s="82" t="s">
        <v>6740</v>
      </c>
      <c r="X3162" s="77"/>
      <c r="Y3162" s="77"/>
      <c r="Z3162" s="77"/>
      <c r="AA3162" s="77" t="s">
        <v>9487</v>
      </c>
      <c r="AB3162" s="77" t="s">
        <v>10130</v>
      </c>
      <c r="AC3162" s="82" t="s">
        <v>10147</v>
      </c>
      <c r="AD3162" s="77" t="s">
        <v>10184</v>
      </c>
      <c r="AE3162" s="80" t="str">
        <f>HYPERLINK("https://twitter.com/imdasmilhas/status/1660664402146672648")</f>
        <v>https://twitter.com/imdasmilhas/status/1660664402146672648</v>
      </c>
      <c r="AF3162" s="79">
        <v>45068.632187499999</v>
      </c>
      <c r="AG3162" s="85">
        <v>45068</v>
      </c>
      <c r="AH3162" s="82" t="s">
        <v>13177</v>
      </c>
      <c r="AI3162" s="77" t="b">
        <v>0</v>
      </c>
      <c r="AJ3162" s="77"/>
      <c r="AK3162" s="77"/>
      <c r="AL3162" s="77"/>
      <c r="AM3162" s="77"/>
      <c r="AN3162" s="77"/>
      <c r="AO3162" s="77"/>
      <c r="AP3162" s="77"/>
      <c r="AQ3162" s="77" t="s">
        <v>16130</v>
      </c>
      <c r="AR3162" s="77"/>
      <c r="AS3162" s="77"/>
      <c r="AT3162" s="77"/>
      <c r="AU3162" s="77"/>
      <c r="AV3162" s="80" t="str">
        <f>HYPERLINK("https://pbs.twimg.com/media/FwvdeQMX0AwLY6O.jpg")</f>
        <v>https://pbs.twimg.com/media/FwvdeQMX0AwLY6O.jpg</v>
      </c>
      <c r="AW3162" s="82" t="s">
        <v>19928</v>
      </c>
      <c r="AX3162" s="82" t="s">
        <v>19928</v>
      </c>
      <c r="AY3162" s="77"/>
      <c r="AZ3162" s="82" t="s">
        <v>20971</v>
      </c>
      <c r="BA3162" s="82" t="s">
        <v>20971</v>
      </c>
      <c r="BB3162" s="82" t="s">
        <v>20971</v>
      </c>
      <c r="BC3162" s="82" t="s">
        <v>19928</v>
      </c>
      <c r="BD3162" s="82" t="s">
        <v>21597</v>
      </c>
      <c r="BE3162" s="77"/>
      <c r="BF3162" s="77"/>
      <c r="BG3162" s="77"/>
      <c r="BH3162" s="77"/>
      <c r="BI3162" s="77"/>
    </row>
    <row r="3163" spans="1:61" x14ac:dyDescent="0.25">
      <c r="A3163" s="62" t="s">
        <v>1006</v>
      </c>
      <c r="B3163" s="62" t="s">
        <v>1006</v>
      </c>
      <c r="C3163" s="63"/>
      <c r="D3163" s="64"/>
      <c r="E3163" s="65"/>
      <c r="F3163" s="66"/>
      <c r="G3163" s="63"/>
      <c r="H3163" s="67"/>
      <c r="I3163" s="68"/>
      <c r="J3163" s="68"/>
      <c r="K3163" s="32"/>
      <c r="L3163" s="75">
        <v>3163</v>
      </c>
      <c r="M3163" s="75"/>
      <c r="N3163" s="70"/>
      <c r="O3163" s="77" t="s">
        <v>179</v>
      </c>
      <c r="P3163" s="79">
        <v>45040.845277777778</v>
      </c>
      <c r="Q3163" s="77" t="s">
        <v>4369</v>
      </c>
      <c r="R3163" s="77">
        <v>0</v>
      </c>
      <c r="S3163" s="77">
        <v>0</v>
      </c>
      <c r="T3163" s="77">
        <v>0</v>
      </c>
      <c r="U3163" s="77">
        <v>0</v>
      </c>
      <c r="V3163" s="77">
        <v>48</v>
      </c>
      <c r="W3163" s="82" t="s">
        <v>6740</v>
      </c>
      <c r="X3163" s="77"/>
      <c r="Y3163" s="77"/>
      <c r="Z3163" s="77"/>
      <c r="AA3163" s="77" t="s">
        <v>9488</v>
      </c>
      <c r="AB3163" s="77" t="s">
        <v>10130</v>
      </c>
      <c r="AC3163" s="82" t="s">
        <v>10147</v>
      </c>
      <c r="AD3163" s="77" t="s">
        <v>10184</v>
      </c>
      <c r="AE3163" s="80" t="str">
        <f>HYPERLINK("https://twitter.com/imdasmilhas/status/1650594763958018048")</f>
        <v>https://twitter.com/imdasmilhas/status/1650594763958018048</v>
      </c>
      <c r="AF3163" s="79">
        <v>45040.845277777778</v>
      </c>
      <c r="AG3163" s="85">
        <v>45040</v>
      </c>
      <c r="AH3163" s="82" t="s">
        <v>13178</v>
      </c>
      <c r="AI3163" s="77" t="b">
        <v>0</v>
      </c>
      <c r="AJ3163" s="77"/>
      <c r="AK3163" s="77"/>
      <c r="AL3163" s="77"/>
      <c r="AM3163" s="77"/>
      <c r="AN3163" s="77"/>
      <c r="AO3163" s="77"/>
      <c r="AP3163" s="77"/>
      <c r="AQ3163" s="77" t="s">
        <v>16131</v>
      </c>
      <c r="AR3163" s="77"/>
      <c r="AS3163" s="77"/>
      <c r="AT3163" s="77"/>
      <c r="AU3163" s="77"/>
      <c r="AV3163" s="80" t="str">
        <f>HYPERLINK("https://pbs.twimg.com/media/FugXMLxWIBYFUgV.jpg")</f>
        <v>https://pbs.twimg.com/media/FugXMLxWIBYFUgV.jpg</v>
      </c>
      <c r="AW3163" s="82" t="s">
        <v>19929</v>
      </c>
      <c r="AX3163" s="82" t="s">
        <v>19929</v>
      </c>
      <c r="AY3163" s="77"/>
      <c r="AZ3163" s="82" t="s">
        <v>20971</v>
      </c>
      <c r="BA3163" s="82" t="s">
        <v>20971</v>
      </c>
      <c r="BB3163" s="82" t="s">
        <v>20971</v>
      </c>
      <c r="BC3163" s="82" t="s">
        <v>19929</v>
      </c>
      <c r="BD3163" s="82" t="s">
        <v>21597</v>
      </c>
      <c r="BE3163" s="77"/>
      <c r="BF3163" s="77"/>
      <c r="BG3163" s="77"/>
      <c r="BH3163" s="77"/>
      <c r="BI3163" s="77"/>
    </row>
    <row r="3164" spans="1:61" x14ac:dyDescent="0.25">
      <c r="A3164" s="62" t="s">
        <v>1006</v>
      </c>
      <c r="B3164" s="62" t="s">
        <v>1006</v>
      </c>
      <c r="C3164" s="63"/>
      <c r="D3164" s="64"/>
      <c r="E3164" s="65"/>
      <c r="F3164" s="66"/>
      <c r="G3164" s="63"/>
      <c r="H3164" s="67"/>
      <c r="I3164" s="68"/>
      <c r="J3164" s="68"/>
      <c r="K3164" s="32"/>
      <c r="L3164" s="75">
        <v>3164</v>
      </c>
      <c r="M3164" s="75"/>
      <c r="N3164" s="70"/>
      <c r="O3164" s="77" t="s">
        <v>179</v>
      </c>
      <c r="P3164" s="79">
        <v>45040.844895833332</v>
      </c>
      <c r="Q3164" s="77" t="s">
        <v>4370</v>
      </c>
      <c r="R3164" s="77">
        <v>0</v>
      </c>
      <c r="S3164" s="77">
        <v>0</v>
      </c>
      <c r="T3164" s="77">
        <v>0</v>
      </c>
      <c r="U3164" s="77">
        <v>0</v>
      </c>
      <c r="V3164" s="77">
        <v>68</v>
      </c>
      <c r="W3164" s="82" t="s">
        <v>6740</v>
      </c>
      <c r="X3164" s="77"/>
      <c r="Y3164" s="77"/>
      <c r="Z3164" s="77"/>
      <c r="AA3164" s="77" t="s">
        <v>9489</v>
      </c>
      <c r="AB3164" s="77" t="s">
        <v>10130</v>
      </c>
      <c r="AC3164" s="82" t="s">
        <v>10147</v>
      </c>
      <c r="AD3164" s="77" t="s">
        <v>10184</v>
      </c>
      <c r="AE3164" s="80" t="str">
        <f>HYPERLINK("https://twitter.com/imdasmilhas/status/1650594621976616961")</f>
        <v>https://twitter.com/imdasmilhas/status/1650594621976616961</v>
      </c>
      <c r="AF3164" s="79">
        <v>45040.844895833332</v>
      </c>
      <c r="AG3164" s="85">
        <v>45040</v>
      </c>
      <c r="AH3164" s="82" t="s">
        <v>13179</v>
      </c>
      <c r="AI3164" s="77" t="b">
        <v>0</v>
      </c>
      <c r="AJ3164" s="77"/>
      <c r="AK3164" s="77"/>
      <c r="AL3164" s="77"/>
      <c r="AM3164" s="77"/>
      <c r="AN3164" s="77"/>
      <c r="AO3164" s="77"/>
      <c r="AP3164" s="77"/>
      <c r="AQ3164" s="77" t="s">
        <v>16132</v>
      </c>
      <c r="AR3164" s="77"/>
      <c r="AS3164" s="77"/>
      <c r="AT3164" s="77"/>
      <c r="AU3164" s="77"/>
      <c r="AV3164" s="80" t="str">
        <f>HYPERLINK("https://pbs.twimg.com/media/FugXD6lWIBgDxGC.jpg")</f>
        <v>https://pbs.twimg.com/media/FugXD6lWIBgDxGC.jpg</v>
      </c>
      <c r="AW3164" s="82" t="s">
        <v>19930</v>
      </c>
      <c r="AX3164" s="82" t="s">
        <v>19930</v>
      </c>
      <c r="AY3164" s="77"/>
      <c r="AZ3164" s="82" t="s">
        <v>20971</v>
      </c>
      <c r="BA3164" s="82" t="s">
        <v>20971</v>
      </c>
      <c r="BB3164" s="82" t="s">
        <v>20971</v>
      </c>
      <c r="BC3164" s="82" t="s">
        <v>19930</v>
      </c>
      <c r="BD3164" s="82" t="s">
        <v>21597</v>
      </c>
      <c r="BE3164" s="77"/>
      <c r="BF3164" s="77"/>
      <c r="BG3164" s="77"/>
      <c r="BH3164" s="77"/>
      <c r="BI3164" s="77"/>
    </row>
    <row r="3165" spans="1:61" x14ac:dyDescent="0.25">
      <c r="A3165" s="62" t="s">
        <v>1006</v>
      </c>
      <c r="B3165" s="62" t="s">
        <v>1006</v>
      </c>
      <c r="C3165" s="63"/>
      <c r="D3165" s="64"/>
      <c r="E3165" s="65"/>
      <c r="F3165" s="66"/>
      <c r="G3165" s="63"/>
      <c r="H3165" s="67"/>
      <c r="I3165" s="68"/>
      <c r="J3165" s="68"/>
      <c r="K3165" s="32"/>
      <c r="L3165" s="75">
        <v>3165</v>
      </c>
      <c r="M3165" s="75"/>
      <c r="N3165" s="70"/>
      <c r="O3165" s="77" t="s">
        <v>179</v>
      </c>
      <c r="P3165" s="79">
        <v>45040.640370370369</v>
      </c>
      <c r="Q3165" s="77" t="s">
        <v>4371</v>
      </c>
      <c r="R3165" s="77">
        <v>0</v>
      </c>
      <c r="S3165" s="77">
        <v>0</v>
      </c>
      <c r="T3165" s="77">
        <v>0</v>
      </c>
      <c r="U3165" s="77">
        <v>0</v>
      </c>
      <c r="V3165" s="77">
        <v>132</v>
      </c>
      <c r="W3165" s="82" t="s">
        <v>6740</v>
      </c>
      <c r="X3165" s="77"/>
      <c r="Y3165" s="77"/>
      <c r="Z3165" s="77"/>
      <c r="AA3165" s="77" t="s">
        <v>9490</v>
      </c>
      <c r="AB3165" s="77" t="s">
        <v>10130</v>
      </c>
      <c r="AC3165" s="82" t="s">
        <v>10147</v>
      </c>
      <c r="AD3165" s="77" t="s">
        <v>10184</v>
      </c>
      <c r="AE3165" s="80" t="str">
        <f>HYPERLINK("https://twitter.com/imdasmilhas/status/1650520504971788288")</f>
        <v>https://twitter.com/imdasmilhas/status/1650520504971788288</v>
      </c>
      <c r="AF3165" s="79">
        <v>45040.640370370369</v>
      </c>
      <c r="AG3165" s="85">
        <v>45040</v>
      </c>
      <c r="AH3165" s="82" t="s">
        <v>13180</v>
      </c>
      <c r="AI3165" s="77" t="b">
        <v>0</v>
      </c>
      <c r="AJ3165" s="77"/>
      <c r="AK3165" s="77"/>
      <c r="AL3165" s="77"/>
      <c r="AM3165" s="77"/>
      <c r="AN3165" s="77"/>
      <c r="AO3165" s="77"/>
      <c r="AP3165" s="77"/>
      <c r="AQ3165" s="77" t="s">
        <v>16133</v>
      </c>
      <c r="AR3165" s="77"/>
      <c r="AS3165" s="77"/>
      <c r="AT3165" s="77"/>
      <c r="AU3165" s="77"/>
      <c r="AV3165" s="80" t="str">
        <f>HYPERLINK("https://pbs.twimg.com/media/FufTps7WwAQFtbQ.jpg")</f>
        <v>https://pbs.twimg.com/media/FufTps7WwAQFtbQ.jpg</v>
      </c>
      <c r="AW3165" s="82" t="s">
        <v>19931</v>
      </c>
      <c r="AX3165" s="82" t="s">
        <v>19931</v>
      </c>
      <c r="AY3165" s="77"/>
      <c r="AZ3165" s="82" t="s">
        <v>20971</v>
      </c>
      <c r="BA3165" s="82" t="s">
        <v>20971</v>
      </c>
      <c r="BB3165" s="82" t="s">
        <v>20971</v>
      </c>
      <c r="BC3165" s="82" t="s">
        <v>19931</v>
      </c>
      <c r="BD3165" s="82" t="s">
        <v>21597</v>
      </c>
      <c r="BE3165" s="77"/>
      <c r="BF3165" s="77"/>
      <c r="BG3165" s="77"/>
      <c r="BH3165" s="77"/>
      <c r="BI3165" s="77"/>
    </row>
    <row r="3166" spans="1:61" x14ac:dyDescent="0.25">
      <c r="A3166" s="62" t="s">
        <v>1006</v>
      </c>
      <c r="B3166" s="62" t="s">
        <v>1006</v>
      </c>
      <c r="C3166" s="63"/>
      <c r="D3166" s="64"/>
      <c r="E3166" s="65"/>
      <c r="F3166" s="66"/>
      <c r="G3166" s="63"/>
      <c r="H3166" s="67"/>
      <c r="I3166" s="68"/>
      <c r="J3166" s="68"/>
      <c r="K3166" s="32"/>
      <c r="L3166" s="75">
        <v>3166</v>
      </c>
      <c r="M3166" s="75"/>
      <c r="N3166" s="70"/>
      <c r="O3166" s="77" t="s">
        <v>179</v>
      </c>
      <c r="P3166" s="79">
        <v>45040.639849537038</v>
      </c>
      <c r="Q3166" s="77" t="s">
        <v>4372</v>
      </c>
      <c r="R3166" s="77">
        <v>0</v>
      </c>
      <c r="S3166" s="77">
        <v>0</v>
      </c>
      <c r="T3166" s="77">
        <v>0</v>
      </c>
      <c r="U3166" s="77">
        <v>0</v>
      </c>
      <c r="V3166" s="77">
        <v>115</v>
      </c>
      <c r="W3166" s="82" t="s">
        <v>6740</v>
      </c>
      <c r="X3166" s="77"/>
      <c r="Y3166" s="77"/>
      <c r="Z3166" s="77"/>
      <c r="AA3166" s="77" t="s">
        <v>9491</v>
      </c>
      <c r="AB3166" s="77" t="s">
        <v>10130</v>
      </c>
      <c r="AC3166" s="82" t="s">
        <v>10147</v>
      </c>
      <c r="AD3166" s="77" t="s">
        <v>10184</v>
      </c>
      <c r="AE3166" s="80" t="str">
        <f>HYPERLINK("https://twitter.com/imdasmilhas/status/1650520315473084416")</f>
        <v>https://twitter.com/imdasmilhas/status/1650520315473084416</v>
      </c>
      <c r="AF3166" s="79">
        <v>45040.639849537038</v>
      </c>
      <c r="AG3166" s="85">
        <v>45040</v>
      </c>
      <c r="AH3166" s="82" t="s">
        <v>13181</v>
      </c>
      <c r="AI3166" s="77" t="b">
        <v>0</v>
      </c>
      <c r="AJ3166" s="77"/>
      <c r="AK3166" s="77"/>
      <c r="AL3166" s="77"/>
      <c r="AM3166" s="77"/>
      <c r="AN3166" s="77"/>
      <c r="AO3166" s="77"/>
      <c r="AP3166" s="77"/>
      <c r="AQ3166" s="77" t="s">
        <v>16134</v>
      </c>
      <c r="AR3166" s="77"/>
      <c r="AS3166" s="77"/>
      <c r="AT3166" s="77"/>
      <c r="AU3166" s="77"/>
      <c r="AV3166" s="80" t="str">
        <f>HYPERLINK("https://pbs.twimg.com/media/FufTequXwAINSGK.jpg")</f>
        <v>https://pbs.twimg.com/media/FufTequXwAINSGK.jpg</v>
      </c>
      <c r="AW3166" s="82" t="s">
        <v>19932</v>
      </c>
      <c r="AX3166" s="82" t="s">
        <v>19932</v>
      </c>
      <c r="AY3166" s="77"/>
      <c r="AZ3166" s="82" t="s">
        <v>20971</v>
      </c>
      <c r="BA3166" s="82" t="s">
        <v>20971</v>
      </c>
      <c r="BB3166" s="82" t="s">
        <v>20971</v>
      </c>
      <c r="BC3166" s="82" t="s">
        <v>19932</v>
      </c>
      <c r="BD3166" s="82" t="s">
        <v>21597</v>
      </c>
      <c r="BE3166" s="77"/>
      <c r="BF3166" s="77"/>
      <c r="BG3166" s="77"/>
      <c r="BH3166" s="77"/>
      <c r="BI3166" s="77"/>
    </row>
    <row r="3167" spans="1:61" x14ac:dyDescent="0.25">
      <c r="A3167" s="62" t="s">
        <v>1006</v>
      </c>
      <c r="B3167" s="62" t="s">
        <v>1006</v>
      </c>
      <c r="C3167" s="63"/>
      <c r="D3167" s="64"/>
      <c r="E3167" s="65"/>
      <c r="F3167" s="66"/>
      <c r="G3167" s="63"/>
      <c r="H3167" s="67"/>
      <c r="I3167" s="68"/>
      <c r="J3167" s="68"/>
      <c r="K3167" s="32"/>
      <c r="L3167" s="75">
        <v>3167</v>
      </c>
      <c r="M3167" s="75"/>
      <c r="N3167" s="70"/>
      <c r="O3167" s="77" t="s">
        <v>179</v>
      </c>
      <c r="P3167" s="79">
        <v>45040.629525462966</v>
      </c>
      <c r="Q3167" s="77" t="s">
        <v>4373</v>
      </c>
      <c r="R3167" s="77">
        <v>0</v>
      </c>
      <c r="S3167" s="77">
        <v>0</v>
      </c>
      <c r="T3167" s="77">
        <v>0</v>
      </c>
      <c r="U3167" s="77">
        <v>0</v>
      </c>
      <c r="V3167" s="77">
        <v>86</v>
      </c>
      <c r="W3167" s="82" t="s">
        <v>6740</v>
      </c>
      <c r="X3167" s="77"/>
      <c r="Y3167" s="77"/>
      <c r="Z3167" s="77"/>
      <c r="AA3167" s="77" t="s">
        <v>9492</v>
      </c>
      <c r="AB3167" s="77" t="s">
        <v>10130</v>
      </c>
      <c r="AC3167" s="82" t="s">
        <v>10147</v>
      </c>
      <c r="AD3167" s="77" t="s">
        <v>10184</v>
      </c>
      <c r="AE3167" s="80" t="str">
        <f>HYPERLINK("https://twitter.com/imdasmilhas/status/1650516578113396737")</f>
        <v>https://twitter.com/imdasmilhas/status/1650516578113396737</v>
      </c>
      <c r="AF3167" s="79">
        <v>45040.629525462966</v>
      </c>
      <c r="AG3167" s="85">
        <v>45040</v>
      </c>
      <c r="AH3167" s="82" t="s">
        <v>13182</v>
      </c>
      <c r="AI3167" s="77" t="b">
        <v>0</v>
      </c>
      <c r="AJ3167" s="77"/>
      <c r="AK3167" s="77"/>
      <c r="AL3167" s="77"/>
      <c r="AM3167" s="77"/>
      <c r="AN3167" s="77"/>
      <c r="AO3167" s="77"/>
      <c r="AP3167" s="77"/>
      <c r="AQ3167" s="77" t="s">
        <v>16135</v>
      </c>
      <c r="AR3167" s="77"/>
      <c r="AS3167" s="77"/>
      <c r="AT3167" s="77"/>
      <c r="AU3167" s="77"/>
      <c r="AV3167" s="80" t="str">
        <f>HYPERLINK("https://pbs.twimg.com/media/FufQFINXgAEhwf_.jpg")</f>
        <v>https://pbs.twimg.com/media/FufQFINXgAEhwf_.jpg</v>
      </c>
      <c r="AW3167" s="82" t="s">
        <v>19933</v>
      </c>
      <c r="AX3167" s="82" t="s">
        <v>19933</v>
      </c>
      <c r="AY3167" s="77"/>
      <c r="AZ3167" s="82" t="s">
        <v>20971</v>
      </c>
      <c r="BA3167" s="82" t="s">
        <v>20971</v>
      </c>
      <c r="BB3167" s="82" t="s">
        <v>20971</v>
      </c>
      <c r="BC3167" s="82" t="s">
        <v>19933</v>
      </c>
      <c r="BD3167" s="82" t="s">
        <v>21597</v>
      </c>
      <c r="BE3167" s="77"/>
      <c r="BF3167" s="77"/>
      <c r="BG3167" s="77"/>
      <c r="BH3167" s="77"/>
      <c r="BI3167" s="77"/>
    </row>
    <row r="3168" spans="1:61" x14ac:dyDescent="0.25">
      <c r="A3168" s="62" t="s">
        <v>1006</v>
      </c>
      <c r="B3168" s="62" t="s">
        <v>1006</v>
      </c>
      <c r="C3168" s="63"/>
      <c r="D3168" s="64"/>
      <c r="E3168" s="65"/>
      <c r="F3168" s="66"/>
      <c r="G3168" s="63"/>
      <c r="H3168" s="67"/>
      <c r="I3168" s="68"/>
      <c r="J3168" s="68"/>
      <c r="K3168" s="32"/>
      <c r="L3168" s="75">
        <v>3168</v>
      </c>
      <c r="M3168" s="75"/>
      <c r="N3168" s="70"/>
      <c r="O3168" s="77" t="s">
        <v>179</v>
      </c>
      <c r="P3168" s="79">
        <v>45040.629224537035</v>
      </c>
      <c r="Q3168" s="77" t="s">
        <v>4374</v>
      </c>
      <c r="R3168" s="77">
        <v>0</v>
      </c>
      <c r="S3168" s="77">
        <v>0</v>
      </c>
      <c r="T3168" s="77">
        <v>0</v>
      </c>
      <c r="U3168" s="77">
        <v>0</v>
      </c>
      <c r="V3168" s="77">
        <v>63</v>
      </c>
      <c r="W3168" s="82" t="s">
        <v>6740</v>
      </c>
      <c r="X3168" s="77"/>
      <c r="Y3168" s="77"/>
      <c r="Z3168" s="77"/>
      <c r="AA3168" s="77" t="s">
        <v>9493</v>
      </c>
      <c r="AB3168" s="77" t="s">
        <v>10130</v>
      </c>
      <c r="AC3168" s="82" t="s">
        <v>10147</v>
      </c>
      <c r="AD3168" s="77" t="s">
        <v>10184</v>
      </c>
      <c r="AE3168" s="80" t="str">
        <f>HYPERLINK("https://twitter.com/imdasmilhas/status/1650516466213552130")</f>
        <v>https://twitter.com/imdasmilhas/status/1650516466213552130</v>
      </c>
      <c r="AF3168" s="79">
        <v>45040.629224537035</v>
      </c>
      <c r="AG3168" s="85">
        <v>45040</v>
      </c>
      <c r="AH3168" s="82" t="s">
        <v>13183</v>
      </c>
      <c r="AI3168" s="77" t="b">
        <v>0</v>
      </c>
      <c r="AJ3168" s="77"/>
      <c r="AK3168" s="77"/>
      <c r="AL3168" s="77"/>
      <c r="AM3168" s="77"/>
      <c r="AN3168" s="77"/>
      <c r="AO3168" s="77"/>
      <c r="AP3168" s="77"/>
      <c r="AQ3168" s="77" t="s">
        <v>16136</v>
      </c>
      <c r="AR3168" s="77"/>
      <c r="AS3168" s="77"/>
      <c r="AT3168" s="77"/>
      <c r="AU3168" s="77"/>
      <c r="AV3168" s="80" t="str">
        <f>HYPERLINK("https://pbs.twimg.com/media/FufP-pxWIAEB5wR.jpg")</f>
        <v>https://pbs.twimg.com/media/FufP-pxWIAEB5wR.jpg</v>
      </c>
      <c r="AW3168" s="82" t="s">
        <v>19934</v>
      </c>
      <c r="AX3168" s="82" t="s">
        <v>19934</v>
      </c>
      <c r="AY3168" s="77"/>
      <c r="AZ3168" s="82" t="s">
        <v>20971</v>
      </c>
      <c r="BA3168" s="82" t="s">
        <v>20971</v>
      </c>
      <c r="BB3168" s="82" t="s">
        <v>20971</v>
      </c>
      <c r="BC3168" s="82" t="s">
        <v>19934</v>
      </c>
      <c r="BD3168" s="82" t="s">
        <v>21597</v>
      </c>
      <c r="BE3168" s="77"/>
      <c r="BF3168" s="77"/>
      <c r="BG3168" s="77"/>
      <c r="BH3168" s="77"/>
      <c r="BI3168" s="77"/>
    </row>
    <row r="3169" spans="1:61" x14ac:dyDescent="0.25">
      <c r="A3169" s="62" t="s">
        <v>1006</v>
      </c>
      <c r="B3169" s="62" t="s">
        <v>1006</v>
      </c>
      <c r="C3169" s="63"/>
      <c r="D3169" s="64"/>
      <c r="E3169" s="65"/>
      <c r="F3169" s="66"/>
      <c r="G3169" s="63"/>
      <c r="H3169" s="67"/>
      <c r="I3169" s="68"/>
      <c r="J3169" s="68"/>
      <c r="K3169" s="32"/>
      <c r="L3169" s="75">
        <v>3169</v>
      </c>
      <c r="M3169" s="75"/>
      <c r="N3169" s="70"/>
      <c r="O3169" s="77" t="s">
        <v>179</v>
      </c>
      <c r="P3169" s="79">
        <v>45036.830312500002</v>
      </c>
      <c r="Q3169" s="77" t="s">
        <v>4375</v>
      </c>
      <c r="R3169" s="77">
        <v>0</v>
      </c>
      <c r="S3169" s="77">
        <v>0</v>
      </c>
      <c r="T3169" s="77">
        <v>0</v>
      </c>
      <c r="U3169" s="77">
        <v>0</v>
      </c>
      <c r="V3169" s="77">
        <v>56</v>
      </c>
      <c r="W3169" s="82" t="s">
        <v>6740</v>
      </c>
      <c r="X3169" s="77"/>
      <c r="Y3169" s="77"/>
      <c r="Z3169" s="77"/>
      <c r="AA3169" s="77" t="s">
        <v>9494</v>
      </c>
      <c r="AB3169" s="77" t="s">
        <v>10130</v>
      </c>
      <c r="AC3169" s="82" t="s">
        <v>10147</v>
      </c>
      <c r="AD3169" s="77" t="s">
        <v>10184</v>
      </c>
      <c r="AE3169" s="80" t="str">
        <f>HYPERLINK("https://twitter.com/imdasmilhas/status/1649139787398279186")</f>
        <v>https://twitter.com/imdasmilhas/status/1649139787398279186</v>
      </c>
      <c r="AF3169" s="79">
        <v>45036.830312500002</v>
      </c>
      <c r="AG3169" s="85">
        <v>45036</v>
      </c>
      <c r="AH3169" s="82" t="s">
        <v>13184</v>
      </c>
      <c r="AI3169" s="77" t="b">
        <v>0</v>
      </c>
      <c r="AJ3169" s="77"/>
      <c r="AK3169" s="77"/>
      <c r="AL3169" s="77"/>
      <c r="AM3169" s="77"/>
      <c r="AN3169" s="77"/>
      <c r="AO3169" s="77"/>
      <c r="AP3169" s="77"/>
      <c r="AQ3169" s="77" t="s">
        <v>16137</v>
      </c>
      <c r="AR3169" s="77"/>
      <c r="AS3169" s="77"/>
      <c r="AT3169" s="77"/>
      <c r="AU3169" s="77"/>
      <c r="AV3169" s="80" t="str">
        <f>HYPERLINK("https://pbs.twimg.com/media/FuLr5ZoWcAsNYOD.jpg")</f>
        <v>https://pbs.twimg.com/media/FuLr5ZoWcAsNYOD.jpg</v>
      </c>
      <c r="AW3169" s="82" t="s">
        <v>19935</v>
      </c>
      <c r="AX3169" s="82" t="s">
        <v>19935</v>
      </c>
      <c r="AY3169" s="77"/>
      <c r="AZ3169" s="82" t="s">
        <v>20971</v>
      </c>
      <c r="BA3169" s="82" t="s">
        <v>20971</v>
      </c>
      <c r="BB3169" s="82" t="s">
        <v>20971</v>
      </c>
      <c r="BC3169" s="82" t="s">
        <v>19935</v>
      </c>
      <c r="BD3169" s="82" t="s">
        <v>21597</v>
      </c>
      <c r="BE3169" s="77"/>
      <c r="BF3169" s="77"/>
      <c r="BG3169" s="77"/>
      <c r="BH3169" s="77"/>
      <c r="BI3169" s="77"/>
    </row>
    <row r="3170" spans="1:61" x14ac:dyDescent="0.25">
      <c r="A3170" s="62" t="s">
        <v>1006</v>
      </c>
      <c r="B3170" s="62" t="s">
        <v>1006</v>
      </c>
      <c r="C3170" s="63"/>
      <c r="D3170" s="64"/>
      <c r="E3170" s="65"/>
      <c r="F3170" s="66"/>
      <c r="G3170" s="63"/>
      <c r="H3170" s="67"/>
      <c r="I3170" s="68"/>
      <c r="J3170" s="68"/>
      <c r="K3170" s="32"/>
      <c r="L3170" s="75">
        <v>3170</v>
      </c>
      <c r="M3170" s="75"/>
      <c r="N3170" s="70"/>
      <c r="O3170" s="77" t="s">
        <v>179</v>
      </c>
      <c r="P3170" s="79">
        <v>45036.829270833332</v>
      </c>
      <c r="Q3170" s="77" t="s">
        <v>4376</v>
      </c>
      <c r="R3170" s="77">
        <v>0</v>
      </c>
      <c r="S3170" s="77">
        <v>0</v>
      </c>
      <c r="T3170" s="77">
        <v>0</v>
      </c>
      <c r="U3170" s="77">
        <v>0</v>
      </c>
      <c r="V3170" s="77">
        <v>66</v>
      </c>
      <c r="W3170" s="82" t="s">
        <v>6740</v>
      </c>
      <c r="X3170" s="77"/>
      <c r="Y3170" s="77"/>
      <c r="Z3170" s="77"/>
      <c r="AA3170" s="77" t="s">
        <v>9495</v>
      </c>
      <c r="AB3170" s="77" t="s">
        <v>10130</v>
      </c>
      <c r="AC3170" s="82" t="s">
        <v>10147</v>
      </c>
      <c r="AD3170" s="77" t="s">
        <v>10184</v>
      </c>
      <c r="AE3170" s="80" t="str">
        <f>HYPERLINK("https://twitter.com/imdasmilhas/status/1649139410665865216")</f>
        <v>https://twitter.com/imdasmilhas/status/1649139410665865216</v>
      </c>
      <c r="AF3170" s="79">
        <v>45036.829270833332</v>
      </c>
      <c r="AG3170" s="85">
        <v>45036</v>
      </c>
      <c r="AH3170" s="82" t="s">
        <v>13185</v>
      </c>
      <c r="AI3170" s="77" t="b">
        <v>0</v>
      </c>
      <c r="AJ3170" s="77"/>
      <c r="AK3170" s="77"/>
      <c r="AL3170" s="77"/>
      <c r="AM3170" s="77"/>
      <c r="AN3170" s="77"/>
      <c r="AO3170" s="77"/>
      <c r="AP3170" s="77"/>
      <c r="AQ3170" s="77" t="s">
        <v>16138</v>
      </c>
      <c r="AR3170" s="77"/>
      <c r="AS3170" s="77"/>
      <c r="AT3170" s="77"/>
      <c r="AU3170" s="77"/>
      <c r="AV3170" s="80" t="str">
        <f>HYPERLINK("https://pbs.twimg.com/media/FuLrjeZWwAEwMqq.jpg")</f>
        <v>https://pbs.twimg.com/media/FuLrjeZWwAEwMqq.jpg</v>
      </c>
      <c r="AW3170" s="82" t="s">
        <v>19936</v>
      </c>
      <c r="AX3170" s="82" t="s">
        <v>19936</v>
      </c>
      <c r="AY3170" s="77"/>
      <c r="AZ3170" s="82" t="s">
        <v>20971</v>
      </c>
      <c r="BA3170" s="82" t="s">
        <v>20971</v>
      </c>
      <c r="BB3170" s="82" t="s">
        <v>20971</v>
      </c>
      <c r="BC3170" s="82" t="s">
        <v>19936</v>
      </c>
      <c r="BD3170" s="82" t="s">
        <v>21597</v>
      </c>
      <c r="BE3170" s="77"/>
      <c r="BF3170" s="77"/>
      <c r="BG3170" s="77"/>
      <c r="BH3170" s="77"/>
      <c r="BI3170" s="77"/>
    </row>
    <row r="3171" spans="1:61" x14ac:dyDescent="0.25">
      <c r="A3171" s="62" t="s">
        <v>1006</v>
      </c>
      <c r="B3171" s="62" t="s">
        <v>1006</v>
      </c>
      <c r="C3171" s="63"/>
      <c r="D3171" s="64"/>
      <c r="E3171" s="65"/>
      <c r="F3171" s="66"/>
      <c r="G3171" s="63"/>
      <c r="H3171" s="67"/>
      <c r="I3171" s="68"/>
      <c r="J3171" s="68"/>
      <c r="K3171" s="32"/>
      <c r="L3171" s="75">
        <v>3171</v>
      </c>
      <c r="M3171" s="75"/>
      <c r="N3171" s="70"/>
      <c r="O3171" s="77" t="s">
        <v>179</v>
      </c>
      <c r="P3171" s="79">
        <v>45036.828946759262</v>
      </c>
      <c r="Q3171" s="77" t="s">
        <v>4377</v>
      </c>
      <c r="R3171" s="77">
        <v>0</v>
      </c>
      <c r="S3171" s="77">
        <v>0</v>
      </c>
      <c r="T3171" s="77">
        <v>0</v>
      </c>
      <c r="U3171" s="77">
        <v>0</v>
      </c>
      <c r="V3171" s="77">
        <v>76</v>
      </c>
      <c r="W3171" s="82" t="s">
        <v>6740</v>
      </c>
      <c r="X3171" s="77"/>
      <c r="Y3171" s="77"/>
      <c r="Z3171" s="77"/>
      <c r="AA3171" s="77" t="s">
        <v>9496</v>
      </c>
      <c r="AB3171" s="77" t="s">
        <v>10130</v>
      </c>
      <c r="AC3171" s="82" t="s">
        <v>10147</v>
      </c>
      <c r="AD3171" s="77" t="s">
        <v>10184</v>
      </c>
      <c r="AE3171" s="80" t="str">
        <f>HYPERLINK("https://twitter.com/imdasmilhas/status/1649139291593797636")</f>
        <v>https://twitter.com/imdasmilhas/status/1649139291593797636</v>
      </c>
      <c r="AF3171" s="79">
        <v>45036.828946759262</v>
      </c>
      <c r="AG3171" s="85">
        <v>45036</v>
      </c>
      <c r="AH3171" s="82" t="s">
        <v>13186</v>
      </c>
      <c r="AI3171" s="77" t="b">
        <v>0</v>
      </c>
      <c r="AJ3171" s="77"/>
      <c r="AK3171" s="77"/>
      <c r="AL3171" s="77"/>
      <c r="AM3171" s="77"/>
      <c r="AN3171" s="77"/>
      <c r="AO3171" s="77"/>
      <c r="AP3171" s="77"/>
      <c r="AQ3171" s="77" t="s">
        <v>16139</v>
      </c>
      <c r="AR3171" s="77"/>
      <c r="AS3171" s="77"/>
      <c r="AT3171" s="77"/>
      <c r="AU3171" s="77"/>
      <c r="AV3171" s="80" t="str">
        <f>HYPERLINK("https://pbs.twimg.com/media/FuLrcfHWcAstLHb.jpg")</f>
        <v>https://pbs.twimg.com/media/FuLrcfHWcAstLHb.jpg</v>
      </c>
      <c r="AW3171" s="82" t="s">
        <v>19937</v>
      </c>
      <c r="AX3171" s="82" t="s">
        <v>19937</v>
      </c>
      <c r="AY3171" s="77"/>
      <c r="AZ3171" s="82" t="s">
        <v>20971</v>
      </c>
      <c r="BA3171" s="82" t="s">
        <v>20971</v>
      </c>
      <c r="BB3171" s="82" t="s">
        <v>20971</v>
      </c>
      <c r="BC3171" s="82" t="s">
        <v>19937</v>
      </c>
      <c r="BD3171" s="82" t="s">
        <v>21597</v>
      </c>
      <c r="BE3171" s="77"/>
      <c r="BF3171" s="77"/>
      <c r="BG3171" s="77"/>
      <c r="BH3171" s="77"/>
      <c r="BI3171" s="77"/>
    </row>
    <row r="3172" spans="1:61" x14ac:dyDescent="0.25">
      <c r="A3172" s="62" t="s">
        <v>1006</v>
      </c>
      <c r="B3172" s="62" t="s">
        <v>1006</v>
      </c>
      <c r="C3172" s="63"/>
      <c r="D3172" s="64"/>
      <c r="E3172" s="65"/>
      <c r="F3172" s="66"/>
      <c r="G3172" s="63"/>
      <c r="H3172" s="67"/>
      <c r="I3172" s="68"/>
      <c r="J3172" s="68"/>
      <c r="K3172" s="32"/>
      <c r="L3172" s="75">
        <v>3172</v>
      </c>
      <c r="M3172" s="75"/>
      <c r="N3172" s="70"/>
      <c r="O3172" s="77" t="s">
        <v>179</v>
      </c>
      <c r="P3172" s="79">
        <v>45036.617650462962</v>
      </c>
      <c r="Q3172" s="77" t="s">
        <v>4378</v>
      </c>
      <c r="R3172" s="77">
        <v>0</v>
      </c>
      <c r="S3172" s="77">
        <v>0</v>
      </c>
      <c r="T3172" s="77">
        <v>0</v>
      </c>
      <c r="U3172" s="77">
        <v>0</v>
      </c>
      <c r="V3172" s="77">
        <v>107</v>
      </c>
      <c r="W3172" s="82" t="s">
        <v>6740</v>
      </c>
      <c r="X3172" s="77"/>
      <c r="Y3172" s="77"/>
      <c r="Z3172" s="77"/>
      <c r="AA3172" s="77" t="s">
        <v>9497</v>
      </c>
      <c r="AB3172" s="77" t="s">
        <v>10130</v>
      </c>
      <c r="AC3172" s="82" t="s">
        <v>10147</v>
      </c>
      <c r="AD3172" s="77" t="s">
        <v>10184</v>
      </c>
      <c r="AE3172" s="80" t="str">
        <f>HYPERLINK("https://twitter.com/imdasmilhas/status/1649062720405225473")</f>
        <v>https://twitter.com/imdasmilhas/status/1649062720405225473</v>
      </c>
      <c r="AF3172" s="79">
        <v>45036.617650462962</v>
      </c>
      <c r="AG3172" s="85">
        <v>45036</v>
      </c>
      <c r="AH3172" s="82" t="s">
        <v>13187</v>
      </c>
      <c r="AI3172" s="77" t="b">
        <v>0</v>
      </c>
      <c r="AJ3172" s="77"/>
      <c r="AK3172" s="77"/>
      <c r="AL3172" s="77"/>
      <c r="AM3172" s="77"/>
      <c r="AN3172" s="77"/>
      <c r="AO3172" s="77"/>
      <c r="AP3172" s="77"/>
      <c r="AQ3172" s="77" t="s">
        <v>16140</v>
      </c>
      <c r="AR3172" s="77"/>
      <c r="AS3172" s="77"/>
      <c r="AT3172" s="77"/>
      <c r="AU3172" s="77"/>
      <c r="AV3172" s="80" t="str">
        <f>HYPERLINK("https://pbs.twimg.com/media/FuKlzfkWwAAYOrs.jpg")</f>
        <v>https://pbs.twimg.com/media/FuKlzfkWwAAYOrs.jpg</v>
      </c>
      <c r="AW3172" s="82" t="s">
        <v>19938</v>
      </c>
      <c r="AX3172" s="82" t="s">
        <v>19938</v>
      </c>
      <c r="AY3172" s="77"/>
      <c r="AZ3172" s="82" t="s">
        <v>20971</v>
      </c>
      <c r="BA3172" s="82" t="s">
        <v>20971</v>
      </c>
      <c r="BB3172" s="82" t="s">
        <v>20971</v>
      </c>
      <c r="BC3172" s="82" t="s">
        <v>19938</v>
      </c>
      <c r="BD3172" s="82" t="s">
        <v>21597</v>
      </c>
      <c r="BE3172" s="77"/>
      <c r="BF3172" s="77"/>
      <c r="BG3172" s="77"/>
      <c r="BH3172" s="77"/>
      <c r="BI3172" s="77"/>
    </row>
    <row r="3173" spans="1:61" x14ac:dyDescent="0.25">
      <c r="A3173" s="62" t="s">
        <v>1006</v>
      </c>
      <c r="B3173" s="62" t="s">
        <v>1006</v>
      </c>
      <c r="C3173" s="63"/>
      <c r="D3173" s="64"/>
      <c r="E3173" s="65"/>
      <c r="F3173" s="66"/>
      <c r="G3173" s="63"/>
      <c r="H3173" s="67"/>
      <c r="I3173" s="68"/>
      <c r="J3173" s="68"/>
      <c r="K3173" s="32"/>
      <c r="L3173" s="75">
        <v>3173</v>
      </c>
      <c r="M3173" s="75"/>
      <c r="N3173" s="70"/>
      <c r="O3173" s="77" t="s">
        <v>179</v>
      </c>
      <c r="P3173" s="79">
        <v>45036.60019675926</v>
      </c>
      <c r="Q3173" s="77" t="s">
        <v>4379</v>
      </c>
      <c r="R3173" s="77">
        <v>0</v>
      </c>
      <c r="S3173" s="77">
        <v>0</v>
      </c>
      <c r="T3173" s="77">
        <v>0</v>
      </c>
      <c r="U3173" s="77">
        <v>0</v>
      </c>
      <c r="V3173" s="77">
        <v>77</v>
      </c>
      <c r="W3173" s="82" t="s">
        <v>6740</v>
      </c>
      <c r="X3173" s="77"/>
      <c r="Y3173" s="77"/>
      <c r="Z3173" s="77"/>
      <c r="AA3173" s="77" t="s">
        <v>9498</v>
      </c>
      <c r="AB3173" s="77" t="s">
        <v>10130</v>
      </c>
      <c r="AC3173" s="82" t="s">
        <v>10147</v>
      </c>
      <c r="AD3173" s="77" t="s">
        <v>10184</v>
      </c>
      <c r="AE3173" s="80" t="str">
        <f>HYPERLINK("https://twitter.com/imdasmilhas/status/1649056396397416460")</f>
        <v>https://twitter.com/imdasmilhas/status/1649056396397416460</v>
      </c>
      <c r="AF3173" s="79">
        <v>45036.60019675926</v>
      </c>
      <c r="AG3173" s="85">
        <v>45036</v>
      </c>
      <c r="AH3173" s="82" t="s">
        <v>13188</v>
      </c>
      <c r="AI3173" s="77" t="b">
        <v>0</v>
      </c>
      <c r="AJ3173" s="77"/>
      <c r="AK3173" s="77"/>
      <c r="AL3173" s="77"/>
      <c r="AM3173" s="77"/>
      <c r="AN3173" s="77"/>
      <c r="AO3173" s="77"/>
      <c r="AP3173" s="77"/>
      <c r="AQ3173" s="77" t="s">
        <v>16141</v>
      </c>
      <c r="AR3173" s="77"/>
      <c r="AS3173" s="77"/>
      <c r="AT3173" s="77"/>
      <c r="AU3173" s="77"/>
      <c r="AV3173" s="80" t="str">
        <f>HYPERLINK("https://pbs.twimg.com/media/FuKgDZ_XwAAjbO6.jpg")</f>
        <v>https://pbs.twimg.com/media/FuKgDZ_XwAAjbO6.jpg</v>
      </c>
      <c r="AW3173" s="82" t="s">
        <v>19939</v>
      </c>
      <c r="AX3173" s="82" t="s">
        <v>19939</v>
      </c>
      <c r="AY3173" s="77"/>
      <c r="AZ3173" s="82" t="s">
        <v>20971</v>
      </c>
      <c r="BA3173" s="82" t="s">
        <v>20971</v>
      </c>
      <c r="BB3173" s="82" t="s">
        <v>20971</v>
      </c>
      <c r="BC3173" s="82" t="s">
        <v>19939</v>
      </c>
      <c r="BD3173" s="82" t="s">
        <v>21597</v>
      </c>
      <c r="BE3173" s="77"/>
      <c r="BF3173" s="77"/>
      <c r="BG3173" s="77"/>
      <c r="BH3173" s="77"/>
      <c r="BI3173" s="77"/>
    </row>
    <row r="3174" spans="1:61" x14ac:dyDescent="0.25">
      <c r="A3174" s="62" t="s">
        <v>1006</v>
      </c>
      <c r="B3174" s="62" t="s">
        <v>1006</v>
      </c>
      <c r="C3174" s="63"/>
      <c r="D3174" s="64"/>
      <c r="E3174" s="65"/>
      <c r="F3174" s="66"/>
      <c r="G3174" s="63"/>
      <c r="H3174" s="67"/>
      <c r="I3174" s="68"/>
      <c r="J3174" s="68"/>
      <c r="K3174" s="32"/>
      <c r="L3174" s="75">
        <v>3174</v>
      </c>
      <c r="M3174" s="75"/>
      <c r="N3174" s="70"/>
      <c r="O3174" s="77" t="s">
        <v>179</v>
      </c>
      <c r="P3174" s="79">
        <v>45015.736805555556</v>
      </c>
      <c r="Q3174" s="77" t="s">
        <v>4380</v>
      </c>
      <c r="R3174" s="77">
        <v>0</v>
      </c>
      <c r="S3174" s="77">
        <v>0</v>
      </c>
      <c r="T3174" s="77">
        <v>0</v>
      </c>
      <c r="U3174" s="77">
        <v>0</v>
      </c>
      <c r="V3174" s="77">
        <v>72</v>
      </c>
      <c r="W3174" s="82" t="s">
        <v>6740</v>
      </c>
      <c r="X3174" s="77"/>
      <c r="Y3174" s="77"/>
      <c r="Z3174" s="77"/>
      <c r="AA3174" s="77" t="s">
        <v>9499</v>
      </c>
      <c r="AB3174" s="77" t="s">
        <v>10130</v>
      </c>
      <c r="AC3174" s="82" t="s">
        <v>10147</v>
      </c>
      <c r="AD3174" s="77" t="s">
        <v>10184</v>
      </c>
      <c r="AE3174" s="80" t="str">
        <f>HYPERLINK("https://twitter.com/imdasmilhas/status/1641495757239746562")</f>
        <v>https://twitter.com/imdasmilhas/status/1641495757239746562</v>
      </c>
      <c r="AF3174" s="79">
        <v>45015.736805555556</v>
      </c>
      <c r="AG3174" s="85">
        <v>45015</v>
      </c>
      <c r="AH3174" s="82" t="s">
        <v>13189</v>
      </c>
      <c r="AI3174" s="77" t="b">
        <v>0</v>
      </c>
      <c r="AJ3174" s="77"/>
      <c r="AK3174" s="77"/>
      <c r="AL3174" s="77"/>
      <c r="AM3174" s="77"/>
      <c r="AN3174" s="77"/>
      <c r="AO3174" s="77"/>
      <c r="AP3174" s="77"/>
      <c r="AQ3174" s="77" t="s">
        <v>16142</v>
      </c>
      <c r="AR3174" s="77"/>
      <c r="AS3174" s="77"/>
      <c r="AT3174" s="77"/>
      <c r="AU3174" s="77"/>
      <c r="AV3174" s="80" t="str">
        <f>HYPERLINK("https://pbs.twimg.com/media/FsfDsSQWYAELMm-.jpg")</f>
        <v>https://pbs.twimg.com/media/FsfDsSQWYAELMm-.jpg</v>
      </c>
      <c r="AW3174" s="82" t="s">
        <v>19940</v>
      </c>
      <c r="AX3174" s="82" t="s">
        <v>19940</v>
      </c>
      <c r="AY3174" s="77"/>
      <c r="AZ3174" s="82" t="s">
        <v>20971</v>
      </c>
      <c r="BA3174" s="82" t="s">
        <v>20971</v>
      </c>
      <c r="BB3174" s="82" t="s">
        <v>20971</v>
      </c>
      <c r="BC3174" s="82" t="s">
        <v>19940</v>
      </c>
      <c r="BD3174" s="82" t="s">
        <v>21597</v>
      </c>
      <c r="BE3174" s="77"/>
      <c r="BF3174" s="77"/>
      <c r="BG3174" s="77"/>
      <c r="BH3174" s="77"/>
      <c r="BI3174" s="77"/>
    </row>
    <row r="3175" spans="1:61" x14ac:dyDescent="0.25">
      <c r="A3175" s="62" t="s">
        <v>1006</v>
      </c>
      <c r="B3175" s="62" t="s">
        <v>1006</v>
      </c>
      <c r="C3175" s="63"/>
      <c r="D3175" s="64"/>
      <c r="E3175" s="65"/>
      <c r="F3175" s="66"/>
      <c r="G3175" s="63"/>
      <c r="H3175" s="67"/>
      <c r="I3175" s="68"/>
      <c r="J3175" s="68"/>
      <c r="K3175" s="32"/>
      <c r="L3175" s="75">
        <v>3175</v>
      </c>
      <c r="M3175" s="75"/>
      <c r="N3175" s="70"/>
      <c r="O3175" s="77" t="s">
        <v>179</v>
      </c>
      <c r="P3175" s="79">
        <v>45015.735983796294</v>
      </c>
      <c r="Q3175" s="77" t="s">
        <v>4381</v>
      </c>
      <c r="R3175" s="77">
        <v>0</v>
      </c>
      <c r="S3175" s="77">
        <v>0</v>
      </c>
      <c r="T3175" s="77">
        <v>0</v>
      </c>
      <c r="U3175" s="77">
        <v>0</v>
      </c>
      <c r="V3175" s="77">
        <v>77</v>
      </c>
      <c r="W3175" s="82" t="s">
        <v>6740</v>
      </c>
      <c r="X3175" s="77"/>
      <c r="Y3175" s="77"/>
      <c r="Z3175" s="77"/>
      <c r="AA3175" s="77" t="s">
        <v>9500</v>
      </c>
      <c r="AB3175" s="77" t="s">
        <v>10130</v>
      </c>
      <c r="AC3175" s="82" t="s">
        <v>10147</v>
      </c>
      <c r="AD3175" s="77" t="s">
        <v>10184</v>
      </c>
      <c r="AE3175" s="80" t="str">
        <f>HYPERLINK("https://twitter.com/imdasmilhas/status/1641495459276415004")</f>
        <v>https://twitter.com/imdasmilhas/status/1641495459276415004</v>
      </c>
      <c r="AF3175" s="79">
        <v>45015.735983796294</v>
      </c>
      <c r="AG3175" s="85">
        <v>45015</v>
      </c>
      <c r="AH3175" s="82" t="s">
        <v>13190</v>
      </c>
      <c r="AI3175" s="77" t="b">
        <v>0</v>
      </c>
      <c r="AJ3175" s="77"/>
      <c r="AK3175" s="77"/>
      <c r="AL3175" s="77"/>
      <c r="AM3175" s="77"/>
      <c r="AN3175" s="77"/>
      <c r="AO3175" s="77"/>
      <c r="AP3175" s="77"/>
      <c r="AQ3175" s="77" t="s">
        <v>16143</v>
      </c>
      <c r="AR3175" s="77"/>
      <c r="AS3175" s="77"/>
      <c r="AT3175" s="77"/>
      <c r="AU3175" s="77"/>
      <c r="AV3175" s="80" t="str">
        <f>HYPERLINK("https://pbs.twimg.com/media/FsfDa40XwAAYCND.jpg")</f>
        <v>https://pbs.twimg.com/media/FsfDa40XwAAYCND.jpg</v>
      </c>
      <c r="AW3175" s="82" t="s">
        <v>19941</v>
      </c>
      <c r="AX3175" s="82" t="s">
        <v>19941</v>
      </c>
      <c r="AY3175" s="77"/>
      <c r="AZ3175" s="82" t="s">
        <v>20971</v>
      </c>
      <c r="BA3175" s="82" t="s">
        <v>20971</v>
      </c>
      <c r="BB3175" s="82" t="s">
        <v>20971</v>
      </c>
      <c r="BC3175" s="82" t="s">
        <v>19941</v>
      </c>
      <c r="BD3175" s="82" t="s">
        <v>21597</v>
      </c>
      <c r="BE3175" s="77"/>
      <c r="BF3175" s="77"/>
      <c r="BG3175" s="77"/>
      <c r="BH3175" s="77"/>
      <c r="BI3175" s="77"/>
    </row>
    <row r="3176" spans="1:61" x14ac:dyDescent="0.25">
      <c r="A3176" s="62" t="s">
        <v>1006</v>
      </c>
      <c r="B3176" s="62" t="s">
        <v>1006</v>
      </c>
      <c r="C3176" s="63"/>
      <c r="D3176" s="64"/>
      <c r="E3176" s="65"/>
      <c r="F3176" s="66"/>
      <c r="G3176" s="63"/>
      <c r="H3176" s="67"/>
      <c r="I3176" s="68"/>
      <c r="J3176" s="68"/>
      <c r="K3176" s="32"/>
      <c r="L3176" s="75">
        <v>3176</v>
      </c>
      <c r="M3176" s="75"/>
      <c r="N3176" s="70"/>
      <c r="O3176" s="77" t="s">
        <v>179</v>
      </c>
      <c r="P3176" s="79">
        <v>45015.735497685186</v>
      </c>
      <c r="Q3176" s="77" t="s">
        <v>4382</v>
      </c>
      <c r="R3176" s="77">
        <v>0</v>
      </c>
      <c r="S3176" s="77">
        <v>0</v>
      </c>
      <c r="T3176" s="77">
        <v>0</v>
      </c>
      <c r="U3176" s="77">
        <v>0</v>
      </c>
      <c r="V3176" s="77">
        <v>118</v>
      </c>
      <c r="W3176" s="82" t="s">
        <v>6740</v>
      </c>
      <c r="X3176" s="77"/>
      <c r="Y3176" s="77"/>
      <c r="Z3176" s="77"/>
      <c r="AA3176" s="77" t="s">
        <v>9501</v>
      </c>
      <c r="AB3176" s="77" t="s">
        <v>10130</v>
      </c>
      <c r="AC3176" s="82" t="s">
        <v>10147</v>
      </c>
      <c r="AD3176" s="77" t="s">
        <v>10184</v>
      </c>
      <c r="AE3176" s="80" t="str">
        <f>HYPERLINK("https://twitter.com/imdasmilhas/status/1641495282788491274")</f>
        <v>https://twitter.com/imdasmilhas/status/1641495282788491274</v>
      </c>
      <c r="AF3176" s="79">
        <v>45015.735497685186</v>
      </c>
      <c r="AG3176" s="85">
        <v>45015</v>
      </c>
      <c r="AH3176" s="82" t="s">
        <v>13191</v>
      </c>
      <c r="AI3176" s="77" t="b">
        <v>0</v>
      </c>
      <c r="AJ3176" s="77"/>
      <c r="AK3176" s="77"/>
      <c r="AL3176" s="77"/>
      <c r="AM3176" s="77"/>
      <c r="AN3176" s="77"/>
      <c r="AO3176" s="77"/>
      <c r="AP3176" s="77"/>
      <c r="AQ3176" s="77" t="s">
        <v>16144</v>
      </c>
      <c r="AR3176" s="77"/>
      <c r="AS3176" s="77"/>
      <c r="AT3176" s="77"/>
      <c r="AU3176" s="77"/>
      <c r="AV3176" s="80" t="str">
        <f>HYPERLINK("https://pbs.twimg.com/media/FsfDQpGWcAEsDaM.jpg")</f>
        <v>https://pbs.twimg.com/media/FsfDQpGWcAEsDaM.jpg</v>
      </c>
      <c r="AW3176" s="82" t="s">
        <v>19942</v>
      </c>
      <c r="AX3176" s="82" t="s">
        <v>19942</v>
      </c>
      <c r="AY3176" s="77"/>
      <c r="AZ3176" s="82" t="s">
        <v>20971</v>
      </c>
      <c r="BA3176" s="82" t="s">
        <v>20971</v>
      </c>
      <c r="BB3176" s="82" t="s">
        <v>20971</v>
      </c>
      <c r="BC3176" s="82" t="s">
        <v>19942</v>
      </c>
      <c r="BD3176" s="82" t="s">
        <v>21597</v>
      </c>
      <c r="BE3176" s="77"/>
      <c r="BF3176" s="77"/>
      <c r="BG3176" s="77"/>
      <c r="BH3176" s="77"/>
      <c r="BI3176" s="77"/>
    </row>
    <row r="3177" spans="1:61" x14ac:dyDescent="0.25">
      <c r="A3177" s="62" t="s">
        <v>1006</v>
      </c>
      <c r="B3177" s="62" t="s">
        <v>1006</v>
      </c>
      <c r="C3177" s="63"/>
      <c r="D3177" s="64"/>
      <c r="E3177" s="65"/>
      <c r="F3177" s="66"/>
      <c r="G3177" s="63"/>
      <c r="H3177" s="67"/>
      <c r="I3177" s="68"/>
      <c r="J3177" s="68"/>
      <c r="K3177" s="32"/>
      <c r="L3177" s="75">
        <v>3177</v>
      </c>
      <c r="M3177" s="75"/>
      <c r="N3177" s="70"/>
      <c r="O3177" s="77" t="s">
        <v>179</v>
      </c>
      <c r="P3177" s="79">
        <v>45015.723854166667</v>
      </c>
      <c r="Q3177" s="77" t="s">
        <v>4383</v>
      </c>
      <c r="R3177" s="77">
        <v>0</v>
      </c>
      <c r="S3177" s="77">
        <v>0</v>
      </c>
      <c r="T3177" s="77">
        <v>0</v>
      </c>
      <c r="U3177" s="77">
        <v>0</v>
      </c>
      <c r="V3177" s="77">
        <v>122</v>
      </c>
      <c r="W3177" s="82" t="s">
        <v>6740</v>
      </c>
      <c r="X3177" s="77"/>
      <c r="Y3177" s="77"/>
      <c r="Z3177" s="77"/>
      <c r="AA3177" s="77" t="s">
        <v>9502</v>
      </c>
      <c r="AB3177" s="77" t="s">
        <v>10130</v>
      </c>
      <c r="AC3177" s="82" t="s">
        <v>10147</v>
      </c>
      <c r="AD3177" s="77" t="s">
        <v>10184</v>
      </c>
      <c r="AE3177" s="80" t="str">
        <f>HYPERLINK("https://twitter.com/imdasmilhas/status/1641491064518324224")</f>
        <v>https://twitter.com/imdasmilhas/status/1641491064518324224</v>
      </c>
      <c r="AF3177" s="79">
        <v>45015.723854166667</v>
      </c>
      <c r="AG3177" s="85">
        <v>45015</v>
      </c>
      <c r="AH3177" s="82" t="s">
        <v>13192</v>
      </c>
      <c r="AI3177" s="77" t="b">
        <v>0</v>
      </c>
      <c r="AJ3177" s="77"/>
      <c r="AK3177" s="77"/>
      <c r="AL3177" s="77"/>
      <c r="AM3177" s="77"/>
      <c r="AN3177" s="77"/>
      <c r="AO3177" s="77"/>
      <c r="AP3177" s="77"/>
      <c r="AQ3177" s="77" t="s">
        <v>16145</v>
      </c>
      <c r="AR3177" s="77"/>
      <c r="AS3177" s="77"/>
      <c r="AT3177" s="77"/>
      <c r="AU3177" s="77"/>
      <c r="AV3177" s="80" t="str">
        <f>HYPERLINK("https://pbs.twimg.com/media/Fse_bIiWYAAXsKq.jpg")</f>
        <v>https://pbs.twimg.com/media/Fse_bIiWYAAXsKq.jpg</v>
      </c>
      <c r="AW3177" s="82" t="s">
        <v>19943</v>
      </c>
      <c r="AX3177" s="82" t="s">
        <v>19943</v>
      </c>
      <c r="AY3177" s="77"/>
      <c r="AZ3177" s="82" t="s">
        <v>20971</v>
      </c>
      <c r="BA3177" s="82" t="s">
        <v>20971</v>
      </c>
      <c r="BB3177" s="82" t="s">
        <v>20971</v>
      </c>
      <c r="BC3177" s="82" t="s">
        <v>19943</v>
      </c>
      <c r="BD3177" s="82" t="s">
        <v>21597</v>
      </c>
      <c r="BE3177" s="77"/>
      <c r="BF3177" s="77"/>
      <c r="BG3177" s="77"/>
      <c r="BH3177" s="77"/>
      <c r="BI3177" s="77"/>
    </row>
    <row r="3178" spans="1:61" x14ac:dyDescent="0.25">
      <c r="A3178" s="62" t="s">
        <v>1006</v>
      </c>
      <c r="B3178" s="62" t="s">
        <v>1006</v>
      </c>
      <c r="C3178" s="63"/>
      <c r="D3178" s="64"/>
      <c r="E3178" s="65"/>
      <c r="F3178" s="66"/>
      <c r="G3178" s="63"/>
      <c r="H3178" s="67"/>
      <c r="I3178" s="68"/>
      <c r="J3178" s="68"/>
      <c r="K3178" s="32"/>
      <c r="L3178" s="75">
        <v>3178</v>
      </c>
      <c r="M3178" s="75"/>
      <c r="N3178" s="70"/>
      <c r="O3178" s="77" t="s">
        <v>179</v>
      </c>
      <c r="P3178" s="79">
        <v>45015.723564814813</v>
      </c>
      <c r="Q3178" s="77" t="s">
        <v>4384</v>
      </c>
      <c r="R3178" s="77">
        <v>0</v>
      </c>
      <c r="S3178" s="77">
        <v>0</v>
      </c>
      <c r="T3178" s="77">
        <v>0</v>
      </c>
      <c r="U3178" s="77">
        <v>0</v>
      </c>
      <c r="V3178" s="77">
        <v>75</v>
      </c>
      <c r="W3178" s="82" t="s">
        <v>6740</v>
      </c>
      <c r="X3178" s="77"/>
      <c r="Y3178" s="77"/>
      <c r="Z3178" s="77"/>
      <c r="AA3178" s="77" t="s">
        <v>9503</v>
      </c>
      <c r="AB3178" s="77" t="s">
        <v>10130</v>
      </c>
      <c r="AC3178" s="82" t="s">
        <v>10147</v>
      </c>
      <c r="AD3178" s="77" t="s">
        <v>10184</v>
      </c>
      <c r="AE3178" s="80" t="str">
        <f>HYPERLINK("https://twitter.com/imdasmilhas/status/1641490958947692556")</f>
        <v>https://twitter.com/imdasmilhas/status/1641490958947692556</v>
      </c>
      <c r="AF3178" s="79">
        <v>45015.723564814813</v>
      </c>
      <c r="AG3178" s="85">
        <v>45015</v>
      </c>
      <c r="AH3178" s="82" t="s">
        <v>13193</v>
      </c>
      <c r="AI3178" s="77" t="b">
        <v>0</v>
      </c>
      <c r="AJ3178" s="77"/>
      <c r="AK3178" s="77"/>
      <c r="AL3178" s="77"/>
      <c r="AM3178" s="77"/>
      <c r="AN3178" s="77"/>
      <c r="AO3178" s="77"/>
      <c r="AP3178" s="77"/>
      <c r="AQ3178" s="77" t="s">
        <v>16146</v>
      </c>
      <c r="AR3178" s="77"/>
      <c r="AS3178" s="77"/>
      <c r="AT3178" s="77"/>
      <c r="AU3178" s="77"/>
      <c r="AV3178" s="80" t="str">
        <f>HYPERLINK("https://pbs.twimg.com/media/Fse_U-QXsAMTB9Q.jpg")</f>
        <v>https://pbs.twimg.com/media/Fse_U-QXsAMTB9Q.jpg</v>
      </c>
      <c r="AW3178" s="82" t="s">
        <v>19944</v>
      </c>
      <c r="AX3178" s="82" t="s">
        <v>19944</v>
      </c>
      <c r="AY3178" s="77"/>
      <c r="AZ3178" s="82" t="s">
        <v>20971</v>
      </c>
      <c r="BA3178" s="82" t="s">
        <v>20971</v>
      </c>
      <c r="BB3178" s="82" t="s">
        <v>20971</v>
      </c>
      <c r="BC3178" s="82" t="s">
        <v>19944</v>
      </c>
      <c r="BD3178" s="82" t="s">
        <v>21597</v>
      </c>
      <c r="BE3178" s="77"/>
      <c r="BF3178" s="77"/>
      <c r="BG3178" s="77"/>
      <c r="BH3178" s="77"/>
      <c r="BI3178" s="77"/>
    </row>
    <row r="3179" spans="1:61" x14ac:dyDescent="0.25">
      <c r="A3179" s="62" t="s">
        <v>1006</v>
      </c>
      <c r="B3179" s="62" t="s">
        <v>1006</v>
      </c>
      <c r="C3179" s="63"/>
      <c r="D3179" s="64"/>
      <c r="E3179" s="65"/>
      <c r="F3179" s="66"/>
      <c r="G3179" s="63"/>
      <c r="H3179" s="67"/>
      <c r="I3179" s="68"/>
      <c r="J3179" s="68"/>
      <c r="K3179" s="32"/>
      <c r="L3179" s="75">
        <v>3179</v>
      </c>
      <c r="M3179" s="75"/>
      <c r="N3179" s="70"/>
      <c r="O3179" s="77" t="s">
        <v>179</v>
      </c>
      <c r="P3179" s="79">
        <v>45015.723298611112</v>
      </c>
      <c r="Q3179" s="77" t="s">
        <v>4385</v>
      </c>
      <c r="R3179" s="77">
        <v>0</v>
      </c>
      <c r="S3179" s="77">
        <v>0</v>
      </c>
      <c r="T3179" s="77">
        <v>0</v>
      </c>
      <c r="U3179" s="77">
        <v>0</v>
      </c>
      <c r="V3179" s="77">
        <v>104</v>
      </c>
      <c r="W3179" s="82" t="s">
        <v>6740</v>
      </c>
      <c r="X3179" s="77"/>
      <c r="Y3179" s="77"/>
      <c r="Z3179" s="77"/>
      <c r="AA3179" s="77" t="s">
        <v>9504</v>
      </c>
      <c r="AB3179" s="77" t="s">
        <v>10130</v>
      </c>
      <c r="AC3179" s="82" t="s">
        <v>10147</v>
      </c>
      <c r="AD3179" s="77" t="s">
        <v>10184</v>
      </c>
      <c r="AE3179" s="80" t="str">
        <f>HYPERLINK("https://twitter.com/imdasmilhas/status/1641490861266546715")</f>
        <v>https://twitter.com/imdasmilhas/status/1641490861266546715</v>
      </c>
      <c r="AF3179" s="79">
        <v>45015.723298611112</v>
      </c>
      <c r="AG3179" s="85">
        <v>45015</v>
      </c>
      <c r="AH3179" s="82" t="s">
        <v>13194</v>
      </c>
      <c r="AI3179" s="77" t="b">
        <v>0</v>
      </c>
      <c r="AJ3179" s="77"/>
      <c r="AK3179" s="77"/>
      <c r="AL3179" s="77"/>
      <c r="AM3179" s="77"/>
      <c r="AN3179" s="77"/>
      <c r="AO3179" s="77"/>
      <c r="AP3179" s="77"/>
      <c r="AQ3179" s="77" t="s">
        <v>16147</v>
      </c>
      <c r="AR3179" s="77"/>
      <c r="AS3179" s="77"/>
      <c r="AT3179" s="77"/>
      <c r="AU3179" s="77"/>
      <c r="AV3179" s="80" t="str">
        <f>HYPERLINK("https://pbs.twimg.com/media/Fse_PTeXsBgx9wQ.jpg")</f>
        <v>https://pbs.twimg.com/media/Fse_PTeXsBgx9wQ.jpg</v>
      </c>
      <c r="AW3179" s="82" t="s">
        <v>19945</v>
      </c>
      <c r="AX3179" s="82" t="s">
        <v>19945</v>
      </c>
      <c r="AY3179" s="77"/>
      <c r="AZ3179" s="82" t="s">
        <v>20971</v>
      </c>
      <c r="BA3179" s="82" t="s">
        <v>20971</v>
      </c>
      <c r="BB3179" s="82" t="s">
        <v>20971</v>
      </c>
      <c r="BC3179" s="82" t="s">
        <v>19945</v>
      </c>
      <c r="BD3179" s="82" t="s">
        <v>21597</v>
      </c>
      <c r="BE3179" s="77"/>
      <c r="BF3179" s="77"/>
      <c r="BG3179" s="77"/>
      <c r="BH3179" s="77"/>
      <c r="BI3179" s="77"/>
    </row>
    <row r="3180" spans="1:61" x14ac:dyDescent="0.25">
      <c r="A3180" s="62" t="s">
        <v>1006</v>
      </c>
      <c r="B3180" s="62" t="s">
        <v>1006</v>
      </c>
      <c r="C3180" s="63"/>
      <c r="D3180" s="64"/>
      <c r="E3180" s="65"/>
      <c r="F3180" s="66"/>
      <c r="G3180" s="63"/>
      <c r="H3180" s="67"/>
      <c r="I3180" s="68"/>
      <c r="J3180" s="68"/>
      <c r="K3180" s="32"/>
      <c r="L3180" s="75">
        <v>3180</v>
      </c>
      <c r="M3180" s="75"/>
      <c r="N3180" s="70"/>
      <c r="O3180" s="77" t="s">
        <v>179</v>
      </c>
      <c r="P3180" s="79">
        <v>45014.771550925929</v>
      </c>
      <c r="Q3180" s="77" t="s">
        <v>4386</v>
      </c>
      <c r="R3180" s="77">
        <v>0</v>
      </c>
      <c r="S3180" s="77">
        <v>0</v>
      </c>
      <c r="T3180" s="77">
        <v>0</v>
      </c>
      <c r="U3180" s="77">
        <v>0</v>
      </c>
      <c r="V3180" s="77">
        <v>262</v>
      </c>
      <c r="W3180" s="82" t="s">
        <v>6740</v>
      </c>
      <c r="X3180" s="77"/>
      <c r="Y3180" s="77"/>
      <c r="Z3180" s="77"/>
      <c r="AA3180" s="77" t="s">
        <v>9505</v>
      </c>
      <c r="AB3180" s="77" t="s">
        <v>10130</v>
      </c>
      <c r="AC3180" s="82" t="s">
        <v>10147</v>
      </c>
      <c r="AD3180" s="77" t="s">
        <v>10184</v>
      </c>
      <c r="AE3180" s="80" t="str">
        <f>HYPERLINK("https://twitter.com/imdasmilhas/status/1641145958690848781")</f>
        <v>https://twitter.com/imdasmilhas/status/1641145958690848781</v>
      </c>
      <c r="AF3180" s="79">
        <v>45014.771550925929</v>
      </c>
      <c r="AG3180" s="85">
        <v>45014</v>
      </c>
      <c r="AH3180" s="82" t="s">
        <v>13195</v>
      </c>
      <c r="AI3180" s="77" t="b">
        <v>0</v>
      </c>
      <c r="AJ3180" s="77"/>
      <c r="AK3180" s="77"/>
      <c r="AL3180" s="77"/>
      <c r="AM3180" s="77"/>
      <c r="AN3180" s="77"/>
      <c r="AO3180" s="77"/>
      <c r="AP3180" s="77"/>
      <c r="AQ3180" s="77" t="s">
        <v>16148</v>
      </c>
      <c r="AR3180" s="77"/>
      <c r="AS3180" s="77"/>
      <c r="AT3180" s="77"/>
      <c r="AU3180" s="77"/>
      <c r="AV3180" s="80" t="str">
        <f>HYPERLINK("https://pbs.twimg.com/media/FsaFjRvWABAI0zG.jpg")</f>
        <v>https://pbs.twimg.com/media/FsaFjRvWABAI0zG.jpg</v>
      </c>
      <c r="AW3180" s="82" t="s">
        <v>19946</v>
      </c>
      <c r="AX3180" s="82" t="s">
        <v>19946</v>
      </c>
      <c r="AY3180" s="77"/>
      <c r="AZ3180" s="82" t="s">
        <v>20971</v>
      </c>
      <c r="BA3180" s="82" t="s">
        <v>20971</v>
      </c>
      <c r="BB3180" s="82" t="s">
        <v>20971</v>
      </c>
      <c r="BC3180" s="82" t="s">
        <v>19946</v>
      </c>
      <c r="BD3180" s="82" t="s">
        <v>21597</v>
      </c>
      <c r="BE3180" s="77"/>
      <c r="BF3180" s="77"/>
      <c r="BG3180" s="77"/>
      <c r="BH3180" s="77"/>
      <c r="BI3180" s="77"/>
    </row>
    <row r="3181" spans="1:61" x14ac:dyDescent="0.25">
      <c r="A3181" s="62" t="s">
        <v>1006</v>
      </c>
      <c r="B3181" s="62" t="s">
        <v>1006</v>
      </c>
      <c r="C3181" s="63"/>
      <c r="D3181" s="64"/>
      <c r="E3181" s="65"/>
      <c r="F3181" s="66"/>
      <c r="G3181" s="63"/>
      <c r="H3181" s="67"/>
      <c r="I3181" s="68"/>
      <c r="J3181" s="68"/>
      <c r="K3181" s="32"/>
      <c r="L3181" s="75">
        <v>3181</v>
      </c>
      <c r="M3181" s="75"/>
      <c r="N3181" s="70"/>
      <c r="O3181" s="77" t="s">
        <v>179</v>
      </c>
      <c r="P3181" s="79">
        <v>45014.77144675926</v>
      </c>
      <c r="Q3181" s="77" t="s">
        <v>4387</v>
      </c>
      <c r="R3181" s="77">
        <v>0</v>
      </c>
      <c r="S3181" s="77">
        <v>0</v>
      </c>
      <c r="T3181" s="77">
        <v>0</v>
      </c>
      <c r="U3181" s="77">
        <v>0</v>
      </c>
      <c r="V3181" s="77">
        <v>72</v>
      </c>
      <c r="W3181" s="82" t="s">
        <v>6740</v>
      </c>
      <c r="X3181" s="77"/>
      <c r="Y3181" s="77"/>
      <c r="Z3181" s="77"/>
      <c r="AA3181" s="77" t="s">
        <v>9506</v>
      </c>
      <c r="AB3181" s="77" t="s">
        <v>10130</v>
      </c>
      <c r="AC3181" s="82" t="s">
        <v>10147</v>
      </c>
      <c r="AD3181" s="77" t="s">
        <v>10184</v>
      </c>
      <c r="AE3181" s="80" t="str">
        <f>HYPERLINK("https://twitter.com/imdasmilhas/status/1641145923848871937")</f>
        <v>https://twitter.com/imdasmilhas/status/1641145923848871937</v>
      </c>
      <c r="AF3181" s="79">
        <v>45014.77144675926</v>
      </c>
      <c r="AG3181" s="85">
        <v>45014</v>
      </c>
      <c r="AH3181" s="82" t="s">
        <v>13196</v>
      </c>
      <c r="AI3181" s="77" t="b">
        <v>0</v>
      </c>
      <c r="AJ3181" s="77"/>
      <c r="AK3181" s="77"/>
      <c r="AL3181" s="77"/>
      <c r="AM3181" s="77"/>
      <c r="AN3181" s="77"/>
      <c r="AO3181" s="77"/>
      <c r="AP3181" s="77"/>
      <c r="AQ3181" s="77" t="s">
        <v>16149</v>
      </c>
      <c r="AR3181" s="77"/>
      <c r="AS3181" s="77"/>
      <c r="AT3181" s="77"/>
      <c r="AU3181" s="77"/>
      <c r="AV3181" s="80" t="str">
        <f>HYPERLINK("https://pbs.twimg.com/media/FsaFhTWWAAgWE8n.jpg")</f>
        <v>https://pbs.twimg.com/media/FsaFhTWWAAgWE8n.jpg</v>
      </c>
      <c r="AW3181" s="82" t="s">
        <v>19947</v>
      </c>
      <c r="AX3181" s="82" t="s">
        <v>19947</v>
      </c>
      <c r="AY3181" s="77"/>
      <c r="AZ3181" s="82" t="s">
        <v>20971</v>
      </c>
      <c r="BA3181" s="82" t="s">
        <v>20971</v>
      </c>
      <c r="BB3181" s="82" t="s">
        <v>20971</v>
      </c>
      <c r="BC3181" s="82" t="s">
        <v>19947</v>
      </c>
      <c r="BD3181" s="82" t="s">
        <v>21597</v>
      </c>
      <c r="BE3181" s="77"/>
      <c r="BF3181" s="77"/>
      <c r="BG3181" s="77"/>
      <c r="BH3181" s="77"/>
      <c r="BI3181" s="77"/>
    </row>
    <row r="3182" spans="1:61" x14ac:dyDescent="0.25">
      <c r="A3182" s="62" t="s">
        <v>1006</v>
      </c>
      <c r="B3182" s="62" t="s">
        <v>1006</v>
      </c>
      <c r="C3182" s="63"/>
      <c r="D3182" s="64"/>
      <c r="E3182" s="65"/>
      <c r="F3182" s="66"/>
      <c r="G3182" s="63"/>
      <c r="H3182" s="67"/>
      <c r="I3182" s="68"/>
      <c r="J3182" s="68"/>
      <c r="K3182" s="32"/>
      <c r="L3182" s="75">
        <v>3182</v>
      </c>
      <c r="M3182" s="75"/>
      <c r="N3182" s="70"/>
      <c r="O3182" s="77" t="s">
        <v>179</v>
      </c>
      <c r="P3182" s="79">
        <v>45014.770509259259</v>
      </c>
      <c r="Q3182" s="77" t="s">
        <v>4388</v>
      </c>
      <c r="R3182" s="77">
        <v>0</v>
      </c>
      <c r="S3182" s="77">
        <v>1</v>
      </c>
      <c r="T3182" s="77">
        <v>0</v>
      </c>
      <c r="U3182" s="77">
        <v>0</v>
      </c>
      <c r="V3182" s="77">
        <v>119</v>
      </c>
      <c r="W3182" s="82" t="s">
        <v>6740</v>
      </c>
      <c r="X3182" s="77"/>
      <c r="Y3182" s="77"/>
      <c r="Z3182" s="77"/>
      <c r="AA3182" s="77" t="s">
        <v>9507</v>
      </c>
      <c r="AB3182" s="77" t="s">
        <v>10130</v>
      </c>
      <c r="AC3182" s="82" t="s">
        <v>10147</v>
      </c>
      <c r="AD3182" s="77" t="s">
        <v>10184</v>
      </c>
      <c r="AE3182" s="80" t="str">
        <f>HYPERLINK("https://twitter.com/imdasmilhas/status/1641145583321612299")</f>
        <v>https://twitter.com/imdasmilhas/status/1641145583321612299</v>
      </c>
      <c r="AF3182" s="79">
        <v>45014.770509259259</v>
      </c>
      <c r="AG3182" s="85">
        <v>45014</v>
      </c>
      <c r="AH3182" s="82" t="s">
        <v>13197</v>
      </c>
      <c r="AI3182" s="77" t="b">
        <v>0</v>
      </c>
      <c r="AJ3182" s="77"/>
      <c r="AK3182" s="77"/>
      <c r="AL3182" s="77"/>
      <c r="AM3182" s="77"/>
      <c r="AN3182" s="77"/>
      <c r="AO3182" s="77"/>
      <c r="AP3182" s="77"/>
      <c r="AQ3182" s="77" t="s">
        <v>16150</v>
      </c>
      <c r="AR3182" s="77"/>
      <c r="AS3182" s="77"/>
      <c r="AT3182" s="77"/>
      <c r="AU3182" s="77"/>
      <c r="AV3182" s="80" t="str">
        <f>HYPERLINK("https://pbs.twimg.com/media/FsaFNgEWABAM4QY.jpg")</f>
        <v>https://pbs.twimg.com/media/FsaFNgEWABAM4QY.jpg</v>
      </c>
      <c r="AW3182" s="82" t="s">
        <v>19948</v>
      </c>
      <c r="AX3182" s="82" t="s">
        <v>19948</v>
      </c>
      <c r="AY3182" s="77"/>
      <c r="AZ3182" s="82" t="s">
        <v>20971</v>
      </c>
      <c r="BA3182" s="82" t="s">
        <v>20971</v>
      </c>
      <c r="BB3182" s="82" t="s">
        <v>20971</v>
      </c>
      <c r="BC3182" s="82" t="s">
        <v>19948</v>
      </c>
      <c r="BD3182" s="82" t="s">
        <v>21597</v>
      </c>
      <c r="BE3182" s="77"/>
      <c r="BF3182" s="77"/>
      <c r="BG3182" s="77"/>
      <c r="BH3182" s="77"/>
      <c r="BI3182" s="77"/>
    </row>
    <row r="3183" spans="1:61" x14ac:dyDescent="0.25">
      <c r="A3183" s="62" t="s">
        <v>1006</v>
      </c>
      <c r="B3183" s="62" t="s">
        <v>1006</v>
      </c>
      <c r="C3183" s="63"/>
      <c r="D3183" s="64"/>
      <c r="E3183" s="65"/>
      <c r="F3183" s="66"/>
      <c r="G3183" s="63"/>
      <c r="H3183" s="67"/>
      <c r="I3183" s="68"/>
      <c r="J3183" s="68"/>
      <c r="K3183" s="32"/>
      <c r="L3183" s="75">
        <v>3183</v>
      </c>
      <c r="M3183" s="75"/>
      <c r="N3183" s="70"/>
      <c r="O3183" s="77" t="s">
        <v>179</v>
      </c>
      <c r="P3183" s="79">
        <v>45014.755555555559</v>
      </c>
      <c r="Q3183" s="77" t="s">
        <v>4389</v>
      </c>
      <c r="R3183" s="77">
        <v>0</v>
      </c>
      <c r="S3183" s="77">
        <v>0</v>
      </c>
      <c r="T3183" s="77">
        <v>0</v>
      </c>
      <c r="U3183" s="77">
        <v>0</v>
      </c>
      <c r="V3183" s="77">
        <v>51</v>
      </c>
      <c r="W3183" s="82" t="s">
        <v>6740</v>
      </c>
      <c r="X3183" s="77"/>
      <c r="Y3183" s="77"/>
      <c r="Z3183" s="77"/>
      <c r="AA3183" s="77" t="s">
        <v>9508</v>
      </c>
      <c r="AB3183" s="77" t="s">
        <v>10130</v>
      </c>
      <c r="AC3183" s="82" t="s">
        <v>10147</v>
      </c>
      <c r="AD3183" s="77" t="s">
        <v>10184</v>
      </c>
      <c r="AE3183" s="80" t="str">
        <f>HYPERLINK("https://twitter.com/imdasmilhas/status/1641140163077079048")</f>
        <v>https://twitter.com/imdasmilhas/status/1641140163077079048</v>
      </c>
      <c r="AF3183" s="79">
        <v>45014.755555555559</v>
      </c>
      <c r="AG3183" s="85">
        <v>45014</v>
      </c>
      <c r="AH3183" s="82" t="s">
        <v>11122</v>
      </c>
      <c r="AI3183" s="77" t="b">
        <v>0</v>
      </c>
      <c r="AJ3183" s="77"/>
      <c r="AK3183" s="77"/>
      <c r="AL3183" s="77"/>
      <c r="AM3183" s="77"/>
      <c r="AN3183" s="77"/>
      <c r="AO3183" s="77"/>
      <c r="AP3183" s="77"/>
      <c r="AQ3183" s="77" t="s">
        <v>16151</v>
      </c>
      <c r="AR3183" s="77"/>
      <c r="AS3183" s="77"/>
      <c r="AT3183" s="77"/>
      <c r="AU3183" s="77"/>
      <c r="AV3183" s="80" t="str">
        <f>HYPERLINK("https://pbs.twimg.com/media/FsaAR8rWIAElGF6.jpg")</f>
        <v>https://pbs.twimg.com/media/FsaAR8rWIAElGF6.jpg</v>
      </c>
      <c r="AW3183" s="82" t="s">
        <v>19949</v>
      </c>
      <c r="AX3183" s="82" t="s">
        <v>19949</v>
      </c>
      <c r="AY3183" s="77"/>
      <c r="AZ3183" s="82" t="s">
        <v>20971</v>
      </c>
      <c r="BA3183" s="82" t="s">
        <v>20971</v>
      </c>
      <c r="BB3183" s="82" t="s">
        <v>20971</v>
      </c>
      <c r="BC3183" s="82" t="s">
        <v>19949</v>
      </c>
      <c r="BD3183" s="82" t="s">
        <v>21597</v>
      </c>
      <c r="BE3183" s="77"/>
      <c r="BF3183" s="77"/>
      <c r="BG3183" s="77"/>
      <c r="BH3183" s="77"/>
      <c r="BI3183" s="77"/>
    </row>
    <row r="3184" spans="1:61" x14ac:dyDescent="0.25">
      <c r="A3184" s="62" t="s">
        <v>1006</v>
      </c>
      <c r="B3184" s="62" t="s">
        <v>1006</v>
      </c>
      <c r="C3184" s="63"/>
      <c r="D3184" s="64"/>
      <c r="E3184" s="65"/>
      <c r="F3184" s="66"/>
      <c r="G3184" s="63"/>
      <c r="H3184" s="67"/>
      <c r="I3184" s="68"/>
      <c r="J3184" s="68"/>
      <c r="K3184" s="32"/>
      <c r="L3184" s="75">
        <v>3184</v>
      </c>
      <c r="M3184" s="75"/>
      <c r="N3184" s="70"/>
      <c r="O3184" s="77" t="s">
        <v>179</v>
      </c>
      <c r="P3184" s="79">
        <v>45014.755104166667</v>
      </c>
      <c r="Q3184" s="77" t="s">
        <v>4390</v>
      </c>
      <c r="R3184" s="77">
        <v>0</v>
      </c>
      <c r="S3184" s="77">
        <v>0</v>
      </c>
      <c r="T3184" s="77">
        <v>0</v>
      </c>
      <c r="U3184" s="77">
        <v>0</v>
      </c>
      <c r="V3184" s="77">
        <v>74</v>
      </c>
      <c r="W3184" s="82" t="s">
        <v>6740</v>
      </c>
      <c r="X3184" s="77"/>
      <c r="Y3184" s="77"/>
      <c r="Z3184" s="77"/>
      <c r="AA3184" s="77" t="s">
        <v>9509</v>
      </c>
      <c r="AB3184" s="77" t="s">
        <v>10130</v>
      </c>
      <c r="AC3184" s="82" t="s">
        <v>10147</v>
      </c>
      <c r="AD3184" s="77" t="s">
        <v>10184</v>
      </c>
      <c r="AE3184" s="80" t="str">
        <f>HYPERLINK("https://twitter.com/imdasmilhas/status/1641140000807845917")</f>
        <v>https://twitter.com/imdasmilhas/status/1641140000807845917</v>
      </c>
      <c r="AF3184" s="79">
        <v>45014.755104166667</v>
      </c>
      <c r="AG3184" s="85">
        <v>45014</v>
      </c>
      <c r="AH3184" s="82" t="s">
        <v>13198</v>
      </c>
      <c r="AI3184" s="77" t="b">
        <v>0</v>
      </c>
      <c r="AJ3184" s="77"/>
      <c r="AK3184" s="77"/>
      <c r="AL3184" s="77"/>
      <c r="AM3184" s="77"/>
      <c r="AN3184" s="77"/>
      <c r="AO3184" s="77"/>
      <c r="AP3184" s="77"/>
      <c r="AQ3184" s="77" t="s">
        <v>16152</v>
      </c>
      <c r="AR3184" s="77"/>
      <c r="AS3184" s="77"/>
      <c r="AT3184" s="77"/>
      <c r="AU3184" s="77"/>
      <c r="AV3184" s="80" t="str">
        <f>HYPERLINK("https://pbs.twimg.com/media/FsaAIifWAAAOEFL.jpg")</f>
        <v>https://pbs.twimg.com/media/FsaAIifWAAAOEFL.jpg</v>
      </c>
      <c r="AW3184" s="82" t="s">
        <v>19950</v>
      </c>
      <c r="AX3184" s="82" t="s">
        <v>19950</v>
      </c>
      <c r="AY3184" s="77"/>
      <c r="AZ3184" s="82" t="s">
        <v>20971</v>
      </c>
      <c r="BA3184" s="82" t="s">
        <v>20971</v>
      </c>
      <c r="BB3184" s="82" t="s">
        <v>20971</v>
      </c>
      <c r="BC3184" s="82" t="s">
        <v>19950</v>
      </c>
      <c r="BD3184" s="82" t="s">
        <v>21597</v>
      </c>
      <c r="BE3184" s="77"/>
      <c r="BF3184" s="77"/>
      <c r="BG3184" s="77"/>
      <c r="BH3184" s="77"/>
      <c r="BI3184" s="77"/>
    </row>
    <row r="3185" spans="1:61" x14ac:dyDescent="0.25">
      <c r="A3185" s="62" t="s">
        <v>1006</v>
      </c>
      <c r="B3185" s="62" t="s">
        <v>1006</v>
      </c>
      <c r="C3185" s="63"/>
      <c r="D3185" s="64"/>
      <c r="E3185" s="65"/>
      <c r="F3185" s="66"/>
      <c r="G3185" s="63"/>
      <c r="H3185" s="67"/>
      <c r="I3185" s="68"/>
      <c r="J3185" s="68"/>
      <c r="K3185" s="32"/>
      <c r="L3185" s="75">
        <v>3185</v>
      </c>
      <c r="M3185" s="75"/>
      <c r="N3185" s="70"/>
      <c r="O3185" s="77" t="s">
        <v>179</v>
      </c>
      <c r="P3185" s="79">
        <v>45014.754733796297</v>
      </c>
      <c r="Q3185" s="77" t="s">
        <v>4391</v>
      </c>
      <c r="R3185" s="77">
        <v>0</v>
      </c>
      <c r="S3185" s="77">
        <v>0</v>
      </c>
      <c r="T3185" s="77">
        <v>0</v>
      </c>
      <c r="U3185" s="77">
        <v>0</v>
      </c>
      <c r="V3185" s="77">
        <v>60</v>
      </c>
      <c r="W3185" s="82" t="s">
        <v>6740</v>
      </c>
      <c r="X3185" s="77"/>
      <c r="Y3185" s="77"/>
      <c r="Z3185" s="77"/>
      <c r="AA3185" s="77" t="s">
        <v>9510</v>
      </c>
      <c r="AB3185" s="77" t="s">
        <v>10130</v>
      </c>
      <c r="AC3185" s="82" t="s">
        <v>10147</v>
      </c>
      <c r="AD3185" s="77" t="s">
        <v>10184</v>
      </c>
      <c r="AE3185" s="80" t="str">
        <f>HYPERLINK("https://twitter.com/imdasmilhas/status/1641139866032386048")</f>
        <v>https://twitter.com/imdasmilhas/status/1641139866032386048</v>
      </c>
      <c r="AF3185" s="79">
        <v>45014.754733796297</v>
      </c>
      <c r="AG3185" s="85">
        <v>45014</v>
      </c>
      <c r="AH3185" s="82" t="s">
        <v>13199</v>
      </c>
      <c r="AI3185" s="77" t="b">
        <v>0</v>
      </c>
      <c r="AJ3185" s="77"/>
      <c r="AK3185" s="77"/>
      <c r="AL3185" s="77"/>
      <c r="AM3185" s="77"/>
      <c r="AN3185" s="77"/>
      <c r="AO3185" s="77"/>
      <c r="AP3185" s="77"/>
      <c r="AQ3185" s="77" t="s">
        <v>16153</v>
      </c>
      <c r="AR3185" s="77"/>
      <c r="AS3185" s="77"/>
      <c r="AT3185" s="77"/>
      <c r="AU3185" s="77"/>
      <c r="AV3185" s="80" t="str">
        <f>HYPERLINK("https://pbs.twimg.com/media/FsaAArYXgAIRaXL.jpg")</f>
        <v>https://pbs.twimg.com/media/FsaAArYXgAIRaXL.jpg</v>
      </c>
      <c r="AW3185" s="82" t="s">
        <v>19951</v>
      </c>
      <c r="AX3185" s="82" t="s">
        <v>19951</v>
      </c>
      <c r="AY3185" s="77"/>
      <c r="AZ3185" s="82" t="s">
        <v>20971</v>
      </c>
      <c r="BA3185" s="82" t="s">
        <v>20971</v>
      </c>
      <c r="BB3185" s="82" t="s">
        <v>20971</v>
      </c>
      <c r="BC3185" s="82" t="s">
        <v>19951</v>
      </c>
      <c r="BD3185" s="82" t="s">
        <v>21597</v>
      </c>
      <c r="BE3185" s="77"/>
      <c r="BF3185" s="77"/>
      <c r="BG3185" s="77"/>
      <c r="BH3185" s="77"/>
      <c r="BI3185" s="77"/>
    </row>
    <row r="3186" spans="1:61" x14ac:dyDescent="0.25">
      <c r="A3186" s="62" t="s">
        <v>1006</v>
      </c>
      <c r="B3186" s="62" t="s">
        <v>1006</v>
      </c>
      <c r="C3186" s="63"/>
      <c r="D3186" s="64"/>
      <c r="E3186" s="65"/>
      <c r="F3186" s="66"/>
      <c r="G3186" s="63"/>
      <c r="H3186" s="67"/>
      <c r="I3186" s="68"/>
      <c r="J3186" s="68"/>
      <c r="K3186" s="32"/>
      <c r="L3186" s="75">
        <v>3186</v>
      </c>
      <c r="M3186" s="75"/>
      <c r="N3186" s="70"/>
      <c r="O3186" s="77" t="s">
        <v>179</v>
      </c>
      <c r="P3186" s="79">
        <v>45121.806701388887</v>
      </c>
      <c r="Q3186" s="77" t="s">
        <v>4392</v>
      </c>
      <c r="R3186" s="77">
        <v>0</v>
      </c>
      <c r="S3186" s="77">
        <v>0</v>
      </c>
      <c r="T3186" s="77">
        <v>0</v>
      </c>
      <c r="U3186" s="77">
        <v>0</v>
      </c>
      <c r="V3186" s="77">
        <v>145</v>
      </c>
      <c r="W3186" s="82" t="s">
        <v>6740</v>
      </c>
      <c r="X3186" s="77"/>
      <c r="Y3186" s="77"/>
      <c r="Z3186" s="77"/>
      <c r="AA3186" s="77" t="s">
        <v>9511</v>
      </c>
      <c r="AB3186" s="77" t="s">
        <v>10130</v>
      </c>
      <c r="AC3186" s="82" t="s">
        <v>10147</v>
      </c>
      <c r="AD3186" s="77" t="s">
        <v>10184</v>
      </c>
      <c r="AE3186" s="80" t="str">
        <f>HYPERLINK("https://twitter.com/imdasmilhas/status/1679934201158848512")</f>
        <v>https://twitter.com/imdasmilhas/status/1679934201158848512</v>
      </c>
      <c r="AF3186" s="79">
        <v>45121.806701388887</v>
      </c>
      <c r="AG3186" s="85">
        <v>45121</v>
      </c>
      <c r="AH3186" s="82" t="s">
        <v>13200</v>
      </c>
      <c r="AI3186" s="77" t="b">
        <v>0</v>
      </c>
      <c r="AJ3186" s="77"/>
      <c r="AK3186" s="77"/>
      <c r="AL3186" s="77"/>
      <c r="AM3186" s="77"/>
      <c r="AN3186" s="77"/>
      <c r="AO3186" s="77"/>
      <c r="AP3186" s="77"/>
      <c r="AQ3186" s="77" t="s">
        <v>16154</v>
      </c>
      <c r="AR3186" s="77"/>
      <c r="AS3186" s="77"/>
      <c r="AT3186" s="77"/>
      <c r="AU3186" s="77"/>
      <c r="AV3186" s="80" t="str">
        <f>HYPERLINK("https://pbs.twimg.com/media/F1BTQLVWwBMwnKR.jpg")</f>
        <v>https://pbs.twimg.com/media/F1BTQLVWwBMwnKR.jpg</v>
      </c>
      <c r="AW3186" s="82" t="s">
        <v>19952</v>
      </c>
      <c r="AX3186" s="82" t="s">
        <v>19952</v>
      </c>
      <c r="AY3186" s="77"/>
      <c r="AZ3186" s="82" t="s">
        <v>20971</v>
      </c>
      <c r="BA3186" s="82" t="s">
        <v>20971</v>
      </c>
      <c r="BB3186" s="82" t="s">
        <v>20971</v>
      </c>
      <c r="BC3186" s="82" t="s">
        <v>19952</v>
      </c>
      <c r="BD3186" s="82" t="s">
        <v>21597</v>
      </c>
      <c r="BE3186" s="77"/>
      <c r="BF3186" s="77"/>
      <c r="BG3186" s="77"/>
      <c r="BH3186" s="77"/>
      <c r="BI3186" s="77"/>
    </row>
    <row r="3187" spans="1:61" x14ac:dyDescent="0.25">
      <c r="A3187" s="62" t="s">
        <v>1006</v>
      </c>
      <c r="B3187" s="62" t="s">
        <v>1006</v>
      </c>
      <c r="C3187" s="63"/>
      <c r="D3187" s="64"/>
      <c r="E3187" s="65"/>
      <c r="F3187" s="66"/>
      <c r="G3187" s="63"/>
      <c r="H3187" s="67"/>
      <c r="I3187" s="68"/>
      <c r="J3187" s="68"/>
      <c r="K3187" s="32"/>
      <c r="L3187" s="75">
        <v>3187</v>
      </c>
      <c r="M3187" s="75"/>
      <c r="N3187" s="70"/>
      <c r="O3187" s="77" t="s">
        <v>179</v>
      </c>
      <c r="P3187" s="79">
        <v>45121.806307870371</v>
      </c>
      <c r="Q3187" s="77" t="s">
        <v>4393</v>
      </c>
      <c r="R3187" s="77">
        <v>0</v>
      </c>
      <c r="S3187" s="77">
        <v>0</v>
      </c>
      <c r="T3187" s="77">
        <v>0</v>
      </c>
      <c r="U3187" s="77">
        <v>0</v>
      </c>
      <c r="V3187" s="77">
        <v>120</v>
      </c>
      <c r="W3187" s="82" t="s">
        <v>6740</v>
      </c>
      <c r="X3187" s="77"/>
      <c r="Y3187" s="77"/>
      <c r="Z3187" s="77"/>
      <c r="AA3187" s="77" t="s">
        <v>9512</v>
      </c>
      <c r="AB3187" s="77" t="s">
        <v>10130</v>
      </c>
      <c r="AC3187" s="82" t="s">
        <v>10147</v>
      </c>
      <c r="AD3187" s="77" t="s">
        <v>10184</v>
      </c>
      <c r="AE3187" s="80" t="str">
        <f>HYPERLINK("https://twitter.com/imdasmilhas/status/1679934058221178880")</f>
        <v>https://twitter.com/imdasmilhas/status/1679934058221178880</v>
      </c>
      <c r="AF3187" s="79">
        <v>45121.806307870371</v>
      </c>
      <c r="AG3187" s="85">
        <v>45121</v>
      </c>
      <c r="AH3187" s="82" t="s">
        <v>13201</v>
      </c>
      <c r="AI3187" s="77" t="b">
        <v>0</v>
      </c>
      <c r="AJ3187" s="77"/>
      <c r="AK3187" s="77"/>
      <c r="AL3187" s="77"/>
      <c r="AM3187" s="77"/>
      <c r="AN3187" s="77"/>
      <c r="AO3187" s="77"/>
      <c r="AP3187" s="77"/>
      <c r="AQ3187" s="77" t="s">
        <v>16155</v>
      </c>
      <c r="AR3187" s="77"/>
      <c r="AS3187" s="77"/>
      <c r="AT3187" s="77"/>
      <c r="AU3187" s="77"/>
      <c r="AV3187" s="80" t="str">
        <f>HYPERLINK("https://pbs.twimg.com/media/F1BTH1PWwAAFsMZ.jpg")</f>
        <v>https://pbs.twimg.com/media/F1BTH1PWwAAFsMZ.jpg</v>
      </c>
      <c r="AW3187" s="82" t="s">
        <v>19953</v>
      </c>
      <c r="AX3187" s="82" t="s">
        <v>19953</v>
      </c>
      <c r="AY3187" s="77"/>
      <c r="AZ3187" s="82" t="s">
        <v>20971</v>
      </c>
      <c r="BA3187" s="82" t="s">
        <v>20971</v>
      </c>
      <c r="BB3187" s="82" t="s">
        <v>20971</v>
      </c>
      <c r="BC3187" s="82" t="s">
        <v>19953</v>
      </c>
      <c r="BD3187" s="82" t="s">
        <v>21597</v>
      </c>
      <c r="BE3187" s="77"/>
      <c r="BF3187" s="77"/>
      <c r="BG3187" s="77"/>
      <c r="BH3187" s="77"/>
      <c r="BI3187" s="77"/>
    </row>
    <row r="3188" spans="1:61" x14ac:dyDescent="0.25">
      <c r="A3188" s="62" t="s">
        <v>1006</v>
      </c>
      <c r="B3188" s="62" t="s">
        <v>1006</v>
      </c>
      <c r="C3188" s="63"/>
      <c r="D3188" s="64"/>
      <c r="E3188" s="65"/>
      <c r="F3188" s="66"/>
      <c r="G3188" s="63"/>
      <c r="H3188" s="67"/>
      <c r="I3188" s="68"/>
      <c r="J3188" s="68"/>
      <c r="K3188" s="32"/>
      <c r="L3188" s="75">
        <v>3188</v>
      </c>
      <c r="M3188" s="75"/>
      <c r="N3188" s="70"/>
      <c r="O3188" s="77" t="s">
        <v>179</v>
      </c>
      <c r="P3188" s="79">
        <v>45121.632905092592</v>
      </c>
      <c r="Q3188" s="77" t="s">
        <v>4394</v>
      </c>
      <c r="R3188" s="77">
        <v>0</v>
      </c>
      <c r="S3188" s="77">
        <v>0</v>
      </c>
      <c r="T3188" s="77">
        <v>0</v>
      </c>
      <c r="U3188" s="77">
        <v>0</v>
      </c>
      <c r="V3188" s="77">
        <v>253</v>
      </c>
      <c r="W3188" s="82" t="s">
        <v>6740</v>
      </c>
      <c r="X3188" s="77"/>
      <c r="Y3188" s="77"/>
      <c r="Z3188" s="77"/>
      <c r="AA3188" s="77" t="s">
        <v>9513</v>
      </c>
      <c r="AB3188" s="77" t="s">
        <v>10130</v>
      </c>
      <c r="AC3188" s="82" t="s">
        <v>10147</v>
      </c>
      <c r="AD3188" s="77" t="s">
        <v>10184</v>
      </c>
      <c r="AE3188" s="80" t="str">
        <f>HYPERLINK("https://twitter.com/imdasmilhas/status/1679871216239214592")</f>
        <v>https://twitter.com/imdasmilhas/status/1679871216239214592</v>
      </c>
      <c r="AF3188" s="79">
        <v>45121.632905092592</v>
      </c>
      <c r="AG3188" s="85">
        <v>45121</v>
      </c>
      <c r="AH3188" s="82" t="s">
        <v>13202</v>
      </c>
      <c r="AI3188" s="77" t="b">
        <v>0</v>
      </c>
      <c r="AJ3188" s="77"/>
      <c r="AK3188" s="77"/>
      <c r="AL3188" s="77"/>
      <c r="AM3188" s="77"/>
      <c r="AN3188" s="77"/>
      <c r="AO3188" s="77"/>
      <c r="AP3188" s="77"/>
      <c r="AQ3188" s="77" t="s">
        <v>16156</v>
      </c>
      <c r="AR3188" s="77"/>
      <c r="AS3188" s="77"/>
      <c r="AT3188" s="77"/>
      <c r="AU3188" s="77"/>
      <c r="AV3188" s="80" t="str">
        <f>HYPERLINK("https://pbs.twimg.com/media/F1AZ-AuWcAEe1r3.jpg")</f>
        <v>https://pbs.twimg.com/media/F1AZ-AuWcAEe1r3.jpg</v>
      </c>
      <c r="AW3188" s="82" t="s">
        <v>19954</v>
      </c>
      <c r="AX3188" s="82" t="s">
        <v>19954</v>
      </c>
      <c r="AY3188" s="77"/>
      <c r="AZ3188" s="82" t="s">
        <v>20971</v>
      </c>
      <c r="BA3188" s="82" t="s">
        <v>20971</v>
      </c>
      <c r="BB3188" s="82" t="s">
        <v>20971</v>
      </c>
      <c r="BC3188" s="82" t="s">
        <v>19954</v>
      </c>
      <c r="BD3188" s="82" t="s">
        <v>21597</v>
      </c>
      <c r="BE3188" s="77"/>
      <c r="BF3188" s="77"/>
      <c r="BG3188" s="77"/>
      <c r="BH3188" s="77"/>
      <c r="BI3188" s="77"/>
    </row>
    <row r="3189" spans="1:61" x14ac:dyDescent="0.25">
      <c r="A3189" s="62" t="s">
        <v>1006</v>
      </c>
      <c r="B3189" s="62" t="s">
        <v>1006</v>
      </c>
      <c r="C3189" s="63"/>
      <c r="D3189" s="64"/>
      <c r="E3189" s="65"/>
      <c r="F3189" s="66"/>
      <c r="G3189" s="63"/>
      <c r="H3189" s="67"/>
      <c r="I3189" s="68"/>
      <c r="J3189" s="68"/>
      <c r="K3189" s="32"/>
      <c r="L3189" s="75">
        <v>3189</v>
      </c>
      <c r="M3189" s="75"/>
      <c r="N3189" s="70"/>
      <c r="O3189" s="77" t="s">
        <v>179</v>
      </c>
      <c r="P3189" s="79">
        <v>45121.632476851853</v>
      </c>
      <c r="Q3189" s="77" t="s">
        <v>4395</v>
      </c>
      <c r="R3189" s="77">
        <v>0</v>
      </c>
      <c r="S3189" s="77">
        <v>0</v>
      </c>
      <c r="T3189" s="77">
        <v>0</v>
      </c>
      <c r="U3189" s="77">
        <v>0</v>
      </c>
      <c r="V3189" s="77">
        <v>109</v>
      </c>
      <c r="W3189" s="82" t="s">
        <v>6740</v>
      </c>
      <c r="X3189" s="77"/>
      <c r="Y3189" s="77"/>
      <c r="Z3189" s="77"/>
      <c r="AA3189" s="77" t="s">
        <v>9514</v>
      </c>
      <c r="AB3189" s="77" t="s">
        <v>10130</v>
      </c>
      <c r="AC3189" s="82" t="s">
        <v>10147</v>
      </c>
      <c r="AD3189" s="77" t="s">
        <v>10184</v>
      </c>
      <c r="AE3189" s="80" t="str">
        <f>HYPERLINK("https://twitter.com/imdasmilhas/status/1679871062241099776")</f>
        <v>https://twitter.com/imdasmilhas/status/1679871062241099776</v>
      </c>
      <c r="AF3189" s="79">
        <v>45121.632476851853</v>
      </c>
      <c r="AG3189" s="85">
        <v>45121</v>
      </c>
      <c r="AH3189" s="82" t="s">
        <v>13203</v>
      </c>
      <c r="AI3189" s="77" t="b">
        <v>0</v>
      </c>
      <c r="AJ3189" s="77"/>
      <c r="AK3189" s="77"/>
      <c r="AL3189" s="77"/>
      <c r="AM3189" s="77"/>
      <c r="AN3189" s="77"/>
      <c r="AO3189" s="77"/>
      <c r="AP3189" s="77"/>
      <c r="AQ3189" s="77" t="s">
        <v>16157</v>
      </c>
      <c r="AR3189" s="77"/>
      <c r="AS3189" s="77"/>
      <c r="AT3189" s="77"/>
      <c r="AU3189" s="77"/>
      <c r="AV3189" s="80" t="str">
        <f>HYPERLINK("https://pbs.twimg.com/media/F1AZ1BpWcAI4xeK.jpg")</f>
        <v>https://pbs.twimg.com/media/F1AZ1BpWcAI4xeK.jpg</v>
      </c>
      <c r="AW3189" s="82" t="s">
        <v>19955</v>
      </c>
      <c r="AX3189" s="82" t="s">
        <v>19955</v>
      </c>
      <c r="AY3189" s="77"/>
      <c r="AZ3189" s="82" t="s">
        <v>20971</v>
      </c>
      <c r="BA3189" s="82" t="s">
        <v>20971</v>
      </c>
      <c r="BB3189" s="82" t="s">
        <v>20971</v>
      </c>
      <c r="BC3189" s="82" t="s">
        <v>19955</v>
      </c>
      <c r="BD3189" s="82" t="s">
        <v>21597</v>
      </c>
      <c r="BE3189" s="77"/>
      <c r="BF3189" s="77"/>
      <c r="BG3189" s="77"/>
      <c r="BH3189" s="77"/>
      <c r="BI3189" s="77"/>
    </row>
    <row r="3190" spans="1:61" x14ac:dyDescent="0.25">
      <c r="A3190" s="62" t="s">
        <v>1006</v>
      </c>
      <c r="B3190" s="62" t="s">
        <v>1006</v>
      </c>
      <c r="C3190" s="63"/>
      <c r="D3190" s="64"/>
      <c r="E3190" s="65"/>
      <c r="F3190" s="66"/>
      <c r="G3190" s="63"/>
      <c r="H3190" s="67"/>
      <c r="I3190" s="68"/>
      <c r="J3190" s="68"/>
      <c r="K3190" s="32"/>
      <c r="L3190" s="75">
        <v>3190</v>
      </c>
      <c r="M3190" s="75"/>
      <c r="N3190" s="70"/>
      <c r="O3190" s="77" t="s">
        <v>179</v>
      </c>
      <c r="P3190" s="79">
        <v>45120.770428240743</v>
      </c>
      <c r="Q3190" s="77" t="s">
        <v>4396</v>
      </c>
      <c r="R3190" s="77">
        <v>0</v>
      </c>
      <c r="S3190" s="77">
        <v>0</v>
      </c>
      <c r="T3190" s="77">
        <v>0</v>
      </c>
      <c r="U3190" s="77">
        <v>0</v>
      </c>
      <c r="V3190" s="77">
        <v>173</v>
      </c>
      <c r="W3190" s="82" t="s">
        <v>6740</v>
      </c>
      <c r="X3190" s="77"/>
      <c r="Y3190" s="77"/>
      <c r="Z3190" s="77"/>
      <c r="AA3190" s="77" t="s">
        <v>9515</v>
      </c>
      <c r="AB3190" s="77" t="s">
        <v>10130</v>
      </c>
      <c r="AC3190" s="82" t="s">
        <v>10147</v>
      </c>
      <c r="AD3190" s="77" t="s">
        <v>10184</v>
      </c>
      <c r="AE3190" s="80" t="str">
        <f>HYPERLINK("https://twitter.com/imdasmilhas/status/1679558666154811405")</f>
        <v>https://twitter.com/imdasmilhas/status/1679558666154811405</v>
      </c>
      <c r="AF3190" s="79">
        <v>45120.770428240743</v>
      </c>
      <c r="AG3190" s="85">
        <v>45120</v>
      </c>
      <c r="AH3190" s="82" t="s">
        <v>13204</v>
      </c>
      <c r="AI3190" s="77" t="b">
        <v>0</v>
      </c>
      <c r="AJ3190" s="77"/>
      <c r="AK3190" s="77"/>
      <c r="AL3190" s="77"/>
      <c r="AM3190" s="77"/>
      <c r="AN3190" s="77"/>
      <c r="AO3190" s="77"/>
      <c r="AP3190" s="77"/>
      <c r="AQ3190" s="77" t="s">
        <v>16158</v>
      </c>
      <c r="AR3190" s="77"/>
      <c r="AS3190" s="77"/>
      <c r="AT3190" s="77"/>
      <c r="AU3190" s="77"/>
      <c r="AV3190" s="80" t="str">
        <f>HYPERLINK("https://pbs.twimg.com/media/F079tNUWIAgouA0.jpg")</f>
        <v>https://pbs.twimg.com/media/F079tNUWIAgouA0.jpg</v>
      </c>
      <c r="AW3190" s="82" t="s">
        <v>19956</v>
      </c>
      <c r="AX3190" s="82" t="s">
        <v>19956</v>
      </c>
      <c r="AY3190" s="77"/>
      <c r="AZ3190" s="82" t="s">
        <v>20971</v>
      </c>
      <c r="BA3190" s="82" t="s">
        <v>20971</v>
      </c>
      <c r="BB3190" s="82" t="s">
        <v>20971</v>
      </c>
      <c r="BC3190" s="82" t="s">
        <v>19956</v>
      </c>
      <c r="BD3190" s="82" t="s">
        <v>21597</v>
      </c>
      <c r="BE3190" s="77"/>
      <c r="BF3190" s="77"/>
      <c r="BG3190" s="77"/>
      <c r="BH3190" s="77"/>
      <c r="BI3190" s="77"/>
    </row>
    <row r="3191" spans="1:61" x14ac:dyDescent="0.25">
      <c r="A3191" s="62" t="s">
        <v>1006</v>
      </c>
      <c r="B3191" s="62" t="s">
        <v>1006</v>
      </c>
      <c r="C3191" s="63"/>
      <c r="D3191" s="64"/>
      <c r="E3191" s="65"/>
      <c r="F3191" s="66"/>
      <c r="G3191" s="63"/>
      <c r="H3191" s="67"/>
      <c r="I3191" s="68"/>
      <c r="J3191" s="68"/>
      <c r="K3191" s="32"/>
      <c r="L3191" s="75">
        <v>3191</v>
      </c>
      <c r="M3191" s="75"/>
      <c r="N3191" s="70"/>
      <c r="O3191" s="77" t="s">
        <v>179</v>
      </c>
      <c r="P3191" s="79">
        <v>45105.825428240743</v>
      </c>
      <c r="Q3191" s="77" t="s">
        <v>4397</v>
      </c>
      <c r="R3191" s="77">
        <v>0</v>
      </c>
      <c r="S3191" s="77">
        <v>0</v>
      </c>
      <c r="T3191" s="77">
        <v>0</v>
      </c>
      <c r="U3191" s="77">
        <v>0</v>
      </c>
      <c r="V3191" s="77">
        <v>190</v>
      </c>
      <c r="W3191" s="82" t="s">
        <v>6741</v>
      </c>
      <c r="X3191" s="77"/>
      <c r="Y3191" s="77"/>
      <c r="Z3191" s="77"/>
      <c r="AA3191" s="77" t="s">
        <v>9516</v>
      </c>
      <c r="AB3191" s="77" t="s">
        <v>10130</v>
      </c>
      <c r="AC3191" s="82" t="s">
        <v>10147</v>
      </c>
      <c r="AD3191" s="77" t="s">
        <v>10184</v>
      </c>
      <c r="AE3191" s="80" t="str">
        <f>HYPERLINK("https://twitter.com/imdasmilhas/status/1674142779549655040")</f>
        <v>https://twitter.com/imdasmilhas/status/1674142779549655040</v>
      </c>
      <c r="AF3191" s="79">
        <v>45105.825428240743</v>
      </c>
      <c r="AG3191" s="85">
        <v>45105</v>
      </c>
      <c r="AH3191" s="82" t="s">
        <v>13205</v>
      </c>
      <c r="AI3191" s="77" t="b">
        <v>0</v>
      </c>
      <c r="AJ3191" s="77"/>
      <c r="AK3191" s="77"/>
      <c r="AL3191" s="77"/>
      <c r="AM3191" s="77"/>
      <c r="AN3191" s="77"/>
      <c r="AO3191" s="77"/>
      <c r="AP3191" s="77"/>
      <c r="AQ3191" s="77" t="s">
        <v>16159</v>
      </c>
      <c r="AR3191" s="77"/>
      <c r="AS3191" s="77"/>
      <c r="AT3191" s="77"/>
      <c r="AU3191" s="77"/>
      <c r="AV3191" s="80" t="str">
        <f>HYPERLINK("https://pbs.twimg.com/media/Fzu__EhWIAApIpQ.jpg")</f>
        <v>https://pbs.twimg.com/media/Fzu__EhWIAApIpQ.jpg</v>
      </c>
      <c r="AW3191" s="82" t="s">
        <v>19957</v>
      </c>
      <c r="AX3191" s="82" t="s">
        <v>19957</v>
      </c>
      <c r="AY3191" s="77"/>
      <c r="AZ3191" s="82" t="s">
        <v>20971</v>
      </c>
      <c r="BA3191" s="82" t="s">
        <v>20971</v>
      </c>
      <c r="BB3191" s="82" t="s">
        <v>20971</v>
      </c>
      <c r="BC3191" s="82" t="s">
        <v>19957</v>
      </c>
      <c r="BD3191" s="82" t="s">
        <v>21597</v>
      </c>
      <c r="BE3191" s="77"/>
      <c r="BF3191" s="77"/>
      <c r="BG3191" s="77"/>
      <c r="BH3191" s="77"/>
      <c r="BI3191" s="77"/>
    </row>
    <row r="3192" spans="1:61" x14ac:dyDescent="0.25">
      <c r="A3192" s="62" t="s">
        <v>1006</v>
      </c>
      <c r="B3192" s="62" t="s">
        <v>1006</v>
      </c>
      <c r="C3192" s="63"/>
      <c r="D3192" s="64"/>
      <c r="E3192" s="65"/>
      <c r="F3192" s="66"/>
      <c r="G3192" s="63"/>
      <c r="H3192" s="67"/>
      <c r="I3192" s="68"/>
      <c r="J3192" s="68"/>
      <c r="K3192" s="32"/>
      <c r="L3192" s="75">
        <v>3192</v>
      </c>
      <c r="M3192" s="75"/>
      <c r="N3192" s="70"/>
      <c r="O3192" s="77" t="s">
        <v>179</v>
      </c>
      <c r="P3192" s="79">
        <v>45105.822650462964</v>
      </c>
      <c r="Q3192" s="77" t="s">
        <v>4398</v>
      </c>
      <c r="R3192" s="77">
        <v>0</v>
      </c>
      <c r="S3192" s="77">
        <v>0</v>
      </c>
      <c r="T3192" s="77">
        <v>0</v>
      </c>
      <c r="U3192" s="77">
        <v>0</v>
      </c>
      <c r="V3192" s="77">
        <v>111</v>
      </c>
      <c r="W3192" s="82" t="s">
        <v>6740</v>
      </c>
      <c r="X3192" s="77"/>
      <c r="Y3192" s="77"/>
      <c r="Z3192" s="77"/>
      <c r="AA3192" s="77" t="s">
        <v>9517</v>
      </c>
      <c r="AB3192" s="77" t="s">
        <v>10130</v>
      </c>
      <c r="AC3192" s="82" t="s">
        <v>10147</v>
      </c>
      <c r="AD3192" s="77" t="s">
        <v>10184</v>
      </c>
      <c r="AE3192" s="80" t="str">
        <f>HYPERLINK("https://twitter.com/imdasmilhas/status/1674141771482243072")</f>
        <v>https://twitter.com/imdasmilhas/status/1674141771482243072</v>
      </c>
      <c r="AF3192" s="79">
        <v>45105.822650462964</v>
      </c>
      <c r="AG3192" s="85">
        <v>45105</v>
      </c>
      <c r="AH3192" s="82" t="s">
        <v>13206</v>
      </c>
      <c r="AI3192" s="77" t="b">
        <v>0</v>
      </c>
      <c r="AJ3192" s="77"/>
      <c r="AK3192" s="77"/>
      <c r="AL3192" s="77"/>
      <c r="AM3192" s="77"/>
      <c r="AN3192" s="77"/>
      <c r="AO3192" s="77"/>
      <c r="AP3192" s="77"/>
      <c r="AQ3192" s="77" t="s">
        <v>16160</v>
      </c>
      <c r="AR3192" s="77"/>
      <c r="AS3192" s="77"/>
      <c r="AT3192" s="77"/>
      <c r="AU3192" s="77"/>
      <c r="AV3192" s="80" t="str">
        <f>HYPERLINK("https://pbs.twimg.com/media/Fzu_EZrWIAo-eWv.jpg")</f>
        <v>https://pbs.twimg.com/media/Fzu_EZrWIAo-eWv.jpg</v>
      </c>
      <c r="AW3192" s="82" t="s">
        <v>19958</v>
      </c>
      <c r="AX3192" s="82" t="s">
        <v>19958</v>
      </c>
      <c r="AY3192" s="77"/>
      <c r="AZ3192" s="82" t="s">
        <v>20971</v>
      </c>
      <c r="BA3192" s="82" t="s">
        <v>20971</v>
      </c>
      <c r="BB3192" s="82" t="s">
        <v>20971</v>
      </c>
      <c r="BC3192" s="82" t="s">
        <v>19958</v>
      </c>
      <c r="BD3192" s="82" t="s">
        <v>21597</v>
      </c>
      <c r="BE3192" s="77"/>
      <c r="BF3192" s="77"/>
      <c r="BG3192" s="77"/>
      <c r="BH3192" s="77"/>
      <c r="BI3192" s="77"/>
    </row>
    <row r="3193" spans="1:61" x14ac:dyDescent="0.25">
      <c r="A3193" s="62" t="s">
        <v>1006</v>
      </c>
      <c r="B3193" s="62" t="s">
        <v>1006</v>
      </c>
      <c r="C3193" s="63"/>
      <c r="D3193" s="64"/>
      <c r="E3193" s="65"/>
      <c r="F3193" s="66"/>
      <c r="G3193" s="63"/>
      <c r="H3193" s="67"/>
      <c r="I3193" s="68"/>
      <c r="J3193" s="68"/>
      <c r="K3193" s="32"/>
      <c r="L3193" s="75">
        <v>3193</v>
      </c>
      <c r="M3193" s="75"/>
      <c r="N3193" s="70"/>
      <c r="O3193" s="77" t="s">
        <v>179</v>
      </c>
      <c r="P3193" s="79">
        <v>45105.686678240738</v>
      </c>
      <c r="Q3193" s="77" t="s">
        <v>4399</v>
      </c>
      <c r="R3193" s="77">
        <v>0</v>
      </c>
      <c r="S3193" s="77">
        <v>0</v>
      </c>
      <c r="T3193" s="77">
        <v>1</v>
      </c>
      <c r="U3193" s="77">
        <v>0</v>
      </c>
      <c r="V3193" s="77">
        <v>83</v>
      </c>
      <c r="W3193" s="82" t="s">
        <v>6742</v>
      </c>
      <c r="X3193" s="77"/>
      <c r="Y3193" s="77"/>
      <c r="Z3193" s="77"/>
      <c r="AA3193" s="77" t="s">
        <v>9518</v>
      </c>
      <c r="AB3193" s="77" t="s">
        <v>10130</v>
      </c>
      <c r="AC3193" s="82" t="s">
        <v>10147</v>
      </c>
      <c r="AD3193" s="77" t="s">
        <v>10184</v>
      </c>
      <c r="AE3193" s="80" t="str">
        <f>HYPERLINK("https://twitter.com/imdasmilhas/status/1674092496983322624")</f>
        <v>https://twitter.com/imdasmilhas/status/1674092496983322624</v>
      </c>
      <c r="AF3193" s="79">
        <v>45105.686678240738</v>
      </c>
      <c r="AG3193" s="85">
        <v>45105</v>
      </c>
      <c r="AH3193" s="82" t="s">
        <v>13207</v>
      </c>
      <c r="AI3193" s="77" t="b">
        <v>0</v>
      </c>
      <c r="AJ3193" s="77"/>
      <c r="AK3193" s="77"/>
      <c r="AL3193" s="77"/>
      <c r="AM3193" s="77"/>
      <c r="AN3193" s="77"/>
      <c r="AO3193" s="77"/>
      <c r="AP3193" s="77"/>
      <c r="AQ3193" s="77" t="s">
        <v>16161</v>
      </c>
      <c r="AR3193" s="77"/>
      <c r="AS3193" s="77"/>
      <c r="AT3193" s="77"/>
      <c r="AU3193" s="77"/>
      <c r="AV3193" s="80" t="str">
        <f>HYPERLINK("https://pbs.twimg.com/media/FzuSQP3XoAMdY5u.jpg")</f>
        <v>https://pbs.twimg.com/media/FzuSQP3XoAMdY5u.jpg</v>
      </c>
      <c r="AW3193" s="82" t="s">
        <v>19959</v>
      </c>
      <c r="AX3193" s="82" t="s">
        <v>19959</v>
      </c>
      <c r="AY3193" s="77"/>
      <c r="AZ3193" s="82" t="s">
        <v>20971</v>
      </c>
      <c r="BA3193" s="82" t="s">
        <v>20971</v>
      </c>
      <c r="BB3193" s="82" t="s">
        <v>20971</v>
      </c>
      <c r="BC3193" s="82" t="s">
        <v>19959</v>
      </c>
      <c r="BD3193" s="82" t="s">
        <v>21597</v>
      </c>
      <c r="BE3193" s="77"/>
      <c r="BF3193" s="77"/>
      <c r="BG3193" s="77"/>
      <c r="BH3193" s="77"/>
      <c r="BI3193" s="77"/>
    </row>
    <row r="3194" spans="1:61" x14ac:dyDescent="0.25">
      <c r="A3194" s="62" t="s">
        <v>1006</v>
      </c>
      <c r="B3194" s="62" t="s">
        <v>1006</v>
      </c>
      <c r="C3194" s="63"/>
      <c r="D3194" s="64"/>
      <c r="E3194" s="65"/>
      <c r="F3194" s="66"/>
      <c r="G3194" s="63"/>
      <c r="H3194" s="67"/>
      <c r="I3194" s="68"/>
      <c r="J3194" s="68"/>
      <c r="K3194" s="32"/>
      <c r="L3194" s="75">
        <v>3194</v>
      </c>
      <c r="M3194" s="75"/>
      <c r="N3194" s="70"/>
      <c r="O3194" s="77" t="s">
        <v>179</v>
      </c>
      <c r="P3194" s="79">
        <v>45105.684502314813</v>
      </c>
      <c r="Q3194" s="77" t="s">
        <v>4400</v>
      </c>
      <c r="R3194" s="77">
        <v>0</v>
      </c>
      <c r="S3194" s="77">
        <v>0</v>
      </c>
      <c r="T3194" s="77">
        <v>1</v>
      </c>
      <c r="U3194" s="77">
        <v>0</v>
      </c>
      <c r="V3194" s="77">
        <v>64</v>
      </c>
      <c r="W3194" s="82" t="s">
        <v>6740</v>
      </c>
      <c r="X3194" s="77"/>
      <c r="Y3194" s="77"/>
      <c r="Z3194" s="77"/>
      <c r="AA3194" s="77" t="s">
        <v>9519</v>
      </c>
      <c r="AB3194" s="77" t="s">
        <v>10130</v>
      </c>
      <c r="AC3194" s="82" t="s">
        <v>10147</v>
      </c>
      <c r="AD3194" s="77" t="s">
        <v>10184</v>
      </c>
      <c r="AE3194" s="80" t="str">
        <f>HYPERLINK("https://twitter.com/imdasmilhas/status/1674091712216461312")</f>
        <v>https://twitter.com/imdasmilhas/status/1674091712216461312</v>
      </c>
      <c r="AF3194" s="79">
        <v>45105.684502314813</v>
      </c>
      <c r="AG3194" s="85">
        <v>45105</v>
      </c>
      <c r="AH3194" s="82" t="s">
        <v>13208</v>
      </c>
      <c r="AI3194" s="77" t="b">
        <v>0</v>
      </c>
      <c r="AJ3194" s="77"/>
      <c r="AK3194" s="77"/>
      <c r="AL3194" s="77"/>
      <c r="AM3194" s="77"/>
      <c r="AN3194" s="77"/>
      <c r="AO3194" s="77"/>
      <c r="AP3194" s="77"/>
      <c r="AQ3194" s="77" t="s">
        <v>16162</v>
      </c>
      <c r="AR3194" s="77"/>
      <c r="AS3194" s="77"/>
      <c r="AT3194" s="77"/>
      <c r="AU3194" s="77"/>
      <c r="AV3194" s="80" t="str">
        <f>HYPERLINK("https://pbs.twimg.com/media/FzuRiiuXsAAuMmF.jpg")</f>
        <v>https://pbs.twimg.com/media/FzuRiiuXsAAuMmF.jpg</v>
      </c>
      <c r="AW3194" s="82" t="s">
        <v>19960</v>
      </c>
      <c r="AX3194" s="82" t="s">
        <v>19960</v>
      </c>
      <c r="AY3194" s="77"/>
      <c r="AZ3194" s="82" t="s">
        <v>20971</v>
      </c>
      <c r="BA3194" s="82" t="s">
        <v>20971</v>
      </c>
      <c r="BB3194" s="82" t="s">
        <v>20971</v>
      </c>
      <c r="BC3194" s="82" t="s">
        <v>19960</v>
      </c>
      <c r="BD3194" s="82" t="s">
        <v>21597</v>
      </c>
      <c r="BE3194" s="77"/>
      <c r="BF3194" s="77"/>
      <c r="BG3194" s="77"/>
      <c r="BH3194" s="77"/>
      <c r="BI3194" s="77"/>
    </row>
    <row r="3195" spans="1:61" x14ac:dyDescent="0.25">
      <c r="A3195" s="62" t="s">
        <v>1006</v>
      </c>
      <c r="B3195" s="62" t="s">
        <v>1006</v>
      </c>
      <c r="C3195" s="63"/>
      <c r="D3195" s="64"/>
      <c r="E3195" s="65"/>
      <c r="F3195" s="66"/>
      <c r="G3195" s="63"/>
      <c r="H3195" s="67"/>
      <c r="I3195" s="68"/>
      <c r="J3195" s="68"/>
      <c r="K3195" s="32"/>
      <c r="L3195" s="75">
        <v>3195</v>
      </c>
      <c r="M3195" s="75"/>
      <c r="N3195" s="70"/>
      <c r="O3195" s="77" t="s">
        <v>179</v>
      </c>
      <c r="P3195" s="79">
        <v>45105.681747685187</v>
      </c>
      <c r="Q3195" s="77" t="s">
        <v>4401</v>
      </c>
      <c r="R3195" s="77">
        <v>0</v>
      </c>
      <c r="S3195" s="77">
        <v>1</v>
      </c>
      <c r="T3195" s="77">
        <v>1</v>
      </c>
      <c r="U3195" s="77">
        <v>0</v>
      </c>
      <c r="V3195" s="77">
        <v>85</v>
      </c>
      <c r="W3195" s="82" t="s">
        <v>6740</v>
      </c>
      <c r="X3195" s="77"/>
      <c r="Y3195" s="77"/>
      <c r="Z3195" s="77"/>
      <c r="AA3195" s="77" t="s">
        <v>9520</v>
      </c>
      <c r="AB3195" s="77" t="s">
        <v>10130</v>
      </c>
      <c r="AC3195" s="82" t="s">
        <v>10147</v>
      </c>
      <c r="AD3195" s="77" t="s">
        <v>10184</v>
      </c>
      <c r="AE3195" s="80" t="str">
        <f>HYPERLINK("https://twitter.com/imdasmilhas/status/1674090713850564608")</f>
        <v>https://twitter.com/imdasmilhas/status/1674090713850564608</v>
      </c>
      <c r="AF3195" s="79">
        <v>45105.681747685187</v>
      </c>
      <c r="AG3195" s="85">
        <v>45105</v>
      </c>
      <c r="AH3195" s="82" t="s">
        <v>13209</v>
      </c>
      <c r="AI3195" s="77" t="b">
        <v>0</v>
      </c>
      <c r="AJ3195" s="77"/>
      <c r="AK3195" s="77"/>
      <c r="AL3195" s="77"/>
      <c r="AM3195" s="77"/>
      <c r="AN3195" s="77"/>
      <c r="AO3195" s="77"/>
      <c r="AP3195" s="77"/>
      <c r="AQ3195" s="77" t="s">
        <v>16163</v>
      </c>
      <c r="AR3195" s="77"/>
      <c r="AS3195" s="77"/>
      <c r="AT3195" s="77"/>
      <c r="AU3195" s="77"/>
      <c r="AV3195" s="80" t="str">
        <f>HYPERLINK("https://pbs.twimg.com/media/FzuQoezWwAIh9yh.jpg")</f>
        <v>https://pbs.twimg.com/media/FzuQoezWwAIh9yh.jpg</v>
      </c>
      <c r="AW3195" s="82" t="s">
        <v>19961</v>
      </c>
      <c r="AX3195" s="82" t="s">
        <v>19961</v>
      </c>
      <c r="AY3195" s="77"/>
      <c r="AZ3195" s="82" t="s">
        <v>20971</v>
      </c>
      <c r="BA3195" s="82" t="s">
        <v>20971</v>
      </c>
      <c r="BB3195" s="82" t="s">
        <v>20971</v>
      </c>
      <c r="BC3195" s="82" t="s">
        <v>19961</v>
      </c>
      <c r="BD3195" s="82" t="s">
        <v>21597</v>
      </c>
      <c r="BE3195" s="77"/>
      <c r="BF3195" s="77"/>
      <c r="BG3195" s="77"/>
      <c r="BH3195" s="77"/>
      <c r="BI3195" s="77"/>
    </row>
    <row r="3196" spans="1:61" x14ac:dyDescent="0.25">
      <c r="A3196" s="62" t="s">
        <v>1006</v>
      </c>
      <c r="B3196" s="62" t="s">
        <v>1006</v>
      </c>
      <c r="C3196" s="63"/>
      <c r="D3196" s="64"/>
      <c r="E3196" s="65"/>
      <c r="F3196" s="66"/>
      <c r="G3196" s="63"/>
      <c r="H3196" s="67"/>
      <c r="I3196" s="68"/>
      <c r="J3196" s="68"/>
      <c r="K3196" s="32"/>
      <c r="L3196" s="75">
        <v>3196</v>
      </c>
      <c r="M3196" s="75"/>
      <c r="N3196" s="70"/>
      <c r="O3196" s="77" t="s">
        <v>179</v>
      </c>
      <c r="P3196" s="79">
        <v>45104.839513888888</v>
      </c>
      <c r="Q3196" s="77" t="s">
        <v>4402</v>
      </c>
      <c r="R3196" s="77">
        <v>0</v>
      </c>
      <c r="S3196" s="77">
        <v>1</v>
      </c>
      <c r="T3196" s="77">
        <v>0</v>
      </c>
      <c r="U3196" s="77">
        <v>0</v>
      </c>
      <c r="V3196" s="77">
        <v>94</v>
      </c>
      <c r="W3196" s="82" t="s">
        <v>6740</v>
      </c>
      <c r="X3196" s="77"/>
      <c r="Y3196" s="77"/>
      <c r="Z3196" s="77"/>
      <c r="AA3196" s="77" t="s">
        <v>9521</v>
      </c>
      <c r="AB3196" s="77" t="s">
        <v>10130</v>
      </c>
      <c r="AC3196" s="82" t="s">
        <v>10147</v>
      </c>
      <c r="AD3196" s="77" t="s">
        <v>10184</v>
      </c>
      <c r="AE3196" s="80" t="str">
        <f>HYPERLINK("https://twitter.com/imdasmilhas/status/1673785498060374016")</f>
        <v>https://twitter.com/imdasmilhas/status/1673785498060374016</v>
      </c>
      <c r="AF3196" s="79">
        <v>45104.839513888888</v>
      </c>
      <c r="AG3196" s="85">
        <v>45104</v>
      </c>
      <c r="AH3196" s="82" t="s">
        <v>13210</v>
      </c>
      <c r="AI3196" s="77" t="b">
        <v>0</v>
      </c>
      <c r="AJ3196" s="77"/>
      <c r="AK3196" s="77"/>
      <c r="AL3196" s="77"/>
      <c r="AM3196" s="77"/>
      <c r="AN3196" s="77"/>
      <c r="AO3196" s="77"/>
      <c r="AP3196" s="77"/>
      <c r="AQ3196" s="77" t="s">
        <v>16164</v>
      </c>
      <c r="AR3196" s="77"/>
      <c r="AS3196" s="77"/>
      <c r="AT3196" s="77"/>
      <c r="AU3196" s="77"/>
      <c r="AV3196" s="80" t="str">
        <f>HYPERLINK("https://pbs.twimg.com/media/Fzp7CjeXoAA9kjV.jpg")</f>
        <v>https://pbs.twimg.com/media/Fzp7CjeXoAA9kjV.jpg</v>
      </c>
      <c r="AW3196" s="82" t="s">
        <v>19962</v>
      </c>
      <c r="AX3196" s="82" t="s">
        <v>19962</v>
      </c>
      <c r="AY3196" s="77"/>
      <c r="AZ3196" s="82" t="s">
        <v>20971</v>
      </c>
      <c r="BA3196" s="82" t="s">
        <v>20971</v>
      </c>
      <c r="BB3196" s="82" t="s">
        <v>20971</v>
      </c>
      <c r="BC3196" s="82" t="s">
        <v>19962</v>
      </c>
      <c r="BD3196" s="82" t="s">
        <v>21597</v>
      </c>
      <c r="BE3196" s="77"/>
      <c r="BF3196" s="77"/>
      <c r="BG3196" s="77"/>
      <c r="BH3196" s="77"/>
      <c r="BI3196" s="77"/>
    </row>
    <row r="3197" spans="1:61" x14ac:dyDescent="0.25">
      <c r="A3197" s="62" t="s">
        <v>1006</v>
      </c>
      <c r="B3197" s="62" t="s">
        <v>1006</v>
      </c>
      <c r="C3197" s="63"/>
      <c r="D3197" s="64"/>
      <c r="E3197" s="65"/>
      <c r="F3197" s="66"/>
      <c r="G3197" s="63"/>
      <c r="H3197" s="67"/>
      <c r="I3197" s="68"/>
      <c r="J3197" s="68"/>
      <c r="K3197" s="32"/>
      <c r="L3197" s="75">
        <v>3197</v>
      </c>
      <c r="M3197" s="75"/>
      <c r="N3197" s="70"/>
      <c r="O3197" s="77" t="s">
        <v>179</v>
      </c>
      <c r="P3197" s="79">
        <v>45104.735381944447</v>
      </c>
      <c r="Q3197" s="77" t="s">
        <v>4403</v>
      </c>
      <c r="R3197" s="77">
        <v>0</v>
      </c>
      <c r="S3197" s="77">
        <v>0</v>
      </c>
      <c r="T3197" s="77">
        <v>0</v>
      </c>
      <c r="U3197" s="77">
        <v>0</v>
      </c>
      <c r="V3197" s="77">
        <v>108</v>
      </c>
      <c r="W3197" s="82" t="s">
        <v>6740</v>
      </c>
      <c r="X3197" s="77"/>
      <c r="Y3197" s="77"/>
      <c r="Z3197" s="77"/>
      <c r="AA3197" s="77" t="s">
        <v>9522</v>
      </c>
      <c r="AB3197" s="77" t="s">
        <v>10130</v>
      </c>
      <c r="AC3197" s="82" t="s">
        <v>10147</v>
      </c>
      <c r="AD3197" s="77" t="s">
        <v>10184</v>
      </c>
      <c r="AE3197" s="80" t="str">
        <f>HYPERLINK("https://twitter.com/imdasmilhas/status/1673747759445188608")</f>
        <v>https://twitter.com/imdasmilhas/status/1673747759445188608</v>
      </c>
      <c r="AF3197" s="79">
        <v>45104.735381944447</v>
      </c>
      <c r="AG3197" s="85">
        <v>45104</v>
      </c>
      <c r="AH3197" s="82" t="s">
        <v>13211</v>
      </c>
      <c r="AI3197" s="77" t="b">
        <v>0</v>
      </c>
      <c r="AJ3197" s="77"/>
      <c r="AK3197" s="77"/>
      <c r="AL3197" s="77"/>
      <c r="AM3197" s="77"/>
      <c r="AN3197" s="77"/>
      <c r="AO3197" s="77"/>
      <c r="AP3197" s="77"/>
      <c r="AQ3197" s="77" t="s">
        <v>16165</v>
      </c>
      <c r="AR3197" s="77"/>
      <c r="AS3197" s="77"/>
      <c r="AT3197" s="77"/>
      <c r="AU3197" s="77"/>
      <c r="AV3197" s="80" t="str">
        <f>HYPERLINK("https://pbs.twimg.com/media/FzpYt6KWcAEYOxi.jpg")</f>
        <v>https://pbs.twimg.com/media/FzpYt6KWcAEYOxi.jpg</v>
      </c>
      <c r="AW3197" s="82" t="s">
        <v>19963</v>
      </c>
      <c r="AX3197" s="82" t="s">
        <v>19963</v>
      </c>
      <c r="AY3197" s="77"/>
      <c r="AZ3197" s="82" t="s">
        <v>20971</v>
      </c>
      <c r="BA3197" s="82" t="s">
        <v>20971</v>
      </c>
      <c r="BB3197" s="82" t="s">
        <v>20971</v>
      </c>
      <c r="BC3197" s="82" t="s">
        <v>19963</v>
      </c>
      <c r="BD3197" s="82" t="s">
        <v>21597</v>
      </c>
      <c r="BE3197" s="77"/>
      <c r="BF3197" s="77"/>
      <c r="BG3197" s="77"/>
      <c r="BH3197" s="77"/>
      <c r="BI3197" s="77"/>
    </row>
    <row r="3198" spans="1:61" x14ac:dyDescent="0.25">
      <c r="A3198" s="62" t="s">
        <v>1006</v>
      </c>
      <c r="B3198" s="62" t="s">
        <v>1006</v>
      </c>
      <c r="C3198" s="63"/>
      <c r="D3198" s="64"/>
      <c r="E3198" s="65"/>
      <c r="F3198" s="66"/>
      <c r="G3198" s="63"/>
      <c r="H3198" s="67"/>
      <c r="I3198" s="68"/>
      <c r="J3198" s="68"/>
      <c r="K3198" s="32"/>
      <c r="L3198" s="75">
        <v>3198</v>
      </c>
      <c r="M3198" s="75"/>
      <c r="N3198" s="70"/>
      <c r="O3198" s="77" t="s">
        <v>179</v>
      </c>
      <c r="P3198" s="79">
        <v>45104.734525462962</v>
      </c>
      <c r="Q3198" s="77" t="s">
        <v>4404</v>
      </c>
      <c r="R3198" s="77">
        <v>0</v>
      </c>
      <c r="S3198" s="77">
        <v>0</v>
      </c>
      <c r="T3198" s="77">
        <v>0</v>
      </c>
      <c r="U3198" s="77">
        <v>0</v>
      </c>
      <c r="V3198" s="77">
        <v>61</v>
      </c>
      <c r="W3198" s="82" t="s">
        <v>6742</v>
      </c>
      <c r="X3198" s="77"/>
      <c r="Y3198" s="77"/>
      <c r="Z3198" s="77"/>
      <c r="AA3198" s="77" t="s">
        <v>9523</v>
      </c>
      <c r="AB3198" s="77" t="s">
        <v>10130</v>
      </c>
      <c r="AC3198" s="82" t="s">
        <v>10147</v>
      </c>
      <c r="AD3198" s="77" t="s">
        <v>10184</v>
      </c>
      <c r="AE3198" s="80" t="str">
        <f>HYPERLINK("https://twitter.com/imdasmilhas/status/1673747449674883077")</f>
        <v>https://twitter.com/imdasmilhas/status/1673747449674883077</v>
      </c>
      <c r="AF3198" s="79">
        <v>45104.734525462962</v>
      </c>
      <c r="AG3198" s="85">
        <v>45104</v>
      </c>
      <c r="AH3198" s="82" t="s">
        <v>13212</v>
      </c>
      <c r="AI3198" s="77" t="b">
        <v>0</v>
      </c>
      <c r="AJ3198" s="77"/>
      <c r="AK3198" s="77"/>
      <c r="AL3198" s="77"/>
      <c r="AM3198" s="77"/>
      <c r="AN3198" s="77"/>
      <c r="AO3198" s="77"/>
      <c r="AP3198" s="77"/>
      <c r="AQ3198" s="77" t="s">
        <v>16166</v>
      </c>
      <c r="AR3198" s="77"/>
      <c r="AS3198" s="77"/>
      <c r="AT3198" s="77"/>
      <c r="AU3198" s="77"/>
      <c r="AV3198" s="80" t="str">
        <f>HYPERLINK("https://pbs.twimg.com/media/FzpYb26XgAAGX7L.jpg")</f>
        <v>https://pbs.twimg.com/media/FzpYb26XgAAGX7L.jpg</v>
      </c>
      <c r="AW3198" s="82" t="s">
        <v>19964</v>
      </c>
      <c r="AX3198" s="82" t="s">
        <v>19964</v>
      </c>
      <c r="AY3198" s="77"/>
      <c r="AZ3198" s="82" t="s">
        <v>20971</v>
      </c>
      <c r="BA3198" s="82" t="s">
        <v>20971</v>
      </c>
      <c r="BB3198" s="82" t="s">
        <v>20971</v>
      </c>
      <c r="BC3198" s="82" t="s">
        <v>19964</v>
      </c>
      <c r="BD3198" s="82" t="s">
        <v>21597</v>
      </c>
      <c r="BE3198" s="77"/>
      <c r="BF3198" s="77"/>
      <c r="BG3198" s="77"/>
      <c r="BH3198" s="77"/>
      <c r="BI3198" s="77"/>
    </row>
    <row r="3199" spans="1:61" x14ac:dyDescent="0.25">
      <c r="A3199" s="62" t="s">
        <v>1006</v>
      </c>
      <c r="B3199" s="62" t="s">
        <v>1006</v>
      </c>
      <c r="C3199" s="63"/>
      <c r="D3199" s="64"/>
      <c r="E3199" s="65"/>
      <c r="F3199" s="66"/>
      <c r="G3199" s="63"/>
      <c r="H3199" s="67"/>
      <c r="I3199" s="68"/>
      <c r="J3199" s="68"/>
      <c r="K3199" s="32"/>
      <c r="L3199" s="75">
        <v>3199</v>
      </c>
      <c r="M3199" s="75"/>
      <c r="N3199" s="70"/>
      <c r="O3199" s="77" t="s">
        <v>179</v>
      </c>
      <c r="P3199" s="79">
        <v>45103.808067129627</v>
      </c>
      <c r="Q3199" s="77" t="s">
        <v>4405</v>
      </c>
      <c r="R3199" s="77">
        <v>0</v>
      </c>
      <c r="S3199" s="77">
        <v>0</v>
      </c>
      <c r="T3199" s="77">
        <v>0</v>
      </c>
      <c r="U3199" s="77">
        <v>0</v>
      </c>
      <c r="V3199" s="77">
        <v>124</v>
      </c>
      <c r="W3199" s="82" t="s">
        <v>6740</v>
      </c>
      <c r="X3199" s="77"/>
      <c r="Y3199" s="77"/>
      <c r="Z3199" s="77"/>
      <c r="AA3199" s="77" t="s">
        <v>9524</v>
      </c>
      <c r="AB3199" s="77" t="s">
        <v>10130</v>
      </c>
      <c r="AC3199" s="82" t="s">
        <v>10147</v>
      </c>
      <c r="AD3199" s="77" t="s">
        <v>10184</v>
      </c>
      <c r="AE3199" s="80" t="str">
        <f>HYPERLINK("https://twitter.com/imdasmilhas/status/1673411711489961992")</f>
        <v>https://twitter.com/imdasmilhas/status/1673411711489961992</v>
      </c>
      <c r="AF3199" s="79">
        <v>45103.808067129627</v>
      </c>
      <c r="AG3199" s="85">
        <v>45103</v>
      </c>
      <c r="AH3199" s="82" t="s">
        <v>13213</v>
      </c>
      <c r="AI3199" s="77" t="b">
        <v>0</v>
      </c>
      <c r="AJ3199" s="77"/>
      <c r="AK3199" s="77"/>
      <c r="AL3199" s="77"/>
      <c r="AM3199" s="77"/>
      <c r="AN3199" s="77"/>
      <c r="AO3199" s="77"/>
      <c r="AP3199" s="77"/>
      <c r="AQ3199" s="77" t="s">
        <v>16167</v>
      </c>
      <c r="AR3199" s="77"/>
      <c r="AS3199" s="77"/>
      <c r="AT3199" s="77"/>
      <c r="AU3199" s="77"/>
      <c r="AV3199" s="80" t="str">
        <f>HYPERLINK("https://pbs.twimg.com/media/FzknFTtWcAIesma.jpg")</f>
        <v>https://pbs.twimg.com/media/FzknFTtWcAIesma.jpg</v>
      </c>
      <c r="AW3199" s="82" t="s">
        <v>19965</v>
      </c>
      <c r="AX3199" s="82" t="s">
        <v>19965</v>
      </c>
      <c r="AY3199" s="77"/>
      <c r="AZ3199" s="82" t="s">
        <v>20971</v>
      </c>
      <c r="BA3199" s="82" t="s">
        <v>20971</v>
      </c>
      <c r="BB3199" s="82" t="s">
        <v>20971</v>
      </c>
      <c r="BC3199" s="82" t="s">
        <v>19965</v>
      </c>
      <c r="BD3199" s="82" t="s">
        <v>21597</v>
      </c>
      <c r="BE3199" s="77"/>
      <c r="BF3199" s="77"/>
      <c r="BG3199" s="77"/>
      <c r="BH3199" s="77"/>
      <c r="BI3199" s="77"/>
    </row>
    <row r="3200" spans="1:61" x14ac:dyDescent="0.25">
      <c r="A3200" s="62" t="s">
        <v>1006</v>
      </c>
      <c r="B3200" s="62" t="s">
        <v>1006</v>
      </c>
      <c r="C3200" s="63"/>
      <c r="D3200" s="64"/>
      <c r="E3200" s="65"/>
      <c r="F3200" s="66"/>
      <c r="G3200" s="63"/>
      <c r="H3200" s="67"/>
      <c r="I3200" s="68"/>
      <c r="J3200" s="68"/>
      <c r="K3200" s="32"/>
      <c r="L3200" s="75">
        <v>3200</v>
      </c>
      <c r="M3200" s="75"/>
      <c r="N3200" s="70"/>
      <c r="O3200" s="77" t="s">
        <v>179</v>
      </c>
      <c r="P3200" s="79">
        <v>45103.807129629633</v>
      </c>
      <c r="Q3200" s="77" t="s">
        <v>4406</v>
      </c>
      <c r="R3200" s="77">
        <v>0</v>
      </c>
      <c r="S3200" s="77">
        <v>0</v>
      </c>
      <c r="T3200" s="77">
        <v>0</v>
      </c>
      <c r="U3200" s="77">
        <v>0</v>
      </c>
      <c r="V3200" s="77">
        <v>114</v>
      </c>
      <c r="W3200" s="82" t="s">
        <v>6740</v>
      </c>
      <c r="X3200" s="77"/>
      <c r="Y3200" s="77"/>
      <c r="Z3200" s="77"/>
      <c r="AA3200" s="77" t="s">
        <v>9525</v>
      </c>
      <c r="AB3200" s="77" t="s">
        <v>10130</v>
      </c>
      <c r="AC3200" s="82" t="s">
        <v>10147</v>
      </c>
      <c r="AD3200" s="77" t="s">
        <v>10184</v>
      </c>
      <c r="AE3200" s="80" t="str">
        <f>HYPERLINK("https://twitter.com/imdasmilhas/status/1673411372284014596")</f>
        <v>https://twitter.com/imdasmilhas/status/1673411372284014596</v>
      </c>
      <c r="AF3200" s="79">
        <v>45103.807129629633</v>
      </c>
      <c r="AG3200" s="85">
        <v>45103</v>
      </c>
      <c r="AH3200" s="82" t="s">
        <v>13214</v>
      </c>
      <c r="AI3200" s="77" t="b">
        <v>0</v>
      </c>
      <c r="AJ3200" s="77"/>
      <c r="AK3200" s="77"/>
      <c r="AL3200" s="77"/>
      <c r="AM3200" s="77"/>
      <c r="AN3200" s="77"/>
      <c r="AO3200" s="77"/>
      <c r="AP3200" s="77"/>
      <c r="AQ3200" s="77" t="s">
        <v>16168</v>
      </c>
      <c r="AR3200" s="77"/>
      <c r="AS3200" s="77"/>
      <c r="AT3200" s="77"/>
      <c r="AU3200" s="77"/>
      <c r="AV3200" s="80" t="str">
        <f>HYPERLINK("https://pbs.twimg.com/media/FzkmxjUWcAsHXAz.jpg")</f>
        <v>https://pbs.twimg.com/media/FzkmxjUWcAsHXAz.jpg</v>
      </c>
      <c r="AW3200" s="82" t="s">
        <v>19966</v>
      </c>
      <c r="AX3200" s="82" t="s">
        <v>19966</v>
      </c>
      <c r="AY3200" s="77"/>
      <c r="AZ3200" s="82" t="s">
        <v>20971</v>
      </c>
      <c r="BA3200" s="82" t="s">
        <v>20971</v>
      </c>
      <c r="BB3200" s="82" t="s">
        <v>20971</v>
      </c>
      <c r="BC3200" s="82" t="s">
        <v>19966</v>
      </c>
      <c r="BD3200" s="82" t="s">
        <v>21597</v>
      </c>
      <c r="BE3200" s="77"/>
      <c r="BF3200" s="77"/>
      <c r="BG3200" s="77"/>
      <c r="BH3200" s="77"/>
      <c r="BI3200" s="77"/>
    </row>
    <row r="3201" spans="1:61" x14ac:dyDescent="0.25">
      <c r="A3201" s="62" t="s">
        <v>1006</v>
      </c>
      <c r="B3201" s="62" t="s">
        <v>1006</v>
      </c>
      <c r="C3201" s="63"/>
      <c r="D3201" s="64"/>
      <c r="E3201" s="65"/>
      <c r="F3201" s="66"/>
      <c r="G3201" s="63"/>
      <c r="H3201" s="67"/>
      <c r="I3201" s="68"/>
      <c r="J3201" s="68"/>
      <c r="K3201" s="32"/>
      <c r="L3201" s="75">
        <v>3201</v>
      </c>
      <c r="M3201" s="75"/>
      <c r="N3201" s="70"/>
      <c r="O3201" s="77" t="s">
        <v>179</v>
      </c>
      <c r="P3201" s="79">
        <v>45103.640682870369</v>
      </c>
      <c r="Q3201" s="77" t="s">
        <v>4407</v>
      </c>
      <c r="R3201" s="77">
        <v>0</v>
      </c>
      <c r="S3201" s="77">
        <v>0</v>
      </c>
      <c r="T3201" s="77">
        <v>0</v>
      </c>
      <c r="U3201" s="77">
        <v>0</v>
      </c>
      <c r="V3201" s="77">
        <v>87</v>
      </c>
      <c r="W3201" s="82" t="s">
        <v>6740</v>
      </c>
      <c r="X3201" s="77"/>
      <c r="Y3201" s="77"/>
      <c r="Z3201" s="77"/>
      <c r="AA3201" s="77" t="s">
        <v>9526</v>
      </c>
      <c r="AB3201" s="77" t="s">
        <v>10130</v>
      </c>
      <c r="AC3201" s="82" t="s">
        <v>10147</v>
      </c>
      <c r="AD3201" s="77" t="s">
        <v>10184</v>
      </c>
      <c r="AE3201" s="80" t="str">
        <f>HYPERLINK("https://twitter.com/imdasmilhas/status/1673351055009013762")</f>
        <v>https://twitter.com/imdasmilhas/status/1673351055009013762</v>
      </c>
      <c r="AF3201" s="79">
        <v>45103.640682870369</v>
      </c>
      <c r="AG3201" s="85">
        <v>45103</v>
      </c>
      <c r="AH3201" s="82" t="s">
        <v>13215</v>
      </c>
      <c r="AI3201" s="77" t="b">
        <v>0</v>
      </c>
      <c r="AJ3201" s="77"/>
      <c r="AK3201" s="77"/>
      <c r="AL3201" s="77"/>
      <c r="AM3201" s="77"/>
      <c r="AN3201" s="77"/>
      <c r="AO3201" s="77"/>
      <c r="AP3201" s="77"/>
      <c r="AQ3201" s="77" t="s">
        <v>16169</v>
      </c>
      <c r="AR3201" s="77"/>
      <c r="AS3201" s="77"/>
      <c r="AT3201" s="77"/>
      <c r="AU3201" s="77"/>
      <c r="AV3201" s="80" t="str">
        <f>HYPERLINK("https://pbs.twimg.com/media/Fzjv6pdWwAAsnBc.jpg")</f>
        <v>https://pbs.twimg.com/media/Fzjv6pdWwAAsnBc.jpg</v>
      </c>
      <c r="AW3201" s="82" t="s">
        <v>19967</v>
      </c>
      <c r="AX3201" s="82" t="s">
        <v>19967</v>
      </c>
      <c r="AY3201" s="77"/>
      <c r="AZ3201" s="82" t="s">
        <v>20971</v>
      </c>
      <c r="BA3201" s="82" t="s">
        <v>20971</v>
      </c>
      <c r="BB3201" s="82" t="s">
        <v>20971</v>
      </c>
      <c r="BC3201" s="82" t="s">
        <v>19967</v>
      </c>
      <c r="BD3201" s="82" t="s">
        <v>21597</v>
      </c>
      <c r="BE3201" s="77"/>
      <c r="BF3201" s="77"/>
      <c r="BG3201" s="77"/>
      <c r="BH3201" s="77"/>
      <c r="BI3201" s="77"/>
    </row>
    <row r="3202" spans="1:61" x14ac:dyDescent="0.25">
      <c r="A3202" s="62" t="s">
        <v>1006</v>
      </c>
      <c r="B3202" s="62" t="s">
        <v>1006</v>
      </c>
      <c r="C3202" s="63"/>
      <c r="D3202" s="64"/>
      <c r="E3202" s="65"/>
      <c r="F3202" s="66"/>
      <c r="G3202" s="63"/>
      <c r="H3202" s="67"/>
      <c r="I3202" s="68"/>
      <c r="J3202" s="68"/>
      <c r="K3202" s="32"/>
      <c r="L3202" s="75">
        <v>3202</v>
      </c>
      <c r="M3202" s="75"/>
      <c r="N3202" s="70"/>
      <c r="O3202" s="77" t="s">
        <v>179</v>
      </c>
      <c r="P3202" s="79">
        <v>45103.639247685183</v>
      </c>
      <c r="Q3202" s="77" t="s">
        <v>4408</v>
      </c>
      <c r="R3202" s="77">
        <v>0</v>
      </c>
      <c r="S3202" s="77">
        <v>1</v>
      </c>
      <c r="T3202" s="77">
        <v>0</v>
      </c>
      <c r="U3202" s="77">
        <v>0</v>
      </c>
      <c r="V3202" s="77">
        <v>104</v>
      </c>
      <c r="W3202" s="82" t="s">
        <v>6740</v>
      </c>
      <c r="X3202" s="77"/>
      <c r="Y3202" s="77"/>
      <c r="Z3202" s="77"/>
      <c r="AA3202" s="77" t="s">
        <v>9527</v>
      </c>
      <c r="AB3202" s="77" t="s">
        <v>10130</v>
      </c>
      <c r="AC3202" s="82" t="s">
        <v>10147</v>
      </c>
      <c r="AD3202" s="77" t="s">
        <v>10184</v>
      </c>
      <c r="AE3202" s="80" t="str">
        <f>HYPERLINK("https://twitter.com/imdasmilhas/status/1673350534147743744")</f>
        <v>https://twitter.com/imdasmilhas/status/1673350534147743744</v>
      </c>
      <c r="AF3202" s="79">
        <v>45103.639247685183</v>
      </c>
      <c r="AG3202" s="85">
        <v>45103</v>
      </c>
      <c r="AH3202" s="82" t="s">
        <v>13216</v>
      </c>
      <c r="AI3202" s="77" t="b">
        <v>0</v>
      </c>
      <c r="AJ3202" s="77"/>
      <c r="AK3202" s="77"/>
      <c r="AL3202" s="77"/>
      <c r="AM3202" s="77"/>
      <c r="AN3202" s="77"/>
      <c r="AO3202" s="77"/>
      <c r="AP3202" s="77"/>
      <c r="AQ3202" s="77" t="s">
        <v>16170</v>
      </c>
      <c r="AR3202" s="77"/>
      <c r="AS3202" s="77"/>
      <c r="AT3202" s="77"/>
      <c r="AU3202" s="77"/>
      <c r="AV3202" s="80" t="str">
        <f>HYPERLINK("https://pbs.twimg.com/media/FzjvcVWWIAEEJoq.jpg")</f>
        <v>https://pbs.twimg.com/media/FzjvcVWWIAEEJoq.jpg</v>
      </c>
      <c r="AW3202" s="82" t="s">
        <v>19968</v>
      </c>
      <c r="AX3202" s="82" t="s">
        <v>19968</v>
      </c>
      <c r="AY3202" s="77"/>
      <c r="AZ3202" s="82" t="s">
        <v>20971</v>
      </c>
      <c r="BA3202" s="82" t="s">
        <v>20971</v>
      </c>
      <c r="BB3202" s="82" t="s">
        <v>20971</v>
      </c>
      <c r="BC3202" s="82" t="s">
        <v>19968</v>
      </c>
      <c r="BD3202" s="82" t="s">
        <v>21597</v>
      </c>
      <c r="BE3202" s="77"/>
      <c r="BF3202" s="77"/>
      <c r="BG3202" s="77"/>
      <c r="BH3202" s="77"/>
      <c r="BI3202" s="77"/>
    </row>
    <row r="3203" spans="1:61" x14ac:dyDescent="0.25">
      <c r="A3203" s="62" t="s">
        <v>1006</v>
      </c>
      <c r="B3203" s="62" t="s">
        <v>1006</v>
      </c>
      <c r="C3203" s="63"/>
      <c r="D3203" s="64"/>
      <c r="E3203" s="65"/>
      <c r="F3203" s="66"/>
      <c r="G3203" s="63"/>
      <c r="H3203" s="67"/>
      <c r="I3203" s="68"/>
      <c r="J3203" s="68"/>
      <c r="K3203" s="32"/>
      <c r="L3203" s="75">
        <v>3203</v>
      </c>
      <c r="M3203" s="75"/>
      <c r="N3203" s="70"/>
      <c r="O3203" s="77" t="s">
        <v>179</v>
      </c>
      <c r="P3203" s="79">
        <v>45103.639097222222</v>
      </c>
      <c r="Q3203" s="77" t="s">
        <v>4409</v>
      </c>
      <c r="R3203" s="77">
        <v>0</v>
      </c>
      <c r="S3203" s="77">
        <v>0</v>
      </c>
      <c r="T3203" s="77">
        <v>0</v>
      </c>
      <c r="U3203" s="77">
        <v>0</v>
      </c>
      <c r="V3203" s="77">
        <v>109</v>
      </c>
      <c r="W3203" s="82" t="s">
        <v>6740</v>
      </c>
      <c r="X3203" s="77"/>
      <c r="Y3203" s="77"/>
      <c r="Z3203" s="77"/>
      <c r="AA3203" s="77" t="s">
        <v>9528</v>
      </c>
      <c r="AB3203" s="77" t="s">
        <v>10130</v>
      </c>
      <c r="AC3203" s="82" t="s">
        <v>10147</v>
      </c>
      <c r="AD3203" s="77" t="s">
        <v>10184</v>
      </c>
      <c r="AE3203" s="80" t="str">
        <f>HYPERLINK("https://twitter.com/imdasmilhas/status/1673350480926240769")</f>
        <v>https://twitter.com/imdasmilhas/status/1673350480926240769</v>
      </c>
      <c r="AF3203" s="79">
        <v>45103.639097222222</v>
      </c>
      <c r="AG3203" s="85">
        <v>45103</v>
      </c>
      <c r="AH3203" s="82" t="s">
        <v>13217</v>
      </c>
      <c r="AI3203" s="77" t="b">
        <v>0</v>
      </c>
      <c r="AJ3203" s="77"/>
      <c r="AK3203" s="77"/>
      <c r="AL3203" s="77"/>
      <c r="AM3203" s="77"/>
      <c r="AN3203" s="77"/>
      <c r="AO3203" s="77"/>
      <c r="AP3203" s="77"/>
      <c r="AQ3203" s="77" t="s">
        <v>16171</v>
      </c>
      <c r="AR3203" s="77"/>
      <c r="AS3203" s="77"/>
      <c r="AT3203" s="77"/>
      <c r="AU3203" s="77"/>
      <c r="AV3203" s="80" t="str">
        <f>HYPERLINK("https://pbs.twimg.com/media/FzjvZQLXoAMF_-h.jpg")</f>
        <v>https://pbs.twimg.com/media/FzjvZQLXoAMF_-h.jpg</v>
      </c>
      <c r="AW3203" s="82" t="s">
        <v>19969</v>
      </c>
      <c r="AX3203" s="82" t="s">
        <v>19969</v>
      </c>
      <c r="AY3203" s="77"/>
      <c r="AZ3203" s="82" t="s">
        <v>20971</v>
      </c>
      <c r="BA3203" s="82" t="s">
        <v>20971</v>
      </c>
      <c r="BB3203" s="82" t="s">
        <v>20971</v>
      </c>
      <c r="BC3203" s="82" t="s">
        <v>19969</v>
      </c>
      <c r="BD3203" s="82" t="s">
        <v>21597</v>
      </c>
      <c r="BE3203" s="77"/>
      <c r="BF3203" s="77"/>
      <c r="BG3203" s="77"/>
      <c r="BH3203" s="77"/>
      <c r="BI3203" s="77"/>
    </row>
    <row r="3204" spans="1:61" x14ac:dyDescent="0.25">
      <c r="A3204" s="62" t="s">
        <v>1006</v>
      </c>
      <c r="B3204" s="62" t="s">
        <v>1006</v>
      </c>
      <c r="C3204" s="63"/>
      <c r="D3204" s="64"/>
      <c r="E3204" s="65"/>
      <c r="F3204" s="66"/>
      <c r="G3204" s="63"/>
      <c r="H3204" s="67"/>
      <c r="I3204" s="68"/>
      <c r="J3204" s="68"/>
      <c r="K3204" s="32"/>
      <c r="L3204" s="75">
        <v>3204</v>
      </c>
      <c r="M3204" s="75"/>
      <c r="N3204" s="70"/>
      <c r="O3204" s="77" t="s">
        <v>179</v>
      </c>
      <c r="P3204" s="79">
        <v>45086.810833333337</v>
      </c>
      <c r="Q3204" s="77" t="s">
        <v>4410</v>
      </c>
      <c r="R3204" s="77">
        <v>0</v>
      </c>
      <c r="S3204" s="77">
        <v>0</v>
      </c>
      <c r="T3204" s="77">
        <v>0</v>
      </c>
      <c r="U3204" s="77">
        <v>0</v>
      </c>
      <c r="V3204" s="77">
        <v>88</v>
      </c>
      <c r="W3204" s="82" t="s">
        <v>6740</v>
      </c>
      <c r="X3204" s="77"/>
      <c r="Y3204" s="77"/>
      <c r="Z3204" s="77"/>
      <c r="AA3204" s="77" t="s">
        <v>9529</v>
      </c>
      <c r="AB3204" s="77" t="s">
        <v>10130</v>
      </c>
      <c r="AC3204" s="82" t="s">
        <v>10147</v>
      </c>
      <c r="AD3204" s="77" t="s">
        <v>10184</v>
      </c>
      <c r="AE3204" s="80" t="str">
        <f>HYPERLINK("https://twitter.com/imdasmilhas/status/1667252119806660625")</f>
        <v>https://twitter.com/imdasmilhas/status/1667252119806660625</v>
      </c>
      <c r="AF3204" s="79">
        <v>45086.810833333337</v>
      </c>
      <c r="AG3204" s="85">
        <v>45086</v>
      </c>
      <c r="AH3204" s="82" t="s">
        <v>13218</v>
      </c>
      <c r="AI3204" s="77" t="b">
        <v>0</v>
      </c>
      <c r="AJ3204" s="77"/>
      <c r="AK3204" s="77"/>
      <c r="AL3204" s="77"/>
      <c r="AM3204" s="77"/>
      <c r="AN3204" s="77"/>
      <c r="AO3204" s="77"/>
      <c r="AP3204" s="77"/>
      <c r="AQ3204" s="77" t="s">
        <v>16172</v>
      </c>
      <c r="AR3204" s="77"/>
      <c r="AS3204" s="77"/>
      <c r="AT3204" s="77"/>
      <c r="AU3204" s="77"/>
      <c r="AV3204" s="80" t="str">
        <f>HYPERLINK("https://pbs.twimg.com/media/FyNE95MX0AopIos.jpg")</f>
        <v>https://pbs.twimg.com/media/FyNE95MX0AopIos.jpg</v>
      </c>
      <c r="AW3204" s="82" t="s">
        <v>19970</v>
      </c>
      <c r="AX3204" s="82" t="s">
        <v>19970</v>
      </c>
      <c r="AY3204" s="77"/>
      <c r="AZ3204" s="82" t="s">
        <v>20971</v>
      </c>
      <c r="BA3204" s="82" t="s">
        <v>20971</v>
      </c>
      <c r="BB3204" s="82" t="s">
        <v>20971</v>
      </c>
      <c r="BC3204" s="82" t="s">
        <v>19970</v>
      </c>
      <c r="BD3204" s="82" t="s">
        <v>21597</v>
      </c>
      <c r="BE3204" s="77"/>
      <c r="BF3204" s="77"/>
      <c r="BG3204" s="77"/>
      <c r="BH3204" s="77"/>
      <c r="BI3204" s="77"/>
    </row>
    <row r="3205" spans="1:61" x14ac:dyDescent="0.25">
      <c r="A3205" s="62" t="s">
        <v>1006</v>
      </c>
      <c r="B3205" s="62" t="s">
        <v>1006</v>
      </c>
      <c r="C3205" s="63"/>
      <c r="D3205" s="64"/>
      <c r="E3205" s="65"/>
      <c r="F3205" s="66"/>
      <c r="G3205" s="63"/>
      <c r="H3205" s="67"/>
      <c r="I3205" s="68"/>
      <c r="J3205" s="68"/>
      <c r="K3205" s="32"/>
      <c r="L3205" s="75">
        <v>3205</v>
      </c>
      <c r="M3205" s="75"/>
      <c r="N3205" s="70"/>
      <c r="O3205" s="77" t="s">
        <v>179</v>
      </c>
      <c r="P3205" s="79">
        <v>45086.808148148149</v>
      </c>
      <c r="Q3205" s="77" t="s">
        <v>4411</v>
      </c>
      <c r="R3205" s="77">
        <v>0</v>
      </c>
      <c r="S3205" s="77">
        <v>0</v>
      </c>
      <c r="T3205" s="77">
        <v>0</v>
      </c>
      <c r="U3205" s="77">
        <v>0</v>
      </c>
      <c r="V3205" s="77">
        <v>96</v>
      </c>
      <c r="W3205" s="82" t="s">
        <v>6740</v>
      </c>
      <c r="X3205" s="77"/>
      <c r="Y3205" s="77"/>
      <c r="Z3205" s="77"/>
      <c r="AA3205" s="77" t="s">
        <v>9530</v>
      </c>
      <c r="AB3205" s="77" t="s">
        <v>10130</v>
      </c>
      <c r="AC3205" s="82" t="s">
        <v>10147</v>
      </c>
      <c r="AD3205" s="77" t="s">
        <v>10184</v>
      </c>
      <c r="AE3205" s="80" t="str">
        <f>HYPERLINK("https://twitter.com/imdasmilhas/status/1667251150599475205")</f>
        <v>https://twitter.com/imdasmilhas/status/1667251150599475205</v>
      </c>
      <c r="AF3205" s="79">
        <v>45086.808148148149</v>
      </c>
      <c r="AG3205" s="85">
        <v>45086</v>
      </c>
      <c r="AH3205" s="82" t="s">
        <v>13219</v>
      </c>
      <c r="AI3205" s="77" t="b">
        <v>0</v>
      </c>
      <c r="AJ3205" s="77"/>
      <c r="AK3205" s="77"/>
      <c r="AL3205" s="77"/>
      <c r="AM3205" s="77"/>
      <c r="AN3205" s="77"/>
      <c r="AO3205" s="77"/>
      <c r="AP3205" s="77"/>
      <c r="AQ3205" s="77" t="s">
        <v>16173</v>
      </c>
      <c r="AR3205" s="77"/>
      <c r="AS3205" s="77"/>
      <c r="AT3205" s="77"/>
      <c r="AU3205" s="77"/>
      <c r="AV3205" s="80" t="str">
        <f>HYPERLINK("https://pbs.twimg.com/media/FyNEFesXgAEJZi0.jpg")</f>
        <v>https://pbs.twimg.com/media/FyNEFesXgAEJZi0.jpg</v>
      </c>
      <c r="AW3205" s="82" t="s">
        <v>19971</v>
      </c>
      <c r="AX3205" s="82" t="s">
        <v>19971</v>
      </c>
      <c r="AY3205" s="77"/>
      <c r="AZ3205" s="82" t="s">
        <v>20971</v>
      </c>
      <c r="BA3205" s="82" t="s">
        <v>20971</v>
      </c>
      <c r="BB3205" s="82" t="s">
        <v>20971</v>
      </c>
      <c r="BC3205" s="82" t="s">
        <v>19971</v>
      </c>
      <c r="BD3205" s="82" t="s">
        <v>21597</v>
      </c>
      <c r="BE3205" s="77"/>
      <c r="BF3205" s="77"/>
      <c r="BG3205" s="77"/>
      <c r="BH3205" s="77"/>
      <c r="BI3205" s="77"/>
    </row>
    <row r="3206" spans="1:61" x14ac:dyDescent="0.25">
      <c r="A3206" s="62" t="s">
        <v>1006</v>
      </c>
      <c r="B3206" s="62" t="s">
        <v>1006</v>
      </c>
      <c r="C3206" s="63"/>
      <c r="D3206" s="64"/>
      <c r="E3206" s="65"/>
      <c r="F3206" s="66"/>
      <c r="G3206" s="63"/>
      <c r="H3206" s="67"/>
      <c r="I3206" s="68"/>
      <c r="J3206" s="68"/>
      <c r="K3206" s="32"/>
      <c r="L3206" s="75">
        <v>3206</v>
      </c>
      <c r="M3206" s="75"/>
      <c r="N3206" s="70"/>
      <c r="O3206" s="77" t="s">
        <v>179</v>
      </c>
      <c r="P3206" s="79">
        <v>45086.80672453704</v>
      </c>
      <c r="Q3206" s="77" t="s">
        <v>4412</v>
      </c>
      <c r="R3206" s="77">
        <v>0</v>
      </c>
      <c r="S3206" s="77">
        <v>0</v>
      </c>
      <c r="T3206" s="77">
        <v>0</v>
      </c>
      <c r="U3206" s="77">
        <v>0</v>
      </c>
      <c r="V3206" s="77">
        <v>162</v>
      </c>
      <c r="W3206" s="82" t="s">
        <v>6740</v>
      </c>
      <c r="X3206" s="77"/>
      <c r="Y3206" s="77"/>
      <c r="Z3206" s="77"/>
      <c r="AA3206" s="77" t="s">
        <v>9531</v>
      </c>
      <c r="AB3206" s="77" t="s">
        <v>10130</v>
      </c>
      <c r="AC3206" s="82" t="s">
        <v>10147</v>
      </c>
      <c r="AD3206" s="77" t="s">
        <v>10184</v>
      </c>
      <c r="AE3206" s="80" t="str">
        <f>HYPERLINK("https://twitter.com/imdasmilhas/status/1667250631977869317")</f>
        <v>https://twitter.com/imdasmilhas/status/1667250631977869317</v>
      </c>
      <c r="AF3206" s="79">
        <v>45086.80672453704</v>
      </c>
      <c r="AG3206" s="85">
        <v>45086</v>
      </c>
      <c r="AH3206" s="82" t="s">
        <v>13220</v>
      </c>
      <c r="AI3206" s="77" t="b">
        <v>0</v>
      </c>
      <c r="AJ3206" s="77"/>
      <c r="AK3206" s="77"/>
      <c r="AL3206" s="77"/>
      <c r="AM3206" s="77"/>
      <c r="AN3206" s="77"/>
      <c r="AO3206" s="77"/>
      <c r="AP3206" s="77"/>
      <c r="AQ3206" s="77" t="s">
        <v>16174</v>
      </c>
      <c r="AR3206" s="77"/>
      <c r="AS3206" s="77"/>
      <c r="AT3206" s="77"/>
      <c r="AU3206" s="77"/>
      <c r="AV3206" s="80" t="str">
        <f>HYPERLINK("https://pbs.twimg.com/media/FyNDnTPX0AM_eG3.jpg")</f>
        <v>https://pbs.twimg.com/media/FyNDnTPX0AM_eG3.jpg</v>
      </c>
      <c r="AW3206" s="82" t="s">
        <v>19972</v>
      </c>
      <c r="AX3206" s="82" t="s">
        <v>19972</v>
      </c>
      <c r="AY3206" s="77"/>
      <c r="AZ3206" s="82" t="s">
        <v>20971</v>
      </c>
      <c r="BA3206" s="82" t="s">
        <v>20971</v>
      </c>
      <c r="BB3206" s="82" t="s">
        <v>20971</v>
      </c>
      <c r="BC3206" s="82" t="s">
        <v>19972</v>
      </c>
      <c r="BD3206" s="82" t="s">
        <v>21597</v>
      </c>
      <c r="BE3206" s="77"/>
      <c r="BF3206" s="77"/>
      <c r="BG3206" s="77"/>
      <c r="BH3206" s="77"/>
      <c r="BI3206" s="77"/>
    </row>
    <row r="3207" spans="1:61" x14ac:dyDescent="0.25">
      <c r="A3207" s="62" t="s">
        <v>1006</v>
      </c>
      <c r="B3207" s="62" t="s">
        <v>1006</v>
      </c>
      <c r="C3207" s="63"/>
      <c r="D3207" s="64"/>
      <c r="E3207" s="65"/>
      <c r="F3207" s="66"/>
      <c r="G3207" s="63"/>
      <c r="H3207" s="67"/>
      <c r="I3207" s="68"/>
      <c r="J3207" s="68"/>
      <c r="K3207" s="32"/>
      <c r="L3207" s="75">
        <v>3207</v>
      </c>
      <c r="M3207" s="75"/>
      <c r="N3207" s="70"/>
      <c r="O3207" s="77" t="s">
        <v>179</v>
      </c>
      <c r="P3207" s="79">
        <v>45086.806226851855</v>
      </c>
      <c r="Q3207" s="77" t="s">
        <v>4413</v>
      </c>
      <c r="R3207" s="77">
        <v>0</v>
      </c>
      <c r="S3207" s="77">
        <v>0</v>
      </c>
      <c r="T3207" s="77">
        <v>0</v>
      </c>
      <c r="U3207" s="77">
        <v>0</v>
      </c>
      <c r="V3207" s="77">
        <v>103</v>
      </c>
      <c r="W3207" s="82" t="s">
        <v>6740</v>
      </c>
      <c r="X3207" s="77"/>
      <c r="Y3207" s="77"/>
      <c r="Z3207" s="77"/>
      <c r="AA3207" s="77" t="s">
        <v>9532</v>
      </c>
      <c r="AB3207" s="77" t="s">
        <v>10130</v>
      </c>
      <c r="AC3207" s="82" t="s">
        <v>10147</v>
      </c>
      <c r="AD3207" s="77" t="s">
        <v>10184</v>
      </c>
      <c r="AE3207" s="80" t="str">
        <f>HYPERLINK("https://twitter.com/imdasmilhas/status/1667250450532278273")</f>
        <v>https://twitter.com/imdasmilhas/status/1667250450532278273</v>
      </c>
      <c r="AF3207" s="79">
        <v>45086.806226851855</v>
      </c>
      <c r="AG3207" s="85">
        <v>45086</v>
      </c>
      <c r="AH3207" s="82" t="s">
        <v>13221</v>
      </c>
      <c r="AI3207" s="77" t="b">
        <v>0</v>
      </c>
      <c r="AJ3207" s="77"/>
      <c r="AK3207" s="77"/>
      <c r="AL3207" s="77"/>
      <c r="AM3207" s="77"/>
      <c r="AN3207" s="77"/>
      <c r="AO3207" s="77"/>
      <c r="AP3207" s="77"/>
      <c r="AQ3207" s="77" t="s">
        <v>16175</v>
      </c>
      <c r="AR3207" s="77"/>
      <c r="AS3207" s="77"/>
      <c r="AT3207" s="77"/>
      <c r="AU3207" s="77"/>
      <c r="AV3207" s="80" t="str">
        <f>HYPERLINK("https://pbs.twimg.com/media/FyNDcurX0Bc3CAr.jpg")</f>
        <v>https://pbs.twimg.com/media/FyNDcurX0Bc3CAr.jpg</v>
      </c>
      <c r="AW3207" s="82" t="s">
        <v>19973</v>
      </c>
      <c r="AX3207" s="82" t="s">
        <v>19973</v>
      </c>
      <c r="AY3207" s="77"/>
      <c r="AZ3207" s="82" t="s">
        <v>20971</v>
      </c>
      <c r="BA3207" s="82" t="s">
        <v>20971</v>
      </c>
      <c r="BB3207" s="82" t="s">
        <v>20971</v>
      </c>
      <c r="BC3207" s="82" t="s">
        <v>19973</v>
      </c>
      <c r="BD3207" s="82" t="s">
        <v>21597</v>
      </c>
      <c r="BE3207" s="77"/>
      <c r="BF3207" s="77"/>
      <c r="BG3207" s="77"/>
      <c r="BH3207" s="77"/>
      <c r="BI3207" s="77"/>
    </row>
    <row r="3208" spans="1:61" x14ac:dyDescent="0.25">
      <c r="A3208" s="62" t="s">
        <v>1006</v>
      </c>
      <c r="B3208" s="62" t="s">
        <v>1006</v>
      </c>
      <c r="C3208" s="63"/>
      <c r="D3208" s="64"/>
      <c r="E3208" s="65"/>
      <c r="F3208" s="66"/>
      <c r="G3208" s="63"/>
      <c r="H3208" s="67"/>
      <c r="I3208" s="68"/>
      <c r="J3208" s="68"/>
      <c r="K3208" s="32"/>
      <c r="L3208" s="75">
        <v>3208</v>
      </c>
      <c r="M3208" s="75"/>
      <c r="N3208" s="70"/>
      <c r="O3208" s="77" t="s">
        <v>179</v>
      </c>
      <c r="P3208" s="79">
        <v>45086.805694444447</v>
      </c>
      <c r="Q3208" s="77" t="s">
        <v>4414</v>
      </c>
      <c r="R3208" s="77">
        <v>0</v>
      </c>
      <c r="S3208" s="77">
        <v>0</v>
      </c>
      <c r="T3208" s="77">
        <v>0</v>
      </c>
      <c r="U3208" s="77">
        <v>0</v>
      </c>
      <c r="V3208" s="77">
        <v>99</v>
      </c>
      <c r="W3208" s="82" t="s">
        <v>6740</v>
      </c>
      <c r="X3208" s="77"/>
      <c r="Y3208" s="77"/>
      <c r="Z3208" s="77"/>
      <c r="AA3208" s="77" t="s">
        <v>9533</v>
      </c>
      <c r="AB3208" s="77" t="s">
        <v>10130</v>
      </c>
      <c r="AC3208" s="82" t="s">
        <v>10147</v>
      </c>
      <c r="AD3208" s="77" t="s">
        <v>10184</v>
      </c>
      <c r="AE3208" s="80" t="str">
        <f>HYPERLINK("https://twitter.com/imdasmilhas/status/1667250261239255040")</f>
        <v>https://twitter.com/imdasmilhas/status/1667250261239255040</v>
      </c>
      <c r="AF3208" s="79">
        <v>45086.805694444447</v>
      </c>
      <c r="AG3208" s="85">
        <v>45086</v>
      </c>
      <c r="AH3208" s="82" t="s">
        <v>11505</v>
      </c>
      <c r="AI3208" s="77" t="b">
        <v>0</v>
      </c>
      <c r="AJ3208" s="77"/>
      <c r="AK3208" s="77"/>
      <c r="AL3208" s="77"/>
      <c r="AM3208" s="77"/>
      <c r="AN3208" s="77"/>
      <c r="AO3208" s="77"/>
      <c r="AP3208" s="77"/>
      <c r="AQ3208" s="77" t="s">
        <v>16176</v>
      </c>
      <c r="AR3208" s="77"/>
      <c r="AS3208" s="77"/>
      <c r="AT3208" s="77"/>
      <c r="AU3208" s="77"/>
      <c r="AV3208" s="80" t="str">
        <f>HYPERLINK("https://pbs.twimg.com/media/FyNDRvGWYAI1qLe.jpg")</f>
        <v>https://pbs.twimg.com/media/FyNDRvGWYAI1qLe.jpg</v>
      </c>
      <c r="AW3208" s="82" t="s">
        <v>19974</v>
      </c>
      <c r="AX3208" s="82" t="s">
        <v>19974</v>
      </c>
      <c r="AY3208" s="77"/>
      <c r="AZ3208" s="82" t="s">
        <v>20971</v>
      </c>
      <c r="BA3208" s="82" t="s">
        <v>20971</v>
      </c>
      <c r="BB3208" s="82" t="s">
        <v>20971</v>
      </c>
      <c r="BC3208" s="82" t="s">
        <v>19974</v>
      </c>
      <c r="BD3208" s="82" t="s">
        <v>21597</v>
      </c>
      <c r="BE3208" s="77"/>
      <c r="BF3208" s="77"/>
      <c r="BG3208" s="77"/>
      <c r="BH3208" s="77"/>
      <c r="BI3208" s="77"/>
    </row>
    <row r="3209" spans="1:61" x14ac:dyDescent="0.25">
      <c r="A3209" s="62" t="s">
        <v>1006</v>
      </c>
      <c r="B3209" s="62" t="s">
        <v>1006</v>
      </c>
      <c r="C3209" s="63"/>
      <c r="D3209" s="64"/>
      <c r="E3209" s="65"/>
      <c r="F3209" s="66"/>
      <c r="G3209" s="63"/>
      <c r="H3209" s="67"/>
      <c r="I3209" s="68"/>
      <c r="J3209" s="68"/>
      <c r="K3209" s="32"/>
      <c r="L3209" s="75">
        <v>3209</v>
      </c>
      <c r="M3209" s="75"/>
      <c r="N3209" s="70"/>
      <c r="O3209" s="77" t="s">
        <v>179</v>
      </c>
      <c r="P3209" s="79">
        <v>45084.776145833333</v>
      </c>
      <c r="Q3209" s="77" t="s">
        <v>4415</v>
      </c>
      <c r="R3209" s="77">
        <v>0</v>
      </c>
      <c r="S3209" s="77">
        <v>0</v>
      </c>
      <c r="T3209" s="77">
        <v>0</v>
      </c>
      <c r="U3209" s="77">
        <v>0</v>
      </c>
      <c r="V3209" s="77">
        <v>94</v>
      </c>
      <c r="W3209" s="82" t="s">
        <v>6740</v>
      </c>
      <c r="X3209" s="77"/>
      <c r="Y3209" s="77"/>
      <c r="Z3209" s="77"/>
      <c r="AA3209" s="77" t="s">
        <v>9534</v>
      </c>
      <c r="AB3209" s="77" t="s">
        <v>10130</v>
      </c>
      <c r="AC3209" s="82" t="s">
        <v>10147</v>
      </c>
      <c r="AD3209" s="77" t="s">
        <v>10184</v>
      </c>
      <c r="AE3209" s="80" t="str">
        <f>HYPERLINK("https://twitter.com/imdasmilhas/status/1666514776371896326")</f>
        <v>https://twitter.com/imdasmilhas/status/1666514776371896326</v>
      </c>
      <c r="AF3209" s="79">
        <v>45084.776145833333</v>
      </c>
      <c r="AG3209" s="85">
        <v>45084</v>
      </c>
      <c r="AH3209" s="82" t="s">
        <v>13222</v>
      </c>
      <c r="AI3209" s="77" t="b">
        <v>0</v>
      </c>
      <c r="AJ3209" s="77"/>
      <c r="AK3209" s="77"/>
      <c r="AL3209" s="77"/>
      <c r="AM3209" s="77"/>
      <c r="AN3209" s="77"/>
      <c r="AO3209" s="77"/>
      <c r="AP3209" s="77"/>
      <c r="AQ3209" s="77" t="s">
        <v>16177</v>
      </c>
      <c r="AR3209" s="77"/>
      <c r="AS3209" s="77"/>
      <c r="AT3209" s="77"/>
      <c r="AU3209" s="77"/>
      <c r="AV3209" s="80" t="str">
        <f>HYPERLINK("https://pbs.twimg.com/media/FyCmW32WwAAkmeU.jpg")</f>
        <v>https://pbs.twimg.com/media/FyCmW32WwAAkmeU.jpg</v>
      </c>
      <c r="AW3209" s="82" t="s">
        <v>19975</v>
      </c>
      <c r="AX3209" s="82" t="s">
        <v>19975</v>
      </c>
      <c r="AY3209" s="77"/>
      <c r="AZ3209" s="82" t="s">
        <v>20971</v>
      </c>
      <c r="BA3209" s="82" t="s">
        <v>20971</v>
      </c>
      <c r="BB3209" s="82" t="s">
        <v>20971</v>
      </c>
      <c r="BC3209" s="82" t="s">
        <v>19975</v>
      </c>
      <c r="BD3209" s="82" t="s">
        <v>21597</v>
      </c>
      <c r="BE3209" s="77"/>
      <c r="BF3209" s="77"/>
      <c r="BG3209" s="77"/>
      <c r="BH3209" s="77"/>
      <c r="BI3209" s="77"/>
    </row>
    <row r="3210" spans="1:61" x14ac:dyDescent="0.25">
      <c r="A3210" s="62" t="s">
        <v>1006</v>
      </c>
      <c r="B3210" s="62" t="s">
        <v>1006</v>
      </c>
      <c r="C3210" s="63"/>
      <c r="D3210" s="64"/>
      <c r="E3210" s="65"/>
      <c r="F3210" s="66"/>
      <c r="G3210" s="63"/>
      <c r="H3210" s="67"/>
      <c r="I3210" s="68"/>
      <c r="J3210" s="68"/>
      <c r="K3210" s="32"/>
      <c r="L3210" s="75">
        <v>3210</v>
      </c>
      <c r="M3210" s="75"/>
      <c r="N3210" s="70"/>
      <c r="O3210" s="77" t="s">
        <v>179</v>
      </c>
      <c r="P3210" s="79">
        <v>45084.774907407409</v>
      </c>
      <c r="Q3210" s="77" t="s">
        <v>4416</v>
      </c>
      <c r="R3210" s="77">
        <v>0</v>
      </c>
      <c r="S3210" s="77">
        <v>0</v>
      </c>
      <c r="T3210" s="77">
        <v>0</v>
      </c>
      <c r="U3210" s="77">
        <v>0</v>
      </c>
      <c r="V3210" s="77">
        <v>55</v>
      </c>
      <c r="W3210" s="82" t="s">
        <v>6740</v>
      </c>
      <c r="X3210" s="77"/>
      <c r="Y3210" s="77"/>
      <c r="Z3210" s="77"/>
      <c r="AA3210" s="77" t="s">
        <v>9535</v>
      </c>
      <c r="AB3210" s="77" t="s">
        <v>10130</v>
      </c>
      <c r="AC3210" s="82" t="s">
        <v>10147</v>
      </c>
      <c r="AD3210" s="77" t="s">
        <v>10184</v>
      </c>
      <c r="AE3210" s="80" t="str">
        <f>HYPERLINK("https://twitter.com/imdasmilhas/status/1666514326323077120")</f>
        <v>https://twitter.com/imdasmilhas/status/1666514326323077120</v>
      </c>
      <c r="AF3210" s="79">
        <v>45084.774907407409</v>
      </c>
      <c r="AG3210" s="85">
        <v>45084</v>
      </c>
      <c r="AH3210" s="82" t="s">
        <v>13223</v>
      </c>
      <c r="AI3210" s="77" t="b">
        <v>0</v>
      </c>
      <c r="AJ3210" s="77"/>
      <c r="AK3210" s="77"/>
      <c r="AL3210" s="77"/>
      <c r="AM3210" s="77"/>
      <c r="AN3210" s="77"/>
      <c r="AO3210" s="77"/>
      <c r="AP3210" s="77"/>
      <c r="AQ3210" s="77" t="s">
        <v>16178</v>
      </c>
      <c r="AR3210" s="77"/>
      <c r="AS3210" s="77"/>
      <c r="AT3210" s="77"/>
      <c r="AU3210" s="77"/>
      <c r="AV3210" s="80" t="str">
        <f>HYPERLINK("https://pbs.twimg.com/media/FyCl8rJWIA4dhnt.jpg")</f>
        <v>https://pbs.twimg.com/media/FyCl8rJWIA4dhnt.jpg</v>
      </c>
      <c r="AW3210" s="82" t="s">
        <v>19976</v>
      </c>
      <c r="AX3210" s="82" t="s">
        <v>19976</v>
      </c>
      <c r="AY3210" s="77"/>
      <c r="AZ3210" s="82" t="s">
        <v>20971</v>
      </c>
      <c r="BA3210" s="82" t="s">
        <v>20971</v>
      </c>
      <c r="BB3210" s="82" t="s">
        <v>20971</v>
      </c>
      <c r="BC3210" s="82" t="s">
        <v>19976</v>
      </c>
      <c r="BD3210" s="82" t="s">
        <v>21597</v>
      </c>
      <c r="BE3210" s="77"/>
      <c r="BF3210" s="77"/>
      <c r="BG3210" s="77"/>
      <c r="BH3210" s="77"/>
      <c r="BI3210" s="77"/>
    </row>
    <row r="3211" spans="1:61" x14ac:dyDescent="0.25">
      <c r="A3211" s="62" t="s">
        <v>1006</v>
      </c>
      <c r="B3211" s="62" t="s">
        <v>1006</v>
      </c>
      <c r="C3211" s="63"/>
      <c r="D3211" s="64"/>
      <c r="E3211" s="65"/>
      <c r="F3211" s="66"/>
      <c r="G3211" s="63"/>
      <c r="H3211" s="67"/>
      <c r="I3211" s="68"/>
      <c r="J3211" s="68"/>
      <c r="K3211" s="32"/>
      <c r="L3211" s="75">
        <v>3211</v>
      </c>
      <c r="M3211" s="75"/>
      <c r="N3211" s="70"/>
      <c r="O3211" s="77" t="s">
        <v>179</v>
      </c>
      <c r="P3211" s="79">
        <v>45084.774525462963</v>
      </c>
      <c r="Q3211" s="77" t="s">
        <v>4417</v>
      </c>
      <c r="R3211" s="77">
        <v>0</v>
      </c>
      <c r="S3211" s="77">
        <v>1</v>
      </c>
      <c r="T3211" s="77">
        <v>0</v>
      </c>
      <c r="U3211" s="77">
        <v>0</v>
      </c>
      <c r="V3211" s="77">
        <v>53</v>
      </c>
      <c r="W3211" s="82" t="s">
        <v>6740</v>
      </c>
      <c r="X3211" s="77"/>
      <c r="Y3211" s="77"/>
      <c r="Z3211" s="77"/>
      <c r="AA3211" s="77" t="s">
        <v>9536</v>
      </c>
      <c r="AB3211" s="77" t="s">
        <v>10130</v>
      </c>
      <c r="AC3211" s="82" t="s">
        <v>10147</v>
      </c>
      <c r="AD3211" s="77" t="s">
        <v>10184</v>
      </c>
      <c r="AE3211" s="80" t="str">
        <f>HYPERLINK("https://twitter.com/imdasmilhas/status/1666514188741623808")</f>
        <v>https://twitter.com/imdasmilhas/status/1666514188741623808</v>
      </c>
      <c r="AF3211" s="79">
        <v>45084.774525462963</v>
      </c>
      <c r="AG3211" s="85">
        <v>45084</v>
      </c>
      <c r="AH3211" s="82" t="s">
        <v>13224</v>
      </c>
      <c r="AI3211" s="77" t="b">
        <v>0</v>
      </c>
      <c r="AJ3211" s="77"/>
      <c r="AK3211" s="77"/>
      <c r="AL3211" s="77"/>
      <c r="AM3211" s="77"/>
      <c r="AN3211" s="77"/>
      <c r="AO3211" s="77"/>
      <c r="AP3211" s="77"/>
      <c r="AQ3211" s="77" t="s">
        <v>16179</v>
      </c>
      <c r="AR3211" s="77"/>
      <c r="AS3211" s="77"/>
      <c r="AT3211" s="77"/>
      <c r="AU3211" s="77"/>
      <c r="AV3211" s="80" t="str">
        <f>HYPERLINK("https://pbs.twimg.com/media/FyCl0n4WIAEQNus.jpg")</f>
        <v>https://pbs.twimg.com/media/FyCl0n4WIAEQNus.jpg</v>
      </c>
      <c r="AW3211" s="82" t="s">
        <v>19977</v>
      </c>
      <c r="AX3211" s="82" t="s">
        <v>19977</v>
      </c>
      <c r="AY3211" s="77"/>
      <c r="AZ3211" s="82" t="s">
        <v>20971</v>
      </c>
      <c r="BA3211" s="82" t="s">
        <v>20971</v>
      </c>
      <c r="BB3211" s="82" t="s">
        <v>20971</v>
      </c>
      <c r="BC3211" s="82" t="s">
        <v>19977</v>
      </c>
      <c r="BD3211" s="82" t="s">
        <v>21597</v>
      </c>
      <c r="BE3211" s="77"/>
      <c r="BF3211" s="77"/>
      <c r="BG3211" s="77"/>
      <c r="BH3211" s="77"/>
      <c r="BI3211" s="77"/>
    </row>
    <row r="3212" spans="1:61" x14ac:dyDescent="0.25">
      <c r="A3212" s="62" t="s">
        <v>1006</v>
      </c>
      <c r="B3212" s="62" t="s">
        <v>1006</v>
      </c>
      <c r="C3212" s="63"/>
      <c r="D3212" s="64"/>
      <c r="E3212" s="65"/>
      <c r="F3212" s="66"/>
      <c r="G3212" s="63"/>
      <c r="H3212" s="67"/>
      <c r="I3212" s="68"/>
      <c r="J3212" s="68"/>
      <c r="K3212" s="32"/>
      <c r="L3212" s="75">
        <v>3212</v>
      </c>
      <c r="M3212" s="75"/>
      <c r="N3212" s="70"/>
      <c r="O3212" s="77" t="s">
        <v>179</v>
      </c>
      <c r="P3212" s="79">
        <v>45084.773935185185</v>
      </c>
      <c r="Q3212" s="77" t="s">
        <v>4418</v>
      </c>
      <c r="R3212" s="77">
        <v>0</v>
      </c>
      <c r="S3212" s="77">
        <v>1</v>
      </c>
      <c r="T3212" s="77">
        <v>0</v>
      </c>
      <c r="U3212" s="77">
        <v>0</v>
      </c>
      <c r="V3212" s="77">
        <v>39</v>
      </c>
      <c r="W3212" s="82" t="s">
        <v>6740</v>
      </c>
      <c r="X3212" s="77"/>
      <c r="Y3212" s="77"/>
      <c r="Z3212" s="77"/>
      <c r="AA3212" s="77" t="s">
        <v>9537</v>
      </c>
      <c r="AB3212" s="77" t="s">
        <v>10130</v>
      </c>
      <c r="AC3212" s="82" t="s">
        <v>10147</v>
      </c>
      <c r="AD3212" s="77" t="s">
        <v>10184</v>
      </c>
      <c r="AE3212" s="80" t="str">
        <f>HYPERLINK("https://twitter.com/imdasmilhas/status/1666513975599570966")</f>
        <v>https://twitter.com/imdasmilhas/status/1666513975599570966</v>
      </c>
      <c r="AF3212" s="79">
        <v>45084.773935185185</v>
      </c>
      <c r="AG3212" s="85">
        <v>45084</v>
      </c>
      <c r="AH3212" s="82" t="s">
        <v>13225</v>
      </c>
      <c r="AI3212" s="77" t="b">
        <v>0</v>
      </c>
      <c r="AJ3212" s="77"/>
      <c r="AK3212" s="77"/>
      <c r="AL3212" s="77"/>
      <c r="AM3212" s="77"/>
      <c r="AN3212" s="77"/>
      <c r="AO3212" s="77"/>
      <c r="AP3212" s="77"/>
      <c r="AQ3212" s="77" t="s">
        <v>16180</v>
      </c>
      <c r="AR3212" s="77"/>
      <c r="AS3212" s="77"/>
      <c r="AT3212" s="77"/>
      <c r="AU3212" s="77"/>
      <c r="AV3212" s="80" t="str">
        <f>HYPERLINK("https://pbs.twimg.com/media/FyCloQFWIBEXZJl.jpg")</f>
        <v>https://pbs.twimg.com/media/FyCloQFWIBEXZJl.jpg</v>
      </c>
      <c r="AW3212" s="82" t="s">
        <v>19978</v>
      </c>
      <c r="AX3212" s="82" t="s">
        <v>19978</v>
      </c>
      <c r="AY3212" s="77"/>
      <c r="AZ3212" s="82" t="s">
        <v>20971</v>
      </c>
      <c r="BA3212" s="82" t="s">
        <v>20971</v>
      </c>
      <c r="BB3212" s="82" t="s">
        <v>20971</v>
      </c>
      <c r="BC3212" s="82" t="s">
        <v>19978</v>
      </c>
      <c r="BD3212" s="82" t="s">
        <v>21597</v>
      </c>
      <c r="BE3212" s="77"/>
      <c r="BF3212" s="77"/>
      <c r="BG3212" s="77"/>
      <c r="BH3212" s="77"/>
      <c r="BI3212" s="77"/>
    </row>
    <row r="3213" spans="1:61" x14ac:dyDescent="0.25">
      <c r="A3213" s="62" t="s">
        <v>1006</v>
      </c>
      <c r="B3213" s="62" t="s">
        <v>1006</v>
      </c>
      <c r="C3213" s="63"/>
      <c r="D3213" s="64"/>
      <c r="E3213" s="65"/>
      <c r="F3213" s="66"/>
      <c r="G3213" s="63"/>
      <c r="H3213" s="67"/>
      <c r="I3213" s="68"/>
      <c r="J3213" s="68"/>
      <c r="K3213" s="32"/>
      <c r="L3213" s="75">
        <v>3213</v>
      </c>
      <c r="M3213" s="75"/>
      <c r="N3213" s="70"/>
      <c r="O3213" s="77" t="s">
        <v>179</v>
      </c>
      <c r="P3213" s="79">
        <v>45084.773530092592</v>
      </c>
      <c r="Q3213" s="77" t="s">
        <v>4419</v>
      </c>
      <c r="R3213" s="77">
        <v>0</v>
      </c>
      <c r="S3213" s="77">
        <v>1</v>
      </c>
      <c r="T3213" s="77">
        <v>0</v>
      </c>
      <c r="U3213" s="77">
        <v>0</v>
      </c>
      <c r="V3213" s="77">
        <v>75</v>
      </c>
      <c r="W3213" s="82" t="s">
        <v>6740</v>
      </c>
      <c r="X3213" s="77"/>
      <c r="Y3213" s="77"/>
      <c r="Z3213" s="77"/>
      <c r="AA3213" s="77" t="s">
        <v>9538</v>
      </c>
      <c r="AB3213" s="77" t="s">
        <v>10130</v>
      </c>
      <c r="AC3213" s="82" t="s">
        <v>10147</v>
      </c>
      <c r="AD3213" s="77" t="s">
        <v>10184</v>
      </c>
      <c r="AE3213" s="80" t="str">
        <f>HYPERLINK("https://twitter.com/imdasmilhas/status/1666513828874428439")</f>
        <v>https://twitter.com/imdasmilhas/status/1666513828874428439</v>
      </c>
      <c r="AF3213" s="79">
        <v>45084.773530092592</v>
      </c>
      <c r="AG3213" s="85">
        <v>45084</v>
      </c>
      <c r="AH3213" s="82" t="s">
        <v>13226</v>
      </c>
      <c r="AI3213" s="77" t="b">
        <v>0</v>
      </c>
      <c r="AJ3213" s="77"/>
      <c r="AK3213" s="77"/>
      <c r="AL3213" s="77"/>
      <c r="AM3213" s="77"/>
      <c r="AN3213" s="77"/>
      <c r="AO3213" s="77"/>
      <c r="AP3213" s="77"/>
      <c r="AQ3213" s="77" t="s">
        <v>16181</v>
      </c>
      <c r="AR3213" s="77"/>
      <c r="AS3213" s="77"/>
      <c r="AT3213" s="77"/>
      <c r="AU3213" s="77"/>
      <c r="AV3213" s="80" t="str">
        <f>HYPERLINK("https://pbs.twimg.com/media/FyClfsVWICEcr3N.jpg")</f>
        <v>https://pbs.twimg.com/media/FyClfsVWICEcr3N.jpg</v>
      </c>
      <c r="AW3213" s="82" t="s">
        <v>19979</v>
      </c>
      <c r="AX3213" s="82" t="s">
        <v>19979</v>
      </c>
      <c r="AY3213" s="77"/>
      <c r="AZ3213" s="82" t="s">
        <v>20971</v>
      </c>
      <c r="BA3213" s="82" t="s">
        <v>20971</v>
      </c>
      <c r="BB3213" s="82" t="s">
        <v>20971</v>
      </c>
      <c r="BC3213" s="82" t="s">
        <v>19979</v>
      </c>
      <c r="BD3213" s="82" t="s">
        <v>21597</v>
      </c>
      <c r="BE3213" s="77"/>
      <c r="BF3213" s="77"/>
      <c r="BG3213" s="77"/>
      <c r="BH3213" s="77"/>
      <c r="BI3213" s="77"/>
    </row>
    <row r="3214" spans="1:61" x14ac:dyDescent="0.25">
      <c r="A3214" s="62" t="s">
        <v>1006</v>
      </c>
      <c r="B3214" s="62" t="s">
        <v>1006</v>
      </c>
      <c r="C3214" s="63"/>
      <c r="D3214" s="64"/>
      <c r="E3214" s="65"/>
      <c r="F3214" s="66"/>
      <c r="G3214" s="63"/>
      <c r="H3214" s="67"/>
      <c r="I3214" s="68"/>
      <c r="J3214" s="68"/>
      <c r="K3214" s="32"/>
      <c r="L3214" s="75">
        <v>3214</v>
      </c>
      <c r="M3214" s="75"/>
      <c r="N3214" s="70"/>
      <c r="O3214" s="77" t="s">
        <v>179</v>
      </c>
      <c r="P3214" s="79">
        <v>45058.805567129632</v>
      </c>
      <c r="Q3214" s="77" t="s">
        <v>4420</v>
      </c>
      <c r="R3214" s="77">
        <v>0</v>
      </c>
      <c r="S3214" s="77">
        <v>1</v>
      </c>
      <c r="T3214" s="77">
        <v>0</v>
      </c>
      <c r="U3214" s="77">
        <v>0</v>
      </c>
      <c r="V3214" s="77">
        <v>105</v>
      </c>
      <c r="W3214" s="82" t="s">
        <v>6740</v>
      </c>
      <c r="X3214" s="77"/>
      <c r="Y3214" s="77"/>
      <c r="Z3214" s="77"/>
      <c r="AA3214" s="77" t="s">
        <v>9539</v>
      </c>
      <c r="AB3214" s="77" t="s">
        <v>10130</v>
      </c>
      <c r="AC3214" s="82" t="s">
        <v>10147</v>
      </c>
      <c r="AD3214" s="77" t="s">
        <v>10184</v>
      </c>
      <c r="AE3214" s="80" t="str">
        <f>HYPERLINK("https://twitter.com/imdasmilhas/status/1657103354131103746")</f>
        <v>https://twitter.com/imdasmilhas/status/1657103354131103746</v>
      </c>
      <c r="AF3214" s="79">
        <v>45058.805567129632</v>
      </c>
      <c r="AG3214" s="85">
        <v>45058</v>
      </c>
      <c r="AH3214" s="82" t="s">
        <v>13227</v>
      </c>
      <c r="AI3214" s="77" t="b">
        <v>0</v>
      </c>
      <c r="AJ3214" s="77"/>
      <c r="AK3214" s="77"/>
      <c r="AL3214" s="77"/>
      <c r="AM3214" s="77"/>
      <c r="AN3214" s="77"/>
      <c r="AO3214" s="77"/>
      <c r="AP3214" s="77"/>
      <c r="AQ3214" s="77" t="s">
        <v>16182</v>
      </c>
      <c r="AR3214" s="77"/>
      <c r="AS3214" s="77"/>
      <c r="AT3214" s="77"/>
      <c r="AU3214" s="77"/>
      <c r="AV3214" s="80" t="str">
        <f>HYPERLINK("https://pbs.twimg.com/media/Fv82t8IX0AcVHae.jpg")</f>
        <v>https://pbs.twimg.com/media/Fv82t8IX0AcVHae.jpg</v>
      </c>
      <c r="AW3214" s="82" t="s">
        <v>19980</v>
      </c>
      <c r="AX3214" s="82" t="s">
        <v>19980</v>
      </c>
      <c r="AY3214" s="77"/>
      <c r="AZ3214" s="82" t="s">
        <v>20971</v>
      </c>
      <c r="BA3214" s="82" t="s">
        <v>20971</v>
      </c>
      <c r="BB3214" s="82" t="s">
        <v>20971</v>
      </c>
      <c r="BC3214" s="82" t="s">
        <v>19980</v>
      </c>
      <c r="BD3214" s="82" t="s">
        <v>21597</v>
      </c>
      <c r="BE3214" s="77"/>
      <c r="BF3214" s="77"/>
      <c r="BG3214" s="77"/>
      <c r="BH3214" s="77"/>
      <c r="BI3214" s="77"/>
    </row>
    <row r="3215" spans="1:61" x14ac:dyDescent="0.25">
      <c r="A3215" s="62" t="s">
        <v>1006</v>
      </c>
      <c r="B3215" s="62" t="s">
        <v>1006</v>
      </c>
      <c r="C3215" s="63"/>
      <c r="D3215" s="64"/>
      <c r="E3215" s="65"/>
      <c r="F3215" s="66"/>
      <c r="G3215" s="63"/>
      <c r="H3215" s="67"/>
      <c r="I3215" s="68"/>
      <c r="J3215" s="68"/>
      <c r="K3215" s="32"/>
      <c r="L3215" s="75">
        <v>3215</v>
      </c>
      <c r="M3215" s="75"/>
      <c r="N3215" s="70"/>
      <c r="O3215" s="77" t="s">
        <v>179</v>
      </c>
      <c r="P3215" s="79">
        <v>45058.805277777778</v>
      </c>
      <c r="Q3215" s="77" t="s">
        <v>4421</v>
      </c>
      <c r="R3215" s="77">
        <v>0</v>
      </c>
      <c r="S3215" s="77">
        <v>1</v>
      </c>
      <c r="T3215" s="77">
        <v>0</v>
      </c>
      <c r="U3215" s="77">
        <v>0</v>
      </c>
      <c r="V3215" s="77">
        <v>114</v>
      </c>
      <c r="W3215" s="82" t="s">
        <v>6740</v>
      </c>
      <c r="X3215" s="77"/>
      <c r="Y3215" s="77"/>
      <c r="Z3215" s="77"/>
      <c r="AA3215" s="77" t="s">
        <v>9540</v>
      </c>
      <c r="AB3215" s="77" t="s">
        <v>10130</v>
      </c>
      <c r="AC3215" s="82" t="s">
        <v>10147</v>
      </c>
      <c r="AD3215" s="77" t="s">
        <v>10184</v>
      </c>
      <c r="AE3215" s="80" t="str">
        <f>HYPERLINK("https://twitter.com/imdasmilhas/status/1657103250112368648")</f>
        <v>https://twitter.com/imdasmilhas/status/1657103250112368648</v>
      </c>
      <c r="AF3215" s="79">
        <v>45058.805277777778</v>
      </c>
      <c r="AG3215" s="85">
        <v>45058</v>
      </c>
      <c r="AH3215" s="82" t="s">
        <v>13228</v>
      </c>
      <c r="AI3215" s="77" t="b">
        <v>0</v>
      </c>
      <c r="AJ3215" s="77"/>
      <c r="AK3215" s="77"/>
      <c r="AL3215" s="77"/>
      <c r="AM3215" s="77"/>
      <c r="AN3215" s="77"/>
      <c r="AO3215" s="77"/>
      <c r="AP3215" s="77"/>
      <c r="AQ3215" s="77" t="s">
        <v>16183</v>
      </c>
      <c r="AR3215" s="77"/>
      <c r="AS3215" s="77"/>
      <c r="AT3215" s="77"/>
      <c r="AU3215" s="77"/>
      <c r="AV3215" s="80" t="str">
        <f>HYPERLINK("https://pbs.twimg.com/media/Fv82n8HX0A44zds.jpg")</f>
        <v>https://pbs.twimg.com/media/Fv82n8HX0A44zds.jpg</v>
      </c>
      <c r="AW3215" s="82" t="s">
        <v>19981</v>
      </c>
      <c r="AX3215" s="82" t="s">
        <v>19981</v>
      </c>
      <c r="AY3215" s="77"/>
      <c r="AZ3215" s="82" t="s">
        <v>20971</v>
      </c>
      <c r="BA3215" s="82" t="s">
        <v>20971</v>
      </c>
      <c r="BB3215" s="82" t="s">
        <v>20971</v>
      </c>
      <c r="BC3215" s="82" t="s">
        <v>19981</v>
      </c>
      <c r="BD3215" s="82" t="s">
        <v>21597</v>
      </c>
      <c r="BE3215" s="77"/>
      <c r="BF3215" s="77"/>
      <c r="BG3215" s="77"/>
      <c r="BH3215" s="77"/>
      <c r="BI3215" s="77"/>
    </row>
    <row r="3216" spans="1:61" x14ac:dyDescent="0.25">
      <c r="A3216" s="62" t="s">
        <v>1006</v>
      </c>
      <c r="B3216" s="62" t="s">
        <v>1006</v>
      </c>
      <c r="C3216" s="63"/>
      <c r="D3216" s="64"/>
      <c r="E3216" s="65"/>
      <c r="F3216" s="66"/>
      <c r="G3216" s="63"/>
      <c r="H3216" s="67"/>
      <c r="I3216" s="68"/>
      <c r="J3216" s="68"/>
      <c r="K3216" s="32"/>
      <c r="L3216" s="75">
        <v>3216</v>
      </c>
      <c r="M3216" s="75"/>
      <c r="N3216" s="70"/>
      <c r="O3216" s="77" t="s">
        <v>179</v>
      </c>
      <c r="P3216" s="79">
        <v>45058.658125000002</v>
      </c>
      <c r="Q3216" s="77" t="s">
        <v>4422</v>
      </c>
      <c r="R3216" s="77">
        <v>0</v>
      </c>
      <c r="S3216" s="77">
        <v>1</v>
      </c>
      <c r="T3216" s="77">
        <v>0</v>
      </c>
      <c r="U3216" s="77">
        <v>0</v>
      </c>
      <c r="V3216" s="77">
        <v>70</v>
      </c>
      <c r="W3216" s="82" t="s">
        <v>6740</v>
      </c>
      <c r="X3216" s="77"/>
      <c r="Y3216" s="77"/>
      <c r="Z3216" s="77"/>
      <c r="AA3216" s="77" t="s">
        <v>9541</v>
      </c>
      <c r="AB3216" s="77" t="s">
        <v>10130</v>
      </c>
      <c r="AC3216" s="82" t="s">
        <v>10147</v>
      </c>
      <c r="AD3216" s="77" t="s">
        <v>10184</v>
      </c>
      <c r="AE3216" s="80" t="str">
        <f>HYPERLINK("https://twitter.com/imdasmilhas/status/1657049923152494595")</f>
        <v>https://twitter.com/imdasmilhas/status/1657049923152494595</v>
      </c>
      <c r="AF3216" s="79">
        <v>45058.658125000002</v>
      </c>
      <c r="AG3216" s="85">
        <v>45058</v>
      </c>
      <c r="AH3216" s="82" t="s">
        <v>13229</v>
      </c>
      <c r="AI3216" s="77" t="b">
        <v>0</v>
      </c>
      <c r="AJ3216" s="77"/>
      <c r="AK3216" s="77"/>
      <c r="AL3216" s="77"/>
      <c r="AM3216" s="77"/>
      <c r="AN3216" s="77"/>
      <c r="AO3216" s="77"/>
      <c r="AP3216" s="77"/>
      <c r="AQ3216" s="77" t="s">
        <v>16184</v>
      </c>
      <c r="AR3216" s="77"/>
      <c r="AS3216" s="77"/>
      <c r="AT3216" s="77"/>
      <c r="AU3216" s="77"/>
      <c r="AV3216" s="80" t="str">
        <f>HYPERLINK("https://pbs.twimg.com/media/Fv8GH4KX0AMGiZj.jpg")</f>
        <v>https://pbs.twimg.com/media/Fv8GH4KX0AMGiZj.jpg</v>
      </c>
      <c r="AW3216" s="82" t="s">
        <v>19982</v>
      </c>
      <c r="AX3216" s="82" t="s">
        <v>19982</v>
      </c>
      <c r="AY3216" s="77"/>
      <c r="AZ3216" s="82" t="s">
        <v>20971</v>
      </c>
      <c r="BA3216" s="82" t="s">
        <v>20971</v>
      </c>
      <c r="BB3216" s="82" t="s">
        <v>20971</v>
      </c>
      <c r="BC3216" s="82" t="s">
        <v>19982</v>
      </c>
      <c r="BD3216" s="82" t="s">
        <v>21597</v>
      </c>
      <c r="BE3216" s="77"/>
      <c r="BF3216" s="77"/>
      <c r="BG3216" s="77"/>
      <c r="BH3216" s="77"/>
      <c r="BI3216" s="77"/>
    </row>
    <row r="3217" spans="1:61" x14ac:dyDescent="0.25">
      <c r="A3217" s="62" t="s">
        <v>1006</v>
      </c>
      <c r="B3217" s="62" t="s">
        <v>1006</v>
      </c>
      <c r="C3217" s="63"/>
      <c r="D3217" s="64"/>
      <c r="E3217" s="65"/>
      <c r="F3217" s="66"/>
      <c r="G3217" s="63"/>
      <c r="H3217" s="67"/>
      <c r="I3217" s="68"/>
      <c r="J3217" s="68"/>
      <c r="K3217" s="32"/>
      <c r="L3217" s="75">
        <v>3217</v>
      </c>
      <c r="M3217" s="75"/>
      <c r="N3217" s="70"/>
      <c r="O3217" s="77" t="s">
        <v>179</v>
      </c>
      <c r="P3217" s="79">
        <v>45058.657708333332</v>
      </c>
      <c r="Q3217" s="77" t="s">
        <v>4423</v>
      </c>
      <c r="R3217" s="77">
        <v>0</v>
      </c>
      <c r="S3217" s="77">
        <v>1</v>
      </c>
      <c r="T3217" s="77">
        <v>0</v>
      </c>
      <c r="U3217" s="77">
        <v>0</v>
      </c>
      <c r="V3217" s="77">
        <v>76</v>
      </c>
      <c r="W3217" s="82" t="s">
        <v>6740</v>
      </c>
      <c r="X3217" s="77"/>
      <c r="Y3217" s="77"/>
      <c r="Z3217" s="77"/>
      <c r="AA3217" s="77" t="s">
        <v>9542</v>
      </c>
      <c r="AB3217" s="77" t="s">
        <v>10130</v>
      </c>
      <c r="AC3217" s="82" t="s">
        <v>10147</v>
      </c>
      <c r="AD3217" s="77" t="s">
        <v>10184</v>
      </c>
      <c r="AE3217" s="80" t="str">
        <f>HYPERLINK("https://twitter.com/imdasmilhas/status/1657049769405997057")</f>
        <v>https://twitter.com/imdasmilhas/status/1657049769405997057</v>
      </c>
      <c r="AF3217" s="79">
        <v>45058.657708333332</v>
      </c>
      <c r="AG3217" s="85">
        <v>45058</v>
      </c>
      <c r="AH3217" s="82" t="s">
        <v>13230</v>
      </c>
      <c r="AI3217" s="77" t="b">
        <v>0</v>
      </c>
      <c r="AJ3217" s="77"/>
      <c r="AK3217" s="77"/>
      <c r="AL3217" s="77"/>
      <c r="AM3217" s="77"/>
      <c r="AN3217" s="77"/>
      <c r="AO3217" s="77"/>
      <c r="AP3217" s="77"/>
      <c r="AQ3217" s="77" t="s">
        <v>16185</v>
      </c>
      <c r="AR3217" s="77"/>
      <c r="AS3217" s="77"/>
      <c r="AT3217" s="77"/>
      <c r="AU3217" s="77"/>
      <c r="AV3217" s="80" t="str">
        <f>HYPERLINK("https://pbs.twimg.com/media/Fv8F-9eWAAA448w.jpg")</f>
        <v>https://pbs.twimg.com/media/Fv8F-9eWAAA448w.jpg</v>
      </c>
      <c r="AW3217" s="82" t="s">
        <v>19983</v>
      </c>
      <c r="AX3217" s="82" t="s">
        <v>19983</v>
      </c>
      <c r="AY3217" s="77"/>
      <c r="AZ3217" s="82" t="s">
        <v>20971</v>
      </c>
      <c r="BA3217" s="82" t="s">
        <v>20971</v>
      </c>
      <c r="BB3217" s="82" t="s">
        <v>20971</v>
      </c>
      <c r="BC3217" s="82" t="s">
        <v>19983</v>
      </c>
      <c r="BD3217" s="82" t="s">
        <v>21597</v>
      </c>
      <c r="BE3217" s="77"/>
      <c r="BF3217" s="77"/>
      <c r="BG3217" s="77"/>
      <c r="BH3217" s="77"/>
      <c r="BI3217" s="77"/>
    </row>
    <row r="3218" spans="1:61" x14ac:dyDescent="0.25">
      <c r="A3218" s="62" t="s">
        <v>1006</v>
      </c>
      <c r="B3218" s="62" t="s">
        <v>1006</v>
      </c>
      <c r="C3218" s="63"/>
      <c r="D3218" s="64"/>
      <c r="E3218" s="65"/>
      <c r="F3218" s="66"/>
      <c r="G3218" s="63"/>
      <c r="H3218" s="67"/>
      <c r="I3218" s="68"/>
      <c r="J3218" s="68"/>
      <c r="K3218" s="32"/>
      <c r="L3218" s="75">
        <v>3218</v>
      </c>
      <c r="M3218" s="75"/>
      <c r="N3218" s="70"/>
      <c r="O3218" s="77" t="s">
        <v>179</v>
      </c>
      <c r="P3218" s="79">
        <v>45058.657453703701</v>
      </c>
      <c r="Q3218" s="77" t="s">
        <v>4424</v>
      </c>
      <c r="R3218" s="77">
        <v>0</v>
      </c>
      <c r="S3218" s="77">
        <v>1</v>
      </c>
      <c r="T3218" s="77">
        <v>0</v>
      </c>
      <c r="U3218" s="77">
        <v>0</v>
      </c>
      <c r="V3218" s="77">
        <v>52</v>
      </c>
      <c r="W3218" s="82" t="s">
        <v>6740</v>
      </c>
      <c r="X3218" s="77"/>
      <c r="Y3218" s="77"/>
      <c r="Z3218" s="77"/>
      <c r="AA3218" s="77" t="s">
        <v>9543</v>
      </c>
      <c r="AB3218" s="77" t="s">
        <v>10130</v>
      </c>
      <c r="AC3218" s="82" t="s">
        <v>10147</v>
      </c>
      <c r="AD3218" s="77" t="s">
        <v>10184</v>
      </c>
      <c r="AE3218" s="80" t="str">
        <f>HYPERLINK("https://twitter.com/imdasmilhas/status/1657049677383061506")</f>
        <v>https://twitter.com/imdasmilhas/status/1657049677383061506</v>
      </c>
      <c r="AF3218" s="79">
        <v>45058.657453703701</v>
      </c>
      <c r="AG3218" s="85">
        <v>45058</v>
      </c>
      <c r="AH3218" s="82" t="s">
        <v>13231</v>
      </c>
      <c r="AI3218" s="77" t="b">
        <v>0</v>
      </c>
      <c r="AJ3218" s="77"/>
      <c r="AK3218" s="77"/>
      <c r="AL3218" s="77"/>
      <c r="AM3218" s="77"/>
      <c r="AN3218" s="77"/>
      <c r="AO3218" s="77"/>
      <c r="AP3218" s="77"/>
      <c r="AQ3218" s="77" t="s">
        <v>16186</v>
      </c>
      <c r="AR3218" s="77"/>
      <c r="AS3218" s="77"/>
      <c r="AT3218" s="77"/>
      <c r="AU3218" s="77"/>
      <c r="AV3218" s="80" t="str">
        <f>HYPERLINK("https://pbs.twimg.com/media/Fv8F5l2XgAAT6yN.jpg")</f>
        <v>https://pbs.twimg.com/media/Fv8F5l2XgAAT6yN.jpg</v>
      </c>
      <c r="AW3218" s="82" t="s">
        <v>19984</v>
      </c>
      <c r="AX3218" s="82" t="s">
        <v>19984</v>
      </c>
      <c r="AY3218" s="77"/>
      <c r="AZ3218" s="82" t="s">
        <v>20971</v>
      </c>
      <c r="BA3218" s="82" t="s">
        <v>20971</v>
      </c>
      <c r="BB3218" s="82" t="s">
        <v>20971</v>
      </c>
      <c r="BC3218" s="82" t="s">
        <v>19984</v>
      </c>
      <c r="BD3218" s="82" t="s">
        <v>21597</v>
      </c>
      <c r="BE3218" s="77"/>
      <c r="BF3218" s="77"/>
      <c r="BG3218" s="77"/>
      <c r="BH3218" s="77"/>
      <c r="BI3218" s="77"/>
    </row>
    <row r="3219" spans="1:61" x14ac:dyDescent="0.25">
      <c r="A3219" s="62" t="s">
        <v>1006</v>
      </c>
      <c r="B3219" s="62" t="s">
        <v>1006</v>
      </c>
      <c r="C3219" s="63"/>
      <c r="D3219" s="64"/>
      <c r="E3219" s="65"/>
      <c r="F3219" s="66"/>
      <c r="G3219" s="63"/>
      <c r="H3219" s="67"/>
      <c r="I3219" s="68"/>
      <c r="J3219" s="68"/>
      <c r="K3219" s="32"/>
      <c r="L3219" s="75">
        <v>3219</v>
      </c>
      <c r="M3219" s="75"/>
      <c r="N3219" s="70"/>
      <c r="O3219" s="77" t="s">
        <v>179</v>
      </c>
      <c r="P3219" s="79">
        <v>45058.657141203701</v>
      </c>
      <c r="Q3219" s="77" t="s">
        <v>4425</v>
      </c>
      <c r="R3219" s="77">
        <v>0</v>
      </c>
      <c r="S3219" s="77">
        <v>1</v>
      </c>
      <c r="T3219" s="77">
        <v>0</v>
      </c>
      <c r="U3219" s="77">
        <v>0</v>
      </c>
      <c r="V3219" s="77">
        <v>76</v>
      </c>
      <c r="W3219" s="82" t="s">
        <v>6740</v>
      </c>
      <c r="X3219" s="77"/>
      <c r="Y3219" s="77"/>
      <c r="Z3219" s="77"/>
      <c r="AA3219" s="77" t="s">
        <v>9544</v>
      </c>
      <c r="AB3219" s="77" t="s">
        <v>10130</v>
      </c>
      <c r="AC3219" s="82" t="s">
        <v>10147</v>
      </c>
      <c r="AD3219" s="77" t="s">
        <v>10184</v>
      </c>
      <c r="AE3219" s="80" t="str">
        <f>HYPERLINK("https://twitter.com/imdasmilhas/status/1657049566481465344")</f>
        <v>https://twitter.com/imdasmilhas/status/1657049566481465344</v>
      </c>
      <c r="AF3219" s="79">
        <v>45058.657141203701</v>
      </c>
      <c r="AG3219" s="85">
        <v>45058</v>
      </c>
      <c r="AH3219" s="82" t="s">
        <v>11647</v>
      </c>
      <c r="AI3219" s="77" t="b">
        <v>0</v>
      </c>
      <c r="AJ3219" s="77"/>
      <c r="AK3219" s="77"/>
      <c r="AL3219" s="77"/>
      <c r="AM3219" s="77"/>
      <c r="AN3219" s="77"/>
      <c r="AO3219" s="77"/>
      <c r="AP3219" s="77"/>
      <c r="AQ3219" s="77" t="s">
        <v>16187</v>
      </c>
      <c r="AR3219" s="77"/>
      <c r="AS3219" s="77"/>
      <c r="AT3219" s="77"/>
      <c r="AU3219" s="77"/>
      <c r="AV3219" s="80" t="str">
        <f>HYPERLINK("https://pbs.twimg.com/media/Fv8FzHZWYAIkf0o.jpg")</f>
        <v>https://pbs.twimg.com/media/Fv8FzHZWYAIkf0o.jpg</v>
      </c>
      <c r="AW3219" s="82" t="s">
        <v>19985</v>
      </c>
      <c r="AX3219" s="82" t="s">
        <v>19985</v>
      </c>
      <c r="AY3219" s="77"/>
      <c r="AZ3219" s="82" t="s">
        <v>20971</v>
      </c>
      <c r="BA3219" s="82" t="s">
        <v>20971</v>
      </c>
      <c r="BB3219" s="82" t="s">
        <v>20971</v>
      </c>
      <c r="BC3219" s="82" t="s">
        <v>19985</v>
      </c>
      <c r="BD3219" s="82" t="s">
        <v>21597</v>
      </c>
      <c r="BE3219" s="77"/>
      <c r="BF3219" s="77"/>
      <c r="BG3219" s="77"/>
      <c r="BH3219" s="77"/>
      <c r="BI3219" s="77"/>
    </row>
    <row r="3220" spans="1:61" x14ac:dyDescent="0.25">
      <c r="A3220" s="62" t="s">
        <v>1006</v>
      </c>
      <c r="B3220" s="62" t="s">
        <v>1006</v>
      </c>
      <c r="C3220" s="63"/>
      <c r="D3220" s="64"/>
      <c r="E3220" s="65"/>
      <c r="F3220" s="66"/>
      <c r="G3220" s="63"/>
      <c r="H3220" s="67"/>
      <c r="I3220" s="68"/>
      <c r="J3220" s="68"/>
      <c r="K3220" s="32"/>
      <c r="L3220" s="75">
        <v>3220</v>
      </c>
      <c r="M3220" s="75"/>
      <c r="N3220" s="70"/>
      <c r="O3220" s="77" t="s">
        <v>179</v>
      </c>
      <c r="P3220" s="79">
        <v>45057.835081018522</v>
      </c>
      <c r="Q3220" s="77" t="s">
        <v>4426</v>
      </c>
      <c r="R3220" s="77">
        <v>0</v>
      </c>
      <c r="S3220" s="77">
        <v>1</v>
      </c>
      <c r="T3220" s="77">
        <v>0</v>
      </c>
      <c r="U3220" s="77">
        <v>0</v>
      </c>
      <c r="V3220" s="77">
        <v>70</v>
      </c>
      <c r="W3220" s="82" t="s">
        <v>6740</v>
      </c>
      <c r="X3220" s="77"/>
      <c r="Y3220" s="77"/>
      <c r="Z3220" s="77"/>
      <c r="AA3220" s="77" t="s">
        <v>9545</v>
      </c>
      <c r="AB3220" s="77" t="s">
        <v>10130</v>
      </c>
      <c r="AC3220" s="82" t="s">
        <v>10147</v>
      </c>
      <c r="AD3220" s="77" t="s">
        <v>10184</v>
      </c>
      <c r="AE3220" s="80" t="str">
        <f>HYPERLINK("https://twitter.com/imdasmilhas/status/1656751660721401878")</f>
        <v>https://twitter.com/imdasmilhas/status/1656751660721401878</v>
      </c>
      <c r="AF3220" s="79">
        <v>45057.835081018522</v>
      </c>
      <c r="AG3220" s="85">
        <v>45057</v>
      </c>
      <c r="AH3220" s="82" t="s">
        <v>13232</v>
      </c>
      <c r="AI3220" s="77" t="b">
        <v>0</v>
      </c>
      <c r="AJ3220" s="77"/>
      <c r="AK3220" s="77"/>
      <c r="AL3220" s="77"/>
      <c r="AM3220" s="77"/>
      <c r="AN3220" s="77"/>
      <c r="AO3220" s="77"/>
      <c r="AP3220" s="77"/>
      <c r="AQ3220" s="77" t="s">
        <v>16188</v>
      </c>
      <c r="AR3220" s="77"/>
      <c r="AS3220" s="77"/>
      <c r="AT3220" s="77"/>
      <c r="AU3220" s="77"/>
      <c r="AV3220" s="80" t="str">
        <f>HYPERLINK("https://pbs.twimg.com/media/Fv322wCWcAAKmKJ.jpg")</f>
        <v>https://pbs.twimg.com/media/Fv322wCWcAAKmKJ.jpg</v>
      </c>
      <c r="AW3220" s="82" t="s">
        <v>19986</v>
      </c>
      <c r="AX3220" s="82" t="s">
        <v>19986</v>
      </c>
      <c r="AY3220" s="77"/>
      <c r="AZ3220" s="82" t="s">
        <v>20971</v>
      </c>
      <c r="BA3220" s="82" t="s">
        <v>20971</v>
      </c>
      <c r="BB3220" s="82" t="s">
        <v>20971</v>
      </c>
      <c r="BC3220" s="82" t="s">
        <v>19986</v>
      </c>
      <c r="BD3220" s="82" t="s">
        <v>21597</v>
      </c>
      <c r="BE3220" s="77"/>
      <c r="BF3220" s="77"/>
      <c r="BG3220" s="77"/>
      <c r="BH3220" s="77"/>
      <c r="BI3220" s="77"/>
    </row>
    <row r="3221" spans="1:61" x14ac:dyDescent="0.25">
      <c r="A3221" s="62" t="s">
        <v>1006</v>
      </c>
      <c r="B3221" s="62" t="s">
        <v>1006</v>
      </c>
      <c r="C3221" s="63"/>
      <c r="D3221" s="64"/>
      <c r="E3221" s="65"/>
      <c r="F3221" s="66"/>
      <c r="G3221" s="63"/>
      <c r="H3221" s="67"/>
      <c r="I3221" s="68"/>
      <c r="J3221" s="68"/>
      <c r="K3221" s="32"/>
      <c r="L3221" s="75">
        <v>3221</v>
      </c>
      <c r="M3221" s="75"/>
      <c r="N3221" s="70"/>
      <c r="O3221" s="77" t="s">
        <v>179</v>
      </c>
      <c r="P3221" s="79">
        <v>45057.725775462961</v>
      </c>
      <c r="Q3221" s="77" t="s">
        <v>4427</v>
      </c>
      <c r="R3221" s="77">
        <v>0</v>
      </c>
      <c r="S3221" s="77">
        <v>1</v>
      </c>
      <c r="T3221" s="77">
        <v>0</v>
      </c>
      <c r="U3221" s="77">
        <v>0</v>
      </c>
      <c r="V3221" s="77">
        <v>99</v>
      </c>
      <c r="W3221" s="82" t="s">
        <v>6740</v>
      </c>
      <c r="X3221" s="77"/>
      <c r="Y3221" s="77"/>
      <c r="Z3221" s="77"/>
      <c r="AA3221" s="77" t="s">
        <v>9546</v>
      </c>
      <c r="AB3221" s="77" t="s">
        <v>10130</v>
      </c>
      <c r="AC3221" s="82" t="s">
        <v>10147</v>
      </c>
      <c r="AD3221" s="77" t="s">
        <v>10184</v>
      </c>
      <c r="AE3221" s="80" t="str">
        <f>HYPERLINK("https://twitter.com/imdasmilhas/status/1656712048426860552")</f>
        <v>https://twitter.com/imdasmilhas/status/1656712048426860552</v>
      </c>
      <c r="AF3221" s="79">
        <v>45057.725775462961</v>
      </c>
      <c r="AG3221" s="85">
        <v>45057</v>
      </c>
      <c r="AH3221" s="82" t="s">
        <v>13233</v>
      </c>
      <c r="AI3221" s="77" t="b">
        <v>0</v>
      </c>
      <c r="AJ3221" s="77"/>
      <c r="AK3221" s="77"/>
      <c r="AL3221" s="77"/>
      <c r="AM3221" s="77"/>
      <c r="AN3221" s="77"/>
      <c r="AO3221" s="77"/>
      <c r="AP3221" s="77"/>
      <c r="AQ3221" s="77" t="s">
        <v>16189</v>
      </c>
      <c r="AR3221" s="77"/>
      <c r="AS3221" s="77"/>
      <c r="AT3221" s="77"/>
      <c r="AU3221" s="77"/>
      <c r="AV3221" s="80" t="str">
        <f>HYPERLINK("https://pbs.twimg.com/media/Fv3S1BCXwAM__6g.jpg")</f>
        <v>https://pbs.twimg.com/media/Fv3S1BCXwAM__6g.jpg</v>
      </c>
      <c r="AW3221" s="82" t="s">
        <v>19987</v>
      </c>
      <c r="AX3221" s="82" t="s">
        <v>19987</v>
      </c>
      <c r="AY3221" s="77"/>
      <c r="AZ3221" s="82" t="s">
        <v>20971</v>
      </c>
      <c r="BA3221" s="82" t="s">
        <v>20971</v>
      </c>
      <c r="BB3221" s="82" t="s">
        <v>20971</v>
      </c>
      <c r="BC3221" s="82" t="s">
        <v>19987</v>
      </c>
      <c r="BD3221" s="82" t="s">
        <v>21597</v>
      </c>
      <c r="BE3221" s="77"/>
      <c r="BF3221" s="77"/>
      <c r="BG3221" s="77"/>
      <c r="BH3221" s="77"/>
      <c r="BI3221" s="77"/>
    </row>
    <row r="3222" spans="1:61" x14ac:dyDescent="0.25">
      <c r="A3222" s="62" t="s">
        <v>1006</v>
      </c>
      <c r="B3222" s="62" t="s">
        <v>1006</v>
      </c>
      <c r="C3222" s="63"/>
      <c r="D3222" s="64"/>
      <c r="E3222" s="65"/>
      <c r="F3222" s="66"/>
      <c r="G3222" s="63"/>
      <c r="H3222" s="67"/>
      <c r="I3222" s="68"/>
      <c r="J3222" s="68"/>
      <c r="K3222" s="32"/>
      <c r="L3222" s="75">
        <v>3222</v>
      </c>
      <c r="M3222" s="75"/>
      <c r="N3222" s="70"/>
      <c r="O3222" s="77" t="s">
        <v>179</v>
      </c>
      <c r="P3222" s="79">
        <v>45057.72384259259</v>
      </c>
      <c r="Q3222" s="77" t="s">
        <v>4428</v>
      </c>
      <c r="R3222" s="77">
        <v>0</v>
      </c>
      <c r="S3222" s="77">
        <v>1</v>
      </c>
      <c r="T3222" s="77">
        <v>0</v>
      </c>
      <c r="U3222" s="77">
        <v>0</v>
      </c>
      <c r="V3222" s="77">
        <v>68</v>
      </c>
      <c r="W3222" s="82" t="s">
        <v>6740</v>
      </c>
      <c r="X3222" s="77"/>
      <c r="Y3222" s="77"/>
      <c r="Z3222" s="77"/>
      <c r="AA3222" s="77" t="s">
        <v>9547</v>
      </c>
      <c r="AB3222" s="77" t="s">
        <v>10130</v>
      </c>
      <c r="AC3222" s="82" t="s">
        <v>10147</v>
      </c>
      <c r="AD3222" s="77" t="s">
        <v>10184</v>
      </c>
      <c r="AE3222" s="80" t="str">
        <f>HYPERLINK("https://twitter.com/imdasmilhas/status/1656711350637277184")</f>
        <v>https://twitter.com/imdasmilhas/status/1656711350637277184</v>
      </c>
      <c r="AF3222" s="79">
        <v>45057.72384259259</v>
      </c>
      <c r="AG3222" s="85">
        <v>45057</v>
      </c>
      <c r="AH3222" s="82" t="s">
        <v>13234</v>
      </c>
      <c r="AI3222" s="77" t="b">
        <v>0</v>
      </c>
      <c r="AJ3222" s="77"/>
      <c r="AK3222" s="77"/>
      <c r="AL3222" s="77"/>
      <c r="AM3222" s="77"/>
      <c r="AN3222" s="77"/>
      <c r="AO3222" s="77"/>
      <c r="AP3222" s="77"/>
      <c r="AQ3222" s="77" t="s">
        <v>16190</v>
      </c>
      <c r="AR3222" s="77"/>
      <c r="AS3222" s="77"/>
      <c r="AT3222" s="77"/>
      <c r="AU3222" s="77"/>
      <c r="AV3222" s="80" t="str">
        <f>HYPERLINK("https://pbs.twimg.com/media/Fv3SMYlXwAcYhIC.jpg")</f>
        <v>https://pbs.twimg.com/media/Fv3SMYlXwAcYhIC.jpg</v>
      </c>
      <c r="AW3222" s="82" t="s">
        <v>19988</v>
      </c>
      <c r="AX3222" s="82" t="s">
        <v>19988</v>
      </c>
      <c r="AY3222" s="77"/>
      <c r="AZ3222" s="82" t="s">
        <v>20971</v>
      </c>
      <c r="BA3222" s="82" t="s">
        <v>20971</v>
      </c>
      <c r="BB3222" s="82" t="s">
        <v>20971</v>
      </c>
      <c r="BC3222" s="82" t="s">
        <v>19988</v>
      </c>
      <c r="BD3222" s="82" t="s">
        <v>21597</v>
      </c>
      <c r="BE3222" s="77"/>
      <c r="BF3222" s="77"/>
      <c r="BG3222" s="77"/>
      <c r="BH3222" s="77"/>
      <c r="BI3222" s="77"/>
    </row>
    <row r="3223" spans="1:61" x14ac:dyDescent="0.25">
      <c r="A3223" s="62" t="s">
        <v>1006</v>
      </c>
      <c r="B3223" s="62" t="s">
        <v>1006</v>
      </c>
      <c r="C3223" s="63"/>
      <c r="D3223" s="64"/>
      <c r="E3223" s="65"/>
      <c r="F3223" s="66"/>
      <c r="G3223" s="63"/>
      <c r="H3223" s="67"/>
      <c r="I3223" s="68"/>
      <c r="J3223" s="68"/>
      <c r="K3223" s="32"/>
      <c r="L3223" s="75">
        <v>3223</v>
      </c>
      <c r="M3223" s="75"/>
      <c r="N3223" s="70"/>
      <c r="O3223" s="77" t="s">
        <v>179</v>
      </c>
      <c r="P3223" s="79">
        <v>45057.723564814813</v>
      </c>
      <c r="Q3223" s="77" t="s">
        <v>4429</v>
      </c>
      <c r="R3223" s="77">
        <v>0</v>
      </c>
      <c r="S3223" s="77">
        <v>1</v>
      </c>
      <c r="T3223" s="77">
        <v>0</v>
      </c>
      <c r="U3223" s="77">
        <v>0</v>
      </c>
      <c r="V3223" s="77">
        <v>41</v>
      </c>
      <c r="W3223" s="82" t="s">
        <v>6741</v>
      </c>
      <c r="X3223" s="77"/>
      <c r="Y3223" s="77"/>
      <c r="Z3223" s="77"/>
      <c r="AA3223" s="77" t="s">
        <v>9548</v>
      </c>
      <c r="AB3223" s="77" t="s">
        <v>10130</v>
      </c>
      <c r="AC3223" s="82" t="s">
        <v>10147</v>
      </c>
      <c r="AD3223" s="77" t="s">
        <v>10184</v>
      </c>
      <c r="AE3223" s="80" t="str">
        <f>HYPERLINK("https://twitter.com/imdasmilhas/status/1656711246836645890")</f>
        <v>https://twitter.com/imdasmilhas/status/1656711246836645890</v>
      </c>
      <c r="AF3223" s="79">
        <v>45057.723564814813</v>
      </c>
      <c r="AG3223" s="85">
        <v>45057</v>
      </c>
      <c r="AH3223" s="82" t="s">
        <v>13193</v>
      </c>
      <c r="AI3223" s="77" t="b">
        <v>0</v>
      </c>
      <c r="AJ3223" s="77"/>
      <c r="AK3223" s="77"/>
      <c r="AL3223" s="77"/>
      <c r="AM3223" s="77"/>
      <c r="AN3223" s="77"/>
      <c r="AO3223" s="77"/>
      <c r="AP3223" s="77"/>
      <c r="AQ3223" s="77" t="s">
        <v>16191</v>
      </c>
      <c r="AR3223" s="77"/>
      <c r="AS3223" s="77"/>
      <c r="AT3223" s="77"/>
      <c r="AU3223" s="77"/>
      <c r="AV3223" s="80" t="str">
        <f>HYPERLINK("https://pbs.twimg.com/media/Fv3SGW4XwB8CLQP.jpg")</f>
        <v>https://pbs.twimg.com/media/Fv3SGW4XwB8CLQP.jpg</v>
      </c>
      <c r="AW3223" s="82" t="s">
        <v>19989</v>
      </c>
      <c r="AX3223" s="82" t="s">
        <v>19989</v>
      </c>
      <c r="AY3223" s="77"/>
      <c r="AZ3223" s="82" t="s">
        <v>20971</v>
      </c>
      <c r="BA3223" s="82" t="s">
        <v>20971</v>
      </c>
      <c r="BB3223" s="82" t="s">
        <v>20971</v>
      </c>
      <c r="BC3223" s="82" t="s">
        <v>19989</v>
      </c>
      <c r="BD3223" s="82" t="s">
        <v>21597</v>
      </c>
      <c r="BE3223" s="77"/>
      <c r="BF3223" s="77"/>
      <c r="BG3223" s="77"/>
      <c r="BH3223" s="77"/>
      <c r="BI3223" s="77"/>
    </row>
    <row r="3224" spans="1:61" x14ac:dyDescent="0.25">
      <c r="A3224" s="62" t="s">
        <v>1006</v>
      </c>
      <c r="B3224" s="62" t="s">
        <v>1006</v>
      </c>
      <c r="C3224" s="63"/>
      <c r="D3224" s="64"/>
      <c r="E3224" s="65"/>
      <c r="F3224" s="66"/>
      <c r="G3224" s="63"/>
      <c r="H3224" s="67"/>
      <c r="I3224" s="68"/>
      <c r="J3224" s="68"/>
      <c r="K3224" s="32"/>
      <c r="L3224" s="75">
        <v>3224</v>
      </c>
      <c r="M3224" s="75"/>
      <c r="N3224" s="70"/>
      <c r="O3224" s="77" t="s">
        <v>179</v>
      </c>
      <c r="P3224" s="79">
        <v>45057.722951388889</v>
      </c>
      <c r="Q3224" s="77" t="s">
        <v>4430</v>
      </c>
      <c r="R3224" s="77">
        <v>0</v>
      </c>
      <c r="S3224" s="77">
        <v>1</v>
      </c>
      <c r="T3224" s="77">
        <v>0</v>
      </c>
      <c r="U3224" s="77">
        <v>0</v>
      </c>
      <c r="V3224" s="77">
        <v>42</v>
      </c>
      <c r="W3224" s="82" t="s">
        <v>6740</v>
      </c>
      <c r="X3224" s="77"/>
      <c r="Y3224" s="77"/>
      <c r="Z3224" s="77"/>
      <c r="AA3224" s="77" t="s">
        <v>9549</v>
      </c>
      <c r="AB3224" s="77" t="s">
        <v>10130</v>
      </c>
      <c r="AC3224" s="82" t="s">
        <v>10147</v>
      </c>
      <c r="AD3224" s="77" t="s">
        <v>10184</v>
      </c>
      <c r="AE3224" s="80" t="str">
        <f>HYPERLINK("https://twitter.com/imdasmilhas/status/1656711027130613774")</f>
        <v>https://twitter.com/imdasmilhas/status/1656711027130613774</v>
      </c>
      <c r="AF3224" s="79">
        <v>45057.722951388889</v>
      </c>
      <c r="AG3224" s="85">
        <v>45057</v>
      </c>
      <c r="AH3224" s="82" t="s">
        <v>13235</v>
      </c>
      <c r="AI3224" s="77" t="b">
        <v>0</v>
      </c>
      <c r="AJ3224" s="77"/>
      <c r="AK3224" s="77"/>
      <c r="AL3224" s="77"/>
      <c r="AM3224" s="77"/>
      <c r="AN3224" s="77"/>
      <c r="AO3224" s="77"/>
      <c r="AP3224" s="77"/>
      <c r="AQ3224" s="77" t="s">
        <v>16192</v>
      </c>
      <c r="AR3224" s="77"/>
      <c r="AS3224" s="77"/>
      <c r="AT3224" s="77"/>
      <c r="AU3224" s="77"/>
      <c r="AV3224" s="80" t="str">
        <f>HYPERLINK("https://pbs.twimg.com/media/Fv3R5jxXwAQlmMB.jpg")</f>
        <v>https://pbs.twimg.com/media/Fv3R5jxXwAQlmMB.jpg</v>
      </c>
      <c r="AW3224" s="82" t="s">
        <v>19990</v>
      </c>
      <c r="AX3224" s="82" t="s">
        <v>19990</v>
      </c>
      <c r="AY3224" s="77"/>
      <c r="AZ3224" s="82" t="s">
        <v>20971</v>
      </c>
      <c r="BA3224" s="82" t="s">
        <v>20971</v>
      </c>
      <c r="BB3224" s="82" t="s">
        <v>20971</v>
      </c>
      <c r="BC3224" s="82" t="s">
        <v>19990</v>
      </c>
      <c r="BD3224" s="82" t="s">
        <v>21597</v>
      </c>
      <c r="BE3224" s="77"/>
      <c r="BF3224" s="77"/>
      <c r="BG3224" s="77"/>
      <c r="BH3224" s="77"/>
      <c r="BI3224" s="77"/>
    </row>
    <row r="3225" spans="1:61" x14ac:dyDescent="0.25">
      <c r="A3225" s="62" t="s">
        <v>1006</v>
      </c>
      <c r="B3225" s="62" t="s">
        <v>1006</v>
      </c>
      <c r="C3225" s="63"/>
      <c r="D3225" s="64"/>
      <c r="E3225" s="65"/>
      <c r="F3225" s="66"/>
      <c r="G3225" s="63"/>
      <c r="H3225" s="67"/>
      <c r="I3225" s="68"/>
      <c r="J3225" s="68"/>
      <c r="K3225" s="32"/>
      <c r="L3225" s="75">
        <v>3225</v>
      </c>
      <c r="M3225" s="75"/>
      <c r="N3225" s="70"/>
      <c r="O3225" s="77" t="s">
        <v>179</v>
      </c>
      <c r="P3225" s="79">
        <v>45057.722719907404</v>
      </c>
      <c r="Q3225" s="77" t="s">
        <v>4431</v>
      </c>
      <c r="R3225" s="77">
        <v>0</v>
      </c>
      <c r="S3225" s="77">
        <v>1</v>
      </c>
      <c r="T3225" s="77">
        <v>0</v>
      </c>
      <c r="U3225" s="77">
        <v>0</v>
      </c>
      <c r="V3225" s="77">
        <v>70</v>
      </c>
      <c r="W3225" s="82" t="s">
        <v>6740</v>
      </c>
      <c r="X3225" s="77"/>
      <c r="Y3225" s="77"/>
      <c r="Z3225" s="77"/>
      <c r="AA3225" s="77" t="s">
        <v>9550</v>
      </c>
      <c r="AB3225" s="77" t="s">
        <v>10130</v>
      </c>
      <c r="AC3225" s="82" t="s">
        <v>10147</v>
      </c>
      <c r="AD3225" s="77" t="s">
        <v>10184</v>
      </c>
      <c r="AE3225" s="80" t="str">
        <f>HYPERLINK("https://twitter.com/imdasmilhas/status/1656710941524869163")</f>
        <v>https://twitter.com/imdasmilhas/status/1656710941524869163</v>
      </c>
      <c r="AF3225" s="79">
        <v>45057.722719907404</v>
      </c>
      <c r="AG3225" s="85">
        <v>45057</v>
      </c>
      <c r="AH3225" s="82" t="s">
        <v>13236</v>
      </c>
      <c r="AI3225" s="77" t="b">
        <v>0</v>
      </c>
      <c r="AJ3225" s="77"/>
      <c r="AK3225" s="77"/>
      <c r="AL3225" s="77"/>
      <c r="AM3225" s="77"/>
      <c r="AN3225" s="77"/>
      <c r="AO3225" s="77"/>
      <c r="AP3225" s="77"/>
      <c r="AQ3225" s="77" t="s">
        <v>16193</v>
      </c>
      <c r="AR3225" s="77"/>
      <c r="AS3225" s="77"/>
      <c r="AT3225" s="77"/>
      <c r="AU3225" s="77"/>
      <c r="AV3225" s="80" t="str">
        <f>HYPERLINK("https://pbs.twimg.com/media/Fv3R0lVXwAYvFsy.jpg")</f>
        <v>https://pbs.twimg.com/media/Fv3R0lVXwAYvFsy.jpg</v>
      </c>
      <c r="AW3225" s="82" t="s">
        <v>19991</v>
      </c>
      <c r="AX3225" s="82" t="s">
        <v>19991</v>
      </c>
      <c r="AY3225" s="77"/>
      <c r="AZ3225" s="82" t="s">
        <v>20971</v>
      </c>
      <c r="BA3225" s="82" t="s">
        <v>20971</v>
      </c>
      <c r="BB3225" s="82" t="s">
        <v>20971</v>
      </c>
      <c r="BC3225" s="82" t="s">
        <v>19991</v>
      </c>
      <c r="BD3225" s="82" t="s">
        <v>21597</v>
      </c>
      <c r="BE3225" s="77"/>
      <c r="BF3225" s="77"/>
      <c r="BG3225" s="77"/>
      <c r="BH3225" s="77"/>
      <c r="BI3225" s="77"/>
    </row>
    <row r="3226" spans="1:61" x14ac:dyDescent="0.25">
      <c r="A3226" s="62" t="s">
        <v>1006</v>
      </c>
      <c r="B3226" s="62" t="s">
        <v>1006</v>
      </c>
      <c r="C3226" s="63"/>
      <c r="D3226" s="64"/>
      <c r="E3226" s="65"/>
      <c r="F3226" s="66"/>
      <c r="G3226" s="63"/>
      <c r="H3226" s="67"/>
      <c r="I3226" s="68"/>
      <c r="J3226" s="68"/>
      <c r="K3226" s="32"/>
      <c r="L3226" s="75">
        <v>3226</v>
      </c>
      <c r="M3226" s="75"/>
      <c r="N3226" s="70"/>
      <c r="O3226" s="77" t="s">
        <v>179</v>
      </c>
      <c r="P3226" s="79">
        <v>45033.784849537034</v>
      </c>
      <c r="Q3226" s="77" t="s">
        <v>4432</v>
      </c>
      <c r="R3226" s="77">
        <v>0</v>
      </c>
      <c r="S3226" s="77">
        <v>0</v>
      </c>
      <c r="T3226" s="77">
        <v>0</v>
      </c>
      <c r="U3226" s="77">
        <v>0</v>
      </c>
      <c r="V3226" s="77">
        <v>134</v>
      </c>
      <c r="W3226" s="82" t="s">
        <v>6740</v>
      </c>
      <c r="X3226" s="77"/>
      <c r="Y3226" s="77"/>
      <c r="Z3226" s="77"/>
      <c r="AA3226" s="77" t="s">
        <v>9551</v>
      </c>
      <c r="AB3226" s="77" t="s">
        <v>10130</v>
      </c>
      <c r="AC3226" s="82" t="s">
        <v>10147</v>
      </c>
      <c r="AD3226" s="77" t="s">
        <v>10184</v>
      </c>
      <c r="AE3226" s="80" t="str">
        <f>HYPERLINK("https://twitter.com/imdasmilhas/status/1648036150378987520")</f>
        <v>https://twitter.com/imdasmilhas/status/1648036150378987520</v>
      </c>
      <c r="AF3226" s="79">
        <v>45033.784849537034</v>
      </c>
      <c r="AG3226" s="85">
        <v>45033</v>
      </c>
      <c r="AH3226" s="82" t="s">
        <v>12182</v>
      </c>
      <c r="AI3226" s="77" t="b">
        <v>0</v>
      </c>
      <c r="AJ3226" s="77"/>
      <c r="AK3226" s="77"/>
      <c r="AL3226" s="77"/>
      <c r="AM3226" s="77"/>
      <c r="AN3226" s="77"/>
      <c r="AO3226" s="77"/>
      <c r="AP3226" s="77"/>
      <c r="AQ3226" s="77" t="s">
        <v>16194</v>
      </c>
      <c r="AR3226" s="77"/>
      <c r="AS3226" s="77"/>
      <c r="AT3226" s="77"/>
      <c r="AU3226" s="77"/>
      <c r="AV3226" s="80" t="str">
        <f>HYPERLINK("https://pbs.twimg.com/media/Ft8AJRrWcA4SvPq.jpg")</f>
        <v>https://pbs.twimg.com/media/Ft8AJRrWcA4SvPq.jpg</v>
      </c>
      <c r="AW3226" s="82" t="s">
        <v>19992</v>
      </c>
      <c r="AX3226" s="82" t="s">
        <v>19992</v>
      </c>
      <c r="AY3226" s="77"/>
      <c r="AZ3226" s="82" t="s">
        <v>20971</v>
      </c>
      <c r="BA3226" s="82" t="s">
        <v>20971</v>
      </c>
      <c r="BB3226" s="82" t="s">
        <v>20971</v>
      </c>
      <c r="BC3226" s="82" t="s">
        <v>19992</v>
      </c>
      <c r="BD3226" s="82" t="s">
        <v>21597</v>
      </c>
      <c r="BE3226" s="77"/>
      <c r="BF3226" s="77"/>
      <c r="BG3226" s="77"/>
      <c r="BH3226" s="77"/>
      <c r="BI3226" s="77"/>
    </row>
    <row r="3227" spans="1:61" x14ac:dyDescent="0.25">
      <c r="A3227" s="62" t="s">
        <v>1006</v>
      </c>
      <c r="B3227" s="62" t="s">
        <v>1006</v>
      </c>
      <c r="C3227" s="63"/>
      <c r="D3227" s="64"/>
      <c r="E3227" s="65"/>
      <c r="F3227" s="66"/>
      <c r="G3227" s="63"/>
      <c r="H3227" s="67"/>
      <c r="I3227" s="68"/>
      <c r="J3227" s="68"/>
      <c r="K3227" s="32"/>
      <c r="L3227" s="75">
        <v>3227</v>
      </c>
      <c r="M3227" s="75"/>
      <c r="N3227" s="70"/>
      <c r="O3227" s="77" t="s">
        <v>179</v>
      </c>
      <c r="P3227" s="79">
        <v>45033.784305555557</v>
      </c>
      <c r="Q3227" s="77" t="s">
        <v>4433</v>
      </c>
      <c r="R3227" s="77">
        <v>0</v>
      </c>
      <c r="S3227" s="77">
        <v>0</v>
      </c>
      <c r="T3227" s="77">
        <v>0</v>
      </c>
      <c r="U3227" s="77">
        <v>0</v>
      </c>
      <c r="V3227" s="77">
        <v>95</v>
      </c>
      <c r="W3227" s="82" t="s">
        <v>6740</v>
      </c>
      <c r="X3227" s="77"/>
      <c r="Y3227" s="77"/>
      <c r="Z3227" s="77"/>
      <c r="AA3227" s="77" t="s">
        <v>9552</v>
      </c>
      <c r="AB3227" s="77" t="s">
        <v>10130</v>
      </c>
      <c r="AC3227" s="82" t="s">
        <v>10147</v>
      </c>
      <c r="AD3227" s="77" t="s">
        <v>10184</v>
      </c>
      <c r="AE3227" s="80" t="str">
        <f>HYPERLINK("https://twitter.com/imdasmilhas/status/1648035949702422528")</f>
        <v>https://twitter.com/imdasmilhas/status/1648035949702422528</v>
      </c>
      <c r="AF3227" s="79">
        <v>45033.784305555557</v>
      </c>
      <c r="AG3227" s="85">
        <v>45033</v>
      </c>
      <c r="AH3227" s="82" t="s">
        <v>13237</v>
      </c>
      <c r="AI3227" s="77" t="b">
        <v>0</v>
      </c>
      <c r="AJ3227" s="77"/>
      <c r="AK3227" s="77"/>
      <c r="AL3227" s="77"/>
      <c r="AM3227" s="77"/>
      <c r="AN3227" s="77"/>
      <c r="AO3227" s="77"/>
      <c r="AP3227" s="77"/>
      <c r="AQ3227" s="77" t="s">
        <v>16195</v>
      </c>
      <c r="AR3227" s="77"/>
      <c r="AS3227" s="77"/>
      <c r="AT3227" s="77"/>
      <c r="AU3227" s="77"/>
      <c r="AV3227" s="80" t="str">
        <f>HYPERLINK("https://pbs.twimg.com/media/Ft7_9mPWcBUlcJb.jpg")</f>
        <v>https://pbs.twimg.com/media/Ft7_9mPWcBUlcJb.jpg</v>
      </c>
      <c r="AW3227" s="82" t="s">
        <v>19993</v>
      </c>
      <c r="AX3227" s="82" t="s">
        <v>19993</v>
      </c>
      <c r="AY3227" s="77"/>
      <c r="AZ3227" s="82" t="s">
        <v>20971</v>
      </c>
      <c r="BA3227" s="82" t="s">
        <v>20971</v>
      </c>
      <c r="BB3227" s="82" t="s">
        <v>20971</v>
      </c>
      <c r="BC3227" s="82" t="s">
        <v>19993</v>
      </c>
      <c r="BD3227" s="82" t="s">
        <v>21597</v>
      </c>
      <c r="BE3227" s="77"/>
      <c r="BF3227" s="77"/>
      <c r="BG3227" s="77"/>
      <c r="BH3227" s="77"/>
      <c r="BI3227" s="77"/>
    </row>
    <row r="3228" spans="1:61" x14ac:dyDescent="0.25">
      <c r="A3228" s="62" t="s">
        <v>1006</v>
      </c>
      <c r="B3228" s="62" t="s">
        <v>1006</v>
      </c>
      <c r="C3228" s="63"/>
      <c r="D3228" s="64"/>
      <c r="E3228" s="65"/>
      <c r="F3228" s="66"/>
      <c r="G3228" s="63"/>
      <c r="H3228" s="67"/>
      <c r="I3228" s="68"/>
      <c r="J3228" s="68"/>
      <c r="K3228" s="32"/>
      <c r="L3228" s="75">
        <v>3228</v>
      </c>
      <c r="M3228" s="75"/>
      <c r="N3228" s="70"/>
      <c r="O3228" s="77" t="s">
        <v>179</v>
      </c>
      <c r="P3228" s="79">
        <v>45033.761180555557</v>
      </c>
      <c r="Q3228" s="77" t="s">
        <v>4434</v>
      </c>
      <c r="R3228" s="77">
        <v>0</v>
      </c>
      <c r="S3228" s="77">
        <v>0</v>
      </c>
      <c r="T3228" s="77">
        <v>0</v>
      </c>
      <c r="U3228" s="77">
        <v>0</v>
      </c>
      <c r="V3228" s="77">
        <v>174</v>
      </c>
      <c r="W3228" s="82" t="s">
        <v>6740</v>
      </c>
      <c r="X3228" s="77"/>
      <c r="Y3228" s="77"/>
      <c r="Z3228" s="77"/>
      <c r="AA3228" s="77" t="s">
        <v>9553</v>
      </c>
      <c r="AB3228" s="77" t="s">
        <v>10130</v>
      </c>
      <c r="AC3228" s="82" t="s">
        <v>10147</v>
      </c>
      <c r="AD3228" s="77" t="s">
        <v>10184</v>
      </c>
      <c r="AE3228" s="80" t="str">
        <f>HYPERLINK("https://twitter.com/imdasmilhas/status/1648027570703593488")</f>
        <v>https://twitter.com/imdasmilhas/status/1648027570703593488</v>
      </c>
      <c r="AF3228" s="79">
        <v>45033.761180555557</v>
      </c>
      <c r="AG3228" s="85">
        <v>45033</v>
      </c>
      <c r="AH3228" s="82" t="s">
        <v>13238</v>
      </c>
      <c r="AI3228" s="77" t="b">
        <v>0</v>
      </c>
      <c r="AJ3228" s="77"/>
      <c r="AK3228" s="77"/>
      <c r="AL3228" s="77"/>
      <c r="AM3228" s="77"/>
      <c r="AN3228" s="77"/>
      <c r="AO3228" s="77"/>
      <c r="AP3228" s="77"/>
      <c r="AQ3228" s="77" t="s">
        <v>16196</v>
      </c>
      <c r="AR3228" s="77"/>
      <c r="AS3228" s="77"/>
      <c r="AT3228" s="77"/>
      <c r="AU3228" s="77"/>
      <c r="AV3228" s="80" t="str">
        <f>HYPERLINK("https://pbs.twimg.com/media/Ft74V30XgAAjh7C.jpg")</f>
        <v>https://pbs.twimg.com/media/Ft74V30XgAAjh7C.jpg</v>
      </c>
      <c r="AW3228" s="82" t="s">
        <v>19994</v>
      </c>
      <c r="AX3228" s="82" t="s">
        <v>19994</v>
      </c>
      <c r="AY3228" s="77"/>
      <c r="AZ3228" s="82" t="s">
        <v>20971</v>
      </c>
      <c r="BA3228" s="82" t="s">
        <v>20971</v>
      </c>
      <c r="BB3228" s="82" t="s">
        <v>20971</v>
      </c>
      <c r="BC3228" s="82" t="s">
        <v>19994</v>
      </c>
      <c r="BD3228" s="82" t="s">
        <v>21597</v>
      </c>
      <c r="BE3228" s="77"/>
      <c r="BF3228" s="77"/>
      <c r="BG3228" s="77"/>
      <c r="BH3228" s="77"/>
      <c r="BI3228" s="77"/>
    </row>
    <row r="3229" spans="1:61" x14ac:dyDescent="0.25">
      <c r="A3229" s="62" t="s">
        <v>1006</v>
      </c>
      <c r="B3229" s="62" t="s">
        <v>1006</v>
      </c>
      <c r="C3229" s="63"/>
      <c r="D3229" s="64"/>
      <c r="E3229" s="65"/>
      <c r="F3229" s="66"/>
      <c r="G3229" s="63"/>
      <c r="H3229" s="67"/>
      <c r="I3229" s="68"/>
      <c r="J3229" s="68"/>
      <c r="K3229" s="32"/>
      <c r="L3229" s="75">
        <v>3229</v>
      </c>
      <c r="M3229" s="75"/>
      <c r="N3229" s="70"/>
      <c r="O3229" s="77" t="s">
        <v>179</v>
      </c>
      <c r="P3229" s="79">
        <v>45033.754895833335</v>
      </c>
      <c r="Q3229" s="77" t="s">
        <v>4435</v>
      </c>
      <c r="R3229" s="77">
        <v>0</v>
      </c>
      <c r="S3229" s="77">
        <v>0</v>
      </c>
      <c r="T3229" s="77">
        <v>0</v>
      </c>
      <c r="U3229" s="77">
        <v>0</v>
      </c>
      <c r="V3229" s="77">
        <v>85</v>
      </c>
      <c r="W3229" s="82" t="s">
        <v>6740</v>
      </c>
      <c r="X3229" s="77"/>
      <c r="Y3229" s="77"/>
      <c r="Z3229" s="77"/>
      <c r="AA3229" s="77" t="s">
        <v>9554</v>
      </c>
      <c r="AB3229" s="77" t="s">
        <v>10130</v>
      </c>
      <c r="AC3229" s="82" t="s">
        <v>10147</v>
      </c>
      <c r="AD3229" s="77" t="s">
        <v>10184</v>
      </c>
      <c r="AE3229" s="80" t="str">
        <f>HYPERLINK("https://twitter.com/imdasmilhas/status/1648025292785479689")</f>
        <v>https://twitter.com/imdasmilhas/status/1648025292785479689</v>
      </c>
      <c r="AF3229" s="79">
        <v>45033.754895833335</v>
      </c>
      <c r="AG3229" s="85">
        <v>45033</v>
      </c>
      <c r="AH3229" s="82" t="s">
        <v>13239</v>
      </c>
      <c r="AI3229" s="77" t="b">
        <v>0</v>
      </c>
      <c r="AJ3229" s="77"/>
      <c r="AK3229" s="77"/>
      <c r="AL3229" s="77"/>
      <c r="AM3229" s="77"/>
      <c r="AN3229" s="77"/>
      <c r="AO3229" s="77"/>
      <c r="AP3229" s="77"/>
      <c r="AQ3229" s="77" t="s">
        <v>16197</v>
      </c>
      <c r="AR3229" s="77"/>
      <c r="AS3229" s="77"/>
      <c r="AT3229" s="77"/>
      <c r="AU3229" s="77"/>
      <c r="AV3229" s="80" t="str">
        <f>HYPERLINK("https://pbs.twimg.com/media/Ft72RRnXwAwsWYR.jpg")</f>
        <v>https://pbs.twimg.com/media/Ft72RRnXwAwsWYR.jpg</v>
      </c>
      <c r="AW3229" s="82" t="s">
        <v>19995</v>
      </c>
      <c r="AX3229" s="82" t="s">
        <v>19995</v>
      </c>
      <c r="AY3229" s="77"/>
      <c r="AZ3229" s="82" t="s">
        <v>20971</v>
      </c>
      <c r="BA3229" s="82" t="s">
        <v>20971</v>
      </c>
      <c r="BB3229" s="82" t="s">
        <v>20971</v>
      </c>
      <c r="BC3229" s="82" t="s">
        <v>19995</v>
      </c>
      <c r="BD3229" s="82" t="s">
        <v>21597</v>
      </c>
      <c r="BE3229" s="77"/>
      <c r="BF3229" s="77"/>
      <c r="BG3229" s="77"/>
      <c r="BH3229" s="77"/>
      <c r="BI3229" s="77"/>
    </row>
    <row r="3230" spans="1:61" x14ac:dyDescent="0.25">
      <c r="A3230" s="62" t="s">
        <v>1006</v>
      </c>
      <c r="B3230" s="62" t="s">
        <v>1006</v>
      </c>
      <c r="C3230" s="63"/>
      <c r="D3230" s="64"/>
      <c r="E3230" s="65"/>
      <c r="F3230" s="66"/>
      <c r="G3230" s="63"/>
      <c r="H3230" s="67"/>
      <c r="I3230" s="68"/>
      <c r="J3230" s="68"/>
      <c r="K3230" s="32"/>
      <c r="L3230" s="75">
        <v>3230</v>
      </c>
      <c r="M3230" s="75"/>
      <c r="N3230" s="70"/>
      <c r="O3230" s="77" t="s">
        <v>179</v>
      </c>
      <c r="P3230" s="79">
        <v>45033.754328703704</v>
      </c>
      <c r="Q3230" s="77" t="s">
        <v>4436</v>
      </c>
      <c r="R3230" s="77">
        <v>0</v>
      </c>
      <c r="S3230" s="77">
        <v>0</v>
      </c>
      <c r="T3230" s="77">
        <v>0</v>
      </c>
      <c r="U3230" s="77">
        <v>0</v>
      </c>
      <c r="V3230" s="77">
        <v>113</v>
      </c>
      <c r="W3230" s="82" t="s">
        <v>6740</v>
      </c>
      <c r="X3230" s="77"/>
      <c r="Y3230" s="77"/>
      <c r="Z3230" s="77"/>
      <c r="AA3230" s="77" t="s">
        <v>9555</v>
      </c>
      <c r="AB3230" s="77" t="s">
        <v>10130</v>
      </c>
      <c r="AC3230" s="82" t="s">
        <v>10147</v>
      </c>
      <c r="AD3230" s="77" t="s">
        <v>10184</v>
      </c>
      <c r="AE3230" s="80" t="str">
        <f>HYPERLINK("https://twitter.com/imdasmilhas/status/1648025086383800320")</f>
        <v>https://twitter.com/imdasmilhas/status/1648025086383800320</v>
      </c>
      <c r="AF3230" s="79">
        <v>45033.754328703704</v>
      </c>
      <c r="AG3230" s="85">
        <v>45033</v>
      </c>
      <c r="AH3230" s="82" t="s">
        <v>13240</v>
      </c>
      <c r="AI3230" s="77" t="b">
        <v>0</v>
      </c>
      <c r="AJ3230" s="77"/>
      <c r="AK3230" s="77"/>
      <c r="AL3230" s="77"/>
      <c r="AM3230" s="77"/>
      <c r="AN3230" s="77"/>
      <c r="AO3230" s="77"/>
      <c r="AP3230" s="77"/>
      <c r="AQ3230" s="77" t="s">
        <v>16198</v>
      </c>
      <c r="AR3230" s="77"/>
      <c r="AS3230" s="77"/>
      <c r="AT3230" s="77"/>
      <c r="AU3230" s="77"/>
      <c r="AV3230" s="80" t="str">
        <f>HYPERLINK("https://pbs.twimg.com/media/Ft72FQOXgAQcrP8.jpg")</f>
        <v>https://pbs.twimg.com/media/Ft72FQOXgAQcrP8.jpg</v>
      </c>
      <c r="AW3230" s="82" t="s">
        <v>19996</v>
      </c>
      <c r="AX3230" s="82" t="s">
        <v>19996</v>
      </c>
      <c r="AY3230" s="77"/>
      <c r="AZ3230" s="82" t="s">
        <v>20971</v>
      </c>
      <c r="BA3230" s="82" t="s">
        <v>20971</v>
      </c>
      <c r="BB3230" s="82" t="s">
        <v>20971</v>
      </c>
      <c r="BC3230" s="82" t="s">
        <v>19996</v>
      </c>
      <c r="BD3230" s="82" t="s">
        <v>21597</v>
      </c>
      <c r="BE3230" s="77"/>
      <c r="BF3230" s="77"/>
      <c r="BG3230" s="77"/>
      <c r="BH3230" s="77"/>
      <c r="BI3230" s="77"/>
    </row>
    <row r="3231" spans="1:61" x14ac:dyDescent="0.25">
      <c r="A3231" s="62" t="s">
        <v>1006</v>
      </c>
      <c r="B3231" s="62" t="s">
        <v>1006</v>
      </c>
      <c r="C3231" s="63"/>
      <c r="D3231" s="64"/>
      <c r="E3231" s="65"/>
      <c r="F3231" s="66"/>
      <c r="G3231" s="63"/>
      <c r="H3231" s="67"/>
      <c r="I3231" s="68"/>
      <c r="J3231" s="68"/>
      <c r="K3231" s="32"/>
      <c r="L3231" s="75">
        <v>3231</v>
      </c>
      <c r="M3231" s="75"/>
      <c r="N3231" s="70"/>
      <c r="O3231" s="77" t="s">
        <v>179</v>
      </c>
      <c r="P3231" s="79">
        <v>45033.753958333335</v>
      </c>
      <c r="Q3231" s="77" t="s">
        <v>4437</v>
      </c>
      <c r="R3231" s="77">
        <v>0</v>
      </c>
      <c r="S3231" s="77">
        <v>0</v>
      </c>
      <c r="T3231" s="77">
        <v>0</v>
      </c>
      <c r="U3231" s="77">
        <v>0</v>
      </c>
      <c r="V3231" s="77">
        <v>105</v>
      </c>
      <c r="W3231" s="82" t="s">
        <v>6740</v>
      </c>
      <c r="X3231" s="77"/>
      <c r="Y3231" s="77"/>
      <c r="Z3231" s="77"/>
      <c r="AA3231" s="77" t="s">
        <v>9556</v>
      </c>
      <c r="AB3231" s="77" t="s">
        <v>10130</v>
      </c>
      <c r="AC3231" s="82" t="s">
        <v>10147</v>
      </c>
      <c r="AD3231" s="77" t="s">
        <v>10184</v>
      </c>
      <c r="AE3231" s="80" t="str">
        <f>HYPERLINK("https://twitter.com/imdasmilhas/status/1648024954544222219")</f>
        <v>https://twitter.com/imdasmilhas/status/1648024954544222219</v>
      </c>
      <c r="AF3231" s="79">
        <v>45033.753958333335</v>
      </c>
      <c r="AG3231" s="85">
        <v>45033</v>
      </c>
      <c r="AH3231" s="82" t="s">
        <v>13241</v>
      </c>
      <c r="AI3231" s="77" t="b">
        <v>0</v>
      </c>
      <c r="AJ3231" s="77"/>
      <c r="AK3231" s="77"/>
      <c r="AL3231" s="77"/>
      <c r="AM3231" s="77"/>
      <c r="AN3231" s="77"/>
      <c r="AO3231" s="77"/>
      <c r="AP3231" s="77"/>
      <c r="AQ3231" s="77" t="s">
        <v>16199</v>
      </c>
      <c r="AR3231" s="77"/>
      <c r="AS3231" s="77"/>
      <c r="AT3231" s="77"/>
      <c r="AU3231" s="77"/>
      <c r="AV3231" s="80" t="str">
        <f>HYPERLINK("https://pbs.twimg.com/media/Ft719lKWcAM92Eb.jpg")</f>
        <v>https://pbs.twimg.com/media/Ft719lKWcAM92Eb.jpg</v>
      </c>
      <c r="AW3231" s="82" t="s">
        <v>19997</v>
      </c>
      <c r="AX3231" s="82" t="s">
        <v>19997</v>
      </c>
      <c r="AY3231" s="77"/>
      <c r="AZ3231" s="82" t="s">
        <v>20971</v>
      </c>
      <c r="BA3231" s="82" t="s">
        <v>20971</v>
      </c>
      <c r="BB3231" s="82" t="s">
        <v>20971</v>
      </c>
      <c r="BC3231" s="82" t="s">
        <v>19997</v>
      </c>
      <c r="BD3231" s="82" t="s">
        <v>21597</v>
      </c>
      <c r="BE3231" s="77"/>
      <c r="BF3231" s="77"/>
      <c r="BG3231" s="77"/>
      <c r="BH3231" s="77"/>
      <c r="BI3231" s="77"/>
    </row>
    <row r="3232" spans="1:61" x14ac:dyDescent="0.25">
      <c r="A3232" s="62" t="s">
        <v>1006</v>
      </c>
      <c r="B3232" s="62" t="s">
        <v>1006</v>
      </c>
      <c r="C3232" s="63"/>
      <c r="D3232" s="64"/>
      <c r="E3232" s="65"/>
      <c r="F3232" s="66"/>
      <c r="G3232" s="63"/>
      <c r="H3232" s="67"/>
      <c r="I3232" s="68"/>
      <c r="J3232" s="68"/>
      <c r="K3232" s="32"/>
      <c r="L3232" s="75">
        <v>3232</v>
      </c>
      <c r="M3232" s="75"/>
      <c r="N3232" s="70"/>
      <c r="O3232" s="77" t="s">
        <v>179</v>
      </c>
      <c r="P3232" s="79">
        <v>45009.725902777776</v>
      </c>
      <c r="Q3232" s="77" t="s">
        <v>4438</v>
      </c>
      <c r="R3232" s="77">
        <v>0</v>
      </c>
      <c r="S3232" s="77">
        <v>0</v>
      </c>
      <c r="T3232" s="77">
        <v>0</v>
      </c>
      <c r="U3232" s="77">
        <v>0</v>
      </c>
      <c r="V3232" s="77">
        <v>76</v>
      </c>
      <c r="W3232" s="82" t="s">
        <v>6740</v>
      </c>
      <c r="X3232" s="77"/>
      <c r="Y3232" s="77"/>
      <c r="Z3232" s="77"/>
      <c r="AA3232" s="77" t="s">
        <v>9557</v>
      </c>
      <c r="AB3232" s="77" t="s">
        <v>10130</v>
      </c>
      <c r="AC3232" s="82" t="s">
        <v>10147</v>
      </c>
      <c r="AD3232" s="77" t="s">
        <v>10184</v>
      </c>
      <c r="AE3232" s="80" t="str">
        <f>HYPERLINK("https://twitter.com/imdasmilhas/status/1639317478928175104")</f>
        <v>https://twitter.com/imdasmilhas/status/1639317478928175104</v>
      </c>
      <c r="AF3232" s="79">
        <v>45009.725902777776</v>
      </c>
      <c r="AG3232" s="85">
        <v>45009</v>
      </c>
      <c r="AH3232" s="82" t="s">
        <v>13242</v>
      </c>
      <c r="AI3232" s="77" t="b">
        <v>0</v>
      </c>
      <c r="AJ3232" s="77"/>
      <c r="AK3232" s="77"/>
      <c r="AL3232" s="77"/>
      <c r="AM3232" s="77"/>
      <c r="AN3232" s="77"/>
      <c r="AO3232" s="77"/>
      <c r="AP3232" s="77"/>
      <c r="AQ3232" s="77" t="s">
        <v>16200</v>
      </c>
      <c r="AR3232" s="77"/>
      <c r="AS3232" s="77"/>
      <c r="AT3232" s="77"/>
      <c r="AU3232" s="77"/>
      <c r="AV3232" s="80" t="str">
        <f>HYPERLINK("https://pbs.twimg.com/media/FsAGjxkXwB0ctdZ.jpg")</f>
        <v>https://pbs.twimg.com/media/FsAGjxkXwB0ctdZ.jpg</v>
      </c>
      <c r="AW3232" s="82" t="s">
        <v>19998</v>
      </c>
      <c r="AX3232" s="82" t="s">
        <v>19998</v>
      </c>
      <c r="AY3232" s="77"/>
      <c r="AZ3232" s="82" t="s">
        <v>20971</v>
      </c>
      <c r="BA3232" s="82" t="s">
        <v>20971</v>
      </c>
      <c r="BB3232" s="82" t="s">
        <v>20971</v>
      </c>
      <c r="BC3232" s="82" t="s">
        <v>19998</v>
      </c>
      <c r="BD3232" s="82" t="s">
        <v>21597</v>
      </c>
      <c r="BE3232" s="77"/>
      <c r="BF3232" s="77"/>
      <c r="BG3232" s="77"/>
      <c r="BH3232" s="77"/>
      <c r="BI3232" s="77"/>
    </row>
    <row r="3233" spans="1:61" x14ac:dyDescent="0.25">
      <c r="A3233" s="62" t="s">
        <v>1006</v>
      </c>
      <c r="B3233" s="62" t="s">
        <v>1006</v>
      </c>
      <c r="C3233" s="63"/>
      <c r="D3233" s="64"/>
      <c r="E3233" s="65"/>
      <c r="F3233" s="66"/>
      <c r="G3233" s="63"/>
      <c r="H3233" s="67"/>
      <c r="I3233" s="68"/>
      <c r="J3233" s="68"/>
      <c r="K3233" s="32"/>
      <c r="L3233" s="75">
        <v>3233</v>
      </c>
      <c r="M3233" s="75"/>
      <c r="N3233" s="70"/>
      <c r="O3233" s="77" t="s">
        <v>179</v>
      </c>
      <c r="P3233" s="79">
        <v>45009.725358796299</v>
      </c>
      <c r="Q3233" s="77" t="s">
        <v>4439</v>
      </c>
      <c r="R3233" s="77">
        <v>0</v>
      </c>
      <c r="S3233" s="77">
        <v>0</v>
      </c>
      <c r="T3233" s="77">
        <v>0</v>
      </c>
      <c r="U3233" s="77">
        <v>0</v>
      </c>
      <c r="V3233" s="77">
        <v>100</v>
      </c>
      <c r="W3233" s="82" t="s">
        <v>6740</v>
      </c>
      <c r="X3233" s="77"/>
      <c r="Y3233" s="77"/>
      <c r="Z3233" s="77"/>
      <c r="AA3233" s="77" t="s">
        <v>9558</v>
      </c>
      <c r="AB3233" s="77" t="s">
        <v>10130</v>
      </c>
      <c r="AC3233" s="82" t="s">
        <v>10147</v>
      </c>
      <c r="AD3233" s="77" t="s">
        <v>10184</v>
      </c>
      <c r="AE3233" s="80" t="str">
        <f>HYPERLINK("https://twitter.com/imdasmilhas/status/1639317282076893184")</f>
        <v>https://twitter.com/imdasmilhas/status/1639317282076893184</v>
      </c>
      <c r="AF3233" s="79">
        <v>45009.725358796299</v>
      </c>
      <c r="AG3233" s="85">
        <v>45009</v>
      </c>
      <c r="AH3233" s="82" t="s">
        <v>13243</v>
      </c>
      <c r="AI3233" s="77" t="b">
        <v>0</v>
      </c>
      <c r="AJ3233" s="77"/>
      <c r="AK3233" s="77"/>
      <c r="AL3233" s="77"/>
      <c r="AM3233" s="77"/>
      <c r="AN3233" s="77"/>
      <c r="AO3233" s="77"/>
      <c r="AP3233" s="77"/>
      <c r="AQ3233" s="77" t="s">
        <v>16201</v>
      </c>
      <c r="AR3233" s="77"/>
      <c r="AS3233" s="77"/>
      <c r="AT3233" s="77"/>
      <c r="AU3233" s="77"/>
      <c r="AV3233" s="80" t="str">
        <f>HYPERLINK("https://pbs.twimg.com/media/FsAGYV9XwAg5wRs.jpg")</f>
        <v>https://pbs.twimg.com/media/FsAGYV9XwAg5wRs.jpg</v>
      </c>
      <c r="AW3233" s="82" t="s">
        <v>19999</v>
      </c>
      <c r="AX3233" s="82" t="s">
        <v>19999</v>
      </c>
      <c r="AY3233" s="77"/>
      <c r="AZ3233" s="82" t="s">
        <v>20971</v>
      </c>
      <c r="BA3233" s="82" t="s">
        <v>20971</v>
      </c>
      <c r="BB3233" s="82" t="s">
        <v>20971</v>
      </c>
      <c r="BC3233" s="82" t="s">
        <v>19999</v>
      </c>
      <c r="BD3233" s="82" t="s">
        <v>21597</v>
      </c>
      <c r="BE3233" s="77"/>
      <c r="BF3233" s="77"/>
      <c r="BG3233" s="77"/>
      <c r="BH3233" s="77"/>
      <c r="BI3233" s="77"/>
    </row>
    <row r="3234" spans="1:61" x14ac:dyDescent="0.25">
      <c r="A3234" s="62" t="s">
        <v>1006</v>
      </c>
      <c r="B3234" s="62" t="s">
        <v>1006</v>
      </c>
      <c r="C3234" s="63"/>
      <c r="D3234" s="64"/>
      <c r="E3234" s="65"/>
      <c r="F3234" s="66"/>
      <c r="G3234" s="63"/>
      <c r="H3234" s="67"/>
      <c r="I3234" s="68"/>
      <c r="J3234" s="68"/>
      <c r="K3234" s="32"/>
      <c r="L3234" s="75">
        <v>3234</v>
      </c>
      <c r="M3234" s="75"/>
      <c r="N3234" s="70"/>
      <c r="O3234" s="77" t="s">
        <v>179</v>
      </c>
      <c r="P3234" s="79">
        <v>45008.806342592594</v>
      </c>
      <c r="Q3234" s="77" t="s">
        <v>4440</v>
      </c>
      <c r="R3234" s="77">
        <v>0</v>
      </c>
      <c r="S3234" s="77">
        <v>0</v>
      </c>
      <c r="T3234" s="77">
        <v>0</v>
      </c>
      <c r="U3234" s="77">
        <v>0</v>
      </c>
      <c r="V3234" s="77">
        <v>111</v>
      </c>
      <c r="W3234" s="82" t="s">
        <v>6740</v>
      </c>
      <c r="X3234" s="77"/>
      <c r="Y3234" s="77"/>
      <c r="Z3234" s="77"/>
      <c r="AA3234" s="77" t="s">
        <v>9559</v>
      </c>
      <c r="AB3234" s="77" t="s">
        <v>10130</v>
      </c>
      <c r="AC3234" s="82" t="s">
        <v>10147</v>
      </c>
      <c r="AD3234" s="77" t="s">
        <v>10184</v>
      </c>
      <c r="AE3234" s="80" t="str">
        <f>HYPERLINK("https://twitter.com/imdasmilhas/status/1638984242200985600")</f>
        <v>https://twitter.com/imdasmilhas/status/1638984242200985600</v>
      </c>
      <c r="AF3234" s="79">
        <v>45008.806342592594</v>
      </c>
      <c r="AG3234" s="85">
        <v>45008</v>
      </c>
      <c r="AH3234" s="82" t="s">
        <v>13244</v>
      </c>
      <c r="AI3234" s="77" t="b">
        <v>0</v>
      </c>
      <c r="AJ3234" s="77"/>
      <c r="AK3234" s="77"/>
      <c r="AL3234" s="77"/>
      <c r="AM3234" s="77"/>
      <c r="AN3234" s="77"/>
      <c r="AO3234" s="77"/>
      <c r="AP3234" s="77"/>
      <c r="AQ3234" s="77" t="s">
        <v>16202</v>
      </c>
      <c r="AR3234" s="77"/>
      <c r="AS3234" s="77"/>
      <c r="AT3234" s="77"/>
      <c r="AU3234" s="77"/>
      <c r="AV3234" s="80" t="str">
        <f>HYPERLINK("https://pbs.twimg.com/media/Fr7Xe3xXsAAbu0H.jpg")</f>
        <v>https://pbs.twimg.com/media/Fr7Xe3xXsAAbu0H.jpg</v>
      </c>
      <c r="AW3234" s="82" t="s">
        <v>20000</v>
      </c>
      <c r="AX3234" s="82" t="s">
        <v>20000</v>
      </c>
      <c r="AY3234" s="77"/>
      <c r="AZ3234" s="82" t="s">
        <v>20971</v>
      </c>
      <c r="BA3234" s="82" t="s">
        <v>20971</v>
      </c>
      <c r="BB3234" s="82" t="s">
        <v>20971</v>
      </c>
      <c r="BC3234" s="82" t="s">
        <v>20000</v>
      </c>
      <c r="BD3234" s="82" t="s">
        <v>21597</v>
      </c>
      <c r="BE3234" s="77"/>
      <c r="BF3234" s="77"/>
      <c r="BG3234" s="77"/>
      <c r="BH3234" s="77"/>
      <c r="BI3234" s="77"/>
    </row>
    <row r="3235" spans="1:61" x14ac:dyDescent="0.25">
      <c r="A3235" s="62" t="s">
        <v>1006</v>
      </c>
      <c r="B3235" s="62" t="s">
        <v>1006</v>
      </c>
      <c r="C3235" s="63"/>
      <c r="D3235" s="64"/>
      <c r="E3235" s="65"/>
      <c r="F3235" s="66"/>
      <c r="G3235" s="63"/>
      <c r="H3235" s="67"/>
      <c r="I3235" s="68"/>
      <c r="J3235" s="68"/>
      <c r="K3235" s="32"/>
      <c r="L3235" s="75">
        <v>3235</v>
      </c>
      <c r="M3235" s="75"/>
      <c r="N3235" s="70"/>
      <c r="O3235" s="77" t="s">
        <v>179</v>
      </c>
      <c r="P3235" s="79">
        <v>45008.79315972222</v>
      </c>
      <c r="Q3235" s="77" t="s">
        <v>4441</v>
      </c>
      <c r="R3235" s="77">
        <v>0</v>
      </c>
      <c r="S3235" s="77">
        <v>0</v>
      </c>
      <c r="T3235" s="77">
        <v>0</v>
      </c>
      <c r="U3235" s="77">
        <v>0</v>
      </c>
      <c r="V3235" s="77">
        <v>116</v>
      </c>
      <c r="W3235" s="82" t="s">
        <v>6740</v>
      </c>
      <c r="X3235" s="77"/>
      <c r="Y3235" s="77"/>
      <c r="Z3235" s="77"/>
      <c r="AA3235" s="77" t="s">
        <v>9560</v>
      </c>
      <c r="AB3235" s="77" t="s">
        <v>10130</v>
      </c>
      <c r="AC3235" s="82" t="s">
        <v>10147</v>
      </c>
      <c r="AD3235" s="77" t="s">
        <v>10184</v>
      </c>
      <c r="AE3235" s="80" t="str">
        <f>HYPERLINK("https://twitter.com/imdasmilhas/status/1638979463571726336")</f>
        <v>https://twitter.com/imdasmilhas/status/1638979463571726336</v>
      </c>
      <c r="AF3235" s="79">
        <v>45008.79315972222</v>
      </c>
      <c r="AG3235" s="85">
        <v>45008</v>
      </c>
      <c r="AH3235" s="82" t="s">
        <v>13245</v>
      </c>
      <c r="AI3235" s="77" t="b">
        <v>0</v>
      </c>
      <c r="AJ3235" s="77"/>
      <c r="AK3235" s="77"/>
      <c r="AL3235" s="77"/>
      <c r="AM3235" s="77"/>
      <c r="AN3235" s="77"/>
      <c r="AO3235" s="77"/>
      <c r="AP3235" s="77"/>
      <c r="AQ3235" s="77" t="s">
        <v>16203</v>
      </c>
      <c r="AR3235" s="77"/>
      <c r="AS3235" s="77"/>
      <c r="AT3235" s="77"/>
      <c r="AU3235" s="77"/>
      <c r="AV3235" s="80" t="str">
        <f>HYPERLINK("https://pbs.twimg.com/media/Fr7TIszX0AINYBP.jpg")</f>
        <v>https://pbs.twimg.com/media/Fr7TIszX0AINYBP.jpg</v>
      </c>
      <c r="AW3235" s="82" t="s">
        <v>20001</v>
      </c>
      <c r="AX3235" s="82" t="s">
        <v>20001</v>
      </c>
      <c r="AY3235" s="77"/>
      <c r="AZ3235" s="82" t="s">
        <v>20971</v>
      </c>
      <c r="BA3235" s="82" t="s">
        <v>20971</v>
      </c>
      <c r="BB3235" s="82" t="s">
        <v>20971</v>
      </c>
      <c r="BC3235" s="82" t="s">
        <v>20001</v>
      </c>
      <c r="BD3235" s="82" t="s">
        <v>21597</v>
      </c>
      <c r="BE3235" s="77"/>
      <c r="BF3235" s="77"/>
      <c r="BG3235" s="77"/>
      <c r="BH3235" s="77"/>
      <c r="BI3235" s="77"/>
    </row>
    <row r="3236" spans="1:61" x14ac:dyDescent="0.25">
      <c r="A3236" s="62" t="s">
        <v>1006</v>
      </c>
      <c r="B3236" s="62" t="s">
        <v>1006</v>
      </c>
      <c r="C3236" s="63"/>
      <c r="D3236" s="64"/>
      <c r="E3236" s="65"/>
      <c r="F3236" s="66"/>
      <c r="G3236" s="63"/>
      <c r="H3236" s="67"/>
      <c r="I3236" s="68"/>
      <c r="J3236" s="68"/>
      <c r="K3236" s="32"/>
      <c r="L3236" s="75">
        <v>3236</v>
      </c>
      <c r="M3236" s="75"/>
      <c r="N3236" s="70"/>
      <c r="O3236" s="77" t="s">
        <v>179</v>
      </c>
      <c r="P3236" s="79">
        <v>45008.792754629627</v>
      </c>
      <c r="Q3236" s="77" t="s">
        <v>4442</v>
      </c>
      <c r="R3236" s="77">
        <v>0</v>
      </c>
      <c r="S3236" s="77">
        <v>0</v>
      </c>
      <c r="T3236" s="77">
        <v>0</v>
      </c>
      <c r="U3236" s="77">
        <v>0</v>
      </c>
      <c r="V3236" s="77">
        <v>53</v>
      </c>
      <c r="W3236" s="82" t="s">
        <v>6740</v>
      </c>
      <c r="X3236" s="77"/>
      <c r="Y3236" s="77"/>
      <c r="Z3236" s="77"/>
      <c r="AA3236" s="77" t="s">
        <v>9561</v>
      </c>
      <c r="AB3236" s="77" t="s">
        <v>10130</v>
      </c>
      <c r="AC3236" s="82" t="s">
        <v>10147</v>
      </c>
      <c r="AD3236" s="77" t="s">
        <v>10184</v>
      </c>
      <c r="AE3236" s="80" t="str">
        <f>HYPERLINK("https://twitter.com/imdasmilhas/status/1638979317807071232")</f>
        <v>https://twitter.com/imdasmilhas/status/1638979317807071232</v>
      </c>
      <c r="AF3236" s="79">
        <v>45008.792754629627</v>
      </c>
      <c r="AG3236" s="85">
        <v>45008</v>
      </c>
      <c r="AH3236" s="82" t="s">
        <v>13246</v>
      </c>
      <c r="AI3236" s="77" t="b">
        <v>0</v>
      </c>
      <c r="AJ3236" s="77"/>
      <c r="AK3236" s="77"/>
      <c r="AL3236" s="77"/>
      <c r="AM3236" s="77"/>
      <c r="AN3236" s="77"/>
      <c r="AO3236" s="77"/>
      <c r="AP3236" s="77"/>
      <c r="AQ3236" s="77" t="s">
        <v>16204</v>
      </c>
      <c r="AR3236" s="77"/>
      <c r="AS3236" s="77"/>
      <c r="AT3236" s="77"/>
      <c r="AU3236" s="77"/>
      <c r="AV3236" s="80" t="str">
        <f>HYPERLINK("https://pbs.twimg.com/media/Fr7TAO-WYAASVx1.jpg")</f>
        <v>https://pbs.twimg.com/media/Fr7TAO-WYAASVx1.jpg</v>
      </c>
      <c r="AW3236" s="82" t="s">
        <v>20002</v>
      </c>
      <c r="AX3236" s="82" t="s">
        <v>20002</v>
      </c>
      <c r="AY3236" s="77"/>
      <c r="AZ3236" s="82" t="s">
        <v>20971</v>
      </c>
      <c r="BA3236" s="82" t="s">
        <v>20971</v>
      </c>
      <c r="BB3236" s="82" t="s">
        <v>20971</v>
      </c>
      <c r="BC3236" s="82" t="s">
        <v>20002</v>
      </c>
      <c r="BD3236" s="82" t="s">
        <v>21597</v>
      </c>
      <c r="BE3236" s="77"/>
      <c r="BF3236" s="77"/>
      <c r="BG3236" s="77"/>
      <c r="BH3236" s="77"/>
      <c r="BI3236" s="77"/>
    </row>
    <row r="3237" spans="1:61" x14ac:dyDescent="0.25">
      <c r="A3237" s="62" t="s">
        <v>1006</v>
      </c>
      <c r="B3237" s="62" t="s">
        <v>1006</v>
      </c>
      <c r="C3237" s="63"/>
      <c r="D3237" s="64"/>
      <c r="E3237" s="65"/>
      <c r="F3237" s="66"/>
      <c r="G3237" s="63"/>
      <c r="H3237" s="67"/>
      <c r="I3237" s="68"/>
      <c r="J3237" s="68"/>
      <c r="K3237" s="32"/>
      <c r="L3237" s="75">
        <v>3237</v>
      </c>
      <c r="M3237" s="75"/>
      <c r="N3237" s="70"/>
      <c r="O3237" s="77" t="s">
        <v>179</v>
      </c>
      <c r="P3237" s="79">
        <v>45008.791354166664</v>
      </c>
      <c r="Q3237" s="77" t="s">
        <v>4443</v>
      </c>
      <c r="R3237" s="77">
        <v>0</v>
      </c>
      <c r="S3237" s="77">
        <v>0</v>
      </c>
      <c r="T3237" s="77">
        <v>0</v>
      </c>
      <c r="U3237" s="77">
        <v>0</v>
      </c>
      <c r="V3237" s="77">
        <v>60</v>
      </c>
      <c r="W3237" s="82" t="s">
        <v>6740</v>
      </c>
      <c r="X3237" s="77"/>
      <c r="Y3237" s="77"/>
      <c r="Z3237" s="77"/>
      <c r="AA3237" s="77" t="s">
        <v>9562</v>
      </c>
      <c r="AB3237" s="77" t="s">
        <v>10130</v>
      </c>
      <c r="AC3237" s="82" t="s">
        <v>10147</v>
      </c>
      <c r="AD3237" s="77" t="s">
        <v>10184</v>
      </c>
      <c r="AE3237" s="80" t="str">
        <f>HYPERLINK("https://twitter.com/imdasmilhas/status/1638978808681484288")</f>
        <v>https://twitter.com/imdasmilhas/status/1638978808681484288</v>
      </c>
      <c r="AF3237" s="79">
        <v>45008.791354166664</v>
      </c>
      <c r="AG3237" s="85">
        <v>45008</v>
      </c>
      <c r="AH3237" s="82" t="s">
        <v>13247</v>
      </c>
      <c r="AI3237" s="77" t="b">
        <v>0</v>
      </c>
      <c r="AJ3237" s="77"/>
      <c r="AK3237" s="77"/>
      <c r="AL3237" s="77"/>
      <c r="AM3237" s="77"/>
      <c r="AN3237" s="77"/>
      <c r="AO3237" s="77"/>
      <c r="AP3237" s="77"/>
      <c r="AQ3237" s="77" t="s">
        <v>16205</v>
      </c>
      <c r="AR3237" s="77"/>
      <c r="AS3237" s="77"/>
      <c r="AT3237" s="77"/>
      <c r="AU3237" s="77"/>
      <c r="AV3237" s="80" t="str">
        <f>HYPERLINK("https://pbs.twimg.com/media/Fr7SinSX0A8w-uR.jpg")</f>
        <v>https://pbs.twimg.com/media/Fr7SinSX0A8w-uR.jpg</v>
      </c>
      <c r="AW3237" s="82" t="s">
        <v>20003</v>
      </c>
      <c r="AX3237" s="82" t="s">
        <v>20003</v>
      </c>
      <c r="AY3237" s="77"/>
      <c r="AZ3237" s="82" t="s">
        <v>20971</v>
      </c>
      <c r="BA3237" s="82" t="s">
        <v>20971</v>
      </c>
      <c r="BB3237" s="82" t="s">
        <v>20971</v>
      </c>
      <c r="BC3237" s="82" t="s">
        <v>20003</v>
      </c>
      <c r="BD3237" s="82" t="s">
        <v>21597</v>
      </c>
      <c r="BE3237" s="77"/>
      <c r="BF3237" s="77"/>
      <c r="BG3237" s="77"/>
      <c r="BH3237" s="77"/>
      <c r="BI3237" s="77"/>
    </row>
    <row r="3238" spans="1:61" x14ac:dyDescent="0.25">
      <c r="A3238" s="62" t="s">
        <v>1006</v>
      </c>
      <c r="B3238" s="62" t="s">
        <v>1006</v>
      </c>
      <c r="C3238" s="63"/>
      <c r="D3238" s="64"/>
      <c r="E3238" s="65"/>
      <c r="F3238" s="66"/>
      <c r="G3238" s="63"/>
      <c r="H3238" s="67"/>
      <c r="I3238" s="68"/>
      <c r="J3238" s="68"/>
      <c r="K3238" s="32"/>
      <c r="L3238" s="75">
        <v>3238</v>
      </c>
      <c r="M3238" s="75"/>
      <c r="N3238" s="70"/>
      <c r="O3238" s="77" t="s">
        <v>179</v>
      </c>
      <c r="P3238" s="79">
        <v>45008.790925925925</v>
      </c>
      <c r="Q3238" s="77" t="s">
        <v>4444</v>
      </c>
      <c r="R3238" s="77">
        <v>0</v>
      </c>
      <c r="S3238" s="77">
        <v>1</v>
      </c>
      <c r="T3238" s="77">
        <v>0</v>
      </c>
      <c r="U3238" s="77">
        <v>0</v>
      </c>
      <c r="V3238" s="77">
        <v>100</v>
      </c>
      <c r="W3238" s="82" t="s">
        <v>6740</v>
      </c>
      <c r="X3238" s="77"/>
      <c r="Y3238" s="77"/>
      <c r="Z3238" s="77"/>
      <c r="AA3238" s="77" t="s">
        <v>9563</v>
      </c>
      <c r="AB3238" s="77" t="s">
        <v>10130</v>
      </c>
      <c r="AC3238" s="82" t="s">
        <v>10147</v>
      </c>
      <c r="AD3238" s="77" t="s">
        <v>10184</v>
      </c>
      <c r="AE3238" s="80" t="str">
        <f>HYPERLINK("https://twitter.com/imdasmilhas/status/1638978654419169282")</f>
        <v>https://twitter.com/imdasmilhas/status/1638978654419169282</v>
      </c>
      <c r="AF3238" s="79">
        <v>45008.790925925925</v>
      </c>
      <c r="AG3238" s="85">
        <v>45008</v>
      </c>
      <c r="AH3238" s="82" t="s">
        <v>13248</v>
      </c>
      <c r="AI3238" s="77" t="b">
        <v>0</v>
      </c>
      <c r="AJ3238" s="77"/>
      <c r="AK3238" s="77"/>
      <c r="AL3238" s="77"/>
      <c r="AM3238" s="77"/>
      <c r="AN3238" s="77"/>
      <c r="AO3238" s="77"/>
      <c r="AP3238" s="77"/>
      <c r="AQ3238" s="77" t="s">
        <v>16206</v>
      </c>
      <c r="AR3238" s="77"/>
      <c r="AS3238" s="77"/>
      <c r="AT3238" s="77"/>
      <c r="AU3238" s="77"/>
      <c r="AV3238" s="80" t="str">
        <f>HYPERLINK("https://pbs.twimg.com/media/Fr7SZoUX0BQ3yco.jpg")</f>
        <v>https://pbs.twimg.com/media/Fr7SZoUX0BQ3yco.jpg</v>
      </c>
      <c r="AW3238" s="82" t="s">
        <v>20004</v>
      </c>
      <c r="AX3238" s="82" t="s">
        <v>20004</v>
      </c>
      <c r="AY3238" s="77"/>
      <c r="AZ3238" s="82" t="s">
        <v>20971</v>
      </c>
      <c r="BA3238" s="82" t="s">
        <v>20971</v>
      </c>
      <c r="BB3238" s="82" t="s">
        <v>20971</v>
      </c>
      <c r="BC3238" s="82" t="s">
        <v>20004</v>
      </c>
      <c r="BD3238" s="82" t="s">
        <v>21597</v>
      </c>
      <c r="BE3238" s="77"/>
      <c r="BF3238" s="77"/>
      <c r="BG3238" s="77"/>
      <c r="BH3238" s="77"/>
      <c r="BI3238" s="77"/>
    </row>
    <row r="3239" spans="1:61" x14ac:dyDescent="0.25">
      <c r="A3239" s="62" t="s">
        <v>1006</v>
      </c>
      <c r="B3239" s="62" t="s">
        <v>1006</v>
      </c>
      <c r="C3239" s="63"/>
      <c r="D3239" s="64"/>
      <c r="E3239" s="65"/>
      <c r="F3239" s="66"/>
      <c r="G3239" s="63"/>
      <c r="H3239" s="67"/>
      <c r="I3239" s="68"/>
      <c r="J3239" s="68"/>
      <c r="K3239" s="32"/>
      <c r="L3239" s="75">
        <v>3239</v>
      </c>
      <c r="M3239" s="75"/>
      <c r="N3239" s="70"/>
      <c r="O3239" s="77" t="s">
        <v>179</v>
      </c>
      <c r="P3239" s="79">
        <v>45007.783541666664</v>
      </c>
      <c r="Q3239" s="77" t="s">
        <v>4445</v>
      </c>
      <c r="R3239" s="77">
        <v>0</v>
      </c>
      <c r="S3239" s="77">
        <v>0</v>
      </c>
      <c r="T3239" s="77">
        <v>0</v>
      </c>
      <c r="U3239" s="77">
        <v>0</v>
      </c>
      <c r="V3239" s="77">
        <v>100</v>
      </c>
      <c r="W3239" s="82" t="s">
        <v>6740</v>
      </c>
      <c r="X3239" s="77"/>
      <c r="Y3239" s="77"/>
      <c r="Z3239" s="77"/>
      <c r="AA3239" s="77" t="s">
        <v>9564</v>
      </c>
      <c r="AB3239" s="77" t="s">
        <v>10130</v>
      </c>
      <c r="AC3239" s="82" t="s">
        <v>10147</v>
      </c>
      <c r="AD3239" s="77" t="s">
        <v>10184</v>
      </c>
      <c r="AE3239" s="80" t="str">
        <f>HYPERLINK("https://twitter.com/imdasmilhas/status/1638613588142063622")</f>
        <v>https://twitter.com/imdasmilhas/status/1638613588142063622</v>
      </c>
      <c r="AF3239" s="79">
        <v>45007.783541666664</v>
      </c>
      <c r="AG3239" s="85">
        <v>45007</v>
      </c>
      <c r="AH3239" s="82" t="s">
        <v>13249</v>
      </c>
      <c r="AI3239" s="77" t="b">
        <v>0</v>
      </c>
      <c r="AJ3239" s="77"/>
      <c r="AK3239" s="77"/>
      <c r="AL3239" s="77"/>
      <c r="AM3239" s="77"/>
      <c r="AN3239" s="77"/>
      <c r="AO3239" s="77"/>
      <c r="AP3239" s="77"/>
      <c r="AQ3239" s="77" t="s">
        <v>16207</v>
      </c>
      <c r="AR3239" s="77"/>
      <c r="AS3239" s="77"/>
      <c r="AT3239" s="77"/>
      <c r="AU3239" s="77"/>
      <c r="AV3239" s="80" t="str">
        <f>HYPERLINK("https://pbs.twimg.com/media/Fr2GX82XwAYZU_Y.jpg")</f>
        <v>https://pbs.twimg.com/media/Fr2GX82XwAYZU_Y.jpg</v>
      </c>
      <c r="AW3239" s="82" t="s">
        <v>20005</v>
      </c>
      <c r="AX3239" s="82" t="s">
        <v>20005</v>
      </c>
      <c r="AY3239" s="77"/>
      <c r="AZ3239" s="82" t="s">
        <v>20971</v>
      </c>
      <c r="BA3239" s="82" t="s">
        <v>20971</v>
      </c>
      <c r="BB3239" s="82" t="s">
        <v>20971</v>
      </c>
      <c r="BC3239" s="82" t="s">
        <v>20005</v>
      </c>
      <c r="BD3239" s="82" t="s">
        <v>21597</v>
      </c>
      <c r="BE3239" s="77"/>
      <c r="BF3239" s="77"/>
      <c r="BG3239" s="77"/>
      <c r="BH3239" s="77"/>
      <c r="BI3239" s="77"/>
    </row>
    <row r="3240" spans="1:61" x14ac:dyDescent="0.25">
      <c r="A3240" s="62" t="s">
        <v>1006</v>
      </c>
      <c r="B3240" s="62" t="s">
        <v>1006</v>
      </c>
      <c r="C3240" s="63"/>
      <c r="D3240" s="64"/>
      <c r="E3240" s="65"/>
      <c r="F3240" s="66"/>
      <c r="G3240" s="63"/>
      <c r="H3240" s="67"/>
      <c r="I3240" s="68"/>
      <c r="J3240" s="68"/>
      <c r="K3240" s="32"/>
      <c r="L3240" s="75">
        <v>3240</v>
      </c>
      <c r="M3240" s="75"/>
      <c r="N3240" s="70"/>
      <c r="O3240" s="77" t="s">
        <v>179</v>
      </c>
      <c r="P3240" s="79">
        <v>45007.783136574071</v>
      </c>
      <c r="Q3240" s="77" t="s">
        <v>4446</v>
      </c>
      <c r="R3240" s="77">
        <v>0</v>
      </c>
      <c r="S3240" s="77">
        <v>1</v>
      </c>
      <c r="T3240" s="77">
        <v>0</v>
      </c>
      <c r="U3240" s="77">
        <v>0</v>
      </c>
      <c r="V3240" s="77">
        <v>98</v>
      </c>
      <c r="W3240" s="82" t="s">
        <v>6740</v>
      </c>
      <c r="X3240" s="77"/>
      <c r="Y3240" s="77"/>
      <c r="Z3240" s="77"/>
      <c r="AA3240" s="77" t="s">
        <v>9565</v>
      </c>
      <c r="AB3240" s="77" t="s">
        <v>10130</v>
      </c>
      <c r="AC3240" s="82" t="s">
        <v>10147</v>
      </c>
      <c r="AD3240" s="77" t="s">
        <v>10184</v>
      </c>
      <c r="AE3240" s="80" t="str">
        <f>HYPERLINK("https://twitter.com/imdasmilhas/status/1638613441429602305")</f>
        <v>https://twitter.com/imdasmilhas/status/1638613441429602305</v>
      </c>
      <c r="AF3240" s="79">
        <v>45007.783136574071</v>
      </c>
      <c r="AG3240" s="85">
        <v>45007</v>
      </c>
      <c r="AH3240" s="82" t="s">
        <v>13250</v>
      </c>
      <c r="AI3240" s="77" t="b">
        <v>0</v>
      </c>
      <c r="AJ3240" s="77"/>
      <c r="AK3240" s="77"/>
      <c r="AL3240" s="77"/>
      <c r="AM3240" s="77"/>
      <c r="AN3240" s="77"/>
      <c r="AO3240" s="77"/>
      <c r="AP3240" s="77"/>
      <c r="AQ3240" s="77" t="s">
        <v>16208</v>
      </c>
      <c r="AR3240" s="77"/>
      <c r="AS3240" s="77"/>
      <c r="AT3240" s="77"/>
      <c r="AU3240" s="77"/>
      <c r="AV3240" s="80" t="str">
        <f>HYPERLINK("https://pbs.twimg.com/media/Fr2GPZFWcAAmSqd.jpg")</f>
        <v>https://pbs.twimg.com/media/Fr2GPZFWcAAmSqd.jpg</v>
      </c>
      <c r="AW3240" s="82" t="s">
        <v>20006</v>
      </c>
      <c r="AX3240" s="82" t="s">
        <v>20006</v>
      </c>
      <c r="AY3240" s="77"/>
      <c r="AZ3240" s="82" t="s">
        <v>20971</v>
      </c>
      <c r="BA3240" s="82" t="s">
        <v>20971</v>
      </c>
      <c r="BB3240" s="82" t="s">
        <v>20971</v>
      </c>
      <c r="BC3240" s="82" t="s">
        <v>20006</v>
      </c>
      <c r="BD3240" s="82" t="s">
        <v>21597</v>
      </c>
      <c r="BE3240" s="77"/>
      <c r="BF3240" s="77"/>
      <c r="BG3240" s="77"/>
      <c r="BH3240" s="77"/>
      <c r="BI3240" s="77"/>
    </row>
    <row r="3241" spans="1:61" x14ac:dyDescent="0.25">
      <c r="A3241" s="62" t="s">
        <v>1006</v>
      </c>
      <c r="B3241" s="62" t="s">
        <v>1006</v>
      </c>
      <c r="C3241" s="63"/>
      <c r="D3241" s="64"/>
      <c r="E3241" s="65"/>
      <c r="F3241" s="66"/>
      <c r="G3241" s="63"/>
      <c r="H3241" s="67"/>
      <c r="I3241" s="68"/>
      <c r="J3241" s="68"/>
      <c r="K3241" s="32"/>
      <c r="L3241" s="75">
        <v>3241</v>
      </c>
      <c r="M3241" s="75"/>
      <c r="N3241" s="70"/>
      <c r="O3241" s="77" t="s">
        <v>179</v>
      </c>
      <c r="P3241" s="79">
        <v>45007.782824074071</v>
      </c>
      <c r="Q3241" s="77" t="s">
        <v>4447</v>
      </c>
      <c r="R3241" s="77">
        <v>0</v>
      </c>
      <c r="S3241" s="77">
        <v>0</v>
      </c>
      <c r="T3241" s="77">
        <v>0</v>
      </c>
      <c r="U3241" s="77">
        <v>0</v>
      </c>
      <c r="V3241" s="77">
        <v>80</v>
      </c>
      <c r="W3241" s="82" t="s">
        <v>6740</v>
      </c>
      <c r="X3241" s="77"/>
      <c r="Y3241" s="77"/>
      <c r="Z3241" s="77"/>
      <c r="AA3241" s="77" t="s">
        <v>9566</v>
      </c>
      <c r="AB3241" s="77" t="s">
        <v>10130</v>
      </c>
      <c r="AC3241" s="82" t="s">
        <v>10147</v>
      </c>
      <c r="AD3241" s="77" t="s">
        <v>10184</v>
      </c>
      <c r="AE3241" s="80" t="str">
        <f>HYPERLINK("https://twitter.com/imdasmilhas/status/1638613328367853590")</f>
        <v>https://twitter.com/imdasmilhas/status/1638613328367853590</v>
      </c>
      <c r="AF3241" s="79">
        <v>45007.782824074071</v>
      </c>
      <c r="AG3241" s="85">
        <v>45007</v>
      </c>
      <c r="AH3241" s="82" t="s">
        <v>13251</v>
      </c>
      <c r="AI3241" s="77" t="b">
        <v>0</v>
      </c>
      <c r="AJ3241" s="77"/>
      <c r="AK3241" s="77"/>
      <c r="AL3241" s="77"/>
      <c r="AM3241" s="77"/>
      <c r="AN3241" s="77"/>
      <c r="AO3241" s="77"/>
      <c r="AP3241" s="77"/>
      <c r="AQ3241" s="77" t="s">
        <v>16209</v>
      </c>
      <c r="AR3241" s="77"/>
      <c r="AS3241" s="77"/>
      <c r="AT3241" s="77"/>
      <c r="AU3241" s="77"/>
      <c r="AV3241" s="80" t="str">
        <f>HYPERLINK("https://pbs.twimg.com/media/Fr2GIzIWYAE4orn.jpg")</f>
        <v>https://pbs.twimg.com/media/Fr2GIzIWYAE4orn.jpg</v>
      </c>
      <c r="AW3241" s="82" t="s">
        <v>20007</v>
      </c>
      <c r="AX3241" s="82" t="s">
        <v>20007</v>
      </c>
      <c r="AY3241" s="77"/>
      <c r="AZ3241" s="82" t="s">
        <v>20971</v>
      </c>
      <c r="BA3241" s="82" t="s">
        <v>20971</v>
      </c>
      <c r="BB3241" s="82" t="s">
        <v>20971</v>
      </c>
      <c r="BC3241" s="82" t="s">
        <v>20007</v>
      </c>
      <c r="BD3241" s="82" t="s">
        <v>21597</v>
      </c>
      <c r="BE3241" s="77"/>
      <c r="BF3241" s="77"/>
      <c r="BG3241" s="77"/>
      <c r="BH3241" s="77"/>
      <c r="BI3241" s="77"/>
    </row>
    <row r="3242" spans="1:61" x14ac:dyDescent="0.25">
      <c r="A3242" s="62" t="s">
        <v>1006</v>
      </c>
      <c r="B3242" s="62" t="s">
        <v>1006</v>
      </c>
      <c r="C3242" s="63"/>
      <c r="D3242" s="64"/>
      <c r="E3242" s="65"/>
      <c r="F3242" s="66"/>
      <c r="G3242" s="63"/>
      <c r="H3242" s="67"/>
      <c r="I3242" s="68"/>
      <c r="J3242" s="68"/>
      <c r="K3242" s="32"/>
      <c r="L3242" s="75">
        <v>3242</v>
      </c>
      <c r="M3242" s="75"/>
      <c r="N3242" s="70"/>
      <c r="O3242" s="77" t="s">
        <v>179</v>
      </c>
      <c r="P3242" s="79">
        <v>45007.782129629632</v>
      </c>
      <c r="Q3242" s="77" t="s">
        <v>4448</v>
      </c>
      <c r="R3242" s="77">
        <v>0</v>
      </c>
      <c r="S3242" s="77">
        <v>0</v>
      </c>
      <c r="T3242" s="77">
        <v>0</v>
      </c>
      <c r="U3242" s="77">
        <v>0</v>
      </c>
      <c r="V3242" s="77">
        <v>76</v>
      </c>
      <c r="W3242" s="82" t="s">
        <v>6740</v>
      </c>
      <c r="X3242" s="77"/>
      <c r="Y3242" s="77"/>
      <c r="Z3242" s="77"/>
      <c r="AA3242" s="77" t="s">
        <v>9567</v>
      </c>
      <c r="AB3242" s="77" t="s">
        <v>10130</v>
      </c>
      <c r="AC3242" s="82" t="s">
        <v>10147</v>
      </c>
      <c r="AD3242" s="77" t="s">
        <v>10184</v>
      </c>
      <c r="AE3242" s="80" t="str">
        <f>HYPERLINK("https://twitter.com/imdasmilhas/status/1638613078278303747")</f>
        <v>https://twitter.com/imdasmilhas/status/1638613078278303747</v>
      </c>
      <c r="AF3242" s="79">
        <v>45007.782129629632</v>
      </c>
      <c r="AG3242" s="85">
        <v>45007</v>
      </c>
      <c r="AH3242" s="82" t="s">
        <v>13252</v>
      </c>
      <c r="AI3242" s="77" t="b">
        <v>0</v>
      </c>
      <c r="AJ3242" s="77"/>
      <c r="AK3242" s="77"/>
      <c r="AL3242" s="77"/>
      <c r="AM3242" s="77"/>
      <c r="AN3242" s="77"/>
      <c r="AO3242" s="77"/>
      <c r="AP3242" s="77"/>
      <c r="AQ3242" s="77" t="s">
        <v>16210</v>
      </c>
      <c r="AR3242" s="77"/>
      <c r="AS3242" s="77"/>
      <c r="AT3242" s="77"/>
      <c r="AU3242" s="77"/>
      <c r="AV3242" s="80" t="str">
        <f>HYPERLINK("https://pbs.twimg.com/media/Fr2F6RvXsAQQCtL.jpg")</f>
        <v>https://pbs.twimg.com/media/Fr2F6RvXsAQQCtL.jpg</v>
      </c>
      <c r="AW3242" s="82" t="s">
        <v>20008</v>
      </c>
      <c r="AX3242" s="82" t="s">
        <v>20008</v>
      </c>
      <c r="AY3242" s="77"/>
      <c r="AZ3242" s="82" t="s">
        <v>20971</v>
      </c>
      <c r="BA3242" s="82" t="s">
        <v>20971</v>
      </c>
      <c r="BB3242" s="82" t="s">
        <v>20971</v>
      </c>
      <c r="BC3242" s="82" t="s">
        <v>20008</v>
      </c>
      <c r="BD3242" s="82" t="s">
        <v>21597</v>
      </c>
      <c r="BE3242" s="77"/>
      <c r="BF3242" s="77"/>
      <c r="BG3242" s="77"/>
      <c r="BH3242" s="77"/>
      <c r="BI3242" s="77"/>
    </row>
    <row r="3243" spans="1:61" x14ac:dyDescent="0.25">
      <c r="A3243" s="62" t="s">
        <v>1006</v>
      </c>
      <c r="B3243" s="62" t="s">
        <v>1006</v>
      </c>
      <c r="C3243" s="63"/>
      <c r="D3243" s="64"/>
      <c r="E3243" s="65"/>
      <c r="F3243" s="66"/>
      <c r="G3243" s="63"/>
      <c r="H3243" s="67"/>
      <c r="I3243" s="68"/>
      <c r="J3243" s="68"/>
      <c r="K3243" s="32"/>
      <c r="L3243" s="75">
        <v>3243</v>
      </c>
      <c r="M3243" s="75"/>
      <c r="N3243" s="70"/>
      <c r="O3243" s="77" t="s">
        <v>179</v>
      </c>
      <c r="P3243" s="79">
        <v>45007.781828703701</v>
      </c>
      <c r="Q3243" s="77" t="s">
        <v>4449</v>
      </c>
      <c r="R3243" s="77">
        <v>0</v>
      </c>
      <c r="S3243" s="77">
        <v>0</v>
      </c>
      <c r="T3243" s="77">
        <v>1</v>
      </c>
      <c r="U3243" s="77">
        <v>0</v>
      </c>
      <c r="V3243" s="77">
        <v>79</v>
      </c>
      <c r="W3243" s="82" t="s">
        <v>6740</v>
      </c>
      <c r="X3243" s="77"/>
      <c r="Y3243" s="77"/>
      <c r="Z3243" s="77"/>
      <c r="AA3243" s="77" t="s">
        <v>9568</v>
      </c>
      <c r="AB3243" s="77" t="s">
        <v>10130</v>
      </c>
      <c r="AC3243" s="82" t="s">
        <v>10147</v>
      </c>
      <c r="AD3243" s="77" t="s">
        <v>10184</v>
      </c>
      <c r="AE3243" s="80" t="str">
        <f>HYPERLINK("https://twitter.com/imdasmilhas/status/1638612971134787591")</f>
        <v>https://twitter.com/imdasmilhas/status/1638612971134787591</v>
      </c>
      <c r="AF3243" s="79">
        <v>45007.781828703701</v>
      </c>
      <c r="AG3243" s="85">
        <v>45007</v>
      </c>
      <c r="AH3243" s="82" t="s">
        <v>13253</v>
      </c>
      <c r="AI3243" s="77" t="b">
        <v>0</v>
      </c>
      <c r="AJ3243" s="77"/>
      <c r="AK3243" s="77"/>
      <c r="AL3243" s="77"/>
      <c r="AM3243" s="77"/>
      <c r="AN3243" s="77"/>
      <c r="AO3243" s="77"/>
      <c r="AP3243" s="77"/>
      <c r="AQ3243" s="77" t="s">
        <v>16211</v>
      </c>
      <c r="AR3243" s="77"/>
      <c r="AS3243" s="77"/>
      <c r="AT3243" s="77"/>
      <c r="AU3243" s="77"/>
      <c r="AV3243" s="80" t="str">
        <f>HYPERLINK("https://pbs.twimg.com/media/Fr2F0BVWIB0YMbj.jpg")</f>
        <v>https://pbs.twimg.com/media/Fr2F0BVWIB0YMbj.jpg</v>
      </c>
      <c r="AW3243" s="82" t="s">
        <v>20009</v>
      </c>
      <c r="AX3243" s="82" t="s">
        <v>20009</v>
      </c>
      <c r="AY3243" s="77"/>
      <c r="AZ3243" s="82" t="s">
        <v>20971</v>
      </c>
      <c r="BA3243" s="82" t="s">
        <v>20971</v>
      </c>
      <c r="BB3243" s="82" t="s">
        <v>20971</v>
      </c>
      <c r="BC3243" s="82" t="s">
        <v>20009</v>
      </c>
      <c r="BD3243" s="82" t="s">
        <v>21597</v>
      </c>
      <c r="BE3243" s="77"/>
      <c r="BF3243" s="77"/>
      <c r="BG3243" s="77"/>
      <c r="BH3243" s="77"/>
      <c r="BI3243" s="77"/>
    </row>
    <row r="3244" spans="1:61" x14ac:dyDescent="0.25">
      <c r="A3244" s="62" t="s">
        <v>1006</v>
      </c>
      <c r="B3244" s="62" t="s">
        <v>1006</v>
      </c>
      <c r="C3244" s="63"/>
      <c r="D3244" s="64"/>
      <c r="E3244" s="65"/>
      <c r="F3244" s="66"/>
      <c r="G3244" s="63"/>
      <c r="H3244" s="67"/>
      <c r="I3244" s="68"/>
      <c r="J3244" s="68"/>
      <c r="K3244" s="32"/>
      <c r="L3244" s="75">
        <v>3244</v>
      </c>
      <c r="M3244" s="75"/>
      <c r="N3244" s="70"/>
      <c r="O3244" s="77" t="s">
        <v>179</v>
      </c>
      <c r="P3244" s="79">
        <v>45007.780972222223</v>
      </c>
      <c r="Q3244" s="77" t="s">
        <v>4450</v>
      </c>
      <c r="R3244" s="77">
        <v>0</v>
      </c>
      <c r="S3244" s="77">
        <v>0</v>
      </c>
      <c r="T3244" s="77">
        <v>1</v>
      </c>
      <c r="U3244" s="77">
        <v>0</v>
      </c>
      <c r="V3244" s="77">
        <v>84</v>
      </c>
      <c r="W3244" s="82" t="s">
        <v>6740</v>
      </c>
      <c r="X3244" s="77"/>
      <c r="Y3244" s="77"/>
      <c r="Z3244" s="77"/>
      <c r="AA3244" s="77" t="s">
        <v>9569</v>
      </c>
      <c r="AB3244" s="77" t="s">
        <v>10130</v>
      </c>
      <c r="AC3244" s="82" t="s">
        <v>10147</v>
      </c>
      <c r="AD3244" s="77" t="s">
        <v>10184</v>
      </c>
      <c r="AE3244" s="80" t="str">
        <f>HYPERLINK("https://twitter.com/imdasmilhas/status/1638612658680111134")</f>
        <v>https://twitter.com/imdasmilhas/status/1638612658680111134</v>
      </c>
      <c r="AF3244" s="79">
        <v>45007.780972222223</v>
      </c>
      <c r="AG3244" s="85">
        <v>45007</v>
      </c>
      <c r="AH3244" s="82" t="s">
        <v>13254</v>
      </c>
      <c r="AI3244" s="77" t="b">
        <v>0</v>
      </c>
      <c r="AJ3244" s="77"/>
      <c r="AK3244" s="77"/>
      <c r="AL3244" s="77"/>
      <c r="AM3244" s="77"/>
      <c r="AN3244" s="77"/>
      <c r="AO3244" s="77"/>
      <c r="AP3244" s="77"/>
      <c r="AQ3244" s="77" t="s">
        <v>16212</v>
      </c>
      <c r="AR3244" s="77"/>
      <c r="AS3244" s="77"/>
      <c r="AT3244" s="77"/>
      <c r="AU3244" s="77"/>
      <c r="AV3244" s="80" t="str">
        <f>HYPERLINK("https://pbs.twimg.com/media/Fr2Fh3pWIA0pM16.jpg")</f>
        <v>https://pbs.twimg.com/media/Fr2Fh3pWIA0pM16.jpg</v>
      </c>
      <c r="AW3244" s="82" t="s">
        <v>20010</v>
      </c>
      <c r="AX3244" s="82" t="s">
        <v>20010</v>
      </c>
      <c r="AY3244" s="77"/>
      <c r="AZ3244" s="82" t="s">
        <v>20971</v>
      </c>
      <c r="BA3244" s="82" t="s">
        <v>20971</v>
      </c>
      <c r="BB3244" s="82" t="s">
        <v>20971</v>
      </c>
      <c r="BC3244" s="82" t="s">
        <v>20010</v>
      </c>
      <c r="BD3244" s="82" t="s">
        <v>21597</v>
      </c>
      <c r="BE3244" s="77"/>
      <c r="BF3244" s="77"/>
      <c r="BG3244" s="77"/>
      <c r="BH3244" s="77"/>
      <c r="BI3244" s="77"/>
    </row>
    <row r="3245" spans="1:61" x14ac:dyDescent="0.25">
      <c r="A3245" s="62" t="s">
        <v>1006</v>
      </c>
      <c r="B3245" s="62" t="s">
        <v>1006</v>
      </c>
      <c r="C3245" s="63"/>
      <c r="D3245" s="64"/>
      <c r="E3245" s="65"/>
      <c r="F3245" s="66"/>
      <c r="G3245" s="63"/>
      <c r="H3245" s="67"/>
      <c r="I3245" s="68"/>
      <c r="J3245" s="68"/>
      <c r="K3245" s="32"/>
      <c r="L3245" s="75">
        <v>3245</v>
      </c>
      <c r="M3245" s="75"/>
      <c r="N3245" s="70"/>
      <c r="O3245" s="77" t="s">
        <v>179</v>
      </c>
      <c r="P3245" s="79">
        <v>45006.848738425928</v>
      </c>
      <c r="Q3245" s="77" t="s">
        <v>4451</v>
      </c>
      <c r="R3245" s="77">
        <v>0</v>
      </c>
      <c r="S3245" s="77">
        <v>0</v>
      </c>
      <c r="T3245" s="77">
        <v>0</v>
      </c>
      <c r="U3245" s="77">
        <v>0</v>
      </c>
      <c r="V3245" s="77">
        <v>57</v>
      </c>
      <c r="W3245" s="82" t="s">
        <v>6740</v>
      </c>
      <c r="X3245" s="77"/>
      <c r="Y3245" s="77"/>
      <c r="Z3245" s="77"/>
      <c r="AA3245" s="77" t="s">
        <v>9570</v>
      </c>
      <c r="AB3245" s="77" t="s">
        <v>10130</v>
      </c>
      <c r="AC3245" s="82" t="s">
        <v>10147</v>
      </c>
      <c r="AD3245" s="77" t="s">
        <v>10184</v>
      </c>
      <c r="AE3245" s="80" t="str">
        <f>HYPERLINK("https://twitter.com/imdasmilhas/status/1638274828594470917")</f>
        <v>https://twitter.com/imdasmilhas/status/1638274828594470917</v>
      </c>
      <c r="AF3245" s="79">
        <v>45006.848738425928</v>
      </c>
      <c r="AG3245" s="85">
        <v>45006</v>
      </c>
      <c r="AH3245" s="82" t="s">
        <v>13255</v>
      </c>
      <c r="AI3245" s="77" t="b">
        <v>0</v>
      </c>
      <c r="AJ3245" s="77"/>
      <c r="AK3245" s="77"/>
      <c r="AL3245" s="77"/>
      <c r="AM3245" s="77"/>
      <c r="AN3245" s="77"/>
      <c r="AO3245" s="77"/>
      <c r="AP3245" s="77"/>
      <c r="AQ3245" s="77" t="s">
        <v>16213</v>
      </c>
      <c r="AR3245" s="77"/>
      <c r="AS3245" s="77"/>
      <c r="AT3245" s="77"/>
      <c r="AU3245" s="77"/>
      <c r="AV3245" s="80" t="str">
        <f>HYPERLINK("https://pbs.twimg.com/media/FrxSRihX0BgiDi-.jpg")</f>
        <v>https://pbs.twimg.com/media/FrxSRihX0BgiDi-.jpg</v>
      </c>
      <c r="AW3245" s="82" t="s">
        <v>20011</v>
      </c>
      <c r="AX3245" s="82" t="s">
        <v>20011</v>
      </c>
      <c r="AY3245" s="77"/>
      <c r="AZ3245" s="82" t="s">
        <v>20971</v>
      </c>
      <c r="BA3245" s="82" t="s">
        <v>20971</v>
      </c>
      <c r="BB3245" s="82" t="s">
        <v>20971</v>
      </c>
      <c r="BC3245" s="82" t="s">
        <v>20011</v>
      </c>
      <c r="BD3245" s="82" t="s">
        <v>21597</v>
      </c>
      <c r="BE3245" s="77"/>
      <c r="BF3245" s="77"/>
      <c r="BG3245" s="77"/>
      <c r="BH3245" s="77"/>
      <c r="BI3245" s="77"/>
    </row>
    <row r="3246" spans="1:61" x14ac:dyDescent="0.25">
      <c r="A3246" s="62" t="s">
        <v>1006</v>
      </c>
      <c r="B3246" s="62" t="s">
        <v>1006</v>
      </c>
      <c r="C3246" s="63"/>
      <c r="D3246" s="64"/>
      <c r="E3246" s="65"/>
      <c r="F3246" s="66"/>
      <c r="G3246" s="63"/>
      <c r="H3246" s="67"/>
      <c r="I3246" s="68"/>
      <c r="J3246" s="68"/>
      <c r="K3246" s="32"/>
      <c r="L3246" s="75">
        <v>3246</v>
      </c>
      <c r="M3246" s="75"/>
      <c r="N3246" s="70"/>
      <c r="O3246" s="77" t="s">
        <v>179</v>
      </c>
      <c r="P3246" s="79">
        <v>45006.812951388885</v>
      </c>
      <c r="Q3246" s="77" t="s">
        <v>4452</v>
      </c>
      <c r="R3246" s="77">
        <v>0</v>
      </c>
      <c r="S3246" s="77">
        <v>0</v>
      </c>
      <c r="T3246" s="77">
        <v>0</v>
      </c>
      <c r="U3246" s="77">
        <v>0</v>
      </c>
      <c r="V3246" s="77">
        <v>42</v>
      </c>
      <c r="W3246" s="82" t="s">
        <v>6747</v>
      </c>
      <c r="X3246" s="77"/>
      <c r="Y3246" s="77"/>
      <c r="Z3246" s="77"/>
      <c r="AA3246" s="77" t="s">
        <v>9571</v>
      </c>
      <c r="AB3246" s="77" t="s">
        <v>10130</v>
      </c>
      <c r="AC3246" s="82" t="s">
        <v>10147</v>
      </c>
      <c r="AD3246" s="77" t="s">
        <v>10184</v>
      </c>
      <c r="AE3246" s="80" t="str">
        <f>HYPERLINK("https://twitter.com/imdasmilhas/status/1638261861555621913")</f>
        <v>https://twitter.com/imdasmilhas/status/1638261861555621913</v>
      </c>
      <c r="AF3246" s="79">
        <v>45006.812951388885</v>
      </c>
      <c r="AG3246" s="85">
        <v>45006</v>
      </c>
      <c r="AH3246" s="82" t="s">
        <v>13256</v>
      </c>
      <c r="AI3246" s="77" t="b">
        <v>0</v>
      </c>
      <c r="AJ3246" s="77"/>
      <c r="AK3246" s="77"/>
      <c r="AL3246" s="77"/>
      <c r="AM3246" s="77"/>
      <c r="AN3246" s="77"/>
      <c r="AO3246" s="77"/>
      <c r="AP3246" s="77"/>
      <c r="AQ3246" s="77" t="s">
        <v>16214</v>
      </c>
      <c r="AR3246" s="77"/>
      <c r="AS3246" s="77"/>
      <c r="AT3246" s="77"/>
      <c r="AU3246" s="77"/>
      <c r="AV3246" s="80" t="str">
        <f>HYPERLINK("https://pbs.twimg.com/media/FrxGerHX0AMwKZT.jpg")</f>
        <v>https://pbs.twimg.com/media/FrxGerHX0AMwKZT.jpg</v>
      </c>
      <c r="AW3246" s="82" t="s">
        <v>20012</v>
      </c>
      <c r="AX3246" s="82" t="s">
        <v>20012</v>
      </c>
      <c r="AY3246" s="77"/>
      <c r="AZ3246" s="82" t="s">
        <v>20971</v>
      </c>
      <c r="BA3246" s="82" t="s">
        <v>20971</v>
      </c>
      <c r="BB3246" s="82" t="s">
        <v>20971</v>
      </c>
      <c r="BC3246" s="82" t="s">
        <v>20012</v>
      </c>
      <c r="BD3246" s="82" t="s">
        <v>21597</v>
      </c>
      <c r="BE3246" s="77"/>
      <c r="BF3246" s="77"/>
      <c r="BG3246" s="77"/>
      <c r="BH3246" s="77"/>
      <c r="BI3246" s="77"/>
    </row>
    <row r="3247" spans="1:61" x14ac:dyDescent="0.25">
      <c r="A3247" s="62" t="s">
        <v>1006</v>
      </c>
      <c r="B3247" s="62" t="s">
        <v>1006</v>
      </c>
      <c r="C3247" s="63"/>
      <c r="D3247" s="64"/>
      <c r="E3247" s="65"/>
      <c r="F3247" s="66"/>
      <c r="G3247" s="63"/>
      <c r="H3247" s="67"/>
      <c r="I3247" s="68"/>
      <c r="J3247" s="68"/>
      <c r="K3247" s="32"/>
      <c r="L3247" s="75">
        <v>3247</v>
      </c>
      <c r="M3247" s="75"/>
      <c r="N3247" s="70"/>
      <c r="O3247" s="77" t="s">
        <v>179</v>
      </c>
      <c r="P3247" s="79">
        <v>45006.812893518516</v>
      </c>
      <c r="Q3247" s="77" t="s">
        <v>4453</v>
      </c>
      <c r="R3247" s="77">
        <v>0</v>
      </c>
      <c r="S3247" s="77">
        <v>0</v>
      </c>
      <c r="T3247" s="77">
        <v>0</v>
      </c>
      <c r="U3247" s="77">
        <v>0</v>
      </c>
      <c r="V3247" s="77">
        <v>56</v>
      </c>
      <c r="W3247" s="82" t="s">
        <v>6742</v>
      </c>
      <c r="X3247" s="77"/>
      <c r="Y3247" s="77"/>
      <c r="Z3247" s="77"/>
      <c r="AA3247" s="77" t="s">
        <v>9572</v>
      </c>
      <c r="AB3247" s="77" t="s">
        <v>10130</v>
      </c>
      <c r="AC3247" s="82" t="s">
        <v>10147</v>
      </c>
      <c r="AD3247" s="77" t="s">
        <v>10184</v>
      </c>
      <c r="AE3247" s="80" t="str">
        <f>HYPERLINK("https://twitter.com/imdasmilhas/status/1638261839334199303")</f>
        <v>https://twitter.com/imdasmilhas/status/1638261839334199303</v>
      </c>
      <c r="AF3247" s="79">
        <v>45006.812893518516</v>
      </c>
      <c r="AG3247" s="85">
        <v>45006</v>
      </c>
      <c r="AH3247" s="82" t="s">
        <v>13257</v>
      </c>
      <c r="AI3247" s="77" t="b">
        <v>0</v>
      </c>
      <c r="AJ3247" s="77"/>
      <c r="AK3247" s="77"/>
      <c r="AL3247" s="77"/>
      <c r="AM3247" s="77"/>
      <c r="AN3247" s="77"/>
      <c r="AO3247" s="77"/>
      <c r="AP3247" s="77"/>
      <c r="AQ3247" s="77" t="s">
        <v>16215</v>
      </c>
      <c r="AR3247" s="77"/>
      <c r="AS3247" s="77"/>
      <c r="AT3247" s="77"/>
      <c r="AU3247" s="77"/>
      <c r="AV3247" s="80" t="str">
        <f>HYPERLINK("https://pbs.twimg.com/media/FrxGdcvWcAAmpVV.jpg")</f>
        <v>https://pbs.twimg.com/media/FrxGdcvWcAAmpVV.jpg</v>
      </c>
      <c r="AW3247" s="82" t="s">
        <v>20013</v>
      </c>
      <c r="AX3247" s="82" t="s">
        <v>20013</v>
      </c>
      <c r="AY3247" s="77"/>
      <c r="AZ3247" s="82" t="s">
        <v>20971</v>
      </c>
      <c r="BA3247" s="82" t="s">
        <v>20971</v>
      </c>
      <c r="BB3247" s="82" t="s">
        <v>20971</v>
      </c>
      <c r="BC3247" s="82" t="s">
        <v>20013</v>
      </c>
      <c r="BD3247" s="82" t="s">
        <v>21597</v>
      </c>
      <c r="BE3247" s="77"/>
      <c r="BF3247" s="77"/>
      <c r="BG3247" s="77"/>
      <c r="BH3247" s="77"/>
      <c r="BI3247" s="77"/>
    </row>
    <row r="3248" spans="1:61" x14ac:dyDescent="0.25">
      <c r="A3248" s="62" t="s">
        <v>1006</v>
      </c>
      <c r="B3248" s="62" t="s">
        <v>1006</v>
      </c>
      <c r="C3248" s="63"/>
      <c r="D3248" s="64"/>
      <c r="E3248" s="65"/>
      <c r="F3248" s="66"/>
      <c r="G3248" s="63"/>
      <c r="H3248" s="67"/>
      <c r="I3248" s="68"/>
      <c r="J3248" s="68"/>
      <c r="K3248" s="32"/>
      <c r="L3248" s="75">
        <v>3248</v>
      </c>
      <c r="M3248" s="75"/>
      <c r="N3248" s="70"/>
      <c r="O3248" s="77" t="s">
        <v>179</v>
      </c>
      <c r="P3248" s="79">
        <v>45006.812083333331</v>
      </c>
      <c r="Q3248" s="77" t="s">
        <v>4454</v>
      </c>
      <c r="R3248" s="77">
        <v>0</v>
      </c>
      <c r="S3248" s="77">
        <v>0</v>
      </c>
      <c r="T3248" s="77">
        <v>0</v>
      </c>
      <c r="U3248" s="77">
        <v>0</v>
      </c>
      <c r="V3248" s="77">
        <v>68</v>
      </c>
      <c r="W3248" s="82" t="s">
        <v>6740</v>
      </c>
      <c r="X3248" s="77"/>
      <c r="Y3248" s="77"/>
      <c r="Z3248" s="77"/>
      <c r="AA3248" s="77" t="s">
        <v>9573</v>
      </c>
      <c r="AB3248" s="77" t="s">
        <v>10130</v>
      </c>
      <c r="AC3248" s="82" t="s">
        <v>10147</v>
      </c>
      <c r="AD3248" s="77" t="s">
        <v>10184</v>
      </c>
      <c r="AE3248" s="80" t="str">
        <f>HYPERLINK("https://twitter.com/imdasmilhas/status/1638261545657327617")</f>
        <v>https://twitter.com/imdasmilhas/status/1638261545657327617</v>
      </c>
      <c r="AF3248" s="79">
        <v>45006.812083333331</v>
      </c>
      <c r="AG3248" s="85">
        <v>45006</v>
      </c>
      <c r="AH3248" s="82" t="s">
        <v>13258</v>
      </c>
      <c r="AI3248" s="77" t="b">
        <v>0</v>
      </c>
      <c r="AJ3248" s="77"/>
      <c r="AK3248" s="77"/>
      <c r="AL3248" s="77"/>
      <c r="AM3248" s="77"/>
      <c r="AN3248" s="77"/>
      <c r="AO3248" s="77"/>
      <c r="AP3248" s="77"/>
      <c r="AQ3248" s="77" t="s">
        <v>16216</v>
      </c>
      <c r="AR3248" s="77"/>
      <c r="AS3248" s="77"/>
      <c r="AT3248" s="77"/>
      <c r="AU3248" s="77"/>
      <c r="AV3248" s="80" t="str">
        <f>HYPERLINK("https://pbs.twimg.com/media/FrxGMYpX0A85Yl8.jpg")</f>
        <v>https://pbs.twimg.com/media/FrxGMYpX0A85Yl8.jpg</v>
      </c>
      <c r="AW3248" s="82" t="s">
        <v>20014</v>
      </c>
      <c r="AX3248" s="82" t="s">
        <v>20014</v>
      </c>
      <c r="AY3248" s="77"/>
      <c r="AZ3248" s="82" t="s">
        <v>20971</v>
      </c>
      <c r="BA3248" s="82" t="s">
        <v>20971</v>
      </c>
      <c r="BB3248" s="82" t="s">
        <v>20971</v>
      </c>
      <c r="BC3248" s="82" t="s">
        <v>20014</v>
      </c>
      <c r="BD3248" s="82" t="s">
        <v>21597</v>
      </c>
      <c r="BE3248" s="77"/>
      <c r="BF3248" s="77"/>
      <c r="BG3248" s="77"/>
      <c r="BH3248" s="77"/>
      <c r="BI3248" s="77"/>
    </row>
    <row r="3249" spans="1:61" x14ac:dyDescent="0.25">
      <c r="A3249" s="62" t="s">
        <v>1006</v>
      </c>
      <c r="B3249" s="62" t="s">
        <v>1006</v>
      </c>
      <c r="C3249" s="63"/>
      <c r="D3249" s="64"/>
      <c r="E3249" s="65"/>
      <c r="F3249" s="66"/>
      <c r="G3249" s="63"/>
      <c r="H3249" s="67"/>
      <c r="I3249" s="68"/>
      <c r="J3249" s="68"/>
      <c r="K3249" s="32"/>
      <c r="L3249" s="75">
        <v>3249</v>
      </c>
      <c r="M3249" s="75"/>
      <c r="N3249" s="70"/>
      <c r="O3249" s="77" t="s">
        <v>179</v>
      </c>
      <c r="P3249" s="79">
        <v>45006.811678240738</v>
      </c>
      <c r="Q3249" s="77" t="s">
        <v>4455</v>
      </c>
      <c r="R3249" s="77">
        <v>0</v>
      </c>
      <c r="S3249" s="77">
        <v>0</v>
      </c>
      <c r="T3249" s="77">
        <v>0</v>
      </c>
      <c r="U3249" s="77">
        <v>0</v>
      </c>
      <c r="V3249" s="77">
        <v>112</v>
      </c>
      <c r="W3249" s="82" t="s">
        <v>6740</v>
      </c>
      <c r="X3249" s="77"/>
      <c r="Y3249" s="77"/>
      <c r="Z3249" s="77"/>
      <c r="AA3249" s="77" t="s">
        <v>9574</v>
      </c>
      <c r="AB3249" s="77" t="s">
        <v>10130</v>
      </c>
      <c r="AC3249" s="82" t="s">
        <v>10147</v>
      </c>
      <c r="AD3249" s="77" t="s">
        <v>10184</v>
      </c>
      <c r="AE3249" s="80" t="str">
        <f>HYPERLINK("https://twitter.com/imdasmilhas/status/1638261398978297860")</f>
        <v>https://twitter.com/imdasmilhas/status/1638261398978297860</v>
      </c>
      <c r="AF3249" s="79">
        <v>45006.811678240738</v>
      </c>
      <c r="AG3249" s="85">
        <v>45006</v>
      </c>
      <c r="AH3249" s="82" t="s">
        <v>13259</v>
      </c>
      <c r="AI3249" s="77" t="b">
        <v>0</v>
      </c>
      <c r="AJ3249" s="77"/>
      <c r="AK3249" s="77"/>
      <c r="AL3249" s="77"/>
      <c r="AM3249" s="77"/>
      <c r="AN3249" s="77"/>
      <c r="AO3249" s="77"/>
      <c r="AP3249" s="77"/>
      <c r="AQ3249" s="77" t="s">
        <v>16217</v>
      </c>
      <c r="AR3249" s="77"/>
      <c r="AS3249" s="77"/>
      <c r="AT3249" s="77"/>
      <c r="AU3249" s="77"/>
      <c r="AV3249" s="80" t="str">
        <f>HYPERLINK("https://pbs.twimg.com/media/FrxGD2cXgAAYzfM.jpg")</f>
        <v>https://pbs.twimg.com/media/FrxGD2cXgAAYzfM.jpg</v>
      </c>
      <c r="AW3249" s="82" t="s">
        <v>20015</v>
      </c>
      <c r="AX3249" s="82" t="s">
        <v>20015</v>
      </c>
      <c r="AY3249" s="77"/>
      <c r="AZ3249" s="82" t="s">
        <v>20971</v>
      </c>
      <c r="BA3249" s="82" t="s">
        <v>20971</v>
      </c>
      <c r="BB3249" s="82" t="s">
        <v>20971</v>
      </c>
      <c r="BC3249" s="82" t="s">
        <v>20015</v>
      </c>
      <c r="BD3249" s="82" t="s">
        <v>21597</v>
      </c>
      <c r="BE3249" s="77"/>
      <c r="BF3249" s="77"/>
      <c r="BG3249" s="77"/>
      <c r="BH3249" s="77"/>
      <c r="BI3249" s="77"/>
    </row>
    <row r="3250" spans="1:61" x14ac:dyDescent="0.25">
      <c r="A3250" s="62" t="s">
        <v>1006</v>
      </c>
      <c r="B3250" s="62" t="s">
        <v>1006</v>
      </c>
      <c r="C3250" s="63"/>
      <c r="D3250" s="64"/>
      <c r="E3250" s="65"/>
      <c r="F3250" s="66"/>
      <c r="G3250" s="63"/>
      <c r="H3250" s="67"/>
      <c r="I3250" s="68"/>
      <c r="J3250" s="68"/>
      <c r="K3250" s="32"/>
      <c r="L3250" s="75">
        <v>3250</v>
      </c>
      <c r="M3250" s="75"/>
      <c r="N3250" s="70"/>
      <c r="O3250" s="77" t="s">
        <v>179</v>
      </c>
      <c r="P3250" s="79">
        <v>45006.811180555553</v>
      </c>
      <c r="Q3250" s="77" t="s">
        <v>4456</v>
      </c>
      <c r="R3250" s="77">
        <v>0</v>
      </c>
      <c r="S3250" s="77">
        <v>0</v>
      </c>
      <c r="T3250" s="77">
        <v>0</v>
      </c>
      <c r="U3250" s="77">
        <v>0</v>
      </c>
      <c r="V3250" s="77">
        <v>75</v>
      </c>
      <c r="W3250" s="82" t="s">
        <v>6740</v>
      </c>
      <c r="X3250" s="77"/>
      <c r="Y3250" s="77"/>
      <c r="Z3250" s="77"/>
      <c r="AA3250" s="77" t="s">
        <v>9575</v>
      </c>
      <c r="AB3250" s="77" t="s">
        <v>10130</v>
      </c>
      <c r="AC3250" s="82" t="s">
        <v>10147</v>
      </c>
      <c r="AD3250" s="77" t="s">
        <v>10184</v>
      </c>
      <c r="AE3250" s="80" t="str">
        <f>HYPERLINK("https://twitter.com/imdasmilhas/status/1638261217138561040")</f>
        <v>https://twitter.com/imdasmilhas/status/1638261217138561040</v>
      </c>
      <c r="AF3250" s="79">
        <v>45006.811180555553</v>
      </c>
      <c r="AG3250" s="85">
        <v>45006</v>
      </c>
      <c r="AH3250" s="82" t="s">
        <v>13260</v>
      </c>
      <c r="AI3250" s="77" t="b">
        <v>0</v>
      </c>
      <c r="AJ3250" s="77"/>
      <c r="AK3250" s="77"/>
      <c r="AL3250" s="77"/>
      <c r="AM3250" s="77"/>
      <c r="AN3250" s="77"/>
      <c r="AO3250" s="77"/>
      <c r="AP3250" s="77"/>
      <c r="AQ3250" s="77" t="s">
        <v>16218</v>
      </c>
      <c r="AR3250" s="77"/>
      <c r="AS3250" s="77"/>
      <c r="AT3250" s="77"/>
      <c r="AU3250" s="77"/>
      <c r="AV3250" s="80" t="str">
        <f>HYPERLINK("https://pbs.twimg.com/media/FrxF5PGX0BMYXVg.jpg")</f>
        <v>https://pbs.twimg.com/media/FrxF5PGX0BMYXVg.jpg</v>
      </c>
      <c r="AW3250" s="82" t="s">
        <v>20016</v>
      </c>
      <c r="AX3250" s="82" t="s">
        <v>20016</v>
      </c>
      <c r="AY3250" s="77"/>
      <c r="AZ3250" s="82" t="s">
        <v>20971</v>
      </c>
      <c r="BA3250" s="82" t="s">
        <v>20971</v>
      </c>
      <c r="BB3250" s="82" t="s">
        <v>20971</v>
      </c>
      <c r="BC3250" s="82" t="s">
        <v>20016</v>
      </c>
      <c r="BD3250" s="82" t="s">
        <v>21597</v>
      </c>
      <c r="BE3250" s="77"/>
      <c r="BF3250" s="77"/>
      <c r="BG3250" s="77"/>
      <c r="BH3250" s="77"/>
      <c r="BI3250" s="77"/>
    </row>
    <row r="3251" spans="1:61" x14ac:dyDescent="0.25">
      <c r="A3251" s="62" t="s">
        <v>1006</v>
      </c>
      <c r="B3251" s="62" t="s">
        <v>1006</v>
      </c>
      <c r="C3251" s="63"/>
      <c r="D3251" s="64"/>
      <c r="E3251" s="65"/>
      <c r="F3251" s="66"/>
      <c r="G3251" s="63"/>
      <c r="H3251" s="67"/>
      <c r="I3251" s="68"/>
      <c r="J3251" s="68"/>
      <c r="K3251" s="32"/>
      <c r="L3251" s="75">
        <v>3251</v>
      </c>
      <c r="M3251" s="75"/>
      <c r="N3251" s="70"/>
      <c r="O3251" s="77" t="s">
        <v>179</v>
      </c>
      <c r="P3251" s="79">
        <v>45005.816446759258</v>
      </c>
      <c r="Q3251" s="77" t="s">
        <v>4457</v>
      </c>
      <c r="R3251" s="77">
        <v>0</v>
      </c>
      <c r="S3251" s="77">
        <v>0</v>
      </c>
      <c r="T3251" s="77">
        <v>0</v>
      </c>
      <c r="U3251" s="77">
        <v>0</v>
      </c>
      <c r="V3251" s="77">
        <v>85</v>
      </c>
      <c r="W3251" s="82" t="s">
        <v>6748</v>
      </c>
      <c r="X3251" s="77"/>
      <c r="Y3251" s="77"/>
      <c r="Z3251" s="77"/>
      <c r="AA3251" s="77" t="s">
        <v>9576</v>
      </c>
      <c r="AB3251" s="77" t="s">
        <v>10130</v>
      </c>
      <c r="AC3251" s="82" t="s">
        <v>10147</v>
      </c>
      <c r="AD3251" s="77" t="s">
        <v>10184</v>
      </c>
      <c r="AE3251" s="80" t="str">
        <f>HYPERLINK("https://twitter.com/imdasmilhas/status/1637900737949712384")</f>
        <v>https://twitter.com/imdasmilhas/status/1637900737949712384</v>
      </c>
      <c r="AF3251" s="79">
        <v>45005.816446759258</v>
      </c>
      <c r="AG3251" s="85">
        <v>45005</v>
      </c>
      <c r="AH3251" s="82" t="s">
        <v>13261</v>
      </c>
      <c r="AI3251" s="77" t="b">
        <v>0</v>
      </c>
      <c r="AJ3251" s="77"/>
      <c r="AK3251" s="77"/>
      <c r="AL3251" s="77"/>
      <c r="AM3251" s="77"/>
      <c r="AN3251" s="77"/>
      <c r="AO3251" s="77"/>
      <c r="AP3251" s="77"/>
      <c r="AQ3251" s="77" t="s">
        <v>16219</v>
      </c>
      <c r="AR3251" s="77"/>
      <c r="AS3251" s="77"/>
      <c r="AT3251" s="77"/>
      <c r="AU3251" s="77"/>
      <c r="AV3251" s="80" t="str">
        <f>HYPERLINK("https://pbs.twimg.com/media/Frr-CmpX0AEyV4s.jpg")</f>
        <v>https://pbs.twimg.com/media/Frr-CmpX0AEyV4s.jpg</v>
      </c>
      <c r="AW3251" s="82" t="s">
        <v>20017</v>
      </c>
      <c r="AX3251" s="82" t="s">
        <v>20017</v>
      </c>
      <c r="AY3251" s="77"/>
      <c r="AZ3251" s="82" t="s">
        <v>20971</v>
      </c>
      <c r="BA3251" s="82" t="s">
        <v>20971</v>
      </c>
      <c r="BB3251" s="82" t="s">
        <v>20971</v>
      </c>
      <c r="BC3251" s="82" t="s">
        <v>20017</v>
      </c>
      <c r="BD3251" s="82" t="s">
        <v>21597</v>
      </c>
      <c r="BE3251" s="77"/>
      <c r="BF3251" s="77"/>
      <c r="BG3251" s="77"/>
      <c r="BH3251" s="77"/>
      <c r="BI3251" s="77"/>
    </row>
    <row r="3252" spans="1:61" x14ac:dyDescent="0.25">
      <c r="A3252" s="62" t="s">
        <v>1006</v>
      </c>
      <c r="B3252" s="62" t="s">
        <v>1006</v>
      </c>
      <c r="C3252" s="63"/>
      <c r="D3252" s="64"/>
      <c r="E3252" s="65"/>
      <c r="F3252" s="66"/>
      <c r="G3252" s="63"/>
      <c r="H3252" s="67"/>
      <c r="I3252" s="68"/>
      <c r="J3252" s="68"/>
      <c r="K3252" s="32"/>
      <c r="L3252" s="75">
        <v>3252</v>
      </c>
      <c r="M3252" s="75"/>
      <c r="N3252" s="70"/>
      <c r="O3252" s="77" t="s">
        <v>179</v>
      </c>
      <c r="P3252" s="79">
        <v>45005.751435185186</v>
      </c>
      <c r="Q3252" s="77" t="s">
        <v>4458</v>
      </c>
      <c r="R3252" s="77">
        <v>0</v>
      </c>
      <c r="S3252" s="77">
        <v>0</v>
      </c>
      <c r="T3252" s="77">
        <v>0</v>
      </c>
      <c r="U3252" s="77">
        <v>0</v>
      </c>
      <c r="V3252" s="77">
        <v>71</v>
      </c>
      <c r="W3252" s="82" t="s">
        <v>6740</v>
      </c>
      <c r="X3252" s="77"/>
      <c r="Y3252" s="77"/>
      <c r="Z3252" s="77"/>
      <c r="AA3252" s="77" t="s">
        <v>9577</v>
      </c>
      <c r="AB3252" s="77" t="s">
        <v>10130</v>
      </c>
      <c r="AC3252" s="82" t="s">
        <v>10147</v>
      </c>
      <c r="AD3252" s="77" t="s">
        <v>10184</v>
      </c>
      <c r="AE3252" s="80" t="str">
        <f>HYPERLINK("https://twitter.com/imdasmilhas/status/1637877179282235407")</f>
        <v>https://twitter.com/imdasmilhas/status/1637877179282235407</v>
      </c>
      <c r="AF3252" s="79">
        <v>45005.751435185186</v>
      </c>
      <c r="AG3252" s="85">
        <v>45005</v>
      </c>
      <c r="AH3252" s="82" t="s">
        <v>13262</v>
      </c>
      <c r="AI3252" s="77" t="b">
        <v>0</v>
      </c>
      <c r="AJ3252" s="77"/>
      <c r="AK3252" s="77"/>
      <c r="AL3252" s="77"/>
      <c r="AM3252" s="77"/>
      <c r="AN3252" s="77"/>
      <c r="AO3252" s="77"/>
      <c r="AP3252" s="77"/>
      <c r="AQ3252" s="77" t="s">
        <v>16220</v>
      </c>
      <c r="AR3252" s="77"/>
      <c r="AS3252" s="77"/>
      <c r="AT3252" s="77"/>
      <c r="AU3252" s="77"/>
      <c r="AV3252" s="80" t="str">
        <f>HYPERLINK("https://pbs.twimg.com/media/FrronUkWIA4w1G_.jpg")</f>
        <v>https://pbs.twimg.com/media/FrronUkWIA4w1G_.jpg</v>
      </c>
      <c r="AW3252" s="82" t="s">
        <v>20018</v>
      </c>
      <c r="AX3252" s="82" t="s">
        <v>20018</v>
      </c>
      <c r="AY3252" s="77"/>
      <c r="AZ3252" s="82" t="s">
        <v>20971</v>
      </c>
      <c r="BA3252" s="82" t="s">
        <v>20971</v>
      </c>
      <c r="BB3252" s="82" t="s">
        <v>20971</v>
      </c>
      <c r="BC3252" s="82" t="s">
        <v>20018</v>
      </c>
      <c r="BD3252" s="82" t="s">
        <v>21597</v>
      </c>
      <c r="BE3252" s="77"/>
      <c r="BF3252" s="77"/>
      <c r="BG3252" s="77"/>
      <c r="BH3252" s="77"/>
      <c r="BI3252" s="77"/>
    </row>
    <row r="3253" spans="1:61" x14ac:dyDescent="0.25">
      <c r="A3253" s="62" t="s">
        <v>1006</v>
      </c>
      <c r="B3253" s="62" t="s">
        <v>1006</v>
      </c>
      <c r="C3253" s="63"/>
      <c r="D3253" s="64"/>
      <c r="E3253" s="65"/>
      <c r="F3253" s="66"/>
      <c r="G3253" s="63"/>
      <c r="H3253" s="67"/>
      <c r="I3253" s="68"/>
      <c r="J3253" s="68"/>
      <c r="K3253" s="32"/>
      <c r="L3253" s="75">
        <v>3253</v>
      </c>
      <c r="M3253" s="75"/>
      <c r="N3253" s="70"/>
      <c r="O3253" s="77" t="s">
        <v>179</v>
      </c>
      <c r="P3253" s="79">
        <v>45005.750891203701</v>
      </c>
      <c r="Q3253" s="77" t="s">
        <v>4459</v>
      </c>
      <c r="R3253" s="77">
        <v>0</v>
      </c>
      <c r="S3253" s="77">
        <v>0</v>
      </c>
      <c r="T3253" s="77">
        <v>0</v>
      </c>
      <c r="U3253" s="77">
        <v>0</v>
      </c>
      <c r="V3253" s="77">
        <v>94</v>
      </c>
      <c r="W3253" s="82" t="s">
        <v>6749</v>
      </c>
      <c r="X3253" s="77"/>
      <c r="Y3253" s="77"/>
      <c r="Z3253" s="77"/>
      <c r="AA3253" s="77" t="s">
        <v>9578</v>
      </c>
      <c r="AB3253" s="77" t="s">
        <v>10130</v>
      </c>
      <c r="AC3253" s="82" t="s">
        <v>10147</v>
      </c>
      <c r="AD3253" s="77" t="s">
        <v>10184</v>
      </c>
      <c r="AE3253" s="80" t="str">
        <f>HYPERLINK("https://twitter.com/imdasmilhas/status/1637876984003829768")</f>
        <v>https://twitter.com/imdasmilhas/status/1637876984003829768</v>
      </c>
      <c r="AF3253" s="79">
        <v>45005.750891203701</v>
      </c>
      <c r="AG3253" s="85">
        <v>45005</v>
      </c>
      <c r="AH3253" s="82" t="s">
        <v>13263</v>
      </c>
      <c r="AI3253" s="77" t="b">
        <v>0</v>
      </c>
      <c r="AJ3253" s="77"/>
      <c r="AK3253" s="77"/>
      <c r="AL3253" s="77"/>
      <c r="AM3253" s="77"/>
      <c r="AN3253" s="77"/>
      <c r="AO3253" s="77"/>
      <c r="AP3253" s="77"/>
      <c r="AQ3253" s="77" t="s">
        <v>16221</v>
      </c>
      <c r="AR3253" s="77"/>
      <c r="AS3253" s="77"/>
      <c r="AT3253" s="77"/>
      <c r="AU3253" s="77"/>
      <c r="AV3253" s="80" t="str">
        <f>HYPERLINK("https://pbs.twimg.com/media/Frrob9RWIAcLjAN.jpg")</f>
        <v>https://pbs.twimg.com/media/Frrob9RWIAcLjAN.jpg</v>
      </c>
      <c r="AW3253" s="82" t="s">
        <v>20019</v>
      </c>
      <c r="AX3253" s="82" t="s">
        <v>20019</v>
      </c>
      <c r="AY3253" s="77"/>
      <c r="AZ3253" s="82" t="s">
        <v>20971</v>
      </c>
      <c r="BA3253" s="82" t="s">
        <v>20971</v>
      </c>
      <c r="BB3253" s="82" t="s">
        <v>20971</v>
      </c>
      <c r="BC3253" s="82" t="s">
        <v>20019</v>
      </c>
      <c r="BD3253" s="82" t="s">
        <v>21597</v>
      </c>
      <c r="BE3253" s="77"/>
      <c r="BF3253" s="77"/>
      <c r="BG3253" s="77"/>
      <c r="BH3253" s="77"/>
      <c r="BI3253" s="77"/>
    </row>
    <row r="3254" spans="1:61" x14ac:dyDescent="0.25">
      <c r="A3254" s="62" t="s">
        <v>1006</v>
      </c>
      <c r="B3254" s="62" t="s">
        <v>1006</v>
      </c>
      <c r="C3254" s="63"/>
      <c r="D3254" s="64"/>
      <c r="E3254" s="65"/>
      <c r="F3254" s="66"/>
      <c r="G3254" s="63"/>
      <c r="H3254" s="67"/>
      <c r="I3254" s="68"/>
      <c r="J3254" s="68"/>
      <c r="K3254" s="32"/>
      <c r="L3254" s="75">
        <v>3254</v>
      </c>
      <c r="M3254" s="75"/>
      <c r="N3254" s="70"/>
      <c r="O3254" s="77" t="s">
        <v>179</v>
      </c>
      <c r="P3254" s="79">
        <v>45005.750648148147</v>
      </c>
      <c r="Q3254" s="77" t="s">
        <v>4460</v>
      </c>
      <c r="R3254" s="77">
        <v>0</v>
      </c>
      <c r="S3254" s="77">
        <v>0</v>
      </c>
      <c r="T3254" s="77">
        <v>0</v>
      </c>
      <c r="U3254" s="77">
        <v>0</v>
      </c>
      <c r="V3254" s="77">
        <v>77</v>
      </c>
      <c r="W3254" s="82" t="s">
        <v>6750</v>
      </c>
      <c r="X3254" s="77"/>
      <c r="Y3254" s="77"/>
      <c r="Z3254" s="77"/>
      <c r="AA3254" s="77" t="s">
        <v>9579</v>
      </c>
      <c r="AB3254" s="77" t="s">
        <v>10130</v>
      </c>
      <c r="AC3254" s="82" t="s">
        <v>10147</v>
      </c>
      <c r="AD3254" s="77" t="s">
        <v>10184</v>
      </c>
      <c r="AE3254" s="80" t="str">
        <f>HYPERLINK("https://twitter.com/imdasmilhas/status/1637876895877414912")</f>
        <v>https://twitter.com/imdasmilhas/status/1637876895877414912</v>
      </c>
      <c r="AF3254" s="79">
        <v>45005.750648148147</v>
      </c>
      <c r="AG3254" s="85">
        <v>45005</v>
      </c>
      <c r="AH3254" s="82" t="s">
        <v>10424</v>
      </c>
      <c r="AI3254" s="77" t="b">
        <v>0</v>
      </c>
      <c r="AJ3254" s="77"/>
      <c r="AK3254" s="77"/>
      <c r="AL3254" s="77"/>
      <c r="AM3254" s="77"/>
      <c r="AN3254" s="77"/>
      <c r="AO3254" s="77"/>
      <c r="AP3254" s="77"/>
      <c r="AQ3254" s="77" t="s">
        <v>16222</v>
      </c>
      <c r="AR3254" s="77"/>
      <c r="AS3254" s="77"/>
      <c r="AT3254" s="77"/>
      <c r="AU3254" s="77"/>
      <c r="AV3254" s="80" t="str">
        <f>HYPERLINK("https://pbs.twimg.com/media/FrroW02WIA0sKnk.jpg")</f>
        <v>https://pbs.twimg.com/media/FrroW02WIA0sKnk.jpg</v>
      </c>
      <c r="AW3254" s="82" t="s">
        <v>20020</v>
      </c>
      <c r="AX3254" s="82" t="s">
        <v>20020</v>
      </c>
      <c r="AY3254" s="77"/>
      <c r="AZ3254" s="82" t="s">
        <v>20971</v>
      </c>
      <c r="BA3254" s="82" t="s">
        <v>20971</v>
      </c>
      <c r="BB3254" s="82" t="s">
        <v>20971</v>
      </c>
      <c r="BC3254" s="82" t="s">
        <v>20020</v>
      </c>
      <c r="BD3254" s="82" t="s">
        <v>21597</v>
      </c>
      <c r="BE3254" s="77"/>
      <c r="BF3254" s="77"/>
      <c r="BG3254" s="77"/>
      <c r="BH3254" s="77"/>
      <c r="BI3254" s="77"/>
    </row>
    <row r="3255" spans="1:61" x14ac:dyDescent="0.25">
      <c r="A3255" s="62" t="s">
        <v>1006</v>
      </c>
      <c r="B3255" s="62" t="s">
        <v>1006</v>
      </c>
      <c r="C3255" s="63"/>
      <c r="D3255" s="64"/>
      <c r="E3255" s="65"/>
      <c r="F3255" s="66"/>
      <c r="G3255" s="63"/>
      <c r="H3255" s="67"/>
      <c r="I3255" s="68"/>
      <c r="J3255" s="68"/>
      <c r="K3255" s="32"/>
      <c r="L3255" s="75">
        <v>3255</v>
      </c>
      <c r="M3255" s="75"/>
      <c r="N3255" s="70"/>
      <c r="O3255" s="77" t="s">
        <v>179</v>
      </c>
      <c r="P3255" s="79">
        <v>45005.749212962961</v>
      </c>
      <c r="Q3255" s="77" t="s">
        <v>4461</v>
      </c>
      <c r="R3255" s="77">
        <v>0</v>
      </c>
      <c r="S3255" s="77">
        <v>0</v>
      </c>
      <c r="T3255" s="77">
        <v>0</v>
      </c>
      <c r="U3255" s="77">
        <v>0</v>
      </c>
      <c r="V3255" s="77">
        <v>46</v>
      </c>
      <c r="W3255" s="82" t="s">
        <v>6742</v>
      </c>
      <c r="X3255" s="77"/>
      <c r="Y3255" s="77"/>
      <c r="Z3255" s="77"/>
      <c r="AA3255" s="77" t="s">
        <v>9580</v>
      </c>
      <c r="AB3255" s="77" t="s">
        <v>10130</v>
      </c>
      <c r="AC3255" s="82" t="s">
        <v>10147</v>
      </c>
      <c r="AD3255" s="77" t="s">
        <v>10184</v>
      </c>
      <c r="AE3255" s="80" t="str">
        <f>HYPERLINK("https://twitter.com/imdasmilhas/status/1637876373996945446")</f>
        <v>https://twitter.com/imdasmilhas/status/1637876373996945446</v>
      </c>
      <c r="AF3255" s="79">
        <v>45005.749212962961</v>
      </c>
      <c r="AG3255" s="85">
        <v>45005</v>
      </c>
      <c r="AH3255" s="82" t="s">
        <v>13264</v>
      </c>
      <c r="AI3255" s="77" t="b">
        <v>0</v>
      </c>
      <c r="AJ3255" s="77"/>
      <c r="AK3255" s="77"/>
      <c r="AL3255" s="77"/>
      <c r="AM3255" s="77"/>
      <c r="AN3255" s="77"/>
      <c r="AO3255" s="77"/>
      <c r="AP3255" s="77"/>
      <c r="AQ3255" s="77" t="s">
        <v>16223</v>
      </c>
      <c r="AR3255" s="77"/>
      <c r="AS3255" s="77"/>
      <c r="AT3255" s="77"/>
      <c r="AU3255" s="77"/>
      <c r="AV3255" s="80" t="str">
        <f>HYPERLINK("https://pbs.twimg.com/media/Frrn4dCXoAAnvqM.jpg")</f>
        <v>https://pbs.twimg.com/media/Frrn4dCXoAAnvqM.jpg</v>
      </c>
      <c r="AW3255" s="82" t="s">
        <v>20021</v>
      </c>
      <c r="AX3255" s="82" t="s">
        <v>20021</v>
      </c>
      <c r="AY3255" s="77"/>
      <c r="AZ3255" s="82" t="s">
        <v>20971</v>
      </c>
      <c r="BA3255" s="82" t="s">
        <v>20971</v>
      </c>
      <c r="BB3255" s="82" t="s">
        <v>20971</v>
      </c>
      <c r="BC3255" s="82" t="s">
        <v>20021</v>
      </c>
      <c r="BD3255" s="82" t="s">
        <v>21597</v>
      </c>
      <c r="BE3255" s="77"/>
      <c r="BF3255" s="77"/>
      <c r="BG3255" s="77"/>
      <c r="BH3255" s="77"/>
      <c r="BI3255" s="77"/>
    </row>
    <row r="3256" spans="1:61" x14ac:dyDescent="0.25">
      <c r="A3256" s="62" t="s">
        <v>1006</v>
      </c>
      <c r="B3256" s="62" t="s">
        <v>1006</v>
      </c>
      <c r="C3256" s="63"/>
      <c r="D3256" s="64"/>
      <c r="E3256" s="65"/>
      <c r="F3256" s="66"/>
      <c r="G3256" s="63"/>
      <c r="H3256" s="67"/>
      <c r="I3256" s="68"/>
      <c r="J3256" s="68"/>
      <c r="K3256" s="32"/>
      <c r="L3256" s="75">
        <v>3256</v>
      </c>
      <c r="M3256" s="75"/>
      <c r="N3256" s="70"/>
      <c r="O3256" s="77" t="s">
        <v>179</v>
      </c>
      <c r="P3256" s="79">
        <v>45005.74863425926</v>
      </c>
      <c r="Q3256" s="77" t="s">
        <v>4462</v>
      </c>
      <c r="R3256" s="77">
        <v>0</v>
      </c>
      <c r="S3256" s="77">
        <v>0</v>
      </c>
      <c r="T3256" s="77">
        <v>0</v>
      </c>
      <c r="U3256" s="77">
        <v>0</v>
      </c>
      <c r="V3256" s="77">
        <v>36</v>
      </c>
      <c r="W3256" s="82" t="s">
        <v>6740</v>
      </c>
      <c r="X3256" s="77"/>
      <c r="Y3256" s="77"/>
      <c r="Z3256" s="77"/>
      <c r="AA3256" s="77" t="s">
        <v>9581</v>
      </c>
      <c r="AB3256" s="77" t="s">
        <v>10130</v>
      </c>
      <c r="AC3256" s="82" t="s">
        <v>10147</v>
      </c>
      <c r="AD3256" s="77" t="s">
        <v>10184</v>
      </c>
      <c r="AE3256" s="80" t="str">
        <f>HYPERLINK("https://twitter.com/imdasmilhas/status/1637876162415271937")</f>
        <v>https://twitter.com/imdasmilhas/status/1637876162415271937</v>
      </c>
      <c r="AF3256" s="79">
        <v>45005.74863425926</v>
      </c>
      <c r="AG3256" s="85">
        <v>45005</v>
      </c>
      <c r="AH3256" s="82" t="s">
        <v>13265</v>
      </c>
      <c r="AI3256" s="77" t="b">
        <v>0</v>
      </c>
      <c r="AJ3256" s="77"/>
      <c r="AK3256" s="77"/>
      <c r="AL3256" s="77"/>
      <c r="AM3256" s="77"/>
      <c r="AN3256" s="77"/>
      <c r="AO3256" s="77"/>
      <c r="AP3256" s="77"/>
      <c r="AQ3256" s="77" t="s">
        <v>16224</v>
      </c>
      <c r="AR3256" s="77"/>
      <c r="AS3256" s="77"/>
      <c r="AT3256" s="77"/>
      <c r="AU3256" s="77"/>
      <c r="AV3256" s="80" t="str">
        <f>HYPERLINK("https://pbs.twimg.com/media/FrrnsJGWYAAq95u.jpg")</f>
        <v>https://pbs.twimg.com/media/FrrnsJGWYAAq95u.jpg</v>
      </c>
      <c r="AW3256" s="82" t="s">
        <v>20022</v>
      </c>
      <c r="AX3256" s="82" t="s">
        <v>20022</v>
      </c>
      <c r="AY3256" s="77"/>
      <c r="AZ3256" s="82" t="s">
        <v>20971</v>
      </c>
      <c r="BA3256" s="82" t="s">
        <v>20971</v>
      </c>
      <c r="BB3256" s="82" t="s">
        <v>20971</v>
      </c>
      <c r="BC3256" s="82" t="s">
        <v>20022</v>
      </c>
      <c r="BD3256" s="82" t="s">
        <v>21597</v>
      </c>
      <c r="BE3256" s="77"/>
      <c r="BF3256" s="77"/>
      <c r="BG3256" s="77"/>
      <c r="BH3256" s="77"/>
      <c r="BI3256" s="77"/>
    </row>
    <row r="3257" spans="1:61" x14ac:dyDescent="0.25">
      <c r="A3257" s="62" t="s">
        <v>1006</v>
      </c>
      <c r="B3257" s="62" t="s">
        <v>1006</v>
      </c>
      <c r="C3257" s="63"/>
      <c r="D3257" s="64"/>
      <c r="E3257" s="65"/>
      <c r="F3257" s="66"/>
      <c r="G3257" s="63"/>
      <c r="H3257" s="67"/>
      <c r="I3257" s="68"/>
      <c r="J3257" s="68"/>
      <c r="K3257" s="32"/>
      <c r="L3257" s="75">
        <v>3257</v>
      </c>
      <c r="M3257" s="75"/>
      <c r="N3257" s="70"/>
      <c r="O3257" s="77" t="s">
        <v>179</v>
      </c>
      <c r="P3257" s="79">
        <v>45120.770011574074</v>
      </c>
      <c r="Q3257" s="77" t="s">
        <v>4463</v>
      </c>
      <c r="R3257" s="77">
        <v>0</v>
      </c>
      <c r="S3257" s="77">
        <v>0</v>
      </c>
      <c r="T3257" s="77">
        <v>0</v>
      </c>
      <c r="U3257" s="77">
        <v>0</v>
      </c>
      <c r="V3257" s="77">
        <v>98</v>
      </c>
      <c r="W3257" s="82" t="s">
        <v>6740</v>
      </c>
      <c r="X3257" s="77"/>
      <c r="Y3257" s="77"/>
      <c r="Z3257" s="77"/>
      <c r="AA3257" s="77" t="s">
        <v>9582</v>
      </c>
      <c r="AB3257" s="77" t="s">
        <v>10130</v>
      </c>
      <c r="AC3257" s="82" t="s">
        <v>10147</v>
      </c>
      <c r="AD3257" s="77" t="s">
        <v>10184</v>
      </c>
      <c r="AE3257" s="80" t="str">
        <f>HYPERLINK("https://twitter.com/imdasmilhas/status/1679558514643968006")</f>
        <v>https://twitter.com/imdasmilhas/status/1679558514643968006</v>
      </c>
      <c r="AF3257" s="79">
        <v>45120.770011574074</v>
      </c>
      <c r="AG3257" s="85">
        <v>45120</v>
      </c>
      <c r="AH3257" s="82" t="s">
        <v>13266</v>
      </c>
      <c r="AI3257" s="77" t="b">
        <v>0</v>
      </c>
      <c r="AJ3257" s="77"/>
      <c r="AK3257" s="77"/>
      <c r="AL3257" s="77"/>
      <c r="AM3257" s="77"/>
      <c r="AN3257" s="77"/>
      <c r="AO3257" s="77"/>
      <c r="AP3257" s="77"/>
      <c r="AQ3257" s="77" t="s">
        <v>16225</v>
      </c>
      <c r="AR3257" s="77"/>
      <c r="AS3257" s="77"/>
      <c r="AT3257" s="77"/>
      <c r="AU3257" s="77"/>
      <c r="AV3257" s="80" t="str">
        <f>HYPERLINK("https://pbs.twimg.com/media/F079kYuXoAAz0t1.jpg")</f>
        <v>https://pbs.twimg.com/media/F079kYuXoAAz0t1.jpg</v>
      </c>
      <c r="AW3257" s="82" t="s">
        <v>20023</v>
      </c>
      <c r="AX3257" s="82" t="s">
        <v>20023</v>
      </c>
      <c r="AY3257" s="77"/>
      <c r="AZ3257" s="82" t="s">
        <v>20971</v>
      </c>
      <c r="BA3257" s="82" t="s">
        <v>20971</v>
      </c>
      <c r="BB3257" s="82" t="s">
        <v>20971</v>
      </c>
      <c r="BC3257" s="82" t="s">
        <v>20023</v>
      </c>
      <c r="BD3257" s="82" t="s">
        <v>21597</v>
      </c>
      <c r="BE3257" s="77"/>
      <c r="BF3257" s="77"/>
      <c r="BG3257" s="77"/>
      <c r="BH3257" s="77"/>
      <c r="BI3257" s="77"/>
    </row>
    <row r="3258" spans="1:61" x14ac:dyDescent="0.25">
      <c r="A3258" s="62" t="s">
        <v>1006</v>
      </c>
      <c r="B3258" s="62" t="s">
        <v>1006</v>
      </c>
      <c r="C3258" s="63"/>
      <c r="D3258" s="64"/>
      <c r="E3258" s="65"/>
      <c r="F3258" s="66"/>
      <c r="G3258" s="63"/>
      <c r="H3258" s="67"/>
      <c r="I3258" s="68"/>
      <c r="J3258" s="68"/>
      <c r="K3258" s="32"/>
      <c r="L3258" s="75">
        <v>3258</v>
      </c>
      <c r="M3258" s="75"/>
      <c r="N3258" s="70"/>
      <c r="O3258" s="77" t="s">
        <v>179</v>
      </c>
      <c r="P3258" s="79">
        <v>45120.769768518519</v>
      </c>
      <c r="Q3258" s="77" t="s">
        <v>4464</v>
      </c>
      <c r="R3258" s="77">
        <v>0</v>
      </c>
      <c r="S3258" s="77">
        <v>0</v>
      </c>
      <c r="T3258" s="77">
        <v>0</v>
      </c>
      <c r="U3258" s="77">
        <v>0</v>
      </c>
      <c r="V3258" s="77">
        <v>93</v>
      </c>
      <c r="W3258" s="82" t="s">
        <v>6740</v>
      </c>
      <c r="X3258" s="77"/>
      <c r="Y3258" s="77"/>
      <c r="Z3258" s="77"/>
      <c r="AA3258" s="77" t="s">
        <v>9583</v>
      </c>
      <c r="AB3258" s="77" t="s">
        <v>10130</v>
      </c>
      <c r="AC3258" s="82" t="s">
        <v>10147</v>
      </c>
      <c r="AD3258" s="77" t="s">
        <v>10184</v>
      </c>
      <c r="AE3258" s="80" t="str">
        <f>HYPERLINK("https://twitter.com/imdasmilhas/status/1679558426790076426")</f>
        <v>https://twitter.com/imdasmilhas/status/1679558426790076426</v>
      </c>
      <c r="AF3258" s="79">
        <v>45120.769768518519</v>
      </c>
      <c r="AG3258" s="85">
        <v>45120</v>
      </c>
      <c r="AH3258" s="82" t="s">
        <v>13267</v>
      </c>
      <c r="AI3258" s="77" t="b">
        <v>0</v>
      </c>
      <c r="AJ3258" s="77"/>
      <c r="AK3258" s="77"/>
      <c r="AL3258" s="77"/>
      <c r="AM3258" s="77"/>
      <c r="AN3258" s="77"/>
      <c r="AO3258" s="77"/>
      <c r="AP3258" s="77"/>
      <c r="AQ3258" s="77" t="s">
        <v>16226</v>
      </c>
      <c r="AR3258" s="77"/>
      <c r="AS3258" s="77"/>
      <c r="AT3258" s="77"/>
      <c r="AU3258" s="77"/>
      <c r="AV3258" s="80" t="str">
        <f>HYPERLINK("https://pbs.twimg.com/media/F079fPaWIAEKJpe.jpg")</f>
        <v>https://pbs.twimg.com/media/F079fPaWIAEKJpe.jpg</v>
      </c>
      <c r="AW3258" s="82" t="s">
        <v>20024</v>
      </c>
      <c r="AX3258" s="82" t="s">
        <v>20024</v>
      </c>
      <c r="AY3258" s="77"/>
      <c r="AZ3258" s="82" t="s">
        <v>20971</v>
      </c>
      <c r="BA3258" s="82" t="s">
        <v>20971</v>
      </c>
      <c r="BB3258" s="82" t="s">
        <v>20971</v>
      </c>
      <c r="BC3258" s="82" t="s">
        <v>20024</v>
      </c>
      <c r="BD3258" s="82" t="s">
        <v>21597</v>
      </c>
      <c r="BE3258" s="77"/>
      <c r="BF3258" s="77"/>
      <c r="BG3258" s="77"/>
      <c r="BH3258" s="77"/>
      <c r="BI3258" s="77"/>
    </row>
    <row r="3259" spans="1:61" x14ac:dyDescent="0.25">
      <c r="A3259" s="62" t="s">
        <v>1006</v>
      </c>
      <c r="B3259" s="62" t="s">
        <v>1006</v>
      </c>
      <c r="C3259" s="63"/>
      <c r="D3259" s="64"/>
      <c r="E3259" s="65"/>
      <c r="F3259" s="66"/>
      <c r="G3259" s="63"/>
      <c r="H3259" s="67"/>
      <c r="I3259" s="68"/>
      <c r="J3259" s="68"/>
      <c r="K3259" s="32"/>
      <c r="L3259" s="75">
        <v>3259</v>
      </c>
      <c r="M3259" s="75"/>
      <c r="N3259" s="70"/>
      <c r="O3259" s="77" t="s">
        <v>179</v>
      </c>
      <c r="P3259" s="79">
        <v>45120.769074074073</v>
      </c>
      <c r="Q3259" s="77" t="s">
        <v>4465</v>
      </c>
      <c r="R3259" s="77">
        <v>0</v>
      </c>
      <c r="S3259" s="77">
        <v>0</v>
      </c>
      <c r="T3259" s="77">
        <v>0</v>
      </c>
      <c r="U3259" s="77">
        <v>0</v>
      </c>
      <c r="V3259" s="77">
        <v>84</v>
      </c>
      <c r="W3259" s="82" t="s">
        <v>6740</v>
      </c>
      <c r="X3259" s="77"/>
      <c r="Y3259" s="77"/>
      <c r="Z3259" s="77"/>
      <c r="AA3259" s="77" t="s">
        <v>9584</v>
      </c>
      <c r="AB3259" s="77" t="s">
        <v>10130</v>
      </c>
      <c r="AC3259" s="82" t="s">
        <v>10147</v>
      </c>
      <c r="AD3259" s="77" t="s">
        <v>10184</v>
      </c>
      <c r="AE3259" s="80" t="str">
        <f>HYPERLINK("https://twitter.com/imdasmilhas/status/1679558174674657282")</f>
        <v>https://twitter.com/imdasmilhas/status/1679558174674657282</v>
      </c>
      <c r="AF3259" s="79">
        <v>45120.769074074073</v>
      </c>
      <c r="AG3259" s="85">
        <v>45120</v>
      </c>
      <c r="AH3259" s="82" t="s">
        <v>13268</v>
      </c>
      <c r="AI3259" s="77" t="b">
        <v>0</v>
      </c>
      <c r="AJ3259" s="77"/>
      <c r="AK3259" s="77"/>
      <c r="AL3259" s="77"/>
      <c r="AM3259" s="77"/>
      <c r="AN3259" s="77"/>
      <c r="AO3259" s="77"/>
      <c r="AP3259" s="77"/>
      <c r="AQ3259" s="77" t="s">
        <v>16227</v>
      </c>
      <c r="AR3259" s="77"/>
      <c r="AS3259" s="77"/>
      <c r="AT3259" s="77"/>
      <c r="AU3259" s="77"/>
      <c r="AV3259" s="80" t="str">
        <f>HYPERLINK("https://pbs.twimg.com/media/F079Qi2WIAwQZl4.jpg")</f>
        <v>https://pbs.twimg.com/media/F079Qi2WIAwQZl4.jpg</v>
      </c>
      <c r="AW3259" s="82" t="s">
        <v>20025</v>
      </c>
      <c r="AX3259" s="82" t="s">
        <v>20025</v>
      </c>
      <c r="AY3259" s="77"/>
      <c r="AZ3259" s="82" t="s">
        <v>20971</v>
      </c>
      <c r="BA3259" s="82" t="s">
        <v>20971</v>
      </c>
      <c r="BB3259" s="82" t="s">
        <v>20971</v>
      </c>
      <c r="BC3259" s="82" t="s">
        <v>20025</v>
      </c>
      <c r="BD3259" s="82" t="s">
        <v>21597</v>
      </c>
      <c r="BE3259" s="77"/>
      <c r="BF3259" s="77"/>
      <c r="BG3259" s="77"/>
      <c r="BH3259" s="77"/>
      <c r="BI3259" s="77"/>
    </row>
    <row r="3260" spans="1:61" x14ac:dyDescent="0.25">
      <c r="A3260" s="62" t="s">
        <v>1006</v>
      </c>
      <c r="B3260" s="62" t="s">
        <v>1006</v>
      </c>
      <c r="C3260" s="63"/>
      <c r="D3260" s="64"/>
      <c r="E3260" s="65"/>
      <c r="F3260" s="66"/>
      <c r="G3260" s="63"/>
      <c r="H3260" s="67"/>
      <c r="I3260" s="68"/>
      <c r="J3260" s="68"/>
      <c r="K3260" s="32"/>
      <c r="L3260" s="75">
        <v>3260</v>
      </c>
      <c r="M3260" s="75"/>
      <c r="N3260" s="70"/>
      <c r="O3260" s="77" t="s">
        <v>179</v>
      </c>
      <c r="P3260" s="79">
        <v>45119.717592592591</v>
      </c>
      <c r="Q3260" s="77" t="s">
        <v>4466</v>
      </c>
      <c r="R3260" s="77">
        <v>0</v>
      </c>
      <c r="S3260" s="77">
        <v>0</v>
      </c>
      <c r="T3260" s="77">
        <v>0</v>
      </c>
      <c r="U3260" s="77">
        <v>0</v>
      </c>
      <c r="V3260" s="77">
        <v>150</v>
      </c>
      <c r="W3260" s="82" t="s">
        <v>6740</v>
      </c>
      <c r="X3260" s="77"/>
      <c r="Y3260" s="77"/>
      <c r="Z3260" s="77"/>
      <c r="AA3260" s="77" t="s">
        <v>9585</v>
      </c>
      <c r="AB3260" s="77" t="s">
        <v>10130</v>
      </c>
      <c r="AC3260" s="82" t="s">
        <v>10147</v>
      </c>
      <c r="AD3260" s="77" t="s">
        <v>10184</v>
      </c>
      <c r="AE3260" s="80" t="str">
        <f>HYPERLINK("https://twitter.com/imdasmilhas/status/1679177133179154433")</f>
        <v>https://twitter.com/imdasmilhas/status/1679177133179154433</v>
      </c>
      <c r="AF3260" s="79">
        <v>45119.717592592591</v>
      </c>
      <c r="AG3260" s="85">
        <v>45119</v>
      </c>
      <c r="AH3260" s="82" t="s">
        <v>13269</v>
      </c>
      <c r="AI3260" s="77" t="b">
        <v>0</v>
      </c>
      <c r="AJ3260" s="77"/>
      <c r="AK3260" s="77"/>
      <c r="AL3260" s="77"/>
      <c r="AM3260" s="77"/>
      <c r="AN3260" s="77"/>
      <c r="AO3260" s="77"/>
      <c r="AP3260" s="77"/>
      <c r="AQ3260" s="77" t="s">
        <v>16228</v>
      </c>
      <c r="AR3260" s="77"/>
      <c r="AS3260" s="77"/>
      <c r="AT3260" s="77"/>
      <c r="AU3260" s="77"/>
      <c r="AV3260" s="80" t="str">
        <f>HYPERLINK("https://pbs.twimg.com/media/F02is_HXwA0Pafj.jpg")</f>
        <v>https://pbs.twimg.com/media/F02is_HXwA0Pafj.jpg</v>
      </c>
      <c r="AW3260" s="82" t="s">
        <v>20026</v>
      </c>
      <c r="AX3260" s="82" t="s">
        <v>20026</v>
      </c>
      <c r="AY3260" s="77"/>
      <c r="AZ3260" s="82" t="s">
        <v>20971</v>
      </c>
      <c r="BA3260" s="82" t="s">
        <v>20971</v>
      </c>
      <c r="BB3260" s="82" t="s">
        <v>20971</v>
      </c>
      <c r="BC3260" s="82" t="s">
        <v>20026</v>
      </c>
      <c r="BD3260" s="82" t="s">
        <v>21597</v>
      </c>
      <c r="BE3260" s="77"/>
      <c r="BF3260" s="77"/>
      <c r="BG3260" s="77"/>
      <c r="BH3260" s="77"/>
      <c r="BI3260" s="77"/>
    </row>
    <row r="3261" spans="1:61" x14ac:dyDescent="0.25">
      <c r="A3261" s="62" t="s">
        <v>1006</v>
      </c>
      <c r="B3261" s="62" t="s">
        <v>1006</v>
      </c>
      <c r="C3261" s="63"/>
      <c r="D3261" s="64"/>
      <c r="E3261" s="65"/>
      <c r="F3261" s="66"/>
      <c r="G3261" s="63"/>
      <c r="H3261" s="67"/>
      <c r="I3261" s="68"/>
      <c r="J3261" s="68"/>
      <c r="K3261" s="32"/>
      <c r="L3261" s="75">
        <v>3261</v>
      </c>
      <c r="M3261" s="75"/>
      <c r="N3261" s="70"/>
      <c r="O3261" s="77" t="s">
        <v>179</v>
      </c>
      <c r="P3261" s="79">
        <v>45119.71733796296</v>
      </c>
      <c r="Q3261" s="77" t="s">
        <v>4467</v>
      </c>
      <c r="R3261" s="77">
        <v>0</v>
      </c>
      <c r="S3261" s="77">
        <v>0</v>
      </c>
      <c r="T3261" s="77">
        <v>0</v>
      </c>
      <c r="U3261" s="77">
        <v>0</v>
      </c>
      <c r="V3261" s="77">
        <v>95</v>
      </c>
      <c r="W3261" s="82" t="s">
        <v>6740</v>
      </c>
      <c r="X3261" s="77"/>
      <c r="Y3261" s="77"/>
      <c r="Z3261" s="77"/>
      <c r="AA3261" s="77" t="s">
        <v>9586</v>
      </c>
      <c r="AB3261" s="77" t="s">
        <v>10130</v>
      </c>
      <c r="AC3261" s="82" t="s">
        <v>10147</v>
      </c>
      <c r="AD3261" s="77" t="s">
        <v>10184</v>
      </c>
      <c r="AE3261" s="80" t="str">
        <f>HYPERLINK("https://twitter.com/imdasmilhas/status/1679177040061415424")</f>
        <v>https://twitter.com/imdasmilhas/status/1679177040061415424</v>
      </c>
      <c r="AF3261" s="79">
        <v>45119.71733796296</v>
      </c>
      <c r="AG3261" s="85">
        <v>45119</v>
      </c>
      <c r="AH3261" s="82" t="s">
        <v>13270</v>
      </c>
      <c r="AI3261" s="77" t="b">
        <v>0</v>
      </c>
      <c r="AJ3261" s="77"/>
      <c r="AK3261" s="77"/>
      <c r="AL3261" s="77"/>
      <c r="AM3261" s="77"/>
      <c r="AN3261" s="77"/>
      <c r="AO3261" s="77"/>
      <c r="AP3261" s="77"/>
      <c r="AQ3261" s="77" t="s">
        <v>16229</v>
      </c>
      <c r="AR3261" s="77"/>
      <c r="AS3261" s="77"/>
      <c r="AT3261" s="77"/>
      <c r="AU3261" s="77"/>
      <c r="AV3261" s="80" t="str">
        <f>HYPERLINK("https://pbs.twimg.com/media/F02inmxWAAA_6JN.jpg")</f>
        <v>https://pbs.twimg.com/media/F02inmxWAAA_6JN.jpg</v>
      </c>
      <c r="AW3261" s="82" t="s">
        <v>20027</v>
      </c>
      <c r="AX3261" s="82" t="s">
        <v>20027</v>
      </c>
      <c r="AY3261" s="77"/>
      <c r="AZ3261" s="82" t="s">
        <v>20971</v>
      </c>
      <c r="BA3261" s="82" t="s">
        <v>20971</v>
      </c>
      <c r="BB3261" s="82" t="s">
        <v>20971</v>
      </c>
      <c r="BC3261" s="82" t="s">
        <v>20027</v>
      </c>
      <c r="BD3261" s="82" t="s">
        <v>21597</v>
      </c>
      <c r="BE3261" s="77"/>
      <c r="BF3261" s="77"/>
      <c r="BG3261" s="77"/>
      <c r="BH3261" s="77"/>
      <c r="BI3261" s="77"/>
    </row>
    <row r="3262" spans="1:61" x14ac:dyDescent="0.25">
      <c r="A3262" s="62" t="s">
        <v>1006</v>
      </c>
      <c r="B3262" s="62" t="s">
        <v>1006</v>
      </c>
      <c r="C3262" s="63"/>
      <c r="D3262" s="64"/>
      <c r="E3262" s="65"/>
      <c r="F3262" s="66"/>
      <c r="G3262" s="63"/>
      <c r="H3262" s="67"/>
      <c r="I3262" s="68"/>
      <c r="J3262" s="68"/>
      <c r="K3262" s="32"/>
      <c r="L3262" s="75">
        <v>3262</v>
      </c>
      <c r="M3262" s="75"/>
      <c r="N3262" s="70"/>
      <c r="O3262" s="77" t="s">
        <v>179</v>
      </c>
      <c r="P3262" s="79">
        <v>45119.717037037037</v>
      </c>
      <c r="Q3262" s="77" t="s">
        <v>4468</v>
      </c>
      <c r="R3262" s="77">
        <v>0</v>
      </c>
      <c r="S3262" s="77">
        <v>0</v>
      </c>
      <c r="T3262" s="77">
        <v>0</v>
      </c>
      <c r="U3262" s="77">
        <v>0</v>
      </c>
      <c r="V3262" s="77">
        <v>139</v>
      </c>
      <c r="W3262" s="82" t="s">
        <v>6740</v>
      </c>
      <c r="X3262" s="77"/>
      <c r="Y3262" s="77"/>
      <c r="Z3262" s="77"/>
      <c r="AA3262" s="77" t="s">
        <v>9587</v>
      </c>
      <c r="AB3262" s="77" t="s">
        <v>10130</v>
      </c>
      <c r="AC3262" s="82" t="s">
        <v>10147</v>
      </c>
      <c r="AD3262" s="77" t="s">
        <v>10184</v>
      </c>
      <c r="AE3262" s="80" t="str">
        <f>HYPERLINK("https://twitter.com/imdasmilhas/status/1679176931038871552")</f>
        <v>https://twitter.com/imdasmilhas/status/1679176931038871552</v>
      </c>
      <c r="AF3262" s="79">
        <v>45119.717037037037</v>
      </c>
      <c r="AG3262" s="85">
        <v>45119</v>
      </c>
      <c r="AH3262" s="82" t="s">
        <v>13271</v>
      </c>
      <c r="AI3262" s="77" t="b">
        <v>0</v>
      </c>
      <c r="AJ3262" s="77"/>
      <c r="AK3262" s="77"/>
      <c r="AL3262" s="77"/>
      <c r="AM3262" s="77"/>
      <c r="AN3262" s="77"/>
      <c r="AO3262" s="77"/>
      <c r="AP3262" s="77"/>
      <c r="AQ3262" s="77" t="s">
        <v>16230</v>
      </c>
      <c r="AR3262" s="77"/>
      <c r="AS3262" s="77"/>
      <c r="AT3262" s="77"/>
      <c r="AU3262" s="77"/>
      <c r="AV3262" s="80" t="str">
        <f>HYPERLINK("https://pbs.twimg.com/media/F02ihR2XoAAJwmt.jpg")</f>
        <v>https://pbs.twimg.com/media/F02ihR2XoAAJwmt.jpg</v>
      </c>
      <c r="AW3262" s="82" t="s">
        <v>20028</v>
      </c>
      <c r="AX3262" s="82" t="s">
        <v>20028</v>
      </c>
      <c r="AY3262" s="77"/>
      <c r="AZ3262" s="82" t="s">
        <v>20971</v>
      </c>
      <c r="BA3262" s="82" t="s">
        <v>20971</v>
      </c>
      <c r="BB3262" s="82" t="s">
        <v>20971</v>
      </c>
      <c r="BC3262" s="82" t="s">
        <v>20028</v>
      </c>
      <c r="BD3262" s="82" t="s">
        <v>21597</v>
      </c>
      <c r="BE3262" s="77"/>
      <c r="BF3262" s="77"/>
      <c r="BG3262" s="77"/>
      <c r="BH3262" s="77"/>
      <c r="BI3262" s="77"/>
    </row>
    <row r="3263" spans="1:61" x14ac:dyDescent="0.25">
      <c r="A3263" s="62" t="s">
        <v>1006</v>
      </c>
      <c r="B3263" s="62" t="s">
        <v>1006</v>
      </c>
      <c r="C3263" s="63"/>
      <c r="D3263" s="64"/>
      <c r="E3263" s="65"/>
      <c r="F3263" s="66"/>
      <c r="G3263" s="63"/>
      <c r="H3263" s="67"/>
      <c r="I3263" s="68"/>
      <c r="J3263" s="68"/>
      <c r="K3263" s="32"/>
      <c r="L3263" s="75">
        <v>3263</v>
      </c>
      <c r="M3263" s="75"/>
      <c r="N3263" s="70"/>
      <c r="O3263" s="77" t="s">
        <v>179</v>
      </c>
      <c r="P3263" s="79">
        <v>45119.71671296296</v>
      </c>
      <c r="Q3263" s="77" t="s">
        <v>4469</v>
      </c>
      <c r="R3263" s="77">
        <v>0</v>
      </c>
      <c r="S3263" s="77">
        <v>0</v>
      </c>
      <c r="T3263" s="77">
        <v>0</v>
      </c>
      <c r="U3263" s="77">
        <v>0</v>
      </c>
      <c r="V3263" s="77">
        <v>96</v>
      </c>
      <c r="W3263" s="82" t="s">
        <v>6740</v>
      </c>
      <c r="X3263" s="77"/>
      <c r="Y3263" s="77"/>
      <c r="Z3263" s="77"/>
      <c r="AA3263" s="77" t="s">
        <v>9588</v>
      </c>
      <c r="AB3263" s="77" t="s">
        <v>10130</v>
      </c>
      <c r="AC3263" s="82" t="s">
        <v>10147</v>
      </c>
      <c r="AD3263" s="77" t="s">
        <v>10184</v>
      </c>
      <c r="AE3263" s="80" t="str">
        <f>HYPERLINK("https://twitter.com/imdasmilhas/status/1679176813002764293")</f>
        <v>https://twitter.com/imdasmilhas/status/1679176813002764293</v>
      </c>
      <c r="AF3263" s="79">
        <v>45119.71671296296</v>
      </c>
      <c r="AG3263" s="85">
        <v>45119</v>
      </c>
      <c r="AH3263" s="82" t="s">
        <v>13272</v>
      </c>
      <c r="AI3263" s="77" t="b">
        <v>0</v>
      </c>
      <c r="AJ3263" s="77"/>
      <c r="AK3263" s="77"/>
      <c r="AL3263" s="77"/>
      <c r="AM3263" s="77"/>
      <c r="AN3263" s="77"/>
      <c r="AO3263" s="77"/>
      <c r="AP3263" s="77"/>
      <c r="AQ3263" s="77" t="s">
        <v>16231</v>
      </c>
      <c r="AR3263" s="77"/>
      <c r="AS3263" s="77"/>
      <c r="AT3263" s="77"/>
      <c r="AU3263" s="77"/>
      <c r="AV3263" s="80" t="str">
        <f>HYPERLINK("https://pbs.twimg.com/media/F02iaaDXwBMO6lG.jpg")</f>
        <v>https://pbs.twimg.com/media/F02iaaDXwBMO6lG.jpg</v>
      </c>
      <c r="AW3263" s="82" t="s">
        <v>20029</v>
      </c>
      <c r="AX3263" s="82" t="s">
        <v>20029</v>
      </c>
      <c r="AY3263" s="77"/>
      <c r="AZ3263" s="82" t="s">
        <v>20971</v>
      </c>
      <c r="BA3263" s="82" t="s">
        <v>20971</v>
      </c>
      <c r="BB3263" s="82" t="s">
        <v>20971</v>
      </c>
      <c r="BC3263" s="82" t="s">
        <v>20029</v>
      </c>
      <c r="BD3263" s="82" t="s">
        <v>21597</v>
      </c>
      <c r="BE3263" s="77"/>
      <c r="BF3263" s="77"/>
      <c r="BG3263" s="77"/>
      <c r="BH3263" s="77"/>
      <c r="BI3263" s="77"/>
    </row>
    <row r="3264" spans="1:61" x14ac:dyDescent="0.25">
      <c r="A3264" s="62" t="s">
        <v>1006</v>
      </c>
      <c r="B3264" s="62" t="s">
        <v>1006</v>
      </c>
      <c r="C3264" s="63"/>
      <c r="D3264" s="64"/>
      <c r="E3264" s="65"/>
      <c r="F3264" s="66"/>
      <c r="G3264" s="63"/>
      <c r="H3264" s="67"/>
      <c r="I3264" s="68"/>
      <c r="J3264" s="68"/>
      <c r="K3264" s="32"/>
      <c r="L3264" s="75">
        <v>3264</v>
      </c>
      <c r="M3264" s="75"/>
      <c r="N3264" s="70"/>
      <c r="O3264" s="77" t="s">
        <v>179</v>
      </c>
      <c r="P3264" s="79">
        <v>45117.897337962961</v>
      </c>
      <c r="Q3264" s="77" t="s">
        <v>4470</v>
      </c>
      <c r="R3264" s="77">
        <v>0</v>
      </c>
      <c r="S3264" s="77">
        <v>0</v>
      </c>
      <c r="T3264" s="77">
        <v>0</v>
      </c>
      <c r="U3264" s="77">
        <v>0</v>
      </c>
      <c r="V3264" s="77">
        <v>108</v>
      </c>
      <c r="W3264" s="82" t="s">
        <v>6740</v>
      </c>
      <c r="X3264" s="77"/>
      <c r="Y3264" s="77"/>
      <c r="Z3264" s="77"/>
      <c r="AA3264" s="77" t="s">
        <v>9589</v>
      </c>
      <c r="AB3264" s="77" t="s">
        <v>10130</v>
      </c>
      <c r="AC3264" s="82" t="s">
        <v>10147</v>
      </c>
      <c r="AD3264" s="77" t="s">
        <v>10184</v>
      </c>
      <c r="AE3264" s="80" t="str">
        <f>HYPERLINK("https://twitter.com/imdasmilhas/status/1678517491767582724")</f>
        <v>https://twitter.com/imdasmilhas/status/1678517491767582724</v>
      </c>
      <c r="AF3264" s="79">
        <v>45117.897337962961</v>
      </c>
      <c r="AG3264" s="85">
        <v>45117</v>
      </c>
      <c r="AH3264" s="82" t="s">
        <v>13273</v>
      </c>
      <c r="AI3264" s="77" t="b">
        <v>0</v>
      </c>
      <c r="AJ3264" s="77"/>
      <c r="AK3264" s="77"/>
      <c r="AL3264" s="77"/>
      <c r="AM3264" s="77"/>
      <c r="AN3264" s="77"/>
      <c r="AO3264" s="77"/>
      <c r="AP3264" s="77"/>
      <c r="AQ3264" s="77" t="s">
        <v>16232</v>
      </c>
      <c r="AR3264" s="77"/>
      <c r="AS3264" s="77"/>
      <c r="AT3264" s="77"/>
      <c r="AU3264" s="77"/>
      <c r="AV3264" s="80" t="str">
        <f>HYPERLINK("https://pbs.twimg.com/media/F0tKw2XWAAAdZjA.jpg")</f>
        <v>https://pbs.twimg.com/media/F0tKw2XWAAAdZjA.jpg</v>
      </c>
      <c r="AW3264" s="82" t="s">
        <v>20030</v>
      </c>
      <c r="AX3264" s="82" t="s">
        <v>20030</v>
      </c>
      <c r="AY3264" s="77"/>
      <c r="AZ3264" s="82" t="s">
        <v>20971</v>
      </c>
      <c r="BA3264" s="82" t="s">
        <v>20971</v>
      </c>
      <c r="BB3264" s="82" t="s">
        <v>20971</v>
      </c>
      <c r="BC3264" s="82" t="s">
        <v>20030</v>
      </c>
      <c r="BD3264" s="82" t="s">
        <v>21597</v>
      </c>
      <c r="BE3264" s="77"/>
      <c r="BF3264" s="77"/>
      <c r="BG3264" s="77"/>
      <c r="BH3264" s="77"/>
      <c r="BI3264" s="77"/>
    </row>
    <row r="3265" spans="1:61" x14ac:dyDescent="0.25">
      <c r="A3265" s="62" t="s">
        <v>1006</v>
      </c>
      <c r="B3265" s="62" t="s">
        <v>1006</v>
      </c>
      <c r="C3265" s="63"/>
      <c r="D3265" s="64"/>
      <c r="E3265" s="65"/>
      <c r="F3265" s="66"/>
      <c r="G3265" s="63"/>
      <c r="H3265" s="67"/>
      <c r="I3265" s="68"/>
      <c r="J3265" s="68"/>
      <c r="K3265" s="32"/>
      <c r="L3265" s="75">
        <v>3265</v>
      </c>
      <c r="M3265" s="75"/>
      <c r="N3265" s="70"/>
      <c r="O3265" s="77" t="s">
        <v>179</v>
      </c>
      <c r="P3265" s="79">
        <v>45117.896944444445</v>
      </c>
      <c r="Q3265" s="77" t="s">
        <v>4471</v>
      </c>
      <c r="R3265" s="77">
        <v>0</v>
      </c>
      <c r="S3265" s="77">
        <v>0</v>
      </c>
      <c r="T3265" s="77">
        <v>0</v>
      </c>
      <c r="U3265" s="77">
        <v>0</v>
      </c>
      <c r="V3265" s="77">
        <v>113</v>
      </c>
      <c r="W3265" s="82" t="s">
        <v>6740</v>
      </c>
      <c r="X3265" s="77"/>
      <c r="Y3265" s="77"/>
      <c r="Z3265" s="77"/>
      <c r="AA3265" s="77" t="s">
        <v>9590</v>
      </c>
      <c r="AB3265" s="77" t="s">
        <v>10130</v>
      </c>
      <c r="AC3265" s="82" t="s">
        <v>10147</v>
      </c>
      <c r="AD3265" s="77" t="s">
        <v>10184</v>
      </c>
      <c r="AE3265" s="80" t="str">
        <f>HYPERLINK("https://twitter.com/imdasmilhas/status/1678517349433974788")</f>
        <v>https://twitter.com/imdasmilhas/status/1678517349433974788</v>
      </c>
      <c r="AF3265" s="79">
        <v>45117.896944444445</v>
      </c>
      <c r="AG3265" s="85">
        <v>45117</v>
      </c>
      <c r="AH3265" s="82" t="s">
        <v>13274</v>
      </c>
      <c r="AI3265" s="77" t="b">
        <v>0</v>
      </c>
      <c r="AJ3265" s="77"/>
      <c r="AK3265" s="77"/>
      <c r="AL3265" s="77"/>
      <c r="AM3265" s="77"/>
      <c r="AN3265" s="77"/>
      <c r="AO3265" s="77"/>
      <c r="AP3265" s="77"/>
      <c r="AQ3265" s="77" t="s">
        <v>16233</v>
      </c>
      <c r="AR3265" s="77"/>
      <c r="AS3265" s="77"/>
      <c r="AT3265" s="77"/>
      <c r="AU3265" s="77"/>
      <c r="AV3265" s="80" t="str">
        <f>HYPERLINK("https://pbs.twimg.com/media/F0tKolxX0AQVE_T.jpg")</f>
        <v>https://pbs.twimg.com/media/F0tKolxX0AQVE_T.jpg</v>
      </c>
      <c r="AW3265" s="82" t="s">
        <v>20031</v>
      </c>
      <c r="AX3265" s="82" t="s">
        <v>20031</v>
      </c>
      <c r="AY3265" s="77"/>
      <c r="AZ3265" s="82" t="s">
        <v>20971</v>
      </c>
      <c r="BA3265" s="82" t="s">
        <v>20971</v>
      </c>
      <c r="BB3265" s="82" t="s">
        <v>20971</v>
      </c>
      <c r="BC3265" s="82" t="s">
        <v>20031</v>
      </c>
      <c r="BD3265" s="82" t="s">
        <v>21597</v>
      </c>
      <c r="BE3265" s="77"/>
      <c r="BF3265" s="77"/>
      <c r="BG3265" s="77"/>
      <c r="BH3265" s="77"/>
      <c r="BI3265" s="77"/>
    </row>
    <row r="3266" spans="1:61" x14ac:dyDescent="0.25">
      <c r="A3266" s="62" t="s">
        <v>1006</v>
      </c>
      <c r="B3266" s="62" t="s">
        <v>1006</v>
      </c>
      <c r="C3266" s="63"/>
      <c r="D3266" s="64"/>
      <c r="E3266" s="65"/>
      <c r="F3266" s="66"/>
      <c r="G3266" s="63"/>
      <c r="H3266" s="67"/>
      <c r="I3266" s="68"/>
      <c r="J3266" s="68"/>
      <c r="K3266" s="32"/>
      <c r="L3266" s="75">
        <v>3266</v>
      </c>
      <c r="M3266" s="75"/>
      <c r="N3266" s="70"/>
      <c r="O3266" s="77" t="s">
        <v>179</v>
      </c>
      <c r="P3266" s="79">
        <v>45117.896678240744</v>
      </c>
      <c r="Q3266" s="77" t="s">
        <v>4472</v>
      </c>
      <c r="R3266" s="77">
        <v>0</v>
      </c>
      <c r="S3266" s="77">
        <v>0</v>
      </c>
      <c r="T3266" s="77">
        <v>0</v>
      </c>
      <c r="U3266" s="77">
        <v>0</v>
      </c>
      <c r="V3266" s="77">
        <v>61</v>
      </c>
      <c r="W3266" s="82" t="s">
        <v>6740</v>
      </c>
      <c r="X3266" s="77"/>
      <c r="Y3266" s="77"/>
      <c r="Z3266" s="77"/>
      <c r="AA3266" s="77" t="s">
        <v>9591</v>
      </c>
      <c r="AB3266" s="77" t="s">
        <v>10130</v>
      </c>
      <c r="AC3266" s="82" t="s">
        <v>10147</v>
      </c>
      <c r="AD3266" s="77" t="s">
        <v>10184</v>
      </c>
      <c r="AE3266" s="80" t="str">
        <f>HYPERLINK("https://twitter.com/imdasmilhas/status/1678517252797112326")</f>
        <v>https://twitter.com/imdasmilhas/status/1678517252797112326</v>
      </c>
      <c r="AF3266" s="79">
        <v>45117.896678240744</v>
      </c>
      <c r="AG3266" s="85">
        <v>45117</v>
      </c>
      <c r="AH3266" s="82" t="s">
        <v>13275</v>
      </c>
      <c r="AI3266" s="77" t="b">
        <v>0</v>
      </c>
      <c r="AJ3266" s="77"/>
      <c r="AK3266" s="77"/>
      <c r="AL3266" s="77"/>
      <c r="AM3266" s="77"/>
      <c r="AN3266" s="77"/>
      <c r="AO3266" s="77"/>
      <c r="AP3266" s="77"/>
      <c r="AQ3266" s="77" t="s">
        <v>16234</v>
      </c>
      <c r="AR3266" s="77"/>
      <c r="AS3266" s="77"/>
      <c r="AT3266" s="77"/>
      <c r="AU3266" s="77"/>
      <c r="AV3266" s="80" t="str">
        <f>HYPERLINK("https://pbs.twimg.com/media/F0tKi8EWwAE8Gg9.jpg")</f>
        <v>https://pbs.twimg.com/media/F0tKi8EWwAE8Gg9.jpg</v>
      </c>
      <c r="AW3266" s="82" t="s">
        <v>20032</v>
      </c>
      <c r="AX3266" s="82" t="s">
        <v>20032</v>
      </c>
      <c r="AY3266" s="77"/>
      <c r="AZ3266" s="82" t="s">
        <v>20971</v>
      </c>
      <c r="BA3266" s="82" t="s">
        <v>20971</v>
      </c>
      <c r="BB3266" s="82" t="s">
        <v>20971</v>
      </c>
      <c r="BC3266" s="82" t="s">
        <v>20032</v>
      </c>
      <c r="BD3266" s="82" t="s">
        <v>21597</v>
      </c>
      <c r="BE3266" s="77"/>
      <c r="BF3266" s="77"/>
      <c r="BG3266" s="77"/>
      <c r="BH3266" s="77"/>
      <c r="BI3266" s="77"/>
    </row>
    <row r="3267" spans="1:61" x14ac:dyDescent="0.25">
      <c r="A3267" s="62" t="s">
        <v>1006</v>
      </c>
      <c r="B3267" s="62" t="s">
        <v>1006</v>
      </c>
      <c r="C3267" s="63"/>
      <c r="D3267" s="64"/>
      <c r="E3267" s="65"/>
      <c r="F3267" s="66"/>
      <c r="G3267" s="63"/>
      <c r="H3267" s="67"/>
      <c r="I3267" s="68"/>
      <c r="J3267" s="68"/>
      <c r="K3267" s="32"/>
      <c r="L3267" s="75">
        <v>3267</v>
      </c>
      <c r="M3267" s="75"/>
      <c r="N3267" s="70"/>
      <c r="O3267" s="77" t="s">
        <v>179</v>
      </c>
      <c r="P3267" s="79">
        <v>45117.896365740744</v>
      </c>
      <c r="Q3267" s="77" t="s">
        <v>4473</v>
      </c>
      <c r="R3267" s="77">
        <v>0</v>
      </c>
      <c r="S3267" s="77">
        <v>0</v>
      </c>
      <c r="T3267" s="77">
        <v>0</v>
      </c>
      <c r="U3267" s="77">
        <v>0</v>
      </c>
      <c r="V3267" s="77">
        <v>67</v>
      </c>
      <c r="W3267" s="82" t="s">
        <v>6740</v>
      </c>
      <c r="X3267" s="77"/>
      <c r="Y3267" s="77"/>
      <c r="Z3267" s="77"/>
      <c r="AA3267" s="77" t="s">
        <v>9592</v>
      </c>
      <c r="AB3267" s="77" t="s">
        <v>10130</v>
      </c>
      <c r="AC3267" s="82" t="s">
        <v>10147</v>
      </c>
      <c r="AD3267" s="77" t="s">
        <v>10184</v>
      </c>
      <c r="AE3267" s="80" t="str">
        <f>HYPERLINK("https://twitter.com/imdasmilhas/status/1678517142897975298")</f>
        <v>https://twitter.com/imdasmilhas/status/1678517142897975298</v>
      </c>
      <c r="AF3267" s="79">
        <v>45117.896365740744</v>
      </c>
      <c r="AG3267" s="85">
        <v>45117</v>
      </c>
      <c r="AH3267" s="82" t="s">
        <v>13276</v>
      </c>
      <c r="AI3267" s="77" t="b">
        <v>0</v>
      </c>
      <c r="AJ3267" s="77"/>
      <c r="AK3267" s="77"/>
      <c r="AL3267" s="77"/>
      <c r="AM3267" s="77"/>
      <c r="AN3267" s="77"/>
      <c r="AO3267" s="77"/>
      <c r="AP3267" s="77"/>
      <c r="AQ3267" s="77" t="s">
        <v>16235</v>
      </c>
      <c r="AR3267" s="77"/>
      <c r="AS3267" s="77"/>
      <c r="AT3267" s="77"/>
      <c r="AU3267" s="77"/>
      <c r="AV3267" s="80" t="str">
        <f>HYPERLINK("https://pbs.twimg.com/media/F0tKciEWcAQ6xX3.jpg")</f>
        <v>https://pbs.twimg.com/media/F0tKciEWcAQ6xX3.jpg</v>
      </c>
      <c r="AW3267" s="82" t="s">
        <v>20033</v>
      </c>
      <c r="AX3267" s="82" t="s">
        <v>20033</v>
      </c>
      <c r="AY3267" s="77"/>
      <c r="AZ3267" s="82" t="s">
        <v>20971</v>
      </c>
      <c r="BA3267" s="82" t="s">
        <v>20971</v>
      </c>
      <c r="BB3267" s="82" t="s">
        <v>20971</v>
      </c>
      <c r="BC3267" s="82" t="s">
        <v>20033</v>
      </c>
      <c r="BD3267" s="82" t="s">
        <v>21597</v>
      </c>
      <c r="BE3267" s="77"/>
      <c r="BF3267" s="77"/>
      <c r="BG3267" s="77"/>
      <c r="BH3267" s="77"/>
      <c r="BI3267" s="77"/>
    </row>
    <row r="3268" spans="1:61" x14ac:dyDescent="0.25">
      <c r="A3268" s="62" t="s">
        <v>1006</v>
      </c>
      <c r="B3268" s="62" t="s">
        <v>1006</v>
      </c>
      <c r="C3268" s="63"/>
      <c r="D3268" s="64"/>
      <c r="E3268" s="65"/>
      <c r="F3268" s="66"/>
      <c r="G3268" s="63"/>
      <c r="H3268" s="67"/>
      <c r="I3268" s="68"/>
      <c r="J3268" s="68"/>
      <c r="K3268" s="32"/>
      <c r="L3268" s="75">
        <v>3268</v>
      </c>
      <c r="M3268" s="75"/>
      <c r="N3268" s="70"/>
      <c r="O3268" s="77" t="s">
        <v>179</v>
      </c>
      <c r="P3268" s="79">
        <v>45117.896365740744</v>
      </c>
      <c r="Q3268" s="77" t="s">
        <v>4474</v>
      </c>
      <c r="R3268" s="77">
        <v>0</v>
      </c>
      <c r="S3268" s="77">
        <v>0</v>
      </c>
      <c r="T3268" s="77">
        <v>0</v>
      </c>
      <c r="U3268" s="77">
        <v>0</v>
      </c>
      <c r="V3268" s="77">
        <v>110</v>
      </c>
      <c r="W3268" s="82" t="s">
        <v>6740</v>
      </c>
      <c r="X3268" s="77"/>
      <c r="Y3268" s="77"/>
      <c r="Z3268" s="77"/>
      <c r="AA3268" s="77" t="s">
        <v>9593</v>
      </c>
      <c r="AB3268" s="77" t="s">
        <v>10130</v>
      </c>
      <c r="AC3268" s="82" t="s">
        <v>10147</v>
      </c>
      <c r="AD3268" s="77" t="s">
        <v>10184</v>
      </c>
      <c r="AE3268" s="80" t="str">
        <f>HYPERLINK("https://twitter.com/imdasmilhas/status/1678517142071721984")</f>
        <v>https://twitter.com/imdasmilhas/status/1678517142071721984</v>
      </c>
      <c r="AF3268" s="79">
        <v>45117.896365740744</v>
      </c>
      <c r="AG3268" s="85">
        <v>45117</v>
      </c>
      <c r="AH3268" s="82" t="s">
        <v>13276</v>
      </c>
      <c r="AI3268" s="77" t="b">
        <v>0</v>
      </c>
      <c r="AJ3268" s="77"/>
      <c r="AK3268" s="77"/>
      <c r="AL3268" s="77"/>
      <c r="AM3268" s="77"/>
      <c r="AN3268" s="77"/>
      <c r="AO3268" s="77"/>
      <c r="AP3268" s="77"/>
      <c r="AQ3268" s="77" t="s">
        <v>16236</v>
      </c>
      <c r="AR3268" s="77"/>
      <c r="AS3268" s="77"/>
      <c r="AT3268" s="77"/>
      <c r="AU3268" s="77"/>
      <c r="AV3268" s="80" t="str">
        <f>HYPERLINK("https://pbs.twimg.com/media/F0tKcgGWcAM_-G9.jpg")</f>
        <v>https://pbs.twimg.com/media/F0tKcgGWcAM_-G9.jpg</v>
      </c>
      <c r="AW3268" s="82" t="s">
        <v>20034</v>
      </c>
      <c r="AX3268" s="82" t="s">
        <v>20034</v>
      </c>
      <c r="AY3268" s="77"/>
      <c r="AZ3268" s="82" t="s">
        <v>20971</v>
      </c>
      <c r="BA3268" s="82" t="s">
        <v>20971</v>
      </c>
      <c r="BB3268" s="82" t="s">
        <v>20971</v>
      </c>
      <c r="BC3268" s="82" t="s">
        <v>20034</v>
      </c>
      <c r="BD3268" s="82" t="s">
        <v>21597</v>
      </c>
      <c r="BE3268" s="77"/>
      <c r="BF3268" s="77"/>
      <c r="BG3268" s="77"/>
      <c r="BH3268" s="77"/>
      <c r="BI3268" s="77"/>
    </row>
    <row r="3269" spans="1:61" x14ac:dyDescent="0.25">
      <c r="A3269" s="62" t="s">
        <v>1006</v>
      </c>
      <c r="B3269" s="62" t="s">
        <v>1006</v>
      </c>
      <c r="C3269" s="63"/>
      <c r="D3269" s="64"/>
      <c r="E3269" s="65"/>
      <c r="F3269" s="66"/>
      <c r="G3269" s="63"/>
      <c r="H3269" s="67"/>
      <c r="I3269" s="68"/>
      <c r="J3269" s="68"/>
      <c r="K3269" s="32"/>
      <c r="L3269" s="75">
        <v>3269</v>
      </c>
      <c r="M3269" s="75"/>
      <c r="N3269" s="70"/>
      <c r="O3269" s="77" t="s">
        <v>179</v>
      </c>
      <c r="P3269" s="79">
        <v>45079.701006944444</v>
      </c>
      <c r="Q3269" s="77" t="s">
        <v>4475</v>
      </c>
      <c r="R3269" s="77">
        <v>0</v>
      </c>
      <c r="S3269" s="77">
        <v>0</v>
      </c>
      <c r="T3269" s="77">
        <v>0</v>
      </c>
      <c r="U3269" s="77">
        <v>0</v>
      </c>
      <c r="V3269" s="77">
        <v>71</v>
      </c>
      <c r="W3269" s="82" t="s">
        <v>6740</v>
      </c>
      <c r="X3269" s="77"/>
      <c r="Y3269" s="77"/>
      <c r="Z3269" s="77"/>
      <c r="AA3269" s="77" t="s">
        <v>9594</v>
      </c>
      <c r="AB3269" s="77" t="s">
        <v>10130</v>
      </c>
      <c r="AC3269" s="82" t="s">
        <v>10147</v>
      </c>
      <c r="AD3269" s="77" t="s">
        <v>10184</v>
      </c>
      <c r="AE3269" s="80" t="str">
        <f>HYPERLINK("https://twitter.com/imdasmilhas/status/1664675606292832256")</f>
        <v>https://twitter.com/imdasmilhas/status/1664675606292832256</v>
      </c>
      <c r="AF3269" s="79">
        <v>45079.701006944444</v>
      </c>
      <c r="AG3269" s="85">
        <v>45079</v>
      </c>
      <c r="AH3269" s="82" t="s">
        <v>13277</v>
      </c>
      <c r="AI3269" s="77" t="b">
        <v>0</v>
      </c>
      <c r="AJ3269" s="77"/>
      <c r="AK3269" s="77"/>
      <c r="AL3269" s="77"/>
      <c r="AM3269" s="77"/>
      <c r="AN3269" s="77"/>
      <c r="AO3269" s="77"/>
      <c r="AP3269" s="77"/>
      <c r="AQ3269" s="77" t="s">
        <v>16237</v>
      </c>
      <c r="AR3269" s="77"/>
      <c r="AS3269" s="77"/>
      <c r="AT3269" s="77"/>
      <c r="AU3269" s="77"/>
      <c r="AV3269" s="80" t="str">
        <f>HYPERLINK("https://pbs.twimg.com/media/FxodpBdWAAwDXT6.jpg")</f>
        <v>https://pbs.twimg.com/media/FxodpBdWAAwDXT6.jpg</v>
      </c>
      <c r="AW3269" s="82" t="s">
        <v>20035</v>
      </c>
      <c r="AX3269" s="82" t="s">
        <v>20035</v>
      </c>
      <c r="AY3269" s="77"/>
      <c r="AZ3269" s="82" t="s">
        <v>20971</v>
      </c>
      <c r="BA3269" s="82" t="s">
        <v>20971</v>
      </c>
      <c r="BB3269" s="82" t="s">
        <v>20971</v>
      </c>
      <c r="BC3269" s="82" t="s">
        <v>20035</v>
      </c>
      <c r="BD3269" s="82" t="s">
        <v>21597</v>
      </c>
      <c r="BE3269" s="77"/>
      <c r="BF3269" s="77"/>
      <c r="BG3269" s="77"/>
      <c r="BH3269" s="77"/>
      <c r="BI3269" s="77"/>
    </row>
    <row r="3270" spans="1:61" x14ac:dyDescent="0.25">
      <c r="A3270" s="62" t="s">
        <v>1006</v>
      </c>
      <c r="B3270" s="62" t="s">
        <v>1006</v>
      </c>
      <c r="C3270" s="63"/>
      <c r="D3270" s="64"/>
      <c r="E3270" s="65"/>
      <c r="F3270" s="66"/>
      <c r="G3270" s="63"/>
      <c r="H3270" s="67"/>
      <c r="I3270" s="68"/>
      <c r="J3270" s="68"/>
      <c r="K3270" s="32"/>
      <c r="L3270" s="75">
        <v>3270</v>
      </c>
      <c r="M3270" s="75"/>
      <c r="N3270" s="70"/>
      <c r="O3270" s="77" t="s">
        <v>179</v>
      </c>
      <c r="P3270" s="79">
        <v>45079.697118055556</v>
      </c>
      <c r="Q3270" s="77" t="s">
        <v>4476</v>
      </c>
      <c r="R3270" s="77">
        <v>0</v>
      </c>
      <c r="S3270" s="77">
        <v>0</v>
      </c>
      <c r="T3270" s="77">
        <v>0</v>
      </c>
      <c r="U3270" s="77">
        <v>0</v>
      </c>
      <c r="V3270" s="77">
        <v>66</v>
      </c>
      <c r="W3270" s="82" t="s">
        <v>6740</v>
      </c>
      <c r="X3270" s="77"/>
      <c r="Y3270" s="77"/>
      <c r="Z3270" s="77"/>
      <c r="AA3270" s="77" t="s">
        <v>9595</v>
      </c>
      <c r="AB3270" s="77" t="s">
        <v>10130</v>
      </c>
      <c r="AC3270" s="82" t="s">
        <v>10147</v>
      </c>
      <c r="AD3270" s="77" t="s">
        <v>10184</v>
      </c>
      <c r="AE3270" s="80" t="str">
        <f>HYPERLINK("https://twitter.com/imdasmilhas/status/1664674196872364038")</f>
        <v>https://twitter.com/imdasmilhas/status/1664674196872364038</v>
      </c>
      <c r="AF3270" s="79">
        <v>45079.697118055556</v>
      </c>
      <c r="AG3270" s="85">
        <v>45079</v>
      </c>
      <c r="AH3270" s="82" t="s">
        <v>13278</v>
      </c>
      <c r="AI3270" s="77" t="b">
        <v>0</v>
      </c>
      <c r="AJ3270" s="77"/>
      <c r="AK3270" s="77"/>
      <c r="AL3270" s="77"/>
      <c r="AM3270" s="77"/>
      <c r="AN3270" s="77"/>
      <c r="AO3270" s="77"/>
      <c r="AP3270" s="77"/>
      <c r="AQ3270" s="77" t="s">
        <v>16238</v>
      </c>
      <c r="AR3270" s="77"/>
      <c r="AS3270" s="77"/>
      <c r="AT3270" s="77"/>
      <c r="AU3270" s="77"/>
      <c r="AV3270" s="80" t="str">
        <f>HYPERLINK("https://pbs.twimg.com/media/FxocXAzXoAEhQNw.jpg")</f>
        <v>https://pbs.twimg.com/media/FxocXAzXoAEhQNw.jpg</v>
      </c>
      <c r="AW3270" s="82" t="s">
        <v>20036</v>
      </c>
      <c r="AX3270" s="82" t="s">
        <v>20036</v>
      </c>
      <c r="AY3270" s="77"/>
      <c r="AZ3270" s="82" t="s">
        <v>20971</v>
      </c>
      <c r="BA3270" s="82" t="s">
        <v>20971</v>
      </c>
      <c r="BB3270" s="82" t="s">
        <v>20971</v>
      </c>
      <c r="BC3270" s="82" t="s">
        <v>20036</v>
      </c>
      <c r="BD3270" s="82" t="s">
        <v>21597</v>
      </c>
      <c r="BE3270" s="77"/>
      <c r="BF3270" s="77"/>
      <c r="BG3270" s="77"/>
      <c r="BH3270" s="77"/>
      <c r="BI3270" s="77"/>
    </row>
    <row r="3271" spans="1:61" x14ac:dyDescent="0.25">
      <c r="A3271" s="62" t="s">
        <v>1006</v>
      </c>
      <c r="B3271" s="62" t="s">
        <v>1006</v>
      </c>
      <c r="C3271" s="63"/>
      <c r="D3271" s="64"/>
      <c r="E3271" s="65"/>
      <c r="F3271" s="66"/>
      <c r="G3271" s="63"/>
      <c r="H3271" s="67"/>
      <c r="I3271" s="68"/>
      <c r="J3271" s="68"/>
      <c r="K3271" s="32"/>
      <c r="L3271" s="75">
        <v>3271</v>
      </c>
      <c r="M3271" s="75"/>
      <c r="N3271" s="70"/>
      <c r="O3271" s="77" t="s">
        <v>179</v>
      </c>
      <c r="P3271" s="79">
        <v>45078.770451388889</v>
      </c>
      <c r="Q3271" s="77" t="s">
        <v>4477</v>
      </c>
      <c r="R3271" s="77">
        <v>0</v>
      </c>
      <c r="S3271" s="77">
        <v>0</v>
      </c>
      <c r="T3271" s="77">
        <v>0</v>
      </c>
      <c r="U3271" s="77">
        <v>0</v>
      </c>
      <c r="V3271" s="77">
        <v>134</v>
      </c>
      <c r="W3271" s="82" t="s">
        <v>6740</v>
      </c>
      <c r="X3271" s="77"/>
      <c r="Y3271" s="77"/>
      <c r="Z3271" s="77"/>
      <c r="AA3271" s="77" t="s">
        <v>9596</v>
      </c>
      <c r="AB3271" s="77" t="s">
        <v>10130</v>
      </c>
      <c r="AC3271" s="82" t="s">
        <v>10147</v>
      </c>
      <c r="AD3271" s="77" t="s">
        <v>10184</v>
      </c>
      <c r="AE3271" s="80" t="str">
        <f>HYPERLINK("https://twitter.com/imdasmilhas/status/1664338385207435281")</f>
        <v>https://twitter.com/imdasmilhas/status/1664338385207435281</v>
      </c>
      <c r="AF3271" s="79">
        <v>45078.770451388889</v>
      </c>
      <c r="AG3271" s="85">
        <v>45078</v>
      </c>
      <c r="AH3271" s="82" t="s">
        <v>13279</v>
      </c>
      <c r="AI3271" s="77" t="b">
        <v>0</v>
      </c>
      <c r="AJ3271" s="77"/>
      <c r="AK3271" s="77"/>
      <c r="AL3271" s="77"/>
      <c r="AM3271" s="77"/>
      <c r="AN3271" s="77"/>
      <c r="AO3271" s="77"/>
      <c r="AP3271" s="77"/>
      <c r="AQ3271" s="77" t="s">
        <v>16239</v>
      </c>
      <c r="AR3271" s="77"/>
      <c r="AS3271" s="77"/>
      <c r="AT3271" s="77"/>
      <c r="AU3271" s="77"/>
      <c r="AV3271" s="80" t="str">
        <f>HYPERLINK("https://pbs.twimg.com/media/Fxjq8MqX0AA3-ZJ.jpg")</f>
        <v>https://pbs.twimg.com/media/Fxjq8MqX0AA3-ZJ.jpg</v>
      </c>
      <c r="AW3271" s="82" t="s">
        <v>20037</v>
      </c>
      <c r="AX3271" s="82" t="s">
        <v>20037</v>
      </c>
      <c r="AY3271" s="77"/>
      <c r="AZ3271" s="82" t="s">
        <v>20971</v>
      </c>
      <c r="BA3271" s="82" t="s">
        <v>20971</v>
      </c>
      <c r="BB3271" s="82" t="s">
        <v>20971</v>
      </c>
      <c r="BC3271" s="82" t="s">
        <v>20037</v>
      </c>
      <c r="BD3271" s="82" t="s">
        <v>21597</v>
      </c>
      <c r="BE3271" s="77"/>
      <c r="BF3271" s="77"/>
      <c r="BG3271" s="77"/>
      <c r="BH3271" s="77"/>
      <c r="BI3271" s="77"/>
    </row>
    <row r="3272" spans="1:61" x14ac:dyDescent="0.25">
      <c r="A3272" s="62" t="s">
        <v>1006</v>
      </c>
      <c r="B3272" s="62" t="s">
        <v>1006</v>
      </c>
      <c r="C3272" s="63"/>
      <c r="D3272" s="64"/>
      <c r="E3272" s="65"/>
      <c r="F3272" s="66"/>
      <c r="G3272" s="63"/>
      <c r="H3272" s="67"/>
      <c r="I3272" s="68"/>
      <c r="J3272" s="68"/>
      <c r="K3272" s="32"/>
      <c r="L3272" s="75">
        <v>3272</v>
      </c>
      <c r="M3272" s="75"/>
      <c r="N3272" s="70"/>
      <c r="O3272" s="77" t="s">
        <v>179</v>
      </c>
      <c r="P3272" s="79">
        <v>45078.770138888889</v>
      </c>
      <c r="Q3272" s="77" t="s">
        <v>4478</v>
      </c>
      <c r="R3272" s="77">
        <v>0</v>
      </c>
      <c r="S3272" s="77">
        <v>0</v>
      </c>
      <c r="T3272" s="77">
        <v>0</v>
      </c>
      <c r="U3272" s="77">
        <v>0</v>
      </c>
      <c r="V3272" s="77">
        <v>117</v>
      </c>
      <c r="W3272" s="82" t="s">
        <v>6740</v>
      </c>
      <c r="X3272" s="77"/>
      <c r="Y3272" s="77"/>
      <c r="Z3272" s="77"/>
      <c r="AA3272" s="77" t="s">
        <v>9597</v>
      </c>
      <c r="AB3272" s="77" t="s">
        <v>10130</v>
      </c>
      <c r="AC3272" s="82" t="s">
        <v>10147</v>
      </c>
      <c r="AD3272" s="77" t="s">
        <v>10184</v>
      </c>
      <c r="AE3272" s="80" t="str">
        <f>HYPERLINK("https://twitter.com/imdasmilhas/status/1664338271084707841")</f>
        <v>https://twitter.com/imdasmilhas/status/1664338271084707841</v>
      </c>
      <c r="AF3272" s="79">
        <v>45078.770138888889</v>
      </c>
      <c r="AG3272" s="85">
        <v>45078</v>
      </c>
      <c r="AH3272" s="82" t="s">
        <v>13280</v>
      </c>
      <c r="AI3272" s="77" t="b">
        <v>0</v>
      </c>
      <c r="AJ3272" s="77"/>
      <c r="AK3272" s="77"/>
      <c r="AL3272" s="77"/>
      <c r="AM3272" s="77"/>
      <c r="AN3272" s="77"/>
      <c r="AO3272" s="77"/>
      <c r="AP3272" s="77"/>
      <c r="AQ3272" s="77" t="s">
        <v>16240</v>
      </c>
      <c r="AR3272" s="77"/>
      <c r="AS3272" s="77"/>
      <c r="AT3272" s="77"/>
      <c r="AU3272" s="77"/>
      <c r="AV3272" s="80" t="str">
        <f>HYPERLINK("https://pbs.twimg.com/media/Fxjq1lMXsAIBxVs.jpg")</f>
        <v>https://pbs.twimg.com/media/Fxjq1lMXsAIBxVs.jpg</v>
      </c>
      <c r="AW3272" s="82" t="s">
        <v>20038</v>
      </c>
      <c r="AX3272" s="82" t="s">
        <v>20038</v>
      </c>
      <c r="AY3272" s="77"/>
      <c r="AZ3272" s="82" t="s">
        <v>20971</v>
      </c>
      <c r="BA3272" s="82" t="s">
        <v>20971</v>
      </c>
      <c r="BB3272" s="82" t="s">
        <v>20971</v>
      </c>
      <c r="BC3272" s="82" t="s">
        <v>20038</v>
      </c>
      <c r="BD3272" s="82" t="s">
        <v>21597</v>
      </c>
      <c r="BE3272" s="77"/>
      <c r="BF3272" s="77"/>
      <c r="BG3272" s="77"/>
      <c r="BH3272" s="77"/>
      <c r="BI3272" s="77"/>
    </row>
    <row r="3273" spans="1:61" x14ac:dyDescent="0.25">
      <c r="A3273" s="62" t="s">
        <v>1006</v>
      </c>
      <c r="B3273" s="62" t="s">
        <v>1006</v>
      </c>
      <c r="C3273" s="63"/>
      <c r="D3273" s="64"/>
      <c r="E3273" s="65"/>
      <c r="F3273" s="66"/>
      <c r="G3273" s="63"/>
      <c r="H3273" s="67"/>
      <c r="I3273" s="68"/>
      <c r="J3273" s="68"/>
      <c r="K3273" s="32"/>
      <c r="L3273" s="75">
        <v>3273</v>
      </c>
      <c r="M3273" s="75"/>
      <c r="N3273" s="70"/>
      <c r="O3273" s="77" t="s">
        <v>179</v>
      </c>
      <c r="P3273" s="79">
        <v>45078.769502314812</v>
      </c>
      <c r="Q3273" s="77" t="s">
        <v>4479</v>
      </c>
      <c r="R3273" s="77">
        <v>0</v>
      </c>
      <c r="S3273" s="77">
        <v>0</v>
      </c>
      <c r="T3273" s="77">
        <v>0</v>
      </c>
      <c r="U3273" s="77">
        <v>0</v>
      </c>
      <c r="V3273" s="77">
        <v>60</v>
      </c>
      <c r="W3273" s="82" t="s">
        <v>6741</v>
      </c>
      <c r="X3273" s="77"/>
      <c r="Y3273" s="77"/>
      <c r="Z3273" s="77"/>
      <c r="AA3273" s="77" t="s">
        <v>9598</v>
      </c>
      <c r="AB3273" s="77" t="s">
        <v>10130</v>
      </c>
      <c r="AC3273" s="82" t="s">
        <v>10147</v>
      </c>
      <c r="AD3273" s="77" t="s">
        <v>10184</v>
      </c>
      <c r="AE3273" s="80" t="str">
        <f>HYPERLINK("https://twitter.com/imdasmilhas/status/1664338039462567953")</f>
        <v>https://twitter.com/imdasmilhas/status/1664338039462567953</v>
      </c>
      <c r="AF3273" s="79">
        <v>45078.769502314812</v>
      </c>
      <c r="AG3273" s="85">
        <v>45078</v>
      </c>
      <c r="AH3273" s="82" t="s">
        <v>13281</v>
      </c>
      <c r="AI3273" s="77" t="b">
        <v>0</v>
      </c>
      <c r="AJ3273" s="77"/>
      <c r="AK3273" s="77"/>
      <c r="AL3273" s="77"/>
      <c r="AM3273" s="77"/>
      <c r="AN3273" s="77"/>
      <c r="AO3273" s="77"/>
      <c r="AP3273" s="77"/>
      <c r="AQ3273" s="77" t="s">
        <v>16241</v>
      </c>
      <c r="AR3273" s="77"/>
      <c r="AS3273" s="77"/>
      <c r="AT3273" s="77"/>
      <c r="AU3273" s="77"/>
      <c r="AV3273" s="80" t="str">
        <f>HYPERLINK("https://pbs.twimg.com/media/FxjqoG8WIAw37J6.jpg")</f>
        <v>https://pbs.twimg.com/media/FxjqoG8WIAw37J6.jpg</v>
      </c>
      <c r="AW3273" s="82" t="s">
        <v>20039</v>
      </c>
      <c r="AX3273" s="82" t="s">
        <v>20039</v>
      </c>
      <c r="AY3273" s="77"/>
      <c r="AZ3273" s="82" t="s">
        <v>20971</v>
      </c>
      <c r="BA3273" s="82" t="s">
        <v>20971</v>
      </c>
      <c r="BB3273" s="82" t="s">
        <v>20971</v>
      </c>
      <c r="BC3273" s="82" t="s">
        <v>20039</v>
      </c>
      <c r="BD3273" s="82" t="s">
        <v>21597</v>
      </c>
      <c r="BE3273" s="77"/>
      <c r="BF3273" s="77"/>
      <c r="BG3273" s="77"/>
      <c r="BH3273" s="77"/>
      <c r="BI3273" s="77"/>
    </row>
    <row r="3274" spans="1:61" x14ac:dyDescent="0.25">
      <c r="A3274" s="62" t="s">
        <v>1006</v>
      </c>
      <c r="B3274" s="62" t="s">
        <v>1006</v>
      </c>
      <c r="C3274" s="63"/>
      <c r="D3274" s="64"/>
      <c r="E3274" s="65"/>
      <c r="F3274" s="66"/>
      <c r="G3274" s="63"/>
      <c r="H3274" s="67"/>
      <c r="I3274" s="68"/>
      <c r="J3274" s="68"/>
      <c r="K3274" s="32"/>
      <c r="L3274" s="75">
        <v>3274</v>
      </c>
      <c r="M3274" s="75"/>
      <c r="N3274" s="70"/>
      <c r="O3274" s="77" t="s">
        <v>179</v>
      </c>
      <c r="P3274" s="79">
        <v>45078.769097222219</v>
      </c>
      <c r="Q3274" s="77" t="s">
        <v>4480</v>
      </c>
      <c r="R3274" s="77">
        <v>0</v>
      </c>
      <c r="S3274" s="77">
        <v>0</v>
      </c>
      <c r="T3274" s="77">
        <v>0</v>
      </c>
      <c r="U3274" s="77">
        <v>0</v>
      </c>
      <c r="V3274" s="77">
        <v>107</v>
      </c>
      <c r="W3274" s="82" t="s">
        <v>6740</v>
      </c>
      <c r="X3274" s="77"/>
      <c r="Y3274" s="77"/>
      <c r="Z3274" s="77"/>
      <c r="AA3274" s="77" t="s">
        <v>9599</v>
      </c>
      <c r="AB3274" s="77" t="s">
        <v>10130</v>
      </c>
      <c r="AC3274" s="82" t="s">
        <v>10147</v>
      </c>
      <c r="AD3274" s="77" t="s">
        <v>10184</v>
      </c>
      <c r="AE3274" s="80" t="str">
        <f>HYPERLINK("https://twitter.com/imdasmilhas/status/1664337893295308801")</f>
        <v>https://twitter.com/imdasmilhas/status/1664337893295308801</v>
      </c>
      <c r="AF3274" s="79">
        <v>45078.769097222219</v>
      </c>
      <c r="AG3274" s="85">
        <v>45078</v>
      </c>
      <c r="AH3274" s="82" t="s">
        <v>13282</v>
      </c>
      <c r="AI3274" s="77" t="b">
        <v>0</v>
      </c>
      <c r="AJ3274" s="77"/>
      <c r="AK3274" s="77"/>
      <c r="AL3274" s="77"/>
      <c r="AM3274" s="77"/>
      <c r="AN3274" s="77"/>
      <c r="AO3274" s="77"/>
      <c r="AP3274" s="77"/>
      <c r="AQ3274" s="77" t="s">
        <v>16242</v>
      </c>
      <c r="AR3274" s="77"/>
      <c r="AS3274" s="77"/>
      <c r="AT3274" s="77"/>
      <c r="AU3274" s="77"/>
      <c r="AV3274" s="80" t="str">
        <f>HYPERLINK("https://pbs.twimg.com/media/FxjqfjtWIAYPIG6.jpg")</f>
        <v>https://pbs.twimg.com/media/FxjqfjtWIAYPIG6.jpg</v>
      </c>
      <c r="AW3274" s="82" t="s">
        <v>20040</v>
      </c>
      <c r="AX3274" s="82" t="s">
        <v>20040</v>
      </c>
      <c r="AY3274" s="77"/>
      <c r="AZ3274" s="82" t="s">
        <v>20971</v>
      </c>
      <c r="BA3274" s="82" t="s">
        <v>20971</v>
      </c>
      <c r="BB3274" s="82" t="s">
        <v>20971</v>
      </c>
      <c r="BC3274" s="82" t="s">
        <v>20040</v>
      </c>
      <c r="BD3274" s="82" t="s">
        <v>21597</v>
      </c>
      <c r="BE3274" s="77"/>
      <c r="BF3274" s="77"/>
      <c r="BG3274" s="77"/>
      <c r="BH3274" s="77"/>
      <c r="BI3274" s="77"/>
    </row>
    <row r="3275" spans="1:61" x14ac:dyDescent="0.25">
      <c r="A3275" s="62" t="s">
        <v>1006</v>
      </c>
      <c r="B3275" s="62" t="s">
        <v>1006</v>
      </c>
      <c r="C3275" s="63"/>
      <c r="D3275" s="64"/>
      <c r="E3275" s="65"/>
      <c r="F3275" s="66"/>
      <c r="G3275" s="63"/>
      <c r="H3275" s="67"/>
      <c r="I3275" s="68"/>
      <c r="J3275" s="68"/>
      <c r="K3275" s="32"/>
      <c r="L3275" s="75">
        <v>3275</v>
      </c>
      <c r="M3275" s="75"/>
      <c r="N3275" s="70"/>
      <c r="O3275" s="77" t="s">
        <v>179</v>
      </c>
      <c r="P3275" s="79">
        <v>45078.728425925925</v>
      </c>
      <c r="Q3275" s="77" t="s">
        <v>4481</v>
      </c>
      <c r="R3275" s="77">
        <v>0</v>
      </c>
      <c r="S3275" s="77">
        <v>0</v>
      </c>
      <c r="T3275" s="77">
        <v>0</v>
      </c>
      <c r="U3275" s="77">
        <v>0</v>
      </c>
      <c r="V3275" s="77">
        <v>96</v>
      </c>
      <c r="W3275" s="82" t="s">
        <v>6740</v>
      </c>
      <c r="X3275" s="77"/>
      <c r="Y3275" s="77"/>
      <c r="Z3275" s="77"/>
      <c r="AA3275" s="77" t="s">
        <v>9600</v>
      </c>
      <c r="AB3275" s="77" t="s">
        <v>10130</v>
      </c>
      <c r="AC3275" s="82" t="s">
        <v>10147</v>
      </c>
      <c r="AD3275" s="77" t="s">
        <v>10184</v>
      </c>
      <c r="AE3275" s="80" t="str">
        <f>HYPERLINK("https://twitter.com/imdasmilhas/status/1664323154565795847")</f>
        <v>https://twitter.com/imdasmilhas/status/1664323154565795847</v>
      </c>
      <c r="AF3275" s="79">
        <v>45078.728425925925</v>
      </c>
      <c r="AG3275" s="85">
        <v>45078</v>
      </c>
      <c r="AH3275" s="82" t="s">
        <v>13283</v>
      </c>
      <c r="AI3275" s="77" t="b">
        <v>0</v>
      </c>
      <c r="AJ3275" s="77"/>
      <c r="AK3275" s="77"/>
      <c r="AL3275" s="77"/>
      <c r="AM3275" s="77"/>
      <c r="AN3275" s="77"/>
      <c r="AO3275" s="77"/>
      <c r="AP3275" s="77"/>
      <c r="AQ3275" s="77" t="s">
        <v>16243</v>
      </c>
      <c r="AR3275" s="77"/>
      <c r="AS3275" s="77"/>
      <c r="AT3275" s="77"/>
      <c r="AU3275" s="77"/>
      <c r="AV3275" s="80" t="str">
        <f>HYPERLINK("https://pbs.twimg.com/media/FxjdFsIXwCMBrbz.jpg")</f>
        <v>https://pbs.twimg.com/media/FxjdFsIXwCMBrbz.jpg</v>
      </c>
      <c r="AW3275" s="82" t="s">
        <v>20041</v>
      </c>
      <c r="AX3275" s="82" t="s">
        <v>20041</v>
      </c>
      <c r="AY3275" s="77"/>
      <c r="AZ3275" s="82" t="s">
        <v>20971</v>
      </c>
      <c r="BA3275" s="82" t="s">
        <v>20971</v>
      </c>
      <c r="BB3275" s="82" t="s">
        <v>20971</v>
      </c>
      <c r="BC3275" s="82" t="s">
        <v>20041</v>
      </c>
      <c r="BD3275" s="82" t="s">
        <v>21597</v>
      </c>
      <c r="BE3275" s="77"/>
      <c r="BF3275" s="77"/>
      <c r="BG3275" s="77"/>
      <c r="BH3275" s="77"/>
      <c r="BI3275" s="77"/>
    </row>
    <row r="3276" spans="1:61" x14ac:dyDescent="0.25">
      <c r="A3276" s="62" t="s">
        <v>1006</v>
      </c>
      <c r="B3276" s="62" t="s">
        <v>1006</v>
      </c>
      <c r="C3276" s="63"/>
      <c r="D3276" s="64"/>
      <c r="E3276" s="65"/>
      <c r="F3276" s="66"/>
      <c r="G3276" s="63"/>
      <c r="H3276" s="67"/>
      <c r="I3276" s="68"/>
      <c r="J3276" s="68"/>
      <c r="K3276" s="32"/>
      <c r="L3276" s="75">
        <v>3276</v>
      </c>
      <c r="M3276" s="75"/>
      <c r="N3276" s="70"/>
      <c r="O3276" s="77" t="s">
        <v>179</v>
      </c>
      <c r="P3276" s="79">
        <v>45078.727708333332</v>
      </c>
      <c r="Q3276" s="77" t="s">
        <v>4482</v>
      </c>
      <c r="R3276" s="77">
        <v>0</v>
      </c>
      <c r="S3276" s="77">
        <v>0</v>
      </c>
      <c r="T3276" s="77">
        <v>0</v>
      </c>
      <c r="U3276" s="77">
        <v>0</v>
      </c>
      <c r="V3276" s="77">
        <v>91</v>
      </c>
      <c r="W3276" s="82" t="s">
        <v>6740</v>
      </c>
      <c r="X3276" s="77"/>
      <c r="Y3276" s="77"/>
      <c r="Z3276" s="77"/>
      <c r="AA3276" s="77" t="s">
        <v>9601</v>
      </c>
      <c r="AB3276" s="77" t="s">
        <v>10130</v>
      </c>
      <c r="AC3276" s="82" t="s">
        <v>10147</v>
      </c>
      <c r="AD3276" s="77" t="s">
        <v>10184</v>
      </c>
      <c r="AE3276" s="80" t="str">
        <f>HYPERLINK("https://twitter.com/imdasmilhas/status/1664322893956927488")</f>
        <v>https://twitter.com/imdasmilhas/status/1664322893956927488</v>
      </c>
      <c r="AF3276" s="79">
        <v>45078.727708333332</v>
      </c>
      <c r="AG3276" s="85">
        <v>45078</v>
      </c>
      <c r="AH3276" s="82" t="s">
        <v>13284</v>
      </c>
      <c r="AI3276" s="77" t="b">
        <v>0</v>
      </c>
      <c r="AJ3276" s="77"/>
      <c r="AK3276" s="77"/>
      <c r="AL3276" s="77"/>
      <c r="AM3276" s="77"/>
      <c r="AN3276" s="77"/>
      <c r="AO3276" s="77"/>
      <c r="AP3276" s="77"/>
      <c r="AQ3276" s="77" t="s">
        <v>16244</v>
      </c>
      <c r="AR3276" s="77"/>
      <c r="AS3276" s="77"/>
      <c r="AT3276" s="77"/>
      <c r="AU3276" s="77"/>
      <c r="AV3276" s="80" t="str">
        <f>HYPERLINK("https://pbs.twimg.com/media/Fxjc2giXwCoZufj.jpg")</f>
        <v>https://pbs.twimg.com/media/Fxjc2giXwCoZufj.jpg</v>
      </c>
      <c r="AW3276" s="82" t="s">
        <v>20042</v>
      </c>
      <c r="AX3276" s="82" t="s">
        <v>20042</v>
      </c>
      <c r="AY3276" s="77"/>
      <c r="AZ3276" s="82" t="s">
        <v>20971</v>
      </c>
      <c r="BA3276" s="82" t="s">
        <v>20971</v>
      </c>
      <c r="BB3276" s="82" t="s">
        <v>20971</v>
      </c>
      <c r="BC3276" s="82" t="s">
        <v>20042</v>
      </c>
      <c r="BD3276" s="82" t="s">
        <v>21597</v>
      </c>
      <c r="BE3276" s="77"/>
      <c r="BF3276" s="77"/>
      <c r="BG3276" s="77"/>
      <c r="BH3276" s="77"/>
      <c r="BI3276" s="77"/>
    </row>
    <row r="3277" spans="1:61" x14ac:dyDescent="0.25">
      <c r="A3277" s="62" t="s">
        <v>1006</v>
      </c>
      <c r="B3277" s="62" t="s">
        <v>1006</v>
      </c>
      <c r="C3277" s="63"/>
      <c r="D3277" s="64"/>
      <c r="E3277" s="65"/>
      <c r="F3277" s="66"/>
      <c r="G3277" s="63"/>
      <c r="H3277" s="67"/>
      <c r="I3277" s="68"/>
      <c r="J3277" s="68"/>
      <c r="K3277" s="32"/>
      <c r="L3277" s="75">
        <v>3277</v>
      </c>
      <c r="M3277" s="75"/>
      <c r="N3277" s="70"/>
      <c r="O3277" s="77" t="s">
        <v>179</v>
      </c>
      <c r="P3277" s="79">
        <v>45077.802291666667</v>
      </c>
      <c r="Q3277" s="77" t="s">
        <v>4483</v>
      </c>
      <c r="R3277" s="77">
        <v>0</v>
      </c>
      <c r="S3277" s="77">
        <v>0</v>
      </c>
      <c r="T3277" s="77">
        <v>0</v>
      </c>
      <c r="U3277" s="77">
        <v>0</v>
      </c>
      <c r="V3277" s="77">
        <v>127</v>
      </c>
      <c r="W3277" s="82" t="s">
        <v>6740</v>
      </c>
      <c r="X3277" s="77"/>
      <c r="Y3277" s="77"/>
      <c r="Z3277" s="77"/>
      <c r="AA3277" s="77" t="s">
        <v>9602</v>
      </c>
      <c r="AB3277" s="77" t="s">
        <v>10130</v>
      </c>
      <c r="AC3277" s="82" t="s">
        <v>10147</v>
      </c>
      <c r="AD3277" s="77" t="s">
        <v>10184</v>
      </c>
      <c r="AE3277" s="80" t="str">
        <f>HYPERLINK("https://twitter.com/imdasmilhas/status/1663987535977259013")</f>
        <v>https://twitter.com/imdasmilhas/status/1663987535977259013</v>
      </c>
      <c r="AF3277" s="79">
        <v>45077.802291666667</v>
      </c>
      <c r="AG3277" s="85">
        <v>45077</v>
      </c>
      <c r="AH3277" s="82" t="s">
        <v>12168</v>
      </c>
      <c r="AI3277" s="77" t="b">
        <v>0</v>
      </c>
      <c r="AJ3277" s="77"/>
      <c r="AK3277" s="77"/>
      <c r="AL3277" s="77"/>
      <c r="AM3277" s="77"/>
      <c r="AN3277" s="77"/>
      <c r="AO3277" s="77"/>
      <c r="AP3277" s="77"/>
      <c r="AQ3277" s="77" t="s">
        <v>16245</v>
      </c>
      <c r="AR3277" s="77"/>
      <c r="AS3277" s="77"/>
      <c r="AT3277" s="77"/>
      <c r="AU3277" s="77"/>
      <c r="AV3277" s="80" t="str">
        <f>HYPERLINK("https://pbs.twimg.com/media/Fxer2HlWAAccY89.jpg")</f>
        <v>https://pbs.twimg.com/media/Fxer2HlWAAccY89.jpg</v>
      </c>
      <c r="AW3277" s="82" t="s">
        <v>20043</v>
      </c>
      <c r="AX3277" s="82" t="s">
        <v>20043</v>
      </c>
      <c r="AY3277" s="77"/>
      <c r="AZ3277" s="82" t="s">
        <v>20971</v>
      </c>
      <c r="BA3277" s="82" t="s">
        <v>20971</v>
      </c>
      <c r="BB3277" s="82" t="s">
        <v>20971</v>
      </c>
      <c r="BC3277" s="82" t="s">
        <v>20043</v>
      </c>
      <c r="BD3277" s="82" t="s">
        <v>21597</v>
      </c>
      <c r="BE3277" s="77"/>
      <c r="BF3277" s="77"/>
      <c r="BG3277" s="77"/>
      <c r="BH3277" s="77"/>
      <c r="BI3277" s="77"/>
    </row>
    <row r="3278" spans="1:61" x14ac:dyDescent="0.25">
      <c r="A3278" s="62" t="s">
        <v>1006</v>
      </c>
      <c r="B3278" s="62" t="s">
        <v>1006</v>
      </c>
      <c r="C3278" s="63"/>
      <c r="D3278" s="64"/>
      <c r="E3278" s="65"/>
      <c r="F3278" s="66"/>
      <c r="G3278" s="63"/>
      <c r="H3278" s="67"/>
      <c r="I3278" s="68"/>
      <c r="J3278" s="68"/>
      <c r="K3278" s="32"/>
      <c r="L3278" s="75">
        <v>3278</v>
      </c>
      <c r="M3278" s="75"/>
      <c r="N3278" s="70"/>
      <c r="O3278" s="77" t="s">
        <v>179</v>
      </c>
      <c r="P3278" s="79">
        <v>45077.801840277774</v>
      </c>
      <c r="Q3278" s="77" t="s">
        <v>4484</v>
      </c>
      <c r="R3278" s="77">
        <v>0</v>
      </c>
      <c r="S3278" s="77">
        <v>0</v>
      </c>
      <c r="T3278" s="77">
        <v>0</v>
      </c>
      <c r="U3278" s="77">
        <v>0</v>
      </c>
      <c r="V3278" s="77">
        <v>115</v>
      </c>
      <c r="W3278" s="82" t="s">
        <v>6740</v>
      </c>
      <c r="X3278" s="77"/>
      <c r="Y3278" s="77"/>
      <c r="Z3278" s="77"/>
      <c r="AA3278" s="77" t="s">
        <v>9603</v>
      </c>
      <c r="AB3278" s="77" t="s">
        <v>10130</v>
      </c>
      <c r="AC3278" s="82" t="s">
        <v>10147</v>
      </c>
      <c r="AD3278" s="77" t="s">
        <v>10184</v>
      </c>
      <c r="AE3278" s="80" t="str">
        <f>HYPERLINK("https://twitter.com/imdasmilhas/status/1663987373380870146")</f>
        <v>https://twitter.com/imdasmilhas/status/1663987373380870146</v>
      </c>
      <c r="AF3278" s="79">
        <v>45077.801840277774</v>
      </c>
      <c r="AG3278" s="85">
        <v>45077</v>
      </c>
      <c r="AH3278" s="82" t="s">
        <v>12131</v>
      </c>
      <c r="AI3278" s="77" t="b">
        <v>0</v>
      </c>
      <c r="AJ3278" s="77"/>
      <c r="AK3278" s="77"/>
      <c r="AL3278" s="77"/>
      <c r="AM3278" s="77"/>
      <c r="AN3278" s="77"/>
      <c r="AO3278" s="77"/>
      <c r="AP3278" s="77"/>
      <c r="AQ3278" s="77" t="s">
        <v>16246</v>
      </c>
      <c r="AR3278" s="77"/>
      <c r="AS3278" s="77"/>
      <c r="AT3278" s="77"/>
      <c r="AU3278" s="77"/>
      <c r="AV3278" s="80" t="str">
        <f>HYPERLINK("https://pbs.twimg.com/media/FxersmWWIAgsYx1.jpg")</f>
        <v>https://pbs.twimg.com/media/FxersmWWIAgsYx1.jpg</v>
      </c>
      <c r="AW3278" s="82" t="s">
        <v>20044</v>
      </c>
      <c r="AX3278" s="82" t="s">
        <v>20044</v>
      </c>
      <c r="AY3278" s="77"/>
      <c r="AZ3278" s="82" t="s">
        <v>20971</v>
      </c>
      <c r="BA3278" s="82" t="s">
        <v>20971</v>
      </c>
      <c r="BB3278" s="82" t="s">
        <v>20971</v>
      </c>
      <c r="BC3278" s="82" t="s">
        <v>20044</v>
      </c>
      <c r="BD3278" s="82" t="s">
        <v>21597</v>
      </c>
      <c r="BE3278" s="77"/>
      <c r="BF3278" s="77"/>
      <c r="BG3278" s="77"/>
      <c r="BH3278" s="77"/>
      <c r="BI3278" s="77"/>
    </row>
    <row r="3279" spans="1:61" x14ac:dyDescent="0.25">
      <c r="A3279" s="62" t="s">
        <v>1006</v>
      </c>
      <c r="B3279" s="62" t="s">
        <v>1006</v>
      </c>
      <c r="C3279" s="63"/>
      <c r="D3279" s="64"/>
      <c r="E3279" s="65"/>
      <c r="F3279" s="66"/>
      <c r="G3279" s="63"/>
      <c r="H3279" s="67"/>
      <c r="I3279" s="68"/>
      <c r="J3279" s="68"/>
      <c r="K3279" s="32"/>
      <c r="L3279" s="75">
        <v>3279</v>
      </c>
      <c r="M3279" s="75"/>
      <c r="N3279" s="70"/>
      <c r="O3279" s="77" t="s">
        <v>179</v>
      </c>
      <c r="P3279" s="79">
        <v>45076.775729166664</v>
      </c>
      <c r="Q3279" s="77" t="s">
        <v>4485</v>
      </c>
      <c r="R3279" s="77">
        <v>0</v>
      </c>
      <c r="S3279" s="77">
        <v>0</v>
      </c>
      <c r="T3279" s="77">
        <v>0</v>
      </c>
      <c r="U3279" s="77">
        <v>0</v>
      </c>
      <c r="V3279" s="77">
        <v>159</v>
      </c>
      <c r="W3279" s="82" t="s">
        <v>6740</v>
      </c>
      <c r="X3279" s="77"/>
      <c r="Y3279" s="77"/>
      <c r="Z3279" s="77"/>
      <c r="AA3279" s="77" t="s">
        <v>9604</v>
      </c>
      <c r="AB3279" s="77" t="s">
        <v>10130</v>
      </c>
      <c r="AC3279" s="82" t="s">
        <v>10147</v>
      </c>
      <c r="AD3279" s="77" t="s">
        <v>10184</v>
      </c>
      <c r="AE3279" s="80" t="str">
        <f>HYPERLINK("https://twitter.com/imdasmilhas/status/1663615521995079681")</f>
        <v>https://twitter.com/imdasmilhas/status/1663615521995079681</v>
      </c>
      <c r="AF3279" s="79">
        <v>45076.775729166664</v>
      </c>
      <c r="AG3279" s="85">
        <v>45076</v>
      </c>
      <c r="AH3279" s="82" t="s">
        <v>13285</v>
      </c>
      <c r="AI3279" s="77" t="b">
        <v>0</v>
      </c>
      <c r="AJ3279" s="77"/>
      <c r="AK3279" s="77"/>
      <c r="AL3279" s="77"/>
      <c r="AM3279" s="77"/>
      <c r="AN3279" s="77"/>
      <c r="AO3279" s="77"/>
      <c r="AP3279" s="77"/>
      <c r="AQ3279" s="77" t="s">
        <v>16247</v>
      </c>
      <c r="AR3279" s="77"/>
      <c r="AS3279" s="77"/>
      <c r="AT3279" s="77"/>
      <c r="AU3279" s="77"/>
      <c r="AV3279" s="80" t="str">
        <f>HYPERLINK("https://pbs.twimg.com/media/FxZZgEKXoAEbWAq.jpg")</f>
        <v>https://pbs.twimg.com/media/FxZZgEKXoAEbWAq.jpg</v>
      </c>
      <c r="AW3279" s="82" t="s">
        <v>20045</v>
      </c>
      <c r="AX3279" s="82" t="s">
        <v>20045</v>
      </c>
      <c r="AY3279" s="77"/>
      <c r="AZ3279" s="82" t="s">
        <v>20971</v>
      </c>
      <c r="BA3279" s="82" t="s">
        <v>20971</v>
      </c>
      <c r="BB3279" s="82" t="s">
        <v>20971</v>
      </c>
      <c r="BC3279" s="82" t="s">
        <v>20045</v>
      </c>
      <c r="BD3279" s="82" t="s">
        <v>21597</v>
      </c>
      <c r="BE3279" s="77"/>
      <c r="BF3279" s="77"/>
      <c r="BG3279" s="77"/>
      <c r="BH3279" s="77"/>
      <c r="BI3279" s="77"/>
    </row>
    <row r="3280" spans="1:61" x14ac:dyDescent="0.25">
      <c r="A3280" s="62" t="s">
        <v>1006</v>
      </c>
      <c r="B3280" s="62" t="s">
        <v>1006</v>
      </c>
      <c r="C3280" s="63"/>
      <c r="D3280" s="64"/>
      <c r="E3280" s="65"/>
      <c r="F3280" s="66"/>
      <c r="G3280" s="63"/>
      <c r="H3280" s="67"/>
      <c r="I3280" s="68"/>
      <c r="J3280" s="68"/>
      <c r="K3280" s="32"/>
      <c r="L3280" s="75">
        <v>3280</v>
      </c>
      <c r="M3280" s="75"/>
      <c r="N3280" s="70"/>
      <c r="O3280" s="77" t="s">
        <v>179</v>
      </c>
      <c r="P3280" s="79">
        <v>45076.775312500002</v>
      </c>
      <c r="Q3280" s="77" t="s">
        <v>4486</v>
      </c>
      <c r="R3280" s="77">
        <v>0</v>
      </c>
      <c r="S3280" s="77">
        <v>0</v>
      </c>
      <c r="T3280" s="77">
        <v>0</v>
      </c>
      <c r="U3280" s="77">
        <v>0</v>
      </c>
      <c r="V3280" s="77">
        <v>82</v>
      </c>
      <c r="W3280" s="82" t="s">
        <v>6740</v>
      </c>
      <c r="X3280" s="77"/>
      <c r="Y3280" s="77"/>
      <c r="Z3280" s="77"/>
      <c r="AA3280" s="77" t="s">
        <v>9605</v>
      </c>
      <c r="AB3280" s="77" t="s">
        <v>10130</v>
      </c>
      <c r="AC3280" s="82" t="s">
        <v>10147</v>
      </c>
      <c r="AD3280" s="77" t="s">
        <v>10184</v>
      </c>
      <c r="AE3280" s="80" t="str">
        <f>HYPERLINK("https://twitter.com/imdasmilhas/status/1663615369347563522")</f>
        <v>https://twitter.com/imdasmilhas/status/1663615369347563522</v>
      </c>
      <c r="AF3280" s="79">
        <v>45076.775312500002</v>
      </c>
      <c r="AG3280" s="85">
        <v>45076</v>
      </c>
      <c r="AH3280" s="82" t="s">
        <v>13286</v>
      </c>
      <c r="AI3280" s="77" t="b">
        <v>0</v>
      </c>
      <c r="AJ3280" s="77"/>
      <c r="AK3280" s="77"/>
      <c r="AL3280" s="77"/>
      <c r="AM3280" s="77"/>
      <c r="AN3280" s="77"/>
      <c r="AO3280" s="77"/>
      <c r="AP3280" s="77"/>
      <c r="AQ3280" s="77" t="s">
        <v>16248</v>
      </c>
      <c r="AR3280" s="77"/>
      <c r="AS3280" s="77"/>
      <c r="AT3280" s="77"/>
      <c r="AU3280" s="77"/>
      <c r="AV3280" s="80" t="str">
        <f>HYPERLINK("https://pbs.twimg.com/media/FxZZXI1XwAI4Wiv.jpg")</f>
        <v>https://pbs.twimg.com/media/FxZZXI1XwAI4Wiv.jpg</v>
      </c>
      <c r="AW3280" s="82" t="s">
        <v>20046</v>
      </c>
      <c r="AX3280" s="82" t="s">
        <v>20046</v>
      </c>
      <c r="AY3280" s="77"/>
      <c r="AZ3280" s="82" t="s">
        <v>20971</v>
      </c>
      <c r="BA3280" s="82" t="s">
        <v>20971</v>
      </c>
      <c r="BB3280" s="82" t="s">
        <v>20971</v>
      </c>
      <c r="BC3280" s="82" t="s">
        <v>20046</v>
      </c>
      <c r="BD3280" s="82" t="s">
        <v>21597</v>
      </c>
      <c r="BE3280" s="77"/>
      <c r="BF3280" s="77"/>
      <c r="BG3280" s="77"/>
      <c r="BH3280" s="77"/>
      <c r="BI3280" s="77"/>
    </row>
    <row r="3281" spans="1:61" x14ac:dyDescent="0.25">
      <c r="A3281" s="62" t="s">
        <v>1006</v>
      </c>
      <c r="B3281" s="62" t="s">
        <v>1006</v>
      </c>
      <c r="C3281" s="63"/>
      <c r="D3281" s="64"/>
      <c r="E3281" s="65"/>
      <c r="F3281" s="66"/>
      <c r="G3281" s="63"/>
      <c r="H3281" s="67"/>
      <c r="I3281" s="68"/>
      <c r="J3281" s="68"/>
      <c r="K3281" s="32"/>
      <c r="L3281" s="75">
        <v>3281</v>
      </c>
      <c r="M3281" s="75"/>
      <c r="N3281" s="70"/>
      <c r="O3281" s="77" t="s">
        <v>179</v>
      </c>
      <c r="P3281" s="79">
        <v>45076.774884259263</v>
      </c>
      <c r="Q3281" s="77" t="s">
        <v>4487</v>
      </c>
      <c r="R3281" s="77">
        <v>0</v>
      </c>
      <c r="S3281" s="77">
        <v>0</v>
      </c>
      <c r="T3281" s="77">
        <v>0</v>
      </c>
      <c r="U3281" s="77">
        <v>0</v>
      </c>
      <c r="V3281" s="77">
        <v>144</v>
      </c>
      <c r="W3281" s="82" t="s">
        <v>6741</v>
      </c>
      <c r="X3281" s="77"/>
      <c r="Y3281" s="77"/>
      <c r="Z3281" s="77"/>
      <c r="AA3281" s="77" t="s">
        <v>9606</v>
      </c>
      <c r="AB3281" s="77" t="s">
        <v>10130</v>
      </c>
      <c r="AC3281" s="82" t="s">
        <v>10147</v>
      </c>
      <c r="AD3281" s="77" t="s">
        <v>10184</v>
      </c>
      <c r="AE3281" s="80" t="str">
        <f>HYPERLINK("https://twitter.com/imdasmilhas/status/1663615214187601923")</f>
        <v>https://twitter.com/imdasmilhas/status/1663615214187601923</v>
      </c>
      <c r="AF3281" s="79">
        <v>45076.774884259263</v>
      </c>
      <c r="AG3281" s="85">
        <v>45076</v>
      </c>
      <c r="AH3281" s="82" t="s">
        <v>13287</v>
      </c>
      <c r="AI3281" s="77" t="b">
        <v>0</v>
      </c>
      <c r="AJ3281" s="77"/>
      <c r="AK3281" s="77"/>
      <c r="AL3281" s="77"/>
      <c r="AM3281" s="77"/>
      <c r="AN3281" s="77"/>
      <c r="AO3281" s="77"/>
      <c r="AP3281" s="77"/>
      <c r="AQ3281" s="77" t="s">
        <v>16249</v>
      </c>
      <c r="AR3281" s="77"/>
      <c r="AS3281" s="77"/>
      <c r="AT3281" s="77"/>
      <c r="AU3281" s="77"/>
      <c r="AV3281" s="80" t="str">
        <f>HYPERLINK("https://pbs.twimg.com/media/FxZZOIRWIAAHYz9.jpg")</f>
        <v>https://pbs.twimg.com/media/FxZZOIRWIAAHYz9.jpg</v>
      </c>
      <c r="AW3281" s="82" t="s">
        <v>20047</v>
      </c>
      <c r="AX3281" s="82" t="s">
        <v>20047</v>
      </c>
      <c r="AY3281" s="77"/>
      <c r="AZ3281" s="82" t="s">
        <v>20971</v>
      </c>
      <c r="BA3281" s="82" t="s">
        <v>20971</v>
      </c>
      <c r="BB3281" s="82" t="s">
        <v>20971</v>
      </c>
      <c r="BC3281" s="82" t="s">
        <v>20047</v>
      </c>
      <c r="BD3281" s="82" t="s">
        <v>21597</v>
      </c>
      <c r="BE3281" s="77"/>
      <c r="BF3281" s="77"/>
      <c r="BG3281" s="77"/>
      <c r="BH3281" s="77"/>
      <c r="BI3281" s="77"/>
    </row>
    <row r="3282" spans="1:61" x14ac:dyDescent="0.25">
      <c r="A3282" s="62" t="s">
        <v>1006</v>
      </c>
      <c r="B3282" s="62" t="s">
        <v>1006</v>
      </c>
      <c r="C3282" s="63"/>
      <c r="D3282" s="64"/>
      <c r="E3282" s="65"/>
      <c r="F3282" s="66"/>
      <c r="G3282" s="63"/>
      <c r="H3282" s="67"/>
      <c r="I3282" s="68"/>
      <c r="J3282" s="68"/>
      <c r="K3282" s="32"/>
      <c r="L3282" s="75">
        <v>3282</v>
      </c>
      <c r="M3282" s="75"/>
      <c r="N3282" s="70"/>
      <c r="O3282" s="77" t="s">
        <v>179</v>
      </c>
      <c r="P3282" s="79">
        <v>45076.77449074074</v>
      </c>
      <c r="Q3282" s="77" t="s">
        <v>4488</v>
      </c>
      <c r="R3282" s="77">
        <v>0</v>
      </c>
      <c r="S3282" s="77">
        <v>0</v>
      </c>
      <c r="T3282" s="77">
        <v>0</v>
      </c>
      <c r="U3282" s="77">
        <v>0</v>
      </c>
      <c r="V3282" s="77">
        <v>87</v>
      </c>
      <c r="W3282" s="82" t="s">
        <v>6740</v>
      </c>
      <c r="X3282" s="77"/>
      <c r="Y3282" s="77"/>
      <c r="Z3282" s="77"/>
      <c r="AA3282" s="77" t="s">
        <v>9607</v>
      </c>
      <c r="AB3282" s="77" t="s">
        <v>10130</v>
      </c>
      <c r="AC3282" s="82" t="s">
        <v>10147</v>
      </c>
      <c r="AD3282" s="77" t="s">
        <v>10184</v>
      </c>
      <c r="AE3282" s="80" t="str">
        <f>HYPERLINK("https://twitter.com/imdasmilhas/status/1663615070813732864")</f>
        <v>https://twitter.com/imdasmilhas/status/1663615070813732864</v>
      </c>
      <c r="AF3282" s="79">
        <v>45076.77449074074</v>
      </c>
      <c r="AG3282" s="85">
        <v>45076</v>
      </c>
      <c r="AH3282" s="82" t="s">
        <v>13288</v>
      </c>
      <c r="AI3282" s="77" t="b">
        <v>0</v>
      </c>
      <c r="AJ3282" s="77"/>
      <c r="AK3282" s="77"/>
      <c r="AL3282" s="77"/>
      <c r="AM3282" s="77"/>
      <c r="AN3282" s="77"/>
      <c r="AO3282" s="77"/>
      <c r="AP3282" s="77"/>
      <c r="AQ3282" s="77" t="s">
        <v>16250</v>
      </c>
      <c r="AR3282" s="77"/>
      <c r="AS3282" s="77"/>
      <c r="AT3282" s="77"/>
      <c r="AU3282" s="77"/>
      <c r="AV3282" s="80" t="str">
        <f>HYPERLINK("https://pbs.twimg.com/media/FxZZFxsWcAA2Tfs.jpg")</f>
        <v>https://pbs.twimg.com/media/FxZZFxsWcAA2Tfs.jpg</v>
      </c>
      <c r="AW3282" s="82" t="s">
        <v>20048</v>
      </c>
      <c r="AX3282" s="82" t="s">
        <v>20048</v>
      </c>
      <c r="AY3282" s="77"/>
      <c r="AZ3282" s="82" t="s">
        <v>20971</v>
      </c>
      <c r="BA3282" s="82" t="s">
        <v>20971</v>
      </c>
      <c r="BB3282" s="82" t="s">
        <v>20971</v>
      </c>
      <c r="BC3282" s="82" t="s">
        <v>20048</v>
      </c>
      <c r="BD3282" s="82" t="s">
        <v>21597</v>
      </c>
      <c r="BE3282" s="77"/>
      <c r="BF3282" s="77"/>
      <c r="BG3282" s="77"/>
      <c r="BH3282" s="77"/>
      <c r="BI3282" s="77"/>
    </row>
    <row r="3283" spans="1:61" x14ac:dyDescent="0.25">
      <c r="A3283" s="62" t="s">
        <v>1006</v>
      </c>
      <c r="B3283" s="62" t="s">
        <v>1006</v>
      </c>
      <c r="C3283" s="63"/>
      <c r="D3283" s="64"/>
      <c r="E3283" s="65"/>
      <c r="F3283" s="66"/>
      <c r="G3283" s="63"/>
      <c r="H3283" s="67"/>
      <c r="I3283" s="68"/>
      <c r="J3283" s="68"/>
      <c r="K3283" s="32"/>
      <c r="L3283" s="75">
        <v>3283</v>
      </c>
      <c r="M3283" s="75"/>
      <c r="N3283" s="70"/>
      <c r="O3283" s="77" t="s">
        <v>179</v>
      </c>
      <c r="P3283" s="79">
        <v>45076.773784722223</v>
      </c>
      <c r="Q3283" s="77" t="s">
        <v>4489</v>
      </c>
      <c r="R3283" s="77">
        <v>0</v>
      </c>
      <c r="S3283" s="77">
        <v>0</v>
      </c>
      <c r="T3283" s="77">
        <v>0</v>
      </c>
      <c r="U3283" s="77">
        <v>0</v>
      </c>
      <c r="V3283" s="77">
        <v>85</v>
      </c>
      <c r="W3283" s="82" t="s">
        <v>6740</v>
      </c>
      <c r="X3283" s="77"/>
      <c r="Y3283" s="77"/>
      <c r="Z3283" s="77"/>
      <c r="AA3283" s="77" t="s">
        <v>9608</v>
      </c>
      <c r="AB3283" s="77" t="s">
        <v>10130</v>
      </c>
      <c r="AC3283" s="82" t="s">
        <v>10147</v>
      </c>
      <c r="AD3283" s="77" t="s">
        <v>10184</v>
      </c>
      <c r="AE3283" s="80" t="str">
        <f>HYPERLINK("https://twitter.com/imdasmilhas/status/1663614814931898368")</f>
        <v>https://twitter.com/imdasmilhas/status/1663614814931898368</v>
      </c>
      <c r="AF3283" s="79">
        <v>45076.773784722223</v>
      </c>
      <c r="AG3283" s="85">
        <v>45076</v>
      </c>
      <c r="AH3283" s="82" t="s">
        <v>13289</v>
      </c>
      <c r="AI3283" s="77" t="b">
        <v>0</v>
      </c>
      <c r="AJ3283" s="77"/>
      <c r="AK3283" s="77"/>
      <c r="AL3283" s="77"/>
      <c r="AM3283" s="77"/>
      <c r="AN3283" s="77"/>
      <c r="AO3283" s="77"/>
      <c r="AP3283" s="77"/>
      <c r="AQ3283" s="77" t="s">
        <v>16251</v>
      </c>
      <c r="AR3283" s="77"/>
      <c r="AS3283" s="77"/>
      <c r="AT3283" s="77"/>
      <c r="AU3283" s="77"/>
      <c r="AV3283" s="80" t="str">
        <f>HYPERLINK("https://pbs.twimg.com/media/FxZY25oWwAAjaMB.jpg")</f>
        <v>https://pbs.twimg.com/media/FxZY25oWwAAjaMB.jpg</v>
      </c>
      <c r="AW3283" s="82" t="s">
        <v>20049</v>
      </c>
      <c r="AX3283" s="82" t="s">
        <v>20049</v>
      </c>
      <c r="AY3283" s="77"/>
      <c r="AZ3283" s="82" t="s">
        <v>20971</v>
      </c>
      <c r="BA3283" s="82" t="s">
        <v>20971</v>
      </c>
      <c r="BB3283" s="82" t="s">
        <v>20971</v>
      </c>
      <c r="BC3283" s="82" t="s">
        <v>20049</v>
      </c>
      <c r="BD3283" s="82" t="s">
        <v>21597</v>
      </c>
      <c r="BE3283" s="77"/>
      <c r="BF3283" s="77"/>
      <c r="BG3283" s="77"/>
      <c r="BH3283" s="77"/>
      <c r="BI3283" s="77"/>
    </row>
    <row r="3284" spans="1:61" x14ac:dyDescent="0.25">
      <c r="A3284" s="62" t="s">
        <v>1006</v>
      </c>
      <c r="B3284" s="62" t="s">
        <v>1006</v>
      </c>
      <c r="C3284" s="63"/>
      <c r="D3284" s="64"/>
      <c r="E3284" s="65"/>
      <c r="F3284" s="66"/>
      <c r="G3284" s="63"/>
      <c r="H3284" s="67"/>
      <c r="I3284" s="68"/>
      <c r="J3284" s="68"/>
      <c r="K3284" s="32"/>
      <c r="L3284" s="75">
        <v>3284</v>
      </c>
      <c r="M3284" s="75"/>
      <c r="N3284" s="70"/>
      <c r="O3284" s="77" t="s">
        <v>179</v>
      </c>
      <c r="P3284" s="79">
        <v>45051.819861111115</v>
      </c>
      <c r="Q3284" s="77" t="s">
        <v>4490</v>
      </c>
      <c r="R3284" s="77">
        <v>0</v>
      </c>
      <c r="S3284" s="77">
        <v>0</v>
      </c>
      <c r="T3284" s="77">
        <v>0</v>
      </c>
      <c r="U3284" s="77">
        <v>0</v>
      </c>
      <c r="V3284" s="77">
        <v>96</v>
      </c>
      <c r="W3284" s="82" t="s">
        <v>6740</v>
      </c>
      <c r="X3284" s="77"/>
      <c r="Y3284" s="77"/>
      <c r="Z3284" s="77"/>
      <c r="AA3284" s="77" t="s">
        <v>9609</v>
      </c>
      <c r="AB3284" s="77" t="s">
        <v>10130</v>
      </c>
      <c r="AC3284" s="82" t="s">
        <v>10147</v>
      </c>
      <c r="AD3284" s="77" t="s">
        <v>10184</v>
      </c>
      <c r="AE3284" s="80" t="str">
        <f>HYPERLINK("https://twitter.com/imdasmilhas/status/1654571816197713921")</f>
        <v>https://twitter.com/imdasmilhas/status/1654571816197713921</v>
      </c>
      <c r="AF3284" s="79">
        <v>45051.819861111115</v>
      </c>
      <c r="AG3284" s="85">
        <v>45051</v>
      </c>
      <c r="AH3284" s="82" t="s">
        <v>13290</v>
      </c>
      <c r="AI3284" s="77" t="b">
        <v>0</v>
      </c>
      <c r="AJ3284" s="77"/>
      <c r="AK3284" s="77"/>
      <c r="AL3284" s="77"/>
      <c r="AM3284" s="77"/>
      <c r="AN3284" s="77"/>
      <c r="AO3284" s="77"/>
      <c r="AP3284" s="77"/>
      <c r="AQ3284" s="77" t="s">
        <v>16252</v>
      </c>
      <c r="AR3284" s="77"/>
      <c r="AS3284" s="77"/>
      <c r="AT3284" s="77"/>
      <c r="AU3284" s="77"/>
      <c r="AV3284" s="80" t="str">
        <f>HYPERLINK("https://pbs.twimg.com/media/FvY4TGiX0AMrHZe.jpg")</f>
        <v>https://pbs.twimg.com/media/FvY4TGiX0AMrHZe.jpg</v>
      </c>
      <c r="AW3284" s="82" t="s">
        <v>20050</v>
      </c>
      <c r="AX3284" s="82" t="s">
        <v>20050</v>
      </c>
      <c r="AY3284" s="77"/>
      <c r="AZ3284" s="82" t="s">
        <v>20971</v>
      </c>
      <c r="BA3284" s="82" t="s">
        <v>20971</v>
      </c>
      <c r="BB3284" s="82" t="s">
        <v>20971</v>
      </c>
      <c r="BC3284" s="82" t="s">
        <v>20050</v>
      </c>
      <c r="BD3284" s="82" t="s">
        <v>21597</v>
      </c>
      <c r="BE3284" s="77"/>
      <c r="BF3284" s="77"/>
      <c r="BG3284" s="77"/>
      <c r="BH3284" s="77"/>
      <c r="BI3284" s="77"/>
    </row>
    <row r="3285" spans="1:61" x14ac:dyDescent="0.25">
      <c r="A3285" s="62" t="s">
        <v>1006</v>
      </c>
      <c r="B3285" s="62" t="s">
        <v>1006</v>
      </c>
      <c r="C3285" s="63"/>
      <c r="D3285" s="64"/>
      <c r="E3285" s="65"/>
      <c r="F3285" s="66"/>
      <c r="G3285" s="63"/>
      <c r="H3285" s="67"/>
      <c r="I3285" s="68"/>
      <c r="J3285" s="68"/>
      <c r="K3285" s="32"/>
      <c r="L3285" s="75">
        <v>3285</v>
      </c>
      <c r="M3285" s="75"/>
      <c r="N3285" s="70"/>
      <c r="O3285" s="77" t="s">
        <v>179</v>
      </c>
      <c r="P3285" s="79">
        <v>45051.819606481484</v>
      </c>
      <c r="Q3285" s="77" t="s">
        <v>4491</v>
      </c>
      <c r="R3285" s="77">
        <v>0</v>
      </c>
      <c r="S3285" s="77">
        <v>0</v>
      </c>
      <c r="T3285" s="77">
        <v>0</v>
      </c>
      <c r="U3285" s="77">
        <v>0</v>
      </c>
      <c r="V3285" s="77">
        <v>73</v>
      </c>
      <c r="W3285" s="82" t="s">
        <v>6741</v>
      </c>
      <c r="X3285" s="77"/>
      <c r="Y3285" s="77"/>
      <c r="Z3285" s="77"/>
      <c r="AA3285" s="77" t="s">
        <v>9610</v>
      </c>
      <c r="AB3285" s="77" t="s">
        <v>10130</v>
      </c>
      <c r="AC3285" s="82" t="s">
        <v>10147</v>
      </c>
      <c r="AD3285" s="77" t="s">
        <v>10184</v>
      </c>
      <c r="AE3285" s="80" t="str">
        <f>HYPERLINK("https://twitter.com/imdasmilhas/status/1654571726657708032")</f>
        <v>https://twitter.com/imdasmilhas/status/1654571726657708032</v>
      </c>
      <c r="AF3285" s="79">
        <v>45051.819606481484</v>
      </c>
      <c r="AG3285" s="85">
        <v>45051</v>
      </c>
      <c r="AH3285" s="82" t="s">
        <v>13291</v>
      </c>
      <c r="AI3285" s="77" t="b">
        <v>0</v>
      </c>
      <c r="AJ3285" s="77"/>
      <c r="AK3285" s="77"/>
      <c r="AL3285" s="77"/>
      <c r="AM3285" s="77"/>
      <c r="AN3285" s="77"/>
      <c r="AO3285" s="77"/>
      <c r="AP3285" s="77"/>
      <c r="AQ3285" s="77" t="s">
        <v>16253</v>
      </c>
      <c r="AR3285" s="77"/>
      <c r="AS3285" s="77"/>
      <c r="AT3285" s="77"/>
      <c r="AU3285" s="77"/>
      <c r="AV3285" s="80" t="str">
        <f>HYPERLINK("https://pbs.twimg.com/media/FvY4N4fWAAES5cR.jpg")</f>
        <v>https://pbs.twimg.com/media/FvY4N4fWAAES5cR.jpg</v>
      </c>
      <c r="AW3285" s="82" t="s">
        <v>20051</v>
      </c>
      <c r="AX3285" s="82" t="s">
        <v>20051</v>
      </c>
      <c r="AY3285" s="77"/>
      <c r="AZ3285" s="82" t="s">
        <v>20971</v>
      </c>
      <c r="BA3285" s="82" t="s">
        <v>20971</v>
      </c>
      <c r="BB3285" s="82" t="s">
        <v>20971</v>
      </c>
      <c r="BC3285" s="82" t="s">
        <v>20051</v>
      </c>
      <c r="BD3285" s="82" t="s">
        <v>21597</v>
      </c>
      <c r="BE3285" s="77"/>
      <c r="BF3285" s="77"/>
      <c r="BG3285" s="77"/>
      <c r="BH3285" s="77"/>
      <c r="BI3285" s="77"/>
    </row>
    <row r="3286" spans="1:61" x14ac:dyDescent="0.25">
      <c r="A3286" s="62" t="s">
        <v>1006</v>
      </c>
      <c r="B3286" s="62" t="s">
        <v>1006</v>
      </c>
      <c r="C3286" s="63"/>
      <c r="D3286" s="64"/>
      <c r="E3286" s="65"/>
      <c r="F3286" s="66"/>
      <c r="G3286" s="63"/>
      <c r="H3286" s="67"/>
      <c r="I3286" s="68"/>
      <c r="J3286" s="68"/>
      <c r="K3286" s="32"/>
      <c r="L3286" s="75">
        <v>3286</v>
      </c>
      <c r="M3286" s="75"/>
      <c r="N3286" s="70"/>
      <c r="O3286" s="77" t="s">
        <v>179</v>
      </c>
      <c r="P3286" s="79">
        <v>45051.739259259259</v>
      </c>
      <c r="Q3286" s="77" t="s">
        <v>4492</v>
      </c>
      <c r="R3286" s="77">
        <v>0</v>
      </c>
      <c r="S3286" s="77">
        <v>0</v>
      </c>
      <c r="T3286" s="77">
        <v>0</v>
      </c>
      <c r="U3286" s="77">
        <v>0</v>
      </c>
      <c r="V3286" s="77">
        <v>59</v>
      </c>
      <c r="W3286" s="82" t="s">
        <v>6740</v>
      </c>
      <c r="X3286" s="77"/>
      <c r="Y3286" s="77"/>
      <c r="Z3286" s="77"/>
      <c r="AA3286" s="77" t="s">
        <v>9611</v>
      </c>
      <c r="AB3286" s="77" t="s">
        <v>10130</v>
      </c>
      <c r="AC3286" s="82" t="s">
        <v>10147</v>
      </c>
      <c r="AD3286" s="77" t="s">
        <v>10184</v>
      </c>
      <c r="AE3286" s="80" t="str">
        <f>HYPERLINK("https://twitter.com/imdasmilhas/status/1654542610197798913")</f>
        <v>https://twitter.com/imdasmilhas/status/1654542610197798913</v>
      </c>
      <c r="AF3286" s="79">
        <v>45051.739259259259</v>
      </c>
      <c r="AG3286" s="85">
        <v>45051</v>
      </c>
      <c r="AH3286" s="82" t="s">
        <v>13292</v>
      </c>
      <c r="AI3286" s="77" t="b">
        <v>0</v>
      </c>
      <c r="AJ3286" s="77"/>
      <c r="AK3286" s="77"/>
      <c r="AL3286" s="77"/>
      <c r="AM3286" s="77"/>
      <c r="AN3286" s="77"/>
      <c r="AO3286" s="77"/>
      <c r="AP3286" s="77"/>
      <c r="AQ3286" s="77" t="s">
        <v>16254</v>
      </c>
      <c r="AR3286" s="77"/>
      <c r="AS3286" s="77"/>
      <c r="AT3286" s="77"/>
      <c r="AU3286" s="77"/>
      <c r="AV3286" s="80" t="str">
        <f>HYPERLINK("https://pbs.twimg.com/media/FvYdvF2XsAAf9SG.jpg")</f>
        <v>https://pbs.twimg.com/media/FvYdvF2XsAAf9SG.jpg</v>
      </c>
      <c r="AW3286" s="82" t="s">
        <v>20052</v>
      </c>
      <c r="AX3286" s="82" t="s">
        <v>20052</v>
      </c>
      <c r="AY3286" s="77"/>
      <c r="AZ3286" s="82" t="s">
        <v>20971</v>
      </c>
      <c r="BA3286" s="82" t="s">
        <v>20971</v>
      </c>
      <c r="BB3286" s="82" t="s">
        <v>20971</v>
      </c>
      <c r="BC3286" s="82" t="s">
        <v>20052</v>
      </c>
      <c r="BD3286" s="82" t="s">
        <v>21597</v>
      </c>
      <c r="BE3286" s="77"/>
      <c r="BF3286" s="77"/>
      <c r="BG3286" s="77"/>
      <c r="BH3286" s="77"/>
      <c r="BI3286" s="77"/>
    </row>
    <row r="3287" spans="1:61" x14ac:dyDescent="0.25">
      <c r="A3287" s="62" t="s">
        <v>1006</v>
      </c>
      <c r="B3287" s="62" t="s">
        <v>1006</v>
      </c>
      <c r="C3287" s="63"/>
      <c r="D3287" s="64"/>
      <c r="E3287" s="65"/>
      <c r="F3287" s="66"/>
      <c r="G3287" s="63"/>
      <c r="H3287" s="67"/>
      <c r="I3287" s="68"/>
      <c r="J3287" s="68"/>
      <c r="K3287" s="32"/>
      <c r="L3287" s="75">
        <v>3287</v>
      </c>
      <c r="M3287" s="75"/>
      <c r="N3287" s="70"/>
      <c r="O3287" s="77" t="s">
        <v>179</v>
      </c>
      <c r="P3287" s="79">
        <v>45051.651203703703</v>
      </c>
      <c r="Q3287" s="77" t="s">
        <v>4493</v>
      </c>
      <c r="R3287" s="77">
        <v>0</v>
      </c>
      <c r="S3287" s="77">
        <v>0</v>
      </c>
      <c r="T3287" s="77">
        <v>0</v>
      </c>
      <c r="U3287" s="77">
        <v>0</v>
      </c>
      <c r="V3287" s="77">
        <v>81</v>
      </c>
      <c r="W3287" s="82" t="s">
        <v>6740</v>
      </c>
      <c r="X3287" s="77"/>
      <c r="Y3287" s="77"/>
      <c r="Z3287" s="77"/>
      <c r="AA3287" s="77" t="s">
        <v>9612</v>
      </c>
      <c r="AB3287" s="77" t="s">
        <v>10130</v>
      </c>
      <c r="AC3287" s="82" t="s">
        <v>10147</v>
      </c>
      <c r="AD3287" s="77" t="s">
        <v>10184</v>
      </c>
      <c r="AE3287" s="80" t="str">
        <f>HYPERLINK("https://twitter.com/imdasmilhas/status/1654510696887885825")</f>
        <v>https://twitter.com/imdasmilhas/status/1654510696887885825</v>
      </c>
      <c r="AF3287" s="79">
        <v>45051.651203703703</v>
      </c>
      <c r="AG3287" s="85">
        <v>45051</v>
      </c>
      <c r="AH3287" s="82" t="s">
        <v>13293</v>
      </c>
      <c r="AI3287" s="77" t="b">
        <v>0</v>
      </c>
      <c r="AJ3287" s="77"/>
      <c r="AK3287" s="77"/>
      <c r="AL3287" s="77"/>
      <c r="AM3287" s="77"/>
      <c r="AN3287" s="77"/>
      <c r="AO3287" s="77"/>
      <c r="AP3287" s="77"/>
      <c r="AQ3287" s="77" t="s">
        <v>16255</v>
      </c>
      <c r="AR3287" s="77"/>
      <c r="AS3287" s="77"/>
      <c r="AT3287" s="77"/>
      <c r="AU3287" s="77"/>
      <c r="AV3287" s="80" t="str">
        <f>HYPERLINK("https://pbs.twimg.com/media/FvYAteeWIAAHrEW.jpg")</f>
        <v>https://pbs.twimg.com/media/FvYAteeWIAAHrEW.jpg</v>
      </c>
      <c r="AW3287" s="82" t="s">
        <v>20053</v>
      </c>
      <c r="AX3287" s="82" t="s">
        <v>20053</v>
      </c>
      <c r="AY3287" s="77"/>
      <c r="AZ3287" s="82" t="s">
        <v>20971</v>
      </c>
      <c r="BA3287" s="82" t="s">
        <v>20971</v>
      </c>
      <c r="BB3287" s="82" t="s">
        <v>20971</v>
      </c>
      <c r="BC3287" s="82" t="s">
        <v>20053</v>
      </c>
      <c r="BD3287" s="82" t="s">
        <v>21597</v>
      </c>
      <c r="BE3287" s="77"/>
      <c r="BF3287" s="77"/>
      <c r="BG3287" s="77"/>
      <c r="BH3287" s="77"/>
      <c r="BI3287" s="77"/>
    </row>
    <row r="3288" spans="1:61" x14ac:dyDescent="0.25">
      <c r="A3288" s="62" t="s">
        <v>1006</v>
      </c>
      <c r="B3288" s="62" t="s">
        <v>1006</v>
      </c>
      <c r="C3288" s="63"/>
      <c r="D3288" s="64"/>
      <c r="E3288" s="65"/>
      <c r="F3288" s="66"/>
      <c r="G3288" s="63"/>
      <c r="H3288" s="67"/>
      <c r="I3288" s="68"/>
      <c r="J3288" s="68"/>
      <c r="K3288" s="32"/>
      <c r="L3288" s="75">
        <v>3288</v>
      </c>
      <c r="M3288" s="75"/>
      <c r="N3288" s="70"/>
      <c r="O3288" s="77" t="s">
        <v>179</v>
      </c>
      <c r="P3288" s="79">
        <v>45051.650891203702</v>
      </c>
      <c r="Q3288" s="77" t="s">
        <v>4494</v>
      </c>
      <c r="R3288" s="77">
        <v>0</v>
      </c>
      <c r="S3288" s="77">
        <v>0</v>
      </c>
      <c r="T3288" s="77">
        <v>0</v>
      </c>
      <c r="U3288" s="77">
        <v>0</v>
      </c>
      <c r="V3288" s="77">
        <v>103</v>
      </c>
      <c r="W3288" s="82" t="s">
        <v>6740</v>
      </c>
      <c r="X3288" s="77"/>
      <c r="Y3288" s="77"/>
      <c r="Z3288" s="77"/>
      <c r="AA3288" s="77" t="s">
        <v>9613</v>
      </c>
      <c r="AB3288" s="77" t="s">
        <v>10130</v>
      </c>
      <c r="AC3288" s="82" t="s">
        <v>10147</v>
      </c>
      <c r="AD3288" s="77" t="s">
        <v>10184</v>
      </c>
      <c r="AE3288" s="80" t="str">
        <f>HYPERLINK("https://twitter.com/imdasmilhas/status/1654510585906601985")</f>
        <v>https://twitter.com/imdasmilhas/status/1654510585906601985</v>
      </c>
      <c r="AF3288" s="79">
        <v>45051.650891203702</v>
      </c>
      <c r="AG3288" s="85">
        <v>45051</v>
      </c>
      <c r="AH3288" s="82" t="s">
        <v>13294</v>
      </c>
      <c r="AI3288" s="77" t="b">
        <v>0</v>
      </c>
      <c r="AJ3288" s="77"/>
      <c r="AK3288" s="77"/>
      <c r="AL3288" s="77"/>
      <c r="AM3288" s="77"/>
      <c r="AN3288" s="77"/>
      <c r="AO3288" s="77"/>
      <c r="AP3288" s="77"/>
      <c r="AQ3288" s="77" t="s">
        <v>16256</v>
      </c>
      <c r="AR3288" s="77"/>
      <c r="AS3288" s="77"/>
      <c r="AT3288" s="77"/>
      <c r="AU3288" s="77"/>
      <c r="AV3288" s="80" t="str">
        <f>HYPERLINK("https://pbs.twimg.com/media/FvYAnATXwAAZUGS.jpg")</f>
        <v>https://pbs.twimg.com/media/FvYAnATXwAAZUGS.jpg</v>
      </c>
      <c r="AW3288" s="82" t="s">
        <v>20054</v>
      </c>
      <c r="AX3288" s="82" t="s">
        <v>20054</v>
      </c>
      <c r="AY3288" s="77"/>
      <c r="AZ3288" s="82" t="s">
        <v>20971</v>
      </c>
      <c r="BA3288" s="82" t="s">
        <v>20971</v>
      </c>
      <c r="BB3288" s="82" t="s">
        <v>20971</v>
      </c>
      <c r="BC3288" s="82" t="s">
        <v>20054</v>
      </c>
      <c r="BD3288" s="82" t="s">
        <v>21597</v>
      </c>
      <c r="BE3288" s="77"/>
      <c r="BF3288" s="77"/>
      <c r="BG3288" s="77"/>
      <c r="BH3288" s="77"/>
      <c r="BI3288" s="77"/>
    </row>
    <row r="3289" spans="1:61" x14ac:dyDescent="0.25">
      <c r="A3289" s="62" t="s">
        <v>1006</v>
      </c>
      <c r="B3289" s="62" t="s">
        <v>1006</v>
      </c>
      <c r="C3289" s="63"/>
      <c r="D3289" s="64"/>
      <c r="E3289" s="65"/>
      <c r="F3289" s="66"/>
      <c r="G3289" s="63"/>
      <c r="H3289" s="67"/>
      <c r="I3289" s="68"/>
      <c r="J3289" s="68"/>
      <c r="K3289" s="32"/>
      <c r="L3289" s="75">
        <v>3289</v>
      </c>
      <c r="M3289" s="75"/>
      <c r="N3289" s="70"/>
      <c r="O3289" s="77" t="s">
        <v>179</v>
      </c>
      <c r="P3289" s="79">
        <v>45051.625636574077</v>
      </c>
      <c r="Q3289" s="77" t="s">
        <v>4495</v>
      </c>
      <c r="R3289" s="77">
        <v>0</v>
      </c>
      <c r="S3289" s="77">
        <v>0</v>
      </c>
      <c r="T3289" s="77">
        <v>0</v>
      </c>
      <c r="U3289" s="77">
        <v>0</v>
      </c>
      <c r="V3289" s="77">
        <v>94</v>
      </c>
      <c r="W3289" s="82" t="s">
        <v>6740</v>
      </c>
      <c r="X3289" s="77"/>
      <c r="Y3289" s="77"/>
      <c r="Z3289" s="77"/>
      <c r="AA3289" s="77" t="s">
        <v>9614</v>
      </c>
      <c r="AB3289" s="77" t="s">
        <v>10130</v>
      </c>
      <c r="AC3289" s="82" t="s">
        <v>10147</v>
      </c>
      <c r="AD3289" s="77" t="s">
        <v>10184</v>
      </c>
      <c r="AE3289" s="80" t="str">
        <f>HYPERLINK("https://twitter.com/imdasmilhas/status/1654501431771111427")</f>
        <v>https://twitter.com/imdasmilhas/status/1654501431771111427</v>
      </c>
      <c r="AF3289" s="79">
        <v>45051.625636574077</v>
      </c>
      <c r="AG3289" s="85">
        <v>45051</v>
      </c>
      <c r="AH3289" s="82" t="s">
        <v>13295</v>
      </c>
      <c r="AI3289" s="77" t="b">
        <v>0</v>
      </c>
      <c r="AJ3289" s="77"/>
      <c r="AK3289" s="77"/>
      <c r="AL3289" s="77"/>
      <c r="AM3289" s="77"/>
      <c r="AN3289" s="77"/>
      <c r="AO3289" s="77"/>
      <c r="AP3289" s="77"/>
      <c r="AQ3289" s="77" t="s">
        <v>16257</v>
      </c>
      <c r="AR3289" s="77"/>
      <c r="AS3289" s="77"/>
      <c r="AT3289" s="77"/>
      <c r="AU3289" s="77"/>
      <c r="AV3289" s="80" t="str">
        <f>HYPERLINK("https://pbs.twimg.com/media/FvX4SJjXsAAhNF-.jpg")</f>
        <v>https://pbs.twimg.com/media/FvX4SJjXsAAhNF-.jpg</v>
      </c>
      <c r="AW3289" s="82" t="s">
        <v>20055</v>
      </c>
      <c r="AX3289" s="82" t="s">
        <v>20055</v>
      </c>
      <c r="AY3289" s="77"/>
      <c r="AZ3289" s="82" t="s">
        <v>20971</v>
      </c>
      <c r="BA3289" s="82" t="s">
        <v>20971</v>
      </c>
      <c r="BB3289" s="82" t="s">
        <v>20971</v>
      </c>
      <c r="BC3289" s="82" t="s">
        <v>20055</v>
      </c>
      <c r="BD3289" s="82" t="s">
        <v>21597</v>
      </c>
      <c r="BE3289" s="77"/>
      <c r="BF3289" s="77"/>
      <c r="BG3289" s="77"/>
      <c r="BH3289" s="77"/>
      <c r="BI3289" s="77"/>
    </row>
    <row r="3290" spans="1:61" x14ac:dyDescent="0.25">
      <c r="A3290" s="62" t="s">
        <v>1006</v>
      </c>
      <c r="B3290" s="62" t="s">
        <v>1006</v>
      </c>
      <c r="C3290" s="63"/>
      <c r="D3290" s="64"/>
      <c r="E3290" s="65"/>
      <c r="F3290" s="66"/>
      <c r="G3290" s="63"/>
      <c r="H3290" s="67"/>
      <c r="I3290" s="68"/>
      <c r="J3290" s="68"/>
      <c r="K3290" s="32"/>
      <c r="L3290" s="75">
        <v>3290</v>
      </c>
      <c r="M3290" s="75"/>
      <c r="N3290" s="70"/>
      <c r="O3290" s="77" t="s">
        <v>179</v>
      </c>
      <c r="P3290" s="79">
        <v>45028.797002314815</v>
      </c>
      <c r="Q3290" s="77" t="s">
        <v>4496</v>
      </c>
      <c r="R3290" s="77">
        <v>0</v>
      </c>
      <c r="S3290" s="77">
        <v>1</v>
      </c>
      <c r="T3290" s="77">
        <v>0</v>
      </c>
      <c r="U3290" s="77">
        <v>0</v>
      </c>
      <c r="V3290" s="77">
        <v>99</v>
      </c>
      <c r="W3290" s="82" t="s">
        <v>6740</v>
      </c>
      <c r="X3290" s="77"/>
      <c r="Y3290" s="77"/>
      <c r="Z3290" s="77"/>
      <c r="AA3290" s="77" t="s">
        <v>9615</v>
      </c>
      <c r="AB3290" s="77" t="s">
        <v>10130</v>
      </c>
      <c r="AC3290" s="82" t="s">
        <v>10147</v>
      </c>
      <c r="AD3290" s="77" t="s">
        <v>10184</v>
      </c>
      <c r="AE3290" s="80" t="str">
        <f>HYPERLINK("https://twitter.com/imdasmilhas/status/1646228614612910080")</f>
        <v>https://twitter.com/imdasmilhas/status/1646228614612910080</v>
      </c>
      <c r="AF3290" s="79">
        <v>45028.797002314815</v>
      </c>
      <c r="AG3290" s="85">
        <v>45028</v>
      </c>
      <c r="AH3290" s="82" t="s">
        <v>13296</v>
      </c>
      <c r="AI3290" s="77" t="b">
        <v>0</v>
      </c>
      <c r="AJ3290" s="77"/>
      <c r="AK3290" s="77"/>
      <c r="AL3290" s="77"/>
      <c r="AM3290" s="77"/>
      <c r="AN3290" s="77"/>
      <c r="AO3290" s="77"/>
      <c r="AP3290" s="77"/>
      <c r="AQ3290" s="77" t="s">
        <v>16258</v>
      </c>
      <c r="AR3290" s="77"/>
      <c r="AS3290" s="77"/>
      <c r="AT3290" s="77"/>
      <c r="AU3290" s="77"/>
      <c r="AV3290" s="80" t="str">
        <f>HYPERLINK("https://pbs.twimg.com/media/FtiUM1UWYAMT4tu.jpg")</f>
        <v>https://pbs.twimg.com/media/FtiUM1UWYAMT4tu.jpg</v>
      </c>
      <c r="AW3290" s="82" t="s">
        <v>20056</v>
      </c>
      <c r="AX3290" s="82" t="s">
        <v>20056</v>
      </c>
      <c r="AY3290" s="77"/>
      <c r="AZ3290" s="82" t="s">
        <v>20971</v>
      </c>
      <c r="BA3290" s="82" t="s">
        <v>20971</v>
      </c>
      <c r="BB3290" s="82" t="s">
        <v>20971</v>
      </c>
      <c r="BC3290" s="82" t="s">
        <v>20056</v>
      </c>
      <c r="BD3290" s="82" t="s">
        <v>21597</v>
      </c>
      <c r="BE3290" s="77"/>
      <c r="BF3290" s="77"/>
      <c r="BG3290" s="77"/>
      <c r="BH3290" s="77"/>
      <c r="BI3290" s="77"/>
    </row>
    <row r="3291" spans="1:61" x14ac:dyDescent="0.25">
      <c r="A3291" s="62" t="s">
        <v>1006</v>
      </c>
      <c r="B3291" s="62" t="s">
        <v>1006</v>
      </c>
      <c r="C3291" s="63"/>
      <c r="D3291" s="64"/>
      <c r="E3291" s="65"/>
      <c r="F3291" s="66"/>
      <c r="G3291" s="63"/>
      <c r="H3291" s="67"/>
      <c r="I3291" s="68"/>
      <c r="J3291" s="68"/>
      <c r="K3291" s="32"/>
      <c r="L3291" s="75">
        <v>3291</v>
      </c>
      <c r="M3291" s="75"/>
      <c r="N3291" s="70"/>
      <c r="O3291" s="77" t="s">
        <v>179</v>
      </c>
      <c r="P3291" s="79">
        <v>45028.796724537038</v>
      </c>
      <c r="Q3291" s="77" t="s">
        <v>4497</v>
      </c>
      <c r="R3291" s="77">
        <v>0</v>
      </c>
      <c r="S3291" s="77">
        <v>0</v>
      </c>
      <c r="T3291" s="77">
        <v>0</v>
      </c>
      <c r="U3291" s="77">
        <v>0</v>
      </c>
      <c r="V3291" s="77">
        <v>40</v>
      </c>
      <c r="W3291" s="82" t="s">
        <v>6740</v>
      </c>
      <c r="X3291" s="77"/>
      <c r="Y3291" s="77"/>
      <c r="Z3291" s="77"/>
      <c r="AA3291" s="77" t="s">
        <v>9616</v>
      </c>
      <c r="AB3291" s="77" t="s">
        <v>10130</v>
      </c>
      <c r="AC3291" s="82" t="s">
        <v>10147</v>
      </c>
      <c r="AD3291" s="77" t="s">
        <v>10184</v>
      </c>
      <c r="AE3291" s="80" t="str">
        <f>HYPERLINK("https://twitter.com/imdasmilhas/status/1646228510854217734")</f>
        <v>https://twitter.com/imdasmilhas/status/1646228510854217734</v>
      </c>
      <c r="AF3291" s="79">
        <v>45028.796724537038</v>
      </c>
      <c r="AG3291" s="85">
        <v>45028</v>
      </c>
      <c r="AH3291" s="82" t="s">
        <v>13297</v>
      </c>
      <c r="AI3291" s="77" t="b">
        <v>0</v>
      </c>
      <c r="AJ3291" s="77"/>
      <c r="AK3291" s="77"/>
      <c r="AL3291" s="77"/>
      <c r="AM3291" s="77"/>
      <c r="AN3291" s="77"/>
      <c r="AO3291" s="77"/>
      <c r="AP3291" s="77"/>
      <c r="AQ3291" s="77" t="s">
        <v>16259</v>
      </c>
      <c r="AR3291" s="77"/>
      <c r="AS3291" s="77"/>
      <c r="AT3291" s="77"/>
      <c r="AU3291" s="77"/>
      <c r="AV3291" s="80" t="str">
        <f>HYPERLINK("https://pbs.twimg.com/media/FtiUGzNWAAgZvXX.jpg")</f>
        <v>https://pbs.twimg.com/media/FtiUGzNWAAgZvXX.jpg</v>
      </c>
      <c r="AW3291" s="82" t="s">
        <v>20057</v>
      </c>
      <c r="AX3291" s="82" t="s">
        <v>20057</v>
      </c>
      <c r="AY3291" s="77"/>
      <c r="AZ3291" s="82" t="s">
        <v>20971</v>
      </c>
      <c r="BA3291" s="82" t="s">
        <v>20971</v>
      </c>
      <c r="BB3291" s="82" t="s">
        <v>20971</v>
      </c>
      <c r="BC3291" s="82" t="s">
        <v>20057</v>
      </c>
      <c r="BD3291" s="82" t="s">
        <v>21597</v>
      </c>
      <c r="BE3291" s="77"/>
      <c r="BF3291" s="77"/>
      <c r="BG3291" s="77"/>
      <c r="BH3291" s="77"/>
      <c r="BI3291" s="77"/>
    </row>
    <row r="3292" spans="1:61" x14ac:dyDescent="0.25">
      <c r="A3292" s="62" t="s">
        <v>1006</v>
      </c>
      <c r="B3292" s="62" t="s">
        <v>1006</v>
      </c>
      <c r="C3292" s="63"/>
      <c r="D3292" s="64"/>
      <c r="E3292" s="65"/>
      <c r="F3292" s="66"/>
      <c r="G3292" s="63"/>
      <c r="H3292" s="67"/>
      <c r="I3292" s="68"/>
      <c r="J3292" s="68"/>
      <c r="K3292" s="32"/>
      <c r="L3292" s="75">
        <v>3292</v>
      </c>
      <c r="M3292" s="75"/>
      <c r="N3292" s="70"/>
      <c r="O3292" s="77" t="s">
        <v>179</v>
      </c>
      <c r="P3292" s="79">
        <v>45028.788090277776</v>
      </c>
      <c r="Q3292" s="77" t="s">
        <v>4498</v>
      </c>
      <c r="R3292" s="77">
        <v>0</v>
      </c>
      <c r="S3292" s="77">
        <v>0</v>
      </c>
      <c r="T3292" s="77">
        <v>0</v>
      </c>
      <c r="U3292" s="77">
        <v>0</v>
      </c>
      <c r="V3292" s="77">
        <v>67</v>
      </c>
      <c r="W3292" s="82" t="s">
        <v>6740</v>
      </c>
      <c r="X3292" s="77"/>
      <c r="Y3292" s="77"/>
      <c r="Z3292" s="77"/>
      <c r="AA3292" s="77" t="s">
        <v>9617</v>
      </c>
      <c r="AB3292" s="77" t="s">
        <v>10130</v>
      </c>
      <c r="AC3292" s="82" t="s">
        <v>10147</v>
      </c>
      <c r="AD3292" s="77" t="s">
        <v>10184</v>
      </c>
      <c r="AE3292" s="80" t="str">
        <f>HYPERLINK("https://twitter.com/imdasmilhas/status/1646225385149931522")</f>
        <v>https://twitter.com/imdasmilhas/status/1646225385149931522</v>
      </c>
      <c r="AF3292" s="79">
        <v>45028.788090277776</v>
      </c>
      <c r="AG3292" s="85">
        <v>45028</v>
      </c>
      <c r="AH3292" s="82" t="s">
        <v>13298</v>
      </c>
      <c r="AI3292" s="77" t="b">
        <v>0</v>
      </c>
      <c r="AJ3292" s="77"/>
      <c r="AK3292" s="77"/>
      <c r="AL3292" s="77"/>
      <c r="AM3292" s="77"/>
      <c r="AN3292" s="77"/>
      <c r="AO3292" s="77"/>
      <c r="AP3292" s="77"/>
      <c r="AQ3292" s="77" t="s">
        <v>16260</v>
      </c>
      <c r="AR3292" s="77"/>
      <c r="AS3292" s="77"/>
      <c r="AT3292" s="77"/>
      <c r="AU3292" s="77"/>
      <c r="AV3292" s="80" t="str">
        <f>HYPERLINK("https://pbs.twimg.com/media/FtiRQ2lWAAAoWCV.jpg")</f>
        <v>https://pbs.twimg.com/media/FtiRQ2lWAAAoWCV.jpg</v>
      </c>
      <c r="AW3292" s="82" t="s">
        <v>20058</v>
      </c>
      <c r="AX3292" s="82" t="s">
        <v>20058</v>
      </c>
      <c r="AY3292" s="77"/>
      <c r="AZ3292" s="82" t="s">
        <v>20971</v>
      </c>
      <c r="BA3292" s="82" t="s">
        <v>20971</v>
      </c>
      <c r="BB3292" s="82" t="s">
        <v>20971</v>
      </c>
      <c r="BC3292" s="82" t="s">
        <v>20058</v>
      </c>
      <c r="BD3292" s="82" t="s">
        <v>21597</v>
      </c>
      <c r="BE3292" s="77"/>
      <c r="BF3292" s="77"/>
      <c r="BG3292" s="77"/>
      <c r="BH3292" s="77"/>
      <c r="BI3292" s="77"/>
    </row>
    <row r="3293" spans="1:61" x14ac:dyDescent="0.25">
      <c r="A3293" s="62" t="s">
        <v>1006</v>
      </c>
      <c r="B3293" s="62" t="s">
        <v>1006</v>
      </c>
      <c r="C3293" s="63"/>
      <c r="D3293" s="64"/>
      <c r="E3293" s="65"/>
      <c r="F3293" s="66"/>
      <c r="G3293" s="63"/>
      <c r="H3293" s="67"/>
      <c r="I3293" s="68"/>
      <c r="J3293" s="68"/>
      <c r="K3293" s="32"/>
      <c r="L3293" s="75">
        <v>3293</v>
      </c>
      <c r="M3293" s="75"/>
      <c r="N3293" s="70"/>
      <c r="O3293" s="77" t="s">
        <v>179</v>
      </c>
      <c r="P3293" s="79">
        <v>45028.787372685183</v>
      </c>
      <c r="Q3293" s="77" t="s">
        <v>4499</v>
      </c>
      <c r="R3293" s="77">
        <v>0</v>
      </c>
      <c r="S3293" s="77">
        <v>0</v>
      </c>
      <c r="T3293" s="77">
        <v>0</v>
      </c>
      <c r="U3293" s="77">
        <v>0</v>
      </c>
      <c r="V3293" s="77">
        <v>140</v>
      </c>
      <c r="W3293" s="82" t="s">
        <v>6740</v>
      </c>
      <c r="X3293" s="77"/>
      <c r="Y3293" s="77"/>
      <c r="Z3293" s="77"/>
      <c r="AA3293" s="77" t="s">
        <v>9618</v>
      </c>
      <c r="AB3293" s="77" t="s">
        <v>10130</v>
      </c>
      <c r="AC3293" s="82" t="s">
        <v>10147</v>
      </c>
      <c r="AD3293" s="77" t="s">
        <v>10184</v>
      </c>
      <c r="AE3293" s="80" t="str">
        <f>HYPERLINK("https://twitter.com/imdasmilhas/status/1646225124599660565")</f>
        <v>https://twitter.com/imdasmilhas/status/1646225124599660565</v>
      </c>
      <c r="AF3293" s="79">
        <v>45028.787372685183</v>
      </c>
      <c r="AG3293" s="85">
        <v>45028</v>
      </c>
      <c r="AH3293" s="82" t="s">
        <v>13299</v>
      </c>
      <c r="AI3293" s="77" t="b">
        <v>0</v>
      </c>
      <c r="AJ3293" s="77"/>
      <c r="AK3293" s="77"/>
      <c r="AL3293" s="77"/>
      <c r="AM3293" s="77"/>
      <c r="AN3293" s="77"/>
      <c r="AO3293" s="77"/>
      <c r="AP3293" s="77"/>
      <c r="AQ3293" s="77" t="s">
        <v>16261</v>
      </c>
      <c r="AR3293" s="77"/>
      <c r="AS3293" s="77"/>
      <c r="AT3293" s="77"/>
      <c r="AU3293" s="77"/>
      <c r="AV3293" s="80" t="str">
        <f>HYPERLINK("https://pbs.twimg.com/media/FtiRBp0WcAI3F_I.jpg")</f>
        <v>https://pbs.twimg.com/media/FtiRBp0WcAI3F_I.jpg</v>
      </c>
      <c r="AW3293" s="82" t="s">
        <v>20059</v>
      </c>
      <c r="AX3293" s="82" t="s">
        <v>20059</v>
      </c>
      <c r="AY3293" s="77"/>
      <c r="AZ3293" s="82" t="s">
        <v>20971</v>
      </c>
      <c r="BA3293" s="82" t="s">
        <v>20971</v>
      </c>
      <c r="BB3293" s="82" t="s">
        <v>20971</v>
      </c>
      <c r="BC3293" s="82" t="s">
        <v>20059</v>
      </c>
      <c r="BD3293" s="82" t="s">
        <v>21597</v>
      </c>
      <c r="BE3293" s="77"/>
      <c r="BF3293" s="77"/>
      <c r="BG3293" s="77"/>
      <c r="BH3293" s="77"/>
      <c r="BI3293" s="77"/>
    </row>
    <row r="3294" spans="1:61" x14ac:dyDescent="0.25">
      <c r="A3294" s="62" t="s">
        <v>1006</v>
      </c>
      <c r="B3294" s="62" t="s">
        <v>1006</v>
      </c>
      <c r="C3294" s="63"/>
      <c r="D3294" s="64"/>
      <c r="E3294" s="65"/>
      <c r="F3294" s="66"/>
      <c r="G3294" s="63"/>
      <c r="H3294" s="67"/>
      <c r="I3294" s="68"/>
      <c r="J3294" s="68"/>
      <c r="K3294" s="32"/>
      <c r="L3294" s="75">
        <v>3294</v>
      </c>
      <c r="M3294" s="75"/>
      <c r="N3294" s="70"/>
      <c r="O3294" s="77" t="s">
        <v>179</v>
      </c>
      <c r="P3294" s="79">
        <v>45027.81931712963</v>
      </c>
      <c r="Q3294" s="77" t="s">
        <v>4500</v>
      </c>
      <c r="R3294" s="77">
        <v>0</v>
      </c>
      <c r="S3294" s="77">
        <v>2</v>
      </c>
      <c r="T3294" s="77">
        <v>0</v>
      </c>
      <c r="U3294" s="77">
        <v>0</v>
      </c>
      <c r="V3294" s="77">
        <v>151</v>
      </c>
      <c r="W3294" s="82" t="s">
        <v>6740</v>
      </c>
      <c r="X3294" s="77"/>
      <c r="Y3294" s="77"/>
      <c r="Z3294" s="77"/>
      <c r="AA3294" s="77" t="s">
        <v>9619</v>
      </c>
      <c r="AB3294" s="77" t="s">
        <v>10130</v>
      </c>
      <c r="AC3294" s="82" t="s">
        <v>10147</v>
      </c>
      <c r="AD3294" s="77" t="s">
        <v>10184</v>
      </c>
      <c r="AE3294" s="80" t="str">
        <f>HYPERLINK("https://twitter.com/imdasmilhas/status/1645874309951377410")</f>
        <v>https://twitter.com/imdasmilhas/status/1645874309951377410</v>
      </c>
      <c r="AF3294" s="79">
        <v>45027.81931712963</v>
      </c>
      <c r="AG3294" s="85">
        <v>45027</v>
      </c>
      <c r="AH3294" s="82" t="s">
        <v>13300</v>
      </c>
      <c r="AI3294" s="77" t="b">
        <v>0</v>
      </c>
      <c r="AJ3294" s="77"/>
      <c r="AK3294" s="77"/>
      <c r="AL3294" s="77"/>
      <c r="AM3294" s="77"/>
      <c r="AN3294" s="77"/>
      <c r="AO3294" s="77"/>
      <c r="AP3294" s="77"/>
      <c r="AQ3294" s="77" t="s">
        <v>16262</v>
      </c>
      <c r="AR3294" s="77"/>
      <c r="AS3294" s="77"/>
      <c r="AT3294" s="77"/>
      <c r="AU3294" s="77"/>
      <c r="AV3294" s="80" t="str">
        <f>HYPERLINK("https://pbs.twimg.com/media/FtdR9mJXwAQ1cjR.jpg")</f>
        <v>https://pbs.twimg.com/media/FtdR9mJXwAQ1cjR.jpg</v>
      </c>
      <c r="AW3294" s="82" t="s">
        <v>20060</v>
      </c>
      <c r="AX3294" s="82" t="s">
        <v>20060</v>
      </c>
      <c r="AY3294" s="77"/>
      <c r="AZ3294" s="82" t="s">
        <v>20971</v>
      </c>
      <c r="BA3294" s="82" t="s">
        <v>20971</v>
      </c>
      <c r="BB3294" s="82" t="s">
        <v>20971</v>
      </c>
      <c r="BC3294" s="82" t="s">
        <v>20060</v>
      </c>
      <c r="BD3294" s="82" t="s">
        <v>21597</v>
      </c>
      <c r="BE3294" s="77"/>
      <c r="BF3294" s="77"/>
      <c r="BG3294" s="77"/>
      <c r="BH3294" s="77"/>
      <c r="BI3294" s="77"/>
    </row>
    <row r="3295" spans="1:61" x14ac:dyDescent="0.25">
      <c r="A3295" s="62" t="s">
        <v>1006</v>
      </c>
      <c r="B3295" s="62" t="s">
        <v>1006</v>
      </c>
      <c r="C3295" s="63"/>
      <c r="D3295" s="64"/>
      <c r="E3295" s="65"/>
      <c r="F3295" s="66"/>
      <c r="G3295" s="63"/>
      <c r="H3295" s="67"/>
      <c r="I3295" s="68"/>
      <c r="J3295" s="68"/>
      <c r="K3295" s="32"/>
      <c r="L3295" s="75">
        <v>3295</v>
      </c>
      <c r="M3295" s="75"/>
      <c r="N3295" s="70"/>
      <c r="O3295" s="77" t="s">
        <v>179</v>
      </c>
      <c r="P3295" s="79">
        <v>45027.818333333336</v>
      </c>
      <c r="Q3295" s="77" t="s">
        <v>4501</v>
      </c>
      <c r="R3295" s="77">
        <v>0</v>
      </c>
      <c r="S3295" s="77">
        <v>1</v>
      </c>
      <c r="T3295" s="77">
        <v>0</v>
      </c>
      <c r="U3295" s="77">
        <v>0</v>
      </c>
      <c r="V3295" s="77">
        <v>50</v>
      </c>
      <c r="W3295" s="82" t="s">
        <v>6740</v>
      </c>
      <c r="X3295" s="77"/>
      <c r="Y3295" s="77"/>
      <c r="Z3295" s="77"/>
      <c r="AA3295" s="77" t="s">
        <v>9620</v>
      </c>
      <c r="AB3295" s="77" t="s">
        <v>10130</v>
      </c>
      <c r="AC3295" s="82" t="s">
        <v>10147</v>
      </c>
      <c r="AD3295" s="77" t="s">
        <v>10184</v>
      </c>
      <c r="AE3295" s="80" t="str">
        <f>HYPERLINK("https://twitter.com/imdasmilhas/status/1645873953414545414")</f>
        <v>https://twitter.com/imdasmilhas/status/1645873953414545414</v>
      </c>
      <c r="AF3295" s="79">
        <v>45027.818333333336</v>
      </c>
      <c r="AG3295" s="85">
        <v>45027</v>
      </c>
      <c r="AH3295" s="82" t="s">
        <v>13301</v>
      </c>
      <c r="AI3295" s="77" t="b">
        <v>0</v>
      </c>
      <c r="AJ3295" s="77"/>
      <c r="AK3295" s="77"/>
      <c r="AL3295" s="77"/>
      <c r="AM3295" s="77"/>
      <c r="AN3295" s="77"/>
      <c r="AO3295" s="77"/>
      <c r="AP3295" s="77"/>
      <c r="AQ3295" s="77" t="s">
        <v>16263</v>
      </c>
      <c r="AR3295" s="77"/>
      <c r="AS3295" s="77"/>
      <c r="AT3295" s="77"/>
      <c r="AU3295" s="77"/>
      <c r="AV3295" s="80" t="str">
        <f>HYPERLINK("https://pbs.twimg.com/media/FtdRo1eXwAIPyk-.jpg")</f>
        <v>https://pbs.twimg.com/media/FtdRo1eXwAIPyk-.jpg</v>
      </c>
      <c r="AW3295" s="82" t="s">
        <v>20061</v>
      </c>
      <c r="AX3295" s="82" t="s">
        <v>20061</v>
      </c>
      <c r="AY3295" s="77"/>
      <c r="AZ3295" s="82" t="s">
        <v>20971</v>
      </c>
      <c r="BA3295" s="82" t="s">
        <v>20971</v>
      </c>
      <c r="BB3295" s="82" t="s">
        <v>20971</v>
      </c>
      <c r="BC3295" s="82" t="s">
        <v>20061</v>
      </c>
      <c r="BD3295" s="82" t="s">
        <v>21597</v>
      </c>
      <c r="BE3295" s="77"/>
      <c r="BF3295" s="77"/>
      <c r="BG3295" s="77"/>
      <c r="BH3295" s="77"/>
      <c r="BI3295" s="77"/>
    </row>
    <row r="3296" spans="1:61" x14ac:dyDescent="0.25">
      <c r="A3296" s="62" t="s">
        <v>1006</v>
      </c>
      <c r="B3296" s="62" t="s">
        <v>1006</v>
      </c>
      <c r="C3296" s="63"/>
      <c r="D3296" s="64"/>
      <c r="E3296" s="65"/>
      <c r="F3296" s="66"/>
      <c r="G3296" s="63"/>
      <c r="H3296" s="67"/>
      <c r="I3296" s="68"/>
      <c r="J3296" s="68"/>
      <c r="K3296" s="32"/>
      <c r="L3296" s="75">
        <v>3296</v>
      </c>
      <c r="M3296" s="75"/>
      <c r="N3296" s="70"/>
      <c r="O3296" s="77" t="s">
        <v>179</v>
      </c>
      <c r="P3296" s="79">
        <v>45027.780706018515</v>
      </c>
      <c r="Q3296" s="77" t="s">
        <v>4502</v>
      </c>
      <c r="R3296" s="77">
        <v>0</v>
      </c>
      <c r="S3296" s="77">
        <v>1</v>
      </c>
      <c r="T3296" s="77">
        <v>0</v>
      </c>
      <c r="U3296" s="77">
        <v>0</v>
      </c>
      <c r="V3296" s="77">
        <v>85</v>
      </c>
      <c r="W3296" s="82" t="s">
        <v>6740</v>
      </c>
      <c r="X3296" s="77"/>
      <c r="Y3296" s="77"/>
      <c r="Z3296" s="77"/>
      <c r="AA3296" s="77" t="s">
        <v>9621</v>
      </c>
      <c r="AB3296" s="77" t="s">
        <v>10130</v>
      </c>
      <c r="AC3296" s="82" t="s">
        <v>10147</v>
      </c>
      <c r="AD3296" s="77" t="s">
        <v>10184</v>
      </c>
      <c r="AE3296" s="80" t="str">
        <f>HYPERLINK("https://twitter.com/imdasmilhas/status/1645860318852136961")</f>
        <v>https://twitter.com/imdasmilhas/status/1645860318852136961</v>
      </c>
      <c r="AF3296" s="79">
        <v>45027.780706018515</v>
      </c>
      <c r="AG3296" s="85">
        <v>45027</v>
      </c>
      <c r="AH3296" s="82" t="s">
        <v>13302</v>
      </c>
      <c r="AI3296" s="77" t="b">
        <v>0</v>
      </c>
      <c r="AJ3296" s="77"/>
      <c r="AK3296" s="77"/>
      <c r="AL3296" s="77"/>
      <c r="AM3296" s="77"/>
      <c r="AN3296" s="77"/>
      <c r="AO3296" s="77"/>
      <c r="AP3296" s="77"/>
      <c r="AQ3296" s="77" t="s">
        <v>16264</v>
      </c>
      <c r="AR3296" s="77"/>
      <c r="AS3296" s="77"/>
      <c r="AT3296" s="77"/>
      <c r="AU3296" s="77"/>
      <c r="AV3296" s="80" t="str">
        <f>HYPERLINK("https://pbs.twimg.com/media/FtdFPKTX0BE0mmv.jpg")</f>
        <v>https://pbs.twimg.com/media/FtdFPKTX0BE0mmv.jpg</v>
      </c>
      <c r="AW3296" s="82" t="s">
        <v>20062</v>
      </c>
      <c r="AX3296" s="82" t="s">
        <v>20062</v>
      </c>
      <c r="AY3296" s="77"/>
      <c r="AZ3296" s="82" t="s">
        <v>20971</v>
      </c>
      <c r="BA3296" s="82" t="s">
        <v>20971</v>
      </c>
      <c r="BB3296" s="82" t="s">
        <v>20971</v>
      </c>
      <c r="BC3296" s="82" t="s">
        <v>20062</v>
      </c>
      <c r="BD3296" s="82" t="s">
        <v>21597</v>
      </c>
      <c r="BE3296" s="77"/>
      <c r="BF3296" s="77"/>
      <c r="BG3296" s="77"/>
      <c r="BH3296" s="77"/>
      <c r="BI3296" s="77"/>
    </row>
    <row r="3297" spans="1:61" x14ac:dyDescent="0.25">
      <c r="A3297" s="62" t="s">
        <v>1006</v>
      </c>
      <c r="B3297" s="62" t="s">
        <v>1006</v>
      </c>
      <c r="C3297" s="63"/>
      <c r="D3297" s="64"/>
      <c r="E3297" s="65"/>
      <c r="F3297" s="66"/>
      <c r="G3297" s="63"/>
      <c r="H3297" s="67"/>
      <c r="I3297" s="68"/>
      <c r="J3297" s="68"/>
      <c r="K3297" s="32"/>
      <c r="L3297" s="75">
        <v>3297</v>
      </c>
      <c r="M3297" s="75"/>
      <c r="N3297" s="70"/>
      <c r="O3297" s="77" t="s">
        <v>179</v>
      </c>
      <c r="P3297" s="79">
        <v>45027.779988425929</v>
      </c>
      <c r="Q3297" s="77" t="s">
        <v>4503</v>
      </c>
      <c r="R3297" s="77">
        <v>0</v>
      </c>
      <c r="S3297" s="77">
        <v>1</v>
      </c>
      <c r="T3297" s="77">
        <v>0</v>
      </c>
      <c r="U3297" s="77">
        <v>0</v>
      </c>
      <c r="V3297" s="77">
        <v>63</v>
      </c>
      <c r="W3297" s="82" t="s">
        <v>6740</v>
      </c>
      <c r="X3297" s="77"/>
      <c r="Y3297" s="77"/>
      <c r="Z3297" s="77"/>
      <c r="AA3297" s="77" t="s">
        <v>9622</v>
      </c>
      <c r="AB3297" s="77" t="s">
        <v>10130</v>
      </c>
      <c r="AC3297" s="82" t="s">
        <v>10147</v>
      </c>
      <c r="AD3297" s="77" t="s">
        <v>10184</v>
      </c>
      <c r="AE3297" s="80" t="str">
        <f>HYPERLINK("https://twitter.com/imdasmilhas/status/1645860061426614272")</f>
        <v>https://twitter.com/imdasmilhas/status/1645860061426614272</v>
      </c>
      <c r="AF3297" s="79">
        <v>45027.779988425929</v>
      </c>
      <c r="AG3297" s="85">
        <v>45027</v>
      </c>
      <c r="AH3297" s="82" t="s">
        <v>13303</v>
      </c>
      <c r="AI3297" s="77" t="b">
        <v>0</v>
      </c>
      <c r="AJ3297" s="77"/>
      <c r="AK3297" s="77"/>
      <c r="AL3297" s="77"/>
      <c r="AM3297" s="77"/>
      <c r="AN3297" s="77"/>
      <c r="AO3297" s="77"/>
      <c r="AP3297" s="77"/>
      <c r="AQ3297" s="77" t="s">
        <v>16265</v>
      </c>
      <c r="AR3297" s="77"/>
      <c r="AS3297" s="77"/>
      <c r="AT3297" s="77"/>
      <c r="AU3297" s="77"/>
      <c r="AV3297" s="80" t="str">
        <f>HYPERLINK("https://pbs.twimg.com/media/FtdFANoX0BcvXtt.jpg")</f>
        <v>https://pbs.twimg.com/media/FtdFANoX0BcvXtt.jpg</v>
      </c>
      <c r="AW3297" s="82" t="s">
        <v>20063</v>
      </c>
      <c r="AX3297" s="82" t="s">
        <v>20063</v>
      </c>
      <c r="AY3297" s="77"/>
      <c r="AZ3297" s="82" t="s">
        <v>20971</v>
      </c>
      <c r="BA3297" s="82" t="s">
        <v>20971</v>
      </c>
      <c r="BB3297" s="82" t="s">
        <v>20971</v>
      </c>
      <c r="BC3297" s="82" t="s">
        <v>20063</v>
      </c>
      <c r="BD3297" s="82" t="s">
        <v>21597</v>
      </c>
      <c r="BE3297" s="77"/>
      <c r="BF3297" s="77"/>
      <c r="BG3297" s="77"/>
      <c r="BH3297" s="77"/>
      <c r="BI3297" s="77"/>
    </row>
    <row r="3298" spans="1:61" x14ac:dyDescent="0.25">
      <c r="A3298" s="62" t="s">
        <v>1006</v>
      </c>
      <c r="B3298" s="62" t="s">
        <v>1006</v>
      </c>
      <c r="C3298" s="63"/>
      <c r="D3298" s="64"/>
      <c r="E3298" s="65"/>
      <c r="F3298" s="66"/>
      <c r="G3298" s="63"/>
      <c r="H3298" s="67"/>
      <c r="I3298" s="68"/>
      <c r="J3298" s="68"/>
      <c r="K3298" s="32"/>
      <c r="L3298" s="75">
        <v>3298</v>
      </c>
      <c r="M3298" s="75"/>
      <c r="N3298" s="70"/>
      <c r="O3298" s="77" t="s">
        <v>179</v>
      </c>
      <c r="P3298" s="79">
        <v>45027.778865740744</v>
      </c>
      <c r="Q3298" s="77" t="s">
        <v>4504</v>
      </c>
      <c r="R3298" s="77">
        <v>0</v>
      </c>
      <c r="S3298" s="77">
        <v>1</v>
      </c>
      <c r="T3298" s="77">
        <v>0</v>
      </c>
      <c r="U3298" s="77">
        <v>0</v>
      </c>
      <c r="V3298" s="77">
        <v>75</v>
      </c>
      <c r="W3298" s="82" t="s">
        <v>6740</v>
      </c>
      <c r="X3298" s="77"/>
      <c r="Y3298" s="77"/>
      <c r="Z3298" s="77"/>
      <c r="AA3298" s="77" t="s">
        <v>9623</v>
      </c>
      <c r="AB3298" s="77" t="s">
        <v>10130</v>
      </c>
      <c r="AC3298" s="82" t="s">
        <v>10147</v>
      </c>
      <c r="AD3298" s="77" t="s">
        <v>10184</v>
      </c>
      <c r="AE3298" s="80" t="str">
        <f>HYPERLINK("https://twitter.com/imdasmilhas/status/1645859654222729220")</f>
        <v>https://twitter.com/imdasmilhas/status/1645859654222729220</v>
      </c>
      <c r="AF3298" s="79">
        <v>45027.778865740744</v>
      </c>
      <c r="AG3298" s="85">
        <v>45027</v>
      </c>
      <c r="AH3298" s="82" t="s">
        <v>13304</v>
      </c>
      <c r="AI3298" s="77" t="b">
        <v>0</v>
      </c>
      <c r="AJ3298" s="77"/>
      <c r="AK3298" s="77"/>
      <c r="AL3298" s="77"/>
      <c r="AM3298" s="77"/>
      <c r="AN3298" s="77"/>
      <c r="AO3298" s="77"/>
      <c r="AP3298" s="77"/>
      <c r="AQ3298" s="77" t="s">
        <v>16266</v>
      </c>
      <c r="AR3298" s="77"/>
      <c r="AS3298" s="77"/>
      <c r="AT3298" s="77"/>
      <c r="AU3298" s="77"/>
      <c r="AV3298" s="80" t="str">
        <f>HYPERLINK("https://pbs.twimg.com/media/FtdEogFX0AQpkH5.jpg")</f>
        <v>https://pbs.twimg.com/media/FtdEogFX0AQpkH5.jpg</v>
      </c>
      <c r="AW3298" s="82" t="s">
        <v>20064</v>
      </c>
      <c r="AX3298" s="82" t="s">
        <v>20064</v>
      </c>
      <c r="AY3298" s="77"/>
      <c r="AZ3298" s="82" t="s">
        <v>20971</v>
      </c>
      <c r="BA3298" s="82" t="s">
        <v>20971</v>
      </c>
      <c r="BB3298" s="82" t="s">
        <v>20971</v>
      </c>
      <c r="BC3298" s="82" t="s">
        <v>20064</v>
      </c>
      <c r="BD3298" s="82" t="s">
        <v>21597</v>
      </c>
      <c r="BE3298" s="77"/>
      <c r="BF3298" s="77"/>
      <c r="BG3298" s="77"/>
      <c r="BH3298" s="77"/>
      <c r="BI3298" s="77"/>
    </row>
    <row r="3299" spans="1:61" x14ac:dyDescent="0.25">
      <c r="A3299" s="62" t="s">
        <v>1006</v>
      </c>
      <c r="B3299" s="62" t="s">
        <v>1006</v>
      </c>
      <c r="C3299" s="63"/>
      <c r="D3299" s="64"/>
      <c r="E3299" s="65"/>
      <c r="F3299" s="66"/>
      <c r="G3299" s="63"/>
      <c r="H3299" s="67"/>
      <c r="I3299" s="68"/>
      <c r="J3299" s="68"/>
      <c r="K3299" s="32"/>
      <c r="L3299" s="75">
        <v>3299</v>
      </c>
      <c r="M3299" s="75"/>
      <c r="N3299" s="70"/>
      <c r="O3299" s="77" t="s">
        <v>179</v>
      </c>
      <c r="P3299" s="79">
        <v>45026.75917824074</v>
      </c>
      <c r="Q3299" s="77" t="s">
        <v>4505</v>
      </c>
      <c r="R3299" s="77">
        <v>0</v>
      </c>
      <c r="S3299" s="77">
        <v>0</v>
      </c>
      <c r="T3299" s="77">
        <v>0</v>
      </c>
      <c r="U3299" s="77">
        <v>0</v>
      </c>
      <c r="V3299" s="77">
        <v>95</v>
      </c>
      <c r="W3299" s="82" t="s">
        <v>6740</v>
      </c>
      <c r="X3299" s="77"/>
      <c r="Y3299" s="77"/>
      <c r="Z3299" s="77"/>
      <c r="AA3299" s="77" t="s">
        <v>9624</v>
      </c>
      <c r="AB3299" s="77" t="s">
        <v>10130</v>
      </c>
      <c r="AC3299" s="82" t="s">
        <v>10147</v>
      </c>
      <c r="AD3299" s="77" t="s">
        <v>10184</v>
      </c>
      <c r="AE3299" s="80" t="str">
        <f>HYPERLINK("https://twitter.com/imdasmilhas/status/1645490132458381317")</f>
        <v>https://twitter.com/imdasmilhas/status/1645490132458381317</v>
      </c>
      <c r="AF3299" s="79">
        <v>45026.75917824074</v>
      </c>
      <c r="AG3299" s="85">
        <v>45026</v>
      </c>
      <c r="AH3299" s="82" t="s">
        <v>13305</v>
      </c>
      <c r="AI3299" s="77" t="b">
        <v>0</v>
      </c>
      <c r="AJ3299" s="77"/>
      <c r="AK3299" s="77"/>
      <c r="AL3299" s="77"/>
      <c r="AM3299" s="77"/>
      <c r="AN3299" s="77"/>
      <c r="AO3299" s="77"/>
      <c r="AP3299" s="77"/>
      <c r="AQ3299" s="77" t="s">
        <v>16267</v>
      </c>
      <c r="AR3299" s="77"/>
      <c r="AS3299" s="77"/>
      <c r="AT3299" s="77"/>
      <c r="AU3299" s="77"/>
      <c r="AV3299" s="80" t="str">
        <f>HYPERLINK("https://pbs.twimg.com/media/FtX0jdiWwAA-5da.jpg")</f>
        <v>https://pbs.twimg.com/media/FtX0jdiWwAA-5da.jpg</v>
      </c>
      <c r="AW3299" s="82" t="s">
        <v>20065</v>
      </c>
      <c r="AX3299" s="82" t="s">
        <v>20065</v>
      </c>
      <c r="AY3299" s="77"/>
      <c r="AZ3299" s="82" t="s">
        <v>20971</v>
      </c>
      <c r="BA3299" s="82" t="s">
        <v>20971</v>
      </c>
      <c r="BB3299" s="82" t="s">
        <v>20971</v>
      </c>
      <c r="BC3299" s="82" t="s">
        <v>20065</v>
      </c>
      <c r="BD3299" s="82" t="s">
        <v>21597</v>
      </c>
      <c r="BE3299" s="77"/>
      <c r="BF3299" s="77"/>
      <c r="BG3299" s="77"/>
      <c r="BH3299" s="77"/>
      <c r="BI3299" s="77"/>
    </row>
    <row r="3300" spans="1:61" x14ac:dyDescent="0.25">
      <c r="A3300" s="62" t="s">
        <v>1006</v>
      </c>
      <c r="B3300" s="62" t="s">
        <v>1006</v>
      </c>
      <c r="C3300" s="63"/>
      <c r="D3300" s="64"/>
      <c r="E3300" s="65"/>
      <c r="F3300" s="66"/>
      <c r="G3300" s="63"/>
      <c r="H3300" s="67"/>
      <c r="I3300" s="68"/>
      <c r="J3300" s="68"/>
      <c r="K3300" s="32"/>
      <c r="L3300" s="75">
        <v>3300</v>
      </c>
      <c r="M3300" s="75"/>
      <c r="N3300" s="70"/>
      <c r="O3300" s="77" t="s">
        <v>179</v>
      </c>
      <c r="P3300" s="79">
        <v>45026.758831018517</v>
      </c>
      <c r="Q3300" s="77" t="s">
        <v>4506</v>
      </c>
      <c r="R3300" s="77">
        <v>0</v>
      </c>
      <c r="S3300" s="77">
        <v>0</v>
      </c>
      <c r="T3300" s="77">
        <v>0</v>
      </c>
      <c r="U3300" s="77">
        <v>0</v>
      </c>
      <c r="V3300" s="77">
        <v>98</v>
      </c>
      <c r="W3300" s="82" t="s">
        <v>6740</v>
      </c>
      <c r="X3300" s="80" t="str">
        <f>HYPERLINK("http://Hoteis.com")</f>
        <v>http://Hoteis.com</v>
      </c>
      <c r="Y3300" s="77" t="s">
        <v>7455</v>
      </c>
      <c r="Z3300" s="77"/>
      <c r="AA3300" s="77" t="s">
        <v>9625</v>
      </c>
      <c r="AB3300" s="77" t="s">
        <v>10130</v>
      </c>
      <c r="AC3300" s="82" t="s">
        <v>10147</v>
      </c>
      <c r="AD3300" s="77" t="s">
        <v>10184</v>
      </c>
      <c r="AE3300" s="80" t="str">
        <f>HYPERLINK("https://twitter.com/imdasmilhas/status/1645490003483533328")</f>
        <v>https://twitter.com/imdasmilhas/status/1645490003483533328</v>
      </c>
      <c r="AF3300" s="79">
        <v>45026.758831018517</v>
      </c>
      <c r="AG3300" s="85">
        <v>45026</v>
      </c>
      <c r="AH3300" s="82" t="s">
        <v>13306</v>
      </c>
      <c r="AI3300" s="77" t="b">
        <v>0</v>
      </c>
      <c r="AJ3300" s="77"/>
      <c r="AK3300" s="77"/>
      <c r="AL3300" s="77"/>
      <c r="AM3300" s="77"/>
      <c r="AN3300" s="77"/>
      <c r="AO3300" s="77"/>
      <c r="AP3300" s="77"/>
      <c r="AQ3300" s="77" t="s">
        <v>16268</v>
      </c>
      <c r="AR3300" s="77"/>
      <c r="AS3300" s="77"/>
      <c r="AT3300" s="77"/>
      <c r="AU3300" s="77"/>
      <c r="AV3300" s="80" t="str">
        <f>HYPERLINK("https://pbs.twimg.com/media/FtX0cAVXoAEXRgX.jpg")</f>
        <v>https://pbs.twimg.com/media/FtX0cAVXoAEXRgX.jpg</v>
      </c>
      <c r="AW3300" s="82" t="s">
        <v>20066</v>
      </c>
      <c r="AX3300" s="82" t="s">
        <v>20066</v>
      </c>
      <c r="AY3300" s="77"/>
      <c r="AZ3300" s="82" t="s">
        <v>20971</v>
      </c>
      <c r="BA3300" s="82" t="s">
        <v>20971</v>
      </c>
      <c r="BB3300" s="82" t="s">
        <v>20971</v>
      </c>
      <c r="BC3300" s="82" t="s">
        <v>20066</v>
      </c>
      <c r="BD3300" s="82" t="s">
        <v>21597</v>
      </c>
      <c r="BE3300" s="77"/>
      <c r="BF3300" s="77"/>
      <c r="BG3300" s="77"/>
      <c r="BH3300" s="77"/>
      <c r="BI3300" s="77"/>
    </row>
    <row r="3301" spans="1:61" x14ac:dyDescent="0.25">
      <c r="A3301" s="62" t="s">
        <v>1006</v>
      </c>
      <c r="B3301" s="62" t="s">
        <v>1006</v>
      </c>
      <c r="C3301" s="63"/>
      <c r="D3301" s="64"/>
      <c r="E3301" s="65"/>
      <c r="F3301" s="66"/>
      <c r="G3301" s="63"/>
      <c r="H3301" s="67"/>
      <c r="I3301" s="68"/>
      <c r="J3301" s="68"/>
      <c r="K3301" s="32"/>
      <c r="L3301" s="75">
        <v>3301</v>
      </c>
      <c r="M3301" s="75"/>
      <c r="N3301" s="70"/>
      <c r="O3301" s="77" t="s">
        <v>179</v>
      </c>
      <c r="P3301" s="79">
        <v>45026.737696759257</v>
      </c>
      <c r="Q3301" s="77" t="s">
        <v>4507</v>
      </c>
      <c r="R3301" s="77">
        <v>0</v>
      </c>
      <c r="S3301" s="77">
        <v>0</v>
      </c>
      <c r="T3301" s="77">
        <v>0</v>
      </c>
      <c r="U3301" s="77">
        <v>0</v>
      </c>
      <c r="V3301" s="77">
        <v>87</v>
      </c>
      <c r="W3301" s="82" t="s">
        <v>6740</v>
      </c>
      <c r="X3301" s="80" t="str">
        <f>HYPERLINK("http://Hoteis.com")</f>
        <v>http://Hoteis.com</v>
      </c>
      <c r="Y3301" s="77" t="s">
        <v>7455</v>
      </c>
      <c r="Z3301" s="77"/>
      <c r="AA3301" s="77" t="s">
        <v>9626</v>
      </c>
      <c r="AB3301" s="77" t="s">
        <v>10130</v>
      </c>
      <c r="AC3301" s="82" t="s">
        <v>10147</v>
      </c>
      <c r="AD3301" s="77" t="s">
        <v>10184</v>
      </c>
      <c r="AE3301" s="80" t="str">
        <f>HYPERLINK("https://twitter.com/imdasmilhas/status/1645482345221193729")</f>
        <v>https://twitter.com/imdasmilhas/status/1645482345221193729</v>
      </c>
      <c r="AF3301" s="79">
        <v>45026.737696759257</v>
      </c>
      <c r="AG3301" s="85">
        <v>45026</v>
      </c>
      <c r="AH3301" s="82" t="s">
        <v>13307</v>
      </c>
      <c r="AI3301" s="77" t="b">
        <v>0</v>
      </c>
      <c r="AJ3301" s="77"/>
      <c r="AK3301" s="77"/>
      <c r="AL3301" s="77"/>
      <c r="AM3301" s="77"/>
      <c r="AN3301" s="77"/>
      <c r="AO3301" s="77"/>
      <c r="AP3301" s="77"/>
      <c r="AQ3301" s="77" t="s">
        <v>16269</v>
      </c>
      <c r="AR3301" s="77"/>
      <c r="AS3301" s="77"/>
      <c r="AT3301" s="77"/>
      <c r="AU3301" s="77"/>
      <c r="AV3301" s="80" t="str">
        <f>HYPERLINK("https://pbs.twimg.com/media/FtXteL-XoAMUglV.jpg")</f>
        <v>https://pbs.twimg.com/media/FtXteL-XoAMUglV.jpg</v>
      </c>
      <c r="AW3301" s="82" t="s">
        <v>20067</v>
      </c>
      <c r="AX3301" s="82" t="s">
        <v>20067</v>
      </c>
      <c r="AY3301" s="77"/>
      <c r="AZ3301" s="82" t="s">
        <v>20971</v>
      </c>
      <c r="BA3301" s="82" t="s">
        <v>20971</v>
      </c>
      <c r="BB3301" s="82" t="s">
        <v>20971</v>
      </c>
      <c r="BC3301" s="82" t="s">
        <v>20067</v>
      </c>
      <c r="BD3301" s="82" t="s">
        <v>21597</v>
      </c>
      <c r="BE3301" s="77"/>
      <c r="BF3301" s="77"/>
      <c r="BG3301" s="77"/>
      <c r="BH3301" s="77"/>
      <c r="BI3301" s="77"/>
    </row>
    <row r="3302" spans="1:61" x14ac:dyDescent="0.25">
      <c r="A3302" s="62" t="s">
        <v>1006</v>
      </c>
      <c r="B3302" s="62" t="s">
        <v>1006</v>
      </c>
      <c r="C3302" s="63"/>
      <c r="D3302" s="64"/>
      <c r="E3302" s="65"/>
      <c r="F3302" s="66"/>
      <c r="G3302" s="63"/>
      <c r="H3302" s="67"/>
      <c r="I3302" s="68"/>
      <c r="J3302" s="68"/>
      <c r="K3302" s="32"/>
      <c r="L3302" s="75">
        <v>3302</v>
      </c>
      <c r="M3302" s="75"/>
      <c r="N3302" s="70"/>
      <c r="O3302" s="77" t="s">
        <v>179</v>
      </c>
      <c r="P3302" s="79">
        <v>45026.652453703704</v>
      </c>
      <c r="Q3302" s="77" t="s">
        <v>4508</v>
      </c>
      <c r="R3302" s="77">
        <v>0</v>
      </c>
      <c r="S3302" s="77">
        <v>0</v>
      </c>
      <c r="T3302" s="77">
        <v>0</v>
      </c>
      <c r="U3302" s="77">
        <v>0</v>
      </c>
      <c r="V3302" s="77">
        <v>110</v>
      </c>
      <c r="W3302" s="82" t="s">
        <v>6741</v>
      </c>
      <c r="X3302" s="77"/>
      <c r="Y3302" s="77"/>
      <c r="Z3302" s="77"/>
      <c r="AA3302" s="77" t="s">
        <v>9627</v>
      </c>
      <c r="AB3302" s="77" t="s">
        <v>10130</v>
      </c>
      <c r="AC3302" s="82" t="s">
        <v>10147</v>
      </c>
      <c r="AD3302" s="77" t="s">
        <v>10184</v>
      </c>
      <c r="AE3302" s="80" t="str">
        <f>HYPERLINK("https://twitter.com/imdasmilhas/status/1645451455581528065")</f>
        <v>https://twitter.com/imdasmilhas/status/1645451455581528065</v>
      </c>
      <c r="AF3302" s="79">
        <v>45026.652453703704</v>
      </c>
      <c r="AG3302" s="85">
        <v>45026</v>
      </c>
      <c r="AH3302" s="82" t="s">
        <v>13308</v>
      </c>
      <c r="AI3302" s="77" t="b">
        <v>0</v>
      </c>
      <c r="AJ3302" s="77"/>
      <c r="AK3302" s="77"/>
      <c r="AL3302" s="77"/>
      <c r="AM3302" s="77"/>
      <c r="AN3302" s="77"/>
      <c r="AO3302" s="77"/>
      <c r="AP3302" s="77"/>
      <c r="AQ3302" s="77" t="s">
        <v>16270</v>
      </c>
      <c r="AR3302" s="77"/>
      <c r="AS3302" s="77"/>
      <c r="AT3302" s="77"/>
      <c r="AU3302" s="77"/>
      <c r="AV3302" s="80" t="str">
        <f>HYPERLINK("https://pbs.twimg.com/media/FtXRYNjWYAAq0t-.jpg")</f>
        <v>https://pbs.twimg.com/media/FtXRYNjWYAAq0t-.jpg</v>
      </c>
      <c r="AW3302" s="82" t="s">
        <v>20068</v>
      </c>
      <c r="AX3302" s="82" t="s">
        <v>20068</v>
      </c>
      <c r="AY3302" s="77"/>
      <c r="AZ3302" s="82" t="s">
        <v>20971</v>
      </c>
      <c r="BA3302" s="82" t="s">
        <v>20971</v>
      </c>
      <c r="BB3302" s="82" t="s">
        <v>20971</v>
      </c>
      <c r="BC3302" s="82" t="s">
        <v>20068</v>
      </c>
      <c r="BD3302" s="82" t="s">
        <v>21597</v>
      </c>
      <c r="BE3302" s="77"/>
      <c r="BF3302" s="77"/>
      <c r="BG3302" s="77"/>
      <c r="BH3302" s="77"/>
      <c r="BI3302" s="77"/>
    </row>
    <row r="3303" spans="1:61" x14ac:dyDescent="0.25">
      <c r="A3303" s="62" t="s">
        <v>1006</v>
      </c>
      <c r="B3303" s="62" t="s">
        <v>1006</v>
      </c>
      <c r="C3303" s="63"/>
      <c r="D3303" s="64"/>
      <c r="E3303" s="65"/>
      <c r="F3303" s="66"/>
      <c r="G3303" s="63"/>
      <c r="H3303" s="67"/>
      <c r="I3303" s="68"/>
      <c r="J3303" s="68"/>
      <c r="K3303" s="32"/>
      <c r="L3303" s="75">
        <v>3303</v>
      </c>
      <c r="M3303" s="75"/>
      <c r="N3303" s="70"/>
      <c r="O3303" s="77" t="s">
        <v>179</v>
      </c>
      <c r="P3303" s="79">
        <v>45026.652013888888</v>
      </c>
      <c r="Q3303" s="77" t="s">
        <v>4509</v>
      </c>
      <c r="R3303" s="77">
        <v>0</v>
      </c>
      <c r="S3303" s="77">
        <v>0</v>
      </c>
      <c r="T3303" s="77">
        <v>0</v>
      </c>
      <c r="U3303" s="77">
        <v>0</v>
      </c>
      <c r="V3303" s="77">
        <v>135</v>
      </c>
      <c r="W3303" s="82" t="s">
        <v>6740</v>
      </c>
      <c r="X3303" s="77"/>
      <c r="Y3303" s="77"/>
      <c r="Z3303" s="77"/>
      <c r="AA3303" s="77" t="s">
        <v>9628</v>
      </c>
      <c r="AB3303" s="77" t="s">
        <v>10130</v>
      </c>
      <c r="AC3303" s="82" t="s">
        <v>10147</v>
      </c>
      <c r="AD3303" s="77" t="s">
        <v>10184</v>
      </c>
      <c r="AE3303" s="80" t="str">
        <f>HYPERLINK("https://twitter.com/imdasmilhas/status/1645451294650269696")</f>
        <v>https://twitter.com/imdasmilhas/status/1645451294650269696</v>
      </c>
      <c r="AF3303" s="79">
        <v>45026.652013888888</v>
      </c>
      <c r="AG3303" s="85">
        <v>45026</v>
      </c>
      <c r="AH3303" s="82" t="s">
        <v>13309</v>
      </c>
      <c r="AI3303" s="77" t="b">
        <v>0</v>
      </c>
      <c r="AJ3303" s="77"/>
      <c r="AK3303" s="77"/>
      <c r="AL3303" s="77"/>
      <c r="AM3303" s="77"/>
      <c r="AN3303" s="77"/>
      <c r="AO3303" s="77"/>
      <c r="AP3303" s="77"/>
      <c r="AQ3303" s="77" t="s">
        <v>16271</v>
      </c>
      <c r="AR3303" s="77"/>
      <c r="AS3303" s="77"/>
      <c r="AT3303" s="77"/>
      <c r="AU3303" s="77"/>
      <c r="AV3303" s="80" t="str">
        <f>HYPERLINK("https://pbs.twimg.com/media/FtXRO0MXwAMI1qh.jpg")</f>
        <v>https://pbs.twimg.com/media/FtXRO0MXwAMI1qh.jpg</v>
      </c>
      <c r="AW3303" s="82" t="s">
        <v>20069</v>
      </c>
      <c r="AX3303" s="82" t="s">
        <v>20069</v>
      </c>
      <c r="AY3303" s="77"/>
      <c r="AZ3303" s="82" t="s">
        <v>20971</v>
      </c>
      <c r="BA3303" s="82" t="s">
        <v>20971</v>
      </c>
      <c r="BB3303" s="82" t="s">
        <v>20971</v>
      </c>
      <c r="BC3303" s="82" t="s">
        <v>20069</v>
      </c>
      <c r="BD3303" s="82" t="s">
        <v>21597</v>
      </c>
      <c r="BE3303" s="77"/>
      <c r="BF3303" s="77"/>
      <c r="BG3303" s="77"/>
      <c r="BH3303" s="77"/>
      <c r="BI3303" s="77"/>
    </row>
    <row r="3304" spans="1:61" x14ac:dyDescent="0.25">
      <c r="A3304" s="62" t="s">
        <v>1006</v>
      </c>
      <c r="B3304" s="62" t="s">
        <v>1006</v>
      </c>
      <c r="C3304" s="63"/>
      <c r="D3304" s="64"/>
      <c r="E3304" s="65"/>
      <c r="F3304" s="66"/>
      <c r="G3304" s="63"/>
      <c r="H3304" s="67"/>
      <c r="I3304" s="68"/>
      <c r="J3304" s="68"/>
      <c r="K3304" s="32"/>
      <c r="L3304" s="75">
        <v>3304</v>
      </c>
      <c r="M3304" s="75"/>
      <c r="N3304" s="70"/>
      <c r="O3304" s="77" t="s">
        <v>179</v>
      </c>
      <c r="P3304" s="79">
        <v>45022.810011574074</v>
      </c>
      <c r="Q3304" s="77" t="s">
        <v>4510</v>
      </c>
      <c r="R3304" s="77">
        <v>0</v>
      </c>
      <c r="S3304" s="77">
        <v>0</v>
      </c>
      <c r="T3304" s="77">
        <v>0</v>
      </c>
      <c r="U3304" s="77">
        <v>0</v>
      </c>
      <c r="V3304" s="77">
        <v>80</v>
      </c>
      <c r="W3304" s="82" t="s">
        <v>6740</v>
      </c>
      <c r="X3304" s="77"/>
      <c r="Y3304" s="77"/>
      <c r="Z3304" s="77"/>
      <c r="AA3304" s="77" t="s">
        <v>9629</v>
      </c>
      <c r="AB3304" s="77" t="s">
        <v>10130</v>
      </c>
      <c r="AC3304" s="82" t="s">
        <v>10147</v>
      </c>
      <c r="AD3304" s="77" t="s">
        <v>10184</v>
      </c>
      <c r="AE3304" s="80" t="str">
        <f>HYPERLINK("https://twitter.com/imdasmilhas/status/1644058999963242502")</f>
        <v>https://twitter.com/imdasmilhas/status/1644058999963242502</v>
      </c>
      <c r="AF3304" s="79">
        <v>45022.810011574074</v>
      </c>
      <c r="AG3304" s="85">
        <v>45022</v>
      </c>
      <c r="AH3304" s="82" t="s">
        <v>12378</v>
      </c>
      <c r="AI3304" s="77" t="b">
        <v>0</v>
      </c>
      <c r="AJ3304" s="77"/>
      <c r="AK3304" s="77"/>
      <c r="AL3304" s="77"/>
      <c r="AM3304" s="77"/>
      <c r="AN3304" s="77"/>
      <c r="AO3304" s="77"/>
      <c r="AP3304" s="77"/>
      <c r="AQ3304" s="77" t="s">
        <v>16272</v>
      </c>
      <c r="AR3304" s="77"/>
      <c r="AS3304" s="77"/>
      <c r="AT3304" s="77"/>
      <c r="AU3304" s="77"/>
      <c r="AV3304" s="80" t="str">
        <f>HYPERLINK("https://pbs.twimg.com/media/FtDe8pKX0B8RsNK.jpg")</f>
        <v>https://pbs.twimg.com/media/FtDe8pKX0B8RsNK.jpg</v>
      </c>
      <c r="AW3304" s="82" t="s">
        <v>20070</v>
      </c>
      <c r="AX3304" s="82" t="s">
        <v>20070</v>
      </c>
      <c r="AY3304" s="77"/>
      <c r="AZ3304" s="82" t="s">
        <v>20971</v>
      </c>
      <c r="BA3304" s="82" t="s">
        <v>20971</v>
      </c>
      <c r="BB3304" s="82" t="s">
        <v>20971</v>
      </c>
      <c r="BC3304" s="82" t="s">
        <v>20070</v>
      </c>
      <c r="BD3304" s="82" t="s">
        <v>21597</v>
      </c>
      <c r="BE3304" s="77"/>
      <c r="BF3304" s="77"/>
      <c r="BG3304" s="77"/>
      <c r="BH3304" s="77"/>
      <c r="BI3304" s="77"/>
    </row>
    <row r="3305" spans="1:61" x14ac:dyDescent="0.25">
      <c r="A3305" s="62" t="s">
        <v>1006</v>
      </c>
      <c r="B3305" s="62" t="s">
        <v>1006</v>
      </c>
      <c r="C3305" s="63"/>
      <c r="D3305" s="64"/>
      <c r="E3305" s="65"/>
      <c r="F3305" s="66"/>
      <c r="G3305" s="63"/>
      <c r="H3305" s="67"/>
      <c r="I3305" s="68"/>
      <c r="J3305" s="68"/>
      <c r="K3305" s="32"/>
      <c r="L3305" s="75">
        <v>3305</v>
      </c>
      <c r="M3305" s="75"/>
      <c r="N3305" s="70"/>
      <c r="O3305" s="77" t="s">
        <v>179</v>
      </c>
      <c r="P3305" s="79">
        <v>45022.670115740744</v>
      </c>
      <c r="Q3305" s="77" t="s">
        <v>4511</v>
      </c>
      <c r="R3305" s="77">
        <v>0</v>
      </c>
      <c r="S3305" s="77">
        <v>0</v>
      </c>
      <c r="T3305" s="77">
        <v>0</v>
      </c>
      <c r="U3305" s="77">
        <v>0</v>
      </c>
      <c r="V3305" s="77">
        <v>89</v>
      </c>
      <c r="W3305" s="82" t="s">
        <v>6740</v>
      </c>
      <c r="X3305" s="77"/>
      <c r="Y3305" s="77"/>
      <c r="Z3305" s="77"/>
      <c r="AA3305" s="77" t="s">
        <v>9630</v>
      </c>
      <c r="AB3305" s="77" t="s">
        <v>10130</v>
      </c>
      <c r="AC3305" s="82" t="s">
        <v>10147</v>
      </c>
      <c r="AD3305" s="77" t="s">
        <v>10184</v>
      </c>
      <c r="AE3305" s="80" t="str">
        <f>HYPERLINK("https://twitter.com/imdasmilhas/status/1644008303733645313")</f>
        <v>https://twitter.com/imdasmilhas/status/1644008303733645313</v>
      </c>
      <c r="AF3305" s="79">
        <v>45022.670115740744</v>
      </c>
      <c r="AG3305" s="85">
        <v>45022</v>
      </c>
      <c r="AH3305" s="82" t="s">
        <v>13310</v>
      </c>
      <c r="AI3305" s="77" t="b">
        <v>0</v>
      </c>
      <c r="AJ3305" s="77"/>
      <c r="AK3305" s="77"/>
      <c r="AL3305" s="77"/>
      <c r="AM3305" s="77"/>
      <c r="AN3305" s="77"/>
      <c r="AO3305" s="77"/>
      <c r="AP3305" s="77"/>
      <c r="AQ3305" s="77" t="s">
        <v>16273</v>
      </c>
      <c r="AR3305" s="77"/>
      <c r="AS3305" s="77"/>
      <c r="AT3305" s="77"/>
      <c r="AU3305" s="77"/>
      <c r="AV3305" s="80" t="str">
        <f>HYPERLINK("https://pbs.twimg.com/media/FtCw1udXsAAeM-f.jpg")</f>
        <v>https://pbs.twimg.com/media/FtCw1udXsAAeM-f.jpg</v>
      </c>
      <c r="AW3305" s="82" t="s">
        <v>20071</v>
      </c>
      <c r="AX3305" s="82" t="s">
        <v>20071</v>
      </c>
      <c r="AY3305" s="77"/>
      <c r="AZ3305" s="82" t="s">
        <v>20971</v>
      </c>
      <c r="BA3305" s="82" t="s">
        <v>20971</v>
      </c>
      <c r="BB3305" s="82" t="s">
        <v>20971</v>
      </c>
      <c r="BC3305" s="82" t="s">
        <v>20071</v>
      </c>
      <c r="BD3305" s="82" t="s">
        <v>21597</v>
      </c>
      <c r="BE3305" s="77"/>
      <c r="BF3305" s="77"/>
      <c r="BG3305" s="77"/>
      <c r="BH3305" s="77"/>
      <c r="BI3305" s="77"/>
    </row>
    <row r="3306" spans="1:61" x14ac:dyDescent="0.25">
      <c r="A3306" s="62" t="s">
        <v>1006</v>
      </c>
      <c r="B3306" s="62" t="s">
        <v>1006</v>
      </c>
      <c r="C3306" s="63"/>
      <c r="D3306" s="64"/>
      <c r="E3306" s="65"/>
      <c r="F3306" s="66"/>
      <c r="G3306" s="63"/>
      <c r="H3306" s="67"/>
      <c r="I3306" s="68"/>
      <c r="J3306" s="68"/>
      <c r="K3306" s="32"/>
      <c r="L3306" s="75">
        <v>3306</v>
      </c>
      <c r="M3306" s="75"/>
      <c r="N3306" s="70"/>
      <c r="O3306" s="77" t="s">
        <v>179</v>
      </c>
      <c r="P3306" s="79">
        <v>45022.656493055554</v>
      </c>
      <c r="Q3306" s="77" t="s">
        <v>4512</v>
      </c>
      <c r="R3306" s="77">
        <v>0</v>
      </c>
      <c r="S3306" s="77">
        <v>0</v>
      </c>
      <c r="T3306" s="77">
        <v>0</v>
      </c>
      <c r="U3306" s="77">
        <v>0</v>
      </c>
      <c r="V3306" s="77">
        <v>67</v>
      </c>
      <c r="W3306" s="82" t="s">
        <v>6740</v>
      </c>
      <c r="X3306" s="77"/>
      <c r="Y3306" s="77"/>
      <c r="Z3306" s="77"/>
      <c r="AA3306" s="77" t="s">
        <v>9631</v>
      </c>
      <c r="AB3306" s="77" t="s">
        <v>10130</v>
      </c>
      <c r="AC3306" s="82" t="s">
        <v>10147</v>
      </c>
      <c r="AD3306" s="77" t="s">
        <v>10184</v>
      </c>
      <c r="AE3306" s="80" t="str">
        <f>HYPERLINK("https://twitter.com/imdasmilhas/status/1644003367813885953")</f>
        <v>https://twitter.com/imdasmilhas/status/1644003367813885953</v>
      </c>
      <c r="AF3306" s="79">
        <v>45022.656493055554</v>
      </c>
      <c r="AG3306" s="85">
        <v>45022</v>
      </c>
      <c r="AH3306" s="82" t="s">
        <v>13311</v>
      </c>
      <c r="AI3306" s="77" t="b">
        <v>0</v>
      </c>
      <c r="AJ3306" s="77"/>
      <c r="AK3306" s="77"/>
      <c r="AL3306" s="77"/>
      <c r="AM3306" s="77"/>
      <c r="AN3306" s="77"/>
      <c r="AO3306" s="77"/>
      <c r="AP3306" s="77"/>
      <c r="AQ3306" s="77" t="s">
        <v>16274</v>
      </c>
      <c r="AR3306" s="77"/>
      <c r="AS3306" s="77"/>
      <c r="AT3306" s="77"/>
      <c r="AU3306" s="77"/>
      <c r="AV3306" s="80" t="str">
        <f>HYPERLINK("https://pbs.twimg.com/media/FtCsWYrXoAIu3gW.jpg")</f>
        <v>https://pbs.twimg.com/media/FtCsWYrXoAIu3gW.jpg</v>
      </c>
      <c r="AW3306" s="82" t="s">
        <v>20072</v>
      </c>
      <c r="AX3306" s="82" t="s">
        <v>20072</v>
      </c>
      <c r="AY3306" s="77"/>
      <c r="AZ3306" s="82" t="s">
        <v>20971</v>
      </c>
      <c r="BA3306" s="82" t="s">
        <v>20971</v>
      </c>
      <c r="BB3306" s="82" t="s">
        <v>20971</v>
      </c>
      <c r="BC3306" s="82" t="s">
        <v>20072</v>
      </c>
      <c r="BD3306" s="82" t="s">
        <v>21597</v>
      </c>
      <c r="BE3306" s="77"/>
      <c r="BF3306" s="77"/>
      <c r="BG3306" s="77"/>
      <c r="BH3306" s="77"/>
      <c r="BI3306" s="77"/>
    </row>
    <row r="3307" spans="1:61" x14ac:dyDescent="0.25">
      <c r="A3307" s="62" t="s">
        <v>1006</v>
      </c>
      <c r="B3307" s="62" t="s">
        <v>1006</v>
      </c>
      <c r="C3307" s="63"/>
      <c r="D3307" s="64"/>
      <c r="E3307" s="65"/>
      <c r="F3307" s="66"/>
      <c r="G3307" s="63"/>
      <c r="H3307" s="67"/>
      <c r="I3307" s="68"/>
      <c r="J3307" s="68"/>
      <c r="K3307" s="32"/>
      <c r="L3307" s="75">
        <v>3307</v>
      </c>
      <c r="M3307" s="75"/>
      <c r="N3307" s="70"/>
      <c r="O3307" s="77" t="s">
        <v>179</v>
      </c>
      <c r="P3307" s="79">
        <v>45022.656041666669</v>
      </c>
      <c r="Q3307" s="77" t="s">
        <v>4513</v>
      </c>
      <c r="R3307" s="77">
        <v>0</v>
      </c>
      <c r="S3307" s="77">
        <v>0</v>
      </c>
      <c r="T3307" s="77">
        <v>0</v>
      </c>
      <c r="U3307" s="77">
        <v>0</v>
      </c>
      <c r="V3307" s="77">
        <v>93</v>
      </c>
      <c r="W3307" s="82" t="s">
        <v>6740</v>
      </c>
      <c r="X3307" s="77"/>
      <c r="Y3307" s="77"/>
      <c r="Z3307" s="77"/>
      <c r="AA3307" s="77" t="s">
        <v>9632</v>
      </c>
      <c r="AB3307" s="77" t="s">
        <v>10130</v>
      </c>
      <c r="AC3307" s="82" t="s">
        <v>10147</v>
      </c>
      <c r="AD3307" s="77" t="s">
        <v>10184</v>
      </c>
      <c r="AE3307" s="80" t="str">
        <f>HYPERLINK("https://twitter.com/imdasmilhas/status/1644003202445000704")</f>
        <v>https://twitter.com/imdasmilhas/status/1644003202445000704</v>
      </c>
      <c r="AF3307" s="79">
        <v>45022.656041666669</v>
      </c>
      <c r="AG3307" s="85">
        <v>45022</v>
      </c>
      <c r="AH3307" s="82" t="s">
        <v>13312</v>
      </c>
      <c r="AI3307" s="77" t="b">
        <v>0</v>
      </c>
      <c r="AJ3307" s="77"/>
      <c r="AK3307" s="77"/>
      <c r="AL3307" s="77"/>
      <c r="AM3307" s="77"/>
      <c r="AN3307" s="77"/>
      <c r="AO3307" s="77"/>
      <c r="AP3307" s="77"/>
      <c r="AQ3307" s="77" t="s">
        <v>16275</v>
      </c>
      <c r="AR3307" s="77"/>
      <c r="AS3307" s="77"/>
      <c r="AT3307" s="77"/>
      <c r="AU3307" s="77"/>
      <c r="AV3307" s="80" t="str">
        <f>HYPERLINK("https://pbs.twimg.com/media/FtCsMzpWIAEi7ka.jpg")</f>
        <v>https://pbs.twimg.com/media/FtCsMzpWIAEi7ka.jpg</v>
      </c>
      <c r="AW3307" s="82" t="s">
        <v>20073</v>
      </c>
      <c r="AX3307" s="82" t="s">
        <v>20073</v>
      </c>
      <c r="AY3307" s="77"/>
      <c r="AZ3307" s="82" t="s">
        <v>20971</v>
      </c>
      <c r="BA3307" s="82" t="s">
        <v>20971</v>
      </c>
      <c r="BB3307" s="82" t="s">
        <v>20971</v>
      </c>
      <c r="BC3307" s="82" t="s">
        <v>20073</v>
      </c>
      <c r="BD3307" s="82" t="s">
        <v>21597</v>
      </c>
      <c r="BE3307" s="77"/>
      <c r="BF3307" s="77"/>
      <c r="BG3307" s="77"/>
      <c r="BH3307" s="77"/>
      <c r="BI3307" s="77"/>
    </row>
    <row r="3308" spans="1:61" x14ac:dyDescent="0.25">
      <c r="A3308" s="62" t="s">
        <v>1006</v>
      </c>
      <c r="B3308" s="62" t="s">
        <v>1006</v>
      </c>
      <c r="C3308" s="63"/>
      <c r="D3308" s="64"/>
      <c r="E3308" s="65"/>
      <c r="F3308" s="66"/>
      <c r="G3308" s="63"/>
      <c r="H3308" s="67"/>
      <c r="I3308" s="68"/>
      <c r="J3308" s="68"/>
      <c r="K3308" s="32"/>
      <c r="L3308" s="75">
        <v>3308</v>
      </c>
      <c r="M3308" s="75"/>
      <c r="N3308" s="70"/>
      <c r="O3308" s="77" t="s">
        <v>179</v>
      </c>
      <c r="P3308" s="79">
        <v>45022.655300925922</v>
      </c>
      <c r="Q3308" s="77" t="s">
        <v>4514</v>
      </c>
      <c r="R3308" s="77">
        <v>0</v>
      </c>
      <c r="S3308" s="77">
        <v>0</v>
      </c>
      <c r="T3308" s="77">
        <v>1</v>
      </c>
      <c r="U3308" s="77">
        <v>0</v>
      </c>
      <c r="V3308" s="77">
        <v>137</v>
      </c>
      <c r="W3308" s="82" t="s">
        <v>6740</v>
      </c>
      <c r="X3308" s="77"/>
      <c r="Y3308" s="77"/>
      <c r="Z3308" s="77"/>
      <c r="AA3308" s="77" t="s">
        <v>9633</v>
      </c>
      <c r="AB3308" s="77" t="s">
        <v>10130</v>
      </c>
      <c r="AC3308" s="82" t="s">
        <v>10147</v>
      </c>
      <c r="AD3308" s="77" t="s">
        <v>10184</v>
      </c>
      <c r="AE3308" s="80" t="str">
        <f>HYPERLINK("https://twitter.com/imdasmilhas/status/1644002933661474816")</f>
        <v>https://twitter.com/imdasmilhas/status/1644002933661474816</v>
      </c>
      <c r="AF3308" s="79">
        <v>45022.655300925922</v>
      </c>
      <c r="AG3308" s="85">
        <v>45022</v>
      </c>
      <c r="AH3308" s="82" t="s">
        <v>13313</v>
      </c>
      <c r="AI3308" s="77" t="b">
        <v>0</v>
      </c>
      <c r="AJ3308" s="77"/>
      <c r="AK3308" s="77"/>
      <c r="AL3308" s="77"/>
      <c r="AM3308" s="77"/>
      <c r="AN3308" s="77"/>
      <c r="AO3308" s="77"/>
      <c r="AP3308" s="77"/>
      <c r="AQ3308" s="77" t="s">
        <v>16276</v>
      </c>
      <c r="AR3308" s="77"/>
      <c r="AS3308" s="77"/>
      <c r="AT3308" s="77"/>
      <c r="AU3308" s="77"/>
      <c r="AV3308" s="80" t="str">
        <f>HYPERLINK("https://pbs.twimg.com/media/FtCr9HlWcAAi60i.jpg")</f>
        <v>https://pbs.twimg.com/media/FtCr9HlWcAAi60i.jpg</v>
      </c>
      <c r="AW3308" s="82" t="s">
        <v>20074</v>
      </c>
      <c r="AX3308" s="82" t="s">
        <v>20074</v>
      </c>
      <c r="AY3308" s="77"/>
      <c r="AZ3308" s="82" t="s">
        <v>20971</v>
      </c>
      <c r="BA3308" s="82" t="s">
        <v>20971</v>
      </c>
      <c r="BB3308" s="82" t="s">
        <v>20971</v>
      </c>
      <c r="BC3308" s="82" t="s">
        <v>20074</v>
      </c>
      <c r="BD3308" s="82" t="s">
        <v>21597</v>
      </c>
      <c r="BE3308" s="77"/>
      <c r="BF3308" s="77"/>
      <c r="BG3308" s="77"/>
      <c r="BH3308" s="77"/>
      <c r="BI3308" s="77"/>
    </row>
    <row r="3309" spans="1:61" x14ac:dyDescent="0.25">
      <c r="A3309" s="62" t="s">
        <v>1006</v>
      </c>
      <c r="B3309" s="62" t="s">
        <v>1006</v>
      </c>
      <c r="C3309" s="63"/>
      <c r="D3309" s="64"/>
      <c r="E3309" s="65"/>
      <c r="F3309" s="66"/>
      <c r="G3309" s="63"/>
      <c r="H3309" s="67"/>
      <c r="I3309" s="68"/>
      <c r="J3309" s="68"/>
      <c r="K3309" s="32"/>
      <c r="L3309" s="75">
        <v>3309</v>
      </c>
      <c r="M3309" s="75"/>
      <c r="N3309" s="70"/>
      <c r="O3309" s="77" t="s">
        <v>179</v>
      </c>
      <c r="P3309" s="79">
        <v>45021.822534722225</v>
      </c>
      <c r="Q3309" s="77" t="s">
        <v>4515</v>
      </c>
      <c r="R3309" s="77">
        <v>0</v>
      </c>
      <c r="S3309" s="77">
        <v>0</v>
      </c>
      <c r="T3309" s="77">
        <v>0</v>
      </c>
      <c r="U3309" s="77">
        <v>0</v>
      </c>
      <c r="V3309" s="77">
        <v>63</v>
      </c>
      <c r="W3309" s="82" t="s">
        <v>6740</v>
      </c>
      <c r="X3309" s="77"/>
      <c r="Y3309" s="77"/>
      <c r="Z3309" s="77"/>
      <c r="AA3309" s="77" t="s">
        <v>9634</v>
      </c>
      <c r="AB3309" s="77" t="s">
        <v>10130</v>
      </c>
      <c r="AC3309" s="82" t="s">
        <v>10147</v>
      </c>
      <c r="AD3309" s="77" t="s">
        <v>10184</v>
      </c>
      <c r="AE3309" s="80" t="str">
        <f>HYPERLINK("https://twitter.com/imdasmilhas/status/1643701150078709761")</f>
        <v>https://twitter.com/imdasmilhas/status/1643701150078709761</v>
      </c>
      <c r="AF3309" s="79">
        <v>45021.822534722225</v>
      </c>
      <c r="AG3309" s="85">
        <v>45021</v>
      </c>
      <c r="AH3309" s="82" t="s">
        <v>13314</v>
      </c>
      <c r="AI3309" s="77" t="b">
        <v>0</v>
      </c>
      <c r="AJ3309" s="77"/>
      <c r="AK3309" s="77"/>
      <c r="AL3309" s="77"/>
      <c r="AM3309" s="77"/>
      <c r="AN3309" s="77"/>
      <c r="AO3309" s="77"/>
      <c r="AP3309" s="77"/>
      <c r="AQ3309" s="77" t="s">
        <v>16277</v>
      </c>
      <c r="AR3309" s="77"/>
      <c r="AS3309" s="77"/>
      <c r="AT3309" s="77"/>
      <c r="AU3309" s="77"/>
      <c r="AV3309" s="80" t="str">
        <f>HYPERLINK("https://pbs.twimg.com/media/Fs-ZfEbWYAA1eAj.jpg")</f>
        <v>https://pbs.twimg.com/media/Fs-ZfEbWYAA1eAj.jpg</v>
      </c>
      <c r="AW3309" s="82" t="s">
        <v>20075</v>
      </c>
      <c r="AX3309" s="82" t="s">
        <v>20075</v>
      </c>
      <c r="AY3309" s="77"/>
      <c r="AZ3309" s="82" t="s">
        <v>20971</v>
      </c>
      <c r="BA3309" s="82" t="s">
        <v>20971</v>
      </c>
      <c r="BB3309" s="82" t="s">
        <v>20971</v>
      </c>
      <c r="BC3309" s="82" t="s">
        <v>20075</v>
      </c>
      <c r="BD3309" s="82" t="s">
        <v>21597</v>
      </c>
      <c r="BE3309" s="77"/>
      <c r="BF3309" s="77"/>
      <c r="BG3309" s="77"/>
      <c r="BH3309" s="77"/>
      <c r="BI3309" s="77"/>
    </row>
    <row r="3310" spans="1:61" x14ac:dyDescent="0.25">
      <c r="A3310" s="62" t="s">
        <v>1006</v>
      </c>
      <c r="B3310" s="62" t="s">
        <v>1006</v>
      </c>
      <c r="C3310" s="63"/>
      <c r="D3310" s="64"/>
      <c r="E3310" s="65"/>
      <c r="F3310" s="66"/>
      <c r="G3310" s="63"/>
      <c r="H3310" s="67"/>
      <c r="I3310" s="68"/>
      <c r="J3310" s="68"/>
      <c r="K3310" s="32"/>
      <c r="L3310" s="75">
        <v>3310</v>
      </c>
      <c r="M3310" s="75"/>
      <c r="N3310" s="70"/>
      <c r="O3310" s="77" t="s">
        <v>179</v>
      </c>
      <c r="P3310" s="79">
        <v>45021.796620370369</v>
      </c>
      <c r="Q3310" s="77" t="s">
        <v>4516</v>
      </c>
      <c r="R3310" s="77">
        <v>0</v>
      </c>
      <c r="S3310" s="77">
        <v>0</v>
      </c>
      <c r="T3310" s="77">
        <v>0</v>
      </c>
      <c r="U3310" s="77">
        <v>0</v>
      </c>
      <c r="V3310" s="77">
        <v>78</v>
      </c>
      <c r="W3310" s="82" t="s">
        <v>6740</v>
      </c>
      <c r="X3310" s="77"/>
      <c r="Y3310" s="77"/>
      <c r="Z3310" s="77"/>
      <c r="AA3310" s="77" t="s">
        <v>9635</v>
      </c>
      <c r="AB3310" s="77" t="s">
        <v>10130</v>
      </c>
      <c r="AC3310" s="82" t="s">
        <v>10147</v>
      </c>
      <c r="AD3310" s="77" t="s">
        <v>10184</v>
      </c>
      <c r="AE3310" s="80" t="str">
        <f>HYPERLINK("https://twitter.com/imdasmilhas/status/1643691757916282880")</f>
        <v>https://twitter.com/imdasmilhas/status/1643691757916282880</v>
      </c>
      <c r="AF3310" s="79">
        <v>45021.796620370369</v>
      </c>
      <c r="AG3310" s="85">
        <v>45021</v>
      </c>
      <c r="AH3310" s="82" t="s">
        <v>13315</v>
      </c>
      <c r="AI3310" s="77" t="b">
        <v>0</v>
      </c>
      <c r="AJ3310" s="77"/>
      <c r="AK3310" s="77"/>
      <c r="AL3310" s="77"/>
      <c r="AM3310" s="77"/>
      <c r="AN3310" s="77"/>
      <c r="AO3310" s="77"/>
      <c r="AP3310" s="77"/>
      <c r="AQ3310" s="77" t="s">
        <v>16278</v>
      </c>
      <c r="AR3310" s="77"/>
      <c r="AS3310" s="77"/>
      <c r="AT3310" s="77"/>
      <c r="AU3310" s="77"/>
      <c r="AV3310" s="80" t="str">
        <f>HYPERLINK("https://pbs.twimg.com/media/Fs-Q8VDWcAAOo3B.jpg")</f>
        <v>https://pbs.twimg.com/media/Fs-Q8VDWcAAOo3B.jpg</v>
      </c>
      <c r="AW3310" s="82" t="s">
        <v>20076</v>
      </c>
      <c r="AX3310" s="82" t="s">
        <v>20076</v>
      </c>
      <c r="AY3310" s="77"/>
      <c r="AZ3310" s="82" t="s">
        <v>20971</v>
      </c>
      <c r="BA3310" s="82" t="s">
        <v>20971</v>
      </c>
      <c r="BB3310" s="82" t="s">
        <v>20971</v>
      </c>
      <c r="BC3310" s="82" t="s">
        <v>20076</v>
      </c>
      <c r="BD3310" s="82" t="s">
        <v>21597</v>
      </c>
      <c r="BE3310" s="77"/>
      <c r="BF3310" s="77"/>
      <c r="BG3310" s="77"/>
      <c r="BH3310" s="77"/>
      <c r="BI3310" s="77"/>
    </row>
    <row r="3311" spans="1:61" x14ac:dyDescent="0.25">
      <c r="A3311" s="62" t="s">
        <v>1006</v>
      </c>
      <c r="B3311" s="62" t="s">
        <v>1006</v>
      </c>
      <c r="C3311" s="63"/>
      <c r="D3311" s="64"/>
      <c r="E3311" s="65"/>
      <c r="F3311" s="66"/>
      <c r="G3311" s="63"/>
      <c r="H3311" s="67"/>
      <c r="I3311" s="68"/>
      <c r="J3311" s="68"/>
      <c r="K3311" s="32"/>
      <c r="L3311" s="75">
        <v>3311</v>
      </c>
      <c r="M3311" s="75"/>
      <c r="N3311" s="70"/>
      <c r="O3311" s="77" t="s">
        <v>179</v>
      </c>
      <c r="P3311" s="79">
        <v>45021.796284722222</v>
      </c>
      <c r="Q3311" s="77" t="s">
        <v>4517</v>
      </c>
      <c r="R3311" s="77">
        <v>0</v>
      </c>
      <c r="S3311" s="77">
        <v>0</v>
      </c>
      <c r="T3311" s="77">
        <v>0</v>
      </c>
      <c r="U3311" s="77">
        <v>0</v>
      </c>
      <c r="V3311" s="77">
        <v>89</v>
      </c>
      <c r="W3311" s="82" t="s">
        <v>6740</v>
      </c>
      <c r="X3311" s="77"/>
      <c r="Y3311" s="77"/>
      <c r="Z3311" s="77"/>
      <c r="AA3311" s="77" t="s">
        <v>9636</v>
      </c>
      <c r="AB3311" s="77" t="s">
        <v>10130</v>
      </c>
      <c r="AC3311" s="82" t="s">
        <v>10147</v>
      </c>
      <c r="AD3311" s="77" t="s">
        <v>10184</v>
      </c>
      <c r="AE3311" s="80" t="str">
        <f>HYPERLINK("https://twitter.com/imdasmilhas/status/1643691638898798593")</f>
        <v>https://twitter.com/imdasmilhas/status/1643691638898798593</v>
      </c>
      <c r="AF3311" s="79">
        <v>45021.796284722222</v>
      </c>
      <c r="AG3311" s="85">
        <v>45021</v>
      </c>
      <c r="AH3311" s="82" t="s">
        <v>12779</v>
      </c>
      <c r="AI3311" s="77" t="b">
        <v>0</v>
      </c>
      <c r="AJ3311" s="77"/>
      <c r="AK3311" s="77"/>
      <c r="AL3311" s="77"/>
      <c r="AM3311" s="77"/>
      <c r="AN3311" s="77"/>
      <c r="AO3311" s="77"/>
      <c r="AP3311" s="77"/>
      <c r="AQ3311" s="77" t="s">
        <v>16279</v>
      </c>
      <c r="AR3311" s="77"/>
      <c r="AS3311" s="77"/>
      <c r="AT3311" s="77"/>
      <c r="AU3311" s="77"/>
      <c r="AV3311" s="80" t="str">
        <f>HYPERLINK("https://pbs.twimg.com/media/Fs-Q1Y-WAAgB2q9.jpg")</f>
        <v>https://pbs.twimg.com/media/Fs-Q1Y-WAAgB2q9.jpg</v>
      </c>
      <c r="AW3311" s="82" t="s">
        <v>20077</v>
      </c>
      <c r="AX3311" s="82" t="s">
        <v>20077</v>
      </c>
      <c r="AY3311" s="77"/>
      <c r="AZ3311" s="82" t="s">
        <v>20971</v>
      </c>
      <c r="BA3311" s="82" t="s">
        <v>20971</v>
      </c>
      <c r="BB3311" s="82" t="s">
        <v>20971</v>
      </c>
      <c r="BC3311" s="82" t="s">
        <v>20077</v>
      </c>
      <c r="BD3311" s="82" t="s">
        <v>21597</v>
      </c>
      <c r="BE3311" s="77"/>
      <c r="BF3311" s="77"/>
      <c r="BG3311" s="77"/>
      <c r="BH3311" s="77"/>
      <c r="BI3311" s="77"/>
    </row>
    <row r="3312" spans="1:61" x14ac:dyDescent="0.25">
      <c r="A3312" s="62" t="s">
        <v>1006</v>
      </c>
      <c r="B3312" s="62" t="s">
        <v>1006</v>
      </c>
      <c r="C3312" s="63"/>
      <c r="D3312" s="64"/>
      <c r="E3312" s="65"/>
      <c r="F3312" s="66"/>
      <c r="G3312" s="63"/>
      <c r="H3312" s="67"/>
      <c r="I3312" s="68"/>
      <c r="J3312" s="68"/>
      <c r="K3312" s="32"/>
      <c r="L3312" s="75">
        <v>3312</v>
      </c>
      <c r="M3312" s="75"/>
      <c r="N3312" s="70"/>
      <c r="O3312" s="77" t="s">
        <v>179</v>
      </c>
      <c r="P3312" s="79">
        <v>45021.795312499999</v>
      </c>
      <c r="Q3312" s="77" t="s">
        <v>4518</v>
      </c>
      <c r="R3312" s="77">
        <v>0</v>
      </c>
      <c r="S3312" s="77">
        <v>0</v>
      </c>
      <c r="T3312" s="77">
        <v>0</v>
      </c>
      <c r="U3312" s="77">
        <v>0</v>
      </c>
      <c r="V3312" s="77">
        <v>46</v>
      </c>
      <c r="W3312" s="82" t="s">
        <v>6740</v>
      </c>
      <c r="X3312" s="77"/>
      <c r="Y3312" s="77"/>
      <c r="Z3312" s="77"/>
      <c r="AA3312" s="77" t="s">
        <v>9637</v>
      </c>
      <c r="AB3312" s="77" t="s">
        <v>10130</v>
      </c>
      <c r="AC3312" s="82" t="s">
        <v>10147</v>
      </c>
      <c r="AD3312" s="77" t="s">
        <v>10184</v>
      </c>
      <c r="AE3312" s="80" t="str">
        <f>HYPERLINK("https://twitter.com/imdasmilhas/status/1643691283855056896")</f>
        <v>https://twitter.com/imdasmilhas/status/1643691283855056896</v>
      </c>
      <c r="AF3312" s="79">
        <v>45021.795312499999</v>
      </c>
      <c r="AG3312" s="85">
        <v>45021</v>
      </c>
      <c r="AH3312" s="82" t="s">
        <v>13316</v>
      </c>
      <c r="AI3312" s="77" t="b">
        <v>0</v>
      </c>
      <c r="AJ3312" s="77"/>
      <c r="AK3312" s="77"/>
      <c r="AL3312" s="77"/>
      <c r="AM3312" s="77"/>
      <c r="AN3312" s="77"/>
      <c r="AO3312" s="77"/>
      <c r="AP3312" s="77"/>
      <c r="AQ3312" s="77" t="s">
        <v>16280</v>
      </c>
      <c r="AR3312" s="77"/>
      <c r="AS3312" s="77"/>
      <c r="AT3312" s="77"/>
      <c r="AU3312" s="77"/>
      <c r="AV3312" s="80" t="str">
        <f>HYPERLINK("https://pbs.twimg.com/media/Fs-QgwxWAAAxwU1.jpg")</f>
        <v>https://pbs.twimg.com/media/Fs-QgwxWAAAxwU1.jpg</v>
      </c>
      <c r="AW3312" s="82" t="s">
        <v>20078</v>
      </c>
      <c r="AX3312" s="82" t="s">
        <v>20078</v>
      </c>
      <c r="AY3312" s="77"/>
      <c r="AZ3312" s="82" t="s">
        <v>20971</v>
      </c>
      <c r="BA3312" s="82" t="s">
        <v>20971</v>
      </c>
      <c r="BB3312" s="82" t="s">
        <v>20971</v>
      </c>
      <c r="BC3312" s="82" t="s">
        <v>20078</v>
      </c>
      <c r="BD3312" s="82" t="s">
        <v>21597</v>
      </c>
      <c r="BE3312" s="77"/>
      <c r="BF3312" s="77"/>
      <c r="BG3312" s="77"/>
      <c r="BH3312" s="77"/>
      <c r="BI3312" s="77"/>
    </row>
    <row r="3313" spans="1:61" x14ac:dyDescent="0.25">
      <c r="A3313" s="62" t="s">
        <v>1006</v>
      </c>
      <c r="B3313" s="62" t="s">
        <v>1006</v>
      </c>
      <c r="C3313" s="63"/>
      <c r="D3313" s="64"/>
      <c r="E3313" s="65"/>
      <c r="F3313" s="66"/>
      <c r="G3313" s="63"/>
      <c r="H3313" s="67"/>
      <c r="I3313" s="68"/>
      <c r="J3313" s="68"/>
      <c r="K3313" s="32"/>
      <c r="L3313" s="75">
        <v>3313</v>
      </c>
      <c r="M3313" s="75"/>
      <c r="N3313" s="70"/>
      <c r="O3313" s="77" t="s">
        <v>179</v>
      </c>
      <c r="P3313" s="79">
        <v>45021.794247685182</v>
      </c>
      <c r="Q3313" s="77" t="s">
        <v>4519</v>
      </c>
      <c r="R3313" s="77">
        <v>0</v>
      </c>
      <c r="S3313" s="77">
        <v>0</v>
      </c>
      <c r="T3313" s="77">
        <v>0</v>
      </c>
      <c r="U3313" s="77">
        <v>0</v>
      </c>
      <c r="V3313" s="77">
        <v>86</v>
      </c>
      <c r="W3313" s="82" t="s">
        <v>6740</v>
      </c>
      <c r="X3313" s="77"/>
      <c r="Y3313" s="77"/>
      <c r="Z3313" s="77"/>
      <c r="AA3313" s="77" t="s">
        <v>9638</v>
      </c>
      <c r="AB3313" s="77" t="s">
        <v>10130</v>
      </c>
      <c r="AC3313" s="82" t="s">
        <v>10147</v>
      </c>
      <c r="AD3313" s="77" t="s">
        <v>10184</v>
      </c>
      <c r="AE3313" s="80" t="str">
        <f>HYPERLINK("https://twitter.com/imdasmilhas/status/1643690901556928517")</f>
        <v>https://twitter.com/imdasmilhas/status/1643690901556928517</v>
      </c>
      <c r="AF3313" s="79">
        <v>45021.794247685182</v>
      </c>
      <c r="AG3313" s="85">
        <v>45021</v>
      </c>
      <c r="AH3313" s="82" t="s">
        <v>13129</v>
      </c>
      <c r="AI3313" s="77" t="b">
        <v>0</v>
      </c>
      <c r="AJ3313" s="77"/>
      <c r="AK3313" s="77"/>
      <c r="AL3313" s="77"/>
      <c r="AM3313" s="77"/>
      <c r="AN3313" s="77"/>
      <c r="AO3313" s="77"/>
      <c r="AP3313" s="77"/>
      <c r="AQ3313" s="77" t="s">
        <v>16281</v>
      </c>
      <c r="AR3313" s="77"/>
      <c r="AS3313" s="77"/>
      <c r="AT3313" s="77"/>
      <c r="AU3313" s="77"/>
      <c r="AV3313" s="80" t="str">
        <f>HYPERLINK("https://pbs.twimg.com/media/Fs-QKgDWYBgmMFI.jpg")</f>
        <v>https://pbs.twimg.com/media/Fs-QKgDWYBgmMFI.jpg</v>
      </c>
      <c r="AW3313" s="82" t="s">
        <v>20079</v>
      </c>
      <c r="AX3313" s="82" t="s">
        <v>20079</v>
      </c>
      <c r="AY3313" s="77"/>
      <c r="AZ3313" s="82" t="s">
        <v>20971</v>
      </c>
      <c r="BA3313" s="82" t="s">
        <v>20971</v>
      </c>
      <c r="BB3313" s="82" t="s">
        <v>20971</v>
      </c>
      <c r="BC3313" s="82" t="s">
        <v>20079</v>
      </c>
      <c r="BD3313" s="82" t="s">
        <v>21597</v>
      </c>
      <c r="BE3313" s="77"/>
      <c r="BF3313" s="77"/>
      <c r="BG3313" s="77"/>
      <c r="BH3313" s="77"/>
      <c r="BI3313" s="77"/>
    </row>
    <row r="3314" spans="1:61" x14ac:dyDescent="0.25">
      <c r="A3314" s="62" t="s">
        <v>1006</v>
      </c>
      <c r="B3314" s="62" t="s">
        <v>1006</v>
      </c>
      <c r="C3314" s="63"/>
      <c r="D3314" s="64"/>
      <c r="E3314" s="65"/>
      <c r="F3314" s="66"/>
      <c r="G3314" s="63"/>
      <c r="H3314" s="67"/>
      <c r="I3314" s="68"/>
      <c r="J3314" s="68"/>
      <c r="K3314" s="32"/>
      <c r="L3314" s="75">
        <v>3314</v>
      </c>
      <c r="M3314" s="75"/>
      <c r="N3314" s="70"/>
      <c r="O3314" s="77" t="s">
        <v>179</v>
      </c>
      <c r="P3314" s="79">
        <v>45125.776944444442</v>
      </c>
      <c r="Q3314" s="77" t="s">
        <v>4520</v>
      </c>
      <c r="R3314" s="77">
        <v>0</v>
      </c>
      <c r="S3314" s="77">
        <v>0</v>
      </c>
      <c r="T3314" s="77">
        <v>0</v>
      </c>
      <c r="U3314" s="77">
        <v>0</v>
      </c>
      <c r="V3314" s="77">
        <v>145</v>
      </c>
      <c r="W3314" s="82" t="s">
        <v>6740</v>
      </c>
      <c r="X3314" s="77"/>
      <c r="Y3314" s="77"/>
      <c r="Z3314" s="77"/>
      <c r="AA3314" s="77" t="s">
        <v>9639</v>
      </c>
      <c r="AB3314" s="77" t="s">
        <v>10130</v>
      </c>
      <c r="AC3314" s="82" t="s">
        <v>10147</v>
      </c>
      <c r="AD3314" s="77" t="s">
        <v>10184</v>
      </c>
      <c r="AE3314" s="80" t="str">
        <f>HYPERLINK("https://twitter.com/imdasmilhas/status/1681372968608301056")</f>
        <v>https://twitter.com/imdasmilhas/status/1681372968608301056</v>
      </c>
      <c r="AF3314" s="79">
        <v>45125.776944444442</v>
      </c>
      <c r="AG3314" s="85">
        <v>45125</v>
      </c>
      <c r="AH3314" s="82" t="s">
        <v>13317</v>
      </c>
      <c r="AI3314" s="77" t="b">
        <v>0</v>
      </c>
      <c r="AJ3314" s="77"/>
      <c r="AK3314" s="77"/>
      <c r="AL3314" s="77"/>
      <c r="AM3314" s="77"/>
      <c r="AN3314" s="77"/>
      <c r="AO3314" s="77"/>
      <c r="AP3314" s="77"/>
      <c r="AQ3314" s="77" t="s">
        <v>16282</v>
      </c>
      <c r="AR3314" s="77"/>
      <c r="AS3314" s="77"/>
      <c r="AT3314" s="77"/>
      <c r="AU3314" s="77"/>
      <c r="AV3314" s="80" t="str">
        <f>HYPERLINK("https://pbs.twimg.com/media/F1VvzedWAA8V9Ck.jpg")</f>
        <v>https://pbs.twimg.com/media/F1VvzedWAA8V9Ck.jpg</v>
      </c>
      <c r="AW3314" s="82" t="s">
        <v>20080</v>
      </c>
      <c r="AX3314" s="82" t="s">
        <v>20080</v>
      </c>
      <c r="AY3314" s="77"/>
      <c r="AZ3314" s="82" t="s">
        <v>20971</v>
      </c>
      <c r="BA3314" s="82" t="s">
        <v>20971</v>
      </c>
      <c r="BB3314" s="82" t="s">
        <v>20971</v>
      </c>
      <c r="BC3314" s="82" t="s">
        <v>20080</v>
      </c>
      <c r="BD3314" s="82" t="s">
        <v>21597</v>
      </c>
      <c r="BE3314" s="77"/>
      <c r="BF3314" s="77"/>
      <c r="BG3314" s="77"/>
      <c r="BH3314" s="77"/>
      <c r="BI3314" s="77"/>
    </row>
    <row r="3315" spans="1:61" x14ac:dyDescent="0.25">
      <c r="A3315" s="62" t="s">
        <v>1006</v>
      </c>
      <c r="B3315" s="62" t="s">
        <v>1006</v>
      </c>
      <c r="C3315" s="63"/>
      <c r="D3315" s="64"/>
      <c r="E3315" s="65"/>
      <c r="F3315" s="66"/>
      <c r="G3315" s="63"/>
      <c r="H3315" s="67"/>
      <c r="I3315" s="68"/>
      <c r="J3315" s="68"/>
      <c r="K3315" s="32"/>
      <c r="L3315" s="75">
        <v>3315</v>
      </c>
      <c r="M3315" s="75"/>
      <c r="N3315" s="70"/>
      <c r="O3315" s="77" t="s">
        <v>179</v>
      </c>
      <c r="P3315" s="79">
        <v>45125.704965277779</v>
      </c>
      <c r="Q3315" s="77" t="s">
        <v>4521</v>
      </c>
      <c r="R3315" s="77">
        <v>0</v>
      </c>
      <c r="S3315" s="77">
        <v>0</v>
      </c>
      <c r="T3315" s="77">
        <v>0</v>
      </c>
      <c r="U3315" s="77">
        <v>0</v>
      </c>
      <c r="V3315" s="77">
        <v>115</v>
      </c>
      <c r="W3315" s="82" t="s">
        <v>6741</v>
      </c>
      <c r="X3315" s="77"/>
      <c r="Y3315" s="77"/>
      <c r="Z3315" s="77"/>
      <c r="AA3315" s="77" t="s">
        <v>9640</v>
      </c>
      <c r="AB3315" s="77" t="s">
        <v>10130</v>
      </c>
      <c r="AC3315" s="82" t="s">
        <v>10147</v>
      </c>
      <c r="AD3315" s="77" t="s">
        <v>10184</v>
      </c>
      <c r="AE3315" s="80" t="str">
        <f>HYPERLINK("https://twitter.com/imdasmilhas/status/1681346885028659206")</f>
        <v>https://twitter.com/imdasmilhas/status/1681346885028659206</v>
      </c>
      <c r="AF3315" s="79">
        <v>45125.704965277779</v>
      </c>
      <c r="AG3315" s="85">
        <v>45125</v>
      </c>
      <c r="AH3315" s="82" t="s">
        <v>13318</v>
      </c>
      <c r="AI3315" s="77" t="b">
        <v>0</v>
      </c>
      <c r="AJ3315" s="77"/>
      <c r="AK3315" s="77"/>
      <c r="AL3315" s="77"/>
      <c r="AM3315" s="77"/>
      <c r="AN3315" s="77"/>
      <c r="AO3315" s="77"/>
      <c r="AP3315" s="77"/>
      <c r="AQ3315" s="77" t="s">
        <v>16283</v>
      </c>
      <c r="AR3315" s="77"/>
      <c r="AS3315" s="77"/>
      <c r="AT3315" s="77"/>
      <c r="AU3315" s="77"/>
      <c r="AV3315" s="80" t="str">
        <f>HYPERLINK("https://pbs.twimg.com/media/F1VYFPHXwAEn8gB.jpg")</f>
        <v>https://pbs.twimg.com/media/F1VYFPHXwAEn8gB.jpg</v>
      </c>
      <c r="AW3315" s="82" t="s">
        <v>20081</v>
      </c>
      <c r="AX3315" s="82" t="s">
        <v>20081</v>
      </c>
      <c r="AY3315" s="77"/>
      <c r="AZ3315" s="82" t="s">
        <v>20971</v>
      </c>
      <c r="BA3315" s="82" t="s">
        <v>20971</v>
      </c>
      <c r="BB3315" s="82" t="s">
        <v>20971</v>
      </c>
      <c r="BC3315" s="82" t="s">
        <v>20081</v>
      </c>
      <c r="BD3315" s="82" t="s">
        <v>21597</v>
      </c>
      <c r="BE3315" s="77"/>
      <c r="BF3315" s="77"/>
      <c r="BG3315" s="77"/>
      <c r="BH3315" s="77"/>
      <c r="BI3315" s="77"/>
    </row>
    <row r="3316" spans="1:61" x14ac:dyDescent="0.25">
      <c r="A3316" s="62" t="s">
        <v>1006</v>
      </c>
      <c r="B3316" s="62" t="s">
        <v>1006</v>
      </c>
      <c r="C3316" s="63"/>
      <c r="D3316" s="64"/>
      <c r="E3316" s="65"/>
      <c r="F3316" s="66"/>
      <c r="G3316" s="63"/>
      <c r="H3316" s="67"/>
      <c r="I3316" s="68"/>
      <c r="J3316" s="68"/>
      <c r="K3316" s="32"/>
      <c r="L3316" s="75">
        <v>3316</v>
      </c>
      <c r="M3316" s="75"/>
      <c r="N3316" s="70"/>
      <c r="O3316" s="77" t="s">
        <v>179</v>
      </c>
      <c r="P3316" s="79">
        <v>45125.702407407407</v>
      </c>
      <c r="Q3316" s="77" t="s">
        <v>4522</v>
      </c>
      <c r="R3316" s="77">
        <v>0</v>
      </c>
      <c r="S3316" s="77">
        <v>0</v>
      </c>
      <c r="T3316" s="77">
        <v>0</v>
      </c>
      <c r="U3316" s="77">
        <v>0</v>
      </c>
      <c r="V3316" s="77">
        <v>117</v>
      </c>
      <c r="W3316" s="82" t="s">
        <v>6740</v>
      </c>
      <c r="X3316" s="77"/>
      <c r="Y3316" s="77"/>
      <c r="Z3316" s="77"/>
      <c r="AA3316" s="77" t="s">
        <v>9641</v>
      </c>
      <c r="AB3316" s="77" t="s">
        <v>10130</v>
      </c>
      <c r="AC3316" s="82" t="s">
        <v>10147</v>
      </c>
      <c r="AD3316" s="77" t="s">
        <v>10184</v>
      </c>
      <c r="AE3316" s="80" t="str">
        <f>HYPERLINK("https://twitter.com/imdasmilhas/status/1681345955877068801")</f>
        <v>https://twitter.com/imdasmilhas/status/1681345955877068801</v>
      </c>
      <c r="AF3316" s="79">
        <v>45125.702407407407</v>
      </c>
      <c r="AG3316" s="85">
        <v>45125</v>
      </c>
      <c r="AH3316" s="82" t="s">
        <v>13319</v>
      </c>
      <c r="AI3316" s="77" t="b">
        <v>0</v>
      </c>
      <c r="AJ3316" s="77"/>
      <c r="AK3316" s="77"/>
      <c r="AL3316" s="77"/>
      <c r="AM3316" s="77"/>
      <c r="AN3316" s="77"/>
      <c r="AO3316" s="77"/>
      <c r="AP3316" s="77"/>
      <c r="AQ3316" s="77" t="s">
        <v>16284</v>
      </c>
      <c r="AR3316" s="77"/>
      <c r="AS3316" s="77"/>
      <c r="AT3316" s="77"/>
      <c r="AU3316" s="77"/>
      <c r="AV3316" s="80" t="str">
        <f>HYPERLINK("https://pbs.twimg.com/media/F1VXPHSXwBAS0sR.jpg")</f>
        <v>https://pbs.twimg.com/media/F1VXPHSXwBAS0sR.jpg</v>
      </c>
      <c r="AW3316" s="82" t="s">
        <v>20082</v>
      </c>
      <c r="AX3316" s="82" t="s">
        <v>20082</v>
      </c>
      <c r="AY3316" s="77"/>
      <c r="AZ3316" s="82" t="s">
        <v>20971</v>
      </c>
      <c r="BA3316" s="82" t="s">
        <v>20971</v>
      </c>
      <c r="BB3316" s="82" t="s">
        <v>20971</v>
      </c>
      <c r="BC3316" s="82" t="s">
        <v>20082</v>
      </c>
      <c r="BD3316" s="82" t="s">
        <v>21597</v>
      </c>
      <c r="BE3316" s="77"/>
      <c r="BF3316" s="77"/>
      <c r="BG3316" s="77"/>
      <c r="BH3316" s="77"/>
      <c r="BI3316" s="77"/>
    </row>
    <row r="3317" spans="1:61" x14ac:dyDescent="0.25">
      <c r="A3317" s="62" t="s">
        <v>1006</v>
      </c>
      <c r="B3317" s="62" t="s">
        <v>1006</v>
      </c>
      <c r="C3317" s="63"/>
      <c r="D3317" s="64"/>
      <c r="E3317" s="65"/>
      <c r="F3317" s="66"/>
      <c r="G3317" s="63"/>
      <c r="H3317" s="67"/>
      <c r="I3317" s="68"/>
      <c r="J3317" s="68"/>
      <c r="K3317" s="32"/>
      <c r="L3317" s="75">
        <v>3317</v>
      </c>
      <c r="M3317" s="75"/>
      <c r="N3317" s="70"/>
      <c r="O3317" s="77" t="s">
        <v>179</v>
      </c>
      <c r="P3317" s="79">
        <v>45114.713553240741</v>
      </c>
      <c r="Q3317" s="77" t="s">
        <v>4523</v>
      </c>
      <c r="R3317" s="77">
        <v>0</v>
      </c>
      <c r="S3317" s="77">
        <v>0</v>
      </c>
      <c r="T3317" s="77">
        <v>0</v>
      </c>
      <c r="U3317" s="77">
        <v>0</v>
      </c>
      <c r="V3317" s="77">
        <v>95</v>
      </c>
      <c r="W3317" s="82" t="s">
        <v>6740</v>
      </c>
      <c r="X3317" s="77"/>
      <c r="Y3317" s="77"/>
      <c r="Z3317" s="77"/>
      <c r="AA3317" s="77" t="s">
        <v>9642</v>
      </c>
      <c r="AB3317" s="77" t="s">
        <v>10130</v>
      </c>
      <c r="AC3317" s="82" t="s">
        <v>10147</v>
      </c>
      <c r="AD3317" s="77" t="s">
        <v>10184</v>
      </c>
      <c r="AE3317" s="80" t="str">
        <f>HYPERLINK("https://twitter.com/imdasmilhas/status/1677363727392284688")</f>
        <v>https://twitter.com/imdasmilhas/status/1677363727392284688</v>
      </c>
      <c r="AF3317" s="79">
        <v>45114.713553240741</v>
      </c>
      <c r="AG3317" s="85">
        <v>45114</v>
      </c>
      <c r="AH3317" s="82" t="s">
        <v>13320</v>
      </c>
      <c r="AI3317" s="77" t="b">
        <v>0</v>
      </c>
      <c r="AJ3317" s="77"/>
      <c r="AK3317" s="77"/>
      <c r="AL3317" s="77"/>
      <c r="AM3317" s="77"/>
      <c r="AN3317" s="77"/>
      <c r="AO3317" s="77"/>
      <c r="AP3317" s="77"/>
      <c r="AQ3317" s="77" t="s">
        <v>16285</v>
      </c>
      <c r="AR3317" s="77"/>
      <c r="AS3317" s="77"/>
      <c r="AT3317" s="77"/>
      <c r="AU3317" s="77"/>
      <c r="AV3317" s="80" t="str">
        <f>HYPERLINK("https://pbs.twimg.com/media/F0cxa7cXoA4wFnm.jpg")</f>
        <v>https://pbs.twimg.com/media/F0cxa7cXoA4wFnm.jpg</v>
      </c>
      <c r="AW3317" s="82" t="s">
        <v>20083</v>
      </c>
      <c r="AX3317" s="82" t="s">
        <v>20083</v>
      </c>
      <c r="AY3317" s="77"/>
      <c r="AZ3317" s="82" t="s">
        <v>20971</v>
      </c>
      <c r="BA3317" s="82" t="s">
        <v>20971</v>
      </c>
      <c r="BB3317" s="82" t="s">
        <v>20971</v>
      </c>
      <c r="BC3317" s="82" t="s">
        <v>20083</v>
      </c>
      <c r="BD3317" s="82" t="s">
        <v>21597</v>
      </c>
      <c r="BE3317" s="77"/>
      <c r="BF3317" s="77"/>
      <c r="BG3317" s="77"/>
      <c r="BH3317" s="77"/>
      <c r="BI3317" s="77"/>
    </row>
    <row r="3318" spans="1:61" x14ac:dyDescent="0.25">
      <c r="A3318" s="62" t="s">
        <v>1006</v>
      </c>
      <c r="B3318" s="62" t="s">
        <v>1006</v>
      </c>
      <c r="C3318" s="63"/>
      <c r="D3318" s="64"/>
      <c r="E3318" s="65"/>
      <c r="F3318" s="66"/>
      <c r="G3318" s="63"/>
      <c r="H3318" s="67"/>
      <c r="I3318" s="68"/>
      <c r="J3318" s="68"/>
      <c r="K3318" s="32"/>
      <c r="L3318" s="75">
        <v>3318</v>
      </c>
      <c r="M3318" s="75"/>
      <c r="N3318" s="70"/>
      <c r="O3318" s="77" t="s">
        <v>179</v>
      </c>
      <c r="P3318" s="79">
        <v>45114.713055555556</v>
      </c>
      <c r="Q3318" s="77" t="s">
        <v>4524</v>
      </c>
      <c r="R3318" s="77">
        <v>0</v>
      </c>
      <c r="S3318" s="77">
        <v>0</v>
      </c>
      <c r="T3318" s="77">
        <v>0</v>
      </c>
      <c r="U3318" s="77">
        <v>0</v>
      </c>
      <c r="V3318" s="77">
        <v>55</v>
      </c>
      <c r="W3318" s="82" t="s">
        <v>6740</v>
      </c>
      <c r="X3318" s="77"/>
      <c r="Y3318" s="77"/>
      <c r="Z3318" s="77"/>
      <c r="AA3318" s="77" t="s">
        <v>9643</v>
      </c>
      <c r="AB3318" s="77" t="s">
        <v>10130</v>
      </c>
      <c r="AC3318" s="82" t="s">
        <v>10147</v>
      </c>
      <c r="AD3318" s="77" t="s">
        <v>10184</v>
      </c>
      <c r="AE3318" s="80" t="str">
        <f>HYPERLINK("https://twitter.com/imdasmilhas/status/1677363549688012807")</f>
        <v>https://twitter.com/imdasmilhas/status/1677363549688012807</v>
      </c>
      <c r="AF3318" s="79">
        <v>45114.713055555556</v>
      </c>
      <c r="AG3318" s="85">
        <v>45114</v>
      </c>
      <c r="AH3318" s="82" t="s">
        <v>13321</v>
      </c>
      <c r="AI3318" s="77" t="b">
        <v>0</v>
      </c>
      <c r="AJ3318" s="77"/>
      <c r="AK3318" s="77"/>
      <c r="AL3318" s="77"/>
      <c r="AM3318" s="77"/>
      <c r="AN3318" s="77"/>
      <c r="AO3318" s="77"/>
      <c r="AP3318" s="77"/>
      <c r="AQ3318" s="77" t="s">
        <v>16286</v>
      </c>
      <c r="AR3318" s="77"/>
      <c r="AS3318" s="77"/>
      <c r="AT3318" s="77"/>
      <c r="AU3318" s="77"/>
      <c r="AV3318" s="80" t="str">
        <f>HYPERLINK("https://pbs.twimg.com/media/F0cxQklXgAEjtG1.jpg")</f>
        <v>https://pbs.twimg.com/media/F0cxQklXgAEjtG1.jpg</v>
      </c>
      <c r="AW3318" s="82" t="s">
        <v>20084</v>
      </c>
      <c r="AX3318" s="82" t="s">
        <v>20084</v>
      </c>
      <c r="AY3318" s="77"/>
      <c r="AZ3318" s="82" t="s">
        <v>20971</v>
      </c>
      <c r="BA3318" s="82" t="s">
        <v>20971</v>
      </c>
      <c r="BB3318" s="82" t="s">
        <v>20971</v>
      </c>
      <c r="BC3318" s="82" t="s">
        <v>20084</v>
      </c>
      <c r="BD3318" s="82" t="s">
        <v>21597</v>
      </c>
      <c r="BE3318" s="77"/>
      <c r="BF3318" s="77"/>
      <c r="BG3318" s="77"/>
      <c r="BH3318" s="77"/>
      <c r="BI3318" s="77"/>
    </row>
    <row r="3319" spans="1:61" x14ac:dyDescent="0.25">
      <c r="A3319" s="62" t="s">
        <v>1006</v>
      </c>
      <c r="B3319" s="62" t="s">
        <v>1006</v>
      </c>
      <c r="C3319" s="63"/>
      <c r="D3319" s="64"/>
      <c r="E3319" s="65"/>
      <c r="F3319" s="66"/>
      <c r="G3319" s="63"/>
      <c r="H3319" s="67"/>
      <c r="I3319" s="68"/>
      <c r="J3319" s="68"/>
      <c r="K3319" s="32"/>
      <c r="L3319" s="75">
        <v>3319</v>
      </c>
      <c r="M3319" s="75"/>
      <c r="N3319" s="70"/>
      <c r="O3319" s="77" t="s">
        <v>179</v>
      </c>
      <c r="P3319" s="79">
        <v>45113.744733796295</v>
      </c>
      <c r="Q3319" s="77" t="s">
        <v>4525</v>
      </c>
      <c r="R3319" s="77">
        <v>0</v>
      </c>
      <c r="S3319" s="77">
        <v>0</v>
      </c>
      <c r="T3319" s="77">
        <v>0</v>
      </c>
      <c r="U3319" s="77">
        <v>0</v>
      </c>
      <c r="V3319" s="77">
        <v>77</v>
      </c>
      <c r="W3319" s="82" t="s">
        <v>6741</v>
      </c>
      <c r="X3319" s="77"/>
      <c r="Y3319" s="77"/>
      <c r="Z3319" s="77"/>
      <c r="AA3319" s="77" t="s">
        <v>9644</v>
      </c>
      <c r="AB3319" s="77" t="s">
        <v>10130</v>
      </c>
      <c r="AC3319" s="82" t="s">
        <v>10147</v>
      </c>
      <c r="AD3319" s="77" t="s">
        <v>10184</v>
      </c>
      <c r="AE3319" s="80" t="str">
        <f>HYPERLINK("https://twitter.com/imdasmilhas/status/1677012639161933842")</f>
        <v>https://twitter.com/imdasmilhas/status/1677012639161933842</v>
      </c>
      <c r="AF3319" s="79">
        <v>45113.744733796295</v>
      </c>
      <c r="AG3319" s="85">
        <v>45113</v>
      </c>
      <c r="AH3319" s="82" t="s">
        <v>13322</v>
      </c>
      <c r="AI3319" s="77" t="b">
        <v>0</v>
      </c>
      <c r="AJ3319" s="77"/>
      <c r="AK3319" s="77"/>
      <c r="AL3319" s="77"/>
      <c r="AM3319" s="77"/>
      <c r="AN3319" s="77"/>
      <c r="AO3319" s="77"/>
      <c r="AP3319" s="77"/>
      <c r="AQ3319" s="77" t="s">
        <v>16287</v>
      </c>
      <c r="AR3319" s="77"/>
      <c r="AS3319" s="77"/>
      <c r="AT3319" s="77"/>
      <c r="AU3319" s="77"/>
      <c r="AV3319" s="80" t="str">
        <f>HYPERLINK("https://pbs.twimg.com/media/F0XyG5LWYAAeRyJ.jpg")</f>
        <v>https://pbs.twimg.com/media/F0XyG5LWYAAeRyJ.jpg</v>
      </c>
      <c r="AW3319" s="82" t="s">
        <v>20085</v>
      </c>
      <c r="AX3319" s="82" t="s">
        <v>20085</v>
      </c>
      <c r="AY3319" s="77"/>
      <c r="AZ3319" s="82" t="s">
        <v>20971</v>
      </c>
      <c r="BA3319" s="82" t="s">
        <v>20971</v>
      </c>
      <c r="BB3319" s="82" t="s">
        <v>20971</v>
      </c>
      <c r="BC3319" s="82" t="s">
        <v>20085</v>
      </c>
      <c r="BD3319" s="82" t="s">
        <v>21597</v>
      </c>
      <c r="BE3319" s="77"/>
      <c r="BF3319" s="77"/>
      <c r="BG3319" s="77"/>
      <c r="BH3319" s="77"/>
      <c r="BI3319" s="77"/>
    </row>
    <row r="3320" spans="1:61" x14ac:dyDescent="0.25">
      <c r="A3320" s="62" t="s">
        <v>1006</v>
      </c>
      <c r="B3320" s="62" t="s">
        <v>1006</v>
      </c>
      <c r="C3320" s="63"/>
      <c r="D3320" s="64"/>
      <c r="E3320" s="65"/>
      <c r="F3320" s="66"/>
      <c r="G3320" s="63"/>
      <c r="H3320" s="67"/>
      <c r="I3320" s="68"/>
      <c r="J3320" s="68"/>
      <c r="K3320" s="32"/>
      <c r="L3320" s="75">
        <v>3320</v>
      </c>
      <c r="M3320" s="75"/>
      <c r="N3320" s="70"/>
      <c r="O3320" s="77" t="s">
        <v>179</v>
      </c>
      <c r="P3320" s="79">
        <v>45113.744317129633</v>
      </c>
      <c r="Q3320" s="77" t="s">
        <v>4526</v>
      </c>
      <c r="R3320" s="77">
        <v>0</v>
      </c>
      <c r="S3320" s="77">
        <v>0</v>
      </c>
      <c r="T3320" s="77">
        <v>0</v>
      </c>
      <c r="U3320" s="77">
        <v>0</v>
      </c>
      <c r="V3320" s="77">
        <v>79</v>
      </c>
      <c r="W3320" s="82" t="s">
        <v>6740</v>
      </c>
      <c r="X3320" s="77"/>
      <c r="Y3320" s="77"/>
      <c r="Z3320" s="77"/>
      <c r="AA3320" s="77" t="s">
        <v>9645</v>
      </c>
      <c r="AB3320" s="77" t="s">
        <v>10130</v>
      </c>
      <c r="AC3320" s="82" t="s">
        <v>10147</v>
      </c>
      <c r="AD3320" s="77" t="s">
        <v>10184</v>
      </c>
      <c r="AE3320" s="80" t="str">
        <f>HYPERLINK("https://twitter.com/imdasmilhas/status/1677012490796818453")</f>
        <v>https://twitter.com/imdasmilhas/status/1677012490796818453</v>
      </c>
      <c r="AF3320" s="79">
        <v>45113.744317129633</v>
      </c>
      <c r="AG3320" s="85">
        <v>45113</v>
      </c>
      <c r="AH3320" s="82" t="s">
        <v>13323</v>
      </c>
      <c r="AI3320" s="77" t="b">
        <v>0</v>
      </c>
      <c r="AJ3320" s="77"/>
      <c r="AK3320" s="77"/>
      <c r="AL3320" s="77"/>
      <c r="AM3320" s="77"/>
      <c r="AN3320" s="77"/>
      <c r="AO3320" s="77"/>
      <c r="AP3320" s="77"/>
      <c r="AQ3320" s="77" t="s">
        <v>16288</v>
      </c>
      <c r="AR3320" s="77"/>
      <c r="AS3320" s="77"/>
      <c r="AT3320" s="77"/>
      <c r="AU3320" s="77"/>
      <c r="AV3320" s="80" t="str">
        <f>HYPERLINK("https://pbs.twimg.com/media/F0Xx-PuWYAYhkzx.jpg")</f>
        <v>https://pbs.twimg.com/media/F0Xx-PuWYAYhkzx.jpg</v>
      </c>
      <c r="AW3320" s="82" t="s">
        <v>20086</v>
      </c>
      <c r="AX3320" s="82" t="s">
        <v>20086</v>
      </c>
      <c r="AY3320" s="77"/>
      <c r="AZ3320" s="82" t="s">
        <v>20971</v>
      </c>
      <c r="BA3320" s="82" t="s">
        <v>20971</v>
      </c>
      <c r="BB3320" s="82" t="s">
        <v>20971</v>
      </c>
      <c r="BC3320" s="82" t="s">
        <v>20086</v>
      </c>
      <c r="BD3320" s="82" t="s">
        <v>21597</v>
      </c>
      <c r="BE3320" s="77"/>
      <c r="BF3320" s="77"/>
      <c r="BG3320" s="77"/>
      <c r="BH3320" s="77"/>
      <c r="BI3320" s="77"/>
    </row>
    <row r="3321" spans="1:61" x14ac:dyDescent="0.25">
      <c r="A3321" s="62" t="s">
        <v>1006</v>
      </c>
      <c r="B3321" s="62" t="s">
        <v>1006</v>
      </c>
      <c r="C3321" s="63"/>
      <c r="D3321" s="64"/>
      <c r="E3321" s="65"/>
      <c r="F3321" s="66"/>
      <c r="G3321" s="63"/>
      <c r="H3321" s="67"/>
      <c r="I3321" s="68"/>
      <c r="J3321" s="68"/>
      <c r="K3321" s="32"/>
      <c r="L3321" s="75">
        <v>3321</v>
      </c>
      <c r="M3321" s="75"/>
      <c r="N3321" s="70"/>
      <c r="O3321" s="77" t="s">
        <v>179</v>
      </c>
      <c r="P3321" s="79">
        <v>45113.74359953704</v>
      </c>
      <c r="Q3321" s="77" t="s">
        <v>4527</v>
      </c>
      <c r="R3321" s="77">
        <v>0</v>
      </c>
      <c r="S3321" s="77">
        <v>0</v>
      </c>
      <c r="T3321" s="77">
        <v>0</v>
      </c>
      <c r="U3321" s="77">
        <v>0</v>
      </c>
      <c r="V3321" s="77">
        <v>67</v>
      </c>
      <c r="W3321" s="82" t="s">
        <v>6740</v>
      </c>
      <c r="X3321" s="77"/>
      <c r="Y3321" s="77"/>
      <c r="Z3321" s="77"/>
      <c r="AA3321" s="77" t="s">
        <v>9646</v>
      </c>
      <c r="AB3321" s="77" t="s">
        <v>10130</v>
      </c>
      <c r="AC3321" s="82" t="s">
        <v>10147</v>
      </c>
      <c r="AD3321" s="77" t="s">
        <v>10184</v>
      </c>
      <c r="AE3321" s="80" t="str">
        <f>HYPERLINK("https://twitter.com/imdasmilhas/status/1677012230661976064")</f>
        <v>https://twitter.com/imdasmilhas/status/1677012230661976064</v>
      </c>
      <c r="AF3321" s="79">
        <v>45113.74359953704</v>
      </c>
      <c r="AG3321" s="85">
        <v>45113</v>
      </c>
      <c r="AH3321" s="82" t="s">
        <v>13324</v>
      </c>
      <c r="AI3321" s="77" t="b">
        <v>0</v>
      </c>
      <c r="AJ3321" s="77"/>
      <c r="AK3321" s="77"/>
      <c r="AL3321" s="77"/>
      <c r="AM3321" s="77"/>
      <c r="AN3321" s="77"/>
      <c r="AO3321" s="77"/>
      <c r="AP3321" s="77"/>
      <c r="AQ3321" s="77" t="s">
        <v>16289</v>
      </c>
      <c r="AR3321" s="77"/>
      <c r="AS3321" s="77"/>
      <c r="AT3321" s="77"/>
      <c r="AU3321" s="77"/>
      <c r="AV3321" s="80" t="str">
        <f>HYPERLINK("https://pbs.twimg.com/media/F0XxvGdWYAgRzEZ.jpg")</f>
        <v>https://pbs.twimg.com/media/F0XxvGdWYAgRzEZ.jpg</v>
      </c>
      <c r="AW3321" s="82" t="s">
        <v>20087</v>
      </c>
      <c r="AX3321" s="82" t="s">
        <v>20087</v>
      </c>
      <c r="AY3321" s="77"/>
      <c r="AZ3321" s="82" t="s">
        <v>20971</v>
      </c>
      <c r="BA3321" s="82" t="s">
        <v>20971</v>
      </c>
      <c r="BB3321" s="82" t="s">
        <v>20971</v>
      </c>
      <c r="BC3321" s="82" t="s">
        <v>20087</v>
      </c>
      <c r="BD3321" s="82" t="s">
        <v>21597</v>
      </c>
      <c r="BE3321" s="77"/>
      <c r="BF3321" s="77"/>
      <c r="BG3321" s="77"/>
      <c r="BH3321" s="77"/>
      <c r="BI3321" s="77"/>
    </row>
    <row r="3322" spans="1:61" x14ac:dyDescent="0.25">
      <c r="A3322" s="62" t="s">
        <v>1006</v>
      </c>
      <c r="B3322" s="62" t="s">
        <v>1006</v>
      </c>
      <c r="C3322" s="63"/>
      <c r="D3322" s="64"/>
      <c r="E3322" s="65"/>
      <c r="F3322" s="66"/>
      <c r="G3322" s="63"/>
      <c r="H3322" s="67"/>
      <c r="I3322" s="68"/>
      <c r="J3322" s="68"/>
      <c r="K3322" s="32"/>
      <c r="L3322" s="75">
        <v>3322</v>
      </c>
      <c r="M3322" s="75"/>
      <c r="N3322" s="70"/>
      <c r="O3322" s="77" t="s">
        <v>179</v>
      </c>
      <c r="P3322" s="79">
        <v>45113.74324074074</v>
      </c>
      <c r="Q3322" s="77" t="s">
        <v>4528</v>
      </c>
      <c r="R3322" s="77">
        <v>0</v>
      </c>
      <c r="S3322" s="77">
        <v>0</v>
      </c>
      <c r="T3322" s="77">
        <v>0</v>
      </c>
      <c r="U3322" s="77">
        <v>0</v>
      </c>
      <c r="V3322" s="77">
        <v>64</v>
      </c>
      <c r="W3322" s="82" t="s">
        <v>6740</v>
      </c>
      <c r="X3322" s="77"/>
      <c r="Y3322" s="77"/>
      <c r="Z3322" s="77"/>
      <c r="AA3322" s="77" t="s">
        <v>9647</v>
      </c>
      <c r="AB3322" s="77" t="s">
        <v>10130</v>
      </c>
      <c r="AC3322" s="82" t="s">
        <v>10147</v>
      </c>
      <c r="AD3322" s="77" t="s">
        <v>10184</v>
      </c>
      <c r="AE3322" s="80" t="str">
        <f>HYPERLINK("https://twitter.com/imdasmilhas/status/1677012100030291973")</f>
        <v>https://twitter.com/imdasmilhas/status/1677012100030291973</v>
      </c>
      <c r="AF3322" s="79">
        <v>45113.74324074074</v>
      </c>
      <c r="AG3322" s="85">
        <v>45113</v>
      </c>
      <c r="AH3322" s="82" t="s">
        <v>13077</v>
      </c>
      <c r="AI3322" s="77" t="b">
        <v>0</v>
      </c>
      <c r="AJ3322" s="77"/>
      <c r="AK3322" s="77"/>
      <c r="AL3322" s="77"/>
      <c r="AM3322" s="77"/>
      <c r="AN3322" s="77"/>
      <c r="AO3322" s="77"/>
      <c r="AP3322" s="77"/>
      <c r="AQ3322" s="77" t="s">
        <v>16290</v>
      </c>
      <c r="AR3322" s="77"/>
      <c r="AS3322" s="77"/>
      <c r="AT3322" s="77"/>
      <c r="AU3322" s="77"/>
      <c r="AV3322" s="80" t="str">
        <f>HYPERLINK("https://pbs.twimg.com/media/F0Xxnh7WwAEV2Vx.jpg")</f>
        <v>https://pbs.twimg.com/media/F0Xxnh7WwAEV2Vx.jpg</v>
      </c>
      <c r="AW3322" s="82" t="s">
        <v>20088</v>
      </c>
      <c r="AX3322" s="82" t="s">
        <v>20088</v>
      </c>
      <c r="AY3322" s="77"/>
      <c r="AZ3322" s="82" t="s">
        <v>20971</v>
      </c>
      <c r="BA3322" s="82" t="s">
        <v>20971</v>
      </c>
      <c r="BB3322" s="82" t="s">
        <v>20971</v>
      </c>
      <c r="BC3322" s="82" t="s">
        <v>20088</v>
      </c>
      <c r="BD3322" s="82" t="s">
        <v>21597</v>
      </c>
      <c r="BE3322" s="77"/>
      <c r="BF3322" s="77"/>
      <c r="BG3322" s="77"/>
      <c r="BH3322" s="77"/>
      <c r="BI3322" s="77"/>
    </row>
    <row r="3323" spans="1:61" x14ac:dyDescent="0.25">
      <c r="A3323" s="62" t="s">
        <v>1006</v>
      </c>
      <c r="B3323" s="62" t="s">
        <v>1006</v>
      </c>
      <c r="C3323" s="63"/>
      <c r="D3323" s="64"/>
      <c r="E3323" s="65"/>
      <c r="F3323" s="66"/>
      <c r="G3323" s="63"/>
      <c r="H3323" s="67"/>
      <c r="I3323" s="68"/>
      <c r="J3323" s="68"/>
      <c r="K3323" s="32"/>
      <c r="L3323" s="75">
        <v>3323</v>
      </c>
      <c r="M3323" s="75"/>
      <c r="N3323" s="70"/>
      <c r="O3323" s="77" t="s">
        <v>179</v>
      </c>
      <c r="P3323" s="79">
        <v>45113.742094907408</v>
      </c>
      <c r="Q3323" s="77" t="s">
        <v>4529</v>
      </c>
      <c r="R3323" s="77">
        <v>0</v>
      </c>
      <c r="S3323" s="77">
        <v>0</v>
      </c>
      <c r="T3323" s="77">
        <v>0</v>
      </c>
      <c r="U3323" s="77">
        <v>0</v>
      </c>
      <c r="V3323" s="77">
        <v>80</v>
      </c>
      <c r="W3323" s="82" t="s">
        <v>6740</v>
      </c>
      <c r="X3323" s="77"/>
      <c r="Y3323" s="77"/>
      <c r="Z3323" s="77"/>
      <c r="AA3323" s="77" t="s">
        <v>9648</v>
      </c>
      <c r="AB3323" s="77" t="s">
        <v>10130</v>
      </c>
      <c r="AC3323" s="82" t="s">
        <v>10147</v>
      </c>
      <c r="AD3323" s="77" t="s">
        <v>10184</v>
      </c>
      <c r="AE3323" s="80" t="str">
        <f>HYPERLINK("https://twitter.com/imdasmilhas/status/1677011683011698688")</f>
        <v>https://twitter.com/imdasmilhas/status/1677011683011698688</v>
      </c>
      <c r="AF3323" s="79">
        <v>45113.742094907408</v>
      </c>
      <c r="AG3323" s="85">
        <v>45113</v>
      </c>
      <c r="AH3323" s="82" t="s">
        <v>13325</v>
      </c>
      <c r="AI3323" s="77" t="b">
        <v>0</v>
      </c>
      <c r="AJ3323" s="77"/>
      <c r="AK3323" s="77"/>
      <c r="AL3323" s="77"/>
      <c r="AM3323" s="77"/>
      <c r="AN3323" s="77"/>
      <c r="AO3323" s="77"/>
      <c r="AP3323" s="77"/>
      <c r="AQ3323" s="77" t="s">
        <v>16291</v>
      </c>
      <c r="AR3323" s="77"/>
      <c r="AS3323" s="77"/>
      <c r="AT3323" s="77"/>
      <c r="AU3323" s="77"/>
      <c r="AV3323" s="80" t="str">
        <f>HYPERLINK("https://pbs.twimg.com/media/F0XxPPqWYAgie-H.jpg")</f>
        <v>https://pbs.twimg.com/media/F0XxPPqWYAgie-H.jpg</v>
      </c>
      <c r="AW3323" s="82" t="s">
        <v>20089</v>
      </c>
      <c r="AX3323" s="82" t="s">
        <v>20089</v>
      </c>
      <c r="AY3323" s="77"/>
      <c r="AZ3323" s="82" t="s">
        <v>20971</v>
      </c>
      <c r="BA3323" s="82" t="s">
        <v>20971</v>
      </c>
      <c r="BB3323" s="82" t="s">
        <v>20971</v>
      </c>
      <c r="BC3323" s="82" t="s">
        <v>20089</v>
      </c>
      <c r="BD3323" s="82" t="s">
        <v>21597</v>
      </c>
      <c r="BE3323" s="77"/>
      <c r="BF3323" s="77"/>
      <c r="BG3323" s="77"/>
      <c r="BH3323" s="77"/>
      <c r="BI3323" s="77"/>
    </row>
    <row r="3324" spans="1:61" x14ac:dyDescent="0.25">
      <c r="A3324" s="62" t="s">
        <v>1006</v>
      </c>
      <c r="B3324" s="62" t="s">
        <v>1006</v>
      </c>
      <c r="C3324" s="63"/>
      <c r="D3324" s="64"/>
      <c r="E3324" s="65"/>
      <c r="F3324" s="66"/>
      <c r="G3324" s="63"/>
      <c r="H3324" s="67"/>
      <c r="I3324" s="68"/>
      <c r="J3324" s="68"/>
      <c r="K3324" s="32"/>
      <c r="L3324" s="75">
        <v>3324</v>
      </c>
      <c r="M3324" s="75"/>
      <c r="N3324" s="70"/>
      <c r="O3324" s="77" t="s">
        <v>179</v>
      </c>
      <c r="P3324" s="79">
        <v>45090.686099537037</v>
      </c>
      <c r="Q3324" s="77" t="s">
        <v>4530</v>
      </c>
      <c r="R3324" s="77">
        <v>0</v>
      </c>
      <c r="S3324" s="77">
        <v>0</v>
      </c>
      <c r="T3324" s="77">
        <v>0</v>
      </c>
      <c r="U3324" s="77">
        <v>0</v>
      </c>
      <c r="V3324" s="77">
        <v>69</v>
      </c>
      <c r="W3324" s="82" t="s">
        <v>6740</v>
      </c>
      <c r="X3324" s="77"/>
      <c r="Y3324" s="77"/>
      <c r="Z3324" s="77"/>
      <c r="AA3324" s="77" t="s">
        <v>9649</v>
      </c>
      <c r="AB3324" s="77" t="s">
        <v>10130</v>
      </c>
      <c r="AC3324" s="82" t="s">
        <v>10147</v>
      </c>
      <c r="AD3324" s="77" t="s">
        <v>10184</v>
      </c>
      <c r="AE3324" s="80" t="str">
        <f>HYPERLINK("https://twitter.com/imdasmilhas/status/1668656470705963008")</f>
        <v>https://twitter.com/imdasmilhas/status/1668656470705963008</v>
      </c>
      <c r="AF3324" s="79">
        <v>45090.686099537037</v>
      </c>
      <c r="AG3324" s="85">
        <v>45090</v>
      </c>
      <c r="AH3324" s="82" t="s">
        <v>13326</v>
      </c>
      <c r="AI3324" s="77" t="b">
        <v>0</v>
      </c>
      <c r="AJ3324" s="77"/>
      <c r="AK3324" s="77"/>
      <c r="AL3324" s="77"/>
      <c r="AM3324" s="77"/>
      <c r="AN3324" s="77"/>
      <c r="AO3324" s="77"/>
      <c r="AP3324" s="77"/>
      <c r="AQ3324" s="77" t="s">
        <v>16292</v>
      </c>
      <c r="AR3324" s="77"/>
      <c r="AS3324" s="77"/>
      <c r="AT3324" s="77"/>
      <c r="AU3324" s="77"/>
      <c r="AV3324" s="80" t="str">
        <f>HYPERLINK("https://pbs.twimg.com/media/FyhCN5TWYAAGdmI.jpg")</f>
        <v>https://pbs.twimg.com/media/FyhCN5TWYAAGdmI.jpg</v>
      </c>
      <c r="AW3324" s="82" t="s">
        <v>20090</v>
      </c>
      <c r="AX3324" s="82" t="s">
        <v>20090</v>
      </c>
      <c r="AY3324" s="77"/>
      <c r="AZ3324" s="82" t="s">
        <v>20971</v>
      </c>
      <c r="BA3324" s="82" t="s">
        <v>20971</v>
      </c>
      <c r="BB3324" s="82" t="s">
        <v>20971</v>
      </c>
      <c r="BC3324" s="82" t="s">
        <v>20090</v>
      </c>
      <c r="BD3324" s="82" t="s">
        <v>21597</v>
      </c>
      <c r="BE3324" s="77"/>
      <c r="BF3324" s="77"/>
      <c r="BG3324" s="77"/>
      <c r="BH3324" s="77"/>
      <c r="BI3324" s="77"/>
    </row>
    <row r="3325" spans="1:61" x14ac:dyDescent="0.25">
      <c r="A3325" s="62" t="s">
        <v>1006</v>
      </c>
      <c r="B3325" s="62" t="s">
        <v>1006</v>
      </c>
      <c r="C3325" s="63"/>
      <c r="D3325" s="64"/>
      <c r="E3325" s="65"/>
      <c r="F3325" s="66"/>
      <c r="G3325" s="63"/>
      <c r="H3325" s="67"/>
      <c r="I3325" s="68"/>
      <c r="J3325" s="68"/>
      <c r="K3325" s="32"/>
      <c r="L3325" s="75">
        <v>3325</v>
      </c>
      <c r="M3325" s="75"/>
      <c r="N3325" s="70"/>
      <c r="O3325" s="77" t="s">
        <v>179</v>
      </c>
      <c r="P3325" s="79">
        <v>45090.685729166667</v>
      </c>
      <c r="Q3325" s="77" t="s">
        <v>4531</v>
      </c>
      <c r="R3325" s="77">
        <v>0</v>
      </c>
      <c r="S3325" s="77">
        <v>1</v>
      </c>
      <c r="T3325" s="77">
        <v>0</v>
      </c>
      <c r="U3325" s="77">
        <v>0</v>
      </c>
      <c r="V3325" s="77">
        <v>162</v>
      </c>
      <c r="W3325" s="82" t="s">
        <v>6740</v>
      </c>
      <c r="X3325" s="77"/>
      <c r="Y3325" s="77"/>
      <c r="Z3325" s="77"/>
      <c r="AA3325" s="77" t="s">
        <v>9650</v>
      </c>
      <c r="AB3325" s="77" t="s">
        <v>10130</v>
      </c>
      <c r="AC3325" s="82" t="s">
        <v>10147</v>
      </c>
      <c r="AD3325" s="77" t="s">
        <v>10184</v>
      </c>
      <c r="AE3325" s="80" t="str">
        <f>HYPERLINK("https://twitter.com/imdasmilhas/status/1668656335418798090")</f>
        <v>https://twitter.com/imdasmilhas/status/1668656335418798090</v>
      </c>
      <c r="AF3325" s="79">
        <v>45090.685729166667</v>
      </c>
      <c r="AG3325" s="85">
        <v>45090</v>
      </c>
      <c r="AH3325" s="82" t="s">
        <v>13327</v>
      </c>
      <c r="AI3325" s="77" t="b">
        <v>0</v>
      </c>
      <c r="AJ3325" s="77"/>
      <c r="AK3325" s="77"/>
      <c r="AL3325" s="77"/>
      <c r="AM3325" s="77"/>
      <c r="AN3325" s="77"/>
      <c r="AO3325" s="77"/>
      <c r="AP3325" s="77"/>
      <c r="AQ3325" s="77" t="s">
        <v>16293</v>
      </c>
      <c r="AR3325" s="77"/>
      <c r="AS3325" s="77"/>
      <c r="AT3325" s="77"/>
      <c r="AU3325" s="77"/>
      <c r="AV3325" s="80" t="str">
        <f>HYPERLINK("https://pbs.twimg.com/media/FyhCGBYWwAEMB5M.jpg")</f>
        <v>https://pbs.twimg.com/media/FyhCGBYWwAEMB5M.jpg</v>
      </c>
      <c r="AW3325" s="82" t="s">
        <v>20091</v>
      </c>
      <c r="AX3325" s="82" t="s">
        <v>20091</v>
      </c>
      <c r="AY3325" s="77"/>
      <c r="AZ3325" s="82" t="s">
        <v>20971</v>
      </c>
      <c r="BA3325" s="82" t="s">
        <v>20971</v>
      </c>
      <c r="BB3325" s="82" t="s">
        <v>20971</v>
      </c>
      <c r="BC3325" s="82" t="s">
        <v>20091</v>
      </c>
      <c r="BD3325" s="82" t="s">
        <v>21597</v>
      </c>
      <c r="BE3325" s="77"/>
      <c r="BF3325" s="77"/>
      <c r="BG3325" s="77"/>
      <c r="BH3325" s="77"/>
      <c r="BI3325" s="77"/>
    </row>
    <row r="3326" spans="1:61" x14ac:dyDescent="0.25">
      <c r="A3326" s="62" t="s">
        <v>1006</v>
      </c>
      <c r="B3326" s="62" t="s">
        <v>1006</v>
      </c>
      <c r="C3326" s="63"/>
      <c r="D3326" s="64"/>
      <c r="E3326" s="65"/>
      <c r="F3326" s="66"/>
      <c r="G3326" s="63"/>
      <c r="H3326" s="67"/>
      <c r="I3326" s="68"/>
      <c r="J3326" s="68"/>
      <c r="K3326" s="32"/>
      <c r="L3326" s="75">
        <v>3326</v>
      </c>
      <c r="M3326" s="75"/>
      <c r="N3326" s="70"/>
      <c r="O3326" s="77" t="s">
        <v>179</v>
      </c>
      <c r="P3326" s="79">
        <v>45082.752453703702</v>
      </c>
      <c r="Q3326" s="77" t="s">
        <v>4532</v>
      </c>
      <c r="R3326" s="77">
        <v>0</v>
      </c>
      <c r="S3326" s="77">
        <v>0</v>
      </c>
      <c r="T3326" s="77">
        <v>0</v>
      </c>
      <c r="U3326" s="77">
        <v>0</v>
      </c>
      <c r="V3326" s="77">
        <v>99</v>
      </c>
      <c r="W3326" s="82" t="s">
        <v>6740</v>
      </c>
      <c r="X3326" s="77"/>
      <c r="Y3326" s="77"/>
      <c r="Z3326" s="77"/>
      <c r="AA3326" s="77" t="s">
        <v>9651</v>
      </c>
      <c r="AB3326" s="77" t="s">
        <v>10130</v>
      </c>
      <c r="AC3326" s="82" t="s">
        <v>10147</v>
      </c>
      <c r="AD3326" s="77" t="s">
        <v>10184</v>
      </c>
      <c r="AE3326" s="80" t="str">
        <f>HYPERLINK("https://twitter.com/imdasmilhas/status/1665781413377966081")</f>
        <v>https://twitter.com/imdasmilhas/status/1665781413377966081</v>
      </c>
      <c r="AF3326" s="79">
        <v>45082.752453703702</v>
      </c>
      <c r="AG3326" s="85">
        <v>45082</v>
      </c>
      <c r="AH3326" s="82" t="s">
        <v>13328</v>
      </c>
      <c r="AI3326" s="77" t="b">
        <v>0</v>
      </c>
      <c r="AJ3326" s="77"/>
      <c r="AK3326" s="77"/>
      <c r="AL3326" s="77"/>
      <c r="AM3326" s="77"/>
      <c r="AN3326" s="77"/>
      <c r="AO3326" s="77"/>
      <c r="AP3326" s="77"/>
      <c r="AQ3326" s="77" t="s">
        <v>16294</v>
      </c>
      <c r="AR3326" s="77"/>
      <c r="AS3326" s="77"/>
      <c r="AT3326" s="77"/>
      <c r="AU3326" s="77"/>
      <c r="AV3326" s="80" t="str">
        <f>HYPERLINK("https://pbs.twimg.com/media/Fx4LXf0WwAAxOvl.jpg")</f>
        <v>https://pbs.twimg.com/media/Fx4LXf0WwAAxOvl.jpg</v>
      </c>
      <c r="AW3326" s="82" t="s">
        <v>20092</v>
      </c>
      <c r="AX3326" s="82" t="s">
        <v>20092</v>
      </c>
      <c r="AY3326" s="77"/>
      <c r="AZ3326" s="82" t="s">
        <v>20971</v>
      </c>
      <c r="BA3326" s="82" t="s">
        <v>20971</v>
      </c>
      <c r="BB3326" s="82" t="s">
        <v>20971</v>
      </c>
      <c r="BC3326" s="82" t="s">
        <v>20092</v>
      </c>
      <c r="BD3326" s="82" t="s">
        <v>21597</v>
      </c>
      <c r="BE3326" s="77"/>
      <c r="BF3326" s="77"/>
      <c r="BG3326" s="77"/>
      <c r="BH3326" s="77"/>
      <c r="BI3326" s="77"/>
    </row>
    <row r="3327" spans="1:61" x14ac:dyDescent="0.25">
      <c r="A3327" s="62" t="s">
        <v>1006</v>
      </c>
      <c r="B3327" s="62" t="s">
        <v>1006</v>
      </c>
      <c r="C3327" s="63"/>
      <c r="D3327" s="64"/>
      <c r="E3327" s="65"/>
      <c r="F3327" s="66"/>
      <c r="G3327" s="63"/>
      <c r="H3327" s="67"/>
      <c r="I3327" s="68"/>
      <c r="J3327" s="68"/>
      <c r="K3327" s="32"/>
      <c r="L3327" s="75">
        <v>3327</v>
      </c>
      <c r="M3327" s="75"/>
      <c r="N3327" s="70"/>
      <c r="O3327" s="77" t="s">
        <v>179</v>
      </c>
      <c r="P3327" s="79">
        <v>45082.751956018517</v>
      </c>
      <c r="Q3327" s="77" t="s">
        <v>4533</v>
      </c>
      <c r="R3327" s="77">
        <v>0</v>
      </c>
      <c r="S3327" s="77">
        <v>0</v>
      </c>
      <c r="T3327" s="77">
        <v>0</v>
      </c>
      <c r="U3327" s="77">
        <v>0</v>
      </c>
      <c r="V3327" s="77">
        <v>85</v>
      </c>
      <c r="W3327" s="82" t="s">
        <v>6740</v>
      </c>
      <c r="X3327" s="77"/>
      <c r="Y3327" s="77"/>
      <c r="Z3327" s="77"/>
      <c r="AA3327" s="77" t="s">
        <v>9652</v>
      </c>
      <c r="AB3327" s="77" t="s">
        <v>10130</v>
      </c>
      <c r="AC3327" s="82" t="s">
        <v>10147</v>
      </c>
      <c r="AD3327" s="77" t="s">
        <v>10184</v>
      </c>
      <c r="AE3327" s="80" t="str">
        <f>HYPERLINK("https://twitter.com/imdasmilhas/status/1665781234968952834")</f>
        <v>https://twitter.com/imdasmilhas/status/1665781234968952834</v>
      </c>
      <c r="AF3327" s="79">
        <v>45082.751956018517</v>
      </c>
      <c r="AG3327" s="85">
        <v>45082</v>
      </c>
      <c r="AH3327" s="82" t="s">
        <v>13329</v>
      </c>
      <c r="AI3327" s="77" t="b">
        <v>0</v>
      </c>
      <c r="AJ3327" s="77"/>
      <c r="AK3327" s="77"/>
      <c r="AL3327" s="77"/>
      <c r="AM3327" s="77"/>
      <c r="AN3327" s="77"/>
      <c r="AO3327" s="77"/>
      <c r="AP3327" s="77"/>
      <c r="AQ3327" s="77" t="s">
        <v>16295</v>
      </c>
      <c r="AR3327" s="77"/>
      <c r="AS3327" s="77"/>
      <c r="AT3327" s="77"/>
      <c r="AU3327" s="77"/>
      <c r="AV3327" s="80" t="str">
        <f>HYPERLINK("https://pbs.twimg.com/media/Fx4LNIaX0AQm1bQ.jpg")</f>
        <v>https://pbs.twimg.com/media/Fx4LNIaX0AQm1bQ.jpg</v>
      </c>
      <c r="AW3327" s="82" t="s">
        <v>20093</v>
      </c>
      <c r="AX3327" s="82" t="s">
        <v>20093</v>
      </c>
      <c r="AY3327" s="77"/>
      <c r="AZ3327" s="82" t="s">
        <v>20971</v>
      </c>
      <c r="BA3327" s="82" t="s">
        <v>20971</v>
      </c>
      <c r="BB3327" s="82" t="s">
        <v>20971</v>
      </c>
      <c r="BC3327" s="82" t="s">
        <v>20093</v>
      </c>
      <c r="BD3327" s="82" t="s">
        <v>21597</v>
      </c>
      <c r="BE3327" s="77"/>
      <c r="BF3327" s="77"/>
      <c r="BG3327" s="77"/>
      <c r="BH3327" s="77"/>
      <c r="BI3327" s="77"/>
    </row>
    <row r="3328" spans="1:61" x14ac:dyDescent="0.25">
      <c r="A3328" s="62" t="s">
        <v>1006</v>
      </c>
      <c r="B3328" s="62" t="s">
        <v>1006</v>
      </c>
      <c r="C3328" s="63"/>
      <c r="D3328" s="64"/>
      <c r="E3328" s="65"/>
      <c r="F3328" s="66"/>
      <c r="G3328" s="63"/>
      <c r="H3328" s="67"/>
      <c r="I3328" s="68"/>
      <c r="J3328" s="68"/>
      <c r="K3328" s="32"/>
      <c r="L3328" s="75">
        <v>3328</v>
      </c>
      <c r="M3328" s="75"/>
      <c r="N3328" s="70"/>
      <c r="O3328" s="77" t="s">
        <v>179</v>
      </c>
      <c r="P3328" s="79">
        <v>45082.750625000001</v>
      </c>
      <c r="Q3328" s="77" t="s">
        <v>4534</v>
      </c>
      <c r="R3328" s="77">
        <v>0</v>
      </c>
      <c r="S3328" s="77">
        <v>1</v>
      </c>
      <c r="T3328" s="77">
        <v>0</v>
      </c>
      <c r="U3328" s="77">
        <v>0</v>
      </c>
      <c r="V3328" s="77">
        <v>76</v>
      </c>
      <c r="W3328" s="82" t="s">
        <v>6740</v>
      </c>
      <c r="X3328" s="77"/>
      <c r="Y3328" s="77"/>
      <c r="Z3328" s="77"/>
      <c r="AA3328" s="77" t="s">
        <v>9653</v>
      </c>
      <c r="AB3328" s="77" t="s">
        <v>10130</v>
      </c>
      <c r="AC3328" s="82" t="s">
        <v>10147</v>
      </c>
      <c r="AD3328" s="77" t="s">
        <v>10184</v>
      </c>
      <c r="AE3328" s="80" t="str">
        <f>HYPERLINK("https://twitter.com/imdasmilhas/status/1665780751491538945")</f>
        <v>https://twitter.com/imdasmilhas/status/1665780751491538945</v>
      </c>
      <c r="AF3328" s="79">
        <v>45082.750625000001</v>
      </c>
      <c r="AG3328" s="85">
        <v>45082</v>
      </c>
      <c r="AH3328" s="82" t="s">
        <v>13330</v>
      </c>
      <c r="AI3328" s="77" t="b">
        <v>0</v>
      </c>
      <c r="AJ3328" s="77"/>
      <c r="AK3328" s="77"/>
      <c r="AL3328" s="77"/>
      <c r="AM3328" s="77"/>
      <c r="AN3328" s="77"/>
      <c r="AO3328" s="77"/>
      <c r="AP3328" s="77"/>
      <c r="AQ3328" s="77" t="s">
        <v>16296</v>
      </c>
      <c r="AR3328" s="77"/>
      <c r="AS3328" s="77"/>
      <c r="AT3328" s="77"/>
      <c r="AU3328" s="77"/>
      <c r="AV3328" s="80" t="str">
        <f>HYPERLINK("https://pbs.twimg.com/media/Fx4Kw8wWAAER4tf.jpg")</f>
        <v>https://pbs.twimg.com/media/Fx4Kw8wWAAER4tf.jpg</v>
      </c>
      <c r="AW3328" s="82" t="s">
        <v>20094</v>
      </c>
      <c r="AX3328" s="82" t="s">
        <v>20094</v>
      </c>
      <c r="AY3328" s="77"/>
      <c r="AZ3328" s="82" t="s">
        <v>20971</v>
      </c>
      <c r="BA3328" s="82" t="s">
        <v>20971</v>
      </c>
      <c r="BB3328" s="82" t="s">
        <v>20971</v>
      </c>
      <c r="BC3328" s="82" t="s">
        <v>20094</v>
      </c>
      <c r="BD3328" s="82" t="s">
        <v>21597</v>
      </c>
      <c r="BE3328" s="77"/>
      <c r="BF3328" s="77"/>
      <c r="BG3328" s="77"/>
      <c r="BH3328" s="77"/>
      <c r="BI3328" s="77"/>
    </row>
    <row r="3329" spans="1:61" x14ac:dyDescent="0.25">
      <c r="A3329" s="62" t="s">
        <v>1006</v>
      </c>
      <c r="B3329" s="62" t="s">
        <v>1006</v>
      </c>
      <c r="C3329" s="63"/>
      <c r="D3329" s="64"/>
      <c r="E3329" s="65"/>
      <c r="F3329" s="66"/>
      <c r="G3329" s="63"/>
      <c r="H3329" s="67"/>
      <c r="I3329" s="68"/>
      <c r="J3329" s="68"/>
      <c r="K3329" s="32"/>
      <c r="L3329" s="75">
        <v>3329</v>
      </c>
      <c r="M3329" s="75"/>
      <c r="N3329" s="70"/>
      <c r="O3329" s="77" t="s">
        <v>179</v>
      </c>
      <c r="P3329" s="79">
        <v>45082.749618055554</v>
      </c>
      <c r="Q3329" s="77" t="s">
        <v>4535</v>
      </c>
      <c r="R3329" s="77">
        <v>0</v>
      </c>
      <c r="S3329" s="77">
        <v>0</v>
      </c>
      <c r="T3329" s="77">
        <v>0</v>
      </c>
      <c r="U3329" s="77">
        <v>0</v>
      </c>
      <c r="V3329" s="77">
        <v>79</v>
      </c>
      <c r="W3329" s="82" t="s">
        <v>6740</v>
      </c>
      <c r="X3329" s="77"/>
      <c r="Y3329" s="77"/>
      <c r="Z3329" s="77"/>
      <c r="AA3329" s="77" t="s">
        <v>9654</v>
      </c>
      <c r="AB3329" s="77" t="s">
        <v>10130</v>
      </c>
      <c r="AC3329" s="82" t="s">
        <v>10147</v>
      </c>
      <c r="AD3329" s="77" t="s">
        <v>10184</v>
      </c>
      <c r="AE3329" s="80" t="str">
        <f>HYPERLINK("https://twitter.com/imdasmilhas/status/1665780386889097222")</f>
        <v>https://twitter.com/imdasmilhas/status/1665780386889097222</v>
      </c>
      <c r="AF3329" s="79">
        <v>45082.749618055554</v>
      </c>
      <c r="AG3329" s="85">
        <v>45082</v>
      </c>
      <c r="AH3329" s="82" t="s">
        <v>13331</v>
      </c>
      <c r="AI3329" s="77" t="b">
        <v>0</v>
      </c>
      <c r="AJ3329" s="77"/>
      <c r="AK3329" s="77"/>
      <c r="AL3329" s="77"/>
      <c r="AM3329" s="77"/>
      <c r="AN3329" s="77"/>
      <c r="AO3329" s="77"/>
      <c r="AP3329" s="77"/>
      <c r="AQ3329" s="77" t="s">
        <v>16297</v>
      </c>
      <c r="AR3329" s="77"/>
      <c r="AS3329" s="77"/>
      <c r="AT3329" s="77"/>
      <c r="AU3329" s="77"/>
      <c r="AV3329" s="80" t="str">
        <f>HYPERLINK("https://pbs.twimg.com/media/Fx4KbxkWAAEm78y.jpg")</f>
        <v>https://pbs.twimg.com/media/Fx4KbxkWAAEm78y.jpg</v>
      </c>
      <c r="AW3329" s="82" t="s">
        <v>20095</v>
      </c>
      <c r="AX3329" s="82" t="s">
        <v>20095</v>
      </c>
      <c r="AY3329" s="77"/>
      <c r="AZ3329" s="82" t="s">
        <v>20971</v>
      </c>
      <c r="BA3329" s="82" t="s">
        <v>20971</v>
      </c>
      <c r="BB3329" s="82" t="s">
        <v>20971</v>
      </c>
      <c r="BC3329" s="82" t="s">
        <v>20095</v>
      </c>
      <c r="BD3329" s="82" t="s">
        <v>21597</v>
      </c>
      <c r="BE3329" s="77"/>
      <c r="BF3329" s="77"/>
      <c r="BG3329" s="77"/>
      <c r="BH3329" s="77"/>
      <c r="BI3329" s="77"/>
    </row>
    <row r="3330" spans="1:61" x14ac:dyDescent="0.25">
      <c r="A3330" s="62" t="s">
        <v>1006</v>
      </c>
      <c r="B3330" s="62" t="s">
        <v>1006</v>
      </c>
      <c r="C3330" s="63"/>
      <c r="D3330" s="64"/>
      <c r="E3330" s="65"/>
      <c r="F3330" s="66"/>
      <c r="G3330" s="63"/>
      <c r="H3330" s="67"/>
      <c r="I3330" s="68"/>
      <c r="J3330" s="68"/>
      <c r="K3330" s="32"/>
      <c r="L3330" s="75">
        <v>3330</v>
      </c>
      <c r="M3330" s="75"/>
      <c r="N3330" s="70"/>
      <c r="O3330" s="77" t="s">
        <v>179</v>
      </c>
      <c r="P3330" s="79">
        <v>45064.780729166669</v>
      </c>
      <c r="Q3330" s="77" t="s">
        <v>4536</v>
      </c>
      <c r="R3330" s="77">
        <v>0</v>
      </c>
      <c r="S3330" s="77">
        <v>0</v>
      </c>
      <c r="T3330" s="77">
        <v>0</v>
      </c>
      <c r="U3330" s="77">
        <v>0</v>
      </c>
      <c r="V3330" s="77">
        <v>116</v>
      </c>
      <c r="W3330" s="82" t="s">
        <v>6740</v>
      </c>
      <c r="X3330" s="77"/>
      <c r="Y3330" s="77"/>
      <c r="Z3330" s="77"/>
      <c r="AA3330" s="77" t="s">
        <v>9655</v>
      </c>
      <c r="AB3330" s="77" t="s">
        <v>10130</v>
      </c>
      <c r="AC3330" s="82" t="s">
        <v>10147</v>
      </c>
      <c r="AD3330" s="77" t="s">
        <v>10184</v>
      </c>
      <c r="AE3330" s="80" t="str">
        <f>HYPERLINK("https://twitter.com/imdasmilhas/status/1659268678867722253")</f>
        <v>https://twitter.com/imdasmilhas/status/1659268678867722253</v>
      </c>
      <c r="AF3330" s="79">
        <v>45064.780729166669</v>
      </c>
      <c r="AG3330" s="85">
        <v>45064</v>
      </c>
      <c r="AH3330" s="82" t="s">
        <v>13332</v>
      </c>
      <c r="AI3330" s="77" t="b">
        <v>0</v>
      </c>
      <c r="AJ3330" s="77"/>
      <c r="AK3330" s="77"/>
      <c r="AL3330" s="77"/>
      <c r="AM3330" s="77"/>
      <c r="AN3330" s="77"/>
      <c r="AO3330" s="77"/>
      <c r="AP3330" s="77"/>
      <c r="AQ3330" s="77" t="s">
        <v>16298</v>
      </c>
      <c r="AR3330" s="77"/>
      <c r="AS3330" s="77"/>
      <c r="AT3330" s="77"/>
      <c r="AU3330" s="77"/>
      <c r="AV3330" s="80" t="str">
        <f>HYPERLINK("https://pbs.twimg.com/media/FwboEeFXoBQjGmv.jpg")</f>
        <v>https://pbs.twimg.com/media/FwboEeFXoBQjGmv.jpg</v>
      </c>
      <c r="AW3330" s="82" t="s">
        <v>20096</v>
      </c>
      <c r="AX3330" s="82" t="s">
        <v>20096</v>
      </c>
      <c r="AY3330" s="77"/>
      <c r="AZ3330" s="82" t="s">
        <v>20971</v>
      </c>
      <c r="BA3330" s="82" t="s">
        <v>20971</v>
      </c>
      <c r="BB3330" s="82" t="s">
        <v>20971</v>
      </c>
      <c r="BC3330" s="82" t="s">
        <v>20096</v>
      </c>
      <c r="BD3330" s="82" t="s">
        <v>21597</v>
      </c>
      <c r="BE3330" s="77"/>
      <c r="BF3330" s="77"/>
      <c r="BG3330" s="77"/>
      <c r="BH3330" s="77"/>
      <c r="BI3330" s="77"/>
    </row>
    <row r="3331" spans="1:61" x14ac:dyDescent="0.25">
      <c r="A3331" s="62" t="s">
        <v>1006</v>
      </c>
      <c r="B3331" s="62" t="s">
        <v>1006</v>
      </c>
      <c r="C3331" s="63"/>
      <c r="D3331" s="64"/>
      <c r="E3331" s="65"/>
      <c r="F3331" s="66"/>
      <c r="G3331" s="63"/>
      <c r="H3331" s="67"/>
      <c r="I3331" s="68"/>
      <c r="J3331" s="68"/>
      <c r="K3331" s="32"/>
      <c r="L3331" s="75">
        <v>3331</v>
      </c>
      <c r="M3331" s="75"/>
      <c r="N3331" s="70"/>
      <c r="O3331" s="77" t="s">
        <v>179</v>
      </c>
      <c r="P3331" s="79">
        <v>45064.779513888891</v>
      </c>
      <c r="Q3331" s="77" t="s">
        <v>4537</v>
      </c>
      <c r="R3331" s="77">
        <v>0</v>
      </c>
      <c r="S3331" s="77">
        <v>0</v>
      </c>
      <c r="T3331" s="77">
        <v>0</v>
      </c>
      <c r="U3331" s="77">
        <v>0</v>
      </c>
      <c r="V3331" s="77">
        <v>102</v>
      </c>
      <c r="W3331" s="82" t="s">
        <v>6740</v>
      </c>
      <c r="X3331" s="77"/>
      <c r="Y3331" s="77"/>
      <c r="Z3331" s="77"/>
      <c r="AA3331" s="77" t="s">
        <v>9656</v>
      </c>
      <c r="AB3331" s="77" t="s">
        <v>10130</v>
      </c>
      <c r="AC3331" s="82" t="s">
        <v>10147</v>
      </c>
      <c r="AD3331" s="77" t="s">
        <v>10184</v>
      </c>
      <c r="AE3331" s="80" t="str">
        <f>HYPERLINK("https://twitter.com/imdasmilhas/status/1659268238948147222")</f>
        <v>https://twitter.com/imdasmilhas/status/1659268238948147222</v>
      </c>
      <c r="AF3331" s="79">
        <v>45064.779513888891</v>
      </c>
      <c r="AG3331" s="85">
        <v>45064</v>
      </c>
      <c r="AH3331" s="82" t="s">
        <v>13333</v>
      </c>
      <c r="AI3331" s="77" t="b">
        <v>0</v>
      </c>
      <c r="AJ3331" s="77"/>
      <c r="AK3331" s="77"/>
      <c r="AL3331" s="77"/>
      <c r="AM3331" s="77"/>
      <c r="AN3331" s="77"/>
      <c r="AO3331" s="77"/>
      <c r="AP3331" s="77"/>
      <c r="AQ3331" s="77" t="s">
        <v>16299</v>
      </c>
      <c r="AR3331" s="77"/>
      <c r="AS3331" s="77"/>
      <c r="AT3331" s="77"/>
      <c r="AU3331" s="77"/>
      <c r="AV3331" s="80" t="str">
        <f>HYPERLINK("https://pbs.twimg.com/media/Fwbnq48WcAA8_LJ.jpg")</f>
        <v>https://pbs.twimg.com/media/Fwbnq48WcAA8_LJ.jpg</v>
      </c>
      <c r="AW3331" s="82" t="s">
        <v>20097</v>
      </c>
      <c r="AX3331" s="82" t="s">
        <v>20097</v>
      </c>
      <c r="AY3331" s="77"/>
      <c r="AZ3331" s="82" t="s">
        <v>20971</v>
      </c>
      <c r="BA3331" s="82" t="s">
        <v>20971</v>
      </c>
      <c r="BB3331" s="82" t="s">
        <v>20971</v>
      </c>
      <c r="BC3331" s="82" t="s">
        <v>20097</v>
      </c>
      <c r="BD3331" s="82" t="s">
        <v>21597</v>
      </c>
      <c r="BE3331" s="77"/>
      <c r="BF3331" s="77"/>
      <c r="BG3331" s="77"/>
      <c r="BH3331" s="77"/>
      <c r="BI3331" s="77"/>
    </row>
    <row r="3332" spans="1:61" x14ac:dyDescent="0.25">
      <c r="A3332" s="62" t="s">
        <v>1006</v>
      </c>
      <c r="B3332" s="62" t="s">
        <v>1006</v>
      </c>
      <c r="C3332" s="63"/>
      <c r="D3332" s="64"/>
      <c r="E3332" s="65"/>
      <c r="F3332" s="66"/>
      <c r="G3332" s="63"/>
      <c r="H3332" s="67"/>
      <c r="I3332" s="68"/>
      <c r="J3332" s="68"/>
      <c r="K3332" s="32"/>
      <c r="L3332" s="75">
        <v>3332</v>
      </c>
      <c r="M3332" s="75"/>
      <c r="N3332" s="70"/>
      <c r="O3332" s="77" t="s">
        <v>179</v>
      </c>
      <c r="P3332" s="79">
        <v>45064.779074074075</v>
      </c>
      <c r="Q3332" s="77" t="s">
        <v>4538</v>
      </c>
      <c r="R3332" s="77">
        <v>0</v>
      </c>
      <c r="S3332" s="77">
        <v>0</v>
      </c>
      <c r="T3332" s="77">
        <v>0</v>
      </c>
      <c r="U3332" s="77">
        <v>0</v>
      </c>
      <c r="V3332" s="77">
        <v>60</v>
      </c>
      <c r="W3332" s="82" t="s">
        <v>6740</v>
      </c>
      <c r="X3332" s="77"/>
      <c r="Y3332" s="77"/>
      <c r="Z3332" s="77"/>
      <c r="AA3332" s="77" t="s">
        <v>9657</v>
      </c>
      <c r="AB3332" s="77" t="s">
        <v>10130</v>
      </c>
      <c r="AC3332" s="82" t="s">
        <v>10147</v>
      </c>
      <c r="AD3332" s="77" t="s">
        <v>10184</v>
      </c>
      <c r="AE3332" s="80" t="str">
        <f>HYPERLINK("https://twitter.com/imdasmilhas/status/1659268079409405965")</f>
        <v>https://twitter.com/imdasmilhas/status/1659268079409405965</v>
      </c>
      <c r="AF3332" s="79">
        <v>45064.779074074075</v>
      </c>
      <c r="AG3332" s="85">
        <v>45064</v>
      </c>
      <c r="AH3332" s="82" t="s">
        <v>13334</v>
      </c>
      <c r="AI3332" s="77" t="b">
        <v>0</v>
      </c>
      <c r="AJ3332" s="77"/>
      <c r="AK3332" s="77"/>
      <c r="AL3332" s="77"/>
      <c r="AM3332" s="77"/>
      <c r="AN3332" s="77"/>
      <c r="AO3332" s="77"/>
      <c r="AP3332" s="77"/>
      <c r="AQ3332" s="77" t="s">
        <v>16300</v>
      </c>
      <c r="AR3332" s="77"/>
      <c r="AS3332" s="77"/>
      <c r="AT3332" s="77"/>
      <c r="AU3332" s="77"/>
      <c r="AV3332" s="80" t="str">
        <f>HYPERLINK("https://pbs.twimg.com/media/FwbnhjxXoBIryAK.jpg")</f>
        <v>https://pbs.twimg.com/media/FwbnhjxXoBIryAK.jpg</v>
      </c>
      <c r="AW3332" s="82" t="s">
        <v>20098</v>
      </c>
      <c r="AX3332" s="82" t="s">
        <v>20098</v>
      </c>
      <c r="AY3332" s="77"/>
      <c r="AZ3332" s="82" t="s">
        <v>20971</v>
      </c>
      <c r="BA3332" s="82" t="s">
        <v>20971</v>
      </c>
      <c r="BB3332" s="82" t="s">
        <v>20971</v>
      </c>
      <c r="BC3332" s="82" t="s">
        <v>20098</v>
      </c>
      <c r="BD3332" s="82" t="s">
        <v>21597</v>
      </c>
      <c r="BE3332" s="77"/>
      <c r="BF3332" s="77"/>
      <c r="BG3332" s="77"/>
      <c r="BH3332" s="77"/>
      <c r="BI3332" s="77"/>
    </row>
    <row r="3333" spans="1:61" x14ac:dyDescent="0.25">
      <c r="A3333" s="62" t="s">
        <v>1006</v>
      </c>
      <c r="B3333" s="62" t="s">
        <v>1006</v>
      </c>
      <c r="C3333" s="63"/>
      <c r="D3333" s="64"/>
      <c r="E3333" s="65"/>
      <c r="F3333" s="66"/>
      <c r="G3333" s="63"/>
      <c r="H3333" s="67"/>
      <c r="I3333" s="68"/>
      <c r="J3333" s="68"/>
      <c r="K3333" s="32"/>
      <c r="L3333" s="75">
        <v>3333</v>
      </c>
      <c r="M3333" s="75"/>
      <c r="N3333" s="70"/>
      <c r="O3333" s="77" t="s">
        <v>179</v>
      </c>
      <c r="P3333" s="79">
        <v>45064.778263888889</v>
      </c>
      <c r="Q3333" s="77" t="s">
        <v>4539</v>
      </c>
      <c r="R3333" s="77">
        <v>0</v>
      </c>
      <c r="S3333" s="77">
        <v>0</v>
      </c>
      <c r="T3333" s="77">
        <v>0</v>
      </c>
      <c r="U3333" s="77">
        <v>0</v>
      </c>
      <c r="V3333" s="77">
        <v>51</v>
      </c>
      <c r="W3333" s="82" t="s">
        <v>6741</v>
      </c>
      <c r="X3333" s="77"/>
      <c r="Y3333" s="77"/>
      <c r="Z3333" s="77"/>
      <c r="AA3333" s="77" t="s">
        <v>9658</v>
      </c>
      <c r="AB3333" s="77" t="s">
        <v>10130</v>
      </c>
      <c r="AC3333" s="82" t="s">
        <v>10147</v>
      </c>
      <c r="AD3333" s="77" t="s">
        <v>10184</v>
      </c>
      <c r="AE3333" s="80" t="str">
        <f>HYPERLINK("https://twitter.com/imdasmilhas/status/1659267786118504451")</f>
        <v>https://twitter.com/imdasmilhas/status/1659267786118504451</v>
      </c>
      <c r="AF3333" s="79">
        <v>45064.778263888889</v>
      </c>
      <c r="AG3333" s="85">
        <v>45064</v>
      </c>
      <c r="AH3333" s="82" t="s">
        <v>13335</v>
      </c>
      <c r="AI3333" s="77" t="b">
        <v>0</v>
      </c>
      <c r="AJ3333" s="77"/>
      <c r="AK3333" s="77"/>
      <c r="AL3333" s="77"/>
      <c r="AM3333" s="77"/>
      <c r="AN3333" s="77"/>
      <c r="AO3333" s="77"/>
      <c r="AP3333" s="77"/>
      <c r="AQ3333" s="77" t="s">
        <v>16301</v>
      </c>
      <c r="AR3333" s="77"/>
      <c r="AS3333" s="77"/>
      <c r="AT3333" s="77"/>
      <c r="AU3333" s="77"/>
      <c r="AV3333" s="80" t="str">
        <f>HYPERLINK("https://pbs.twimg.com/media/FwbnQfLWAAE2fPy.jpg")</f>
        <v>https://pbs.twimg.com/media/FwbnQfLWAAE2fPy.jpg</v>
      </c>
      <c r="AW3333" s="82" t="s">
        <v>20099</v>
      </c>
      <c r="AX3333" s="82" t="s">
        <v>20099</v>
      </c>
      <c r="AY3333" s="77"/>
      <c r="AZ3333" s="82" t="s">
        <v>20971</v>
      </c>
      <c r="BA3333" s="82" t="s">
        <v>20971</v>
      </c>
      <c r="BB3333" s="82" t="s">
        <v>20971</v>
      </c>
      <c r="BC3333" s="82" t="s">
        <v>20099</v>
      </c>
      <c r="BD3333" s="82" t="s">
        <v>21597</v>
      </c>
      <c r="BE3333" s="77"/>
      <c r="BF3333" s="77"/>
      <c r="BG3333" s="77"/>
      <c r="BH3333" s="77"/>
      <c r="BI3333" s="77"/>
    </row>
    <row r="3334" spans="1:61" x14ac:dyDescent="0.25">
      <c r="A3334" s="62" t="s">
        <v>1006</v>
      </c>
      <c r="B3334" s="62" t="s">
        <v>1006</v>
      </c>
      <c r="C3334" s="63"/>
      <c r="D3334" s="64"/>
      <c r="E3334" s="65"/>
      <c r="F3334" s="66"/>
      <c r="G3334" s="63"/>
      <c r="H3334" s="67"/>
      <c r="I3334" s="68"/>
      <c r="J3334" s="68"/>
      <c r="K3334" s="32"/>
      <c r="L3334" s="75">
        <v>3334</v>
      </c>
      <c r="M3334" s="75"/>
      <c r="N3334" s="70"/>
      <c r="O3334" s="77" t="s">
        <v>179</v>
      </c>
      <c r="P3334" s="79">
        <v>45064.610011574077</v>
      </c>
      <c r="Q3334" s="77" t="s">
        <v>4540</v>
      </c>
      <c r="R3334" s="77">
        <v>0</v>
      </c>
      <c r="S3334" s="77">
        <v>0</v>
      </c>
      <c r="T3334" s="77">
        <v>0</v>
      </c>
      <c r="U3334" s="77">
        <v>0</v>
      </c>
      <c r="V3334" s="77">
        <v>171</v>
      </c>
      <c r="W3334" s="82" t="s">
        <v>6742</v>
      </c>
      <c r="X3334" s="77"/>
      <c r="Y3334" s="77"/>
      <c r="Z3334" s="77"/>
      <c r="AA3334" s="77" t="s">
        <v>9659</v>
      </c>
      <c r="AB3334" s="77" t="s">
        <v>10130</v>
      </c>
      <c r="AC3334" s="82" t="s">
        <v>10147</v>
      </c>
      <c r="AD3334" s="77" t="s">
        <v>10184</v>
      </c>
      <c r="AE3334" s="80" t="str">
        <f>HYPERLINK("https://twitter.com/imdasmilhas/status/1659206813731151872")</f>
        <v>https://twitter.com/imdasmilhas/status/1659206813731151872</v>
      </c>
      <c r="AF3334" s="79">
        <v>45064.610011574077</v>
      </c>
      <c r="AG3334" s="85">
        <v>45064</v>
      </c>
      <c r="AH3334" s="82" t="s">
        <v>12373</v>
      </c>
      <c r="AI3334" s="77" t="b">
        <v>0</v>
      </c>
      <c r="AJ3334" s="77"/>
      <c r="AK3334" s="77"/>
      <c r="AL3334" s="77"/>
      <c r="AM3334" s="77"/>
      <c r="AN3334" s="77"/>
      <c r="AO3334" s="77"/>
      <c r="AP3334" s="77"/>
      <c r="AQ3334" s="77" t="s">
        <v>16302</v>
      </c>
      <c r="AR3334" s="77"/>
      <c r="AS3334" s="77"/>
      <c r="AT3334" s="77"/>
      <c r="AU3334" s="77"/>
      <c r="AV3334" s="80" t="str">
        <f>HYPERLINK("https://pbs.twimg.com/media/FwavzafaMAMe_GA.jpg")</f>
        <v>https://pbs.twimg.com/media/FwavzafaMAMe_GA.jpg</v>
      </c>
      <c r="AW3334" s="82" t="s">
        <v>20100</v>
      </c>
      <c r="AX3334" s="82" t="s">
        <v>20100</v>
      </c>
      <c r="AY3334" s="77"/>
      <c r="AZ3334" s="82" t="s">
        <v>20971</v>
      </c>
      <c r="BA3334" s="82" t="s">
        <v>20971</v>
      </c>
      <c r="BB3334" s="82" t="s">
        <v>20971</v>
      </c>
      <c r="BC3334" s="82" t="s">
        <v>20100</v>
      </c>
      <c r="BD3334" s="82" t="s">
        <v>21597</v>
      </c>
      <c r="BE3334" s="77"/>
      <c r="BF3334" s="77"/>
      <c r="BG3334" s="77"/>
      <c r="BH3334" s="77"/>
      <c r="BI3334" s="77"/>
    </row>
    <row r="3335" spans="1:61" x14ac:dyDescent="0.25">
      <c r="A3335" s="62" t="s">
        <v>1006</v>
      </c>
      <c r="B3335" s="62" t="s">
        <v>1006</v>
      </c>
      <c r="C3335" s="63"/>
      <c r="D3335" s="64"/>
      <c r="E3335" s="65"/>
      <c r="F3335" s="66"/>
      <c r="G3335" s="63"/>
      <c r="H3335" s="67"/>
      <c r="I3335" s="68"/>
      <c r="J3335" s="68"/>
      <c r="K3335" s="32"/>
      <c r="L3335" s="75">
        <v>3335</v>
      </c>
      <c r="M3335" s="75"/>
      <c r="N3335" s="70"/>
      <c r="O3335" s="77" t="s">
        <v>179</v>
      </c>
      <c r="P3335" s="79">
        <v>45064.609652777777</v>
      </c>
      <c r="Q3335" s="77" t="s">
        <v>4541</v>
      </c>
      <c r="R3335" s="77">
        <v>0</v>
      </c>
      <c r="S3335" s="77">
        <v>0</v>
      </c>
      <c r="T3335" s="77">
        <v>0</v>
      </c>
      <c r="U3335" s="77">
        <v>0</v>
      </c>
      <c r="V3335" s="77">
        <v>92</v>
      </c>
      <c r="W3335" s="82" t="s">
        <v>6740</v>
      </c>
      <c r="X3335" s="77"/>
      <c r="Y3335" s="77"/>
      <c r="Z3335" s="77"/>
      <c r="AA3335" s="77" t="s">
        <v>9660</v>
      </c>
      <c r="AB3335" s="77" t="s">
        <v>10130</v>
      </c>
      <c r="AC3335" s="82" t="s">
        <v>10147</v>
      </c>
      <c r="AD3335" s="77" t="s">
        <v>10184</v>
      </c>
      <c r="AE3335" s="80" t="str">
        <f>HYPERLINK("https://twitter.com/imdasmilhas/status/1659206683888058370")</f>
        <v>https://twitter.com/imdasmilhas/status/1659206683888058370</v>
      </c>
      <c r="AF3335" s="79">
        <v>45064.609652777777</v>
      </c>
      <c r="AG3335" s="85">
        <v>45064</v>
      </c>
      <c r="AH3335" s="82" t="s">
        <v>13336</v>
      </c>
      <c r="AI3335" s="77" t="b">
        <v>0</v>
      </c>
      <c r="AJ3335" s="77"/>
      <c r="AK3335" s="77"/>
      <c r="AL3335" s="77"/>
      <c r="AM3335" s="77"/>
      <c r="AN3335" s="77"/>
      <c r="AO3335" s="77"/>
      <c r="AP3335" s="77"/>
      <c r="AQ3335" s="77" t="s">
        <v>16303</v>
      </c>
      <c r="AR3335" s="77"/>
      <c r="AS3335" s="77"/>
      <c r="AT3335" s="77"/>
      <c r="AU3335" s="77"/>
      <c r="AV3335" s="80" t="str">
        <f>HYPERLINK("https://pbs.twimg.com/media/Fwavr4GagAUdLcD.jpg")</f>
        <v>https://pbs.twimg.com/media/Fwavr4GagAUdLcD.jpg</v>
      </c>
      <c r="AW3335" s="82" t="s">
        <v>20101</v>
      </c>
      <c r="AX3335" s="82" t="s">
        <v>20101</v>
      </c>
      <c r="AY3335" s="77"/>
      <c r="AZ3335" s="82" t="s">
        <v>20971</v>
      </c>
      <c r="BA3335" s="82" t="s">
        <v>20971</v>
      </c>
      <c r="BB3335" s="82" t="s">
        <v>20971</v>
      </c>
      <c r="BC3335" s="82" t="s">
        <v>20101</v>
      </c>
      <c r="BD3335" s="82" t="s">
        <v>21597</v>
      </c>
      <c r="BE3335" s="77"/>
      <c r="BF3335" s="77"/>
      <c r="BG3335" s="77"/>
      <c r="BH3335" s="77"/>
      <c r="BI3335" s="77"/>
    </row>
    <row r="3336" spans="1:61" x14ac:dyDescent="0.25">
      <c r="A3336" s="62" t="s">
        <v>1006</v>
      </c>
      <c r="B3336" s="62" t="s">
        <v>1006</v>
      </c>
      <c r="C3336" s="63"/>
      <c r="D3336" s="64"/>
      <c r="E3336" s="65"/>
      <c r="F3336" s="66"/>
      <c r="G3336" s="63"/>
      <c r="H3336" s="67"/>
      <c r="I3336" s="68"/>
      <c r="J3336" s="68"/>
      <c r="K3336" s="32"/>
      <c r="L3336" s="75">
        <v>3336</v>
      </c>
      <c r="M3336" s="75"/>
      <c r="N3336" s="70"/>
      <c r="O3336" s="77" t="s">
        <v>179</v>
      </c>
      <c r="P3336" s="79">
        <v>45063.850289351853</v>
      </c>
      <c r="Q3336" s="77" t="s">
        <v>4542</v>
      </c>
      <c r="R3336" s="77">
        <v>0</v>
      </c>
      <c r="S3336" s="77">
        <v>1</v>
      </c>
      <c r="T3336" s="77">
        <v>1</v>
      </c>
      <c r="U3336" s="77">
        <v>0</v>
      </c>
      <c r="V3336" s="77">
        <v>60</v>
      </c>
      <c r="W3336" s="82" t="s">
        <v>6740</v>
      </c>
      <c r="X3336" s="77"/>
      <c r="Y3336" s="77"/>
      <c r="Z3336" s="77"/>
      <c r="AA3336" s="77" t="s">
        <v>9661</v>
      </c>
      <c r="AB3336" s="77" t="s">
        <v>10130</v>
      </c>
      <c r="AC3336" s="82" t="s">
        <v>10147</v>
      </c>
      <c r="AD3336" s="77" t="s">
        <v>10184</v>
      </c>
      <c r="AE3336" s="80" t="str">
        <f>HYPERLINK("https://twitter.com/imdasmilhas/status/1658931498437734400")</f>
        <v>https://twitter.com/imdasmilhas/status/1658931498437734400</v>
      </c>
      <c r="AF3336" s="79">
        <v>45063.850289351853</v>
      </c>
      <c r="AG3336" s="85">
        <v>45063</v>
      </c>
      <c r="AH3336" s="82" t="s">
        <v>13337</v>
      </c>
      <c r="AI3336" s="77" t="b">
        <v>0</v>
      </c>
      <c r="AJ3336" s="77"/>
      <c r="AK3336" s="77"/>
      <c r="AL3336" s="77"/>
      <c r="AM3336" s="77"/>
      <c r="AN3336" s="77"/>
      <c r="AO3336" s="77"/>
      <c r="AP3336" s="77"/>
      <c r="AQ3336" s="77" t="s">
        <v>16304</v>
      </c>
      <c r="AR3336" s="77"/>
      <c r="AS3336" s="77"/>
      <c r="AT3336" s="77"/>
      <c r="AU3336" s="77"/>
      <c r="AV3336" s="80" t="str">
        <f>HYPERLINK("https://pbs.twimg.com/media/FwW1Z-gXoAMls6H.jpg")</f>
        <v>https://pbs.twimg.com/media/FwW1Z-gXoAMls6H.jpg</v>
      </c>
      <c r="AW3336" s="82" t="s">
        <v>20102</v>
      </c>
      <c r="AX3336" s="82" t="s">
        <v>20102</v>
      </c>
      <c r="AY3336" s="77"/>
      <c r="AZ3336" s="82" t="s">
        <v>20971</v>
      </c>
      <c r="BA3336" s="82" t="s">
        <v>20971</v>
      </c>
      <c r="BB3336" s="82" t="s">
        <v>20971</v>
      </c>
      <c r="BC3336" s="82" t="s">
        <v>20102</v>
      </c>
      <c r="BD3336" s="82" t="s">
        <v>21597</v>
      </c>
      <c r="BE3336" s="77"/>
      <c r="BF3336" s="77"/>
      <c r="BG3336" s="77"/>
      <c r="BH3336" s="77"/>
      <c r="BI3336" s="77"/>
    </row>
    <row r="3337" spans="1:61" x14ac:dyDescent="0.25">
      <c r="A3337" s="62" t="s">
        <v>1006</v>
      </c>
      <c r="B3337" s="62" t="s">
        <v>1006</v>
      </c>
      <c r="C3337" s="63"/>
      <c r="D3337" s="64"/>
      <c r="E3337" s="65"/>
      <c r="F3337" s="66"/>
      <c r="G3337" s="63"/>
      <c r="H3337" s="67"/>
      <c r="I3337" s="68"/>
      <c r="J3337" s="68"/>
      <c r="K3337" s="32"/>
      <c r="L3337" s="75">
        <v>3337</v>
      </c>
      <c r="M3337" s="75"/>
      <c r="N3337" s="70"/>
      <c r="O3337" s="77" t="s">
        <v>179</v>
      </c>
      <c r="P3337" s="79">
        <v>45063.837071759262</v>
      </c>
      <c r="Q3337" s="77" t="s">
        <v>4543</v>
      </c>
      <c r="R3337" s="77">
        <v>0</v>
      </c>
      <c r="S3337" s="77">
        <v>1</v>
      </c>
      <c r="T3337" s="77">
        <v>1</v>
      </c>
      <c r="U3337" s="77">
        <v>0</v>
      </c>
      <c r="V3337" s="77">
        <v>55</v>
      </c>
      <c r="W3337" s="82" t="s">
        <v>6740</v>
      </c>
      <c r="X3337" s="77"/>
      <c r="Y3337" s="77"/>
      <c r="Z3337" s="77"/>
      <c r="AA3337" s="77" t="s">
        <v>9662</v>
      </c>
      <c r="AB3337" s="77" t="s">
        <v>10130</v>
      </c>
      <c r="AC3337" s="82" t="s">
        <v>10147</v>
      </c>
      <c r="AD3337" s="77" t="s">
        <v>10184</v>
      </c>
      <c r="AE3337" s="80" t="str">
        <f>HYPERLINK("https://twitter.com/imdasmilhas/status/1658926708890673153")</f>
        <v>https://twitter.com/imdasmilhas/status/1658926708890673153</v>
      </c>
      <c r="AF3337" s="79">
        <v>45063.837071759262</v>
      </c>
      <c r="AG3337" s="85">
        <v>45063</v>
      </c>
      <c r="AH3337" s="82" t="s">
        <v>13338</v>
      </c>
      <c r="AI3337" s="77" t="b">
        <v>0</v>
      </c>
      <c r="AJ3337" s="77"/>
      <c r="AK3337" s="77"/>
      <c r="AL3337" s="77"/>
      <c r="AM3337" s="77"/>
      <c r="AN3337" s="77"/>
      <c r="AO3337" s="77"/>
      <c r="AP3337" s="77"/>
      <c r="AQ3337" s="77" t="s">
        <v>16305</v>
      </c>
      <c r="AR3337" s="77"/>
      <c r="AS3337" s="77"/>
      <c r="AT3337" s="77"/>
      <c r="AU3337" s="77"/>
      <c r="AV3337" s="80" t="str">
        <f>HYPERLINK("https://pbs.twimg.com/media/FwWxDLYWcAQM8Dv.jpg")</f>
        <v>https://pbs.twimg.com/media/FwWxDLYWcAQM8Dv.jpg</v>
      </c>
      <c r="AW3337" s="82" t="s">
        <v>20103</v>
      </c>
      <c r="AX3337" s="82" t="s">
        <v>20103</v>
      </c>
      <c r="AY3337" s="77"/>
      <c r="AZ3337" s="82" t="s">
        <v>20971</v>
      </c>
      <c r="BA3337" s="82" t="s">
        <v>20971</v>
      </c>
      <c r="BB3337" s="82" t="s">
        <v>20971</v>
      </c>
      <c r="BC3337" s="82" t="s">
        <v>20103</v>
      </c>
      <c r="BD3337" s="82" t="s">
        <v>21597</v>
      </c>
      <c r="BE3337" s="77"/>
      <c r="BF3337" s="77"/>
      <c r="BG3337" s="77"/>
      <c r="BH3337" s="77"/>
      <c r="BI3337" s="77"/>
    </row>
    <row r="3338" spans="1:61" x14ac:dyDescent="0.25">
      <c r="A3338" s="62" t="s">
        <v>1006</v>
      </c>
      <c r="B3338" s="62" t="s">
        <v>1006</v>
      </c>
      <c r="C3338" s="63"/>
      <c r="D3338" s="64"/>
      <c r="E3338" s="65"/>
      <c r="F3338" s="66"/>
      <c r="G3338" s="63"/>
      <c r="H3338" s="67"/>
      <c r="I3338" s="68"/>
      <c r="J3338" s="68"/>
      <c r="K3338" s="32"/>
      <c r="L3338" s="75">
        <v>3338</v>
      </c>
      <c r="M3338" s="75"/>
      <c r="N3338" s="70"/>
      <c r="O3338" s="77" t="s">
        <v>179</v>
      </c>
      <c r="P3338" s="79">
        <v>45063.755636574075</v>
      </c>
      <c r="Q3338" s="77" t="s">
        <v>4544</v>
      </c>
      <c r="R3338" s="77">
        <v>0</v>
      </c>
      <c r="S3338" s="77">
        <v>1</v>
      </c>
      <c r="T3338" s="77">
        <v>1</v>
      </c>
      <c r="U3338" s="77">
        <v>0</v>
      </c>
      <c r="V3338" s="77">
        <v>104</v>
      </c>
      <c r="W3338" s="82" t="s">
        <v>6740</v>
      </c>
      <c r="X3338" s="77"/>
      <c r="Y3338" s="77"/>
      <c r="Z3338" s="77"/>
      <c r="AA3338" s="77" t="s">
        <v>9663</v>
      </c>
      <c r="AB3338" s="77" t="s">
        <v>10130</v>
      </c>
      <c r="AC3338" s="82" t="s">
        <v>10147</v>
      </c>
      <c r="AD3338" s="77" t="s">
        <v>10184</v>
      </c>
      <c r="AE3338" s="80" t="str">
        <f>HYPERLINK("https://twitter.com/imdasmilhas/status/1658897197885267975")</f>
        <v>https://twitter.com/imdasmilhas/status/1658897197885267975</v>
      </c>
      <c r="AF3338" s="79">
        <v>45063.755636574075</v>
      </c>
      <c r="AG3338" s="85">
        <v>45063</v>
      </c>
      <c r="AH3338" s="82" t="s">
        <v>13339</v>
      </c>
      <c r="AI3338" s="77" t="b">
        <v>0</v>
      </c>
      <c r="AJ3338" s="77"/>
      <c r="AK3338" s="77"/>
      <c r="AL3338" s="77"/>
      <c r="AM3338" s="77"/>
      <c r="AN3338" s="77"/>
      <c r="AO3338" s="77"/>
      <c r="AP3338" s="77"/>
      <c r="AQ3338" s="77" t="s">
        <v>16306</v>
      </c>
      <c r="AR3338" s="77"/>
      <c r="AS3338" s="77"/>
      <c r="AT3338" s="77"/>
      <c r="AU3338" s="77"/>
      <c r="AV3338" s="80" t="str">
        <f>HYPERLINK("https://pbs.twimg.com/media/FwWWNcZWIAYNFEJ.jpg")</f>
        <v>https://pbs.twimg.com/media/FwWWNcZWIAYNFEJ.jpg</v>
      </c>
      <c r="AW3338" s="82" t="s">
        <v>20104</v>
      </c>
      <c r="AX3338" s="82" t="s">
        <v>20104</v>
      </c>
      <c r="AY3338" s="77"/>
      <c r="AZ3338" s="82" t="s">
        <v>20971</v>
      </c>
      <c r="BA3338" s="82" t="s">
        <v>20971</v>
      </c>
      <c r="BB3338" s="82" t="s">
        <v>20971</v>
      </c>
      <c r="BC3338" s="82" t="s">
        <v>20104</v>
      </c>
      <c r="BD3338" s="82" t="s">
        <v>21597</v>
      </c>
      <c r="BE3338" s="77"/>
      <c r="BF3338" s="77"/>
      <c r="BG3338" s="77"/>
      <c r="BH3338" s="77"/>
      <c r="BI3338" s="77"/>
    </row>
    <row r="3339" spans="1:61" x14ac:dyDescent="0.25">
      <c r="A3339" s="62" t="s">
        <v>1006</v>
      </c>
      <c r="B3339" s="62" t="s">
        <v>1006</v>
      </c>
      <c r="C3339" s="63"/>
      <c r="D3339" s="64"/>
      <c r="E3339" s="65"/>
      <c r="F3339" s="66"/>
      <c r="G3339" s="63"/>
      <c r="H3339" s="67"/>
      <c r="I3339" s="68"/>
      <c r="J3339" s="68"/>
      <c r="K3339" s="32"/>
      <c r="L3339" s="75">
        <v>3339</v>
      </c>
      <c r="M3339" s="75"/>
      <c r="N3339" s="70"/>
      <c r="O3339" s="77" t="s">
        <v>179</v>
      </c>
      <c r="P3339" s="79">
        <v>45063.754699074074</v>
      </c>
      <c r="Q3339" s="77" t="s">
        <v>4545</v>
      </c>
      <c r="R3339" s="77">
        <v>0</v>
      </c>
      <c r="S3339" s="77">
        <v>1</v>
      </c>
      <c r="T3339" s="77">
        <v>1</v>
      </c>
      <c r="U3339" s="77">
        <v>0</v>
      </c>
      <c r="V3339" s="77">
        <v>43</v>
      </c>
      <c r="W3339" s="82" t="s">
        <v>6740</v>
      </c>
      <c r="X3339" s="77"/>
      <c r="Y3339" s="77"/>
      <c r="Z3339" s="77"/>
      <c r="AA3339" s="77" t="s">
        <v>9664</v>
      </c>
      <c r="AB3339" s="77" t="s">
        <v>10130</v>
      </c>
      <c r="AC3339" s="82" t="s">
        <v>10147</v>
      </c>
      <c r="AD3339" s="77" t="s">
        <v>10184</v>
      </c>
      <c r="AE3339" s="80" t="str">
        <f>HYPERLINK("https://twitter.com/imdasmilhas/status/1658896856615723010")</f>
        <v>https://twitter.com/imdasmilhas/status/1658896856615723010</v>
      </c>
      <c r="AF3339" s="79">
        <v>45063.754699074074</v>
      </c>
      <c r="AG3339" s="85">
        <v>45063</v>
      </c>
      <c r="AH3339" s="82" t="s">
        <v>13340</v>
      </c>
      <c r="AI3339" s="77" t="b">
        <v>0</v>
      </c>
      <c r="AJ3339" s="77"/>
      <c r="AK3339" s="77"/>
      <c r="AL3339" s="77"/>
      <c r="AM3339" s="77"/>
      <c r="AN3339" s="77"/>
      <c r="AO3339" s="77"/>
      <c r="AP3339" s="77"/>
      <c r="AQ3339" s="77" t="s">
        <v>16307</v>
      </c>
      <c r="AR3339" s="77"/>
      <c r="AS3339" s="77"/>
      <c r="AT3339" s="77"/>
      <c r="AU3339" s="77"/>
      <c r="AV3339" s="80" t="str">
        <f>HYPERLINK("https://pbs.twimg.com/media/FwWV5kPXoAEVmRh.jpg")</f>
        <v>https://pbs.twimg.com/media/FwWV5kPXoAEVmRh.jpg</v>
      </c>
      <c r="AW3339" s="82" t="s">
        <v>20105</v>
      </c>
      <c r="AX3339" s="82" t="s">
        <v>20105</v>
      </c>
      <c r="AY3339" s="77"/>
      <c r="AZ3339" s="82" t="s">
        <v>20971</v>
      </c>
      <c r="BA3339" s="82" t="s">
        <v>20971</v>
      </c>
      <c r="BB3339" s="82" t="s">
        <v>20971</v>
      </c>
      <c r="BC3339" s="82" t="s">
        <v>20105</v>
      </c>
      <c r="BD3339" s="82" t="s">
        <v>21597</v>
      </c>
      <c r="BE3339" s="77"/>
      <c r="BF3339" s="77"/>
      <c r="BG3339" s="77"/>
      <c r="BH3339" s="77"/>
      <c r="BI3339" s="77"/>
    </row>
    <row r="3340" spans="1:61" x14ac:dyDescent="0.25">
      <c r="A3340" s="62" t="s">
        <v>1006</v>
      </c>
      <c r="B3340" s="62" t="s">
        <v>1006</v>
      </c>
      <c r="C3340" s="63"/>
      <c r="D3340" s="64"/>
      <c r="E3340" s="65"/>
      <c r="F3340" s="66"/>
      <c r="G3340" s="63"/>
      <c r="H3340" s="67"/>
      <c r="I3340" s="68"/>
      <c r="J3340" s="68"/>
      <c r="K3340" s="32"/>
      <c r="L3340" s="75">
        <v>3340</v>
      </c>
      <c r="M3340" s="75"/>
      <c r="N3340" s="70"/>
      <c r="O3340" s="77" t="s">
        <v>179</v>
      </c>
      <c r="P3340" s="79">
        <v>45063.752592592595</v>
      </c>
      <c r="Q3340" s="77" t="s">
        <v>4546</v>
      </c>
      <c r="R3340" s="77">
        <v>0</v>
      </c>
      <c r="S3340" s="77">
        <v>1</v>
      </c>
      <c r="T3340" s="77">
        <v>1</v>
      </c>
      <c r="U3340" s="77">
        <v>0</v>
      </c>
      <c r="V3340" s="77">
        <v>71</v>
      </c>
      <c r="W3340" s="82" t="s">
        <v>6740</v>
      </c>
      <c r="X3340" s="77"/>
      <c r="Y3340" s="77"/>
      <c r="Z3340" s="77"/>
      <c r="AA3340" s="77" t="s">
        <v>9665</v>
      </c>
      <c r="AB3340" s="77" t="s">
        <v>10130</v>
      </c>
      <c r="AC3340" s="82" t="s">
        <v>10147</v>
      </c>
      <c r="AD3340" s="77" t="s">
        <v>10184</v>
      </c>
      <c r="AE3340" s="80" t="str">
        <f>HYPERLINK("https://twitter.com/imdasmilhas/status/1658896096012255233")</f>
        <v>https://twitter.com/imdasmilhas/status/1658896096012255233</v>
      </c>
      <c r="AF3340" s="79">
        <v>45063.752592592595</v>
      </c>
      <c r="AG3340" s="85">
        <v>45063</v>
      </c>
      <c r="AH3340" s="82" t="s">
        <v>13341</v>
      </c>
      <c r="AI3340" s="77" t="b">
        <v>0</v>
      </c>
      <c r="AJ3340" s="77"/>
      <c r="AK3340" s="77"/>
      <c r="AL3340" s="77"/>
      <c r="AM3340" s="77"/>
      <c r="AN3340" s="77"/>
      <c r="AO3340" s="77"/>
      <c r="AP3340" s="77"/>
      <c r="AQ3340" s="77" t="s">
        <v>16308</v>
      </c>
      <c r="AR3340" s="77"/>
      <c r="AS3340" s="77"/>
      <c r="AT3340" s="77"/>
      <c r="AU3340" s="77"/>
      <c r="AV3340" s="80" t="str">
        <f>HYPERLINK("https://pbs.twimg.com/media/FwWVNSwWIAA0Ull.jpg")</f>
        <v>https://pbs.twimg.com/media/FwWVNSwWIAA0Ull.jpg</v>
      </c>
      <c r="AW3340" s="82" t="s">
        <v>20106</v>
      </c>
      <c r="AX3340" s="82" t="s">
        <v>20106</v>
      </c>
      <c r="AY3340" s="77"/>
      <c r="AZ3340" s="82" t="s">
        <v>20971</v>
      </c>
      <c r="BA3340" s="82" t="s">
        <v>20971</v>
      </c>
      <c r="BB3340" s="82" t="s">
        <v>20971</v>
      </c>
      <c r="BC3340" s="82" t="s">
        <v>20106</v>
      </c>
      <c r="BD3340" s="82" t="s">
        <v>21597</v>
      </c>
      <c r="BE3340" s="77"/>
      <c r="BF3340" s="77"/>
      <c r="BG3340" s="77"/>
      <c r="BH3340" s="77"/>
      <c r="BI3340" s="77"/>
    </row>
    <row r="3341" spans="1:61" x14ac:dyDescent="0.25">
      <c r="A3341" s="62" t="s">
        <v>1006</v>
      </c>
      <c r="B3341" s="62" t="s">
        <v>1006</v>
      </c>
      <c r="C3341" s="63"/>
      <c r="D3341" s="64"/>
      <c r="E3341" s="65"/>
      <c r="F3341" s="66"/>
      <c r="G3341" s="63"/>
      <c r="H3341" s="67"/>
      <c r="I3341" s="68"/>
      <c r="J3341" s="68"/>
      <c r="K3341" s="32"/>
      <c r="L3341" s="75">
        <v>3341</v>
      </c>
      <c r="M3341" s="75"/>
      <c r="N3341" s="70"/>
      <c r="O3341" s="77" t="s">
        <v>179</v>
      </c>
      <c r="P3341" s="79">
        <v>45063.752314814818</v>
      </c>
      <c r="Q3341" s="77" t="s">
        <v>4547</v>
      </c>
      <c r="R3341" s="77">
        <v>0</v>
      </c>
      <c r="S3341" s="77">
        <v>1</v>
      </c>
      <c r="T3341" s="77">
        <v>1</v>
      </c>
      <c r="U3341" s="77">
        <v>0</v>
      </c>
      <c r="V3341" s="77">
        <v>55</v>
      </c>
      <c r="W3341" s="82" t="s">
        <v>6742</v>
      </c>
      <c r="X3341" s="77"/>
      <c r="Y3341" s="77"/>
      <c r="Z3341" s="77"/>
      <c r="AA3341" s="77" t="s">
        <v>9666</v>
      </c>
      <c r="AB3341" s="77" t="s">
        <v>10130</v>
      </c>
      <c r="AC3341" s="82" t="s">
        <v>10147</v>
      </c>
      <c r="AD3341" s="77" t="s">
        <v>10184</v>
      </c>
      <c r="AE3341" s="80" t="str">
        <f>HYPERLINK("https://twitter.com/imdasmilhas/status/1658895992937148416")</f>
        <v>https://twitter.com/imdasmilhas/status/1658895992937148416</v>
      </c>
      <c r="AF3341" s="79">
        <v>45063.752314814818</v>
      </c>
      <c r="AG3341" s="85">
        <v>45063</v>
      </c>
      <c r="AH3341" s="82" t="s">
        <v>13097</v>
      </c>
      <c r="AI3341" s="77" t="b">
        <v>0</v>
      </c>
      <c r="AJ3341" s="77"/>
      <c r="AK3341" s="77"/>
      <c r="AL3341" s="77"/>
      <c r="AM3341" s="77"/>
      <c r="AN3341" s="77"/>
      <c r="AO3341" s="77"/>
      <c r="AP3341" s="77"/>
      <c r="AQ3341" s="77" t="s">
        <v>16309</v>
      </c>
      <c r="AR3341" s="77"/>
      <c r="AS3341" s="77"/>
      <c r="AT3341" s="77"/>
      <c r="AU3341" s="77"/>
      <c r="AV3341" s="80" t="str">
        <f>HYPERLINK("https://pbs.twimg.com/media/FwWVHTPXoAMVF5H.jpg")</f>
        <v>https://pbs.twimg.com/media/FwWVHTPXoAMVF5H.jpg</v>
      </c>
      <c r="AW3341" s="82" t="s">
        <v>20107</v>
      </c>
      <c r="AX3341" s="82" t="s">
        <v>20107</v>
      </c>
      <c r="AY3341" s="77"/>
      <c r="AZ3341" s="82" t="s">
        <v>20971</v>
      </c>
      <c r="BA3341" s="82" t="s">
        <v>20971</v>
      </c>
      <c r="BB3341" s="82" t="s">
        <v>20971</v>
      </c>
      <c r="BC3341" s="82" t="s">
        <v>20107</v>
      </c>
      <c r="BD3341" s="82" t="s">
        <v>21597</v>
      </c>
      <c r="BE3341" s="77"/>
      <c r="BF3341" s="77"/>
      <c r="BG3341" s="77"/>
      <c r="BH3341" s="77"/>
      <c r="BI3341" s="77"/>
    </row>
    <row r="3342" spans="1:61" x14ac:dyDescent="0.25">
      <c r="A3342" s="62" t="s">
        <v>1006</v>
      </c>
      <c r="B3342" s="62" t="s">
        <v>1006</v>
      </c>
      <c r="C3342" s="63"/>
      <c r="D3342" s="64"/>
      <c r="E3342" s="65"/>
      <c r="F3342" s="66"/>
      <c r="G3342" s="63"/>
      <c r="H3342" s="67"/>
      <c r="I3342" s="68"/>
      <c r="J3342" s="68"/>
      <c r="K3342" s="32"/>
      <c r="L3342" s="75">
        <v>3342</v>
      </c>
      <c r="M3342" s="75"/>
      <c r="N3342" s="70"/>
      <c r="O3342" s="77" t="s">
        <v>179</v>
      </c>
      <c r="P3342" s="79">
        <v>45056.832858796297</v>
      </c>
      <c r="Q3342" s="77" t="s">
        <v>4548</v>
      </c>
      <c r="R3342" s="77">
        <v>0</v>
      </c>
      <c r="S3342" s="77">
        <v>1</v>
      </c>
      <c r="T3342" s="77">
        <v>0</v>
      </c>
      <c r="U3342" s="77">
        <v>0</v>
      </c>
      <c r="V3342" s="77">
        <v>80</v>
      </c>
      <c r="W3342" s="82" t="s">
        <v>6740</v>
      </c>
      <c r="X3342" s="77"/>
      <c r="Y3342" s="77"/>
      <c r="Z3342" s="77"/>
      <c r="AA3342" s="77" t="s">
        <v>9667</v>
      </c>
      <c r="AB3342" s="77" t="s">
        <v>10130</v>
      </c>
      <c r="AC3342" s="82" t="s">
        <v>10147</v>
      </c>
      <c r="AD3342" s="77" t="s">
        <v>10184</v>
      </c>
      <c r="AE3342" s="80" t="str">
        <f>HYPERLINK("https://twitter.com/imdasmilhas/status/1656388467553628161")</f>
        <v>https://twitter.com/imdasmilhas/status/1656388467553628161</v>
      </c>
      <c r="AF3342" s="79">
        <v>45056.832858796297</v>
      </c>
      <c r="AG3342" s="85">
        <v>45056</v>
      </c>
      <c r="AH3342" s="82" t="s">
        <v>13342</v>
      </c>
      <c r="AI3342" s="77" t="b">
        <v>0</v>
      </c>
      <c r="AJ3342" s="77"/>
      <c r="AK3342" s="77"/>
      <c r="AL3342" s="77"/>
      <c r="AM3342" s="77"/>
      <c r="AN3342" s="77"/>
      <c r="AO3342" s="77"/>
      <c r="AP3342" s="77"/>
      <c r="AQ3342" s="77" t="s">
        <v>16310</v>
      </c>
      <c r="AR3342" s="77"/>
      <c r="AS3342" s="77"/>
      <c r="AT3342" s="77"/>
      <c r="AU3342" s="77"/>
      <c r="AV3342" s="80" t="str">
        <f>HYPERLINK("https://pbs.twimg.com/media/FvysiHEWYAE1aPF.jpg")</f>
        <v>https://pbs.twimg.com/media/FvysiHEWYAE1aPF.jpg</v>
      </c>
      <c r="AW3342" s="82" t="s">
        <v>20108</v>
      </c>
      <c r="AX3342" s="82" t="s">
        <v>20108</v>
      </c>
      <c r="AY3342" s="77"/>
      <c r="AZ3342" s="82" t="s">
        <v>20971</v>
      </c>
      <c r="BA3342" s="82" t="s">
        <v>20971</v>
      </c>
      <c r="BB3342" s="82" t="s">
        <v>20971</v>
      </c>
      <c r="BC3342" s="82" t="s">
        <v>20108</v>
      </c>
      <c r="BD3342" s="82" t="s">
        <v>21597</v>
      </c>
      <c r="BE3342" s="77"/>
      <c r="BF3342" s="77"/>
      <c r="BG3342" s="77"/>
      <c r="BH3342" s="77"/>
      <c r="BI3342" s="77"/>
    </row>
    <row r="3343" spans="1:61" x14ac:dyDescent="0.25">
      <c r="A3343" s="62" t="s">
        <v>1006</v>
      </c>
      <c r="B3343" s="62" t="s">
        <v>1006</v>
      </c>
      <c r="C3343" s="63"/>
      <c r="D3343" s="64"/>
      <c r="E3343" s="65"/>
      <c r="F3343" s="66"/>
      <c r="G3343" s="63"/>
      <c r="H3343" s="67"/>
      <c r="I3343" s="68"/>
      <c r="J3343" s="68"/>
      <c r="K3343" s="32"/>
      <c r="L3343" s="75">
        <v>3343</v>
      </c>
      <c r="M3343" s="75"/>
      <c r="N3343" s="70"/>
      <c r="O3343" s="77" t="s">
        <v>179</v>
      </c>
      <c r="P3343" s="79">
        <v>45056.75712962963</v>
      </c>
      <c r="Q3343" s="77" t="s">
        <v>4549</v>
      </c>
      <c r="R3343" s="77">
        <v>0</v>
      </c>
      <c r="S3343" s="77">
        <v>0</v>
      </c>
      <c r="T3343" s="77">
        <v>0</v>
      </c>
      <c r="U3343" s="77">
        <v>0</v>
      </c>
      <c r="V3343" s="77">
        <v>48</v>
      </c>
      <c r="W3343" s="82" t="s">
        <v>6740</v>
      </c>
      <c r="X3343" s="77"/>
      <c r="Y3343" s="77"/>
      <c r="Z3343" s="77"/>
      <c r="AA3343" s="77" t="s">
        <v>9668</v>
      </c>
      <c r="AB3343" s="77" t="s">
        <v>10130</v>
      </c>
      <c r="AC3343" s="82" t="s">
        <v>10147</v>
      </c>
      <c r="AD3343" s="77" t="s">
        <v>10184</v>
      </c>
      <c r="AE3343" s="80" t="str">
        <f>HYPERLINK("https://twitter.com/imdasmilhas/status/1656361023870234649")</f>
        <v>https://twitter.com/imdasmilhas/status/1656361023870234649</v>
      </c>
      <c r="AF3343" s="79">
        <v>45056.75712962963</v>
      </c>
      <c r="AG3343" s="85">
        <v>45056</v>
      </c>
      <c r="AH3343" s="82" t="s">
        <v>13343</v>
      </c>
      <c r="AI3343" s="77" t="b">
        <v>0</v>
      </c>
      <c r="AJ3343" s="77"/>
      <c r="AK3343" s="77"/>
      <c r="AL3343" s="77"/>
      <c r="AM3343" s="77"/>
      <c r="AN3343" s="77"/>
      <c r="AO3343" s="77"/>
      <c r="AP3343" s="77"/>
      <c r="AQ3343" s="77" t="s">
        <v>16311</v>
      </c>
      <c r="AR3343" s="77"/>
      <c r="AS3343" s="77"/>
      <c r="AT3343" s="77"/>
      <c r="AU3343" s="77"/>
      <c r="AV3343" s="80" t="str">
        <f>HYPERLINK("https://pbs.twimg.com/media/FvyTktwWcAgHq6c.jpg")</f>
        <v>https://pbs.twimg.com/media/FvyTktwWcAgHq6c.jpg</v>
      </c>
      <c r="AW3343" s="82" t="s">
        <v>20109</v>
      </c>
      <c r="AX3343" s="82" t="s">
        <v>20109</v>
      </c>
      <c r="AY3343" s="77"/>
      <c r="AZ3343" s="82" t="s">
        <v>20971</v>
      </c>
      <c r="BA3343" s="82" t="s">
        <v>20971</v>
      </c>
      <c r="BB3343" s="82" t="s">
        <v>20971</v>
      </c>
      <c r="BC3343" s="82" t="s">
        <v>20109</v>
      </c>
      <c r="BD3343" s="82" t="s">
        <v>21597</v>
      </c>
      <c r="BE3343" s="77"/>
      <c r="BF3343" s="77"/>
      <c r="BG3343" s="77"/>
      <c r="BH3343" s="77"/>
      <c r="BI3343" s="77"/>
    </row>
    <row r="3344" spans="1:61" x14ac:dyDescent="0.25">
      <c r="A3344" s="62" t="s">
        <v>1006</v>
      </c>
      <c r="B3344" s="62" t="s">
        <v>1006</v>
      </c>
      <c r="C3344" s="63"/>
      <c r="D3344" s="64"/>
      <c r="E3344" s="65"/>
      <c r="F3344" s="66"/>
      <c r="G3344" s="63"/>
      <c r="H3344" s="67"/>
      <c r="I3344" s="68"/>
      <c r="J3344" s="68"/>
      <c r="K3344" s="32"/>
      <c r="L3344" s="75">
        <v>3344</v>
      </c>
      <c r="M3344" s="75"/>
      <c r="N3344" s="70"/>
      <c r="O3344" s="77" t="s">
        <v>179</v>
      </c>
      <c r="P3344" s="79">
        <v>45056.75681712963</v>
      </c>
      <c r="Q3344" s="77" t="s">
        <v>4550</v>
      </c>
      <c r="R3344" s="77">
        <v>0</v>
      </c>
      <c r="S3344" s="77">
        <v>0</v>
      </c>
      <c r="T3344" s="77">
        <v>0</v>
      </c>
      <c r="U3344" s="77">
        <v>0</v>
      </c>
      <c r="V3344" s="77">
        <v>77</v>
      </c>
      <c r="W3344" s="82" t="s">
        <v>6740</v>
      </c>
      <c r="X3344" s="77"/>
      <c r="Y3344" s="77"/>
      <c r="Z3344" s="77"/>
      <c r="AA3344" s="77" t="s">
        <v>9669</v>
      </c>
      <c r="AB3344" s="77" t="s">
        <v>10130</v>
      </c>
      <c r="AC3344" s="82" t="s">
        <v>10147</v>
      </c>
      <c r="AD3344" s="77" t="s">
        <v>10184</v>
      </c>
      <c r="AE3344" s="80" t="str">
        <f>HYPERLINK("https://twitter.com/imdasmilhas/status/1656360909802024961")</f>
        <v>https://twitter.com/imdasmilhas/status/1656360909802024961</v>
      </c>
      <c r="AF3344" s="79">
        <v>45056.75681712963</v>
      </c>
      <c r="AG3344" s="85">
        <v>45056</v>
      </c>
      <c r="AH3344" s="82" t="s">
        <v>13344</v>
      </c>
      <c r="AI3344" s="77" t="b">
        <v>0</v>
      </c>
      <c r="AJ3344" s="77"/>
      <c r="AK3344" s="77"/>
      <c r="AL3344" s="77"/>
      <c r="AM3344" s="77"/>
      <c r="AN3344" s="77"/>
      <c r="AO3344" s="77"/>
      <c r="AP3344" s="77"/>
      <c r="AQ3344" s="77" t="s">
        <v>16312</v>
      </c>
      <c r="AR3344" s="77"/>
      <c r="AS3344" s="77"/>
      <c r="AT3344" s="77"/>
      <c r="AU3344" s="77"/>
      <c r="AV3344" s="80" t="str">
        <f>HYPERLINK("https://pbs.twimg.com/media/FvyTeDzWcA8qMs9.jpg")</f>
        <v>https://pbs.twimg.com/media/FvyTeDzWcA8qMs9.jpg</v>
      </c>
      <c r="AW3344" s="82" t="s">
        <v>20110</v>
      </c>
      <c r="AX3344" s="82" t="s">
        <v>20110</v>
      </c>
      <c r="AY3344" s="77"/>
      <c r="AZ3344" s="82" t="s">
        <v>20971</v>
      </c>
      <c r="BA3344" s="82" t="s">
        <v>20971</v>
      </c>
      <c r="BB3344" s="82" t="s">
        <v>20971</v>
      </c>
      <c r="BC3344" s="82" t="s">
        <v>20110</v>
      </c>
      <c r="BD3344" s="82" t="s">
        <v>21597</v>
      </c>
      <c r="BE3344" s="77"/>
      <c r="BF3344" s="77"/>
      <c r="BG3344" s="77"/>
      <c r="BH3344" s="77"/>
      <c r="BI3344" s="77"/>
    </row>
    <row r="3345" spans="1:61" x14ac:dyDescent="0.25">
      <c r="A3345" s="62" t="s">
        <v>1006</v>
      </c>
      <c r="B3345" s="62" t="s">
        <v>1006</v>
      </c>
      <c r="C3345" s="63"/>
      <c r="D3345" s="64"/>
      <c r="E3345" s="65"/>
      <c r="F3345" s="66"/>
      <c r="G3345" s="63"/>
      <c r="H3345" s="67"/>
      <c r="I3345" s="68"/>
      <c r="J3345" s="68"/>
      <c r="K3345" s="32"/>
      <c r="L3345" s="75">
        <v>3345</v>
      </c>
      <c r="M3345" s="75"/>
      <c r="N3345" s="70"/>
      <c r="O3345" s="77" t="s">
        <v>179</v>
      </c>
      <c r="P3345" s="79">
        <v>45056.756539351853</v>
      </c>
      <c r="Q3345" s="77" t="s">
        <v>4551</v>
      </c>
      <c r="R3345" s="77">
        <v>0</v>
      </c>
      <c r="S3345" s="77">
        <v>0</v>
      </c>
      <c r="T3345" s="77">
        <v>0</v>
      </c>
      <c r="U3345" s="77">
        <v>0</v>
      </c>
      <c r="V3345" s="77">
        <v>59</v>
      </c>
      <c r="W3345" s="82" t="s">
        <v>6741</v>
      </c>
      <c r="X3345" s="77"/>
      <c r="Y3345" s="77"/>
      <c r="Z3345" s="77"/>
      <c r="AA3345" s="77" t="s">
        <v>9670</v>
      </c>
      <c r="AB3345" s="77" t="s">
        <v>10130</v>
      </c>
      <c r="AC3345" s="82" t="s">
        <v>10147</v>
      </c>
      <c r="AD3345" s="77" t="s">
        <v>10184</v>
      </c>
      <c r="AE3345" s="80" t="str">
        <f>HYPERLINK("https://twitter.com/imdasmilhas/status/1656360809520328724")</f>
        <v>https://twitter.com/imdasmilhas/status/1656360809520328724</v>
      </c>
      <c r="AF3345" s="79">
        <v>45056.756539351853</v>
      </c>
      <c r="AG3345" s="85">
        <v>45056</v>
      </c>
      <c r="AH3345" s="82" t="s">
        <v>13345</v>
      </c>
      <c r="AI3345" s="77" t="b">
        <v>0</v>
      </c>
      <c r="AJ3345" s="77"/>
      <c r="AK3345" s="77"/>
      <c r="AL3345" s="77"/>
      <c r="AM3345" s="77"/>
      <c r="AN3345" s="77"/>
      <c r="AO3345" s="77"/>
      <c r="AP3345" s="77"/>
      <c r="AQ3345" s="77" t="s">
        <v>16313</v>
      </c>
      <c r="AR3345" s="77"/>
      <c r="AS3345" s="77"/>
      <c r="AT3345" s="77"/>
      <c r="AU3345" s="77"/>
      <c r="AV3345" s="80" t="str">
        <f>HYPERLINK("https://pbs.twimg.com/media/FvyTYKmWwAElVGM.jpg")</f>
        <v>https://pbs.twimg.com/media/FvyTYKmWwAElVGM.jpg</v>
      </c>
      <c r="AW3345" s="82" t="s">
        <v>20111</v>
      </c>
      <c r="AX3345" s="82" t="s">
        <v>20111</v>
      </c>
      <c r="AY3345" s="77"/>
      <c r="AZ3345" s="82" t="s">
        <v>20971</v>
      </c>
      <c r="BA3345" s="82" t="s">
        <v>20971</v>
      </c>
      <c r="BB3345" s="82" t="s">
        <v>20971</v>
      </c>
      <c r="BC3345" s="82" t="s">
        <v>20111</v>
      </c>
      <c r="BD3345" s="82" t="s">
        <v>21597</v>
      </c>
      <c r="BE3345" s="77"/>
      <c r="BF3345" s="77"/>
      <c r="BG3345" s="77"/>
      <c r="BH3345" s="77"/>
      <c r="BI3345" s="77"/>
    </row>
    <row r="3346" spans="1:61" x14ac:dyDescent="0.25">
      <c r="A3346" s="62" t="s">
        <v>1006</v>
      </c>
      <c r="B3346" s="62" t="s">
        <v>1006</v>
      </c>
      <c r="C3346" s="63"/>
      <c r="D3346" s="64"/>
      <c r="E3346" s="65"/>
      <c r="F3346" s="66"/>
      <c r="G3346" s="63"/>
      <c r="H3346" s="67"/>
      <c r="I3346" s="68"/>
      <c r="J3346" s="68"/>
      <c r="K3346" s="32"/>
      <c r="L3346" s="75">
        <v>3346</v>
      </c>
      <c r="M3346" s="75"/>
      <c r="N3346" s="70"/>
      <c r="O3346" s="77" t="s">
        <v>179</v>
      </c>
      <c r="P3346" s="79">
        <v>45056.756180555552</v>
      </c>
      <c r="Q3346" s="77" t="s">
        <v>4552</v>
      </c>
      <c r="R3346" s="77">
        <v>0</v>
      </c>
      <c r="S3346" s="77">
        <v>0</v>
      </c>
      <c r="T3346" s="77">
        <v>0</v>
      </c>
      <c r="U3346" s="77">
        <v>0</v>
      </c>
      <c r="V3346" s="77">
        <v>64</v>
      </c>
      <c r="W3346" s="82" t="s">
        <v>6740</v>
      </c>
      <c r="X3346" s="77"/>
      <c r="Y3346" s="77"/>
      <c r="Z3346" s="77"/>
      <c r="AA3346" s="77" t="s">
        <v>9671</v>
      </c>
      <c r="AB3346" s="77" t="s">
        <v>10130</v>
      </c>
      <c r="AC3346" s="82" t="s">
        <v>10147</v>
      </c>
      <c r="AD3346" s="77" t="s">
        <v>10184</v>
      </c>
      <c r="AE3346" s="80" t="str">
        <f>HYPERLINK("https://twitter.com/imdasmilhas/status/1656360681967370242")</f>
        <v>https://twitter.com/imdasmilhas/status/1656360681967370242</v>
      </c>
      <c r="AF3346" s="79">
        <v>45056.756180555552</v>
      </c>
      <c r="AG3346" s="85">
        <v>45056</v>
      </c>
      <c r="AH3346" s="82" t="s">
        <v>13346</v>
      </c>
      <c r="AI3346" s="77" t="b">
        <v>0</v>
      </c>
      <c r="AJ3346" s="77"/>
      <c r="AK3346" s="77"/>
      <c r="AL3346" s="77"/>
      <c r="AM3346" s="77"/>
      <c r="AN3346" s="77"/>
      <c r="AO3346" s="77"/>
      <c r="AP3346" s="77"/>
      <c r="AQ3346" s="77" t="s">
        <v>16314</v>
      </c>
      <c r="AR3346" s="77"/>
      <c r="AS3346" s="77"/>
      <c r="AT3346" s="77"/>
      <c r="AU3346" s="77"/>
      <c r="AV3346" s="80" t="str">
        <f>HYPERLINK("https://pbs.twimg.com/media/FvyTQymXgAAfRLh.jpg")</f>
        <v>https://pbs.twimg.com/media/FvyTQymXgAAfRLh.jpg</v>
      </c>
      <c r="AW3346" s="82" t="s">
        <v>20112</v>
      </c>
      <c r="AX3346" s="82" t="s">
        <v>20112</v>
      </c>
      <c r="AY3346" s="77"/>
      <c r="AZ3346" s="82" t="s">
        <v>20971</v>
      </c>
      <c r="BA3346" s="82" t="s">
        <v>20971</v>
      </c>
      <c r="BB3346" s="82" t="s">
        <v>20971</v>
      </c>
      <c r="BC3346" s="82" t="s">
        <v>20112</v>
      </c>
      <c r="BD3346" s="82" t="s">
        <v>21597</v>
      </c>
      <c r="BE3346" s="77"/>
      <c r="BF3346" s="77"/>
      <c r="BG3346" s="77"/>
      <c r="BH3346" s="77"/>
      <c r="BI3346" s="77"/>
    </row>
    <row r="3347" spans="1:61" x14ac:dyDescent="0.25">
      <c r="A3347" s="62" t="s">
        <v>1006</v>
      </c>
      <c r="B3347" s="62" t="s">
        <v>1006</v>
      </c>
      <c r="C3347" s="63"/>
      <c r="D3347" s="64"/>
      <c r="E3347" s="65"/>
      <c r="F3347" s="66"/>
      <c r="G3347" s="63"/>
      <c r="H3347" s="67"/>
      <c r="I3347" s="68"/>
      <c r="J3347" s="68"/>
      <c r="K3347" s="32"/>
      <c r="L3347" s="75">
        <v>3347</v>
      </c>
      <c r="M3347" s="75"/>
      <c r="N3347" s="70"/>
      <c r="O3347" s="77" t="s">
        <v>179</v>
      </c>
      <c r="P3347" s="79">
        <v>45056.755891203706</v>
      </c>
      <c r="Q3347" s="77" t="s">
        <v>4553</v>
      </c>
      <c r="R3347" s="77">
        <v>0</v>
      </c>
      <c r="S3347" s="77">
        <v>0</v>
      </c>
      <c r="T3347" s="77">
        <v>0</v>
      </c>
      <c r="U3347" s="77">
        <v>0</v>
      </c>
      <c r="V3347" s="77">
        <v>38</v>
      </c>
      <c r="W3347" s="82" t="s">
        <v>6740</v>
      </c>
      <c r="X3347" s="77"/>
      <c r="Y3347" s="77"/>
      <c r="Z3347" s="77"/>
      <c r="AA3347" s="77" t="s">
        <v>9672</v>
      </c>
      <c r="AB3347" s="77" t="s">
        <v>10130</v>
      </c>
      <c r="AC3347" s="82" t="s">
        <v>10147</v>
      </c>
      <c r="AD3347" s="77" t="s">
        <v>10184</v>
      </c>
      <c r="AE3347" s="80" t="str">
        <f>HYPERLINK("https://twitter.com/imdasmilhas/status/1656360573657837584")</f>
        <v>https://twitter.com/imdasmilhas/status/1656360573657837584</v>
      </c>
      <c r="AF3347" s="79">
        <v>45056.755891203706</v>
      </c>
      <c r="AG3347" s="85">
        <v>45056</v>
      </c>
      <c r="AH3347" s="82" t="s">
        <v>10474</v>
      </c>
      <c r="AI3347" s="77" t="b">
        <v>0</v>
      </c>
      <c r="AJ3347" s="77"/>
      <c r="AK3347" s="77"/>
      <c r="AL3347" s="77"/>
      <c r="AM3347" s="77"/>
      <c r="AN3347" s="77"/>
      <c r="AO3347" s="77"/>
      <c r="AP3347" s="77"/>
      <c r="AQ3347" s="77" t="s">
        <v>16315</v>
      </c>
      <c r="AR3347" s="77"/>
      <c r="AS3347" s="77"/>
      <c r="AT3347" s="77"/>
      <c r="AU3347" s="77"/>
      <c r="AV3347" s="80" t="str">
        <f>HYPERLINK("https://pbs.twimg.com/media/FvyTKclXgAMyGwh.jpg")</f>
        <v>https://pbs.twimg.com/media/FvyTKclXgAMyGwh.jpg</v>
      </c>
      <c r="AW3347" s="82" t="s">
        <v>20113</v>
      </c>
      <c r="AX3347" s="82" t="s">
        <v>20113</v>
      </c>
      <c r="AY3347" s="77"/>
      <c r="AZ3347" s="82" t="s">
        <v>20971</v>
      </c>
      <c r="BA3347" s="82" t="s">
        <v>20971</v>
      </c>
      <c r="BB3347" s="82" t="s">
        <v>20971</v>
      </c>
      <c r="BC3347" s="82" t="s">
        <v>20113</v>
      </c>
      <c r="BD3347" s="82" t="s">
        <v>21597</v>
      </c>
      <c r="BE3347" s="77"/>
      <c r="BF3347" s="77"/>
      <c r="BG3347" s="77"/>
      <c r="BH3347" s="77"/>
      <c r="BI3347" s="77"/>
    </row>
    <row r="3348" spans="1:61" x14ac:dyDescent="0.25">
      <c r="A3348" s="62" t="s">
        <v>1006</v>
      </c>
      <c r="B3348" s="62" t="s">
        <v>1006</v>
      </c>
      <c r="C3348" s="63"/>
      <c r="D3348" s="64"/>
      <c r="E3348" s="65"/>
      <c r="F3348" s="66"/>
      <c r="G3348" s="63"/>
      <c r="H3348" s="67"/>
      <c r="I3348" s="68"/>
      <c r="J3348" s="68"/>
      <c r="K3348" s="32"/>
      <c r="L3348" s="75">
        <v>3348</v>
      </c>
      <c r="M3348" s="75"/>
      <c r="N3348" s="70"/>
      <c r="O3348" s="77" t="s">
        <v>179</v>
      </c>
      <c r="P3348" s="79">
        <v>45055.792962962965</v>
      </c>
      <c r="Q3348" s="77" t="s">
        <v>4554</v>
      </c>
      <c r="R3348" s="77">
        <v>0</v>
      </c>
      <c r="S3348" s="77">
        <v>0</v>
      </c>
      <c r="T3348" s="77">
        <v>0</v>
      </c>
      <c r="U3348" s="77">
        <v>0</v>
      </c>
      <c r="V3348" s="77">
        <v>86</v>
      </c>
      <c r="W3348" s="82" t="s">
        <v>6740</v>
      </c>
      <c r="X3348" s="77"/>
      <c r="Y3348" s="77"/>
      <c r="Z3348" s="77"/>
      <c r="AA3348" s="77" t="s">
        <v>9673</v>
      </c>
      <c r="AB3348" s="77" t="s">
        <v>10130</v>
      </c>
      <c r="AC3348" s="82" t="s">
        <v>10147</v>
      </c>
      <c r="AD3348" s="77" t="s">
        <v>10184</v>
      </c>
      <c r="AE3348" s="80" t="str">
        <f>HYPERLINK("https://twitter.com/imdasmilhas/status/1656011622446510081")</f>
        <v>https://twitter.com/imdasmilhas/status/1656011622446510081</v>
      </c>
      <c r="AF3348" s="79">
        <v>45055.792962962965</v>
      </c>
      <c r="AG3348" s="85">
        <v>45055</v>
      </c>
      <c r="AH3348" s="82" t="s">
        <v>13347</v>
      </c>
      <c r="AI3348" s="77" t="b">
        <v>0</v>
      </c>
      <c r="AJ3348" s="77"/>
      <c r="AK3348" s="77"/>
      <c r="AL3348" s="77"/>
      <c r="AM3348" s="77"/>
      <c r="AN3348" s="77"/>
      <c r="AO3348" s="77"/>
      <c r="AP3348" s="77"/>
      <c r="AQ3348" s="77" t="s">
        <v>16316</v>
      </c>
      <c r="AR3348" s="77"/>
      <c r="AS3348" s="77"/>
      <c r="AT3348" s="77"/>
      <c r="AU3348" s="77"/>
      <c r="AV3348" s="80" t="str">
        <f>HYPERLINK("https://pbs.twimg.com/media/FvtVy1kXoB0zuH2.jpg")</f>
        <v>https://pbs.twimg.com/media/FvtVy1kXoB0zuH2.jpg</v>
      </c>
      <c r="AW3348" s="82" t="s">
        <v>20114</v>
      </c>
      <c r="AX3348" s="82" t="s">
        <v>20114</v>
      </c>
      <c r="AY3348" s="77"/>
      <c r="AZ3348" s="82" t="s">
        <v>20971</v>
      </c>
      <c r="BA3348" s="82" t="s">
        <v>20971</v>
      </c>
      <c r="BB3348" s="82" t="s">
        <v>20971</v>
      </c>
      <c r="BC3348" s="82" t="s">
        <v>20114</v>
      </c>
      <c r="BD3348" s="82" t="s">
        <v>21597</v>
      </c>
      <c r="BE3348" s="77"/>
      <c r="BF3348" s="77"/>
      <c r="BG3348" s="77"/>
      <c r="BH3348" s="77"/>
      <c r="BI3348" s="77"/>
    </row>
    <row r="3349" spans="1:61" x14ac:dyDescent="0.25">
      <c r="A3349" s="62" t="s">
        <v>1006</v>
      </c>
      <c r="B3349" s="62" t="s">
        <v>1006</v>
      </c>
      <c r="C3349" s="63"/>
      <c r="D3349" s="64"/>
      <c r="E3349" s="65"/>
      <c r="F3349" s="66"/>
      <c r="G3349" s="63"/>
      <c r="H3349" s="67"/>
      <c r="I3349" s="68"/>
      <c r="J3349" s="68"/>
      <c r="K3349" s="32"/>
      <c r="L3349" s="75">
        <v>3349</v>
      </c>
      <c r="M3349" s="75"/>
      <c r="N3349" s="70"/>
      <c r="O3349" s="77" t="s">
        <v>179</v>
      </c>
      <c r="P3349" s="79">
        <v>45035.771423611113</v>
      </c>
      <c r="Q3349" s="77" t="s">
        <v>4555</v>
      </c>
      <c r="R3349" s="77">
        <v>0</v>
      </c>
      <c r="S3349" s="77">
        <v>0</v>
      </c>
      <c r="T3349" s="77">
        <v>0</v>
      </c>
      <c r="U3349" s="77">
        <v>0</v>
      </c>
      <c r="V3349" s="77">
        <v>107</v>
      </c>
      <c r="W3349" s="82" t="s">
        <v>6740</v>
      </c>
      <c r="X3349" s="77"/>
      <c r="Y3349" s="77"/>
      <c r="Z3349" s="77"/>
      <c r="AA3349" s="77" t="s">
        <v>9674</v>
      </c>
      <c r="AB3349" s="77" t="s">
        <v>10130</v>
      </c>
      <c r="AC3349" s="82" t="s">
        <v>10147</v>
      </c>
      <c r="AD3349" s="77" t="s">
        <v>10184</v>
      </c>
      <c r="AE3349" s="80" t="str">
        <f>HYPERLINK("https://twitter.com/imdasmilhas/status/1648756058725179403")</f>
        <v>https://twitter.com/imdasmilhas/status/1648756058725179403</v>
      </c>
      <c r="AF3349" s="79">
        <v>45035.771423611113</v>
      </c>
      <c r="AG3349" s="85">
        <v>45035</v>
      </c>
      <c r="AH3349" s="82" t="s">
        <v>13348</v>
      </c>
      <c r="AI3349" s="77" t="b">
        <v>0</v>
      </c>
      <c r="AJ3349" s="77"/>
      <c r="AK3349" s="77"/>
      <c r="AL3349" s="77"/>
      <c r="AM3349" s="77"/>
      <c r="AN3349" s="77"/>
      <c r="AO3349" s="77"/>
      <c r="AP3349" s="77"/>
      <c r="AQ3349" s="77" t="s">
        <v>16317</v>
      </c>
      <c r="AR3349" s="77"/>
      <c r="AS3349" s="77"/>
      <c r="AT3349" s="77"/>
      <c r="AU3349" s="77"/>
      <c r="AV3349" s="80" t="str">
        <f>HYPERLINK("https://pbs.twimg.com/media/FuGO5bNWYBEFMYU.jpg")</f>
        <v>https://pbs.twimg.com/media/FuGO5bNWYBEFMYU.jpg</v>
      </c>
      <c r="AW3349" s="82" t="s">
        <v>20115</v>
      </c>
      <c r="AX3349" s="82" t="s">
        <v>20115</v>
      </c>
      <c r="AY3349" s="77"/>
      <c r="AZ3349" s="82" t="s">
        <v>20971</v>
      </c>
      <c r="BA3349" s="82" t="s">
        <v>20971</v>
      </c>
      <c r="BB3349" s="82" t="s">
        <v>20971</v>
      </c>
      <c r="BC3349" s="82" t="s">
        <v>20115</v>
      </c>
      <c r="BD3349" s="82" t="s">
        <v>21597</v>
      </c>
      <c r="BE3349" s="77"/>
      <c r="BF3349" s="77"/>
      <c r="BG3349" s="77"/>
      <c r="BH3349" s="77"/>
      <c r="BI3349" s="77"/>
    </row>
    <row r="3350" spans="1:61" x14ac:dyDescent="0.25">
      <c r="A3350" s="62" t="s">
        <v>1006</v>
      </c>
      <c r="B3350" s="62" t="s">
        <v>1006</v>
      </c>
      <c r="C3350" s="63"/>
      <c r="D3350" s="64"/>
      <c r="E3350" s="65"/>
      <c r="F3350" s="66"/>
      <c r="G3350" s="63"/>
      <c r="H3350" s="67"/>
      <c r="I3350" s="68"/>
      <c r="J3350" s="68"/>
      <c r="K3350" s="32"/>
      <c r="L3350" s="75">
        <v>3350</v>
      </c>
      <c r="M3350" s="75"/>
      <c r="N3350" s="70"/>
      <c r="O3350" s="77" t="s">
        <v>179</v>
      </c>
      <c r="P3350" s="79">
        <v>45035.769317129627</v>
      </c>
      <c r="Q3350" s="77" t="s">
        <v>4556</v>
      </c>
      <c r="R3350" s="77">
        <v>0</v>
      </c>
      <c r="S3350" s="77">
        <v>1</v>
      </c>
      <c r="T3350" s="77">
        <v>0</v>
      </c>
      <c r="U3350" s="77">
        <v>0</v>
      </c>
      <c r="V3350" s="77">
        <v>73</v>
      </c>
      <c r="W3350" s="82" t="s">
        <v>6740</v>
      </c>
      <c r="X3350" s="77"/>
      <c r="Y3350" s="77"/>
      <c r="Z3350" s="77"/>
      <c r="AA3350" s="77" t="s">
        <v>9675</v>
      </c>
      <c r="AB3350" s="77" t="s">
        <v>10130</v>
      </c>
      <c r="AC3350" s="82" t="s">
        <v>10147</v>
      </c>
      <c r="AD3350" s="77" t="s">
        <v>10184</v>
      </c>
      <c r="AE3350" s="80" t="str">
        <f>HYPERLINK("https://twitter.com/imdasmilhas/status/1648755295567372296")</f>
        <v>https://twitter.com/imdasmilhas/status/1648755295567372296</v>
      </c>
      <c r="AF3350" s="79">
        <v>45035.769317129627</v>
      </c>
      <c r="AG3350" s="85">
        <v>45035</v>
      </c>
      <c r="AH3350" s="82" t="s">
        <v>13349</v>
      </c>
      <c r="AI3350" s="77" t="b">
        <v>0</v>
      </c>
      <c r="AJ3350" s="77"/>
      <c r="AK3350" s="77"/>
      <c r="AL3350" s="77"/>
      <c r="AM3350" s="77"/>
      <c r="AN3350" s="77"/>
      <c r="AO3350" s="77"/>
      <c r="AP3350" s="77"/>
      <c r="AQ3350" s="77" t="s">
        <v>16318</v>
      </c>
      <c r="AR3350" s="77"/>
      <c r="AS3350" s="77"/>
      <c r="AT3350" s="77"/>
      <c r="AU3350" s="77"/>
      <c r="AV3350" s="80" t="str">
        <f>HYPERLINK("https://pbs.twimg.com/media/FuGOM_XWYBc5Osv.jpg")</f>
        <v>https://pbs.twimg.com/media/FuGOM_XWYBc5Osv.jpg</v>
      </c>
      <c r="AW3350" s="82" t="s">
        <v>20116</v>
      </c>
      <c r="AX3350" s="82" t="s">
        <v>20116</v>
      </c>
      <c r="AY3350" s="77"/>
      <c r="AZ3350" s="82" t="s">
        <v>20971</v>
      </c>
      <c r="BA3350" s="82" t="s">
        <v>20971</v>
      </c>
      <c r="BB3350" s="82" t="s">
        <v>20971</v>
      </c>
      <c r="BC3350" s="82" t="s">
        <v>20116</v>
      </c>
      <c r="BD3350" s="82" t="s">
        <v>21597</v>
      </c>
      <c r="BE3350" s="77"/>
      <c r="BF3350" s="77"/>
      <c r="BG3350" s="77"/>
      <c r="BH3350" s="77"/>
      <c r="BI3350" s="77"/>
    </row>
    <row r="3351" spans="1:61" x14ac:dyDescent="0.25">
      <c r="A3351" s="62" t="s">
        <v>1006</v>
      </c>
      <c r="B3351" s="62" t="s">
        <v>1006</v>
      </c>
      <c r="C3351" s="63"/>
      <c r="D3351" s="64"/>
      <c r="E3351" s="65"/>
      <c r="F3351" s="66"/>
      <c r="G3351" s="63"/>
      <c r="H3351" s="67"/>
      <c r="I3351" s="68"/>
      <c r="J3351" s="68"/>
      <c r="K3351" s="32"/>
      <c r="L3351" s="75">
        <v>3351</v>
      </c>
      <c r="M3351" s="75"/>
      <c r="N3351" s="70"/>
      <c r="O3351" s="77" t="s">
        <v>179</v>
      </c>
      <c r="P3351" s="79">
        <v>45035.641400462962</v>
      </c>
      <c r="Q3351" s="77" t="s">
        <v>4557</v>
      </c>
      <c r="R3351" s="77">
        <v>0</v>
      </c>
      <c r="S3351" s="77">
        <v>0</v>
      </c>
      <c r="T3351" s="77">
        <v>0</v>
      </c>
      <c r="U3351" s="77">
        <v>0</v>
      </c>
      <c r="V3351" s="77">
        <v>89</v>
      </c>
      <c r="W3351" s="82" t="s">
        <v>6740</v>
      </c>
      <c r="X3351" s="77"/>
      <c r="Y3351" s="77"/>
      <c r="Z3351" s="77"/>
      <c r="AA3351" s="77" t="s">
        <v>9676</v>
      </c>
      <c r="AB3351" s="77" t="s">
        <v>10130</v>
      </c>
      <c r="AC3351" s="82" t="s">
        <v>10147</v>
      </c>
      <c r="AD3351" s="77" t="s">
        <v>10184</v>
      </c>
      <c r="AE3351" s="80" t="str">
        <f>HYPERLINK("https://twitter.com/imdasmilhas/status/1648708938769072129")</f>
        <v>https://twitter.com/imdasmilhas/status/1648708938769072129</v>
      </c>
      <c r="AF3351" s="79">
        <v>45035.641400462962</v>
      </c>
      <c r="AG3351" s="85">
        <v>45035</v>
      </c>
      <c r="AH3351" s="82" t="s">
        <v>13350</v>
      </c>
      <c r="AI3351" s="77" t="b">
        <v>0</v>
      </c>
      <c r="AJ3351" s="77"/>
      <c r="AK3351" s="77"/>
      <c r="AL3351" s="77"/>
      <c r="AM3351" s="77"/>
      <c r="AN3351" s="77"/>
      <c r="AO3351" s="77"/>
      <c r="AP3351" s="77"/>
      <c r="AQ3351" s="77" t="s">
        <v>16319</v>
      </c>
      <c r="AR3351" s="77"/>
      <c r="AS3351" s="77"/>
      <c r="AT3351" s="77"/>
      <c r="AU3351" s="77"/>
      <c r="AV3351" s="80" t="str">
        <f>HYPERLINK("https://pbs.twimg.com/media/FuFkCumXoAMjut4.jpg")</f>
        <v>https://pbs.twimg.com/media/FuFkCumXoAMjut4.jpg</v>
      </c>
      <c r="AW3351" s="82" t="s">
        <v>20117</v>
      </c>
      <c r="AX3351" s="82" t="s">
        <v>20117</v>
      </c>
      <c r="AY3351" s="77"/>
      <c r="AZ3351" s="82" t="s">
        <v>20971</v>
      </c>
      <c r="BA3351" s="82" t="s">
        <v>20971</v>
      </c>
      <c r="BB3351" s="82" t="s">
        <v>20971</v>
      </c>
      <c r="BC3351" s="82" t="s">
        <v>20117</v>
      </c>
      <c r="BD3351" s="82" t="s">
        <v>21597</v>
      </c>
      <c r="BE3351" s="77"/>
      <c r="BF3351" s="77"/>
      <c r="BG3351" s="77"/>
      <c r="BH3351" s="77"/>
      <c r="BI3351" s="77"/>
    </row>
    <row r="3352" spans="1:61" x14ac:dyDescent="0.25">
      <c r="A3352" s="62" t="s">
        <v>1006</v>
      </c>
      <c r="B3352" s="62" t="s">
        <v>1006</v>
      </c>
      <c r="C3352" s="63"/>
      <c r="D3352" s="64"/>
      <c r="E3352" s="65"/>
      <c r="F3352" s="66"/>
      <c r="G3352" s="63"/>
      <c r="H3352" s="67"/>
      <c r="I3352" s="68"/>
      <c r="J3352" s="68"/>
      <c r="K3352" s="32"/>
      <c r="L3352" s="75">
        <v>3352</v>
      </c>
      <c r="M3352" s="75"/>
      <c r="N3352" s="70"/>
      <c r="O3352" s="77" t="s">
        <v>179</v>
      </c>
      <c r="P3352" s="79">
        <v>45035.640914351854</v>
      </c>
      <c r="Q3352" s="77" t="s">
        <v>4558</v>
      </c>
      <c r="R3352" s="77">
        <v>0</v>
      </c>
      <c r="S3352" s="77">
        <v>0</v>
      </c>
      <c r="T3352" s="77">
        <v>0</v>
      </c>
      <c r="U3352" s="77">
        <v>0</v>
      </c>
      <c r="V3352" s="77">
        <v>53</v>
      </c>
      <c r="W3352" s="82" t="s">
        <v>6740</v>
      </c>
      <c r="X3352" s="77"/>
      <c r="Y3352" s="77"/>
      <c r="Z3352" s="77"/>
      <c r="AA3352" s="77" t="s">
        <v>9677</v>
      </c>
      <c r="AB3352" s="77" t="s">
        <v>10130</v>
      </c>
      <c r="AC3352" s="82" t="s">
        <v>10147</v>
      </c>
      <c r="AD3352" s="77" t="s">
        <v>10184</v>
      </c>
      <c r="AE3352" s="80" t="str">
        <f>HYPERLINK("https://twitter.com/imdasmilhas/status/1648708762683813888")</f>
        <v>https://twitter.com/imdasmilhas/status/1648708762683813888</v>
      </c>
      <c r="AF3352" s="79">
        <v>45035.640914351854</v>
      </c>
      <c r="AG3352" s="85">
        <v>45035</v>
      </c>
      <c r="AH3352" s="82" t="s">
        <v>13351</v>
      </c>
      <c r="AI3352" s="77" t="b">
        <v>0</v>
      </c>
      <c r="AJ3352" s="77"/>
      <c r="AK3352" s="77"/>
      <c r="AL3352" s="77"/>
      <c r="AM3352" s="77"/>
      <c r="AN3352" s="77"/>
      <c r="AO3352" s="77"/>
      <c r="AP3352" s="77"/>
      <c r="AQ3352" s="77" t="s">
        <v>16320</v>
      </c>
      <c r="AR3352" s="77"/>
      <c r="AS3352" s="77"/>
      <c r="AT3352" s="77"/>
      <c r="AU3352" s="77"/>
      <c r="AV3352" s="80" t="str">
        <f>HYPERLINK("https://pbs.twimg.com/media/FuFj4eNWcAISQ63.jpg")</f>
        <v>https://pbs.twimg.com/media/FuFj4eNWcAISQ63.jpg</v>
      </c>
      <c r="AW3352" s="82" t="s">
        <v>20118</v>
      </c>
      <c r="AX3352" s="82" t="s">
        <v>20118</v>
      </c>
      <c r="AY3352" s="77"/>
      <c r="AZ3352" s="82" t="s">
        <v>20971</v>
      </c>
      <c r="BA3352" s="82" t="s">
        <v>20971</v>
      </c>
      <c r="BB3352" s="82" t="s">
        <v>20971</v>
      </c>
      <c r="BC3352" s="82" t="s">
        <v>20118</v>
      </c>
      <c r="BD3352" s="82" t="s">
        <v>21597</v>
      </c>
      <c r="BE3352" s="77"/>
      <c r="BF3352" s="77"/>
      <c r="BG3352" s="77"/>
      <c r="BH3352" s="77"/>
      <c r="BI3352" s="77"/>
    </row>
    <row r="3353" spans="1:61" x14ac:dyDescent="0.25">
      <c r="A3353" s="62" t="s">
        <v>1006</v>
      </c>
      <c r="B3353" s="62" t="s">
        <v>1006</v>
      </c>
      <c r="C3353" s="63"/>
      <c r="D3353" s="64"/>
      <c r="E3353" s="65"/>
      <c r="F3353" s="66"/>
      <c r="G3353" s="63"/>
      <c r="H3353" s="67"/>
      <c r="I3353" s="68"/>
      <c r="J3353" s="68"/>
      <c r="K3353" s="32"/>
      <c r="L3353" s="75">
        <v>3353</v>
      </c>
      <c r="M3353" s="75"/>
      <c r="N3353" s="70"/>
      <c r="O3353" s="77" t="s">
        <v>179</v>
      </c>
      <c r="P3353" s="79">
        <v>45035.640625</v>
      </c>
      <c r="Q3353" s="77" t="s">
        <v>4559</v>
      </c>
      <c r="R3353" s="77">
        <v>0</v>
      </c>
      <c r="S3353" s="77">
        <v>0</v>
      </c>
      <c r="T3353" s="77">
        <v>0</v>
      </c>
      <c r="U3353" s="77">
        <v>0</v>
      </c>
      <c r="V3353" s="77">
        <v>62</v>
      </c>
      <c r="W3353" s="82" t="s">
        <v>6740</v>
      </c>
      <c r="X3353" s="77"/>
      <c r="Y3353" s="77"/>
      <c r="Z3353" s="77"/>
      <c r="AA3353" s="77" t="s">
        <v>9678</v>
      </c>
      <c r="AB3353" s="77" t="s">
        <v>10130</v>
      </c>
      <c r="AC3353" s="82" t="s">
        <v>10147</v>
      </c>
      <c r="AD3353" s="77" t="s">
        <v>10184</v>
      </c>
      <c r="AE3353" s="80" t="str">
        <f>HYPERLINK("https://twitter.com/imdasmilhas/status/1648708660225355777")</f>
        <v>https://twitter.com/imdasmilhas/status/1648708660225355777</v>
      </c>
      <c r="AF3353" s="79">
        <v>45035.640625</v>
      </c>
      <c r="AG3353" s="85">
        <v>45035</v>
      </c>
      <c r="AH3353" s="82" t="s">
        <v>13352</v>
      </c>
      <c r="AI3353" s="77" t="b">
        <v>0</v>
      </c>
      <c r="AJ3353" s="77"/>
      <c r="AK3353" s="77"/>
      <c r="AL3353" s="77"/>
      <c r="AM3353" s="77"/>
      <c r="AN3353" s="77"/>
      <c r="AO3353" s="77"/>
      <c r="AP3353" s="77"/>
      <c r="AQ3353" s="77" t="s">
        <v>16321</v>
      </c>
      <c r="AR3353" s="77"/>
      <c r="AS3353" s="77"/>
      <c r="AT3353" s="77"/>
      <c r="AU3353" s="77"/>
      <c r="AV3353" s="80" t="str">
        <f>HYPERLINK("https://pbs.twimg.com/media/FuFjyexWIAMIAiw.jpg")</f>
        <v>https://pbs.twimg.com/media/FuFjyexWIAMIAiw.jpg</v>
      </c>
      <c r="AW3353" s="82" t="s">
        <v>20119</v>
      </c>
      <c r="AX3353" s="82" t="s">
        <v>20119</v>
      </c>
      <c r="AY3353" s="77"/>
      <c r="AZ3353" s="82" t="s">
        <v>20971</v>
      </c>
      <c r="BA3353" s="82" t="s">
        <v>20971</v>
      </c>
      <c r="BB3353" s="82" t="s">
        <v>20971</v>
      </c>
      <c r="BC3353" s="82" t="s">
        <v>20119</v>
      </c>
      <c r="BD3353" s="82" t="s">
        <v>21597</v>
      </c>
      <c r="BE3353" s="77"/>
      <c r="BF3353" s="77"/>
      <c r="BG3353" s="77"/>
      <c r="BH3353" s="77"/>
      <c r="BI3353" s="77"/>
    </row>
    <row r="3354" spans="1:61" x14ac:dyDescent="0.25">
      <c r="A3354" s="62" t="s">
        <v>1006</v>
      </c>
      <c r="B3354" s="62" t="s">
        <v>1006</v>
      </c>
      <c r="C3354" s="63"/>
      <c r="D3354" s="64"/>
      <c r="E3354" s="65"/>
      <c r="F3354" s="66"/>
      <c r="G3354" s="63"/>
      <c r="H3354" s="67"/>
      <c r="I3354" s="68"/>
      <c r="J3354" s="68"/>
      <c r="K3354" s="32"/>
      <c r="L3354" s="75">
        <v>3354</v>
      </c>
      <c r="M3354" s="75"/>
      <c r="N3354" s="70"/>
      <c r="O3354" s="77" t="s">
        <v>179</v>
      </c>
      <c r="P3354" s="79">
        <v>45035.640300925923</v>
      </c>
      <c r="Q3354" s="77" t="s">
        <v>4560</v>
      </c>
      <c r="R3354" s="77">
        <v>0</v>
      </c>
      <c r="S3354" s="77">
        <v>0</v>
      </c>
      <c r="T3354" s="77">
        <v>0</v>
      </c>
      <c r="U3354" s="77">
        <v>0</v>
      </c>
      <c r="V3354" s="77">
        <v>63</v>
      </c>
      <c r="W3354" s="82" t="s">
        <v>6740</v>
      </c>
      <c r="X3354" s="77"/>
      <c r="Y3354" s="77"/>
      <c r="Z3354" s="77"/>
      <c r="AA3354" s="77" t="s">
        <v>9679</v>
      </c>
      <c r="AB3354" s="77" t="s">
        <v>10130</v>
      </c>
      <c r="AC3354" s="82" t="s">
        <v>10147</v>
      </c>
      <c r="AD3354" s="77" t="s">
        <v>10184</v>
      </c>
      <c r="AE3354" s="80" t="str">
        <f>HYPERLINK("https://twitter.com/imdasmilhas/status/1648708540045901828")</f>
        <v>https://twitter.com/imdasmilhas/status/1648708540045901828</v>
      </c>
      <c r="AF3354" s="79">
        <v>45035.640300925923</v>
      </c>
      <c r="AG3354" s="85">
        <v>45035</v>
      </c>
      <c r="AH3354" s="82" t="s">
        <v>13353</v>
      </c>
      <c r="AI3354" s="77" t="b">
        <v>0</v>
      </c>
      <c r="AJ3354" s="77"/>
      <c r="AK3354" s="77"/>
      <c r="AL3354" s="77"/>
      <c r="AM3354" s="77"/>
      <c r="AN3354" s="77"/>
      <c r="AO3354" s="77"/>
      <c r="AP3354" s="77"/>
      <c r="AQ3354" s="77" t="s">
        <v>16322</v>
      </c>
      <c r="AR3354" s="77"/>
      <c r="AS3354" s="77"/>
      <c r="AT3354" s="77"/>
      <c r="AU3354" s="77"/>
      <c r="AV3354" s="80" t="str">
        <f>HYPERLINK("https://pbs.twimg.com/media/FuFjrfcXgAAzn5N.jpg")</f>
        <v>https://pbs.twimg.com/media/FuFjrfcXgAAzn5N.jpg</v>
      </c>
      <c r="AW3354" s="82" t="s">
        <v>20120</v>
      </c>
      <c r="AX3354" s="82" t="s">
        <v>20120</v>
      </c>
      <c r="AY3354" s="77"/>
      <c r="AZ3354" s="82" t="s">
        <v>20971</v>
      </c>
      <c r="BA3354" s="82" t="s">
        <v>20971</v>
      </c>
      <c r="BB3354" s="82" t="s">
        <v>20971</v>
      </c>
      <c r="BC3354" s="82" t="s">
        <v>20120</v>
      </c>
      <c r="BD3354" s="82" t="s">
        <v>21597</v>
      </c>
      <c r="BE3354" s="77"/>
      <c r="BF3354" s="77"/>
      <c r="BG3354" s="77"/>
      <c r="BH3354" s="77"/>
      <c r="BI3354" s="77"/>
    </row>
    <row r="3355" spans="1:61" x14ac:dyDescent="0.25">
      <c r="A3355" s="62" t="s">
        <v>1006</v>
      </c>
      <c r="B3355" s="62" t="s">
        <v>1006</v>
      </c>
      <c r="C3355" s="63"/>
      <c r="D3355" s="64"/>
      <c r="E3355" s="65"/>
      <c r="F3355" s="66"/>
      <c r="G3355" s="63"/>
      <c r="H3355" s="67"/>
      <c r="I3355" s="68"/>
      <c r="J3355" s="68"/>
      <c r="K3355" s="32"/>
      <c r="L3355" s="75">
        <v>3355</v>
      </c>
      <c r="M3355" s="75"/>
      <c r="N3355" s="70"/>
      <c r="O3355" s="77" t="s">
        <v>179</v>
      </c>
      <c r="P3355" s="79">
        <v>45009.841909722221</v>
      </c>
      <c r="Q3355" s="77" t="s">
        <v>4561</v>
      </c>
      <c r="R3355" s="77">
        <v>0</v>
      </c>
      <c r="S3355" s="77">
        <v>0</v>
      </c>
      <c r="T3355" s="77">
        <v>0</v>
      </c>
      <c r="U3355" s="77">
        <v>0</v>
      </c>
      <c r="V3355" s="77">
        <v>70</v>
      </c>
      <c r="W3355" s="82" t="s">
        <v>6740</v>
      </c>
      <c r="X3355" s="77"/>
      <c r="Y3355" s="77"/>
      <c r="Z3355" s="77"/>
      <c r="AA3355" s="77" t="s">
        <v>9680</v>
      </c>
      <c r="AB3355" s="77" t="s">
        <v>10130</v>
      </c>
      <c r="AC3355" s="82" t="s">
        <v>10147</v>
      </c>
      <c r="AD3355" s="77" t="s">
        <v>10184</v>
      </c>
      <c r="AE3355" s="80" t="str">
        <f>HYPERLINK("https://twitter.com/imdasmilhas/status/1639359519334748160")</f>
        <v>https://twitter.com/imdasmilhas/status/1639359519334748160</v>
      </c>
      <c r="AF3355" s="79">
        <v>45009.841909722221</v>
      </c>
      <c r="AG3355" s="85">
        <v>45009</v>
      </c>
      <c r="AH3355" s="82" t="s">
        <v>13354</v>
      </c>
      <c r="AI3355" s="77" t="b">
        <v>0</v>
      </c>
      <c r="AJ3355" s="77"/>
      <c r="AK3355" s="77"/>
      <c r="AL3355" s="77"/>
      <c r="AM3355" s="77"/>
      <c r="AN3355" s="77"/>
      <c r="AO3355" s="77"/>
      <c r="AP3355" s="77"/>
      <c r="AQ3355" s="77" t="s">
        <v>16323</v>
      </c>
      <c r="AR3355" s="77"/>
      <c r="AS3355" s="77"/>
      <c r="AT3355" s="77"/>
      <c r="AU3355" s="77"/>
      <c r="AV3355" s="80" t="str">
        <f>HYPERLINK("https://pbs.twimg.com/media/FsAsy44WYAUriJQ.jpg")</f>
        <v>https://pbs.twimg.com/media/FsAsy44WYAUriJQ.jpg</v>
      </c>
      <c r="AW3355" s="82" t="s">
        <v>20121</v>
      </c>
      <c r="AX3355" s="82" t="s">
        <v>20121</v>
      </c>
      <c r="AY3355" s="77"/>
      <c r="AZ3355" s="82" t="s">
        <v>20971</v>
      </c>
      <c r="BA3355" s="82" t="s">
        <v>20971</v>
      </c>
      <c r="BB3355" s="82" t="s">
        <v>20971</v>
      </c>
      <c r="BC3355" s="82" t="s">
        <v>20121</v>
      </c>
      <c r="BD3355" s="82" t="s">
        <v>21597</v>
      </c>
      <c r="BE3355" s="77"/>
      <c r="BF3355" s="77"/>
      <c r="BG3355" s="77"/>
      <c r="BH3355" s="77"/>
      <c r="BI3355" s="77"/>
    </row>
    <row r="3356" spans="1:61" x14ac:dyDescent="0.25">
      <c r="A3356" s="62" t="s">
        <v>1006</v>
      </c>
      <c r="B3356" s="62" t="s">
        <v>1006</v>
      </c>
      <c r="C3356" s="63"/>
      <c r="D3356" s="64"/>
      <c r="E3356" s="65"/>
      <c r="F3356" s="66"/>
      <c r="G3356" s="63"/>
      <c r="H3356" s="67"/>
      <c r="I3356" s="68"/>
      <c r="J3356" s="68"/>
      <c r="K3356" s="32"/>
      <c r="L3356" s="75">
        <v>3356</v>
      </c>
      <c r="M3356" s="75"/>
      <c r="N3356" s="70"/>
      <c r="O3356" s="77" t="s">
        <v>179</v>
      </c>
      <c r="P3356" s="79">
        <v>45009.841481481482</v>
      </c>
      <c r="Q3356" s="77" t="s">
        <v>4562</v>
      </c>
      <c r="R3356" s="77">
        <v>0</v>
      </c>
      <c r="S3356" s="77">
        <v>0</v>
      </c>
      <c r="T3356" s="77">
        <v>0</v>
      </c>
      <c r="U3356" s="77">
        <v>0</v>
      </c>
      <c r="V3356" s="77">
        <v>69</v>
      </c>
      <c r="W3356" s="82" t="s">
        <v>6740</v>
      </c>
      <c r="X3356" s="77"/>
      <c r="Y3356" s="77"/>
      <c r="Z3356" s="77"/>
      <c r="AA3356" s="77" t="s">
        <v>9681</v>
      </c>
      <c r="AB3356" s="77" t="s">
        <v>10130</v>
      </c>
      <c r="AC3356" s="82" t="s">
        <v>10147</v>
      </c>
      <c r="AD3356" s="77" t="s">
        <v>10184</v>
      </c>
      <c r="AE3356" s="80" t="str">
        <f>HYPERLINK("https://twitter.com/imdasmilhas/status/1639359360483872768")</f>
        <v>https://twitter.com/imdasmilhas/status/1639359360483872768</v>
      </c>
      <c r="AF3356" s="79">
        <v>45009.841481481482</v>
      </c>
      <c r="AG3356" s="85">
        <v>45009</v>
      </c>
      <c r="AH3356" s="82" t="s">
        <v>13355</v>
      </c>
      <c r="AI3356" s="77" t="b">
        <v>0</v>
      </c>
      <c r="AJ3356" s="77"/>
      <c r="AK3356" s="77"/>
      <c r="AL3356" s="77"/>
      <c r="AM3356" s="77"/>
      <c r="AN3356" s="77"/>
      <c r="AO3356" s="77"/>
      <c r="AP3356" s="77"/>
      <c r="AQ3356" s="77" t="s">
        <v>16324</v>
      </c>
      <c r="AR3356" s="77"/>
      <c r="AS3356" s="77"/>
      <c r="AT3356" s="77"/>
      <c r="AU3356" s="77"/>
      <c r="AV3356" s="80" t="str">
        <f>HYPERLINK("https://pbs.twimg.com/media/FsAspnPWYAAypfT.jpg")</f>
        <v>https://pbs.twimg.com/media/FsAspnPWYAAypfT.jpg</v>
      </c>
      <c r="AW3356" s="82" t="s">
        <v>20122</v>
      </c>
      <c r="AX3356" s="82" t="s">
        <v>20122</v>
      </c>
      <c r="AY3356" s="77"/>
      <c r="AZ3356" s="82" t="s">
        <v>20971</v>
      </c>
      <c r="BA3356" s="82" t="s">
        <v>20971</v>
      </c>
      <c r="BB3356" s="82" t="s">
        <v>20971</v>
      </c>
      <c r="BC3356" s="82" t="s">
        <v>20122</v>
      </c>
      <c r="BD3356" s="82" t="s">
        <v>21597</v>
      </c>
      <c r="BE3356" s="77"/>
      <c r="BF3356" s="77"/>
      <c r="BG3356" s="77"/>
      <c r="BH3356" s="77"/>
      <c r="BI3356" s="77"/>
    </row>
    <row r="3357" spans="1:61" x14ac:dyDescent="0.25">
      <c r="A3357" s="62" t="s">
        <v>1006</v>
      </c>
      <c r="B3357" s="62" t="s">
        <v>1006</v>
      </c>
      <c r="C3357" s="63"/>
      <c r="D3357" s="64"/>
      <c r="E3357" s="65"/>
      <c r="F3357" s="66"/>
      <c r="G3357" s="63"/>
      <c r="H3357" s="67"/>
      <c r="I3357" s="68"/>
      <c r="J3357" s="68"/>
      <c r="K3357" s="32"/>
      <c r="L3357" s="75">
        <v>3357</v>
      </c>
      <c r="M3357" s="75"/>
      <c r="N3357" s="70"/>
      <c r="O3357" s="77" t="s">
        <v>179</v>
      </c>
      <c r="P3357" s="79">
        <v>45009.729421296295</v>
      </c>
      <c r="Q3357" s="77" t="s">
        <v>4563</v>
      </c>
      <c r="R3357" s="77">
        <v>0</v>
      </c>
      <c r="S3357" s="77">
        <v>0</v>
      </c>
      <c r="T3357" s="77">
        <v>0</v>
      </c>
      <c r="U3357" s="77">
        <v>0</v>
      </c>
      <c r="V3357" s="77">
        <v>55</v>
      </c>
      <c r="W3357" s="82" t="s">
        <v>6740</v>
      </c>
      <c r="X3357" s="77"/>
      <c r="Y3357" s="77"/>
      <c r="Z3357" s="77"/>
      <c r="AA3357" s="77" t="s">
        <v>9682</v>
      </c>
      <c r="AB3357" s="77" t="s">
        <v>10130</v>
      </c>
      <c r="AC3357" s="82" t="s">
        <v>10147</v>
      </c>
      <c r="AD3357" s="77" t="s">
        <v>10184</v>
      </c>
      <c r="AE3357" s="80" t="str">
        <f>HYPERLINK("https://twitter.com/imdasmilhas/status/1639318753233215489")</f>
        <v>https://twitter.com/imdasmilhas/status/1639318753233215489</v>
      </c>
      <c r="AF3357" s="79">
        <v>45009.729421296295</v>
      </c>
      <c r="AG3357" s="85">
        <v>45009</v>
      </c>
      <c r="AH3357" s="82" t="s">
        <v>13356</v>
      </c>
      <c r="AI3357" s="77" t="b">
        <v>0</v>
      </c>
      <c r="AJ3357" s="77"/>
      <c r="AK3357" s="77"/>
      <c r="AL3357" s="77"/>
      <c r="AM3357" s="77"/>
      <c r="AN3357" s="77"/>
      <c r="AO3357" s="77"/>
      <c r="AP3357" s="77"/>
      <c r="AQ3357" s="77" t="s">
        <v>16325</v>
      </c>
      <c r="AR3357" s="77"/>
      <c r="AS3357" s="77"/>
      <c r="AT3357" s="77"/>
      <c r="AU3357" s="77"/>
      <c r="AV3357" s="80" t="str">
        <f>HYPERLINK("https://pbs.twimg.com/media/FsAHt-TXwB0f73Z.jpg")</f>
        <v>https://pbs.twimg.com/media/FsAHt-TXwB0f73Z.jpg</v>
      </c>
      <c r="AW3357" s="82" t="s">
        <v>20123</v>
      </c>
      <c r="AX3357" s="82" t="s">
        <v>20123</v>
      </c>
      <c r="AY3357" s="77"/>
      <c r="AZ3357" s="82" t="s">
        <v>20971</v>
      </c>
      <c r="BA3357" s="82" t="s">
        <v>20971</v>
      </c>
      <c r="BB3357" s="82" t="s">
        <v>20971</v>
      </c>
      <c r="BC3357" s="82" t="s">
        <v>20123</v>
      </c>
      <c r="BD3357" s="82" t="s">
        <v>21597</v>
      </c>
      <c r="BE3357" s="77"/>
      <c r="BF3357" s="77"/>
      <c r="BG3357" s="77"/>
      <c r="BH3357" s="77"/>
      <c r="BI3357" s="77"/>
    </row>
    <row r="3358" spans="1:61" x14ac:dyDescent="0.25">
      <c r="A3358" s="62" t="s">
        <v>1006</v>
      </c>
      <c r="B3358" s="62" t="s">
        <v>1006</v>
      </c>
      <c r="C3358" s="63"/>
      <c r="D3358" s="64"/>
      <c r="E3358" s="65"/>
      <c r="F3358" s="66"/>
      <c r="G3358" s="63"/>
      <c r="H3358" s="67"/>
      <c r="I3358" s="68"/>
      <c r="J3358" s="68"/>
      <c r="K3358" s="32"/>
      <c r="L3358" s="75">
        <v>3358</v>
      </c>
      <c r="M3358" s="75"/>
      <c r="N3358" s="70"/>
      <c r="O3358" s="77" t="s">
        <v>179</v>
      </c>
      <c r="P3358" s="79">
        <v>45009.726747685185</v>
      </c>
      <c r="Q3358" s="77" t="s">
        <v>4564</v>
      </c>
      <c r="R3358" s="77">
        <v>0</v>
      </c>
      <c r="S3358" s="77">
        <v>0</v>
      </c>
      <c r="T3358" s="77">
        <v>0</v>
      </c>
      <c r="U3358" s="77">
        <v>0</v>
      </c>
      <c r="V3358" s="77">
        <v>51</v>
      </c>
      <c r="W3358" s="82" t="s">
        <v>6740</v>
      </c>
      <c r="X3358" s="77"/>
      <c r="Y3358" s="77"/>
      <c r="Z3358" s="77"/>
      <c r="AA3358" s="77" t="s">
        <v>9683</v>
      </c>
      <c r="AB3358" s="77" t="s">
        <v>10130</v>
      </c>
      <c r="AC3358" s="82" t="s">
        <v>10147</v>
      </c>
      <c r="AD3358" s="77" t="s">
        <v>10184</v>
      </c>
      <c r="AE3358" s="80" t="str">
        <f>HYPERLINK("https://twitter.com/imdasmilhas/status/1639317784177025024")</f>
        <v>https://twitter.com/imdasmilhas/status/1639317784177025024</v>
      </c>
      <c r="AF3358" s="79">
        <v>45009.726747685185</v>
      </c>
      <c r="AG3358" s="85">
        <v>45009</v>
      </c>
      <c r="AH3358" s="82" t="s">
        <v>13357</v>
      </c>
      <c r="AI3358" s="77" t="b">
        <v>0</v>
      </c>
      <c r="AJ3358" s="77"/>
      <c r="AK3358" s="77"/>
      <c r="AL3358" s="77"/>
      <c r="AM3358" s="77"/>
      <c r="AN3358" s="77"/>
      <c r="AO3358" s="77"/>
      <c r="AP3358" s="77"/>
      <c r="AQ3358" s="77" t="s">
        <v>16326</v>
      </c>
      <c r="AR3358" s="77"/>
      <c r="AS3358" s="77"/>
      <c r="AT3358" s="77"/>
      <c r="AU3358" s="77"/>
      <c r="AV3358" s="80" t="str">
        <f>HYPERLINK("https://pbs.twimg.com/media/FsAG1k2WwAA69yN.jpg")</f>
        <v>https://pbs.twimg.com/media/FsAG1k2WwAA69yN.jpg</v>
      </c>
      <c r="AW3358" s="82" t="s">
        <v>20124</v>
      </c>
      <c r="AX3358" s="82" t="s">
        <v>20124</v>
      </c>
      <c r="AY3358" s="77"/>
      <c r="AZ3358" s="82" t="s">
        <v>20971</v>
      </c>
      <c r="BA3358" s="82" t="s">
        <v>20971</v>
      </c>
      <c r="BB3358" s="82" t="s">
        <v>20971</v>
      </c>
      <c r="BC3358" s="82" t="s">
        <v>20124</v>
      </c>
      <c r="BD3358" s="82" t="s">
        <v>21597</v>
      </c>
      <c r="BE3358" s="77"/>
      <c r="BF3358" s="77"/>
      <c r="BG3358" s="77"/>
      <c r="BH3358" s="77"/>
      <c r="BI3358" s="77"/>
    </row>
    <row r="3359" spans="1:61" x14ac:dyDescent="0.25">
      <c r="A3359" s="62" t="s">
        <v>1006</v>
      </c>
      <c r="B3359" s="62" t="s">
        <v>1006</v>
      </c>
      <c r="C3359" s="63"/>
      <c r="D3359" s="64"/>
      <c r="E3359" s="65"/>
      <c r="F3359" s="66"/>
      <c r="G3359" s="63"/>
      <c r="H3359" s="67"/>
      <c r="I3359" s="68"/>
      <c r="J3359" s="68"/>
      <c r="K3359" s="32"/>
      <c r="L3359" s="75">
        <v>3359</v>
      </c>
      <c r="M3359" s="75"/>
      <c r="N3359" s="70"/>
      <c r="O3359" s="77" t="s">
        <v>179</v>
      </c>
      <c r="P3359" s="79">
        <v>45009.726053240738</v>
      </c>
      <c r="Q3359" s="77" t="s">
        <v>4565</v>
      </c>
      <c r="R3359" s="77">
        <v>0</v>
      </c>
      <c r="S3359" s="77">
        <v>0</v>
      </c>
      <c r="T3359" s="77">
        <v>0</v>
      </c>
      <c r="U3359" s="77">
        <v>0</v>
      </c>
      <c r="V3359" s="77">
        <v>56</v>
      </c>
      <c r="W3359" s="82" t="s">
        <v>6740</v>
      </c>
      <c r="X3359" s="77"/>
      <c r="Y3359" s="77"/>
      <c r="Z3359" s="77"/>
      <c r="AA3359" s="77" t="s">
        <v>9684</v>
      </c>
      <c r="AB3359" s="77" t="s">
        <v>10130</v>
      </c>
      <c r="AC3359" s="82" t="s">
        <v>10147</v>
      </c>
      <c r="AD3359" s="77" t="s">
        <v>10184</v>
      </c>
      <c r="AE3359" s="80" t="str">
        <f>HYPERLINK("https://twitter.com/imdasmilhas/status/1639317533374427137")</f>
        <v>https://twitter.com/imdasmilhas/status/1639317533374427137</v>
      </c>
      <c r="AF3359" s="79">
        <v>45009.726053240738</v>
      </c>
      <c r="AG3359" s="85">
        <v>45009</v>
      </c>
      <c r="AH3359" s="82" t="s">
        <v>13358</v>
      </c>
      <c r="AI3359" s="77" t="b">
        <v>0</v>
      </c>
      <c r="AJ3359" s="77"/>
      <c r="AK3359" s="77"/>
      <c r="AL3359" s="77"/>
      <c r="AM3359" s="77"/>
      <c r="AN3359" s="77"/>
      <c r="AO3359" s="77"/>
      <c r="AP3359" s="77"/>
      <c r="AQ3359" s="77" t="s">
        <v>16327</v>
      </c>
      <c r="AR3359" s="77"/>
      <c r="AS3359" s="77"/>
      <c r="AT3359" s="77"/>
      <c r="AU3359" s="77"/>
      <c r="AV3359" s="80" t="str">
        <f>HYPERLINK("https://pbs.twimg.com/media/FsAGm8aXwBEi6v-.jpg")</f>
        <v>https://pbs.twimg.com/media/FsAGm8aXwBEi6v-.jpg</v>
      </c>
      <c r="AW3359" s="82" t="s">
        <v>20125</v>
      </c>
      <c r="AX3359" s="82" t="s">
        <v>20125</v>
      </c>
      <c r="AY3359" s="77"/>
      <c r="AZ3359" s="82" t="s">
        <v>20971</v>
      </c>
      <c r="BA3359" s="82" t="s">
        <v>20971</v>
      </c>
      <c r="BB3359" s="82" t="s">
        <v>20971</v>
      </c>
      <c r="BC3359" s="82" t="s">
        <v>20125</v>
      </c>
      <c r="BD3359" s="82" t="s">
        <v>21597</v>
      </c>
      <c r="BE3359" s="77"/>
      <c r="BF3359" s="77"/>
      <c r="BG3359" s="77"/>
      <c r="BH3359" s="77"/>
      <c r="BI3359" s="77"/>
    </row>
    <row r="3360" spans="1:61" x14ac:dyDescent="0.25">
      <c r="A3360" s="62" t="s">
        <v>1006</v>
      </c>
      <c r="B3360" s="62" t="s">
        <v>1006</v>
      </c>
      <c r="C3360" s="63"/>
      <c r="D3360" s="64"/>
      <c r="E3360" s="65"/>
      <c r="F3360" s="66"/>
      <c r="G3360" s="63"/>
      <c r="H3360" s="67"/>
      <c r="I3360" s="68"/>
      <c r="J3360" s="68"/>
      <c r="K3360" s="32"/>
      <c r="L3360" s="75">
        <v>3360</v>
      </c>
      <c r="M3360" s="75"/>
      <c r="N3360" s="70"/>
      <c r="O3360" s="77" t="s">
        <v>179</v>
      </c>
      <c r="P3360" s="79">
        <v>45127.757465277777</v>
      </c>
      <c r="Q3360" s="77" t="s">
        <v>4566</v>
      </c>
      <c r="R3360" s="77">
        <v>0</v>
      </c>
      <c r="S3360" s="77">
        <v>0</v>
      </c>
      <c r="T3360" s="77">
        <v>0</v>
      </c>
      <c r="U3360" s="77">
        <v>0</v>
      </c>
      <c r="V3360" s="77">
        <v>261</v>
      </c>
      <c r="W3360" s="82" t="s">
        <v>6740</v>
      </c>
      <c r="X3360" s="77"/>
      <c r="Y3360" s="77"/>
      <c r="Z3360" s="77"/>
      <c r="AA3360" s="77" t="s">
        <v>9685</v>
      </c>
      <c r="AB3360" s="77" t="s">
        <v>10130</v>
      </c>
      <c r="AC3360" s="82" t="s">
        <v>10147</v>
      </c>
      <c r="AD3360" s="77" t="s">
        <v>10184</v>
      </c>
      <c r="AE3360" s="80" t="str">
        <f>HYPERLINK("https://twitter.com/imdasmilhas/status/1682090684142985222")</f>
        <v>https://twitter.com/imdasmilhas/status/1682090684142985222</v>
      </c>
      <c r="AF3360" s="79">
        <v>45127.757465277777</v>
      </c>
      <c r="AG3360" s="85">
        <v>45127</v>
      </c>
      <c r="AH3360" s="82" t="s">
        <v>13359</v>
      </c>
      <c r="AI3360" s="77" t="b">
        <v>0</v>
      </c>
      <c r="AJ3360" s="77"/>
      <c r="AK3360" s="77"/>
      <c r="AL3360" s="77"/>
      <c r="AM3360" s="77"/>
      <c r="AN3360" s="77"/>
      <c r="AO3360" s="77"/>
      <c r="AP3360" s="77"/>
      <c r="AQ3360" s="77" t="s">
        <v>16328</v>
      </c>
      <c r="AR3360" s="77"/>
      <c r="AS3360" s="77"/>
      <c r="AT3360" s="77"/>
      <c r="AU3360" s="77"/>
      <c r="AV3360" s="80" t="str">
        <f>HYPERLINK("https://pbs.twimg.com/media/F1f8j_qWIBAHvTt.jpg")</f>
        <v>https://pbs.twimg.com/media/F1f8j_qWIBAHvTt.jpg</v>
      </c>
      <c r="AW3360" s="82" t="s">
        <v>20126</v>
      </c>
      <c r="AX3360" s="82" t="s">
        <v>20126</v>
      </c>
      <c r="AY3360" s="77"/>
      <c r="AZ3360" s="82" t="s">
        <v>20971</v>
      </c>
      <c r="BA3360" s="82" t="s">
        <v>20971</v>
      </c>
      <c r="BB3360" s="82" t="s">
        <v>20971</v>
      </c>
      <c r="BC3360" s="82" t="s">
        <v>20126</v>
      </c>
      <c r="BD3360" s="82" t="s">
        <v>21597</v>
      </c>
      <c r="BE3360" s="77"/>
      <c r="BF3360" s="77"/>
      <c r="BG3360" s="77"/>
      <c r="BH3360" s="77"/>
      <c r="BI3360" s="77"/>
    </row>
    <row r="3361" spans="1:61" x14ac:dyDescent="0.25">
      <c r="A3361" s="62" t="s">
        <v>1006</v>
      </c>
      <c r="B3361" s="62" t="s">
        <v>1006</v>
      </c>
      <c r="C3361" s="63"/>
      <c r="D3361" s="64"/>
      <c r="E3361" s="65"/>
      <c r="F3361" s="66"/>
      <c r="G3361" s="63"/>
      <c r="H3361" s="67"/>
      <c r="I3361" s="68"/>
      <c r="J3361" s="68"/>
      <c r="K3361" s="32"/>
      <c r="L3361" s="75">
        <v>3361</v>
      </c>
      <c r="M3361" s="75"/>
      <c r="N3361" s="70"/>
      <c r="O3361" s="77" t="s">
        <v>179</v>
      </c>
      <c r="P3361" s="79">
        <v>45127.757187499999</v>
      </c>
      <c r="Q3361" s="77" t="s">
        <v>4567</v>
      </c>
      <c r="R3361" s="77">
        <v>0</v>
      </c>
      <c r="S3361" s="77">
        <v>0</v>
      </c>
      <c r="T3361" s="77">
        <v>0</v>
      </c>
      <c r="U3361" s="77">
        <v>0</v>
      </c>
      <c r="V3361" s="77">
        <v>252</v>
      </c>
      <c r="W3361" s="82" t="s">
        <v>6740</v>
      </c>
      <c r="X3361" s="77"/>
      <c r="Y3361" s="77"/>
      <c r="Z3361" s="77"/>
      <c r="AA3361" s="77" t="s">
        <v>9686</v>
      </c>
      <c r="AB3361" s="77" t="s">
        <v>10130</v>
      </c>
      <c r="AC3361" s="82" t="s">
        <v>10147</v>
      </c>
      <c r="AD3361" s="77" t="s">
        <v>10184</v>
      </c>
      <c r="AE3361" s="80" t="str">
        <f>HYPERLINK("https://twitter.com/imdasmilhas/status/1682090584452767751")</f>
        <v>https://twitter.com/imdasmilhas/status/1682090584452767751</v>
      </c>
      <c r="AF3361" s="79">
        <v>45127.757187499999</v>
      </c>
      <c r="AG3361" s="85">
        <v>45127</v>
      </c>
      <c r="AH3361" s="82" t="s">
        <v>13360</v>
      </c>
      <c r="AI3361" s="77" t="b">
        <v>0</v>
      </c>
      <c r="AJ3361" s="77"/>
      <c r="AK3361" s="77"/>
      <c r="AL3361" s="77"/>
      <c r="AM3361" s="77"/>
      <c r="AN3361" s="77"/>
      <c r="AO3361" s="77"/>
      <c r="AP3361" s="77"/>
      <c r="AQ3361" s="77" t="s">
        <v>16329</v>
      </c>
      <c r="AR3361" s="77"/>
      <c r="AS3361" s="77"/>
      <c r="AT3361" s="77"/>
      <c r="AU3361" s="77"/>
      <c r="AV3361" s="80" t="str">
        <f>HYPERLINK("https://pbs.twimg.com/media/F1f8eOHWcAAW7-l.jpg")</f>
        <v>https://pbs.twimg.com/media/F1f8eOHWcAAW7-l.jpg</v>
      </c>
      <c r="AW3361" s="82" t="s">
        <v>20127</v>
      </c>
      <c r="AX3361" s="82" t="s">
        <v>20127</v>
      </c>
      <c r="AY3361" s="77"/>
      <c r="AZ3361" s="82" t="s">
        <v>20971</v>
      </c>
      <c r="BA3361" s="82" t="s">
        <v>20971</v>
      </c>
      <c r="BB3361" s="82" t="s">
        <v>20971</v>
      </c>
      <c r="BC3361" s="82" t="s">
        <v>20127</v>
      </c>
      <c r="BD3361" s="82" t="s">
        <v>21597</v>
      </c>
      <c r="BE3361" s="77"/>
      <c r="BF3361" s="77"/>
      <c r="BG3361" s="77"/>
      <c r="BH3361" s="77"/>
      <c r="BI3361" s="77"/>
    </row>
    <row r="3362" spans="1:61" x14ac:dyDescent="0.25">
      <c r="A3362" s="62" t="s">
        <v>1006</v>
      </c>
      <c r="B3362" s="62" t="s">
        <v>1006</v>
      </c>
      <c r="C3362" s="63"/>
      <c r="D3362" s="64"/>
      <c r="E3362" s="65"/>
      <c r="F3362" s="66"/>
      <c r="G3362" s="63"/>
      <c r="H3362" s="67"/>
      <c r="I3362" s="68"/>
      <c r="J3362" s="68"/>
      <c r="K3362" s="32"/>
      <c r="L3362" s="75">
        <v>3362</v>
      </c>
      <c r="M3362" s="75"/>
      <c r="N3362" s="70"/>
      <c r="O3362" s="77" t="s">
        <v>179</v>
      </c>
      <c r="P3362" s="79">
        <v>45127.756793981483</v>
      </c>
      <c r="Q3362" s="77" t="s">
        <v>4568</v>
      </c>
      <c r="R3362" s="77">
        <v>0</v>
      </c>
      <c r="S3362" s="77">
        <v>0</v>
      </c>
      <c r="T3362" s="77">
        <v>0</v>
      </c>
      <c r="U3362" s="77">
        <v>0</v>
      </c>
      <c r="V3362" s="77">
        <v>123</v>
      </c>
      <c r="W3362" s="82" t="s">
        <v>6740</v>
      </c>
      <c r="X3362" s="77"/>
      <c r="Y3362" s="77"/>
      <c r="Z3362" s="77"/>
      <c r="AA3362" s="77" t="s">
        <v>9687</v>
      </c>
      <c r="AB3362" s="77" t="s">
        <v>10130</v>
      </c>
      <c r="AC3362" s="82" t="s">
        <v>10147</v>
      </c>
      <c r="AD3362" s="77" t="s">
        <v>10184</v>
      </c>
      <c r="AE3362" s="80" t="str">
        <f>HYPERLINK("https://twitter.com/imdasmilhas/status/1682090442773463041")</f>
        <v>https://twitter.com/imdasmilhas/status/1682090442773463041</v>
      </c>
      <c r="AF3362" s="79">
        <v>45127.756793981483</v>
      </c>
      <c r="AG3362" s="85">
        <v>45127</v>
      </c>
      <c r="AH3362" s="82" t="s">
        <v>13361</v>
      </c>
      <c r="AI3362" s="77" t="b">
        <v>0</v>
      </c>
      <c r="AJ3362" s="77"/>
      <c r="AK3362" s="77"/>
      <c r="AL3362" s="77"/>
      <c r="AM3362" s="77"/>
      <c r="AN3362" s="77"/>
      <c r="AO3362" s="77"/>
      <c r="AP3362" s="77"/>
      <c r="AQ3362" s="77" t="s">
        <v>16330</v>
      </c>
      <c r="AR3362" s="77"/>
      <c r="AS3362" s="77"/>
      <c r="AT3362" s="77"/>
      <c r="AU3362" s="77"/>
      <c r="AV3362" s="80" t="str">
        <f>HYPERLINK("https://pbs.twimg.com/media/F1f8V-vXsAAOADH.jpg")</f>
        <v>https://pbs.twimg.com/media/F1f8V-vXsAAOADH.jpg</v>
      </c>
      <c r="AW3362" s="82" t="s">
        <v>20128</v>
      </c>
      <c r="AX3362" s="82" t="s">
        <v>20128</v>
      </c>
      <c r="AY3362" s="77"/>
      <c r="AZ3362" s="82" t="s">
        <v>20971</v>
      </c>
      <c r="BA3362" s="82" t="s">
        <v>20971</v>
      </c>
      <c r="BB3362" s="82" t="s">
        <v>20971</v>
      </c>
      <c r="BC3362" s="82" t="s">
        <v>20128</v>
      </c>
      <c r="BD3362" s="82" t="s">
        <v>21597</v>
      </c>
      <c r="BE3362" s="77"/>
      <c r="BF3362" s="77"/>
      <c r="BG3362" s="77"/>
      <c r="BH3362" s="77"/>
      <c r="BI3362" s="77"/>
    </row>
    <row r="3363" spans="1:61" x14ac:dyDescent="0.25">
      <c r="A3363" s="62" t="s">
        <v>1006</v>
      </c>
      <c r="B3363" s="62" t="s">
        <v>1006</v>
      </c>
      <c r="C3363" s="63"/>
      <c r="D3363" s="64"/>
      <c r="E3363" s="65"/>
      <c r="F3363" s="66"/>
      <c r="G3363" s="63"/>
      <c r="H3363" s="67"/>
      <c r="I3363" s="68"/>
      <c r="J3363" s="68"/>
      <c r="K3363" s="32"/>
      <c r="L3363" s="75">
        <v>3363</v>
      </c>
      <c r="M3363" s="75"/>
      <c r="N3363" s="70"/>
      <c r="O3363" s="77" t="s">
        <v>179</v>
      </c>
      <c r="P3363" s="79">
        <v>45107.64980324074</v>
      </c>
      <c r="Q3363" s="77" t="s">
        <v>4569</v>
      </c>
      <c r="R3363" s="77">
        <v>0</v>
      </c>
      <c r="S3363" s="77">
        <v>0</v>
      </c>
      <c r="T3363" s="77">
        <v>0</v>
      </c>
      <c r="U3363" s="77">
        <v>0</v>
      </c>
      <c r="V3363" s="77">
        <v>76</v>
      </c>
      <c r="W3363" s="82" t="s">
        <v>6740</v>
      </c>
      <c r="X3363" s="77"/>
      <c r="Y3363" s="77"/>
      <c r="Z3363" s="77"/>
      <c r="AA3363" s="77" t="s">
        <v>9688</v>
      </c>
      <c r="AB3363" s="77" t="s">
        <v>10130</v>
      </c>
      <c r="AC3363" s="82" t="s">
        <v>10147</v>
      </c>
      <c r="AD3363" s="77" t="s">
        <v>10184</v>
      </c>
      <c r="AE3363" s="80" t="str">
        <f>HYPERLINK("https://twitter.com/imdasmilhas/status/1674803909381046272")</f>
        <v>https://twitter.com/imdasmilhas/status/1674803909381046272</v>
      </c>
      <c r="AF3363" s="79">
        <v>45107.64980324074</v>
      </c>
      <c r="AG3363" s="85">
        <v>45107</v>
      </c>
      <c r="AH3363" s="82" t="s">
        <v>13362</v>
      </c>
      <c r="AI3363" s="77" t="b">
        <v>0</v>
      </c>
      <c r="AJ3363" s="77"/>
      <c r="AK3363" s="77"/>
      <c r="AL3363" s="77"/>
      <c r="AM3363" s="77"/>
      <c r="AN3363" s="77"/>
      <c r="AO3363" s="77"/>
      <c r="AP3363" s="77"/>
      <c r="AQ3363" s="77" t="s">
        <v>16331</v>
      </c>
      <c r="AR3363" s="77"/>
      <c r="AS3363" s="77"/>
      <c r="AT3363" s="77"/>
      <c r="AU3363" s="77"/>
      <c r="AV3363" s="80" t="str">
        <f>HYPERLINK("https://pbs.twimg.com/media/Fz4ZR4CXwAADJ0l.jpg")</f>
        <v>https://pbs.twimg.com/media/Fz4ZR4CXwAADJ0l.jpg</v>
      </c>
      <c r="AW3363" s="82" t="s">
        <v>20129</v>
      </c>
      <c r="AX3363" s="82" t="s">
        <v>20129</v>
      </c>
      <c r="AY3363" s="77"/>
      <c r="AZ3363" s="82" t="s">
        <v>20971</v>
      </c>
      <c r="BA3363" s="82" t="s">
        <v>20971</v>
      </c>
      <c r="BB3363" s="82" t="s">
        <v>20971</v>
      </c>
      <c r="BC3363" s="82" t="s">
        <v>20129</v>
      </c>
      <c r="BD3363" s="82" t="s">
        <v>21597</v>
      </c>
      <c r="BE3363" s="77"/>
      <c r="BF3363" s="77"/>
      <c r="BG3363" s="77"/>
      <c r="BH3363" s="77"/>
      <c r="BI3363" s="77"/>
    </row>
    <row r="3364" spans="1:61" x14ac:dyDescent="0.25">
      <c r="A3364" s="62" t="s">
        <v>1006</v>
      </c>
      <c r="B3364" s="62" t="s">
        <v>1006</v>
      </c>
      <c r="C3364" s="63"/>
      <c r="D3364" s="64"/>
      <c r="E3364" s="65"/>
      <c r="F3364" s="66"/>
      <c r="G3364" s="63"/>
      <c r="H3364" s="67"/>
      <c r="I3364" s="68"/>
      <c r="J3364" s="68"/>
      <c r="K3364" s="32"/>
      <c r="L3364" s="75">
        <v>3364</v>
      </c>
      <c r="M3364" s="75"/>
      <c r="N3364" s="70"/>
      <c r="O3364" s="77" t="s">
        <v>179</v>
      </c>
      <c r="P3364" s="79">
        <v>45107.64949074074</v>
      </c>
      <c r="Q3364" s="77" t="s">
        <v>4570</v>
      </c>
      <c r="R3364" s="77">
        <v>0</v>
      </c>
      <c r="S3364" s="77">
        <v>0</v>
      </c>
      <c r="T3364" s="77">
        <v>0</v>
      </c>
      <c r="U3364" s="77">
        <v>0</v>
      </c>
      <c r="V3364" s="77">
        <v>77</v>
      </c>
      <c r="W3364" s="82" t="s">
        <v>6740</v>
      </c>
      <c r="X3364" s="77"/>
      <c r="Y3364" s="77"/>
      <c r="Z3364" s="77"/>
      <c r="AA3364" s="77" t="s">
        <v>9689</v>
      </c>
      <c r="AB3364" s="77" t="s">
        <v>10130</v>
      </c>
      <c r="AC3364" s="82" t="s">
        <v>10147</v>
      </c>
      <c r="AD3364" s="77" t="s">
        <v>10184</v>
      </c>
      <c r="AE3364" s="80" t="str">
        <f>HYPERLINK("https://twitter.com/imdasmilhas/status/1674803797120499712")</f>
        <v>https://twitter.com/imdasmilhas/status/1674803797120499712</v>
      </c>
      <c r="AF3364" s="79">
        <v>45107.64949074074</v>
      </c>
      <c r="AG3364" s="85">
        <v>45107</v>
      </c>
      <c r="AH3364" s="82" t="s">
        <v>12062</v>
      </c>
      <c r="AI3364" s="77" t="b">
        <v>0</v>
      </c>
      <c r="AJ3364" s="77"/>
      <c r="AK3364" s="77"/>
      <c r="AL3364" s="77"/>
      <c r="AM3364" s="77"/>
      <c r="AN3364" s="77"/>
      <c r="AO3364" s="77"/>
      <c r="AP3364" s="77"/>
      <c r="AQ3364" s="77" t="s">
        <v>16332</v>
      </c>
      <c r="AR3364" s="77"/>
      <c r="AS3364" s="77"/>
      <c r="AT3364" s="77"/>
      <c r="AU3364" s="77"/>
      <c r="AV3364" s="80" t="str">
        <f>HYPERLINK("https://pbs.twimg.com/media/Fz4ZLWUWYAEy9BD.jpg")</f>
        <v>https://pbs.twimg.com/media/Fz4ZLWUWYAEy9BD.jpg</v>
      </c>
      <c r="AW3364" s="82" t="s">
        <v>20130</v>
      </c>
      <c r="AX3364" s="82" t="s">
        <v>20130</v>
      </c>
      <c r="AY3364" s="77"/>
      <c r="AZ3364" s="82" t="s">
        <v>20971</v>
      </c>
      <c r="BA3364" s="82" t="s">
        <v>20971</v>
      </c>
      <c r="BB3364" s="82" t="s">
        <v>20971</v>
      </c>
      <c r="BC3364" s="82" t="s">
        <v>20130</v>
      </c>
      <c r="BD3364" s="82" t="s">
        <v>21597</v>
      </c>
      <c r="BE3364" s="77"/>
      <c r="BF3364" s="77"/>
      <c r="BG3364" s="77"/>
      <c r="BH3364" s="77"/>
      <c r="BI3364" s="77"/>
    </row>
    <row r="3365" spans="1:61" x14ac:dyDescent="0.25">
      <c r="A3365" s="62" t="s">
        <v>1006</v>
      </c>
      <c r="B3365" s="62" t="s">
        <v>1006</v>
      </c>
      <c r="C3365" s="63"/>
      <c r="D3365" s="64"/>
      <c r="E3365" s="65"/>
      <c r="F3365" s="66"/>
      <c r="G3365" s="63"/>
      <c r="H3365" s="67"/>
      <c r="I3365" s="68"/>
      <c r="J3365" s="68"/>
      <c r="K3365" s="32"/>
      <c r="L3365" s="75">
        <v>3365</v>
      </c>
      <c r="M3365" s="75"/>
      <c r="N3365" s="70"/>
      <c r="O3365" s="77" t="s">
        <v>179</v>
      </c>
      <c r="P3365" s="79">
        <v>45107.649062500001</v>
      </c>
      <c r="Q3365" s="77" t="s">
        <v>4571</v>
      </c>
      <c r="R3365" s="77">
        <v>0</v>
      </c>
      <c r="S3365" s="77">
        <v>0</v>
      </c>
      <c r="T3365" s="77">
        <v>0</v>
      </c>
      <c r="U3365" s="77">
        <v>0</v>
      </c>
      <c r="V3365" s="77">
        <v>82</v>
      </c>
      <c r="W3365" s="82" t="s">
        <v>6740</v>
      </c>
      <c r="X3365" s="77"/>
      <c r="Y3365" s="77"/>
      <c r="Z3365" s="77"/>
      <c r="AA3365" s="77" t="s">
        <v>9690</v>
      </c>
      <c r="AB3365" s="77" t="s">
        <v>10130</v>
      </c>
      <c r="AC3365" s="82" t="s">
        <v>10147</v>
      </c>
      <c r="AD3365" s="77" t="s">
        <v>10184</v>
      </c>
      <c r="AE3365" s="80" t="str">
        <f>HYPERLINK("https://twitter.com/imdasmilhas/status/1674803643969679361")</f>
        <v>https://twitter.com/imdasmilhas/status/1674803643969679361</v>
      </c>
      <c r="AF3365" s="79">
        <v>45107.649062500001</v>
      </c>
      <c r="AG3365" s="85">
        <v>45107</v>
      </c>
      <c r="AH3365" s="82" t="s">
        <v>13363</v>
      </c>
      <c r="AI3365" s="77" t="b">
        <v>0</v>
      </c>
      <c r="AJ3365" s="77"/>
      <c r="AK3365" s="77"/>
      <c r="AL3365" s="77"/>
      <c r="AM3365" s="77"/>
      <c r="AN3365" s="77"/>
      <c r="AO3365" s="77"/>
      <c r="AP3365" s="77"/>
      <c r="AQ3365" s="77" t="s">
        <v>16333</v>
      </c>
      <c r="AR3365" s="77"/>
      <c r="AS3365" s="77"/>
      <c r="AT3365" s="77"/>
      <c r="AU3365" s="77"/>
      <c r="AV3365" s="80" t="str">
        <f>HYPERLINK("https://pbs.twimg.com/media/Fz4ZCagXsAER2Nv.jpg")</f>
        <v>https://pbs.twimg.com/media/Fz4ZCagXsAER2Nv.jpg</v>
      </c>
      <c r="AW3365" s="82" t="s">
        <v>20131</v>
      </c>
      <c r="AX3365" s="82" t="s">
        <v>20131</v>
      </c>
      <c r="AY3365" s="77"/>
      <c r="AZ3365" s="82" t="s">
        <v>20971</v>
      </c>
      <c r="BA3365" s="82" t="s">
        <v>20971</v>
      </c>
      <c r="BB3365" s="82" t="s">
        <v>20971</v>
      </c>
      <c r="BC3365" s="82" t="s">
        <v>20131</v>
      </c>
      <c r="BD3365" s="82" t="s">
        <v>21597</v>
      </c>
      <c r="BE3365" s="77"/>
      <c r="BF3365" s="77"/>
      <c r="BG3365" s="77"/>
      <c r="BH3365" s="77"/>
      <c r="BI3365" s="77"/>
    </row>
    <row r="3366" spans="1:61" x14ac:dyDescent="0.25">
      <c r="A3366" s="62" t="s">
        <v>1006</v>
      </c>
      <c r="B3366" s="62" t="s">
        <v>1006</v>
      </c>
      <c r="C3366" s="63"/>
      <c r="D3366" s="64"/>
      <c r="E3366" s="65"/>
      <c r="F3366" s="66"/>
      <c r="G3366" s="63"/>
      <c r="H3366" s="67"/>
      <c r="I3366" s="68"/>
      <c r="J3366" s="68"/>
      <c r="K3366" s="32"/>
      <c r="L3366" s="75">
        <v>3366</v>
      </c>
      <c r="M3366" s="75"/>
      <c r="N3366" s="70"/>
      <c r="O3366" s="77" t="s">
        <v>179</v>
      </c>
      <c r="P3366" s="79">
        <v>45107.648611111108</v>
      </c>
      <c r="Q3366" s="77" t="s">
        <v>4572</v>
      </c>
      <c r="R3366" s="77">
        <v>0</v>
      </c>
      <c r="S3366" s="77">
        <v>0</v>
      </c>
      <c r="T3366" s="77">
        <v>0</v>
      </c>
      <c r="U3366" s="77">
        <v>0</v>
      </c>
      <c r="V3366" s="77">
        <v>134</v>
      </c>
      <c r="W3366" s="82" t="s">
        <v>6740</v>
      </c>
      <c r="X3366" s="77"/>
      <c r="Y3366" s="77"/>
      <c r="Z3366" s="77"/>
      <c r="AA3366" s="77" t="s">
        <v>9691</v>
      </c>
      <c r="AB3366" s="77" t="s">
        <v>10130</v>
      </c>
      <c r="AC3366" s="82" t="s">
        <v>10147</v>
      </c>
      <c r="AD3366" s="77" t="s">
        <v>10184</v>
      </c>
      <c r="AE3366" s="80" t="str">
        <f>HYPERLINK("https://twitter.com/imdasmilhas/status/1674803479469064193")</f>
        <v>https://twitter.com/imdasmilhas/status/1674803479469064193</v>
      </c>
      <c r="AF3366" s="79">
        <v>45107.648611111108</v>
      </c>
      <c r="AG3366" s="85">
        <v>45107</v>
      </c>
      <c r="AH3366" s="82" t="s">
        <v>13364</v>
      </c>
      <c r="AI3366" s="77" t="b">
        <v>0</v>
      </c>
      <c r="AJ3366" s="77"/>
      <c r="AK3366" s="77"/>
      <c r="AL3366" s="77"/>
      <c r="AM3366" s="77"/>
      <c r="AN3366" s="77"/>
      <c r="AO3366" s="77"/>
      <c r="AP3366" s="77"/>
      <c r="AQ3366" s="77" t="s">
        <v>16334</v>
      </c>
      <c r="AR3366" s="77"/>
      <c r="AS3366" s="77"/>
      <c r="AT3366" s="77"/>
      <c r="AU3366" s="77"/>
      <c r="AV3366" s="80" t="str">
        <f>HYPERLINK("https://pbs.twimg.com/media/Fz4Y41UWAAIc6DW.jpg")</f>
        <v>https://pbs.twimg.com/media/Fz4Y41UWAAIc6DW.jpg</v>
      </c>
      <c r="AW3366" s="82" t="s">
        <v>20132</v>
      </c>
      <c r="AX3366" s="82" t="s">
        <v>20132</v>
      </c>
      <c r="AY3366" s="77"/>
      <c r="AZ3366" s="82" t="s">
        <v>20971</v>
      </c>
      <c r="BA3366" s="82" t="s">
        <v>20971</v>
      </c>
      <c r="BB3366" s="82" t="s">
        <v>20971</v>
      </c>
      <c r="BC3366" s="82" t="s">
        <v>20132</v>
      </c>
      <c r="BD3366" s="82" t="s">
        <v>21597</v>
      </c>
      <c r="BE3366" s="77"/>
      <c r="BF3366" s="77"/>
      <c r="BG3366" s="77"/>
      <c r="BH3366" s="77"/>
      <c r="BI3366" s="77"/>
    </row>
    <row r="3367" spans="1:61" x14ac:dyDescent="0.25">
      <c r="A3367" s="62" t="s">
        <v>1006</v>
      </c>
      <c r="B3367" s="62" t="s">
        <v>1006</v>
      </c>
      <c r="C3367" s="63"/>
      <c r="D3367" s="64"/>
      <c r="E3367" s="65"/>
      <c r="F3367" s="66"/>
      <c r="G3367" s="63"/>
      <c r="H3367" s="67"/>
      <c r="I3367" s="68"/>
      <c r="J3367" s="68"/>
      <c r="K3367" s="32"/>
      <c r="L3367" s="75">
        <v>3367</v>
      </c>
      <c r="M3367" s="75"/>
      <c r="N3367" s="70"/>
      <c r="O3367" s="77" t="s">
        <v>179</v>
      </c>
      <c r="P3367" s="79">
        <v>45100.68472222222</v>
      </c>
      <c r="Q3367" s="77" t="s">
        <v>4573</v>
      </c>
      <c r="R3367" s="77">
        <v>0</v>
      </c>
      <c r="S3367" s="77">
        <v>0</v>
      </c>
      <c r="T3367" s="77">
        <v>0</v>
      </c>
      <c r="U3367" s="77">
        <v>0</v>
      </c>
      <c r="V3367" s="77">
        <v>109</v>
      </c>
      <c r="W3367" s="82" t="s">
        <v>6740</v>
      </c>
      <c r="X3367" s="77"/>
      <c r="Y3367" s="77"/>
      <c r="Z3367" s="77"/>
      <c r="AA3367" s="77" t="s">
        <v>9692</v>
      </c>
      <c r="AB3367" s="77" t="s">
        <v>10130</v>
      </c>
      <c r="AC3367" s="82" t="s">
        <v>10147</v>
      </c>
      <c r="AD3367" s="77" t="s">
        <v>10184</v>
      </c>
      <c r="AE3367" s="80" t="str">
        <f>HYPERLINK("https://twitter.com/imdasmilhas/status/1672279849489117188")</f>
        <v>https://twitter.com/imdasmilhas/status/1672279849489117188</v>
      </c>
      <c r="AF3367" s="79">
        <v>45100.68472222222</v>
      </c>
      <c r="AG3367" s="85">
        <v>45100</v>
      </c>
      <c r="AH3367" s="82" t="s">
        <v>13365</v>
      </c>
      <c r="AI3367" s="77" t="b">
        <v>0</v>
      </c>
      <c r="AJ3367" s="77"/>
      <c r="AK3367" s="77"/>
      <c r="AL3367" s="77"/>
      <c r="AM3367" s="77"/>
      <c r="AN3367" s="77"/>
      <c r="AO3367" s="77"/>
      <c r="AP3367" s="77"/>
      <c r="AQ3367" s="77" t="s">
        <v>16335</v>
      </c>
      <c r="AR3367" s="77"/>
      <c r="AS3367" s="77"/>
      <c r="AT3367" s="77"/>
      <c r="AU3367" s="77"/>
      <c r="AV3367" s="80" t="str">
        <f>HYPERLINK("https://pbs.twimg.com/media/FzUhqR6WAAAvoI6.jpg")</f>
        <v>https://pbs.twimg.com/media/FzUhqR6WAAAvoI6.jpg</v>
      </c>
      <c r="AW3367" s="82" t="s">
        <v>20133</v>
      </c>
      <c r="AX3367" s="82" t="s">
        <v>20133</v>
      </c>
      <c r="AY3367" s="77"/>
      <c r="AZ3367" s="82" t="s">
        <v>20971</v>
      </c>
      <c r="BA3367" s="82" t="s">
        <v>20971</v>
      </c>
      <c r="BB3367" s="82" t="s">
        <v>20971</v>
      </c>
      <c r="BC3367" s="82" t="s">
        <v>20133</v>
      </c>
      <c r="BD3367" s="82" t="s">
        <v>21597</v>
      </c>
      <c r="BE3367" s="77"/>
      <c r="BF3367" s="77"/>
      <c r="BG3367" s="77"/>
      <c r="BH3367" s="77"/>
      <c r="BI3367" s="77"/>
    </row>
    <row r="3368" spans="1:61" x14ac:dyDescent="0.25">
      <c r="A3368" s="62" t="s">
        <v>1006</v>
      </c>
      <c r="B3368" s="62" t="s">
        <v>1006</v>
      </c>
      <c r="C3368" s="63"/>
      <c r="D3368" s="64"/>
      <c r="E3368" s="65"/>
      <c r="F3368" s="66"/>
      <c r="G3368" s="63"/>
      <c r="H3368" s="67"/>
      <c r="I3368" s="68"/>
      <c r="J3368" s="68"/>
      <c r="K3368" s="32"/>
      <c r="L3368" s="75">
        <v>3368</v>
      </c>
      <c r="M3368" s="75"/>
      <c r="N3368" s="70"/>
      <c r="O3368" s="77" t="s">
        <v>179</v>
      </c>
      <c r="P3368" s="79">
        <v>45100.684328703705</v>
      </c>
      <c r="Q3368" s="77" t="s">
        <v>4574</v>
      </c>
      <c r="R3368" s="77">
        <v>0</v>
      </c>
      <c r="S3368" s="77">
        <v>0</v>
      </c>
      <c r="T3368" s="77">
        <v>0</v>
      </c>
      <c r="U3368" s="77">
        <v>0</v>
      </c>
      <c r="V3368" s="77">
        <v>87</v>
      </c>
      <c r="W3368" s="82" t="s">
        <v>6741</v>
      </c>
      <c r="X3368" s="80" t="str">
        <f>HYPERLINK("http://Hoteis.com")</f>
        <v>http://Hoteis.com</v>
      </c>
      <c r="Y3368" s="77" t="s">
        <v>7455</v>
      </c>
      <c r="Z3368" s="77"/>
      <c r="AA3368" s="77" t="s">
        <v>9693</v>
      </c>
      <c r="AB3368" s="77" t="s">
        <v>10130</v>
      </c>
      <c r="AC3368" s="82" t="s">
        <v>10147</v>
      </c>
      <c r="AD3368" s="77" t="s">
        <v>10184</v>
      </c>
      <c r="AE3368" s="80" t="str">
        <f>HYPERLINK("https://twitter.com/imdasmilhas/status/1672279706425516032")</f>
        <v>https://twitter.com/imdasmilhas/status/1672279706425516032</v>
      </c>
      <c r="AF3368" s="79">
        <v>45100.684328703705</v>
      </c>
      <c r="AG3368" s="85">
        <v>45100</v>
      </c>
      <c r="AH3368" s="82" t="s">
        <v>13366</v>
      </c>
      <c r="AI3368" s="77" t="b">
        <v>0</v>
      </c>
      <c r="AJ3368" s="77"/>
      <c r="AK3368" s="77"/>
      <c r="AL3368" s="77"/>
      <c r="AM3368" s="77"/>
      <c r="AN3368" s="77"/>
      <c r="AO3368" s="77"/>
      <c r="AP3368" s="77"/>
      <c r="AQ3368" s="77" t="s">
        <v>16336</v>
      </c>
      <c r="AR3368" s="77"/>
      <c r="AS3368" s="77"/>
      <c r="AT3368" s="77"/>
      <c r="AU3368" s="77"/>
      <c r="AV3368" s="80" t="str">
        <f>HYPERLINK("https://pbs.twimg.com/media/FzUhh7MXsAUxchw.jpg")</f>
        <v>https://pbs.twimg.com/media/FzUhh7MXsAUxchw.jpg</v>
      </c>
      <c r="AW3368" s="82" t="s">
        <v>20134</v>
      </c>
      <c r="AX3368" s="82" t="s">
        <v>20134</v>
      </c>
      <c r="AY3368" s="77"/>
      <c r="AZ3368" s="82" t="s">
        <v>20971</v>
      </c>
      <c r="BA3368" s="82" t="s">
        <v>20971</v>
      </c>
      <c r="BB3368" s="82" t="s">
        <v>20971</v>
      </c>
      <c r="BC3368" s="82" t="s">
        <v>20134</v>
      </c>
      <c r="BD3368" s="82" t="s">
        <v>21597</v>
      </c>
      <c r="BE3368" s="77"/>
      <c r="BF3368" s="77"/>
      <c r="BG3368" s="77"/>
      <c r="BH3368" s="77"/>
      <c r="BI3368" s="77"/>
    </row>
    <row r="3369" spans="1:61" x14ac:dyDescent="0.25">
      <c r="A3369" s="62" t="s">
        <v>1006</v>
      </c>
      <c r="B3369" s="62" t="s">
        <v>1006</v>
      </c>
      <c r="C3369" s="63"/>
      <c r="D3369" s="64"/>
      <c r="E3369" s="65"/>
      <c r="F3369" s="66"/>
      <c r="G3369" s="63"/>
      <c r="H3369" s="67"/>
      <c r="I3369" s="68"/>
      <c r="J3369" s="68"/>
      <c r="K3369" s="32"/>
      <c r="L3369" s="75">
        <v>3369</v>
      </c>
      <c r="M3369" s="75"/>
      <c r="N3369" s="70"/>
      <c r="O3369" s="77" t="s">
        <v>179</v>
      </c>
      <c r="P3369" s="79">
        <v>45100.683865740742</v>
      </c>
      <c r="Q3369" s="77" t="s">
        <v>4575</v>
      </c>
      <c r="R3369" s="77">
        <v>0</v>
      </c>
      <c r="S3369" s="77">
        <v>0</v>
      </c>
      <c r="T3369" s="77">
        <v>0</v>
      </c>
      <c r="U3369" s="77">
        <v>0</v>
      </c>
      <c r="V3369" s="77">
        <v>90</v>
      </c>
      <c r="W3369" s="82" t="s">
        <v>6740</v>
      </c>
      <c r="X3369" s="77"/>
      <c r="Y3369" s="77"/>
      <c r="Z3369" s="77"/>
      <c r="AA3369" s="77" t="s">
        <v>9694</v>
      </c>
      <c r="AB3369" s="77" t="s">
        <v>10130</v>
      </c>
      <c r="AC3369" s="82" t="s">
        <v>10147</v>
      </c>
      <c r="AD3369" s="77" t="s">
        <v>10184</v>
      </c>
      <c r="AE3369" s="80" t="str">
        <f>HYPERLINK("https://twitter.com/imdasmilhas/status/1672279538837991444")</f>
        <v>https://twitter.com/imdasmilhas/status/1672279538837991444</v>
      </c>
      <c r="AF3369" s="79">
        <v>45100.683865740742</v>
      </c>
      <c r="AG3369" s="85">
        <v>45100</v>
      </c>
      <c r="AH3369" s="82" t="s">
        <v>13367</v>
      </c>
      <c r="AI3369" s="77" t="b">
        <v>0</v>
      </c>
      <c r="AJ3369" s="77"/>
      <c r="AK3369" s="77"/>
      <c r="AL3369" s="77"/>
      <c r="AM3369" s="77"/>
      <c r="AN3369" s="77"/>
      <c r="AO3369" s="77"/>
      <c r="AP3369" s="77"/>
      <c r="AQ3369" s="77" t="s">
        <v>16337</v>
      </c>
      <c r="AR3369" s="77"/>
      <c r="AS3369" s="77"/>
      <c r="AT3369" s="77"/>
      <c r="AU3369" s="77"/>
      <c r="AV3369" s="80" t="str">
        <f>HYPERLINK("https://pbs.twimg.com/media/FzUhYOLWwAIT8fT.jpg")</f>
        <v>https://pbs.twimg.com/media/FzUhYOLWwAIT8fT.jpg</v>
      </c>
      <c r="AW3369" s="82" t="s">
        <v>20135</v>
      </c>
      <c r="AX3369" s="82" t="s">
        <v>20135</v>
      </c>
      <c r="AY3369" s="77"/>
      <c r="AZ3369" s="82" t="s">
        <v>20971</v>
      </c>
      <c r="BA3369" s="82" t="s">
        <v>20971</v>
      </c>
      <c r="BB3369" s="82" t="s">
        <v>20971</v>
      </c>
      <c r="BC3369" s="82" t="s">
        <v>20135</v>
      </c>
      <c r="BD3369" s="82" t="s">
        <v>21597</v>
      </c>
      <c r="BE3369" s="77"/>
      <c r="BF3369" s="77"/>
      <c r="BG3369" s="77"/>
      <c r="BH3369" s="77"/>
      <c r="BI3369" s="77"/>
    </row>
    <row r="3370" spans="1:61" x14ac:dyDescent="0.25">
      <c r="A3370" s="62" t="s">
        <v>1006</v>
      </c>
      <c r="B3370" s="62" t="s">
        <v>1006</v>
      </c>
      <c r="C3370" s="63"/>
      <c r="D3370" s="64"/>
      <c r="E3370" s="65"/>
      <c r="F3370" s="66"/>
      <c r="G3370" s="63"/>
      <c r="H3370" s="67"/>
      <c r="I3370" s="68"/>
      <c r="J3370" s="68"/>
      <c r="K3370" s="32"/>
      <c r="L3370" s="75">
        <v>3370</v>
      </c>
      <c r="M3370" s="75"/>
      <c r="N3370" s="70"/>
      <c r="O3370" s="77" t="s">
        <v>179</v>
      </c>
      <c r="P3370" s="79">
        <v>45100.683495370373</v>
      </c>
      <c r="Q3370" s="77" t="s">
        <v>4576</v>
      </c>
      <c r="R3370" s="77">
        <v>0</v>
      </c>
      <c r="S3370" s="77">
        <v>0</v>
      </c>
      <c r="T3370" s="77">
        <v>0</v>
      </c>
      <c r="U3370" s="77">
        <v>0</v>
      </c>
      <c r="V3370" s="77">
        <v>66</v>
      </c>
      <c r="W3370" s="82" t="s">
        <v>6740</v>
      </c>
      <c r="X3370" s="77"/>
      <c r="Y3370" s="77"/>
      <c r="Z3370" s="77"/>
      <c r="AA3370" s="77" t="s">
        <v>9695</v>
      </c>
      <c r="AB3370" s="77" t="s">
        <v>10130</v>
      </c>
      <c r="AC3370" s="82" t="s">
        <v>10147</v>
      </c>
      <c r="AD3370" s="77" t="s">
        <v>10184</v>
      </c>
      <c r="AE3370" s="80" t="str">
        <f>HYPERLINK("https://twitter.com/imdasmilhas/status/1672279407195566089")</f>
        <v>https://twitter.com/imdasmilhas/status/1672279407195566089</v>
      </c>
      <c r="AF3370" s="79">
        <v>45100.683495370373</v>
      </c>
      <c r="AG3370" s="85">
        <v>45100</v>
      </c>
      <c r="AH3370" s="82" t="s">
        <v>13368</v>
      </c>
      <c r="AI3370" s="77" t="b">
        <v>0</v>
      </c>
      <c r="AJ3370" s="77"/>
      <c r="AK3370" s="77"/>
      <c r="AL3370" s="77"/>
      <c r="AM3370" s="77"/>
      <c r="AN3370" s="77"/>
      <c r="AO3370" s="77"/>
      <c r="AP3370" s="77"/>
      <c r="AQ3370" s="77" t="s">
        <v>16338</v>
      </c>
      <c r="AR3370" s="77"/>
      <c r="AS3370" s="77"/>
      <c r="AT3370" s="77"/>
      <c r="AU3370" s="77"/>
      <c r="AV3370" s="80" t="str">
        <f>HYPERLINK("https://pbs.twimg.com/media/FzUhQiWX0AMNzRs.jpg")</f>
        <v>https://pbs.twimg.com/media/FzUhQiWX0AMNzRs.jpg</v>
      </c>
      <c r="AW3370" s="82" t="s">
        <v>20136</v>
      </c>
      <c r="AX3370" s="82" t="s">
        <v>20136</v>
      </c>
      <c r="AY3370" s="77"/>
      <c r="AZ3370" s="82" t="s">
        <v>20971</v>
      </c>
      <c r="BA3370" s="82" t="s">
        <v>20971</v>
      </c>
      <c r="BB3370" s="82" t="s">
        <v>20971</v>
      </c>
      <c r="BC3370" s="82" t="s">
        <v>20136</v>
      </c>
      <c r="BD3370" s="82" t="s">
        <v>21597</v>
      </c>
      <c r="BE3370" s="77"/>
      <c r="BF3370" s="77"/>
      <c r="BG3370" s="77"/>
      <c r="BH3370" s="77"/>
      <c r="BI3370" s="77"/>
    </row>
    <row r="3371" spans="1:61" x14ac:dyDescent="0.25">
      <c r="A3371" s="62" t="s">
        <v>1006</v>
      </c>
      <c r="B3371" s="62" t="s">
        <v>1006</v>
      </c>
      <c r="C3371" s="63"/>
      <c r="D3371" s="64"/>
      <c r="E3371" s="65"/>
      <c r="F3371" s="66"/>
      <c r="G3371" s="63"/>
      <c r="H3371" s="67"/>
      <c r="I3371" s="68"/>
      <c r="J3371" s="68"/>
      <c r="K3371" s="32"/>
      <c r="L3371" s="75">
        <v>3371</v>
      </c>
      <c r="M3371" s="75"/>
      <c r="N3371" s="70"/>
      <c r="O3371" s="77" t="s">
        <v>179</v>
      </c>
      <c r="P3371" s="79">
        <v>45099.771307870367</v>
      </c>
      <c r="Q3371" s="77" t="s">
        <v>4577</v>
      </c>
      <c r="R3371" s="77">
        <v>0</v>
      </c>
      <c r="S3371" s="77">
        <v>0</v>
      </c>
      <c r="T3371" s="77">
        <v>0</v>
      </c>
      <c r="U3371" s="77">
        <v>0</v>
      </c>
      <c r="V3371" s="77">
        <v>128</v>
      </c>
      <c r="W3371" s="82" t="s">
        <v>6741</v>
      </c>
      <c r="X3371" s="77"/>
      <c r="Y3371" s="77"/>
      <c r="Z3371" s="77"/>
      <c r="AA3371" s="77" t="s">
        <v>9696</v>
      </c>
      <c r="AB3371" s="77" t="s">
        <v>10130</v>
      </c>
      <c r="AC3371" s="82" t="s">
        <v>10147</v>
      </c>
      <c r="AD3371" s="77" t="s">
        <v>10184</v>
      </c>
      <c r="AE3371" s="80" t="str">
        <f>HYPERLINK("https://twitter.com/imdasmilhas/status/1671948838603571201")</f>
        <v>https://twitter.com/imdasmilhas/status/1671948838603571201</v>
      </c>
      <c r="AF3371" s="79">
        <v>45099.771307870367</v>
      </c>
      <c r="AG3371" s="85">
        <v>45099</v>
      </c>
      <c r="AH3371" s="82" t="s">
        <v>13369</v>
      </c>
      <c r="AI3371" s="77" t="b">
        <v>0</v>
      </c>
      <c r="AJ3371" s="77"/>
      <c r="AK3371" s="77"/>
      <c r="AL3371" s="77"/>
      <c r="AM3371" s="77"/>
      <c r="AN3371" s="77"/>
      <c r="AO3371" s="77"/>
      <c r="AP3371" s="77"/>
      <c r="AQ3371" s="77" t="s">
        <v>16339</v>
      </c>
      <c r="AR3371" s="77"/>
      <c r="AS3371" s="77"/>
      <c r="AT3371" s="77"/>
      <c r="AU3371" s="77"/>
      <c r="AV3371" s="80" t="str">
        <f>HYPERLINK("https://pbs.twimg.com/media/FzP0m6pXgAYJtEW.jpg")</f>
        <v>https://pbs.twimg.com/media/FzP0m6pXgAYJtEW.jpg</v>
      </c>
      <c r="AW3371" s="82" t="s">
        <v>20137</v>
      </c>
      <c r="AX3371" s="82" t="s">
        <v>20137</v>
      </c>
      <c r="AY3371" s="77"/>
      <c r="AZ3371" s="82" t="s">
        <v>20971</v>
      </c>
      <c r="BA3371" s="82" t="s">
        <v>20971</v>
      </c>
      <c r="BB3371" s="82" t="s">
        <v>20971</v>
      </c>
      <c r="BC3371" s="82" t="s">
        <v>20137</v>
      </c>
      <c r="BD3371" s="82" t="s">
        <v>21597</v>
      </c>
      <c r="BE3371" s="77"/>
      <c r="BF3371" s="77"/>
      <c r="BG3371" s="77"/>
      <c r="BH3371" s="77"/>
      <c r="BI3371" s="77"/>
    </row>
    <row r="3372" spans="1:61" x14ac:dyDescent="0.25">
      <c r="A3372" s="62" t="s">
        <v>1006</v>
      </c>
      <c r="B3372" s="62" t="s">
        <v>1006</v>
      </c>
      <c r="C3372" s="63"/>
      <c r="D3372" s="64"/>
      <c r="E3372" s="65"/>
      <c r="F3372" s="66"/>
      <c r="G3372" s="63"/>
      <c r="H3372" s="67"/>
      <c r="I3372" s="68"/>
      <c r="J3372" s="68"/>
      <c r="K3372" s="32"/>
      <c r="L3372" s="75">
        <v>3372</v>
      </c>
      <c r="M3372" s="75"/>
      <c r="N3372" s="70"/>
      <c r="O3372" s="77" t="s">
        <v>179</v>
      </c>
      <c r="P3372" s="79">
        <v>45099.762361111112</v>
      </c>
      <c r="Q3372" s="77" t="s">
        <v>4578</v>
      </c>
      <c r="R3372" s="77">
        <v>0</v>
      </c>
      <c r="S3372" s="77">
        <v>0</v>
      </c>
      <c r="T3372" s="77">
        <v>0</v>
      </c>
      <c r="U3372" s="77">
        <v>0</v>
      </c>
      <c r="V3372" s="77">
        <v>110</v>
      </c>
      <c r="W3372" s="82" t="s">
        <v>6741</v>
      </c>
      <c r="X3372" s="77"/>
      <c r="Y3372" s="77"/>
      <c r="Z3372" s="77"/>
      <c r="AA3372" s="77" t="s">
        <v>9697</v>
      </c>
      <c r="AB3372" s="77" t="s">
        <v>10130</v>
      </c>
      <c r="AC3372" s="82" t="s">
        <v>10147</v>
      </c>
      <c r="AD3372" s="77" t="s">
        <v>10184</v>
      </c>
      <c r="AE3372" s="80" t="str">
        <f>HYPERLINK("https://twitter.com/imdasmilhas/status/1671945598415634433")</f>
        <v>https://twitter.com/imdasmilhas/status/1671945598415634433</v>
      </c>
      <c r="AF3372" s="79">
        <v>45099.762361111112</v>
      </c>
      <c r="AG3372" s="85">
        <v>45099</v>
      </c>
      <c r="AH3372" s="82" t="s">
        <v>13370</v>
      </c>
      <c r="AI3372" s="77" t="b">
        <v>0</v>
      </c>
      <c r="AJ3372" s="77"/>
      <c r="AK3372" s="77"/>
      <c r="AL3372" s="77"/>
      <c r="AM3372" s="77"/>
      <c r="AN3372" s="77"/>
      <c r="AO3372" s="77"/>
      <c r="AP3372" s="77"/>
      <c r="AQ3372" s="77" t="s">
        <v>16340</v>
      </c>
      <c r="AR3372" s="77"/>
      <c r="AS3372" s="77"/>
      <c r="AT3372" s="77"/>
      <c r="AU3372" s="77"/>
      <c r="AV3372" s="80" t="str">
        <f>HYPERLINK("https://pbs.twimg.com/media/FzPxqQ1XgAcp80d.jpg")</f>
        <v>https://pbs.twimg.com/media/FzPxqQ1XgAcp80d.jpg</v>
      </c>
      <c r="AW3372" s="82" t="s">
        <v>20138</v>
      </c>
      <c r="AX3372" s="82" t="s">
        <v>20138</v>
      </c>
      <c r="AY3372" s="77"/>
      <c r="AZ3372" s="82" t="s">
        <v>20971</v>
      </c>
      <c r="BA3372" s="82" t="s">
        <v>20971</v>
      </c>
      <c r="BB3372" s="82" t="s">
        <v>20971</v>
      </c>
      <c r="BC3372" s="82" t="s">
        <v>20138</v>
      </c>
      <c r="BD3372" s="82" t="s">
        <v>21597</v>
      </c>
      <c r="BE3372" s="77"/>
      <c r="BF3372" s="77"/>
      <c r="BG3372" s="77"/>
      <c r="BH3372" s="77"/>
      <c r="BI3372" s="77"/>
    </row>
    <row r="3373" spans="1:61" x14ac:dyDescent="0.25">
      <c r="A3373" s="62" t="s">
        <v>1006</v>
      </c>
      <c r="B3373" s="62" t="s">
        <v>1006</v>
      </c>
      <c r="C3373" s="63"/>
      <c r="D3373" s="64"/>
      <c r="E3373" s="65"/>
      <c r="F3373" s="66"/>
      <c r="G3373" s="63"/>
      <c r="H3373" s="67"/>
      <c r="I3373" s="68"/>
      <c r="J3373" s="68"/>
      <c r="K3373" s="32"/>
      <c r="L3373" s="75">
        <v>3373</v>
      </c>
      <c r="M3373" s="75"/>
      <c r="N3373" s="70"/>
      <c r="O3373" s="77" t="s">
        <v>179</v>
      </c>
      <c r="P3373" s="79">
        <v>45099.761990740742</v>
      </c>
      <c r="Q3373" s="77" t="s">
        <v>4579</v>
      </c>
      <c r="R3373" s="77">
        <v>0</v>
      </c>
      <c r="S3373" s="77">
        <v>0</v>
      </c>
      <c r="T3373" s="77">
        <v>0</v>
      </c>
      <c r="U3373" s="77">
        <v>0</v>
      </c>
      <c r="V3373" s="77">
        <v>70</v>
      </c>
      <c r="W3373" s="82" t="s">
        <v>6740</v>
      </c>
      <c r="X3373" s="77"/>
      <c r="Y3373" s="77"/>
      <c r="Z3373" s="77"/>
      <c r="AA3373" s="77" t="s">
        <v>9698</v>
      </c>
      <c r="AB3373" s="77" t="s">
        <v>10130</v>
      </c>
      <c r="AC3373" s="82" t="s">
        <v>10147</v>
      </c>
      <c r="AD3373" s="77" t="s">
        <v>10184</v>
      </c>
      <c r="AE3373" s="80" t="str">
        <f>HYPERLINK("https://twitter.com/imdasmilhas/status/1671945464604753936")</f>
        <v>https://twitter.com/imdasmilhas/status/1671945464604753936</v>
      </c>
      <c r="AF3373" s="79">
        <v>45099.761990740742</v>
      </c>
      <c r="AG3373" s="85">
        <v>45099</v>
      </c>
      <c r="AH3373" s="82" t="s">
        <v>13371</v>
      </c>
      <c r="AI3373" s="77" t="b">
        <v>0</v>
      </c>
      <c r="AJ3373" s="77"/>
      <c r="AK3373" s="77"/>
      <c r="AL3373" s="77"/>
      <c r="AM3373" s="77"/>
      <c r="AN3373" s="77"/>
      <c r="AO3373" s="77"/>
      <c r="AP3373" s="77"/>
      <c r="AQ3373" s="77" t="s">
        <v>16341</v>
      </c>
      <c r="AR3373" s="77"/>
      <c r="AS3373" s="77"/>
      <c r="AT3373" s="77"/>
      <c r="AU3373" s="77"/>
      <c r="AV3373" s="80" t="str">
        <f>HYPERLINK("https://pbs.twimg.com/media/FzPxigwXgB8ToWC.jpg")</f>
        <v>https://pbs.twimg.com/media/FzPxigwXgB8ToWC.jpg</v>
      </c>
      <c r="AW3373" s="82" t="s">
        <v>20139</v>
      </c>
      <c r="AX3373" s="82" t="s">
        <v>20139</v>
      </c>
      <c r="AY3373" s="77"/>
      <c r="AZ3373" s="82" t="s">
        <v>20971</v>
      </c>
      <c r="BA3373" s="82" t="s">
        <v>20971</v>
      </c>
      <c r="BB3373" s="82" t="s">
        <v>20971</v>
      </c>
      <c r="BC3373" s="82" t="s">
        <v>20139</v>
      </c>
      <c r="BD3373" s="82" t="s">
        <v>21597</v>
      </c>
      <c r="BE3373" s="77"/>
      <c r="BF3373" s="77"/>
      <c r="BG3373" s="77"/>
      <c r="BH3373" s="77"/>
      <c r="BI3373" s="77"/>
    </row>
    <row r="3374" spans="1:61" x14ac:dyDescent="0.25">
      <c r="A3374" s="62" t="s">
        <v>1006</v>
      </c>
      <c r="B3374" s="62" t="s">
        <v>1006</v>
      </c>
      <c r="C3374" s="63"/>
      <c r="D3374" s="64"/>
      <c r="E3374" s="65"/>
      <c r="F3374" s="66"/>
      <c r="G3374" s="63"/>
      <c r="H3374" s="67"/>
      <c r="I3374" s="68"/>
      <c r="J3374" s="68"/>
      <c r="K3374" s="32"/>
      <c r="L3374" s="75">
        <v>3374</v>
      </c>
      <c r="M3374" s="75"/>
      <c r="N3374" s="70"/>
      <c r="O3374" s="77" t="s">
        <v>179</v>
      </c>
      <c r="P3374" s="79">
        <v>45099.761388888888</v>
      </c>
      <c r="Q3374" s="77" t="s">
        <v>4580</v>
      </c>
      <c r="R3374" s="77">
        <v>0</v>
      </c>
      <c r="S3374" s="77">
        <v>0</v>
      </c>
      <c r="T3374" s="77">
        <v>0</v>
      </c>
      <c r="U3374" s="77">
        <v>0</v>
      </c>
      <c r="V3374" s="77">
        <v>90</v>
      </c>
      <c r="W3374" s="82" t="s">
        <v>6740</v>
      </c>
      <c r="X3374" s="77"/>
      <c r="Y3374" s="77"/>
      <c r="Z3374" s="77"/>
      <c r="AA3374" s="77" t="s">
        <v>9699</v>
      </c>
      <c r="AB3374" s="77" t="s">
        <v>10130</v>
      </c>
      <c r="AC3374" s="82" t="s">
        <v>10147</v>
      </c>
      <c r="AD3374" s="77" t="s">
        <v>10184</v>
      </c>
      <c r="AE3374" s="80" t="str">
        <f>HYPERLINK("https://twitter.com/imdasmilhas/status/1671945245519405056")</f>
        <v>https://twitter.com/imdasmilhas/status/1671945245519405056</v>
      </c>
      <c r="AF3374" s="79">
        <v>45099.761388888888</v>
      </c>
      <c r="AG3374" s="85">
        <v>45099</v>
      </c>
      <c r="AH3374" s="82" t="s">
        <v>13372</v>
      </c>
      <c r="AI3374" s="77" t="b">
        <v>0</v>
      </c>
      <c r="AJ3374" s="77"/>
      <c r="AK3374" s="77"/>
      <c r="AL3374" s="77"/>
      <c r="AM3374" s="77"/>
      <c r="AN3374" s="77"/>
      <c r="AO3374" s="77"/>
      <c r="AP3374" s="77"/>
      <c r="AQ3374" s="77" t="s">
        <v>16342</v>
      </c>
      <c r="AR3374" s="77"/>
      <c r="AS3374" s="77"/>
      <c r="AT3374" s="77"/>
      <c r="AU3374" s="77"/>
      <c r="AV3374" s="80" t="str">
        <f>HYPERLINK("https://pbs.twimg.com/media/FzPxVxsWcAINDJ8.jpg")</f>
        <v>https://pbs.twimg.com/media/FzPxVxsWcAINDJ8.jpg</v>
      </c>
      <c r="AW3374" s="82" t="s">
        <v>20140</v>
      </c>
      <c r="AX3374" s="82" t="s">
        <v>20140</v>
      </c>
      <c r="AY3374" s="77"/>
      <c r="AZ3374" s="82" t="s">
        <v>20971</v>
      </c>
      <c r="BA3374" s="82" t="s">
        <v>20971</v>
      </c>
      <c r="BB3374" s="82" t="s">
        <v>20971</v>
      </c>
      <c r="BC3374" s="82" t="s">
        <v>20140</v>
      </c>
      <c r="BD3374" s="82" t="s">
        <v>21597</v>
      </c>
      <c r="BE3374" s="77"/>
      <c r="BF3374" s="77"/>
      <c r="BG3374" s="77"/>
      <c r="BH3374" s="77"/>
      <c r="BI3374" s="77"/>
    </row>
    <row r="3375" spans="1:61" x14ac:dyDescent="0.25">
      <c r="A3375" s="62" t="s">
        <v>1006</v>
      </c>
      <c r="B3375" s="62" t="s">
        <v>1006</v>
      </c>
      <c r="C3375" s="63"/>
      <c r="D3375" s="64"/>
      <c r="E3375" s="65"/>
      <c r="F3375" s="66"/>
      <c r="G3375" s="63"/>
      <c r="H3375" s="67"/>
      <c r="I3375" s="68"/>
      <c r="J3375" s="68"/>
      <c r="K3375" s="32"/>
      <c r="L3375" s="75">
        <v>3375</v>
      </c>
      <c r="M3375" s="75"/>
      <c r="N3375" s="70"/>
      <c r="O3375" s="77" t="s">
        <v>179</v>
      </c>
      <c r="P3375" s="79">
        <v>45097.746724537035</v>
      </c>
      <c r="Q3375" s="77" t="s">
        <v>4581</v>
      </c>
      <c r="R3375" s="77">
        <v>0</v>
      </c>
      <c r="S3375" s="77">
        <v>1</v>
      </c>
      <c r="T3375" s="77">
        <v>0</v>
      </c>
      <c r="U3375" s="77">
        <v>0</v>
      </c>
      <c r="V3375" s="77">
        <v>141</v>
      </c>
      <c r="W3375" s="82" t="s">
        <v>6740</v>
      </c>
      <c r="X3375" s="77"/>
      <c r="Y3375" s="77"/>
      <c r="Z3375" s="77"/>
      <c r="AA3375" s="77" t="s">
        <v>9700</v>
      </c>
      <c r="AB3375" s="77" t="s">
        <v>10130</v>
      </c>
      <c r="AC3375" s="82" t="s">
        <v>10147</v>
      </c>
      <c r="AD3375" s="77" t="s">
        <v>10184</v>
      </c>
      <c r="AE3375" s="80" t="str">
        <f>HYPERLINK("https://twitter.com/imdasmilhas/status/1671215155936362508")</f>
        <v>https://twitter.com/imdasmilhas/status/1671215155936362508</v>
      </c>
      <c r="AF3375" s="79">
        <v>45097.746724537035</v>
      </c>
      <c r="AG3375" s="85">
        <v>45097</v>
      </c>
      <c r="AH3375" s="82" t="s">
        <v>13373</v>
      </c>
      <c r="AI3375" s="77" t="b">
        <v>0</v>
      </c>
      <c r="AJ3375" s="77"/>
      <c r="AK3375" s="77"/>
      <c r="AL3375" s="77"/>
      <c r="AM3375" s="77"/>
      <c r="AN3375" s="77"/>
      <c r="AO3375" s="77"/>
      <c r="AP3375" s="77"/>
      <c r="AQ3375" s="77" t="s">
        <v>16343</v>
      </c>
      <c r="AR3375" s="77"/>
      <c r="AS3375" s="77"/>
      <c r="AT3375" s="77"/>
      <c r="AU3375" s="77"/>
      <c r="AV3375" s="80" t="str">
        <f>HYPERLINK("https://pbs.twimg.com/media/FzFZU7mWAA41-6m.jpg")</f>
        <v>https://pbs.twimg.com/media/FzFZU7mWAA41-6m.jpg</v>
      </c>
      <c r="AW3375" s="82" t="s">
        <v>20141</v>
      </c>
      <c r="AX3375" s="82" t="s">
        <v>20141</v>
      </c>
      <c r="AY3375" s="77"/>
      <c r="AZ3375" s="82" t="s">
        <v>20971</v>
      </c>
      <c r="BA3375" s="82" t="s">
        <v>20971</v>
      </c>
      <c r="BB3375" s="82" t="s">
        <v>20971</v>
      </c>
      <c r="BC3375" s="82" t="s">
        <v>20141</v>
      </c>
      <c r="BD3375" s="82" t="s">
        <v>21597</v>
      </c>
      <c r="BE3375" s="77"/>
      <c r="BF3375" s="77"/>
      <c r="BG3375" s="77"/>
      <c r="BH3375" s="77"/>
      <c r="BI3375" s="77"/>
    </row>
    <row r="3376" spans="1:61" x14ac:dyDescent="0.25">
      <c r="A3376" s="62" t="s">
        <v>1006</v>
      </c>
      <c r="B3376" s="62" t="s">
        <v>1006</v>
      </c>
      <c r="C3376" s="63"/>
      <c r="D3376" s="64"/>
      <c r="E3376" s="65"/>
      <c r="F3376" s="66"/>
      <c r="G3376" s="63"/>
      <c r="H3376" s="67"/>
      <c r="I3376" s="68"/>
      <c r="J3376" s="68"/>
      <c r="K3376" s="32"/>
      <c r="L3376" s="75">
        <v>3376</v>
      </c>
      <c r="M3376" s="75"/>
      <c r="N3376" s="70"/>
      <c r="O3376" s="77" t="s">
        <v>179</v>
      </c>
      <c r="P3376" s="79">
        <v>45097.745254629626</v>
      </c>
      <c r="Q3376" s="77" t="s">
        <v>4582</v>
      </c>
      <c r="R3376" s="77">
        <v>0</v>
      </c>
      <c r="S3376" s="77">
        <v>1</v>
      </c>
      <c r="T3376" s="77">
        <v>0</v>
      </c>
      <c r="U3376" s="77">
        <v>0</v>
      </c>
      <c r="V3376" s="77">
        <v>76</v>
      </c>
      <c r="W3376" s="82" t="s">
        <v>6740</v>
      </c>
      <c r="X3376" s="77"/>
      <c r="Y3376" s="77"/>
      <c r="Z3376" s="77"/>
      <c r="AA3376" s="77" t="s">
        <v>9701</v>
      </c>
      <c r="AB3376" s="77" t="s">
        <v>10130</v>
      </c>
      <c r="AC3376" s="82" t="s">
        <v>10147</v>
      </c>
      <c r="AD3376" s="77" t="s">
        <v>10184</v>
      </c>
      <c r="AE3376" s="80" t="str">
        <f>HYPERLINK("https://twitter.com/imdasmilhas/status/1671214623733710855")</f>
        <v>https://twitter.com/imdasmilhas/status/1671214623733710855</v>
      </c>
      <c r="AF3376" s="79">
        <v>45097.745254629626</v>
      </c>
      <c r="AG3376" s="85">
        <v>45097</v>
      </c>
      <c r="AH3376" s="82" t="s">
        <v>13374</v>
      </c>
      <c r="AI3376" s="77" t="b">
        <v>0</v>
      </c>
      <c r="AJ3376" s="77"/>
      <c r="AK3376" s="77"/>
      <c r="AL3376" s="77"/>
      <c r="AM3376" s="77"/>
      <c r="AN3376" s="77"/>
      <c r="AO3376" s="77"/>
      <c r="AP3376" s="77"/>
      <c r="AQ3376" s="77" t="s">
        <v>16344</v>
      </c>
      <c r="AR3376" s="77"/>
      <c r="AS3376" s="77"/>
      <c r="AT3376" s="77"/>
      <c r="AU3376" s="77"/>
      <c r="AV3376" s="80" t="str">
        <f>HYPERLINK("https://pbs.twimg.com/media/FzFY19iWAAkKG5p.jpg")</f>
        <v>https://pbs.twimg.com/media/FzFY19iWAAkKG5p.jpg</v>
      </c>
      <c r="AW3376" s="82" t="s">
        <v>20142</v>
      </c>
      <c r="AX3376" s="82" t="s">
        <v>20142</v>
      </c>
      <c r="AY3376" s="77"/>
      <c r="AZ3376" s="82" t="s">
        <v>20971</v>
      </c>
      <c r="BA3376" s="82" t="s">
        <v>20971</v>
      </c>
      <c r="BB3376" s="82" t="s">
        <v>20971</v>
      </c>
      <c r="BC3376" s="82" t="s">
        <v>20142</v>
      </c>
      <c r="BD3376" s="82" t="s">
        <v>21597</v>
      </c>
      <c r="BE3376" s="77"/>
      <c r="BF3376" s="77"/>
      <c r="BG3376" s="77"/>
      <c r="BH3376" s="77"/>
      <c r="BI3376" s="77"/>
    </row>
    <row r="3377" spans="1:61" x14ac:dyDescent="0.25">
      <c r="A3377" s="62" t="s">
        <v>1006</v>
      </c>
      <c r="B3377" s="62" t="s">
        <v>1006</v>
      </c>
      <c r="C3377" s="63"/>
      <c r="D3377" s="64"/>
      <c r="E3377" s="65"/>
      <c r="F3377" s="66"/>
      <c r="G3377" s="63"/>
      <c r="H3377" s="67"/>
      <c r="I3377" s="68"/>
      <c r="J3377" s="68"/>
      <c r="K3377" s="32"/>
      <c r="L3377" s="75">
        <v>3377</v>
      </c>
      <c r="M3377" s="75"/>
      <c r="N3377" s="70"/>
      <c r="O3377" s="77" t="s">
        <v>179</v>
      </c>
      <c r="P3377" s="79">
        <v>45097.744826388887</v>
      </c>
      <c r="Q3377" s="77" t="s">
        <v>4583</v>
      </c>
      <c r="R3377" s="77">
        <v>0</v>
      </c>
      <c r="S3377" s="77">
        <v>1</v>
      </c>
      <c r="T3377" s="77">
        <v>0</v>
      </c>
      <c r="U3377" s="77">
        <v>0</v>
      </c>
      <c r="V3377" s="77">
        <v>69</v>
      </c>
      <c r="W3377" s="82" t="s">
        <v>6740</v>
      </c>
      <c r="X3377" s="77"/>
      <c r="Y3377" s="77"/>
      <c r="Z3377" s="77"/>
      <c r="AA3377" s="77" t="s">
        <v>9702</v>
      </c>
      <c r="AB3377" s="77" t="s">
        <v>10130</v>
      </c>
      <c r="AC3377" s="82" t="s">
        <v>10147</v>
      </c>
      <c r="AD3377" s="77" t="s">
        <v>10184</v>
      </c>
      <c r="AE3377" s="80" t="str">
        <f>HYPERLINK("https://twitter.com/imdasmilhas/status/1671214466636054538")</f>
        <v>https://twitter.com/imdasmilhas/status/1671214466636054538</v>
      </c>
      <c r="AF3377" s="79">
        <v>45097.744826388887</v>
      </c>
      <c r="AG3377" s="85">
        <v>45097</v>
      </c>
      <c r="AH3377" s="82" t="s">
        <v>13375</v>
      </c>
      <c r="AI3377" s="77" t="b">
        <v>0</v>
      </c>
      <c r="AJ3377" s="77"/>
      <c r="AK3377" s="77"/>
      <c r="AL3377" s="77"/>
      <c r="AM3377" s="77"/>
      <c r="AN3377" s="77"/>
      <c r="AO3377" s="77"/>
      <c r="AP3377" s="77"/>
      <c r="AQ3377" s="77" t="s">
        <v>16345</v>
      </c>
      <c r="AR3377" s="77"/>
      <c r="AS3377" s="77"/>
      <c r="AT3377" s="77"/>
      <c r="AU3377" s="77"/>
      <c r="AV3377" s="80" t="str">
        <f>HYPERLINK("https://pbs.twimg.com/media/FzFYs2LWYAAJsmm.jpg")</f>
        <v>https://pbs.twimg.com/media/FzFYs2LWYAAJsmm.jpg</v>
      </c>
      <c r="AW3377" s="82" t="s">
        <v>20143</v>
      </c>
      <c r="AX3377" s="82" t="s">
        <v>20143</v>
      </c>
      <c r="AY3377" s="77"/>
      <c r="AZ3377" s="82" t="s">
        <v>20971</v>
      </c>
      <c r="BA3377" s="82" t="s">
        <v>20971</v>
      </c>
      <c r="BB3377" s="82" t="s">
        <v>20971</v>
      </c>
      <c r="BC3377" s="82" t="s">
        <v>20143</v>
      </c>
      <c r="BD3377" s="82" t="s">
        <v>21597</v>
      </c>
      <c r="BE3377" s="77"/>
      <c r="BF3377" s="77"/>
      <c r="BG3377" s="77"/>
      <c r="BH3377" s="77"/>
      <c r="BI3377" s="77"/>
    </row>
    <row r="3378" spans="1:61" x14ac:dyDescent="0.25">
      <c r="A3378" s="62" t="s">
        <v>1006</v>
      </c>
      <c r="B3378" s="62" t="s">
        <v>1006</v>
      </c>
      <c r="C3378" s="63"/>
      <c r="D3378" s="64"/>
      <c r="E3378" s="65"/>
      <c r="F3378" s="66"/>
      <c r="G3378" s="63"/>
      <c r="H3378" s="67"/>
      <c r="I3378" s="68"/>
      <c r="J3378" s="68"/>
      <c r="K3378" s="32"/>
      <c r="L3378" s="75">
        <v>3378</v>
      </c>
      <c r="M3378" s="75"/>
      <c r="N3378" s="70"/>
      <c r="O3378" s="77" t="s">
        <v>179</v>
      </c>
      <c r="P3378" s="79">
        <v>45097.744467592594</v>
      </c>
      <c r="Q3378" s="77" t="s">
        <v>4584</v>
      </c>
      <c r="R3378" s="77">
        <v>0</v>
      </c>
      <c r="S3378" s="77">
        <v>1</v>
      </c>
      <c r="T3378" s="77">
        <v>0</v>
      </c>
      <c r="U3378" s="77">
        <v>0</v>
      </c>
      <c r="V3378" s="77">
        <v>48</v>
      </c>
      <c r="W3378" s="82" t="s">
        <v>6740</v>
      </c>
      <c r="X3378" s="77"/>
      <c r="Y3378" s="77"/>
      <c r="Z3378" s="77"/>
      <c r="AA3378" s="77" t="s">
        <v>9703</v>
      </c>
      <c r="AB3378" s="77" t="s">
        <v>10130</v>
      </c>
      <c r="AC3378" s="82" t="s">
        <v>10147</v>
      </c>
      <c r="AD3378" s="77" t="s">
        <v>10184</v>
      </c>
      <c r="AE3378" s="80" t="str">
        <f>HYPERLINK("https://twitter.com/imdasmilhas/status/1671214335983484933")</f>
        <v>https://twitter.com/imdasmilhas/status/1671214335983484933</v>
      </c>
      <c r="AF3378" s="79">
        <v>45097.744467592594</v>
      </c>
      <c r="AG3378" s="85">
        <v>45097</v>
      </c>
      <c r="AH3378" s="82" t="s">
        <v>13376</v>
      </c>
      <c r="AI3378" s="77" t="b">
        <v>0</v>
      </c>
      <c r="AJ3378" s="77"/>
      <c r="AK3378" s="77"/>
      <c r="AL3378" s="77"/>
      <c r="AM3378" s="77"/>
      <c r="AN3378" s="77"/>
      <c r="AO3378" s="77"/>
      <c r="AP3378" s="77"/>
      <c r="AQ3378" s="77" t="s">
        <v>16346</v>
      </c>
      <c r="AR3378" s="77"/>
      <c r="AS3378" s="77"/>
      <c r="AT3378" s="77"/>
      <c r="AU3378" s="77"/>
      <c r="AV3378" s="80" t="str">
        <f>HYPERLINK("https://pbs.twimg.com/media/FzFYlM4WAAgwI-L.jpg")</f>
        <v>https://pbs.twimg.com/media/FzFYlM4WAAgwI-L.jpg</v>
      </c>
      <c r="AW3378" s="82" t="s">
        <v>20144</v>
      </c>
      <c r="AX3378" s="82" t="s">
        <v>20144</v>
      </c>
      <c r="AY3378" s="77"/>
      <c r="AZ3378" s="82" t="s">
        <v>20971</v>
      </c>
      <c r="BA3378" s="82" t="s">
        <v>20971</v>
      </c>
      <c r="BB3378" s="82" t="s">
        <v>20971</v>
      </c>
      <c r="BC3378" s="82" t="s">
        <v>20144</v>
      </c>
      <c r="BD3378" s="82" t="s">
        <v>21597</v>
      </c>
      <c r="BE3378" s="77"/>
      <c r="BF3378" s="77"/>
      <c r="BG3378" s="77"/>
      <c r="BH3378" s="77"/>
      <c r="BI3378" s="77"/>
    </row>
    <row r="3379" spans="1:61" x14ac:dyDescent="0.25">
      <c r="A3379" s="62" t="s">
        <v>1006</v>
      </c>
      <c r="B3379" s="62" t="s">
        <v>1006</v>
      </c>
      <c r="C3379" s="63"/>
      <c r="D3379" s="64"/>
      <c r="E3379" s="65"/>
      <c r="F3379" s="66"/>
      <c r="G3379" s="63"/>
      <c r="H3379" s="67"/>
      <c r="I3379" s="68"/>
      <c r="J3379" s="68"/>
      <c r="K3379" s="32"/>
      <c r="L3379" s="75">
        <v>3379</v>
      </c>
      <c r="M3379" s="75"/>
      <c r="N3379" s="70"/>
      <c r="O3379" s="77" t="s">
        <v>179</v>
      </c>
      <c r="P3379" s="79">
        <v>45079.750891203701</v>
      </c>
      <c r="Q3379" s="77" t="s">
        <v>4585</v>
      </c>
      <c r="R3379" s="77">
        <v>0</v>
      </c>
      <c r="S3379" s="77">
        <v>0</v>
      </c>
      <c r="T3379" s="77">
        <v>0</v>
      </c>
      <c r="U3379" s="77">
        <v>0</v>
      </c>
      <c r="V3379" s="77">
        <v>101</v>
      </c>
      <c r="W3379" s="82" t="s">
        <v>6740</v>
      </c>
      <c r="X3379" s="77"/>
      <c r="Y3379" s="77"/>
      <c r="Z3379" s="77"/>
      <c r="AA3379" s="77" t="s">
        <v>9704</v>
      </c>
      <c r="AB3379" s="77" t="s">
        <v>10130</v>
      </c>
      <c r="AC3379" s="82" t="s">
        <v>10147</v>
      </c>
      <c r="AD3379" s="77" t="s">
        <v>10184</v>
      </c>
      <c r="AE3379" s="80" t="str">
        <f>HYPERLINK("https://twitter.com/imdasmilhas/status/1664693683793297410")</f>
        <v>https://twitter.com/imdasmilhas/status/1664693683793297410</v>
      </c>
      <c r="AF3379" s="79">
        <v>45079.750891203701</v>
      </c>
      <c r="AG3379" s="85">
        <v>45079</v>
      </c>
      <c r="AH3379" s="82" t="s">
        <v>13263</v>
      </c>
      <c r="AI3379" s="77" t="b">
        <v>0</v>
      </c>
      <c r="AJ3379" s="77"/>
      <c r="AK3379" s="77"/>
      <c r="AL3379" s="77"/>
      <c r="AM3379" s="77"/>
      <c r="AN3379" s="77"/>
      <c r="AO3379" s="77"/>
      <c r="AP3379" s="77"/>
      <c r="AQ3379" s="77" t="s">
        <v>16347</v>
      </c>
      <c r="AR3379" s="77"/>
      <c r="AS3379" s="77"/>
      <c r="AT3379" s="77"/>
      <c r="AU3379" s="77"/>
      <c r="AV3379" s="80" t="str">
        <f>HYPERLINK("https://pbs.twimg.com/media/FxouFU9WwAAP2K3.jpg")</f>
        <v>https://pbs.twimg.com/media/FxouFU9WwAAP2K3.jpg</v>
      </c>
      <c r="AW3379" s="82" t="s">
        <v>20145</v>
      </c>
      <c r="AX3379" s="82" t="s">
        <v>20145</v>
      </c>
      <c r="AY3379" s="77"/>
      <c r="AZ3379" s="82" t="s">
        <v>20971</v>
      </c>
      <c r="BA3379" s="82" t="s">
        <v>20971</v>
      </c>
      <c r="BB3379" s="82" t="s">
        <v>20971</v>
      </c>
      <c r="BC3379" s="82" t="s">
        <v>20145</v>
      </c>
      <c r="BD3379" s="82" t="s">
        <v>21597</v>
      </c>
      <c r="BE3379" s="77"/>
      <c r="BF3379" s="77"/>
      <c r="BG3379" s="77"/>
      <c r="BH3379" s="77"/>
      <c r="BI3379" s="77"/>
    </row>
    <row r="3380" spans="1:61" x14ac:dyDescent="0.25">
      <c r="A3380" s="62" t="s">
        <v>1006</v>
      </c>
      <c r="B3380" s="62" t="s">
        <v>1006</v>
      </c>
      <c r="C3380" s="63"/>
      <c r="D3380" s="64"/>
      <c r="E3380" s="65"/>
      <c r="F3380" s="66"/>
      <c r="G3380" s="63"/>
      <c r="H3380" s="67"/>
      <c r="I3380" s="68"/>
      <c r="J3380" s="68"/>
      <c r="K3380" s="32"/>
      <c r="L3380" s="75">
        <v>3380</v>
      </c>
      <c r="M3380" s="75"/>
      <c r="N3380" s="70"/>
      <c r="O3380" s="77" t="s">
        <v>179</v>
      </c>
      <c r="P3380" s="79">
        <v>45079.702118055553</v>
      </c>
      <c r="Q3380" s="77" t="s">
        <v>4586</v>
      </c>
      <c r="R3380" s="77">
        <v>0</v>
      </c>
      <c r="S3380" s="77">
        <v>0</v>
      </c>
      <c r="T3380" s="77">
        <v>0</v>
      </c>
      <c r="U3380" s="77">
        <v>0</v>
      </c>
      <c r="V3380" s="77">
        <v>82</v>
      </c>
      <c r="W3380" s="82" t="s">
        <v>6740</v>
      </c>
      <c r="X3380" s="77"/>
      <c r="Y3380" s="77"/>
      <c r="Z3380" s="77"/>
      <c r="AA3380" s="77" t="s">
        <v>9705</v>
      </c>
      <c r="AB3380" s="77" t="s">
        <v>10130</v>
      </c>
      <c r="AC3380" s="82" t="s">
        <v>10147</v>
      </c>
      <c r="AD3380" s="77" t="s">
        <v>10184</v>
      </c>
      <c r="AE3380" s="80" t="str">
        <f>HYPERLINK("https://twitter.com/imdasmilhas/status/1664676010049011722")</f>
        <v>https://twitter.com/imdasmilhas/status/1664676010049011722</v>
      </c>
      <c r="AF3380" s="79">
        <v>45079.702118055553</v>
      </c>
      <c r="AG3380" s="85">
        <v>45079</v>
      </c>
      <c r="AH3380" s="82" t="s">
        <v>13377</v>
      </c>
      <c r="AI3380" s="77" t="b">
        <v>0</v>
      </c>
      <c r="AJ3380" s="77"/>
      <c r="AK3380" s="77"/>
      <c r="AL3380" s="77"/>
      <c r="AM3380" s="77"/>
      <c r="AN3380" s="77"/>
      <c r="AO3380" s="77"/>
      <c r="AP3380" s="77"/>
      <c r="AQ3380" s="77" t="s">
        <v>16348</v>
      </c>
      <c r="AR3380" s="77"/>
      <c r="AS3380" s="77"/>
      <c r="AT3380" s="77"/>
      <c r="AU3380" s="77"/>
      <c r="AV3380" s="80" t="str">
        <f>HYPERLINK("https://pbs.twimg.com/media/FxoeAjmXoAAZFqW.jpg")</f>
        <v>https://pbs.twimg.com/media/FxoeAjmXoAAZFqW.jpg</v>
      </c>
      <c r="AW3380" s="82" t="s">
        <v>20146</v>
      </c>
      <c r="AX3380" s="82" t="s">
        <v>20146</v>
      </c>
      <c r="AY3380" s="77"/>
      <c r="AZ3380" s="82" t="s">
        <v>20971</v>
      </c>
      <c r="BA3380" s="82" t="s">
        <v>20971</v>
      </c>
      <c r="BB3380" s="82" t="s">
        <v>20971</v>
      </c>
      <c r="BC3380" s="82" t="s">
        <v>20146</v>
      </c>
      <c r="BD3380" s="82" t="s">
        <v>21597</v>
      </c>
      <c r="BE3380" s="77"/>
      <c r="BF3380" s="77"/>
      <c r="BG3380" s="77"/>
      <c r="BH3380" s="77"/>
      <c r="BI3380" s="77"/>
    </row>
    <row r="3381" spans="1:61" x14ac:dyDescent="0.25">
      <c r="A3381" s="62" t="s">
        <v>1006</v>
      </c>
      <c r="B3381" s="62" t="s">
        <v>1006</v>
      </c>
      <c r="C3381" s="63"/>
      <c r="D3381" s="64"/>
      <c r="E3381" s="65"/>
      <c r="F3381" s="66"/>
      <c r="G3381" s="63"/>
      <c r="H3381" s="67"/>
      <c r="I3381" s="68"/>
      <c r="J3381" s="68"/>
      <c r="K3381" s="32"/>
      <c r="L3381" s="75">
        <v>3381</v>
      </c>
      <c r="M3381" s="75"/>
      <c r="N3381" s="70"/>
      <c r="O3381" s="77" t="s">
        <v>179</v>
      </c>
      <c r="P3381" s="79">
        <v>45062.80133101852</v>
      </c>
      <c r="Q3381" s="77" t="s">
        <v>4587</v>
      </c>
      <c r="R3381" s="77">
        <v>0</v>
      </c>
      <c r="S3381" s="77">
        <v>1</v>
      </c>
      <c r="T3381" s="77">
        <v>1</v>
      </c>
      <c r="U3381" s="77">
        <v>0</v>
      </c>
      <c r="V3381" s="77">
        <v>116</v>
      </c>
      <c r="W3381" s="82" t="s">
        <v>6740</v>
      </c>
      <c r="X3381" s="77"/>
      <c r="Y3381" s="77"/>
      <c r="Z3381" s="77"/>
      <c r="AA3381" s="77" t="s">
        <v>9706</v>
      </c>
      <c r="AB3381" s="77" t="s">
        <v>10130</v>
      </c>
      <c r="AC3381" s="82" t="s">
        <v>10147</v>
      </c>
      <c r="AD3381" s="77" t="s">
        <v>10184</v>
      </c>
      <c r="AE3381" s="80" t="str">
        <f>HYPERLINK("https://twitter.com/imdasmilhas/status/1658551371052851201")</f>
        <v>https://twitter.com/imdasmilhas/status/1658551371052851201</v>
      </c>
      <c r="AF3381" s="79">
        <v>45062.80133101852</v>
      </c>
      <c r="AG3381" s="85">
        <v>45062</v>
      </c>
      <c r="AH3381" s="82" t="s">
        <v>13378</v>
      </c>
      <c r="AI3381" s="77" t="b">
        <v>0</v>
      </c>
      <c r="AJ3381" s="77"/>
      <c r="AK3381" s="77"/>
      <c r="AL3381" s="77"/>
      <c r="AM3381" s="77"/>
      <c r="AN3381" s="77"/>
      <c r="AO3381" s="77"/>
      <c r="AP3381" s="77"/>
      <c r="AQ3381" s="77" t="s">
        <v>16349</v>
      </c>
      <c r="AR3381" s="77"/>
      <c r="AS3381" s="77"/>
      <c r="AT3381" s="77"/>
      <c r="AU3381" s="77"/>
      <c r="AV3381" s="80" t="str">
        <f>HYPERLINK("https://pbs.twimg.com/media/FwRbrsCX0BAS7Rh.jpg")</f>
        <v>https://pbs.twimg.com/media/FwRbrsCX0BAS7Rh.jpg</v>
      </c>
      <c r="AW3381" s="82" t="s">
        <v>20147</v>
      </c>
      <c r="AX3381" s="82" t="s">
        <v>20147</v>
      </c>
      <c r="AY3381" s="77"/>
      <c r="AZ3381" s="82" t="s">
        <v>20971</v>
      </c>
      <c r="BA3381" s="82" t="s">
        <v>20971</v>
      </c>
      <c r="BB3381" s="82" t="s">
        <v>20971</v>
      </c>
      <c r="BC3381" s="82" t="s">
        <v>20147</v>
      </c>
      <c r="BD3381" s="82" t="s">
        <v>21597</v>
      </c>
      <c r="BE3381" s="77"/>
      <c r="BF3381" s="77"/>
      <c r="BG3381" s="77"/>
      <c r="BH3381" s="77"/>
      <c r="BI3381" s="77"/>
    </row>
    <row r="3382" spans="1:61" x14ac:dyDescent="0.25">
      <c r="A3382" s="62" t="s">
        <v>1006</v>
      </c>
      <c r="B3382" s="62" t="s">
        <v>1006</v>
      </c>
      <c r="C3382" s="63"/>
      <c r="D3382" s="64"/>
      <c r="E3382" s="65"/>
      <c r="F3382" s="66"/>
      <c r="G3382" s="63"/>
      <c r="H3382" s="67"/>
      <c r="I3382" s="68"/>
      <c r="J3382" s="68"/>
      <c r="K3382" s="32"/>
      <c r="L3382" s="75">
        <v>3382</v>
      </c>
      <c r="M3382" s="75"/>
      <c r="N3382" s="70"/>
      <c r="O3382" s="77" t="s">
        <v>179</v>
      </c>
      <c r="P3382" s="79">
        <v>45062.795023148145</v>
      </c>
      <c r="Q3382" s="77" t="s">
        <v>4588</v>
      </c>
      <c r="R3382" s="77">
        <v>0</v>
      </c>
      <c r="S3382" s="77">
        <v>1</v>
      </c>
      <c r="T3382" s="77">
        <v>1</v>
      </c>
      <c r="U3382" s="77">
        <v>0</v>
      </c>
      <c r="V3382" s="77">
        <v>102</v>
      </c>
      <c r="W3382" s="82" t="s">
        <v>6740</v>
      </c>
      <c r="X3382" s="77"/>
      <c r="Y3382" s="77"/>
      <c r="Z3382" s="77"/>
      <c r="AA3382" s="77" t="s">
        <v>9707</v>
      </c>
      <c r="AB3382" s="77" t="s">
        <v>10130</v>
      </c>
      <c r="AC3382" s="82" t="s">
        <v>10147</v>
      </c>
      <c r="AD3382" s="77" t="s">
        <v>10184</v>
      </c>
      <c r="AE3382" s="80" t="str">
        <f>HYPERLINK("https://twitter.com/imdasmilhas/status/1658549082548236291")</f>
        <v>https://twitter.com/imdasmilhas/status/1658549082548236291</v>
      </c>
      <c r="AF3382" s="79">
        <v>45062.795023148145</v>
      </c>
      <c r="AG3382" s="85">
        <v>45062</v>
      </c>
      <c r="AH3382" s="82" t="s">
        <v>13379</v>
      </c>
      <c r="AI3382" s="77" t="b">
        <v>0</v>
      </c>
      <c r="AJ3382" s="77"/>
      <c r="AK3382" s="77"/>
      <c r="AL3382" s="77"/>
      <c r="AM3382" s="77"/>
      <c r="AN3382" s="77"/>
      <c r="AO3382" s="77"/>
      <c r="AP3382" s="77"/>
      <c r="AQ3382" s="77" t="s">
        <v>16350</v>
      </c>
      <c r="AR3382" s="77"/>
      <c r="AS3382" s="77"/>
      <c r="AT3382" s="77"/>
      <c r="AU3382" s="77"/>
      <c r="AV3382" s="80" t="str">
        <f>HYPERLINK("https://pbs.twimg.com/media/FwRZmXWWAAEZrAK.jpg")</f>
        <v>https://pbs.twimg.com/media/FwRZmXWWAAEZrAK.jpg</v>
      </c>
      <c r="AW3382" s="82" t="s">
        <v>20148</v>
      </c>
      <c r="AX3382" s="82" t="s">
        <v>20148</v>
      </c>
      <c r="AY3382" s="77"/>
      <c r="AZ3382" s="82" t="s">
        <v>20971</v>
      </c>
      <c r="BA3382" s="82" t="s">
        <v>20971</v>
      </c>
      <c r="BB3382" s="82" t="s">
        <v>20971</v>
      </c>
      <c r="BC3382" s="82" t="s">
        <v>20148</v>
      </c>
      <c r="BD3382" s="82" t="s">
        <v>21597</v>
      </c>
      <c r="BE3382" s="77"/>
      <c r="BF3382" s="77"/>
      <c r="BG3382" s="77"/>
      <c r="BH3382" s="77"/>
      <c r="BI3382" s="77"/>
    </row>
    <row r="3383" spans="1:61" x14ac:dyDescent="0.25">
      <c r="A3383" s="62" t="s">
        <v>1006</v>
      </c>
      <c r="B3383" s="62" t="s">
        <v>1006</v>
      </c>
      <c r="C3383" s="63"/>
      <c r="D3383" s="64"/>
      <c r="E3383" s="65"/>
      <c r="F3383" s="66"/>
      <c r="G3383" s="63"/>
      <c r="H3383" s="67"/>
      <c r="I3383" s="68"/>
      <c r="J3383" s="68"/>
      <c r="K3383" s="32"/>
      <c r="L3383" s="75">
        <v>3383</v>
      </c>
      <c r="M3383" s="75"/>
      <c r="N3383" s="70"/>
      <c r="O3383" s="77" t="s">
        <v>179</v>
      </c>
      <c r="P3383" s="79">
        <v>45062.780740740738</v>
      </c>
      <c r="Q3383" s="77" t="s">
        <v>4589</v>
      </c>
      <c r="R3383" s="77">
        <v>0</v>
      </c>
      <c r="S3383" s="77">
        <v>1</v>
      </c>
      <c r="T3383" s="77">
        <v>1</v>
      </c>
      <c r="U3383" s="77">
        <v>0</v>
      </c>
      <c r="V3383" s="77">
        <v>80</v>
      </c>
      <c r="W3383" s="82" t="s">
        <v>6740</v>
      </c>
      <c r="X3383" s="77"/>
      <c r="Y3383" s="77"/>
      <c r="Z3383" s="77"/>
      <c r="AA3383" s="77" t="s">
        <v>9708</v>
      </c>
      <c r="AB3383" s="77" t="s">
        <v>10130</v>
      </c>
      <c r="AC3383" s="82" t="s">
        <v>10147</v>
      </c>
      <c r="AD3383" s="77" t="s">
        <v>10184</v>
      </c>
      <c r="AE3383" s="80" t="str">
        <f>HYPERLINK("https://twitter.com/imdasmilhas/status/1658543907477544971")</f>
        <v>https://twitter.com/imdasmilhas/status/1658543907477544971</v>
      </c>
      <c r="AF3383" s="79">
        <v>45062.780740740738</v>
      </c>
      <c r="AG3383" s="85">
        <v>45062</v>
      </c>
      <c r="AH3383" s="82" t="s">
        <v>13380</v>
      </c>
      <c r="AI3383" s="77" t="b">
        <v>0</v>
      </c>
      <c r="AJ3383" s="77"/>
      <c r="AK3383" s="77"/>
      <c r="AL3383" s="77"/>
      <c r="AM3383" s="77"/>
      <c r="AN3383" s="77"/>
      <c r="AO3383" s="77"/>
      <c r="AP3383" s="77"/>
      <c r="AQ3383" s="77" t="s">
        <v>16351</v>
      </c>
      <c r="AR3383" s="77"/>
      <c r="AS3383" s="77"/>
      <c r="AT3383" s="77"/>
      <c r="AU3383" s="77"/>
      <c r="AV3383" s="80" t="str">
        <f>HYPERLINK("https://pbs.twimg.com/media/FwRU5QLWYAc71gb.jpg")</f>
        <v>https://pbs.twimg.com/media/FwRU5QLWYAc71gb.jpg</v>
      </c>
      <c r="AW3383" s="82" t="s">
        <v>20149</v>
      </c>
      <c r="AX3383" s="82" t="s">
        <v>20149</v>
      </c>
      <c r="AY3383" s="77"/>
      <c r="AZ3383" s="82" t="s">
        <v>20971</v>
      </c>
      <c r="BA3383" s="82" t="s">
        <v>20971</v>
      </c>
      <c r="BB3383" s="82" t="s">
        <v>20971</v>
      </c>
      <c r="BC3383" s="82" t="s">
        <v>20149</v>
      </c>
      <c r="BD3383" s="82" t="s">
        <v>21597</v>
      </c>
      <c r="BE3383" s="77"/>
      <c r="BF3383" s="77"/>
      <c r="BG3383" s="77"/>
      <c r="BH3383" s="77"/>
      <c r="BI3383" s="77"/>
    </row>
    <row r="3384" spans="1:61" x14ac:dyDescent="0.25">
      <c r="A3384" s="62" t="s">
        <v>1006</v>
      </c>
      <c r="B3384" s="62" t="s">
        <v>1006</v>
      </c>
      <c r="C3384" s="63"/>
      <c r="D3384" s="64"/>
      <c r="E3384" s="65"/>
      <c r="F3384" s="66"/>
      <c r="G3384" s="63"/>
      <c r="H3384" s="67"/>
      <c r="I3384" s="68"/>
      <c r="J3384" s="68"/>
      <c r="K3384" s="32"/>
      <c r="L3384" s="75">
        <v>3384</v>
      </c>
      <c r="M3384" s="75"/>
      <c r="N3384" s="70"/>
      <c r="O3384" s="77" t="s">
        <v>179</v>
      </c>
      <c r="P3384" s="79">
        <v>45062.633449074077</v>
      </c>
      <c r="Q3384" s="77" t="s">
        <v>4590</v>
      </c>
      <c r="R3384" s="77">
        <v>0</v>
      </c>
      <c r="S3384" s="77">
        <v>0</v>
      </c>
      <c r="T3384" s="77">
        <v>0</v>
      </c>
      <c r="U3384" s="77">
        <v>0</v>
      </c>
      <c r="V3384" s="77">
        <v>68</v>
      </c>
      <c r="W3384" s="82" t="s">
        <v>6740</v>
      </c>
      <c r="X3384" s="77"/>
      <c r="Y3384" s="77"/>
      <c r="Z3384" s="77"/>
      <c r="AA3384" s="77" t="s">
        <v>9709</v>
      </c>
      <c r="AB3384" s="77" t="s">
        <v>10130</v>
      </c>
      <c r="AC3384" s="82" t="s">
        <v>10147</v>
      </c>
      <c r="AD3384" s="77" t="s">
        <v>10184</v>
      </c>
      <c r="AE3384" s="80" t="str">
        <f>HYPERLINK("https://twitter.com/imdasmilhas/status/1658490531230650371")</f>
        <v>https://twitter.com/imdasmilhas/status/1658490531230650371</v>
      </c>
      <c r="AF3384" s="79">
        <v>45062.633449074077</v>
      </c>
      <c r="AG3384" s="85">
        <v>45062</v>
      </c>
      <c r="AH3384" s="82" t="s">
        <v>13381</v>
      </c>
      <c r="AI3384" s="77" t="b">
        <v>0</v>
      </c>
      <c r="AJ3384" s="77"/>
      <c r="AK3384" s="77"/>
      <c r="AL3384" s="77"/>
      <c r="AM3384" s="77"/>
      <c r="AN3384" s="77"/>
      <c r="AO3384" s="77"/>
      <c r="AP3384" s="77"/>
      <c r="AQ3384" s="77" t="s">
        <v>16352</v>
      </c>
      <c r="AR3384" s="77"/>
      <c r="AS3384" s="77"/>
      <c r="AT3384" s="77"/>
      <c r="AU3384" s="77"/>
      <c r="AV3384" s="80" t="str">
        <f>HYPERLINK("https://pbs.twimg.com/media/FwQkWRxaYAUOd-K.jpg")</f>
        <v>https://pbs.twimg.com/media/FwQkWRxaYAUOd-K.jpg</v>
      </c>
      <c r="AW3384" s="82" t="s">
        <v>20150</v>
      </c>
      <c r="AX3384" s="82" t="s">
        <v>20150</v>
      </c>
      <c r="AY3384" s="77"/>
      <c r="AZ3384" s="82" t="s">
        <v>20971</v>
      </c>
      <c r="BA3384" s="82" t="s">
        <v>20971</v>
      </c>
      <c r="BB3384" s="82" t="s">
        <v>20971</v>
      </c>
      <c r="BC3384" s="82" t="s">
        <v>20150</v>
      </c>
      <c r="BD3384" s="82" t="s">
        <v>21597</v>
      </c>
      <c r="BE3384" s="77"/>
      <c r="BF3384" s="77"/>
      <c r="BG3384" s="77"/>
      <c r="BH3384" s="77"/>
      <c r="BI3384" s="77"/>
    </row>
    <row r="3385" spans="1:61" x14ac:dyDescent="0.25">
      <c r="A3385" s="62" t="s">
        <v>1006</v>
      </c>
      <c r="B3385" s="62" t="s">
        <v>1006</v>
      </c>
      <c r="C3385" s="63"/>
      <c r="D3385" s="64"/>
      <c r="E3385" s="65"/>
      <c r="F3385" s="66"/>
      <c r="G3385" s="63"/>
      <c r="H3385" s="67"/>
      <c r="I3385" s="68"/>
      <c r="J3385" s="68"/>
      <c r="K3385" s="32"/>
      <c r="L3385" s="75">
        <v>3385</v>
      </c>
      <c r="M3385" s="75"/>
      <c r="N3385" s="70"/>
      <c r="O3385" s="77" t="s">
        <v>179</v>
      </c>
      <c r="P3385" s="79">
        <v>45062.633136574077</v>
      </c>
      <c r="Q3385" s="77" t="s">
        <v>4591</v>
      </c>
      <c r="R3385" s="77">
        <v>0</v>
      </c>
      <c r="S3385" s="77">
        <v>0</v>
      </c>
      <c r="T3385" s="77">
        <v>0</v>
      </c>
      <c r="U3385" s="77">
        <v>0</v>
      </c>
      <c r="V3385" s="77">
        <v>64</v>
      </c>
      <c r="W3385" s="82" t="s">
        <v>6740</v>
      </c>
      <c r="X3385" s="77"/>
      <c r="Y3385" s="77"/>
      <c r="Z3385" s="77"/>
      <c r="AA3385" s="77" t="s">
        <v>9710</v>
      </c>
      <c r="AB3385" s="77" t="s">
        <v>10130</v>
      </c>
      <c r="AC3385" s="82" t="s">
        <v>10147</v>
      </c>
      <c r="AD3385" s="77" t="s">
        <v>10184</v>
      </c>
      <c r="AE3385" s="80" t="str">
        <f>HYPERLINK("https://twitter.com/imdasmilhas/status/1658490415912460289")</f>
        <v>https://twitter.com/imdasmilhas/status/1658490415912460289</v>
      </c>
      <c r="AF3385" s="79">
        <v>45062.633136574077</v>
      </c>
      <c r="AG3385" s="85">
        <v>45062</v>
      </c>
      <c r="AH3385" s="82" t="s">
        <v>13382</v>
      </c>
      <c r="AI3385" s="77" t="b">
        <v>0</v>
      </c>
      <c r="AJ3385" s="77"/>
      <c r="AK3385" s="77"/>
      <c r="AL3385" s="77"/>
      <c r="AM3385" s="77"/>
      <c r="AN3385" s="77"/>
      <c r="AO3385" s="77"/>
      <c r="AP3385" s="77"/>
      <c r="AQ3385" s="77" t="s">
        <v>16353</v>
      </c>
      <c r="AR3385" s="77"/>
      <c r="AS3385" s="77"/>
      <c r="AT3385" s="77"/>
      <c r="AU3385" s="77"/>
      <c r="AV3385" s="80" t="str">
        <f>HYPERLINK("https://pbs.twimg.com/media/FwQkPlWWYAAv_7Z.jpg")</f>
        <v>https://pbs.twimg.com/media/FwQkPlWWYAAv_7Z.jpg</v>
      </c>
      <c r="AW3385" s="82" t="s">
        <v>20151</v>
      </c>
      <c r="AX3385" s="82" t="s">
        <v>20151</v>
      </c>
      <c r="AY3385" s="77"/>
      <c r="AZ3385" s="82" t="s">
        <v>20971</v>
      </c>
      <c r="BA3385" s="82" t="s">
        <v>20971</v>
      </c>
      <c r="BB3385" s="82" t="s">
        <v>20971</v>
      </c>
      <c r="BC3385" s="82" t="s">
        <v>20151</v>
      </c>
      <c r="BD3385" s="82" t="s">
        <v>21597</v>
      </c>
      <c r="BE3385" s="77"/>
      <c r="BF3385" s="77"/>
      <c r="BG3385" s="77"/>
      <c r="BH3385" s="77"/>
      <c r="BI3385" s="77"/>
    </row>
    <row r="3386" spans="1:61" x14ac:dyDescent="0.25">
      <c r="A3386" s="62" t="s">
        <v>1006</v>
      </c>
      <c r="B3386" s="62" t="s">
        <v>1006</v>
      </c>
      <c r="C3386" s="63"/>
      <c r="D3386" s="64"/>
      <c r="E3386" s="65"/>
      <c r="F3386" s="66"/>
      <c r="G3386" s="63"/>
      <c r="H3386" s="67"/>
      <c r="I3386" s="68"/>
      <c r="J3386" s="68"/>
      <c r="K3386" s="32"/>
      <c r="L3386" s="75">
        <v>3386</v>
      </c>
      <c r="M3386" s="75"/>
      <c r="N3386" s="70"/>
      <c r="O3386" s="77" t="s">
        <v>179</v>
      </c>
      <c r="P3386" s="79">
        <v>45055.66134259259</v>
      </c>
      <c r="Q3386" s="77" t="s">
        <v>4592</v>
      </c>
      <c r="R3386" s="77">
        <v>0</v>
      </c>
      <c r="S3386" s="77">
        <v>0</v>
      </c>
      <c r="T3386" s="77">
        <v>0</v>
      </c>
      <c r="U3386" s="77">
        <v>0</v>
      </c>
      <c r="V3386" s="77">
        <v>148</v>
      </c>
      <c r="W3386" s="82" t="s">
        <v>6740</v>
      </c>
      <c r="X3386" s="77"/>
      <c r="Y3386" s="77"/>
      <c r="Z3386" s="77"/>
      <c r="AA3386" s="77" t="s">
        <v>9711</v>
      </c>
      <c r="AB3386" s="77" t="s">
        <v>10130</v>
      </c>
      <c r="AC3386" s="82" t="s">
        <v>10147</v>
      </c>
      <c r="AD3386" s="77" t="s">
        <v>10184</v>
      </c>
      <c r="AE3386" s="80" t="str">
        <f>HYPERLINK("https://twitter.com/imdasmilhas/status/1655963923537883136")</f>
        <v>https://twitter.com/imdasmilhas/status/1655963923537883136</v>
      </c>
      <c r="AF3386" s="79">
        <v>45055.66134259259</v>
      </c>
      <c r="AG3386" s="85">
        <v>45055</v>
      </c>
      <c r="AH3386" s="82" t="s">
        <v>13383</v>
      </c>
      <c r="AI3386" s="77" t="b">
        <v>0</v>
      </c>
      <c r="AJ3386" s="77"/>
      <c r="AK3386" s="77"/>
      <c r="AL3386" s="77"/>
      <c r="AM3386" s="77"/>
      <c r="AN3386" s="77"/>
      <c r="AO3386" s="77"/>
      <c r="AP3386" s="77"/>
      <c r="AQ3386" s="77" t="s">
        <v>16354</v>
      </c>
      <c r="AR3386" s="77"/>
      <c r="AS3386" s="77"/>
      <c r="AT3386" s="77"/>
      <c r="AU3386" s="77"/>
      <c r="AV3386" s="80" t="str">
        <f>HYPERLINK("https://pbs.twimg.com/media/FvsqaYVaUAYuI7s.jpg")</f>
        <v>https://pbs.twimg.com/media/FvsqaYVaUAYuI7s.jpg</v>
      </c>
      <c r="AW3386" s="82" t="s">
        <v>20152</v>
      </c>
      <c r="AX3386" s="82" t="s">
        <v>20152</v>
      </c>
      <c r="AY3386" s="77"/>
      <c r="AZ3386" s="82" t="s">
        <v>20971</v>
      </c>
      <c r="BA3386" s="82" t="s">
        <v>20971</v>
      </c>
      <c r="BB3386" s="82" t="s">
        <v>20971</v>
      </c>
      <c r="BC3386" s="82" t="s">
        <v>20152</v>
      </c>
      <c r="BD3386" s="82" t="s">
        <v>21597</v>
      </c>
      <c r="BE3386" s="77"/>
      <c r="BF3386" s="77"/>
      <c r="BG3386" s="77"/>
      <c r="BH3386" s="77"/>
      <c r="BI3386" s="77"/>
    </row>
    <row r="3387" spans="1:61" x14ac:dyDescent="0.25">
      <c r="A3387" s="62" t="s">
        <v>1006</v>
      </c>
      <c r="B3387" s="62" t="s">
        <v>1006</v>
      </c>
      <c r="C3387" s="63"/>
      <c r="D3387" s="64"/>
      <c r="E3387" s="65"/>
      <c r="F3387" s="66"/>
      <c r="G3387" s="63"/>
      <c r="H3387" s="67"/>
      <c r="I3387" s="68"/>
      <c r="J3387" s="68"/>
      <c r="K3387" s="32"/>
      <c r="L3387" s="75">
        <v>3387</v>
      </c>
      <c r="M3387" s="75"/>
      <c r="N3387" s="70"/>
      <c r="O3387" s="77" t="s">
        <v>179</v>
      </c>
      <c r="P3387" s="79">
        <v>45055.660428240742</v>
      </c>
      <c r="Q3387" s="77" t="s">
        <v>4593</v>
      </c>
      <c r="R3387" s="77">
        <v>0</v>
      </c>
      <c r="S3387" s="77">
        <v>0</v>
      </c>
      <c r="T3387" s="77">
        <v>0</v>
      </c>
      <c r="U3387" s="77">
        <v>0</v>
      </c>
      <c r="V3387" s="77">
        <v>68</v>
      </c>
      <c r="W3387" s="82" t="s">
        <v>6740</v>
      </c>
      <c r="X3387" s="77"/>
      <c r="Y3387" s="77"/>
      <c r="Z3387" s="77"/>
      <c r="AA3387" s="77" t="s">
        <v>9712</v>
      </c>
      <c r="AB3387" s="77" t="s">
        <v>10130</v>
      </c>
      <c r="AC3387" s="82" t="s">
        <v>10147</v>
      </c>
      <c r="AD3387" s="77" t="s">
        <v>10184</v>
      </c>
      <c r="AE3387" s="80" t="str">
        <f>HYPERLINK("https://twitter.com/imdasmilhas/status/1655963592519294978")</f>
        <v>https://twitter.com/imdasmilhas/status/1655963592519294978</v>
      </c>
      <c r="AF3387" s="79">
        <v>45055.660428240742</v>
      </c>
      <c r="AG3387" s="85">
        <v>45055</v>
      </c>
      <c r="AH3387" s="82" t="s">
        <v>13384</v>
      </c>
      <c r="AI3387" s="77" t="b">
        <v>0</v>
      </c>
      <c r="AJ3387" s="77"/>
      <c r="AK3387" s="77"/>
      <c r="AL3387" s="77"/>
      <c r="AM3387" s="77"/>
      <c r="AN3387" s="77"/>
      <c r="AO3387" s="77"/>
      <c r="AP3387" s="77"/>
      <c r="AQ3387" s="77" t="s">
        <v>16355</v>
      </c>
      <c r="AR3387" s="77"/>
      <c r="AS3387" s="77"/>
      <c r="AT3387" s="77"/>
      <c r="AU3387" s="77"/>
      <c r="AV3387" s="80" t="str">
        <f>HYPERLINK("https://pbs.twimg.com/media/FvsqHHfXgAAPsNT.jpg")</f>
        <v>https://pbs.twimg.com/media/FvsqHHfXgAAPsNT.jpg</v>
      </c>
      <c r="AW3387" s="82" t="s">
        <v>20153</v>
      </c>
      <c r="AX3387" s="82" t="s">
        <v>20153</v>
      </c>
      <c r="AY3387" s="77"/>
      <c r="AZ3387" s="82" t="s">
        <v>20971</v>
      </c>
      <c r="BA3387" s="82" t="s">
        <v>20971</v>
      </c>
      <c r="BB3387" s="82" t="s">
        <v>20971</v>
      </c>
      <c r="BC3387" s="82" t="s">
        <v>20153</v>
      </c>
      <c r="BD3387" s="82" t="s">
        <v>21597</v>
      </c>
      <c r="BE3387" s="77"/>
      <c r="BF3387" s="77"/>
      <c r="BG3387" s="77"/>
      <c r="BH3387" s="77"/>
      <c r="BI3387" s="77"/>
    </row>
    <row r="3388" spans="1:61" x14ac:dyDescent="0.25">
      <c r="A3388" s="62" t="s">
        <v>1006</v>
      </c>
      <c r="B3388" s="62" t="s">
        <v>1006</v>
      </c>
      <c r="C3388" s="63"/>
      <c r="D3388" s="64"/>
      <c r="E3388" s="65"/>
      <c r="F3388" s="66"/>
      <c r="G3388" s="63"/>
      <c r="H3388" s="67"/>
      <c r="I3388" s="68"/>
      <c r="J3388" s="68"/>
      <c r="K3388" s="32"/>
      <c r="L3388" s="75">
        <v>3388</v>
      </c>
      <c r="M3388" s="75"/>
      <c r="N3388" s="70"/>
      <c r="O3388" s="77" t="s">
        <v>179</v>
      </c>
      <c r="P3388" s="79">
        <v>45055.659062500003</v>
      </c>
      <c r="Q3388" s="77" t="s">
        <v>4594</v>
      </c>
      <c r="R3388" s="77">
        <v>0</v>
      </c>
      <c r="S3388" s="77">
        <v>0</v>
      </c>
      <c r="T3388" s="77">
        <v>0</v>
      </c>
      <c r="U3388" s="77">
        <v>0</v>
      </c>
      <c r="V3388" s="77">
        <v>59</v>
      </c>
      <c r="W3388" s="82" t="s">
        <v>6740</v>
      </c>
      <c r="X3388" s="77"/>
      <c r="Y3388" s="77"/>
      <c r="Z3388" s="77"/>
      <c r="AA3388" s="77" t="s">
        <v>9713</v>
      </c>
      <c r="AB3388" s="77" t="s">
        <v>10130</v>
      </c>
      <c r="AC3388" s="82" t="s">
        <v>10147</v>
      </c>
      <c r="AD3388" s="77" t="s">
        <v>10184</v>
      </c>
      <c r="AE3388" s="80" t="str">
        <f>HYPERLINK("https://twitter.com/imdasmilhas/status/1655963095989141511")</f>
        <v>https://twitter.com/imdasmilhas/status/1655963095989141511</v>
      </c>
      <c r="AF3388" s="79">
        <v>45055.659062500003</v>
      </c>
      <c r="AG3388" s="85">
        <v>45055</v>
      </c>
      <c r="AH3388" s="82" t="s">
        <v>13385</v>
      </c>
      <c r="AI3388" s="77" t="b">
        <v>0</v>
      </c>
      <c r="AJ3388" s="77"/>
      <c r="AK3388" s="77"/>
      <c r="AL3388" s="77"/>
      <c r="AM3388" s="77"/>
      <c r="AN3388" s="77"/>
      <c r="AO3388" s="77"/>
      <c r="AP3388" s="77"/>
      <c r="AQ3388" s="77" t="s">
        <v>16356</v>
      </c>
      <c r="AR3388" s="77"/>
      <c r="AS3388" s="77"/>
      <c r="AT3388" s="77"/>
      <c r="AU3388" s="77"/>
      <c r="AV3388" s="80" t="str">
        <f>HYPERLINK("https://pbs.twimg.com/media/FvspqNZaYAMCStt.jpg")</f>
        <v>https://pbs.twimg.com/media/FvspqNZaYAMCStt.jpg</v>
      </c>
      <c r="AW3388" s="82" t="s">
        <v>20154</v>
      </c>
      <c r="AX3388" s="82" t="s">
        <v>20154</v>
      </c>
      <c r="AY3388" s="77"/>
      <c r="AZ3388" s="82" t="s">
        <v>20971</v>
      </c>
      <c r="BA3388" s="82" t="s">
        <v>20971</v>
      </c>
      <c r="BB3388" s="82" t="s">
        <v>20971</v>
      </c>
      <c r="BC3388" s="82" t="s">
        <v>20154</v>
      </c>
      <c r="BD3388" s="82" t="s">
        <v>21597</v>
      </c>
      <c r="BE3388" s="77"/>
      <c r="BF3388" s="77"/>
      <c r="BG3388" s="77"/>
      <c r="BH3388" s="77"/>
      <c r="BI3388" s="77"/>
    </row>
    <row r="3389" spans="1:61" x14ac:dyDescent="0.25">
      <c r="A3389" s="62" t="s">
        <v>1006</v>
      </c>
      <c r="B3389" s="62" t="s">
        <v>1006</v>
      </c>
      <c r="C3389" s="63"/>
      <c r="D3389" s="64"/>
      <c r="E3389" s="65"/>
      <c r="F3389" s="66"/>
      <c r="G3389" s="63"/>
      <c r="H3389" s="67"/>
      <c r="I3389" s="68"/>
      <c r="J3389" s="68"/>
      <c r="K3389" s="32"/>
      <c r="L3389" s="75">
        <v>3389</v>
      </c>
      <c r="M3389" s="75"/>
      <c r="N3389" s="70"/>
      <c r="O3389" s="77" t="s">
        <v>179</v>
      </c>
      <c r="P3389" s="79">
        <v>45055.65289351852</v>
      </c>
      <c r="Q3389" s="77" t="s">
        <v>4595</v>
      </c>
      <c r="R3389" s="77">
        <v>0</v>
      </c>
      <c r="S3389" s="77">
        <v>0</v>
      </c>
      <c r="T3389" s="77">
        <v>0</v>
      </c>
      <c r="U3389" s="77">
        <v>0</v>
      </c>
      <c r="V3389" s="77">
        <v>67</v>
      </c>
      <c r="W3389" s="82" t="s">
        <v>6740</v>
      </c>
      <c r="X3389" s="77"/>
      <c r="Y3389" s="77"/>
      <c r="Z3389" s="77"/>
      <c r="AA3389" s="77" t="s">
        <v>9714</v>
      </c>
      <c r="AB3389" s="77" t="s">
        <v>10130</v>
      </c>
      <c r="AC3389" s="82" t="s">
        <v>10147</v>
      </c>
      <c r="AD3389" s="77" t="s">
        <v>10184</v>
      </c>
      <c r="AE3389" s="80" t="str">
        <f>HYPERLINK("https://twitter.com/imdasmilhas/status/1655960863726002178")</f>
        <v>https://twitter.com/imdasmilhas/status/1655960863726002178</v>
      </c>
      <c r="AF3389" s="79">
        <v>45055.65289351852</v>
      </c>
      <c r="AG3389" s="85">
        <v>45055</v>
      </c>
      <c r="AH3389" s="82" t="s">
        <v>13386</v>
      </c>
      <c r="AI3389" s="77" t="b">
        <v>0</v>
      </c>
      <c r="AJ3389" s="77"/>
      <c r="AK3389" s="77"/>
      <c r="AL3389" s="77"/>
      <c r="AM3389" s="77"/>
      <c r="AN3389" s="77"/>
      <c r="AO3389" s="77"/>
      <c r="AP3389" s="77"/>
      <c r="AQ3389" s="77" t="s">
        <v>16357</v>
      </c>
      <c r="AR3389" s="77"/>
      <c r="AS3389" s="77"/>
      <c r="AT3389" s="77"/>
      <c r="AU3389" s="77"/>
      <c r="AV3389" s="80" t="str">
        <f>HYPERLINK("https://pbs.twimg.com/media/FvsnoTMagAI3G5r.jpg")</f>
        <v>https://pbs.twimg.com/media/FvsnoTMagAI3G5r.jpg</v>
      </c>
      <c r="AW3389" s="82" t="s">
        <v>20155</v>
      </c>
      <c r="AX3389" s="82" t="s">
        <v>20155</v>
      </c>
      <c r="AY3389" s="77"/>
      <c r="AZ3389" s="82" t="s">
        <v>20971</v>
      </c>
      <c r="BA3389" s="82" t="s">
        <v>20971</v>
      </c>
      <c r="BB3389" s="82" t="s">
        <v>20971</v>
      </c>
      <c r="BC3389" s="82" t="s">
        <v>20155</v>
      </c>
      <c r="BD3389" s="82" t="s">
        <v>21597</v>
      </c>
      <c r="BE3389" s="77"/>
      <c r="BF3389" s="77"/>
      <c r="BG3389" s="77"/>
      <c r="BH3389" s="77"/>
      <c r="BI3389" s="77"/>
    </row>
    <row r="3390" spans="1:61" x14ac:dyDescent="0.25">
      <c r="A3390" s="62" t="s">
        <v>1006</v>
      </c>
      <c r="B3390" s="62" t="s">
        <v>1006</v>
      </c>
      <c r="C3390" s="63"/>
      <c r="D3390" s="64"/>
      <c r="E3390" s="65"/>
      <c r="F3390" s="66"/>
      <c r="G3390" s="63"/>
      <c r="H3390" s="67"/>
      <c r="I3390" s="68"/>
      <c r="J3390" s="68"/>
      <c r="K3390" s="32"/>
      <c r="L3390" s="75">
        <v>3390</v>
      </c>
      <c r="M3390" s="75"/>
      <c r="N3390" s="70"/>
      <c r="O3390" s="77" t="s">
        <v>179</v>
      </c>
      <c r="P3390" s="79">
        <v>45055.65215277778</v>
      </c>
      <c r="Q3390" s="77" t="s">
        <v>4596</v>
      </c>
      <c r="R3390" s="77">
        <v>0</v>
      </c>
      <c r="S3390" s="77">
        <v>0</v>
      </c>
      <c r="T3390" s="77">
        <v>0</v>
      </c>
      <c r="U3390" s="77">
        <v>0</v>
      </c>
      <c r="V3390" s="77">
        <v>47</v>
      </c>
      <c r="W3390" s="82" t="s">
        <v>6740</v>
      </c>
      <c r="X3390" s="77"/>
      <c r="Y3390" s="77"/>
      <c r="Z3390" s="77"/>
      <c r="AA3390" s="77" t="s">
        <v>9715</v>
      </c>
      <c r="AB3390" s="77" t="s">
        <v>10130</v>
      </c>
      <c r="AC3390" s="82" t="s">
        <v>10147</v>
      </c>
      <c r="AD3390" s="77" t="s">
        <v>10184</v>
      </c>
      <c r="AE3390" s="80" t="str">
        <f>HYPERLINK("https://twitter.com/imdasmilhas/status/1655960595269648387")</f>
        <v>https://twitter.com/imdasmilhas/status/1655960595269648387</v>
      </c>
      <c r="AF3390" s="79">
        <v>45055.65215277778</v>
      </c>
      <c r="AG3390" s="85">
        <v>45055</v>
      </c>
      <c r="AH3390" s="82" t="s">
        <v>13387</v>
      </c>
      <c r="AI3390" s="77" t="b">
        <v>0</v>
      </c>
      <c r="AJ3390" s="77"/>
      <c r="AK3390" s="77"/>
      <c r="AL3390" s="77"/>
      <c r="AM3390" s="77"/>
      <c r="AN3390" s="77"/>
      <c r="AO3390" s="77"/>
      <c r="AP3390" s="77"/>
      <c r="AQ3390" s="77" t="s">
        <v>16358</v>
      </c>
      <c r="AR3390" s="77"/>
      <c r="AS3390" s="77"/>
      <c r="AT3390" s="77"/>
      <c r="AU3390" s="77"/>
      <c r="AV3390" s="80" t="str">
        <f>HYPERLINK("https://pbs.twimg.com/media/FvsnYo9aQAAKbx0.jpg")</f>
        <v>https://pbs.twimg.com/media/FvsnYo9aQAAKbx0.jpg</v>
      </c>
      <c r="AW3390" s="82" t="s">
        <v>20156</v>
      </c>
      <c r="AX3390" s="82" t="s">
        <v>20156</v>
      </c>
      <c r="AY3390" s="77"/>
      <c r="AZ3390" s="82" t="s">
        <v>20971</v>
      </c>
      <c r="BA3390" s="82" t="s">
        <v>20971</v>
      </c>
      <c r="BB3390" s="82" t="s">
        <v>20971</v>
      </c>
      <c r="BC3390" s="82" t="s">
        <v>20156</v>
      </c>
      <c r="BD3390" s="82" t="s">
        <v>21597</v>
      </c>
      <c r="BE3390" s="77"/>
      <c r="BF3390" s="77"/>
      <c r="BG3390" s="77"/>
      <c r="BH3390" s="77"/>
      <c r="BI3390" s="77"/>
    </row>
    <row r="3391" spans="1:61" x14ac:dyDescent="0.25">
      <c r="A3391" s="62" t="s">
        <v>1006</v>
      </c>
      <c r="B3391" s="62" t="s">
        <v>1006</v>
      </c>
      <c r="C3391" s="63"/>
      <c r="D3391" s="64"/>
      <c r="E3391" s="65"/>
      <c r="F3391" s="66"/>
      <c r="G3391" s="63"/>
      <c r="H3391" s="67"/>
      <c r="I3391" s="68"/>
      <c r="J3391" s="68"/>
      <c r="K3391" s="32"/>
      <c r="L3391" s="75">
        <v>3391</v>
      </c>
      <c r="M3391" s="75"/>
      <c r="N3391" s="70"/>
      <c r="O3391" s="77" t="s">
        <v>179</v>
      </c>
      <c r="P3391" s="79">
        <v>45055.651886574073</v>
      </c>
      <c r="Q3391" s="77" t="s">
        <v>4597</v>
      </c>
      <c r="R3391" s="77">
        <v>0</v>
      </c>
      <c r="S3391" s="77">
        <v>0</v>
      </c>
      <c r="T3391" s="77">
        <v>0</v>
      </c>
      <c r="U3391" s="77">
        <v>0</v>
      </c>
      <c r="V3391" s="77">
        <v>76</v>
      </c>
      <c r="W3391" s="82" t="s">
        <v>6740</v>
      </c>
      <c r="X3391" s="77"/>
      <c r="Y3391" s="77"/>
      <c r="Z3391" s="77"/>
      <c r="AA3391" s="77" t="s">
        <v>9716</v>
      </c>
      <c r="AB3391" s="77" t="s">
        <v>10130</v>
      </c>
      <c r="AC3391" s="82" t="s">
        <v>10147</v>
      </c>
      <c r="AD3391" s="77" t="s">
        <v>10184</v>
      </c>
      <c r="AE3391" s="80" t="str">
        <f>HYPERLINK("https://twitter.com/imdasmilhas/status/1655960496443478016")</f>
        <v>https://twitter.com/imdasmilhas/status/1655960496443478016</v>
      </c>
      <c r="AF3391" s="79">
        <v>45055.651886574073</v>
      </c>
      <c r="AG3391" s="85">
        <v>45055</v>
      </c>
      <c r="AH3391" s="82" t="s">
        <v>13388</v>
      </c>
      <c r="AI3391" s="77" t="b">
        <v>0</v>
      </c>
      <c r="AJ3391" s="77"/>
      <c r="AK3391" s="77"/>
      <c r="AL3391" s="77"/>
      <c r="AM3391" s="77"/>
      <c r="AN3391" s="77"/>
      <c r="AO3391" s="77"/>
      <c r="AP3391" s="77"/>
      <c r="AQ3391" s="77" t="s">
        <v>16359</v>
      </c>
      <c r="AR3391" s="77"/>
      <c r="AS3391" s="77"/>
      <c r="AT3391" s="77"/>
      <c r="AU3391" s="77"/>
      <c r="AV3391" s="80" t="str">
        <f>HYPERLINK("https://pbs.twimg.com/media/FvsnS4CagAEEIFc.jpg")</f>
        <v>https://pbs.twimg.com/media/FvsnS4CagAEEIFc.jpg</v>
      </c>
      <c r="AW3391" s="82" t="s">
        <v>20157</v>
      </c>
      <c r="AX3391" s="82" t="s">
        <v>20157</v>
      </c>
      <c r="AY3391" s="77"/>
      <c r="AZ3391" s="82" t="s">
        <v>20971</v>
      </c>
      <c r="BA3391" s="82" t="s">
        <v>20971</v>
      </c>
      <c r="BB3391" s="82" t="s">
        <v>20971</v>
      </c>
      <c r="BC3391" s="82" t="s">
        <v>20157</v>
      </c>
      <c r="BD3391" s="82" t="s">
        <v>21597</v>
      </c>
      <c r="BE3391" s="77"/>
      <c r="BF3391" s="77"/>
      <c r="BG3391" s="77"/>
      <c r="BH3391" s="77"/>
      <c r="BI3391" s="77"/>
    </row>
    <row r="3392" spans="1:61" x14ac:dyDescent="0.25">
      <c r="A3392" s="62" t="s">
        <v>1006</v>
      </c>
      <c r="B3392" s="62" t="s">
        <v>1006</v>
      </c>
      <c r="C3392" s="63"/>
      <c r="D3392" s="64"/>
      <c r="E3392" s="65"/>
      <c r="F3392" s="66"/>
      <c r="G3392" s="63"/>
      <c r="H3392" s="67"/>
      <c r="I3392" s="68"/>
      <c r="J3392" s="68"/>
      <c r="K3392" s="32"/>
      <c r="L3392" s="75">
        <v>3392</v>
      </c>
      <c r="M3392" s="75"/>
      <c r="N3392" s="70"/>
      <c r="O3392" s="77" t="s">
        <v>179</v>
      </c>
      <c r="P3392" s="79">
        <v>45054.653148148151</v>
      </c>
      <c r="Q3392" s="77" t="s">
        <v>4598</v>
      </c>
      <c r="R3392" s="77">
        <v>0</v>
      </c>
      <c r="S3392" s="77">
        <v>1</v>
      </c>
      <c r="T3392" s="77">
        <v>0</v>
      </c>
      <c r="U3392" s="77">
        <v>0</v>
      </c>
      <c r="V3392" s="77">
        <v>95</v>
      </c>
      <c r="W3392" s="82" t="s">
        <v>6740</v>
      </c>
      <c r="X3392" s="77"/>
      <c r="Y3392" s="77"/>
      <c r="Z3392" s="77"/>
      <c r="AA3392" s="77" t="s">
        <v>9717</v>
      </c>
      <c r="AB3392" s="77" t="s">
        <v>10130</v>
      </c>
      <c r="AC3392" s="82" t="s">
        <v>10147</v>
      </c>
      <c r="AD3392" s="77" t="s">
        <v>10184</v>
      </c>
      <c r="AE3392" s="80" t="str">
        <f>HYPERLINK("https://twitter.com/imdasmilhas/status/1655598566700662784")</f>
        <v>https://twitter.com/imdasmilhas/status/1655598566700662784</v>
      </c>
      <c r="AF3392" s="79">
        <v>45054.653148148151</v>
      </c>
      <c r="AG3392" s="85">
        <v>45054</v>
      </c>
      <c r="AH3392" s="82" t="s">
        <v>13389</v>
      </c>
      <c r="AI3392" s="77" t="b">
        <v>0</v>
      </c>
      <c r="AJ3392" s="77"/>
      <c r="AK3392" s="77"/>
      <c r="AL3392" s="77"/>
      <c r="AM3392" s="77"/>
      <c r="AN3392" s="77"/>
      <c r="AO3392" s="77"/>
      <c r="AP3392" s="77"/>
      <c r="AQ3392" s="77" t="s">
        <v>16360</v>
      </c>
      <c r="AR3392" s="77"/>
      <c r="AS3392" s="77"/>
      <c r="AT3392" s="77"/>
      <c r="AU3392" s="77"/>
      <c r="AV3392" s="80" t="str">
        <f>HYPERLINK("https://pbs.twimg.com/media/FvneHwuXgAQWrLL.jpg")</f>
        <v>https://pbs.twimg.com/media/FvneHwuXgAQWrLL.jpg</v>
      </c>
      <c r="AW3392" s="82" t="s">
        <v>20158</v>
      </c>
      <c r="AX3392" s="82" t="s">
        <v>20158</v>
      </c>
      <c r="AY3392" s="77"/>
      <c r="AZ3392" s="82" t="s">
        <v>20971</v>
      </c>
      <c r="BA3392" s="82" t="s">
        <v>20971</v>
      </c>
      <c r="BB3392" s="82" t="s">
        <v>20971</v>
      </c>
      <c r="BC3392" s="82" t="s">
        <v>20158</v>
      </c>
      <c r="BD3392" s="82" t="s">
        <v>21597</v>
      </c>
      <c r="BE3392" s="77"/>
      <c r="BF3392" s="77"/>
      <c r="BG3392" s="77"/>
      <c r="BH3392" s="77"/>
      <c r="BI3392" s="77"/>
    </row>
    <row r="3393" spans="1:61" x14ac:dyDescent="0.25">
      <c r="A3393" s="62" t="s">
        <v>1006</v>
      </c>
      <c r="B3393" s="62" t="s">
        <v>1006</v>
      </c>
      <c r="C3393" s="63"/>
      <c r="D3393" s="64"/>
      <c r="E3393" s="65"/>
      <c r="F3393" s="66"/>
      <c r="G3393" s="63"/>
      <c r="H3393" s="67"/>
      <c r="I3393" s="68"/>
      <c r="J3393" s="68"/>
      <c r="K3393" s="32"/>
      <c r="L3393" s="75">
        <v>3393</v>
      </c>
      <c r="M3393" s="75"/>
      <c r="N3393" s="70"/>
      <c r="O3393" s="77" t="s">
        <v>179</v>
      </c>
      <c r="P3393" s="79">
        <v>45054.641215277778</v>
      </c>
      <c r="Q3393" s="77" t="s">
        <v>4599</v>
      </c>
      <c r="R3393" s="77">
        <v>0</v>
      </c>
      <c r="S3393" s="77">
        <v>1</v>
      </c>
      <c r="T3393" s="77">
        <v>0</v>
      </c>
      <c r="U3393" s="77">
        <v>0</v>
      </c>
      <c r="V3393" s="77">
        <v>62</v>
      </c>
      <c r="W3393" s="82" t="s">
        <v>6742</v>
      </c>
      <c r="X3393" s="77"/>
      <c r="Y3393" s="77"/>
      <c r="Z3393" s="77"/>
      <c r="AA3393" s="77" t="s">
        <v>9718</v>
      </c>
      <c r="AB3393" s="77" t="s">
        <v>10130</v>
      </c>
      <c r="AC3393" s="82" t="s">
        <v>10147</v>
      </c>
      <c r="AD3393" s="77" t="s">
        <v>10184</v>
      </c>
      <c r="AE3393" s="80" t="str">
        <f>HYPERLINK("https://twitter.com/imdasmilhas/status/1655594242096365569")</f>
        <v>https://twitter.com/imdasmilhas/status/1655594242096365569</v>
      </c>
      <c r="AF3393" s="79">
        <v>45054.641215277778</v>
      </c>
      <c r="AG3393" s="85">
        <v>45054</v>
      </c>
      <c r="AH3393" s="82" t="s">
        <v>13390</v>
      </c>
      <c r="AI3393" s="77" t="b">
        <v>0</v>
      </c>
      <c r="AJ3393" s="77"/>
      <c r="AK3393" s="77"/>
      <c r="AL3393" s="77"/>
      <c r="AM3393" s="77"/>
      <c r="AN3393" s="77"/>
      <c r="AO3393" s="77"/>
      <c r="AP3393" s="77"/>
      <c r="AQ3393" s="77" t="s">
        <v>16361</v>
      </c>
      <c r="AR3393" s="77"/>
      <c r="AS3393" s="77"/>
      <c r="AT3393" s="77"/>
      <c r="AU3393" s="77"/>
      <c r="AV3393" s="80" t="str">
        <f>HYPERLINK("https://pbs.twimg.com/media/FvnaMFFXwAMjTSV.jpg")</f>
        <v>https://pbs.twimg.com/media/FvnaMFFXwAMjTSV.jpg</v>
      </c>
      <c r="AW3393" s="82" t="s">
        <v>20159</v>
      </c>
      <c r="AX3393" s="82" t="s">
        <v>20159</v>
      </c>
      <c r="AY3393" s="77"/>
      <c r="AZ3393" s="82" t="s">
        <v>20971</v>
      </c>
      <c r="BA3393" s="82" t="s">
        <v>20971</v>
      </c>
      <c r="BB3393" s="82" t="s">
        <v>20971</v>
      </c>
      <c r="BC3393" s="82" t="s">
        <v>20159</v>
      </c>
      <c r="BD3393" s="82" t="s">
        <v>21597</v>
      </c>
      <c r="BE3393" s="77"/>
      <c r="BF3393" s="77"/>
      <c r="BG3393" s="77"/>
      <c r="BH3393" s="77"/>
      <c r="BI3393" s="77"/>
    </row>
    <row r="3394" spans="1:61" x14ac:dyDescent="0.25">
      <c r="A3394" s="62" t="s">
        <v>1006</v>
      </c>
      <c r="B3394" s="62" t="s">
        <v>1006</v>
      </c>
      <c r="C3394" s="63"/>
      <c r="D3394" s="64"/>
      <c r="E3394" s="65"/>
      <c r="F3394" s="66"/>
      <c r="G3394" s="63"/>
      <c r="H3394" s="67"/>
      <c r="I3394" s="68"/>
      <c r="J3394" s="68"/>
      <c r="K3394" s="32"/>
      <c r="L3394" s="75">
        <v>3394</v>
      </c>
      <c r="M3394" s="75"/>
      <c r="N3394" s="70"/>
      <c r="O3394" s="77" t="s">
        <v>179</v>
      </c>
      <c r="P3394" s="79">
        <v>45054.640405092592</v>
      </c>
      <c r="Q3394" s="77" t="s">
        <v>4600</v>
      </c>
      <c r="R3394" s="77">
        <v>0</v>
      </c>
      <c r="S3394" s="77">
        <v>3</v>
      </c>
      <c r="T3394" s="77">
        <v>0</v>
      </c>
      <c r="U3394" s="77">
        <v>0</v>
      </c>
      <c r="V3394" s="77">
        <v>113</v>
      </c>
      <c r="W3394" s="82" t="s">
        <v>6740</v>
      </c>
      <c r="X3394" s="77"/>
      <c r="Y3394" s="77"/>
      <c r="Z3394" s="77"/>
      <c r="AA3394" s="77" t="s">
        <v>9719</v>
      </c>
      <c r="AB3394" s="77" t="s">
        <v>10130</v>
      </c>
      <c r="AC3394" s="82" t="s">
        <v>10147</v>
      </c>
      <c r="AD3394" s="77" t="s">
        <v>10184</v>
      </c>
      <c r="AE3394" s="80" t="str">
        <f>HYPERLINK("https://twitter.com/imdasmilhas/status/1655593946834259978")</f>
        <v>https://twitter.com/imdasmilhas/status/1655593946834259978</v>
      </c>
      <c r="AF3394" s="79">
        <v>45054.640405092592</v>
      </c>
      <c r="AG3394" s="85">
        <v>45054</v>
      </c>
      <c r="AH3394" s="82" t="s">
        <v>13391</v>
      </c>
      <c r="AI3394" s="77" t="b">
        <v>0</v>
      </c>
      <c r="AJ3394" s="77"/>
      <c r="AK3394" s="77"/>
      <c r="AL3394" s="77"/>
      <c r="AM3394" s="77"/>
      <c r="AN3394" s="77"/>
      <c r="AO3394" s="77"/>
      <c r="AP3394" s="77"/>
      <c r="AQ3394" s="77" t="s">
        <v>16362</v>
      </c>
      <c r="AR3394" s="77"/>
      <c r="AS3394" s="77"/>
      <c r="AT3394" s="77"/>
      <c r="AU3394" s="77"/>
      <c r="AV3394" s="80" t="str">
        <f>HYPERLINK("https://pbs.twimg.com/media/FvnZ66tXwAc07bx.jpg")</f>
        <v>https://pbs.twimg.com/media/FvnZ66tXwAc07bx.jpg</v>
      </c>
      <c r="AW3394" s="82" t="s">
        <v>20160</v>
      </c>
      <c r="AX3394" s="82" t="s">
        <v>20160</v>
      </c>
      <c r="AY3394" s="77"/>
      <c r="AZ3394" s="82" t="s">
        <v>20971</v>
      </c>
      <c r="BA3394" s="82" t="s">
        <v>20971</v>
      </c>
      <c r="BB3394" s="82" t="s">
        <v>20971</v>
      </c>
      <c r="BC3394" s="82" t="s">
        <v>20160</v>
      </c>
      <c r="BD3394" s="82" t="s">
        <v>21597</v>
      </c>
      <c r="BE3394" s="77"/>
      <c r="BF3394" s="77"/>
      <c r="BG3394" s="77"/>
      <c r="BH3394" s="77"/>
      <c r="BI3394" s="77"/>
    </row>
    <row r="3395" spans="1:61" x14ac:dyDescent="0.25">
      <c r="A3395" s="62" t="s">
        <v>1006</v>
      </c>
      <c r="B3395" s="62" t="s">
        <v>1006</v>
      </c>
      <c r="C3395" s="63"/>
      <c r="D3395" s="64"/>
      <c r="E3395" s="65"/>
      <c r="F3395" s="66"/>
      <c r="G3395" s="63"/>
      <c r="H3395" s="67"/>
      <c r="I3395" s="68"/>
      <c r="J3395" s="68"/>
      <c r="K3395" s="32"/>
      <c r="L3395" s="75">
        <v>3395</v>
      </c>
      <c r="M3395" s="75"/>
      <c r="N3395" s="70"/>
      <c r="O3395" s="77" t="s">
        <v>179</v>
      </c>
      <c r="P3395" s="79">
        <v>45054.639745370368</v>
      </c>
      <c r="Q3395" s="77" t="s">
        <v>4601</v>
      </c>
      <c r="R3395" s="77">
        <v>0</v>
      </c>
      <c r="S3395" s="77">
        <v>1</v>
      </c>
      <c r="T3395" s="77">
        <v>1</v>
      </c>
      <c r="U3395" s="77">
        <v>0</v>
      </c>
      <c r="V3395" s="77">
        <v>53</v>
      </c>
      <c r="W3395" s="82" t="s">
        <v>6740</v>
      </c>
      <c r="X3395" s="77"/>
      <c r="Y3395" s="77"/>
      <c r="Z3395" s="77"/>
      <c r="AA3395" s="77" t="s">
        <v>9720</v>
      </c>
      <c r="AB3395" s="77" t="s">
        <v>10130</v>
      </c>
      <c r="AC3395" s="82" t="s">
        <v>10147</v>
      </c>
      <c r="AD3395" s="77" t="s">
        <v>10184</v>
      </c>
      <c r="AE3395" s="80" t="str">
        <f>HYPERLINK("https://twitter.com/imdasmilhas/status/1655593707968557060")</f>
        <v>https://twitter.com/imdasmilhas/status/1655593707968557060</v>
      </c>
      <c r="AF3395" s="79">
        <v>45054.639745370368</v>
      </c>
      <c r="AG3395" s="85">
        <v>45054</v>
      </c>
      <c r="AH3395" s="82" t="s">
        <v>13392</v>
      </c>
      <c r="AI3395" s="77" t="b">
        <v>0</v>
      </c>
      <c r="AJ3395" s="77"/>
      <c r="AK3395" s="77"/>
      <c r="AL3395" s="77"/>
      <c r="AM3395" s="77"/>
      <c r="AN3395" s="77"/>
      <c r="AO3395" s="77"/>
      <c r="AP3395" s="77"/>
      <c r="AQ3395" s="77" t="s">
        <v>16363</v>
      </c>
      <c r="AR3395" s="77"/>
      <c r="AS3395" s="77"/>
      <c r="AT3395" s="77"/>
      <c r="AU3395" s="77"/>
      <c r="AV3395" s="80" t="str">
        <f>HYPERLINK("https://pbs.twimg.com/media/FvnZtAAWcAExFbD.jpg")</f>
        <v>https://pbs.twimg.com/media/FvnZtAAWcAExFbD.jpg</v>
      </c>
      <c r="AW3395" s="82" t="s">
        <v>20161</v>
      </c>
      <c r="AX3395" s="82" t="s">
        <v>20161</v>
      </c>
      <c r="AY3395" s="77"/>
      <c r="AZ3395" s="82" t="s">
        <v>20971</v>
      </c>
      <c r="BA3395" s="82" t="s">
        <v>20971</v>
      </c>
      <c r="BB3395" s="82" t="s">
        <v>20971</v>
      </c>
      <c r="BC3395" s="82" t="s">
        <v>20161</v>
      </c>
      <c r="BD3395" s="82" t="s">
        <v>21597</v>
      </c>
      <c r="BE3395" s="77"/>
      <c r="BF3395" s="77"/>
      <c r="BG3395" s="77"/>
      <c r="BH3395" s="77"/>
      <c r="BI3395" s="77"/>
    </row>
    <row r="3396" spans="1:61" x14ac:dyDescent="0.25">
      <c r="A3396" s="62" t="s">
        <v>1006</v>
      </c>
      <c r="B3396" s="62" t="s">
        <v>1006</v>
      </c>
      <c r="C3396" s="63"/>
      <c r="D3396" s="64"/>
      <c r="E3396" s="65"/>
      <c r="F3396" s="66"/>
      <c r="G3396" s="63"/>
      <c r="H3396" s="67"/>
      <c r="I3396" s="68"/>
      <c r="J3396" s="68"/>
      <c r="K3396" s="32"/>
      <c r="L3396" s="75">
        <v>3396</v>
      </c>
      <c r="M3396" s="75"/>
      <c r="N3396" s="70"/>
      <c r="O3396" s="77" t="s">
        <v>179</v>
      </c>
      <c r="P3396" s="79">
        <v>45030.836145833331</v>
      </c>
      <c r="Q3396" s="77" t="s">
        <v>4602</v>
      </c>
      <c r="R3396" s="77">
        <v>0</v>
      </c>
      <c r="S3396" s="77">
        <v>0</v>
      </c>
      <c r="T3396" s="77">
        <v>0</v>
      </c>
      <c r="U3396" s="77">
        <v>0</v>
      </c>
      <c r="V3396" s="77">
        <v>123</v>
      </c>
      <c r="W3396" s="82" t="s">
        <v>6740</v>
      </c>
      <c r="X3396" s="77"/>
      <c r="Y3396" s="77"/>
      <c r="Z3396" s="77"/>
      <c r="AA3396" s="77" t="s">
        <v>9721</v>
      </c>
      <c r="AB3396" s="77" t="s">
        <v>10130</v>
      </c>
      <c r="AC3396" s="82" t="s">
        <v>10147</v>
      </c>
      <c r="AD3396" s="77" t="s">
        <v>10184</v>
      </c>
      <c r="AE3396" s="80" t="str">
        <f>HYPERLINK("https://twitter.com/imdasmilhas/status/1646967573836181504")</f>
        <v>https://twitter.com/imdasmilhas/status/1646967573836181504</v>
      </c>
      <c r="AF3396" s="79">
        <v>45030.836145833331</v>
      </c>
      <c r="AG3396" s="85">
        <v>45030</v>
      </c>
      <c r="AH3396" s="82" t="s">
        <v>13393</v>
      </c>
      <c r="AI3396" s="77" t="b">
        <v>0</v>
      </c>
      <c r="AJ3396" s="77"/>
      <c r="AK3396" s="77"/>
      <c r="AL3396" s="77"/>
      <c r="AM3396" s="77"/>
      <c r="AN3396" s="77"/>
      <c r="AO3396" s="77"/>
      <c r="AP3396" s="77"/>
      <c r="AQ3396" s="77" t="s">
        <v>16364</v>
      </c>
      <c r="AR3396" s="77"/>
      <c r="AS3396" s="77"/>
      <c r="AT3396" s="77"/>
      <c r="AU3396" s="77"/>
      <c r="AV3396" s="80" t="str">
        <f>HYPERLINK("https://pbs.twimg.com/media/Fts0R7nX0AYMqOX.jpg")</f>
        <v>https://pbs.twimg.com/media/Fts0R7nX0AYMqOX.jpg</v>
      </c>
      <c r="AW3396" s="82" t="s">
        <v>20162</v>
      </c>
      <c r="AX3396" s="82" t="s">
        <v>20162</v>
      </c>
      <c r="AY3396" s="77"/>
      <c r="AZ3396" s="82" t="s">
        <v>20971</v>
      </c>
      <c r="BA3396" s="82" t="s">
        <v>20971</v>
      </c>
      <c r="BB3396" s="82" t="s">
        <v>20971</v>
      </c>
      <c r="BC3396" s="82" t="s">
        <v>20162</v>
      </c>
      <c r="BD3396" s="82" t="s">
        <v>21597</v>
      </c>
      <c r="BE3396" s="77"/>
      <c r="BF3396" s="77"/>
      <c r="BG3396" s="77"/>
      <c r="BH3396" s="77"/>
      <c r="BI3396" s="77"/>
    </row>
    <row r="3397" spans="1:61" x14ac:dyDescent="0.25">
      <c r="A3397" s="62" t="s">
        <v>1006</v>
      </c>
      <c r="B3397" s="62" t="s">
        <v>1006</v>
      </c>
      <c r="C3397" s="63"/>
      <c r="D3397" s="64"/>
      <c r="E3397" s="65"/>
      <c r="F3397" s="66"/>
      <c r="G3397" s="63"/>
      <c r="H3397" s="67"/>
      <c r="I3397" s="68"/>
      <c r="J3397" s="68"/>
      <c r="K3397" s="32"/>
      <c r="L3397" s="75">
        <v>3397</v>
      </c>
      <c r="M3397" s="75"/>
      <c r="N3397" s="70"/>
      <c r="O3397" s="77" t="s">
        <v>179</v>
      </c>
      <c r="P3397" s="79">
        <v>45030.834085648145</v>
      </c>
      <c r="Q3397" s="77" t="s">
        <v>4603</v>
      </c>
      <c r="R3397" s="77">
        <v>0</v>
      </c>
      <c r="S3397" s="77">
        <v>0</v>
      </c>
      <c r="T3397" s="77">
        <v>0</v>
      </c>
      <c r="U3397" s="77">
        <v>0</v>
      </c>
      <c r="V3397" s="77">
        <v>135</v>
      </c>
      <c r="W3397" s="82" t="s">
        <v>6740</v>
      </c>
      <c r="X3397" s="77"/>
      <c r="Y3397" s="77"/>
      <c r="Z3397" s="77"/>
      <c r="AA3397" s="77" t="s">
        <v>9722</v>
      </c>
      <c r="AB3397" s="77" t="s">
        <v>10130</v>
      </c>
      <c r="AC3397" s="82" t="s">
        <v>10147</v>
      </c>
      <c r="AD3397" s="77" t="s">
        <v>10184</v>
      </c>
      <c r="AE3397" s="80" t="str">
        <f>HYPERLINK("https://twitter.com/imdasmilhas/status/1646966826180530198")</f>
        <v>https://twitter.com/imdasmilhas/status/1646966826180530198</v>
      </c>
      <c r="AF3397" s="79">
        <v>45030.834085648145</v>
      </c>
      <c r="AG3397" s="85">
        <v>45030</v>
      </c>
      <c r="AH3397" s="82" t="s">
        <v>13394</v>
      </c>
      <c r="AI3397" s="77" t="b">
        <v>0</v>
      </c>
      <c r="AJ3397" s="77"/>
      <c r="AK3397" s="77"/>
      <c r="AL3397" s="77"/>
      <c r="AM3397" s="77"/>
      <c r="AN3397" s="77"/>
      <c r="AO3397" s="77"/>
      <c r="AP3397" s="77"/>
      <c r="AQ3397" s="77" t="s">
        <v>16365</v>
      </c>
      <c r="AR3397" s="77"/>
      <c r="AS3397" s="77"/>
      <c r="AT3397" s="77"/>
      <c r="AU3397" s="77"/>
      <c r="AV3397" s="80" t="str">
        <f>HYPERLINK("https://pbs.twimg.com/media/FtszmUjX0Ag2Cv3.jpg")</f>
        <v>https://pbs.twimg.com/media/FtszmUjX0Ag2Cv3.jpg</v>
      </c>
      <c r="AW3397" s="82" t="s">
        <v>20163</v>
      </c>
      <c r="AX3397" s="82" t="s">
        <v>20163</v>
      </c>
      <c r="AY3397" s="77"/>
      <c r="AZ3397" s="82" t="s">
        <v>20971</v>
      </c>
      <c r="BA3397" s="82" t="s">
        <v>20971</v>
      </c>
      <c r="BB3397" s="82" t="s">
        <v>20971</v>
      </c>
      <c r="BC3397" s="82" t="s">
        <v>20163</v>
      </c>
      <c r="BD3397" s="82" t="s">
        <v>21597</v>
      </c>
      <c r="BE3397" s="77"/>
      <c r="BF3397" s="77"/>
      <c r="BG3397" s="77"/>
      <c r="BH3397" s="77"/>
      <c r="BI3397" s="77"/>
    </row>
    <row r="3398" spans="1:61" x14ac:dyDescent="0.25">
      <c r="A3398" s="62" t="s">
        <v>1006</v>
      </c>
      <c r="B3398" s="62" t="s">
        <v>1006</v>
      </c>
      <c r="C3398" s="63"/>
      <c r="D3398" s="64"/>
      <c r="E3398" s="65"/>
      <c r="F3398" s="66"/>
      <c r="G3398" s="63"/>
      <c r="H3398" s="67"/>
      <c r="I3398" s="68"/>
      <c r="J3398" s="68"/>
      <c r="K3398" s="32"/>
      <c r="L3398" s="75">
        <v>3398</v>
      </c>
      <c r="M3398" s="75"/>
      <c r="N3398" s="70"/>
      <c r="O3398" s="77" t="s">
        <v>179</v>
      </c>
      <c r="P3398" s="79">
        <v>45030.832025462965</v>
      </c>
      <c r="Q3398" s="77" t="s">
        <v>4604</v>
      </c>
      <c r="R3398" s="77">
        <v>0</v>
      </c>
      <c r="S3398" s="77">
        <v>0</v>
      </c>
      <c r="T3398" s="77">
        <v>0</v>
      </c>
      <c r="U3398" s="77">
        <v>0</v>
      </c>
      <c r="V3398" s="77">
        <v>101</v>
      </c>
      <c r="W3398" s="82" t="s">
        <v>6740</v>
      </c>
      <c r="X3398" s="77"/>
      <c r="Y3398" s="77"/>
      <c r="Z3398" s="77"/>
      <c r="AA3398" s="77" t="s">
        <v>9723</v>
      </c>
      <c r="AB3398" s="77" t="s">
        <v>10130</v>
      </c>
      <c r="AC3398" s="82" t="s">
        <v>10147</v>
      </c>
      <c r="AD3398" s="77" t="s">
        <v>10184</v>
      </c>
      <c r="AE3398" s="80" t="str">
        <f>HYPERLINK("https://twitter.com/imdasmilhas/status/1646966082798772224")</f>
        <v>https://twitter.com/imdasmilhas/status/1646966082798772224</v>
      </c>
      <c r="AF3398" s="79">
        <v>45030.832025462965</v>
      </c>
      <c r="AG3398" s="85">
        <v>45030</v>
      </c>
      <c r="AH3398" s="82" t="s">
        <v>13395</v>
      </c>
      <c r="AI3398" s="77" t="b">
        <v>0</v>
      </c>
      <c r="AJ3398" s="77"/>
      <c r="AK3398" s="77"/>
      <c r="AL3398" s="77"/>
      <c r="AM3398" s="77"/>
      <c r="AN3398" s="77"/>
      <c r="AO3398" s="77"/>
      <c r="AP3398" s="77"/>
      <c r="AQ3398" s="77" t="s">
        <v>16366</v>
      </c>
      <c r="AR3398" s="77"/>
      <c r="AS3398" s="77"/>
      <c r="AT3398" s="77"/>
      <c r="AU3398" s="77"/>
      <c r="AV3398" s="80" t="str">
        <f>HYPERLINK("https://pbs.twimg.com/media/Ftsy7HuWAAASyb2.jpg")</f>
        <v>https://pbs.twimg.com/media/Ftsy7HuWAAASyb2.jpg</v>
      </c>
      <c r="AW3398" s="82" t="s">
        <v>20164</v>
      </c>
      <c r="AX3398" s="82" t="s">
        <v>20164</v>
      </c>
      <c r="AY3398" s="77"/>
      <c r="AZ3398" s="82" t="s">
        <v>20971</v>
      </c>
      <c r="BA3398" s="82" t="s">
        <v>20971</v>
      </c>
      <c r="BB3398" s="82" t="s">
        <v>20971</v>
      </c>
      <c r="BC3398" s="82" t="s">
        <v>20164</v>
      </c>
      <c r="BD3398" s="82" t="s">
        <v>21597</v>
      </c>
      <c r="BE3398" s="77"/>
      <c r="BF3398" s="77"/>
      <c r="BG3398" s="77"/>
      <c r="BH3398" s="77"/>
      <c r="BI3398" s="77"/>
    </row>
    <row r="3399" spans="1:61" x14ac:dyDescent="0.25">
      <c r="A3399" s="62" t="s">
        <v>1006</v>
      </c>
      <c r="B3399" s="62" t="s">
        <v>1006</v>
      </c>
      <c r="C3399" s="63"/>
      <c r="D3399" s="64"/>
      <c r="E3399" s="65"/>
      <c r="F3399" s="66"/>
      <c r="G3399" s="63"/>
      <c r="H3399" s="67"/>
      <c r="I3399" s="68"/>
      <c r="J3399" s="68"/>
      <c r="K3399" s="32"/>
      <c r="L3399" s="75">
        <v>3399</v>
      </c>
      <c r="M3399" s="75"/>
      <c r="N3399" s="70"/>
      <c r="O3399" s="77" t="s">
        <v>179</v>
      </c>
      <c r="P3399" s="79">
        <v>45030.831296296295</v>
      </c>
      <c r="Q3399" s="77" t="s">
        <v>4605</v>
      </c>
      <c r="R3399" s="77">
        <v>0</v>
      </c>
      <c r="S3399" s="77">
        <v>0</v>
      </c>
      <c r="T3399" s="77">
        <v>0</v>
      </c>
      <c r="U3399" s="77">
        <v>0</v>
      </c>
      <c r="V3399" s="77">
        <v>106</v>
      </c>
      <c r="W3399" s="82" t="s">
        <v>6740</v>
      </c>
      <c r="X3399" s="77"/>
      <c r="Y3399" s="77"/>
      <c r="Z3399" s="77"/>
      <c r="AA3399" s="77" t="s">
        <v>9724</v>
      </c>
      <c r="AB3399" s="77" t="s">
        <v>10130</v>
      </c>
      <c r="AC3399" s="82" t="s">
        <v>10147</v>
      </c>
      <c r="AD3399" s="77" t="s">
        <v>10184</v>
      </c>
      <c r="AE3399" s="80" t="str">
        <f>HYPERLINK("https://twitter.com/imdasmilhas/status/1646965816208904192")</f>
        <v>https://twitter.com/imdasmilhas/status/1646965816208904192</v>
      </c>
      <c r="AF3399" s="79">
        <v>45030.831296296295</v>
      </c>
      <c r="AG3399" s="85">
        <v>45030</v>
      </c>
      <c r="AH3399" s="82" t="s">
        <v>13396</v>
      </c>
      <c r="AI3399" s="77" t="b">
        <v>0</v>
      </c>
      <c r="AJ3399" s="77"/>
      <c r="AK3399" s="77"/>
      <c r="AL3399" s="77"/>
      <c r="AM3399" s="77"/>
      <c r="AN3399" s="77"/>
      <c r="AO3399" s="77"/>
      <c r="AP3399" s="77"/>
      <c r="AQ3399" s="77" t="s">
        <v>16367</v>
      </c>
      <c r="AR3399" s="77"/>
      <c r="AS3399" s="77"/>
      <c r="AT3399" s="77"/>
      <c r="AU3399" s="77"/>
      <c r="AV3399" s="80" t="str">
        <f>HYPERLINK("https://pbs.twimg.com/media/Ftsyrm6X0AIuc1B.jpg")</f>
        <v>https://pbs.twimg.com/media/Ftsyrm6X0AIuc1B.jpg</v>
      </c>
      <c r="AW3399" s="82" t="s">
        <v>20165</v>
      </c>
      <c r="AX3399" s="82" t="s">
        <v>20165</v>
      </c>
      <c r="AY3399" s="77"/>
      <c r="AZ3399" s="82" t="s">
        <v>20971</v>
      </c>
      <c r="BA3399" s="82" t="s">
        <v>20971</v>
      </c>
      <c r="BB3399" s="82" t="s">
        <v>20971</v>
      </c>
      <c r="BC3399" s="82" t="s">
        <v>20165</v>
      </c>
      <c r="BD3399" s="82" t="s">
        <v>21597</v>
      </c>
      <c r="BE3399" s="77"/>
      <c r="BF3399" s="77"/>
      <c r="BG3399" s="77"/>
      <c r="BH3399" s="77"/>
      <c r="BI3399" s="77"/>
    </row>
    <row r="3400" spans="1:61" x14ac:dyDescent="0.25">
      <c r="A3400" s="62" t="s">
        <v>1006</v>
      </c>
      <c r="B3400" s="62" t="s">
        <v>1006</v>
      </c>
      <c r="C3400" s="63"/>
      <c r="D3400" s="64"/>
      <c r="E3400" s="65"/>
      <c r="F3400" s="66"/>
      <c r="G3400" s="63"/>
      <c r="H3400" s="67"/>
      <c r="I3400" s="68"/>
      <c r="J3400" s="68"/>
      <c r="K3400" s="32"/>
      <c r="L3400" s="75">
        <v>3400</v>
      </c>
      <c r="M3400" s="75"/>
      <c r="N3400" s="70"/>
      <c r="O3400" s="77" t="s">
        <v>179</v>
      </c>
      <c r="P3400" s="79">
        <v>45030.830972222226</v>
      </c>
      <c r="Q3400" s="77" t="s">
        <v>4606</v>
      </c>
      <c r="R3400" s="77">
        <v>0</v>
      </c>
      <c r="S3400" s="77">
        <v>0</v>
      </c>
      <c r="T3400" s="77">
        <v>0</v>
      </c>
      <c r="U3400" s="77">
        <v>0</v>
      </c>
      <c r="V3400" s="77">
        <v>146</v>
      </c>
      <c r="W3400" s="82" t="s">
        <v>6740</v>
      </c>
      <c r="X3400" s="77"/>
      <c r="Y3400" s="77"/>
      <c r="Z3400" s="77"/>
      <c r="AA3400" s="77" t="s">
        <v>9725</v>
      </c>
      <c r="AB3400" s="77" t="s">
        <v>10130</v>
      </c>
      <c r="AC3400" s="82" t="s">
        <v>10147</v>
      </c>
      <c r="AD3400" s="77" t="s">
        <v>10184</v>
      </c>
      <c r="AE3400" s="80" t="str">
        <f>HYPERLINK("https://twitter.com/imdasmilhas/status/1646965698588037125")</f>
        <v>https://twitter.com/imdasmilhas/status/1646965698588037125</v>
      </c>
      <c r="AF3400" s="79">
        <v>45030.830972222226</v>
      </c>
      <c r="AG3400" s="85">
        <v>45030</v>
      </c>
      <c r="AH3400" s="82" t="s">
        <v>13397</v>
      </c>
      <c r="AI3400" s="77" t="b">
        <v>0</v>
      </c>
      <c r="AJ3400" s="77"/>
      <c r="AK3400" s="77"/>
      <c r="AL3400" s="77"/>
      <c r="AM3400" s="77"/>
      <c r="AN3400" s="77"/>
      <c r="AO3400" s="77"/>
      <c r="AP3400" s="77"/>
      <c r="AQ3400" s="77" t="s">
        <v>16368</v>
      </c>
      <c r="AR3400" s="77"/>
      <c r="AS3400" s="77"/>
      <c r="AT3400" s="77"/>
      <c r="AU3400" s="77"/>
      <c r="AV3400" s="80" t="str">
        <f>HYPERLINK("https://pbs.twimg.com/media/FtsykxfX0BcoPr6.jpg")</f>
        <v>https://pbs.twimg.com/media/FtsykxfX0BcoPr6.jpg</v>
      </c>
      <c r="AW3400" s="82" t="s">
        <v>20166</v>
      </c>
      <c r="AX3400" s="82" t="s">
        <v>20166</v>
      </c>
      <c r="AY3400" s="77"/>
      <c r="AZ3400" s="82" t="s">
        <v>20971</v>
      </c>
      <c r="BA3400" s="82" t="s">
        <v>20971</v>
      </c>
      <c r="BB3400" s="82" t="s">
        <v>20971</v>
      </c>
      <c r="BC3400" s="82" t="s">
        <v>20166</v>
      </c>
      <c r="BD3400" s="82" t="s">
        <v>21597</v>
      </c>
      <c r="BE3400" s="77"/>
      <c r="BF3400" s="77"/>
      <c r="BG3400" s="77"/>
      <c r="BH3400" s="77"/>
      <c r="BI3400" s="77"/>
    </row>
    <row r="3401" spans="1:61" x14ac:dyDescent="0.25">
      <c r="A3401" s="62" t="s">
        <v>1006</v>
      </c>
      <c r="B3401" s="62" t="s">
        <v>1006</v>
      </c>
      <c r="C3401" s="63"/>
      <c r="D3401" s="64"/>
      <c r="E3401" s="65"/>
      <c r="F3401" s="66"/>
      <c r="G3401" s="63"/>
      <c r="H3401" s="67"/>
      <c r="I3401" s="68"/>
      <c r="J3401" s="68"/>
      <c r="K3401" s="32"/>
      <c r="L3401" s="75">
        <v>3401</v>
      </c>
      <c r="M3401" s="75"/>
      <c r="N3401" s="70"/>
      <c r="O3401" s="77" t="s">
        <v>179</v>
      </c>
      <c r="P3401" s="79">
        <v>45030.830520833333</v>
      </c>
      <c r="Q3401" s="77" t="s">
        <v>4607</v>
      </c>
      <c r="R3401" s="77">
        <v>0</v>
      </c>
      <c r="S3401" s="77">
        <v>0</v>
      </c>
      <c r="T3401" s="77">
        <v>0</v>
      </c>
      <c r="U3401" s="77">
        <v>0</v>
      </c>
      <c r="V3401" s="77">
        <v>69</v>
      </c>
      <c r="W3401" s="82" t="s">
        <v>6740</v>
      </c>
      <c r="X3401" s="77"/>
      <c r="Y3401" s="77"/>
      <c r="Z3401" s="77"/>
      <c r="AA3401" s="77" t="s">
        <v>9726</v>
      </c>
      <c r="AB3401" s="77" t="s">
        <v>10130</v>
      </c>
      <c r="AC3401" s="82" t="s">
        <v>10147</v>
      </c>
      <c r="AD3401" s="77" t="s">
        <v>10184</v>
      </c>
      <c r="AE3401" s="80" t="str">
        <f>HYPERLINK("https://twitter.com/imdasmilhas/status/1646965534884352017")</f>
        <v>https://twitter.com/imdasmilhas/status/1646965534884352017</v>
      </c>
      <c r="AF3401" s="79">
        <v>45030.830520833333</v>
      </c>
      <c r="AG3401" s="85">
        <v>45030</v>
      </c>
      <c r="AH3401" s="82" t="s">
        <v>13398</v>
      </c>
      <c r="AI3401" s="77" t="b">
        <v>0</v>
      </c>
      <c r="AJ3401" s="77"/>
      <c r="AK3401" s="77"/>
      <c r="AL3401" s="77"/>
      <c r="AM3401" s="77"/>
      <c r="AN3401" s="77"/>
      <c r="AO3401" s="77"/>
      <c r="AP3401" s="77"/>
      <c r="AQ3401" s="77" t="s">
        <v>16369</v>
      </c>
      <c r="AR3401" s="77"/>
      <c r="AS3401" s="77"/>
      <c r="AT3401" s="77"/>
      <c r="AU3401" s="77"/>
      <c r="AV3401" s="80" t="str">
        <f>HYPERLINK("https://pbs.twimg.com/media/FtsybPaX0AQhzLG.jpg")</f>
        <v>https://pbs.twimg.com/media/FtsybPaX0AQhzLG.jpg</v>
      </c>
      <c r="AW3401" s="82" t="s">
        <v>20167</v>
      </c>
      <c r="AX3401" s="82" t="s">
        <v>20167</v>
      </c>
      <c r="AY3401" s="77"/>
      <c r="AZ3401" s="82" t="s">
        <v>20971</v>
      </c>
      <c r="BA3401" s="82" t="s">
        <v>20971</v>
      </c>
      <c r="BB3401" s="82" t="s">
        <v>20971</v>
      </c>
      <c r="BC3401" s="82" t="s">
        <v>20167</v>
      </c>
      <c r="BD3401" s="82" t="s">
        <v>21597</v>
      </c>
      <c r="BE3401" s="77"/>
      <c r="BF3401" s="77"/>
      <c r="BG3401" s="77"/>
      <c r="BH3401" s="77"/>
      <c r="BI3401" s="77"/>
    </row>
    <row r="3402" spans="1:61" x14ac:dyDescent="0.25">
      <c r="A3402" s="62" t="s">
        <v>1006</v>
      </c>
      <c r="B3402" s="62" t="s">
        <v>1006</v>
      </c>
      <c r="C3402" s="63"/>
      <c r="D3402" s="64"/>
      <c r="E3402" s="65"/>
      <c r="F3402" s="66"/>
      <c r="G3402" s="63"/>
      <c r="H3402" s="67"/>
      <c r="I3402" s="68"/>
      <c r="J3402" s="68"/>
      <c r="K3402" s="32"/>
      <c r="L3402" s="75">
        <v>3402</v>
      </c>
      <c r="M3402" s="75"/>
      <c r="N3402" s="70"/>
      <c r="O3402" s="77" t="s">
        <v>179</v>
      </c>
      <c r="P3402" s="79">
        <v>45029.799421296295</v>
      </c>
      <c r="Q3402" s="77" t="s">
        <v>4608</v>
      </c>
      <c r="R3402" s="77">
        <v>0</v>
      </c>
      <c r="S3402" s="77">
        <v>1</v>
      </c>
      <c r="T3402" s="77">
        <v>0</v>
      </c>
      <c r="U3402" s="77">
        <v>0</v>
      </c>
      <c r="V3402" s="77">
        <v>113</v>
      </c>
      <c r="W3402" s="82" t="s">
        <v>6740</v>
      </c>
      <c r="X3402" s="77"/>
      <c r="Y3402" s="77"/>
      <c r="Z3402" s="77"/>
      <c r="AA3402" s="77" t="s">
        <v>9727</v>
      </c>
      <c r="AB3402" s="77" t="s">
        <v>10130</v>
      </c>
      <c r="AC3402" s="82" t="s">
        <v>10147</v>
      </c>
      <c r="AD3402" s="77" t="s">
        <v>10184</v>
      </c>
      <c r="AE3402" s="80" t="str">
        <f>HYPERLINK("https://twitter.com/imdasmilhas/status/1646591877989257219")</f>
        <v>https://twitter.com/imdasmilhas/status/1646591877989257219</v>
      </c>
      <c r="AF3402" s="79">
        <v>45029.799421296295</v>
      </c>
      <c r="AG3402" s="85">
        <v>45029</v>
      </c>
      <c r="AH3402" s="82" t="s">
        <v>13399</v>
      </c>
      <c r="AI3402" s="77" t="b">
        <v>0</v>
      </c>
      <c r="AJ3402" s="77"/>
      <c r="AK3402" s="77"/>
      <c r="AL3402" s="77"/>
      <c r="AM3402" s="77"/>
      <c r="AN3402" s="77"/>
      <c r="AO3402" s="77"/>
      <c r="AP3402" s="77"/>
      <c r="AQ3402" s="77" t="s">
        <v>16370</v>
      </c>
      <c r="AR3402" s="77"/>
      <c r="AS3402" s="77"/>
      <c r="AT3402" s="77"/>
      <c r="AU3402" s="77"/>
      <c r="AV3402" s="80" t="str">
        <f>HYPERLINK("https://pbs.twimg.com/media/FtneljRX0AkhKzn.jpg")</f>
        <v>https://pbs.twimg.com/media/FtneljRX0AkhKzn.jpg</v>
      </c>
      <c r="AW3402" s="82" t="s">
        <v>20168</v>
      </c>
      <c r="AX3402" s="82" t="s">
        <v>20168</v>
      </c>
      <c r="AY3402" s="77"/>
      <c r="AZ3402" s="82" t="s">
        <v>20971</v>
      </c>
      <c r="BA3402" s="82" t="s">
        <v>20971</v>
      </c>
      <c r="BB3402" s="82" t="s">
        <v>20971</v>
      </c>
      <c r="BC3402" s="82" t="s">
        <v>20168</v>
      </c>
      <c r="BD3402" s="82" t="s">
        <v>21597</v>
      </c>
      <c r="BE3402" s="77"/>
      <c r="BF3402" s="77"/>
      <c r="BG3402" s="77"/>
      <c r="BH3402" s="77"/>
      <c r="BI3402" s="77"/>
    </row>
    <row r="3403" spans="1:61" x14ac:dyDescent="0.25">
      <c r="A3403" s="62" t="s">
        <v>1006</v>
      </c>
      <c r="B3403" s="62" t="s">
        <v>1006</v>
      </c>
      <c r="C3403" s="63"/>
      <c r="D3403" s="64"/>
      <c r="E3403" s="65"/>
      <c r="F3403" s="66"/>
      <c r="G3403" s="63"/>
      <c r="H3403" s="67"/>
      <c r="I3403" s="68"/>
      <c r="J3403" s="68"/>
      <c r="K3403" s="32"/>
      <c r="L3403" s="75">
        <v>3403</v>
      </c>
      <c r="M3403" s="75"/>
      <c r="N3403" s="70"/>
      <c r="O3403" s="77" t="s">
        <v>179</v>
      </c>
      <c r="P3403" s="79">
        <v>45029.799074074072</v>
      </c>
      <c r="Q3403" s="77" t="s">
        <v>4609</v>
      </c>
      <c r="R3403" s="77">
        <v>0</v>
      </c>
      <c r="S3403" s="77">
        <v>0</v>
      </c>
      <c r="T3403" s="77">
        <v>0</v>
      </c>
      <c r="U3403" s="77">
        <v>0</v>
      </c>
      <c r="V3403" s="77">
        <v>61</v>
      </c>
      <c r="W3403" s="82" t="s">
        <v>6740</v>
      </c>
      <c r="X3403" s="77"/>
      <c r="Y3403" s="77"/>
      <c r="Z3403" s="77"/>
      <c r="AA3403" s="77" t="s">
        <v>9728</v>
      </c>
      <c r="AB3403" s="77" t="s">
        <v>10130</v>
      </c>
      <c r="AC3403" s="82" t="s">
        <v>10147</v>
      </c>
      <c r="AD3403" s="77" t="s">
        <v>10184</v>
      </c>
      <c r="AE3403" s="80" t="str">
        <f>HYPERLINK("https://twitter.com/imdasmilhas/status/1646591749849067527")</f>
        <v>https://twitter.com/imdasmilhas/status/1646591749849067527</v>
      </c>
      <c r="AF3403" s="79">
        <v>45029.799074074072</v>
      </c>
      <c r="AG3403" s="85">
        <v>45029</v>
      </c>
      <c r="AH3403" s="82" t="s">
        <v>13400</v>
      </c>
      <c r="AI3403" s="77" t="b">
        <v>0</v>
      </c>
      <c r="AJ3403" s="77"/>
      <c r="AK3403" s="77"/>
      <c r="AL3403" s="77"/>
      <c r="AM3403" s="77"/>
      <c r="AN3403" s="77"/>
      <c r="AO3403" s="77"/>
      <c r="AP3403" s="77"/>
      <c r="AQ3403" s="77" t="s">
        <v>16371</v>
      </c>
      <c r="AR3403" s="77"/>
      <c r="AS3403" s="77"/>
      <c r="AT3403" s="77"/>
      <c r="AU3403" s="77"/>
      <c r="AV3403" s="80" t="str">
        <f>HYPERLINK("https://pbs.twimg.com/media/FtneeFIX0AoTem0.jpg")</f>
        <v>https://pbs.twimg.com/media/FtneeFIX0AoTem0.jpg</v>
      </c>
      <c r="AW3403" s="82" t="s">
        <v>20169</v>
      </c>
      <c r="AX3403" s="82" t="s">
        <v>20169</v>
      </c>
      <c r="AY3403" s="77"/>
      <c r="AZ3403" s="82" t="s">
        <v>20971</v>
      </c>
      <c r="BA3403" s="82" t="s">
        <v>20971</v>
      </c>
      <c r="BB3403" s="82" t="s">
        <v>20971</v>
      </c>
      <c r="BC3403" s="82" t="s">
        <v>20169</v>
      </c>
      <c r="BD3403" s="82" t="s">
        <v>21597</v>
      </c>
      <c r="BE3403" s="77"/>
      <c r="BF3403" s="77"/>
      <c r="BG3403" s="77"/>
      <c r="BH3403" s="77"/>
      <c r="BI3403" s="77"/>
    </row>
    <row r="3404" spans="1:61" x14ac:dyDescent="0.25">
      <c r="A3404" s="62" t="s">
        <v>1006</v>
      </c>
      <c r="B3404" s="62" t="s">
        <v>1006</v>
      </c>
      <c r="C3404" s="63"/>
      <c r="D3404" s="64"/>
      <c r="E3404" s="65"/>
      <c r="F3404" s="66"/>
      <c r="G3404" s="63"/>
      <c r="H3404" s="67"/>
      <c r="I3404" s="68"/>
      <c r="J3404" s="68"/>
      <c r="K3404" s="32"/>
      <c r="L3404" s="75">
        <v>3404</v>
      </c>
      <c r="M3404" s="75"/>
      <c r="N3404" s="70"/>
      <c r="O3404" s="77" t="s">
        <v>179</v>
      </c>
      <c r="P3404" s="79">
        <v>45029.798518518517</v>
      </c>
      <c r="Q3404" s="77" t="s">
        <v>4610</v>
      </c>
      <c r="R3404" s="77">
        <v>0</v>
      </c>
      <c r="S3404" s="77">
        <v>0</v>
      </c>
      <c r="T3404" s="77">
        <v>0</v>
      </c>
      <c r="U3404" s="77">
        <v>0</v>
      </c>
      <c r="V3404" s="77">
        <v>53</v>
      </c>
      <c r="W3404" s="82" t="s">
        <v>6740</v>
      </c>
      <c r="X3404" s="77"/>
      <c r="Y3404" s="77"/>
      <c r="Z3404" s="77"/>
      <c r="AA3404" s="77" t="s">
        <v>9729</v>
      </c>
      <c r="AB3404" s="77" t="s">
        <v>10130</v>
      </c>
      <c r="AC3404" s="82" t="s">
        <v>10147</v>
      </c>
      <c r="AD3404" s="77" t="s">
        <v>10184</v>
      </c>
      <c r="AE3404" s="80" t="str">
        <f>HYPERLINK("https://twitter.com/imdasmilhas/status/1646591552045699077")</f>
        <v>https://twitter.com/imdasmilhas/status/1646591552045699077</v>
      </c>
      <c r="AF3404" s="79">
        <v>45029.798518518517</v>
      </c>
      <c r="AG3404" s="85">
        <v>45029</v>
      </c>
      <c r="AH3404" s="82" t="s">
        <v>13401</v>
      </c>
      <c r="AI3404" s="77" t="b">
        <v>0</v>
      </c>
      <c r="AJ3404" s="77"/>
      <c r="AK3404" s="77"/>
      <c r="AL3404" s="77"/>
      <c r="AM3404" s="77"/>
      <c r="AN3404" s="77"/>
      <c r="AO3404" s="77"/>
      <c r="AP3404" s="77"/>
      <c r="AQ3404" s="77" t="s">
        <v>16372</v>
      </c>
      <c r="AR3404" s="77"/>
      <c r="AS3404" s="77"/>
      <c r="AT3404" s="77"/>
      <c r="AU3404" s="77"/>
      <c r="AV3404" s="80" t="str">
        <f>HYPERLINK("https://pbs.twimg.com/media/FtneSjmXsAAlbpn.jpg")</f>
        <v>https://pbs.twimg.com/media/FtneSjmXsAAlbpn.jpg</v>
      </c>
      <c r="AW3404" s="82" t="s">
        <v>20170</v>
      </c>
      <c r="AX3404" s="82" t="s">
        <v>20170</v>
      </c>
      <c r="AY3404" s="77"/>
      <c r="AZ3404" s="82" t="s">
        <v>20971</v>
      </c>
      <c r="BA3404" s="82" t="s">
        <v>20971</v>
      </c>
      <c r="BB3404" s="82" t="s">
        <v>20971</v>
      </c>
      <c r="BC3404" s="82" t="s">
        <v>20170</v>
      </c>
      <c r="BD3404" s="82" t="s">
        <v>21597</v>
      </c>
      <c r="BE3404" s="77"/>
      <c r="BF3404" s="77"/>
      <c r="BG3404" s="77"/>
      <c r="BH3404" s="77"/>
      <c r="BI3404" s="77"/>
    </row>
    <row r="3405" spans="1:61" x14ac:dyDescent="0.25">
      <c r="A3405" s="62" t="s">
        <v>1006</v>
      </c>
      <c r="B3405" s="62" t="s">
        <v>1006</v>
      </c>
      <c r="C3405" s="63"/>
      <c r="D3405" s="64"/>
      <c r="E3405" s="65"/>
      <c r="F3405" s="66"/>
      <c r="G3405" s="63"/>
      <c r="H3405" s="67"/>
      <c r="I3405" s="68"/>
      <c r="J3405" s="68"/>
      <c r="K3405" s="32"/>
      <c r="L3405" s="75">
        <v>3405</v>
      </c>
      <c r="M3405" s="75"/>
      <c r="N3405" s="70"/>
      <c r="O3405" s="77" t="s">
        <v>179</v>
      </c>
      <c r="P3405" s="79">
        <v>45029.798113425924</v>
      </c>
      <c r="Q3405" s="77" t="s">
        <v>4611</v>
      </c>
      <c r="R3405" s="77">
        <v>0</v>
      </c>
      <c r="S3405" s="77">
        <v>0</v>
      </c>
      <c r="T3405" s="77">
        <v>0</v>
      </c>
      <c r="U3405" s="77">
        <v>0</v>
      </c>
      <c r="V3405" s="77">
        <v>52</v>
      </c>
      <c r="W3405" s="82" t="s">
        <v>6740</v>
      </c>
      <c r="X3405" s="77"/>
      <c r="Y3405" s="77"/>
      <c r="Z3405" s="77"/>
      <c r="AA3405" s="77" t="s">
        <v>9730</v>
      </c>
      <c r="AB3405" s="77" t="s">
        <v>10130</v>
      </c>
      <c r="AC3405" s="82" t="s">
        <v>10147</v>
      </c>
      <c r="AD3405" s="77" t="s">
        <v>10184</v>
      </c>
      <c r="AE3405" s="80" t="str">
        <f>HYPERLINK("https://twitter.com/imdasmilhas/status/1646591403047235585")</f>
        <v>https://twitter.com/imdasmilhas/status/1646591403047235585</v>
      </c>
      <c r="AF3405" s="79">
        <v>45029.798113425924</v>
      </c>
      <c r="AG3405" s="85">
        <v>45029</v>
      </c>
      <c r="AH3405" s="82" t="s">
        <v>13402</v>
      </c>
      <c r="AI3405" s="77" t="b">
        <v>0</v>
      </c>
      <c r="AJ3405" s="77"/>
      <c r="AK3405" s="77"/>
      <c r="AL3405" s="77"/>
      <c r="AM3405" s="77"/>
      <c r="AN3405" s="77"/>
      <c r="AO3405" s="77"/>
      <c r="AP3405" s="77"/>
      <c r="AQ3405" s="77" t="s">
        <v>16373</v>
      </c>
      <c r="AR3405" s="77"/>
      <c r="AS3405" s="77"/>
      <c r="AT3405" s="77"/>
      <c r="AU3405" s="77"/>
      <c r="AV3405" s="80" t="str">
        <f>HYPERLINK("https://pbs.twimg.com/media/FtneJ5LX0As8mYd.jpg")</f>
        <v>https://pbs.twimg.com/media/FtneJ5LX0As8mYd.jpg</v>
      </c>
      <c r="AW3405" s="82" t="s">
        <v>20171</v>
      </c>
      <c r="AX3405" s="82" t="s">
        <v>20171</v>
      </c>
      <c r="AY3405" s="77"/>
      <c r="AZ3405" s="82" t="s">
        <v>20971</v>
      </c>
      <c r="BA3405" s="82" t="s">
        <v>20971</v>
      </c>
      <c r="BB3405" s="82" t="s">
        <v>20971</v>
      </c>
      <c r="BC3405" s="82" t="s">
        <v>20171</v>
      </c>
      <c r="BD3405" s="82" t="s">
        <v>21597</v>
      </c>
      <c r="BE3405" s="77"/>
      <c r="BF3405" s="77"/>
      <c r="BG3405" s="77"/>
      <c r="BH3405" s="77"/>
      <c r="BI3405" s="77"/>
    </row>
    <row r="3406" spans="1:61" x14ac:dyDescent="0.25">
      <c r="A3406" s="62" t="s">
        <v>1006</v>
      </c>
      <c r="B3406" s="62" t="s">
        <v>1006</v>
      </c>
      <c r="C3406" s="63"/>
      <c r="D3406" s="64"/>
      <c r="E3406" s="65"/>
      <c r="F3406" s="66"/>
      <c r="G3406" s="63"/>
      <c r="H3406" s="67"/>
      <c r="I3406" s="68"/>
      <c r="J3406" s="68"/>
      <c r="K3406" s="32"/>
      <c r="L3406" s="75">
        <v>3406</v>
      </c>
      <c r="M3406" s="75"/>
      <c r="N3406" s="70"/>
      <c r="O3406" s="77" t="s">
        <v>179</v>
      </c>
      <c r="P3406" s="79">
        <v>45029.747013888889</v>
      </c>
      <c r="Q3406" s="77" t="s">
        <v>4612</v>
      </c>
      <c r="R3406" s="77">
        <v>0</v>
      </c>
      <c r="S3406" s="77">
        <v>0</v>
      </c>
      <c r="T3406" s="77">
        <v>0</v>
      </c>
      <c r="U3406" s="77">
        <v>0</v>
      </c>
      <c r="V3406" s="77">
        <v>93</v>
      </c>
      <c r="W3406" s="82" t="s">
        <v>6740</v>
      </c>
      <c r="X3406" s="77"/>
      <c r="Y3406" s="77"/>
      <c r="Z3406" s="77"/>
      <c r="AA3406" s="77" t="s">
        <v>9731</v>
      </c>
      <c r="AB3406" s="77" t="s">
        <v>10130</v>
      </c>
      <c r="AC3406" s="82" t="s">
        <v>10147</v>
      </c>
      <c r="AD3406" s="77" t="s">
        <v>10184</v>
      </c>
      <c r="AE3406" s="80" t="str">
        <f>HYPERLINK("https://twitter.com/imdasmilhas/status/1646572885446631424")</f>
        <v>https://twitter.com/imdasmilhas/status/1646572885446631424</v>
      </c>
      <c r="AF3406" s="79">
        <v>45029.747013888889</v>
      </c>
      <c r="AG3406" s="85">
        <v>45029</v>
      </c>
      <c r="AH3406" s="82" t="s">
        <v>13403</v>
      </c>
      <c r="AI3406" s="77" t="b">
        <v>0</v>
      </c>
      <c r="AJ3406" s="77"/>
      <c r="AK3406" s="77"/>
      <c r="AL3406" s="77"/>
      <c r="AM3406" s="77"/>
      <c r="AN3406" s="77"/>
      <c r="AO3406" s="77"/>
      <c r="AP3406" s="77"/>
      <c r="AQ3406" s="77" t="s">
        <v>16374</v>
      </c>
      <c r="AR3406" s="77"/>
      <c r="AS3406" s="77"/>
      <c r="AT3406" s="77"/>
      <c r="AU3406" s="77"/>
      <c r="AV3406" s="80" t="str">
        <f>HYPERLINK("https://pbs.twimg.com/media/FtnNUB5WAAAfFNl.jpg")</f>
        <v>https://pbs.twimg.com/media/FtnNUB5WAAAfFNl.jpg</v>
      </c>
      <c r="AW3406" s="82" t="s">
        <v>20172</v>
      </c>
      <c r="AX3406" s="82" t="s">
        <v>20172</v>
      </c>
      <c r="AY3406" s="77"/>
      <c r="AZ3406" s="82" t="s">
        <v>20971</v>
      </c>
      <c r="BA3406" s="82" t="s">
        <v>20971</v>
      </c>
      <c r="BB3406" s="82" t="s">
        <v>20971</v>
      </c>
      <c r="BC3406" s="82" t="s">
        <v>20172</v>
      </c>
      <c r="BD3406" s="82" t="s">
        <v>21597</v>
      </c>
      <c r="BE3406" s="77"/>
      <c r="BF3406" s="77"/>
      <c r="BG3406" s="77"/>
      <c r="BH3406" s="77"/>
      <c r="BI3406" s="77"/>
    </row>
    <row r="3407" spans="1:61" x14ac:dyDescent="0.25">
      <c r="A3407" s="62" t="s">
        <v>1006</v>
      </c>
      <c r="B3407" s="62" t="s">
        <v>1006</v>
      </c>
      <c r="C3407" s="63"/>
      <c r="D3407" s="64"/>
      <c r="E3407" s="65"/>
      <c r="F3407" s="66"/>
      <c r="G3407" s="63"/>
      <c r="H3407" s="67"/>
      <c r="I3407" s="68"/>
      <c r="J3407" s="68"/>
      <c r="K3407" s="32"/>
      <c r="L3407" s="75">
        <v>3407</v>
      </c>
      <c r="M3407" s="75"/>
      <c r="N3407" s="70"/>
      <c r="O3407" s="77" t="s">
        <v>179</v>
      </c>
      <c r="P3407" s="79">
        <v>45029.742534722223</v>
      </c>
      <c r="Q3407" s="77" t="s">
        <v>4613</v>
      </c>
      <c r="R3407" s="77">
        <v>0</v>
      </c>
      <c r="S3407" s="77">
        <v>0</v>
      </c>
      <c r="T3407" s="77">
        <v>0</v>
      </c>
      <c r="U3407" s="77">
        <v>0</v>
      </c>
      <c r="V3407" s="77">
        <v>131</v>
      </c>
      <c r="W3407" s="82" t="s">
        <v>6740</v>
      </c>
      <c r="X3407" s="77"/>
      <c r="Y3407" s="77"/>
      <c r="Z3407" s="77"/>
      <c r="AA3407" s="77" t="s">
        <v>9732</v>
      </c>
      <c r="AB3407" s="77" t="s">
        <v>10130</v>
      </c>
      <c r="AC3407" s="82" t="s">
        <v>10147</v>
      </c>
      <c r="AD3407" s="77" t="s">
        <v>10184</v>
      </c>
      <c r="AE3407" s="80" t="str">
        <f>HYPERLINK("https://twitter.com/imdasmilhas/status/1646571261735075842")</f>
        <v>https://twitter.com/imdasmilhas/status/1646571261735075842</v>
      </c>
      <c r="AF3407" s="79">
        <v>45029.742534722223</v>
      </c>
      <c r="AG3407" s="85">
        <v>45029</v>
      </c>
      <c r="AH3407" s="82" t="s">
        <v>13404</v>
      </c>
      <c r="AI3407" s="77" t="b">
        <v>0</v>
      </c>
      <c r="AJ3407" s="77"/>
      <c r="AK3407" s="77"/>
      <c r="AL3407" s="77"/>
      <c r="AM3407" s="77"/>
      <c r="AN3407" s="77"/>
      <c r="AO3407" s="77"/>
      <c r="AP3407" s="77"/>
      <c r="AQ3407" s="77" t="s">
        <v>16375</v>
      </c>
      <c r="AR3407" s="77"/>
      <c r="AS3407" s="77"/>
      <c r="AT3407" s="77"/>
      <c r="AU3407" s="77"/>
      <c r="AV3407" s="80" t="str">
        <f>HYPERLINK("https://pbs.twimg.com/media/FtnL1jSXgAYCq6q.jpg")</f>
        <v>https://pbs.twimg.com/media/FtnL1jSXgAYCq6q.jpg</v>
      </c>
      <c r="AW3407" s="82" t="s">
        <v>20173</v>
      </c>
      <c r="AX3407" s="82" t="s">
        <v>20173</v>
      </c>
      <c r="AY3407" s="77"/>
      <c r="AZ3407" s="82" t="s">
        <v>20971</v>
      </c>
      <c r="BA3407" s="82" t="s">
        <v>20971</v>
      </c>
      <c r="BB3407" s="82" t="s">
        <v>20971</v>
      </c>
      <c r="BC3407" s="82" t="s">
        <v>20173</v>
      </c>
      <c r="BD3407" s="82" t="s">
        <v>21597</v>
      </c>
      <c r="BE3407" s="77"/>
      <c r="BF3407" s="77"/>
      <c r="BG3407" s="77"/>
      <c r="BH3407" s="77"/>
      <c r="BI3407" s="77"/>
    </row>
    <row r="3408" spans="1:61" x14ac:dyDescent="0.25">
      <c r="A3408" s="62" t="s">
        <v>1006</v>
      </c>
      <c r="B3408" s="62" t="s">
        <v>1006</v>
      </c>
      <c r="C3408" s="63"/>
      <c r="D3408" s="64"/>
      <c r="E3408" s="65"/>
      <c r="F3408" s="66"/>
      <c r="G3408" s="63"/>
      <c r="H3408" s="67"/>
      <c r="I3408" s="68"/>
      <c r="J3408" s="68"/>
      <c r="K3408" s="32"/>
      <c r="L3408" s="75">
        <v>3408</v>
      </c>
      <c r="M3408" s="75"/>
      <c r="N3408" s="70"/>
      <c r="O3408" s="77" t="s">
        <v>179</v>
      </c>
      <c r="P3408" s="79">
        <v>45029.742071759261</v>
      </c>
      <c r="Q3408" s="77" t="s">
        <v>4614</v>
      </c>
      <c r="R3408" s="77">
        <v>0</v>
      </c>
      <c r="S3408" s="77">
        <v>0</v>
      </c>
      <c r="T3408" s="77">
        <v>0</v>
      </c>
      <c r="U3408" s="77">
        <v>0</v>
      </c>
      <c r="V3408" s="77">
        <v>78</v>
      </c>
      <c r="W3408" s="82" t="s">
        <v>6740</v>
      </c>
      <c r="X3408" s="77"/>
      <c r="Y3408" s="77"/>
      <c r="Z3408" s="77"/>
      <c r="AA3408" s="77" t="s">
        <v>9733</v>
      </c>
      <c r="AB3408" s="77" t="s">
        <v>10130</v>
      </c>
      <c r="AC3408" s="82" t="s">
        <v>10147</v>
      </c>
      <c r="AD3408" s="77" t="s">
        <v>10184</v>
      </c>
      <c r="AE3408" s="80" t="str">
        <f>HYPERLINK("https://twitter.com/imdasmilhas/status/1646571094147563534")</f>
        <v>https://twitter.com/imdasmilhas/status/1646571094147563534</v>
      </c>
      <c r="AF3408" s="79">
        <v>45029.742071759261</v>
      </c>
      <c r="AG3408" s="85">
        <v>45029</v>
      </c>
      <c r="AH3408" s="82" t="s">
        <v>13405</v>
      </c>
      <c r="AI3408" s="77" t="b">
        <v>0</v>
      </c>
      <c r="AJ3408" s="77"/>
      <c r="AK3408" s="77"/>
      <c r="AL3408" s="77"/>
      <c r="AM3408" s="77"/>
      <c r="AN3408" s="77"/>
      <c r="AO3408" s="77"/>
      <c r="AP3408" s="77"/>
      <c r="AQ3408" s="77" t="s">
        <v>16376</v>
      </c>
      <c r="AR3408" s="77"/>
      <c r="AS3408" s="77"/>
      <c r="AT3408" s="77"/>
      <c r="AU3408" s="77"/>
      <c r="AV3408" s="80" t="str">
        <f>HYPERLINK("https://pbs.twimg.com/media/FtnLrxeXgAoBDnx.jpg")</f>
        <v>https://pbs.twimg.com/media/FtnLrxeXgAoBDnx.jpg</v>
      </c>
      <c r="AW3408" s="82" t="s">
        <v>20174</v>
      </c>
      <c r="AX3408" s="82" t="s">
        <v>20174</v>
      </c>
      <c r="AY3408" s="77"/>
      <c r="AZ3408" s="82" t="s">
        <v>20971</v>
      </c>
      <c r="BA3408" s="82" t="s">
        <v>20971</v>
      </c>
      <c r="BB3408" s="82" t="s">
        <v>20971</v>
      </c>
      <c r="BC3408" s="82" t="s">
        <v>20174</v>
      </c>
      <c r="BD3408" s="82" t="s">
        <v>21597</v>
      </c>
      <c r="BE3408" s="77"/>
      <c r="BF3408" s="77"/>
      <c r="BG3408" s="77"/>
      <c r="BH3408" s="77"/>
      <c r="BI3408" s="77"/>
    </row>
    <row r="3409" spans="1:61" x14ac:dyDescent="0.25">
      <c r="A3409" s="62" t="s">
        <v>1006</v>
      </c>
      <c r="B3409" s="62" t="s">
        <v>1006</v>
      </c>
      <c r="C3409" s="63"/>
      <c r="D3409" s="64"/>
      <c r="E3409" s="65"/>
      <c r="F3409" s="66"/>
      <c r="G3409" s="63"/>
      <c r="H3409" s="67"/>
      <c r="I3409" s="68"/>
      <c r="J3409" s="68"/>
      <c r="K3409" s="32"/>
      <c r="L3409" s="75">
        <v>3409</v>
      </c>
      <c r="M3409" s="75"/>
      <c r="N3409" s="70"/>
      <c r="O3409" s="77" t="s">
        <v>179</v>
      </c>
      <c r="P3409" s="79">
        <v>45028.797835648147</v>
      </c>
      <c r="Q3409" s="77" t="s">
        <v>4615</v>
      </c>
      <c r="R3409" s="77">
        <v>0</v>
      </c>
      <c r="S3409" s="77">
        <v>0</v>
      </c>
      <c r="T3409" s="77">
        <v>0</v>
      </c>
      <c r="U3409" s="77">
        <v>0</v>
      </c>
      <c r="V3409" s="77">
        <v>124</v>
      </c>
      <c r="W3409" s="82" t="s">
        <v>6740</v>
      </c>
      <c r="X3409" s="77"/>
      <c r="Y3409" s="77"/>
      <c r="Z3409" s="77"/>
      <c r="AA3409" s="77" t="s">
        <v>9734</v>
      </c>
      <c r="AB3409" s="77" t="s">
        <v>10130</v>
      </c>
      <c r="AC3409" s="82" t="s">
        <v>10147</v>
      </c>
      <c r="AD3409" s="77" t="s">
        <v>10184</v>
      </c>
      <c r="AE3409" s="80" t="str">
        <f>HYPERLINK("https://twitter.com/imdasmilhas/status/1646228913432010752")</f>
        <v>https://twitter.com/imdasmilhas/status/1646228913432010752</v>
      </c>
      <c r="AF3409" s="79">
        <v>45028.797835648147</v>
      </c>
      <c r="AG3409" s="85">
        <v>45028</v>
      </c>
      <c r="AH3409" s="82" t="s">
        <v>13406</v>
      </c>
      <c r="AI3409" s="77" t="b">
        <v>0</v>
      </c>
      <c r="AJ3409" s="77"/>
      <c r="AK3409" s="77"/>
      <c r="AL3409" s="77"/>
      <c r="AM3409" s="77"/>
      <c r="AN3409" s="77"/>
      <c r="AO3409" s="77"/>
      <c r="AP3409" s="77"/>
      <c r="AQ3409" s="77" t="s">
        <v>16377</v>
      </c>
      <c r="AR3409" s="77"/>
      <c r="AS3409" s="77"/>
      <c r="AT3409" s="77"/>
      <c r="AU3409" s="77"/>
      <c r="AV3409" s="80" t="str">
        <f>HYPERLINK("https://pbs.twimg.com/media/FtiUeOXWAAAdQSZ.jpg")</f>
        <v>https://pbs.twimg.com/media/FtiUeOXWAAAdQSZ.jpg</v>
      </c>
      <c r="AW3409" s="82" t="s">
        <v>20175</v>
      </c>
      <c r="AX3409" s="82" t="s">
        <v>20175</v>
      </c>
      <c r="AY3409" s="77"/>
      <c r="AZ3409" s="82" t="s">
        <v>20971</v>
      </c>
      <c r="BA3409" s="82" t="s">
        <v>20971</v>
      </c>
      <c r="BB3409" s="82" t="s">
        <v>20971</v>
      </c>
      <c r="BC3409" s="82" t="s">
        <v>20175</v>
      </c>
      <c r="BD3409" s="82" t="s">
        <v>21597</v>
      </c>
      <c r="BE3409" s="77"/>
      <c r="BF3409" s="77"/>
      <c r="BG3409" s="77"/>
      <c r="BH3409" s="77"/>
      <c r="BI3409" s="77"/>
    </row>
    <row r="3410" spans="1:61" x14ac:dyDescent="0.25">
      <c r="A3410" s="62" t="s">
        <v>1006</v>
      </c>
      <c r="B3410" s="62" t="s">
        <v>1006</v>
      </c>
      <c r="C3410" s="63"/>
      <c r="D3410" s="64"/>
      <c r="E3410" s="65"/>
      <c r="F3410" s="66"/>
      <c r="G3410" s="63"/>
      <c r="H3410" s="67"/>
      <c r="I3410" s="68"/>
      <c r="J3410" s="68"/>
      <c r="K3410" s="32"/>
      <c r="L3410" s="75">
        <v>3410</v>
      </c>
      <c r="M3410" s="75"/>
      <c r="N3410" s="70"/>
      <c r="O3410" s="77" t="s">
        <v>179</v>
      </c>
      <c r="P3410" s="79">
        <v>45028.797303240739</v>
      </c>
      <c r="Q3410" s="77" t="s">
        <v>4616</v>
      </c>
      <c r="R3410" s="77">
        <v>0</v>
      </c>
      <c r="S3410" s="77">
        <v>0</v>
      </c>
      <c r="T3410" s="77">
        <v>0</v>
      </c>
      <c r="U3410" s="77">
        <v>0</v>
      </c>
      <c r="V3410" s="77">
        <v>46</v>
      </c>
      <c r="W3410" s="82" t="s">
        <v>6740</v>
      </c>
      <c r="X3410" s="77"/>
      <c r="Y3410" s="77"/>
      <c r="Z3410" s="77"/>
      <c r="AA3410" s="77" t="s">
        <v>9735</v>
      </c>
      <c r="AB3410" s="77" t="s">
        <v>10130</v>
      </c>
      <c r="AC3410" s="82" t="s">
        <v>10147</v>
      </c>
      <c r="AD3410" s="77" t="s">
        <v>10184</v>
      </c>
      <c r="AE3410" s="80" t="str">
        <f>HYPERLINK("https://twitter.com/imdasmilhas/status/1646228720808493071")</f>
        <v>https://twitter.com/imdasmilhas/status/1646228720808493071</v>
      </c>
      <c r="AF3410" s="79">
        <v>45028.797303240739</v>
      </c>
      <c r="AG3410" s="85">
        <v>45028</v>
      </c>
      <c r="AH3410" s="82" t="s">
        <v>13407</v>
      </c>
      <c r="AI3410" s="77" t="b">
        <v>0</v>
      </c>
      <c r="AJ3410" s="77"/>
      <c r="AK3410" s="77"/>
      <c r="AL3410" s="77"/>
      <c r="AM3410" s="77"/>
      <c r="AN3410" s="77"/>
      <c r="AO3410" s="77"/>
      <c r="AP3410" s="77"/>
      <c r="AQ3410" s="77" t="s">
        <v>16378</v>
      </c>
      <c r="AR3410" s="77"/>
      <c r="AS3410" s="77"/>
      <c r="AT3410" s="77"/>
      <c r="AU3410" s="77"/>
      <c r="AV3410" s="80" t="str">
        <f>HYPERLINK("https://pbs.twimg.com/media/FtiUTAtWAA4gY5j.jpg")</f>
        <v>https://pbs.twimg.com/media/FtiUTAtWAA4gY5j.jpg</v>
      </c>
      <c r="AW3410" s="82" t="s">
        <v>20176</v>
      </c>
      <c r="AX3410" s="82" t="s">
        <v>20176</v>
      </c>
      <c r="AY3410" s="77"/>
      <c r="AZ3410" s="82" t="s">
        <v>20971</v>
      </c>
      <c r="BA3410" s="82" t="s">
        <v>20971</v>
      </c>
      <c r="BB3410" s="82" t="s">
        <v>20971</v>
      </c>
      <c r="BC3410" s="82" t="s">
        <v>20176</v>
      </c>
      <c r="BD3410" s="82" t="s">
        <v>21597</v>
      </c>
      <c r="BE3410" s="77"/>
      <c r="BF3410" s="77"/>
      <c r="BG3410" s="77"/>
      <c r="BH3410" s="77"/>
      <c r="BI3410" s="77"/>
    </row>
    <row r="3411" spans="1:61" x14ac:dyDescent="0.25">
      <c r="A3411" s="62" t="s">
        <v>1006</v>
      </c>
      <c r="B3411" s="62" t="s">
        <v>1006</v>
      </c>
      <c r="C3411" s="63"/>
      <c r="D3411" s="64"/>
      <c r="E3411" s="65"/>
      <c r="F3411" s="66"/>
      <c r="G3411" s="63"/>
      <c r="H3411" s="67"/>
      <c r="I3411" s="68"/>
      <c r="J3411" s="68"/>
      <c r="K3411" s="32"/>
      <c r="L3411" s="75">
        <v>3411</v>
      </c>
      <c r="M3411" s="75"/>
      <c r="N3411" s="70"/>
      <c r="O3411" s="77" t="s">
        <v>179</v>
      </c>
      <c r="P3411" s="79">
        <v>45002.796365740738</v>
      </c>
      <c r="Q3411" s="77" t="s">
        <v>4617</v>
      </c>
      <c r="R3411" s="77">
        <v>0</v>
      </c>
      <c r="S3411" s="77">
        <v>0</v>
      </c>
      <c r="T3411" s="77">
        <v>0</v>
      </c>
      <c r="U3411" s="77">
        <v>0</v>
      </c>
      <c r="V3411" s="77">
        <v>90</v>
      </c>
      <c r="W3411" s="82" t="s">
        <v>6740</v>
      </c>
      <c r="X3411" s="77"/>
      <c r="Y3411" s="77"/>
      <c r="Z3411" s="77"/>
      <c r="AA3411" s="77" t="s">
        <v>9736</v>
      </c>
      <c r="AB3411" s="77" t="s">
        <v>10130</v>
      </c>
      <c r="AC3411" s="82" t="s">
        <v>10147</v>
      </c>
      <c r="AD3411" s="77" t="s">
        <v>10184</v>
      </c>
      <c r="AE3411" s="80" t="str">
        <f>HYPERLINK("https://twitter.com/imdasmilhas/status/1636806296551686160")</f>
        <v>https://twitter.com/imdasmilhas/status/1636806296551686160</v>
      </c>
      <c r="AF3411" s="79">
        <v>45002.796365740738</v>
      </c>
      <c r="AG3411" s="85">
        <v>45002</v>
      </c>
      <c r="AH3411" s="82" t="s">
        <v>13408</v>
      </c>
      <c r="AI3411" s="77" t="b">
        <v>0</v>
      </c>
      <c r="AJ3411" s="77"/>
      <c r="AK3411" s="77"/>
      <c r="AL3411" s="77"/>
      <c r="AM3411" s="77"/>
      <c r="AN3411" s="77"/>
      <c r="AO3411" s="77"/>
      <c r="AP3411" s="77"/>
      <c r="AQ3411" s="77" t="s">
        <v>16379</v>
      </c>
      <c r="AR3411" s="77"/>
      <c r="AS3411" s="77"/>
      <c r="AT3411" s="77"/>
      <c r="AU3411" s="77"/>
      <c r="AV3411" s="80" t="str">
        <f>HYPERLINK("https://pbs.twimg.com/media/FrcapvXWABsxRLK.jpg")</f>
        <v>https://pbs.twimg.com/media/FrcapvXWABsxRLK.jpg</v>
      </c>
      <c r="AW3411" s="82" t="s">
        <v>20177</v>
      </c>
      <c r="AX3411" s="82" t="s">
        <v>20177</v>
      </c>
      <c r="AY3411" s="77"/>
      <c r="AZ3411" s="82" t="s">
        <v>20971</v>
      </c>
      <c r="BA3411" s="82" t="s">
        <v>20971</v>
      </c>
      <c r="BB3411" s="82" t="s">
        <v>20971</v>
      </c>
      <c r="BC3411" s="82" t="s">
        <v>20177</v>
      </c>
      <c r="BD3411" s="82" t="s">
        <v>21597</v>
      </c>
      <c r="BE3411" s="77"/>
      <c r="BF3411" s="77"/>
      <c r="BG3411" s="77"/>
      <c r="BH3411" s="77"/>
      <c r="BI3411" s="77"/>
    </row>
    <row r="3412" spans="1:61" x14ac:dyDescent="0.25">
      <c r="A3412" s="62" t="s">
        <v>1006</v>
      </c>
      <c r="B3412" s="62" t="s">
        <v>1006</v>
      </c>
      <c r="C3412" s="63"/>
      <c r="D3412" s="64"/>
      <c r="E3412" s="65"/>
      <c r="F3412" s="66"/>
      <c r="G3412" s="63"/>
      <c r="H3412" s="67"/>
      <c r="I3412" s="68"/>
      <c r="J3412" s="68"/>
      <c r="K3412" s="32"/>
      <c r="L3412" s="75">
        <v>3412</v>
      </c>
      <c r="M3412" s="75"/>
      <c r="N3412" s="70"/>
      <c r="O3412" s="77" t="s">
        <v>179</v>
      </c>
      <c r="P3412" s="79">
        <v>45002.795925925922</v>
      </c>
      <c r="Q3412" s="77" t="s">
        <v>4618</v>
      </c>
      <c r="R3412" s="77">
        <v>0</v>
      </c>
      <c r="S3412" s="77">
        <v>0</v>
      </c>
      <c r="T3412" s="77">
        <v>0</v>
      </c>
      <c r="U3412" s="77">
        <v>0</v>
      </c>
      <c r="V3412" s="77">
        <v>58</v>
      </c>
      <c r="W3412" s="82" t="s">
        <v>6740</v>
      </c>
      <c r="X3412" s="77"/>
      <c r="Y3412" s="77"/>
      <c r="Z3412" s="77"/>
      <c r="AA3412" s="77" t="s">
        <v>9737</v>
      </c>
      <c r="AB3412" s="77" t="s">
        <v>10130</v>
      </c>
      <c r="AC3412" s="82" t="s">
        <v>10147</v>
      </c>
      <c r="AD3412" s="77" t="s">
        <v>10184</v>
      </c>
      <c r="AE3412" s="80" t="str">
        <f>HYPERLINK("https://twitter.com/imdasmilhas/status/1636806139722465310")</f>
        <v>https://twitter.com/imdasmilhas/status/1636806139722465310</v>
      </c>
      <c r="AF3412" s="79">
        <v>45002.795925925922</v>
      </c>
      <c r="AG3412" s="85">
        <v>45002</v>
      </c>
      <c r="AH3412" s="82" t="s">
        <v>13409</v>
      </c>
      <c r="AI3412" s="77" t="b">
        <v>0</v>
      </c>
      <c r="AJ3412" s="77"/>
      <c r="AK3412" s="77"/>
      <c r="AL3412" s="77"/>
      <c r="AM3412" s="77"/>
      <c r="AN3412" s="77"/>
      <c r="AO3412" s="77"/>
      <c r="AP3412" s="77"/>
      <c r="AQ3412" s="77" t="s">
        <v>16380</v>
      </c>
      <c r="AR3412" s="77"/>
      <c r="AS3412" s="77"/>
      <c r="AT3412" s="77"/>
      <c r="AU3412" s="77"/>
      <c r="AV3412" s="80" t="str">
        <f>HYPERLINK("https://pbs.twimg.com/media/FrcagosWABEysiL.jpg")</f>
        <v>https://pbs.twimg.com/media/FrcagosWABEysiL.jpg</v>
      </c>
      <c r="AW3412" s="82" t="s">
        <v>20178</v>
      </c>
      <c r="AX3412" s="82" t="s">
        <v>20178</v>
      </c>
      <c r="AY3412" s="77"/>
      <c r="AZ3412" s="82" t="s">
        <v>20971</v>
      </c>
      <c r="BA3412" s="82" t="s">
        <v>20971</v>
      </c>
      <c r="BB3412" s="82" t="s">
        <v>20971</v>
      </c>
      <c r="BC3412" s="82" t="s">
        <v>20178</v>
      </c>
      <c r="BD3412" s="82" t="s">
        <v>21597</v>
      </c>
      <c r="BE3412" s="77"/>
      <c r="BF3412" s="77"/>
      <c r="BG3412" s="77"/>
      <c r="BH3412" s="77"/>
      <c r="BI3412" s="77"/>
    </row>
    <row r="3413" spans="1:61" x14ac:dyDescent="0.25">
      <c r="A3413" s="62" t="s">
        <v>1006</v>
      </c>
      <c r="B3413" s="62" t="s">
        <v>1006</v>
      </c>
      <c r="C3413" s="63"/>
      <c r="D3413" s="64"/>
      <c r="E3413" s="65"/>
      <c r="F3413" s="66"/>
      <c r="G3413" s="63"/>
      <c r="H3413" s="67"/>
      <c r="I3413" s="68"/>
      <c r="J3413" s="68"/>
      <c r="K3413" s="32"/>
      <c r="L3413" s="75">
        <v>3413</v>
      </c>
      <c r="M3413" s="75"/>
      <c r="N3413" s="70"/>
      <c r="O3413" s="77" t="s">
        <v>179</v>
      </c>
      <c r="P3413" s="79">
        <v>45002.792488425926</v>
      </c>
      <c r="Q3413" s="77" t="s">
        <v>4619</v>
      </c>
      <c r="R3413" s="77">
        <v>0</v>
      </c>
      <c r="S3413" s="77">
        <v>0</v>
      </c>
      <c r="T3413" s="77">
        <v>0</v>
      </c>
      <c r="U3413" s="77">
        <v>0</v>
      </c>
      <c r="V3413" s="77">
        <v>51</v>
      </c>
      <c r="W3413" s="82" t="s">
        <v>6740</v>
      </c>
      <c r="X3413" s="77"/>
      <c r="Y3413" s="77"/>
      <c r="Z3413" s="77"/>
      <c r="AA3413" s="77" t="s">
        <v>9738</v>
      </c>
      <c r="AB3413" s="77" t="s">
        <v>10130</v>
      </c>
      <c r="AC3413" s="82" t="s">
        <v>10147</v>
      </c>
      <c r="AD3413" s="77" t="s">
        <v>10184</v>
      </c>
      <c r="AE3413" s="80" t="str">
        <f>HYPERLINK("https://twitter.com/imdasmilhas/status/1636804892751691791")</f>
        <v>https://twitter.com/imdasmilhas/status/1636804892751691791</v>
      </c>
      <c r="AF3413" s="79">
        <v>45002.792488425926</v>
      </c>
      <c r="AG3413" s="85">
        <v>45002</v>
      </c>
      <c r="AH3413" s="82" t="s">
        <v>13410</v>
      </c>
      <c r="AI3413" s="77" t="b">
        <v>0</v>
      </c>
      <c r="AJ3413" s="77"/>
      <c r="AK3413" s="77"/>
      <c r="AL3413" s="77"/>
      <c r="AM3413" s="77"/>
      <c r="AN3413" s="77"/>
      <c r="AO3413" s="77"/>
      <c r="AP3413" s="77"/>
      <c r="AQ3413" s="77" t="s">
        <v>16381</v>
      </c>
      <c r="AR3413" s="77"/>
      <c r="AS3413" s="77"/>
      <c r="AT3413" s="77"/>
      <c r="AU3413" s="77"/>
      <c r="AV3413" s="80" t="str">
        <f>HYPERLINK("https://pbs.twimg.com/media/FrcZYB6WACQxlQr.jpg")</f>
        <v>https://pbs.twimg.com/media/FrcZYB6WACQxlQr.jpg</v>
      </c>
      <c r="AW3413" s="82" t="s">
        <v>20179</v>
      </c>
      <c r="AX3413" s="82" t="s">
        <v>20179</v>
      </c>
      <c r="AY3413" s="77"/>
      <c r="AZ3413" s="82" t="s">
        <v>20971</v>
      </c>
      <c r="BA3413" s="82" t="s">
        <v>20971</v>
      </c>
      <c r="BB3413" s="82" t="s">
        <v>20971</v>
      </c>
      <c r="BC3413" s="82" t="s">
        <v>20179</v>
      </c>
      <c r="BD3413" s="82" t="s">
        <v>21597</v>
      </c>
      <c r="BE3413" s="77"/>
      <c r="BF3413" s="77"/>
      <c r="BG3413" s="77"/>
      <c r="BH3413" s="77"/>
      <c r="BI3413" s="77"/>
    </row>
    <row r="3414" spans="1:61" x14ac:dyDescent="0.25">
      <c r="A3414" s="62" t="s">
        <v>1006</v>
      </c>
      <c r="B3414" s="62" t="s">
        <v>1006</v>
      </c>
      <c r="C3414" s="63"/>
      <c r="D3414" s="64"/>
      <c r="E3414" s="65"/>
      <c r="F3414" s="66"/>
      <c r="G3414" s="63"/>
      <c r="H3414" s="67"/>
      <c r="I3414" s="68"/>
      <c r="J3414" s="68"/>
      <c r="K3414" s="32"/>
      <c r="L3414" s="75">
        <v>3414</v>
      </c>
      <c r="M3414" s="75"/>
      <c r="N3414" s="70"/>
      <c r="O3414" s="77" t="s">
        <v>179</v>
      </c>
      <c r="P3414" s="79">
        <v>45002.701342592591</v>
      </c>
      <c r="Q3414" s="77" t="s">
        <v>4620</v>
      </c>
      <c r="R3414" s="77">
        <v>0</v>
      </c>
      <c r="S3414" s="77">
        <v>0</v>
      </c>
      <c r="T3414" s="77">
        <v>0</v>
      </c>
      <c r="U3414" s="77">
        <v>0</v>
      </c>
      <c r="V3414" s="77">
        <v>72</v>
      </c>
      <c r="W3414" s="82" t="s">
        <v>6751</v>
      </c>
      <c r="X3414" s="77"/>
      <c r="Y3414" s="77"/>
      <c r="Z3414" s="77"/>
      <c r="AA3414" s="77" t="s">
        <v>9739</v>
      </c>
      <c r="AB3414" s="77" t="s">
        <v>10130</v>
      </c>
      <c r="AC3414" s="82" t="s">
        <v>10147</v>
      </c>
      <c r="AD3414" s="77" t="s">
        <v>10184</v>
      </c>
      <c r="AE3414" s="80" t="str">
        <f>HYPERLINK("https://twitter.com/imdasmilhas/status/1636771861773123584")</f>
        <v>https://twitter.com/imdasmilhas/status/1636771861773123584</v>
      </c>
      <c r="AF3414" s="79">
        <v>45002.701342592591</v>
      </c>
      <c r="AG3414" s="85">
        <v>45002</v>
      </c>
      <c r="AH3414" s="82" t="s">
        <v>13411</v>
      </c>
      <c r="AI3414" s="77" t="b">
        <v>0</v>
      </c>
      <c r="AJ3414" s="77"/>
      <c r="AK3414" s="77"/>
      <c r="AL3414" s="77"/>
      <c r="AM3414" s="77"/>
      <c r="AN3414" s="77"/>
      <c r="AO3414" s="77"/>
      <c r="AP3414" s="77"/>
      <c r="AQ3414" s="77" t="s">
        <v>16382</v>
      </c>
      <c r="AR3414" s="77"/>
      <c r="AS3414" s="77"/>
      <c r="AT3414" s="77"/>
      <c r="AU3414" s="77"/>
      <c r="AV3414" s="80" t="str">
        <f>HYPERLINK("https://pbs.twimg.com/media/Frb7VZPXwAgq325.jpg")</f>
        <v>https://pbs.twimg.com/media/Frb7VZPXwAgq325.jpg</v>
      </c>
      <c r="AW3414" s="82" t="s">
        <v>20180</v>
      </c>
      <c r="AX3414" s="82" t="s">
        <v>20180</v>
      </c>
      <c r="AY3414" s="77"/>
      <c r="AZ3414" s="82" t="s">
        <v>20971</v>
      </c>
      <c r="BA3414" s="82" t="s">
        <v>20971</v>
      </c>
      <c r="BB3414" s="82" t="s">
        <v>20971</v>
      </c>
      <c r="BC3414" s="82" t="s">
        <v>20180</v>
      </c>
      <c r="BD3414" s="82" t="s">
        <v>21597</v>
      </c>
      <c r="BE3414" s="77"/>
      <c r="BF3414" s="77"/>
      <c r="BG3414" s="77"/>
      <c r="BH3414" s="77"/>
      <c r="BI3414" s="77"/>
    </row>
    <row r="3415" spans="1:61" x14ac:dyDescent="0.25">
      <c r="A3415" s="62" t="s">
        <v>1006</v>
      </c>
      <c r="B3415" s="62" t="s">
        <v>1006</v>
      </c>
      <c r="C3415" s="63"/>
      <c r="D3415" s="64"/>
      <c r="E3415" s="65"/>
      <c r="F3415" s="66"/>
      <c r="G3415" s="63"/>
      <c r="H3415" s="67"/>
      <c r="I3415" s="68"/>
      <c r="J3415" s="68"/>
      <c r="K3415" s="32"/>
      <c r="L3415" s="75">
        <v>3415</v>
      </c>
      <c r="M3415" s="75"/>
      <c r="N3415" s="70"/>
      <c r="O3415" s="77" t="s">
        <v>179</v>
      </c>
      <c r="P3415" s="79">
        <v>45002.688067129631</v>
      </c>
      <c r="Q3415" s="77" t="s">
        <v>4621</v>
      </c>
      <c r="R3415" s="77">
        <v>0</v>
      </c>
      <c r="S3415" s="77">
        <v>0</v>
      </c>
      <c r="T3415" s="77">
        <v>0</v>
      </c>
      <c r="U3415" s="77">
        <v>0</v>
      </c>
      <c r="V3415" s="77">
        <v>58</v>
      </c>
      <c r="W3415" s="82" t="s">
        <v>6752</v>
      </c>
      <c r="X3415" s="77"/>
      <c r="Y3415" s="77"/>
      <c r="Z3415" s="77"/>
      <c r="AA3415" s="77" t="s">
        <v>9740</v>
      </c>
      <c r="AB3415" s="77" t="s">
        <v>10130</v>
      </c>
      <c r="AC3415" s="82" t="s">
        <v>10147</v>
      </c>
      <c r="AD3415" s="77" t="s">
        <v>10184</v>
      </c>
      <c r="AE3415" s="80" t="str">
        <f>HYPERLINK("https://twitter.com/imdasmilhas/status/1636767052391235590")</f>
        <v>https://twitter.com/imdasmilhas/status/1636767052391235590</v>
      </c>
      <c r="AF3415" s="79">
        <v>45002.688067129631</v>
      </c>
      <c r="AG3415" s="85">
        <v>45002</v>
      </c>
      <c r="AH3415" s="82" t="s">
        <v>13412</v>
      </c>
      <c r="AI3415" s="77" t="b">
        <v>0</v>
      </c>
      <c r="AJ3415" s="77"/>
      <c r="AK3415" s="77"/>
      <c r="AL3415" s="77"/>
      <c r="AM3415" s="77"/>
      <c r="AN3415" s="77"/>
      <c r="AO3415" s="77"/>
      <c r="AP3415" s="77"/>
      <c r="AQ3415" s="77" t="s">
        <v>16383</v>
      </c>
      <c r="AR3415" s="77"/>
      <c r="AS3415" s="77"/>
      <c r="AT3415" s="77"/>
      <c r="AU3415" s="77"/>
      <c r="AV3415" s="80" t="str">
        <f>HYPERLINK("https://pbs.twimg.com/media/Frb29YfWIAMFeYT.jpg")</f>
        <v>https://pbs.twimg.com/media/Frb29YfWIAMFeYT.jpg</v>
      </c>
      <c r="AW3415" s="82" t="s">
        <v>20181</v>
      </c>
      <c r="AX3415" s="82" t="s">
        <v>20181</v>
      </c>
      <c r="AY3415" s="77"/>
      <c r="AZ3415" s="82" t="s">
        <v>20971</v>
      </c>
      <c r="BA3415" s="82" t="s">
        <v>20971</v>
      </c>
      <c r="BB3415" s="82" t="s">
        <v>20971</v>
      </c>
      <c r="BC3415" s="82" t="s">
        <v>20181</v>
      </c>
      <c r="BD3415" s="82" t="s">
        <v>21597</v>
      </c>
      <c r="BE3415" s="77"/>
      <c r="BF3415" s="77"/>
      <c r="BG3415" s="77"/>
      <c r="BH3415" s="77"/>
      <c r="BI3415" s="77"/>
    </row>
    <row r="3416" spans="1:61" x14ac:dyDescent="0.25">
      <c r="A3416" s="62" t="s">
        <v>1006</v>
      </c>
      <c r="B3416" s="62" t="s">
        <v>1006</v>
      </c>
      <c r="C3416" s="63"/>
      <c r="D3416" s="64"/>
      <c r="E3416" s="65"/>
      <c r="F3416" s="66"/>
      <c r="G3416" s="63"/>
      <c r="H3416" s="67"/>
      <c r="I3416" s="68"/>
      <c r="J3416" s="68"/>
      <c r="K3416" s="32"/>
      <c r="L3416" s="75">
        <v>3416</v>
      </c>
      <c r="M3416" s="75"/>
      <c r="N3416" s="70"/>
      <c r="O3416" s="77" t="s">
        <v>179</v>
      </c>
      <c r="P3416" s="79">
        <v>45002.686944444446</v>
      </c>
      <c r="Q3416" s="77" t="s">
        <v>4622</v>
      </c>
      <c r="R3416" s="77">
        <v>0</v>
      </c>
      <c r="S3416" s="77">
        <v>0</v>
      </c>
      <c r="T3416" s="77">
        <v>0</v>
      </c>
      <c r="U3416" s="77">
        <v>0</v>
      </c>
      <c r="V3416" s="77">
        <v>68</v>
      </c>
      <c r="W3416" s="82" t="s">
        <v>6753</v>
      </c>
      <c r="X3416" s="77"/>
      <c r="Y3416" s="77"/>
      <c r="Z3416" s="77"/>
      <c r="AA3416" s="77" t="s">
        <v>9741</v>
      </c>
      <c r="AB3416" s="77" t="s">
        <v>10130</v>
      </c>
      <c r="AC3416" s="82" t="s">
        <v>10147</v>
      </c>
      <c r="AD3416" s="77" t="s">
        <v>10184</v>
      </c>
      <c r="AE3416" s="80" t="str">
        <f>HYPERLINK("https://twitter.com/imdasmilhas/status/1636766646219030533")</f>
        <v>https://twitter.com/imdasmilhas/status/1636766646219030533</v>
      </c>
      <c r="AF3416" s="79">
        <v>45002.686944444446</v>
      </c>
      <c r="AG3416" s="85">
        <v>45002</v>
      </c>
      <c r="AH3416" s="82" t="s">
        <v>13413</v>
      </c>
      <c r="AI3416" s="77" t="b">
        <v>0</v>
      </c>
      <c r="AJ3416" s="77"/>
      <c r="AK3416" s="77"/>
      <c r="AL3416" s="77"/>
      <c r="AM3416" s="77"/>
      <c r="AN3416" s="77"/>
      <c r="AO3416" s="77"/>
      <c r="AP3416" s="77"/>
      <c r="AQ3416" s="77" t="s">
        <v>16384</v>
      </c>
      <c r="AR3416" s="77"/>
      <c r="AS3416" s="77"/>
      <c r="AT3416" s="77"/>
      <c r="AU3416" s="77"/>
      <c r="AV3416" s="80" t="str">
        <f>HYPERLINK("https://pbs.twimg.com/media/Frb2lx9XwAQA7wm.jpg")</f>
        <v>https://pbs.twimg.com/media/Frb2lx9XwAQA7wm.jpg</v>
      </c>
      <c r="AW3416" s="82" t="s">
        <v>20182</v>
      </c>
      <c r="AX3416" s="82" t="s">
        <v>20182</v>
      </c>
      <c r="AY3416" s="77"/>
      <c r="AZ3416" s="82" t="s">
        <v>20971</v>
      </c>
      <c r="BA3416" s="82" t="s">
        <v>20971</v>
      </c>
      <c r="BB3416" s="82" t="s">
        <v>20971</v>
      </c>
      <c r="BC3416" s="82" t="s">
        <v>20182</v>
      </c>
      <c r="BD3416" s="82" t="s">
        <v>21597</v>
      </c>
      <c r="BE3416" s="77"/>
      <c r="BF3416" s="77"/>
      <c r="BG3416" s="77"/>
      <c r="BH3416" s="77"/>
      <c r="BI3416" s="77"/>
    </row>
    <row r="3417" spans="1:61" x14ac:dyDescent="0.25">
      <c r="A3417" s="62" t="s">
        <v>1006</v>
      </c>
      <c r="B3417" s="62" t="s">
        <v>1006</v>
      </c>
      <c r="C3417" s="63"/>
      <c r="D3417" s="64"/>
      <c r="E3417" s="65"/>
      <c r="F3417" s="66"/>
      <c r="G3417" s="63"/>
      <c r="H3417" s="67"/>
      <c r="I3417" s="68"/>
      <c r="J3417" s="68"/>
      <c r="K3417" s="32"/>
      <c r="L3417" s="75">
        <v>3417</v>
      </c>
      <c r="M3417" s="75"/>
      <c r="N3417" s="70"/>
      <c r="O3417" s="77" t="s">
        <v>179</v>
      </c>
      <c r="P3417" s="79">
        <v>45001.83452546296</v>
      </c>
      <c r="Q3417" s="77" t="s">
        <v>4623</v>
      </c>
      <c r="R3417" s="77">
        <v>0</v>
      </c>
      <c r="S3417" s="77">
        <v>1</v>
      </c>
      <c r="T3417" s="77">
        <v>0</v>
      </c>
      <c r="U3417" s="77">
        <v>0</v>
      </c>
      <c r="V3417" s="77">
        <v>117</v>
      </c>
      <c r="W3417" s="82" t="s">
        <v>6740</v>
      </c>
      <c r="X3417" s="77"/>
      <c r="Y3417" s="77"/>
      <c r="Z3417" s="77"/>
      <c r="AA3417" s="77" t="s">
        <v>9742</v>
      </c>
      <c r="AB3417" s="77" t="s">
        <v>10130</v>
      </c>
      <c r="AC3417" s="82" t="s">
        <v>10147</v>
      </c>
      <c r="AD3417" s="77" t="s">
        <v>10184</v>
      </c>
      <c r="AE3417" s="80" t="str">
        <f>HYPERLINK("https://twitter.com/imdasmilhas/status/1636457740359835659")</f>
        <v>https://twitter.com/imdasmilhas/status/1636457740359835659</v>
      </c>
      <c r="AF3417" s="79">
        <v>45001.83452546296</v>
      </c>
      <c r="AG3417" s="85">
        <v>45001</v>
      </c>
      <c r="AH3417" s="82" t="s">
        <v>13414</v>
      </c>
      <c r="AI3417" s="77" t="b">
        <v>0</v>
      </c>
      <c r="AJ3417" s="77"/>
      <c r="AK3417" s="77"/>
      <c r="AL3417" s="77"/>
      <c r="AM3417" s="77"/>
      <c r="AN3417" s="77"/>
      <c r="AO3417" s="77"/>
      <c r="AP3417" s="77"/>
      <c r="AQ3417" s="77" t="s">
        <v>16385</v>
      </c>
      <c r="AR3417" s="77"/>
      <c r="AS3417" s="77"/>
      <c r="AT3417" s="77"/>
      <c r="AU3417" s="77"/>
      <c r="AV3417" s="80" t="str">
        <f>HYPERLINK("https://pbs.twimg.com/media/FrXdpDnXoAIETGX.jpg")</f>
        <v>https://pbs.twimg.com/media/FrXdpDnXoAIETGX.jpg</v>
      </c>
      <c r="AW3417" s="82" t="s">
        <v>20183</v>
      </c>
      <c r="AX3417" s="82" t="s">
        <v>20183</v>
      </c>
      <c r="AY3417" s="77"/>
      <c r="AZ3417" s="82" t="s">
        <v>20971</v>
      </c>
      <c r="BA3417" s="82" t="s">
        <v>20971</v>
      </c>
      <c r="BB3417" s="82" t="s">
        <v>20971</v>
      </c>
      <c r="BC3417" s="82" t="s">
        <v>20183</v>
      </c>
      <c r="BD3417" s="82" t="s">
        <v>21597</v>
      </c>
      <c r="BE3417" s="77"/>
      <c r="BF3417" s="77"/>
      <c r="BG3417" s="77"/>
      <c r="BH3417" s="77"/>
      <c r="BI3417" s="77"/>
    </row>
    <row r="3418" spans="1:61" x14ac:dyDescent="0.25">
      <c r="A3418" s="62" t="s">
        <v>1006</v>
      </c>
      <c r="B3418" s="62" t="s">
        <v>1006</v>
      </c>
      <c r="C3418" s="63"/>
      <c r="D3418" s="64"/>
      <c r="E3418" s="65"/>
      <c r="F3418" s="66"/>
      <c r="G3418" s="63"/>
      <c r="H3418" s="67"/>
      <c r="I3418" s="68"/>
      <c r="J3418" s="68"/>
      <c r="K3418" s="32"/>
      <c r="L3418" s="75">
        <v>3418</v>
      </c>
      <c r="M3418" s="75"/>
      <c r="N3418" s="70"/>
      <c r="O3418" s="77" t="s">
        <v>179</v>
      </c>
      <c r="P3418" s="79">
        <v>45001.834062499998</v>
      </c>
      <c r="Q3418" s="77" t="s">
        <v>4624</v>
      </c>
      <c r="R3418" s="77">
        <v>0</v>
      </c>
      <c r="S3418" s="77">
        <v>0</v>
      </c>
      <c r="T3418" s="77">
        <v>0</v>
      </c>
      <c r="U3418" s="77">
        <v>0</v>
      </c>
      <c r="V3418" s="77">
        <v>58</v>
      </c>
      <c r="W3418" s="82" t="s">
        <v>6740</v>
      </c>
      <c r="X3418" s="77"/>
      <c r="Y3418" s="77"/>
      <c r="Z3418" s="77"/>
      <c r="AA3418" s="77" t="s">
        <v>9743</v>
      </c>
      <c r="AB3418" s="77" t="s">
        <v>10130</v>
      </c>
      <c r="AC3418" s="82" t="s">
        <v>10147</v>
      </c>
      <c r="AD3418" s="77" t="s">
        <v>10184</v>
      </c>
      <c r="AE3418" s="80" t="str">
        <f>HYPERLINK("https://twitter.com/imdasmilhas/status/1636457571853672453")</f>
        <v>https://twitter.com/imdasmilhas/status/1636457571853672453</v>
      </c>
      <c r="AF3418" s="79">
        <v>45001.834062499998</v>
      </c>
      <c r="AG3418" s="85">
        <v>45001</v>
      </c>
      <c r="AH3418" s="82" t="s">
        <v>13415</v>
      </c>
      <c r="AI3418" s="77" t="b">
        <v>0</v>
      </c>
      <c r="AJ3418" s="77"/>
      <c r="AK3418" s="77"/>
      <c r="AL3418" s="77"/>
      <c r="AM3418" s="77"/>
      <c r="AN3418" s="77"/>
      <c r="AO3418" s="77"/>
      <c r="AP3418" s="77"/>
      <c r="AQ3418" s="77" t="s">
        <v>16386</v>
      </c>
      <c r="AR3418" s="77"/>
      <c r="AS3418" s="77"/>
      <c r="AT3418" s="77"/>
      <c r="AU3418" s="77"/>
      <c r="AV3418" s="80" t="str">
        <f>HYPERLINK("https://pbs.twimg.com/media/FrXdfT1WIBEK33T.jpg")</f>
        <v>https://pbs.twimg.com/media/FrXdfT1WIBEK33T.jpg</v>
      </c>
      <c r="AW3418" s="82" t="s">
        <v>20184</v>
      </c>
      <c r="AX3418" s="82" t="s">
        <v>20184</v>
      </c>
      <c r="AY3418" s="77"/>
      <c r="AZ3418" s="82" t="s">
        <v>20971</v>
      </c>
      <c r="BA3418" s="82" t="s">
        <v>20971</v>
      </c>
      <c r="BB3418" s="82" t="s">
        <v>20971</v>
      </c>
      <c r="BC3418" s="82" t="s">
        <v>20184</v>
      </c>
      <c r="BD3418" s="82" t="s">
        <v>21597</v>
      </c>
      <c r="BE3418" s="77"/>
      <c r="BF3418" s="77"/>
      <c r="BG3418" s="77"/>
      <c r="BH3418" s="77"/>
      <c r="BI3418" s="77"/>
    </row>
    <row r="3419" spans="1:61" x14ac:dyDescent="0.25">
      <c r="A3419" s="62" t="s">
        <v>1006</v>
      </c>
      <c r="B3419" s="62" t="s">
        <v>1006</v>
      </c>
      <c r="C3419" s="63"/>
      <c r="D3419" s="64"/>
      <c r="E3419" s="65"/>
      <c r="F3419" s="66"/>
      <c r="G3419" s="63"/>
      <c r="H3419" s="67"/>
      <c r="I3419" s="68"/>
      <c r="J3419" s="68"/>
      <c r="K3419" s="32"/>
      <c r="L3419" s="75">
        <v>3419</v>
      </c>
      <c r="M3419" s="75"/>
      <c r="N3419" s="70"/>
      <c r="O3419" s="77" t="s">
        <v>179</v>
      </c>
      <c r="P3419" s="79">
        <v>45163.831666666665</v>
      </c>
      <c r="Q3419" s="77" t="s">
        <v>4625</v>
      </c>
      <c r="R3419" s="77">
        <v>0</v>
      </c>
      <c r="S3419" s="77">
        <v>0</v>
      </c>
      <c r="T3419" s="77">
        <v>0</v>
      </c>
      <c r="U3419" s="77">
        <v>0</v>
      </c>
      <c r="V3419" s="77">
        <v>117</v>
      </c>
      <c r="W3419" s="82" t="s">
        <v>6740</v>
      </c>
      <c r="X3419" s="77"/>
      <c r="Y3419" s="77"/>
      <c r="Z3419" s="77"/>
      <c r="AA3419" s="77" t="s">
        <v>9744</v>
      </c>
      <c r="AB3419" s="77" t="s">
        <v>10130</v>
      </c>
      <c r="AC3419" s="82" t="s">
        <v>10146</v>
      </c>
      <c r="AD3419" s="77" t="s">
        <v>10184</v>
      </c>
      <c r="AE3419" s="80" t="str">
        <f>HYPERLINK("https://twitter.com/imdasmilhas/status/1695163535259480448")</f>
        <v>https://twitter.com/imdasmilhas/status/1695163535259480448</v>
      </c>
      <c r="AF3419" s="79">
        <v>45163.831666666665</v>
      </c>
      <c r="AG3419" s="85">
        <v>45163</v>
      </c>
      <c r="AH3419" s="82" t="s">
        <v>13416</v>
      </c>
      <c r="AI3419" s="77" t="b">
        <v>0</v>
      </c>
      <c r="AJ3419" s="77"/>
      <c r="AK3419" s="77"/>
      <c r="AL3419" s="77"/>
      <c r="AM3419" s="77"/>
      <c r="AN3419" s="77"/>
      <c r="AO3419" s="77"/>
      <c r="AP3419" s="77"/>
      <c r="AQ3419" s="77" t="s">
        <v>16387</v>
      </c>
      <c r="AR3419" s="77"/>
      <c r="AS3419" s="77"/>
      <c r="AT3419" s="77"/>
      <c r="AU3419" s="77"/>
      <c r="AV3419" s="80" t="str">
        <f>HYPERLINK("https://pbs.twimg.com/media/F4ZuL4XW4AAB4BJ.jpg")</f>
        <v>https://pbs.twimg.com/media/F4ZuL4XW4AAB4BJ.jpg</v>
      </c>
      <c r="AW3419" s="82" t="s">
        <v>20185</v>
      </c>
      <c r="AX3419" s="82" t="s">
        <v>20185</v>
      </c>
      <c r="AY3419" s="77"/>
      <c r="AZ3419" s="82" t="s">
        <v>20971</v>
      </c>
      <c r="BA3419" s="82" t="s">
        <v>20971</v>
      </c>
      <c r="BB3419" s="82" t="s">
        <v>20971</v>
      </c>
      <c r="BC3419" s="82" t="s">
        <v>20185</v>
      </c>
      <c r="BD3419" s="82" t="s">
        <v>21597</v>
      </c>
      <c r="BE3419" s="77"/>
      <c r="BF3419" s="77"/>
      <c r="BG3419" s="77"/>
      <c r="BH3419" s="77"/>
      <c r="BI3419" s="77"/>
    </row>
    <row r="3420" spans="1:61" x14ac:dyDescent="0.25">
      <c r="A3420" s="62" t="s">
        <v>1006</v>
      </c>
      <c r="B3420" s="62" t="s">
        <v>1006</v>
      </c>
      <c r="C3420" s="63"/>
      <c r="D3420" s="64"/>
      <c r="E3420" s="65"/>
      <c r="F3420" s="66"/>
      <c r="G3420" s="63"/>
      <c r="H3420" s="67"/>
      <c r="I3420" s="68"/>
      <c r="J3420" s="68"/>
      <c r="K3420" s="32"/>
      <c r="L3420" s="75">
        <v>3420</v>
      </c>
      <c r="M3420" s="75"/>
      <c r="N3420" s="70"/>
      <c r="O3420" s="77" t="s">
        <v>179</v>
      </c>
      <c r="P3420" s="79">
        <v>45114.766041666669</v>
      </c>
      <c r="Q3420" s="77" t="s">
        <v>4626</v>
      </c>
      <c r="R3420" s="77">
        <v>0</v>
      </c>
      <c r="S3420" s="77">
        <v>0</v>
      </c>
      <c r="T3420" s="77">
        <v>0</v>
      </c>
      <c r="U3420" s="77">
        <v>0</v>
      </c>
      <c r="V3420" s="77">
        <v>119</v>
      </c>
      <c r="W3420" s="82" t="s">
        <v>6740</v>
      </c>
      <c r="X3420" s="77"/>
      <c r="Y3420" s="77"/>
      <c r="Z3420" s="77"/>
      <c r="AA3420" s="77" t="s">
        <v>9745</v>
      </c>
      <c r="AB3420" s="77" t="s">
        <v>10130</v>
      </c>
      <c r="AC3420" s="82" t="s">
        <v>10147</v>
      </c>
      <c r="AD3420" s="77" t="s">
        <v>10184</v>
      </c>
      <c r="AE3420" s="80" t="str">
        <f>HYPERLINK("https://twitter.com/imdasmilhas/status/1677382750888681478")</f>
        <v>https://twitter.com/imdasmilhas/status/1677382750888681478</v>
      </c>
      <c r="AF3420" s="79">
        <v>45114.766041666669</v>
      </c>
      <c r="AG3420" s="85">
        <v>45114</v>
      </c>
      <c r="AH3420" s="82" t="s">
        <v>13417</v>
      </c>
      <c r="AI3420" s="77" t="b">
        <v>0</v>
      </c>
      <c r="AJ3420" s="77"/>
      <c r="AK3420" s="77"/>
      <c r="AL3420" s="77"/>
      <c r="AM3420" s="77"/>
      <c r="AN3420" s="77"/>
      <c r="AO3420" s="77"/>
      <c r="AP3420" s="77"/>
      <c r="AQ3420" s="77" t="s">
        <v>16388</v>
      </c>
      <c r="AR3420" s="77"/>
      <c r="AS3420" s="77"/>
      <c r="AT3420" s="77"/>
      <c r="AU3420" s="77"/>
      <c r="AV3420" s="80" t="str">
        <f>HYPERLINK("https://pbs.twimg.com/media/F0dCuOxWIAAAfvi.jpg")</f>
        <v>https://pbs.twimg.com/media/F0dCuOxWIAAAfvi.jpg</v>
      </c>
      <c r="AW3420" s="82" t="s">
        <v>20186</v>
      </c>
      <c r="AX3420" s="82" t="s">
        <v>20186</v>
      </c>
      <c r="AY3420" s="77"/>
      <c r="AZ3420" s="82" t="s">
        <v>20971</v>
      </c>
      <c r="BA3420" s="82" t="s">
        <v>20971</v>
      </c>
      <c r="BB3420" s="82" t="s">
        <v>20971</v>
      </c>
      <c r="BC3420" s="82" t="s">
        <v>20186</v>
      </c>
      <c r="BD3420" s="82" t="s">
        <v>21597</v>
      </c>
      <c r="BE3420" s="77"/>
      <c r="BF3420" s="77"/>
      <c r="BG3420" s="77"/>
      <c r="BH3420" s="77"/>
      <c r="BI3420" s="77"/>
    </row>
    <row r="3421" spans="1:61" x14ac:dyDescent="0.25">
      <c r="A3421" s="62" t="s">
        <v>1006</v>
      </c>
      <c r="B3421" s="62" t="s">
        <v>1006</v>
      </c>
      <c r="C3421" s="63"/>
      <c r="D3421" s="64"/>
      <c r="E3421" s="65"/>
      <c r="F3421" s="66"/>
      <c r="G3421" s="63"/>
      <c r="H3421" s="67"/>
      <c r="I3421" s="68"/>
      <c r="J3421" s="68"/>
      <c r="K3421" s="32"/>
      <c r="L3421" s="75">
        <v>3421</v>
      </c>
      <c r="M3421" s="75"/>
      <c r="N3421" s="70"/>
      <c r="O3421" s="77" t="s">
        <v>179</v>
      </c>
      <c r="P3421" s="79">
        <v>45093.840624999997</v>
      </c>
      <c r="Q3421" s="77" t="s">
        <v>4627</v>
      </c>
      <c r="R3421" s="77">
        <v>0</v>
      </c>
      <c r="S3421" s="77">
        <v>0</v>
      </c>
      <c r="T3421" s="77">
        <v>0</v>
      </c>
      <c r="U3421" s="77">
        <v>0</v>
      </c>
      <c r="V3421" s="77">
        <v>92</v>
      </c>
      <c r="W3421" s="82" t="s">
        <v>6740</v>
      </c>
      <c r="X3421" s="77"/>
      <c r="Y3421" s="77"/>
      <c r="Z3421" s="77"/>
      <c r="AA3421" s="77" t="s">
        <v>9746</v>
      </c>
      <c r="AB3421" s="77" t="s">
        <v>10130</v>
      </c>
      <c r="AC3421" s="82" t="s">
        <v>10147</v>
      </c>
      <c r="AD3421" s="77" t="s">
        <v>10184</v>
      </c>
      <c r="AE3421" s="80" t="str">
        <f>HYPERLINK("https://twitter.com/imdasmilhas/status/1669799633428553758")</f>
        <v>https://twitter.com/imdasmilhas/status/1669799633428553758</v>
      </c>
      <c r="AF3421" s="79">
        <v>45093.840624999997</v>
      </c>
      <c r="AG3421" s="85">
        <v>45093</v>
      </c>
      <c r="AH3421" s="82" t="s">
        <v>13418</v>
      </c>
      <c r="AI3421" s="77" t="b">
        <v>0</v>
      </c>
      <c r="AJ3421" s="77"/>
      <c r="AK3421" s="77"/>
      <c r="AL3421" s="77"/>
      <c r="AM3421" s="77"/>
      <c r="AN3421" s="77"/>
      <c r="AO3421" s="77"/>
      <c r="AP3421" s="77"/>
      <c r="AQ3421" s="77" t="s">
        <v>16389</v>
      </c>
      <c r="AR3421" s="77"/>
      <c r="AS3421" s="77"/>
      <c r="AT3421" s="77"/>
      <c r="AU3421" s="77"/>
      <c r="AV3421" s="80" t="str">
        <f>HYPERLINK("https://pbs.twimg.com/media/FyxR6r-WIA0aBpE.jpg")</f>
        <v>https://pbs.twimg.com/media/FyxR6r-WIA0aBpE.jpg</v>
      </c>
      <c r="AW3421" s="82" t="s">
        <v>20187</v>
      </c>
      <c r="AX3421" s="82" t="s">
        <v>20187</v>
      </c>
      <c r="AY3421" s="77"/>
      <c r="AZ3421" s="82" t="s">
        <v>20971</v>
      </c>
      <c r="BA3421" s="82" t="s">
        <v>20971</v>
      </c>
      <c r="BB3421" s="82" t="s">
        <v>20971</v>
      </c>
      <c r="BC3421" s="82" t="s">
        <v>20187</v>
      </c>
      <c r="BD3421" s="82" t="s">
        <v>21597</v>
      </c>
      <c r="BE3421" s="77"/>
      <c r="BF3421" s="77"/>
      <c r="BG3421" s="77"/>
      <c r="BH3421" s="77"/>
      <c r="BI3421" s="77"/>
    </row>
    <row r="3422" spans="1:61" x14ac:dyDescent="0.25">
      <c r="A3422" s="62" t="s">
        <v>1006</v>
      </c>
      <c r="B3422" s="62" t="s">
        <v>1006</v>
      </c>
      <c r="C3422" s="63"/>
      <c r="D3422" s="64"/>
      <c r="E3422" s="65"/>
      <c r="F3422" s="66"/>
      <c r="G3422" s="63"/>
      <c r="H3422" s="67"/>
      <c r="I3422" s="68"/>
      <c r="J3422" s="68"/>
      <c r="K3422" s="32"/>
      <c r="L3422" s="75">
        <v>3422</v>
      </c>
      <c r="M3422" s="75"/>
      <c r="N3422" s="70"/>
      <c r="O3422" s="77" t="s">
        <v>179</v>
      </c>
      <c r="P3422" s="79">
        <v>45093.839120370372</v>
      </c>
      <c r="Q3422" s="77" t="s">
        <v>4628</v>
      </c>
      <c r="R3422" s="77">
        <v>0</v>
      </c>
      <c r="S3422" s="77">
        <v>0</v>
      </c>
      <c r="T3422" s="77">
        <v>0</v>
      </c>
      <c r="U3422" s="77">
        <v>0</v>
      </c>
      <c r="V3422" s="77">
        <v>48</v>
      </c>
      <c r="W3422" s="82" t="s">
        <v>6740</v>
      </c>
      <c r="X3422" s="77"/>
      <c r="Y3422" s="77"/>
      <c r="Z3422" s="77"/>
      <c r="AA3422" s="77" t="s">
        <v>9747</v>
      </c>
      <c r="AB3422" s="77" t="s">
        <v>10130</v>
      </c>
      <c r="AC3422" s="82" t="s">
        <v>10147</v>
      </c>
      <c r="AD3422" s="77" t="s">
        <v>10184</v>
      </c>
      <c r="AE3422" s="80" t="str">
        <f>HYPERLINK("https://twitter.com/imdasmilhas/status/1669799087451807759")</f>
        <v>https://twitter.com/imdasmilhas/status/1669799087451807759</v>
      </c>
      <c r="AF3422" s="79">
        <v>45093.839120370372</v>
      </c>
      <c r="AG3422" s="85">
        <v>45093</v>
      </c>
      <c r="AH3422" s="82" t="s">
        <v>13419</v>
      </c>
      <c r="AI3422" s="77" t="b">
        <v>0</v>
      </c>
      <c r="AJ3422" s="77"/>
      <c r="AK3422" s="77"/>
      <c r="AL3422" s="77"/>
      <c r="AM3422" s="77"/>
      <c r="AN3422" s="77"/>
      <c r="AO3422" s="77"/>
      <c r="AP3422" s="77"/>
      <c r="AQ3422" s="77" t="s">
        <v>16390</v>
      </c>
      <c r="AR3422" s="77"/>
      <c r="AS3422" s="77"/>
      <c r="AT3422" s="77"/>
      <c r="AU3422" s="77"/>
      <c r="AV3422" s="80" t="str">
        <f>HYPERLINK("https://pbs.twimg.com/media/FyxRa7FWICIOuX-.jpg")</f>
        <v>https://pbs.twimg.com/media/FyxRa7FWICIOuX-.jpg</v>
      </c>
      <c r="AW3422" s="82" t="s">
        <v>20188</v>
      </c>
      <c r="AX3422" s="82" t="s">
        <v>20188</v>
      </c>
      <c r="AY3422" s="77"/>
      <c r="AZ3422" s="82" t="s">
        <v>20971</v>
      </c>
      <c r="BA3422" s="82" t="s">
        <v>20971</v>
      </c>
      <c r="BB3422" s="82" t="s">
        <v>20971</v>
      </c>
      <c r="BC3422" s="82" t="s">
        <v>20188</v>
      </c>
      <c r="BD3422" s="82" t="s">
        <v>21597</v>
      </c>
      <c r="BE3422" s="77"/>
      <c r="BF3422" s="77"/>
      <c r="BG3422" s="77"/>
      <c r="BH3422" s="77"/>
      <c r="BI3422" s="77"/>
    </row>
    <row r="3423" spans="1:61" x14ac:dyDescent="0.25">
      <c r="A3423" s="62" t="s">
        <v>1006</v>
      </c>
      <c r="B3423" s="62" t="s">
        <v>1006</v>
      </c>
      <c r="C3423" s="63"/>
      <c r="D3423" s="64"/>
      <c r="E3423" s="65"/>
      <c r="F3423" s="66"/>
      <c r="G3423" s="63"/>
      <c r="H3423" s="67"/>
      <c r="I3423" s="68"/>
      <c r="J3423" s="68"/>
      <c r="K3423" s="32"/>
      <c r="L3423" s="75">
        <v>3423</v>
      </c>
      <c r="M3423" s="75"/>
      <c r="N3423" s="70"/>
      <c r="O3423" s="77" t="s">
        <v>179</v>
      </c>
      <c r="P3423" s="79">
        <v>45093.832511574074</v>
      </c>
      <c r="Q3423" s="77" t="s">
        <v>4629</v>
      </c>
      <c r="R3423" s="77">
        <v>0</v>
      </c>
      <c r="S3423" s="77">
        <v>0</v>
      </c>
      <c r="T3423" s="77">
        <v>0</v>
      </c>
      <c r="U3423" s="77">
        <v>0</v>
      </c>
      <c r="V3423" s="77">
        <v>105</v>
      </c>
      <c r="W3423" s="82" t="s">
        <v>6740</v>
      </c>
      <c r="X3423" s="77"/>
      <c r="Y3423" s="77"/>
      <c r="Z3423" s="77"/>
      <c r="AA3423" s="77" t="s">
        <v>9748</v>
      </c>
      <c r="AB3423" s="77" t="s">
        <v>10130</v>
      </c>
      <c r="AC3423" s="82" t="s">
        <v>10147</v>
      </c>
      <c r="AD3423" s="77" t="s">
        <v>10184</v>
      </c>
      <c r="AE3423" s="80" t="str">
        <f>HYPERLINK("https://twitter.com/imdasmilhas/status/1669796693317918721")</f>
        <v>https://twitter.com/imdasmilhas/status/1669796693317918721</v>
      </c>
      <c r="AF3423" s="79">
        <v>45093.832511574074</v>
      </c>
      <c r="AG3423" s="85">
        <v>45093</v>
      </c>
      <c r="AH3423" s="82" t="s">
        <v>13420</v>
      </c>
      <c r="AI3423" s="77" t="b">
        <v>0</v>
      </c>
      <c r="AJ3423" s="77"/>
      <c r="AK3423" s="77"/>
      <c r="AL3423" s="77"/>
      <c r="AM3423" s="77"/>
      <c r="AN3423" s="77"/>
      <c r="AO3423" s="77"/>
      <c r="AP3423" s="77"/>
      <c r="AQ3423" s="77" t="s">
        <v>16391</v>
      </c>
      <c r="AR3423" s="77"/>
      <c r="AS3423" s="77"/>
      <c r="AT3423" s="77"/>
      <c r="AU3423" s="77"/>
      <c r="AV3423" s="80" t="str">
        <f>HYPERLINK("https://pbs.twimg.com/media/FyxPPjUWIBsPPEG.jpg")</f>
        <v>https://pbs.twimg.com/media/FyxPPjUWIBsPPEG.jpg</v>
      </c>
      <c r="AW3423" s="82" t="s">
        <v>20189</v>
      </c>
      <c r="AX3423" s="82" t="s">
        <v>20189</v>
      </c>
      <c r="AY3423" s="77"/>
      <c r="AZ3423" s="82" t="s">
        <v>20971</v>
      </c>
      <c r="BA3423" s="82" t="s">
        <v>20971</v>
      </c>
      <c r="BB3423" s="82" t="s">
        <v>20971</v>
      </c>
      <c r="BC3423" s="82" t="s">
        <v>20189</v>
      </c>
      <c r="BD3423" s="82" t="s">
        <v>21597</v>
      </c>
      <c r="BE3423" s="77"/>
      <c r="BF3423" s="77"/>
      <c r="BG3423" s="77"/>
      <c r="BH3423" s="77"/>
      <c r="BI3423" s="77"/>
    </row>
    <row r="3424" spans="1:61" x14ac:dyDescent="0.25">
      <c r="A3424" s="62" t="s">
        <v>1006</v>
      </c>
      <c r="B3424" s="62" t="s">
        <v>1006</v>
      </c>
      <c r="C3424" s="63"/>
      <c r="D3424" s="64"/>
      <c r="E3424" s="65"/>
      <c r="F3424" s="66"/>
      <c r="G3424" s="63"/>
      <c r="H3424" s="67"/>
      <c r="I3424" s="68"/>
      <c r="J3424" s="68"/>
      <c r="K3424" s="32"/>
      <c r="L3424" s="75">
        <v>3424</v>
      </c>
      <c r="M3424" s="75"/>
      <c r="N3424" s="70"/>
      <c r="O3424" s="77" t="s">
        <v>179</v>
      </c>
      <c r="P3424" s="79">
        <v>45093.633229166669</v>
      </c>
      <c r="Q3424" s="77" t="s">
        <v>4630</v>
      </c>
      <c r="R3424" s="77">
        <v>0</v>
      </c>
      <c r="S3424" s="77">
        <v>0</v>
      </c>
      <c r="T3424" s="77">
        <v>1</v>
      </c>
      <c r="U3424" s="77">
        <v>0</v>
      </c>
      <c r="V3424" s="77">
        <v>91</v>
      </c>
      <c r="W3424" s="82" t="s">
        <v>6740</v>
      </c>
      <c r="X3424" s="77"/>
      <c r="Y3424" s="77"/>
      <c r="Z3424" s="77"/>
      <c r="AA3424" s="77" t="s">
        <v>9749</v>
      </c>
      <c r="AB3424" s="77" t="s">
        <v>10130</v>
      </c>
      <c r="AC3424" s="82" t="s">
        <v>10147</v>
      </c>
      <c r="AD3424" s="77" t="s">
        <v>10184</v>
      </c>
      <c r="AE3424" s="80" t="str">
        <f>HYPERLINK("https://twitter.com/imdasmilhas/status/1669724476609576961")</f>
        <v>https://twitter.com/imdasmilhas/status/1669724476609576961</v>
      </c>
      <c r="AF3424" s="79">
        <v>45093.633229166669</v>
      </c>
      <c r="AG3424" s="85">
        <v>45093</v>
      </c>
      <c r="AH3424" s="82" t="s">
        <v>13421</v>
      </c>
      <c r="AI3424" s="77" t="b">
        <v>0</v>
      </c>
      <c r="AJ3424" s="77"/>
      <c r="AK3424" s="77"/>
      <c r="AL3424" s="77"/>
      <c r="AM3424" s="77"/>
      <c r="AN3424" s="77"/>
      <c r="AO3424" s="77"/>
      <c r="AP3424" s="77"/>
      <c r="AQ3424" s="77" t="s">
        <v>16392</v>
      </c>
      <c r="AR3424" s="77"/>
      <c r="AS3424" s="77"/>
      <c r="AT3424" s="77"/>
      <c r="AU3424" s="77"/>
      <c r="AV3424" s="80" t="str">
        <f>HYPERLINK("https://pbs.twimg.com/media/FywNj_uWIAA4off.jpg")</f>
        <v>https://pbs.twimg.com/media/FywNj_uWIAA4off.jpg</v>
      </c>
      <c r="AW3424" s="82" t="s">
        <v>20190</v>
      </c>
      <c r="AX3424" s="82" t="s">
        <v>20190</v>
      </c>
      <c r="AY3424" s="77"/>
      <c r="AZ3424" s="82" t="s">
        <v>20971</v>
      </c>
      <c r="BA3424" s="82" t="s">
        <v>20971</v>
      </c>
      <c r="BB3424" s="82" t="s">
        <v>20971</v>
      </c>
      <c r="BC3424" s="82" t="s">
        <v>20190</v>
      </c>
      <c r="BD3424" s="82" t="s">
        <v>21597</v>
      </c>
      <c r="BE3424" s="77"/>
      <c r="BF3424" s="77"/>
      <c r="BG3424" s="77"/>
      <c r="BH3424" s="77"/>
      <c r="BI3424" s="77"/>
    </row>
    <row r="3425" spans="1:61" x14ac:dyDescent="0.25">
      <c r="A3425" s="62" t="s">
        <v>1006</v>
      </c>
      <c r="B3425" s="62" t="s">
        <v>1006</v>
      </c>
      <c r="C3425" s="63"/>
      <c r="D3425" s="64"/>
      <c r="E3425" s="65"/>
      <c r="F3425" s="66"/>
      <c r="G3425" s="63"/>
      <c r="H3425" s="67"/>
      <c r="I3425" s="68"/>
      <c r="J3425" s="68"/>
      <c r="K3425" s="32"/>
      <c r="L3425" s="75">
        <v>3425</v>
      </c>
      <c r="M3425" s="75"/>
      <c r="N3425" s="70"/>
      <c r="O3425" s="77" t="s">
        <v>179</v>
      </c>
      <c r="P3425" s="79">
        <v>45075.738530092596</v>
      </c>
      <c r="Q3425" s="77" t="s">
        <v>4631</v>
      </c>
      <c r="R3425" s="77">
        <v>0</v>
      </c>
      <c r="S3425" s="77">
        <v>0</v>
      </c>
      <c r="T3425" s="77">
        <v>0</v>
      </c>
      <c r="U3425" s="77">
        <v>0</v>
      </c>
      <c r="V3425" s="77">
        <v>84</v>
      </c>
      <c r="W3425" s="82" t="s">
        <v>6740</v>
      </c>
      <c r="X3425" s="77"/>
      <c r="Y3425" s="77"/>
      <c r="Z3425" s="77"/>
      <c r="AA3425" s="77" t="s">
        <v>9750</v>
      </c>
      <c r="AB3425" s="77" t="s">
        <v>10130</v>
      </c>
      <c r="AC3425" s="82" t="s">
        <v>10147</v>
      </c>
      <c r="AD3425" s="77" t="s">
        <v>10184</v>
      </c>
      <c r="AE3425" s="80" t="str">
        <f>HYPERLINK("https://twitter.com/imdasmilhas/status/1663239651849535514")</f>
        <v>https://twitter.com/imdasmilhas/status/1663239651849535514</v>
      </c>
      <c r="AF3425" s="79">
        <v>45075.738530092596</v>
      </c>
      <c r="AG3425" s="85">
        <v>45075</v>
      </c>
      <c r="AH3425" s="82" t="s">
        <v>13422</v>
      </c>
      <c r="AI3425" s="77" t="b">
        <v>0</v>
      </c>
      <c r="AJ3425" s="77"/>
      <c r="AK3425" s="77"/>
      <c r="AL3425" s="77"/>
      <c r="AM3425" s="77"/>
      <c r="AN3425" s="77"/>
      <c r="AO3425" s="77"/>
      <c r="AP3425" s="77"/>
      <c r="AQ3425" s="77" t="s">
        <v>16393</v>
      </c>
      <c r="AR3425" s="77"/>
      <c r="AS3425" s="77"/>
      <c r="AT3425" s="77"/>
      <c r="AU3425" s="77"/>
      <c r="AV3425" s="80" t="str">
        <f>HYPERLINK("https://pbs.twimg.com/media/FxUDpieWAB89rey.jpg")</f>
        <v>https://pbs.twimg.com/media/FxUDpieWAB89rey.jpg</v>
      </c>
      <c r="AW3425" s="82" t="s">
        <v>20191</v>
      </c>
      <c r="AX3425" s="82" t="s">
        <v>20191</v>
      </c>
      <c r="AY3425" s="77"/>
      <c r="AZ3425" s="82" t="s">
        <v>20971</v>
      </c>
      <c r="BA3425" s="82" t="s">
        <v>20971</v>
      </c>
      <c r="BB3425" s="82" t="s">
        <v>20971</v>
      </c>
      <c r="BC3425" s="82" t="s">
        <v>20191</v>
      </c>
      <c r="BD3425" s="82" t="s">
        <v>21597</v>
      </c>
      <c r="BE3425" s="77"/>
      <c r="BF3425" s="77"/>
      <c r="BG3425" s="77"/>
      <c r="BH3425" s="77"/>
      <c r="BI3425" s="77"/>
    </row>
    <row r="3426" spans="1:61" x14ac:dyDescent="0.25">
      <c r="A3426" s="62" t="s">
        <v>1006</v>
      </c>
      <c r="B3426" s="62" t="s">
        <v>1006</v>
      </c>
      <c r="C3426" s="63"/>
      <c r="D3426" s="64"/>
      <c r="E3426" s="65"/>
      <c r="F3426" s="66"/>
      <c r="G3426" s="63"/>
      <c r="H3426" s="67"/>
      <c r="I3426" s="68"/>
      <c r="J3426" s="68"/>
      <c r="K3426" s="32"/>
      <c r="L3426" s="75">
        <v>3426</v>
      </c>
      <c r="M3426" s="75"/>
      <c r="N3426" s="70"/>
      <c r="O3426" s="77" t="s">
        <v>179</v>
      </c>
      <c r="P3426" s="79">
        <v>45075.72016203704</v>
      </c>
      <c r="Q3426" s="77" t="s">
        <v>4632</v>
      </c>
      <c r="R3426" s="77">
        <v>0</v>
      </c>
      <c r="S3426" s="77">
        <v>0</v>
      </c>
      <c r="T3426" s="77">
        <v>0</v>
      </c>
      <c r="U3426" s="77">
        <v>0</v>
      </c>
      <c r="V3426" s="77">
        <v>171</v>
      </c>
      <c r="W3426" s="82" t="s">
        <v>6740</v>
      </c>
      <c r="X3426" s="77"/>
      <c r="Y3426" s="77"/>
      <c r="Z3426" s="77"/>
      <c r="AA3426" s="77" t="s">
        <v>9751</v>
      </c>
      <c r="AB3426" s="77" t="s">
        <v>10130</v>
      </c>
      <c r="AC3426" s="82" t="s">
        <v>10147</v>
      </c>
      <c r="AD3426" s="77" t="s">
        <v>10184</v>
      </c>
      <c r="AE3426" s="80" t="str">
        <f>HYPERLINK("https://twitter.com/imdasmilhas/status/1663232995300458515")</f>
        <v>https://twitter.com/imdasmilhas/status/1663232995300458515</v>
      </c>
      <c r="AF3426" s="79">
        <v>45075.72016203704</v>
      </c>
      <c r="AG3426" s="85">
        <v>45075</v>
      </c>
      <c r="AH3426" s="82" t="s">
        <v>13423</v>
      </c>
      <c r="AI3426" s="77" t="b">
        <v>0</v>
      </c>
      <c r="AJ3426" s="77"/>
      <c r="AK3426" s="77"/>
      <c r="AL3426" s="77"/>
      <c r="AM3426" s="77"/>
      <c r="AN3426" s="77"/>
      <c r="AO3426" s="77"/>
      <c r="AP3426" s="77"/>
      <c r="AQ3426" s="77" t="s">
        <v>16394</v>
      </c>
      <c r="AR3426" s="77"/>
      <c r="AS3426" s="77"/>
      <c r="AT3426" s="77"/>
      <c r="AU3426" s="77"/>
      <c r="AV3426" s="80" t="str">
        <f>HYPERLINK("https://pbs.twimg.com/media/FxT9mEfWAAAOWw2.jpg")</f>
        <v>https://pbs.twimg.com/media/FxT9mEfWAAAOWw2.jpg</v>
      </c>
      <c r="AW3426" s="82" t="s">
        <v>20192</v>
      </c>
      <c r="AX3426" s="82" t="s">
        <v>20192</v>
      </c>
      <c r="AY3426" s="77"/>
      <c r="AZ3426" s="82" t="s">
        <v>20971</v>
      </c>
      <c r="BA3426" s="82" t="s">
        <v>20971</v>
      </c>
      <c r="BB3426" s="82" t="s">
        <v>20971</v>
      </c>
      <c r="BC3426" s="82" t="s">
        <v>20192</v>
      </c>
      <c r="BD3426" s="82" t="s">
        <v>21597</v>
      </c>
      <c r="BE3426" s="77"/>
      <c r="BF3426" s="77"/>
      <c r="BG3426" s="77"/>
      <c r="BH3426" s="77"/>
      <c r="BI3426" s="77"/>
    </row>
    <row r="3427" spans="1:61" x14ac:dyDescent="0.25">
      <c r="A3427" s="62" t="s">
        <v>1006</v>
      </c>
      <c r="B3427" s="62" t="s">
        <v>1006</v>
      </c>
      <c r="C3427" s="63"/>
      <c r="D3427" s="64"/>
      <c r="E3427" s="65"/>
      <c r="F3427" s="66"/>
      <c r="G3427" s="63"/>
      <c r="H3427" s="67"/>
      <c r="I3427" s="68"/>
      <c r="J3427" s="68"/>
      <c r="K3427" s="32"/>
      <c r="L3427" s="75">
        <v>3427</v>
      </c>
      <c r="M3427" s="75"/>
      <c r="N3427" s="70"/>
      <c r="O3427" s="77" t="s">
        <v>179</v>
      </c>
      <c r="P3427" s="79">
        <v>45075.648379629631</v>
      </c>
      <c r="Q3427" s="77" t="s">
        <v>4633</v>
      </c>
      <c r="R3427" s="77">
        <v>0</v>
      </c>
      <c r="S3427" s="77">
        <v>0</v>
      </c>
      <c r="T3427" s="77">
        <v>0</v>
      </c>
      <c r="U3427" s="77">
        <v>0</v>
      </c>
      <c r="V3427" s="77">
        <v>75</v>
      </c>
      <c r="W3427" s="82" t="s">
        <v>6740</v>
      </c>
      <c r="X3427" s="77"/>
      <c r="Y3427" s="77"/>
      <c r="Z3427" s="77"/>
      <c r="AA3427" s="77" t="s">
        <v>9752</v>
      </c>
      <c r="AB3427" s="77" t="s">
        <v>10130</v>
      </c>
      <c r="AC3427" s="82" t="s">
        <v>10147</v>
      </c>
      <c r="AD3427" s="77" t="s">
        <v>10184</v>
      </c>
      <c r="AE3427" s="80" t="str">
        <f>HYPERLINK("https://twitter.com/imdasmilhas/status/1663206983514701825")</f>
        <v>https://twitter.com/imdasmilhas/status/1663206983514701825</v>
      </c>
      <c r="AF3427" s="79">
        <v>45075.648379629631</v>
      </c>
      <c r="AG3427" s="85">
        <v>45075</v>
      </c>
      <c r="AH3427" s="82" t="s">
        <v>13424</v>
      </c>
      <c r="AI3427" s="77" t="b">
        <v>0</v>
      </c>
      <c r="AJ3427" s="77"/>
      <c r="AK3427" s="77"/>
      <c r="AL3427" s="77"/>
      <c r="AM3427" s="77"/>
      <c r="AN3427" s="77"/>
      <c r="AO3427" s="77"/>
      <c r="AP3427" s="77"/>
      <c r="AQ3427" s="77" t="s">
        <v>16395</v>
      </c>
      <c r="AR3427" s="77"/>
      <c r="AS3427" s="77"/>
      <c r="AT3427" s="77"/>
      <c r="AU3427" s="77"/>
      <c r="AV3427" s="80" t="str">
        <f>HYPERLINK("https://pbs.twimg.com/media/FxTl7_2X0AEZFx3.jpg")</f>
        <v>https://pbs.twimg.com/media/FxTl7_2X0AEZFx3.jpg</v>
      </c>
      <c r="AW3427" s="82" t="s">
        <v>20193</v>
      </c>
      <c r="AX3427" s="82" t="s">
        <v>20193</v>
      </c>
      <c r="AY3427" s="77"/>
      <c r="AZ3427" s="82" t="s">
        <v>20971</v>
      </c>
      <c r="BA3427" s="82" t="s">
        <v>20971</v>
      </c>
      <c r="BB3427" s="82" t="s">
        <v>20971</v>
      </c>
      <c r="BC3427" s="82" t="s">
        <v>20193</v>
      </c>
      <c r="BD3427" s="82" t="s">
        <v>21597</v>
      </c>
      <c r="BE3427" s="77"/>
      <c r="BF3427" s="77"/>
      <c r="BG3427" s="77"/>
      <c r="BH3427" s="77"/>
      <c r="BI3427" s="77"/>
    </row>
    <row r="3428" spans="1:61" x14ac:dyDescent="0.25">
      <c r="A3428" s="62" t="s">
        <v>1006</v>
      </c>
      <c r="B3428" s="62" t="s">
        <v>1006</v>
      </c>
      <c r="C3428" s="63"/>
      <c r="D3428" s="64"/>
      <c r="E3428" s="65"/>
      <c r="F3428" s="66"/>
      <c r="G3428" s="63"/>
      <c r="H3428" s="67"/>
      <c r="I3428" s="68"/>
      <c r="J3428" s="68"/>
      <c r="K3428" s="32"/>
      <c r="L3428" s="75">
        <v>3428</v>
      </c>
      <c r="M3428" s="75"/>
      <c r="N3428" s="70"/>
      <c r="O3428" s="77" t="s">
        <v>179</v>
      </c>
      <c r="P3428" s="79">
        <v>45075.647951388892</v>
      </c>
      <c r="Q3428" s="77" t="s">
        <v>4634</v>
      </c>
      <c r="R3428" s="77">
        <v>0</v>
      </c>
      <c r="S3428" s="77">
        <v>0</v>
      </c>
      <c r="T3428" s="77">
        <v>0</v>
      </c>
      <c r="U3428" s="77">
        <v>0</v>
      </c>
      <c r="V3428" s="77">
        <v>312</v>
      </c>
      <c r="W3428" s="82" t="s">
        <v>6740</v>
      </c>
      <c r="X3428" s="77"/>
      <c r="Y3428" s="77"/>
      <c r="Z3428" s="77"/>
      <c r="AA3428" s="77" t="s">
        <v>9753</v>
      </c>
      <c r="AB3428" s="77" t="s">
        <v>10130</v>
      </c>
      <c r="AC3428" s="82" t="s">
        <v>10147</v>
      </c>
      <c r="AD3428" s="77" t="s">
        <v>10184</v>
      </c>
      <c r="AE3428" s="80" t="str">
        <f>HYPERLINK("https://twitter.com/imdasmilhas/status/1663206829189373952")</f>
        <v>https://twitter.com/imdasmilhas/status/1663206829189373952</v>
      </c>
      <c r="AF3428" s="79">
        <v>45075.647951388892</v>
      </c>
      <c r="AG3428" s="85">
        <v>45075</v>
      </c>
      <c r="AH3428" s="82" t="s">
        <v>10535</v>
      </c>
      <c r="AI3428" s="77" t="b">
        <v>0</v>
      </c>
      <c r="AJ3428" s="77"/>
      <c r="AK3428" s="77"/>
      <c r="AL3428" s="77"/>
      <c r="AM3428" s="77"/>
      <c r="AN3428" s="77"/>
      <c r="AO3428" s="77"/>
      <c r="AP3428" s="77"/>
      <c r="AQ3428" s="77" t="s">
        <v>16396</v>
      </c>
      <c r="AR3428" s="77"/>
      <c r="AS3428" s="77"/>
      <c r="AT3428" s="77"/>
      <c r="AU3428" s="77"/>
      <c r="AV3428" s="80" t="str">
        <f>HYPERLINK("https://pbs.twimg.com/media/FxTly-jXoAIBCfU.jpg")</f>
        <v>https://pbs.twimg.com/media/FxTly-jXoAIBCfU.jpg</v>
      </c>
      <c r="AW3428" s="82" t="s">
        <v>20194</v>
      </c>
      <c r="AX3428" s="82" t="s">
        <v>20194</v>
      </c>
      <c r="AY3428" s="77"/>
      <c r="AZ3428" s="82" t="s">
        <v>20971</v>
      </c>
      <c r="BA3428" s="82" t="s">
        <v>20971</v>
      </c>
      <c r="BB3428" s="82" t="s">
        <v>20971</v>
      </c>
      <c r="BC3428" s="82" t="s">
        <v>20194</v>
      </c>
      <c r="BD3428" s="82" t="s">
        <v>21597</v>
      </c>
      <c r="BE3428" s="77"/>
      <c r="BF3428" s="77"/>
      <c r="BG3428" s="77"/>
      <c r="BH3428" s="77"/>
      <c r="BI3428" s="77"/>
    </row>
    <row r="3429" spans="1:61" x14ac:dyDescent="0.25">
      <c r="A3429" s="62" t="s">
        <v>1006</v>
      </c>
      <c r="B3429" s="62" t="s">
        <v>1006</v>
      </c>
      <c r="C3429" s="63"/>
      <c r="D3429" s="64"/>
      <c r="E3429" s="65"/>
      <c r="F3429" s="66"/>
      <c r="G3429" s="63"/>
      <c r="H3429" s="67"/>
      <c r="I3429" s="68"/>
      <c r="J3429" s="68"/>
      <c r="K3429" s="32"/>
      <c r="L3429" s="75">
        <v>3429</v>
      </c>
      <c r="M3429" s="75"/>
      <c r="N3429" s="70"/>
      <c r="O3429" s="77" t="s">
        <v>179</v>
      </c>
      <c r="P3429" s="79">
        <v>45075.626689814817</v>
      </c>
      <c r="Q3429" s="77" t="s">
        <v>4635</v>
      </c>
      <c r="R3429" s="77">
        <v>0</v>
      </c>
      <c r="S3429" s="77">
        <v>0</v>
      </c>
      <c r="T3429" s="77">
        <v>0</v>
      </c>
      <c r="U3429" s="77">
        <v>0</v>
      </c>
      <c r="V3429" s="77">
        <v>118</v>
      </c>
      <c r="W3429" s="82" t="s">
        <v>6740</v>
      </c>
      <c r="X3429" s="77"/>
      <c r="Y3429" s="77"/>
      <c r="Z3429" s="77"/>
      <c r="AA3429" s="77" t="s">
        <v>9754</v>
      </c>
      <c r="AB3429" s="77" t="s">
        <v>10130</v>
      </c>
      <c r="AC3429" s="82" t="s">
        <v>10147</v>
      </c>
      <c r="AD3429" s="77" t="s">
        <v>10184</v>
      </c>
      <c r="AE3429" s="80" t="str">
        <f>HYPERLINK("https://twitter.com/imdasmilhas/status/1663199124739481608")</f>
        <v>https://twitter.com/imdasmilhas/status/1663199124739481608</v>
      </c>
      <c r="AF3429" s="79">
        <v>45075.626689814817</v>
      </c>
      <c r="AG3429" s="85">
        <v>45075</v>
      </c>
      <c r="AH3429" s="82" t="s">
        <v>13425</v>
      </c>
      <c r="AI3429" s="77" t="b">
        <v>0</v>
      </c>
      <c r="AJ3429" s="77"/>
      <c r="AK3429" s="77"/>
      <c r="AL3429" s="77"/>
      <c r="AM3429" s="77"/>
      <c r="AN3429" s="77"/>
      <c r="AO3429" s="77"/>
      <c r="AP3429" s="77"/>
      <c r="AQ3429" s="77" t="s">
        <v>16397</v>
      </c>
      <c r="AR3429" s="77"/>
      <c r="AS3429" s="77"/>
      <c r="AT3429" s="77"/>
      <c r="AU3429" s="77"/>
      <c r="AV3429" s="80" t="str">
        <f>HYPERLINK("https://pbs.twimg.com/media/FxTeydhWAAEoEZX.jpg")</f>
        <v>https://pbs.twimg.com/media/FxTeydhWAAEoEZX.jpg</v>
      </c>
      <c r="AW3429" s="82" t="s">
        <v>20195</v>
      </c>
      <c r="AX3429" s="82" t="s">
        <v>20195</v>
      </c>
      <c r="AY3429" s="77"/>
      <c r="AZ3429" s="82" t="s">
        <v>20971</v>
      </c>
      <c r="BA3429" s="82" t="s">
        <v>20971</v>
      </c>
      <c r="BB3429" s="82" t="s">
        <v>20971</v>
      </c>
      <c r="BC3429" s="82" t="s">
        <v>20195</v>
      </c>
      <c r="BD3429" s="82" t="s">
        <v>21597</v>
      </c>
      <c r="BE3429" s="77"/>
      <c r="BF3429" s="77"/>
      <c r="BG3429" s="77"/>
      <c r="BH3429" s="77"/>
      <c r="BI3429" s="77"/>
    </row>
    <row r="3430" spans="1:61" x14ac:dyDescent="0.25">
      <c r="A3430" s="62" t="s">
        <v>1006</v>
      </c>
      <c r="B3430" s="62" t="s">
        <v>1006</v>
      </c>
      <c r="C3430" s="63"/>
      <c r="D3430" s="64"/>
      <c r="E3430" s="65"/>
      <c r="F3430" s="66"/>
      <c r="G3430" s="63"/>
      <c r="H3430" s="67"/>
      <c r="I3430" s="68"/>
      <c r="J3430" s="68"/>
      <c r="K3430" s="32"/>
      <c r="L3430" s="75">
        <v>3430</v>
      </c>
      <c r="M3430" s="75"/>
      <c r="N3430" s="70"/>
      <c r="O3430" s="77" t="s">
        <v>179</v>
      </c>
      <c r="P3430" s="79">
        <v>45072.862233796295</v>
      </c>
      <c r="Q3430" s="77" t="s">
        <v>4636</v>
      </c>
      <c r="R3430" s="77">
        <v>0</v>
      </c>
      <c r="S3430" s="77">
        <v>0</v>
      </c>
      <c r="T3430" s="77">
        <v>0</v>
      </c>
      <c r="U3430" s="77">
        <v>0</v>
      </c>
      <c r="V3430" s="77">
        <v>161</v>
      </c>
      <c r="W3430" s="82" t="s">
        <v>6740</v>
      </c>
      <c r="X3430" s="77"/>
      <c r="Y3430" s="77"/>
      <c r="Z3430" s="77"/>
      <c r="AA3430" s="77" t="s">
        <v>9755</v>
      </c>
      <c r="AB3430" s="77" t="s">
        <v>10130</v>
      </c>
      <c r="AC3430" s="82" t="s">
        <v>10147</v>
      </c>
      <c r="AD3430" s="77" t="s">
        <v>10184</v>
      </c>
      <c r="AE3430" s="80" t="str">
        <f>HYPERLINK("https://twitter.com/imdasmilhas/status/1662197318840463363")</f>
        <v>https://twitter.com/imdasmilhas/status/1662197318840463363</v>
      </c>
      <c r="AF3430" s="79">
        <v>45072.862233796295</v>
      </c>
      <c r="AG3430" s="85">
        <v>45072</v>
      </c>
      <c r="AH3430" s="82" t="s">
        <v>13426</v>
      </c>
      <c r="AI3430" s="77" t="b">
        <v>0</v>
      </c>
      <c r="AJ3430" s="77"/>
      <c r="AK3430" s="77"/>
      <c r="AL3430" s="77"/>
      <c r="AM3430" s="77"/>
      <c r="AN3430" s="77"/>
      <c r="AO3430" s="77"/>
      <c r="AP3430" s="77"/>
      <c r="AQ3430" s="77" t="s">
        <v>16398</v>
      </c>
      <c r="AR3430" s="77"/>
      <c r="AS3430" s="77"/>
      <c r="AT3430" s="77"/>
      <c r="AU3430" s="77"/>
      <c r="AV3430" s="80" t="str">
        <f>HYPERLINK("https://pbs.twimg.com/media/FxFPpw3XoAAbCHw.jpg")</f>
        <v>https://pbs.twimg.com/media/FxFPpw3XoAAbCHw.jpg</v>
      </c>
      <c r="AW3430" s="82" t="s">
        <v>20196</v>
      </c>
      <c r="AX3430" s="82" t="s">
        <v>20196</v>
      </c>
      <c r="AY3430" s="77"/>
      <c r="AZ3430" s="82" t="s">
        <v>20971</v>
      </c>
      <c r="BA3430" s="82" t="s">
        <v>20971</v>
      </c>
      <c r="BB3430" s="82" t="s">
        <v>20971</v>
      </c>
      <c r="BC3430" s="82" t="s">
        <v>20196</v>
      </c>
      <c r="BD3430" s="82" t="s">
        <v>21597</v>
      </c>
      <c r="BE3430" s="77"/>
      <c r="BF3430" s="77"/>
      <c r="BG3430" s="77"/>
      <c r="BH3430" s="77"/>
      <c r="BI3430" s="77"/>
    </row>
    <row r="3431" spans="1:61" x14ac:dyDescent="0.25">
      <c r="A3431" s="62" t="s">
        <v>1006</v>
      </c>
      <c r="B3431" s="62" t="s">
        <v>1006</v>
      </c>
      <c r="C3431" s="63"/>
      <c r="D3431" s="64"/>
      <c r="E3431" s="65"/>
      <c r="F3431" s="66"/>
      <c r="G3431" s="63"/>
      <c r="H3431" s="67"/>
      <c r="I3431" s="68"/>
      <c r="J3431" s="68"/>
      <c r="K3431" s="32"/>
      <c r="L3431" s="75">
        <v>3431</v>
      </c>
      <c r="M3431" s="75"/>
      <c r="N3431" s="70"/>
      <c r="O3431" s="77" t="s">
        <v>179</v>
      </c>
      <c r="P3431" s="79">
        <v>45072.857418981483</v>
      </c>
      <c r="Q3431" s="77" t="s">
        <v>4637</v>
      </c>
      <c r="R3431" s="77">
        <v>0</v>
      </c>
      <c r="S3431" s="77">
        <v>0</v>
      </c>
      <c r="T3431" s="77">
        <v>0</v>
      </c>
      <c r="U3431" s="77">
        <v>0</v>
      </c>
      <c r="V3431" s="77">
        <v>143</v>
      </c>
      <c r="W3431" s="82" t="s">
        <v>6740</v>
      </c>
      <c r="X3431" s="77"/>
      <c r="Y3431" s="77"/>
      <c r="Z3431" s="77"/>
      <c r="AA3431" s="77" t="s">
        <v>9756</v>
      </c>
      <c r="AB3431" s="77" t="s">
        <v>10130</v>
      </c>
      <c r="AC3431" s="82" t="s">
        <v>10147</v>
      </c>
      <c r="AD3431" s="77" t="s">
        <v>10184</v>
      </c>
      <c r="AE3431" s="80" t="str">
        <f>HYPERLINK("https://twitter.com/imdasmilhas/status/1662195574550978561")</f>
        <v>https://twitter.com/imdasmilhas/status/1662195574550978561</v>
      </c>
      <c r="AF3431" s="79">
        <v>45072.857418981483</v>
      </c>
      <c r="AG3431" s="85">
        <v>45072</v>
      </c>
      <c r="AH3431" s="82" t="s">
        <v>13427</v>
      </c>
      <c r="AI3431" s="77" t="b">
        <v>0</v>
      </c>
      <c r="AJ3431" s="77"/>
      <c r="AK3431" s="77"/>
      <c r="AL3431" s="77"/>
      <c r="AM3431" s="77"/>
      <c r="AN3431" s="77"/>
      <c r="AO3431" s="77"/>
      <c r="AP3431" s="77"/>
      <c r="AQ3431" s="77" t="s">
        <v>16399</v>
      </c>
      <c r="AR3431" s="77"/>
      <c r="AS3431" s="77"/>
      <c r="AT3431" s="77"/>
      <c r="AU3431" s="77"/>
      <c r="AV3431" s="80" t="str">
        <f>HYPERLINK("https://pbs.twimg.com/media/FxFOEM3X0AUBAgJ.jpg")</f>
        <v>https://pbs.twimg.com/media/FxFOEM3X0AUBAgJ.jpg</v>
      </c>
      <c r="AW3431" s="82" t="s">
        <v>20197</v>
      </c>
      <c r="AX3431" s="82" t="s">
        <v>20197</v>
      </c>
      <c r="AY3431" s="77"/>
      <c r="AZ3431" s="82" t="s">
        <v>20971</v>
      </c>
      <c r="BA3431" s="82" t="s">
        <v>20971</v>
      </c>
      <c r="BB3431" s="82" t="s">
        <v>20971</v>
      </c>
      <c r="BC3431" s="82" t="s">
        <v>20197</v>
      </c>
      <c r="BD3431" s="82" t="s">
        <v>21597</v>
      </c>
      <c r="BE3431" s="77"/>
      <c r="BF3431" s="77"/>
      <c r="BG3431" s="77"/>
      <c r="BH3431" s="77"/>
      <c r="BI3431" s="77"/>
    </row>
    <row r="3432" spans="1:61" x14ac:dyDescent="0.25">
      <c r="A3432" s="62" t="s">
        <v>1006</v>
      </c>
      <c r="B3432" s="62" t="s">
        <v>1006</v>
      </c>
      <c r="C3432" s="63"/>
      <c r="D3432" s="64"/>
      <c r="E3432" s="65"/>
      <c r="F3432" s="66"/>
      <c r="G3432" s="63"/>
      <c r="H3432" s="67"/>
      <c r="I3432" s="68"/>
      <c r="J3432" s="68"/>
      <c r="K3432" s="32"/>
      <c r="L3432" s="75">
        <v>3432</v>
      </c>
      <c r="M3432" s="75"/>
      <c r="N3432" s="70"/>
      <c r="O3432" s="77" t="s">
        <v>179</v>
      </c>
      <c r="P3432" s="79">
        <v>45072.678796296299</v>
      </c>
      <c r="Q3432" s="77" t="s">
        <v>4638</v>
      </c>
      <c r="R3432" s="77">
        <v>0</v>
      </c>
      <c r="S3432" s="77">
        <v>0</v>
      </c>
      <c r="T3432" s="77">
        <v>1</v>
      </c>
      <c r="U3432" s="77">
        <v>0</v>
      </c>
      <c r="V3432" s="77">
        <v>189</v>
      </c>
      <c r="W3432" s="82" t="s">
        <v>6740</v>
      </c>
      <c r="X3432" s="77"/>
      <c r="Y3432" s="77"/>
      <c r="Z3432" s="77"/>
      <c r="AA3432" s="77" t="s">
        <v>9757</v>
      </c>
      <c r="AB3432" s="77" t="s">
        <v>10130</v>
      </c>
      <c r="AC3432" s="82" t="s">
        <v>10147</v>
      </c>
      <c r="AD3432" s="77" t="s">
        <v>10184</v>
      </c>
      <c r="AE3432" s="80" t="str">
        <f>HYPERLINK("https://twitter.com/imdasmilhas/status/1662130842167066631")</f>
        <v>https://twitter.com/imdasmilhas/status/1662130842167066631</v>
      </c>
      <c r="AF3432" s="79">
        <v>45072.678796296299</v>
      </c>
      <c r="AG3432" s="85">
        <v>45072</v>
      </c>
      <c r="AH3432" s="82" t="s">
        <v>13428</v>
      </c>
      <c r="AI3432" s="77" t="b">
        <v>0</v>
      </c>
      <c r="AJ3432" s="77"/>
      <c r="AK3432" s="77"/>
      <c r="AL3432" s="77"/>
      <c r="AM3432" s="77"/>
      <c r="AN3432" s="77"/>
      <c r="AO3432" s="77"/>
      <c r="AP3432" s="77"/>
      <c r="AQ3432" s="77" t="s">
        <v>16400</v>
      </c>
      <c r="AR3432" s="77"/>
      <c r="AS3432" s="77"/>
      <c r="AT3432" s="77"/>
      <c r="AU3432" s="77"/>
      <c r="AV3432" s="80" t="str">
        <f>HYPERLINK("https://pbs.twimg.com/media/FxETMU1XwAM_sWd.jpg")</f>
        <v>https://pbs.twimg.com/media/FxETMU1XwAM_sWd.jpg</v>
      </c>
      <c r="AW3432" s="82" t="s">
        <v>20198</v>
      </c>
      <c r="AX3432" s="82" t="s">
        <v>20198</v>
      </c>
      <c r="AY3432" s="77"/>
      <c r="AZ3432" s="82" t="s">
        <v>20971</v>
      </c>
      <c r="BA3432" s="82" t="s">
        <v>20971</v>
      </c>
      <c r="BB3432" s="82" t="s">
        <v>20971</v>
      </c>
      <c r="BC3432" s="82" t="s">
        <v>20198</v>
      </c>
      <c r="BD3432" s="82" t="s">
        <v>21597</v>
      </c>
      <c r="BE3432" s="77"/>
      <c r="BF3432" s="77"/>
      <c r="BG3432" s="77"/>
      <c r="BH3432" s="77"/>
      <c r="BI3432" s="77"/>
    </row>
    <row r="3433" spans="1:61" x14ac:dyDescent="0.25">
      <c r="A3433" s="62" t="s">
        <v>1006</v>
      </c>
      <c r="B3433" s="62" t="s">
        <v>1006</v>
      </c>
      <c r="C3433" s="63"/>
      <c r="D3433" s="64"/>
      <c r="E3433" s="65"/>
      <c r="F3433" s="66"/>
      <c r="G3433" s="63"/>
      <c r="H3433" s="67"/>
      <c r="I3433" s="68"/>
      <c r="J3433" s="68"/>
      <c r="K3433" s="32"/>
      <c r="L3433" s="75">
        <v>3433</v>
      </c>
      <c r="M3433" s="75"/>
      <c r="N3433" s="70"/>
      <c r="O3433" s="77" t="s">
        <v>179</v>
      </c>
      <c r="P3433" s="79">
        <v>45072.631238425929</v>
      </c>
      <c r="Q3433" s="77" t="s">
        <v>4639</v>
      </c>
      <c r="R3433" s="77">
        <v>0</v>
      </c>
      <c r="S3433" s="77">
        <v>0</v>
      </c>
      <c r="T3433" s="77">
        <v>1</v>
      </c>
      <c r="U3433" s="77">
        <v>0</v>
      </c>
      <c r="V3433" s="77">
        <v>117</v>
      </c>
      <c r="W3433" s="82" t="s">
        <v>6740</v>
      </c>
      <c r="X3433" s="77"/>
      <c r="Y3433" s="77"/>
      <c r="Z3433" s="77"/>
      <c r="AA3433" s="77" t="s">
        <v>9758</v>
      </c>
      <c r="AB3433" s="77" t="s">
        <v>10130</v>
      </c>
      <c r="AC3433" s="82" t="s">
        <v>10147</v>
      </c>
      <c r="AD3433" s="77" t="s">
        <v>10184</v>
      </c>
      <c r="AE3433" s="80" t="str">
        <f>HYPERLINK("https://twitter.com/imdasmilhas/status/1662113608321449986")</f>
        <v>https://twitter.com/imdasmilhas/status/1662113608321449986</v>
      </c>
      <c r="AF3433" s="79">
        <v>45072.631238425929</v>
      </c>
      <c r="AG3433" s="85">
        <v>45072</v>
      </c>
      <c r="AH3433" s="82" t="s">
        <v>13429</v>
      </c>
      <c r="AI3433" s="77" t="b">
        <v>0</v>
      </c>
      <c r="AJ3433" s="77"/>
      <c r="AK3433" s="77"/>
      <c r="AL3433" s="77"/>
      <c r="AM3433" s="77"/>
      <c r="AN3433" s="77"/>
      <c r="AO3433" s="77"/>
      <c r="AP3433" s="77"/>
      <c r="AQ3433" s="77" t="s">
        <v>16401</v>
      </c>
      <c r="AR3433" s="77"/>
      <c r="AS3433" s="77"/>
      <c r="AT3433" s="77"/>
      <c r="AU3433" s="77"/>
      <c r="AV3433" s="80" t="str">
        <f>HYPERLINK("https://pbs.twimg.com/media/FxEDhJiX0AUU_gM.jpg")</f>
        <v>https://pbs.twimg.com/media/FxEDhJiX0AUU_gM.jpg</v>
      </c>
      <c r="AW3433" s="82" t="s">
        <v>20199</v>
      </c>
      <c r="AX3433" s="82" t="s">
        <v>20199</v>
      </c>
      <c r="AY3433" s="77"/>
      <c r="AZ3433" s="82" t="s">
        <v>20971</v>
      </c>
      <c r="BA3433" s="82" t="s">
        <v>20971</v>
      </c>
      <c r="BB3433" s="82" t="s">
        <v>20971</v>
      </c>
      <c r="BC3433" s="82" t="s">
        <v>20199</v>
      </c>
      <c r="BD3433" s="82" t="s">
        <v>21597</v>
      </c>
      <c r="BE3433" s="77"/>
      <c r="BF3433" s="77"/>
      <c r="BG3433" s="77"/>
      <c r="BH3433" s="77"/>
      <c r="BI3433" s="77"/>
    </row>
    <row r="3434" spans="1:61" x14ac:dyDescent="0.25">
      <c r="A3434" s="62" t="s">
        <v>1006</v>
      </c>
      <c r="B3434" s="62" t="s">
        <v>1006</v>
      </c>
      <c r="C3434" s="63"/>
      <c r="D3434" s="64"/>
      <c r="E3434" s="65"/>
      <c r="F3434" s="66"/>
      <c r="G3434" s="63"/>
      <c r="H3434" s="67"/>
      <c r="I3434" s="68"/>
      <c r="J3434" s="68"/>
      <c r="K3434" s="32"/>
      <c r="L3434" s="75">
        <v>3434</v>
      </c>
      <c r="M3434" s="75"/>
      <c r="N3434" s="70"/>
      <c r="O3434" s="77" t="s">
        <v>179</v>
      </c>
      <c r="P3434" s="79">
        <v>45072.628229166665</v>
      </c>
      <c r="Q3434" s="77" t="s">
        <v>4640</v>
      </c>
      <c r="R3434" s="77">
        <v>0</v>
      </c>
      <c r="S3434" s="77">
        <v>0</v>
      </c>
      <c r="T3434" s="77">
        <v>1</v>
      </c>
      <c r="U3434" s="77">
        <v>0</v>
      </c>
      <c r="V3434" s="77">
        <v>64</v>
      </c>
      <c r="W3434" s="82" t="s">
        <v>6742</v>
      </c>
      <c r="X3434" s="77"/>
      <c r="Y3434" s="77"/>
      <c r="Z3434" s="77"/>
      <c r="AA3434" s="77" t="s">
        <v>9759</v>
      </c>
      <c r="AB3434" s="77" t="s">
        <v>10130</v>
      </c>
      <c r="AC3434" s="82" t="s">
        <v>10147</v>
      </c>
      <c r="AD3434" s="77" t="s">
        <v>10184</v>
      </c>
      <c r="AE3434" s="80" t="str">
        <f>HYPERLINK("https://twitter.com/imdasmilhas/status/1662112519530356737")</f>
        <v>https://twitter.com/imdasmilhas/status/1662112519530356737</v>
      </c>
      <c r="AF3434" s="79">
        <v>45072.628229166665</v>
      </c>
      <c r="AG3434" s="85">
        <v>45072</v>
      </c>
      <c r="AH3434" s="82" t="s">
        <v>13430</v>
      </c>
      <c r="AI3434" s="77" t="b">
        <v>0</v>
      </c>
      <c r="AJ3434" s="77"/>
      <c r="AK3434" s="77"/>
      <c r="AL3434" s="77"/>
      <c r="AM3434" s="77"/>
      <c r="AN3434" s="77"/>
      <c r="AO3434" s="77"/>
      <c r="AP3434" s="77"/>
      <c r="AQ3434" s="77" t="s">
        <v>16402</v>
      </c>
      <c r="AR3434" s="77"/>
      <c r="AS3434" s="77"/>
      <c r="AT3434" s="77"/>
      <c r="AU3434" s="77"/>
      <c r="AV3434" s="80" t="str">
        <f>HYPERLINK("https://pbs.twimg.com/media/FxEChyUWYAE77dw.jpg")</f>
        <v>https://pbs.twimg.com/media/FxEChyUWYAE77dw.jpg</v>
      </c>
      <c r="AW3434" s="82" t="s">
        <v>20200</v>
      </c>
      <c r="AX3434" s="82" t="s">
        <v>20200</v>
      </c>
      <c r="AY3434" s="77"/>
      <c r="AZ3434" s="82" t="s">
        <v>20971</v>
      </c>
      <c r="BA3434" s="82" t="s">
        <v>20971</v>
      </c>
      <c r="BB3434" s="82" t="s">
        <v>20971</v>
      </c>
      <c r="BC3434" s="82" t="s">
        <v>20200</v>
      </c>
      <c r="BD3434" s="82" t="s">
        <v>21597</v>
      </c>
      <c r="BE3434" s="77"/>
      <c r="BF3434" s="77"/>
      <c r="BG3434" s="77"/>
      <c r="BH3434" s="77"/>
      <c r="BI3434" s="77"/>
    </row>
    <row r="3435" spans="1:61" x14ac:dyDescent="0.25">
      <c r="A3435" s="62" t="s">
        <v>1006</v>
      </c>
      <c r="B3435" s="62" t="s">
        <v>1006</v>
      </c>
      <c r="C3435" s="63"/>
      <c r="D3435" s="64"/>
      <c r="E3435" s="65"/>
      <c r="F3435" s="66"/>
      <c r="G3435" s="63"/>
      <c r="H3435" s="67"/>
      <c r="I3435" s="68"/>
      <c r="J3435" s="68"/>
      <c r="K3435" s="32"/>
      <c r="L3435" s="75">
        <v>3435</v>
      </c>
      <c r="M3435" s="75"/>
      <c r="N3435" s="70"/>
      <c r="O3435" s="77" t="s">
        <v>179</v>
      </c>
      <c r="P3435" s="79">
        <v>45072.627870370372</v>
      </c>
      <c r="Q3435" s="77" t="s">
        <v>4641</v>
      </c>
      <c r="R3435" s="77">
        <v>0</v>
      </c>
      <c r="S3435" s="77">
        <v>0</v>
      </c>
      <c r="T3435" s="77">
        <v>1</v>
      </c>
      <c r="U3435" s="77">
        <v>0</v>
      </c>
      <c r="V3435" s="77">
        <v>57</v>
      </c>
      <c r="W3435" s="82" t="s">
        <v>6740</v>
      </c>
      <c r="X3435" s="77"/>
      <c r="Y3435" s="77"/>
      <c r="Z3435" s="77"/>
      <c r="AA3435" s="77" t="s">
        <v>9760</v>
      </c>
      <c r="AB3435" s="77" t="s">
        <v>10130</v>
      </c>
      <c r="AC3435" s="82" t="s">
        <v>10147</v>
      </c>
      <c r="AD3435" s="77" t="s">
        <v>10184</v>
      </c>
      <c r="AE3435" s="80" t="str">
        <f>HYPERLINK("https://twitter.com/imdasmilhas/status/1662112387262971910")</f>
        <v>https://twitter.com/imdasmilhas/status/1662112387262971910</v>
      </c>
      <c r="AF3435" s="79">
        <v>45072.627870370372</v>
      </c>
      <c r="AG3435" s="85">
        <v>45072</v>
      </c>
      <c r="AH3435" s="82" t="s">
        <v>13431</v>
      </c>
      <c r="AI3435" s="77" t="b">
        <v>0</v>
      </c>
      <c r="AJ3435" s="77"/>
      <c r="AK3435" s="77"/>
      <c r="AL3435" s="77"/>
      <c r="AM3435" s="77"/>
      <c r="AN3435" s="77"/>
      <c r="AO3435" s="77"/>
      <c r="AP3435" s="77"/>
      <c r="AQ3435" s="77" t="s">
        <v>16403</v>
      </c>
      <c r="AR3435" s="77"/>
      <c r="AS3435" s="77"/>
      <c r="AT3435" s="77"/>
      <c r="AU3435" s="77"/>
      <c r="AV3435" s="80" t="str">
        <f>HYPERLINK("https://pbs.twimg.com/media/FxECaHGWAAMkykv.jpg")</f>
        <v>https://pbs.twimg.com/media/FxECaHGWAAMkykv.jpg</v>
      </c>
      <c r="AW3435" s="82" t="s">
        <v>20201</v>
      </c>
      <c r="AX3435" s="82" t="s">
        <v>20201</v>
      </c>
      <c r="AY3435" s="77"/>
      <c r="AZ3435" s="82" t="s">
        <v>20971</v>
      </c>
      <c r="BA3435" s="82" t="s">
        <v>20971</v>
      </c>
      <c r="BB3435" s="82" t="s">
        <v>20971</v>
      </c>
      <c r="BC3435" s="82" t="s">
        <v>20201</v>
      </c>
      <c r="BD3435" s="82" t="s">
        <v>21597</v>
      </c>
      <c r="BE3435" s="77"/>
      <c r="BF3435" s="77"/>
      <c r="BG3435" s="77"/>
      <c r="BH3435" s="77"/>
      <c r="BI3435" s="77"/>
    </row>
    <row r="3436" spans="1:61" x14ac:dyDescent="0.25">
      <c r="A3436" s="62" t="s">
        <v>1006</v>
      </c>
      <c r="B3436" s="62" t="s">
        <v>1006</v>
      </c>
      <c r="C3436" s="63"/>
      <c r="D3436" s="64"/>
      <c r="E3436" s="65"/>
      <c r="F3436" s="66"/>
      <c r="G3436" s="63"/>
      <c r="H3436" s="67"/>
      <c r="I3436" s="68"/>
      <c r="J3436" s="68"/>
      <c r="K3436" s="32"/>
      <c r="L3436" s="75">
        <v>3436</v>
      </c>
      <c r="M3436" s="75"/>
      <c r="N3436" s="70"/>
      <c r="O3436" s="77" t="s">
        <v>179</v>
      </c>
      <c r="P3436" s="79">
        <v>45043.825196759259</v>
      </c>
      <c r="Q3436" s="77" t="s">
        <v>4642</v>
      </c>
      <c r="R3436" s="77">
        <v>0</v>
      </c>
      <c r="S3436" s="77">
        <v>0</v>
      </c>
      <c r="T3436" s="77">
        <v>0</v>
      </c>
      <c r="U3436" s="77">
        <v>0</v>
      </c>
      <c r="V3436" s="77">
        <v>104</v>
      </c>
      <c r="W3436" s="82" t="s">
        <v>6740</v>
      </c>
      <c r="X3436" s="77"/>
      <c r="Y3436" s="77"/>
      <c r="Z3436" s="77"/>
      <c r="AA3436" s="77" t="s">
        <v>9761</v>
      </c>
      <c r="AB3436" s="77" t="s">
        <v>10130</v>
      </c>
      <c r="AC3436" s="82" t="s">
        <v>10147</v>
      </c>
      <c r="AD3436" s="77" t="s">
        <v>10184</v>
      </c>
      <c r="AE3436" s="80" t="str">
        <f>HYPERLINK("https://twitter.com/imdasmilhas/status/1651674650525462538")</f>
        <v>https://twitter.com/imdasmilhas/status/1651674650525462538</v>
      </c>
      <c r="AF3436" s="79">
        <v>45043.825196759259</v>
      </c>
      <c r="AG3436" s="85">
        <v>45043</v>
      </c>
      <c r="AH3436" s="82" t="s">
        <v>13432</v>
      </c>
      <c r="AI3436" s="77" t="b">
        <v>0</v>
      </c>
      <c r="AJ3436" s="77"/>
      <c r="AK3436" s="77"/>
      <c r="AL3436" s="77"/>
      <c r="AM3436" s="77"/>
      <c r="AN3436" s="77"/>
      <c r="AO3436" s="77"/>
      <c r="AP3436" s="77"/>
      <c r="AQ3436" s="77" t="s">
        <v>16404</v>
      </c>
      <c r="AR3436" s="77"/>
      <c r="AS3436" s="77"/>
      <c r="AT3436" s="77"/>
      <c r="AU3436" s="77"/>
      <c r="AV3436" s="80" t="str">
        <f>HYPERLINK("https://pbs.twimg.com/media/FuvtV3GWcAYyr7Q.jpg")</f>
        <v>https://pbs.twimg.com/media/FuvtV3GWcAYyr7Q.jpg</v>
      </c>
      <c r="AW3436" s="82" t="s">
        <v>20202</v>
      </c>
      <c r="AX3436" s="82" t="s">
        <v>20202</v>
      </c>
      <c r="AY3436" s="77"/>
      <c r="AZ3436" s="82" t="s">
        <v>20971</v>
      </c>
      <c r="BA3436" s="82" t="s">
        <v>20971</v>
      </c>
      <c r="BB3436" s="82" t="s">
        <v>20971</v>
      </c>
      <c r="BC3436" s="82" t="s">
        <v>20202</v>
      </c>
      <c r="BD3436" s="82" t="s">
        <v>21597</v>
      </c>
      <c r="BE3436" s="77"/>
      <c r="BF3436" s="77"/>
      <c r="BG3436" s="77"/>
      <c r="BH3436" s="77"/>
      <c r="BI3436" s="77"/>
    </row>
    <row r="3437" spans="1:61" x14ac:dyDescent="0.25">
      <c r="A3437" s="62" t="s">
        <v>1006</v>
      </c>
      <c r="B3437" s="62" t="s">
        <v>1006</v>
      </c>
      <c r="C3437" s="63"/>
      <c r="D3437" s="64"/>
      <c r="E3437" s="65"/>
      <c r="F3437" s="66"/>
      <c r="G3437" s="63"/>
      <c r="H3437" s="67"/>
      <c r="I3437" s="68"/>
      <c r="J3437" s="68"/>
      <c r="K3437" s="32"/>
      <c r="L3437" s="75">
        <v>3437</v>
      </c>
      <c r="M3437" s="75"/>
      <c r="N3437" s="70"/>
      <c r="O3437" s="77" t="s">
        <v>179</v>
      </c>
      <c r="P3437" s="79">
        <v>45043.737175925926</v>
      </c>
      <c r="Q3437" s="77" t="s">
        <v>4643</v>
      </c>
      <c r="R3437" s="77">
        <v>0</v>
      </c>
      <c r="S3437" s="77">
        <v>0</v>
      </c>
      <c r="T3437" s="77">
        <v>0</v>
      </c>
      <c r="U3437" s="77">
        <v>0</v>
      </c>
      <c r="V3437" s="77">
        <v>86</v>
      </c>
      <c r="W3437" s="82" t="s">
        <v>6740</v>
      </c>
      <c r="X3437" s="77"/>
      <c r="Y3437" s="77"/>
      <c r="Z3437" s="77"/>
      <c r="AA3437" s="77" t="s">
        <v>9762</v>
      </c>
      <c r="AB3437" s="77" t="s">
        <v>10130</v>
      </c>
      <c r="AC3437" s="82" t="s">
        <v>10147</v>
      </c>
      <c r="AD3437" s="77" t="s">
        <v>10184</v>
      </c>
      <c r="AE3437" s="80" t="str">
        <f>HYPERLINK("https://twitter.com/imdasmilhas/status/1651642752528941056")</f>
        <v>https://twitter.com/imdasmilhas/status/1651642752528941056</v>
      </c>
      <c r="AF3437" s="79">
        <v>45043.737175925926</v>
      </c>
      <c r="AG3437" s="85">
        <v>45043</v>
      </c>
      <c r="AH3437" s="82" t="s">
        <v>13433</v>
      </c>
      <c r="AI3437" s="77" t="b">
        <v>0</v>
      </c>
      <c r="AJ3437" s="77"/>
      <c r="AK3437" s="77"/>
      <c r="AL3437" s="77"/>
      <c r="AM3437" s="77"/>
      <c r="AN3437" s="77"/>
      <c r="AO3437" s="77"/>
      <c r="AP3437" s="77"/>
      <c r="AQ3437" s="77" t="s">
        <v>16405</v>
      </c>
      <c r="AR3437" s="77"/>
      <c r="AS3437" s="77"/>
      <c r="AT3437" s="77"/>
      <c r="AU3437" s="77"/>
      <c r="AV3437" s="80" t="str">
        <f>HYPERLINK("https://pbs.twimg.com/media/FuvQVJlWAAAshMM.jpg")</f>
        <v>https://pbs.twimg.com/media/FuvQVJlWAAAshMM.jpg</v>
      </c>
      <c r="AW3437" s="82" t="s">
        <v>20203</v>
      </c>
      <c r="AX3437" s="82" t="s">
        <v>20203</v>
      </c>
      <c r="AY3437" s="77"/>
      <c r="AZ3437" s="82" t="s">
        <v>20971</v>
      </c>
      <c r="BA3437" s="82" t="s">
        <v>20971</v>
      </c>
      <c r="BB3437" s="82" t="s">
        <v>20971</v>
      </c>
      <c r="BC3437" s="82" t="s">
        <v>20203</v>
      </c>
      <c r="BD3437" s="82" t="s">
        <v>21597</v>
      </c>
      <c r="BE3437" s="77"/>
      <c r="BF3437" s="77"/>
      <c r="BG3437" s="77"/>
      <c r="BH3437" s="77"/>
      <c r="BI3437" s="77"/>
    </row>
    <row r="3438" spans="1:61" x14ac:dyDescent="0.25">
      <c r="A3438" s="62" t="s">
        <v>1006</v>
      </c>
      <c r="B3438" s="62" t="s">
        <v>1006</v>
      </c>
      <c r="C3438" s="63"/>
      <c r="D3438" s="64"/>
      <c r="E3438" s="65"/>
      <c r="F3438" s="66"/>
      <c r="G3438" s="63"/>
      <c r="H3438" s="67"/>
      <c r="I3438" s="68"/>
      <c r="J3438" s="68"/>
      <c r="K3438" s="32"/>
      <c r="L3438" s="75">
        <v>3438</v>
      </c>
      <c r="M3438" s="75"/>
      <c r="N3438" s="70"/>
      <c r="O3438" s="77" t="s">
        <v>179</v>
      </c>
      <c r="P3438" s="79">
        <v>45043.736273148148</v>
      </c>
      <c r="Q3438" s="77" t="s">
        <v>4644</v>
      </c>
      <c r="R3438" s="77">
        <v>0</v>
      </c>
      <c r="S3438" s="77">
        <v>0</v>
      </c>
      <c r="T3438" s="77">
        <v>0</v>
      </c>
      <c r="U3438" s="77">
        <v>0</v>
      </c>
      <c r="V3438" s="77">
        <v>47</v>
      </c>
      <c r="W3438" s="82" t="s">
        <v>6740</v>
      </c>
      <c r="X3438" s="77"/>
      <c r="Y3438" s="77"/>
      <c r="Z3438" s="77"/>
      <c r="AA3438" s="77" t="s">
        <v>9763</v>
      </c>
      <c r="AB3438" s="77" t="s">
        <v>10130</v>
      </c>
      <c r="AC3438" s="82" t="s">
        <v>10147</v>
      </c>
      <c r="AD3438" s="77" t="s">
        <v>10184</v>
      </c>
      <c r="AE3438" s="80" t="str">
        <f>HYPERLINK("https://twitter.com/imdasmilhas/status/1651642424056225800")</f>
        <v>https://twitter.com/imdasmilhas/status/1651642424056225800</v>
      </c>
      <c r="AF3438" s="79">
        <v>45043.736273148148</v>
      </c>
      <c r="AG3438" s="85">
        <v>45043</v>
      </c>
      <c r="AH3438" s="82" t="s">
        <v>13434</v>
      </c>
      <c r="AI3438" s="77" t="b">
        <v>0</v>
      </c>
      <c r="AJ3438" s="77"/>
      <c r="AK3438" s="77"/>
      <c r="AL3438" s="77"/>
      <c r="AM3438" s="77"/>
      <c r="AN3438" s="77"/>
      <c r="AO3438" s="77"/>
      <c r="AP3438" s="77"/>
      <c r="AQ3438" s="77" t="s">
        <v>16406</v>
      </c>
      <c r="AR3438" s="77"/>
      <c r="AS3438" s="77"/>
      <c r="AT3438" s="77"/>
      <c r="AU3438" s="77"/>
      <c r="AV3438" s="80" t="str">
        <f>HYPERLINK("https://pbs.twimg.com/media/FuvQCCHWIAc2L6i.jpg")</f>
        <v>https://pbs.twimg.com/media/FuvQCCHWIAc2L6i.jpg</v>
      </c>
      <c r="AW3438" s="82" t="s">
        <v>20204</v>
      </c>
      <c r="AX3438" s="82" t="s">
        <v>20204</v>
      </c>
      <c r="AY3438" s="77"/>
      <c r="AZ3438" s="82" t="s">
        <v>20971</v>
      </c>
      <c r="BA3438" s="82" t="s">
        <v>20971</v>
      </c>
      <c r="BB3438" s="82" t="s">
        <v>20971</v>
      </c>
      <c r="BC3438" s="82" t="s">
        <v>20204</v>
      </c>
      <c r="BD3438" s="82" t="s">
        <v>21597</v>
      </c>
      <c r="BE3438" s="77"/>
      <c r="BF3438" s="77"/>
      <c r="BG3438" s="77"/>
      <c r="BH3438" s="77"/>
      <c r="BI3438" s="77"/>
    </row>
    <row r="3439" spans="1:61" x14ac:dyDescent="0.25">
      <c r="A3439" s="62" t="s">
        <v>1006</v>
      </c>
      <c r="B3439" s="62" t="s">
        <v>1006</v>
      </c>
      <c r="C3439" s="63"/>
      <c r="D3439" s="64"/>
      <c r="E3439" s="65"/>
      <c r="F3439" s="66"/>
      <c r="G3439" s="63"/>
      <c r="H3439" s="67"/>
      <c r="I3439" s="68"/>
      <c r="J3439" s="68"/>
      <c r="K3439" s="32"/>
      <c r="L3439" s="75">
        <v>3439</v>
      </c>
      <c r="M3439" s="75"/>
      <c r="N3439" s="70"/>
      <c r="O3439" s="77" t="s">
        <v>179</v>
      </c>
      <c r="P3439" s="79">
        <v>45042.813506944447</v>
      </c>
      <c r="Q3439" s="77" t="s">
        <v>4645</v>
      </c>
      <c r="R3439" s="77">
        <v>0</v>
      </c>
      <c r="S3439" s="77">
        <v>0</v>
      </c>
      <c r="T3439" s="77">
        <v>0</v>
      </c>
      <c r="U3439" s="77">
        <v>0</v>
      </c>
      <c r="V3439" s="77">
        <v>96</v>
      </c>
      <c r="W3439" s="82" t="s">
        <v>6742</v>
      </c>
      <c r="X3439" s="77"/>
      <c r="Y3439" s="77"/>
      <c r="Z3439" s="77"/>
      <c r="AA3439" s="77" t="s">
        <v>9764</v>
      </c>
      <c r="AB3439" s="77" t="s">
        <v>10130</v>
      </c>
      <c r="AC3439" s="82" t="s">
        <v>10147</v>
      </c>
      <c r="AD3439" s="77" t="s">
        <v>10184</v>
      </c>
      <c r="AE3439" s="80" t="str">
        <f>HYPERLINK("https://twitter.com/imdasmilhas/status/1651308023778770972")</f>
        <v>https://twitter.com/imdasmilhas/status/1651308023778770972</v>
      </c>
      <c r="AF3439" s="79">
        <v>45042.813506944447</v>
      </c>
      <c r="AG3439" s="85">
        <v>45042</v>
      </c>
      <c r="AH3439" s="82" t="s">
        <v>13435</v>
      </c>
      <c r="AI3439" s="77" t="b">
        <v>0</v>
      </c>
      <c r="AJ3439" s="77"/>
      <c r="AK3439" s="77"/>
      <c r="AL3439" s="77"/>
      <c r="AM3439" s="77"/>
      <c r="AN3439" s="77"/>
      <c r="AO3439" s="77"/>
      <c r="AP3439" s="77"/>
      <c r="AQ3439" s="77" t="s">
        <v>16407</v>
      </c>
      <c r="AR3439" s="77"/>
      <c r="AS3439" s="77"/>
      <c r="AT3439" s="77"/>
      <c r="AU3439" s="77"/>
      <c r="AV3439" s="80" t="str">
        <f>HYPERLINK("https://pbs.twimg.com/media/Fuqf5WyWACAaTeQ.jpg")</f>
        <v>https://pbs.twimg.com/media/Fuqf5WyWACAaTeQ.jpg</v>
      </c>
      <c r="AW3439" s="82" t="s">
        <v>20205</v>
      </c>
      <c r="AX3439" s="82" t="s">
        <v>20205</v>
      </c>
      <c r="AY3439" s="77"/>
      <c r="AZ3439" s="82" t="s">
        <v>20971</v>
      </c>
      <c r="BA3439" s="82" t="s">
        <v>20971</v>
      </c>
      <c r="BB3439" s="82" t="s">
        <v>20971</v>
      </c>
      <c r="BC3439" s="82" t="s">
        <v>20205</v>
      </c>
      <c r="BD3439" s="82" t="s">
        <v>21597</v>
      </c>
      <c r="BE3439" s="77"/>
      <c r="BF3439" s="77"/>
      <c r="BG3439" s="77"/>
      <c r="BH3439" s="77"/>
      <c r="BI3439" s="77"/>
    </row>
    <row r="3440" spans="1:61" x14ac:dyDescent="0.25">
      <c r="A3440" s="62" t="s">
        <v>1006</v>
      </c>
      <c r="B3440" s="62" t="s">
        <v>1006</v>
      </c>
      <c r="C3440" s="63"/>
      <c r="D3440" s="64"/>
      <c r="E3440" s="65"/>
      <c r="F3440" s="66"/>
      <c r="G3440" s="63"/>
      <c r="H3440" s="67"/>
      <c r="I3440" s="68"/>
      <c r="J3440" s="68"/>
      <c r="K3440" s="32"/>
      <c r="L3440" s="75">
        <v>3440</v>
      </c>
      <c r="M3440" s="75"/>
      <c r="N3440" s="70"/>
      <c r="O3440" s="77" t="s">
        <v>179</v>
      </c>
      <c r="P3440" s="79">
        <v>45042.813020833331</v>
      </c>
      <c r="Q3440" s="77" t="s">
        <v>4646</v>
      </c>
      <c r="R3440" s="77">
        <v>0</v>
      </c>
      <c r="S3440" s="77">
        <v>0</v>
      </c>
      <c r="T3440" s="77">
        <v>0</v>
      </c>
      <c r="U3440" s="77">
        <v>0</v>
      </c>
      <c r="V3440" s="77">
        <v>66</v>
      </c>
      <c r="W3440" s="82" t="s">
        <v>6740</v>
      </c>
      <c r="X3440" s="77"/>
      <c r="Y3440" s="77"/>
      <c r="Z3440" s="77"/>
      <c r="AA3440" s="77" t="s">
        <v>9765</v>
      </c>
      <c r="AB3440" s="77" t="s">
        <v>10130</v>
      </c>
      <c r="AC3440" s="82" t="s">
        <v>10147</v>
      </c>
      <c r="AD3440" s="77" t="s">
        <v>10184</v>
      </c>
      <c r="AE3440" s="80" t="str">
        <f>HYPERLINK("https://twitter.com/imdasmilhas/status/1651307850218471439")</f>
        <v>https://twitter.com/imdasmilhas/status/1651307850218471439</v>
      </c>
      <c r="AF3440" s="79">
        <v>45042.813020833331</v>
      </c>
      <c r="AG3440" s="85">
        <v>45042</v>
      </c>
      <c r="AH3440" s="82" t="s">
        <v>13436</v>
      </c>
      <c r="AI3440" s="77" t="b">
        <v>0</v>
      </c>
      <c r="AJ3440" s="77"/>
      <c r="AK3440" s="77"/>
      <c r="AL3440" s="77"/>
      <c r="AM3440" s="77"/>
      <c r="AN3440" s="77"/>
      <c r="AO3440" s="77"/>
      <c r="AP3440" s="77"/>
      <c r="AQ3440" s="77" t="s">
        <v>16408</v>
      </c>
      <c r="AR3440" s="77"/>
      <c r="AS3440" s="77"/>
      <c r="AT3440" s="77"/>
      <c r="AU3440" s="77"/>
      <c r="AV3440" s="80" t="str">
        <f>HYPERLINK("https://pbs.twimg.com/media/FuqfvQuWACwYGmf.jpg")</f>
        <v>https://pbs.twimg.com/media/FuqfvQuWACwYGmf.jpg</v>
      </c>
      <c r="AW3440" s="82" t="s">
        <v>20206</v>
      </c>
      <c r="AX3440" s="82" t="s">
        <v>20206</v>
      </c>
      <c r="AY3440" s="77"/>
      <c r="AZ3440" s="82" t="s">
        <v>20971</v>
      </c>
      <c r="BA3440" s="82" t="s">
        <v>20971</v>
      </c>
      <c r="BB3440" s="82" t="s">
        <v>20971</v>
      </c>
      <c r="BC3440" s="82" t="s">
        <v>20206</v>
      </c>
      <c r="BD3440" s="82" t="s">
        <v>21597</v>
      </c>
      <c r="BE3440" s="77"/>
      <c r="BF3440" s="77"/>
      <c r="BG3440" s="77"/>
      <c r="BH3440" s="77"/>
      <c r="BI3440" s="77"/>
    </row>
    <row r="3441" spans="1:61" x14ac:dyDescent="0.25">
      <c r="A3441" s="62" t="s">
        <v>1006</v>
      </c>
      <c r="B3441" s="62" t="s">
        <v>1006</v>
      </c>
      <c r="C3441" s="63"/>
      <c r="D3441" s="64"/>
      <c r="E3441" s="65"/>
      <c r="F3441" s="66"/>
      <c r="G3441" s="63"/>
      <c r="H3441" s="67"/>
      <c r="I3441" s="68"/>
      <c r="J3441" s="68"/>
      <c r="K3441" s="32"/>
      <c r="L3441" s="75">
        <v>3441</v>
      </c>
      <c r="M3441" s="75"/>
      <c r="N3441" s="70"/>
      <c r="O3441" s="77" t="s">
        <v>179</v>
      </c>
      <c r="P3441" s="79">
        <v>45042.813020833331</v>
      </c>
      <c r="Q3441" s="77" t="s">
        <v>4647</v>
      </c>
      <c r="R3441" s="77">
        <v>0</v>
      </c>
      <c r="S3441" s="77">
        <v>1</v>
      </c>
      <c r="T3441" s="77">
        <v>0</v>
      </c>
      <c r="U3441" s="77">
        <v>0</v>
      </c>
      <c r="V3441" s="77">
        <v>76</v>
      </c>
      <c r="W3441" s="82" t="s">
        <v>6740</v>
      </c>
      <c r="X3441" s="77"/>
      <c r="Y3441" s="77"/>
      <c r="Z3441" s="77"/>
      <c r="AA3441" s="77" t="s">
        <v>9766</v>
      </c>
      <c r="AB3441" s="77" t="s">
        <v>10130</v>
      </c>
      <c r="AC3441" s="82" t="s">
        <v>10147</v>
      </c>
      <c r="AD3441" s="77" t="s">
        <v>10184</v>
      </c>
      <c r="AE3441" s="80" t="str">
        <f>HYPERLINK("https://twitter.com/imdasmilhas/status/1651307847823523907")</f>
        <v>https://twitter.com/imdasmilhas/status/1651307847823523907</v>
      </c>
      <c r="AF3441" s="79">
        <v>45042.813020833331</v>
      </c>
      <c r="AG3441" s="85">
        <v>45042</v>
      </c>
      <c r="AH3441" s="82" t="s">
        <v>13436</v>
      </c>
      <c r="AI3441" s="77" t="b">
        <v>0</v>
      </c>
      <c r="AJ3441" s="77"/>
      <c r="AK3441" s="77"/>
      <c r="AL3441" s="77"/>
      <c r="AM3441" s="77"/>
      <c r="AN3441" s="77"/>
      <c r="AO3441" s="77"/>
      <c r="AP3441" s="77"/>
      <c r="AQ3441" s="77" t="s">
        <v>16409</v>
      </c>
      <c r="AR3441" s="77"/>
      <c r="AS3441" s="77"/>
      <c r="AT3441" s="77"/>
      <c r="AU3441" s="77"/>
      <c r="AV3441" s="80" t="str">
        <f>HYPERLINK("https://pbs.twimg.com/media/FuqfvFbWAB449Tg.jpg")</f>
        <v>https://pbs.twimg.com/media/FuqfvFbWAB449Tg.jpg</v>
      </c>
      <c r="AW3441" s="82" t="s">
        <v>20207</v>
      </c>
      <c r="AX3441" s="82" t="s">
        <v>20207</v>
      </c>
      <c r="AY3441" s="77"/>
      <c r="AZ3441" s="82" t="s">
        <v>20971</v>
      </c>
      <c r="BA3441" s="82" t="s">
        <v>20971</v>
      </c>
      <c r="BB3441" s="82" t="s">
        <v>20971</v>
      </c>
      <c r="BC3441" s="82" t="s">
        <v>20207</v>
      </c>
      <c r="BD3441" s="82" t="s">
        <v>21597</v>
      </c>
      <c r="BE3441" s="77"/>
      <c r="BF3441" s="77"/>
      <c r="BG3441" s="77"/>
      <c r="BH3441" s="77"/>
      <c r="BI3441" s="77"/>
    </row>
    <row r="3442" spans="1:61" x14ac:dyDescent="0.25">
      <c r="A3442" s="62" t="s">
        <v>1006</v>
      </c>
      <c r="B3442" s="62" t="s">
        <v>1006</v>
      </c>
      <c r="C3442" s="63"/>
      <c r="D3442" s="64"/>
      <c r="E3442" s="65"/>
      <c r="F3442" s="66"/>
      <c r="G3442" s="63"/>
      <c r="H3442" s="67"/>
      <c r="I3442" s="68"/>
      <c r="J3442" s="68"/>
      <c r="K3442" s="32"/>
      <c r="L3442" s="75">
        <v>3442</v>
      </c>
      <c r="M3442" s="75"/>
      <c r="N3442" s="70"/>
      <c r="O3442" s="77" t="s">
        <v>179</v>
      </c>
      <c r="P3442" s="79">
        <v>45042.642754629633</v>
      </c>
      <c r="Q3442" s="77" t="s">
        <v>4648</v>
      </c>
      <c r="R3442" s="77">
        <v>0</v>
      </c>
      <c r="S3442" s="77">
        <v>0</v>
      </c>
      <c r="T3442" s="77">
        <v>0</v>
      </c>
      <c r="U3442" s="77">
        <v>0</v>
      </c>
      <c r="V3442" s="77">
        <v>78</v>
      </c>
      <c r="W3442" s="82" t="s">
        <v>6741</v>
      </c>
      <c r="X3442" s="77"/>
      <c r="Y3442" s="77"/>
      <c r="Z3442" s="77"/>
      <c r="AA3442" s="77" t="s">
        <v>9767</v>
      </c>
      <c r="AB3442" s="77" t="s">
        <v>10130</v>
      </c>
      <c r="AC3442" s="82" t="s">
        <v>10147</v>
      </c>
      <c r="AD3442" s="77" t="s">
        <v>10184</v>
      </c>
      <c r="AE3442" s="80" t="str">
        <f>HYPERLINK("https://twitter.com/imdasmilhas/status/1651246144184360962")</f>
        <v>https://twitter.com/imdasmilhas/status/1651246144184360962</v>
      </c>
      <c r="AF3442" s="79">
        <v>45042.642754629633</v>
      </c>
      <c r="AG3442" s="85">
        <v>45042</v>
      </c>
      <c r="AH3442" s="82" t="s">
        <v>13437</v>
      </c>
      <c r="AI3442" s="77" t="b">
        <v>0</v>
      </c>
      <c r="AJ3442" s="77"/>
      <c r="AK3442" s="77"/>
      <c r="AL3442" s="77"/>
      <c r="AM3442" s="77"/>
      <c r="AN3442" s="77"/>
      <c r="AO3442" s="77"/>
      <c r="AP3442" s="77"/>
      <c r="AQ3442" s="77" t="s">
        <v>16410</v>
      </c>
      <c r="AR3442" s="77"/>
      <c r="AS3442" s="77"/>
      <c r="AT3442" s="77"/>
      <c r="AU3442" s="77"/>
      <c r="AV3442" s="80" t="str">
        <f>HYPERLINK("https://pbs.twimg.com/media/FupnngTXgAINMYm.jpg")</f>
        <v>https://pbs.twimg.com/media/FupnngTXgAINMYm.jpg</v>
      </c>
      <c r="AW3442" s="82" t="s">
        <v>20208</v>
      </c>
      <c r="AX3442" s="82" t="s">
        <v>20208</v>
      </c>
      <c r="AY3442" s="77"/>
      <c r="AZ3442" s="82" t="s">
        <v>20971</v>
      </c>
      <c r="BA3442" s="82" t="s">
        <v>20971</v>
      </c>
      <c r="BB3442" s="82" t="s">
        <v>20971</v>
      </c>
      <c r="BC3442" s="82" t="s">
        <v>20208</v>
      </c>
      <c r="BD3442" s="82" t="s">
        <v>21597</v>
      </c>
      <c r="BE3442" s="77"/>
      <c r="BF3442" s="77"/>
      <c r="BG3442" s="77"/>
      <c r="BH3442" s="77"/>
      <c r="BI3442" s="77"/>
    </row>
    <row r="3443" spans="1:61" x14ac:dyDescent="0.25">
      <c r="A3443" s="62" t="s">
        <v>1006</v>
      </c>
      <c r="B3443" s="62" t="s">
        <v>1006</v>
      </c>
      <c r="C3443" s="63"/>
      <c r="D3443" s="64"/>
      <c r="E3443" s="65"/>
      <c r="F3443" s="66"/>
      <c r="G3443" s="63"/>
      <c r="H3443" s="67"/>
      <c r="I3443" s="68"/>
      <c r="J3443" s="68"/>
      <c r="K3443" s="32"/>
      <c r="L3443" s="75">
        <v>3443</v>
      </c>
      <c r="M3443" s="75"/>
      <c r="N3443" s="70"/>
      <c r="O3443" s="77" t="s">
        <v>179</v>
      </c>
      <c r="P3443" s="79">
        <v>45042.635150462964</v>
      </c>
      <c r="Q3443" s="77" t="s">
        <v>4649</v>
      </c>
      <c r="R3443" s="77">
        <v>0</v>
      </c>
      <c r="S3443" s="77">
        <v>0</v>
      </c>
      <c r="T3443" s="77">
        <v>0</v>
      </c>
      <c r="U3443" s="77">
        <v>0</v>
      </c>
      <c r="V3443" s="77">
        <v>56</v>
      </c>
      <c r="W3443" s="82" t="s">
        <v>6740</v>
      </c>
      <c r="X3443" s="77"/>
      <c r="Y3443" s="77"/>
      <c r="Z3443" s="77"/>
      <c r="AA3443" s="77" t="s">
        <v>9768</v>
      </c>
      <c r="AB3443" s="77" t="s">
        <v>10130</v>
      </c>
      <c r="AC3443" s="82" t="s">
        <v>10147</v>
      </c>
      <c r="AD3443" s="77" t="s">
        <v>10184</v>
      </c>
      <c r="AE3443" s="80" t="str">
        <f>HYPERLINK("https://twitter.com/imdasmilhas/status/1651243391290601474")</f>
        <v>https://twitter.com/imdasmilhas/status/1651243391290601474</v>
      </c>
      <c r="AF3443" s="79">
        <v>45042.635150462964</v>
      </c>
      <c r="AG3443" s="85">
        <v>45042</v>
      </c>
      <c r="AH3443" s="82" t="s">
        <v>13438</v>
      </c>
      <c r="AI3443" s="77" t="b">
        <v>0</v>
      </c>
      <c r="AJ3443" s="77"/>
      <c r="AK3443" s="77"/>
      <c r="AL3443" s="77"/>
      <c r="AM3443" s="77"/>
      <c r="AN3443" s="77"/>
      <c r="AO3443" s="77"/>
      <c r="AP3443" s="77"/>
      <c r="AQ3443" s="77" t="s">
        <v>16411</v>
      </c>
      <c r="AR3443" s="77"/>
      <c r="AS3443" s="77"/>
      <c r="AT3443" s="77"/>
      <c r="AU3443" s="77"/>
      <c r="AV3443" s="80" t="str">
        <f>HYPERLINK("https://pbs.twimg.com/media/FuplHQIXsAAH855.jpg")</f>
        <v>https://pbs.twimg.com/media/FuplHQIXsAAH855.jpg</v>
      </c>
      <c r="AW3443" s="82" t="s">
        <v>20209</v>
      </c>
      <c r="AX3443" s="82" t="s">
        <v>20209</v>
      </c>
      <c r="AY3443" s="77"/>
      <c r="AZ3443" s="82" t="s">
        <v>20971</v>
      </c>
      <c r="BA3443" s="82" t="s">
        <v>20971</v>
      </c>
      <c r="BB3443" s="82" t="s">
        <v>20971</v>
      </c>
      <c r="BC3443" s="82" t="s">
        <v>20209</v>
      </c>
      <c r="BD3443" s="82" t="s">
        <v>21597</v>
      </c>
      <c r="BE3443" s="77"/>
      <c r="BF3443" s="77"/>
      <c r="BG3443" s="77"/>
      <c r="BH3443" s="77"/>
      <c r="BI3443" s="77"/>
    </row>
    <row r="3444" spans="1:61" x14ac:dyDescent="0.25">
      <c r="A3444" s="62" t="s">
        <v>1006</v>
      </c>
      <c r="B3444" s="62" t="s">
        <v>1006</v>
      </c>
      <c r="C3444" s="63"/>
      <c r="D3444" s="64"/>
      <c r="E3444" s="65"/>
      <c r="F3444" s="66"/>
      <c r="G3444" s="63"/>
      <c r="H3444" s="67"/>
      <c r="I3444" s="68"/>
      <c r="J3444" s="68"/>
      <c r="K3444" s="32"/>
      <c r="L3444" s="75">
        <v>3444</v>
      </c>
      <c r="M3444" s="75"/>
      <c r="N3444" s="70"/>
      <c r="O3444" s="77" t="s">
        <v>179</v>
      </c>
      <c r="P3444" s="79">
        <v>45042.63486111111</v>
      </c>
      <c r="Q3444" s="77" t="s">
        <v>4650</v>
      </c>
      <c r="R3444" s="77">
        <v>0</v>
      </c>
      <c r="S3444" s="77">
        <v>0</v>
      </c>
      <c r="T3444" s="77">
        <v>0</v>
      </c>
      <c r="U3444" s="77">
        <v>0</v>
      </c>
      <c r="V3444" s="77">
        <v>71</v>
      </c>
      <c r="W3444" s="82" t="s">
        <v>6741</v>
      </c>
      <c r="X3444" s="77"/>
      <c r="Y3444" s="77"/>
      <c r="Z3444" s="77"/>
      <c r="AA3444" s="77" t="s">
        <v>9769</v>
      </c>
      <c r="AB3444" s="77" t="s">
        <v>10130</v>
      </c>
      <c r="AC3444" s="82" t="s">
        <v>10147</v>
      </c>
      <c r="AD3444" s="77" t="s">
        <v>10184</v>
      </c>
      <c r="AE3444" s="80" t="str">
        <f>HYPERLINK("https://twitter.com/imdasmilhas/status/1651243284918939656")</f>
        <v>https://twitter.com/imdasmilhas/status/1651243284918939656</v>
      </c>
      <c r="AF3444" s="79">
        <v>45042.63486111111</v>
      </c>
      <c r="AG3444" s="85">
        <v>45042</v>
      </c>
      <c r="AH3444" s="82" t="s">
        <v>13439</v>
      </c>
      <c r="AI3444" s="77" t="b">
        <v>0</v>
      </c>
      <c r="AJ3444" s="77"/>
      <c r="AK3444" s="77"/>
      <c r="AL3444" s="77"/>
      <c r="AM3444" s="77"/>
      <c r="AN3444" s="77"/>
      <c r="AO3444" s="77"/>
      <c r="AP3444" s="77"/>
      <c r="AQ3444" s="77" t="s">
        <v>16412</v>
      </c>
      <c r="AR3444" s="77"/>
      <c r="AS3444" s="77"/>
      <c r="AT3444" s="77"/>
      <c r="AU3444" s="77"/>
      <c r="AV3444" s="80" t="str">
        <f>HYPERLINK("https://pbs.twimg.com/media/FuplA_nX0AAXtoO.jpg")</f>
        <v>https://pbs.twimg.com/media/FuplA_nX0AAXtoO.jpg</v>
      </c>
      <c r="AW3444" s="82" t="s">
        <v>20210</v>
      </c>
      <c r="AX3444" s="82" t="s">
        <v>20210</v>
      </c>
      <c r="AY3444" s="77"/>
      <c r="AZ3444" s="82" t="s">
        <v>20971</v>
      </c>
      <c r="BA3444" s="82" t="s">
        <v>20971</v>
      </c>
      <c r="BB3444" s="82" t="s">
        <v>20971</v>
      </c>
      <c r="BC3444" s="82" t="s">
        <v>20210</v>
      </c>
      <c r="BD3444" s="82" t="s">
        <v>21597</v>
      </c>
      <c r="BE3444" s="77"/>
      <c r="BF3444" s="77"/>
      <c r="BG3444" s="77"/>
      <c r="BH3444" s="77"/>
      <c r="BI3444" s="77"/>
    </row>
    <row r="3445" spans="1:61" x14ac:dyDescent="0.25">
      <c r="A3445" s="62" t="s">
        <v>1006</v>
      </c>
      <c r="B3445" s="62" t="s">
        <v>1006</v>
      </c>
      <c r="C3445" s="63"/>
      <c r="D3445" s="64"/>
      <c r="E3445" s="65"/>
      <c r="F3445" s="66"/>
      <c r="G3445" s="63"/>
      <c r="H3445" s="67"/>
      <c r="I3445" s="68"/>
      <c r="J3445" s="68"/>
      <c r="K3445" s="32"/>
      <c r="L3445" s="75">
        <v>3445</v>
      </c>
      <c r="M3445" s="75"/>
      <c r="N3445" s="70"/>
      <c r="O3445" s="77" t="s">
        <v>179</v>
      </c>
      <c r="P3445" s="79">
        <v>45042.634270833332</v>
      </c>
      <c r="Q3445" s="77" t="s">
        <v>4651</v>
      </c>
      <c r="R3445" s="77">
        <v>0</v>
      </c>
      <c r="S3445" s="77">
        <v>0</v>
      </c>
      <c r="T3445" s="77">
        <v>0</v>
      </c>
      <c r="U3445" s="77">
        <v>0</v>
      </c>
      <c r="V3445" s="77">
        <v>56</v>
      </c>
      <c r="W3445" s="82" t="s">
        <v>6740</v>
      </c>
      <c r="X3445" s="77"/>
      <c r="Y3445" s="77"/>
      <c r="Z3445" s="77"/>
      <c r="AA3445" s="77" t="s">
        <v>9770</v>
      </c>
      <c r="AB3445" s="77" t="s">
        <v>10130</v>
      </c>
      <c r="AC3445" s="82" t="s">
        <v>10147</v>
      </c>
      <c r="AD3445" s="77" t="s">
        <v>10184</v>
      </c>
      <c r="AE3445" s="80" t="str">
        <f>HYPERLINK("https://twitter.com/imdasmilhas/status/1651243069759520774")</f>
        <v>https://twitter.com/imdasmilhas/status/1651243069759520774</v>
      </c>
      <c r="AF3445" s="79">
        <v>45042.634270833332</v>
      </c>
      <c r="AG3445" s="85">
        <v>45042</v>
      </c>
      <c r="AH3445" s="82" t="s">
        <v>13440</v>
      </c>
      <c r="AI3445" s="77" t="b">
        <v>0</v>
      </c>
      <c r="AJ3445" s="77"/>
      <c r="AK3445" s="77"/>
      <c r="AL3445" s="77"/>
      <c r="AM3445" s="77"/>
      <c r="AN3445" s="77"/>
      <c r="AO3445" s="77"/>
      <c r="AP3445" s="77"/>
      <c r="AQ3445" s="77" t="s">
        <v>16413</v>
      </c>
      <c r="AR3445" s="77"/>
      <c r="AS3445" s="77"/>
      <c r="AT3445" s="77"/>
      <c r="AU3445" s="77"/>
      <c r="AV3445" s="80" t="str">
        <f>HYPERLINK("https://pbs.twimg.com/media/Fupk0h_WYAIfT9z.jpg")</f>
        <v>https://pbs.twimg.com/media/Fupk0h_WYAIfT9z.jpg</v>
      </c>
      <c r="AW3445" s="82" t="s">
        <v>20211</v>
      </c>
      <c r="AX3445" s="82" t="s">
        <v>20211</v>
      </c>
      <c r="AY3445" s="77"/>
      <c r="AZ3445" s="82" t="s">
        <v>20971</v>
      </c>
      <c r="BA3445" s="82" t="s">
        <v>20971</v>
      </c>
      <c r="BB3445" s="82" t="s">
        <v>20971</v>
      </c>
      <c r="BC3445" s="82" t="s">
        <v>20211</v>
      </c>
      <c r="BD3445" s="82" t="s">
        <v>21597</v>
      </c>
      <c r="BE3445" s="77"/>
      <c r="BF3445" s="77"/>
      <c r="BG3445" s="77"/>
      <c r="BH3445" s="77"/>
      <c r="BI3445" s="77"/>
    </row>
    <row r="3446" spans="1:61" x14ac:dyDescent="0.25">
      <c r="A3446" s="62" t="s">
        <v>1006</v>
      </c>
      <c r="B3446" s="62" t="s">
        <v>1006</v>
      </c>
      <c r="C3446" s="63"/>
      <c r="D3446" s="64"/>
      <c r="E3446" s="65"/>
      <c r="F3446" s="66"/>
      <c r="G3446" s="63"/>
      <c r="H3446" s="67"/>
      <c r="I3446" s="68"/>
      <c r="J3446" s="68"/>
      <c r="K3446" s="32"/>
      <c r="L3446" s="75">
        <v>3446</v>
      </c>
      <c r="M3446" s="75"/>
      <c r="N3446" s="70"/>
      <c r="O3446" s="77" t="s">
        <v>179</v>
      </c>
      <c r="P3446" s="79">
        <v>45041.820937500001</v>
      </c>
      <c r="Q3446" s="77" t="s">
        <v>4652</v>
      </c>
      <c r="R3446" s="77">
        <v>0</v>
      </c>
      <c r="S3446" s="77">
        <v>0</v>
      </c>
      <c r="T3446" s="77">
        <v>0</v>
      </c>
      <c r="U3446" s="77">
        <v>0</v>
      </c>
      <c r="V3446" s="77">
        <v>142</v>
      </c>
      <c r="W3446" s="82" t="s">
        <v>6741</v>
      </c>
      <c r="X3446" s="77"/>
      <c r="Y3446" s="77"/>
      <c r="Z3446" s="77"/>
      <c r="AA3446" s="77" t="s">
        <v>9771</v>
      </c>
      <c r="AB3446" s="77" t="s">
        <v>10130</v>
      </c>
      <c r="AC3446" s="82" t="s">
        <v>10147</v>
      </c>
      <c r="AD3446" s="77" t="s">
        <v>10184</v>
      </c>
      <c r="AE3446" s="80" t="str">
        <f>HYPERLINK("https://twitter.com/imdasmilhas/status/1650948327800750080")</f>
        <v>https://twitter.com/imdasmilhas/status/1650948327800750080</v>
      </c>
      <c r="AF3446" s="79">
        <v>45041.820937500001</v>
      </c>
      <c r="AG3446" s="85">
        <v>45041</v>
      </c>
      <c r="AH3446" s="82" t="s">
        <v>13441</v>
      </c>
      <c r="AI3446" s="77" t="b">
        <v>0</v>
      </c>
      <c r="AJ3446" s="77"/>
      <c r="AK3446" s="77"/>
      <c r="AL3446" s="77"/>
      <c r="AM3446" s="77"/>
      <c r="AN3446" s="77"/>
      <c r="AO3446" s="77"/>
      <c r="AP3446" s="77"/>
      <c r="AQ3446" s="77" t="s">
        <v>16414</v>
      </c>
      <c r="AR3446" s="77"/>
      <c r="AS3446" s="77"/>
      <c r="AT3446" s="77"/>
      <c r="AU3446" s="77"/>
      <c r="AV3446" s="80" t="str">
        <f>HYPERLINK("https://pbs.twimg.com/media/FulYwRNWAAIG-oN.jpg")</f>
        <v>https://pbs.twimg.com/media/FulYwRNWAAIG-oN.jpg</v>
      </c>
      <c r="AW3446" s="82" t="s">
        <v>20212</v>
      </c>
      <c r="AX3446" s="82" t="s">
        <v>20212</v>
      </c>
      <c r="AY3446" s="77"/>
      <c r="AZ3446" s="82" t="s">
        <v>20971</v>
      </c>
      <c r="BA3446" s="82" t="s">
        <v>20971</v>
      </c>
      <c r="BB3446" s="82" t="s">
        <v>20971</v>
      </c>
      <c r="BC3446" s="82" t="s">
        <v>20212</v>
      </c>
      <c r="BD3446" s="82" t="s">
        <v>21597</v>
      </c>
      <c r="BE3446" s="77"/>
      <c r="BF3446" s="77"/>
      <c r="BG3446" s="77"/>
      <c r="BH3446" s="77"/>
      <c r="BI3446" s="77"/>
    </row>
    <row r="3447" spans="1:61" x14ac:dyDescent="0.25">
      <c r="A3447" s="62" t="s">
        <v>1006</v>
      </c>
      <c r="B3447" s="62" t="s">
        <v>1006</v>
      </c>
      <c r="C3447" s="63"/>
      <c r="D3447" s="64"/>
      <c r="E3447" s="65"/>
      <c r="F3447" s="66"/>
      <c r="G3447" s="63"/>
      <c r="H3447" s="67"/>
      <c r="I3447" s="68"/>
      <c r="J3447" s="68"/>
      <c r="K3447" s="32"/>
      <c r="L3447" s="75">
        <v>3447</v>
      </c>
      <c r="M3447" s="75"/>
      <c r="N3447" s="70"/>
      <c r="O3447" s="77" t="s">
        <v>179</v>
      </c>
      <c r="P3447" s="79">
        <v>45041.778657407405</v>
      </c>
      <c r="Q3447" s="77" t="s">
        <v>4653</v>
      </c>
      <c r="R3447" s="77">
        <v>0</v>
      </c>
      <c r="S3447" s="77">
        <v>1</v>
      </c>
      <c r="T3447" s="77">
        <v>0</v>
      </c>
      <c r="U3447" s="77">
        <v>0</v>
      </c>
      <c r="V3447" s="77">
        <v>189</v>
      </c>
      <c r="W3447" s="82" t="s">
        <v>6740</v>
      </c>
      <c r="X3447" s="77"/>
      <c r="Y3447" s="77"/>
      <c r="Z3447" s="77"/>
      <c r="AA3447" s="77" t="s">
        <v>9772</v>
      </c>
      <c r="AB3447" s="77" t="s">
        <v>10130</v>
      </c>
      <c r="AC3447" s="82" t="s">
        <v>10147</v>
      </c>
      <c r="AD3447" s="77" t="s">
        <v>10184</v>
      </c>
      <c r="AE3447" s="80" t="str">
        <f>HYPERLINK("https://twitter.com/imdasmilhas/status/1650933007635587091")</f>
        <v>https://twitter.com/imdasmilhas/status/1650933007635587091</v>
      </c>
      <c r="AF3447" s="79">
        <v>45041.778657407405</v>
      </c>
      <c r="AG3447" s="85">
        <v>45041</v>
      </c>
      <c r="AH3447" s="82" t="s">
        <v>13442</v>
      </c>
      <c r="AI3447" s="77" t="b">
        <v>0</v>
      </c>
      <c r="AJ3447" s="77"/>
      <c r="AK3447" s="77"/>
      <c r="AL3447" s="77"/>
      <c r="AM3447" s="77"/>
      <c r="AN3447" s="77"/>
      <c r="AO3447" s="77"/>
      <c r="AP3447" s="77"/>
      <c r="AQ3447" s="77" t="s">
        <v>16415</v>
      </c>
      <c r="AR3447" s="77"/>
      <c r="AS3447" s="77"/>
      <c r="AT3447" s="77"/>
      <c r="AU3447" s="77"/>
      <c r="AV3447" s="80" t="str">
        <f>HYPERLINK("https://pbs.twimg.com/media/FulK0jCWIBcuEBq.jpg")</f>
        <v>https://pbs.twimg.com/media/FulK0jCWIBcuEBq.jpg</v>
      </c>
      <c r="AW3447" s="82" t="s">
        <v>20213</v>
      </c>
      <c r="AX3447" s="82" t="s">
        <v>20213</v>
      </c>
      <c r="AY3447" s="77"/>
      <c r="AZ3447" s="82" t="s">
        <v>20971</v>
      </c>
      <c r="BA3447" s="82" t="s">
        <v>20971</v>
      </c>
      <c r="BB3447" s="82" t="s">
        <v>20971</v>
      </c>
      <c r="BC3447" s="82" t="s">
        <v>20213</v>
      </c>
      <c r="BD3447" s="82" t="s">
        <v>21597</v>
      </c>
      <c r="BE3447" s="77"/>
      <c r="BF3447" s="77"/>
      <c r="BG3447" s="77"/>
      <c r="BH3447" s="77"/>
      <c r="BI3447" s="77"/>
    </row>
    <row r="3448" spans="1:61" x14ac:dyDescent="0.25">
      <c r="A3448" s="62" t="s">
        <v>1006</v>
      </c>
      <c r="B3448" s="62" t="s">
        <v>1006</v>
      </c>
      <c r="C3448" s="63"/>
      <c r="D3448" s="64"/>
      <c r="E3448" s="65"/>
      <c r="F3448" s="66"/>
      <c r="G3448" s="63"/>
      <c r="H3448" s="67"/>
      <c r="I3448" s="68"/>
      <c r="J3448" s="68"/>
      <c r="K3448" s="32"/>
      <c r="L3448" s="75">
        <v>3448</v>
      </c>
      <c r="M3448" s="75"/>
      <c r="N3448" s="70"/>
      <c r="O3448" s="77" t="s">
        <v>179</v>
      </c>
      <c r="P3448" s="79">
        <v>45041.77820601852</v>
      </c>
      <c r="Q3448" s="77" t="s">
        <v>4654</v>
      </c>
      <c r="R3448" s="77">
        <v>0</v>
      </c>
      <c r="S3448" s="77">
        <v>0</v>
      </c>
      <c r="T3448" s="77">
        <v>0</v>
      </c>
      <c r="U3448" s="77">
        <v>0</v>
      </c>
      <c r="V3448" s="77">
        <v>58</v>
      </c>
      <c r="W3448" s="82" t="s">
        <v>6740</v>
      </c>
      <c r="X3448" s="77"/>
      <c r="Y3448" s="77"/>
      <c r="Z3448" s="77"/>
      <c r="AA3448" s="77" t="s">
        <v>9773</v>
      </c>
      <c r="AB3448" s="77" t="s">
        <v>10130</v>
      </c>
      <c r="AC3448" s="82" t="s">
        <v>10147</v>
      </c>
      <c r="AD3448" s="77" t="s">
        <v>10184</v>
      </c>
      <c r="AE3448" s="80" t="str">
        <f>HYPERLINK("https://twitter.com/imdasmilhas/status/1650932845697703944")</f>
        <v>https://twitter.com/imdasmilhas/status/1650932845697703944</v>
      </c>
      <c r="AF3448" s="79">
        <v>45041.77820601852</v>
      </c>
      <c r="AG3448" s="85">
        <v>45041</v>
      </c>
      <c r="AH3448" s="82" t="s">
        <v>13443</v>
      </c>
      <c r="AI3448" s="77" t="b">
        <v>0</v>
      </c>
      <c r="AJ3448" s="77"/>
      <c r="AK3448" s="77"/>
      <c r="AL3448" s="77"/>
      <c r="AM3448" s="77"/>
      <c r="AN3448" s="77"/>
      <c r="AO3448" s="77"/>
      <c r="AP3448" s="77"/>
      <c r="AQ3448" s="77" t="s">
        <v>16416</v>
      </c>
      <c r="AR3448" s="77"/>
      <c r="AS3448" s="77"/>
      <c r="AT3448" s="77"/>
      <c r="AU3448" s="77"/>
      <c r="AV3448" s="80" t="str">
        <f>HYPERLINK("https://pbs.twimg.com/media/FulKrIfWIActOz5.jpg")</f>
        <v>https://pbs.twimg.com/media/FulKrIfWIActOz5.jpg</v>
      </c>
      <c r="AW3448" s="82" t="s">
        <v>20214</v>
      </c>
      <c r="AX3448" s="82" t="s">
        <v>20214</v>
      </c>
      <c r="AY3448" s="77"/>
      <c r="AZ3448" s="82" t="s">
        <v>20971</v>
      </c>
      <c r="BA3448" s="82" t="s">
        <v>20971</v>
      </c>
      <c r="BB3448" s="82" t="s">
        <v>20971</v>
      </c>
      <c r="BC3448" s="82" t="s">
        <v>20214</v>
      </c>
      <c r="BD3448" s="82" t="s">
        <v>21597</v>
      </c>
      <c r="BE3448" s="77"/>
      <c r="BF3448" s="77"/>
      <c r="BG3448" s="77"/>
      <c r="BH3448" s="77"/>
      <c r="BI3448" s="77"/>
    </row>
    <row r="3449" spans="1:61" x14ac:dyDescent="0.25">
      <c r="A3449" s="62" t="s">
        <v>1006</v>
      </c>
      <c r="B3449" s="62" t="s">
        <v>1006</v>
      </c>
      <c r="C3449" s="63"/>
      <c r="D3449" s="64"/>
      <c r="E3449" s="65"/>
      <c r="F3449" s="66"/>
      <c r="G3449" s="63"/>
      <c r="H3449" s="67"/>
      <c r="I3449" s="68"/>
      <c r="J3449" s="68"/>
      <c r="K3449" s="32"/>
      <c r="L3449" s="75">
        <v>3449</v>
      </c>
      <c r="M3449" s="75"/>
      <c r="N3449" s="70"/>
      <c r="O3449" s="77" t="s">
        <v>179</v>
      </c>
      <c r="P3449" s="79">
        <v>45041.777627314812</v>
      </c>
      <c r="Q3449" s="77" t="s">
        <v>4655</v>
      </c>
      <c r="R3449" s="77">
        <v>0</v>
      </c>
      <c r="S3449" s="77">
        <v>0</v>
      </c>
      <c r="T3449" s="77">
        <v>0</v>
      </c>
      <c r="U3449" s="77">
        <v>0</v>
      </c>
      <c r="V3449" s="77">
        <v>57</v>
      </c>
      <c r="W3449" s="82" t="s">
        <v>6740</v>
      </c>
      <c r="X3449" s="77"/>
      <c r="Y3449" s="77"/>
      <c r="Z3449" s="77"/>
      <c r="AA3449" s="77" t="s">
        <v>9774</v>
      </c>
      <c r="AB3449" s="77" t="s">
        <v>10130</v>
      </c>
      <c r="AC3449" s="82" t="s">
        <v>10147</v>
      </c>
      <c r="AD3449" s="77" t="s">
        <v>10184</v>
      </c>
      <c r="AE3449" s="80" t="str">
        <f>HYPERLINK("https://twitter.com/imdasmilhas/status/1650932634824876034")</f>
        <v>https://twitter.com/imdasmilhas/status/1650932634824876034</v>
      </c>
      <c r="AF3449" s="79">
        <v>45041.777627314812</v>
      </c>
      <c r="AG3449" s="85">
        <v>45041</v>
      </c>
      <c r="AH3449" s="82" t="s">
        <v>13444</v>
      </c>
      <c r="AI3449" s="77" t="b">
        <v>0</v>
      </c>
      <c r="AJ3449" s="77"/>
      <c r="AK3449" s="77"/>
      <c r="AL3449" s="77"/>
      <c r="AM3449" s="77"/>
      <c r="AN3449" s="77"/>
      <c r="AO3449" s="77"/>
      <c r="AP3449" s="77"/>
      <c r="AQ3449" s="77" t="s">
        <v>16417</v>
      </c>
      <c r="AR3449" s="77"/>
      <c r="AS3449" s="77"/>
      <c r="AT3449" s="77"/>
      <c r="AU3449" s="77"/>
      <c r="AV3449" s="80" t="str">
        <f>HYPERLINK("https://pbs.twimg.com/media/FulKe1OWAAA10bm.jpg")</f>
        <v>https://pbs.twimg.com/media/FulKe1OWAAA10bm.jpg</v>
      </c>
      <c r="AW3449" s="82" t="s">
        <v>20215</v>
      </c>
      <c r="AX3449" s="82" t="s">
        <v>20215</v>
      </c>
      <c r="AY3449" s="77"/>
      <c r="AZ3449" s="82" t="s">
        <v>20971</v>
      </c>
      <c r="BA3449" s="82" t="s">
        <v>20971</v>
      </c>
      <c r="BB3449" s="82" t="s">
        <v>20971</v>
      </c>
      <c r="BC3449" s="82" t="s">
        <v>20215</v>
      </c>
      <c r="BD3449" s="82" t="s">
        <v>21597</v>
      </c>
      <c r="BE3449" s="77"/>
      <c r="BF3449" s="77"/>
      <c r="BG3449" s="77"/>
      <c r="BH3449" s="77"/>
      <c r="BI3449" s="77"/>
    </row>
    <row r="3450" spans="1:61" x14ac:dyDescent="0.25">
      <c r="A3450" s="62" t="s">
        <v>1006</v>
      </c>
      <c r="B3450" s="62" t="s">
        <v>1006</v>
      </c>
      <c r="C3450" s="63"/>
      <c r="D3450" s="64"/>
      <c r="E3450" s="65"/>
      <c r="F3450" s="66"/>
      <c r="G3450" s="63"/>
      <c r="H3450" s="67"/>
      <c r="I3450" s="68"/>
      <c r="J3450" s="68"/>
      <c r="K3450" s="32"/>
      <c r="L3450" s="75">
        <v>3450</v>
      </c>
      <c r="M3450" s="75"/>
      <c r="N3450" s="70"/>
      <c r="O3450" s="77" t="s">
        <v>179</v>
      </c>
      <c r="P3450" s="79">
        <v>45041.658425925925</v>
      </c>
      <c r="Q3450" s="77" t="s">
        <v>4656</v>
      </c>
      <c r="R3450" s="77">
        <v>0</v>
      </c>
      <c r="S3450" s="77">
        <v>0</v>
      </c>
      <c r="T3450" s="77">
        <v>0</v>
      </c>
      <c r="U3450" s="77">
        <v>0</v>
      </c>
      <c r="V3450" s="77">
        <v>162</v>
      </c>
      <c r="W3450" s="82" t="s">
        <v>6740</v>
      </c>
      <c r="X3450" s="77"/>
      <c r="Y3450" s="77"/>
      <c r="Z3450" s="77"/>
      <c r="AA3450" s="77" t="s">
        <v>9775</v>
      </c>
      <c r="AB3450" s="77" t="s">
        <v>10130</v>
      </c>
      <c r="AC3450" s="82" t="s">
        <v>10147</v>
      </c>
      <c r="AD3450" s="77" t="s">
        <v>10184</v>
      </c>
      <c r="AE3450" s="80" t="str">
        <f>HYPERLINK("https://twitter.com/imdasmilhas/status/1650889436316532736")</f>
        <v>https://twitter.com/imdasmilhas/status/1650889436316532736</v>
      </c>
      <c r="AF3450" s="79">
        <v>45041.658425925925</v>
      </c>
      <c r="AG3450" s="85">
        <v>45041</v>
      </c>
      <c r="AH3450" s="82" t="s">
        <v>13445</v>
      </c>
      <c r="AI3450" s="77" t="b">
        <v>0</v>
      </c>
      <c r="AJ3450" s="77"/>
      <c r="AK3450" s="77"/>
      <c r="AL3450" s="77"/>
      <c r="AM3450" s="77"/>
      <c r="AN3450" s="77"/>
      <c r="AO3450" s="77"/>
      <c r="AP3450" s="77"/>
      <c r="AQ3450" s="77" t="s">
        <v>16418</v>
      </c>
      <c r="AR3450" s="77"/>
      <c r="AS3450" s="77"/>
      <c r="AT3450" s="77"/>
      <c r="AU3450" s="77"/>
      <c r="AV3450" s="80" t="str">
        <f>HYPERLINK("https://pbs.twimg.com/media/FukjMYDXoAEV1Jz.jpg")</f>
        <v>https://pbs.twimg.com/media/FukjMYDXoAEV1Jz.jpg</v>
      </c>
      <c r="AW3450" s="82" t="s">
        <v>20216</v>
      </c>
      <c r="AX3450" s="82" t="s">
        <v>20216</v>
      </c>
      <c r="AY3450" s="77"/>
      <c r="AZ3450" s="82" t="s">
        <v>20971</v>
      </c>
      <c r="BA3450" s="82" t="s">
        <v>20971</v>
      </c>
      <c r="BB3450" s="82" t="s">
        <v>20971</v>
      </c>
      <c r="BC3450" s="82" t="s">
        <v>20216</v>
      </c>
      <c r="BD3450" s="82" t="s">
        <v>21597</v>
      </c>
      <c r="BE3450" s="77"/>
      <c r="BF3450" s="77"/>
      <c r="BG3450" s="77"/>
      <c r="BH3450" s="77"/>
      <c r="BI3450" s="77"/>
    </row>
    <row r="3451" spans="1:61" x14ac:dyDescent="0.25">
      <c r="A3451" s="62" t="s">
        <v>1006</v>
      </c>
      <c r="B3451" s="62" t="s">
        <v>1006</v>
      </c>
      <c r="C3451" s="63"/>
      <c r="D3451" s="64"/>
      <c r="E3451" s="65"/>
      <c r="F3451" s="66"/>
      <c r="G3451" s="63"/>
      <c r="H3451" s="67"/>
      <c r="I3451" s="68"/>
      <c r="J3451" s="68"/>
      <c r="K3451" s="32"/>
      <c r="L3451" s="75">
        <v>3451</v>
      </c>
      <c r="M3451" s="75"/>
      <c r="N3451" s="70"/>
      <c r="O3451" s="77" t="s">
        <v>179</v>
      </c>
      <c r="P3451" s="79">
        <v>45041.618425925924</v>
      </c>
      <c r="Q3451" s="77" t="s">
        <v>4657</v>
      </c>
      <c r="R3451" s="77">
        <v>0</v>
      </c>
      <c r="S3451" s="77">
        <v>0</v>
      </c>
      <c r="T3451" s="77">
        <v>0</v>
      </c>
      <c r="U3451" s="77">
        <v>0</v>
      </c>
      <c r="V3451" s="77">
        <v>61</v>
      </c>
      <c r="W3451" s="82" t="s">
        <v>6740</v>
      </c>
      <c r="X3451" s="77"/>
      <c r="Y3451" s="77"/>
      <c r="Z3451" s="77"/>
      <c r="AA3451" s="77" t="s">
        <v>9776</v>
      </c>
      <c r="AB3451" s="77" t="s">
        <v>10130</v>
      </c>
      <c r="AC3451" s="82" t="s">
        <v>10147</v>
      </c>
      <c r="AD3451" s="77" t="s">
        <v>10184</v>
      </c>
      <c r="AE3451" s="80" t="str">
        <f>HYPERLINK("https://twitter.com/imdasmilhas/status/1650874942139817985")</f>
        <v>https://twitter.com/imdasmilhas/status/1650874942139817985</v>
      </c>
      <c r="AF3451" s="79">
        <v>45041.618425925924</v>
      </c>
      <c r="AG3451" s="85">
        <v>45041</v>
      </c>
      <c r="AH3451" s="82" t="s">
        <v>13446</v>
      </c>
      <c r="AI3451" s="77" t="b">
        <v>0</v>
      </c>
      <c r="AJ3451" s="77"/>
      <c r="AK3451" s="77"/>
      <c r="AL3451" s="77"/>
      <c r="AM3451" s="77"/>
      <c r="AN3451" s="77"/>
      <c r="AO3451" s="77"/>
      <c r="AP3451" s="77"/>
      <c r="AQ3451" s="77" t="s">
        <v>16419</v>
      </c>
      <c r="AR3451" s="77"/>
      <c r="AS3451" s="77"/>
      <c r="AT3451" s="77"/>
      <c r="AU3451" s="77"/>
      <c r="AV3451" s="80" t="str">
        <f>HYPERLINK("https://pbs.twimg.com/media/FukWArDWcAMkn89.jpg")</f>
        <v>https://pbs.twimg.com/media/FukWArDWcAMkn89.jpg</v>
      </c>
      <c r="AW3451" s="82" t="s">
        <v>20217</v>
      </c>
      <c r="AX3451" s="82" t="s">
        <v>20217</v>
      </c>
      <c r="AY3451" s="77"/>
      <c r="AZ3451" s="82" t="s">
        <v>20971</v>
      </c>
      <c r="BA3451" s="82" t="s">
        <v>20971</v>
      </c>
      <c r="BB3451" s="82" t="s">
        <v>20971</v>
      </c>
      <c r="BC3451" s="82" t="s">
        <v>20217</v>
      </c>
      <c r="BD3451" s="82" t="s">
        <v>21597</v>
      </c>
      <c r="BE3451" s="77"/>
      <c r="BF3451" s="77"/>
      <c r="BG3451" s="77"/>
      <c r="BH3451" s="77"/>
      <c r="BI3451" s="77"/>
    </row>
    <row r="3452" spans="1:61" x14ac:dyDescent="0.25">
      <c r="A3452" s="62" t="s">
        <v>1006</v>
      </c>
      <c r="B3452" s="62" t="s">
        <v>1006</v>
      </c>
      <c r="C3452" s="63"/>
      <c r="D3452" s="64"/>
      <c r="E3452" s="65"/>
      <c r="F3452" s="66"/>
      <c r="G3452" s="63"/>
      <c r="H3452" s="67"/>
      <c r="I3452" s="68"/>
      <c r="J3452" s="68"/>
      <c r="K3452" s="32"/>
      <c r="L3452" s="75">
        <v>3452</v>
      </c>
      <c r="M3452" s="75"/>
      <c r="N3452" s="70"/>
      <c r="O3452" s="77" t="s">
        <v>179</v>
      </c>
      <c r="P3452" s="79">
        <v>45013.814155092594</v>
      </c>
      <c r="Q3452" s="77" t="s">
        <v>4658</v>
      </c>
      <c r="R3452" s="77">
        <v>0</v>
      </c>
      <c r="S3452" s="77">
        <v>0</v>
      </c>
      <c r="T3452" s="77">
        <v>0</v>
      </c>
      <c r="U3452" s="77">
        <v>0</v>
      </c>
      <c r="V3452" s="77">
        <v>156</v>
      </c>
      <c r="W3452" s="82" t="s">
        <v>6740</v>
      </c>
      <c r="X3452" s="77"/>
      <c r="Y3452" s="77"/>
      <c r="Z3452" s="77"/>
      <c r="AA3452" s="77" t="s">
        <v>9777</v>
      </c>
      <c r="AB3452" s="77" t="s">
        <v>10130</v>
      </c>
      <c r="AC3452" s="82" t="s">
        <v>10147</v>
      </c>
      <c r="AD3452" s="77" t="s">
        <v>10184</v>
      </c>
      <c r="AE3452" s="80" t="str">
        <f>HYPERLINK("https://twitter.com/imdasmilhas/status/1640799013086679059")</f>
        <v>https://twitter.com/imdasmilhas/status/1640799013086679059</v>
      </c>
      <c r="AF3452" s="79">
        <v>45013.814155092594</v>
      </c>
      <c r="AG3452" s="85">
        <v>45013</v>
      </c>
      <c r="AH3452" s="82" t="s">
        <v>13447</v>
      </c>
      <c r="AI3452" s="77" t="b">
        <v>0</v>
      </c>
      <c r="AJ3452" s="77"/>
      <c r="AK3452" s="77"/>
      <c r="AL3452" s="77"/>
      <c r="AM3452" s="77"/>
      <c r="AN3452" s="77"/>
      <c r="AO3452" s="77"/>
      <c r="AP3452" s="77"/>
      <c r="AQ3452" s="77" t="s">
        <v>16420</v>
      </c>
      <c r="AR3452" s="77"/>
      <c r="AS3452" s="77"/>
      <c r="AT3452" s="77"/>
      <c r="AU3452" s="77"/>
      <c r="AV3452" s="80" t="str">
        <f>HYPERLINK("https://pbs.twimg.com/media/FsVKAamWcAAeYLR.jpg")</f>
        <v>https://pbs.twimg.com/media/FsVKAamWcAAeYLR.jpg</v>
      </c>
      <c r="AW3452" s="82" t="s">
        <v>20218</v>
      </c>
      <c r="AX3452" s="82" t="s">
        <v>20218</v>
      </c>
      <c r="AY3452" s="77"/>
      <c r="AZ3452" s="82" t="s">
        <v>20971</v>
      </c>
      <c r="BA3452" s="82" t="s">
        <v>20971</v>
      </c>
      <c r="BB3452" s="82" t="s">
        <v>20971</v>
      </c>
      <c r="BC3452" s="82" t="s">
        <v>20218</v>
      </c>
      <c r="BD3452" s="82" t="s">
        <v>21597</v>
      </c>
      <c r="BE3452" s="77"/>
      <c r="BF3452" s="77"/>
      <c r="BG3452" s="77"/>
      <c r="BH3452" s="77"/>
      <c r="BI3452" s="77"/>
    </row>
    <row r="3453" spans="1:61" x14ac:dyDescent="0.25">
      <c r="A3453" s="62" t="s">
        <v>1006</v>
      </c>
      <c r="B3453" s="62" t="s">
        <v>1006</v>
      </c>
      <c r="C3453" s="63"/>
      <c r="D3453" s="64"/>
      <c r="E3453" s="65"/>
      <c r="F3453" s="66"/>
      <c r="G3453" s="63"/>
      <c r="H3453" s="67"/>
      <c r="I3453" s="68"/>
      <c r="J3453" s="68"/>
      <c r="K3453" s="32"/>
      <c r="L3453" s="75">
        <v>3453</v>
      </c>
      <c r="M3453" s="75"/>
      <c r="N3453" s="70"/>
      <c r="O3453" s="77" t="s">
        <v>179</v>
      </c>
      <c r="P3453" s="79">
        <v>45013.813449074078</v>
      </c>
      <c r="Q3453" s="77" t="s">
        <v>4659</v>
      </c>
      <c r="R3453" s="77">
        <v>0</v>
      </c>
      <c r="S3453" s="77">
        <v>0</v>
      </c>
      <c r="T3453" s="77">
        <v>0</v>
      </c>
      <c r="U3453" s="77">
        <v>0</v>
      </c>
      <c r="V3453" s="77">
        <v>137</v>
      </c>
      <c r="W3453" s="82" t="s">
        <v>6754</v>
      </c>
      <c r="X3453" s="77"/>
      <c r="Y3453" s="77"/>
      <c r="Z3453" s="77"/>
      <c r="AA3453" s="77" t="s">
        <v>9778</v>
      </c>
      <c r="AB3453" s="77" t="s">
        <v>10130</v>
      </c>
      <c r="AC3453" s="82" t="s">
        <v>10147</v>
      </c>
      <c r="AD3453" s="77" t="s">
        <v>10184</v>
      </c>
      <c r="AE3453" s="80" t="str">
        <f>HYPERLINK("https://twitter.com/imdasmilhas/status/1640798754000314369")</f>
        <v>https://twitter.com/imdasmilhas/status/1640798754000314369</v>
      </c>
      <c r="AF3453" s="79">
        <v>45013.813449074078</v>
      </c>
      <c r="AG3453" s="85">
        <v>45013</v>
      </c>
      <c r="AH3453" s="82" t="s">
        <v>13448</v>
      </c>
      <c r="AI3453" s="77" t="b">
        <v>0</v>
      </c>
      <c r="AJ3453" s="77"/>
      <c r="AK3453" s="77"/>
      <c r="AL3453" s="77"/>
      <c r="AM3453" s="77"/>
      <c r="AN3453" s="77"/>
      <c r="AO3453" s="77"/>
      <c r="AP3453" s="77"/>
      <c r="AQ3453" s="77" t="s">
        <v>16421</v>
      </c>
      <c r="AR3453" s="77"/>
      <c r="AS3453" s="77"/>
      <c r="AT3453" s="77"/>
      <c r="AU3453" s="77"/>
      <c r="AV3453" s="80" t="str">
        <f>HYPERLINK("https://pbs.twimg.com/media/FsVJxPjX0AgvzII.jpg")</f>
        <v>https://pbs.twimg.com/media/FsVJxPjX0AgvzII.jpg</v>
      </c>
      <c r="AW3453" s="82" t="s">
        <v>20219</v>
      </c>
      <c r="AX3453" s="82" t="s">
        <v>20219</v>
      </c>
      <c r="AY3453" s="77"/>
      <c r="AZ3453" s="82" t="s">
        <v>20971</v>
      </c>
      <c r="BA3453" s="82" t="s">
        <v>20971</v>
      </c>
      <c r="BB3453" s="82" t="s">
        <v>20971</v>
      </c>
      <c r="BC3453" s="82" t="s">
        <v>20219</v>
      </c>
      <c r="BD3453" s="82" t="s">
        <v>21597</v>
      </c>
      <c r="BE3453" s="77"/>
      <c r="BF3453" s="77"/>
      <c r="BG3453" s="77"/>
      <c r="BH3453" s="77"/>
      <c r="BI3453" s="77"/>
    </row>
    <row r="3454" spans="1:61" x14ac:dyDescent="0.25">
      <c r="A3454" s="62" t="s">
        <v>1006</v>
      </c>
      <c r="B3454" s="62" t="s">
        <v>1006</v>
      </c>
      <c r="C3454" s="63"/>
      <c r="D3454" s="64"/>
      <c r="E3454" s="65"/>
      <c r="F3454" s="66"/>
      <c r="G3454" s="63"/>
      <c r="H3454" s="67"/>
      <c r="I3454" s="68"/>
      <c r="J3454" s="68"/>
      <c r="K3454" s="32"/>
      <c r="L3454" s="75">
        <v>3454</v>
      </c>
      <c r="M3454" s="75"/>
      <c r="N3454" s="70"/>
      <c r="O3454" s="77" t="s">
        <v>179</v>
      </c>
      <c r="P3454" s="79">
        <v>45013.727407407408</v>
      </c>
      <c r="Q3454" s="77" t="s">
        <v>4660</v>
      </c>
      <c r="R3454" s="77">
        <v>0</v>
      </c>
      <c r="S3454" s="77">
        <v>0</v>
      </c>
      <c r="T3454" s="77">
        <v>0</v>
      </c>
      <c r="U3454" s="77">
        <v>0</v>
      </c>
      <c r="V3454" s="77">
        <v>47</v>
      </c>
      <c r="W3454" s="82" t="s">
        <v>6740</v>
      </c>
      <c r="X3454" s="77"/>
      <c r="Y3454" s="77"/>
      <c r="Z3454" s="77"/>
      <c r="AA3454" s="77" t="s">
        <v>9779</v>
      </c>
      <c r="AB3454" s="77" t="s">
        <v>10130</v>
      </c>
      <c r="AC3454" s="82" t="s">
        <v>10147</v>
      </c>
      <c r="AD3454" s="77" t="s">
        <v>10184</v>
      </c>
      <c r="AE3454" s="80" t="str">
        <f>HYPERLINK("https://twitter.com/imdasmilhas/status/1640767576862076928")</f>
        <v>https://twitter.com/imdasmilhas/status/1640767576862076928</v>
      </c>
      <c r="AF3454" s="79">
        <v>45013.727407407408</v>
      </c>
      <c r="AG3454" s="85">
        <v>45013</v>
      </c>
      <c r="AH3454" s="82" t="s">
        <v>13449</v>
      </c>
      <c r="AI3454" s="77" t="b">
        <v>0</v>
      </c>
      <c r="AJ3454" s="77"/>
      <c r="AK3454" s="77"/>
      <c r="AL3454" s="77"/>
      <c r="AM3454" s="77"/>
      <c r="AN3454" s="77"/>
      <c r="AO3454" s="77"/>
      <c r="AP3454" s="77"/>
      <c r="AQ3454" s="77" t="s">
        <v>16422</v>
      </c>
      <c r="AR3454" s="77"/>
      <c r="AS3454" s="77"/>
      <c r="AT3454" s="77"/>
      <c r="AU3454" s="77"/>
      <c r="AV3454" s="80" t="str">
        <f>HYPERLINK("https://pbs.twimg.com/media/FsUtalnXgAoEwfw.jpg")</f>
        <v>https://pbs.twimg.com/media/FsUtalnXgAoEwfw.jpg</v>
      </c>
      <c r="AW3454" s="82" t="s">
        <v>20220</v>
      </c>
      <c r="AX3454" s="82" t="s">
        <v>20220</v>
      </c>
      <c r="AY3454" s="77"/>
      <c r="AZ3454" s="82" t="s">
        <v>20971</v>
      </c>
      <c r="BA3454" s="82" t="s">
        <v>20971</v>
      </c>
      <c r="BB3454" s="82" t="s">
        <v>20971</v>
      </c>
      <c r="BC3454" s="82" t="s">
        <v>20220</v>
      </c>
      <c r="BD3454" s="82" t="s">
        <v>21597</v>
      </c>
      <c r="BE3454" s="77"/>
      <c r="BF3454" s="77"/>
      <c r="BG3454" s="77"/>
      <c r="BH3454" s="77"/>
      <c r="BI3454" s="77"/>
    </row>
    <row r="3455" spans="1:61" x14ac:dyDescent="0.25">
      <c r="A3455" s="62" t="s">
        <v>1006</v>
      </c>
      <c r="B3455" s="62" t="s">
        <v>1006</v>
      </c>
      <c r="C3455" s="63"/>
      <c r="D3455" s="64"/>
      <c r="E3455" s="65"/>
      <c r="F3455" s="66"/>
      <c r="G3455" s="63"/>
      <c r="H3455" s="67"/>
      <c r="I3455" s="68"/>
      <c r="J3455" s="68"/>
      <c r="K3455" s="32"/>
      <c r="L3455" s="75">
        <v>3455</v>
      </c>
      <c r="M3455" s="75"/>
      <c r="N3455" s="70"/>
      <c r="O3455" s="77" t="s">
        <v>179</v>
      </c>
      <c r="P3455" s="79">
        <v>45013.726921296293</v>
      </c>
      <c r="Q3455" s="77" t="s">
        <v>4661</v>
      </c>
      <c r="R3455" s="77">
        <v>0</v>
      </c>
      <c r="S3455" s="77">
        <v>0</v>
      </c>
      <c r="T3455" s="77">
        <v>0</v>
      </c>
      <c r="U3455" s="77">
        <v>0</v>
      </c>
      <c r="V3455" s="77">
        <v>75</v>
      </c>
      <c r="W3455" s="82" t="s">
        <v>6740</v>
      </c>
      <c r="X3455" s="77"/>
      <c r="Y3455" s="77"/>
      <c r="Z3455" s="77"/>
      <c r="AA3455" s="77" t="s">
        <v>9780</v>
      </c>
      <c r="AB3455" s="77" t="s">
        <v>10130</v>
      </c>
      <c r="AC3455" s="82" t="s">
        <v>10147</v>
      </c>
      <c r="AD3455" s="77" t="s">
        <v>10184</v>
      </c>
      <c r="AE3455" s="80" t="str">
        <f>HYPERLINK("https://twitter.com/imdasmilhas/status/1640767398646087710")</f>
        <v>https://twitter.com/imdasmilhas/status/1640767398646087710</v>
      </c>
      <c r="AF3455" s="79">
        <v>45013.726921296293</v>
      </c>
      <c r="AG3455" s="85">
        <v>45013</v>
      </c>
      <c r="AH3455" s="82" t="s">
        <v>13450</v>
      </c>
      <c r="AI3455" s="77" t="b">
        <v>0</v>
      </c>
      <c r="AJ3455" s="77"/>
      <c r="AK3455" s="77"/>
      <c r="AL3455" s="77"/>
      <c r="AM3455" s="77"/>
      <c r="AN3455" s="77"/>
      <c r="AO3455" s="77"/>
      <c r="AP3455" s="77"/>
      <c r="AQ3455" s="77" t="s">
        <v>16423</v>
      </c>
      <c r="AR3455" s="77"/>
      <c r="AS3455" s="77"/>
      <c r="AT3455" s="77"/>
      <c r="AU3455" s="77"/>
      <c r="AV3455" s="80" t="str">
        <f>HYPERLINK("https://pbs.twimg.com/media/FsUtQM_XgBEX8Zo.jpg")</f>
        <v>https://pbs.twimg.com/media/FsUtQM_XgBEX8Zo.jpg</v>
      </c>
      <c r="AW3455" s="82" t="s">
        <v>20221</v>
      </c>
      <c r="AX3455" s="82" t="s">
        <v>20221</v>
      </c>
      <c r="AY3455" s="77"/>
      <c r="AZ3455" s="82" t="s">
        <v>20971</v>
      </c>
      <c r="BA3455" s="82" t="s">
        <v>20971</v>
      </c>
      <c r="BB3455" s="82" t="s">
        <v>20971</v>
      </c>
      <c r="BC3455" s="82" t="s">
        <v>20221</v>
      </c>
      <c r="BD3455" s="82" t="s">
        <v>21597</v>
      </c>
      <c r="BE3455" s="77"/>
      <c r="BF3455" s="77"/>
      <c r="BG3455" s="77"/>
      <c r="BH3455" s="77"/>
      <c r="BI3455" s="77"/>
    </row>
    <row r="3456" spans="1:61" x14ac:dyDescent="0.25">
      <c r="A3456" s="62" t="s">
        <v>1006</v>
      </c>
      <c r="B3456" s="62" t="s">
        <v>1006</v>
      </c>
      <c r="C3456" s="63"/>
      <c r="D3456" s="64"/>
      <c r="E3456" s="65"/>
      <c r="F3456" s="66"/>
      <c r="G3456" s="63"/>
      <c r="H3456" s="67"/>
      <c r="I3456" s="68"/>
      <c r="J3456" s="68"/>
      <c r="K3456" s="32"/>
      <c r="L3456" s="75">
        <v>3456</v>
      </c>
      <c r="M3456" s="75"/>
      <c r="N3456" s="70"/>
      <c r="O3456" s="77" t="s">
        <v>179</v>
      </c>
      <c r="P3456" s="79">
        <v>45013.726620370369</v>
      </c>
      <c r="Q3456" s="77" t="s">
        <v>4662</v>
      </c>
      <c r="R3456" s="77">
        <v>0</v>
      </c>
      <c r="S3456" s="77">
        <v>0</v>
      </c>
      <c r="T3456" s="77">
        <v>0</v>
      </c>
      <c r="U3456" s="77">
        <v>0</v>
      </c>
      <c r="V3456" s="77">
        <v>138</v>
      </c>
      <c r="W3456" s="82" t="s">
        <v>6740</v>
      </c>
      <c r="X3456" s="77"/>
      <c r="Y3456" s="77"/>
      <c r="Z3456" s="77"/>
      <c r="AA3456" s="77" t="s">
        <v>9781</v>
      </c>
      <c r="AB3456" s="77" t="s">
        <v>10130</v>
      </c>
      <c r="AC3456" s="82" t="s">
        <v>10147</v>
      </c>
      <c r="AD3456" s="77" t="s">
        <v>10184</v>
      </c>
      <c r="AE3456" s="80" t="str">
        <f>HYPERLINK("https://twitter.com/imdasmilhas/status/1640767289581768705")</f>
        <v>https://twitter.com/imdasmilhas/status/1640767289581768705</v>
      </c>
      <c r="AF3456" s="79">
        <v>45013.726620370369</v>
      </c>
      <c r="AG3456" s="85">
        <v>45013</v>
      </c>
      <c r="AH3456" s="82" t="s">
        <v>13451</v>
      </c>
      <c r="AI3456" s="77" t="b">
        <v>0</v>
      </c>
      <c r="AJ3456" s="77"/>
      <c r="AK3456" s="77"/>
      <c r="AL3456" s="77"/>
      <c r="AM3456" s="77"/>
      <c r="AN3456" s="77"/>
      <c r="AO3456" s="77"/>
      <c r="AP3456" s="77"/>
      <c r="AQ3456" s="77" t="s">
        <v>16424</v>
      </c>
      <c r="AR3456" s="77"/>
      <c r="AS3456" s="77"/>
      <c r="AT3456" s="77"/>
      <c r="AU3456" s="77"/>
      <c r="AV3456" s="80" t="str">
        <f>HYPERLINK("https://pbs.twimg.com/media/FsUtJ02XsAAaGrj.jpg")</f>
        <v>https://pbs.twimg.com/media/FsUtJ02XsAAaGrj.jpg</v>
      </c>
      <c r="AW3456" s="82" t="s">
        <v>20222</v>
      </c>
      <c r="AX3456" s="82" t="s">
        <v>20222</v>
      </c>
      <c r="AY3456" s="77"/>
      <c r="AZ3456" s="82" t="s">
        <v>20971</v>
      </c>
      <c r="BA3456" s="82" t="s">
        <v>20971</v>
      </c>
      <c r="BB3456" s="82" t="s">
        <v>20971</v>
      </c>
      <c r="BC3456" s="82" t="s">
        <v>20222</v>
      </c>
      <c r="BD3456" s="82" t="s">
        <v>21597</v>
      </c>
      <c r="BE3456" s="77"/>
      <c r="BF3456" s="77"/>
      <c r="BG3456" s="77"/>
      <c r="BH3456" s="77"/>
      <c r="BI3456" s="77"/>
    </row>
    <row r="3457" spans="1:61" x14ac:dyDescent="0.25">
      <c r="A3457" s="62" t="s">
        <v>1006</v>
      </c>
      <c r="B3457" s="62" t="s">
        <v>1006</v>
      </c>
      <c r="C3457" s="63"/>
      <c r="D3457" s="64"/>
      <c r="E3457" s="65"/>
      <c r="F3457" s="66"/>
      <c r="G3457" s="63"/>
      <c r="H3457" s="67"/>
      <c r="I3457" s="68"/>
      <c r="J3457" s="68"/>
      <c r="K3457" s="32"/>
      <c r="L3457" s="75">
        <v>3457</v>
      </c>
      <c r="M3457" s="75"/>
      <c r="N3457" s="70"/>
      <c r="O3457" s="77" t="s">
        <v>179</v>
      </c>
      <c r="P3457" s="79">
        <v>45013.726064814815</v>
      </c>
      <c r="Q3457" s="77" t="s">
        <v>4663</v>
      </c>
      <c r="R3457" s="77">
        <v>0</v>
      </c>
      <c r="S3457" s="77">
        <v>0</v>
      </c>
      <c r="T3457" s="77">
        <v>0</v>
      </c>
      <c r="U3457" s="77">
        <v>0</v>
      </c>
      <c r="V3457" s="77">
        <v>160</v>
      </c>
      <c r="W3457" s="82" t="s">
        <v>6740</v>
      </c>
      <c r="X3457" s="77"/>
      <c r="Y3457" s="77"/>
      <c r="Z3457" s="77"/>
      <c r="AA3457" s="77" t="s">
        <v>9782</v>
      </c>
      <c r="AB3457" s="77" t="s">
        <v>10130</v>
      </c>
      <c r="AC3457" s="82" t="s">
        <v>10147</v>
      </c>
      <c r="AD3457" s="77" t="s">
        <v>10184</v>
      </c>
      <c r="AE3457" s="80" t="str">
        <f>HYPERLINK("https://twitter.com/imdasmilhas/status/1640767086342406173")</f>
        <v>https://twitter.com/imdasmilhas/status/1640767086342406173</v>
      </c>
      <c r="AF3457" s="79">
        <v>45013.726064814815</v>
      </c>
      <c r="AG3457" s="85">
        <v>45013</v>
      </c>
      <c r="AH3457" s="82" t="s">
        <v>12830</v>
      </c>
      <c r="AI3457" s="77" t="b">
        <v>0</v>
      </c>
      <c r="AJ3457" s="77"/>
      <c r="AK3457" s="77"/>
      <c r="AL3457" s="77"/>
      <c r="AM3457" s="77"/>
      <c r="AN3457" s="77"/>
      <c r="AO3457" s="77"/>
      <c r="AP3457" s="77"/>
      <c r="AQ3457" s="77" t="s">
        <v>16425</v>
      </c>
      <c r="AR3457" s="77"/>
      <c r="AS3457" s="77"/>
      <c r="AT3457" s="77"/>
      <c r="AU3457" s="77"/>
      <c r="AV3457" s="80" t="str">
        <f>HYPERLINK("https://pbs.twimg.com/media/FsUs-ApWcAAZbyG.jpg")</f>
        <v>https://pbs.twimg.com/media/FsUs-ApWcAAZbyG.jpg</v>
      </c>
      <c r="AW3457" s="82" t="s">
        <v>20223</v>
      </c>
      <c r="AX3457" s="82" t="s">
        <v>20223</v>
      </c>
      <c r="AY3457" s="77"/>
      <c r="AZ3457" s="82" t="s">
        <v>20971</v>
      </c>
      <c r="BA3457" s="82" t="s">
        <v>20971</v>
      </c>
      <c r="BB3457" s="82" t="s">
        <v>20971</v>
      </c>
      <c r="BC3457" s="82" t="s">
        <v>20223</v>
      </c>
      <c r="BD3457" s="82" t="s">
        <v>21597</v>
      </c>
      <c r="BE3457" s="77"/>
      <c r="BF3457" s="77"/>
      <c r="BG3457" s="77"/>
      <c r="BH3457" s="77"/>
      <c r="BI3457" s="77"/>
    </row>
    <row r="3458" spans="1:61" x14ac:dyDescent="0.25">
      <c r="A3458" s="62" t="s">
        <v>1006</v>
      </c>
      <c r="B3458" s="62" t="s">
        <v>1006</v>
      </c>
      <c r="C3458" s="63"/>
      <c r="D3458" s="64"/>
      <c r="E3458" s="65"/>
      <c r="F3458" s="66"/>
      <c r="G3458" s="63"/>
      <c r="H3458" s="67"/>
      <c r="I3458" s="68"/>
      <c r="J3458" s="68"/>
      <c r="K3458" s="32"/>
      <c r="L3458" s="75">
        <v>3458</v>
      </c>
      <c r="M3458" s="75"/>
      <c r="N3458" s="70"/>
      <c r="O3458" s="77" t="s">
        <v>179</v>
      </c>
      <c r="P3458" s="79">
        <v>45013.725462962961</v>
      </c>
      <c r="Q3458" s="77" t="s">
        <v>4664</v>
      </c>
      <c r="R3458" s="77">
        <v>0</v>
      </c>
      <c r="S3458" s="77">
        <v>0</v>
      </c>
      <c r="T3458" s="77">
        <v>0</v>
      </c>
      <c r="U3458" s="77">
        <v>0</v>
      </c>
      <c r="V3458" s="77">
        <v>51</v>
      </c>
      <c r="W3458" s="82" t="s">
        <v>6740</v>
      </c>
      <c r="X3458" s="77"/>
      <c r="Y3458" s="77"/>
      <c r="Z3458" s="77"/>
      <c r="AA3458" s="77" t="s">
        <v>9783</v>
      </c>
      <c r="AB3458" s="77" t="s">
        <v>10130</v>
      </c>
      <c r="AC3458" s="82" t="s">
        <v>10147</v>
      </c>
      <c r="AD3458" s="77" t="s">
        <v>10184</v>
      </c>
      <c r="AE3458" s="80" t="str">
        <f>HYPERLINK("https://twitter.com/imdasmilhas/status/1640766869647884293")</f>
        <v>https://twitter.com/imdasmilhas/status/1640766869647884293</v>
      </c>
      <c r="AF3458" s="79">
        <v>45013.725462962961</v>
      </c>
      <c r="AG3458" s="85">
        <v>45013</v>
      </c>
      <c r="AH3458" s="82" t="s">
        <v>13452</v>
      </c>
      <c r="AI3458" s="77" t="b">
        <v>0</v>
      </c>
      <c r="AJ3458" s="77"/>
      <c r="AK3458" s="77"/>
      <c r="AL3458" s="77"/>
      <c r="AM3458" s="77"/>
      <c r="AN3458" s="77"/>
      <c r="AO3458" s="77"/>
      <c r="AP3458" s="77"/>
      <c r="AQ3458" s="77" t="s">
        <v>16426</v>
      </c>
      <c r="AR3458" s="77"/>
      <c r="AS3458" s="77"/>
      <c r="AT3458" s="77"/>
      <c r="AU3458" s="77"/>
      <c r="AV3458" s="80" t="str">
        <f>HYPERLINK("https://pbs.twimg.com/media/FsUsxVxXgAwDMFj.jpg")</f>
        <v>https://pbs.twimg.com/media/FsUsxVxXgAwDMFj.jpg</v>
      </c>
      <c r="AW3458" s="82" t="s">
        <v>20224</v>
      </c>
      <c r="AX3458" s="82" t="s">
        <v>20224</v>
      </c>
      <c r="AY3458" s="77"/>
      <c r="AZ3458" s="82" t="s">
        <v>20971</v>
      </c>
      <c r="BA3458" s="82" t="s">
        <v>20971</v>
      </c>
      <c r="BB3458" s="82" t="s">
        <v>20971</v>
      </c>
      <c r="BC3458" s="82" t="s">
        <v>20224</v>
      </c>
      <c r="BD3458" s="82" t="s">
        <v>21597</v>
      </c>
      <c r="BE3458" s="77"/>
      <c r="BF3458" s="77"/>
      <c r="BG3458" s="77"/>
      <c r="BH3458" s="77"/>
      <c r="BI3458" s="77"/>
    </row>
    <row r="3459" spans="1:61" x14ac:dyDescent="0.25">
      <c r="A3459" s="62" t="s">
        <v>1006</v>
      </c>
      <c r="B3459" s="62" t="s">
        <v>1006</v>
      </c>
      <c r="C3459" s="63"/>
      <c r="D3459" s="64"/>
      <c r="E3459" s="65"/>
      <c r="F3459" s="66"/>
      <c r="G3459" s="63"/>
      <c r="H3459" s="67"/>
      <c r="I3459" s="68"/>
      <c r="J3459" s="68"/>
      <c r="K3459" s="32"/>
      <c r="L3459" s="75">
        <v>3459</v>
      </c>
      <c r="M3459" s="75"/>
      <c r="N3459" s="70"/>
      <c r="O3459" s="77" t="s">
        <v>179</v>
      </c>
      <c r="P3459" s="79">
        <v>45012.823900462965</v>
      </c>
      <c r="Q3459" s="77" t="s">
        <v>4665</v>
      </c>
      <c r="R3459" s="77">
        <v>0</v>
      </c>
      <c r="S3459" s="77">
        <v>0</v>
      </c>
      <c r="T3459" s="77">
        <v>0</v>
      </c>
      <c r="U3459" s="77">
        <v>0</v>
      </c>
      <c r="V3459" s="77">
        <v>109</v>
      </c>
      <c r="W3459" s="82" t="s">
        <v>6740</v>
      </c>
      <c r="X3459" s="77"/>
      <c r="Y3459" s="77"/>
      <c r="Z3459" s="77"/>
      <c r="AA3459" s="77" t="s">
        <v>9784</v>
      </c>
      <c r="AB3459" s="77" t="s">
        <v>10130</v>
      </c>
      <c r="AC3459" s="82" t="s">
        <v>10147</v>
      </c>
      <c r="AD3459" s="77" t="s">
        <v>10184</v>
      </c>
      <c r="AE3459" s="80" t="str">
        <f>HYPERLINK("https://twitter.com/imdasmilhas/status/1640440155826692110")</f>
        <v>https://twitter.com/imdasmilhas/status/1640440155826692110</v>
      </c>
      <c r="AF3459" s="79">
        <v>45012.823900462965</v>
      </c>
      <c r="AG3459" s="85">
        <v>45012</v>
      </c>
      <c r="AH3459" s="82" t="s">
        <v>13453</v>
      </c>
      <c r="AI3459" s="77" t="b">
        <v>0</v>
      </c>
      <c r="AJ3459" s="77"/>
      <c r="AK3459" s="77"/>
      <c r="AL3459" s="77"/>
      <c r="AM3459" s="77"/>
      <c r="AN3459" s="77"/>
      <c r="AO3459" s="77"/>
      <c r="AP3459" s="77"/>
      <c r="AQ3459" s="77" t="s">
        <v>16427</v>
      </c>
      <c r="AR3459" s="77"/>
      <c r="AS3459" s="77"/>
      <c r="AT3459" s="77"/>
      <c r="AU3459" s="77"/>
      <c r="AV3459" s="80" t="str">
        <f>HYPERLINK("https://pbs.twimg.com/media/FsQDoMBWIAQeWQh.jpg")</f>
        <v>https://pbs.twimg.com/media/FsQDoMBWIAQeWQh.jpg</v>
      </c>
      <c r="AW3459" s="82" t="s">
        <v>20225</v>
      </c>
      <c r="AX3459" s="82" t="s">
        <v>20225</v>
      </c>
      <c r="AY3459" s="77"/>
      <c r="AZ3459" s="82" t="s">
        <v>20971</v>
      </c>
      <c r="BA3459" s="82" t="s">
        <v>20971</v>
      </c>
      <c r="BB3459" s="82" t="s">
        <v>20971</v>
      </c>
      <c r="BC3459" s="82" t="s">
        <v>20225</v>
      </c>
      <c r="BD3459" s="82" t="s">
        <v>21597</v>
      </c>
      <c r="BE3459" s="77"/>
      <c r="BF3459" s="77"/>
      <c r="BG3459" s="77"/>
      <c r="BH3459" s="77"/>
      <c r="BI3459" s="77"/>
    </row>
    <row r="3460" spans="1:61" x14ac:dyDescent="0.25">
      <c r="A3460" s="62" t="s">
        <v>1006</v>
      </c>
      <c r="B3460" s="62" t="s">
        <v>1006</v>
      </c>
      <c r="C3460" s="63"/>
      <c r="D3460" s="64"/>
      <c r="E3460" s="65"/>
      <c r="F3460" s="66"/>
      <c r="G3460" s="63"/>
      <c r="H3460" s="67"/>
      <c r="I3460" s="68"/>
      <c r="J3460" s="68"/>
      <c r="K3460" s="32"/>
      <c r="L3460" s="75">
        <v>3460</v>
      </c>
      <c r="M3460" s="75"/>
      <c r="N3460" s="70"/>
      <c r="O3460" s="77" t="s">
        <v>179</v>
      </c>
      <c r="P3460" s="79">
        <v>45012.815671296295</v>
      </c>
      <c r="Q3460" s="77" t="s">
        <v>4666</v>
      </c>
      <c r="R3460" s="77">
        <v>0</v>
      </c>
      <c r="S3460" s="77">
        <v>0</v>
      </c>
      <c r="T3460" s="77">
        <v>0</v>
      </c>
      <c r="U3460" s="77">
        <v>0</v>
      </c>
      <c r="V3460" s="77">
        <v>75</v>
      </c>
      <c r="W3460" s="82" t="s">
        <v>6740</v>
      </c>
      <c r="X3460" s="77"/>
      <c r="Y3460" s="77"/>
      <c r="Z3460" s="77"/>
      <c r="AA3460" s="77" t="s">
        <v>9785</v>
      </c>
      <c r="AB3460" s="77" t="s">
        <v>10130</v>
      </c>
      <c r="AC3460" s="82" t="s">
        <v>10147</v>
      </c>
      <c r="AD3460" s="77" t="s">
        <v>10184</v>
      </c>
      <c r="AE3460" s="80" t="str">
        <f>HYPERLINK("https://twitter.com/imdasmilhas/status/1640437173617844224")</f>
        <v>https://twitter.com/imdasmilhas/status/1640437173617844224</v>
      </c>
      <c r="AF3460" s="79">
        <v>45012.815671296295</v>
      </c>
      <c r="AG3460" s="85">
        <v>45012</v>
      </c>
      <c r="AH3460" s="82" t="s">
        <v>13454</v>
      </c>
      <c r="AI3460" s="77" t="b">
        <v>0</v>
      </c>
      <c r="AJ3460" s="77"/>
      <c r="AK3460" s="77"/>
      <c r="AL3460" s="77"/>
      <c r="AM3460" s="77"/>
      <c r="AN3460" s="77"/>
      <c r="AO3460" s="77"/>
      <c r="AP3460" s="77"/>
      <c r="AQ3460" s="77" t="s">
        <v>16428</v>
      </c>
      <c r="AR3460" s="77"/>
      <c r="AS3460" s="77"/>
      <c r="AT3460" s="77"/>
      <c r="AU3460" s="77"/>
      <c r="AV3460" s="80" t="str">
        <f>HYPERLINK("https://pbs.twimg.com/media/FsQA6mIWIBQ_K9h.jpg")</f>
        <v>https://pbs.twimg.com/media/FsQA6mIWIBQ_K9h.jpg</v>
      </c>
      <c r="AW3460" s="82" t="s">
        <v>20226</v>
      </c>
      <c r="AX3460" s="82" t="s">
        <v>20226</v>
      </c>
      <c r="AY3460" s="77"/>
      <c r="AZ3460" s="82" t="s">
        <v>20971</v>
      </c>
      <c r="BA3460" s="82" t="s">
        <v>20971</v>
      </c>
      <c r="BB3460" s="82" t="s">
        <v>20971</v>
      </c>
      <c r="BC3460" s="82" t="s">
        <v>20226</v>
      </c>
      <c r="BD3460" s="82" t="s">
        <v>21597</v>
      </c>
      <c r="BE3460" s="77"/>
      <c r="BF3460" s="77"/>
      <c r="BG3460" s="77"/>
      <c r="BH3460" s="77"/>
      <c r="BI3460" s="77"/>
    </row>
    <row r="3461" spans="1:61" x14ac:dyDescent="0.25">
      <c r="A3461" s="62" t="s">
        <v>1006</v>
      </c>
      <c r="B3461" s="62" t="s">
        <v>1006</v>
      </c>
      <c r="C3461" s="63"/>
      <c r="D3461" s="64"/>
      <c r="E3461" s="65"/>
      <c r="F3461" s="66"/>
      <c r="G3461" s="63"/>
      <c r="H3461" s="67"/>
      <c r="I3461" s="68"/>
      <c r="J3461" s="68"/>
      <c r="K3461" s="32"/>
      <c r="L3461" s="75">
        <v>3461</v>
      </c>
      <c r="M3461" s="75"/>
      <c r="N3461" s="70"/>
      <c r="O3461" s="77" t="s">
        <v>179</v>
      </c>
      <c r="P3461" s="79">
        <v>45012.815023148149</v>
      </c>
      <c r="Q3461" s="77" t="s">
        <v>4667</v>
      </c>
      <c r="R3461" s="77">
        <v>0</v>
      </c>
      <c r="S3461" s="77">
        <v>0</v>
      </c>
      <c r="T3461" s="77">
        <v>0</v>
      </c>
      <c r="U3461" s="77">
        <v>0</v>
      </c>
      <c r="V3461" s="77">
        <v>95</v>
      </c>
      <c r="W3461" s="82" t="s">
        <v>6740</v>
      </c>
      <c r="X3461" s="77"/>
      <c r="Y3461" s="77"/>
      <c r="Z3461" s="77"/>
      <c r="AA3461" s="77" t="s">
        <v>9786</v>
      </c>
      <c r="AB3461" s="77" t="s">
        <v>10130</v>
      </c>
      <c r="AC3461" s="82" t="s">
        <v>10147</v>
      </c>
      <c r="AD3461" s="77" t="s">
        <v>10184</v>
      </c>
      <c r="AE3461" s="80" t="str">
        <f>HYPERLINK("https://twitter.com/imdasmilhas/status/1640436939101810688")</f>
        <v>https://twitter.com/imdasmilhas/status/1640436939101810688</v>
      </c>
      <c r="AF3461" s="79">
        <v>45012.815023148149</v>
      </c>
      <c r="AG3461" s="85">
        <v>45012</v>
      </c>
      <c r="AH3461" s="82" t="s">
        <v>13455</v>
      </c>
      <c r="AI3461" s="77" t="b">
        <v>0</v>
      </c>
      <c r="AJ3461" s="77"/>
      <c r="AK3461" s="77"/>
      <c r="AL3461" s="77"/>
      <c r="AM3461" s="77"/>
      <c r="AN3461" s="77"/>
      <c r="AO3461" s="77"/>
      <c r="AP3461" s="77"/>
      <c r="AQ3461" s="77" t="s">
        <v>16429</v>
      </c>
      <c r="AR3461" s="77"/>
      <c r="AS3461" s="77"/>
      <c r="AT3461" s="77"/>
      <c r="AU3461" s="77"/>
      <c r="AV3461" s="80" t="str">
        <f>HYPERLINK("https://pbs.twimg.com/media/FsQAs79WAAEDEk5.jpg")</f>
        <v>https://pbs.twimg.com/media/FsQAs79WAAEDEk5.jpg</v>
      </c>
      <c r="AW3461" s="82" t="s">
        <v>20227</v>
      </c>
      <c r="AX3461" s="82" t="s">
        <v>20227</v>
      </c>
      <c r="AY3461" s="77"/>
      <c r="AZ3461" s="82" t="s">
        <v>20971</v>
      </c>
      <c r="BA3461" s="82" t="s">
        <v>20971</v>
      </c>
      <c r="BB3461" s="82" t="s">
        <v>20971</v>
      </c>
      <c r="BC3461" s="82" t="s">
        <v>20227</v>
      </c>
      <c r="BD3461" s="82" t="s">
        <v>21597</v>
      </c>
      <c r="BE3461" s="77"/>
      <c r="BF3461" s="77"/>
      <c r="BG3461" s="77"/>
      <c r="BH3461" s="77"/>
      <c r="BI3461" s="77"/>
    </row>
    <row r="3462" spans="1:61" x14ac:dyDescent="0.25">
      <c r="A3462" s="62" t="s">
        <v>1006</v>
      </c>
      <c r="B3462" s="62" t="s">
        <v>1006</v>
      </c>
      <c r="C3462" s="63"/>
      <c r="D3462" s="64"/>
      <c r="E3462" s="65"/>
      <c r="F3462" s="66"/>
      <c r="G3462" s="63"/>
      <c r="H3462" s="67"/>
      <c r="I3462" s="68"/>
      <c r="J3462" s="68"/>
      <c r="K3462" s="32"/>
      <c r="L3462" s="75">
        <v>3462</v>
      </c>
      <c r="M3462" s="75"/>
      <c r="N3462" s="70"/>
      <c r="O3462" s="77" t="s">
        <v>179</v>
      </c>
      <c r="P3462" s="79">
        <v>45012.81113425926</v>
      </c>
      <c r="Q3462" s="77" t="s">
        <v>4668</v>
      </c>
      <c r="R3462" s="77">
        <v>1</v>
      </c>
      <c r="S3462" s="77">
        <v>0</v>
      </c>
      <c r="T3462" s="77">
        <v>0</v>
      </c>
      <c r="U3462" s="77">
        <v>0</v>
      </c>
      <c r="V3462" s="77">
        <v>76</v>
      </c>
      <c r="W3462" s="82" t="s">
        <v>6740</v>
      </c>
      <c r="X3462" s="77"/>
      <c r="Y3462" s="77"/>
      <c r="Z3462" s="77"/>
      <c r="AA3462" s="77" t="s">
        <v>9787</v>
      </c>
      <c r="AB3462" s="77" t="s">
        <v>10130</v>
      </c>
      <c r="AC3462" s="82" t="s">
        <v>10147</v>
      </c>
      <c r="AD3462" s="77" t="s">
        <v>10184</v>
      </c>
      <c r="AE3462" s="80" t="str">
        <f>HYPERLINK("https://twitter.com/imdasmilhas/status/1640435526770520065")</f>
        <v>https://twitter.com/imdasmilhas/status/1640435526770520065</v>
      </c>
      <c r="AF3462" s="79">
        <v>45012.81113425926</v>
      </c>
      <c r="AG3462" s="85">
        <v>45012</v>
      </c>
      <c r="AH3462" s="82" t="s">
        <v>13456</v>
      </c>
      <c r="AI3462" s="77" t="b">
        <v>0</v>
      </c>
      <c r="AJ3462" s="77"/>
      <c r="AK3462" s="77"/>
      <c r="AL3462" s="77"/>
      <c r="AM3462" s="77"/>
      <c r="AN3462" s="77"/>
      <c r="AO3462" s="77"/>
      <c r="AP3462" s="77"/>
      <c r="AQ3462" s="77" t="s">
        <v>16430</v>
      </c>
      <c r="AR3462" s="77"/>
      <c r="AS3462" s="77"/>
      <c r="AT3462" s="77"/>
      <c r="AU3462" s="77"/>
      <c r="AV3462" s="80" t="str">
        <f>HYPERLINK("https://pbs.twimg.com/media/FsP_auAX0AEGSoG.jpg")</f>
        <v>https://pbs.twimg.com/media/FsP_auAX0AEGSoG.jpg</v>
      </c>
      <c r="AW3462" s="82" t="s">
        <v>20228</v>
      </c>
      <c r="AX3462" s="82" t="s">
        <v>20228</v>
      </c>
      <c r="AY3462" s="77"/>
      <c r="AZ3462" s="82" t="s">
        <v>20971</v>
      </c>
      <c r="BA3462" s="82" t="s">
        <v>20971</v>
      </c>
      <c r="BB3462" s="82" t="s">
        <v>20971</v>
      </c>
      <c r="BC3462" s="82" t="s">
        <v>20228</v>
      </c>
      <c r="BD3462" s="82" t="s">
        <v>21597</v>
      </c>
      <c r="BE3462" s="77"/>
      <c r="BF3462" s="77"/>
      <c r="BG3462" s="77"/>
      <c r="BH3462" s="77"/>
      <c r="BI3462" s="77"/>
    </row>
    <row r="3463" spans="1:61" x14ac:dyDescent="0.25">
      <c r="A3463" s="62" t="s">
        <v>1006</v>
      </c>
      <c r="B3463" s="62" t="s">
        <v>1006</v>
      </c>
      <c r="C3463" s="63"/>
      <c r="D3463" s="64"/>
      <c r="E3463" s="65"/>
      <c r="F3463" s="66"/>
      <c r="G3463" s="63"/>
      <c r="H3463" s="67"/>
      <c r="I3463" s="68"/>
      <c r="J3463" s="68"/>
      <c r="K3463" s="32"/>
      <c r="L3463" s="75">
        <v>3463</v>
      </c>
      <c r="M3463" s="75"/>
      <c r="N3463" s="70"/>
      <c r="O3463" s="77" t="s">
        <v>179</v>
      </c>
      <c r="P3463" s="79">
        <v>45012.810497685183</v>
      </c>
      <c r="Q3463" s="77" t="s">
        <v>4669</v>
      </c>
      <c r="R3463" s="77">
        <v>0</v>
      </c>
      <c r="S3463" s="77">
        <v>0</v>
      </c>
      <c r="T3463" s="77">
        <v>0</v>
      </c>
      <c r="U3463" s="77">
        <v>0</v>
      </c>
      <c r="V3463" s="77">
        <v>117</v>
      </c>
      <c r="W3463" s="82" t="s">
        <v>6740</v>
      </c>
      <c r="X3463" s="77"/>
      <c r="Y3463" s="77"/>
      <c r="Z3463" s="77"/>
      <c r="AA3463" s="77" t="s">
        <v>9788</v>
      </c>
      <c r="AB3463" s="77" t="s">
        <v>10130</v>
      </c>
      <c r="AC3463" s="82" t="s">
        <v>10147</v>
      </c>
      <c r="AD3463" s="77" t="s">
        <v>10184</v>
      </c>
      <c r="AE3463" s="80" t="str">
        <f>HYPERLINK("https://twitter.com/imdasmilhas/status/1640435297866358798")</f>
        <v>https://twitter.com/imdasmilhas/status/1640435297866358798</v>
      </c>
      <c r="AF3463" s="79">
        <v>45012.810497685183</v>
      </c>
      <c r="AG3463" s="85">
        <v>45012</v>
      </c>
      <c r="AH3463" s="82" t="s">
        <v>13457</v>
      </c>
      <c r="AI3463" s="77" t="b">
        <v>0</v>
      </c>
      <c r="AJ3463" s="77"/>
      <c r="AK3463" s="77"/>
      <c r="AL3463" s="77"/>
      <c r="AM3463" s="77"/>
      <c r="AN3463" s="77"/>
      <c r="AO3463" s="77"/>
      <c r="AP3463" s="77"/>
      <c r="AQ3463" s="77" t="s">
        <v>16431</v>
      </c>
      <c r="AR3463" s="77"/>
      <c r="AS3463" s="77"/>
      <c r="AT3463" s="77"/>
      <c r="AU3463" s="77"/>
      <c r="AV3463" s="80" t="str">
        <f>HYPERLINK("https://pbs.twimg.com/media/FsP_Na0WAAAYOke.jpg")</f>
        <v>https://pbs.twimg.com/media/FsP_Na0WAAAYOke.jpg</v>
      </c>
      <c r="AW3463" s="82" t="s">
        <v>20229</v>
      </c>
      <c r="AX3463" s="82" t="s">
        <v>20229</v>
      </c>
      <c r="AY3463" s="77"/>
      <c r="AZ3463" s="82" t="s">
        <v>20971</v>
      </c>
      <c r="BA3463" s="82" t="s">
        <v>20971</v>
      </c>
      <c r="BB3463" s="82" t="s">
        <v>20971</v>
      </c>
      <c r="BC3463" s="82" t="s">
        <v>20229</v>
      </c>
      <c r="BD3463" s="82" t="s">
        <v>21597</v>
      </c>
      <c r="BE3463" s="77"/>
      <c r="BF3463" s="77"/>
      <c r="BG3463" s="77"/>
      <c r="BH3463" s="77"/>
      <c r="BI3463" s="77"/>
    </row>
    <row r="3464" spans="1:61" x14ac:dyDescent="0.25">
      <c r="A3464" s="62" t="s">
        <v>1006</v>
      </c>
      <c r="B3464" s="62" t="s">
        <v>1006</v>
      </c>
      <c r="C3464" s="63"/>
      <c r="D3464" s="64"/>
      <c r="E3464" s="65"/>
      <c r="F3464" s="66"/>
      <c r="G3464" s="63"/>
      <c r="H3464" s="67"/>
      <c r="I3464" s="68"/>
      <c r="J3464" s="68"/>
      <c r="K3464" s="32"/>
      <c r="L3464" s="75">
        <v>3464</v>
      </c>
      <c r="M3464" s="75"/>
      <c r="N3464" s="70"/>
      <c r="O3464" s="77" t="s">
        <v>179</v>
      </c>
      <c r="P3464" s="79">
        <v>45012.810219907406</v>
      </c>
      <c r="Q3464" s="77" t="s">
        <v>4670</v>
      </c>
      <c r="R3464" s="77">
        <v>0</v>
      </c>
      <c r="S3464" s="77">
        <v>0</v>
      </c>
      <c r="T3464" s="77">
        <v>0</v>
      </c>
      <c r="U3464" s="77">
        <v>0</v>
      </c>
      <c r="V3464" s="77">
        <v>57</v>
      </c>
      <c r="W3464" s="82" t="s">
        <v>6740</v>
      </c>
      <c r="X3464" s="77"/>
      <c r="Y3464" s="77"/>
      <c r="Z3464" s="77"/>
      <c r="AA3464" s="77" t="s">
        <v>9789</v>
      </c>
      <c r="AB3464" s="77" t="s">
        <v>10130</v>
      </c>
      <c r="AC3464" s="82" t="s">
        <v>10147</v>
      </c>
      <c r="AD3464" s="77" t="s">
        <v>10184</v>
      </c>
      <c r="AE3464" s="80" t="str">
        <f>HYPERLINK("https://twitter.com/imdasmilhas/status/1640435196682969099")</f>
        <v>https://twitter.com/imdasmilhas/status/1640435196682969099</v>
      </c>
      <c r="AF3464" s="79">
        <v>45012.810219907406</v>
      </c>
      <c r="AG3464" s="85">
        <v>45012</v>
      </c>
      <c r="AH3464" s="82" t="s">
        <v>13458</v>
      </c>
      <c r="AI3464" s="77" t="b">
        <v>0</v>
      </c>
      <c r="AJ3464" s="77"/>
      <c r="AK3464" s="77"/>
      <c r="AL3464" s="77"/>
      <c r="AM3464" s="77"/>
      <c r="AN3464" s="77"/>
      <c r="AO3464" s="77"/>
      <c r="AP3464" s="77"/>
      <c r="AQ3464" s="77" t="s">
        <v>16432</v>
      </c>
      <c r="AR3464" s="77"/>
      <c r="AS3464" s="77"/>
      <c r="AT3464" s="77"/>
      <c r="AU3464" s="77"/>
      <c r="AV3464" s="80" t="str">
        <f>HYPERLINK("https://pbs.twimg.com/media/FsP_HhdWIA09ER4.jpg")</f>
        <v>https://pbs.twimg.com/media/FsP_HhdWIA09ER4.jpg</v>
      </c>
      <c r="AW3464" s="82" t="s">
        <v>20230</v>
      </c>
      <c r="AX3464" s="82" t="s">
        <v>20230</v>
      </c>
      <c r="AY3464" s="77"/>
      <c r="AZ3464" s="82" t="s">
        <v>20971</v>
      </c>
      <c r="BA3464" s="82" t="s">
        <v>20971</v>
      </c>
      <c r="BB3464" s="82" t="s">
        <v>20971</v>
      </c>
      <c r="BC3464" s="82" t="s">
        <v>20230</v>
      </c>
      <c r="BD3464" s="82" t="s">
        <v>21597</v>
      </c>
      <c r="BE3464" s="77"/>
      <c r="BF3464" s="77"/>
      <c r="BG3464" s="77"/>
      <c r="BH3464" s="77"/>
      <c r="BI3464" s="77"/>
    </row>
    <row r="3465" spans="1:61" x14ac:dyDescent="0.25">
      <c r="A3465" s="62" t="s">
        <v>1006</v>
      </c>
      <c r="B3465" s="62" t="s">
        <v>1006</v>
      </c>
      <c r="C3465" s="63"/>
      <c r="D3465" s="64"/>
      <c r="E3465" s="65"/>
      <c r="F3465" s="66"/>
      <c r="G3465" s="63"/>
      <c r="H3465" s="67"/>
      <c r="I3465" s="68"/>
      <c r="J3465" s="68"/>
      <c r="K3465" s="32"/>
      <c r="L3465" s="75">
        <v>3465</v>
      </c>
      <c r="M3465" s="75"/>
      <c r="N3465" s="70"/>
      <c r="O3465" s="77" t="s">
        <v>179</v>
      </c>
      <c r="P3465" s="79">
        <v>45012.809930555559</v>
      </c>
      <c r="Q3465" s="77" t="s">
        <v>4671</v>
      </c>
      <c r="R3465" s="77">
        <v>0</v>
      </c>
      <c r="S3465" s="77">
        <v>0</v>
      </c>
      <c r="T3465" s="77">
        <v>0</v>
      </c>
      <c r="U3465" s="77">
        <v>0</v>
      </c>
      <c r="V3465" s="77">
        <v>70</v>
      </c>
      <c r="W3465" s="82" t="s">
        <v>6740</v>
      </c>
      <c r="X3465" s="77"/>
      <c r="Y3465" s="77"/>
      <c r="Z3465" s="77"/>
      <c r="AA3465" s="77" t="s">
        <v>9790</v>
      </c>
      <c r="AB3465" s="77" t="s">
        <v>10130</v>
      </c>
      <c r="AC3465" s="82" t="s">
        <v>10147</v>
      </c>
      <c r="AD3465" s="77" t="s">
        <v>10184</v>
      </c>
      <c r="AE3465" s="80" t="str">
        <f>HYPERLINK("https://twitter.com/imdasmilhas/status/1640435091477262336")</f>
        <v>https://twitter.com/imdasmilhas/status/1640435091477262336</v>
      </c>
      <c r="AF3465" s="79">
        <v>45012.809930555559</v>
      </c>
      <c r="AG3465" s="85">
        <v>45012</v>
      </c>
      <c r="AH3465" s="82" t="s">
        <v>13459</v>
      </c>
      <c r="AI3465" s="77" t="b">
        <v>0</v>
      </c>
      <c r="AJ3465" s="77"/>
      <c r="AK3465" s="77"/>
      <c r="AL3465" s="77"/>
      <c r="AM3465" s="77"/>
      <c r="AN3465" s="77"/>
      <c r="AO3465" s="77"/>
      <c r="AP3465" s="77"/>
      <c r="AQ3465" s="77" t="s">
        <v>16433</v>
      </c>
      <c r="AR3465" s="77"/>
      <c r="AS3465" s="77"/>
      <c r="AT3465" s="77"/>
      <c r="AU3465" s="77"/>
      <c r="AV3465" s="80" t="str">
        <f>HYPERLINK("https://pbs.twimg.com/media/FsP_BYyWcAEHXZs.jpg")</f>
        <v>https://pbs.twimg.com/media/FsP_BYyWcAEHXZs.jpg</v>
      </c>
      <c r="AW3465" s="82" t="s">
        <v>20231</v>
      </c>
      <c r="AX3465" s="82" t="s">
        <v>20231</v>
      </c>
      <c r="AY3465" s="77"/>
      <c r="AZ3465" s="82" t="s">
        <v>20971</v>
      </c>
      <c r="BA3465" s="82" t="s">
        <v>20971</v>
      </c>
      <c r="BB3465" s="82" t="s">
        <v>20971</v>
      </c>
      <c r="BC3465" s="82" t="s">
        <v>20231</v>
      </c>
      <c r="BD3465" s="82" t="s">
        <v>21597</v>
      </c>
      <c r="BE3465" s="77"/>
      <c r="BF3465" s="77"/>
      <c r="BG3465" s="77"/>
      <c r="BH3465" s="77"/>
      <c r="BI3465" s="77"/>
    </row>
    <row r="3466" spans="1:61" x14ac:dyDescent="0.25">
      <c r="A3466" s="62" t="s">
        <v>1007</v>
      </c>
      <c r="B3466" s="62" t="s">
        <v>1007</v>
      </c>
      <c r="C3466" s="63"/>
      <c r="D3466" s="64"/>
      <c r="E3466" s="65"/>
      <c r="F3466" s="66"/>
      <c r="G3466" s="63"/>
      <c r="H3466" s="67"/>
      <c r="I3466" s="68"/>
      <c r="J3466" s="68"/>
      <c r="K3466" s="32"/>
      <c r="L3466" s="75">
        <v>3466</v>
      </c>
      <c r="M3466" s="75"/>
      <c r="N3466" s="70"/>
      <c r="O3466" s="77" t="s">
        <v>179</v>
      </c>
      <c r="P3466" s="79">
        <v>45155.613645833335</v>
      </c>
      <c r="Q3466" s="77" t="s">
        <v>4672</v>
      </c>
      <c r="R3466" s="77">
        <v>0</v>
      </c>
      <c r="S3466" s="77">
        <v>0</v>
      </c>
      <c r="T3466" s="77">
        <v>0</v>
      </c>
      <c r="U3466" s="77">
        <v>0</v>
      </c>
      <c r="V3466" s="77">
        <v>91</v>
      </c>
      <c r="W3466" s="82" t="s">
        <v>6755</v>
      </c>
      <c r="X3466" s="80" t="str">
        <f>HYPERLINK("https://www.jogos365.love/?id=73219930")</f>
        <v>https://www.jogos365.love/?id=73219930</v>
      </c>
      <c r="Y3466" s="77" t="s">
        <v>7456</v>
      </c>
      <c r="Z3466" s="77"/>
      <c r="AA3466" s="77" t="s">
        <v>9791</v>
      </c>
      <c r="AB3466" s="77" t="s">
        <v>10142</v>
      </c>
      <c r="AC3466" s="82" t="s">
        <v>10144</v>
      </c>
      <c r="AD3466" s="77" t="s">
        <v>10184</v>
      </c>
      <c r="AE3466" s="80" t="str">
        <f>HYPERLINK("https://twitter.com/glauvendramini/status/1692185425274638472")</f>
        <v>https://twitter.com/glauvendramini/status/1692185425274638472</v>
      </c>
      <c r="AF3466" s="79">
        <v>45155.613645833335</v>
      </c>
      <c r="AG3466" s="85">
        <v>45155</v>
      </c>
      <c r="AH3466" s="82" t="s">
        <v>13460</v>
      </c>
      <c r="AI3466" s="77" t="b">
        <v>0</v>
      </c>
      <c r="AJ3466" s="77"/>
      <c r="AK3466" s="77"/>
      <c r="AL3466" s="77"/>
      <c r="AM3466" s="77"/>
      <c r="AN3466" s="77"/>
      <c r="AO3466" s="77"/>
      <c r="AP3466" s="77"/>
      <c r="AQ3466" s="77" t="s">
        <v>16434</v>
      </c>
      <c r="AR3466" s="77">
        <v>12932</v>
      </c>
      <c r="AS3466" s="77"/>
      <c r="AT3466" s="77"/>
      <c r="AU3466" s="77"/>
      <c r="AV3466" s="80" t="str">
        <f>HYPERLINK("https://pbs.twimg.com/ext_tw_video_thumb/1692185386884145152/pu/img/4RTgbfpW-YdVEKgO.jpg")</f>
        <v>https://pbs.twimg.com/ext_tw_video_thumb/1692185386884145152/pu/img/4RTgbfpW-YdVEKgO.jpg</v>
      </c>
      <c r="AW3466" s="82" t="s">
        <v>20232</v>
      </c>
      <c r="AX3466" s="82" t="s">
        <v>20232</v>
      </c>
      <c r="AY3466" s="77"/>
      <c r="AZ3466" s="82" t="s">
        <v>20971</v>
      </c>
      <c r="BA3466" s="82" t="s">
        <v>20971</v>
      </c>
      <c r="BB3466" s="82" t="s">
        <v>20971</v>
      </c>
      <c r="BC3466" s="82" t="s">
        <v>20232</v>
      </c>
      <c r="BD3466" s="82" t="s">
        <v>21598</v>
      </c>
      <c r="BE3466" s="77"/>
      <c r="BF3466" s="77"/>
      <c r="BG3466" s="77"/>
      <c r="BH3466" s="77"/>
      <c r="BI3466" s="77"/>
    </row>
    <row r="3467" spans="1:61" x14ac:dyDescent="0.25">
      <c r="A3467" s="62" t="s">
        <v>1008</v>
      </c>
      <c r="B3467" s="62" t="s">
        <v>1008</v>
      </c>
      <c r="C3467" s="63"/>
      <c r="D3467" s="64"/>
      <c r="E3467" s="65"/>
      <c r="F3467" s="66"/>
      <c r="G3467" s="63"/>
      <c r="H3467" s="67"/>
      <c r="I3467" s="68"/>
      <c r="J3467" s="68"/>
      <c r="K3467" s="32"/>
      <c r="L3467" s="75">
        <v>3467</v>
      </c>
      <c r="M3467" s="75"/>
      <c r="N3467" s="70"/>
      <c r="O3467" s="77" t="s">
        <v>179</v>
      </c>
      <c r="P3467" s="79">
        <v>45195.765023148146</v>
      </c>
      <c r="Q3467" s="77" t="s">
        <v>4673</v>
      </c>
      <c r="R3467" s="77">
        <v>0</v>
      </c>
      <c r="S3467" s="77">
        <v>0</v>
      </c>
      <c r="T3467" s="77">
        <v>0</v>
      </c>
      <c r="U3467" s="77">
        <v>0</v>
      </c>
      <c r="V3467" s="77">
        <v>2</v>
      </c>
      <c r="W3467" s="82" t="s">
        <v>6756</v>
      </c>
      <c r="X3467" s="77"/>
      <c r="Y3467" s="77"/>
      <c r="Z3467" s="77"/>
      <c r="AA3467" s="77" t="s">
        <v>9792</v>
      </c>
      <c r="AB3467" s="77" t="s">
        <v>10130</v>
      </c>
      <c r="AC3467" s="82" t="s">
        <v>10144</v>
      </c>
      <c r="AD3467" s="77" t="s">
        <v>10183</v>
      </c>
      <c r="AE3467" s="80" t="str">
        <f>HYPERLINK("https://twitter.com/dolarbusinesia/status/1706735798190477329")</f>
        <v>https://twitter.com/dolarbusinesia/status/1706735798190477329</v>
      </c>
      <c r="AF3467" s="79">
        <v>45195.765023148146</v>
      </c>
      <c r="AG3467" s="85">
        <v>45195</v>
      </c>
      <c r="AH3467" s="82" t="s">
        <v>13461</v>
      </c>
      <c r="AI3467" s="77" t="b">
        <v>0</v>
      </c>
      <c r="AJ3467" s="77"/>
      <c r="AK3467" s="77"/>
      <c r="AL3467" s="77"/>
      <c r="AM3467" s="77"/>
      <c r="AN3467" s="77"/>
      <c r="AO3467" s="77"/>
      <c r="AP3467" s="77"/>
      <c r="AQ3467" s="77" t="s">
        <v>16435</v>
      </c>
      <c r="AR3467" s="77"/>
      <c r="AS3467" s="77"/>
      <c r="AT3467" s="77"/>
      <c r="AU3467" s="77"/>
      <c r="AV3467" s="80" t="str">
        <f>HYPERLINK("https://pbs.twimg.com/media/F6-LKaXWgAAqd0d.jpg")</f>
        <v>https://pbs.twimg.com/media/F6-LKaXWgAAqd0d.jpg</v>
      </c>
      <c r="AW3467" s="82" t="s">
        <v>20233</v>
      </c>
      <c r="AX3467" s="82" t="s">
        <v>20233</v>
      </c>
      <c r="AY3467" s="77"/>
      <c r="AZ3467" s="82" t="s">
        <v>20971</v>
      </c>
      <c r="BA3467" s="82" t="s">
        <v>20971</v>
      </c>
      <c r="BB3467" s="82" t="s">
        <v>20971</v>
      </c>
      <c r="BC3467" s="82" t="s">
        <v>20233</v>
      </c>
      <c r="BD3467" s="82" t="s">
        <v>21599</v>
      </c>
      <c r="BE3467" s="77"/>
      <c r="BF3467" s="77"/>
      <c r="BG3467" s="77"/>
      <c r="BH3467" s="77"/>
      <c r="BI3467" s="77"/>
    </row>
    <row r="3468" spans="1:61" x14ac:dyDescent="0.25">
      <c r="A3468" s="62" t="s">
        <v>1009</v>
      </c>
      <c r="B3468" s="62" t="s">
        <v>1009</v>
      </c>
      <c r="C3468" s="63"/>
      <c r="D3468" s="64"/>
      <c r="E3468" s="65"/>
      <c r="F3468" s="66"/>
      <c r="G3468" s="63"/>
      <c r="H3468" s="67"/>
      <c r="I3468" s="68"/>
      <c r="J3468" s="68"/>
      <c r="K3468" s="32"/>
      <c r="L3468" s="75">
        <v>3468</v>
      </c>
      <c r="M3468" s="75"/>
      <c r="N3468" s="70"/>
      <c r="O3468" s="77" t="s">
        <v>179</v>
      </c>
      <c r="P3468" s="79">
        <v>45067.011134259257</v>
      </c>
      <c r="Q3468" s="77" t="s">
        <v>4674</v>
      </c>
      <c r="R3468" s="77">
        <v>0</v>
      </c>
      <c r="S3468" s="77">
        <v>0</v>
      </c>
      <c r="T3468" s="77">
        <v>0</v>
      </c>
      <c r="U3468" s="77">
        <v>0</v>
      </c>
      <c r="V3468" s="77">
        <v>8</v>
      </c>
      <c r="W3468" s="82" t="s">
        <v>6757</v>
      </c>
      <c r="X3468" s="80" t="str">
        <f>HYPERLINK("https://go.hotmart.com/I83074820I")</f>
        <v>https://go.hotmart.com/I83074820I</v>
      </c>
      <c r="Y3468" s="77" t="s">
        <v>7251</v>
      </c>
      <c r="Z3468" s="77"/>
      <c r="AA3468" s="77" t="s">
        <v>9793</v>
      </c>
      <c r="AB3468" s="77" t="s">
        <v>10130</v>
      </c>
      <c r="AC3468" s="82" t="s">
        <v>10144</v>
      </c>
      <c r="AD3468" s="77" t="s">
        <v>10184</v>
      </c>
      <c r="AE3468" s="80" t="str">
        <f>HYPERLINK("https://twitter.com/p23matheus/status/1660076950721888257")</f>
        <v>https://twitter.com/p23matheus/status/1660076950721888257</v>
      </c>
      <c r="AF3468" s="79">
        <v>45067.011134259257</v>
      </c>
      <c r="AG3468" s="85">
        <v>45067</v>
      </c>
      <c r="AH3468" s="82" t="s">
        <v>13462</v>
      </c>
      <c r="AI3468" s="77" t="b">
        <v>0</v>
      </c>
      <c r="AJ3468" s="77" t="s">
        <v>14007</v>
      </c>
      <c r="AK3468" s="77" t="s">
        <v>14033</v>
      </c>
      <c r="AL3468" s="77" t="s">
        <v>14035</v>
      </c>
      <c r="AM3468" s="77" t="s">
        <v>14049</v>
      </c>
      <c r="AN3468" s="77" t="s">
        <v>14086</v>
      </c>
      <c r="AO3468" s="77" t="s">
        <v>14124</v>
      </c>
      <c r="AP3468" s="77" t="s">
        <v>14149</v>
      </c>
      <c r="AQ3468" s="77" t="s">
        <v>16436</v>
      </c>
      <c r="AR3468" s="77"/>
      <c r="AS3468" s="77"/>
      <c r="AT3468" s="77"/>
      <c r="AU3468" s="77"/>
      <c r="AV3468" s="80" t="str">
        <f>HYPERLINK("https://pbs.twimg.com/media/FwnHLPfWcAILGNR.jpg")</f>
        <v>https://pbs.twimg.com/media/FwnHLPfWcAILGNR.jpg</v>
      </c>
      <c r="AW3468" s="82" t="s">
        <v>20234</v>
      </c>
      <c r="AX3468" s="82" t="s">
        <v>20234</v>
      </c>
      <c r="AY3468" s="77"/>
      <c r="AZ3468" s="82" t="s">
        <v>20971</v>
      </c>
      <c r="BA3468" s="82" t="s">
        <v>20971</v>
      </c>
      <c r="BB3468" s="82" t="s">
        <v>20971</v>
      </c>
      <c r="BC3468" s="82" t="s">
        <v>20234</v>
      </c>
      <c r="BD3468" s="82" t="s">
        <v>21600</v>
      </c>
      <c r="BE3468" s="77"/>
      <c r="BF3468" s="77"/>
      <c r="BG3468" s="77"/>
      <c r="BH3468" s="77"/>
      <c r="BI3468" s="77"/>
    </row>
    <row r="3469" spans="1:61" x14ac:dyDescent="0.25">
      <c r="A3469" s="62" t="s">
        <v>1010</v>
      </c>
      <c r="B3469" s="62" t="s">
        <v>1010</v>
      </c>
      <c r="C3469" s="63"/>
      <c r="D3469" s="64"/>
      <c r="E3469" s="65"/>
      <c r="F3469" s="66"/>
      <c r="G3469" s="63"/>
      <c r="H3469" s="67"/>
      <c r="I3469" s="68"/>
      <c r="J3469" s="68"/>
      <c r="K3469" s="32"/>
      <c r="L3469" s="75">
        <v>3469</v>
      </c>
      <c r="M3469" s="75"/>
      <c r="N3469" s="70"/>
      <c r="O3469" s="77" t="s">
        <v>179</v>
      </c>
      <c r="P3469" s="79">
        <v>44995.719849537039</v>
      </c>
      <c r="Q3469" s="77" t="s">
        <v>4675</v>
      </c>
      <c r="R3469" s="77">
        <v>0</v>
      </c>
      <c r="S3469" s="77">
        <v>0</v>
      </c>
      <c r="T3469" s="77">
        <v>0</v>
      </c>
      <c r="U3469" s="77">
        <v>0</v>
      </c>
      <c r="V3469" s="77">
        <v>24</v>
      </c>
      <c r="W3469" s="82" t="s">
        <v>6758</v>
      </c>
      <c r="X3469" s="80" t="str">
        <f>HYPERLINK("https://go.hotmart.com/I64781135K")</f>
        <v>https://go.hotmart.com/I64781135K</v>
      </c>
      <c r="Y3469" s="77" t="s">
        <v>7251</v>
      </c>
      <c r="Z3469" s="77"/>
      <c r="AA3469" s="77" t="s">
        <v>9794</v>
      </c>
      <c r="AB3469" s="77" t="s">
        <v>10130</v>
      </c>
      <c r="AC3469" s="82" t="s">
        <v>10144</v>
      </c>
      <c r="AD3469" s="77" t="s">
        <v>10184</v>
      </c>
      <c r="AE3469" s="80" t="str">
        <f>HYPERLINK("https://twitter.com/tamires89333921/status/1634241856031555584")</f>
        <v>https://twitter.com/tamires89333921/status/1634241856031555584</v>
      </c>
      <c r="AF3469" s="79">
        <v>44995.719849537039</v>
      </c>
      <c r="AG3469" s="85">
        <v>44995</v>
      </c>
      <c r="AH3469" s="82" t="s">
        <v>13463</v>
      </c>
      <c r="AI3469" s="77" t="b">
        <v>0</v>
      </c>
      <c r="AJ3469" s="77"/>
      <c r="AK3469" s="77"/>
      <c r="AL3469" s="77"/>
      <c r="AM3469" s="77"/>
      <c r="AN3469" s="77"/>
      <c r="AO3469" s="77"/>
      <c r="AP3469" s="77"/>
      <c r="AQ3469" s="77" t="s">
        <v>16437</v>
      </c>
      <c r="AR3469" s="77"/>
      <c r="AS3469" s="77"/>
      <c r="AT3469" s="77"/>
      <c r="AU3469" s="77"/>
      <c r="AV3469" s="80" t="str">
        <f>HYPERLINK("https://pbs.twimg.com/media/Fq3-ToEWwAw0zX9.jpg")</f>
        <v>https://pbs.twimg.com/media/Fq3-ToEWwAw0zX9.jpg</v>
      </c>
      <c r="AW3469" s="82" t="s">
        <v>20235</v>
      </c>
      <c r="AX3469" s="82" t="s">
        <v>20235</v>
      </c>
      <c r="AY3469" s="77"/>
      <c r="AZ3469" s="82" t="s">
        <v>20971</v>
      </c>
      <c r="BA3469" s="82" t="s">
        <v>20971</v>
      </c>
      <c r="BB3469" s="82" t="s">
        <v>20971</v>
      </c>
      <c r="BC3469" s="82" t="s">
        <v>20235</v>
      </c>
      <c r="BD3469" s="82" t="s">
        <v>21601</v>
      </c>
      <c r="BE3469" s="77"/>
      <c r="BF3469" s="77"/>
      <c r="BG3469" s="77"/>
      <c r="BH3469" s="77"/>
      <c r="BI3469" s="77"/>
    </row>
    <row r="3470" spans="1:61" x14ac:dyDescent="0.25">
      <c r="A3470" s="62" t="s">
        <v>1010</v>
      </c>
      <c r="B3470" s="62" t="s">
        <v>1010</v>
      </c>
      <c r="C3470" s="63"/>
      <c r="D3470" s="64"/>
      <c r="E3470" s="65"/>
      <c r="F3470" s="66"/>
      <c r="G3470" s="63"/>
      <c r="H3470" s="67"/>
      <c r="I3470" s="68"/>
      <c r="J3470" s="68"/>
      <c r="K3470" s="32"/>
      <c r="L3470" s="75">
        <v>3470</v>
      </c>
      <c r="M3470" s="75"/>
      <c r="N3470" s="70"/>
      <c r="O3470" s="77" t="s">
        <v>179</v>
      </c>
      <c r="P3470" s="79">
        <v>44994.085995370369</v>
      </c>
      <c r="Q3470" s="77" t="s">
        <v>4676</v>
      </c>
      <c r="R3470" s="77">
        <v>0</v>
      </c>
      <c r="S3470" s="77">
        <v>0</v>
      </c>
      <c r="T3470" s="77">
        <v>0</v>
      </c>
      <c r="U3470" s="77">
        <v>0</v>
      </c>
      <c r="V3470" s="77">
        <v>20</v>
      </c>
      <c r="W3470" s="82" t="s">
        <v>6759</v>
      </c>
      <c r="X3470" s="80" t="str">
        <f>HYPERLINK("https://go.hotmart.com/Q79513841Y")</f>
        <v>https://go.hotmart.com/Q79513841Y</v>
      </c>
      <c r="Y3470" s="77" t="s">
        <v>7251</v>
      </c>
      <c r="Z3470" s="77"/>
      <c r="AA3470" s="77" t="s">
        <v>9795</v>
      </c>
      <c r="AB3470" s="77" t="s">
        <v>10132</v>
      </c>
      <c r="AC3470" s="82" t="s">
        <v>10144</v>
      </c>
      <c r="AD3470" s="77" t="s">
        <v>10184</v>
      </c>
      <c r="AE3470" s="80" t="str">
        <f>HYPERLINK("https://twitter.com/tamires89333921/status/1633649764578258944")</f>
        <v>https://twitter.com/tamires89333921/status/1633649764578258944</v>
      </c>
      <c r="AF3470" s="79">
        <v>44994.085995370369</v>
      </c>
      <c r="AG3470" s="85">
        <v>44994</v>
      </c>
      <c r="AH3470" s="82" t="s">
        <v>13464</v>
      </c>
      <c r="AI3470" s="77" t="b">
        <v>0</v>
      </c>
      <c r="AJ3470" s="77"/>
      <c r="AK3470" s="77"/>
      <c r="AL3470" s="77"/>
      <c r="AM3470" s="77"/>
      <c r="AN3470" s="77"/>
      <c r="AO3470" s="77"/>
      <c r="AP3470" s="77"/>
      <c r="AQ3470" s="77" t="s">
        <v>16438</v>
      </c>
      <c r="AR3470" s="77"/>
      <c r="AS3470" s="77"/>
      <c r="AT3470" s="77"/>
      <c r="AU3470" s="77"/>
      <c r="AV3470" s="80" t="str">
        <f>HYPERLINK("https://pbs.twimg.com/media/FqvjzFeXsAcxZ5q.jpg")</f>
        <v>https://pbs.twimg.com/media/FqvjzFeXsAcxZ5q.jpg</v>
      </c>
      <c r="AW3470" s="82" t="s">
        <v>20236</v>
      </c>
      <c r="AX3470" s="82" t="s">
        <v>20236</v>
      </c>
      <c r="AY3470" s="77"/>
      <c r="AZ3470" s="82" t="s">
        <v>20971</v>
      </c>
      <c r="BA3470" s="82" t="s">
        <v>20971</v>
      </c>
      <c r="BB3470" s="82" t="s">
        <v>20971</v>
      </c>
      <c r="BC3470" s="82" t="s">
        <v>20236</v>
      </c>
      <c r="BD3470" s="82" t="s">
        <v>21601</v>
      </c>
      <c r="BE3470" s="77"/>
      <c r="BF3470" s="77"/>
      <c r="BG3470" s="77"/>
      <c r="BH3470" s="77"/>
      <c r="BI3470" s="77"/>
    </row>
    <row r="3471" spans="1:61" x14ac:dyDescent="0.25">
      <c r="A3471" s="62" t="s">
        <v>1011</v>
      </c>
      <c r="B3471" s="62" t="s">
        <v>1011</v>
      </c>
      <c r="C3471" s="63"/>
      <c r="D3471" s="64"/>
      <c r="E3471" s="65"/>
      <c r="F3471" s="66"/>
      <c r="G3471" s="63"/>
      <c r="H3471" s="67"/>
      <c r="I3471" s="68"/>
      <c r="J3471" s="68"/>
      <c r="K3471" s="32"/>
      <c r="L3471" s="75">
        <v>3471</v>
      </c>
      <c r="M3471" s="75"/>
      <c r="N3471" s="70"/>
      <c r="O3471" s="77" t="s">
        <v>179</v>
      </c>
      <c r="P3471" s="79">
        <v>45001.767962962964</v>
      </c>
      <c r="Q3471" s="77" t="s">
        <v>4677</v>
      </c>
      <c r="R3471" s="77">
        <v>0</v>
      </c>
      <c r="S3471" s="77">
        <v>0</v>
      </c>
      <c r="T3471" s="77">
        <v>0</v>
      </c>
      <c r="U3471" s="77">
        <v>0</v>
      </c>
      <c r="V3471" s="77">
        <v>9</v>
      </c>
      <c r="W3471" s="82" t="s">
        <v>6760</v>
      </c>
      <c r="X3471" s="80" t="str">
        <f>HYPERLINK("https://www.instagram.com/p/Cp3BtIoInqr/?igshid=YTgzYjQ4ZTY=")</f>
        <v>https://www.instagram.com/p/Cp3BtIoInqr/?igshid=YTgzYjQ4ZTY=</v>
      </c>
      <c r="Y3471" s="77" t="s">
        <v>7250</v>
      </c>
      <c r="Z3471" s="77"/>
      <c r="AA3471" s="77"/>
      <c r="AB3471" s="77"/>
      <c r="AC3471" s="82" t="s">
        <v>10148</v>
      </c>
      <c r="AD3471" s="77" t="s">
        <v>10184</v>
      </c>
      <c r="AE3471" s="80" t="str">
        <f>HYPERLINK("https://twitter.com/patriciacunha70/status/1636433617218879501")</f>
        <v>https://twitter.com/patriciacunha70/status/1636433617218879501</v>
      </c>
      <c r="AF3471" s="79">
        <v>45001.767962962964</v>
      </c>
      <c r="AG3471" s="85">
        <v>45001</v>
      </c>
      <c r="AH3471" s="82" t="s">
        <v>13465</v>
      </c>
      <c r="AI3471" s="77" t="b">
        <v>0</v>
      </c>
      <c r="AJ3471" s="77"/>
      <c r="AK3471" s="77"/>
      <c r="AL3471" s="77"/>
      <c r="AM3471" s="77"/>
      <c r="AN3471" s="77"/>
      <c r="AO3471" s="77"/>
      <c r="AP3471" s="77"/>
      <c r="AQ3471" s="77"/>
      <c r="AR3471" s="77"/>
      <c r="AS3471" s="77"/>
      <c r="AT3471" s="77"/>
      <c r="AU3471" s="77"/>
      <c r="AV3471" s="80" t="str">
        <f>HYPERLINK("https://pbs.twimg.com/profile_images/1630227098504777731/HDLWEeMi_normal.jpg")</f>
        <v>https://pbs.twimg.com/profile_images/1630227098504777731/HDLWEeMi_normal.jpg</v>
      </c>
      <c r="AW3471" s="82" t="s">
        <v>20237</v>
      </c>
      <c r="AX3471" s="82" t="s">
        <v>20237</v>
      </c>
      <c r="AY3471" s="77"/>
      <c r="AZ3471" s="82" t="s">
        <v>20971</v>
      </c>
      <c r="BA3471" s="82" t="s">
        <v>20971</v>
      </c>
      <c r="BB3471" s="82" t="s">
        <v>20971</v>
      </c>
      <c r="BC3471" s="82" t="s">
        <v>20237</v>
      </c>
      <c r="BD3471" s="82" t="s">
        <v>21602</v>
      </c>
      <c r="BE3471" s="77"/>
      <c r="BF3471" s="77"/>
      <c r="BG3471" s="77"/>
      <c r="BH3471" s="77"/>
      <c r="BI3471" s="77"/>
    </row>
    <row r="3472" spans="1:61" x14ac:dyDescent="0.25">
      <c r="A3472" s="62" t="s">
        <v>1012</v>
      </c>
      <c r="B3472" s="62" t="s">
        <v>1012</v>
      </c>
      <c r="C3472" s="63"/>
      <c r="D3472" s="64"/>
      <c r="E3472" s="65"/>
      <c r="F3472" s="66"/>
      <c r="G3472" s="63"/>
      <c r="H3472" s="67"/>
      <c r="I3472" s="68"/>
      <c r="J3472" s="68"/>
      <c r="K3472" s="32"/>
      <c r="L3472" s="75">
        <v>3472</v>
      </c>
      <c r="M3472" s="75"/>
      <c r="N3472" s="70"/>
      <c r="O3472" s="77" t="s">
        <v>179</v>
      </c>
      <c r="P3472" s="79">
        <v>45085.028553240743</v>
      </c>
      <c r="Q3472" s="77" t="s">
        <v>4678</v>
      </c>
      <c r="R3472" s="77">
        <v>1098</v>
      </c>
      <c r="S3472" s="77">
        <v>16225</v>
      </c>
      <c r="T3472" s="77">
        <v>404</v>
      </c>
      <c r="U3472" s="77">
        <v>342</v>
      </c>
      <c r="V3472" s="77">
        <v>1588097</v>
      </c>
      <c r="W3472" s="77"/>
      <c r="X3472" s="77"/>
      <c r="Y3472" s="77"/>
      <c r="Z3472" s="77"/>
      <c r="AA3472" s="77" t="s">
        <v>9796</v>
      </c>
      <c r="AB3472" s="77" t="s">
        <v>10130</v>
      </c>
      <c r="AC3472" s="82" t="s">
        <v>10144</v>
      </c>
      <c r="AD3472" s="77" t="s">
        <v>10184</v>
      </c>
      <c r="AE3472" s="80" t="str">
        <f>HYPERLINK("https://twitter.com/lelouch_sincero/status/1666606245988401155")</f>
        <v>https://twitter.com/lelouch_sincero/status/1666606245988401155</v>
      </c>
      <c r="AF3472" s="79">
        <v>45085.028553240743</v>
      </c>
      <c r="AG3472" s="85">
        <v>45085</v>
      </c>
      <c r="AH3472" s="82" t="s">
        <v>13466</v>
      </c>
      <c r="AI3472" s="77" t="b">
        <v>0</v>
      </c>
      <c r="AJ3472" s="77"/>
      <c r="AK3472" s="77"/>
      <c r="AL3472" s="77"/>
      <c r="AM3472" s="77"/>
      <c r="AN3472" s="77"/>
      <c r="AO3472" s="77"/>
      <c r="AP3472" s="77"/>
      <c r="AQ3472" s="77" t="s">
        <v>16439</v>
      </c>
      <c r="AR3472" s="77"/>
      <c r="AS3472" s="77"/>
      <c r="AT3472" s="77"/>
      <c r="AU3472" s="77"/>
      <c r="AV3472" s="80" t="str">
        <f>HYPERLINK("https://pbs.twimg.com/media/FyD5jHXWIAEjqc6.jpg")</f>
        <v>https://pbs.twimg.com/media/FyD5jHXWIAEjqc6.jpg</v>
      </c>
      <c r="AW3472" s="82" t="s">
        <v>20238</v>
      </c>
      <c r="AX3472" s="82" t="s">
        <v>20238</v>
      </c>
      <c r="AY3472" s="77"/>
      <c r="AZ3472" s="82" t="s">
        <v>20971</v>
      </c>
      <c r="BA3472" s="82" t="s">
        <v>20971</v>
      </c>
      <c r="BB3472" s="82" t="s">
        <v>20971</v>
      </c>
      <c r="BC3472" s="82" t="s">
        <v>20238</v>
      </c>
      <c r="BD3472" s="82" t="s">
        <v>21603</v>
      </c>
      <c r="BE3472" s="77"/>
      <c r="BF3472" s="77"/>
      <c r="BG3472" s="77"/>
      <c r="BH3472" s="77"/>
      <c r="BI3472" s="77"/>
    </row>
    <row r="3473" spans="1:61" x14ac:dyDescent="0.25">
      <c r="A3473" s="62" t="s">
        <v>1013</v>
      </c>
      <c r="B3473" s="62" t="s">
        <v>1013</v>
      </c>
      <c r="C3473" s="63"/>
      <c r="D3473" s="64"/>
      <c r="E3473" s="65"/>
      <c r="F3473" s="66"/>
      <c r="G3473" s="63"/>
      <c r="H3473" s="67"/>
      <c r="I3473" s="68"/>
      <c r="J3473" s="68"/>
      <c r="K3473" s="32"/>
      <c r="L3473" s="75">
        <v>3473</v>
      </c>
      <c r="M3473" s="75"/>
      <c r="N3473" s="70"/>
      <c r="O3473" s="77" t="s">
        <v>179</v>
      </c>
      <c r="P3473" s="79">
        <v>44965.659375000003</v>
      </c>
      <c r="Q3473" s="77" t="s">
        <v>4679</v>
      </c>
      <c r="R3473" s="77">
        <v>0</v>
      </c>
      <c r="S3473" s="77">
        <v>0</v>
      </c>
      <c r="T3473" s="77">
        <v>0</v>
      </c>
      <c r="U3473" s="77">
        <v>0</v>
      </c>
      <c r="V3473" s="77">
        <v>23</v>
      </c>
      <c r="W3473" s="82" t="s">
        <v>5516</v>
      </c>
      <c r="X3473" s="80" t="str">
        <f>HYPERLINK("https://kwai-video.com/p/ivZ0CXbg")</f>
        <v>https://kwai-video.com/p/ivZ0CXbg</v>
      </c>
      <c r="Y3473" s="77" t="s">
        <v>7299</v>
      </c>
      <c r="Z3473" s="77"/>
      <c r="AA3473" s="77" t="s">
        <v>9797</v>
      </c>
      <c r="AB3473" s="77" t="s">
        <v>10130</v>
      </c>
      <c r="AC3473" s="82" t="s">
        <v>10144</v>
      </c>
      <c r="AD3473" s="77" t="s">
        <v>10184</v>
      </c>
      <c r="AE3473" s="80" t="str">
        <f>HYPERLINK("https://twitter.com/kapituka/status/1623348302367391752")</f>
        <v>https://twitter.com/kapituka/status/1623348302367391752</v>
      </c>
      <c r="AF3473" s="79">
        <v>44965.659375000003</v>
      </c>
      <c r="AG3473" s="85">
        <v>44965</v>
      </c>
      <c r="AH3473" s="82" t="s">
        <v>13467</v>
      </c>
      <c r="AI3473" s="77" t="b">
        <v>0</v>
      </c>
      <c r="AJ3473" s="77"/>
      <c r="AK3473" s="77"/>
      <c r="AL3473" s="77"/>
      <c r="AM3473" s="77"/>
      <c r="AN3473" s="77"/>
      <c r="AO3473" s="77"/>
      <c r="AP3473" s="77"/>
      <c r="AQ3473" s="77" t="s">
        <v>16440</v>
      </c>
      <c r="AR3473" s="77"/>
      <c r="AS3473" s="77"/>
      <c r="AT3473" s="77"/>
      <c r="AU3473" s="77"/>
      <c r="AV3473" s="80" t="str">
        <f>HYPERLINK("https://pbs.twimg.com/media/FodKrWDXoAE20Jy.jpg")</f>
        <v>https://pbs.twimg.com/media/FodKrWDXoAE20Jy.jpg</v>
      </c>
      <c r="AW3473" s="82" t="s">
        <v>20239</v>
      </c>
      <c r="AX3473" s="82" t="s">
        <v>20239</v>
      </c>
      <c r="AY3473" s="77"/>
      <c r="AZ3473" s="82" t="s">
        <v>20971</v>
      </c>
      <c r="BA3473" s="82" t="s">
        <v>20971</v>
      </c>
      <c r="BB3473" s="82" t="s">
        <v>20971</v>
      </c>
      <c r="BC3473" s="82" t="s">
        <v>20239</v>
      </c>
      <c r="BD3473" s="77">
        <v>49847318</v>
      </c>
      <c r="BE3473" s="77"/>
      <c r="BF3473" s="77"/>
      <c r="BG3473" s="77"/>
      <c r="BH3473" s="77"/>
      <c r="BI3473" s="77"/>
    </row>
    <row r="3474" spans="1:61" x14ac:dyDescent="0.25">
      <c r="A3474" s="62" t="s">
        <v>1013</v>
      </c>
      <c r="B3474" s="62" t="s">
        <v>1013</v>
      </c>
      <c r="C3474" s="63"/>
      <c r="D3474" s="64"/>
      <c r="E3474" s="65"/>
      <c r="F3474" s="66"/>
      <c r="G3474" s="63"/>
      <c r="H3474" s="67"/>
      <c r="I3474" s="68"/>
      <c r="J3474" s="68"/>
      <c r="K3474" s="32"/>
      <c r="L3474" s="75">
        <v>3474</v>
      </c>
      <c r="M3474" s="75"/>
      <c r="N3474" s="70"/>
      <c r="O3474" s="77" t="s">
        <v>179</v>
      </c>
      <c r="P3474" s="79">
        <v>45031.48097222222</v>
      </c>
      <c r="Q3474" s="77" t="s">
        <v>4680</v>
      </c>
      <c r="R3474" s="77">
        <v>0</v>
      </c>
      <c r="S3474" s="77">
        <v>1</v>
      </c>
      <c r="T3474" s="77">
        <v>0</v>
      </c>
      <c r="U3474" s="77">
        <v>0</v>
      </c>
      <c r="V3474" s="77">
        <v>167</v>
      </c>
      <c r="W3474" s="82" t="s">
        <v>6761</v>
      </c>
      <c r="X3474" s="80" t="str">
        <f>HYPERLINK("https://vm.tiktok.com/ZMYnPy9Na/")</f>
        <v>https://vm.tiktok.com/ZMYnPy9Na/</v>
      </c>
      <c r="Y3474" s="77" t="s">
        <v>7306</v>
      </c>
      <c r="Z3474" s="77"/>
      <c r="AA3474" s="77"/>
      <c r="AB3474" s="77"/>
      <c r="AC3474" s="82" t="s">
        <v>10144</v>
      </c>
      <c r="AD3474" s="77" t="s">
        <v>10184</v>
      </c>
      <c r="AE3474" s="80" t="str">
        <f>HYPERLINK("https://twitter.com/kapituka/status/1647201251153649664")</f>
        <v>https://twitter.com/kapituka/status/1647201251153649664</v>
      </c>
      <c r="AF3474" s="79">
        <v>45031.48097222222</v>
      </c>
      <c r="AG3474" s="85">
        <v>45031</v>
      </c>
      <c r="AH3474" s="82" t="s">
        <v>13468</v>
      </c>
      <c r="AI3474" s="77" t="b">
        <v>0</v>
      </c>
      <c r="AJ3474" s="77"/>
      <c r="AK3474" s="77"/>
      <c r="AL3474" s="77"/>
      <c r="AM3474" s="77"/>
      <c r="AN3474" s="77"/>
      <c r="AO3474" s="77"/>
      <c r="AP3474" s="77"/>
      <c r="AQ3474" s="77"/>
      <c r="AR3474" s="77"/>
      <c r="AS3474" s="77"/>
      <c r="AT3474" s="77"/>
      <c r="AU3474" s="77"/>
      <c r="AV3474" s="80" t="str">
        <f>HYPERLINK("https://pbs.twimg.com/profile_images/1342121836688117760/sBwXm2k6_normal.jpg")</f>
        <v>https://pbs.twimg.com/profile_images/1342121836688117760/sBwXm2k6_normal.jpg</v>
      </c>
      <c r="AW3474" s="82" t="s">
        <v>20240</v>
      </c>
      <c r="AX3474" s="82" t="s">
        <v>20240</v>
      </c>
      <c r="AY3474" s="77"/>
      <c r="AZ3474" s="82" t="s">
        <v>20971</v>
      </c>
      <c r="BA3474" s="82" t="s">
        <v>20971</v>
      </c>
      <c r="BB3474" s="82" t="s">
        <v>20971</v>
      </c>
      <c r="BC3474" s="82" t="s">
        <v>20240</v>
      </c>
      <c r="BD3474" s="77">
        <v>49847318</v>
      </c>
      <c r="BE3474" s="77"/>
      <c r="BF3474" s="77"/>
      <c r="BG3474" s="77"/>
      <c r="BH3474" s="77"/>
      <c r="BI3474" s="77"/>
    </row>
    <row r="3475" spans="1:61" x14ac:dyDescent="0.25">
      <c r="A3475" s="62" t="s">
        <v>1013</v>
      </c>
      <c r="B3475" s="62" t="s">
        <v>1013</v>
      </c>
      <c r="C3475" s="63"/>
      <c r="D3475" s="64"/>
      <c r="E3475" s="65"/>
      <c r="F3475" s="66"/>
      <c r="G3475" s="63"/>
      <c r="H3475" s="67"/>
      <c r="I3475" s="68"/>
      <c r="J3475" s="68"/>
      <c r="K3475" s="32"/>
      <c r="L3475" s="75">
        <v>3475</v>
      </c>
      <c r="M3475" s="75"/>
      <c r="N3475" s="70"/>
      <c r="O3475" s="77" t="s">
        <v>179</v>
      </c>
      <c r="P3475" s="79">
        <v>45005.388553240744</v>
      </c>
      <c r="Q3475" s="77" t="s">
        <v>4681</v>
      </c>
      <c r="R3475" s="77">
        <v>0</v>
      </c>
      <c r="S3475" s="77">
        <v>0</v>
      </c>
      <c r="T3475" s="77">
        <v>1</v>
      </c>
      <c r="U3475" s="77">
        <v>0</v>
      </c>
      <c r="V3475" s="77">
        <v>75</v>
      </c>
      <c r="W3475" s="82" t="s">
        <v>6762</v>
      </c>
      <c r="X3475" s="80" t="str">
        <f>HYPERLINK("https://kwai-video.com/p/DRcyxCAg")</f>
        <v>https://kwai-video.com/p/DRcyxCAg</v>
      </c>
      <c r="Y3475" s="77" t="s">
        <v>7299</v>
      </c>
      <c r="Z3475" s="77"/>
      <c r="AA3475" s="77" t="s">
        <v>9798</v>
      </c>
      <c r="AB3475" s="77" t="s">
        <v>10130</v>
      </c>
      <c r="AC3475" s="82" t="s">
        <v>10144</v>
      </c>
      <c r="AD3475" s="77" t="s">
        <v>10184</v>
      </c>
      <c r="AE3475" s="80" t="str">
        <f>HYPERLINK("https://twitter.com/kapituka/status/1637745676527206406")</f>
        <v>https://twitter.com/kapituka/status/1637745676527206406</v>
      </c>
      <c r="AF3475" s="79">
        <v>45005.388553240744</v>
      </c>
      <c r="AG3475" s="85">
        <v>45005</v>
      </c>
      <c r="AH3475" s="82" t="s">
        <v>13469</v>
      </c>
      <c r="AI3475" s="77" t="b">
        <v>0</v>
      </c>
      <c r="AJ3475" s="77"/>
      <c r="AK3475" s="77"/>
      <c r="AL3475" s="77"/>
      <c r="AM3475" s="77"/>
      <c r="AN3475" s="77"/>
      <c r="AO3475" s="77"/>
      <c r="AP3475" s="77"/>
      <c r="AQ3475" s="77" t="s">
        <v>16441</v>
      </c>
      <c r="AR3475" s="77"/>
      <c r="AS3475" s="77"/>
      <c r="AT3475" s="77"/>
      <c r="AU3475" s="77"/>
      <c r="AV3475" s="80" t="str">
        <f>HYPERLINK("https://pbs.twimg.com/media/FrpxA4AXoAA4tkT.jpg")</f>
        <v>https://pbs.twimg.com/media/FrpxA4AXoAA4tkT.jpg</v>
      </c>
      <c r="AW3475" s="82" t="s">
        <v>20241</v>
      </c>
      <c r="AX3475" s="82" t="s">
        <v>20241</v>
      </c>
      <c r="AY3475" s="77"/>
      <c r="AZ3475" s="82" t="s">
        <v>20971</v>
      </c>
      <c r="BA3475" s="82" t="s">
        <v>20971</v>
      </c>
      <c r="BB3475" s="82" t="s">
        <v>20971</v>
      </c>
      <c r="BC3475" s="82" t="s">
        <v>20241</v>
      </c>
      <c r="BD3475" s="77">
        <v>49847318</v>
      </c>
      <c r="BE3475" s="77"/>
      <c r="BF3475" s="77"/>
      <c r="BG3475" s="77"/>
      <c r="BH3475" s="77"/>
      <c r="BI3475" s="77"/>
    </row>
    <row r="3476" spans="1:61" x14ac:dyDescent="0.25">
      <c r="A3476" s="62" t="s">
        <v>1013</v>
      </c>
      <c r="B3476" s="62" t="s">
        <v>1013</v>
      </c>
      <c r="C3476" s="63"/>
      <c r="D3476" s="64"/>
      <c r="E3476" s="65"/>
      <c r="F3476" s="66"/>
      <c r="G3476" s="63"/>
      <c r="H3476" s="67"/>
      <c r="I3476" s="68"/>
      <c r="J3476" s="68"/>
      <c r="K3476" s="32"/>
      <c r="L3476" s="75">
        <v>3476</v>
      </c>
      <c r="M3476" s="75"/>
      <c r="N3476" s="70"/>
      <c r="O3476" s="77" t="s">
        <v>179</v>
      </c>
      <c r="P3476" s="79">
        <v>45005.385057870371</v>
      </c>
      <c r="Q3476" s="77" t="s">
        <v>4682</v>
      </c>
      <c r="R3476" s="77">
        <v>0</v>
      </c>
      <c r="S3476" s="77">
        <v>0</v>
      </c>
      <c r="T3476" s="77">
        <v>2</v>
      </c>
      <c r="U3476" s="77">
        <v>0</v>
      </c>
      <c r="V3476" s="77">
        <v>137</v>
      </c>
      <c r="W3476" s="82" t="s">
        <v>6763</v>
      </c>
      <c r="X3476" s="80" t="str">
        <f>HYPERLINK("https://kwai-video.com/p/lbyC1qUV")</f>
        <v>https://kwai-video.com/p/lbyC1qUV</v>
      </c>
      <c r="Y3476" s="77" t="s">
        <v>7299</v>
      </c>
      <c r="Z3476" s="77"/>
      <c r="AA3476" s="77"/>
      <c r="AB3476" s="77"/>
      <c r="AC3476" s="82" t="s">
        <v>10144</v>
      </c>
      <c r="AD3476" s="77" t="s">
        <v>10184</v>
      </c>
      <c r="AE3476" s="80" t="str">
        <f>HYPERLINK("https://twitter.com/kapituka/status/1637744407628726274")</f>
        <v>https://twitter.com/kapituka/status/1637744407628726274</v>
      </c>
      <c r="AF3476" s="79">
        <v>45005.385057870371</v>
      </c>
      <c r="AG3476" s="85">
        <v>45005</v>
      </c>
      <c r="AH3476" s="82" t="s">
        <v>13470</v>
      </c>
      <c r="AI3476" s="77" t="b">
        <v>0</v>
      </c>
      <c r="AJ3476" s="77"/>
      <c r="AK3476" s="77"/>
      <c r="AL3476" s="77"/>
      <c r="AM3476" s="77"/>
      <c r="AN3476" s="77"/>
      <c r="AO3476" s="77"/>
      <c r="AP3476" s="77"/>
      <c r="AQ3476" s="77"/>
      <c r="AR3476" s="77"/>
      <c r="AS3476" s="77"/>
      <c r="AT3476" s="77"/>
      <c r="AU3476" s="77"/>
      <c r="AV3476" s="80" t="str">
        <f>HYPERLINK("https://pbs.twimg.com/profile_images/1342121836688117760/sBwXm2k6_normal.jpg")</f>
        <v>https://pbs.twimg.com/profile_images/1342121836688117760/sBwXm2k6_normal.jpg</v>
      </c>
      <c r="AW3476" s="82" t="s">
        <v>20242</v>
      </c>
      <c r="AX3476" s="82" t="s">
        <v>20242</v>
      </c>
      <c r="AY3476" s="77"/>
      <c r="AZ3476" s="82" t="s">
        <v>20971</v>
      </c>
      <c r="BA3476" s="82" t="s">
        <v>20971</v>
      </c>
      <c r="BB3476" s="82" t="s">
        <v>20971</v>
      </c>
      <c r="BC3476" s="82" t="s">
        <v>20242</v>
      </c>
      <c r="BD3476" s="77">
        <v>49847318</v>
      </c>
      <c r="BE3476" s="77"/>
      <c r="BF3476" s="77"/>
      <c r="BG3476" s="77"/>
      <c r="BH3476" s="77"/>
      <c r="BI3476" s="77"/>
    </row>
    <row r="3477" spans="1:61" x14ac:dyDescent="0.25">
      <c r="A3477" s="62" t="s">
        <v>1013</v>
      </c>
      <c r="B3477" s="62" t="s">
        <v>1013</v>
      </c>
      <c r="C3477" s="63"/>
      <c r="D3477" s="64"/>
      <c r="E3477" s="65"/>
      <c r="F3477" s="66"/>
      <c r="G3477" s="63"/>
      <c r="H3477" s="67"/>
      <c r="I3477" s="68"/>
      <c r="J3477" s="68"/>
      <c r="K3477" s="32"/>
      <c r="L3477" s="75">
        <v>3477</v>
      </c>
      <c r="M3477" s="75"/>
      <c r="N3477" s="70"/>
      <c r="O3477" s="77" t="s">
        <v>179</v>
      </c>
      <c r="P3477" s="79">
        <v>45005.379861111112</v>
      </c>
      <c r="Q3477" s="77" t="s">
        <v>4683</v>
      </c>
      <c r="R3477" s="77">
        <v>0</v>
      </c>
      <c r="S3477" s="77">
        <v>0</v>
      </c>
      <c r="T3477" s="77">
        <v>1</v>
      </c>
      <c r="U3477" s="77">
        <v>0</v>
      </c>
      <c r="V3477" s="77">
        <v>57</v>
      </c>
      <c r="W3477" s="82" t="s">
        <v>6762</v>
      </c>
      <c r="X3477" s="80" t="str">
        <f>HYPERLINK("https://s.kwai.app/s1/Vd99sWru")</f>
        <v>https://s.kwai.app/s1/Vd99sWru</v>
      </c>
      <c r="Y3477" s="77" t="s">
        <v>7292</v>
      </c>
      <c r="Z3477" s="77"/>
      <c r="AA3477" s="77"/>
      <c r="AB3477" s="77"/>
      <c r="AC3477" s="82" t="s">
        <v>10144</v>
      </c>
      <c r="AD3477" s="77" t="s">
        <v>10184</v>
      </c>
      <c r="AE3477" s="80" t="str">
        <f>HYPERLINK("https://twitter.com/kapituka/status/1637742525711523842")</f>
        <v>https://twitter.com/kapituka/status/1637742525711523842</v>
      </c>
      <c r="AF3477" s="79">
        <v>45005.379861111112</v>
      </c>
      <c r="AG3477" s="85">
        <v>45005</v>
      </c>
      <c r="AH3477" s="82" t="s">
        <v>13471</v>
      </c>
      <c r="AI3477" s="77" t="b">
        <v>0</v>
      </c>
      <c r="AJ3477" s="77"/>
      <c r="AK3477" s="77"/>
      <c r="AL3477" s="77"/>
      <c r="AM3477" s="77"/>
      <c r="AN3477" s="77"/>
      <c r="AO3477" s="77"/>
      <c r="AP3477" s="77"/>
      <c r="AQ3477" s="77"/>
      <c r="AR3477" s="77"/>
      <c r="AS3477" s="77"/>
      <c r="AT3477" s="77"/>
      <c r="AU3477" s="77"/>
      <c r="AV3477" s="80" t="str">
        <f>HYPERLINK("https://pbs.twimg.com/profile_images/1342121836688117760/sBwXm2k6_normal.jpg")</f>
        <v>https://pbs.twimg.com/profile_images/1342121836688117760/sBwXm2k6_normal.jpg</v>
      </c>
      <c r="AW3477" s="82" t="s">
        <v>20243</v>
      </c>
      <c r="AX3477" s="82" t="s">
        <v>20243</v>
      </c>
      <c r="AY3477" s="77"/>
      <c r="AZ3477" s="82" t="s">
        <v>20971</v>
      </c>
      <c r="BA3477" s="82" t="s">
        <v>20971</v>
      </c>
      <c r="BB3477" s="82" t="s">
        <v>20971</v>
      </c>
      <c r="BC3477" s="82" t="s">
        <v>20243</v>
      </c>
      <c r="BD3477" s="77">
        <v>49847318</v>
      </c>
      <c r="BE3477" s="77"/>
      <c r="BF3477" s="77"/>
      <c r="BG3477" s="77"/>
      <c r="BH3477" s="77"/>
      <c r="BI3477" s="77"/>
    </row>
    <row r="3478" spans="1:61" x14ac:dyDescent="0.25">
      <c r="A3478" s="62" t="s">
        <v>1013</v>
      </c>
      <c r="B3478" s="62" t="s">
        <v>1013</v>
      </c>
      <c r="C3478" s="63"/>
      <c r="D3478" s="64"/>
      <c r="E3478" s="65"/>
      <c r="F3478" s="66"/>
      <c r="G3478" s="63"/>
      <c r="H3478" s="67"/>
      <c r="I3478" s="68"/>
      <c r="J3478" s="68"/>
      <c r="K3478" s="32"/>
      <c r="L3478" s="75">
        <v>3478</v>
      </c>
      <c r="M3478" s="75"/>
      <c r="N3478" s="70"/>
      <c r="O3478" s="77" t="s">
        <v>179</v>
      </c>
      <c r="P3478" s="79">
        <v>45005.377349537041</v>
      </c>
      <c r="Q3478" s="77" t="s">
        <v>4684</v>
      </c>
      <c r="R3478" s="77">
        <v>0</v>
      </c>
      <c r="S3478" s="77">
        <v>0</v>
      </c>
      <c r="T3478" s="77">
        <v>0</v>
      </c>
      <c r="U3478" s="77">
        <v>0</v>
      </c>
      <c r="V3478" s="77">
        <v>14</v>
      </c>
      <c r="W3478" s="82" t="s">
        <v>6764</v>
      </c>
      <c r="X3478" s="80" t="str">
        <f>HYPERLINK("https://s.kwai.app/w/dnkADvwl")</f>
        <v>https://s.kwai.app/w/dnkADvwl</v>
      </c>
      <c r="Y3478" s="77" t="s">
        <v>7292</v>
      </c>
      <c r="Z3478" s="77"/>
      <c r="AA3478" s="77"/>
      <c r="AB3478" s="77"/>
      <c r="AC3478" s="82" t="s">
        <v>10144</v>
      </c>
      <c r="AD3478" s="77" t="s">
        <v>10184</v>
      </c>
      <c r="AE3478" s="80" t="str">
        <f>HYPERLINK("https://twitter.com/kapituka/status/1637741615157501952")</f>
        <v>https://twitter.com/kapituka/status/1637741615157501952</v>
      </c>
      <c r="AF3478" s="79">
        <v>45005.377349537041</v>
      </c>
      <c r="AG3478" s="85">
        <v>45005</v>
      </c>
      <c r="AH3478" s="82" t="s">
        <v>13472</v>
      </c>
      <c r="AI3478" s="77" t="b">
        <v>0</v>
      </c>
      <c r="AJ3478" s="77"/>
      <c r="AK3478" s="77"/>
      <c r="AL3478" s="77"/>
      <c r="AM3478" s="77"/>
      <c r="AN3478" s="77"/>
      <c r="AO3478" s="77"/>
      <c r="AP3478" s="77"/>
      <c r="AQ3478" s="77"/>
      <c r="AR3478" s="77"/>
      <c r="AS3478" s="77"/>
      <c r="AT3478" s="77"/>
      <c r="AU3478" s="77"/>
      <c r="AV3478" s="80" t="str">
        <f>HYPERLINK("https://pbs.twimg.com/profile_images/1342121836688117760/sBwXm2k6_normal.jpg")</f>
        <v>https://pbs.twimg.com/profile_images/1342121836688117760/sBwXm2k6_normal.jpg</v>
      </c>
      <c r="AW3478" s="82" t="s">
        <v>20244</v>
      </c>
      <c r="AX3478" s="82" t="s">
        <v>20244</v>
      </c>
      <c r="AY3478" s="77"/>
      <c r="AZ3478" s="82" t="s">
        <v>20971</v>
      </c>
      <c r="BA3478" s="82" t="s">
        <v>20971</v>
      </c>
      <c r="BB3478" s="82" t="s">
        <v>20971</v>
      </c>
      <c r="BC3478" s="82" t="s">
        <v>20244</v>
      </c>
      <c r="BD3478" s="77">
        <v>49847318</v>
      </c>
      <c r="BE3478" s="77"/>
      <c r="BF3478" s="77"/>
      <c r="BG3478" s="77"/>
      <c r="BH3478" s="77"/>
      <c r="BI3478" s="77"/>
    </row>
    <row r="3479" spans="1:61" x14ac:dyDescent="0.25">
      <c r="A3479" s="62" t="s">
        <v>1013</v>
      </c>
      <c r="B3479" s="62" t="s">
        <v>1013</v>
      </c>
      <c r="C3479" s="63"/>
      <c r="D3479" s="64"/>
      <c r="E3479" s="65"/>
      <c r="F3479" s="66"/>
      <c r="G3479" s="63"/>
      <c r="H3479" s="67"/>
      <c r="I3479" s="68"/>
      <c r="J3479" s="68"/>
      <c r="K3479" s="32"/>
      <c r="L3479" s="75">
        <v>3479</v>
      </c>
      <c r="M3479" s="75"/>
      <c r="N3479" s="70"/>
      <c r="O3479" s="77" t="s">
        <v>179</v>
      </c>
      <c r="P3479" s="79">
        <v>45077.018090277779</v>
      </c>
      <c r="Q3479" s="77" t="s">
        <v>4685</v>
      </c>
      <c r="R3479" s="77">
        <v>0</v>
      </c>
      <c r="S3479" s="77">
        <v>1</v>
      </c>
      <c r="T3479" s="77">
        <v>1</v>
      </c>
      <c r="U3479" s="77">
        <v>0</v>
      </c>
      <c r="V3479" s="77">
        <v>61</v>
      </c>
      <c r="W3479" s="82" t="s">
        <v>6765</v>
      </c>
      <c r="X3479" s="80" t="str">
        <f>HYPERLINK("https://kwai-video.com/p/nqdC435U")</f>
        <v>https://kwai-video.com/p/nqdC435U</v>
      </c>
      <c r="Y3479" s="77" t="s">
        <v>7299</v>
      </c>
      <c r="Z3479" s="77"/>
      <c r="AA3479" s="77"/>
      <c r="AB3479" s="77"/>
      <c r="AC3479" s="82" t="s">
        <v>10144</v>
      </c>
      <c r="AD3479" s="77" t="s">
        <v>10184</v>
      </c>
      <c r="AE3479" s="80" t="str">
        <f>HYPERLINK("https://twitter.com/kapituka/status/1663703352461459457")</f>
        <v>https://twitter.com/kapituka/status/1663703352461459457</v>
      </c>
      <c r="AF3479" s="79">
        <v>45077.018090277779</v>
      </c>
      <c r="AG3479" s="85">
        <v>45077</v>
      </c>
      <c r="AH3479" s="82" t="s">
        <v>13473</v>
      </c>
      <c r="AI3479" s="77" t="b">
        <v>0</v>
      </c>
      <c r="AJ3479" s="77"/>
      <c r="AK3479" s="77"/>
      <c r="AL3479" s="77"/>
      <c r="AM3479" s="77"/>
      <c r="AN3479" s="77"/>
      <c r="AO3479" s="77"/>
      <c r="AP3479" s="77"/>
      <c r="AQ3479" s="77"/>
      <c r="AR3479" s="77"/>
      <c r="AS3479" s="77"/>
      <c r="AT3479" s="77"/>
      <c r="AU3479" s="77"/>
      <c r="AV3479" s="80" t="str">
        <f>HYPERLINK("https://pbs.twimg.com/profile_images/1342121836688117760/sBwXm2k6_normal.jpg")</f>
        <v>https://pbs.twimg.com/profile_images/1342121836688117760/sBwXm2k6_normal.jpg</v>
      </c>
      <c r="AW3479" s="82" t="s">
        <v>20245</v>
      </c>
      <c r="AX3479" s="82" t="s">
        <v>20245</v>
      </c>
      <c r="AY3479" s="77"/>
      <c r="AZ3479" s="82" t="s">
        <v>20971</v>
      </c>
      <c r="BA3479" s="82" t="s">
        <v>20971</v>
      </c>
      <c r="BB3479" s="82" t="s">
        <v>20971</v>
      </c>
      <c r="BC3479" s="82" t="s">
        <v>20245</v>
      </c>
      <c r="BD3479" s="77">
        <v>49847318</v>
      </c>
      <c r="BE3479" s="77"/>
      <c r="BF3479" s="77"/>
      <c r="BG3479" s="77"/>
      <c r="BH3479" s="77"/>
      <c r="BI3479" s="77"/>
    </row>
    <row r="3480" spans="1:61" x14ac:dyDescent="0.25">
      <c r="A3480" s="62" t="s">
        <v>1013</v>
      </c>
      <c r="B3480" s="62" t="s">
        <v>1013</v>
      </c>
      <c r="C3480" s="63"/>
      <c r="D3480" s="64"/>
      <c r="E3480" s="65"/>
      <c r="F3480" s="66"/>
      <c r="G3480" s="63"/>
      <c r="H3480" s="67"/>
      <c r="I3480" s="68"/>
      <c r="J3480" s="68"/>
      <c r="K3480" s="32"/>
      <c r="L3480" s="75">
        <v>3480</v>
      </c>
      <c r="M3480" s="75"/>
      <c r="N3480" s="70"/>
      <c r="O3480" s="77" t="s">
        <v>179</v>
      </c>
      <c r="P3480" s="79">
        <v>45076.571226851855</v>
      </c>
      <c r="Q3480" s="77" t="s">
        <v>4686</v>
      </c>
      <c r="R3480" s="77">
        <v>0</v>
      </c>
      <c r="S3480" s="77">
        <v>0</v>
      </c>
      <c r="T3480" s="77">
        <v>3</v>
      </c>
      <c r="U3480" s="77">
        <v>0</v>
      </c>
      <c r="V3480" s="77">
        <v>50</v>
      </c>
      <c r="W3480" s="82" t="s">
        <v>6766</v>
      </c>
      <c r="X3480" s="80" t="str">
        <f>HYPERLINK("https://s.kwai.app/w/dpqokIYp")</f>
        <v>https://s.kwai.app/w/dpqokIYp</v>
      </c>
      <c r="Y3480" s="77" t="s">
        <v>7292</v>
      </c>
      <c r="Z3480" s="77"/>
      <c r="AA3480" s="77"/>
      <c r="AB3480" s="77"/>
      <c r="AC3480" s="82" t="s">
        <v>10144</v>
      </c>
      <c r="AD3480" s="77" t="s">
        <v>10184</v>
      </c>
      <c r="AE3480" s="80" t="str">
        <f>HYPERLINK("https://twitter.com/kapituka/status/1663541410627215360")</f>
        <v>https://twitter.com/kapituka/status/1663541410627215360</v>
      </c>
      <c r="AF3480" s="79">
        <v>45076.571226851855</v>
      </c>
      <c r="AG3480" s="85">
        <v>45076</v>
      </c>
      <c r="AH3480" s="82" t="s">
        <v>13474</v>
      </c>
      <c r="AI3480" s="77" t="b">
        <v>0</v>
      </c>
      <c r="AJ3480" s="77"/>
      <c r="AK3480" s="77"/>
      <c r="AL3480" s="77"/>
      <c r="AM3480" s="77"/>
      <c r="AN3480" s="77"/>
      <c r="AO3480" s="77"/>
      <c r="AP3480" s="77"/>
      <c r="AQ3480" s="77"/>
      <c r="AR3480" s="77"/>
      <c r="AS3480" s="77"/>
      <c r="AT3480" s="77"/>
      <c r="AU3480" s="77"/>
      <c r="AV3480" s="80" t="str">
        <f>HYPERLINK("https://pbs.twimg.com/profile_images/1342121836688117760/sBwXm2k6_normal.jpg")</f>
        <v>https://pbs.twimg.com/profile_images/1342121836688117760/sBwXm2k6_normal.jpg</v>
      </c>
      <c r="AW3480" s="82" t="s">
        <v>20246</v>
      </c>
      <c r="AX3480" s="82" t="s">
        <v>20246</v>
      </c>
      <c r="AY3480" s="77"/>
      <c r="AZ3480" s="82" t="s">
        <v>20971</v>
      </c>
      <c r="BA3480" s="82" t="s">
        <v>20971</v>
      </c>
      <c r="BB3480" s="82" t="s">
        <v>20971</v>
      </c>
      <c r="BC3480" s="82" t="s">
        <v>20246</v>
      </c>
      <c r="BD3480" s="77">
        <v>49847318</v>
      </c>
      <c r="BE3480" s="77"/>
      <c r="BF3480" s="77"/>
      <c r="BG3480" s="77"/>
      <c r="BH3480" s="77"/>
      <c r="BI3480" s="77"/>
    </row>
    <row r="3481" spans="1:61" x14ac:dyDescent="0.25">
      <c r="A3481" s="62" t="s">
        <v>1013</v>
      </c>
      <c r="B3481" s="62" t="s">
        <v>1013</v>
      </c>
      <c r="C3481" s="63"/>
      <c r="D3481" s="64"/>
      <c r="E3481" s="65"/>
      <c r="F3481" s="66"/>
      <c r="G3481" s="63"/>
      <c r="H3481" s="67"/>
      <c r="I3481" s="68"/>
      <c r="J3481" s="68"/>
      <c r="K3481" s="32"/>
      <c r="L3481" s="75">
        <v>3481</v>
      </c>
      <c r="M3481" s="75"/>
      <c r="N3481" s="70"/>
      <c r="O3481" s="77" t="s">
        <v>179</v>
      </c>
      <c r="P3481" s="79">
        <v>45023.047719907408</v>
      </c>
      <c r="Q3481" s="77" t="s">
        <v>4687</v>
      </c>
      <c r="R3481" s="77">
        <v>0</v>
      </c>
      <c r="S3481" s="77">
        <v>0</v>
      </c>
      <c r="T3481" s="77">
        <v>2</v>
      </c>
      <c r="U3481" s="77">
        <v>0</v>
      </c>
      <c r="V3481" s="77">
        <v>22</v>
      </c>
      <c r="W3481" s="82" t="s">
        <v>6767</v>
      </c>
      <c r="X3481" s="80" t="str">
        <f>HYPERLINK("https://vm.tiktok.com/ZMYp1fNPs/")</f>
        <v>https://vm.tiktok.com/ZMYp1fNPs/</v>
      </c>
      <c r="Y3481" s="77" t="s">
        <v>7306</v>
      </c>
      <c r="Z3481" s="77"/>
      <c r="AA3481" s="77"/>
      <c r="AB3481" s="77"/>
      <c r="AC3481" s="82" t="s">
        <v>10144</v>
      </c>
      <c r="AD3481" s="77" t="s">
        <v>10184</v>
      </c>
      <c r="AE3481" s="80" t="str">
        <f>HYPERLINK("https://twitter.com/kapituka/status/1644145142272516107")</f>
        <v>https://twitter.com/kapituka/status/1644145142272516107</v>
      </c>
      <c r="AF3481" s="79">
        <v>45023.047719907408</v>
      </c>
      <c r="AG3481" s="85">
        <v>45023</v>
      </c>
      <c r="AH3481" s="82" t="s">
        <v>13475</v>
      </c>
      <c r="AI3481" s="77" t="b">
        <v>0</v>
      </c>
      <c r="AJ3481" s="77"/>
      <c r="AK3481" s="77"/>
      <c r="AL3481" s="77"/>
      <c r="AM3481" s="77"/>
      <c r="AN3481" s="77"/>
      <c r="AO3481" s="77"/>
      <c r="AP3481" s="77"/>
      <c r="AQ3481" s="77"/>
      <c r="AR3481" s="77"/>
      <c r="AS3481" s="77"/>
      <c r="AT3481" s="77"/>
      <c r="AU3481" s="77"/>
      <c r="AV3481" s="80" t="str">
        <f>HYPERLINK("https://pbs.twimg.com/profile_images/1342121836688117760/sBwXm2k6_normal.jpg")</f>
        <v>https://pbs.twimg.com/profile_images/1342121836688117760/sBwXm2k6_normal.jpg</v>
      </c>
      <c r="AW3481" s="82" t="s">
        <v>20247</v>
      </c>
      <c r="AX3481" s="82" t="s">
        <v>20247</v>
      </c>
      <c r="AY3481" s="77"/>
      <c r="AZ3481" s="82" t="s">
        <v>20971</v>
      </c>
      <c r="BA3481" s="82" t="s">
        <v>20971</v>
      </c>
      <c r="BB3481" s="82" t="s">
        <v>20971</v>
      </c>
      <c r="BC3481" s="82" t="s">
        <v>20247</v>
      </c>
      <c r="BD3481" s="77">
        <v>49847318</v>
      </c>
      <c r="BE3481" s="77"/>
      <c r="BF3481" s="77"/>
      <c r="BG3481" s="77"/>
      <c r="BH3481" s="77"/>
      <c r="BI3481" s="77"/>
    </row>
    <row r="3482" spans="1:61" x14ac:dyDescent="0.25">
      <c r="A3482" s="62" t="s">
        <v>1013</v>
      </c>
      <c r="B3482" s="62" t="s">
        <v>1013</v>
      </c>
      <c r="C3482" s="63"/>
      <c r="D3482" s="64"/>
      <c r="E3482" s="65"/>
      <c r="F3482" s="66"/>
      <c r="G3482" s="63"/>
      <c r="H3482" s="67"/>
      <c r="I3482" s="68"/>
      <c r="J3482" s="68"/>
      <c r="K3482" s="32"/>
      <c r="L3482" s="75">
        <v>3482</v>
      </c>
      <c r="M3482" s="75"/>
      <c r="N3482" s="70"/>
      <c r="O3482" s="77" t="s">
        <v>179</v>
      </c>
      <c r="P3482" s="79">
        <v>45079.838472222225</v>
      </c>
      <c r="Q3482" s="77" t="s">
        <v>4688</v>
      </c>
      <c r="R3482" s="77">
        <v>0</v>
      </c>
      <c r="S3482" s="77">
        <v>0</v>
      </c>
      <c r="T3482" s="77">
        <v>1</v>
      </c>
      <c r="U3482" s="77">
        <v>0</v>
      </c>
      <c r="V3482" s="77">
        <v>21</v>
      </c>
      <c r="W3482" s="82" t="s">
        <v>5423</v>
      </c>
      <c r="X3482" s="80" t="str">
        <f>HYPERLINK("https://s.kwai.app/w/aQfrdBxd")</f>
        <v>https://s.kwai.app/w/aQfrdBxd</v>
      </c>
      <c r="Y3482" s="77" t="s">
        <v>7292</v>
      </c>
      <c r="Z3482" s="77"/>
      <c r="AA3482" s="77"/>
      <c r="AB3482" s="77"/>
      <c r="AC3482" s="82" t="s">
        <v>10144</v>
      </c>
      <c r="AD3482" s="77" t="s">
        <v>10184</v>
      </c>
      <c r="AE3482" s="80" t="str">
        <f>HYPERLINK("https://twitter.com/kapituka/status/1664725422616072196")</f>
        <v>https://twitter.com/kapituka/status/1664725422616072196</v>
      </c>
      <c r="AF3482" s="79">
        <v>45079.838472222225</v>
      </c>
      <c r="AG3482" s="85">
        <v>45079</v>
      </c>
      <c r="AH3482" s="82" t="s">
        <v>13476</v>
      </c>
      <c r="AI3482" s="77" t="b">
        <v>0</v>
      </c>
      <c r="AJ3482" s="77"/>
      <c r="AK3482" s="77"/>
      <c r="AL3482" s="77"/>
      <c r="AM3482" s="77"/>
      <c r="AN3482" s="77"/>
      <c r="AO3482" s="77"/>
      <c r="AP3482" s="77"/>
      <c r="AQ3482" s="77"/>
      <c r="AR3482" s="77"/>
      <c r="AS3482" s="77"/>
      <c r="AT3482" s="77"/>
      <c r="AU3482" s="77"/>
      <c r="AV3482" s="80" t="str">
        <f>HYPERLINK("https://pbs.twimg.com/profile_images/1342121836688117760/sBwXm2k6_normal.jpg")</f>
        <v>https://pbs.twimg.com/profile_images/1342121836688117760/sBwXm2k6_normal.jpg</v>
      </c>
      <c r="AW3482" s="82" t="s">
        <v>20248</v>
      </c>
      <c r="AX3482" s="82" t="s">
        <v>20248</v>
      </c>
      <c r="AY3482" s="77"/>
      <c r="AZ3482" s="82" t="s">
        <v>20971</v>
      </c>
      <c r="BA3482" s="82" t="s">
        <v>20971</v>
      </c>
      <c r="BB3482" s="82" t="s">
        <v>20971</v>
      </c>
      <c r="BC3482" s="82" t="s">
        <v>20248</v>
      </c>
      <c r="BD3482" s="77">
        <v>49847318</v>
      </c>
      <c r="BE3482" s="77"/>
      <c r="BF3482" s="77"/>
      <c r="BG3482" s="77"/>
      <c r="BH3482" s="77"/>
      <c r="BI3482" s="77"/>
    </row>
    <row r="3483" spans="1:61" x14ac:dyDescent="0.25">
      <c r="A3483" s="62" t="s">
        <v>1013</v>
      </c>
      <c r="B3483" s="62" t="s">
        <v>1013</v>
      </c>
      <c r="C3483" s="63"/>
      <c r="D3483" s="64"/>
      <c r="E3483" s="65"/>
      <c r="F3483" s="66"/>
      <c r="G3483" s="63"/>
      <c r="H3483" s="67"/>
      <c r="I3483" s="68"/>
      <c r="J3483" s="68"/>
      <c r="K3483" s="32"/>
      <c r="L3483" s="75">
        <v>3483</v>
      </c>
      <c r="M3483" s="75"/>
      <c r="N3483" s="70"/>
      <c r="O3483" s="77" t="s">
        <v>179</v>
      </c>
      <c r="P3483" s="79">
        <v>45075.852175925924</v>
      </c>
      <c r="Q3483" s="77" t="s">
        <v>4689</v>
      </c>
      <c r="R3483" s="77">
        <v>0</v>
      </c>
      <c r="S3483" s="77">
        <v>1</v>
      </c>
      <c r="T3483" s="77">
        <v>2</v>
      </c>
      <c r="U3483" s="77">
        <v>0</v>
      </c>
      <c r="V3483" s="77">
        <v>37</v>
      </c>
      <c r="W3483" s="82" t="s">
        <v>6768</v>
      </c>
      <c r="X3483" s="80" t="str">
        <f>HYPERLINK("https://s.kwai.app/w/jd8qQLtl")</f>
        <v>https://s.kwai.app/w/jd8qQLtl</v>
      </c>
      <c r="Y3483" s="77" t="s">
        <v>7292</v>
      </c>
      <c r="Z3483" s="77"/>
      <c r="AA3483" s="77"/>
      <c r="AB3483" s="77"/>
      <c r="AC3483" s="82" t="s">
        <v>10144</v>
      </c>
      <c r="AD3483" s="77" t="s">
        <v>10184</v>
      </c>
      <c r="AE3483" s="80" t="str">
        <f>HYPERLINK("https://twitter.com/kapituka/status/1663280838669221894")</f>
        <v>https://twitter.com/kapituka/status/1663280838669221894</v>
      </c>
      <c r="AF3483" s="79">
        <v>45075.852175925924</v>
      </c>
      <c r="AG3483" s="85">
        <v>45075</v>
      </c>
      <c r="AH3483" s="82" t="s">
        <v>13477</v>
      </c>
      <c r="AI3483" s="77" t="b">
        <v>0</v>
      </c>
      <c r="AJ3483" s="77"/>
      <c r="AK3483" s="77"/>
      <c r="AL3483" s="77"/>
      <c r="AM3483" s="77"/>
      <c r="AN3483" s="77"/>
      <c r="AO3483" s="77"/>
      <c r="AP3483" s="77"/>
      <c r="AQ3483" s="77"/>
      <c r="AR3483" s="77"/>
      <c r="AS3483" s="77"/>
      <c r="AT3483" s="77"/>
      <c r="AU3483" s="77"/>
      <c r="AV3483" s="80" t="str">
        <f>HYPERLINK("https://pbs.twimg.com/profile_images/1342121836688117760/sBwXm2k6_normal.jpg")</f>
        <v>https://pbs.twimg.com/profile_images/1342121836688117760/sBwXm2k6_normal.jpg</v>
      </c>
      <c r="AW3483" s="82" t="s">
        <v>20249</v>
      </c>
      <c r="AX3483" s="82" t="s">
        <v>20249</v>
      </c>
      <c r="AY3483" s="77"/>
      <c r="AZ3483" s="82" t="s">
        <v>20971</v>
      </c>
      <c r="BA3483" s="82" t="s">
        <v>20971</v>
      </c>
      <c r="BB3483" s="82" t="s">
        <v>20971</v>
      </c>
      <c r="BC3483" s="82" t="s">
        <v>20249</v>
      </c>
      <c r="BD3483" s="77">
        <v>49847318</v>
      </c>
      <c r="BE3483" s="77"/>
      <c r="BF3483" s="77"/>
      <c r="BG3483" s="77"/>
      <c r="BH3483" s="77"/>
      <c r="BI3483" s="77"/>
    </row>
    <row r="3484" spans="1:61" x14ac:dyDescent="0.25">
      <c r="A3484" s="62" t="s">
        <v>1013</v>
      </c>
      <c r="B3484" s="62" t="s">
        <v>1013</v>
      </c>
      <c r="C3484" s="63"/>
      <c r="D3484" s="64"/>
      <c r="E3484" s="65"/>
      <c r="F3484" s="66"/>
      <c r="G3484" s="63"/>
      <c r="H3484" s="67"/>
      <c r="I3484" s="68"/>
      <c r="J3484" s="68"/>
      <c r="K3484" s="32"/>
      <c r="L3484" s="75">
        <v>3484</v>
      </c>
      <c r="M3484" s="75"/>
      <c r="N3484" s="70"/>
      <c r="O3484" s="77" t="s">
        <v>179</v>
      </c>
      <c r="P3484" s="79">
        <v>45065.548321759263</v>
      </c>
      <c r="Q3484" s="77" t="s">
        <v>4690</v>
      </c>
      <c r="R3484" s="77">
        <v>0</v>
      </c>
      <c r="S3484" s="77">
        <v>0</v>
      </c>
      <c r="T3484" s="77">
        <v>0</v>
      </c>
      <c r="U3484" s="77">
        <v>0</v>
      </c>
      <c r="V3484" s="77">
        <v>89</v>
      </c>
      <c r="W3484" s="82" t="s">
        <v>6769</v>
      </c>
      <c r="X3484" s="80" t="str">
        <f>HYPERLINK("https://s.kwai.app/w/82Aydrkv")</f>
        <v>https://s.kwai.app/w/82Aydrkv</v>
      </c>
      <c r="Y3484" s="77" t="s">
        <v>7292</v>
      </c>
      <c r="Z3484" s="77"/>
      <c r="AA3484" s="77"/>
      <c r="AB3484" s="77"/>
      <c r="AC3484" s="82" t="s">
        <v>10144</v>
      </c>
      <c r="AD3484" s="77" t="s">
        <v>10184</v>
      </c>
      <c r="AE3484" s="80" t="str">
        <f>HYPERLINK("https://twitter.com/kapituka/status/1659546846295932929")</f>
        <v>https://twitter.com/kapituka/status/1659546846295932929</v>
      </c>
      <c r="AF3484" s="79">
        <v>45065.548321759263</v>
      </c>
      <c r="AG3484" s="85">
        <v>45065</v>
      </c>
      <c r="AH3484" s="82" t="s">
        <v>13478</v>
      </c>
      <c r="AI3484" s="77" t="b">
        <v>0</v>
      </c>
      <c r="AJ3484" s="77"/>
      <c r="AK3484" s="77"/>
      <c r="AL3484" s="77"/>
      <c r="AM3484" s="77"/>
      <c r="AN3484" s="77"/>
      <c r="AO3484" s="77"/>
      <c r="AP3484" s="77"/>
      <c r="AQ3484" s="77"/>
      <c r="AR3484" s="77"/>
      <c r="AS3484" s="77"/>
      <c r="AT3484" s="77"/>
      <c r="AU3484" s="77"/>
      <c r="AV3484" s="80" t="str">
        <f>HYPERLINK("https://pbs.twimg.com/profile_images/1342121836688117760/sBwXm2k6_normal.jpg")</f>
        <v>https://pbs.twimg.com/profile_images/1342121836688117760/sBwXm2k6_normal.jpg</v>
      </c>
      <c r="AW3484" s="82" t="s">
        <v>20250</v>
      </c>
      <c r="AX3484" s="82" t="s">
        <v>20250</v>
      </c>
      <c r="AY3484" s="77"/>
      <c r="AZ3484" s="82" t="s">
        <v>20971</v>
      </c>
      <c r="BA3484" s="82" t="s">
        <v>20971</v>
      </c>
      <c r="BB3484" s="82" t="s">
        <v>20971</v>
      </c>
      <c r="BC3484" s="82" t="s">
        <v>20250</v>
      </c>
      <c r="BD3484" s="77">
        <v>49847318</v>
      </c>
      <c r="BE3484" s="77"/>
      <c r="BF3484" s="77"/>
      <c r="BG3484" s="77"/>
      <c r="BH3484" s="77"/>
      <c r="BI3484" s="77"/>
    </row>
    <row r="3485" spans="1:61" x14ac:dyDescent="0.25">
      <c r="A3485" s="62" t="s">
        <v>1014</v>
      </c>
      <c r="B3485" s="62" t="s">
        <v>1014</v>
      </c>
      <c r="C3485" s="63"/>
      <c r="D3485" s="64"/>
      <c r="E3485" s="65"/>
      <c r="F3485" s="66"/>
      <c r="G3485" s="63"/>
      <c r="H3485" s="67"/>
      <c r="I3485" s="68"/>
      <c r="J3485" s="68"/>
      <c r="K3485" s="32"/>
      <c r="L3485" s="75">
        <v>3485</v>
      </c>
      <c r="M3485" s="75"/>
      <c r="N3485" s="70"/>
      <c r="O3485" s="77" t="s">
        <v>179</v>
      </c>
      <c r="P3485" s="79">
        <v>45036.828356481485</v>
      </c>
      <c r="Q3485" s="77" t="s">
        <v>4691</v>
      </c>
      <c r="R3485" s="77">
        <v>0</v>
      </c>
      <c r="S3485" s="77">
        <v>0</v>
      </c>
      <c r="T3485" s="77">
        <v>0</v>
      </c>
      <c r="U3485" s="77">
        <v>0</v>
      </c>
      <c r="V3485" s="77">
        <v>39</v>
      </c>
      <c r="W3485" s="82" t="s">
        <v>6770</v>
      </c>
      <c r="X3485" s="77"/>
      <c r="Y3485" s="77"/>
      <c r="Z3485" s="77"/>
      <c r="AA3485" s="77" t="s">
        <v>9799</v>
      </c>
      <c r="AB3485" s="77" t="s">
        <v>10130</v>
      </c>
      <c r="AC3485" s="82" t="s">
        <v>10144</v>
      </c>
      <c r="AD3485" s="77" t="s">
        <v>10184</v>
      </c>
      <c r="AE3485" s="80" t="str">
        <f>HYPERLINK("https://twitter.com/marmatstore/status/1649139079785639960")</f>
        <v>https://twitter.com/marmatstore/status/1649139079785639960</v>
      </c>
      <c r="AF3485" s="79">
        <v>45036.828356481485</v>
      </c>
      <c r="AG3485" s="85">
        <v>45036</v>
      </c>
      <c r="AH3485" s="82" t="s">
        <v>13479</v>
      </c>
      <c r="AI3485" s="77" t="b">
        <v>0</v>
      </c>
      <c r="AJ3485" s="77"/>
      <c r="AK3485" s="77"/>
      <c r="AL3485" s="77"/>
      <c r="AM3485" s="77"/>
      <c r="AN3485" s="77"/>
      <c r="AO3485" s="77"/>
      <c r="AP3485" s="77"/>
      <c r="AQ3485" s="77" t="s">
        <v>16442</v>
      </c>
      <c r="AR3485" s="77"/>
      <c r="AS3485" s="77"/>
      <c r="AT3485" s="77"/>
      <c r="AU3485" s="77"/>
      <c r="AV3485" s="80" t="str">
        <f>HYPERLINK("https://pbs.twimg.com/media/FuLrPnyWcAQwIZv.jpg")</f>
        <v>https://pbs.twimg.com/media/FuLrPnyWcAQwIZv.jpg</v>
      </c>
      <c r="AW3485" s="82" t="s">
        <v>20251</v>
      </c>
      <c r="AX3485" s="82" t="s">
        <v>20251</v>
      </c>
      <c r="AY3485" s="77"/>
      <c r="AZ3485" s="82" t="s">
        <v>20971</v>
      </c>
      <c r="BA3485" s="82" t="s">
        <v>20971</v>
      </c>
      <c r="BB3485" s="82" t="s">
        <v>20971</v>
      </c>
      <c r="BC3485" s="82" t="s">
        <v>20251</v>
      </c>
      <c r="BD3485" s="82" t="s">
        <v>21604</v>
      </c>
      <c r="BE3485" s="77"/>
      <c r="BF3485" s="77"/>
      <c r="BG3485" s="77"/>
      <c r="BH3485" s="77"/>
      <c r="BI3485" s="77"/>
    </row>
    <row r="3486" spans="1:61" x14ac:dyDescent="0.25">
      <c r="A3486" s="62" t="s">
        <v>1015</v>
      </c>
      <c r="B3486" s="62" t="s">
        <v>1015</v>
      </c>
      <c r="C3486" s="63"/>
      <c r="D3486" s="64"/>
      <c r="E3486" s="65"/>
      <c r="F3486" s="66"/>
      <c r="G3486" s="63"/>
      <c r="H3486" s="67"/>
      <c r="I3486" s="68"/>
      <c r="J3486" s="68"/>
      <c r="K3486" s="32"/>
      <c r="L3486" s="75">
        <v>3486</v>
      </c>
      <c r="M3486" s="75"/>
      <c r="N3486" s="70"/>
      <c r="O3486" s="77" t="s">
        <v>179</v>
      </c>
      <c r="P3486" s="79">
        <v>45084.919918981483</v>
      </c>
      <c r="Q3486" s="77" t="s">
        <v>4692</v>
      </c>
      <c r="R3486" s="77">
        <v>0</v>
      </c>
      <c r="S3486" s="77">
        <v>0</v>
      </c>
      <c r="T3486" s="77">
        <v>0</v>
      </c>
      <c r="U3486" s="77">
        <v>0</v>
      </c>
      <c r="V3486" s="77">
        <v>7</v>
      </c>
      <c r="W3486" s="82" t="s">
        <v>6771</v>
      </c>
      <c r="X3486" s="77"/>
      <c r="Y3486" s="77"/>
      <c r="Z3486" s="77"/>
      <c r="AA3486" s="77" t="s">
        <v>9800</v>
      </c>
      <c r="AB3486" s="77" t="s">
        <v>10129</v>
      </c>
      <c r="AC3486" s="82" t="s">
        <v>10144</v>
      </c>
      <c r="AD3486" s="77" t="s">
        <v>10184</v>
      </c>
      <c r="AE3486" s="80" t="str">
        <f>HYPERLINK("https://twitter.com/sandrinnis19082/status/1666566876971823104")</f>
        <v>https://twitter.com/sandrinnis19082/status/1666566876971823104</v>
      </c>
      <c r="AF3486" s="79">
        <v>45084.919918981483</v>
      </c>
      <c r="AG3486" s="85">
        <v>45084</v>
      </c>
      <c r="AH3486" s="82" t="s">
        <v>13480</v>
      </c>
      <c r="AI3486" s="77" t="b">
        <v>0</v>
      </c>
      <c r="AJ3486" s="77"/>
      <c r="AK3486" s="77"/>
      <c r="AL3486" s="77"/>
      <c r="AM3486" s="77"/>
      <c r="AN3486" s="77"/>
      <c r="AO3486" s="77"/>
      <c r="AP3486" s="77"/>
      <c r="AQ3486" s="77" t="s">
        <v>16443</v>
      </c>
      <c r="AR3486" s="77">
        <v>10000</v>
      </c>
      <c r="AS3486" s="77"/>
      <c r="AT3486" s="77"/>
      <c r="AU3486" s="77"/>
      <c r="AV3486" s="80" t="str">
        <f>HYPERLINK("https://pbs.twimg.com/ext_tw_video_thumb/1666566843245445120/pu/img/FmG6EcnJZquOUvrx.jpg")</f>
        <v>https://pbs.twimg.com/ext_tw_video_thumb/1666566843245445120/pu/img/FmG6EcnJZquOUvrx.jpg</v>
      </c>
      <c r="AW3486" s="82" t="s">
        <v>20252</v>
      </c>
      <c r="AX3486" s="82" t="s">
        <v>20252</v>
      </c>
      <c r="AY3486" s="77"/>
      <c r="AZ3486" s="82" t="s">
        <v>20971</v>
      </c>
      <c r="BA3486" s="82" t="s">
        <v>20971</v>
      </c>
      <c r="BB3486" s="82" t="s">
        <v>20971</v>
      </c>
      <c r="BC3486" s="82" t="s">
        <v>20252</v>
      </c>
      <c r="BD3486" s="82" t="s">
        <v>21605</v>
      </c>
      <c r="BE3486" s="77"/>
      <c r="BF3486" s="77"/>
      <c r="BG3486" s="77"/>
      <c r="BH3486" s="77"/>
      <c r="BI3486" s="77"/>
    </row>
    <row r="3487" spans="1:61" x14ac:dyDescent="0.25">
      <c r="A3487" s="62" t="s">
        <v>1016</v>
      </c>
      <c r="B3487" s="62" t="s">
        <v>1241</v>
      </c>
      <c r="C3487" s="63"/>
      <c r="D3487" s="64"/>
      <c r="E3487" s="65"/>
      <c r="F3487" s="66"/>
      <c r="G3487" s="63"/>
      <c r="H3487" s="67"/>
      <c r="I3487" s="68"/>
      <c r="J3487" s="68"/>
      <c r="K3487" s="32"/>
      <c r="L3487" s="75">
        <v>3487</v>
      </c>
      <c r="M3487" s="75"/>
      <c r="N3487" s="70"/>
      <c r="O3487" s="77" t="s">
        <v>1285</v>
      </c>
      <c r="P3487" s="79">
        <v>44956.479247685187</v>
      </c>
      <c r="Q3487" s="77" t="s">
        <v>4693</v>
      </c>
      <c r="R3487" s="77">
        <v>0</v>
      </c>
      <c r="S3487" s="77">
        <v>0</v>
      </c>
      <c r="T3487" s="77">
        <v>0</v>
      </c>
      <c r="U3487" s="77">
        <v>0</v>
      </c>
      <c r="V3487" s="77">
        <v>17</v>
      </c>
      <c r="W3487" s="82" t="s">
        <v>6772</v>
      </c>
      <c r="X3487" s="80" t="str">
        <f>HYPERLINK("https://youtu.be/p5F3YnAUn6A")</f>
        <v>https://youtu.be/p5F3YnAUn6A</v>
      </c>
      <c r="Y3487" s="77" t="s">
        <v>7248</v>
      </c>
      <c r="Z3487" s="77" t="s">
        <v>1241</v>
      </c>
      <c r="AA3487" s="77"/>
      <c r="AB3487" s="77"/>
      <c r="AC3487" s="82" t="s">
        <v>10146</v>
      </c>
      <c r="AD3487" s="77" t="s">
        <v>10184</v>
      </c>
      <c r="AE3487" s="80" t="str">
        <f>HYPERLINK("https://twitter.com/reviewautocon/status/1620021534445416450")</f>
        <v>https://twitter.com/reviewautocon/status/1620021534445416450</v>
      </c>
      <c r="AF3487" s="79">
        <v>44956.479247685187</v>
      </c>
      <c r="AG3487" s="85">
        <v>44956</v>
      </c>
      <c r="AH3487" s="82" t="s">
        <v>13481</v>
      </c>
      <c r="AI3487" s="77" t="b">
        <v>0</v>
      </c>
      <c r="AJ3487" s="77"/>
      <c r="AK3487" s="77"/>
      <c r="AL3487" s="77"/>
      <c r="AM3487" s="77"/>
      <c r="AN3487" s="77"/>
      <c r="AO3487" s="77"/>
      <c r="AP3487" s="77"/>
      <c r="AQ3487" s="77"/>
      <c r="AR3487" s="77"/>
      <c r="AS3487" s="77"/>
      <c r="AT3487" s="77"/>
      <c r="AU3487" s="77"/>
      <c r="AV3487" s="80" t="str">
        <f>HYPERLINK("https://pbs.twimg.com/profile_images/1611395590008479745/_6uCxw8f_normal.jpg")</f>
        <v>https://pbs.twimg.com/profile_images/1611395590008479745/_6uCxw8f_normal.jpg</v>
      </c>
      <c r="AW3487" s="82" t="s">
        <v>20253</v>
      </c>
      <c r="AX3487" s="82" t="s">
        <v>20253</v>
      </c>
      <c r="AY3487" s="77"/>
      <c r="AZ3487" s="82" t="s">
        <v>20971</v>
      </c>
      <c r="BA3487" s="82" t="s">
        <v>20971</v>
      </c>
      <c r="BB3487" s="82" t="s">
        <v>20971</v>
      </c>
      <c r="BC3487" s="82" t="s">
        <v>20253</v>
      </c>
      <c r="BD3487" s="82" t="s">
        <v>21606</v>
      </c>
      <c r="BE3487" s="77"/>
      <c r="BF3487" s="77"/>
      <c r="BG3487" s="77"/>
      <c r="BH3487" s="77"/>
      <c r="BI3487" s="77"/>
    </row>
    <row r="3488" spans="1:61" x14ac:dyDescent="0.25">
      <c r="A3488" s="62" t="s">
        <v>1017</v>
      </c>
      <c r="B3488" s="62" t="s">
        <v>1017</v>
      </c>
      <c r="C3488" s="63"/>
      <c r="D3488" s="64"/>
      <c r="E3488" s="65"/>
      <c r="F3488" s="66"/>
      <c r="G3488" s="63"/>
      <c r="H3488" s="67"/>
      <c r="I3488" s="68"/>
      <c r="J3488" s="68"/>
      <c r="K3488" s="32"/>
      <c r="L3488" s="75">
        <v>3488</v>
      </c>
      <c r="M3488" s="75"/>
      <c r="N3488" s="70"/>
      <c r="O3488" s="77" t="s">
        <v>179</v>
      </c>
      <c r="P3488" s="79">
        <v>45029.085428240738</v>
      </c>
      <c r="Q3488" s="77" t="s">
        <v>4694</v>
      </c>
      <c r="R3488" s="77">
        <v>0</v>
      </c>
      <c r="S3488" s="77">
        <v>0</v>
      </c>
      <c r="T3488" s="77">
        <v>0</v>
      </c>
      <c r="U3488" s="77">
        <v>0</v>
      </c>
      <c r="V3488" s="77">
        <v>94</v>
      </c>
      <c r="W3488" s="82" t="s">
        <v>6773</v>
      </c>
      <c r="X3488" s="80" t="str">
        <f>HYPERLINK("https://ev.braip.com/ref?pv=proyvzz9&amp;af=afivoz54q")</f>
        <v>https://ev.braip.com/ref?pv=proyvzz9&amp;af=afivoz54q</v>
      </c>
      <c r="Y3488" s="77" t="s">
        <v>7278</v>
      </c>
      <c r="Z3488" s="77"/>
      <c r="AA3488" s="77" t="s">
        <v>9801</v>
      </c>
      <c r="AB3488" s="77" t="s">
        <v>10130</v>
      </c>
      <c r="AC3488" s="82" t="s">
        <v>10146</v>
      </c>
      <c r="AD3488" s="77" t="s">
        <v>10184</v>
      </c>
      <c r="AE3488" s="80" t="str">
        <f>HYPERLINK("https://twitter.com/atacadodes31049/status/1646333135754330112")</f>
        <v>https://twitter.com/atacadodes31049/status/1646333135754330112</v>
      </c>
      <c r="AF3488" s="79">
        <v>45029.085428240738</v>
      </c>
      <c r="AG3488" s="85">
        <v>45029</v>
      </c>
      <c r="AH3488" s="82" t="s">
        <v>13482</v>
      </c>
      <c r="AI3488" s="77" t="b">
        <v>0</v>
      </c>
      <c r="AJ3488" s="77"/>
      <c r="AK3488" s="77"/>
      <c r="AL3488" s="77"/>
      <c r="AM3488" s="77"/>
      <c r="AN3488" s="77"/>
      <c r="AO3488" s="77"/>
      <c r="AP3488" s="77"/>
      <c r="AQ3488" s="77" t="s">
        <v>16444</v>
      </c>
      <c r="AR3488" s="77"/>
      <c r="AS3488" s="77"/>
      <c r="AT3488" s="77"/>
      <c r="AU3488" s="77"/>
      <c r="AV3488" s="80" t="str">
        <f>HYPERLINK("https://pbs.twimg.com/media/FtjzQCdWcAILgev.jpg")</f>
        <v>https://pbs.twimg.com/media/FtjzQCdWcAILgev.jpg</v>
      </c>
      <c r="AW3488" s="82" t="s">
        <v>20254</v>
      </c>
      <c r="AX3488" s="82" t="s">
        <v>20254</v>
      </c>
      <c r="AY3488" s="77"/>
      <c r="AZ3488" s="82" t="s">
        <v>20971</v>
      </c>
      <c r="BA3488" s="82" t="s">
        <v>20971</v>
      </c>
      <c r="BB3488" s="82" t="s">
        <v>20971</v>
      </c>
      <c r="BC3488" s="82" t="s">
        <v>20254</v>
      </c>
      <c r="BD3488" s="82" t="s">
        <v>21607</v>
      </c>
      <c r="BE3488" s="77"/>
      <c r="BF3488" s="77"/>
      <c r="BG3488" s="77"/>
      <c r="BH3488" s="77"/>
      <c r="BI3488" s="77"/>
    </row>
    <row r="3489" spans="1:61" x14ac:dyDescent="0.25">
      <c r="A3489" s="62" t="s">
        <v>1018</v>
      </c>
      <c r="B3489" s="62" t="s">
        <v>1018</v>
      </c>
      <c r="C3489" s="63"/>
      <c r="D3489" s="64"/>
      <c r="E3489" s="65"/>
      <c r="F3489" s="66"/>
      <c r="G3489" s="63"/>
      <c r="H3489" s="67"/>
      <c r="I3489" s="68"/>
      <c r="J3489" s="68"/>
      <c r="K3489" s="32"/>
      <c r="L3489" s="75">
        <v>3489</v>
      </c>
      <c r="M3489" s="75"/>
      <c r="N3489" s="70"/>
      <c r="O3489" s="77" t="s">
        <v>179</v>
      </c>
      <c r="P3489" s="79">
        <v>44959.515277777777</v>
      </c>
      <c r="Q3489" s="77" t="s">
        <v>4695</v>
      </c>
      <c r="R3489" s="77">
        <v>0</v>
      </c>
      <c r="S3489" s="77">
        <v>0</v>
      </c>
      <c r="T3489" s="77">
        <v>0</v>
      </c>
      <c r="U3489" s="77">
        <v>0</v>
      </c>
      <c r="V3489" s="77">
        <v>57</v>
      </c>
      <c r="W3489" s="82" t="s">
        <v>6774</v>
      </c>
      <c r="X3489" s="80" t="str">
        <f>HYPERLINK("https://www.instagram.com/p/CoKOryaO5KW/?igshid=YTgzYjQ4ZTY=")</f>
        <v>https://www.instagram.com/p/CoKOryaO5KW/?igshid=YTgzYjQ4ZTY=</v>
      </c>
      <c r="Y3489" s="77" t="s">
        <v>7250</v>
      </c>
      <c r="Z3489" s="77"/>
      <c r="AA3489" s="77"/>
      <c r="AB3489" s="77"/>
      <c r="AC3489" s="82" t="s">
        <v>10148</v>
      </c>
      <c r="AD3489" s="77" t="s">
        <v>10184</v>
      </c>
      <c r="AE3489" s="80" t="str">
        <f>HYPERLINK("https://twitter.com/juninhobraguim/status/1621121758869725184")</f>
        <v>https://twitter.com/juninhobraguim/status/1621121758869725184</v>
      </c>
      <c r="AF3489" s="79">
        <v>44959.515277777777</v>
      </c>
      <c r="AG3489" s="85">
        <v>44959</v>
      </c>
      <c r="AH3489" s="82" t="s">
        <v>13483</v>
      </c>
      <c r="AI3489" s="77" t="b">
        <v>0</v>
      </c>
      <c r="AJ3489" s="77"/>
      <c r="AK3489" s="77"/>
      <c r="AL3489" s="77"/>
      <c r="AM3489" s="77"/>
      <c r="AN3489" s="77"/>
      <c r="AO3489" s="77"/>
      <c r="AP3489" s="77"/>
      <c r="AQ3489" s="77"/>
      <c r="AR3489" s="77"/>
      <c r="AS3489" s="77"/>
      <c r="AT3489" s="77"/>
      <c r="AU3489" s="77"/>
      <c r="AV3489" s="80" t="str">
        <f>HYPERLINK("https://pbs.twimg.com/profile_images/1574763230995648513/Pleog974_normal.jpg")</f>
        <v>https://pbs.twimg.com/profile_images/1574763230995648513/Pleog974_normal.jpg</v>
      </c>
      <c r="AW3489" s="82" t="s">
        <v>20255</v>
      </c>
      <c r="AX3489" s="82" t="s">
        <v>20255</v>
      </c>
      <c r="AY3489" s="77"/>
      <c r="AZ3489" s="82" t="s">
        <v>20971</v>
      </c>
      <c r="BA3489" s="82" t="s">
        <v>20971</v>
      </c>
      <c r="BB3489" s="82" t="s">
        <v>20971</v>
      </c>
      <c r="BC3489" s="82" t="s">
        <v>20255</v>
      </c>
      <c r="BD3489" s="77">
        <v>142468587</v>
      </c>
      <c r="BE3489" s="77"/>
      <c r="BF3489" s="77"/>
      <c r="BG3489" s="77"/>
      <c r="BH3489" s="77"/>
      <c r="BI3489" s="77"/>
    </row>
    <row r="3490" spans="1:61" x14ac:dyDescent="0.25">
      <c r="A3490" s="62" t="s">
        <v>1019</v>
      </c>
      <c r="B3490" s="62" t="s">
        <v>1019</v>
      </c>
      <c r="C3490" s="63"/>
      <c r="D3490" s="64"/>
      <c r="E3490" s="65"/>
      <c r="F3490" s="66"/>
      <c r="G3490" s="63"/>
      <c r="H3490" s="67"/>
      <c r="I3490" s="68"/>
      <c r="J3490" s="68"/>
      <c r="K3490" s="32"/>
      <c r="L3490" s="75">
        <v>3490</v>
      </c>
      <c r="M3490" s="75"/>
      <c r="N3490" s="70"/>
      <c r="O3490" s="77" t="s">
        <v>179</v>
      </c>
      <c r="P3490" s="79">
        <v>45125.491886574076</v>
      </c>
      <c r="Q3490" s="77" t="s">
        <v>4696</v>
      </c>
      <c r="R3490" s="77">
        <v>0</v>
      </c>
      <c r="S3490" s="77">
        <v>0</v>
      </c>
      <c r="T3490" s="77">
        <v>0</v>
      </c>
      <c r="U3490" s="77">
        <v>0</v>
      </c>
      <c r="V3490" s="77">
        <v>17</v>
      </c>
      <c r="W3490" s="82" t="s">
        <v>6775</v>
      </c>
      <c r="X3490" s="77"/>
      <c r="Y3490" s="77"/>
      <c r="Z3490" s="77"/>
      <c r="AA3490" s="77" t="s">
        <v>9802</v>
      </c>
      <c r="AB3490" s="77" t="s">
        <v>10130</v>
      </c>
      <c r="AC3490" s="82" t="s">
        <v>10145</v>
      </c>
      <c r="AD3490" s="77" t="s">
        <v>10184</v>
      </c>
      <c r="AE3490" s="80" t="str">
        <f>HYPERLINK("https://twitter.com/diegoskda/status/1681269666751078402")</f>
        <v>https://twitter.com/diegoskda/status/1681269666751078402</v>
      </c>
      <c r="AF3490" s="79">
        <v>45125.491886574076</v>
      </c>
      <c r="AG3490" s="85">
        <v>45125</v>
      </c>
      <c r="AH3490" s="82" t="s">
        <v>13484</v>
      </c>
      <c r="AI3490" s="77" t="b">
        <v>0</v>
      </c>
      <c r="AJ3490" s="77"/>
      <c r="AK3490" s="77"/>
      <c r="AL3490" s="77"/>
      <c r="AM3490" s="77"/>
      <c r="AN3490" s="77"/>
      <c r="AO3490" s="77"/>
      <c r="AP3490" s="77"/>
      <c r="AQ3490" s="77" t="s">
        <v>16445</v>
      </c>
      <c r="AR3490" s="77"/>
      <c r="AS3490" s="77"/>
      <c r="AT3490" s="77"/>
      <c r="AU3490" s="77"/>
      <c r="AV3490" s="80" t="str">
        <f>HYPERLINK("https://pbs.twimg.com/media/F1UR0-dXwAALsWf.jpg")</f>
        <v>https://pbs.twimg.com/media/F1UR0-dXwAALsWf.jpg</v>
      </c>
      <c r="AW3490" s="82" t="s">
        <v>20256</v>
      </c>
      <c r="AX3490" s="82" t="s">
        <v>20256</v>
      </c>
      <c r="AY3490" s="77"/>
      <c r="AZ3490" s="82" t="s">
        <v>20971</v>
      </c>
      <c r="BA3490" s="82" t="s">
        <v>20971</v>
      </c>
      <c r="BB3490" s="82" t="s">
        <v>20971</v>
      </c>
      <c r="BC3490" s="82" t="s">
        <v>20256</v>
      </c>
      <c r="BD3490" s="82" t="s">
        <v>21608</v>
      </c>
      <c r="BE3490" s="77"/>
      <c r="BF3490" s="77"/>
      <c r="BG3490" s="77"/>
      <c r="BH3490" s="77"/>
      <c r="BI3490" s="77"/>
    </row>
    <row r="3491" spans="1:61" x14ac:dyDescent="0.25">
      <c r="A3491" s="62" t="s">
        <v>1020</v>
      </c>
      <c r="B3491" s="62" t="s">
        <v>1020</v>
      </c>
      <c r="C3491" s="63"/>
      <c r="D3491" s="64"/>
      <c r="E3491" s="65"/>
      <c r="F3491" s="66"/>
      <c r="G3491" s="63"/>
      <c r="H3491" s="67"/>
      <c r="I3491" s="68"/>
      <c r="J3491" s="68"/>
      <c r="K3491" s="32"/>
      <c r="L3491" s="75">
        <v>3491</v>
      </c>
      <c r="M3491" s="75"/>
      <c r="N3491" s="70"/>
      <c r="O3491" s="77" t="s">
        <v>179</v>
      </c>
      <c r="P3491" s="79">
        <v>45028.088599537034</v>
      </c>
      <c r="Q3491" s="77" t="s">
        <v>4697</v>
      </c>
      <c r="R3491" s="77">
        <v>0</v>
      </c>
      <c r="S3491" s="77">
        <v>0</v>
      </c>
      <c r="T3491" s="77">
        <v>0</v>
      </c>
      <c r="U3491" s="77">
        <v>0</v>
      </c>
      <c r="V3491" s="77">
        <v>6</v>
      </c>
      <c r="W3491" s="82" t="s">
        <v>6776</v>
      </c>
      <c r="X3491" s="80" t="str">
        <f>HYPERLINK("https://beyourboss.com.br/?campanha_chave=AASAR&amp;trackerId=a486512699c9873a74d4125d33081cdf&amp;a=11238049")</f>
        <v>https://beyourboss.com.br/?campanha_chave=AASAR&amp;trackerId=a486512699c9873a74d4125d33081cdf&amp;a=11238049</v>
      </c>
      <c r="Y3491" s="77" t="s">
        <v>7252</v>
      </c>
      <c r="Z3491" s="77"/>
      <c r="AA3491" s="77" t="s">
        <v>9803</v>
      </c>
      <c r="AB3491" s="77" t="s">
        <v>10130</v>
      </c>
      <c r="AC3491" s="82" t="s">
        <v>10144</v>
      </c>
      <c r="AD3491" s="77" t="s">
        <v>10184</v>
      </c>
      <c r="AE3491" s="80" t="str">
        <f>HYPERLINK("https://twitter.com/flavmartiins/status/1645971898134675456")</f>
        <v>https://twitter.com/flavmartiins/status/1645971898134675456</v>
      </c>
      <c r="AF3491" s="79">
        <v>45028.088599537034</v>
      </c>
      <c r="AG3491" s="85">
        <v>45028</v>
      </c>
      <c r="AH3491" s="82" t="s">
        <v>12834</v>
      </c>
      <c r="AI3491" s="77" t="b">
        <v>0</v>
      </c>
      <c r="AJ3491" s="77"/>
      <c r="AK3491" s="77"/>
      <c r="AL3491" s="77"/>
      <c r="AM3491" s="77"/>
      <c r="AN3491" s="77"/>
      <c r="AO3491" s="77"/>
      <c r="AP3491" s="77"/>
      <c r="AQ3491" s="77" t="s">
        <v>16446</v>
      </c>
      <c r="AR3491" s="77"/>
      <c r="AS3491" s="77"/>
      <c r="AT3491" s="77"/>
      <c r="AU3491" s="77"/>
      <c r="AV3491" s="80" t="str">
        <f>HYPERLINK("https://pbs.twimg.com/media/FtequA8XoAE-L7V.jpg")</f>
        <v>https://pbs.twimg.com/media/FtequA8XoAE-L7V.jpg</v>
      </c>
      <c r="AW3491" s="82" t="s">
        <v>20257</v>
      </c>
      <c r="AX3491" s="82" t="s">
        <v>20257</v>
      </c>
      <c r="AY3491" s="77"/>
      <c r="AZ3491" s="82" t="s">
        <v>20971</v>
      </c>
      <c r="BA3491" s="82" t="s">
        <v>20971</v>
      </c>
      <c r="BB3491" s="82" t="s">
        <v>20971</v>
      </c>
      <c r="BC3491" s="82" t="s">
        <v>20257</v>
      </c>
      <c r="BD3491" s="82" t="s">
        <v>21609</v>
      </c>
      <c r="BE3491" s="77"/>
      <c r="BF3491" s="77"/>
      <c r="BG3491" s="77"/>
      <c r="BH3491" s="77"/>
      <c r="BI3491" s="77"/>
    </row>
    <row r="3492" spans="1:61" x14ac:dyDescent="0.25">
      <c r="A3492" s="62" t="s">
        <v>1021</v>
      </c>
      <c r="B3492" s="62" t="s">
        <v>1241</v>
      </c>
      <c r="C3492" s="63"/>
      <c r="D3492" s="64"/>
      <c r="E3492" s="65"/>
      <c r="F3492" s="66"/>
      <c r="G3492" s="63"/>
      <c r="H3492" s="67"/>
      <c r="I3492" s="68"/>
      <c r="J3492" s="68"/>
      <c r="K3492" s="32"/>
      <c r="L3492" s="75">
        <v>3492</v>
      </c>
      <c r="M3492" s="75"/>
      <c r="N3492" s="70"/>
      <c r="O3492" s="77" t="s">
        <v>1285</v>
      </c>
      <c r="P3492" s="79">
        <v>45185.869756944441</v>
      </c>
      <c r="Q3492" s="77" t="s">
        <v>4698</v>
      </c>
      <c r="R3492" s="77">
        <v>0</v>
      </c>
      <c r="S3492" s="77">
        <v>0</v>
      </c>
      <c r="T3492" s="77">
        <v>0</v>
      </c>
      <c r="U3492" s="77">
        <v>0</v>
      </c>
      <c r="V3492" s="77">
        <v>8</v>
      </c>
      <c r="W3492" s="82" t="s">
        <v>6777</v>
      </c>
      <c r="X3492" s="80" t="str">
        <f>HYPERLINK("https://youtu.be/NtKiyhZYwK8?si=1THlT8EE1jrEa-Q-")</f>
        <v>https://youtu.be/NtKiyhZYwK8?si=1THlT8EE1jrEa-Q-</v>
      </c>
      <c r="Y3492" s="77" t="s">
        <v>7248</v>
      </c>
      <c r="Z3492" s="77" t="s">
        <v>1241</v>
      </c>
      <c r="AA3492" s="77"/>
      <c r="AB3492" s="77"/>
      <c r="AC3492" s="82" t="s">
        <v>10146</v>
      </c>
      <c r="AD3492" s="77" t="s">
        <v>10184</v>
      </c>
      <c r="AE3492" s="80" t="str">
        <f>HYPERLINK("https://twitter.com/tbccrypto/status/1703149871966888167")</f>
        <v>https://twitter.com/tbccrypto/status/1703149871966888167</v>
      </c>
      <c r="AF3492" s="79">
        <v>45185.869756944441</v>
      </c>
      <c r="AG3492" s="85">
        <v>45185</v>
      </c>
      <c r="AH3492" s="82" t="s">
        <v>13485</v>
      </c>
      <c r="AI3492" s="77" t="b">
        <v>1</v>
      </c>
      <c r="AJ3492" s="77"/>
      <c r="AK3492" s="77"/>
      <c r="AL3492" s="77"/>
      <c r="AM3492" s="77"/>
      <c r="AN3492" s="77"/>
      <c r="AO3492" s="77"/>
      <c r="AP3492" s="77"/>
      <c r="AQ3492" s="77"/>
      <c r="AR3492" s="77"/>
      <c r="AS3492" s="77"/>
      <c r="AT3492" s="77"/>
      <c r="AU3492" s="77"/>
      <c r="AV3492" s="80" t="str">
        <f>HYPERLINK("https://pbs.twimg.com/profile_images/1688965831105863680/HCWLZsCa_normal.jpg")</f>
        <v>https://pbs.twimg.com/profile_images/1688965831105863680/HCWLZsCa_normal.jpg</v>
      </c>
      <c r="AW3492" s="82" t="s">
        <v>20258</v>
      </c>
      <c r="AX3492" s="82" t="s">
        <v>20258</v>
      </c>
      <c r="AY3492" s="77"/>
      <c r="AZ3492" s="82" t="s">
        <v>20971</v>
      </c>
      <c r="BA3492" s="82" t="s">
        <v>20971</v>
      </c>
      <c r="BB3492" s="82" t="s">
        <v>20971</v>
      </c>
      <c r="BC3492" s="82" t="s">
        <v>20258</v>
      </c>
      <c r="BD3492" s="82" t="s">
        <v>21610</v>
      </c>
      <c r="BE3492" s="77"/>
      <c r="BF3492" s="77"/>
      <c r="BG3492" s="77"/>
      <c r="BH3492" s="77"/>
      <c r="BI3492" s="77"/>
    </row>
    <row r="3493" spans="1:61" x14ac:dyDescent="0.25">
      <c r="A3493" s="62" t="s">
        <v>1022</v>
      </c>
      <c r="B3493" s="62" t="s">
        <v>1022</v>
      </c>
      <c r="C3493" s="63"/>
      <c r="D3493" s="64"/>
      <c r="E3493" s="65"/>
      <c r="F3493" s="66"/>
      <c r="G3493" s="63"/>
      <c r="H3493" s="67"/>
      <c r="I3493" s="68"/>
      <c r="J3493" s="68"/>
      <c r="K3493" s="32"/>
      <c r="L3493" s="75">
        <v>3493</v>
      </c>
      <c r="M3493" s="75"/>
      <c r="N3493" s="70"/>
      <c r="O3493" s="77" t="s">
        <v>179</v>
      </c>
      <c r="P3493" s="79">
        <v>45196.810428240744</v>
      </c>
      <c r="Q3493" s="77" t="s">
        <v>4699</v>
      </c>
      <c r="R3493" s="77">
        <v>0</v>
      </c>
      <c r="S3493" s="77">
        <v>0</v>
      </c>
      <c r="T3493" s="77">
        <v>0</v>
      </c>
      <c r="U3493" s="77">
        <v>0</v>
      </c>
      <c r="V3493" s="77">
        <v>7</v>
      </c>
      <c r="W3493" s="82" t="s">
        <v>5236</v>
      </c>
      <c r="X3493" s="80" t="str">
        <f>HYPERLINK("https://t.me/+iQc_FJ6jjaVlNGNh")</f>
        <v>https://t.me/+iQc_FJ6jjaVlNGNh</v>
      </c>
      <c r="Y3493" s="77" t="s">
        <v>7312</v>
      </c>
      <c r="Z3493" s="77"/>
      <c r="AA3493" s="77"/>
      <c r="AB3493" s="77"/>
      <c r="AC3493" s="82" t="s">
        <v>10146</v>
      </c>
      <c r="AD3493" s="77" t="s">
        <v>10184</v>
      </c>
      <c r="AE3493" s="80" t="str">
        <f>HYPERLINK("https://twitter.com/shaderman_/status/1707114639081787486")</f>
        <v>https://twitter.com/shaderman_/status/1707114639081787486</v>
      </c>
      <c r="AF3493" s="79">
        <v>45196.810428240744</v>
      </c>
      <c r="AG3493" s="85">
        <v>45196</v>
      </c>
      <c r="AH3493" s="82" t="s">
        <v>13486</v>
      </c>
      <c r="AI3493" s="77" t="b">
        <v>0</v>
      </c>
      <c r="AJ3493" s="77"/>
      <c r="AK3493" s="77"/>
      <c r="AL3493" s="77"/>
      <c r="AM3493" s="77"/>
      <c r="AN3493" s="77"/>
      <c r="AO3493" s="77"/>
      <c r="AP3493" s="77"/>
      <c r="AQ3493" s="77"/>
      <c r="AR3493" s="77"/>
      <c r="AS3493" s="77"/>
      <c r="AT3493" s="77"/>
      <c r="AU3493" s="77"/>
      <c r="AV3493" s="80" t="str">
        <f>HYPERLINK("https://pbs.twimg.com/profile_images/1705626175765188608/5CUN6rUN_normal.jpg")</f>
        <v>https://pbs.twimg.com/profile_images/1705626175765188608/5CUN6rUN_normal.jpg</v>
      </c>
      <c r="AW3493" s="82" t="s">
        <v>20259</v>
      </c>
      <c r="AX3493" s="82" t="s">
        <v>20259</v>
      </c>
      <c r="AY3493" s="77"/>
      <c r="AZ3493" s="82" t="s">
        <v>20971</v>
      </c>
      <c r="BA3493" s="82" t="s">
        <v>20971</v>
      </c>
      <c r="BB3493" s="82" t="s">
        <v>20971</v>
      </c>
      <c r="BC3493" s="82" t="s">
        <v>20259</v>
      </c>
      <c r="BD3493" s="82" t="s">
        <v>21611</v>
      </c>
      <c r="BE3493" s="77"/>
      <c r="BF3493" s="77"/>
      <c r="BG3493" s="77"/>
      <c r="BH3493" s="77"/>
      <c r="BI3493" s="77"/>
    </row>
    <row r="3494" spans="1:61" x14ac:dyDescent="0.25">
      <c r="A3494" s="62" t="s">
        <v>1023</v>
      </c>
      <c r="B3494" s="62" t="s">
        <v>1023</v>
      </c>
      <c r="C3494" s="63"/>
      <c r="D3494" s="64"/>
      <c r="E3494" s="65"/>
      <c r="F3494" s="66"/>
      <c r="G3494" s="63"/>
      <c r="H3494" s="67"/>
      <c r="I3494" s="68"/>
      <c r="J3494" s="68"/>
      <c r="K3494" s="32"/>
      <c r="L3494" s="75">
        <v>3494</v>
      </c>
      <c r="M3494" s="75"/>
      <c r="N3494" s="70"/>
      <c r="O3494" s="77" t="s">
        <v>179</v>
      </c>
      <c r="P3494" s="79">
        <v>45034.668541666666</v>
      </c>
      <c r="Q3494" s="77" t="s">
        <v>4700</v>
      </c>
      <c r="R3494" s="77">
        <v>0</v>
      </c>
      <c r="S3494" s="77">
        <v>0</v>
      </c>
      <c r="T3494" s="77">
        <v>0</v>
      </c>
      <c r="U3494" s="77">
        <v>0</v>
      </c>
      <c r="V3494" s="77">
        <v>44</v>
      </c>
      <c r="W3494" s="82" t="s">
        <v>6778</v>
      </c>
      <c r="X3494" s="77"/>
      <c r="Y3494" s="77"/>
      <c r="Z3494" s="77"/>
      <c r="AA3494" s="77" t="s">
        <v>9804</v>
      </c>
      <c r="AB3494" s="77" t="s">
        <v>10130</v>
      </c>
      <c r="AC3494" s="82" t="s">
        <v>10145</v>
      </c>
      <c r="AD3494" s="77" t="s">
        <v>10184</v>
      </c>
      <c r="AE3494" s="80" t="str">
        <f>HYPERLINK("https://twitter.com/taniacsilvaa07/status/1648356388400136194")</f>
        <v>https://twitter.com/taniacsilvaa07/status/1648356388400136194</v>
      </c>
      <c r="AF3494" s="79">
        <v>45034.668541666666</v>
      </c>
      <c r="AG3494" s="85">
        <v>45034</v>
      </c>
      <c r="AH3494" s="82" t="s">
        <v>13487</v>
      </c>
      <c r="AI3494" s="77" t="b">
        <v>0</v>
      </c>
      <c r="AJ3494" s="77"/>
      <c r="AK3494" s="77"/>
      <c r="AL3494" s="77"/>
      <c r="AM3494" s="77"/>
      <c r="AN3494" s="77"/>
      <c r="AO3494" s="77"/>
      <c r="AP3494" s="77"/>
      <c r="AQ3494" s="77" t="s">
        <v>16447</v>
      </c>
      <c r="AR3494" s="77"/>
      <c r="AS3494" s="77"/>
      <c r="AT3494" s="77"/>
      <c r="AU3494" s="77"/>
      <c r="AV3494" s="80" t="str">
        <f>HYPERLINK("https://pbs.twimg.com/media/FuAjZUYWwAAzxUh.jpg")</f>
        <v>https://pbs.twimg.com/media/FuAjZUYWwAAzxUh.jpg</v>
      </c>
      <c r="AW3494" s="82" t="s">
        <v>20260</v>
      </c>
      <c r="AX3494" s="82" t="s">
        <v>20260</v>
      </c>
      <c r="AY3494" s="77"/>
      <c r="AZ3494" s="82" t="s">
        <v>20971</v>
      </c>
      <c r="BA3494" s="82" t="s">
        <v>20971</v>
      </c>
      <c r="BB3494" s="82" t="s">
        <v>20971</v>
      </c>
      <c r="BC3494" s="82" t="s">
        <v>20260</v>
      </c>
      <c r="BD3494" s="82" t="s">
        <v>21612</v>
      </c>
      <c r="BE3494" s="77"/>
      <c r="BF3494" s="77"/>
      <c r="BG3494" s="77"/>
      <c r="BH3494" s="77"/>
      <c r="BI3494" s="77"/>
    </row>
    <row r="3495" spans="1:61" x14ac:dyDescent="0.25">
      <c r="A3495" s="62" t="s">
        <v>1024</v>
      </c>
      <c r="B3495" s="62" t="s">
        <v>1024</v>
      </c>
      <c r="C3495" s="63"/>
      <c r="D3495" s="64"/>
      <c r="E3495" s="65"/>
      <c r="F3495" s="66"/>
      <c r="G3495" s="63"/>
      <c r="H3495" s="67"/>
      <c r="I3495" s="68"/>
      <c r="J3495" s="68"/>
      <c r="K3495" s="32"/>
      <c r="L3495" s="75">
        <v>3495</v>
      </c>
      <c r="M3495" s="75"/>
      <c r="N3495" s="70"/>
      <c r="O3495" s="77" t="s">
        <v>179</v>
      </c>
      <c r="P3495" s="79">
        <v>45005.85224537037</v>
      </c>
      <c r="Q3495" s="77" t="s">
        <v>4701</v>
      </c>
      <c r="R3495" s="77">
        <v>3</v>
      </c>
      <c r="S3495" s="77">
        <v>5</v>
      </c>
      <c r="T3495" s="77">
        <v>2</v>
      </c>
      <c r="U3495" s="77">
        <v>0</v>
      </c>
      <c r="V3495" s="77">
        <v>57567</v>
      </c>
      <c r="W3495" s="82" t="s">
        <v>6779</v>
      </c>
      <c r="X3495" s="80" t="str">
        <f>HYPERLINK("http://Migxs.com/about")</f>
        <v>http://Migxs.com/about</v>
      </c>
      <c r="Y3495" s="77" t="s">
        <v>7457</v>
      </c>
      <c r="Z3495" s="77"/>
      <c r="AA3495" s="77" t="s">
        <v>9805</v>
      </c>
      <c r="AB3495" s="77" t="s">
        <v>10130</v>
      </c>
      <c r="AC3495" s="82" t="s">
        <v>10146</v>
      </c>
      <c r="AD3495" s="77" t="s">
        <v>10184</v>
      </c>
      <c r="AE3495" s="80" t="str">
        <f>HYPERLINK("https://twitter.com/migxs/status/1637913713108824071")</f>
        <v>https://twitter.com/migxs/status/1637913713108824071</v>
      </c>
      <c r="AF3495" s="79">
        <v>45005.85224537037</v>
      </c>
      <c r="AG3495" s="85">
        <v>45005</v>
      </c>
      <c r="AH3495" s="82" t="s">
        <v>13488</v>
      </c>
      <c r="AI3495" s="77" t="b">
        <v>0</v>
      </c>
      <c r="AJ3495" s="77"/>
      <c r="AK3495" s="77"/>
      <c r="AL3495" s="77"/>
      <c r="AM3495" s="77"/>
      <c r="AN3495" s="77"/>
      <c r="AO3495" s="77"/>
      <c r="AP3495" s="77"/>
      <c r="AQ3495" s="77" t="s">
        <v>16448</v>
      </c>
      <c r="AR3495" s="77"/>
      <c r="AS3495" s="77"/>
      <c r="AT3495" s="77"/>
      <c r="AU3495" s="77"/>
      <c r="AV3495" s="80" t="str">
        <f>HYPERLINK("https://pbs.twimg.com/media/FrsJrO6X0AAJx31.jpg")</f>
        <v>https://pbs.twimg.com/media/FrsJrO6X0AAJx31.jpg</v>
      </c>
      <c r="AW3495" s="82" t="s">
        <v>20261</v>
      </c>
      <c r="AX3495" s="82" t="s">
        <v>20261</v>
      </c>
      <c r="AY3495" s="77"/>
      <c r="AZ3495" s="82" t="s">
        <v>20971</v>
      </c>
      <c r="BA3495" s="82" t="s">
        <v>20971</v>
      </c>
      <c r="BB3495" s="82" t="s">
        <v>20971</v>
      </c>
      <c r="BC3495" s="82" t="s">
        <v>20261</v>
      </c>
      <c r="BD3495" s="82" t="s">
        <v>21613</v>
      </c>
      <c r="BE3495" s="77"/>
      <c r="BF3495" s="77"/>
      <c r="BG3495" s="77"/>
      <c r="BH3495" s="77"/>
      <c r="BI3495" s="77"/>
    </row>
    <row r="3496" spans="1:61" x14ac:dyDescent="0.25">
      <c r="A3496" s="62" t="s">
        <v>1025</v>
      </c>
      <c r="B3496" s="62" t="s">
        <v>1025</v>
      </c>
      <c r="C3496" s="63"/>
      <c r="D3496" s="64"/>
      <c r="E3496" s="65"/>
      <c r="F3496" s="66"/>
      <c r="G3496" s="63"/>
      <c r="H3496" s="67"/>
      <c r="I3496" s="68"/>
      <c r="J3496" s="68"/>
      <c r="K3496" s="32"/>
      <c r="L3496" s="75">
        <v>3496</v>
      </c>
      <c r="M3496" s="75"/>
      <c r="N3496" s="70"/>
      <c r="O3496" s="77" t="s">
        <v>179</v>
      </c>
      <c r="P3496" s="79">
        <v>45040.570173611108</v>
      </c>
      <c r="Q3496" s="77" t="s">
        <v>4702</v>
      </c>
      <c r="R3496" s="77">
        <v>0</v>
      </c>
      <c r="S3496" s="77">
        <v>3</v>
      </c>
      <c r="T3496" s="77">
        <v>0</v>
      </c>
      <c r="U3496" s="77">
        <v>0</v>
      </c>
      <c r="V3496" s="77">
        <v>50</v>
      </c>
      <c r="W3496" s="82" t="s">
        <v>6780</v>
      </c>
      <c r="X3496" s="80" t="str">
        <f>HYPERLINK("https://www.folhadocondomino.com.br/10a")</f>
        <v>https://www.folhadocondomino.com.br/10a</v>
      </c>
      <c r="Y3496" s="77" t="s">
        <v>7252</v>
      </c>
      <c r="Z3496" s="77"/>
      <c r="AA3496" s="77" t="s">
        <v>9806</v>
      </c>
      <c r="AB3496" s="77" t="s">
        <v>10130</v>
      </c>
      <c r="AC3496" s="82" t="s">
        <v>10146</v>
      </c>
      <c r="AD3496" s="77" t="s">
        <v>10184</v>
      </c>
      <c r="AE3496" s="80" t="str">
        <f>HYPERLINK("https://twitter.com/folhacondominio/status/1650495065591095304")</f>
        <v>https://twitter.com/folhacondominio/status/1650495065591095304</v>
      </c>
      <c r="AF3496" s="79">
        <v>45040.570173611108</v>
      </c>
      <c r="AG3496" s="85">
        <v>45040</v>
      </c>
      <c r="AH3496" s="82" t="s">
        <v>13489</v>
      </c>
      <c r="AI3496" s="77" t="b">
        <v>0</v>
      </c>
      <c r="AJ3496" s="77"/>
      <c r="AK3496" s="77"/>
      <c r="AL3496" s="77"/>
      <c r="AM3496" s="77"/>
      <c r="AN3496" s="77"/>
      <c r="AO3496" s="77"/>
      <c r="AP3496" s="77"/>
      <c r="AQ3496" s="77" t="s">
        <v>16449</v>
      </c>
      <c r="AR3496" s="77"/>
      <c r="AS3496" s="77"/>
      <c r="AT3496" s="77"/>
      <c r="AU3496" s="77"/>
      <c r="AV3496" s="80" t="str">
        <f>HYPERLINK("https://pbs.twimg.com/media/Fue8bCjXgAQIEnX.jpg")</f>
        <v>https://pbs.twimg.com/media/Fue8bCjXgAQIEnX.jpg</v>
      </c>
      <c r="AW3496" s="82" t="s">
        <v>20262</v>
      </c>
      <c r="AX3496" s="82" t="s">
        <v>20262</v>
      </c>
      <c r="AY3496" s="77"/>
      <c r="AZ3496" s="82" t="s">
        <v>20971</v>
      </c>
      <c r="BA3496" s="82" t="s">
        <v>20971</v>
      </c>
      <c r="BB3496" s="82" t="s">
        <v>20971</v>
      </c>
      <c r="BC3496" s="82" t="s">
        <v>20262</v>
      </c>
      <c r="BD3496" s="77">
        <v>61920432</v>
      </c>
      <c r="BE3496" s="77"/>
      <c r="BF3496" s="77"/>
      <c r="BG3496" s="77"/>
      <c r="BH3496" s="77"/>
      <c r="BI3496" s="77"/>
    </row>
    <row r="3497" spans="1:61" x14ac:dyDescent="0.25">
      <c r="A3497" s="62" t="s">
        <v>1026</v>
      </c>
      <c r="B3497" s="62" t="s">
        <v>1026</v>
      </c>
      <c r="C3497" s="63"/>
      <c r="D3497" s="64"/>
      <c r="E3497" s="65"/>
      <c r="F3497" s="66"/>
      <c r="G3497" s="63"/>
      <c r="H3497" s="67"/>
      <c r="I3497" s="68"/>
      <c r="J3497" s="68"/>
      <c r="K3497" s="32"/>
      <c r="L3497" s="75">
        <v>3497</v>
      </c>
      <c r="M3497" s="75"/>
      <c r="N3497" s="70"/>
      <c r="O3497" s="77" t="s">
        <v>179</v>
      </c>
      <c r="P3497" s="79">
        <v>45047.645856481482</v>
      </c>
      <c r="Q3497" s="77" t="s">
        <v>4703</v>
      </c>
      <c r="R3497" s="77">
        <v>0</v>
      </c>
      <c r="S3497" s="77">
        <v>0</v>
      </c>
      <c r="T3497" s="77">
        <v>0</v>
      </c>
      <c r="U3497" s="77">
        <v>0</v>
      </c>
      <c r="V3497" s="77">
        <v>47</v>
      </c>
      <c r="W3497" s="82" t="s">
        <v>6781</v>
      </c>
      <c r="X3497" s="80" t="str">
        <f>HYPERLINK("http://tiktok.com/@achadinhodamah")</f>
        <v>http://tiktok.com/@achadinhodamah</v>
      </c>
      <c r="Y3497" s="77" t="s">
        <v>7306</v>
      </c>
      <c r="Z3497" s="77"/>
      <c r="AA3497" s="77" t="s">
        <v>9807</v>
      </c>
      <c r="AB3497" s="77" t="s">
        <v>10129</v>
      </c>
      <c r="AC3497" s="82" t="s">
        <v>10146</v>
      </c>
      <c r="AD3497" s="77" t="s">
        <v>10184</v>
      </c>
      <c r="AE3497" s="80" t="str">
        <f>HYPERLINK("https://twitter.com/marciapapf/status/1653059209003401222")</f>
        <v>https://twitter.com/marciapapf/status/1653059209003401222</v>
      </c>
      <c r="AF3497" s="79">
        <v>45047.645856481482</v>
      </c>
      <c r="AG3497" s="85">
        <v>45047</v>
      </c>
      <c r="AH3497" s="82" t="s">
        <v>13490</v>
      </c>
      <c r="AI3497" s="77" t="b">
        <v>0</v>
      </c>
      <c r="AJ3497" s="77"/>
      <c r="AK3497" s="77"/>
      <c r="AL3497" s="77"/>
      <c r="AM3497" s="77"/>
      <c r="AN3497" s="77"/>
      <c r="AO3497" s="77"/>
      <c r="AP3497" s="77"/>
      <c r="AQ3497" s="77" t="s">
        <v>16450</v>
      </c>
      <c r="AR3497" s="77">
        <v>33784</v>
      </c>
      <c r="AS3497" s="77"/>
      <c r="AT3497" s="77"/>
      <c r="AU3497" s="77"/>
      <c r="AV3497" s="80" t="str">
        <f>HYPERLINK("https://pbs.twimg.com/ext_tw_video_thumb/1653058753611038720/pu/img/YE3S6XDkvkP0FYHY.jpg")</f>
        <v>https://pbs.twimg.com/ext_tw_video_thumb/1653058753611038720/pu/img/YE3S6XDkvkP0FYHY.jpg</v>
      </c>
      <c r="AW3497" s="82" t="s">
        <v>20263</v>
      </c>
      <c r="AX3497" s="82" t="s">
        <v>20263</v>
      </c>
      <c r="AY3497" s="77"/>
      <c r="AZ3497" s="82" t="s">
        <v>20971</v>
      </c>
      <c r="BA3497" s="82" t="s">
        <v>20971</v>
      </c>
      <c r="BB3497" s="82" t="s">
        <v>20971</v>
      </c>
      <c r="BC3497" s="82" t="s">
        <v>20263</v>
      </c>
      <c r="BD3497" s="82" t="s">
        <v>21614</v>
      </c>
      <c r="BE3497" s="77"/>
      <c r="BF3497" s="77"/>
      <c r="BG3497" s="77"/>
      <c r="BH3497" s="77"/>
      <c r="BI3497" s="77"/>
    </row>
    <row r="3498" spans="1:61" x14ac:dyDescent="0.25">
      <c r="A3498" s="62" t="s">
        <v>1027</v>
      </c>
      <c r="B3498" s="62" t="s">
        <v>1270</v>
      </c>
      <c r="C3498" s="63"/>
      <c r="D3498" s="64"/>
      <c r="E3498" s="65"/>
      <c r="F3498" s="66"/>
      <c r="G3498" s="63"/>
      <c r="H3498" s="67"/>
      <c r="I3498" s="68"/>
      <c r="J3498" s="68"/>
      <c r="K3498" s="32"/>
      <c r="L3498" s="75">
        <v>3498</v>
      </c>
      <c r="M3498" s="75"/>
      <c r="N3498" s="70"/>
      <c r="O3498" s="77" t="s">
        <v>1285</v>
      </c>
      <c r="P3498" s="79">
        <v>45116.309421296297</v>
      </c>
      <c r="Q3498" s="77" t="s">
        <v>4704</v>
      </c>
      <c r="R3498" s="77">
        <v>0</v>
      </c>
      <c r="S3498" s="77">
        <v>1</v>
      </c>
      <c r="T3498" s="77">
        <v>0</v>
      </c>
      <c r="U3498" s="77">
        <v>0</v>
      </c>
      <c r="V3498" s="77">
        <v>33</v>
      </c>
      <c r="W3498" s="82" t="s">
        <v>6782</v>
      </c>
      <c r="X3498" s="80" t="str">
        <f>HYPERLINK("https://www.spreaker.com/user/17177904/5-sites-para-voce-ganhar-dinheirO")</f>
        <v>https://www.spreaker.com/user/17177904/5-sites-para-voce-ganhar-dinheirO</v>
      </c>
      <c r="Y3498" s="77" t="s">
        <v>7458</v>
      </c>
      <c r="Z3498" s="77" t="s">
        <v>1270</v>
      </c>
      <c r="AA3498" s="77"/>
      <c r="AB3498" s="77"/>
      <c r="AC3498" s="82" t="s">
        <v>10177</v>
      </c>
      <c r="AD3498" s="77" t="s">
        <v>10184</v>
      </c>
      <c r="AE3498" s="80" t="str">
        <f>HYPERLINK("https://twitter.com/bladedaquebrada/status/1677942050640076800")</f>
        <v>https://twitter.com/bladedaquebrada/status/1677942050640076800</v>
      </c>
      <c r="AF3498" s="79">
        <v>45116.309421296297</v>
      </c>
      <c r="AG3498" s="85">
        <v>45116</v>
      </c>
      <c r="AH3498" s="82" t="s">
        <v>13491</v>
      </c>
      <c r="AI3498" s="77" t="b">
        <v>0</v>
      </c>
      <c r="AJ3498" s="77"/>
      <c r="AK3498" s="77"/>
      <c r="AL3498" s="77"/>
      <c r="AM3498" s="77"/>
      <c r="AN3498" s="77"/>
      <c r="AO3498" s="77"/>
      <c r="AP3498" s="77"/>
      <c r="AQ3498" s="77"/>
      <c r="AR3498" s="77"/>
      <c r="AS3498" s="77"/>
      <c r="AT3498" s="77"/>
      <c r="AU3498" s="77"/>
      <c r="AV3498" s="80" t="str">
        <f>HYPERLINK("https://pbs.twimg.com/profile_images/1660757495395098625/RoWAitZu_normal.jpg")</f>
        <v>https://pbs.twimg.com/profile_images/1660757495395098625/RoWAitZu_normal.jpg</v>
      </c>
      <c r="AW3498" s="82" t="s">
        <v>20264</v>
      </c>
      <c r="AX3498" s="82" t="s">
        <v>20264</v>
      </c>
      <c r="AY3498" s="77"/>
      <c r="AZ3498" s="82" t="s">
        <v>20971</v>
      </c>
      <c r="BA3498" s="82" t="s">
        <v>20971</v>
      </c>
      <c r="BB3498" s="82" t="s">
        <v>20971</v>
      </c>
      <c r="BC3498" s="82" t="s">
        <v>20264</v>
      </c>
      <c r="BD3498" s="82" t="s">
        <v>21615</v>
      </c>
      <c r="BE3498" s="77"/>
      <c r="BF3498" s="77"/>
      <c r="BG3498" s="77"/>
      <c r="BH3498" s="77"/>
      <c r="BI3498" s="77"/>
    </row>
    <row r="3499" spans="1:61" x14ac:dyDescent="0.25">
      <c r="A3499" s="62" t="s">
        <v>1028</v>
      </c>
      <c r="B3499" s="62" t="s">
        <v>1028</v>
      </c>
      <c r="C3499" s="63"/>
      <c r="D3499" s="64"/>
      <c r="E3499" s="65"/>
      <c r="F3499" s="66"/>
      <c r="G3499" s="63"/>
      <c r="H3499" s="67"/>
      <c r="I3499" s="68"/>
      <c r="J3499" s="68"/>
      <c r="K3499" s="32"/>
      <c r="L3499" s="75">
        <v>3499</v>
      </c>
      <c r="M3499" s="75"/>
      <c r="N3499" s="70"/>
      <c r="O3499" s="77" t="s">
        <v>179</v>
      </c>
      <c r="P3499" s="79">
        <v>45164.859953703701</v>
      </c>
      <c r="Q3499" s="77" t="s">
        <v>4705</v>
      </c>
      <c r="R3499" s="77">
        <v>0</v>
      </c>
      <c r="S3499" s="77">
        <v>0</v>
      </c>
      <c r="T3499" s="77">
        <v>0</v>
      </c>
      <c r="U3499" s="77">
        <v>0</v>
      </c>
      <c r="V3499" s="77">
        <v>36</v>
      </c>
      <c r="W3499" s="82" t="s">
        <v>6783</v>
      </c>
      <c r="X3499" s="80" t="str">
        <f>HYPERLINK("https://bit.ly/3P4yXn9")</f>
        <v>https://bit.ly/3P4yXn9</v>
      </c>
      <c r="Y3499" s="77" t="s">
        <v>7268</v>
      </c>
      <c r="Z3499" s="77"/>
      <c r="AA3499" s="77" t="s">
        <v>9808</v>
      </c>
      <c r="AB3499" s="77" t="s">
        <v>10129</v>
      </c>
      <c r="AC3499" s="82" t="s">
        <v>10145</v>
      </c>
      <c r="AD3499" s="77" t="s">
        <v>10184</v>
      </c>
      <c r="AE3499" s="80" t="str">
        <f>HYPERLINK("https://twitter.com/cortesmillion/status/1695536175816056879")</f>
        <v>https://twitter.com/cortesmillion/status/1695536175816056879</v>
      </c>
      <c r="AF3499" s="79">
        <v>45164.859953703701</v>
      </c>
      <c r="AG3499" s="85">
        <v>45164</v>
      </c>
      <c r="AH3499" s="82" t="s">
        <v>13492</v>
      </c>
      <c r="AI3499" s="77" t="b">
        <v>0</v>
      </c>
      <c r="AJ3499" s="77"/>
      <c r="AK3499" s="77"/>
      <c r="AL3499" s="77"/>
      <c r="AM3499" s="77"/>
      <c r="AN3499" s="77"/>
      <c r="AO3499" s="77"/>
      <c r="AP3499" s="77"/>
      <c r="AQ3499" s="77" t="s">
        <v>16451</v>
      </c>
      <c r="AR3499" s="77">
        <v>38221</v>
      </c>
      <c r="AS3499" s="77"/>
      <c r="AT3499" s="77"/>
      <c r="AU3499" s="77"/>
      <c r="AV3499" s="80" t="str">
        <f>HYPERLINK("https://pbs.twimg.com/ext_tw_video_thumb/1695536059939995649/pu/img/UptAWsn2gqHNy7mM.jpg")</f>
        <v>https://pbs.twimg.com/ext_tw_video_thumb/1695536059939995649/pu/img/UptAWsn2gqHNy7mM.jpg</v>
      </c>
      <c r="AW3499" s="82" t="s">
        <v>20265</v>
      </c>
      <c r="AX3499" s="82" t="s">
        <v>20265</v>
      </c>
      <c r="AY3499" s="77"/>
      <c r="AZ3499" s="82" t="s">
        <v>20971</v>
      </c>
      <c r="BA3499" s="82" t="s">
        <v>20971</v>
      </c>
      <c r="BB3499" s="82" t="s">
        <v>20971</v>
      </c>
      <c r="BC3499" s="82" t="s">
        <v>20265</v>
      </c>
      <c r="BD3499" s="82" t="s">
        <v>21616</v>
      </c>
      <c r="BE3499" s="77"/>
      <c r="BF3499" s="77"/>
      <c r="BG3499" s="77"/>
      <c r="BH3499" s="77"/>
      <c r="BI3499" s="77"/>
    </row>
    <row r="3500" spans="1:61" x14ac:dyDescent="0.25">
      <c r="A3500" s="62" t="s">
        <v>1029</v>
      </c>
      <c r="B3500" s="62" t="s">
        <v>1029</v>
      </c>
      <c r="C3500" s="63"/>
      <c r="D3500" s="64"/>
      <c r="E3500" s="65"/>
      <c r="F3500" s="66"/>
      <c r="G3500" s="63"/>
      <c r="H3500" s="67"/>
      <c r="I3500" s="68"/>
      <c r="J3500" s="68"/>
      <c r="K3500" s="32"/>
      <c r="L3500" s="75">
        <v>3500</v>
      </c>
      <c r="M3500" s="75"/>
      <c r="N3500" s="70"/>
      <c r="O3500" s="77" t="s">
        <v>179</v>
      </c>
      <c r="P3500" s="79">
        <v>45057.825057870374</v>
      </c>
      <c r="Q3500" s="77" t="s">
        <v>4706</v>
      </c>
      <c r="R3500" s="77">
        <v>0</v>
      </c>
      <c r="S3500" s="77">
        <v>0</v>
      </c>
      <c r="T3500" s="77">
        <v>0</v>
      </c>
      <c r="U3500" s="77">
        <v>0</v>
      </c>
      <c r="V3500" s="77">
        <v>23</v>
      </c>
      <c r="W3500" s="82" t="s">
        <v>6784</v>
      </c>
      <c r="X3500" s="77"/>
      <c r="Y3500" s="77"/>
      <c r="Z3500" s="77"/>
      <c r="AA3500" s="77" t="s">
        <v>9809</v>
      </c>
      <c r="AB3500" s="77" t="s">
        <v>10130</v>
      </c>
      <c r="AC3500" s="82" t="s">
        <v>10144</v>
      </c>
      <c r="AD3500" s="77" t="s">
        <v>10184</v>
      </c>
      <c r="AE3500" s="80" t="str">
        <f>HYPERLINK("https://twitter.com/danicl81776310/status/1656748029343330306")</f>
        <v>https://twitter.com/danicl81776310/status/1656748029343330306</v>
      </c>
      <c r="AF3500" s="79">
        <v>45057.825057870374</v>
      </c>
      <c r="AG3500" s="85">
        <v>45057</v>
      </c>
      <c r="AH3500" s="82" t="s">
        <v>13493</v>
      </c>
      <c r="AI3500" s="77" t="b">
        <v>0</v>
      </c>
      <c r="AJ3500" s="77"/>
      <c r="AK3500" s="77"/>
      <c r="AL3500" s="77"/>
      <c r="AM3500" s="77"/>
      <c r="AN3500" s="77"/>
      <c r="AO3500" s="77"/>
      <c r="AP3500" s="77"/>
      <c r="AQ3500" s="77" t="s">
        <v>16452</v>
      </c>
      <c r="AR3500" s="77"/>
      <c r="AS3500" s="77"/>
      <c r="AT3500" s="77"/>
      <c r="AU3500" s="77"/>
      <c r="AV3500" s="80" t="str">
        <f>HYPERLINK("https://pbs.twimg.com/media/Fv3zjDIWcBA_XH9.jpg")</f>
        <v>https://pbs.twimg.com/media/Fv3zjDIWcBA_XH9.jpg</v>
      </c>
      <c r="AW3500" s="82" t="s">
        <v>20266</v>
      </c>
      <c r="AX3500" s="82" t="s">
        <v>20266</v>
      </c>
      <c r="AY3500" s="77"/>
      <c r="AZ3500" s="82" t="s">
        <v>20971</v>
      </c>
      <c r="BA3500" s="82" t="s">
        <v>20971</v>
      </c>
      <c r="BB3500" s="82" t="s">
        <v>20971</v>
      </c>
      <c r="BC3500" s="82" t="s">
        <v>20266</v>
      </c>
      <c r="BD3500" s="82" t="s">
        <v>21617</v>
      </c>
      <c r="BE3500" s="77"/>
      <c r="BF3500" s="77"/>
      <c r="BG3500" s="77"/>
      <c r="BH3500" s="77"/>
      <c r="BI3500" s="77"/>
    </row>
    <row r="3501" spans="1:61" x14ac:dyDescent="0.25">
      <c r="A3501" s="62" t="s">
        <v>1030</v>
      </c>
      <c r="B3501" s="62" t="s">
        <v>1030</v>
      </c>
      <c r="C3501" s="63"/>
      <c r="D3501" s="64"/>
      <c r="E3501" s="65"/>
      <c r="F3501" s="66"/>
      <c r="G3501" s="63"/>
      <c r="H3501" s="67"/>
      <c r="I3501" s="68"/>
      <c r="J3501" s="68"/>
      <c r="K3501" s="32"/>
      <c r="L3501" s="75">
        <v>3501</v>
      </c>
      <c r="M3501" s="75"/>
      <c r="N3501" s="70"/>
      <c r="O3501" s="77" t="s">
        <v>1284</v>
      </c>
      <c r="P3501" s="79">
        <v>44987.4065625</v>
      </c>
      <c r="Q3501" s="77" t="s">
        <v>4707</v>
      </c>
      <c r="R3501" s="77">
        <v>0</v>
      </c>
      <c r="S3501" s="77">
        <v>0</v>
      </c>
      <c r="T3501" s="77">
        <v>0</v>
      </c>
      <c r="U3501" s="77">
        <v>0</v>
      </c>
      <c r="V3501" s="77">
        <v>173</v>
      </c>
      <c r="W3501" s="82" t="s">
        <v>6785</v>
      </c>
      <c r="X3501" s="77"/>
      <c r="Y3501" s="77"/>
      <c r="Z3501" s="77"/>
      <c r="AA3501" s="77"/>
      <c r="AB3501" s="77"/>
      <c r="AC3501" s="82" t="s">
        <v>10144</v>
      </c>
      <c r="AD3501" s="77" t="s">
        <v>10184</v>
      </c>
      <c r="AE3501" s="80" t="str">
        <f>HYPERLINK("https://twitter.com/badjuh_/status/1631229220222271488")</f>
        <v>https://twitter.com/badjuh_/status/1631229220222271488</v>
      </c>
      <c r="AF3501" s="79">
        <v>44987.4065625</v>
      </c>
      <c r="AG3501" s="85">
        <v>44987</v>
      </c>
      <c r="AH3501" s="82" t="s">
        <v>13494</v>
      </c>
      <c r="AI3501" s="77"/>
      <c r="AJ3501" s="77"/>
      <c r="AK3501" s="77"/>
      <c r="AL3501" s="77"/>
      <c r="AM3501" s="77"/>
      <c r="AN3501" s="77"/>
      <c r="AO3501" s="77"/>
      <c r="AP3501" s="77"/>
      <c r="AQ3501" s="77"/>
      <c r="AR3501" s="77"/>
      <c r="AS3501" s="77"/>
      <c r="AT3501" s="77"/>
      <c r="AU3501" s="77"/>
      <c r="AV3501" s="80" t="str">
        <f>HYPERLINK("https://pbs.twimg.com/profile_images/1685438250758844422/sCqEaPNb_normal.jpg")</f>
        <v>https://pbs.twimg.com/profile_images/1685438250758844422/sCqEaPNb_normal.jpg</v>
      </c>
      <c r="AW3501" s="82" t="s">
        <v>20267</v>
      </c>
      <c r="AX3501" s="82" t="s">
        <v>20878</v>
      </c>
      <c r="AY3501" s="82" t="s">
        <v>20960</v>
      </c>
      <c r="AZ3501" s="82" t="s">
        <v>20878</v>
      </c>
      <c r="BA3501" s="82" t="s">
        <v>20971</v>
      </c>
      <c r="BB3501" s="82" t="s">
        <v>20971</v>
      </c>
      <c r="BC3501" s="82" t="s">
        <v>20878</v>
      </c>
      <c r="BD3501" s="82" t="s">
        <v>20960</v>
      </c>
      <c r="BE3501" s="77"/>
      <c r="BF3501" s="77"/>
      <c r="BG3501" s="77"/>
      <c r="BH3501" s="77"/>
      <c r="BI3501" s="77"/>
    </row>
    <row r="3502" spans="1:61" x14ac:dyDescent="0.25">
      <c r="A3502" s="62" t="s">
        <v>1031</v>
      </c>
      <c r="B3502" s="62" t="s">
        <v>1031</v>
      </c>
      <c r="C3502" s="63"/>
      <c r="D3502" s="64"/>
      <c r="E3502" s="65"/>
      <c r="F3502" s="66"/>
      <c r="G3502" s="63"/>
      <c r="H3502" s="67"/>
      <c r="I3502" s="68"/>
      <c r="J3502" s="68"/>
      <c r="K3502" s="32"/>
      <c r="L3502" s="75">
        <v>3502</v>
      </c>
      <c r="M3502" s="75"/>
      <c r="N3502" s="70"/>
      <c r="O3502" s="77" t="s">
        <v>179</v>
      </c>
      <c r="P3502" s="79">
        <v>44983.001134259262</v>
      </c>
      <c r="Q3502" s="77" t="s">
        <v>4708</v>
      </c>
      <c r="R3502" s="77">
        <v>0</v>
      </c>
      <c r="S3502" s="77">
        <v>0</v>
      </c>
      <c r="T3502" s="77">
        <v>1</v>
      </c>
      <c r="U3502" s="77">
        <v>0</v>
      </c>
      <c r="V3502" s="77">
        <v>69</v>
      </c>
      <c r="W3502" s="82" t="s">
        <v>6786</v>
      </c>
      <c r="X3502" s="77"/>
      <c r="Y3502" s="77"/>
      <c r="Z3502" s="77"/>
      <c r="AA3502" s="77" t="s">
        <v>9810</v>
      </c>
      <c r="AB3502" s="77" t="s">
        <v>10130</v>
      </c>
      <c r="AC3502" s="82" t="s">
        <v>10144</v>
      </c>
      <c r="AD3502" s="77" t="s">
        <v>10184</v>
      </c>
      <c r="AE3502" s="80" t="str">
        <f>HYPERLINK("https://twitter.com/thaiacosveganos/status/1629632746686496770")</f>
        <v>https://twitter.com/thaiacosveganos/status/1629632746686496770</v>
      </c>
      <c r="AF3502" s="79">
        <v>44983.001134259262</v>
      </c>
      <c r="AG3502" s="85">
        <v>44983</v>
      </c>
      <c r="AH3502" s="82" t="s">
        <v>13495</v>
      </c>
      <c r="AI3502" s="77" t="b">
        <v>0</v>
      </c>
      <c r="AJ3502" s="77" t="s">
        <v>14029</v>
      </c>
      <c r="AK3502" s="77" t="s">
        <v>14033</v>
      </c>
      <c r="AL3502" s="77" t="s">
        <v>14035</v>
      </c>
      <c r="AM3502" s="77" t="s">
        <v>14070</v>
      </c>
      <c r="AN3502" s="77" t="s">
        <v>14108</v>
      </c>
      <c r="AO3502" s="77" t="s">
        <v>14145</v>
      </c>
      <c r="AP3502" s="77" t="s">
        <v>14149</v>
      </c>
      <c r="AQ3502" s="77" t="s">
        <v>16453</v>
      </c>
      <c r="AR3502" s="77"/>
      <c r="AS3502" s="77"/>
      <c r="AT3502" s="77"/>
      <c r="AU3502" s="77"/>
      <c r="AV3502" s="80" t="str">
        <f>HYPERLINK("https://pbs.twimg.com/media/Fp2eWFEWcAECQaO.jpg")</f>
        <v>https://pbs.twimg.com/media/Fp2eWFEWcAECQaO.jpg</v>
      </c>
      <c r="AW3502" s="82" t="s">
        <v>20268</v>
      </c>
      <c r="AX3502" s="82" t="s">
        <v>20268</v>
      </c>
      <c r="AY3502" s="77"/>
      <c r="AZ3502" s="82" t="s">
        <v>20971</v>
      </c>
      <c r="BA3502" s="82" t="s">
        <v>20971</v>
      </c>
      <c r="BB3502" s="82" t="s">
        <v>20971</v>
      </c>
      <c r="BC3502" s="82" t="s">
        <v>20268</v>
      </c>
      <c r="BD3502" s="82" t="s">
        <v>21618</v>
      </c>
      <c r="BE3502" s="77"/>
      <c r="BF3502" s="77"/>
      <c r="BG3502" s="77"/>
      <c r="BH3502" s="77"/>
      <c r="BI3502" s="77"/>
    </row>
    <row r="3503" spans="1:61" x14ac:dyDescent="0.25">
      <c r="A3503" s="62" t="s">
        <v>1032</v>
      </c>
      <c r="B3503" s="62" t="s">
        <v>1032</v>
      </c>
      <c r="C3503" s="63"/>
      <c r="D3503" s="64"/>
      <c r="E3503" s="65"/>
      <c r="F3503" s="66"/>
      <c r="G3503" s="63"/>
      <c r="H3503" s="67"/>
      <c r="I3503" s="68"/>
      <c r="J3503" s="68"/>
      <c r="K3503" s="32"/>
      <c r="L3503" s="75">
        <v>3503</v>
      </c>
      <c r="M3503" s="75"/>
      <c r="N3503" s="70"/>
      <c r="O3503" s="77" t="s">
        <v>179</v>
      </c>
      <c r="P3503" s="79">
        <v>45014.586655092593</v>
      </c>
      <c r="Q3503" s="77" t="s">
        <v>4709</v>
      </c>
      <c r="R3503" s="77">
        <v>0</v>
      </c>
      <c r="S3503" s="77">
        <v>0</v>
      </c>
      <c r="T3503" s="77">
        <v>0</v>
      </c>
      <c r="U3503" s="77">
        <v>0</v>
      </c>
      <c r="V3503" s="77">
        <v>39</v>
      </c>
      <c r="W3503" s="82" t="s">
        <v>5299</v>
      </c>
      <c r="X3503" s="77"/>
      <c r="Y3503" s="77"/>
      <c r="Z3503" s="77"/>
      <c r="AA3503" s="77" t="s">
        <v>9811</v>
      </c>
      <c r="AB3503" s="77" t="s">
        <v>10129</v>
      </c>
      <c r="AC3503" s="82" t="s">
        <v>10144</v>
      </c>
      <c r="AD3503" s="77" t="s">
        <v>10183</v>
      </c>
      <c r="AE3503" s="80" t="str">
        <f>HYPERLINK("https://twitter.com/kelitamuniz/status/1641078956160962565")</f>
        <v>https://twitter.com/kelitamuniz/status/1641078956160962565</v>
      </c>
      <c r="AF3503" s="79">
        <v>45014.586655092593</v>
      </c>
      <c r="AG3503" s="85">
        <v>45014</v>
      </c>
      <c r="AH3503" s="82" t="s">
        <v>13496</v>
      </c>
      <c r="AI3503" s="77" t="b">
        <v>0</v>
      </c>
      <c r="AJ3503" s="77"/>
      <c r="AK3503" s="77"/>
      <c r="AL3503" s="77"/>
      <c r="AM3503" s="77"/>
      <c r="AN3503" s="77"/>
      <c r="AO3503" s="77"/>
      <c r="AP3503" s="77"/>
      <c r="AQ3503" s="77" t="s">
        <v>16454</v>
      </c>
      <c r="AR3503" s="77">
        <v>13745</v>
      </c>
      <c r="AS3503" s="77"/>
      <c r="AT3503" s="77"/>
      <c r="AU3503" s="77"/>
      <c r="AV3503" s="80" t="str">
        <f>HYPERLINK("https://pbs.twimg.com/ext_tw_video_thumb/1641078898015256580/pu/img/OGlSpmVFVo94spJt.jpg")</f>
        <v>https://pbs.twimg.com/ext_tw_video_thumb/1641078898015256580/pu/img/OGlSpmVFVo94spJt.jpg</v>
      </c>
      <c r="AW3503" s="82" t="s">
        <v>20269</v>
      </c>
      <c r="AX3503" s="82" t="s">
        <v>20269</v>
      </c>
      <c r="AY3503" s="77"/>
      <c r="AZ3503" s="82" t="s">
        <v>20971</v>
      </c>
      <c r="BA3503" s="82" t="s">
        <v>20971</v>
      </c>
      <c r="BB3503" s="82" t="s">
        <v>20971</v>
      </c>
      <c r="BC3503" s="82" t="s">
        <v>20269</v>
      </c>
      <c r="BD3503" s="77">
        <v>2874590999</v>
      </c>
      <c r="BE3503" s="77"/>
      <c r="BF3503" s="77"/>
      <c r="BG3503" s="77"/>
      <c r="BH3503" s="77"/>
      <c r="BI3503" s="77"/>
    </row>
    <row r="3504" spans="1:61" x14ac:dyDescent="0.25">
      <c r="A3504" s="62" t="s">
        <v>1033</v>
      </c>
      <c r="B3504" s="62" t="s">
        <v>1033</v>
      </c>
      <c r="C3504" s="63"/>
      <c r="D3504" s="64"/>
      <c r="E3504" s="65"/>
      <c r="F3504" s="66"/>
      <c r="G3504" s="63"/>
      <c r="H3504" s="67"/>
      <c r="I3504" s="68"/>
      <c r="J3504" s="68"/>
      <c r="K3504" s="32"/>
      <c r="L3504" s="75">
        <v>3504</v>
      </c>
      <c r="M3504" s="75"/>
      <c r="N3504" s="70"/>
      <c r="O3504" s="77" t="s">
        <v>179</v>
      </c>
      <c r="P3504" s="79">
        <v>45021.931747685187</v>
      </c>
      <c r="Q3504" s="77" t="s">
        <v>4710</v>
      </c>
      <c r="R3504" s="77">
        <v>0</v>
      </c>
      <c r="S3504" s="77">
        <v>0</v>
      </c>
      <c r="T3504" s="77">
        <v>0</v>
      </c>
      <c r="U3504" s="77">
        <v>0</v>
      </c>
      <c r="V3504" s="77">
        <v>47</v>
      </c>
      <c r="W3504" s="82" t="s">
        <v>6787</v>
      </c>
      <c r="X3504" s="80" t="str">
        <f>HYPERLINK("https://sites.google.com/view/respondapesquisas")</f>
        <v>https://sites.google.com/view/respondapesquisas</v>
      </c>
      <c r="Y3504" s="77" t="s">
        <v>7305</v>
      </c>
      <c r="Z3504" s="77"/>
      <c r="AA3504" s="77"/>
      <c r="AB3504" s="77"/>
      <c r="AC3504" s="82" t="s">
        <v>10146</v>
      </c>
      <c r="AD3504" s="77" t="s">
        <v>10184</v>
      </c>
      <c r="AE3504" s="80" t="str">
        <f>HYPERLINK("https://twitter.com/tiojuniorgames1/status/1643740729334972416")</f>
        <v>https://twitter.com/tiojuniorgames1/status/1643740729334972416</v>
      </c>
      <c r="AF3504" s="79">
        <v>45021.931747685187</v>
      </c>
      <c r="AG3504" s="85">
        <v>45021</v>
      </c>
      <c r="AH3504" s="82" t="s">
        <v>13497</v>
      </c>
      <c r="AI3504" s="77" t="b">
        <v>0</v>
      </c>
      <c r="AJ3504" s="77"/>
      <c r="AK3504" s="77"/>
      <c r="AL3504" s="77"/>
      <c r="AM3504" s="77"/>
      <c r="AN3504" s="77"/>
      <c r="AO3504" s="77"/>
      <c r="AP3504" s="77"/>
      <c r="AQ3504" s="77"/>
      <c r="AR3504" s="77"/>
      <c r="AS3504" s="77"/>
      <c r="AT3504" s="77"/>
      <c r="AU3504" s="77"/>
      <c r="AV3504" s="80" t="str">
        <f>HYPERLINK("https://pbs.twimg.com/profile_images/1464735524992831488/D8sk-DBM_normal.jpg")</f>
        <v>https://pbs.twimg.com/profile_images/1464735524992831488/D8sk-DBM_normal.jpg</v>
      </c>
      <c r="AW3504" s="82" t="s">
        <v>20270</v>
      </c>
      <c r="AX3504" s="82" t="s">
        <v>20270</v>
      </c>
      <c r="AY3504" s="77"/>
      <c r="AZ3504" s="82" t="s">
        <v>20971</v>
      </c>
      <c r="BA3504" s="82" t="s">
        <v>20971</v>
      </c>
      <c r="BB3504" s="82" t="s">
        <v>20971</v>
      </c>
      <c r="BC3504" s="82" t="s">
        <v>20270</v>
      </c>
      <c r="BD3504" s="82" t="s">
        <v>21619</v>
      </c>
      <c r="BE3504" s="77"/>
      <c r="BF3504" s="77"/>
      <c r="BG3504" s="77"/>
      <c r="BH3504" s="77"/>
      <c r="BI3504" s="77"/>
    </row>
    <row r="3505" spans="1:61" x14ac:dyDescent="0.25">
      <c r="A3505" s="62" t="s">
        <v>1034</v>
      </c>
      <c r="B3505" s="62" t="s">
        <v>1034</v>
      </c>
      <c r="C3505" s="63"/>
      <c r="D3505" s="64"/>
      <c r="E3505" s="65"/>
      <c r="F3505" s="66"/>
      <c r="G3505" s="63"/>
      <c r="H3505" s="67"/>
      <c r="I3505" s="68"/>
      <c r="J3505" s="68"/>
      <c r="K3505" s="32"/>
      <c r="L3505" s="75">
        <v>3505</v>
      </c>
      <c r="M3505" s="75"/>
      <c r="N3505" s="70"/>
      <c r="O3505" s="77" t="s">
        <v>179</v>
      </c>
      <c r="P3505" s="79">
        <v>45064.127083333333</v>
      </c>
      <c r="Q3505" s="77" t="s">
        <v>4711</v>
      </c>
      <c r="R3505" s="77">
        <v>0</v>
      </c>
      <c r="S3505" s="77">
        <v>0</v>
      </c>
      <c r="T3505" s="77">
        <v>0</v>
      </c>
      <c r="U3505" s="77">
        <v>0</v>
      </c>
      <c r="V3505" s="77">
        <v>19</v>
      </c>
      <c r="W3505" s="82" t="s">
        <v>6788</v>
      </c>
      <c r="X3505" s="77"/>
      <c r="Y3505" s="77"/>
      <c r="Z3505" s="77"/>
      <c r="AA3505" s="77" t="s">
        <v>9812</v>
      </c>
      <c r="AB3505" s="77" t="s">
        <v>10130</v>
      </c>
      <c r="AC3505" s="82" t="s">
        <v>10144</v>
      </c>
      <c r="AD3505" s="77" t="s">
        <v>10184</v>
      </c>
      <c r="AE3505" s="80" t="str">
        <f>HYPERLINK("https://twitter.com/rendaextra_a/status/1659031805784121347")</f>
        <v>https://twitter.com/rendaextra_a/status/1659031805784121347</v>
      </c>
      <c r="AF3505" s="79">
        <v>45064.127083333333</v>
      </c>
      <c r="AG3505" s="85">
        <v>45064</v>
      </c>
      <c r="AH3505" s="82" t="s">
        <v>13498</v>
      </c>
      <c r="AI3505" s="77" t="b">
        <v>0</v>
      </c>
      <c r="AJ3505" s="77"/>
      <c r="AK3505" s="77"/>
      <c r="AL3505" s="77"/>
      <c r="AM3505" s="77"/>
      <c r="AN3505" s="77"/>
      <c r="AO3505" s="77"/>
      <c r="AP3505" s="77"/>
      <c r="AQ3505" s="77" t="s">
        <v>16455</v>
      </c>
      <c r="AR3505" s="77"/>
      <c r="AS3505" s="77"/>
      <c r="AT3505" s="77"/>
      <c r="AU3505" s="77"/>
      <c r="AV3505" s="80" t="str">
        <f>HYPERLINK("https://pbs.twimg.com/media/FwYQokdWIAkKZzX.jpg")</f>
        <v>https://pbs.twimg.com/media/FwYQokdWIAkKZzX.jpg</v>
      </c>
      <c r="AW3505" s="82" t="s">
        <v>20271</v>
      </c>
      <c r="AX3505" s="82" t="s">
        <v>20271</v>
      </c>
      <c r="AY3505" s="77"/>
      <c r="AZ3505" s="82" t="s">
        <v>20971</v>
      </c>
      <c r="BA3505" s="82" t="s">
        <v>20971</v>
      </c>
      <c r="BB3505" s="82" t="s">
        <v>20971</v>
      </c>
      <c r="BC3505" s="82" t="s">
        <v>20271</v>
      </c>
      <c r="BD3505" s="82" t="s">
        <v>21620</v>
      </c>
      <c r="BE3505" s="77"/>
      <c r="BF3505" s="77"/>
      <c r="BG3505" s="77"/>
      <c r="BH3505" s="77"/>
      <c r="BI3505" s="77"/>
    </row>
    <row r="3506" spans="1:61" x14ac:dyDescent="0.25">
      <c r="A3506" s="62" t="s">
        <v>1035</v>
      </c>
      <c r="B3506" s="62" t="s">
        <v>1035</v>
      </c>
      <c r="C3506" s="63"/>
      <c r="D3506" s="64"/>
      <c r="E3506" s="65"/>
      <c r="F3506" s="66"/>
      <c r="G3506" s="63"/>
      <c r="H3506" s="67"/>
      <c r="I3506" s="68"/>
      <c r="J3506" s="68"/>
      <c r="K3506" s="32"/>
      <c r="L3506" s="75">
        <v>3506</v>
      </c>
      <c r="M3506" s="75"/>
      <c r="N3506" s="70"/>
      <c r="O3506" s="77" t="s">
        <v>179</v>
      </c>
      <c r="P3506" s="79">
        <v>45058.640763888892</v>
      </c>
      <c r="Q3506" s="77" t="s">
        <v>4712</v>
      </c>
      <c r="R3506" s="77">
        <v>0</v>
      </c>
      <c r="S3506" s="77">
        <v>0</v>
      </c>
      <c r="T3506" s="77">
        <v>0</v>
      </c>
      <c r="U3506" s="77">
        <v>0</v>
      </c>
      <c r="V3506" s="77">
        <v>21</v>
      </c>
      <c r="W3506" s="82" t="s">
        <v>6789</v>
      </c>
      <c r="X3506" s="80" t="str">
        <f>HYPERLINK("https://affiliates.gbctlatina.com/links/?btag=1149234")</f>
        <v>https://affiliates.gbctlatina.com/links/?btag=1149234</v>
      </c>
      <c r="Y3506" s="77" t="s">
        <v>7459</v>
      </c>
      <c r="Z3506" s="77"/>
      <c r="AA3506" s="77" t="s">
        <v>9813</v>
      </c>
      <c r="AB3506" s="77" t="s">
        <v>10130</v>
      </c>
      <c r="AC3506" s="82" t="s">
        <v>10146</v>
      </c>
      <c r="AD3506" s="77" t="s">
        <v>10184</v>
      </c>
      <c r="AE3506" s="80" t="str">
        <f>HYPERLINK("https://twitter.com/lineleals76936/status/1657043628219412480")</f>
        <v>https://twitter.com/lineleals76936/status/1657043628219412480</v>
      </c>
      <c r="AF3506" s="79">
        <v>45058.640763888892</v>
      </c>
      <c r="AG3506" s="85">
        <v>45058</v>
      </c>
      <c r="AH3506" s="82" t="s">
        <v>13499</v>
      </c>
      <c r="AI3506" s="77" t="b">
        <v>0</v>
      </c>
      <c r="AJ3506" s="77"/>
      <c r="AK3506" s="77"/>
      <c r="AL3506" s="77"/>
      <c r="AM3506" s="77"/>
      <c r="AN3506" s="77"/>
      <c r="AO3506" s="77"/>
      <c r="AP3506" s="77"/>
      <c r="AQ3506" s="77" t="s">
        <v>16456</v>
      </c>
      <c r="AR3506" s="77"/>
      <c r="AS3506" s="77"/>
      <c r="AT3506" s="77"/>
      <c r="AU3506" s="77"/>
      <c r="AV3506" s="80" t="str">
        <f>HYPERLINK("https://pbs.twimg.com/media/Fv7_xtWWwAEqHmH.jpg")</f>
        <v>https://pbs.twimg.com/media/Fv7_xtWWwAEqHmH.jpg</v>
      </c>
      <c r="AW3506" s="82" t="s">
        <v>20272</v>
      </c>
      <c r="AX3506" s="82" t="s">
        <v>20272</v>
      </c>
      <c r="AY3506" s="77"/>
      <c r="AZ3506" s="82" t="s">
        <v>20971</v>
      </c>
      <c r="BA3506" s="82" t="s">
        <v>20971</v>
      </c>
      <c r="BB3506" s="82" t="s">
        <v>20971</v>
      </c>
      <c r="BC3506" s="82" t="s">
        <v>20272</v>
      </c>
      <c r="BD3506" s="82" t="s">
        <v>21621</v>
      </c>
      <c r="BE3506" s="77"/>
      <c r="BF3506" s="77"/>
      <c r="BG3506" s="77"/>
      <c r="BH3506" s="77"/>
      <c r="BI3506" s="77"/>
    </row>
    <row r="3507" spans="1:61" x14ac:dyDescent="0.25">
      <c r="A3507" s="62" t="s">
        <v>1036</v>
      </c>
      <c r="B3507" s="62" t="s">
        <v>1036</v>
      </c>
      <c r="C3507" s="63"/>
      <c r="D3507" s="64"/>
      <c r="E3507" s="65"/>
      <c r="F3507" s="66"/>
      <c r="G3507" s="63"/>
      <c r="H3507" s="67"/>
      <c r="I3507" s="68"/>
      <c r="J3507" s="68"/>
      <c r="K3507" s="32"/>
      <c r="L3507" s="75">
        <v>3507</v>
      </c>
      <c r="M3507" s="75"/>
      <c r="N3507" s="70"/>
      <c r="O3507" s="77" t="s">
        <v>179</v>
      </c>
      <c r="P3507" s="79">
        <v>45128.204351851855</v>
      </c>
      <c r="Q3507" s="77" t="s">
        <v>4713</v>
      </c>
      <c r="R3507" s="77">
        <v>0</v>
      </c>
      <c r="S3507" s="77">
        <v>0</v>
      </c>
      <c r="T3507" s="77">
        <v>0</v>
      </c>
      <c r="U3507" s="77">
        <v>0</v>
      </c>
      <c r="V3507" s="77">
        <v>7</v>
      </c>
      <c r="W3507" s="82" t="s">
        <v>6790</v>
      </c>
      <c r="X3507" s="77"/>
      <c r="Y3507" s="77"/>
      <c r="Z3507" s="77"/>
      <c r="AA3507" s="77" t="s">
        <v>9814</v>
      </c>
      <c r="AB3507" s="77" t="s">
        <v>10129</v>
      </c>
      <c r="AC3507" s="82" t="s">
        <v>10144</v>
      </c>
      <c r="AD3507" s="77" t="s">
        <v>10183</v>
      </c>
      <c r="AE3507" s="80" t="str">
        <f>HYPERLINK("https://twitter.com/suporteebook/status/1682252630192431107")</f>
        <v>https://twitter.com/suporteebook/status/1682252630192431107</v>
      </c>
      <c r="AF3507" s="79">
        <v>45128.204351851855</v>
      </c>
      <c r="AG3507" s="85">
        <v>45128</v>
      </c>
      <c r="AH3507" s="82" t="s">
        <v>13500</v>
      </c>
      <c r="AI3507" s="77" t="b">
        <v>0</v>
      </c>
      <c r="AJ3507" s="77"/>
      <c r="AK3507" s="77"/>
      <c r="AL3507" s="77"/>
      <c r="AM3507" s="77"/>
      <c r="AN3507" s="77"/>
      <c r="AO3507" s="77"/>
      <c r="AP3507" s="77"/>
      <c r="AQ3507" s="77" t="s">
        <v>16457</v>
      </c>
      <c r="AR3507" s="77">
        <v>11984</v>
      </c>
      <c r="AS3507" s="77"/>
      <c r="AT3507" s="77"/>
      <c r="AU3507" s="77"/>
      <c r="AV3507" s="80" t="str">
        <f>HYPERLINK("https://pbs.twimg.com/ext_tw_video_thumb/1682252589520371713/pu/img/5E6zU1p02MyyDzWs.jpg")</f>
        <v>https://pbs.twimg.com/ext_tw_video_thumb/1682252589520371713/pu/img/5E6zU1p02MyyDzWs.jpg</v>
      </c>
      <c r="AW3507" s="82" t="s">
        <v>20273</v>
      </c>
      <c r="AX3507" s="82" t="s">
        <v>20273</v>
      </c>
      <c r="AY3507" s="77"/>
      <c r="AZ3507" s="82" t="s">
        <v>20971</v>
      </c>
      <c r="BA3507" s="82" t="s">
        <v>20971</v>
      </c>
      <c r="BB3507" s="82" t="s">
        <v>20971</v>
      </c>
      <c r="BC3507" s="82" t="s">
        <v>20273</v>
      </c>
      <c r="BD3507" s="82" t="s">
        <v>21622</v>
      </c>
      <c r="BE3507" s="77"/>
      <c r="BF3507" s="77"/>
      <c r="BG3507" s="77"/>
      <c r="BH3507" s="77"/>
      <c r="BI3507" s="77"/>
    </row>
    <row r="3508" spans="1:61" x14ac:dyDescent="0.25">
      <c r="A3508" s="62" t="s">
        <v>1037</v>
      </c>
      <c r="B3508" s="62" t="s">
        <v>1037</v>
      </c>
      <c r="C3508" s="63"/>
      <c r="D3508" s="64"/>
      <c r="E3508" s="65"/>
      <c r="F3508" s="66"/>
      <c r="G3508" s="63"/>
      <c r="H3508" s="67"/>
      <c r="I3508" s="68"/>
      <c r="J3508" s="68"/>
      <c r="K3508" s="32"/>
      <c r="L3508" s="75">
        <v>3508</v>
      </c>
      <c r="M3508" s="75"/>
      <c r="N3508" s="70"/>
      <c r="O3508" s="77" t="s">
        <v>179</v>
      </c>
      <c r="P3508" s="79">
        <v>45118.545115740744</v>
      </c>
      <c r="Q3508" s="77" t="s">
        <v>4714</v>
      </c>
      <c r="R3508" s="77">
        <v>0</v>
      </c>
      <c r="S3508" s="77">
        <v>0</v>
      </c>
      <c r="T3508" s="77">
        <v>0</v>
      </c>
      <c r="U3508" s="77">
        <v>0</v>
      </c>
      <c r="V3508" s="77">
        <v>10</v>
      </c>
      <c r="W3508" s="82" t="s">
        <v>6791</v>
      </c>
      <c r="X3508" s="77"/>
      <c r="Y3508" s="77"/>
      <c r="Z3508" s="77"/>
      <c r="AA3508" s="77" t="s">
        <v>9815</v>
      </c>
      <c r="AB3508" s="77" t="s">
        <v>10130</v>
      </c>
      <c r="AC3508" s="82" t="s">
        <v>10144</v>
      </c>
      <c r="AD3508" s="77" t="s">
        <v>10183</v>
      </c>
      <c r="AE3508" s="80" t="str">
        <f>HYPERLINK("https://twitter.com/cabanadesalem/status/1678752239505031168")</f>
        <v>https://twitter.com/cabanadesalem/status/1678752239505031168</v>
      </c>
      <c r="AF3508" s="79">
        <v>45118.545115740744</v>
      </c>
      <c r="AG3508" s="85">
        <v>45118</v>
      </c>
      <c r="AH3508" s="82" t="s">
        <v>13501</v>
      </c>
      <c r="AI3508" s="77" t="b">
        <v>0</v>
      </c>
      <c r="AJ3508" s="77"/>
      <c r="AK3508" s="77"/>
      <c r="AL3508" s="77"/>
      <c r="AM3508" s="77"/>
      <c r="AN3508" s="77"/>
      <c r="AO3508" s="77"/>
      <c r="AP3508" s="77"/>
      <c r="AQ3508" s="77" t="s">
        <v>16458</v>
      </c>
      <c r="AR3508" s="77"/>
      <c r="AS3508" s="77"/>
      <c r="AT3508" s="77"/>
      <c r="AU3508" s="77"/>
      <c r="AV3508" s="80" t="str">
        <f>HYPERLINK("https://pbs.twimg.com/media/F0wgQ7oWcAEMKBu.jpg")</f>
        <v>https://pbs.twimg.com/media/F0wgQ7oWcAEMKBu.jpg</v>
      </c>
      <c r="AW3508" s="82" t="s">
        <v>20274</v>
      </c>
      <c r="AX3508" s="82" t="s">
        <v>20274</v>
      </c>
      <c r="AY3508" s="77"/>
      <c r="AZ3508" s="82" t="s">
        <v>20971</v>
      </c>
      <c r="BA3508" s="82" t="s">
        <v>20971</v>
      </c>
      <c r="BB3508" s="82" t="s">
        <v>20971</v>
      </c>
      <c r="BC3508" s="82" t="s">
        <v>20274</v>
      </c>
      <c r="BD3508" s="82" t="s">
        <v>21623</v>
      </c>
      <c r="BE3508" s="77"/>
      <c r="BF3508" s="77"/>
      <c r="BG3508" s="77"/>
      <c r="BH3508" s="77"/>
      <c r="BI3508" s="77"/>
    </row>
    <row r="3509" spans="1:61" x14ac:dyDescent="0.25">
      <c r="A3509" s="62" t="s">
        <v>1037</v>
      </c>
      <c r="B3509" s="62" t="s">
        <v>1037</v>
      </c>
      <c r="C3509" s="63"/>
      <c r="D3509" s="64"/>
      <c r="E3509" s="65"/>
      <c r="F3509" s="66"/>
      <c r="G3509" s="63"/>
      <c r="H3509" s="67"/>
      <c r="I3509" s="68"/>
      <c r="J3509" s="68"/>
      <c r="K3509" s="32"/>
      <c r="L3509" s="75">
        <v>3509</v>
      </c>
      <c r="M3509" s="75"/>
      <c r="N3509" s="70"/>
      <c r="O3509" s="77" t="s">
        <v>179</v>
      </c>
      <c r="P3509" s="79">
        <v>45115.517604166664</v>
      </c>
      <c r="Q3509" s="77" t="s">
        <v>4715</v>
      </c>
      <c r="R3509" s="77">
        <v>0</v>
      </c>
      <c r="S3509" s="77">
        <v>0</v>
      </c>
      <c r="T3509" s="77">
        <v>0</v>
      </c>
      <c r="U3509" s="77">
        <v>0</v>
      </c>
      <c r="V3509" s="77">
        <v>41</v>
      </c>
      <c r="W3509" s="82" t="s">
        <v>6792</v>
      </c>
      <c r="X3509" s="77"/>
      <c r="Y3509" s="77"/>
      <c r="Z3509" s="77"/>
      <c r="AA3509" s="77" t="s">
        <v>9816</v>
      </c>
      <c r="AB3509" s="77" t="s">
        <v>10130</v>
      </c>
      <c r="AC3509" s="82" t="s">
        <v>10144</v>
      </c>
      <c r="AD3509" s="77" t="s">
        <v>10183</v>
      </c>
      <c r="AE3509" s="80" t="str">
        <f>HYPERLINK("https://twitter.com/cabanadesalem/status/1677655106832007168")</f>
        <v>https://twitter.com/cabanadesalem/status/1677655106832007168</v>
      </c>
      <c r="AF3509" s="79">
        <v>45115.517604166664</v>
      </c>
      <c r="AG3509" s="85">
        <v>45115</v>
      </c>
      <c r="AH3509" s="82" t="s">
        <v>13502</v>
      </c>
      <c r="AI3509" s="77" t="b">
        <v>0</v>
      </c>
      <c r="AJ3509" s="77"/>
      <c r="AK3509" s="77"/>
      <c r="AL3509" s="77"/>
      <c r="AM3509" s="77"/>
      <c r="AN3509" s="77"/>
      <c r="AO3509" s="77"/>
      <c r="AP3509" s="77"/>
      <c r="AQ3509" s="77" t="s">
        <v>16459</v>
      </c>
      <c r="AR3509" s="77"/>
      <c r="AS3509" s="77"/>
      <c r="AT3509" s="77"/>
      <c r="AU3509" s="77"/>
      <c r="AV3509" s="80" t="str">
        <f>HYPERLINK("https://pbs.twimg.com/media/F0g6bbOWAAArswE.jpg")</f>
        <v>https://pbs.twimg.com/media/F0g6bbOWAAArswE.jpg</v>
      </c>
      <c r="AW3509" s="82" t="s">
        <v>20275</v>
      </c>
      <c r="AX3509" s="82" t="s">
        <v>20275</v>
      </c>
      <c r="AY3509" s="77"/>
      <c r="AZ3509" s="82" t="s">
        <v>20971</v>
      </c>
      <c r="BA3509" s="82" t="s">
        <v>20971</v>
      </c>
      <c r="BB3509" s="82" t="s">
        <v>20971</v>
      </c>
      <c r="BC3509" s="82" t="s">
        <v>20275</v>
      </c>
      <c r="BD3509" s="82" t="s">
        <v>21623</v>
      </c>
      <c r="BE3509" s="77"/>
      <c r="BF3509" s="77"/>
      <c r="BG3509" s="77"/>
      <c r="BH3509" s="77"/>
      <c r="BI3509" s="77"/>
    </row>
    <row r="3510" spans="1:61" x14ac:dyDescent="0.25">
      <c r="A3510" s="62" t="s">
        <v>1037</v>
      </c>
      <c r="B3510" s="62" t="s">
        <v>1037</v>
      </c>
      <c r="C3510" s="63"/>
      <c r="D3510" s="64"/>
      <c r="E3510" s="65"/>
      <c r="F3510" s="66"/>
      <c r="G3510" s="63"/>
      <c r="H3510" s="67"/>
      <c r="I3510" s="68"/>
      <c r="J3510" s="68"/>
      <c r="K3510" s="32"/>
      <c r="L3510" s="75">
        <v>3510</v>
      </c>
      <c r="M3510" s="75"/>
      <c r="N3510" s="70"/>
      <c r="O3510" s="77" t="s">
        <v>179</v>
      </c>
      <c r="P3510" s="79">
        <v>45114.814710648148</v>
      </c>
      <c r="Q3510" s="77" t="s">
        <v>4716</v>
      </c>
      <c r="R3510" s="77">
        <v>0</v>
      </c>
      <c r="S3510" s="77">
        <v>0</v>
      </c>
      <c r="T3510" s="77">
        <v>0</v>
      </c>
      <c r="U3510" s="77">
        <v>0</v>
      </c>
      <c r="V3510" s="77">
        <v>3</v>
      </c>
      <c r="W3510" s="82" t="s">
        <v>6793</v>
      </c>
      <c r="X3510" s="77"/>
      <c r="Y3510" s="77"/>
      <c r="Z3510" s="77"/>
      <c r="AA3510" s="77" t="s">
        <v>9817</v>
      </c>
      <c r="AB3510" s="77" t="s">
        <v>10130</v>
      </c>
      <c r="AC3510" s="82" t="s">
        <v>10144</v>
      </c>
      <c r="AD3510" s="77" t="s">
        <v>10183</v>
      </c>
      <c r="AE3510" s="80" t="str">
        <f>HYPERLINK("https://twitter.com/cabanadesalem/status/1677400385139384332")</f>
        <v>https://twitter.com/cabanadesalem/status/1677400385139384332</v>
      </c>
      <c r="AF3510" s="79">
        <v>45114.814710648148</v>
      </c>
      <c r="AG3510" s="85">
        <v>45114</v>
      </c>
      <c r="AH3510" s="82" t="s">
        <v>13503</v>
      </c>
      <c r="AI3510" s="77" t="b">
        <v>0</v>
      </c>
      <c r="AJ3510" s="77"/>
      <c r="AK3510" s="77"/>
      <c r="AL3510" s="77"/>
      <c r="AM3510" s="77"/>
      <c r="AN3510" s="77"/>
      <c r="AO3510" s="77"/>
      <c r="AP3510" s="77"/>
      <c r="AQ3510" s="77" t="s">
        <v>16460</v>
      </c>
      <c r="AR3510" s="77"/>
      <c r="AS3510" s="77"/>
      <c r="AT3510" s="77"/>
      <c r="AU3510" s="77"/>
      <c r="AV3510" s="80" t="str">
        <f>HYPERLINK("https://pbs.twimg.com/media/F0dSwrDWIA43HqS.jpg")</f>
        <v>https://pbs.twimg.com/media/F0dSwrDWIA43HqS.jpg</v>
      </c>
      <c r="AW3510" s="82" t="s">
        <v>20276</v>
      </c>
      <c r="AX3510" s="82" t="s">
        <v>20276</v>
      </c>
      <c r="AY3510" s="77"/>
      <c r="AZ3510" s="82" t="s">
        <v>20971</v>
      </c>
      <c r="BA3510" s="82" t="s">
        <v>20971</v>
      </c>
      <c r="BB3510" s="82" t="s">
        <v>20971</v>
      </c>
      <c r="BC3510" s="82" t="s">
        <v>20276</v>
      </c>
      <c r="BD3510" s="82" t="s">
        <v>21623</v>
      </c>
      <c r="BE3510" s="77"/>
      <c r="BF3510" s="77"/>
      <c r="BG3510" s="77"/>
      <c r="BH3510" s="77"/>
      <c r="BI3510" s="77"/>
    </row>
    <row r="3511" spans="1:61" x14ac:dyDescent="0.25">
      <c r="A3511" s="62" t="s">
        <v>1037</v>
      </c>
      <c r="B3511" s="62" t="s">
        <v>1037</v>
      </c>
      <c r="C3511" s="63"/>
      <c r="D3511" s="64"/>
      <c r="E3511" s="65"/>
      <c r="F3511" s="66"/>
      <c r="G3511" s="63"/>
      <c r="H3511" s="67"/>
      <c r="I3511" s="68"/>
      <c r="J3511" s="68"/>
      <c r="K3511" s="32"/>
      <c r="L3511" s="75">
        <v>3511</v>
      </c>
      <c r="M3511" s="75"/>
      <c r="N3511" s="70"/>
      <c r="O3511" s="77" t="s">
        <v>179</v>
      </c>
      <c r="P3511" s="79">
        <v>45120.90079861111</v>
      </c>
      <c r="Q3511" s="77" t="s">
        <v>4717</v>
      </c>
      <c r="R3511" s="77">
        <v>0</v>
      </c>
      <c r="S3511" s="77">
        <v>0</v>
      </c>
      <c r="T3511" s="77">
        <v>0</v>
      </c>
      <c r="U3511" s="77">
        <v>0</v>
      </c>
      <c r="V3511" s="77">
        <v>21</v>
      </c>
      <c r="W3511" s="82" t="s">
        <v>6794</v>
      </c>
      <c r="X3511" s="77"/>
      <c r="Y3511" s="77"/>
      <c r="Z3511" s="77"/>
      <c r="AA3511" s="77" t="s">
        <v>9818</v>
      </c>
      <c r="AB3511" s="77" t="s">
        <v>10130</v>
      </c>
      <c r="AC3511" s="82" t="s">
        <v>10144</v>
      </c>
      <c r="AD3511" s="77" t="s">
        <v>10183</v>
      </c>
      <c r="AE3511" s="80" t="str">
        <f>HYPERLINK("https://twitter.com/cabanadesalem/status/1679605910417571841")</f>
        <v>https://twitter.com/cabanadesalem/status/1679605910417571841</v>
      </c>
      <c r="AF3511" s="79">
        <v>45120.90079861111</v>
      </c>
      <c r="AG3511" s="85">
        <v>45120</v>
      </c>
      <c r="AH3511" s="82" t="s">
        <v>13504</v>
      </c>
      <c r="AI3511" s="77" t="b">
        <v>0</v>
      </c>
      <c r="AJ3511" s="77"/>
      <c r="AK3511" s="77"/>
      <c r="AL3511" s="77"/>
      <c r="AM3511" s="77"/>
      <c r="AN3511" s="77"/>
      <c r="AO3511" s="77"/>
      <c r="AP3511" s="77"/>
      <c r="AQ3511" s="77" t="s">
        <v>16461</v>
      </c>
      <c r="AR3511" s="77"/>
      <c r="AS3511" s="77"/>
      <c r="AT3511" s="77"/>
      <c r="AU3511" s="77"/>
      <c r="AV3511" s="80" t="str">
        <f>HYPERLINK("https://pbs.twimg.com/media/F08oq6eXsAc8Tyi.jpg")</f>
        <v>https://pbs.twimg.com/media/F08oq6eXsAc8Tyi.jpg</v>
      </c>
      <c r="AW3511" s="82" t="s">
        <v>20277</v>
      </c>
      <c r="AX3511" s="82" t="s">
        <v>20277</v>
      </c>
      <c r="AY3511" s="77"/>
      <c r="AZ3511" s="82" t="s">
        <v>20971</v>
      </c>
      <c r="BA3511" s="82" t="s">
        <v>20971</v>
      </c>
      <c r="BB3511" s="82" t="s">
        <v>20971</v>
      </c>
      <c r="BC3511" s="82" t="s">
        <v>20277</v>
      </c>
      <c r="BD3511" s="82" t="s">
        <v>21623</v>
      </c>
      <c r="BE3511" s="77"/>
      <c r="BF3511" s="77"/>
      <c r="BG3511" s="77"/>
      <c r="BH3511" s="77"/>
      <c r="BI3511" s="77"/>
    </row>
    <row r="3512" spans="1:61" x14ac:dyDescent="0.25">
      <c r="A3512" s="62" t="s">
        <v>1038</v>
      </c>
      <c r="B3512" s="62" t="s">
        <v>1038</v>
      </c>
      <c r="C3512" s="63"/>
      <c r="D3512" s="64"/>
      <c r="E3512" s="65"/>
      <c r="F3512" s="66"/>
      <c r="G3512" s="63"/>
      <c r="H3512" s="67"/>
      <c r="I3512" s="68"/>
      <c r="J3512" s="68"/>
      <c r="K3512" s="32"/>
      <c r="L3512" s="75">
        <v>3512</v>
      </c>
      <c r="M3512" s="75"/>
      <c r="N3512" s="70"/>
      <c r="O3512" s="77" t="s">
        <v>179</v>
      </c>
      <c r="P3512" s="79">
        <v>45059.886087962965</v>
      </c>
      <c r="Q3512" s="77" t="s">
        <v>4718</v>
      </c>
      <c r="R3512" s="77">
        <v>0</v>
      </c>
      <c r="S3512" s="77">
        <v>0</v>
      </c>
      <c r="T3512" s="77">
        <v>0</v>
      </c>
      <c r="U3512" s="77">
        <v>0</v>
      </c>
      <c r="V3512" s="77">
        <v>13</v>
      </c>
      <c r="W3512" s="82" t="s">
        <v>6795</v>
      </c>
      <c r="X3512" s="80" t="str">
        <f>HYPERLINK("https://www.bralucky.com/c-Q6LTYxhD?lang=pt")</f>
        <v>https://www.bralucky.com/c-Q6LTYxhD?lang=pt</v>
      </c>
      <c r="Y3512" s="77" t="s">
        <v>7460</v>
      </c>
      <c r="Z3512" s="77"/>
      <c r="AA3512" s="77" t="s">
        <v>9819</v>
      </c>
      <c r="AB3512" s="77" t="s">
        <v>10130</v>
      </c>
      <c r="AC3512" s="82" t="s">
        <v>10146</v>
      </c>
      <c r="AD3512" s="77" t="s">
        <v>10196</v>
      </c>
      <c r="AE3512" s="80" t="str">
        <f>HYPERLINK("https://twitter.com/dicasdeslots/status/1657494921513783296")</f>
        <v>https://twitter.com/dicasdeslots/status/1657494921513783296</v>
      </c>
      <c r="AF3512" s="79">
        <v>45059.886087962965</v>
      </c>
      <c r="AG3512" s="85">
        <v>45059</v>
      </c>
      <c r="AH3512" s="82" t="s">
        <v>13505</v>
      </c>
      <c r="AI3512" s="77" t="b">
        <v>0</v>
      </c>
      <c r="AJ3512" s="77"/>
      <c r="AK3512" s="77"/>
      <c r="AL3512" s="77"/>
      <c r="AM3512" s="77"/>
      <c r="AN3512" s="77"/>
      <c r="AO3512" s="77"/>
      <c r="AP3512" s="77"/>
      <c r="AQ3512" s="77" t="s">
        <v>16462</v>
      </c>
      <c r="AR3512" s="77"/>
      <c r="AS3512" s="77"/>
      <c r="AT3512" s="77"/>
      <c r="AU3512" s="77"/>
      <c r="AV3512" s="80" t="str">
        <f>HYPERLINK("https://pbs.twimg.com/media/FwCamA3X0AAsonm.jpg")</f>
        <v>https://pbs.twimg.com/media/FwCamA3X0AAsonm.jpg</v>
      </c>
      <c r="AW3512" s="82" t="s">
        <v>20278</v>
      </c>
      <c r="AX3512" s="82" t="s">
        <v>20278</v>
      </c>
      <c r="AY3512" s="77"/>
      <c r="AZ3512" s="82" t="s">
        <v>20971</v>
      </c>
      <c r="BA3512" s="82" t="s">
        <v>20971</v>
      </c>
      <c r="BB3512" s="82" t="s">
        <v>20971</v>
      </c>
      <c r="BC3512" s="82" t="s">
        <v>20278</v>
      </c>
      <c r="BD3512" s="82" t="s">
        <v>21624</v>
      </c>
      <c r="BE3512" s="77"/>
      <c r="BF3512" s="77"/>
      <c r="BG3512" s="77"/>
      <c r="BH3512" s="77"/>
      <c r="BI3512" s="77"/>
    </row>
    <row r="3513" spans="1:61" x14ac:dyDescent="0.25">
      <c r="A3513" s="62" t="s">
        <v>1039</v>
      </c>
      <c r="B3513" s="62" t="s">
        <v>1039</v>
      </c>
      <c r="C3513" s="63"/>
      <c r="D3513" s="64"/>
      <c r="E3513" s="65"/>
      <c r="F3513" s="66"/>
      <c r="G3513" s="63"/>
      <c r="H3513" s="67"/>
      <c r="I3513" s="68"/>
      <c r="J3513" s="68"/>
      <c r="K3513" s="32"/>
      <c r="L3513" s="75">
        <v>3513</v>
      </c>
      <c r="M3513" s="75"/>
      <c r="N3513" s="70"/>
      <c r="O3513" s="77" t="s">
        <v>179</v>
      </c>
      <c r="P3513" s="79">
        <v>45094.582395833335</v>
      </c>
      <c r="Q3513" s="77" t="s">
        <v>4719</v>
      </c>
      <c r="R3513" s="77">
        <v>0</v>
      </c>
      <c r="S3513" s="77">
        <v>0</v>
      </c>
      <c r="T3513" s="77">
        <v>0</v>
      </c>
      <c r="U3513" s="77">
        <v>0</v>
      </c>
      <c r="V3513" s="77">
        <v>146</v>
      </c>
      <c r="W3513" s="82" t="s">
        <v>6796</v>
      </c>
      <c r="X3513" s="80" t="str">
        <f>HYPERLINK("https://kiwify.app/pq44bzY?afid=6VtkkjzD")</f>
        <v>https://kiwify.app/pq44bzY?afid=6VtkkjzD</v>
      </c>
      <c r="Y3513" s="77" t="s">
        <v>7269</v>
      </c>
      <c r="Z3513" s="77"/>
      <c r="AA3513" s="77" t="s">
        <v>9820</v>
      </c>
      <c r="AB3513" s="77" t="s">
        <v>10130</v>
      </c>
      <c r="AC3513" s="82" t="s">
        <v>10146</v>
      </c>
      <c r="AD3513" s="77" t="s">
        <v>10184</v>
      </c>
      <c r="AE3513" s="80" t="str">
        <f>HYPERLINK("https://twitter.com/giomendes628/status/1670068441380708353")</f>
        <v>https://twitter.com/giomendes628/status/1670068441380708353</v>
      </c>
      <c r="AF3513" s="79">
        <v>45094.582395833335</v>
      </c>
      <c r="AG3513" s="85">
        <v>45094</v>
      </c>
      <c r="AH3513" s="82" t="s">
        <v>13506</v>
      </c>
      <c r="AI3513" s="77" t="b">
        <v>0</v>
      </c>
      <c r="AJ3513" s="77"/>
      <c r="AK3513" s="77"/>
      <c r="AL3513" s="77"/>
      <c r="AM3513" s="77"/>
      <c r="AN3513" s="77"/>
      <c r="AO3513" s="77"/>
      <c r="AP3513" s="77"/>
      <c r="AQ3513" s="77" t="s">
        <v>16463</v>
      </c>
      <c r="AR3513" s="77"/>
      <c r="AS3513" s="77"/>
      <c r="AT3513" s="77"/>
      <c r="AU3513" s="77"/>
      <c r="AV3513" s="80" t="str">
        <f>HYPERLINK("https://pbs.twimg.com/media/Fy1GSPIWcAQAIFu.jpg")</f>
        <v>https://pbs.twimg.com/media/Fy1GSPIWcAQAIFu.jpg</v>
      </c>
      <c r="AW3513" s="82" t="s">
        <v>20279</v>
      </c>
      <c r="AX3513" s="82" t="s">
        <v>20279</v>
      </c>
      <c r="AY3513" s="77"/>
      <c r="AZ3513" s="82" t="s">
        <v>20971</v>
      </c>
      <c r="BA3513" s="82" t="s">
        <v>20971</v>
      </c>
      <c r="BB3513" s="82" t="s">
        <v>20971</v>
      </c>
      <c r="BC3513" s="82" t="s">
        <v>20279</v>
      </c>
      <c r="BD3513" s="82" t="s">
        <v>21625</v>
      </c>
      <c r="BE3513" s="77"/>
      <c r="BF3513" s="77"/>
      <c r="BG3513" s="77"/>
      <c r="BH3513" s="77"/>
      <c r="BI3513" s="77"/>
    </row>
    <row r="3514" spans="1:61" x14ac:dyDescent="0.25">
      <c r="A3514" s="62" t="s">
        <v>1039</v>
      </c>
      <c r="B3514" s="62" t="s">
        <v>1039</v>
      </c>
      <c r="C3514" s="63"/>
      <c r="D3514" s="64"/>
      <c r="E3514" s="65"/>
      <c r="F3514" s="66"/>
      <c r="G3514" s="63"/>
      <c r="H3514" s="67"/>
      <c r="I3514" s="68"/>
      <c r="J3514" s="68"/>
      <c r="K3514" s="32"/>
      <c r="L3514" s="75">
        <v>3514</v>
      </c>
      <c r="M3514" s="75"/>
      <c r="N3514" s="70"/>
      <c r="O3514" s="77" t="s">
        <v>179</v>
      </c>
      <c r="P3514" s="79">
        <v>45132.731504629628</v>
      </c>
      <c r="Q3514" s="77" t="s">
        <v>4720</v>
      </c>
      <c r="R3514" s="77">
        <v>0</v>
      </c>
      <c r="S3514" s="77">
        <v>0</v>
      </c>
      <c r="T3514" s="77">
        <v>0</v>
      </c>
      <c r="U3514" s="77">
        <v>0</v>
      </c>
      <c r="V3514" s="77">
        <v>89</v>
      </c>
      <c r="W3514" s="82" t="s">
        <v>6797</v>
      </c>
      <c r="X3514" s="77"/>
      <c r="Y3514" s="77"/>
      <c r="Z3514" s="77"/>
      <c r="AA3514" s="77" t="s">
        <v>9821</v>
      </c>
      <c r="AB3514" s="77" t="s">
        <v>10129</v>
      </c>
      <c r="AC3514" s="82" t="s">
        <v>10144</v>
      </c>
      <c r="AD3514" s="77" t="s">
        <v>10184</v>
      </c>
      <c r="AE3514" s="80" t="str">
        <f>HYPERLINK("https://twitter.com/giomendes628/status/1683893216800546818")</f>
        <v>https://twitter.com/giomendes628/status/1683893216800546818</v>
      </c>
      <c r="AF3514" s="79">
        <v>45132.731504629628</v>
      </c>
      <c r="AG3514" s="85">
        <v>45132</v>
      </c>
      <c r="AH3514" s="82" t="s">
        <v>13507</v>
      </c>
      <c r="AI3514" s="77" t="b">
        <v>0</v>
      </c>
      <c r="AJ3514" s="77"/>
      <c r="AK3514" s="77"/>
      <c r="AL3514" s="77"/>
      <c r="AM3514" s="77"/>
      <c r="AN3514" s="77"/>
      <c r="AO3514" s="77"/>
      <c r="AP3514" s="77"/>
      <c r="AQ3514" s="77" t="s">
        <v>16464</v>
      </c>
      <c r="AR3514" s="77">
        <v>42167</v>
      </c>
      <c r="AS3514" s="77"/>
      <c r="AT3514" s="77"/>
      <c r="AU3514" s="77"/>
      <c r="AV3514" s="80" t="str">
        <f>HYPERLINK("https://pbs.twimg.com/ext_tw_video_thumb/1683893149406461958/pu/img/Xtz-4TuTOqr4jF8A.jpg")</f>
        <v>https://pbs.twimg.com/ext_tw_video_thumb/1683893149406461958/pu/img/Xtz-4TuTOqr4jF8A.jpg</v>
      </c>
      <c r="AW3514" s="82" t="s">
        <v>20280</v>
      </c>
      <c r="AX3514" s="82" t="s">
        <v>20280</v>
      </c>
      <c r="AY3514" s="77"/>
      <c r="AZ3514" s="82" t="s">
        <v>20971</v>
      </c>
      <c r="BA3514" s="82" t="s">
        <v>20971</v>
      </c>
      <c r="BB3514" s="82" t="s">
        <v>20971</v>
      </c>
      <c r="BC3514" s="82" t="s">
        <v>20280</v>
      </c>
      <c r="BD3514" s="82" t="s">
        <v>21625</v>
      </c>
      <c r="BE3514" s="77"/>
      <c r="BF3514" s="77"/>
      <c r="BG3514" s="77"/>
      <c r="BH3514" s="77"/>
      <c r="BI3514" s="77"/>
    </row>
    <row r="3515" spans="1:61" x14ac:dyDescent="0.25">
      <c r="A3515" s="62" t="s">
        <v>1040</v>
      </c>
      <c r="B3515" s="62" t="s">
        <v>1040</v>
      </c>
      <c r="C3515" s="63"/>
      <c r="D3515" s="64"/>
      <c r="E3515" s="65"/>
      <c r="F3515" s="66"/>
      <c r="G3515" s="63"/>
      <c r="H3515" s="67"/>
      <c r="I3515" s="68"/>
      <c r="J3515" s="68"/>
      <c r="K3515" s="32"/>
      <c r="L3515" s="75">
        <v>3515</v>
      </c>
      <c r="M3515" s="75"/>
      <c r="N3515" s="70"/>
      <c r="O3515" s="77" t="s">
        <v>179</v>
      </c>
      <c r="P3515" s="79">
        <v>45009.635972222219</v>
      </c>
      <c r="Q3515" s="77" t="s">
        <v>4721</v>
      </c>
      <c r="R3515" s="77">
        <v>0</v>
      </c>
      <c r="S3515" s="77">
        <v>0</v>
      </c>
      <c r="T3515" s="77">
        <v>0</v>
      </c>
      <c r="U3515" s="77">
        <v>0</v>
      </c>
      <c r="V3515" s="77">
        <v>122</v>
      </c>
      <c r="W3515" s="82" t="s">
        <v>6798</v>
      </c>
      <c r="X3515" s="77"/>
      <c r="Y3515" s="77"/>
      <c r="Z3515" s="77"/>
      <c r="AA3515" s="77" t="s">
        <v>9822</v>
      </c>
      <c r="AB3515" s="77" t="s">
        <v>10129</v>
      </c>
      <c r="AC3515" s="82" t="s">
        <v>10147</v>
      </c>
      <c r="AD3515" s="77" t="s">
        <v>10184</v>
      </c>
      <c r="AE3515" s="80" t="str">
        <f>HYPERLINK("https://twitter.com/leobevilaqua10/status/1639284887512395783")</f>
        <v>https://twitter.com/leobevilaqua10/status/1639284887512395783</v>
      </c>
      <c r="AF3515" s="79">
        <v>45009.635972222219</v>
      </c>
      <c r="AG3515" s="85">
        <v>45009</v>
      </c>
      <c r="AH3515" s="82" t="s">
        <v>13508</v>
      </c>
      <c r="AI3515" s="77" t="b">
        <v>0</v>
      </c>
      <c r="AJ3515" s="77"/>
      <c r="AK3515" s="77"/>
      <c r="AL3515" s="77"/>
      <c r="AM3515" s="77"/>
      <c r="AN3515" s="77"/>
      <c r="AO3515" s="77"/>
      <c r="AP3515" s="77"/>
      <c r="AQ3515" s="77" t="s">
        <v>16465</v>
      </c>
      <c r="AR3515" s="77">
        <v>56633</v>
      </c>
      <c r="AS3515" s="77"/>
      <c r="AT3515" s="77"/>
      <c r="AU3515" s="77"/>
      <c r="AV3515" s="80" t="str">
        <f>HYPERLINK("https://pbs.twimg.com/ext_tw_video_thumb/1639284757971324930/pu/img/oAM0jqkL0MI1D2HV.jpg")</f>
        <v>https://pbs.twimg.com/ext_tw_video_thumb/1639284757971324930/pu/img/oAM0jqkL0MI1D2HV.jpg</v>
      </c>
      <c r="AW3515" s="82" t="s">
        <v>20281</v>
      </c>
      <c r="AX3515" s="82" t="s">
        <v>20281</v>
      </c>
      <c r="AY3515" s="77"/>
      <c r="AZ3515" s="82" t="s">
        <v>20971</v>
      </c>
      <c r="BA3515" s="82" t="s">
        <v>20971</v>
      </c>
      <c r="BB3515" s="82" t="s">
        <v>20971</v>
      </c>
      <c r="BC3515" s="82" t="s">
        <v>20281</v>
      </c>
      <c r="BD3515" s="82" t="s">
        <v>21626</v>
      </c>
      <c r="BE3515" s="77"/>
      <c r="BF3515" s="77"/>
      <c r="BG3515" s="77"/>
      <c r="BH3515" s="77"/>
      <c r="BI3515" s="77"/>
    </row>
    <row r="3516" spans="1:61" x14ac:dyDescent="0.25">
      <c r="A3516" s="62" t="s">
        <v>1040</v>
      </c>
      <c r="B3516" s="62" t="s">
        <v>1040</v>
      </c>
      <c r="C3516" s="63"/>
      <c r="D3516" s="64"/>
      <c r="E3516" s="65"/>
      <c r="F3516" s="66"/>
      <c r="G3516" s="63"/>
      <c r="H3516" s="67"/>
      <c r="I3516" s="68"/>
      <c r="J3516" s="68"/>
      <c r="K3516" s="32"/>
      <c r="L3516" s="75">
        <v>3516</v>
      </c>
      <c r="M3516" s="75"/>
      <c r="N3516" s="70"/>
      <c r="O3516" s="77" t="s">
        <v>179</v>
      </c>
      <c r="P3516" s="79">
        <v>45009.424016203702</v>
      </c>
      <c r="Q3516" s="77" t="s">
        <v>4722</v>
      </c>
      <c r="R3516" s="77">
        <v>0</v>
      </c>
      <c r="S3516" s="77">
        <v>0</v>
      </c>
      <c r="T3516" s="77">
        <v>0</v>
      </c>
      <c r="U3516" s="77">
        <v>0</v>
      </c>
      <c r="V3516" s="77">
        <v>22</v>
      </c>
      <c r="W3516" s="82" t="s">
        <v>6799</v>
      </c>
      <c r="X3516" s="77"/>
      <c r="Y3516" s="77"/>
      <c r="Z3516" s="77"/>
      <c r="AA3516" s="77" t="s">
        <v>9823</v>
      </c>
      <c r="AB3516" s="77" t="s">
        <v>10129</v>
      </c>
      <c r="AC3516" s="82" t="s">
        <v>10147</v>
      </c>
      <c r="AD3516" s="77" t="s">
        <v>10184</v>
      </c>
      <c r="AE3516" s="80" t="str">
        <f>HYPERLINK("https://twitter.com/leobevilaqua10/status/1639208076732682240")</f>
        <v>https://twitter.com/leobevilaqua10/status/1639208076732682240</v>
      </c>
      <c r="AF3516" s="79">
        <v>45009.424016203702</v>
      </c>
      <c r="AG3516" s="85">
        <v>45009</v>
      </c>
      <c r="AH3516" s="82" t="s">
        <v>13509</v>
      </c>
      <c r="AI3516" s="77" t="b">
        <v>0</v>
      </c>
      <c r="AJ3516" s="77"/>
      <c r="AK3516" s="77"/>
      <c r="AL3516" s="77"/>
      <c r="AM3516" s="77"/>
      <c r="AN3516" s="77"/>
      <c r="AO3516" s="77"/>
      <c r="AP3516" s="77"/>
      <c r="AQ3516" s="77" t="s">
        <v>16466</v>
      </c>
      <c r="AR3516" s="77">
        <v>59326</v>
      </c>
      <c r="AS3516" s="77"/>
      <c r="AT3516" s="77"/>
      <c r="AU3516" s="77"/>
      <c r="AV3516" s="80" t="str">
        <f>HYPERLINK("https://pbs.twimg.com/ext_tw_video_thumb/1639207955349352449/pu/img/2FydBQ6kHFeNQGF9.jpg")</f>
        <v>https://pbs.twimg.com/ext_tw_video_thumb/1639207955349352449/pu/img/2FydBQ6kHFeNQGF9.jpg</v>
      </c>
      <c r="AW3516" s="82" t="s">
        <v>20282</v>
      </c>
      <c r="AX3516" s="82" t="s">
        <v>20282</v>
      </c>
      <c r="AY3516" s="77"/>
      <c r="AZ3516" s="82" t="s">
        <v>20971</v>
      </c>
      <c r="BA3516" s="82" t="s">
        <v>20971</v>
      </c>
      <c r="BB3516" s="82" t="s">
        <v>20971</v>
      </c>
      <c r="BC3516" s="82" t="s">
        <v>20282</v>
      </c>
      <c r="BD3516" s="82" t="s">
        <v>21626</v>
      </c>
      <c r="BE3516" s="77"/>
      <c r="BF3516" s="77"/>
      <c r="BG3516" s="77"/>
      <c r="BH3516" s="77"/>
      <c r="BI3516" s="77"/>
    </row>
    <row r="3517" spans="1:61" x14ac:dyDescent="0.25">
      <c r="A3517" s="62" t="s">
        <v>1040</v>
      </c>
      <c r="B3517" s="62" t="s">
        <v>1040</v>
      </c>
      <c r="C3517" s="63"/>
      <c r="D3517" s="64"/>
      <c r="E3517" s="65"/>
      <c r="F3517" s="66"/>
      <c r="G3517" s="63"/>
      <c r="H3517" s="67"/>
      <c r="I3517" s="68"/>
      <c r="J3517" s="68"/>
      <c r="K3517" s="32"/>
      <c r="L3517" s="75">
        <v>3517</v>
      </c>
      <c r="M3517" s="75"/>
      <c r="N3517" s="70"/>
      <c r="O3517" s="77" t="s">
        <v>179</v>
      </c>
      <c r="P3517" s="79">
        <v>45008.944490740738</v>
      </c>
      <c r="Q3517" s="77" t="s">
        <v>4723</v>
      </c>
      <c r="R3517" s="77">
        <v>0</v>
      </c>
      <c r="S3517" s="77">
        <v>0</v>
      </c>
      <c r="T3517" s="77">
        <v>0</v>
      </c>
      <c r="U3517" s="77">
        <v>0</v>
      </c>
      <c r="V3517" s="77">
        <v>8</v>
      </c>
      <c r="W3517" s="82" t="s">
        <v>6800</v>
      </c>
      <c r="X3517" s="77"/>
      <c r="Y3517" s="77"/>
      <c r="Z3517" s="77"/>
      <c r="AA3517" s="77" t="s">
        <v>9824</v>
      </c>
      <c r="AB3517" s="77" t="s">
        <v>10130</v>
      </c>
      <c r="AC3517" s="82" t="s">
        <v>10147</v>
      </c>
      <c r="AD3517" s="77" t="s">
        <v>10184</v>
      </c>
      <c r="AE3517" s="80" t="str">
        <f>HYPERLINK("https://twitter.com/leobevilaqua10/status/1639034302880161792")</f>
        <v>https://twitter.com/leobevilaqua10/status/1639034302880161792</v>
      </c>
      <c r="AF3517" s="79">
        <v>45008.944490740738</v>
      </c>
      <c r="AG3517" s="85">
        <v>45008</v>
      </c>
      <c r="AH3517" s="82" t="s">
        <v>13510</v>
      </c>
      <c r="AI3517" s="77" t="b">
        <v>0</v>
      </c>
      <c r="AJ3517" s="77"/>
      <c r="AK3517" s="77"/>
      <c r="AL3517" s="77"/>
      <c r="AM3517" s="77"/>
      <c r="AN3517" s="77"/>
      <c r="AO3517" s="77"/>
      <c r="AP3517" s="77"/>
      <c r="AQ3517" s="77" t="s">
        <v>16467</v>
      </c>
      <c r="AR3517" s="77"/>
      <c r="AS3517" s="77"/>
      <c r="AT3517" s="77"/>
      <c r="AU3517" s="77"/>
      <c r="AV3517" s="80" t="str">
        <f>HYPERLINK("https://pbs.twimg.com/media/Fr8FAy4X0AE83-C.png")</f>
        <v>https://pbs.twimg.com/media/Fr8FAy4X0AE83-C.png</v>
      </c>
      <c r="AW3517" s="82" t="s">
        <v>20283</v>
      </c>
      <c r="AX3517" s="82" t="s">
        <v>20283</v>
      </c>
      <c r="AY3517" s="77"/>
      <c r="AZ3517" s="82" t="s">
        <v>20971</v>
      </c>
      <c r="BA3517" s="82" t="s">
        <v>20971</v>
      </c>
      <c r="BB3517" s="82" t="s">
        <v>20971</v>
      </c>
      <c r="BC3517" s="82" t="s">
        <v>20283</v>
      </c>
      <c r="BD3517" s="82" t="s">
        <v>21626</v>
      </c>
      <c r="BE3517" s="77"/>
      <c r="BF3517" s="77"/>
      <c r="BG3517" s="77"/>
      <c r="BH3517" s="77"/>
      <c r="BI3517" s="77"/>
    </row>
    <row r="3518" spans="1:61" x14ac:dyDescent="0.25">
      <c r="A3518" s="62" t="s">
        <v>1040</v>
      </c>
      <c r="B3518" s="62" t="s">
        <v>1040</v>
      </c>
      <c r="C3518" s="63"/>
      <c r="D3518" s="64"/>
      <c r="E3518" s="65"/>
      <c r="F3518" s="66"/>
      <c r="G3518" s="63"/>
      <c r="H3518" s="67"/>
      <c r="I3518" s="68"/>
      <c r="J3518" s="68"/>
      <c r="K3518" s="32"/>
      <c r="L3518" s="75">
        <v>3518</v>
      </c>
      <c r="M3518" s="75"/>
      <c r="N3518" s="70"/>
      <c r="O3518" s="77" t="s">
        <v>179</v>
      </c>
      <c r="P3518" s="79">
        <v>45008.642858796295</v>
      </c>
      <c r="Q3518" s="77" t="s">
        <v>4724</v>
      </c>
      <c r="R3518" s="77">
        <v>0</v>
      </c>
      <c r="S3518" s="77">
        <v>0</v>
      </c>
      <c r="T3518" s="77">
        <v>0</v>
      </c>
      <c r="U3518" s="77">
        <v>0</v>
      </c>
      <c r="V3518" s="77">
        <v>28</v>
      </c>
      <c r="W3518" s="82" t="s">
        <v>6799</v>
      </c>
      <c r="X3518" s="77"/>
      <c r="Y3518" s="77"/>
      <c r="Z3518" s="77"/>
      <c r="AA3518" s="77" t="s">
        <v>9825</v>
      </c>
      <c r="AB3518" s="77" t="s">
        <v>10129</v>
      </c>
      <c r="AC3518" s="82" t="s">
        <v>10147</v>
      </c>
      <c r="AD3518" s="77" t="s">
        <v>10184</v>
      </c>
      <c r="AE3518" s="80" t="str">
        <f>HYPERLINK("https://twitter.com/leobevilaqua10/status/1638924997963165696")</f>
        <v>https://twitter.com/leobevilaqua10/status/1638924997963165696</v>
      </c>
      <c r="AF3518" s="79">
        <v>45008.642858796295</v>
      </c>
      <c r="AG3518" s="85">
        <v>45008</v>
      </c>
      <c r="AH3518" s="82" t="s">
        <v>13511</v>
      </c>
      <c r="AI3518" s="77" t="b">
        <v>0</v>
      </c>
      <c r="AJ3518" s="77"/>
      <c r="AK3518" s="77"/>
      <c r="AL3518" s="77"/>
      <c r="AM3518" s="77"/>
      <c r="AN3518" s="77"/>
      <c r="AO3518" s="77"/>
      <c r="AP3518" s="77"/>
      <c r="AQ3518" s="77" t="s">
        <v>16468</v>
      </c>
      <c r="AR3518" s="77">
        <v>104071</v>
      </c>
      <c r="AS3518" s="77"/>
      <c r="AT3518" s="77"/>
      <c r="AU3518" s="77"/>
      <c r="AV3518" s="80" t="str">
        <f>HYPERLINK("https://pbs.twimg.com/ext_tw_video_thumb/1638924852789755904/pu/img/eEeqRvGyp0EIlXZe.jpg")</f>
        <v>https://pbs.twimg.com/ext_tw_video_thumb/1638924852789755904/pu/img/eEeqRvGyp0EIlXZe.jpg</v>
      </c>
      <c r="AW3518" s="82" t="s">
        <v>20284</v>
      </c>
      <c r="AX3518" s="82" t="s">
        <v>20284</v>
      </c>
      <c r="AY3518" s="77"/>
      <c r="AZ3518" s="82" t="s">
        <v>20971</v>
      </c>
      <c r="BA3518" s="82" t="s">
        <v>20971</v>
      </c>
      <c r="BB3518" s="82" t="s">
        <v>20971</v>
      </c>
      <c r="BC3518" s="82" t="s">
        <v>20284</v>
      </c>
      <c r="BD3518" s="82" t="s">
        <v>21626</v>
      </c>
      <c r="BE3518" s="77"/>
      <c r="BF3518" s="77"/>
      <c r="BG3518" s="77"/>
      <c r="BH3518" s="77"/>
      <c r="BI3518" s="77"/>
    </row>
    <row r="3519" spans="1:61" x14ac:dyDescent="0.25">
      <c r="A3519" s="62" t="s">
        <v>1040</v>
      </c>
      <c r="B3519" s="62" t="s">
        <v>1040</v>
      </c>
      <c r="C3519" s="63"/>
      <c r="D3519" s="64"/>
      <c r="E3519" s="65"/>
      <c r="F3519" s="66"/>
      <c r="G3519" s="63"/>
      <c r="H3519" s="67"/>
      <c r="I3519" s="68"/>
      <c r="J3519" s="68"/>
      <c r="K3519" s="32"/>
      <c r="L3519" s="75">
        <v>3519</v>
      </c>
      <c r="M3519" s="75"/>
      <c r="N3519" s="70"/>
      <c r="O3519" s="77" t="s">
        <v>179</v>
      </c>
      <c r="P3519" s="79">
        <v>45008.507060185184</v>
      </c>
      <c r="Q3519" s="77" t="s">
        <v>4725</v>
      </c>
      <c r="R3519" s="77">
        <v>0</v>
      </c>
      <c r="S3519" s="77">
        <v>0</v>
      </c>
      <c r="T3519" s="77">
        <v>0</v>
      </c>
      <c r="U3519" s="77">
        <v>0</v>
      </c>
      <c r="V3519" s="77">
        <v>5</v>
      </c>
      <c r="W3519" s="82" t="s">
        <v>6800</v>
      </c>
      <c r="X3519" s="77"/>
      <c r="Y3519" s="77"/>
      <c r="Z3519" s="77"/>
      <c r="AA3519" s="77" t="s">
        <v>9826</v>
      </c>
      <c r="AB3519" s="77" t="s">
        <v>10130</v>
      </c>
      <c r="AC3519" s="82" t="s">
        <v>10147</v>
      </c>
      <c r="AD3519" s="77" t="s">
        <v>10184</v>
      </c>
      <c r="AE3519" s="80" t="str">
        <f>HYPERLINK("https://twitter.com/leobevilaqua10/status/1638875786362118144")</f>
        <v>https://twitter.com/leobevilaqua10/status/1638875786362118144</v>
      </c>
      <c r="AF3519" s="79">
        <v>45008.507060185184</v>
      </c>
      <c r="AG3519" s="85">
        <v>45008</v>
      </c>
      <c r="AH3519" s="82" t="s">
        <v>13512</v>
      </c>
      <c r="AI3519" s="77" t="b">
        <v>0</v>
      </c>
      <c r="AJ3519" s="77"/>
      <c r="AK3519" s="77"/>
      <c r="AL3519" s="77"/>
      <c r="AM3519" s="77"/>
      <c r="AN3519" s="77"/>
      <c r="AO3519" s="77"/>
      <c r="AP3519" s="77"/>
      <c r="AQ3519" s="77" t="s">
        <v>16469</v>
      </c>
      <c r="AR3519" s="77"/>
      <c r="AS3519" s="77"/>
      <c r="AT3519" s="77"/>
      <c r="AU3519" s="77"/>
      <c r="AV3519" s="80" t="str">
        <f>HYPERLINK("https://pbs.twimg.com/media/Fr50148XoAMq8_l.jpg")</f>
        <v>https://pbs.twimg.com/media/Fr50148XoAMq8_l.jpg</v>
      </c>
      <c r="AW3519" s="82" t="s">
        <v>20285</v>
      </c>
      <c r="AX3519" s="82" t="s">
        <v>20285</v>
      </c>
      <c r="AY3519" s="77"/>
      <c r="AZ3519" s="82" t="s">
        <v>20971</v>
      </c>
      <c r="BA3519" s="82" t="s">
        <v>20971</v>
      </c>
      <c r="BB3519" s="82" t="s">
        <v>20971</v>
      </c>
      <c r="BC3519" s="82" t="s">
        <v>20285</v>
      </c>
      <c r="BD3519" s="82" t="s">
        <v>21626</v>
      </c>
      <c r="BE3519" s="77"/>
      <c r="BF3519" s="77"/>
      <c r="BG3519" s="77"/>
      <c r="BH3519" s="77"/>
      <c r="BI3519" s="77"/>
    </row>
    <row r="3520" spans="1:61" x14ac:dyDescent="0.25">
      <c r="A3520" s="62" t="s">
        <v>1040</v>
      </c>
      <c r="B3520" s="62" t="s">
        <v>1040</v>
      </c>
      <c r="C3520" s="63"/>
      <c r="D3520" s="64"/>
      <c r="E3520" s="65"/>
      <c r="F3520" s="66"/>
      <c r="G3520" s="63"/>
      <c r="H3520" s="67"/>
      <c r="I3520" s="68"/>
      <c r="J3520" s="68"/>
      <c r="K3520" s="32"/>
      <c r="L3520" s="75">
        <v>3520</v>
      </c>
      <c r="M3520" s="75"/>
      <c r="N3520" s="70"/>
      <c r="O3520" s="77" t="s">
        <v>179</v>
      </c>
      <c r="P3520" s="79">
        <v>45008.430833333332</v>
      </c>
      <c r="Q3520" s="77" t="s">
        <v>4726</v>
      </c>
      <c r="R3520" s="77">
        <v>0</v>
      </c>
      <c r="S3520" s="77">
        <v>2</v>
      </c>
      <c r="T3520" s="77">
        <v>0</v>
      </c>
      <c r="U3520" s="77">
        <v>0</v>
      </c>
      <c r="V3520" s="77">
        <v>52</v>
      </c>
      <c r="W3520" s="82" t="s">
        <v>6801</v>
      </c>
      <c r="X3520" s="77"/>
      <c r="Y3520" s="77"/>
      <c r="Z3520" s="77"/>
      <c r="AA3520" s="77" t="s">
        <v>9827</v>
      </c>
      <c r="AB3520" s="77" t="s">
        <v>10129</v>
      </c>
      <c r="AC3520" s="82" t="s">
        <v>10147</v>
      </c>
      <c r="AD3520" s="77" t="s">
        <v>10184</v>
      </c>
      <c r="AE3520" s="80" t="str">
        <f>HYPERLINK("https://twitter.com/leobevilaqua10/status/1638848159312121856")</f>
        <v>https://twitter.com/leobevilaqua10/status/1638848159312121856</v>
      </c>
      <c r="AF3520" s="79">
        <v>45008.430833333332</v>
      </c>
      <c r="AG3520" s="85">
        <v>45008</v>
      </c>
      <c r="AH3520" s="82" t="s">
        <v>13513</v>
      </c>
      <c r="AI3520" s="77" t="b">
        <v>0</v>
      </c>
      <c r="AJ3520" s="77"/>
      <c r="AK3520" s="77"/>
      <c r="AL3520" s="77"/>
      <c r="AM3520" s="77"/>
      <c r="AN3520" s="77"/>
      <c r="AO3520" s="77"/>
      <c r="AP3520" s="77"/>
      <c r="AQ3520" s="77" t="s">
        <v>16470</v>
      </c>
      <c r="AR3520" s="77">
        <v>58165</v>
      </c>
      <c r="AS3520" s="77"/>
      <c r="AT3520" s="77"/>
      <c r="AU3520" s="77"/>
      <c r="AV3520" s="80" t="str">
        <f>HYPERLINK("https://pbs.twimg.com/ext_tw_video_thumb/1638848074268262401/pu/img/bzLsBIbROKh8xThT.jpg")</f>
        <v>https://pbs.twimg.com/ext_tw_video_thumb/1638848074268262401/pu/img/bzLsBIbROKh8xThT.jpg</v>
      </c>
      <c r="AW3520" s="82" t="s">
        <v>20286</v>
      </c>
      <c r="AX3520" s="82" t="s">
        <v>20286</v>
      </c>
      <c r="AY3520" s="77"/>
      <c r="AZ3520" s="82" t="s">
        <v>20971</v>
      </c>
      <c r="BA3520" s="82" t="s">
        <v>20971</v>
      </c>
      <c r="BB3520" s="82" t="s">
        <v>20971</v>
      </c>
      <c r="BC3520" s="82" t="s">
        <v>20286</v>
      </c>
      <c r="BD3520" s="82" t="s">
        <v>21626</v>
      </c>
      <c r="BE3520" s="77"/>
      <c r="BF3520" s="77"/>
      <c r="BG3520" s="77"/>
      <c r="BH3520" s="77"/>
      <c r="BI3520" s="77"/>
    </row>
    <row r="3521" spans="1:61" x14ac:dyDescent="0.25">
      <c r="A3521" s="62" t="s">
        <v>1041</v>
      </c>
      <c r="B3521" s="62" t="s">
        <v>1041</v>
      </c>
      <c r="C3521" s="63"/>
      <c r="D3521" s="64"/>
      <c r="E3521" s="65"/>
      <c r="F3521" s="66"/>
      <c r="G3521" s="63"/>
      <c r="H3521" s="67"/>
      <c r="I3521" s="68"/>
      <c r="J3521" s="68"/>
      <c r="K3521" s="32"/>
      <c r="L3521" s="75">
        <v>3521</v>
      </c>
      <c r="M3521" s="75"/>
      <c r="N3521" s="70"/>
      <c r="O3521" s="77" t="s">
        <v>1284</v>
      </c>
      <c r="P3521" s="79">
        <v>45181.818611111114</v>
      </c>
      <c r="Q3521" s="77" t="s">
        <v>4727</v>
      </c>
      <c r="R3521" s="77">
        <v>0</v>
      </c>
      <c r="S3521" s="77">
        <v>1</v>
      </c>
      <c r="T3521" s="77">
        <v>0</v>
      </c>
      <c r="U3521" s="77">
        <v>0</v>
      </c>
      <c r="V3521" s="77">
        <v>608</v>
      </c>
      <c r="W3521" s="82" t="s">
        <v>6802</v>
      </c>
      <c r="X3521" s="77"/>
      <c r="Y3521" s="77"/>
      <c r="Z3521" s="77"/>
      <c r="AA3521" s="77"/>
      <c r="AB3521" s="77"/>
      <c r="AC3521" s="82" t="s">
        <v>10146</v>
      </c>
      <c r="AD3521" s="77" t="s">
        <v>10186</v>
      </c>
      <c r="AE3521" s="80" t="str">
        <f>HYPERLINK("https://twitter.com/marcelofayh/status/1701681788278477290")</f>
        <v>https://twitter.com/marcelofayh/status/1701681788278477290</v>
      </c>
      <c r="AF3521" s="79">
        <v>45181.818611111114</v>
      </c>
      <c r="AG3521" s="85">
        <v>45181</v>
      </c>
      <c r="AH3521" s="82" t="s">
        <v>13514</v>
      </c>
      <c r="AI3521" s="77"/>
      <c r="AJ3521" s="77"/>
      <c r="AK3521" s="77"/>
      <c r="AL3521" s="77"/>
      <c r="AM3521" s="77"/>
      <c r="AN3521" s="77"/>
      <c r="AO3521" s="77"/>
      <c r="AP3521" s="77"/>
      <c r="AQ3521" s="77"/>
      <c r="AR3521" s="77"/>
      <c r="AS3521" s="77"/>
      <c r="AT3521" s="77"/>
      <c r="AU3521" s="77"/>
      <c r="AV3521" s="80" t="str">
        <f>HYPERLINK("https://pbs.twimg.com/profile_images/1532413256043732996/XaWlcw3k_normal.jpg")</f>
        <v>https://pbs.twimg.com/profile_images/1532413256043732996/XaWlcw3k_normal.jpg</v>
      </c>
      <c r="AW3521" s="82" t="s">
        <v>20287</v>
      </c>
      <c r="AX3521" s="82" t="s">
        <v>20879</v>
      </c>
      <c r="AY3521" s="82" t="s">
        <v>20961</v>
      </c>
      <c r="AZ3521" s="82" t="s">
        <v>20999</v>
      </c>
      <c r="BA3521" s="82" t="s">
        <v>20971</v>
      </c>
      <c r="BB3521" s="82" t="s">
        <v>20971</v>
      </c>
      <c r="BC3521" s="82" t="s">
        <v>20999</v>
      </c>
      <c r="BD3521" s="77">
        <v>387424333</v>
      </c>
      <c r="BE3521" s="77"/>
      <c r="BF3521" s="77"/>
      <c r="BG3521" s="77"/>
      <c r="BH3521" s="77"/>
      <c r="BI3521" s="77"/>
    </row>
    <row r="3522" spans="1:61" x14ac:dyDescent="0.25">
      <c r="A3522" s="62" t="s">
        <v>1042</v>
      </c>
      <c r="B3522" s="62" t="s">
        <v>1042</v>
      </c>
      <c r="C3522" s="63"/>
      <c r="D3522" s="64"/>
      <c r="E3522" s="65"/>
      <c r="F3522" s="66"/>
      <c r="G3522" s="63"/>
      <c r="H3522" s="67"/>
      <c r="I3522" s="68"/>
      <c r="J3522" s="68"/>
      <c r="K3522" s="32"/>
      <c r="L3522" s="75">
        <v>3522</v>
      </c>
      <c r="M3522" s="75"/>
      <c r="N3522" s="70"/>
      <c r="O3522" s="77" t="s">
        <v>179</v>
      </c>
      <c r="P3522" s="79">
        <v>45057.703668981485</v>
      </c>
      <c r="Q3522" s="77" t="s">
        <v>4728</v>
      </c>
      <c r="R3522" s="77">
        <v>0</v>
      </c>
      <c r="S3522" s="77">
        <v>1</v>
      </c>
      <c r="T3522" s="77">
        <v>0</v>
      </c>
      <c r="U3522" s="77">
        <v>0</v>
      </c>
      <c r="V3522" s="77">
        <v>17</v>
      </c>
      <c r="W3522" s="82" t="s">
        <v>6803</v>
      </c>
      <c r="X3522" s="80" t="str">
        <f>HYPERLINK("https://linktr.ee/thungriat")</f>
        <v>https://linktr.ee/thungriat</v>
      </c>
      <c r="Y3522" s="77" t="s">
        <v>7300</v>
      </c>
      <c r="Z3522" s="77"/>
      <c r="AA3522" s="77"/>
      <c r="AB3522" s="77"/>
      <c r="AC3522" s="82" t="s">
        <v>10146</v>
      </c>
      <c r="AD3522" s="77" t="s">
        <v>10184</v>
      </c>
      <c r="AE3522" s="80" t="str">
        <f>HYPERLINK("https://twitter.com/gamenft18/status/1656704039734722567")</f>
        <v>https://twitter.com/gamenft18/status/1656704039734722567</v>
      </c>
      <c r="AF3522" s="79">
        <v>45057.703668981485</v>
      </c>
      <c r="AG3522" s="85">
        <v>45057</v>
      </c>
      <c r="AH3522" s="82" t="s">
        <v>13515</v>
      </c>
      <c r="AI3522" s="77" t="b">
        <v>0</v>
      </c>
      <c r="AJ3522" s="77"/>
      <c r="AK3522" s="77"/>
      <c r="AL3522" s="77"/>
      <c r="AM3522" s="77"/>
      <c r="AN3522" s="77"/>
      <c r="AO3522" s="77"/>
      <c r="AP3522" s="77"/>
      <c r="AQ3522" s="77"/>
      <c r="AR3522" s="77"/>
      <c r="AS3522" s="77"/>
      <c r="AT3522" s="77"/>
      <c r="AU3522" s="77"/>
      <c r="AV3522" s="80" t="str">
        <f>HYPERLINK("https://pbs.twimg.com/profile_images/1552213876485365760/dECIgr97_normal.jpg")</f>
        <v>https://pbs.twimg.com/profile_images/1552213876485365760/dECIgr97_normal.jpg</v>
      </c>
      <c r="AW3522" s="82" t="s">
        <v>20288</v>
      </c>
      <c r="AX3522" s="82" t="s">
        <v>20288</v>
      </c>
      <c r="AY3522" s="77"/>
      <c r="AZ3522" s="82" t="s">
        <v>20971</v>
      </c>
      <c r="BA3522" s="82" t="s">
        <v>20971</v>
      </c>
      <c r="BB3522" s="82" t="s">
        <v>20971</v>
      </c>
      <c r="BC3522" s="82" t="s">
        <v>20288</v>
      </c>
      <c r="BD3522" s="82" t="s">
        <v>21627</v>
      </c>
      <c r="BE3522" s="77"/>
      <c r="BF3522" s="77"/>
      <c r="BG3522" s="77"/>
      <c r="BH3522" s="77"/>
      <c r="BI3522" s="77"/>
    </row>
    <row r="3523" spans="1:61" x14ac:dyDescent="0.25">
      <c r="A3523" s="62" t="s">
        <v>1043</v>
      </c>
      <c r="B3523" s="62" t="s">
        <v>1043</v>
      </c>
      <c r="C3523" s="63"/>
      <c r="D3523" s="64"/>
      <c r="E3523" s="65"/>
      <c r="F3523" s="66"/>
      <c r="G3523" s="63"/>
      <c r="H3523" s="67"/>
      <c r="I3523" s="68"/>
      <c r="J3523" s="68"/>
      <c r="K3523" s="32"/>
      <c r="L3523" s="75">
        <v>3523</v>
      </c>
      <c r="M3523" s="75"/>
      <c r="N3523" s="70"/>
      <c r="O3523" s="77" t="s">
        <v>179</v>
      </c>
      <c r="P3523" s="79">
        <v>44964.710868055554</v>
      </c>
      <c r="Q3523" s="77" t="s">
        <v>4729</v>
      </c>
      <c r="R3523" s="77">
        <v>0</v>
      </c>
      <c r="S3523" s="77">
        <v>0</v>
      </c>
      <c r="T3523" s="77">
        <v>0</v>
      </c>
      <c r="U3523" s="77">
        <v>0</v>
      </c>
      <c r="V3523" s="77">
        <v>7</v>
      </c>
      <c r="W3523" s="82" t="s">
        <v>6804</v>
      </c>
      <c r="X3523" s="77" t="s">
        <v>7230</v>
      </c>
      <c r="Y3523" s="77" t="s">
        <v>7446</v>
      </c>
      <c r="Z3523" s="77"/>
      <c r="AA3523" s="77"/>
      <c r="AB3523" s="77"/>
      <c r="AC3523" s="82" t="s">
        <v>10167</v>
      </c>
      <c r="AD3523" s="77" t="s">
        <v>10184</v>
      </c>
      <c r="AE3523" s="80" t="str">
        <f>HYPERLINK("https://twitter.com/airton19711/status/1623004573785792512")</f>
        <v>https://twitter.com/airton19711/status/1623004573785792512</v>
      </c>
      <c r="AF3523" s="79">
        <v>44964.710868055554</v>
      </c>
      <c r="AG3523" s="85">
        <v>44964</v>
      </c>
      <c r="AH3523" s="82" t="s">
        <v>10332</v>
      </c>
      <c r="AI3523" s="77" t="b">
        <v>0</v>
      </c>
      <c r="AJ3523" s="77"/>
      <c r="AK3523" s="77"/>
      <c r="AL3523" s="77"/>
      <c r="AM3523" s="77"/>
      <c r="AN3523" s="77"/>
      <c r="AO3523" s="77"/>
      <c r="AP3523" s="77"/>
      <c r="AQ3523" s="77"/>
      <c r="AR3523" s="77"/>
      <c r="AS3523" s="77"/>
      <c r="AT3523" s="77"/>
      <c r="AU3523" s="77"/>
      <c r="AV3523" s="80" t="str">
        <f>HYPERLINK("https://pbs.twimg.com/profile_images/1213557036325191685/AT1QD1Kh_normal.jpg")</f>
        <v>https://pbs.twimg.com/profile_images/1213557036325191685/AT1QD1Kh_normal.jpg</v>
      </c>
      <c r="AW3523" s="82" t="s">
        <v>20289</v>
      </c>
      <c r="AX3523" s="82" t="s">
        <v>20289</v>
      </c>
      <c r="AY3523" s="77"/>
      <c r="AZ3523" s="82" t="s">
        <v>20971</v>
      </c>
      <c r="BA3523" s="82" t="s">
        <v>20971</v>
      </c>
      <c r="BB3523" s="82" t="s">
        <v>20971</v>
      </c>
      <c r="BC3523" s="82" t="s">
        <v>20289</v>
      </c>
      <c r="BD3523" s="77">
        <v>2714628744</v>
      </c>
      <c r="BE3523" s="77"/>
      <c r="BF3523" s="77"/>
      <c r="BG3523" s="77"/>
      <c r="BH3523" s="77"/>
      <c r="BI3523" s="77"/>
    </row>
    <row r="3524" spans="1:61" x14ac:dyDescent="0.25">
      <c r="A3524" s="62" t="s">
        <v>1044</v>
      </c>
      <c r="B3524" s="62" t="s">
        <v>1044</v>
      </c>
      <c r="C3524" s="63"/>
      <c r="D3524" s="64"/>
      <c r="E3524" s="65"/>
      <c r="F3524" s="66"/>
      <c r="G3524" s="63"/>
      <c r="H3524" s="67"/>
      <c r="I3524" s="68"/>
      <c r="J3524" s="68"/>
      <c r="K3524" s="32"/>
      <c r="L3524" s="75">
        <v>3524</v>
      </c>
      <c r="M3524" s="75"/>
      <c r="N3524" s="70"/>
      <c r="O3524" s="77" t="s">
        <v>179</v>
      </c>
      <c r="P3524" s="79">
        <v>45172.964155092595</v>
      </c>
      <c r="Q3524" s="77" t="s">
        <v>4730</v>
      </c>
      <c r="R3524" s="77">
        <v>0</v>
      </c>
      <c r="S3524" s="77">
        <v>0</v>
      </c>
      <c r="T3524" s="77">
        <v>0</v>
      </c>
      <c r="U3524" s="77">
        <v>0</v>
      </c>
      <c r="V3524" s="77">
        <v>182</v>
      </c>
      <c r="W3524" s="82" t="s">
        <v>6805</v>
      </c>
      <c r="X3524" s="77"/>
      <c r="Y3524" s="77"/>
      <c r="Z3524" s="77"/>
      <c r="AA3524" s="77" t="s">
        <v>9828</v>
      </c>
      <c r="AB3524" s="77" t="s">
        <v>10129</v>
      </c>
      <c r="AC3524" s="82" t="s">
        <v>10146</v>
      </c>
      <c r="AD3524" s="77" t="s">
        <v>10184</v>
      </c>
      <c r="AE3524" s="80" t="str">
        <f>HYPERLINK("https://twitter.com/jonthebestt/status/1698473039225049134")</f>
        <v>https://twitter.com/jonthebestt/status/1698473039225049134</v>
      </c>
      <c r="AF3524" s="79">
        <v>45172.964155092595</v>
      </c>
      <c r="AG3524" s="85">
        <v>45172</v>
      </c>
      <c r="AH3524" s="82" t="s">
        <v>13516</v>
      </c>
      <c r="AI3524" s="77" t="b">
        <v>0</v>
      </c>
      <c r="AJ3524" s="77"/>
      <c r="AK3524" s="77"/>
      <c r="AL3524" s="77"/>
      <c r="AM3524" s="77"/>
      <c r="AN3524" s="77"/>
      <c r="AO3524" s="77"/>
      <c r="AP3524" s="77"/>
      <c r="AQ3524" s="77" t="s">
        <v>16471</v>
      </c>
      <c r="AR3524" s="77">
        <v>11700</v>
      </c>
      <c r="AS3524" s="77"/>
      <c r="AT3524" s="77"/>
      <c r="AU3524" s="77"/>
      <c r="AV3524" s="80" t="str">
        <f>HYPERLINK("https://pbs.twimg.com/ext_tw_video_thumb/1698472853585182720/pu/img/2u7vNr6D0TC6_7UE.jpg")</f>
        <v>https://pbs.twimg.com/ext_tw_video_thumb/1698472853585182720/pu/img/2u7vNr6D0TC6_7UE.jpg</v>
      </c>
      <c r="AW3524" s="82" t="s">
        <v>20290</v>
      </c>
      <c r="AX3524" s="82" t="s">
        <v>20290</v>
      </c>
      <c r="AY3524" s="77"/>
      <c r="AZ3524" s="82" t="s">
        <v>20971</v>
      </c>
      <c r="BA3524" s="82" t="s">
        <v>20971</v>
      </c>
      <c r="BB3524" s="82" t="s">
        <v>20971</v>
      </c>
      <c r="BC3524" s="82" t="s">
        <v>20290</v>
      </c>
      <c r="BD3524" s="82" t="s">
        <v>21628</v>
      </c>
      <c r="BE3524" s="77"/>
      <c r="BF3524" s="77"/>
      <c r="BG3524" s="77"/>
      <c r="BH3524" s="77"/>
      <c r="BI3524" s="77"/>
    </row>
    <row r="3525" spans="1:61" x14ac:dyDescent="0.25">
      <c r="A3525" s="62" t="s">
        <v>1045</v>
      </c>
      <c r="B3525" s="62" t="s">
        <v>1045</v>
      </c>
      <c r="C3525" s="63"/>
      <c r="D3525" s="64"/>
      <c r="E3525" s="65"/>
      <c r="F3525" s="66"/>
      <c r="G3525" s="63"/>
      <c r="H3525" s="67"/>
      <c r="I3525" s="68"/>
      <c r="J3525" s="68"/>
      <c r="K3525" s="32"/>
      <c r="L3525" s="75">
        <v>3525</v>
      </c>
      <c r="M3525" s="75"/>
      <c r="N3525" s="70"/>
      <c r="O3525" s="77" t="s">
        <v>179</v>
      </c>
      <c r="P3525" s="79">
        <v>45107.020497685182</v>
      </c>
      <c r="Q3525" s="77" t="s">
        <v>4731</v>
      </c>
      <c r="R3525" s="77">
        <v>0</v>
      </c>
      <c r="S3525" s="77">
        <v>0</v>
      </c>
      <c r="T3525" s="77">
        <v>0</v>
      </c>
      <c r="U3525" s="77">
        <v>0</v>
      </c>
      <c r="V3525" s="77">
        <v>19</v>
      </c>
      <c r="W3525" s="82" t="s">
        <v>6806</v>
      </c>
      <c r="X3525" s="77"/>
      <c r="Y3525" s="77"/>
      <c r="Z3525" s="77"/>
      <c r="AA3525" s="77" t="s">
        <v>9829</v>
      </c>
      <c r="AB3525" s="77" t="s">
        <v>10130</v>
      </c>
      <c r="AC3525" s="82" t="s">
        <v>10145</v>
      </c>
      <c r="AD3525" s="77" t="s">
        <v>10184</v>
      </c>
      <c r="AE3525" s="80" t="str">
        <f>HYPERLINK("https://twitter.com/homeprofissao/status/1674575860802678784")</f>
        <v>https://twitter.com/homeprofissao/status/1674575860802678784</v>
      </c>
      <c r="AF3525" s="79">
        <v>45107.020497685182</v>
      </c>
      <c r="AG3525" s="85">
        <v>45107</v>
      </c>
      <c r="AH3525" s="82" t="s">
        <v>13517</v>
      </c>
      <c r="AI3525" s="77" t="b">
        <v>0</v>
      </c>
      <c r="AJ3525" s="77"/>
      <c r="AK3525" s="77"/>
      <c r="AL3525" s="77"/>
      <c r="AM3525" s="77"/>
      <c r="AN3525" s="77"/>
      <c r="AO3525" s="77"/>
      <c r="AP3525" s="77"/>
      <c r="AQ3525" s="77" t="s">
        <v>16472</v>
      </c>
      <c r="AR3525" s="77"/>
      <c r="AS3525" s="77"/>
      <c r="AT3525" s="77"/>
      <c r="AU3525" s="77"/>
      <c r="AV3525" s="80" t="str">
        <f>HYPERLINK("https://pbs.twimg.com/media/Fz1J3YMWIAAx6PK.jpg")</f>
        <v>https://pbs.twimg.com/media/Fz1J3YMWIAAx6PK.jpg</v>
      </c>
      <c r="AW3525" s="82" t="s">
        <v>20291</v>
      </c>
      <c r="AX3525" s="82" t="s">
        <v>20291</v>
      </c>
      <c r="AY3525" s="77"/>
      <c r="AZ3525" s="82" t="s">
        <v>20971</v>
      </c>
      <c r="BA3525" s="82" t="s">
        <v>20971</v>
      </c>
      <c r="BB3525" s="82" t="s">
        <v>20971</v>
      </c>
      <c r="BC3525" s="82" t="s">
        <v>20291</v>
      </c>
      <c r="BD3525" s="82" t="s">
        <v>21629</v>
      </c>
      <c r="BE3525" s="77"/>
      <c r="BF3525" s="77"/>
      <c r="BG3525" s="77"/>
      <c r="BH3525" s="77"/>
      <c r="BI3525" s="77"/>
    </row>
    <row r="3526" spans="1:61" x14ac:dyDescent="0.25">
      <c r="A3526" s="62" t="s">
        <v>1045</v>
      </c>
      <c r="B3526" s="62" t="s">
        <v>1045</v>
      </c>
      <c r="C3526" s="63"/>
      <c r="D3526" s="64"/>
      <c r="E3526" s="65"/>
      <c r="F3526" s="66"/>
      <c r="G3526" s="63"/>
      <c r="H3526" s="67"/>
      <c r="I3526" s="68"/>
      <c r="J3526" s="68"/>
      <c r="K3526" s="32"/>
      <c r="L3526" s="75">
        <v>3526</v>
      </c>
      <c r="M3526" s="75"/>
      <c r="N3526" s="70"/>
      <c r="O3526" s="77" t="s">
        <v>179</v>
      </c>
      <c r="P3526" s="79">
        <v>45107.017465277779</v>
      </c>
      <c r="Q3526" s="77" t="s">
        <v>4732</v>
      </c>
      <c r="R3526" s="77">
        <v>0</v>
      </c>
      <c r="S3526" s="77">
        <v>0</v>
      </c>
      <c r="T3526" s="77">
        <v>0</v>
      </c>
      <c r="U3526" s="77">
        <v>0</v>
      </c>
      <c r="V3526" s="77">
        <v>24</v>
      </c>
      <c r="W3526" s="82" t="s">
        <v>6807</v>
      </c>
      <c r="X3526" s="77"/>
      <c r="Y3526" s="77"/>
      <c r="Z3526" s="77"/>
      <c r="AA3526" s="77" t="s">
        <v>9830</v>
      </c>
      <c r="AB3526" s="77" t="s">
        <v>10130</v>
      </c>
      <c r="AC3526" s="82" t="s">
        <v>10145</v>
      </c>
      <c r="AD3526" s="77" t="s">
        <v>10184</v>
      </c>
      <c r="AE3526" s="80" t="str">
        <f>HYPERLINK("https://twitter.com/homeprofissao/status/1674574761765007362")</f>
        <v>https://twitter.com/homeprofissao/status/1674574761765007362</v>
      </c>
      <c r="AF3526" s="79">
        <v>45107.017465277779</v>
      </c>
      <c r="AG3526" s="85">
        <v>45107</v>
      </c>
      <c r="AH3526" s="82" t="s">
        <v>13518</v>
      </c>
      <c r="AI3526" s="77" t="b">
        <v>0</v>
      </c>
      <c r="AJ3526" s="77"/>
      <c r="AK3526" s="77"/>
      <c r="AL3526" s="77"/>
      <c r="AM3526" s="77"/>
      <c r="AN3526" s="77"/>
      <c r="AO3526" s="77"/>
      <c r="AP3526" s="77"/>
      <c r="AQ3526" s="77" t="s">
        <v>16473</v>
      </c>
      <c r="AR3526" s="77"/>
      <c r="AS3526" s="77"/>
      <c r="AT3526" s="77"/>
      <c r="AU3526" s="77"/>
      <c r="AV3526" s="80" t="str">
        <f>HYPERLINK("https://pbs.twimg.com/media/Fz1I3TTXsAEeT2Z.jpg")</f>
        <v>https://pbs.twimg.com/media/Fz1I3TTXsAEeT2Z.jpg</v>
      </c>
      <c r="AW3526" s="82" t="s">
        <v>20292</v>
      </c>
      <c r="AX3526" s="82" t="s">
        <v>20292</v>
      </c>
      <c r="AY3526" s="77"/>
      <c r="AZ3526" s="82" t="s">
        <v>20971</v>
      </c>
      <c r="BA3526" s="82" t="s">
        <v>20971</v>
      </c>
      <c r="BB3526" s="82" t="s">
        <v>20971</v>
      </c>
      <c r="BC3526" s="82" t="s">
        <v>20292</v>
      </c>
      <c r="BD3526" s="82" t="s">
        <v>21629</v>
      </c>
      <c r="BE3526" s="77"/>
      <c r="BF3526" s="77"/>
      <c r="BG3526" s="77"/>
      <c r="BH3526" s="77"/>
      <c r="BI3526" s="77"/>
    </row>
    <row r="3527" spans="1:61" x14ac:dyDescent="0.25">
      <c r="A3527" s="62" t="s">
        <v>1045</v>
      </c>
      <c r="B3527" s="62" t="s">
        <v>1045</v>
      </c>
      <c r="C3527" s="63"/>
      <c r="D3527" s="64"/>
      <c r="E3527" s="65"/>
      <c r="F3527" s="66"/>
      <c r="G3527" s="63"/>
      <c r="H3527" s="67"/>
      <c r="I3527" s="68"/>
      <c r="J3527" s="68"/>
      <c r="K3527" s="32"/>
      <c r="L3527" s="75">
        <v>3527</v>
      </c>
      <c r="M3527" s="75"/>
      <c r="N3527" s="70"/>
      <c r="O3527" s="77" t="s">
        <v>179</v>
      </c>
      <c r="P3527" s="79">
        <v>45120.765115740738</v>
      </c>
      <c r="Q3527" s="77" t="s">
        <v>4733</v>
      </c>
      <c r="R3527" s="77">
        <v>0</v>
      </c>
      <c r="S3527" s="77">
        <v>0</v>
      </c>
      <c r="T3527" s="77">
        <v>0</v>
      </c>
      <c r="U3527" s="77">
        <v>0</v>
      </c>
      <c r="V3527" s="77">
        <v>25</v>
      </c>
      <c r="W3527" s="82" t="s">
        <v>6808</v>
      </c>
      <c r="X3527" s="77"/>
      <c r="Y3527" s="77"/>
      <c r="Z3527" s="77"/>
      <c r="AA3527" s="77" t="s">
        <v>9831</v>
      </c>
      <c r="AB3527" s="77" t="s">
        <v>10129</v>
      </c>
      <c r="AC3527" s="82" t="s">
        <v>10146</v>
      </c>
      <c r="AD3527" s="77" t="s">
        <v>10184</v>
      </c>
      <c r="AE3527" s="80" t="str">
        <f>HYPERLINK("https://twitter.com/homeprofissao/status/1679556742445670401")</f>
        <v>https://twitter.com/homeprofissao/status/1679556742445670401</v>
      </c>
      <c r="AF3527" s="79">
        <v>45120.765115740738</v>
      </c>
      <c r="AG3527" s="85">
        <v>45120</v>
      </c>
      <c r="AH3527" s="82" t="s">
        <v>13519</v>
      </c>
      <c r="AI3527" s="77" t="b">
        <v>0</v>
      </c>
      <c r="AJ3527" s="77"/>
      <c r="AK3527" s="77"/>
      <c r="AL3527" s="77"/>
      <c r="AM3527" s="77"/>
      <c r="AN3527" s="77"/>
      <c r="AO3527" s="77"/>
      <c r="AP3527" s="77"/>
      <c r="AQ3527" s="77" t="s">
        <v>16474</v>
      </c>
      <c r="AR3527" s="77">
        <v>15633</v>
      </c>
      <c r="AS3527" s="77"/>
      <c r="AT3527" s="77"/>
      <c r="AU3527" s="77"/>
      <c r="AV3527" s="80" t="str">
        <f>HYPERLINK("https://pbs.twimg.com/ext_tw_video_thumb/1679556629648363520/pu/img/5HIcxxhoLF60EtN-.jpg")</f>
        <v>https://pbs.twimg.com/ext_tw_video_thumb/1679556629648363520/pu/img/5HIcxxhoLF60EtN-.jpg</v>
      </c>
      <c r="AW3527" s="82" t="s">
        <v>20293</v>
      </c>
      <c r="AX3527" s="82" t="s">
        <v>20293</v>
      </c>
      <c r="AY3527" s="77"/>
      <c r="AZ3527" s="82" t="s">
        <v>20971</v>
      </c>
      <c r="BA3527" s="82" t="s">
        <v>20971</v>
      </c>
      <c r="BB3527" s="82" t="s">
        <v>20971</v>
      </c>
      <c r="BC3527" s="82" t="s">
        <v>20293</v>
      </c>
      <c r="BD3527" s="82" t="s">
        <v>21629</v>
      </c>
      <c r="BE3527" s="77"/>
      <c r="BF3527" s="77"/>
      <c r="BG3527" s="77"/>
      <c r="BH3527" s="77"/>
      <c r="BI3527" s="77"/>
    </row>
    <row r="3528" spans="1:61" x14ac:dyDescent="0.25">
      <c r="A3528" s="62" t="s">
        <v>1045</v>
      </c>
      <c r="B3528" s="62" t="s">
        <v>1045</v>
      </c>
      <c r="C3528" s="63"/>
      <c r="D3528" s="64"/>
      <c r="E3528" s="65"/>
      <c r="F3528" s="66"/>
      <c r="G3528" s="63"/>
      <c r="H3528" s="67"/>
      <c r="I3528" s="68"/>
      <c r="J3528" s="68"/>
      <c r="K3528" s="32"/>
      <c r="L3528" s="75">
        <v>3528</v>
      </c>
      <c r="M3528" s="75"/>
      <c r="N3528" s="70"/>
      <c r="O3528" s="77" t="s">
        <v>179</v>
      </c>
      <c r="P3528" s="79">
        <v>45120.747812499998</v>
      </c>
      <c r="Q3528" s="77" t="s">
        <v>4734</v>
      </c>
      <c r="R3528" s="77">
        <v>0</v>
      </c>
      <c r="S3528" s="77">
        <v>0</v>
      </c>
      <c r="T3528" s="77">
        <v>0</v>
      </c>
      <c r="U3528" s="77">
        <v>0</v>
      </c>
      <c r="V3528" s="77">
        <v>88</v>
      </c>
      <c r="W3528" s="82" t="s">
        <v>6809</v>
      </c>
      <c r="X3528" s="77"/>
      <c r="Y3528" s="77"/>
      <c r="Z3528" s="77"/>
      <c r="AA3528" s="77" t="s">
        <v>9832</v>
      </c>
      <c r="AB3528" s="77" t="s">
        <v>10129</v>
      </c>
      <c r="AC3528" s="82" t="s">
        <v>10146</v>
      </c>
      <c r="AD3528" s="77" t="s">
        <v>10184</v>
      </c>
      <c r="AE3528" s="80" t="str">
        <f>HYPERLINK("https://twitter.com/homeprofissao/status/1679550472791662594")</f>
        <v>https://twitter.com/homeprofissao/status/1679550472791662594</v>
      </c>
      <c r="AF3528" s="79">
        <v>45120.747812499998</v>
      </c>
      <c r="AG3528" s="85">
        <v>45120</v>
      </c>
      <c r="AH3528" s="82" t="s">
        <v>13520</v>
      </c>
      <c r="AI3528" s="77" t="b">
        <v>0</v>
      </c>
      <c r="AJ3528" s="77"/>
      <c r="AK3528" s="77"/>
      <c r="AL3528" s="77"/>
      <c r="AM3528" s="77"/>
      <c r="AN3528" s="77"/>
      <c r="AO3528" s="77"/>
      <c r="AP3528" s="77"/>
      <c r="AQ3528" s="77" t="s">
        <v>16475</v>
      </c>
      <c r="AR3528" s="77">
        <v>14600</v>
      </c>
      <c r="AS3528" s="77"/>
      <c r="AT3528" s="77"/>
      <c r="AU3528" s="77"/>
      <c r="AV3528" s="80" t="str">
        <f>HYPERLINK("https://pbs.twimg.com/ext_tw_video_thumb/1679550342139092997/pu/img/fko_wm2NHZj2ExUG.jpg")</f>
        <v>https://pbs.twimg.com/ext_tw_video_thumb/1679550342139092997/pu/img/fko_wm2NHZj2ExUG.jpg</v>
      </c>
      <c r="AW3528" s="82" t="s">
        <v>20294</v>
      </c>
      <c r="AX3528" s="82" t="s">
        <v>20294</v>
      </c>
      <c r="AY3528" s="77"/>
      <c r="AZ3528" s="82" t="s">
        <v>20971</v>
      </c>
      <c r="BA3528" s="82" t="s">
        <v>20971</v>
      </c>
      <c r="BB3528" s="82" t="s">
        <v>20971</v>
      </c>
      <c r="BC3528" s="82" t="s">
        <v>20294</v>
      </c>
      <c r="BD3528" s="82" t="s">
        <v>21629</v>
      </c>
      <c r="BE3528" s="77"/>
      <c r="BF3528" s="77"/>
      <c r="BG3528" s="77"/>
      <c r="BH3528" s="77"/>
      <c r="BI3528" s="77"/>
    </row>
    <row r="3529" spans="1:61" x14ac:dyDescent="0.25">
      <c r="A3529" s="62" t="s">
        <v>1045</v>
      </c>
      <c r="B3529" s="62" t="s">
        <v>1045</v>
      </c>
      <c r="C3529" s="63"/>
      <c r="D3529" s="64"/>
      <c r="E3529" s="65"/>
      <c r="F3529" s="66"/>
      <c r="G3529" s="63"/>
      <c r="H3529" s="67"/>
      <c r="I3529" s="68"/>
      <c r="J3529" s="68"/>
      <c r="K3529" s="32"/>
      <c r="L3529" s="75">
        <v>3529</v>
      </c>
      <c r="M3529" s="75"/>
      <c r="N3529" s="70"/>
      <c r="O3529" s="77" t="s">
        <v>179</v>
      </c>
      <c r="P3529" s="79">
        <v>45140.762962962966</v>
      </c>
      <c r="Q3529" s="77" t="s">
        <v>4735</v>
      </c>
      <c r="R3529" s="77">
        <v>0</v>
      </c>
      <c r="S3529" s="77">
        <v>1</v>
      </c>
      <c r="T3529" s="77">
        <v>0</v>
      </c>
      <c r="U3529" s="77">
        <v>0</v>
      </c>
      <c r="V3529" s="77">
        <v>53</v>
      </c>
      <c r="W3529" s="82" t="s">
        <v>6810</v>
      </c>
      <c r="X3529" s="77"/>
      <c r="Y3529" s="77"/>
      <c r="Z3529" s="77"/>
      <c r="AA3529" s="77" t="s">
        <v>9833</v>
      </c>
      <c r="AB3529" s="77" t="s">
        <v>10129</v>
      </c>
      <c r="AC3529" s="82" t="s">
        <v>10146</v>
      </c>
      <c r="AD3529" s="77" t="s">
        <v>10184</v>
      </c>
      <c r="AE3529" s="80" t="str">
        <f>HYPERLINK("https://twitter.com/homeprofissao/status/1686803720661594125")</f>
        <v>https://twitter.com/homeprofissao/status/1686803720661594125</v>
      </c>
      <c r="AF3529" s="79">
        <v>45140.762962962966</v>
      </c>
      <c r="AG3529" s="85">
        <v>45140</v>
      </c>
      <c r="AH3529" s="82" t="s">
        <v>13521</v>
      </c>
      <c r="AI3529" s="77" t="b">
        <v>0</v>
      </c>
      <c r="AJ3529" s="77"/>
      <c r="AK3529" s="77"/>
      <c r="AL3529" s="77"/>
      <c r="AM3529" s="77"/>
      <c r="AN3529" s="77"/>
      <c r="AO3529" s="77"/>
      <c r="AP3529" s="77"/>
      <c r="AQ3529" s="77" t="s">
        <v>16476</v>
      </c>
      <c r="AR3529" s="77">
        <v>8466</v>
      </c>
      <c r="AS3529" s="77"/>
      <c r="AT3529" s="77"/>
      <c r="AU3529" s="77"/>
      <c r="AV3529" s="80" t="str">
        <f>HYPERLINK("https://pbs.twimg.com/ext_tw_video_thumb/1686803576813703168/pu/img/Bzp6vydiSDoXt413.jpg")</f>
        <v>https://pbs.twimg.com/ext_tw_video_thumb/1686803576813703168/pu/img/Bzp6vydiSDoXt413.jpg</v>
      </c>
      <c r="AW3529" s="82" t="s">
        <v>20295</v>
      </c>
      <c r="AX3529" s="82" t="s">
        <v>20295</v>
      </c>
      <c r="AY3529" s="77"/>
      <c r="AZ3529" s="82" t="s">
        <v>20971</v>
      </c>
      <c r="BA3529" s="82" t="s">
        <v>20971</v>
      </c>
      <c r="BB3529" s="82" t="s">
        <v>20971</v>
      </c>
      <c r="BC3529" s="82" t="s">
        <v>20295</v>
      </c>
      <c r="BD3529" s="82" t="s">
        <v>21629</v>
      </c>
      <c r="BE3529" s="77"/>
      <c r="BF3529" s="77"/>
      <c r="BG3529" s="77"/>
      <c r="BH3529" s="77"/>
      <c r="BI3529" s="77"/>
    </row>
    <row r="3530" spans="1:61" x14ac:dyDescent="0.25">
      <c r="A3530" s="62" t="s">
        <v>1045</v>
      </c>
      <c r="B3530" s="62" t="s">
        <v>1045</v>
      </c>
      <c r="C3530" s="63"/>
      <c r="D3530" s="64"/>
      <c r="E3530" s="65"/>
      <c r="F3530" s="66"/>
      <c r="G3530" s="63"/>
      <c r="H3530" s="67"/>
      <c r="I3530" s="68"/>
      <c r="J3530" s="68"/>
      <c r="K3530" s="32"/>
      <c r="L3530" s="75">
        <v>3530</v>
      </c>
      <c r="M3530" s="75"/>
      <c r="N3530" s="70"/>
      <c r="O3530" s="77" t="s">
        <v>179</v>
      </c>
      <c r="P3530" s="79">
        <v>45140.760949074072</v>
      </c>
      <c r="Q3530" s="77" t="s">
        <v>4736</v>
      </c>
      <c r="R3530" s="77">
        <v>0</v>
      </c>
      <c r="S3530" s="77">
        <v>1</v>
      </c>
      <c r="T3530" s="77">
        <v>0</v>
      </c>
      <c r="U3530" s="77">
        <v>0</v>
      </c>
      <c r="V3530" s="77">
        <v>170</v>
      </c>
      <c r="W3530" s="82" t="s">
        <v>6811</v>
      </c>
      <c r="X3530" s="77"/>
      <c r="Y3530" s="77"/>
      <c r="Z3530" s="77"/>
      <c r="AA3530" s="77" t="s">
        <v>9834</v>
      </c>
      <c r="AB3530" s="77" t="s">
        <v>10129</v>
      </c>
      <c r="AC3530" s="82" t="s">
        <v>10146</v>
      </c>
      <c r="AD3530" s="77" t="s">
        <v>10184</v>
      </c>
      <c r="AE3530" s="80" t="str">
        <f>HYPERLINK("https://twitter.com/homeprofissao/status/1686802989376303115")</f>
        <v>https://twitter.com/homeprofissao/status/1686802989376303115</v>
      </c>
      <c r="AF3530" s="79">
        <v>45140.760949074072</v>
      </c>
      <c r="AG3530" s="85">
        <v>45140</v>
      </c>
      <c r="AH3530" s="82" t="s">
        <v>13522</v>
      </c>
      <c r="AI3530" s="77" t="b">
        <v>0</v>
      </c>
      <c r="AJ3530" s="77"/>
      <c r="AK3530" s="77"/>
      <c r="AL3530" s="77"/>
      <c r="AM3530" s="77"/>
      <c r="AN3530" s="77"/>
      <c r="AO3530" s="77"/>
      <c r="AP3530" s="77"/>
      <c r="AQ3530" s="77" t="s">
        <v>16477</v>
      </c>
      <c r="AR3530" s="77">
        <v>17733</v>
      </c>
      <c r="AS3530" s="77"/>
      <c r="AT3530" s="77"/>
      <c r="AU3530" s="77"/>
      <c r="AV3530" s="80" t="str">
        <f>HYPERLINK("https://pbs.twimg.com/ext_tw_video_thumb/1686802726720598022/pu/img/GQzEQXwAZBMJqZGh.jpg")</f>
        <v>https://pbs.twimg.com/ext_tw_video_thumb/1686802726720598022/pu/img/GQzEQXwAZBMJqZGh.jpg</v>
      </c>
      <c r="AW3530" s="82" t="s">
        <v>20296</v>
      </c>
      <c r="AX3530" s="82" t="s">
        <v>20296</v>
      </c>
      <c r="AY3530" s="77"/>
      <c r="AZ3530" s="82" t="s">
        <v>20971</v>
      </c>
      <c r="BA3530" s="82" t="s">
        <v>20971</v>
      </c>
      <c r="BB3530" s="82" t="s">
        <v>20971</v>
      </c>
      <c r="BC3530" s="82" t="s">
        <v>20296</v>
      </c>
      <c r="BD3530" s="82" t="s">
        <v>21629</v>
      </c>
      <c r="BE3530" s="77"/>
      <c r="BF3530" s="77"/>
      <c r="BG3530" s="77"/>
      <c r="BH3530" s="77"/>
      <c r="BI3530" s="77"/>
    </row>
    <row r="3531" spans="1:61" x14ac:dyDescent="0.25">
      <c r="A3531" s="62" t="s">
        <v>1045</v>
      </c>
      <c r="B3531" s="62" t="s">
        <v>1045</v>
      </c>
      <c r="C3531" s="63"/>
      <c r="D3531" s="64"/>
      <c r="E3531" s="65"/>
      <c r="F3531" s="66"/>
      <c r="G3531" s="63"/>
      <c r="H3531" s="67"/>
      <c r="I3531" s="68"/>
      <c r="J3531" s="68"/>
      <c r="K3531" s="32"/>
      <c r="L3531" s="75">
        <v>3531</v>
      </c>
      <c r="M3531" s="75"/>
      <c r="N3531" s="70"/>
      <c r="O3531" s="77" t="s">
        <v>179</v>
      </c>
      <c r="P3531" s="79">
        <v>45140.758009259262</v>
      </c>
      <c r="Q3531" s="77" t="s">
        <v>4737</v>
      </c>
      <c r="R3531" s="77">
        <v>0</v>
      </c>
      <c r="S3531" s="77">
        <v>0</v>
      </c>
      <c r="T3531" s="77">
        <v>0</v>
      </c>
      <c r="U3531" s="77">
        <v>0</v>
      </c>
      <c r="V3531" s="77">
        <v>98</v>
      </c>
      <c r="W3531" s="82" t="s">
        <v>6812</v>
      </c>
      <c r="X3531" s="77"/>
      <c r="Y3531" s="77"/>
      <c r="Z3531" s="77"/>
      <c r="AA3531" s="77" t="s">
        <v>9835</v>
      </c>
      <c r="AB3531" s="77" t="s">
        <v>10129</v>
      </c>
      <c r="AC3531" s="82" t="s">
        <v>10146</v>
      </c>
      <c r="AD3531" s="77" t="s">
        <v>10184</v>
      </c>
      <c r="AE3531" s="80" t="str">
        <f>HYPERLINK("https://twitter.com/homeprofissao/status/1686801921493942272")</f>
        <v>https://twitter.com/homeprofissao/status/1686801921493942272</v>
      </c>
      <c r="AF3531" s="79">
        <v>45140.758009259262</v>
      </c>
      <c r="AG3531" s="85">
        <v>45140</v>
      </c>
      <c r="AH3531" s="82" t="s">
        <v>13523</v>
      </c>
      <c r="AI3531" s="77" t="b">
        <v>0</v>
      </c>
      <c r="AJ3531" s="77"/>
      <c r="AK3531" s="77"/>
      <c r="AL3531" s="77"/>
      <c r="AM3531" s="77"/>
      <c r="AN3531" s="77"/>
      <c r="AO3531" s="77"/>
      <c r="AP3531" s="77"/>
      <c r="AQ3531" s="77" t="s">
        <v>16478</v>
      </c>
      <c r="AR3531" s="77">
        <v>16830</v>
      </c>
      <c r="AS3531" s="77"/>
      <c r="AT3531" s="77"/>
      <c r="AU3531" s="77"/>
      <c r="AV3531" s="80" t="str">
        <f>HYPERLINK("https://pbs.twimg.com/ext_tw_video_thumb/1686801776903680006/pu/img/7m6rqKcZxR11KU2Q.jpg")</f>
        <v>https://pbs.twimg.com/ext_tw_video_thumb/1686801776903680006/pu/img/7m6rqKcZxR11KU2Q.jpg</v>
      </c>
      <c r="AW3531" s="82" t="s">
        <v>20297</v>
      </c>
      <c r="AX3531" s="82" t="s">
        <v>20297</v>
      </c>
      <c r="AY3531" s="77"/>
      <c r="AZ3531" s="82" t="s">
        <v>20971</v>
      </c>
      <c r="BA3531" s="82" t="s">
        <v>20971</v>
      </c>
      <c r="BB3531" s="82" t="s">
        <v>20971</v>
      </c>
      <c r="BC3531" s="82" t="s">
        <v>20297</v>
      </c>
      <c r="BD3531" s="82" t="s">
        <v>21629</v>
      </c>
      <c r="BE3531" s="77"/>
      <c r="BF3531" s="77"/>
      <c r="BG3531" s="77"/>
      <c r="BH3531" s="77"/>
      <c r="BI3531" s="77"/>
    </row>
    <row r="3532" spans="1:61" x14ac:dyDescent="0.25">
      <c r="A3532" s="62" t="s">
        <v>1045</v>
      </c>
      <c r="B3532" s="62" t="s">
        <v>1045</v>
      </c>
      <c r="C3532" s="63"/>
      <c r="D3532" s="64"/>
      <c r="E3532" s="65"/>
      <c r="F3532" s="66"/>
      <c r="G3532" s="63"/>
      <c r="H3532" s="67"/>
      <c r="I3532" s="68"/>
      <c r="J3532" s="68"/>
      <c r="K3532" s="32"/>
      <c r="L3532" s="75">
        <v>3532</v>
      </c>
      <c r="M3532" s="75"/>
      <c r="N3532" s="70"/>
      <c r="O3532" s="77" t="s">
        <v>179</v>
      </c>
      <c r="P3532" s="79">
        <v>45120.839884259258</v>
      </c>
      <c r="Q3532" s="77" t="s">
        <v>4738</v>
      </c>
      <c r="R3532" s="77">
        <v>0</v>
      </c>
      <c r="S3532" s="77">
        <v>0</v>
      </c>
      <c r="T3532" s="77">
        <v>0</v>
      </c>
      <c r="U3532" s="77">
        <v>0</v>
      </c>
      <c r="V3532" s="77">
        <v>25</v>
      </c>
      <c r="W3532" s="82" t="s">
        <v>6813</v>
      </c>
      <c r="X3532" s="77"/>
      <c r="Y3532" s="77"/>
      <c r="Z3532" s="77"/>
      <c r="AA3532" s="77" t="s">
        <v>9836</v>
      </c>
      <c r="AB3532" s="77" t="s">
        <v>10129</v>
      </c>
      <c r="AC3532" s="82" t="s">
        <v>10146</v>
      </c>
      <c r="AD3532" s="77" t="s">
        <v>10184</v>
      </c>
      <c r="AE3532" s="80" t="str">
        <f>HYPERLINK("https://twitter.com/homeprofissao/status/1679583835875426311")</f>
        <v>https://twitter.com/homeprofissao/status/1679583835875426311</v>
      </c>
      <c r="AF3532" s="79">
        <v>45120.839884259258</v>
      </c>
      <c r="AG3532" s="85">
        <v>45120</v>
      </c>
      <c r="AH3532" s="82" t="s">
        <v>13524</v>
      </c>
      <c r="AI3532" s="77" t="b">
        <v>0</v>
      </c>
      <c r="AJ3532" s="77"/>
      <c r="AK3532" s="77"/>
      <c r="AL3532" s="77"/>
      <c r="AM3532" s="77"/>
      <c r="AN3532" s="77"/>
      <c r="AO3532" s="77"/>
      <c r="AP3532" s="77"/>
      <c r="AQ3532" s="77" t="s">
        <v>16479</v>
      </c>
      <c r="AR3532" s="77">
        <v>14966</v>
      </c>
      <c r="AS3532" s="77"/>
      <c r="AT3532" s="77"/>
      <c r="AU3532" s="77"/>
      <c r="AV3532" s="80" t="str">
        <f>HYPERLINK("https://pbs.twimg.com/ext_tw_video_thumb/1679583683798355969/pu/img/rQYTYYjg8Qei2z1o.jpg")</f>
        <v>https://pbs.twimg.com/ext_tw_video_thumb/1679583683798355969/pu/img/rQYTYYjg8Qei2z1o.jpg</v>
      </c>
      <c r="AW3532" s="82" t="s">
        <v>20298</v>
      </c>
      <c r="AX3532" s="82" t="s">
        <v>20298</v>
      </c>
      <c r="AY3532" s="77"/>
      <c r="AZ3532" s="82" t="s">
        <v>20971</v>
      </c>
      <c r="BA3532" s="82" t="s">
        <v>20971</v>
      </c>
      <c r="BB3532" s="82" t="s">
        <v>20971</v>
      </c>
      <c r="BC3532" s="82" t="s">
        <v>20298</v>
      </c>
      <c r="BD3532" s="82" t="s">
        <v>21629</v>
      </c>
      <c r="BE3532" s="77"/>
      <c r="BF3532" s="77"/>
      <c r="BG3532" s="77"/>
      <c r="BH3532" s="77"/>
      <c r="BI3532" s="77"/>
    </row>
    <row r="3533" spans="1:61" x14ac:dyDescent="0.25">
      <c r="A3533" s="62" t="s">
        <v>1045</v>
      </c>
      <c r="B3533" s="62" t="s">
        <v>1045</v>
      </c>
      <c r="C3533" s="63"/>
      <c r="D3533" s="64"/>
      <c r="E3533" s="65"/>
      <c r="F3533" s="66"/>
      <c r="G3533" s="63"/>
      <c r="H3533" s="67"/>
      <c r="I3533" s="68"/>
      <c r="J3533" s="68"/>
      <c r="K3533" s="32"/>
      <c r="L3533" s="75">
        <v>3533</v>
      </c>
      <c r="M3533" s="75"/>
      <c r="N3533" s="70"/>
      <c r="O3533" s="77" t="s">
        <v>179</v>
      </c>
      <c r="P3533" s="79">
        <v>45120.828530092593</v>
      </c>
      <c r="Q3533" s="77" t="s">
        <v>4739</v>
      </c>
      <c r="R3533" s="77">
        <v>0</v>
      </c>
      <c r="S3533" s="77">
        <v>0</v>
      </c>
      <c r="T3533" s="77">
        <v>0</v>
      </c>
      <c r="U3533" s="77">
        <v>0</v>
      </c>
      <c r="V3533" s="77">
        <v>45</v>
      </c>
      <c r="W3533" s="82" t="s">
        <v>6814</v>
      </c>
      <c r="X3533" s="77"/>
      <c r="Y3533" s="77"/>
      <c r="Z3533" s="77"/>
      <c r="AA3533" s="77" t="s">
        <v>9837</v>
      </c>
      <c r="AB3533" s="77" t="s">
        <v>10129</v>
      </c>
      <c r="AC3533" s="82" t="s">
        <v>10146</v>
      </c>
      <c r="AD3533" s="77" t="s">
        <v>10184</v>
      </c>
      <c r="AE3533" s="80" t="str">
        <f>HYPERLINK("https://twitter.com/homeprofissao/status/1679579723045715972")</f>
        <v>https://twitter.com/homeprofissao/status/1679579723045715972</v>
      </c>
      <c r="AF3533" s="79">
        <v>45120.828530092593</v>
      </c>
      <c r="AG3533" s="85">
        <v>45120</v>
      </c>
      <c r="AH3533" s="82" t="s">
        <v>13525</v>
      </c>
      <c r="AI3533" s="77" t="b">
        <v>0</v>
      </c>
      <c r="AJ3533" s="77"/>
      <c r="AK3533" s="77"/>
      <c r="AL3533" s="77"/>
      <c r="AM3533" s="77"/>
      <c r="AN3533" s="77"/>
      <c r="AO3533" s="77"/>
      <c r="AP3533" s="77"/>
      <c r="AQ3533" s="77" t="s">
        <v>16480</v>
      </c>
      <c r="AR3533" s="77">
        <v>10333</v>
      </c>
      <c r="AS3533" s="77"/>
      <c r="AT3533" s="77"/>
      <c r="AU3533" s="77"/>
      <c r="AV3533" s="80" t="str">
        <f>HYPERLINK("https://pbs.twimg.com/ext_tw_video_thumb/1679579608755187713/pu/img/ABwXsaLGKk7dWpmS.jpg")</f>
        <v>https://pbs.twimg.com/ext_tw_video_thumb/1679579608755187713/pu/img/ABwXsaLGKk7dWpmS.jpg</v>
      </c>
      <c r="AW3533" s="82" t="s">
        <v>20299</v>
      </c>
      <c r="AX3533" s="82" t="s">
        <v>20299</v>
      </c>
      <c r="AY3533" s="77"/>
      <c r="AZ3533" s="82" t="s">
        <v>20971</v>
      </c>
      <c r="BA3533" s="82" t="s">
        <v>20971</v>
      </c>
      <c r="BB3533" s="82" t="s">
        <v>20971</v>
      </c>
      <c r="BC3533" s="82" t="s">
        <v>20299</v>
      </c>
      <c r="BD3533" s="82" t="s">
        <v>21629</v>
      </c>
      <c r="BE3533" s="77"/>
      <c r="BF3533" s="77"/>
      <c r="BG3533" s="77"/>
      <c r="BH3533" s="77"/>
      <c r="BI3533" s="77"/>
    </row>
    <row r="3534" spans="1:61" x14ac:dyDescent="0.25">
      <c r="A3534" s="62" t="s">
        <v>1045</v>
      </c>
      <c r="B3534" s="62" t="s">
        <v>1045</v>
      </c>
      <c r="C3534" s="63"/>
      <c r="D3534" s="64"/>
      <c r="E3534" s="65"/>
      <c r="F3534" s="66"/>
      <c r="G3534" s="63"/>
      <c r="H3534" s="67"/>
      <c r="I3534" s="68"/>
      <c r="J3534" s="68"/>
      <c r="K3534" s="32"/>
      <c r="L3534" s="75">
        <v>3534</v>
      </c>
      <c r="M3534" s="75"/>
      <c r="N3534" s="70"/>
      <c r="O3534" s="77" t="s">
        <v>179</v>
      </c>
      <c r="P3534" s="79">
        <v>45120.822777777779</v>
      </c>
      <c r="Q3534" s="77" t="s">
        <v>4740</v>
      </c>
      <c r="R3534" s="77">
        <v>0</v>
      </c>
      <c r="S3534" s="77">
        <v>0</v>
      </c>
      <c r="T3534" s="77">
        <v>0</v>
      </c>
      <c r="U3534" s="77">
        <v>0</v>
      </c>
      <c r="V3534" s="77">
        <v>58</v>
      </c>
      <c r="W3534" s="82" t="s">
        <v>6815</v>
      </c>
      <c r="X3534" s="77"/>
      <c r="Y3534" s="77"/>
      <c r="Z3534" s="77"/>
      <c r="AA3534" s="77" t="s">
        <v>9838</v>
      </c>
      <c r="AB3534" s="77" t="s">
        <v>10129</v>
      </c>
      <c r="AC3534" s="82" t="s">
        <v>10146</v>
      </c>
      <c r="AD3534" s="77" t="s">
        <v>10184</v>
      </c>
      <c r="AE3534" s="80" t="str">
        <f>HYPERLINK("https://twitter.com/homeprofissao/status/1679577637922979840")</f>
        <v>https://twitter.com/homeprofissao/status/1679577637922979840</v>
      </c>
      <c r="AF3534" s="79">
        <v>45120.822777777779</v>
      </c>
      <c r="AG3534" s="85">
        <v>45120</v>
      </c>
      <c r="AH3534" s="82" t="s">
        <v>13526</v>
      </c>
      <c r="AI3534" s="77" t="b">
        <v>0</v>
      </c>
      <c r="AJ3534" s="77"/>
      <c r="AK3534" s="77"/>
      <c r="AL3534" s="77"/>
      <c r="AM3534" s="77"/>
      <c r="AN3534" s="77"/>
      <c r="AO3534" s="77"/>
      <c r="AP3534" s="77"/>
      <c r="AQ3534" s="77" t="s">
        <v>16481</v>
      </c>
      <c r="AR3534" s="77">
        <v>15466</v>
      </c>
      <c r="AS3534" s="77"/>
      <c r="AT3534" s="77"/>
      <c r="AU3534" s="77"/>
      <c r="AV3534" s="80" t="str">
        <f>HYPERLINK("https://pbs.twimg.com/ext_tw_video_thumb/1679577502115676161/pu/img/lg_jntJF5ihwc0kB.jpg")</f>
        <v>https://pbs.twimg.com/ext_tw_video_thumb/1679577502115676161/pu/img/lg_jntJF5ihwc0kB.jpg</v>
      </c>
      <c r="AW3534" s="82" t="s">
        <v>20300</v>
      </c>
      <c r="AX3534" s="82" t="s">
        <v>20300</v>
      </c>
      <c r="AY3534" s="77"/>
      <c r="AZ3534" s="82" t="s">
        <v>20971</v>
      </c>
      <c r="BA3534" s="82" t="s">
        <v>20971</v>
      </c>
      <c r="BB3534" s="82" t="s">
        <v>20971</v>
      </c>
      <c r="BC3534" s="82" t="s">
        <v>20300</v>
      </c>
      <c r="BD3534" s="82" t="s">
        <v>21629</v>
      </c>
      <c r="BE3534" s="77"/>
      <c r="BF3534" s="77"/>
      <c r="BG3534" s="77"/>
      <c r="BH3534" s="77"/>
      <c r="BI3534" s="77"/>
    </row>
    <row r="3535" spans="1:61" x14ac:dyDescent="0.25">
      <c r="A3535" s="62" t="s">
        <v>1045</v>
      </c>
      <c r="B3535" s="62" t="s">
        <v>1045</v>
      </c>
      <c r="C3535" s="63"/>
      <c r="D3535" s="64"/>
      <c r="E3535" s="65"/>
      <c r="F3535" s="66"/>
      <c r="G3535" s="63"/>
      <c r="H3535" s="67"/>
      <c r="I3535" s="68"/>
      <c r="J3535" s="68"/>
      <c r="K3535" s="32"/>
      <c r="L3535" s="75">
        <v>3535</v>
      </c>
      <c r="M3535" s="75"/>
      <c r="N3535" s="70"/>
      <c r="O3535" s="77" t="s">
        <v>179</v>
      </c>
      <c r="P3535" s="79">
        <v>45120.803113425929</v>
      </c>
      <c r="Q3535" s="77" t="s">
        <v>4741</v>
      </c>
      <c r="R3535" s="77">
        <v>0</v>
      </c>
      <c r="S3535" s="77">
        <v>0</v>
      </c>
      <c r="T3535" s="77">
        <v>0</v>
      </c>
      <c r="U3535" s="77">
        <v>0</v>
      </c>
      <c r="V3535" s="77">
        <v>118</v>
      </c>
      <c r="W3535" s="82" t="s">
        <v>6816</v>
      </c>
      <c r="X3535" s="77"/>
      <c r="Y3535" s="77"/>
      <c r="Z3535" s="77"/>
      <c r="AA3535" s="77" t="s">
        <v>9839</v>
      </c>
      <c r="AB3535" s="77" t="s">
        <v>10129</v>
      </c>
      <c r="AC3535" s="82" t="s">
        <v>10146</v>
      </c>
      <c r="AD3535" s="77" t="s">
        <v>10184</v>
      </c>
      <c r="AE3535" s="80" t="str">
        <f>HYPERLINK("https://twitter.com/homeprofissao/status/1679570509955059718")</f>
        <v>https://twitter.com/homeprofissao/status/1679570509955059718</v>
      </c>
      <c r="AF3535" s="79">
        <v>45120.803113425929</v>
      </c>
      <c r="AG3535" s="85">
        <v>45120</v>
      </c>
      <c r="AH3535" s="82" t="s">
        <v>13527</v>
      </c>
      <c r="AI3535" s="77" t="b">
        <v>0</v>
      </c>
      <c r="AJ3535" s="77"/>
      <c r="AK3535" s="77"/>
      <c r="AL3535" s="77"/>
      <c r="AM3535" s="77"/>
      <c r="AN3535" s="77"/>
      <c r="AO3535" s="77"/>
      <c r="AP3535" s="77"/>
      <c r="AQ3535" s="77" t="s">
        <v>16482</v>
      </c>
      <c r="AR3535" s="77">
        <v>20000</v>
      </c>
      <c r="AS3535" s="77"/>
      <c r="AT3535" s="77"/>
      <c r="AU3535" s="77"/>
      <c r="AV3535" s="80" t="str">
        <f>HYPERLINK("https://pbs.twimg.com/ext_tw_video_thumb/1679570406770966534/pu/img/AEyeissgQicJ5zzt.jpg")</f>
        <v>https://pbs.twimg.com/ext_tw_video_thumb/1679570406770966534/pu/img/AEyeissgQicJ5zzt.jpg</v>
      </c>
      <c r="AW3535" s="82" t="s">
        <v>20301</v>
      </c>
      <c r="AX3535" s="82" t="s">
        <v>20301</v>
      </c>
      <c r="AY3535" s="77"/>
      <c r="AZ3535" s="82" t="s">
        <v>20971</v>
      </c>
      <c r="BA3535" s="82" t="s">
        <v>20971</v>
      </c>
      <c r="BB3535" s="82" t="s">
        <v>20971</v>
      </c>
      <c r="BC3535" s="82" t="s">
        <v>20301</v>
      </c>
      <c r="BD3535" s="82" t="s">
        <v>21629</v>
      </c>
      <c r="BE3535" s="77"/>
      <c r="BF3535" s="77"/>
      <c r="BG3535" s="77"/>
      <c r="BH3535" s="77"/>
      <c r="BI3535" s="77"/>
    </row>
    <row r="3536" spans="1:61" x14ac:dyDescent="0.25">
      <c r="A3536" s="62" t="s">
        <v>1045</v>
      </c>
      <c r="B3536" s="62" t="s">
        <v>1045</v>
      </c>
      <c r="C3536" s="63"/>
      <c r="D3536" s="64"/>
      <c r="E3536" s="65"/>
      <c r="F3536" s="66"/>
      <c r="G3536" s="63"/>
      <c r="H3536" s="67"/>
      <c r="I3536" s="68"/>
      <c r="J3536" s="68"/>
      <c r="K3536" s="32"/>
      <c r="L3536" s="75">
        <v>3536</v>
      </c>
      <c r="M3536" s="75"/>
      <c r="N3536" s="70"/>
      <c r="O3536" s="77" t="s">
        <v>179</v>
      </c>
      <c r="P3536" s="79">
        <v>45120.798530092594</v>
      </c>
      <c r="Q3536" s="77" t="s">
        <v>4742</v>
      </c>
      <c r="R3536" s="77">
        <v>0</v>
      </c>
      <c r="S3536" s="77">
        <v>0</v>
      </c>
      <c r="T3536" s="77">
        <v>0</v>
      </c>
      <c r="U3536" s="77">
        <v>0</v>
      </c>
      <c r="V3536" s="77">
        <v>131</v>
      </c>
      <c r="W3536" s="82" t="s">
        <v>6817</v>
      </c>
      <c r="X3536" s="77"/>
      <c r="Y3536" s="77"/>
      <c r="Z3536" s="77"/>
      <c r="AA3536" s="77" t="s">
        <v>9840</v>
      </c>
      <c r="AB3536" s="77" t="s">
        <v>10129</v>
      </c>
      <c r="AC3536" s="82" t="s">
        <v>10146</v>
      </c>
      <c r="AD3536" s="77" t="s">
        <v>10184</v>
      </c>
      <c r="AE3536" s="80" t="str">
        <f>HYPERLINK("https://twitter.com/homeprofissao/status/1679568851564916736")</f>
        <v>https://twitter.com/homeprofissao/status/1679568851564916736</v>
      </c>
      <c r="AF3536" s="79">
        <v>45120.798530092594</v>
      </c>
      <c r="AG3536" s="85">
        <v>45120</v>
      </c>
      <c r="AH3536" s="82" t="s">
        <v>13528</v>
      </c>
      <c r="AI3536" s="77" t="b">
        <v>0</v>
      </c>
      <c r="AJ3536" s="77"/>
      <c r="AK3536" s="77"/>
      <c r="AL3536" s="77"/>
      <c r="AM3536" s="77"/>
      <c r="AN3536" s="77"/>
      <c r="AO3536" s="77"/>
      <c r="AP3536" s="77"/>
      <c r="AQ3536" s="77" t="s">
        <v>16483</v>
      </c>
      <c r="AR3536" s="77">
        <v>14933</v>
      </c>
      <c r="AS3536" s="77"/>
      <c r="AT3536" s="77"/>
      <c r="AU3536" s="77"/>
      <c r="AV3536" s="80" t="str">
        <f>HYPERLINK("https://pbs.twimg.com/ext_tw_video_thumb/1679568729636478979/pu/img/3J_0Nk5Sh7a3JWZ6.jpg")</f>
        <v>https://pbs.twimg.com/ext_tw_video_thumb/1679568729636478979/pu/img/3J_0Nk5Sh7a3JWZ6.jpg</v>
      </c>
      <c r="AW3536" s="82" t="s">
        <v>20302</v>
      </c>
      <c r="AX3536" s="82" t="s">
        <v>20302</v>
      </c>
      <c r="AY3536" s="77"/>
      <c r="AZ3536" s="82" t="s">
        <v>20971</v>
      </c>
      <c r="BA3536" s="82" t="s">
        <v>20971</v>
      </c>
      <c r="BB3536" s="82" t="s">
        <v>20971</v>
      </c>
      <c r="BC3536" s="82" t="s">
        <v>20302</v>
      </c>
      <c r="BD3536" s="82" t="s">
        <v>21629</v>
      </c>
      <c r="BE3536" s="77"/>
      <c r="BF3536" s="77"/>
      <c r="BG3536" s="77"/>
      <c r="BH3536" s="77"/>
      <c r="BI3536" s="77"/>
    </row>
    <row r="3537" spans="1:61" x14ac:dyDescent="0.25">
      <c r="A3537" s="62" t="s">
        <v>1045</v>
      </c>
      <c r="B3537" s="62" t="s">
        <v>1045</v>
      </c>
      <c r="C3537" s="63"/>
      <c r="D3537" s="64"/>
      <c r="E3537" s="65"/>
      <c r="F3537" s="66"/>
      <c r="G3537" s="63"/>
      <c r="H3537" s="67"/>
      <c r="I3537" s="68"/>
      <c r="J3537" s="68"/>
      <c r="K3537" s="32"/>
      <c r="L3537" s="75">
        <v>3537</v>
      </c>
      <c r="M3537" s="75"/>
      <c r="N3537" s="70"/>
      <c r="O3537" s="77" t="s">
        <v>179</v>
      </c>
      <c r="P3537" s="79">
        <v>45120.792187500003</v>
      </c>
      <c r="Q3537" s="77" t="s">
        <v>4743</v>
      </c>
      <c r="R3537" s="77">
        <v>0</v>
      </c>
      <c r="S3537" s="77">
        <v>0</v>
      </c>
      <c r="T3537" s="77">
        <v>0</v>
      </c>
      <c r="U3537" s="77">
        <v>0</v>
      </c>
      <c r="V3537" s="77">
        <v>10</v>
      </c>
      <c r="W3537" s="82" t="s">
        <v>6818</v>
      </c>
      <c r="X3537" s="77"/>
      <c r="Y3537" s="77"/>
      <c r="Z3537" s="77"/>
      <c r="AA3537" s="77" t="s">
        <v>9841</v>
      </c>
      <c r="AB3537" s="77" t="s">
        <v>10129</v>
      </c>
      <c r="AC3537" s="82" t="s">
        <v>10146</v>
      </c>
      <c r="AD3537" s="77" t="s">
        <v>10184</v>
      </c>
      <c r="AE3537" s="80" t="str">
        <f>HYPERLINK("https://twitter.com/homeprofissao/status/1679566550213296129")</f>
        <v>https://twitter.com/homeprofissao/status/1679566550213296129</v>
      </c>
      <c r="AF3537" s="79">
        <v>45120.792187500003</v>
      </c>
      <c r="AG3537" s="85">
        <v>45120</v>
      </c>
      <c r="AH3537" s="82" t="s">
        <v>12494</v>
      </c>
      <c r="AI3537" s="77" t="b">
        <v>0</v>
      </c>
      <c r="AJ3537" s="77"/>
      <c r="AK3537" s="77"/>
      <c r="AL3537" s="77"/>
      <c r="AM3537" s="77"/>
      <c r="AN3537" s="77"/>
      <c r="AO3537" s="77"/>
      <c r="AP3537" s="77"/>
      <c r="AQ3537" s="77" t="s">
        <v>16484</v>
      </c>
      <c r="AR3537" s="77">
        <v>7300</v>
      </c>
      <c r="AS3537" s="77"/>
      <c r="AT3537" s="77"/>
      <c r="AU3537" s="77"/>
      <c r="AV3537" s="80" t="str">
        <f>HYPERLINK("https://pbs.twimg.com/ext_tw_video_thumb/1679566502356197376/pu/img/P70gr96SZNWdJhvH.jpg")</f>
        <v>https://pbs.twimg.com/ext_tw_video_thumb/1679566502356197376/pu/img/P70gr96SZNWdJhvH.jpg</v>
      </c>
      <c r="AW3537" s="82" t="s">
        <v>20303</v>
      </c>
      <c r="AX3537" s="82" t="s">
        <v>20303</v>
      </c>
      <c r="AY3537" s="77"/>
      <c r="AZ3537" s="82" t="s">
        <v>20971</v>
      </c>
      <c r="BA3537" s="82" t="s">
        <v>20971</v>
      </c>
      <c r="BB3537" s="82" t="s">
        <v>20971</v>
      </c>
      <c r="BC3537" s="82" t="s">
        <v>20303</v>
      </c>
      <c r="BD3537" s="82" t="s">
        <v>21629</v>
      </c>
      <c r="BE3537" s="77"/>
      <c r="BF3537" s="77"/>
      <c r="BG3537" s="77"/>
      <c r="BH3537" s="77"/>
      <c r="BI3537" s="77"/>
    </row>
    <row r="3538" spans="1:61" x14ac:dyDescent="0.25">
      <c r="A3538" s="62" t="s">
        <v>1045</v>
      </c>
      <c r="B3538" s="62" t="s">
        <v>1045</v>
      </c>
      <c r="C3538" s="63"/>
      <c r="D3538" s="64"/>
      <c r="E3538" s="65"/>
      <c r="F3538" s="66"/>
      <c r="G3538" s="63"/>
      <c r="H3538" s="67"/>
      <c r="I3538" s="68"/>
      <c r="J3538" s="68"/>
      <c r="K3538" s="32"/>
      <c r="L3538" s="75">
        <v>3538</v>
      </c>
      <c r="M3538" s="75"/>
      <c r="N3538" s="70"/>
      <c r="O3538" s="77" t="s">
        <v>179</v>
      </c>
      <c r="P3538" s="79">
        <v>45120.779664351852</v>
      </c>
      <c r="Q3538" s="77" t="s">
        <v>4744</v>
      </c>
      <c r="R3538" s="77">
        <v>0</v>
      </c>
      <c r="S3538" s="77">
        <v>0</v>
      </c>
      <c r="T3538" s="77">
        <v>0</v>
      </c>
      <c r="U3538" s="77">
        <v>0</v>
      </c>
      <c r="V3538" s="77">
        <v>93</v>
      </c>
      <c r="W3538" s="82" t="s">
        <v>6813</v>
      </c>
      <c r="X3538" s="77"/>
      <c r="Y3538" s="77"/>
      <c r="Z3538" s="77"/>
      <c r="AA3538" s="77" t="s">
        <v>9842</v>
      </c>
      <c r="AB3538" s="77" t="s">
        <v>10129</v>
      </c>
      <c r="AC3538" s="82" t="s">
        <v>10146</v>
      </c>
      <c r="AD3538" s="77" t="s">
        <v>10184</v>
      </c>
      <c r="AE3538" s="80" t="str">
        <f>HYPERLINK("https://twitter.com/homeprofissao/status/1679562014157426689")</f>
        <v>https://twitter.com/homeprofissao/status/1679562014157426689</v>
      </c>
      <c r="AF3538" s="79">
        <v>45120.779664351852</v>
      </c>
      <c r="AG3538" s="85">
        <v>45120</v>
      </c>
      <c r="AH3538" s="82" t="s">
        <v>13529</v>
      </c>
      <c r="AI3538" s="77" t="b">
        <v>0</v>
      </c>
      <c r="AJ3538" s="77"/>
      <c r="AK3538" s="77"/>
      <c r="AL3538" s="77"/>
      <c r="AM3538" s="77"/>
      <c r="AN3538" s="77"/>
      <c r="AO3538" s="77"/>
      <c r="AP3538" s="77"/>
      <c r="AQ3538" s="77" t="s">
        <v>16485</v>
      </c>
      <c r="AR3538" s="77">
        <v>26559</v>
      </c>
      <c r="AS3538" s="77"/>
      <c r="AT3538" s="77"/>
      <c r="AU3538" s="77"/>
      <c r="AV3538" s="80" t="str">
        <f>HYPERLINK("https://pbs.twimg.com/ext_tw_video_thumb/1679561917289975808/pu/img/EqXYlj8UeYp81Yzd.jpg")</f>
        <v>https://pbs.twimg.com/ext_tw_video_thumb/1679561917289975808/pu/img/EqXYlj8UeYp81Yzd.jpg</v>
      </c>
      <c r="AW3538" s="82" t="s">
        <v>20304</v>
      </c>
      <c r="AX3538" s="82" t="s">
        <v>20304</v>
      </c>
      <c r="AY3538" s="77"/>
      <c r="AZ3538" s="82" t="s">
        <v>20971</v>
      </c>
      <c r="BA3538" s="82" t="s">
        <v>20971</v>
      </c>
      <c r="BB3538" s="82" t="s">
        <v>20971</v>
      </c>
      <c r="BC3538" s="82" t="s">
        <v>20304</v>
      </c>
      <c r="BD3538" s="82" t="s">
        <v>21629</v>
      </c>
      <c r="BE3538" s="77"/>
      <c r="BF3538" s="77"/>
      <c r="BG3538" s="77"/>
      <c r="BH3538" s="77"/>
      <c r="BI3538" s="77"/>
    </row>
    <row r="3539" spans="1:61" x14ac:dyDescent="0.25">
      <c r="A3539" s="62" t="s">
        <v>1046</v>
      </c>
      <c r="B3539" s="62" t="s">
        <v>1046</v>
      </c>
      <c r="C3539" s="63"/>
      <c r="D3539" s="64"/>
      <c r="E3539" s="65"/>
      <c r="F3539" s="66"/>
      <c r="G3539" s="63"/>
      <c r="H3539" s="67"/>
      <c r="I3539" s="68"/>
      <c r="J3539" s="68"/>
      <c r="K3539" s="32"/>
      <c r="L3539" s="75">
        <v>3539</v>
      </c>
      <c r="M3539" s="75"/>
      <c r="N3539" s="70"/>
      <c r="O3539" s="77" t="s">
        <v>179</v>
      </c>
      <c r="P3539" s="79">
        <v>44988.564629629633</v>
      </c>
      <c r="Q3539" s="77" t="s">
        <v>4745</v>
      </c>
      <c r="R3539" s="77">
        <v>0</v>
      </c>
      <c r="S3539" s="77">
        <v>1</v>
      </c>
      <c r="T3539" s="77">
        <v>0</v>
      </c>
      <c r="U3539" s="77">
        <v>0</v>
      </c>
      <c r="V3539" s="77">
        <v>135</v>
      </c>
      <c r="W3539" s="82" t="s">
        <v>6819</v>
      </c>
      <c r="X3539" s="80" t="str">
        <f>HYPERLINK("http://hotm.art/zWFlWJc")</f>
        <v>http://hotm.art/zWFlWJc</v>
      </c>
      <c r="Y3539" s="77" t="s">
        <v>7260</v>
      </c>
      <c r="Z3539" s="77"/>
      <c r="AA3539" s="77" t="s">
        <v>9843</v>
      </c>
      <c r="AB3539" s="77" t="s">
        <v>10130</v>
      </c>
      <c r="AC3539" s="82" t="s">
        <v>10144</v>
      </c>
      <c r="AD3539" s="77" t="s">
        <v>10184</v>
      </c>
      <c r="AE3539" s="80" t="str">
        <f>HYPERLINK("https://twitter.com/aprendaavencer_/status/1631648888519000064")</f>
        <v>https://twitter.com/aprendaavencer_/status/1631648888519000064</v>
      </c>
      <c r="AF3539" s="79">
        <v>44988.564629629633</v>
      </c>
      <c r="AG3539" s="85">
        <v>44988</v>
      </c>
      <c r="AH3539" s="82" t="s">
        <v>13530</v>
      </c>
      <c r="AI3539" s="77" t="b">
        <v>0</v>
      </c>
      <c r="AJ3539" s="77"/>
      <c r="AK3539" s="77"/>
      <c r="AL3539" s="77"/>
      <c r="AM3539" s="77"/>
      <c r="AN3539" s="77"/>
      <c r="AO3539" s="77"/>
      <c r="AP3539" s="77"/>
      <c r="AQ3539" s="77" t="s">
        <v>16486</v>
      </c>
      <c r="AR3539" s="77"/>
      <c r="AS3539" s="77"/>
      <c r="AT3539" s="77"/>
      <c r="AU3539" s="77"/>
      <c r="AV3539" s="80" t="str">
        <f>HYPERLINK("https://pbs.twimg.com/media/FqTIA71acAMI9pw.jpg")</f>
        <v>https://pbs.twimg.com/media/FqTIA71acAMI9pw.jpg</v>
      </c>
      <c r="AW3539" s="82" t="s">
        <v>20305</v>
      </c>
      <c r="AX3539" s="82" t="s">
        <v>20305</v>
      </c>
      <c r="AY3539" s="77"/>
      <c r="AZ3539" s="82" t="s">
        <v>20971</v>
      </c>
      <c r="BA3539" s="82" t="s">
        <v>20971</v>
      </c>
      <c r="BB3539" s="82" t="s">
        <v>20971</v>
      </c>
      <c r="BC3539" s="82" t="s">
        <v>20305</v>
      </c>
      <c r="BD3539" s="82" t="s">
        <v>21630</v>
      </c>
      <c r="BE3539" s="77"/>
      <c r="BF3539" s="77"/>
      <c r="BG3539" s="77"/>
      <c r="BH3539" s="77"/>
      <c r="BI3539" s="77"/>
    </row>
    <row r="3540" spans="1:61" x14ac:dyDescent="0.25">
      <c r="A3540" s="62" t="s">
        <v>1046</v>
      </c>
      <c r="B3540" s="62" t="s">
        <v>1046</v>
      </c>
      <c r="C3540" s="63"/>
      <c r="D3540" s="64"/>
      <c r="E3540" s="65"/>
      <c r="F3540" s="66"/>
      <c r="G3540" s="63"/>
      <c r="H3540" s="67"/>
      <c r="I3540" s="68"/>
      <c r="J3540" s="68"/>
      <c r="K3540" s="32"/>
      <c r="L3540" s="75">
        <v>3540</v>
      </c>
      <c r="M3540" s="75"/>
      <c r="N3540" s="70"/>
      <c r="O3540" s="77" t="s">
        <v>179</v>
      </c>
      <c r="P3540" s="79">
        <v>44984.494884259257</v>
      </c>
      <c r="Q3540" s="77" t="s">
        <v>4746</v>
      </c>
      <c r="R3540" s="77">
        <v>0</v>
      </c>
      <c r="S3540" s="77">
        <v>1</v>
      </c>
      <c r="T3540" s="77">
        <v>0</v>
      </c>
      <c r="U3540" s="77">
        <v>0</v>
      </c>
      <c r="V3540" s="77">
        <v>204</v>
      </c>
      <c r="W3540" s="82" t="s">
        <v>6820</v>
      </c>
      <c r="X3540" s="80" t="str">
        <f>HYPERLINK("https://hotm.art/YemIxs")</f>
        <v>https://hotm.art/YemIxs</v>
      </c>
      <c r="Y3540" s="77" t="s">
        <v>7260</v>
      </c>
      <c r="Z3540" s="77"/>
      <c r="AA3540" s="77" t="s">
        <v>9844</v>
      </c>
      <c r="AB3540" s="77" t="s">
        <v>10130</v>
      </c>
      <c r="AC3540" s="82" t="s">
        <v>10144</v>
      </c>
      <c r="AD3540" s="77" t="s">
        <v>10184</v>
      </c>
      <c r="AE3540" s="80" t="str">
        <f>HYPERLINK("https://twitter.com/aprendaavencer_/status/1630174065079009280")</f>
        <v>https://twitter.com/aprendaavencer_/status/1630174065079009280</v>
      </c>
      <c r="AF3540" s="79">
        <v>44984.494884259257</v>
      </c>
      <c r="AG3540" s="85">
        <v>44984</v>
      </c>
      <c r="AH3540" s="82" t="s">
        <v>13531</v>
      </c>
      <c r="AI3540" s="77" t="b">
        <v>0</v>
      </c>
      <c r="AJ3540" s="77"/>
      <c r="AK3540" s="77"/>
      <c r="AL3540" s="77"/>
      <c r="AM3540" s="77"/>
      <c r="AN3540" s="77"/>
      <c r="AO3540" s="77"/>
      <c r="AP3540" s="77"/>
      <c r="AQ3540" s="77" t="s">
        <v>16487</v>
      </c>
      <c r="AR3540" s="77"/>
      <c r="AS3540" s="77"/>
      <c r="AT3540" s="77"/>
      <c r="AU3540" s="77"/>
      <c r="AV3540" s="80" t="str">
        <f>HYPERLINK("https://pbs.twimg.com/media/Fp-Kq0sXoAECHgc.jpg")</f>
        <v>https://pbs.twimg.com/media/Fp-Kq0sXoAECHgc.jpg</v>
      </c>
      <c r="AW3540" s="82" t="s">
        <v>20306</v>
      </c>
      <c r="AX3540" s="82" t="s">
        <v>20306</v>
      </c>
      <c r="AY3540" s="77"/>
      <c r="AZ3540" s="82" t="s">
        <v>20971</v>
      </c>
      <c r="BA3540" s="82" t="s">
        <v>20971</v>
      </c>
      <c r="BB3540" s="82" t="s">
        <v>20971</v>
      </c>
      <c r="BC3540" s="82" t="s">
        <v>20306</v>
      </c>
      <c r="BD3540" s="82" t="s">
        <v>21630</v>
      </c>
      <c r="BE3540" s="77"/>
      <c r="BF3540" s="77"/>
      <c r="BG3540" s="77"/>
      <c r="BH3540" s="77"/>
      <c r="BI3540" s="77"/>
    </row>
    <row r="3541" spans="1:61" x14ac:dyDescent="0.25">
      <c r="A3541" s="62" t="s">
        <v>1047</v>
      </c>
      <c r="B3541" s="62" t="s">
        <v>1047</v>
      </c>
      <c r="C3541" s="63"/>
      <c r="D3541" s="64"/>
      <c r="E3541" s="65"/>
      <c r="F3541" s="66"/>
      <c r="G3541" s="63"/>
      <c r="H3541" s="67"/>
      <c r="I3541" s="68"/>
      <c r="J3541" s="68"/>
      <c r="K3541" s="32"/>
      <c r="L3541" s="75">
        <v>3541</v>
      </c>
      <c r="M3541" s="75"/>
      <c r="N3541" s="70"/>
      <c r="O3541" s="77" t="s">
        <v>1284</v>
      </c>
      <c r="P3541" s="79">
        <v>44990.935243055559</v>
      </c>
      <c r="Q3541" s="77" t="s">
        <v>4747</v>
      </c>
      <c r="R3541" s="77">
        <v>0</v>
      </c>
      <c r="S3541" s="77">
        <v>1</v>
      </c>
      <c r="T3541" s="77">
        <v>0</v>
      </c>
      <c r="U3541" s="77">
        <v>0</v>
      </c>
      <c r="V3541" s="77">
        <v>20</v>
      </c>
      <c r="W3541" s="82" t="s">
        <v>6821</v>
      </c>
      <c r="X3541" s="77"/>
      <c r="Y3541" s="77"/>
      <c r="Z3541" s="77"/>
      <c r="AA3541" s="77"/>
      <c r="AB3541" s="77"/>
      <c r="AC3541" s="82" t="s">
        <v>10144</v>
      </c>
      <c r="AD3541" s="77" t="s">
        <v>10186</v>
      </c>
      <c r="AE3541" s="80" t="str">
        <f>HYPERLINK("https://twitter.com/marye_sena/status/1632507971581235201")</f>
        <v>https://twitter.com/marye_sena/status/1632507971581235201</v>
      </c>
      <c r="AF3541" s="79">
        <v>44990.935243055559</v>
      </c>
      <c r="AG3541" s="85">
        <v>44990</v>
      </c>
      <c r="AH3541" s="82" t="s">
        <v>13532</v>
      </c>
      <c r="AI3541" s="77"/>
      <c r="AJ3541" s="77"/>
      <c r="AK3541" s="77"/>
      <c r="AL3541" s="77"/>
      <c r="AM3541" s="77"/>
      <c r="AN3541" s="77"/>
      <c r="AO3541" s="77"/>
      <c r="AP3541" s="77"/>
      <c r="AQ3541" s="77"/>
      <c r="AR3541" s="77"/>
      <c r="AS3541" s="77"/>
      <c r="AT3541" s="77"/>
      <c r="AU3541" s="77"/>
      <c r="AV3541" s="80" t="str">
        <f>HYPERLINK("https://pbs.twimg.com/profile_images/1626293539616292864/B0EVm_Ll_normal.png")</f>
        <v>https://pbs.twimg.com/profile_images/1626293539616292864/B0EVm_Ll_normal.png</v>
      </c>
      <c r="AW3541" s="82" t="s">
        <v>20307</v>
      </c>
      <c r="AX3541" s="82" t="s">
        <v>20880</v>
      </c>
      <c r="AY3541" s="82" t="s">
        <v>20962</v>
      </c>
      <c r="AZ3541" s="82" t="s">
        <v>20880</v>
      </c>
      <c r="BA3541" s="82" t="s">
        <v>20971</v>
      </c>
      <c r="BB3541" s="82" t="s">
        <v>20971</v>
      </c>
      <c r="BC3541" s="82" t="s">
        <v>20880</v>
      </c>
      <c r="BD3541" s="82" t="s">
        <v>20962</v>
      </c>
      <c r="BE3541" s="77"/>
      <c r="BF3541" s="77"/>
      <c r="BG3541" s="77"/>
      <c r="BH3541" s="77"/>
      <c r="BI3541" s="77"/>
    </row>
    <row r="3542" spans="1:61" x14ac:dyDescent="0.25">
      <c r="A3542" s="62" t="s">
        <v>1047</v>
      </c>
      <c r="B3542" s="62" t="s">
        <v>1047</v>
      </c>
      <c r="C3542" s="63"/>
      <c r="D3542" s="64"/>
      <c r="E3542" s="65"/>
      <c r="F3542" s="66"/>
      <c r="G3542" s="63"/>
      <c r="H3542" s="67"/>
      <c r="I3542" s="68"/>
      <c r="J3542" s="68"/>
      <c r="K3542" s="32"/>
      <c r="L3542" s="75">
        <v>3542</v>
      </c>
      <c r="M3542" s="75"/>
      <c r="N3542" s="70"/>
      <c r="O3542" s="77" t="s">
        <v>1284</v>
      </c>
      <c r="P3542" s="79">
        <v>44990.094270833331</v>
      </c>
      <c r="Q3542" s="77" t="s">
        <v>4748</v>
      </c>
      <c r="R3542" s="77">
        <v>0</v>
      </c>
      <c r="S3542" s="77">
        <v>0</v>
      </c>
      <c r="T3542" s="77">
        <v>1</v>
      </c>
      <c r="U3542" s="77">
        <v>0</v>
      </c>
      <c r="V3542" s="77">
        <v>44</v>
      </c>
      <c r="W3542" s="82" t="s">
        <v>6822</v>
      </c>
      <c r="X3542" s="77"/>
      <c r="Y3542" s="77"/>
      <c r="Z3542" s="77"/>
      <c r="AA3542" s="77"/>
      <c r="AB3542" s="77"/>
      <c r="AC3542" s="82" t="s">
        <v>10144</v>
      </c>
      <c r="AD3542" s="77" t="s">
        <v>10186</v>
      </c>
      <c r="AE3542" s="80" t="str">
        <f>HYPERLINK("https://twitter.com/marye_sena/status/1632203213872017410")</f>
        <v>https://twitter.com/marye_sena/status/1632203213872017410</v>
      </c>
      <c r="AF3542" s="79">
        <v>44990.094270833331</v>
      </c>
      <c r="AG3542" s="85">
        <v>44990</v>
      </c>
      <c r="AH3542" s="82" t="s">
        <v>10359</v>
      </c>
      <c r="AI3542" s="77"/>
      <c r="AJ3542" s="77"/>
      <c r="AK3542" s="77"/>
      <c r="AL3542" s="77"/>
      <c r="AM3542" s="77"/>
      <c r="AN3542" s="77"/>
      <c r="AO3542" s="77"/>
      <c r="AP3542" s="77"/>
      <c r="AQ3542" s="77"/>
      <c r="AR3542" s="77"/>
      <c r="AS3542" s="77"/>
      <c r="AT3542" s="77"/>
      <c r="AU3542" s="77"/>
      <c r="AV3542" s="80" t="str">
        <f>HYPERLINK("https://pbs.twimg.com/profile_images/1626293539616292864/B0EVm_Ll_normal.png")</f>
        <v>https://pbs.twimg.com/profile_images/1626293539616292864/B0EVm_Ll_normal.png</v>
      </c>
      <c r="AW3542" s="82" t="s">
        <v>20308</v>
      </c>
      <c r="AX3542" s="82" t="s">
        <v>20881</v>
      </c>
      <c r="AY3542" s="82" t="s">
        <v>20962</v>
      </c>
      <c r="AZ3542" s="82" t="s">
        <v>20881</v>
      </c>
      <c r="BA3542" s="82" t="s">
        <v>20971</v>
      </c>
      <c r="BB3542" s="82" t="s">
        <v>20971</v>
      </c>
      <c r="BC3542" s="82" t="s">
        <v>20881</v>
      </c>
      <c r="BD3542" s="82" t="s">
        <v>20962</v>
      </c>
      <c r="BE3542" s="77"/>
      <c r="BF3542" s="77"/>
      <c r="BG3542" s="77"/>
      <c r="BH3542" s="77"/>
      <c r="BI3542" s="77"/>
    </row>
    <row r="3543" spans="1:61" x14ac:dyDescent="0.25">
      <c r="A3543" s="62" t="s">
        <v>1048</v>
      </c>
      <c r="B3543" s="62" t="s">
        <v>1048</v>
      </c>
      <c r="C3543" s="63"/>
      <c r="D3543" s="64"/>
      <c r="E3543" s="65"/>
      <c r="F3543" s="66"/>
      <c r="G3543" s="63"/>
      <c r="H3543" s="67"/>
      <c r="I3543" s="68"/>
      <c r="J3543" s="68"/>
      <c r="K3543" s="32"/>
      <c r="L3543" s="75">
        <v>3543</v>
      </c>
      <c r="M3543" s="75"/>
      <c r="N3543" s="70"/>
      <c r="O3543" s="77" t="s">
        <v>179</v>
      </c>
      <c r="P3543" s="79">
        <v>44964.854259259257</v>
      </c>
      <c r="Q3543" s="77" t="s">
        <v>4749</v>
      </c>
      <c r="R3543" s="77">
        <v>0</v>
      </c>
      <c r="S3543" s="77">
        <v>0</v>
      </c>
      <c r="T3543" s="77">
        <v>0</v>
      </c>
      <c r="U3543" s="77">
        <v>0</v>
      </c>
      <c r="V3543" s="77">
        <v>107</v>
      </c>
      <c r="W3543" s="82" t="s">
        <v>6823</v>
      </c>
      <c r="X3543" s="80" t="str">
        <f>HYPERLINK("https://bit.ly/3uB3BKQ")</f>
        <v>https://bit.ly/3uB3BKQ</v>
      </c>
      <c r="Y3543" s="77" t="s">
        <v>7268</v>
      </c>
      <c r="Z3543" s="77"/>
      <c r="AA3543" s="77" t="s">
        <v>9845</v>
      </c>
      <c r="AB3543" s="77" t="s">
        <v>10130</v>
      </c>
      <c r="AC3543" s="82" t="s">
        <v>10156</v>
      </c>
      <c r="AD3543" s="77" t="s">
        <v>10184</v>
      </c>
      <c r="AE3543" s="80" t="str">
        <f>HYPERLINK("https://twitter.com/vivalocal/status/1623056538536386576")</f>
        <v>https://twitter.com/vivalocal/status/1623056538536386576</v>
      </c>
      <c r="AF3543" s="79">
        <v>44964.854259259257</v>
      </c>
      <c r="AG3543" s="85">
        <v>44964</v>
      </c>
      <c r="AH3543" s="82" t="s">
        <v>13533</v>
      </c>
      <c r="AI3543" s="77" t="b">
        <v>0</v>
      </c>
      <c r="AJ3543" s="77"/>
      <c r="AK3543" s="77"/>
      <c r="AL3543" s="77"/>
      <c r="AM3543" s="77"/>
      <c r="AN3543" s="77"/>
      <c r="AO3543" s="77"/>
      <c r="AP3543" s="77"/>
      <c r="AQ3543" s="77" t="s">
        <v>16488</v>
      </c>
      <c r="AR3543" s="77"/>
      <c r="AS3543" s="77"/>
      <c r="AT3543" s="77"/>
      <c r="AU3543" s="77"/>
      <c r="AV3543" s="80" t="str">
        <f>HYPERLINK("https://pbs.twimg.com/media/FoZBUeuWIAM-5nB.jpg")</f>
        <v>https://pbs.twimg.com/media/FoZBUeuWIAM-5nB.jpg</v>
      </c>
      <c r="AW3543" s="82" t="s">
        <v>20309</v>
      </c>
      <c r="AX3543" s="82" t="s">
        <v>20309</v>
      </c>
      <c r="AY3543" s="77"/>
      <c r="AZ3543" s="82" t="s">
        <v>20971</v>
      </c>
      <c r="BA3543" s="82" t="s">
        <v>20971</v>
      </c>
      <c r="BB3543" s="82" t="s">
        <v>20971</v>
      </c>
      <c r="BC3543" s="82" t="s">
        <v>20309</v>
      </c>
      <c r="BD3543" s="77">
        <v>67352317</v>
      </c>
      <c r="BE3543" s="77"/>
      <c r="BF3543" s="77"/>
      <c r="BG3543" s="77"/>
      <c r="BH3543" s="77"/>
      <c r="BI3543" s="77"/>
    </row>
    <row r="3544" spans="1:61" x14ac:dyDescent="0.25">
      <c r="A3544" s="62" t="s">
        <v>1048</v>
      </c>
      <c r="B3544" s="62" t="s">
        <v>1048</v>
      </c>
      <c r="C3544" s="63"/>
      <c r="D3544" s="64"/>
      <c r="E3544" s="65"/>
      <c r="F3544" s="66"/>
      <c r="G3544" s="63"/>
      <c r="H3544" s="67"/>
      <c r="I3544" s="68"/>
      <c r="J3544" s="68"/>
      <c r="K3544" s="32"/>
      <c r="L3544" s="75">
        <v>3544</v>
      </c>
      <c r="M3544" s="75"/>
      <c r="N3544" s="70"/>
      <c r="O3544" s="77" t="s">
        <v>179</v>
      </c>
      <c r="P3544" s="79">
        <v>45038.025011574071</v>
      </c>
      <c r="Q3544" s="77" t="s">
        <v>4750</v>
      </c>
      <c r="R3544" s="77">
        <v>0</v>
      </c>
      <c r="S3544" s="77">
        <v>1</v>
      </c>
      <c r="T3544" s="77">
        <v>0</v>
      </c>
      <c r="U3544" s="77">
        <v>0</v>
      </c>
      <c r="V3544" s="77">
        <v>305</v>
      </c>
      <c r="W3544" s="82" t="s">
        <v>6823</v>
      </c>
      <c r="X3544" s="80" t="str">
        <f>HYPERLINK("https://bit.ly/3uB3BKQ")</f>
        <v>https://bit.ly/3uB3BKQ</v>
      </c>
      <c r="Y3544" s="77" t="s">
        <v>7268</v>
      </c>
      <c r="Z3544" s="77"/>
      <c r="AA3544" s="77" t="s">
        <v>9846</v>
      </c>
      <c r="AB3544" s="77" t="s">
        <v>10130</v>
      </c>
      <c r="AC3544" s="82" t="s">
        <v>10156</v>
      </c>
      <c r="AD3544" s="77" t="s">
        <v>10184</v>
      </c>
      <c r="AE3544" s="80" t="str">
        <f>HYPERLINK("https://twitter.com/vivalocal/status/1649572731665489920")</f>
        <v>https://twitter.com/vivalocal/status/1649572731665489920</v>
      </c>
      <c r="AF3544" s="79">
        <v>45038.025011574071</v>
      </c>
      <c r="AG3544" s="85">
        <v>45038</v>
      </c>
      <c r="AH3544" s="82" t="s">
        <v>13534</v>
      </c>
      <c r="AI3544" s="77" t="b">
        <v>0</v>
      </c>
      <c r="AJ3544" s="77"/>
      <c r="AK3544" s="77"/>
      <c r="AL3544" s="77"/>
      <c r="AM3544" s="77"/>
      <c r="AN3544" s="77"/>
      <c r="AO3544" s="77"/>
      <c r="AP3544" s="77"/>
      <c r="AQ3544" s="77" t="s">
        <v>16489</v>
      </c>
      <c r="AR3544" s="77"/>
      <c r="AS3544" s="77"/>
      <c r="AT3544" s="77"/>
      <c r="AU3544" s="77"/>
      <c r="AV3544" s="80" t="str">
        <f>HYPERLINK("https://pbs.twimg.com/media/FuR1qF2XwAILEcy.jpg")</f>
        <v>https://pbs.twimg.com/media/FuR1qF2XwAILEcy.jpg</v>
      </c>
      <c r="AW3544" s="82" t="s">
        <v>20310</v>
      </c>
      <c r="AX3544" s="82" t="s">
        <v>20310</v>
      </c>
      <c r="AY3544" s="77"/>
      <c r="AZ3544" s="82" t="s">
        <v>20971</v>
      </c>
      <c r="BA3544" s="82" t="s">
        <v>20971</v>
      </c>
      <c r="BB3544" s="82" t="s">
        <v>20971</v>
      </c>
      <c r="BC3544" s="82" t="s">
        <v>20310</v>
      </c>
      <c r="BD3544" s="77">
        <v>67352317</v>
      </c>
      <c r="BE3544" s="77"/>
      <c r="BF3544" s="77"/>
      <c r="BG3544" s="77"/>
      <c r="BH3544" s="77"/>
      <c r="BI3544" s="77"/>
    </row>
    <row r="3545" spans="1:61" x14ac:dyDescent="0.25">
      <c r="A3545" s="62" t="s">
        <v>1049</v>
      </c>
      <c r="B3545" s="62" t="s">
        <v>1049</v>
      </c>
      <c r="C3545" s="63"/>
      <c r="D3545" s="64"/>
      <c r="E3545" s="65"/>
      <c r="F3545" s="66"/>
      <c r="G3545" s="63"/>
      <c r="H3545" s="67"/>
      <c r="I3545" s="68"/>
      <c r="J3545" s="68"/>
      <c r="K3545" s="32"/>
      <c r="L3545" s="75">
        <v>3545</v>
      </c>
      <c r="M3545" s="75"/>
      <c r="N3545" s="70"/>
      <c r="O3545" s="77" t="s">
        <v>179</v>
      </c>
      <c r="P3545" s="79">
        <v>45005.838842592595</v>
      </c>
      <c r="Q3545" s="77" t="s">
        <v>4751</v>
      </c>
      <c r="R3545" s="77">
        <v>0</v>
      </c>
      <c r="S3545" s="77">
        <v>0</v>
      </c>
      <c r="T3545" s="77">
        <v>0</v>
      </c>
      <c r="U3545" s="77">
        <v>0</v>
      </c>
      <c r="V3545" s="77">
        <v>16</v>
      </c>
      <c r="W3545" s="82" t="s">
        <v>6824</v>
      </c>
      <c r="X3545" s="77"/>
      <c r="Y3545" s="77"/>
      <c r="Z3545" s="77"/>
      <c r="AA3545" s="77"/>
      <c r="AB3545" s="77"/>
      <c r="AC3545" s="82" t="s">
        <v>10146</v>
      </c>
      <c r="AD3545" s="77" t="s">
        <v>10186</v>
      </c>
      <c r="AE3545" s="80" t="str">
        <f>HYPERLINK("https://twitter.com/grm88765974grm/status/1637908853202333782")</f>
        <v>https://twitter.com/grm88765974grm/status/1637908853202333782</v>
      </c>
      <c r="AF3545" s="79">
        <v>45005.838842592595</v>
      </c>
      <c r="AG3545" s="85">
        <v>45005</v>
      </c>
      <c r="AH3545" s="82" t="s">
        <v>13535</v>
      </c>
      <c r="AI3545" s="77"/>
      <c r="AJ3545" s="77"/>
      <c r="AK3545" s="77"/>
      <c r="AL3545" s="77"/>
      <c r="AM3545" s="77"/>
      <c r="AN3545" s="77"/>
      <c r="AO3545" s="77"/>
      <c r="AP3545" s="77"/>
      <c r="AQ3545" s="77"/>
      <c r="AR3545" s="77"/>
      <c r="AS3545" s="77"/>
      <c r="AT3545" s="77"/>
      <c r="AU3545" s="77"/>
      <c r="AV3545" s="80" t="str">
        <f>HYPERLINK("https://pbs.twimg.com/profile_images/1620876828524089352/eUOKMokw_normal.jpg")</f>
        <v>https://pbs.twimg.com/profile_images/1620876828524089352/eUOKMokw_normal.jpg</v>
      </c>
      <c r="AW3545" s="82" t="s">
        <v>20311</v>
      </c>
      <c r="AX3545" s="82" t="s">
        <v>20311</v>
      </c>
      <c r="AY3545" s="77"/>
      <c r="AZ3545" s="82" t="s">
        <v>20971</v>
      </c>
      <c r="BA3545" s="82" t="s">
        <v>20971</v>
      </c>
      <c r="BB3545" s="82" t="s">
        <v>20971</v>
      </c>
      <c r="BC3545" s="82" t="s">
        <v>20311</v>
      </c>
      <c r="BD3545" s="82" t="s">
        <v>21631</v>
      </c>
      <c r="BE3545" s="77"/>
      <c r="BF3545" s="77"/>
      <c r="BG3545" s="77"/>
      <c r="BH3545" s="77"/>
      <c r="BI3545" s="77"/>
    </row>
    <row r="3546" spans="1:61" x14ac:dyDescent="0.25">
      <c r="A3546" s="62" t="s">
        <v>1050</v>
      </c>
      <c r="B3546" s="62" t="s">
        <v>1050</v>
      </c>
      <c r="C3546" s="63"/>
      <c r="D3546" s="64"/>
      <c r="E3546" s="65"/>
      <c r="F3546" s="66"/>
      <c r="G3546" s="63"/>
      <c r="H3546" s="67"/>
      <c r="I3546" s="68"/>
      <c r="J3546" s="68"/>
      <c r="K3546" s="32"/>
      <c r="L3546" s="75">
        <v>3546</v>
      </c>
      <c r="M3546" s="75"/>
      <c r="N3546" s="70"/>
      <c r="O3546" s="77" t="s">
        <v>179</v>
      </c>
      <c r="P3546" s="79">
        <v>44979.075937499998</v>
      </c>
      <c r="Q3546" s="77" t="s">
        <v>4752</v>
      </c>
      <c r="R3546" s="77">
        <v>0</v>
      </c>
      <c r="S3546" s="77">
        <v>0</v>
      </c>
      <c r="T3546" s="77">
        <v>0</v>
      </c>
      <c r="U3546" s="77">
        <v>0</v>
      </c>
      <c r="V3546" s="77">
        <v>158</v>
      </c>
      <c r="W3546" s="82" t="s">
        <v>6825</v>
      </c>
      <c r="X3546" s="77"/>
      <c r="Y3546" s="77"/>
      <c r="Z3546" s="77"/>
      <c r="AA3546" s="77" t="s">
        <v>9847</v>
      </c>
      <c r="AB3546" s="77" t="s">
        <v>10129</v>
      </c>
      <c r="AC3546" s="82" t="s">
        <v>10144</v>
      </c>
      <c r="AD3546" s="77" t="s">
        <v>10184</v>
      </c>
      <c r="AE3546" s="80" t="str">
        <f>HYPERLINK("https://twitter.com/ghenifer1/status/1628210302150930432")</f>
        <v>https://twitter.com/ghenifer1/status/1628210302150930432</v>
      </c>
      <c r="AF3546" s="79">
        <v>44979.075937499998</v>
      </c>
      <c r="AG3546" s="85">
        <v>44979</v>
      </c>
      <c r="AH3546" s="82" t="s">
        <v>13536</v>
      </c>
      <c r="AI3546" s="77" t="b">
        <v>0</v>
      </c>
      <c r="AJ3546" s="77"/>
      <c r="AK3546" s="77"/>
      <c r="AL3546" s="77"/>
      <c r="AM3546" s="77"/>
      <c r="AN3546" s="77"/>
      <c r="AO3546" s="77"/>
      <c r="AP3546" s="77"/>
      <c r="AQ3546" s="77" t="s">
        <v>16490</v>
      </c>
      <c r="AR3546" s="77">
        <v>42072</v>
      </c>
      <c r="AS3546" s="77"/>
      <c r="AT3546" s="77"/>
      <c r="AU3546" s="77"/>
      <c r="AV3546" s="80" t="str">
        <f>HYPERLINK("https://pbs.twimg.com/ext_tw_video_thumb/1628210260161830913/pu/img/4wTKJEf0P-uoWoE8.jpg")</f>
        <v>https://pbs.twimg.com/ext_tw_video_thumb/1628210260161830913/pu/img/4wTKJEf0P-uoWoE8.jpg</v>
      </c>
      <c r="AW3546" s="82" t="s">
        <v>20312</v>
      </c>
      <c r="AX3546" s="82" t="s">
        <v>20312</v>
      </c>
      <c r="AY3546" s="77"/>
      <c r="AZ3546" s="82" t="s">
        <v>20971</v>
      </c>
      <c r="BA3546" s="82" t="s">
        <v>20971</v>
      </c>
      <c r="BB3546" s="82" t="s">
        <v>20971</v>
      </c>
      <c r="BC3546" s="82" t="s">
        <v>20312</v>
      </c>
      <c r="BD3546" s="77">
        <v>3763727003</v>
      </c>
      <c r="BE3546" s="77"/>
      <c r="BF3546" s="77"/>
      <c r="BG3546" s="77"/>
      <c r="BH3546" s="77"/>
      <c r="BI3546" s="77"/>
    </row>
    <row r="3547" spans="1:61" x14ac:dyDescent="0.25">
      <c r="A3547" s="62" t="s">
        <v>1051</v>
      </c>
      <c r="B3547" s="62" t="s">
        <v>1051</v>
      </c>
      <c r="C3547" s="63"/>
      <c r="D3547" s="64"/>
      <c r="E3547" s="65"/>
      <c r="F3547" s="66"/>
      <c r="G3547" s="63"/>
      <c r="H3547" s="67"/>
      <c r="I3547" s="68"/>
      <c r="J3547" s="68"/>
      <c r="K3547" s="32"/>
      <c r="L3547" s="75">
        <v>3547</v>
      </c>
      <c r="M3547" s="75"/>
      <c r="N3547" s="70"/>
      <c r="O3547" s="77" t="s">
        <v>179</v>
      </c>
      <c r="P3547" s="79">
        <v>45157.938171296293</v>
      </c>
      <c r="Q3547" s="77" t="s">
        <v>4753</v>
      </c>
      <c r="R3547" s="77">
        <v>0</v>
      </c>
      <c r="S3547" s="77">
        <v>0</v>
      </c>
      <c r="T3547" s="77">
        <v>0</v>
      </c>
      <c r="U3547" s="77">
        <v>0</v>
      </c>
      <c r="V3547" s="77">
        <v>110</v>
      </c>
      <c r="W3547" s="82" t="s">
        <v>6826</v>
      </c>
      <c r="X3547" s="77"/>
      <c r="Y3547" s="77"/>
      <c r="Z3547" s="77"/>
      <c r="AA3547" s="77" t="s">
        <v>9848</v>
      </c>
      <c r="AB3547" s="77" t="s">
        <v>10130</v>
      </c>
      <c r="AC3547" s="82" t="s">
        <v>10146</v>
      </c>
      <c r="AD3547" s="77" t="s">
        <v>10184</v>
      </c>
      <c r="AE3547" s="80" t="str">
        <f>HYPERLINK("https://twitter.com/andrluiznunes14/status/1693027806983123408")</f>
        <v>https://twitter.com/andrluiznunes14/status/1693027806983123408</v>
      </c>
      <c r="AF3547" s="79">
        <v>45157.938171296293</v>
      </c>
      <c r="AG3547" s="85">
        <v>45157</v>
      </c>
      <c r="AH3547" s="82" t="s">
        <v>13537</v>
      </c>
      <c r="AI3547" s="77" t="b">
        <v>0</v>
      </c>
      <c r="AJ3547" s="77"/>
      <c r="AK3547" s="77"/>
      <c r="AL3547" s="77"/>
      <c r="AM3547" s="77"/>
      <c r="AN3547" s="77"/>
      <c r="AO3547" s="77"/>
      <c r="AP3547" s="77"/>
      <c r="AQ3547" s="77" t="s">
        <v>16491</v>
      </c>
      <c r="AR3547" s="77"/>
      <c r="AS3547" s="77"/>
      <c r="AT3547" s="77"/>
      <c r="AU3547" s="77"/>
      <c r="AV3547" s="80" t="str">
        <f>HYPERLINK("https://pbs.twimg.com/media/F37ViOWWYAAIsZ_.jpg")</f>
        <v>https://pbs.twimg.com/media/F37ViOWWYAAIsZ_.jpg</v>
      </c>
      <c r="AW3547" s="82" t="s">
        <v>20313</v>
      </c>
      <c r="AX3547" s="82" t="s">
        <v>20313</v>
      </c>
      <c r="AY3547" s="77"/>
      <c r="AZ3547" s="82" t="s">
        <v>20971</v>
      </c>
      <c r="BA3547" s="82" t="s">
        <v>20971</v>
      </c>
      <c r="BB3547" s="82" t="s">
        <v>20971</v>
      </c>
      <c r="BC3547" s="82" t="s">
        <v>20313</v>
      </c>
      <c r="BD3547" s="82" t="s">
        <v>21632</v>
      </c>
      <c r="BE3547" s="77"/>
      <c r="BF3547" s="77"/>
      <c r="BG3547" s="77"/>
      <c r="BH3547" s="77"/>
      <c r="BI3547" s="77"/>
    </row>
    <row r="3548" spans="1:61" x14ac:dyDescent="0.25">
      <c r="A3548" s="62" t="s">
        <v>1052</v>
      </c>
      <c r="B3548" s="62" t="s">
        <v>1052</v>
      </c>
      <c r="C3548" s="63"/>
      <c r="D3548" s="64"/>
      <c r="E3548" s="65"/>
      <c r="F3548" s="66"/>
      <c r="G3548" s="63"/>
      <c r="H3548" s="67"/>
      <c r="I3548" s="68"/>
      <c r="J3548" s="68"/>
      <c r="K3548" s="32"/>
      <c r="L3548" s="75">
        <v>3548</v>
      </c>
      <c r="M3548" s="75"/>
      <c r="N3548" s="70"/>
      <c r="O3548" s="77" t="s">
        <v>179</v>
      </c>
      <c r="P3548" s="79">
        <v>45008.525312500002</v>
      </c>
      <c r="Q3548" s="77" t="s">
        <v>4754</v>
      </c>
      <c r="R3548" s="77">
        <v>0</v>
      </c>
      <c r="S3548" s="77">
        <v>0</v>
      </c>
      <c r="T3548" s="77">
        <v>0</v>
      </c>
      <c r="U3548" s="77">
        <v>0</v>
      </c>
      <c r="V3548" s="77">
        <v>8</v>
      </c>
      <c r="W3548" s="82" t="s">
        <v>6827</v>
      </c>
      <c r="X3548" s="77"/>
      <c r="Y3548" s="77"/>
      <c r="Z3548" s="77"/>
      <c r="AA3548" s="77"/>
      <c r="AB3548" s="77"/>
      <c r="AC3548" s="82" t="s">
        <v>10144</v>
      </c>
      <c r="AD3548" s="77" t="s">
        <v>10184</v>
      </c>
      <c r="AE3548" s="80" t="str">
        <f>HYPERLINK("https://twitter.com/raissaalves0987/status/1638882396811534336")</f>
        <v>https://twitter.com/raissaalves0987/status/1638882396811534336</v>
      </c>
      <c r="AF3548" s="79">
        <v>45008.525312500002</v>
      </c>
      <c r="AG3548" s="85">
        <v>45008</v>
      </c>
      <c r="AH3548" s="82" t="s">
        <v>13538</v>
      </c>
      <c r="AI3548" s="77"/>
      <c r="AJ3548" s="77"/>
      <c r="AK3548" s="77"/>
      <c r="AL3548" s="77"/>
      <c r="AM3548" s="77"/>
      <c r="AN3548" s="77"/>
      <c r="AO3548" s="77"/>
      <c r="AP3548" s="77"/>
      <c r="AQ3548" s="77"/>
      <c r="AR3548" s="77"/>
      <c r="AS3548" s="77"/>
      <c r="AT3548" s="77"/>
      <c r="AU3548" s="77"/>
      <c r="AV3548" s="80" t="str">
        <f>HYPERLINK("https://pbs.twimg.com/profile_images/1624070793347977225/iJ8H4CkW_normal.png")</f>
        <v>https://pbs.twimg.com/profile_images/1624070793347977225/iJ8H4CkW_normal.png</v>
      </c>
      <c r="AW3548" s="82" t="s">
        <v>20314</v>
      </c>
      <c r="AX3548" s="82" t="s">
        <v>20314</v>
      </c>
      <c r="AY3548" s="77"/>
      <c r="AZ3548" s="82" t="s">
        <v>20971</v>
      </c>
      <c r="BA3548" s="82" t="s">
        <v>20971</v>
      </c>
      <c r="BB3548" s="82" t="s">
        <v>20971</v>
      </c>
      <c r="BC3548" s="82" t="s">
        <v>20314</v>
      </c>
      <c r="BD3548" s="82" t="s">
        <v>21633</v>
      </c>
      <c r="BE3548" s="77"/>
      <c r="BF3548" s="77"/>
      <c r="BG3548" s="77"/>
      <c r="BH3548" s="77"/>
      <c r="BI3548" s="77"/>
    </row>
    <row r="3549" spans="1:61" x14ac:dyDescent="0.25">
      <c r="A3549" s="62" t="s">
        <v>1053</v>
      </c>
      <c r="B3549" s="62" t="s">
        <v>1053</v>
      </c>
      <c r="C3549" s="63"/>
      <c r="D3549" s="64"/>
      <c r="E3549" s="65"/>
      <c r="F3549" s="66"/>
      <c r="G3549" s="63"/>
      <c r="H3549" s="67"/>
      <c r="I3549" s="68"/>
      <c r="J3549" s="68"/>
      <c r="K3549" s="32"/>
      <c r="L3549" s="75">
        <v>3549</v>
      </c>
      <c r="M3549" s="75"/>
      <c r="N3549" s="70"/>
      <c r="O3549" s="77" t="s">
        <v>179</v>
      </c>
      <c r="P3549" s="79">
        <v>45027.67769675926</v>
      </c>
      <c r="Q3549" s="77" t="s">
        <v>4755</v>
      </c>
      <c r="R3549" s="77">
        <v>0</v>
      </c>
      <c r="S3549" s="77">
        <v>0</v>
      </c>
      <c r="T3549" s="77">
        <v>0</v>
      </c>
      <c r="U3549" s="77">
        <v>0</v>
      </c>
      <c r="V3549" s="77">
        <v>56</v>
      </c>
      <c r="W3549" s="82" t="s">
        <v>6828</v>
      </c>
      <c r="X3549" s="80" t="str">
        <f>HYPERLINK("https://www.youtube.com/watch?v=0bZ3Ab35Ms0")</f>
        <v>https://www.youtube.com/watch?v=0bZ3Ab35Ms0</v>
      </c>
      <c r="Y3549" s="77" t="s">
        <v>7303</v>
      </c>
      <c r="Z3549" s="77"/>
      <c r="AA3549" s="77"/>
      <c r="AB3549" s="77"/>
      <c r="AC3549" s="82" t="s">
        <v>10157</v>
      </c>
      <c r="AD3549" s="77" t="s">
        <v>10184</v>
      </c>
      <c r="AE3549" s="80" t="str">
        <f>HYPERLINK("https://twitter.com/meusfii/status/1645822989403914246")</f>
        <v>https://twitter.com/meusfii/status/1645822989403914246</v>
      </c>
      <c r="AF3549" s="79">
        <v>45027.67769675926</v>
      </c>
      <c r="AG3549" s="85">
        <v>45027</v>
      </c>
      <c r="AH3549" s="82" t="s">
        <v>13539</v>
      </c>
      <c r="AI3549" s="77" t="b">
        <v>0</v>
      </c>
      <c r="AJ3549" s="77"/>
      <c r="AK3549" s="77"/>
      <c r="AL3549" s="77"/>
      <c r="AM3549" s="77"/>
      <c r="AN3549" s="77"/>
      <c r="AO3549" s="77"/>
      <c r="AP3549" s="77"/>
      <c r="AQ3549" s="77"/>
      <c r="AR3549" s="77"/>
      <c r="AS3549" s="77"/>
      <c r="AT3549" s="77"/>
      <c r="AU3549" s="77"/>
      <c r="AV3549" s="80" t="str">
        <f>HYPERLINK("https://pbs.twimg.com/profile_images/1130931586059448320/J8lXhG_K_normal.png")</f>
        <v>https://pbs.twimg.com/profile_images/1130931586059448320/J8lXhG_K_normal.png</v>
      </c>
      <c r="AW3549" s="82" t="s">
        <v>20315</v>
      </c>
      <c r="AX3549" s="82" t="s">
        <v>20315</v>
      </c>
      <c r="AY3549" s="77"/>
      <c r="AZ3549" s="82" t="s">
        <v>20971</v>
      </c>
      <c r="BA3549" s="82" t="s">
        <v>20971</v>
      </c>
      <c r="BB3549" s="82" t="s">
        <v>20971</v>
      </c>
      <c r="BC3549" s="82" t="s">
        <v>20315</v>
      </c>
      <c r="BD3549" s="82" t="s">
        <v>21634</v>
      </c>
      <c r="BE3549" s="77"/>
      <c r="BF3549" s="77"/>
      <c r="BG3549" s="77"/>
      <c r="BH3549" s="77"/>
      <c r="BI3549" s="77"/>
    </row>
    <row r="3550" spans="1:61" x14ac:dyDescent="0.25">
      <c r="A3550" s="62" t="s">
        <v>1053</v>
      </c>
      <c r="B3550" s="62" t="s">
        <v>1053</v>
      </c>
      <c r="C3550" s="63"/>
      <c r="D3550" s="64"/>
      <c r="E3550" s="65"/>
      <c r="F3550" s="66"/>
      <c r="G3550" s="63"/>
      <c r="H3550" s="67"/>
      <c r="I3550" s="68"/>
      <c r="J3550" s="68"/>
      <c r="K3550" s="32"/>
      <c r="L3550" s="75">
        <v>3550</v>
      </c>
      <c r="M3550" s="75"/>
      <c r="N3550" s="70"/>
      <c r="O3550" s="77" t="s">
        <v>179</v>
      </c>
      <c r="P3550" s="79">
        <v>45026.928229166668</v>
      </c>
      <c r="Q3550" s="77" t="s">
        <v>4756</v>
      </c>
      <c r="R3550" s="77">
        <v>0</v>
      </c>
      <c r="S3550" s="77">
        <v>2</v>
      </c>
      <c r="T3550" s="77">
        <v>0</v>
      </c>
      <c r="U3550" s="77">
        <v>0</v>
      </c>
      <c r="V3550" s="77">
        <v>208</v>
      </c>
      <c r="W3550" s="82" t="s">
        <v>6829</v>
      </c>
      <c r="X3550" s="80" t="str">
        <f>HYPERLINK("https://www.youtube.com/watch?v=MlQsOFoyMsg")</f>
        <v>https://www.youtube.com/watch?v=MlQsOFoyMsg</v>
      </c>
      <c r="Y3550" s="77" t="s">
        <v>7303</v>
      </c>
      <c r="Z3550" s="77"/>
      <c r="AA3550" s="77"/>
      <c r="AB3550" s="77"/>
      <c r="AC3550" s="82" t="s">
        <v>10157</v>
      </c>
      <c r="AD3550" s="77" t="s">
        <v>10187</v>
      </c>
      <c r="AE3550" s="80" t="str">
        <f>HYPERLINK("https://twitter.com/meusfii/status/1645551394156339205")</f>
        <v>https://twitter.com/meusfii/status/1645551394156339205</v>
      </c>
      <c r="AF3550" s="79">
        <v>45026.928229166668</v>
      </c>
      <c r="AG3550" s="85">
        <v>45026</v>
      </c>
      <c r="AH3550" s="82" t="s">
        <v>13540</v>
      </c>
      <c r="AI3550" s="77" t="b">
        <v>0</v>
      </c>
      <c r="AJ3550" s="77"/>
      <c r="AK3550" s="77"/>
      <c r="AL3550" s="77"/>
      <c r="AM3550" s="77"/>
      <c r="AN3550" s="77"/>
      <c r="AO3550" s="77"/>
      <c r="AP3550" s="77"/>
      <c r="AQ3550" s="77"/>
      <c r="AR3550" s="77"/>
      <c r="AS3550" s="77"/>
      <c r="AT3550" s="77"/>
      <c r="AU3550" s="77"/>
      <c r="AV3550" s="80" t="str">
        <f>HYPERLINK("https://pbs.twimg.com/profile_images/1130931586059448320/J8lXhG_K_normal.png")</f>
        <v>https://pbs.twimg.com/profile_images/1130931586059448320/J8lXhG_K_normal.png</v>
      </c>
      <c r="AW3550" s="82" t="s">
        <v>20316</v>
      </c>
      <c r="AX3550" s="82" t="s">
        <v>20316</v>
      </c>
      <c r="AY3550" s="77"/>
      <c r="AZ3550" s="82" t="s">
        <v>20971</v>
      </c>
      <c r="BA3550" s="82" t="s">
        <v>20971</v>
      </c>
      <c r="BB3550" s="82" t="s">
        <v>20971</v>
      </c>
      <c r="BC3550" s="82" t="s">
        <v>20316</v>
      </c>
      <c r="BD3550" s="82" t="s">
        <v>21634</v>
      </c>
      <c r="BE3550" s="77"/>
      <c r="BF3550" s="77"/>
      <c r="BG3550" s="77"/>
      <c r="BH3550" s="77"/>
      <c r="BI3550" s="77"/>
    </row>
    <row r="3551" spans="1:61" x14ac:dyDescent="0.25">
      <c r="A3551" s="62" t="s">
        <v>1053</v>
      </c>
      <c r="B3551" s="62" t="s">
        <v>1053</v>
      </c>
      <c r="C3551" s="63"/>
      <c r="D3551" s="64"/>
      <c r="E3551" s="65"/>
      <c r="F3551" s="66"/>
      <c r="G3551" s="63"/>
      <c r="H3551" s="67"/>
      <c r="I3551" s="68"/>
      <c r="J3551" s="68"/>
      <c r="K3551" s="32"/>
      <c r="L3551" s="75">
        <v>3551</v>
      </c>
      <c r="M3551" s="75"/>
      <c r="N3551" s="70"/>
      <c r="O3551" s="77" t="s">
        <v>179</v>
      </c>
      <c r="P3551" s="79">
        <v>45026.844444444447</v>
      </c>
      <c r="Q3551" s="77" t="s">
        <v>4757</v>
      </c>
      <c r="R3551" s="77">
        <v>0</v>
      </c>
      <c r="S3551" s="77">
        <v>0</v>
      </c>
      <c r="T3551" s="77">
        <v>0</v>
      </c>
      <c r="U3551" s="77">
        <v>0</v>
      </c>
      <c r="V3551" s="77">
        <v>157</v>
      </c>
      <c r="W3551" s="82" t="s">
        <v>6830</v>
      </c>
      <c r="X3551" s="80" t="str">
        <f>HYPERLINK("https://www.youtube.com/watch?v=RXbWPbgrrnM")</f>
        <v>https://www.youtube.com/watch?v=RXbWPbgrrnM</v>
      </c>
      <c r="Y3551" s="77" t="s">
        <v>7303</v>
      </c>
      <c r="Z3551" s="77"/>
      <c r="AA3551" s="77"/>
      <c r="AB3551" s="77"/>
      <c r="AC3551" s="82" t="s">
        <v>10157</v>
      </c>
      <c r="AD3551" s="77" t="s">
        <v>10184</v>
      </c>
      <c r="AE3551" s="80" t="str">
        <f>HYPERLINK("https://twitter.com/meusfii/status/1645521030167887912")</f>
        <v>https://twitter.com/meusfii/status/1645521030167887912</v>
      </c>
      <c r="AF3551" s="79">
        <v>45026.844444444447</v>
      </c>
      <c r="AG3551" s="85">
        <v>45026</v>
      </c>
      <c r="AH3551" s="82" t="s">
        <v>13541</v>
      </c>
      <c r="AI3551" s="77" t="b">
        <v>0</v>
      </c>
      <c r="AJ3551" s="77"/>
      <c r="AK3551" s="77"/>
      <c r="AL3551" s="77"/>
      <c r="AM3551" s="77"/>
      <c r="AN3551" s="77"/>
      <c r="AO3551" s="77"/>
      <c r="AP3551" s="77"/>
      <c r="AQ3551" s="77"/>
      <c r="AR3551" s="77"/>
      <c r="AS3551" s="77"/>
      <c r="AT3551" s="77"/>
      <c r="AU3551" s="77"/>
      <c r="AV3551" s="80" t="str">
        <f>HYPERLINK("https://pbs.twimg.com/profile_images/1130931586059448320/J8lXhG_K_normal.png")</f>
        <v>https://pbs.twimg.com/profile_images/1130931586059448320/J8lXhG_K_normal.png</v>
      </c>
      <c r="AW3551" s="82" t="s">
        <v>20317</v>
      </c>
      <c r="AX3551" s="82" t="s">
        <v>20317</v>
      </c>
      <c r="AY3551" s="77"/>
      <c r="AZ3551" s="82" t="s">
        <v>20971</v>
      </c>
      <c r="BA3551" s="82" t="s">
        <v>20971</v>
      </c>
      <c r="BB3551" s="82" t="s">
        <v>20971</v>
      </c>
      <c r="BC3551" s="82" t="s">
        <v>20317</v>
      </c>
      <c r="BD3551" s="82" t="s">
        <v>21634</v>
      </c>
      <c r="BE3551" s="77"/>
      <c r="BF3551" s="77"/>
      <c r="BG3551" s="77"/>
      <c r="BH3551" s="77"/>
      <c r="BI3551" s="77"/>
    </row>
    <row r="3552" spans="1:61" x14ac:dyDescent="0.25">
      <c r="A3552" s="62" t="s">
        <v>1053</v>
      </c>
      <c r="B3552" s="62" t="s">
        <v>1053</v>
      </c>
      <c r="C3552" s="63"/>
      <c r="D3552" s="64"/>
      <c r="E3552" s="65"/>
      <c r="F3552" s="66"/>
      <c r="G3552" s="63"/>
      <c r="H3552" s="67"/>
      <c r="I3552" s="68"/>
      <c r="J3552" s="68"/>
      <c r="K3552" s="32"/>
      <c r="L3552" s="75">
        <v>3552</v>
      </c>
      <c r="M3552" s="75"/>
      <c r="N3552" s="70"/>
      <c r="O3552" s="77" t="s">
        <v>179</v>
      </c>
      <c r="P3552" s="79">
        <v>45022.000567129631</v>
      </c>
      <c r="Q3552" s="77" t="s">
        <v>4758</v>
      </c>
      <c r="R3552" s="77">
        <v>0</v>
      </c>
      <c r="S3552" s="77">
        <v>0</v>
      </c>
      <c r="T3552" s="77">
        <v>0</v>
      </c>
      <c r="U3552" s="77">
        <v>0</v>
      </c>
      <c r="V3552" s="77">
        <v>88</v>
      </c>
      <c r="W3552" s="82" t="s">
        <v>6831</v>
      </c>
      <c r="X3552" s="80" t="str">
        <f>HYPERLINK("https://www.youtube.com/watch?v=Xu0rGpsQGmA")</f>
        <v>https://www.youtube.com/watch?v=Xu0rGpsQGmA</v>
      </c>
      <c r="Y3552" s="77" t="s">
        <v>7303</v>
      </c>
      <c r="Z3552" s="77"/>
      <c r="AA3552" s="77"/>
      <c r="AB3552" s="77"/>
      <c r="AC3552" s="82" t="s">
        <v>10157</v>
      </c>
      <c r="AD3552" s="77" t="s">
        <v>10184</v>
      </c>
      <c r="AE3552" s="80" t="str">
        <f>HYPERLINK("https://twitter.com/meusfii/status/1643765668553056257")</f>
        <v>https://twitter.com/meusfii/status/1643765668553056257</v>
      </c>
      <c r="AF3552" s="79">
        <v>45022.000567129631</v>
      </c>
      <c r="AG3552" s="85">
        <v>45022</v>
      </c>
      <c r="AH3552" s="82" t="s">
        <v>13542</v>
      </c>
      <c r="AI3552" s="77" t="b">
        <v>0</v>
      </c>
      <c r="AJ3552" s="77"/>
      <c r="AK3552" s="77"/>
      <c r="AL3552" s="77"/>
      <c r="AM3552" s="77"/>
      <c r="AN3552" s="77"/>
      <c r="AO3552" s="77"/>
      <c r="AP3552" s="77"/>
      <c r="AQ3552" s="77"/>
      <c r="AR3552" s="77"/>
      <c r="AS3552" s="77"/>
      <c r="AT3552" s="77"/>
      <c r="AU3552" s="77"/>
      <c r="AV3552" s="80" t="str">
        <f>HYPERLINK("https://pbs.twimg.com/profile_images/1130931586059448320/J8lXhG_K_normal.png")</f>
        <v>https://pbs.twimg.com/profile_images/1130931586059448320/J8lXhG_K_normal.png</v>
      </c>
      <c r="AW3552" s="82" t="s">
        <v>20318</v>
      </c>
      <c r="AX3552" s="82" t="s">
        <v>20318</v>
      </c>
      <c r="AY3552" s="77"/>
      <c r="AZ3552" s="82" t="s">
        <v>20971</v>
      </c>
      <c r="BA3552" s="82" t="s">
        <v>20971</v>
      </c>
      <c r="BB3552" s="82" t="s">
        <v>20971</v>
      </c>
      <c r="BC3552" s="82" t="s">
        <v>20318</v>
      </c>
      <c r="BD3552" s="82" t="s">
        <v>21634</v>
      </c>
      <c r="BE3552" s="77"/>
      <c r="BF3552" s="77"/>
      <c r="BG3552" s="77"/>
      <c r="BH3552" s="77"/>
      <c r="BI3552" s="77"/>
    </row>
    <row r="3553" spans="1:61" x14ac:dyDescent="0.25">
      <c r="A3553" s="62" t="s">
        <v>1053</v>
      </c>
      <c r="B3553" s="62" t="s">
        <v>1053</v>
      </c>
      <c r="C3553" s="63"/>
      <c r="D3553" s="64"/>
      <c r="E3553" s="65"/>
      <c r="F3553" s="66"/>
      <c r="G3553" s="63"/>
      <c r="H3553" s="67"/>
      <c r="I3553" s="68"/>
      <c r="J3553" s="68"/>
      <c r="K3553" s="32"/>
      <c r="L3553" s="75">
        <v>3553</v>
      </c>
      <c r="M3553" s="75"/>
      <c r="N3553" s="70"/>
      <c r="O3553" s="77" t="s">
        <v>179</v>
      </c>
      <c r="P3553" s="79">
        <v>45030.76048611111</v>
      </c>
      <c r="Q3553" s="77" t="s">
        <v>4759</v>
      </c>
      <c r="R3553" s="77">
        <v>0</v>
      </c>
      <c r="S3553" s="77">
        <v>0</v>
      </c>
      <c r="T3553" s="77">
        <v>0</v>
      </c>
      <c r="U3553" s="77">
        <v>0</v>
      </c>
      <c r="V3553" s="77">
        <v>45</v>
      </c>
      <c r="W3553" s="82" t="s">
        <v>6832</v>
      </c>
      <c r="X3553" s="80" t="str">
        <f>HYPERLINK("https://www.youtube.com/watch?v=TJQMgCuT8A0")</f>
        <v>https://www.youtube.com/watch?v=TJQMgCuT8A0</v>
      </c>
      <c r="Y3553" s="77" t="s">
        <v>7303</v>
      </c>
      <c r="Z3553" s="77"/>
      <c r="AA3553" s="77"/>
      <c r="AB3553" s="77"/>
      <c r="AC3553" s="82" t="s">
        <v>10157</v>
      </c>
      <c r="AD3553" s="77" t="s">
        <v>10184</v>
      </c>
      <c r="AE3553" s="80" t="str">
        <f>HYPERLINK("https://twitter.com/meusfii/status/1646940156597772294")</f>
        <v>https://twitter.com/meusfii/status/1646940156597772294</v>
      </c>
      <c r="AF3553" s="79">
        <v>45030.76048611111</v>
      </c>
      <c r="AG3553" s="85">
        <v>45030</v>
      </c>
      <c r="AH3553" s="82" t="s">
        <v>13543</v>
      </c>
      <c r="AI3553" s="77" t="b">
        <v>0</v>
      </c>
      <c r="AJ3553" s="77"/>
      <c r="AK3553" s="77"/>
      <c r="AL3553" s="77"/>
      <c r="AM3553" s="77"/>
      <c r="AN3553" s="77"/>
      <c r="AO3553" s="77"/>
      <c r="AP3553" s="77"/>
      <c r="AQ3553" s="77"/>
      <c r="AR3553" s="77"/>
      <c r="AS3553" s="77"/>
      <c r="AT3553" s="77"/>
      <c r="AU3553" s="77"/>
      <c r="AV3553" s="80" t="str">
        <f>HYPERLINK("https://pbs.twimg.com/profile_images/1130931586059448320/J8lXhG_K_normal.png")</f>
        <v>https://pbs.twimg.com/profile_images/1130931586059448320/J8lXhG_K_normal.png</v>
      </c>
      <c r="AW3553" s="82" t="s">
        <v>20319</v>
      </c>
      <c r="AX3553" s="82" t="s">
        <v>20319</v>
      </c>
      <c r="AY3553" s="77"/>
      <c r="AZ3553" s="82" t="s">
        <v>20971</v>
      </c>
      <c r="BA3553" s="82" t="s">
        <v>20971</v>
      </c>
      <c r="BB3553" s="82" t="s">
        <v>20971</v>
      </c>
      <c r="BC3553" s="82" t="s">
        <v>20319</v>
      </c>
      <c r="BD3553" s="82" t="s">
        <v>21634</v>
      </c>
      <c r="BE3553" s="77"/>
      <c r="BF3553" s="77"/>
      <c r="BG3553" s="77"/>
      <c r="BH3553" s="77"/>
      <c r="BI3553" s="77"/>
    </row>
    <row r="3554" spans="1:61" x14ac:dyDescent="0.25">
      <c r="A3554" s="62" t="s">
        <v>1053</v>
      </c>
      <c r="B3554" s="62" t="s">
        <v>1053</v>
      </c>
      <c r="C3554" s="63"/>
      <c r="D3554" s="64"/>
      <c r="E3554" s="65"/>
      <c r="F3554" s="66"/>
      <c r="G3554" s="63"/>
      <c r="H3554" s="67"/>
      <c r="I3554" s="68"/>
      <c r="J3554" s="68"/>
      <c r="K3554" s="32"/>
      <c r="L3554" s="75">
        <v>3554</v>
      </c>
      <c r="M3554" s="75"/>
      <c r="N3554" s="70"/>
      <c r="O3554" s="77" t="s">
        <v>179</v>
      </c>
      <c r="P3554" s="79">
        <v>45029.885671296295</v>
      </c>
      <c r="Q3554" s="77" t="s">
        <v>4760</v>
      </c>
      <c r="R3554" s="77">
        <v>0</v>
      </c>
      <c r="S3554" s="77">
        <v>0</v>
      </c>
      <c r="T3554" s="77">
        <v>0</v>
      </c>
      <c r="U3554" s="77">
        <v>0</v>
      </c>
      <c r="V3554" s="77">
        <v>59</v>
      </c>
      <c r="W3554" s="82" t="s">
        <v>6833</v>
      </c>
      <c r="X3554" s="80" t="str">
        <f>HYPERLINK("https://www.youtube.com/watch?v=z8NpJexhgc8")</f>
        <v>https://www.youtube.com/watch?v=z8NpJexhgc8</v>
      </c>
      <c r="Y3554" s="77" t="s">
        <v>7303</v>
      </c>
      <c r="Z3554" s="77"/>
      <c r="AA3554" s="77"/>
      <c r="AB3554" s="77"/>
      <c r="AC3554" s="82" t="s">
        <v>10157</v>
      </c>
      <c r="AD3554" s="77" t="s">
        <v>10184</v>
      </c>
      <c r="AE3554" s="80" t="str">
        <f>HYPERLINK("https://twitter.com/meusfii/status/1646623133632192512")</f>
        <v>https://twitter.com/meusfii/status/1646623133632192512</v>
      </c>
      <c r="AF3554" s="79">
        <v>45029.885671296295</v>
      </c>
      <c r="AG3554" s="85">
        <v>45029</v>
      </c>
      <c r="AH3554" s="82" t="s">
        <v>13544</v>
      </c>
      <c r="AI3554" s="77" t="b">
        <v>0</v>
      </c>
      <c r="AJ3554" s="77"/>
      <c r="AK3554" s="77"/>
      <c r="AL3554" s="77"/>
      <c r="AM3554" s="77"/>
      <c r="AN3554" s="77"/>
      <c r="AO3554" s="77"/>
      <c r="AP3554" s="77"/>
      <c r="AQ3554" s="77"/>
      <c r="AR3554" s="77"/>
      <c r="AS3554" s="77"/>
      <c r="AT3554" s="77"/>
      <c r="AU3554" s="77"/>
      <c r="AV3554" s="80" t="str">
        <f>HYPERLINK("https://pbs.twimg.com/profile_images/1130931586059448320/J8lXhG_K_normal.png")</f>
        <v>https://pbs.twimg.com/profile_images/1130931586059448320/J8lXhG_K_normal.png</v>
      </c>
      <c r="AW3554" s="82" t="s">
        <v>20320</v>
      </c>
      <c r="AX3554" s="82" t="s">
        <v>20320</v>
      </c>
      <c r="AY3554" s="77"/>
      <c r="AZ3554" s="82" t="s">
        <v>20971</v>
      </c>
      <c r="BA3554" s="82" t="s">
        <v>20971</v>
      </c>
      <c r="BB3554" s="82" t="s">
        <v>20971</v>
      </c>
      <c r="BC3554" s="82" t="s">
        <v>20320</v>
      </c>
      <c r="BD3554" s="82" t="s">
        <v>21634</v>
      </c>
      <c r="BE3554" s="77"/>
      <c r="BF3554" s="77"/>
      <c r="BG3554" s="77"/>
      <c r="BH3554" s="77"/>
      <c r="BI3554" s="77"/>
    </row>
    <row r="3555" spans="1:61" x14ac:dyDescent="0.25">
      <c r="A3555" s="62" t="s">
        <v>1053</v>
      </c>
      <c r="B3555" s="62" t="s">
        <v>1053</v>
      </c>
      <c r="C3555" s="63"/>
      <c r="D3555" s="64"/>
      <c r="E3555" s="65"/>
      <c r="F3555" s="66"/>
      <c r="G3555" s="63"/>
      <c r="H3555" s="67"/>
      <c r="I3555" s="68"/>
      <c r="J3555" s="68"/>
      <c r="K3555" s="32"/>
      <c r="L3555" s="75">
        <v>3555</v>
      </c>
      <c r="M3555" s="75"/>
      <c r="N3555" s="70"/>
      <c r="O3555" s="77" t="s">
        <v>179</v>
      </c>
      <c r="P3555" s="79">
        <v>45028.928854166668</v>
      </c>
      <c r="Q3555" s="77" t="s">
        <v>4761</v>
      </c>
      <c r="R3555" s="77">
        <v>0</v>
      </c>
      <c r="S3555" s="77">
        <v>0</v>
      </c>
      <c r="T3555" s="77">
        <v>0</v>
      </c>
      <c r="U3555" s="77">
        <v>0</v>
      </c>
      <c r="V3555" s="77">
        <v>75</v>
      </c>
      <c r="W3555" s="82" t="s">
        <v>6834</v>
      </c>
      <c r="X3555" s="80" t="str">
        <f>HYPERLINK("https://www.youtube.com/watch?v=b0sRxiVyjK0")</f>
        <v>https://www.youtube.com/watch?v=b0sRxiVyjK0</v>
      </c>
      <c r="Y3555" s="77" t="s">
        <v>7303</v>
      </c>
      <c r="Z3555" s="77"/>
      <c r="AA3555" s="77"/>
      <c r="AB3555" s="77"/>
      <c r="AC3555" s="82" t="s">
        <v>10157</v>
      </c>
      <c r="AD3555" s="77" t="s">
        <v>10184</v>
      </c>
      <c r="AE3555" s="80" t="str">
        <f>HYPERLINK("https://twitter.com/meusfii/status/1646276393733443586")</f>
        <v>https://twitter.com/meusfii/status/1646276393733443586</v>
      </c>
      <c r="AF3555" s="79">
        <v>45028.928854166668</v>
      </c>
      <c r="AG3555" s="85">
        <v>45028</v>
      </c>
      <c r="AH3555" s="82" t="s">
        <v>13545</v>
      </c>
      <c r="AI3555" s="77" t="b">
        <v>0</v>
      </c>
      <c r="AJ3555" s="77"/>
      <c r="AK3555" s="77"/>
      <c r="AL3555" s="77"/>
      <c r="AM3555" s="77"/>
      <c r="AN3555" s="77"/>
      <c r="AO3555" s="77"/>
      <c r="AP3555" s="77"/>
      <c r="AQ3555" s="77"/>
      <c r="AR3555" s="77"/>
      <c r="AS3555" s="77"/>
      <c r="AT3555" s="77"/>
      <c r="AU3555" s="77"/>
      <c r="AV3555" s="80" t="str">
        <f>HYPERLINK("https://pbs.twimg.com/profile_images/1130931586059448320/J8lXhG_K_normal.png")</f>
        <v>https://pbs.twimg.com/profile_images/1130931586059448320/J8lXhG_K_normal.png</v>
      </c>
      <c r="AW3555" s="82" t="s">
        <v>20321</v>
      </c>
      <c r="AX3555" s="82" t="s">
        <v>20321</v>
      </c>
      <c r="AY3555" s="77"/>
      <c r="AZ3555" s="82" t="s">
        <v>20971</v>
      </c>
      <c r="BA3555" s="82" t="s">
        <v>20971</v>
      </c>
      <c r="BB3555" s="82" t="s">
        <v>20971</v>
      </c>
      <c r="BC3555" s="82" t="s">
        <v>20321</v>
      </c>
      <c r="BD3555" s="82" t="s">
        <v>21634</v>
      </c>
      <c r="BE3555" s="77"/>
      <c r="BF3555" s="77"/>
      <c r="BG3555" s="77"/>
      <c r="BH3555" s="77"/>
      <c r="BI3555" s="77"/>
    </row>
    <row r="3556" spans="1:61" x14ac:dyDescent="0.25">
      <c r="A3556" s="62" t="s">
        <v>1053</v>
      </c>
      <c r="B3556" s="62" t="s">
        <v>1053</v>
      </c>
      <c r="C3556" s="63"/>
      <c r="D3556" s="64"/>
      <c r="E3556" s="65"/>
      <c r="F3556" s="66"/>
      <c r="G3556" s="63"/>
      <c r="H3556" s="67"/>
      <c r="I3556" s="68"/>
      <c r="J3556" s="68"/>
      <c r="K3556" s="32"/>
      <c r="L3556" s="75">
        <v>3556</v>
      </c>
      <c r="M3556" s="75"/>
      <c r="N3556" s="70"/>
      <c r="O3556" s="77" t="s">
        <v>179</v>
      </c>
      <c r="P3556" s="79">
        <v>45003.593807870369</v>
      </c>
      <c r="Q3556" s="77" t="s">
        <v>4762</v>
      </c>
      <c r="R3556" s="77">
        <v>0</v>
      </c>
      <c r="S3556" s="77">
        <v>0</v>
      </c>
      <c r="T3556" s="77">
        <v>0</v>
      </c>
      <c r="U3556" s="77">
        <v>0</v>
      </c>
      <c r="V3556" s="77">
        <v>64</v>
      </c>
      <c r="W3556" s="82" t="s">
        <v>6835</v>
      </c>
      <c r="X3556" s="80" t="str">
        <f>HYPERLINK("https://www.youtube.com/watch?v=hzAnuOaWsso")</f>
        <v>https://www.youtube.com/watch?v=hzAnuOaWsso</v>
      </c>
      <c r="Y3556" s="77" t="s">
        <v>7303</v>
      </c>
      <c r="Z3556" s="77"/>
      <c r="AA3556" s="77"/>
      <c r="AB3556" s="77"/>
      <c r="AC3556" s="82" t="s">
        <v>10157</v>
      </c>
      <c r="AD3556" s="77" t="s">
        <v>10184</v>
      </c>
      <c r="AE3556" s="80" t="str">
        <f>HYPERLINK("https://twitter.com/meusfii/status/1637095282646056960")</f>
        <v>https://twitter.com/meusfii/status/1637095282646056960</v>
      </c>
      <c r="AF3556" s="79">
        <v>45003.593807870369</v>
      </c>
      <c r="AG3556" s="85">
        <v>45003</v>
      </c>
      <c r="AH3556" s="82" t="s">
        <v>13546</v>
      </c>
      <c r="AI3556" s="77" t="b">
        <v>0</v>
      </c>
      <c r="AJ3556" s="77"/>
      <c r="AK3556" s="77"/>
      <c r="AL3556" s="77"/>
      <c r="AM3556" s="77"/>
      <c r="AN3556" s="77"/>
      <c r="AO3556" s="77"/>
      <c r="AP3556" s="77"/>
      <c r="AQ3556" s="77"/>
      <c r="AR3556" s="77"/>
      <c r="AS3556" s="77"/>
      <c r="AT3556" s="77"/>
      <c r="AU3556" s="77"/>
      <c r="AV3556" s="80" t="str">
        <f>HYPERLINK("https://pbs.twimg.com/profile_images/1130931586059448320/J8lXhG_K_normal.png")</f>
        <v>https://pbs.twimg.com/profile_images/1130931586059448320/J8lXhG_K_normal.png</v>
      </c>
      <c r="AW3556" s="82" t="s">
        <v>20322</v>
      </c>
      <c r="AX3556" s="82" t="s">
        <v>20322</v>
      </c>
      <c r="AY3556" s="77"/>
      <c r="AZ3556" s="82" t="s">
        <v>20971</v>
      </c>
      <c r="BA3556" s="82" t="s">
        <v>20971</v>
      </c>
      <c r="BB3556" s="82" t="s">
        <v>20971</v>
      </c>
      <c r="BC3556" s="82" t="s">
        <v>20322</v>
      </c>
      <c r="BD3556" s="82" t="s">
        <v>21634</v>
      </c>
      <c r="BE3556" s="77"/>
      <c r="BF3556" s="77"/>
      <c r="BG3556" s="77"/>
      <c r="BH3556" s="77"/>
      <c r="BI3556" s="77"/>
    </row>
    <row r="3557" spans="1:61" x14ac:dyDescent="0.25">
      <c r="A3557" s="62" t="s">
        <v>1053</v>
      </c>
      <c r="B3557" s="62" t="s">
        <v>1053</v>
      </c>
      <c r="C3557" s="63"/>
      <c r="D3557" s="64"/>
      <c r="E3557" s="65"/>
      <c r="F3557" s="66"/>
      <c r="G3557" s="63"/>
      <c r="H3557" s="67"/>
      <c r="I3557" s="68"/>
      <c r="J3557" s="68"/>
      <c r="K3557" s="32"/>
      <c r="L3557" s="75">
        <v>3557</v>
      </c>
      <c r="M3557" s="75"/>
      <c r="N3557" s="70"/>
      <c r="O3557" s="77" t="s">
        <v>179</v>
      </c>
      <c r="P3557" s="79">
        <v>45042.719571759262</v>
      </c>
      <c r="Q3557" s="77" t="s">
        <v>4763</v>
      </c>
      <c r="R3557" s="77">
        <v>0</v>
      </c>
      <c r="S3557" s="77">
        <v>1</v>
      </c>
      <c r="T3557" s="77">
        <v>0</v>
      </c>
      <c r="U3557" s="77">
        <v>0</v>
      </c>
      <c r="V3557" s="77">
        <v>49</v>
      </c>
      <c r="W3557" s="82" t="s">
        <v>6836</v>
      </c>
      <c r="X3557" s="80" t="str">
        <f>HYPERLINK("https://www.youtube.com/watch?v=lvPb0AK8eY4")</f>
        <v>https://www.youtube.com/watch?v=lvPb0AK8eY4</v>
      </c>
      <c r="Y3557" s="77" t="s">
        <v>7303</v>
      </c>
      <c r="Z3557" s="77"/>
      <c r="AA3557" s="77"/>
      <c r="AB3557" s="77"/>
      <c r="AC3557" s="82" t="s">
        <v>10157</v>
      </c>
      <c r="AD3557" s="77" t="s">
        <v>10187</v>
      </c>
      <c r="AE3557" s="80" t="str">
        <f>HYPERLINK("https://twitter.com/meusfii/status/1651273984644878337")</f>
        <v>https://twitter.com/meusfii/status/1651273984644878337</v>
      </c>
      <c r="AF3557" s="79">
        <v>45042.719571759262</v>
      </c>
      <c r="AG3557" s="85">
        <v>45042</v>
      </c>
      <c r="AH3557" s="82" t="s">
        <v>13547</v>
      </c>
      <c r="AI3557" s="77" t="b">
        <v>0</v>
      </c>
      <c r="AJ3557" s="77"/>
      <c r="AK3557" s="77"/>
      <c r="AL3557" s="77"/>
      <c r="AM3557" s="77"/>
      <c r="AN3557" s="77"/>
      <c r="AO3557" s="77"/>
      <c r="AP3557" s="77"/>
      <c r="AQ3557" s="77"/>
      <c r="AR3557" s="77"/>
      <c r="AS3557" s="77"/>
      <c r="AT3557" s="77"/>
      <c r="AU3557" s="77"/>
      <c r="AV3557" s="80" t="str">
        <f>HYPERLINK("https://pbs.twimg.com/profile_images/1130931586059448320/J8lXhG_K_normal.png")</f>
        <v>https://pbs.twimg.com/profile_images/1130931586059448320/J8lXhG_K_normal.png</v>
      </c>
      <c r="AW3557" s="82" t="s">
        <v>20323</v>
      </c>
      <c r="AX3557" s="82" t="s">
        <v>20323</v>
      </c>
      <c r="AY3557" s="77"/>
      <c r="AZ3557" s="82" t="s">
        <v>20971</v>
      </c>
      <c r="BA3557" s="82" t="s">
        <v>20971</v>
      </c>
      <c r="BB3557" s="82" t="s">
        <v>20971</v>
      </c>
      <c r="BC3557" s="82" t="s">
        <v>20323</v>
      </c>
      <c r="BD3557" s="82" t="s">
        <v>21634</v>
      </c>
      <c r="BE3557" s="77"/>
      <c r="BF3557" s="77"/>
      <c r="BG3557" s="77"/>
      <c r="BH3557" s="77"/>
      <c r="BI3557" s="77"/>
    </row>
    <row r="3558" spans="1:61" x14ac:dyDescent="0.25">
      <c r="A3558" s="62" t="s">
        <v>1053</v>
      </c>
      <c r="B3558" s="62" t="s">
        <v>1053</v>
      </c>
      <c r="C3558" s="63"/>
      <c r="D3558" s="64"/>
      <c r="E3558" s="65"/>
      <c r="F3558" s="66"/>
      <c r="G3558" s="63"/>
      <c r="H3558" s="67"/>
      <c r="I3558" s="68"/>
      <c r="J3558" s="68"/>
      <c r="K3558" s="32"/>
      <c r="L3558" s="75">
        <v>3558</v>
      </c>
      <c r="M3558" s="75"/>
      <c r="N3558" s="70"/>
      <c r="O3558" s="77" t="s">
        <v>179</v>
      </c>
      <c r="P3558" s="79">
        <v>45041.803171296298</v>
      </c>
      <c r="Q3558" s="77" t="s">
        <v>4764</v>
      </c>
      <c r="R3558" s="77">
        <v>0</v>
      </c>
      <c r="S3558" s="77">
        <v>1</v>
      </c>
      <c r="T3558" s="77">
        <v>0</v>
      </c>
      <c r="U3558" s="77">
        <v>0</v>
      </c>
      <c r="V3558" s="77">
        <v>59</v>
      </c>
      <c r="W3558" s="82" t="s">
        <v>6837</v>
      </c>
      <c r="X3558" s="80" t="str">
        <f>HYPERLINK("https://www.youtube.com/watch?v=_SXgGJWE2Tc")</f>
        <v>https://www.youtube.com/watch?v=_SXgGJWE2Tc</v>
      </c>
      <c r="Y3558" s="77" t="s">
        <v>7303</v>
      </c>
      <c r="Z3558" s="77"/>
      <c r="AA3558" s="77"/>
      <c r="AB3558" s="77"/>
      <c r="AC3558" s="82" t="s">
        <v>10157</v>
      </c>
      <c r="AD3558" s="77" t="s">
        <v>10184</v>
      </c>
      <c r="AE3558" s="80" t="str">
        <f>HYPERLINK("https://twitter.com/meusfii/status/1650941890798182400")</f>
        <v>https://twitter.com/meusfii/status/1650941890798182400</v>
      </c>
      <c r="AF3558" s="79">
        <v>45041.803171296298</v>
      </c>
      <c r="AG3558" s="85">
        <v>45041</v>
      </c>
      <c r="AH3558" s="82" t="s">
        <v>13548</v>
      </c>
      <c r="AI3558" s="77" t="b">
        <v>0</v>
      </c>
      <c r="AJ3558" s="77"/>
      <c r="AK3558" s="77"/>
      <c r="AL3558" s="77"/>
      <c r="AM3558" s="77"/>
      <c r="AN3558" s="77"/>
      <c r="AO3558" s="77"/>
      <c r="AP3558" s="77"/>
      <c r="AQ3558" s="77"/>
      <c r="AR3558" s="77"/>
      <c r="AS3558" s="77"/>
      <c r="AT3558" s="77"/>
      <c r="AU3558" s="77"/>
      <c r="AV3558" s="80" t="str">
        <f>HYPERLINK("https://pbs.twimg.com/profile_images/1130931586059448320/J8lXhG_K_normal.png")</f>
        <v>https://pbs.twimg.com/profile_images/1130931586059448320/J8lXhG_K_normal.png</v>
      </c>
      <c r="AW3558" s="82" t="s">
        <v>20324</v>
      </c>
      <c r="AX3558" s="82" t="s">
        <v>20324</v>
      </c>
      <c r="AY3558" s="77"/>
      <c r="AZ3558" s="82" t="s">
        <v>20971</v>
      </c>
      <c r="BA3558" s="82" t="s">
        <v>20971</v>
      </c>
      <c r="BB3558" s="82" t="s">
        <v>20971</v>
      </c>
      <c r="BC3558" s="82" t="s">
        <v>20324</v>
      </c>
      <c r="BD3558" s="82" t="s">
        <v>21634</v>
      </c>
      <c r="BE3558" s="77"/>
      <c r="BF3558" s="77"/>
      <c r="BG3558" s="77"/>
      <c r="BH3558" s="77"/>
      <c r="BI3558" s="77"/>
    </row>
    <row r="3559" spans="1:61" x14ac:dyDescent="0.25">
      <c r="A3559" s="62" t="s">
        <v>1053</v>
      </c>
      <c r="B3559" s="62" t="s">
        <v>1053</v>
      </c>
      <c r="C3559" s="63"/>
      <c r="D3559" s="64"/>
      <c r="E3559" s="65"/>
      <c r="F3559" s="66"/>
      <c r="G3559" s="63"/>
      <c r="H3559" s="67"/>
      <c r="I3559" s="68"/>
      <c r="J3559" s="68"/>
      <c r="K3559" s="32"/>
      <c r="L3559" s="75">
        <v>3559</v>
      </c>
      <c r="M3559" s="75"/>
      <c r="N3559" s="70"/>
      <c r="O3559" s="77" t="s">
        <v>179</v>
      </c>
      <c r="P3559" s="79">
        <v>45012.969340277778</v>
      </c>
      <c r="Q3559" s="77" t="s">
        <v>4765</v>
      </c>
      <c r="R3559" s="77">
        <v>0</v>
      </c>
      <c r="S3559" s="77">
        <v>1</v>
      </c>
      <c r="T3559" s="77">
        <v>0</v>
      </c>
      <c r="U3559" s="77">
        <v>0</v>
      </c>
      <c r="V3559" s="77">
        <v>286</v>
      </c>
      <c r="W3559" s="82" t="s">
        <v>6838</v>
      </c>
      <c r="X3559" s="80" t="str">
        <f>HYPERLINK("https://www.youtube.com/watch?v=5FCKBjnPlcU")</f>
        <v>https://www.youtube.com/watch?v=5FCKBjnPlcU</v>
      </c>
      <c r="Y3559" s="77" t="s">
        <v>7303</v>
      </c>
      <c r="Z3559" s="77"/>
      <c r="AA3559" s="77"/>
      <c r="AB3559" s="77"/>
      <c r="AC3559" s="82" t="s">
        <v>10157</v>
      </c>
      <c r="AD3559" s="77" t="s">
        <v>10184</v>
      </c>
      <c r="AE3559" s="80" t="str">
        <f>HYPERLINK("https://twitter.com/meusfii/status/1640492858632200193")</f>
        <v>https://twitter.com/meusfii/status/1640492858632200193</v>
      </c>
      <c r="AF3559" s="79">
        <v>45012.969340277778</v>
      </c>
      <c r="AG3559" s="85">
        <v>45012</v>
      </c>
      <c r="AH3559" s="82" t="s">
        <v>13549</v>
      </c>
      <c r="AI3559" s="77" t="b">
        <v>0</v>
      </c>
      <c r="AJ3559" s="77"/>
      <c r="AK3559" s="77"/>
      <c r="AL3559" s="77"/>
      <c r="AM3559" s="77"/>
      <c r="AN3559" s="77"/>
      <c r="AO3559" s="77"/>
      <c r="AP3559" s="77"/>
      <c r="AQ3559" s="77"/>
      <c r="AR3559" s="77"/>
      <c r="AS3559" s="77"/>
      <c r="AT3559" s="77"/>
      <c r="AU3559" s="77"/>
      <c r="AV3559" s="80" t="str">
        <f>HYPERLINK("https://pbs.twimg.com/profile_images/1130931586059448320/J8lXhG_K_normal.png")</f>
        <v>https://pbs.twimg.com/profile_images/1130931586059448320/J8lXhG_K_normal.png</v>
      </c>
      <c r="AW3559" s="82" t="s">
        <v>20325</v>
      </c>
      <c r="AX3559" s="82" t="s">
        <v>20325</v>
      </c>
      <c r="AY3559" s="77"/>
      <c r="AZ3559" s="82" t="s">
        <v>20971</v>
      </c>
      <c r="BA3559" s="82" t="s">
        <v>20971</v>
      </c>
      <c r="BB3559" s="82" t="s">
        <v>20971</v>
      </c>
      <c r="BC3559" s="82" t="s">
        <v>20325</v>
      </c>
      <c r="BD3559" s="82" t="s">
        <v>21634</v>
      </c>
      <c r="BE3559" s="77"/>
      <c r="BF3559" s="77"/>
      <c r="BG3559" s="77"/>
      <c r="BH3559" s="77"/>
      <c r="BI3559" s="77"/>
    </row>
    <row r="3560" spans="1:61" x14ac:dyDescent="0.25">
      <c r="A3560" s="62" t="s">
        <v>1053</v>
      </c>
      <c r="B3560" s="62" t="s">
        <v>1053</v>
      </c>
      <c r="C3560" s="63"/>
      <c r="D3560" s="64"/>
      <c r="E3560" s="65"/>
      <c r="F3560" s="66"/>
      <c r="G3560" s="63"/>
      <c r="H3560" s="67"/>
      <c r="I3560" s="68"/>
      <c r="J3560" s="68"/>
      <c r="K3560" s="32"/>
      <c r="L3560" s="75">
        <v>3560</v>
      </c>
      <c r="M3560" s="75"/>
      <c r="N3560" s="70"/>
      <c r="O3560" s="77" t="s">
        <v>179</v>
      </c>
      <c r="P3560" s="79">
        <v>45012.885798611111</v>
      </c>
      <c r="Q3560" s="77" t="s">
        <v>4766</v>
      </c>
      <c r="R3560" s="77">
        <v>0</v>
      </c>
      <c r="S3560" s="77">
        <v>1</v>
      </c>
      <c r="T3560" s="77">
        <v>0</v>
      </c>
      <c r="U3560" s="77">
        <v>0</v>
      </c>
      <c r="V3560" s="77">
        <v>312</v>
      </c>
      <c r="W3560" s="82" t="s">
        <v>6839</v>
      </c>
      <c r="X3560" s="80" t="str">
        <f>HYPERLINK("https://www.youtube.com/watch?v=Mc8TyFk_cP8")</f>
        <v>https://www.youtube.com/watch?v=Mc8TyFk_cP8</v>
      </c>
      <c r="Y3560" s="77" t="s">
        <v>7303</v>
      </c>
      <c r="Z3560" s="77"/>
      <c r="AA3560" s="77"/>
      <c r="AB3560" s="77"/>
      <c r="AC3560" s="82" t="s">
        <v>10157</v>
      </c>
      <c r="AD3560" s="77" t="s">
        <v>10184</v>
      </c>
      <c r="AE3560" s="80" t="str">
        <f>HYPERLINK("https://twitter.com/meusfii/status/1640462586280914946")</f>
        <v>https://twitter.com/meusfii/status/1640462586280914946</v>
      </c>
      <c r="AF3560" s="79">
        <v>45012.885798611111</v>
      </c>
      <c r="AG3560" s="85">
        <v>45012</v>
      </c>
      <c r="AH3560" s="82" t="s">
        <v>13550</v>
      </c>
      <c r="AI3560" s="77" t="b">
        <v>0</v>
      </c>
      <c r="AJ3560" s="77"/>
      <c r="AK3560" s="77"/>
      <c r="AL3560" s="77"/>
      <c r="AM3560" s="77"/>
      <c r="AN3560" s="77"/>
      <c r="AO3560" s="77"/>
      <c r="AP3560" s="77"/>
      <c r="AQ3560" s="77"/>
      <c r="AR3560" s="77"/>
      <c r="AS3560" s="77"/>
      <c r="AT3560" s="77"/>
      <c r="AU3560" s="77"/>
      <c r="AV3560" s="80" t="str">
        <f>HYPERLINK("https://pbs.twimg.com/profile_images/1130931586059448320/J8lXhG_K_normal.png")</f>
        <v>https://pbs.twimg.com/profile_images/1130931586059448320/J8lXhG_K_normal.png</v>
      </c>
      <c r="AW3560" s="82" t="s">
        <v>20326</v>
      </c>
      <c r="AX3560" s="82" t="s">
        <v>20326</v>
      </c>
      <c r="AY3560" s="77"/>
      <c r="AZ3560" s="82" t="s">
        <v>20971</v>
      </c>
      <c r="BA3560" s="82" t="s">
        <v>20971</v>
      </c>
      <c r="BB3560" s="82" t="s">
        <v>20971</v>
      </c>
      <c r="BC3560" s="82" t="s">
        <v>20326</v>
      </c>
      <c r="BD3560" s="82" t="s">
        <v>21634</v>
      </c>
      <c r="BE3560" s="77"/>
      <c r="BF3560" s="77"/>
      <c r="BG3560" s="77"/>
      <c r="BH3560" s="77"/>
      <c r="BI3560" s="77"/>
    </row>
    <row r="3561" spans="1:61" x14ac:dyDescent="0.25">
      <c r="A3561" s="62" t="s">
        <v>1053</v>
      </c>
      <c r="B3561" s="62" t="s">
        <v>1053</v>
      </c>
      <c r="C3561" s="63"/>
      <c r="D3561" s="64"/>
      <c r="E3561" s="65"/>
      <c r="F3561" s="66"/>
      <c r="G3561" s="63"/>
      <c r="H3561" s="67"/>
      <c r="I3561" s="68"/>
      <c r="J3561" s="68"/>
      <c r="K3561" s="32"/>
      <c r="L3561" s="75">
        <v>3561</v>
      </c>
      <c r="M3561" s="75"/>
      <c r="N3561" s="70"/>
      <c r="O3561" s="77" t="s">
        <v>179</v>
      </c>
      <c r="P3561" s="79">
        <v>45012.885787037034</v>
      </c>
      <c r="Q3561" s="77" t="s">
        <v>4767</v>
      </c>
      <c r="R3561" s="77">
        <v>0</v>
      </c>
      <c r="S3561" s="77">
        <v>0</v>
      </c>
      <c r="T3561" s="77">
        <v>0</v>
      </c>
      <c r="U3561" s="77">
        <v>0</v>
      </c>
      <c r="V3561" s="77">
        <v>272</v>
      </c>
      <c r="W3561" s="82" t="s">
        <v>6840</v>
      </c>
      <c r="X3561" s="80" t="str">
        <f>HYPERLINK("https://www.youtube.com/watch?v=kvYGD_NMxoY")</f>
        <v>https://www.youtube.com/watch?v=kvYGD_NMxoY</v>
      </c>
      <c r="Y3561" s="77" t="s">
        <v>7303</v>
      </c>
      <c r="Z3561" s="77"/>
      <c r="AA3561" s="77"/>
      <c r="AB3561" s="77"/>
      <c r="AC3561" s="82" t="s">
        <v>10157</v>
      </c>
      <c r="AD3561" s="77" t="s">
        <v>10184</v>
      </c>
      <c r="AE3561" s="80" t="str">
        <f>HYPERLINK("https://twitter.com/meusfii/status/1640462583781027841")</f>
        <v>https://twitter.com/meusfii/status/1640462583781027841</v>
      </c>
      <c r="AF3561" s="79">
        <v>45012.885787037034</v>
      </c>
      <c r="AG3561" s="85">
        <v>45012</v>
      </c>
      <c r="AH3561" s="82" t="s">
        <v>13551</v>
      </c>
      <c r="AI3561" s="77" t="b">
        <v>0</v>
      </c>
      <c r="AJ3561" s="77"/>
      <c r="AK3561" s="77"/>
      <c r="AL3561" s="77"/>
      <c r="AM3561" s="77"/>
      <c r="AN3561" s="77"/>
      <c r="AO3561" s="77"/>
      <c r="AP3561" s="77"/>
      <c r="AQ3561" s="77"/>
      <c r="AR3561" s="77"/>
      <c r="AS3561" s="77"/>
      <c r="AT3561" s="77"/>
      <c r="AU3561" s="77"/>
      <c r="AV3561" s="80" t="str">
        <f>HYPERLINK("https://pbs.twimg.com/profile_images/1130931586059448320/J8lXhG_K_normal.png")</f>
        <v>https://pbs.twimg.com/profile_images/1130931586059448320/J8lXhG_K_normal.png</v>
      </c>
      <c r="AW3561" s="82" t="s">
        <v>20327</v>
      </c>
      <c r="AX3561" s="82" t="s">
        <v>20327</v>
      </c>
      <c r="AY3561" s="77"/>
      <c r="AZ3561" s="82" t="s">
        <v>20971</v>
      </c>
      <c r="BA3561" s="82" t="s">
        <v>20971</v>
      </c>
      <c r="BB3561" s="82" t="s">
        <v>20971</v>
      </c>
      <c r="BC3561" s="82" t="s">
        <v>20327</v>
      </c>
      <c r="BD3561" s="82" t="s">
        <v>21634</v>
      </c>
      <c r="BE3561" s="77"/>
      <c r="BF3561" s="77"/>
      <c r="BG3561" s="77"/>
      <c r="BH3561" s="77"/>
      <c r="BI3561" s="77"/>
    </row>
    <row r="3562" spans="1:61" x14ac:dyDescent="0.25">
      <c r="A3562" s="62" t="s">
        <v>1053</v>
      </c>
      <c r="B3562" s="62" t="s">
        <v>1053</v>
      </c>
      <c r="C3562" s="63"/>
      <c r="D3562" s="64"/>
      <c r="E3562" s="65"/>
      <c r="F3562" s="66"/>
      <c r="G3562" s="63"/>
      <c r="H3562" s="67"/>
      <c r="I3562" s="68"/>
      <c r="J3562" s="68"/>
      <c r="K3562" s="32"/>
      <c r="L3562" s="75">
        <v>3562</v>
      </c>
      <c r="M3562" s="75"/>
      <c r="N3562" s="70"/>
      <c r="O3562" s="77" t="s">
        <v>179</v>
      </c>
      <c r="P3562" s="79">
        <v>45012.802604166667</v>
      </c>
      <c r="Q3562" s="77" t="s">
        <v>4768</v>
      </c>
      <c r="R3562" s="77">
        <v>0</v>
      </c>
      <c r="S3562" s="77">
        <v>1</v>
      </c>
      <c r="T3562" s="77">
        <v>0</v>
      </c>
      <c r="U3562" s="77">
        <v>0</v>
      </c>
      <c r="V3562" s="77">
        <v>99</v>
      </c>
      <c r="W3562" s="82" t="s">
        <v>6841</v>
      </c>
      <c r="X3562" s="80" t="str">
        <f>HYPERLINK("https://www.youtube.com/watch?v=ckks4A4HBGg")</f>
        <v>https://www.youtube.com/watch?v=ckks4A4HBGg</v>
      </c>
      <c r="Y3562" s="77" t="s">
        <v>7303</v>
      </c>
      <c r="Z3562" s="77"/>
      <c r="AA3562" s="77"/>
      <c r="AB3562" s="77"/>
      <c r="AC3562" s="82" t="s">
        <v>10157</v>
      </c>
      <c r="AD3562" s="77" t="s">
        <v>10184</v>
      </c>
      <c r="AE3562" s="80" t="str">
        <f>HYPERLINK("https://twitter.com/meusfii/status/1640432436948418560")</f>
        <v>https://twitter.com/meusfii/status/1640432436948418560</v>
      </c>
      <c r="AF3562" s="79">
        <v>45012.802604166667</v>
      </c>
      <c r="AG3562" s="85">
        <v>45012</v>
      </c>
      <c r="AH3562" s="82" t="s">
        <v>13552</v>
      </c>
      <c r="AI3562" s="77" t="b">
        <v>0</v>
      </c>
      <c r="AJ3562" s="77"/>
      <c r="AK3562" s="77"/>
      <c r="AL3562" s="77"/>
      <c r="AM3562" s="77"/>
      <c r="AN3562" s="77"/>
      <c r="AO3562" s="77"/>
      <c r="AP3562" s="77"/>
      <c r="AQ3562" s="77"/>
      <c r="AR3562" s="77"/>
      <c r="AS3562" s="77"/>
      <c r="AT3562" s="77"/>
      <c r="AU3562" s="77"/>
      <c r="AV3562" s="80" t="str">
        <f>HYPERLINK("https://pbs.twimg.com/profile_images/1130931586059448320/J8lXhG_K_normal.png")</f>
        <v>https://pbs.twimg.com/profile_images/1130931586059448320/J8lXhG_K_normal.png</v>
      </c>
      <c r="AW3562" s="82" t="s">
        <v>20328</v>
      </c>
      <c r="AX3562" s="82" t="s">
        <v>20328</v>
      </c>
      <c r="AY3562" s="77"/>
      <c r="AZ3562" s="82" t="s">
        <v>20971</v>
      </c>
      <c r="BA3562" s="82" t="s">
        <v>20971</v>
      </c>
      <c r="BB3562" s="82" t="s">
        <v>20971</v>
      </c>
      <c r="BC3562" s="82" t="s">
        <v>20328</v>
      </c>
      <c r="BD3562" s="82" t="s">
        <v>21634</v>
      </c>
      <c r="BE3562" s="77"/>
      <c r="BF3562" s="77"/>
      <c r="BG3562" s="77"/>
      <c r="BH3562" s="77"/>
      <c r="BI3562" s="77"/>
    </row>
    <row r="3563" spans="1:61" x14ac:dyDescent="0.25">
      <c r="A3563" s="62" t="s">
        <v>1053</v>
      </c>
      <c r="B3563" s="62" t="s">
        <v>1053</v>
      </c>
      <c r="C3563" s="63"/>
      <c r="D3563" s="64"/>
      <c r="E3563" s="65"/>
      <c r="F3563" s="66"/>
      <c r="G3563" s="63"/>
      <c r="H3563" s="67"/>
      <c r="I3563" s="68"/>
      <c r="J3563" s="68"/>
      <c r="K3563" s="32"/>
      <c r="L3563" s="75">
        <v>3563</v>
      </c>
      <c r="M3563" s="75"/>
      <c r="N3563" s="70"/>
      <c r="O3563" s="77" t="s">
        <v>179</v>
      </c>
      <c r="P3563" s="79">
        <v>45057.72078703704</v>
      </c>
      <c r="Q3563" s="77" t="s">
        <v>4769</v>
      </c>
      <c r="R3563" s="77">
        <v>0</v>
      </c>
      <c r="S3563" s="77">
        <v>0</v>
      </c>
      <c r="T3563" s="77">
        <v>0</v>
      </c>
      <c r="U3563" s="77">
        <v>0</v>
      </c>
      <c r="V3563" s="77">
        <v>48</v>
      </c>
      <c r="W3563" s="82" t="s">
        <v>6842</v>
      </c>
      <c r="X3563" s="80" t="str">
        <f>HYPERLINK("https://www.youtube.com/watch?v=PTSnr-5E3bU")</f>
        <v>https://www.youtube.com/watch?v=PTSnr-5E3bU</v>
      </c>
      <c r="Y3563" s="77" t="s">
        <v>7303</v>
      </c>
      <c r="Z3563" s="77"/>
      <c r="AA3563" s="77"/>
      <c r="AB3563" s="77"/>
      <c r="AC3563" s="82" t="s">
        <v>10157</v>
      </c>
      <c r="AD3563" s="77" t="s">
        <v>10184</v>
      </c>
      <c r="AE3563" s="80" t="str">
        <f>HYPERLINK("https://twitter.com/meusfii/status/1656710240304349186")</f>
        <v>https://twitter.com/meusfii/status/1656710240304349186</v>
      </c>
      <c r="AF3563" s="79">
        <v>45057.72078703704</v>
      </c>
      <c r="AG3563" s="85">
        <v>45057</v>
      </c>
      <c r="AH3563" s="82" t="s">
        <v>13553</v>
      </c>
      <c r="AI3563" s="77" t="b">
        <v>0</v>
      </c>
      <c r="AJ3563" s="77"/>
      <c r="AK3563" s="77"/>
      <c r="AL3563" s="77"/>
      <c r="AM3563" s="77"/>
      <c r="AN3563" s="77"/>
      <c r="AO3563" s="77"/>
      <c r="AP3563" s="77"/>
      <c r="AQ3563" s="77"/>
      <c r="AR3563" s="77"/>
      <c r="AS3563" s="77"/>
      <c r="AT3563" s="77"/>
      <c r="AU3563" s="77"/>
      <c r="AV3563" s="80" t="str">
        <f>HYPERLINK("https://pbs.twimg.com/profile_images/1130931586059448320/J8lXhG_K_normal.png")</f>
        <v>https://pbs.twimg.com/profile_images/1130931586059448320/J8lXhG_K_normal.png</v>
      </c>
      <c r="AW3563" s="82" t="s">
        <v>20329</v>
      </c>
      <c r="AX3563" s="82" t="s">
        <v>20329</v>
      </c>
      <c r="AY3563" s="77"/>
      <c r="AZ3563" s="82" t="s">
        <v>20971</v>
      </c>
      <c r="BA3563" s="82" t="s">
        <v>20971</v>
      </c>
      <c r="BB3563" s="82" t="s">
        <v>20971</v>
      </c>
      <c r="BC3563" s="82" t="s">
        <v>20329</v>
      </c>
      <c r="BD3563" s="82" t="s">
        <v>21634</v>
      </c>
      <c r="BE3563" s="77"/>
      <c r="BF3563" s="77"/>
      <c r="BG3563" s="77"/>
      <c r="BH3563" s="77"/>
      <c r="BI3563" s="77"/>
    </row>
    <row r="3564" spans="1:61" x14ac:dyDescent="0.25">
      <c r="A3564" s="62" t="s">
        <v>1053</v>
      </c>
      <c r="B3564" s="62" t="s">
        <v>1053</v>
      </c>
      <c r="C3564" s="63"/>
      <c r="D3564" s="64"/>
      <c r="E3564" s="65"/>
      <c r="F3564" s="66"/>
      <c r="G3564" s="63"/>
      <c r="H3564" s="67"/>
      <c r="I3564" s="68"/>
      <c r="J3564" s="68"/>
      <c r="K3564" s="32"/>
      <c r="L3564" s="75">
        <v>3564</v>
      </c>
      <c r="M3564" s="75"/>
      <c r="N3564" s="70"/>
      <c r="O3564" s="77" t="s">
        <v>179</v>
      </c>
      <c r="P3564" s="79">
        <v>45009.677407407406</v>
      </c>
      <c r="Q3564" s="77" t="s">
        <v>4770</v>
      </c>
      <c r="R3564" s="77">
        <v>0</v>
      </c>
      <c r="S3564" s="77">
        <v>0</v>
      </c>
      <c r="T3564" s="77">
        <v>0</v>
      </c>
      <c r="U3564" s="77">
        <v>0</v>
      </c>
      <c r="V3564" s="77">
        <v>49</v>
      </c>
      <c r="W3564" s="82" t="s">
        <v>6843</v>
      </c>
      <c r="X3564" s="80" t="str">
        <f>HYPERLINK("https://www.youtube.com/watch?v=P0iaN2Wd5Bs")</f>
        <v>https://www.youtube.com/watch?v=P0iaN2Wd5Bs</v>
      </c>
      <c r="Y3564" s="77" t="s">
        <v>7303</v>
      </c>
      <c r="Z3564" s="77"/>
      <c r="AA3564" s="77"/>
      <c r="AB3564" s="77"/>
      <c r="AC3564" s="82" t="s">
        <v>10157</v>
      </c>
      <c r="AD3564" s="77" t="s">
        <v>10184</v>
      </c>
      <c r="AE3564" s="80" t="str">
        <f>HYPERLINK("https://twitter.com/meusfii/status/1639299904484040704")</f>
        <v>https://twitter.com/meusfii/status/1639299904484040704</v>
      </c>
      <c r="AF3564" s="79">
        <v>45009.677407407406</v>
      </c>
      <c r="AG3564" s="85">
        <v>45009</v>
      </c>
      <c r="AH3564" s="82" t="s">
        <v>13554</v>
      </c>
      <c r="AI3564" s="77" t="b">
        <v>0</v>
      </c>
      <c r="AJ3564" s="77"/>
      <c r="AK3564" s="77"/>
      <c r="AL3564" s="77"/>
      <c r="AM3564" s="77"/>
      <c r="AN3564" s="77"/>
      <c r="AO3564" s="77"/>
      <c r="AP3564" s="77"/>
      <c r="AQ3564" s="77"/>
      <c r="AR3564" s="77"/>
      <c r="AS3564" s="77"/>
      <c r="AT3564" s="77"/>
      <c r="AU3564" s="77"/>
      <c r="AV3564" s="80" t="str">
        <f>HYPERLINK("https://pbs.twimg.com/profile_images/1130931586059448320/J8lXhG_K_normal.png")</f>
        <v>https://pbs.twimg.com/profile_images/1130931586059448320/J8lXhG_K_normal.png</v>
      </c>
      <c r="AW3564" s="82" t="s">
        <v>20330</v>
      </c>
      <c r="AX3564" s="82" t="s">
        <v>20330</v>
      </c>
      <c r="AY3564" s="77"/>
      <c r="AZ3564" s="82" t="s">
        <v>20971</v>
      </c>
      <c r="BA3564" s="82" t="s">
        <v>20971</v>
      </c>
      <c r="BB3564" s="82" t="s">
        <v>20971</v>
      </c>
      <c r="BC3564" s="82" t="s">
        <v>20330</v>
      </c>
      <c r="BD3564" s="82" t="s">
        <v>21634</v>
      </c>
      <c r="BE3564" s="77"/>
      <c r="BF3564" s="77"/>
      <c r="BG3564" s="77"/>
      <c r="BH3564" s="77"/>
      <c r="BI3564" s="77"/>
    </row>
    <row r="3565" spans="1:61" x14ac:dyDescent="0.25">
      <c r="A3565" s="62" t="s">
        <v>1053</v>
      </c>
      <c r="B3565" s="62" t="s">
        <v>1053</v>
      </c>
      <c r="C3565" s="63"/>
      <c r="D3565" s="64"/>
      <c r="E3565" s="65"/>
      <c r="F3565" s="66"/>
      <c r="G3565" s="63"/>
      <c r="H3565" s="67"/>
      <c r="I3565" s="68"/>
      <c r="J3565" s="68"/>
      <c r="K3565" s="32"/>
      <c r="L3565" s="75">
        <v>3565</v>
      </c>
      <c r="M3565" s="75"/>
      <c r="N3565" s="70"/>
      <c r="O3565" s="77" t="s">
        <v>179</v>
      </c>
      <c r="P3565" s="79">
        <v>45008.677615740744</v>
      </c>
      <c r="Q3565" s="77" t="s">
        <v>4771</v>
      </c>
      <c r="R3565" s="77">
        <v>0</v>
      </c>
      <c r="S3565" s="77">
        <v>0</v>
      </c>
      <c r="T3565" s="77">
        <v>0</v>
      </c>
      <c r="U3565" s="77">
        <v>0</v>
      </c>
      <c r="V3565" s="77">
        <v>135</v>
      </c>
      <c r="W3565" s="82" t="s">
        <v>6844</v>
      </c>
      <c r="X3565" s="80" t="str">
        <f>HYPERLINK("https://www.youtube.com/watch?v=gSOwOnLgEo4")</f>
        <v>https://www.youtube.com/watch?v=gSOwOnLgEo4</v>
      </c>
      <c r="Y3565" s="77" t="s">
        <v>7303</v>
      </c>
      <c r="Z3565" s="77"/>
      <c r="AA3565" s="77"/>
      <c r="AB3565" s="77"/>
      <c r="AC3565" s="82" t="s">
        <v>10157</v>
      </c>
      <c r="AD3565" s="77" t="s">
        <v>10184</v>
      </c>
      <c r="AE3565" s="80" t="str">
        <f>HYPERLINK("https://twitter.com/meusfii/status/1638937590257836032")</f>
        <v>https://twitter.com/meusfii/status/1638937590257836032</v>
      </c>
      <c r="AF3565" s="79">
        <v>45008.677615740744</v>
      </c>
      <c r="AG3565" s="85">
        <v>45008</v>
      </c>
      <c r="AH3565" s="82" t="s">
        <v>13555</v>
      </c>
      <c r="AI3565" s="77" t="b">
        <v>0</v>
      </c>
      <c r="AJ3565" s="77"/>
      <c r="AK3565" s="77"/>
      <c r="AL3565" s="77"/>
      <c r="AM3565" s="77"/>
      <c r="AN3565" s="77"/>
      <c r="AO3565" s="77"/>
      <c r="AP3565" s="77"/>
      <c r="AQ3565" s="77"/>
      <c r="AR3565" s="77"/>
      <c r="AS3565" s="77"/>
      <c r="AT3565" s="77"/>
      <c r="AU3565" s="77"/>
      <c r="AV3565" s="80" t="str">
        <f>HYPERLINK("https://pbs.twimg.com/profile_images/1130931586059448320/J8lXhG_K_normal.png")</f>
        <v>https://pbs.twimg.com/profile_images/1130931586059448320/J8lXhG_K_normal.png</v>
      </c>
      <c r="AW3565" s="82" t="s">
        <v>20331</v>
      </c>
      <c r="AX3565" s="82" t="s">
        <v>20331</v>
      </c>
      <c r="AY3565" s="77"/>
      <c r="AZ3565" s="82" t="s">
        <v>20971</v>
      </c>
      <c r="BA3565" s="82" t="s">
        <v>20971</v>
      </c>
      <c r="BB3565" s="82" t="s">
        <v>20971</v>
      </c>
      <c r="BC3565" s="82" t="s">
        <v>20331</v>
      </c>
      <c r="BD3565" s="82" t="s">
        <v>21634</v>
      </c>
      <c r="BE3565" s="77"/>
      <c r="BF3565" s="77"/>
      <c r="BG3565" s="77"/>
      <c r="BH3565" s="77"/>
      <c r="BI3565" s="77"/>
    </row>
    <row r="3566" spans="1:61" x14ac:dyDescent="0.25">
      <c r="A3566" s="62" t="s">
        <v>1053</v>
      </c>
      <c r="B3566" s="62" t="s">
        <v>1053</v>
      </c>
      <c r="C3566" s="63"/>
      <c r="D3566" s="64"/>
      <c r="E3566" s="65"/>
      <c r="F3566" s="66"/>
      <c r="G3566" s="63"/>
      <c r="H3566" s="67"/>
      <c r="I3566" s="68"/>
      <c r="J3566" s="68"/>
      <c r="K3566" s="32"/>
      <c r="L3566" s="75">
        <v>3566</v>
      </c>
      <c r="M3566" s="75"/>
      <c r="N3566" s="70"/>
      <c r="O3566" s="77" t="s">
        <v>179</v>
      </c>
      <c r="P3566" s="79">
        <v>45007.677534722221</v>
      </c>
      <c r="Q3566" s="77" t="s">
        <v>4772</v>
      </c>
      <c r="R3566" s="77">
        <v>0</v>
      </c>
      <c r="S3566" s="77">
        <v>0</v>
      </c>
      <c r="T3566" s="77">
        <v>0</v>
      </c>
      <c r="U3566" s="77">
        <v>0</v>
      </c>
      <c r="V3566" s="77">
        <v>67</v>
      </c>
      <c r="W3566" s="82" t="s">
        <v>6845</v>
      </c>
      <c r="X3566" s="80" t="str">
        <f>HYPERLINK("https://www.youtube.com/watch?v=5-R30dad6Mo")</f>
        <v>https://www.youtube.com/watch?v=5-R30dad6Mo</v>
      </c>
      <c r="Y3566" s="77" t="s">
        <v>7303</v>
      </c>
      <c r="Z3566" s="77"/>
      <c r="AA3566" s="77"/>
      <c r="AB3566" s="77"/>
      <c r="AC3566" s="82" t="s">
        <v>10157</v>
      </c>
      <c r="AD3566" s="77" t="s">
        <v>10184</v>
      </c>
      <c r="AE3566" s="80" t="str">
        <f>HYPERLINK("https://twitter.com/meusfii/status/1638575172981538822")</f>
        <v>https://twitter.com/meusfii/status/1638575172981538822</v>
      </c>
      <c r="AF3566" s="79">
        <v>45007.677534722221</v>
      </c>
      <c r="AG3566" s="85">
        <v>45007</v>
      </c>
      <c r="AH3566" s="82" t="s">
        <v>13556</v>
      </c>
      <c r="AI3566" s="77" t="b">
        <v>0</v>
      </c>
      <c r="AJ3566" s="77"/>
      <c r="AK3566" s="77"/>
      <c r="AL3566" s="77"/>
      <c r="AM3566" s="77"/>
      <c r="AN3566" s="77"/>
      <c r="AO3566" s="77"/>
      <c r="AP3566" s="77"/>
      <c r="AQ3566" s="77"/>
      <c r="AR3566" s="77"/>
      <c r="AS3566" s="77"/>
      <c r="AT3566" s="77"/>
      <c r="AU3566" s="77"/>
      <c r="AV3566" s="80" t="str">
        <f>HYPERLINK("https://pbs.twimg.com/profile_images/1130931586059448320/J8lXhG_K_normal.png")</f>
        <v>https://pbs.twimg.com/profile_images/1130931586059448320/J8lXhG_K_normal.png</v>
      </c>
      <c r="AW3566" s="82" t="s">
        <v>20332</v>
      </c>
      <c r="AX3566" s="82" t="s">
        <v>20332</v>
      </c>
      <c r="AY3566" s="77"/>
      <c r="AZ3566" s="82" t="s">
        <v>20971</v>
      </c>
      <c r="BA3566" s="82" t="s">
        <v>20971</v>
      </c>
      <c r="BB3566" s="82" t="s">
        <v>20971</v>
      </c>
      <c r="BC3566" s="82" t="s">
        <v>20332</v>
      </c>
      <c r="BD3566" s="82" t="s">
        <v>21634</v>
      </c>
      <c r="BE3566" s="77"/>
      <c r="BF3566" s="77"/>
      <c r="BG3566" s="77"/>
      <c r="BH3566" s="77"/>
      <c r="BI3566" s="77"/>
    </row>
    <row r="3567" spans="1:61" x14ac:dyDescent="0.25">
      <c r="A3567" s="62" t="s">
        <v>1053</v>
      </c>
      <c r="B3567" s="62" t="s">
        <v>1053</v>
      </c>
      <c r="C3567" s="63"/>
      <c r="D3567" s="64"/>
      <c r="E3567" s="65"/>
      <c r="F3567" s="66"/>
      <c r="G3567" s="63"/>
      <c r="H3567" s="67"/>
      <c r="I3567" s="68"/>
      <c r="J3567" s="68"/>
      <c r="K3567" s="32"/>
      <c r="L3567" s="75">
        <v>3567</v>
      </c>
      <c r="M3567" s="75"/>
      <c r="N3567" s="70"/>
      <c r="O3567" s="77" t="s">
        <v>179</v>
      </c>
      <c r="P3567" s="79">
        <v>45006.886006944442</v>
      </c>
      <c r="Q3567" s="77" t="s">
        <v>4773</v>
      </c>
      <c r="R3567" s="77">
        <v>0</v>
      </c>
      <c r="S3567" s="77">
        <v>1</v>
      </c>
      <c r="T3567" s="77">
        <v>0</v>
      </c>
      <c r="U3567" s="77">
        <v>0</v>
      </c>
      <c r="V3567" s="77">
        <v>54</v>
      </c>
      <c r="W3567" s="82" t="s">
        <v>6835</v>
      </c>
      <c r="X3567" s="80" t="str">
        <f>HYPERLINK("https://www.youtube.com/watch?v=wmiGmMau0TA")</f>
        <v>https://www.youtube.com/watch?v=wmiGmMau0TA</v>
      </c>
      <c r="Y3567" s="77" t="s">
        <v>7303</v>
      </c>
      <c r="Z3567" s="77"/>
      <c r="AA3567" s="77"/>
      <c r="AB3567" s="77"/>
      <c r="AC3567" s="82" t="s">
        <v>10157</v>
      </c>
      <c r="AD3567" s="77" t="s">
        <v>10184</v>
      </c>
      <c r="AE3567" s="80" t="str">
        <f>HYPERLINK("https://twitter.com/meusfii/status/1638288333171245057")</f>
        <v>https://twitter.com/meusfii/status/1638288333171245057</v>
      </c>
      <c r="AF3567" s="79">
        <v>45006.886006944442</v>
      </c>
      <c r="AG3567" s="85">
        <v>45006</v>
      </c>
      <c r="AH3567" s="82" t="s">
        <v>13557</v>
      </c>
      <c r="AI3567" s="77" t="b">
        <v>0</v>
      </c>
      <c r="AJ3567" s="77"/>
      <c r="AK3567" s="77"/>
      <c r="AL3567" s="77"/>
      <c r="AM3567" s="77"/>
      <c r="AN3567" s="77"/>
      <c r="AO3567" s="77"/>
      <c r="AP3567" s="77"/>
      <c r="AQ3567" s="77"/>
      <c r="AR3567" s="77"/>
      <c r="AS3567" s="77"/>
      <c r="AT3567" s="77"/>
      <c r="AU3567" s="77"/>
      <c r="AV3567" s="80" t="str">
        <f>HYPERLINK("https://pbs.twimg.com/profile_images/1130931586059448320/J8lXhG_K_normal.png")</f>
        <v>https://pbs.twimg.com/profile_images/1130931586059448320/J8lXhG_K_normal.png</v>
      </c>
      <c r="AW3567" s="82" t="s">
        <v>20333</v>
      </c>
      <c r="AX3567" s="82" t="s">
        <v>20333</v>
      </c>
      <c r="AY3567" s="77"/>
      <c r="AZ3567" s="82" t="s">
        <v>20971</v>
      </c>
      <c r="BA3567" s="82" t="s">
        <v>20971</v>
      </c>
      <c r="BB3567" s="82" t="s">
        <v>20971</v>
      </c>
      <c r="BC3567" s="82" t="s">
        <v>20333</v>
      </c>
      <c r="BD3567" s="82" t="s">
        <v>21634</v>
      </c>
      <c r="BE3567" s="77"/>
      <c r="BF3567" s="77"/>
      <c r="BG3567" s="77"/>
      <c r="BH3567" s="77"/>
      <c r="BI3567" s="77"/>
    </row>
    <row r="3568" spans="1:61" x14ac:dyDescent="0.25">
      <c r="A3568" s="62" t="s">
        <v>1053</v>
      </c>
      <c r="B3568" s="62" t="s">
        <v>1053</v>
      </c>
      <c r="C3568" s="63"/>
      <c r="D3568" s="64"/>
      <c r="E3568" s="65"/>
      <c r="F3568" s="66"/>
      <c r="G3568" s="63"/>
      <c r="H3568" s="67"/>
      <c r="I3568" s="68"/>
      <c r="J3568" s="68"/>
      <c r="K3568" s="32"/>
      <c r="L3568" s="75">
        <v>3568</v>
      </c>
      <c r="M3568" s="75"/>
      <c r="N3568" s="70"/>
      <c r="O3568" s="77" t="s">
        <v>179</v>
      </c>
      <c r="P3568" s="79">
        <v>45049.635937500003</v>
      </c>
      <c r="Q3568" s="77" t="s">
        <v>4774</v>
      </c>
      <c r="R3568" s="77">
        <v>0</v>
      </c>
      <c r="S3568" s="77">
        <v>0</v>
      </c>
      <c r="T3568" s="77">
        <v>0</v>
      </c>
      <c r="U3568" s="77">
        <v>0</v>
      </c>
      <c r="V3568" s="77">
        <v>64</v>
      </c>
      <c r="W3568" s="82" t="s">
        <v>6846</v>
      </c>
      <c r="X3568" s="80" t="str">
        <f>HYPERLINK("https://www.youtube.com/watch?v=CGD0XgZ9v7Y")</f>
        <v>https://www.youtube.com/watch?v=CGD0XgZ9v7Y</v>
      </c>
      <c r="Y3568" s="77" t="s">
        <v>7303</v>
      </c>
      <c r="Z3568" s="77"/>
      <c r="AA3568" s="77"/>
      <c r="AB3568" s="77"/>
      <c r="AC3568" s="82" t="s">
        <v>10157</v>
      </c>
      <c r="AD3568" s="77" t="s">
        <v>10197</v>
      </c>
      <c r="AE3568" s="80" t="str">
        <f>HYPERLINK("https://twitter.com/meusfii/status/1653780389423611904")</f>
        <v>https://twitter.com/meusfii/status/1653780389423611904</v>
      </c>
      <c r="AF3568" s="79">
        <v>45049.635937500003</v>
      </c>
      <c r="AG3568" s="85">
        <v>45049</v>
      </c>
      <c r="AH3568" s="82" t="s">
        <v>13558</v>
      </c>
      <c r="AI3568" s="77" t="b">
        <v>0</v>
      </c>
      <c r="AJ3568" s="77"/>
      <c r="AK3568" s="77"/>
      <c r="AL3568" s="77"/>
      <c r="AM3568" s="77"/>
      <c r="AN3568" s="77"/>
      <c r="AO3568" s="77"/>
      <c r="AP3568" s="77"/>
      <c r="AQ3568" s="77"/>
      <c r="AR3568" s="77"/>
      <c r="AS3568" s="77"/>
      <c r="AT3568" s="77"/>
      <c r="AU3568" s="77"/>
      <c r="AV3568" s="80" t="str">
        <f>HYPERLINK("https://pbs.twimg.com/profile_images/1130931586059448320/J8lXhG_K_normal.png")</f>
        <v>https://pbs.twimg.com/profile_images/1130931586059448320/J8lXhG_K_normal.png</v>
      </c>
      <c r="AW3568" s="82" t="s">
        <v>20334</v>
      </c>
      <c r="AX3568" s="82" t="s">
        <v>20334</v>
      </c>
      <c r="AY3568" s="77"/>
      <c r="AZ3568" s="82" t="s">
        <v>20971</v>
      </c>
      <c r="BA3568" s="82" t="s">
        <v>20971</v>
      </c>
      <c r="BB3568" s="82" t="s">
        <v>20971</v>
      </c>
      <c r="BC3568" s="82" t="s">
        <v>20334</v>
      </c>
      <c r="BD3568" s="82" t="s">
        <v>21634</v>
      </c>
      <c r="BE3568" s="77"/>
      <c r="BF3568" s="77"/>
      <c r="BG3568" s="77"/>
      <c r="BH3568" s="77"/>
      <c r="BI3568" s="77"/>
    </row>
    <row r="3569" spans="1:61" x14ac:dyDescent="0.25">
      <c r="A3569" s="62" t="s">
        <v>1053</v>
      </c>
      <c r="B3569" s="62" t="s">
        <v>1053</v>
      </c>
      <c r="C3569" s="63"/>
      <c r="D3569" s="64"/>
      <c r="E3569" s="65"/>
      <c r="F3569" s="66"/>
      <c r="G3569" s="63"/>
      <c r="H3569" s="67"/>
      <c r="I3569" s="68"/>
      <c r="J3569" s="68"/>
      <c r="K3569" s="32"/>
      <c r="L3569" s="75">
        <v>3569</v>
      </c>
      <c r="M3569" s="75"/>
      <c r="N3569" s="70"/>
      <c r="O3569" s="77" t="s">
        <v>179</v>
      </c>
      <c r="P3569" s="79">
        <v>45047.803379629629</v>
      </c>
      <c r="Q3569" s="77" t="s">
        <v>4775</v>
      </c>
      <c r="R3569" s="77">
        <v>0</v>
      </c>
      <c r="S3569" s="77">
        <v>2</v>
      </c>
      <c r="T3569" s="77">
        <v>1</v>
      </c>
      <c r="U3569" s="77">
        <v>0</v>
      </c>
      <c r="V3569" s="77">
        <v>129</v>
      </c>
      <c r="W3569" s="82" t="s">
        <v>6847</v>
      </c>
      <c r="X3569" s="80" t="str">
        <f>HYPERLINK("https://www.youtube.com/watch?v=i5bCbcGj9YU")</f>
        <v>https://www.youtube.com/watch?v=i5bCbcGj9YU</v>
      </c>
      <c r="Y3569" s="77" t="s">
        <v>7303</v>
      </c>
      <c r="Z3569" s="77"/>
      <c r="AA3569" s="77"/>
      <c r="AB3569" s="77"/>
      <c r="AC3569" s="82" t="s">
        <v>10157</v>
      </c>
      <c r="AD3569" s="77" t="s">
        <v>10184</v>
      </c>
      <c r="AE3569" s="80" t="str">
        <f>HYPERLINK("https://twitter.com/meusfii/status/1653116295032741890")</f>
        <v>https://twitter.com/meusfii/status/1653116295032741890</v>
      </c>
      <c r="AF3569" s="79">
        <v>45047.803379629629</v>
      </c>
      <c r="AG3569" s="85">
        <v>45047</v>
      </c>
      <c r="AH3569" s="82" t="s">
        <v>13559</v>
      </c>
      <c r="AI3569" s="77" t="b">
        <v>0</v>
      </c>
      <c r="AJ3569" s="77"/>
      <c r="AK3569" s="77"/>
      <c r="AL3569" s="77"/>
      <c r="AM3569" s="77"/>
      <c r="AN3569" s="77"/>
      <c r="AO3569" s="77"/>
      <c r="AP3569" s="77"/>
      <c r="AQ3569" s="77"/>
      <c r="AR3569" s="77"/>
      <c r="AS3569" s="77"/>
      <c r="AT3569" s="77"/>
      <c r="AU3569" s="77"/>
      <c r="AV3569" s="80" t="str">
        <f>HYPERLINK("https://pbs.twimg.com/profile_images/1130931586059448320/J8lXhG_K_normal.png")</f>
        <v>https://pbs.twimg.com/profile_images/1130931586059448320/J8lXhG_K_normal.png</v>
      </c>
      <c r="AW3569" s="82" t="s">
        <v>20335</v>
      </c>
      <c r="AX3569" s="82" t="s">
        <v>20335</v>
      </c>
      <c r="AY3569" s="77"/>
      <c r="AZ3569" s="82" t="s">
        <v>20971</v>
      </c>
      <c r="BA3569" s="82" t="s">
        <v>20971</v>
      </c>
      <c r="BB3569" s="82" t="s">
        <v>20971</v>
      </c>
      <c r="BC3569" s="82" t="s">
        <v>20335</v>
      </c>
      <c r="BD3569" s="82" t="s">
        <v>21634</v>
      </c>
      <c r="BE3569" s="77"/>
      <c r="BF3569" s="77"/>
      <c r="BG3569" s="77"/>
      <c r="BH3569" s="77"/>
      <c r="BI3569" s="77"/>
    </row>
    <row r="3570" spans="1:61" x14ac:dyDescent="0.25">
      <c r="A3570" s="62" t="s">
        <v>1053</v>
      </c>
      <c r="B3570" s="62" t="s">
        <v>1053</v>
      </c>
      <c r="C3570" s="63"/>
      <c r="D3570" s="64"/>
      <c r="E3570" s="65"/>
      <c r="F3570" s="66"/>
      <c r="G3570" s="63"/>
      <c r="H3570" s="67"/>
      <c r="I3570" s="68"/>
      <c r="J3570" s="68"/>
      <c r="K3570" s="32"/>
      <c r="L3570" s="75">
        <v>3570</v>
      </c>
      <c r="M3570" s="75"/>
      <c r="N3570" s="70"/>
      <c r="O3570" s="77" t="s">
        <v>179</v>
      </c>
      <c r="P3570" s="79">
        <v>45044.761145833334</v>
      </c>
      <c r="Q3570" s="77" t="s">
        <v>4776</v>
      </c>
      <c r="R3570" s="77">
        <v>0</v>
      </c>
      <c r="S3570" s="77">
        <v>0</v>
      </c>
      <c r="T3570" s="77">
        <v>0</v>
      </c>
      <c r="U3570" s="77">
        <v>0</v>
      </c>
      <c r="V3570" s="77">
        <v>65</v>
      </c>
      <c r="W3570" s="82" t="s">
        <v>6848</v>
      </c>
      <c r="X3570" s="80" t="str">
        <f>HYPERLINK("https://www.youtube.com/watch?v=9lhiWl1BCV0")</f>
        <v>https://www.youtube.com/watch?v=9lhiWl1BCV0</v>
      </c>
      <c r="Y3570" s="77" t="s">
        <v>7303</v>
      </c>
      <c r="Z3570" s="77"/>
      <c r="AA3570" s="77"/>
      <c r="AB3570" s="77"/>
      <c r="AC3570" s="82" t="s">
        <v>10157</v>
      </c>
      <c r="AD3570" s="77" t="s">
        <v>10184</v>
      </c>
      <c r="AE3570" s="80" t="str">
        <f>HYPERLINK("https://twitter.com/meusfii/status/1652013824214482944")</f>
        <v>https://twitter.com/meusfii/status/1652013824214482944</v>
      </c>
      <c r="AF3570" s="79">
        <v>45044.761145833334</v>
      </c>
      <c r="AG3570" s="85">
        <v>45044</v>
      </c>
      <c r="AH3570" s="82" t="s">
        <v>13560</v>
      </c>
      <c r="AI3570" s="77" t="b">
        <v>0</v>
      </c>
      <c r="AJ3570" s="77"/>
      <c r="AK3570" s="77"/>
      <c r="AL3570" s="77"/>
      <c r="AM3570" s="77"/>
      <c r="AN3570" s="77"/>
      <c r="AO3570" s="77"/>
      <c r="AP3570" s="77"/>
      <c r="AQ3570" s="77"/>
      <c r="AR3570" s="77"/>
      <c r="AS3570" s="77"/>
      <c r="AT3570" s="77"/>
      <c r="AU3570" s="77"/>
      <c r="AV3570" s="80" t="str">
        <f>HYPERLINK("https://pbs.twimg.com/profile_images/1130931586059448320/J8lXhG_K_normal.png")</f>
        <v>https://pbs.twimg.com/profile_images/1130931586059448320/J8lXhG_K_normal.png</v>
      </c>
      <c r="AW3570" s="82" t="s">
        <v>20336</v>
      </c>
      <c r="AX3570" s="82" t="s">
        <v>20336</v>
      </c>
      <c r="AY3570" s="77"/>
      <c r="AZ3570" s="82" t="s">
        <v>20971</v>
      </c>
      <c r="BA3570" s="82" t="s">
        <v>20971</v>
      </c>
      <c r="BB3570" s="82" t="s">
        <v>20971</v>
      </c>
      <c r="BC3570" s="82" t="s">
        <v>20336</v>
      </c>
      <c r="BD3570" s="82" t="s">
        <v>21634</v>
      </c>
      <c r="BE3570" s="77"/>
      <c r="BF3570" s="77"/>
      <c r="BG3570" s="77"/>
      <c r="BH3570" s="77"/>
      <c r="BI3570" s="77"/>
    </row>
    <row r="3571" spans="1:61" x14ac:dyDescent="0.25">
      <c r="A3571" s="62" t="s">
        <v>1053</v>
      </c>
      <c r="B3571" s="62" t="s">
        <v>1053</v>
      </c>
      <c r="C3571" s="63"/>
      <c r="D3571" s="64"/>
      <c r="E3571" s="65"/>
      <c r="F3571" s="66"/>
      <c r="G3571" s="63"/>
      <c r="H3571" s="67"/>
      <c r="I3571" s="68"/>
      <c r="J3571" s="68"/>
      <c r="K3571" s="32"/>
      <c r="L3571" s="75">
        <v>3571</v>
      </c>
      <c r="M3571" s="75"/>
      <c r="N3571" s="70"/>
      <c r="O3571" s="77" t="s">
        <v>179</v>
      </c>
      <c r="P3571" s="79">
        <v>45015.802546296298</v>
      </c>
      <c r="Q3571" s="77" t="s">
        <v>4777</v>
      </c>
      <c r="R3571" s="77">
        <v>0</v>
      </c>
      <c r="S3571" s="77">
        <v>0</v>
      </c>
      <c r="T3571" s="77">
        <v>0</v>
      </c>
      <c r="U3571" s="77">
        <v>0</v>
      </c>
      <c r="V3571" s="77">
        <v>62</v>
      </c>
      <c r="W3571" s="82" t="s">
        <v>6849</v>
      </c>
      <c r="X3571" s="80" t="str">
        <f>HYPERLINK("https://www.youtube.com/watch?v=n1lN9-4m-fQ")</f>
        <v>https://www.youtube.com/watch?v=n1lN9-4m-fQ</v>
      </c>
      <c r="Y3571" s="77" t="s">
        <v>7303</v>
      </c>
      <c r="Z3571" s="77"/>
      <c r="AA3571" s="77"/>
      <c r="AB3571" s="77"/>
      <c r="AC3571" s="82" t="s">
        <v>10157</v>
      </c>
      <c r="AD3571" s="77" t="s">
        <v>10184</v>
      </c>
      <c r="AE3571" s="80" t="str">
        <f>HYPERLINK("https://twitter.com/meusfii/status/1641519578592301056")</f>
        <v>https://twitter.com/meusfii/status/1641519578592301056</v>
      </c>
      <c r="AF3571" s="79">
        <v>45015.802546296298</v>
      </c>
      <c r="AG3571" s="85">
        <v>45015</v>
      </c>
      <c r="AH3571" s="82" t="s">
        <v>13561</v>
      </c>
      <c r="AI3571" s="77" t="b">
        <v>0</v>
      </c>
      <c r="AJ3571" s="77"/>
      <c r="AK3571" s="77"/>
      <c r="AL3571" s="77"/>
      <c r="AM3571" s="77"/>
      <c r="AN3571" s="77"/>
      <c r="AO3571" s="77"/>
      <c r="AP3571" s="77"/>
      <c r="AQ3571" s="77"/>
      <c r="AR3571" s="77"/>
      <c r="AS3571" s="77"/>
      <c r="AT3571" s="77"/>
      <c r="AU3571" s="77"/>
      <c r="AV3571" s="80" t="str">
        <f>HYPERLINK("https://pbs.twimg.com/profile_images/1130931586059448320/J8lXhG_K_normal.png")</f>
        <v>https://pbs.twimg.com/profile_images/1130931586059448320/J8lXhG_K_normal.png</v>
      </c>
      <c r="AW3571" s="82" t="s">
        <v>20337</v>
      </c>
      <c r="AX3571" s="82" t="s">
        <v>20337</v>
      </c>
      <c r="AY3571" s="77"/>
      <c r="AZ3571" s="82" t="s">
        <v>20971</v>
      </c>
      <c r="BA3571" s="82" t="s">
        <v>20971</v>
      </c>
      <c r="BB3571" s="82" t="s">
        <v>20971</v>
      </c>
      <c r="BC3571" s="82" t="s">
        <v>20337</v>
      </c>
      <c r="BD3571" s="82" t="s">
        <v>21634</v>
      </c>
      <c r="BE3571" s="77"/>
      <c r="BF3571" s="77"/>
      <c r="BG3571" s="77"/>
      <c r="BH3571" s="77"/>
      <c r="BI3571" s="77"/>
    </row>
    <row r="3572" spans="1:61" x14ac:dyDescent="0.25">
      <c r="A3572" s="62" t="s">
        <v>1053</v>
      </c>
      <c r="B3572" s="62" t="s">
        <v>1053</v>
      </c>
      <c r="C3572" s="63"/>
      <c r="D3572" s="64"/>
      <c r="E3572" s="65"/>
      <c r="F3572" s="66"/>
      <c r="G3572" s="63"/>
      <c r="H3572" s="67"/>
      <c r="I3572" s="68"/>
      <c r="J3572" s="68"/>
      <c r="K3572" s="32"/>
      <c r="L3572" s="75">
        <v>3572</v>
      </c>
      <c r="M3572" s="75"/>
      <c r="N3572" s="70"/>
      <c r="O3572" s="77" t="s">
        <v>179</v>
      </c>
      <c r="P3572" s="79">
        <v>45015.802534722221</v>
      </c>
      <c r="Q3572" s="77" t="s">
        <v>4778</v>
      </c>
      <c r="R3572" s="77">
        <v>0</v>
      </c>
      <c r="S3572" s="77">
        <v>0</v>
      </c>
      <c r="T3572" s="77">
        <v>0</v>
      </c>
      <c r="U3572" s="77">
        <v>0</v>
      </c>
      <c r="V3572" s="77">
        <v>62</v>
      </c>
      <c r="W3572" s="82" t="s">
        <v>6850</v>
      </c>
      <c r="X3572" s="80" t="str">
        <f>HYPERLINK("https://www.youtube.com/watch?v=lN0q9_Ds_Ss")</f>
        <v>https://www.youtube.com/watch?v=lN0q9_Ds_Ss</v>
      </c>
      <c r="Y3572" s="77" t="s">
        <v>7303</v>
      </c>
      <c r="Z3572" s="77"/>
      <c r="AA3572" s="77"/>
      <c r="AB3572" s="77"/>
      <c r="AC3572" s="82" t="s">
        <v>10157</v>
      </c>
      <c r="AD3572" s="77" t="s">
        <v>10184</v>
      </c>
      <c r="AE3572" s="80" t="str">
        <f>HYPERLINK("https://twitter.com/meusfii/status/1641519575954071552")</f>
        <v>https://twitter.com/meusfii/status/1641519575954071552</v>
      </c>
      <c r="AF3572" s="79">
        <v>45015.802534722221</v>
      </c>
      <c r="AG3572" s="85">
        <v>45015</v>
      </c>
      <c r="AH3572" s="82" t="s">
        <v>13562</v>
      </c>
      <c r="AI3572" s="77" t="b">
        <v>0</v>
      </c>
      <c r="AJ3572" s="77"/>
      <c r="AK3572" s="77"/>
      <c r="AL3572" s="77"/>
      <c r="AM3572" s="77"/>
      <c r="AN3572" s="77"/>
      <c r="AO3572" s="77"/>
      <c r="AP3572" s="77"/>
      <c r="AQ3572" s="77"/>
      <c r="AR3572" s="77"/>
      <c r="AS3572" s="77"/>
      <c r="AT3572" s="77"/>
      <c r="AU3572" s="77"/>
      <c r="AV3572" s="80" t="str">
        <f>HYPERLINK("https://pbs.twimg.com/profile_images/1130931586059448320/J8lXhG_K_normal.png")</f>
        <v>https://pbs.twimg.com/profile_images/1130931586059448320/J8lXhG_K_normal.png</v>
      </c>
      <c r="AW3572" s="82" t="s">
        <v>20338</v>
      </c>
      <c r="AX3572" s="82" t="s">
        <v>20338</v>
      </c>
      <c r="AY3572" s="77"/>
      <c r="AZ3572" s="82" t="s">
        <v>20971</v>
      </c>
      <c r="BA3572" s="82" t="s">
        <v>20971</v>
      </c>
      <c r="BB3572" s="82" t="s">
        <v>20971</v>
      </c>
      <c r="BC3572" s="82" t="s">
        <v>20338</v>
      </c>
      <c r="BD3572" s="82" t="s">
        <v>21634</v>
      </c>
      <c r="BE3572" s="77"/>
      <c r="BF3572" s="77"/>
      <c r="BG3572" s="77"/>
      <c r="BH3572" s="77"/>
      <c r="BI3572" s="77"/>
    </row>
    <row r="3573" spans="1:61" x14ac:dyDescent="0.25">
      <c r="A3573" s="62" t="s">
        <v>1053</v>
      </c>
      <c r="B3573" s="62" t="s">
        <v>1053</v>
      </c>
      <c r="C3573" s="63"/>
      <c r="D3573" s="64"/>
      <c r="E3573" s="65"/>
      <c r="F3573" s="66"/>
      <c r="G3573" s="63"/>
      <c r="H3573" s="67"/>
      <c r="I3573" s="68"/>
      <c r="J3573" s="68"/>
      <c r="K3573" s="32"/>
      <c r="L3573" s="75">
        <v>3573</v>
      </c>
      <c r="M3573" s="75"/>
      <c r="N3573" s="70"/>
      <c r="O3573" s="77" t="s">
        <v>179</v>
      </c>
      <c r="P3573" s="79">
        <v>45015.802523148152</v>
      </c>
      <c r="Q3573" s="77" t="s">
        <v>4779</v>
      </c>
      <c r="R3573" s="77">
        <v>0</v>
      </c>
      <c r="S3573" s="77">
        <v>0</v>
      </c>
      <c r="T3573" s="77">
        <v>0</v>
      </c>
      <c r="U3573" s="77">
        <v>0</v>
      </c>
      <c r="V3573" s="77">
        <v>56</v>
      </c>
      <c r="W3573" s="82" t="s">
        <v>6851</v>
      </c>
      <c r="X3573" s="80" t="str">
        <f>HYPERLINK("https://www.youtube.com/watch?v=9rc2rvFy1cA")</f>
        <v>https://www.youtube.com/watch?v=9rc2rvFy1cA</v>
      </c>
      <c r="Y3573" s="77" t="s">
        <v>7303</v>
      </c>
      <c r="Z3573" s="77"/>
      <c r="AA3573" s="77"/>
      <c r="AB3573" s="77"/>
      <c r="AC3573" s="82" t="s">
        <v>10157</v>
      </c>
      <c r="AD3573" s="77" t="s">
        <v>10184</v>
      </c>
      <c r="AE3573" s="80" t="str">
        <f>HYPERLINK("https://twitter.com/meusfii/status/1641519571990355984")</f>
        <v>https://twitter.com/meusfii/status/1641519571990355984</v>
      </c>
      <c r="AF3573" s="79">
        <v>45015.802523148152</v>
      </c>
      <c r="AG3573" s="85">
        <v>45015</v>
      </c>
      <c r="AH3573" s="82" t="s">
        <v>13563</v>
      </c>
      <c r="AI3573" s="77" t="b">
        <v>0</v>
      </c>
      <c r="AJ3573" s="77"/>
      <c r="AK3573" s="77"/>
      <c r="AL3573" s="77"/>
      <c r="AM3573" s="77"/>
      <c r="AN3573" s="77"/>
      <c r="AO3573" s="77"/>
      <c r="AP3573" s="77"/>
      <c r="AQ3573" s="77"/>
      <c r="AR3573" s="77"/>
      <c r="AS3573" s="77"/>
      <c r="AT3573" s="77"/>
      <c r="AU3573" s="77"/>
      <c r="AV3573" s="80" t="str">
        <f>HYPERLINK("https://pbs.twimg.com/profile_images/1130931586059448320/J8lXhG_K_normal.png")</f>
        <v>https://pbs.twimg.com/profile_images/1130931586059448320/J8lXhG_K_normal.png</v>
      </c>
      <c r="AW3573" s="82" t="s">
        <v>20339</v>
      </c>
      <c r="AX3573" s="82" t="s">
        <v>20339</v>
      </c>
      <c r="AY3573" s="77"/>
      <c r="AZ3573" s="82" t="s">
        <v>20971</v>
      </c>
      <c r="BA3573" s="82" t="s">
        <v>20971</v>
      </c>
      <c r="BB3573" s="82" t="s">
        <v>20971</v>
      </c>
      <c r="BC3573" s="82" t="s">
        <v>20339</v>
      </c>
      <c r="BD3573" s="82" t="s">
        <v>21634</v>
      </c>
      <c r="BE3573" s="77"/>
      <c r="BF3573" s="77"/>
      <c r="BG3573" s="77"/>
      <c r="BH3573" s="77"/>
      <c r="BI3573" s="77"/>
    </row>
    <row r="3574" spans="1:61" x14ac:dyDescent="0.25">
      <c r="A3574" s="62" t="s">
        <v>1053</v>
      </c>
      <c r="B3574" s="62" t="s">
        <v>1053</v>
      </c>
      <c r="C3574" s="63"/>
      <c r="D3574" s="64"/>
      <c r="E3574" s="65"/>
      <c r="F3574" s="66"/>
      <c r="G3574" s="63"/>
      <c r="H3574" s="67"/>
      <c r="I3574" s="68"/>
      <c r="J3574" s="68"/>
      <c r="K3574" s="32"/>
      <c r="L3574" s="75">
        <v>3574</v>
      </c>
      <c r="M3574" s="75"/>
      <c r="N3574" s="70"/>
      <c r="O3574" s="77" t="s">
        <v>179</v>
      </c>
      <c r="P3574" s="79">
        <v>45015.802511574075</v>
      </c>
      <c r="Q3574" s="77" t="s">
        <v>4780</v>
      </c>
      <c r="R3574" s="77">
        <v>0</v>
      </c>
      <c r="S3574" s="77">
        <v>0</v>
      </c>
      <c r="T3574" s="77">
        <v>0</v>
      </c>
      <c r="U3574" s="77">
        <v>0</v>
      </c>
      <c r="V3574" s="77">
        <v>57</v>
      </c>
      <c r="W3574" s="82" t="s">
        <v>6852</v>
      </c>
      <c r="X3574" s="80" t="str">
        <f>HYPERLINK("https://www.youtube.com/watch?v=_eL1uT5stQo")</f>
        <v>https://www.youtube.com/watch?v=_eL1uT5stQo</v>
      </c>
      <c r="Y3574" s="77" t="s">
        <v>7303</v>
      </c>
      <c r="Z3574" s="77"/>
      <c r="AA3574" s="77"/>
      <c r="AB3574" s="77"/>
      <c r="AC3574" s="82" t="s">
        <v>10157</v>
      </c>
      <c r="AD3574" s="77" t="s">
        <v>10184</v>
      </c>
      <c r="AE3574" s="80" t="str">
        <f>HYPERLINK("https://twitter.com/meusfii/status/1641519567632474117")</f>
        <v>https://twitter.com/meusfii/status/1641519567632474117</v>
      </c>
      <c r="AF3574" s="79">
        <v>45015.802511574075</v>
      </c>
      <c r="AG3574" s="85">
        <v>45015</v>
      </c>
      <c r="AH3574" s="82" t="s">
        <v>13564</v>
      </c>
      <c r="AI3574" s="77" t="b">
        <v>0</v>
      </c>
      <c r="AJ3574" s="77"/>
      <c r="AK3574" s="77"/>
      <c r="AL3574" s="77"/>
      <c r="AM3574" s="77"/>
      <c r="AN3574" s="77"/>
      <c r="AO3574" s="77"/>
      <c r="AP3574" s="77"/>
      <c r="AQ3574" s="77"/>
      <c r="AR3574" s="77"/>
      <c r="AS3574" s="77"/>
      <c r="AT3574" s="77"/>
      <c r="AU3574" s="77"/>
      <c r="AV3574" s="80" t="str">
        <f>HYPERLINK("https://pbs.twimg.com/profile_images/1130931586059448320/J8lXhG_K_normal.png")</f>
        <v>https://pbs.twimg.com/profile_images/1130931586059448320/J8lXhG_K_normal.png</v>
      </c>
      <c r="AW3574" s="82" t="s">
        <v>20340</v>
      </c>
      <c r="AX3574" s="82" t="s">
        <v>20340</v>
      </c>
      <c r="AY3574" s="77"/>
      <c r="AZ3574" s="82" t="s">
        <v>20971</v>
      </c>
      <c r="BA3574" s="82" t="s">
        <v>20971</v>
      </c>
      <c r="BB3574" s="82" t="s">
        <v>20971</v>
      </c>
      <c r="BC3574" s="82" t="s">
        <v>20340</v>
      </c>
      <c r="BD3574" s="82" t="s">
        <v>21634</v>
      </c>
      <c r="BE3574" s="77"/>
      <c r="BF3574" s="77"/>
      <c r="BG3574" s="77"/>
      <c r="BH3574" s="77"/>
      <c r="BI3574" s="77"/>
    </row>
    <row r="3575" spans="1:61" x14ac:dyDescent="0.25">
      <c r="A3575" s="62" t="s">
        <v>1053</v>
      </c>
      <c r="B3575" s="62" t="s">
        <v>1053</v>
      </c>
      <c r="C3575" s="63"/>
      <c r="D3575" s="64"/>
      <c r="E3575" s="65"/>
      <c r="F3575" s="66"/>
      <c r="G3575" s="63"/>
      <c r="H3575" s="67"/>
      <c r="I3575" s="68"/>
      <c r="J3575" s="68"/>
      <c r="K3575" s="32"/>
      <c r="L3575" s="75">
        <v>3575</v>
      </c>
      <c r="M3575" s="75"/>
      <c r="N3575" s="70"/>
      <c r="O3575" s="77" t="s">
        <v>179</v>
      </c>
      <c r="P3575" s="79">
        <v>44999.219236111108</v>
      </c>
      <c r="Q3575" s="77" t="s">
        <v>4781</v>
      </c>
      <c r="R3575" s="77">
        <v>0</v>
      </c>
      <c r="S3575" s="77">
        <v>1</v>
      </c>
      <c r="T3575" s="77">
        <v>0</v>
      </c>
      <c r="U3575" s="77">
        <v>0</v>
      </c>
      <c r="V3575" s="77">
        <v>66</v>
      </c>
      <c r="W3575" s="82" t="s">
        <v>6853</v>
      </c>
      <c r="X3575" s="80" t="str">
        <f>HYPERLINK("https://www.youtube.com/watch?v=VaoLoyoOvUI")</f>
        <v>https://www.youtube.com/watch?v=VaoLoyoOvUI</v>
      </c>
      <c r="Y3575" s="77" t="s">
        <v>7303</v>
      </c>
      <c r="Z3575" s="77"/>
      <c r="AA3575" s="77"/>
      <c r="AB3575" s="77"/>
      <c r="AC3575" s="82" t="s">
        <v>10157</v>
      </c>
      <c r="AD3575" s="77" t="s">
        <v>10184</v>
      </c>
      <c r="AE3575" s="80" t="str">
        <f>HYPERLINK("https://twitter.com/meusfii/status/1635509990130606082")</f>
        <v>https://twitter.com/meusfii/status/1635509990130606082</v>
      </c>
      <c r="AF3575" s="79">
        <v>44999.219236111108</v>
      </c>
      <c r="AG3575" s="85">
        <v>44999</v>
      </c>
      <c r="AH3575" s="82" t="s">
        <v>13565</v>
      </c>
      <c r="AI3575" s="77" t="b">
        <v>0</v>
      </c>
      <c r="AJ3575" s="77"/>
      <c r="AK3575" s="77"/>
      <c r="AL3575" s="77"/>
      <c r="AM3575" s="77"/>
      <c r="AN3575" s="77"/>
      <c r="AO3575" s="77"/>
      <c r="AP3575" s="77"/>
      <c r="AQ3575" s="77"/>
      <c r="AR3575" s="77"/>
      <c r="AS3575" s="77"/>
      <c r="AT3575" s="77"/>
      <c r="AU3575" s="77"/>
      <c r="AV3575" s="80" t="str">
        <f>HYPERLINK("https://pbs.twimg.com/profile_images/1130931586059448320/J8lXhG_K_normal.png")</f>
        <v>https://pbs.twimg.com/profile_images/1130931586059448320/J8lXhG_K_normal.png</v>
      </c>
      <c r="AW3575" s="82" t="s">
        <v>20341</v>
      </c>
      <c r="AX3575" s="82" t="s">
        <v>20341</v>
      </c>
      <c r="AY3575" s="77"/>
      <c r="AZ3575" s="82" t="s">
        <v>20971</v>
      </c>
      <c r="BA3575" s="82" t="s">
        <v>20971</v>
      </c>
      <c r="BB3575" s="82" t="s">
        <v>20971</v>
      </c>
      <c r="BC3575" s="82" t="s">
        <v>20341</v>
      </c>
      <c r="BD3575" s="82" t="s">
        <v>21634</v>
      </c>
      <c r="BE3575" s="77"/>
      <c r="BF3575" s="77"/>
      <c r="BG3575" s="77"/>
      <c r="BH3575" s="77"/>
      <c r="BI3575" s="77"/>
    </row>
    <row r="3576" spans="1:61" x14ac:dyDescent="0.25">
      <c r="A3576" s="62" t="s">
        <v>1053</v>
      </c>
      <c r="B3576" s="62" t="s">
        <v>1053</v>
      </c>
      <c r="C3576" s="63"/>
      <c r="D3576" s="64"/>
      <c r="E3576" s="65"/>
      <c r="F3576" s="66"/>
      <c r="G3576" s="63"/>
      <c r="H3576" s="67"/>
      <c r="I3576" s="68"/>
      <c r="J3576" s="68"/>
      <c r="K3576" s="32"/>
      <c r="L3576" s="75">
        <v>3576</v>
      </c>
      <c r="M3576" s="75"/>
      <c r="N3576" s="70"/>
      <c r="O3576" s="77" t="s">
        <v>179</v>
      </c>
      <c r="P3576" s="79">
        <v>44998.677615740744</v>
      </c>
      <c r="Q3576" s="77" t="s">
        <v>4782</v>
      </c>
      <c r="R3576" s="77">
        <v>0</v>
      </c>
      <c r="S3576" s="77">
        <v>1</v>
      </c>
      <c r="T3576" s="77">
        <v>0</v>
      </c>
      <c r="U3576" s="77">
        <v>0</v>
      </c>
      <c r="V3576" s="77">
        <v>76</v>
      </c>
      <c r="W3576" s="82" t="s">
        <v>6854</v>
      </c>
      <c r="X3576" s="80" t="str">
        <f>HYPERLINK("https://www.youtube.com/watch?v=V_r9LgeEsqw")</f>
        <v>https://www.youtube.com/watch?v=V_r9LgeEsqw</v>
      </c>
      <c r="Y3576" s="77" t="s">
        <v>7303</v>
      </c>
      <c r="Z3576" s="77"/>
      <c r="AA3576" s="77"/>
      <c r="AB3576" s="77"/>
      <c r="AC3576" s="82" t="s">
        <v>10157</v>
      </c>
      <c r="AD3576" s="77" t="s">
        <v>10187</v>
      </c>
      <c r="AE3576" s="80" t="str">
        <f>HYPERLINK("https://twitter.com/meusfii/status/1635313711601819648")</f>
        <v>https://twitter.com/meusfii/status/1635313711601819648</v>
      </c>
      <c r="AF3576" s="79">
        <v>44998.677615740744</v>
      </c>
      <c r="AG3576" s="85">
        <v>44998</v>
      </c>
      <c r="AH3576" s="82" t="s">
        <v>13555</v>
      </c>
      <c r="AI3576" s="77" t="b">
        <v>0</v>
      </c>
      <c r="AJ3576" s="77"/>
      <c r="AK3576" s="77"/>
      <c r="AL3576" s="77"/>
      <c r="AM3576" s="77"/>
      <c r="AN3576" s="77"/>
      <c r="AO3576" s="77"/>
      <c r="AP3576" s="77"/>
      <c r="AQ3576" s="77"/>
      <c r="AR3576" s="77"/>
      <c r="AS3576" s="77"/>
      <c r="AT3576" s="77"/>
      <c r="AU3576" s="77"/>
      <c r="AV3576" s="80" t="str">
        <f>HYPERLINK("https://pbs.twimg.com/profile_images/1130931586059448320/J8lXhG_K_normal.png")</f>
        <v>https://pbs.twimg.com/profile_images/1130931586059448320/J8lXhG_K_normal.png</v>
      </c>
      <c r="AW3576" s="82" t="s">
        <v>20342</v>
      </c>
      <c r="AX3576" s="82" t="s">
        <v>20342</v>
      </c>
      <c r="AY3576" s="77"/>
      <c r="AZ3576" s="82" t="s">
        <v>20971</v>
      </c>
      <c r="BA3576" s="82" t="s">
        <v>20971</v>
      </c>
      <c r="BB3576" s="82" t="s">
        <v>20971</v>
      </c>
      <c r="BC3576" s="82" t="s">
        <v>20342</v>
      </c>
      <c r="BD3576" s="82" t="s">
        <v>21634</v>
      </c>
      <c r="BE3576" s="77"/>
      <c r="BF3576" s="77"/>
      <c r="BG3576" s="77"/>
      <c r="BH3576" s="77"/>
      <c r="BI3576" s="77"/>
    </row>
    <row r="3577" spans="1:61" x14ac:dyDescent="0.25">
      <c r="A3577" s="62" t="s">
        <v>1053</v>
      </c>
      <c r="B3577" s="62" t="s">
        <v>1053</v>
      </c>
      <c r="C3577" s="63"/>
      <c r="D3577" s="64"/>
      <c r="E3577" s="65"/>
      <c r="F3577" s="66"/>
      <c r="G3577" s="63"/>
      <c r="H3577" s="67"/>
      <c r="I3577" s="68"/>
      <c r="J3577" s="68"/>
      <c r="K3577" s="32"/>
      <c r="L3577" s="75">
        <v>3577</v>
      </c>
      <c r="M3577" s="75"/>
      <c r="N3577" s="70"/>
      <c r="O3577" s="77" t="s">
        <v>179</v>
      </c>
      <c r="P3577" s="79">
        <v>44997.635613425926</v>
      </c>
      <c r="Q3577" s="77" t="s">
        <v>4783</v>
      </c>
      <c r="R3577" s="77">
        <v>0</v>
      </c>
      <c r="S3577" s="77">
        <v>1</v>
      </c>
      <c r="T3577" s="77">
        <v>0</v>
      </c>
      <c r="U3577" s="77">
        <v>0</v>
      </c>
      <c r="V3577" s="77">
        <v>190</v>
      </c>
      <c r="W3577" s="82" t="s">
        <v>6855</v>
      </c>
      <c r="X3577" s="80" t="str">
        <f>HYPERLINK("https://www.youtube.com/watch?v=QNWdbFerEX0")</f>
        <v>https://www.youtube.com/watch?v=QNWdbFerEX0</v>
      </c>
      <c r="Y3577" s="77" t="s">
        <v>7303</v>
      </c>
      <c r="Z3577" s="77"/>
      <c r="AA3577" s="77"/>
      <c r="AB3577" s="77"/>
      <c r="AC3577" s="82" t="s">
        <v>10157</v>
      </c>
      <c r="AD3577" s="77" t="s">
        <v>10184</v>
      </c>
      <c r="AE3577" s="80" t="str">
        <f>HYPERLINK("https://twitter.com/meusfii/status/1634936105316368384")</f>
        <v>https://twitter.com/meusfii/status/1634936105316368384</v>
      </c>
      <c r="AF3577" s="79">
        <v>44997.635613425926</v>
      </c>
      <c r="AG3577" s="85">
        <v>44997</v>
      </c>
      <c r="AH3577" s="82" t="s">
        <v>13566</v>
      </c>
      <c r="AI3577" s="77" t="b">
        <v>0</v>
      </c>
      <c r="AJ3577" s="77"/>
      <c r="AK3577" s="77"/>
      <c r="AL3577" s="77"/>
      <c r="AM3577" s="77"/>
      <c r="AN3577" s="77"/>
      <c r="AO3577" s="77"/>
      <c r="AP3577" s="77"/>
      <c r="AQ3577" s="77"/>
      <c r="AR3577" s="77"/>
      <c r="AS3577" s="77"/>
      <c r="AT3577" s="77"/>
      <c r="AU3577" s="77"/>
      <c r="AV3577" s="80" t="str">
        <f>HYPERLINK("https://pbs.twimg.com/profile_images/1130931586059448320/J8lXhG_K_normal.png")</f>
        <v>https://pbs.twimg.com/profile_images/1130931586059448320/J8lXhG_K_normal.png</v>
      </c>
      <c r="AW3577" s="82" t="s">
        <v>20343</v>
      </c>
      <c r="AX3577" s="82" t="s">
        <v>20343</v>
      </c>
      <c r="AY3577" s="77"/>
      <c r="AZ3577" s="82" t="s">
        <v>20971</v>
      </c>
      <c r="BA3577" s="82" t="s">
        <v>20971</v>
      </c>
      <c r="BB3577" s="82" t="s">
        <v>20971</v>
      </c>
      <c r="BC3577" s="82" t="s">
        <v>20343</v>
      </c>
      <c r="BD3577" s="82" t="s">
        <v>21634</v>
      </c>
      <c r="BE3577" s="77"/>
      <c r="BF3577" s="77"/>
      <c r="BG3577" s="77"/>
      <c r="BH3577" s="77"/>
      <c r="BI3577" s="77"/>
    </row>
    <row r="3578" spans="1:61" x14ac:dyDescent="0.25">
      <c r="A3578" s="62" t="s">
        <v>1053</v>
      </c>
      <c r="B3578" s="62" t="s">
        <v>1053</v>
      </c>
      <c r="C3578" s="63"/>
      <c r="D3578" s="64"/>
      <c r="E3578" s="65"/>
      <c r="F3578" s="66"/>
      <c r="G3578" s="63"/>
      <c r="H3578" s="67"/>
      <c r="I3578" s="68"/>
      <c r="J3578" s="68"/>
      <c r="K3578" s="32"/>
      <c r="L3578" s="75">
        <v>3578</v>
      </c>
      <c r="M3578" s="75"/>
      <c r="N3578" s="70"/>
      <c r="O3578" s="77" t="s">
        <v>179</v>
      </c>
      <c r="P3578" s="79">
        <v>45067.802939814814</v>
      </c>
      <c r="Q3578" s="77" t="s">
        <v>4784</v>
      </c>
      <c r="R3578" s="77">
        <v>0</v>
      </c>
      <c r="S3578" s="77">
        <v>0</v>
      </c>
      <c r="T3578" s="77">
        <v>0</v>
      </c>
      <c r="U3578" s="77">
        <v>0</v>
      </c>
      <c r="V3578" s="77">
        <v>108</v>
      </c>
      <c r="W3578" s="82" t="s">
        <v>6856</v>
      </c>
      <c r="X3578" s="80" t="str">
        <f>HYPERLINK("https://www.youtube.com/watch?v=FzsxvKfhIV8")</f>
        <v>https://www.youtube.com/watch?v=FzsxvKfhIV8</v>
      </c>
      <c r="Y3578" s="77" t="s">
        <v>7303</v>
      </c>
      <c r="Z3578" s="77"/>
      <c r="AA3578" s="77"/>
      <c r="AB3578" s="77"/>
      <c r="AC3578" s="82" t="s">
        <v>10157</v>
      </c>
      <c r="AD3578" s="77" t="s">
        <v>10184</v>
      </c>
      <c r="AE3578" s="80" t="str">
        <f>HYPERLINK("https://twitter.com/meusfii/status/1660363892273324033")</f>
        <v>https://twitter.com/meusfii/status/1660363892273324033</v>
      </c>
      <c r="AF3578" s="79">
        <v>45067.802939814814</v>
      </c>
      <c r="AG3578" s="85">
        <v>45067</v>
      </c>
      <c r="AH3578" s="82" t="s">
        <v>13567</v>
      </c>
      <c r="AI3578" s="77" t="b">
        <v>0</v>
      </c>
      <c r="AJ3578" s="77"/>
      <c r="AK3578" s="77"/>
      <c r="AL3578" s="77"/>
      <c r="AM3578" s="77"/>
      <c r="AN3578" s="77"/>
      <c r="AO3578" s="77"/>
      <c r="AP3578" s="77"/>
      <c r="AQ3578" s="77"/>
      <c r="AR3578" s="77"/>
      <c r="AS3578" s="77"/>
      <c r="AT3578" s="77"/>
      <c r="AU3578" s="77"/>
      <c r="AV3578" s="80" t="str">
        <f>HYPERLINK("https://pbs.twimg.com/profile_images/1130931586059448320/J8lXhG_K_normal.png")</f>
        <v>https://pbs.twimg.com/profile_images/1130931586059448320/J8lXhG_K_normal.png</v>
      </c>
      <c r="AW3578" s="82" t="s">
        <v>20344</v>
      </c>
      <c r="AX3578" s="82" t="s">
        <v>20344</v>
      </c>
      <c r="AY3578" s="77"/>
      <c r="AZ3578" s="82" t="s">
        <v>20971</v>
      </c>
      <c r="BA3578" s="82" t="s">
        <v>20971</v>
      </c>
      <c r="BB3578" s="82" t="s">
        <v>20971</v>
      </c>
      <c r="BC3578" s="82" t="s">
        <v>20344</v>
      </c>
      <c r="BD3578" s="82" t="s">
        <v>21634</v>
      </c>
      <c r="BE3578" s="77"/>
      <c r="BF3578" s="77"/>
      <c r="BG3578" s="77"/>
      <c r="BH3578" s="77"/>
      <c r="BI3578" s="77"/>
    </row>
    <row r="3579" spans="1:61" x14ac:dyDescent="0.25">
      <c r="A3579" s="62" t="s">
        <v>1053</v>
      </c>
      <c r="B3579" s="62" t="s">
        <v>1053</v>
      </c>
      <c r="C3579" s="63"/>
      <c r="D3579" s="64"/>
      <c r="E3579" s="65"/>
      <c r="F3579" s="66"/>
      <c r="G3579" s="63"/>
      <c r="H3579" s="67"/>
      <c r="I3579" s="68"/>
      <c r="J3579" s="68"/>
      <c r="K3579" s="32"/>
      <c r="L3579" s="75">
        <v>3579</v>
      </c>
      <c r="M3579" s="75"/>
      <c r="N3579" s="70"/>
      <c r="O3579" s="77" t="s">
        <v>179</v>
      </c>
      <c r="P3579" s="79">
        <v>45066.885810185187</v>
      </c>
      <c r="Q3579" s="77" t="s">
        <v>4785</v>
      </c>
      <c r="R3579" s="77">
        <v>0</v>
      </c>
      <c r="S3579" s="77">
        <v>0</v>
      </c>
      <c r="T3579" s="77">
        <v>0</v>
      </c>
      <c r="U3579" s="77">
        <v>0</v>
      </c>
      <c r="V3579" s="77">
        <v>104</v>
      </c>
      <c r="W3579" s="82" t="s">
        <v>6857</v>
      </c>
      <c r="X3579" s="80" t="str">
        <f>HYPERLINK("https://www.youtube.com/watch?v=b4suzC5LQwg")</f>
        <v>https://www.youtube.com/watch?v=b4suzC5LQwg</v>
      </c>
      <c r="Y3579" s="77" t="s">
        <v>7303</v>
      </c>
      <c r="Z3579" s="77"/>
      <c r="AA3579" s="77"/>
      <c r="AB3579" s="77"/>
      <c r="AC3579" s="82" t="s">
        <v>10157</v>
      </c>
      <c r="AD3579" s="77" t="s">
        <v>10187</v>
      </c>
      <c r="AE3579" s="80" t="str">
        <f>HYPERLINK("https://twitter.com/meusfii/status/1660031534437474310")</f>
        <v>https://twitter.com/meusfii/status/1660031534437474310</v>
      </c>
      <c r="AF3579" s="79">
        <v>45066.885810185187</v>
      </c>
      <c r="AG3579" s="85">
        <v>45066</v>
      </c>
      <c r="AH3579" s="82" t="s">
        <v>13568</v>
      </c>
      <c r="AI3579" s="77" t="b">
        <v>0</v>
      </c>
      <c r="AJ3579" s="77"/>
      <c r="AK3579" s="77"/>
      <c r="AL3579" s="77"/>
      <c r="AM3579" s="77"/>
      <c r="AN3579" s="77"/>
      <c r="AO3579" s="77"/>
      <c r="AP3579" s="77"/>
      <c r="AQ3579" s="77"/>
      <c r="AR3579" s="77"/>
      <c r="AS3579" s="77"/>
      <c r="AT3579" s="77"/>
      <c r="AU3579" s="77"/>
      <c r="AV3579" s="80" t="str">
        <f>HYPERLINK("https://pbs.twimg.com/profile_images/1130931586059448320/J8lXhG_K_normal.png")</f>
        <v>https://pbs.twimg.com/profile_images/1130931586059448320/J8lXhG_K_normal.png</v>
      </c>
      <c r="AW3579" s="82" t="s">
        <v>20345</v>
      </c>
      <c r="AX3579" s="82" t="s">
        <v>20345</v>
      </c>
      <c r="AY3579" s="77"/>
      <c r="AZ3579" s="82" t="s">
        <v>20971</v>
      </c>
      <c r="BA3579" s="82" t="s">
        <v>20971</v>
      </c>
      <c r="BB3579" s="82" t="s">
        <v>20971</v>
      </c>
      <c r="BC3579" s="82" t="s">
        <v>20345</v>
      </c>
      <c r="BD3579" s="82" t="s">
        <v>21634</v>
      </c>
      <c r="BE3579" s="77"/>
      <c r="BF3579" s="77"/>
      <c r="BG3579" s="77"/>
      <c r="BH3579" s="77"/>
      <c r="BI3579" s="77"/>
    </row>
    <row r="3580" spans="1:61" x14ac:dyDescent="0.25">
      <c r="A3580" s="62" t="s">
        <v>1053</v>
      </c>
      <c r="B3580" s="62" t="s">
        <v>1053</v>
      </c>
      <c r="C3580" s="63"/>
      <c r="D3580" s="64"/>
      <c r="E3580" s="65"/>
      <c r="F3580" s="66"/>
      <c r="G3580" s="63"/>
      <c r="H3580" s="67"/>
      <c r="I3580" s="68"/>
      <c r="J3580" s="68"/>
      <c r="K3580" s="32"/>
      <c r="L3580" s="75">
        <v>3580</v>
      </c>
      <c r="M3580" s="75"/>
      <c r="N3580" s="70"/>
      <c r="O3580" s="77" t="s">
        <v>179</v>
      </c>
      <c r="P3580" s="79">
        <v>45040.679456018515</v>
      </c>
      <c r="Q3580" s="77" t="s">
        <v>4786</v>
      </c>
      <c r="R3580" s="77">
        <v>0</v>
      </c>
      <c r="S3580" s="77">
        <v>0</v>
      </c>
      <c r="T3580" s="77">
        <v>0</v>
      </c>
      <c r="U3580" s="77">
        <v>0</v>
      </c>
      <c r="V3580" s="77">
        <v>64</v>
      </c>
      <c r="W3580" s="82" t="s">
        <v>6858</v>
      </c>
      <c r="X3580" s="80" t="str">
        <f>HYPERLINK("https://www.youtube.com/watch?v=--5hQ4UkFZI")</f>
        <v>https://www.youtube.com/watch?v=--5hQ4UkFZI</v>
      </c>
      <c r="Y3580" s="77" t="s">
        <v>7303</v>
      </c>
      <c r="Z3580" s="77"/>
      <c r="AA3580" s="77"/>
      <c r="AB3580" s="77"/>
      <c r="AC3580" s="82" t="s">
        <v>10157</v>
      </c>
      <c r="AD3580" s="77" t="s">
        <v>10184</v>
      </c>
      <c r="AE3580" s="80" t="str">
        <f>HYPERLINK("https://twitter.com/meusfii/status/1650534668834316291")</f>
        <v>https://twitter.com/meusfii/status/1650534668834316291</v>
      </c>
      <c r="AF3580" s="79">
        <v>45040.679456018515</v>
      </c>
      <c r="AG3580" s="85">
        <v>45040</v>
      </c>
      <c r="AH3580" s="82" t="s">
        <v>13569</v>
      </c>
      <c r="AI3580" s="77" t="b">
        <v>0</v>
      </c>
      <c r="AJ3580" s="77"/>
      <c r="AK3580" s="77"/>
      <c r="AL3580" s="77"/>
      <c r="AM3580" s="77"/>
      <c r="AN3580" s="77"/>
      <c r="AO3580" s="77"/>
      <c r="AP3580" s="77"/>
      <c r="AQ3580" s="77"/>
      <c r="AR3580" s="77"/>
      <c r="AS3580" s="77"/>
      <c r="AT3580" s="77"/>
      <c r="AU3580" s="77"/>
      <c r="AV3580" s="80" t="str">
        <f>HYPERLINK("https://pbs.twimg.com/profile_images/1130931586059448320/J8lXhG_K_normal.png")</f>
        <v>https://pbs.twimg.com/profile_images/1130931586059448320/J8lXhG_K_normal.png</v>
      </c>
      <c r="AW3580" s="82" t="s">
        <v>20346</v>
      </c>
      <c r="AX3580" s="82" t="s">
        <v>20346</v>
      </c>
      <c r="AY3580" s="77"/>
      <c r="AZ3580" s="82" t="s">
        <v>20971</v>
      </c>
      <c r="BA3580" s="82" t="s">
        <v>20971</v>
      </c>
      <c r="BB3580" s="82" t="s">
        <v>20971</v>
      </c>
      <c r="BC3580" s="82" t="s">
        <v>20346</v>
      </c>
      <c r="BD3580" s="82" t="s">
        <v>21634</v>
      </c>
      <c r="BE3580" s="77"/>
      <c r="BF3580" s="77"/>
      <c r="BG3580" s="77"/>
      <c r="BH3580" s="77"/>
      <c r="BI3580" s="77"/>
    </row>
    <row r="3581" spans="1:61" x14ac:dyDescent="0.25">
      <c r="A3581" s="62" t="s">
        <v>1053</v>
      </c>
      <c r="B3581" s="62" t="s">
        <v>1053</v>
      </c>
      <c r="C3581" s="63"/>
      <c r="D3581" s="64"/>
      <c r="E3581" s="65"/>
      <c r="F3581" s="66"/>
      <c r="G3581" s="63"/>
      <c r="H3581" s="67"/>
      <c r="I3581" s="68"/>
      <c r="J3581" s="68"/>
      <c r="K3581" s="32"/>
      <c r="L3581" s="75">
        <v>3581</v>
      </c>
      <c r="M3581" s="75"/>
      <c r="N3581" s="70"/>
      <c r="O3581" s="77" t="s">
        <v>179</v>
      </c>
      <c r="P3581" s="79">
        <v>45036.719317129631</v>
      </c>
      <c r="Q3581" s="77" t="s">
        <v>4787</v>
      </c>
      <c r="R3581" s="77">
        <v>0</v>
      </c>
      <c r="S3581" s="77">
        <v>0</v>
      </c>
      <c r="T3581" s="77">
        <v>0</v>
      </c>
      <c r="U3581" s="77">
        <v>0</v>
      </c>
      <c r="V3581" s="77">
        <v>43</v>
      </c>
      <c r="W3581" s="82" t="s">
        <v>6859</v>
      </c>
      <c r="X3581" s="80" t="str">
        <f>HYPERLINK("https://www.youtube.com/watch?v=c9R1FWoKKYA")</f>
        <v>https://www.youtube.com/watch?v=c9R1FWoKKYA</v>
      </c>
      <c r="Y3581" s="77" t="s">
        <v>7303</v>
      </c>
      <c r="Z3581" s="77"/>
      <c r="AA3581" s="77"/>
      <c r="AB3581" s="77"/>
      <c r="AC3581" s="82" t="s">
        <v>10157</v>
      </c>
      <c r="AD3581" s="77" t="s">
        <v>10184</v>
      </c>
      <c r="AE3581" s="80" t="str">
        <f>HYPERLINK("https://twitter.com/meusfii/status/1649099562903126040")</f>
        <v>https://twitter.com/meusfii/status/1649099562903126040</v>
      </c>
      <c r="AF3581" s="79">
        <v>45036.719317129631</v>
      </c>
      <c r="AG3581" s="85">
        <v>45036</v>
      </c>
      <c r="AH3581" s="82" t="s">
        <v>13570</v>
      </c>
      <c r="AI3581" s="77" t="b">
        <v>0</v>
      </c>
      <c r="AJ3581" s="77"/>
      <c r="AK3581" s="77"/>
      <c r="AL3581" s="77"/>
      <c r="AM3581" s="77"/>
      <c r="AN3581" s="77"/>
      <c r="AO3581" s="77"/>
      <c r="AP3581" s="77"/>
      <c r="AQ3581" s="77"/>
      <c r="AR3581" s="77"/>
      <c r="AS3581" s="77"/>
      <c r="AT3581" s="77"/>
      <c r="AU3581" s="77"/>
      <c r="AV3581" s="80" t="str">
        <f>HYPERLINK("https://pbs.twimg.com/profile_images/1130931586059448320/J8lXhG_K_normal.png")</f>
        <v>https://pbs.twimg.com/profile_images/1130931586059448320/J8lXhG_K_normal.png</v>
      </c>
      <c r="AW3581" s="82" t="s">
        <v>20347</v>
      </c>
      <c r="AX3581" s="82" t="s">
        <v>20347</v>
      </c>
      <c r="AY3581" s="77"/>
      <c r="AZ3581" s="82" t="s">
        <v>20971</v>
      </c>
      <c r="BA3581" s="82" t="s">
        <v>20971</v>
      </c>
      <c r="BB3581" s="82" t="s">
        <v>20971</v>
      </c>
      <c r="BC3581" s="82" t="s">
        <v>20347</v>
      </c>
      <c r="BD3581" s="82" t="s">
        <v>21634</v>
      </c>
      <c r="BE3581" s="77"/>
      <c r="BF3581" s="77"/>
      <c r="BG3581" s="77"/>
      <c r="BH3581" s="77"/>
      <c r="BI3581" s="77"/>
    </row>
    <row r="3582" spans="1:61" x14ac:dyDescent="0.25">
      <c r="A3582" s="62" t="s">
        <v>1053</v>
      </c>
      <c r="B3582" s="62" t="s">
        <v>1053</v>
      </c>
      <c r="C3582" s="63"/>
      <c r="D3582" s="64"/>
      <c r="E3582" s="65"/>
      <c r="F3582" s="66"/>
      <c r="G3582" s="63"/>
      <c r="H3582" s="67"/>
      <c r="I3582" s="68"/>
      <c r="J3582" s="68"/>
      <c r="K3582" s="32"/>
      <c r="L3582" s="75">
        <v>3582</v>
      </c>
      <c r="M3582" s="75"/>
      <c r="N3582" s="70"/>
      <c r="O3582" s="77" t="s">
        <v>179</v>
      </c>
      <c r="P3582" s="79">
        <v>45015.760787037034</v>
      </c>
      <c r="Q3582" s="77" t="s">
        <v>4788</v>
      </c>
      <c r="R3582" s="77">
        <v>0</v>
      </c>
      <c r="S3582" s="77">
        <v>0</v>
      </c>
      <c r="T3582" s="77">
        <v>0</v>
      </c>
      <c r="U3582" s="77">
        <v>0</v>
      </c>
      <c r="V3582" s="77">
        <v>52</v>
      </c>
      <c r="W3582" s="82" t="s">
        <v>6841</v>
      </c>
      <c r="X3582" s="80" t="str">
        <f>HYPERLINK("https://www.youtube.com/watch?v=rh_qh9Q59XY")</f>
        <v>https://www.youtube.com/watch?v=rh_qh9Q59XY</v>
      </c>
      <c r="Y3582" s="77" t="s">
        <v>7303</v>
      </c>
      <c r="Z3582" s="77"/>
      <c r="AA3582" s="77"/>
      <c r="AB3582" s="77"/>
      <c r="AC3582" s="82" t="s">
        <v>10157</v>
      </c>
      <c r="AD3582" s="77" t="s">
        <v>10184</v>
      </c>
      <c r="AE3582" s="80" t="str">
        <f>HYPERLINK("https://twitter.com/meusfii/status/1641504445258244096")</f>
        <v>https://twitter.com/meusfii/status/1641504445258244096</v>
      </c>
      <c r="AF3582" s="79">
        <v>45015.760787037034</v>
      </c>
      <c r="AG3582" s="85">
        <v>45015</v>
      </c>
      <c r="AH3582" s="82" t="s">
        <v>13571</v>
      </c>
      <c r="AI3582" s="77" t="b">
        <v>0</v>
      </c>
      <c r="AJ3582" s="77"/>
      <c r="AK3582" s="77"/>
      <c r="AL3582" s="77"/>
      <c r="AM3582" s="77"/>
      <c r="AN3582" s="77"/>
      <c r="AO3582" s="77"/>
      <c r="AP3582" s="77"/>
      <c r="AQ3582" s="77"/>
      <c r="AR3582" s="77"/>
      <c r="AS3582" s="77"/>
      <c r="AT3582" s="77"/>
      <c r="AU3582" s="77"/>
      <c r="AV3582" s="80" t="str">
        <f>HYPERLINK("https://pbs.twimg.com/profile_images/1130931586059448320/J8lXhG_K_normal.png")</f>
        <v>https://pbs.twimg.com/profile_images/1130931586059448320/J8lXhG_K_normal.png</v>
      </c>
      <c r="AW3582" s="82" t="s">
        <v>20348</v>
      </c>
      <c r="AX3582" s="82" t="s">
        <v>20348</v>
      </c>
      <c r="AY3582" s="77"/>
      <c r="AZ3582" s="82" t="s">
        <v>20971</v>
      </c>
      <c r="BA3582" s="82" t="s">
        <v>20971</v>
      </c>
      <c r="BB3582" s="82" t="s">
        <v>20971</v>
      </c>
      <c r="BC3582" s="82" t="s">
        <v>20348</v>
      </c>
      <c r="BD3582" s="82" t="s">
        <v>21634</v>
      </c>
      <c r="BE3582" s="77"/>
      <c r="BF3582" s="77"/>
      <c r="BG3582" s="77"/>
      <c r="BH3582" s="77"/>
      <c r="BI3582" s="77"/>
    </row>
    <row r="3583" spans="1:61" x14ac:dyDescent="0.25">
      <c r="A3583" s="62" t="s">
        <v>1053</v>
      </c>
      <c r="B3583" s="62" t="s">
        <v>1053</v>
      </c>
      <c r="C3583" s="63"/>
      <c r="D3583" s="64"/>
      <c r="E3583" s="65"/>
      <c r="F3583" s="66"/>
      <c r="G3583" s="63"/>
      <c r="H3583" s="67"/>
      <c r="I3583" s="68"/>
      <c r="J3583" s="68"/>
      <c r="K3583" s="32"/>
      <c r="L3583" s="75">
        <v>3583</v>
      </c>
      <c r="M3583" s="75"/>
      <c r="N3583" s="70"/>
      <c r="O3583" s="77" t="s">
        <v>179</v>
      </c>
      <c r="P3583" s="79">
        <v>45014.135601851849</v>
      </c>
      <c r="Q3583" s="77" t="s">
        <v>4789</v>
      </c>
      <c r="R3583" s="77">
        <v>0</v>
      </c>
      <c r="S3583" s="77">
        <v>0</v>
      </c>
      <c r="T3583" s="77">
        <v>0</v>
      </c>
      <c r="U3583" s="77">
        <v>0</v>
      </c>
      <c r="V3583" s="77">
        <v>77</v>
      </c>
      <c r="W3583" s="82" t="s">
        <v>6860</v>
      </c>
      <c r="X3583" s="80" t="str">
        <f>HYPERLINK("https://www.youtube.com/watch?v=fsA0Q3Hp4rc")</f>
        <v>https://www.youtube.com/watch?v=fsA0Q3Hp4rc</v>
      </c>
      <c r="Y3583" s="77" t="s">
        <v>7303</v>
      </c>
      <c r="Z3583" s="77"/>
      <c r="AA3583" s="77"/>
      <c r="AB3583" s="77"/>
      <c r="AC3583" s="82" t="s">
        <v>10157</v>
      </c>
      <c r="AD3583" s="77" t="s">
        <v>10184</v>
      </c>
      <c r="AE3583" s="80" t="str">
        <f>HYPERLINK("https://twitter.com/meusfii/status/1640915501298622466")</f>
        <v>https://twitter.com/meusfii/status/1640915501298622466</v>
      </c>
      <c r="AF3583" s="79">
        <v>45014.135601851849</v>
      </c>
      <c r="AG3583" s="85">
        <v>45014</v>
      </c>
      <c r="AH3583" s="82" t="s">
        <v>13572</v>
      </c>
      <c r="AI3583" s="77" t="b">
        <v>0</v>
      </c>
      <c r="AJ3583" s="77"/>
      <c r="AK3583" s="77"/>
      <c r="AL3583" s="77"/>
      <c r="AM3583" s="77"/>
      <c r="AN3583" s="77"/>
      <c r="AO3583" s="77"/>
      <c r="AP3583" s="77"/>
      <c r="AQ3583" s="77"/>
      <c r="AR3583" s="77"/>
      <c r="AS3583" s="77"/>
      <c r="AT3583" s="77"/>
      <c r="AU3583" s="77"/>
      <c r="AV3583" s="80" t="str">
        <f>HYPERLINK("https://pbs.twimg.com/profile_images/1130931586059448320/J8lXhG_K_normal.png")</f>
        <v>https://pbs.twimg.com/profile_images/1130931586059448320/J8lXhG_K_normal.png</v>
      </c>
      <c r="AW3583" s="82" t="s">
        <v>20349</v>
      </c>
      <c r="AX3583" s="82" t="s">
        <v>20349</v>
      </c>
      <c r="AY3583" s="77"/>
      <c r="AZ3583" s="82" t="s">
        <v>20971</v>
      </c>
      <c r="BA3583" s="82" t="s">
        <v>20971</v>
      </c>
      <c r="BB3583" s="82" t="s">
        <v>20971</v>
      </c>
      <c r="BC3583" s="82" t="s">
        <v>20349</v>
      </c>
      <c r="BD3583" s="82" t="s">
        <v>21634</v>
      </c>
      <c r="BE3583" s="77"/>
      <c r="BF3583" s="77"/>
      <c r="BG3583" s="77"/>
      <c r="BH3583" s="77"/>
      <c r="BI3583" s="77"/>
    </row>
    <row r="3584" spans="1:61" x14ac:dyDescent="0.25">
      <c r="A3584" s="62" t="s">
        <v>1053</v>
      </c>
      <c r="B3584" s="62" t="s">
        <v>1053</v>
      </c>
      <c r="C3584" s="63"/>
      <c r="D3584" s="64"/>
      <c r="E3584" s="65"/>
      <c r="F3584" s="66"/>
      <c r="G3584" s="63"/>
      <c r="H3584" s="67"/>
      <c r="I3584" s="68"/>
      <c r="J3584" s="68"/>
      <c r="K3584" s="32"/>
      <c r="L3584" s="75">
        <v>3584</v>
      </c>
      <c r="M3584" s="75"/>
      <c r="N3584" s="70"/>
      <c r="O3584" s="77" t="s">
        <v>179</v>
      </c>
      <c r="P3584" s="79">
        <v>45064.052939814814</v>
      </c>
      <c r="Q3584" s="77" t="s">
        <v>4790</v>
      </c>
      <c r="R3584" s="77">
        <v>0</v>
      </c>
      <c r="S3584" s="77">
        <v>0</v>
      </c>
      <c r="T3584" s="77">
        <v>0</v>
      </c>
      <c r="U3584" s="77">
        <v>0</v>
      </c>
      <c r="V3584" s="77">
        <v>122</v>
      </c>
      <c r="W3584" s="82" t="s">
        <v>6861</v>
      </c>
      <c r="X3584" s="80" t="str">
        <f>HYPERLINK("https://www.youtube.com/watch?v=DLvm9WLSRq8")</f>
        <v>https://www.youtube.com/watch?v=DLvm9WLSRq8</v>
      </c>
      <c r="Y3584" s="77" t="s">
        <v>7303</v>
      </c>
      <c r="Z3584" s="77"/>
      <c r="AA3584" s="77"/>
      <c r="AB3584" s="77"/>
      <c r="AC3584" s="82" t="s">
        <v>10157</v>
      </c>
      <c r="AD3584" s="77" t="s">
        <v>10197</v>
      </c>
      <c r="AE3584" s="80" t="str">
        <f>HYPERLINK("https://twitter.com/meusfii/status/1659004937639018496")</f>
        <v>https://twitter.com/meusfii/status/1659004937639018496</v>
      </c>
      <c r="AF3584" s="79">
        <v>45064.052939814814</v>
      </c>
      <c r="AG3584" s="85">
        <v>45064</v>
      </c>
      <c r="AH3584" s="82" t="s">
        <v>13573</v>
      </c>
      <c r="AI3584" s="77" t="b">
        <v>0</v>
      </c>
      <c r="AJ3584" s="77"/>
      <c r="AK3584" s="77"/>
      <c r="AL3584" s="77"/>
      <c r="AM3584" s="77"/>
      <c r="AN3584" s="77"/>
      <c r="AO3584" s="77"/>
      <c r="AP3584" s="77"/>
      <c r="AQ3584" s="77"/>
      <c r="AR3584" s="77"/>
      <c r="AS3584" s="77"/>
      <c r="AT3584" s="77"/>
      <c r="AU3584" s="77"/>
      <c r="AV3584" s="80" t="str">
        <f>HYPERLINK("https://pbs.twimg.com/profile_images/1130931586059448320/J8lXhG_K_normal.png")</f>
        <v>https://pbs.twimg.com/profile_images/1130931586059448320/J8lXhG_K_normal.png</v>
      </c>
      <c r="AW3584" s="82" t="s">
        <v>20350</v>
      </c>
      <c r="AX3584" s="82" t="s">
        <v>20350</v>
      </c>
      <c r="AY3584" s="77"/>
      <c r="AZ3584" s="82" t="s">
        <v>20971</v>
      </c>
      <c r="BA3584" s="82" t="s">
        <v>20971</v>
      </c>
      <c r="BB3584" s="82" t="s">
        <v>20971</v>
      </c>
      <c r="BC3584" s="82" t="s">
        <v>20350</v>
      </c>
      <c r="BD3584" s="82" t="s">
        <v>21634</v>
      </c>
      <c r="BE3584" s="77"/>
      <c r="BF3584" s="77"/>
      <c r="BG3584" s="77"/>
      <c r="BH3584" s="77"/>
      <c r="BI3584" s="77"/>
    </row>
    <row r="3585" spans="1:61" x14ac:dyDescent="0.25">
      <c r="A3585" s="62" t="s">
        <v>1053</v>
      </c>
      <c r="B3585" s="62" t="s">
        <v>1053</v>
      </c>
      <c r="C3585" s="63"/>
      <c r="D3585" s="64"/>
      <c r="E3585" s="65"/>
      <c r="F3585" s="66"/>
      <c r="G3585" s="63"/>
      <c r="H3585" s="67"/>
      <c r="I3585" s="68"/>
      <c r="J3585" s="68"/>
      <c r="K3585" s="32"/>
      <c r="L3585" s="75">
        <v>3585</v>
      </c>
      <c r="M3585" s="75"/>
      <c r="N3585" s="70"/>
      <c r="O3585" s="77" t="s">
        <v>179</v>
      </c>
      <c r="P3585" s="79">
        <v>45055.969548611109</v>
      </c>
      <c r="Q3585" s="77" t="s">
        <v>4791</v>
      </c>
      <c r="R3585" s="77">
        <v>0</v>
      </c>
      <c r="S3585" s="77">
        <v>0</v>
      </c>
      <c r="T3585" s="77">
        <v>0</v>
      </c>
      <c r="U3585" s="77">
        <v>0</v>
      </c>
      <c r="V3585" s="77">
        <v>85</v>
      </c>
      <c r="W3585" s="82" t="s">
        <v>6862</v>
      </c>
      <c r="X3585" s="80" t="str">
        <f>HYPERLINK("https://www.youtube.com/watch?v=OsmwyZk7yy8")</f>
        <v>https://www.youtube.com/watch?v=OsmwyZk7yy8</v>
      </c>
      <c r="Y3585" s="77" t="s">
        <v>7303</v>
      </c>
      <c r="Z3585" s="77"/>
      <c r="AA3585" s="77"/>
      <c r="AB3585" s="77"/>
      <c r="AC3585" s="82" t="s">
        <v>10157</v>
      </c>
      <c r="AD3585" s="77" t="s">
        <v>10184</v>
      </c>
      <c r="AE3585" s="80" t="str">
        <f>HYPERLINK("https://twitter.com/meusfii/status/1656075612388315136")</f>
        <v>https://twitter.com/meusfii/status/1656075612388315136</v>
      </c>
      <c r="AF3585" s="79">
        <v>45055.969548611109</v>
      </c>
      <c r="AG3585" s="85">
        <v>45055</v>
      </c>
      <c r="AH3585" s="82" t="s">
        <v>13574</v>
      </c>
      <c r="AI3585" s="77" t="b">
        <v>0</v>
      </c>
      <c r="AJ3585" s="77"/>
      <c r="AK3585" s="77"/>
      <c r="AL3585" s="77"/>
      <c r="AM3585" s="77"/>
      <c r="AN3585" s="77"/>
      <c r="AO3585" s="77"/>
      <c r="AP3585" s="77"/>
      <c r="AQ3585" s="77"/>
      <c r="AR3585" s="77"/>
      <c r="AS3585" s="77"/>
      <c r="AT3585" s="77"/>
      <c r="AU3585" s="77"/>
      <c r="AV3585" s="80" t="str">
        <f>HYPERLINK("https://pbs.twimg.com/profile_images/1130931586059448320/J8lXhG_K_normal.png")</f>
        <v>https://pbs.twimg.com/profile_images/1130931586059448320/J8lXhG_K_normal.png</v>
      </c>
      <c r="AW3585" s="82" t="s">
        <v>20351</v>
      </c>
      <c r="AX3585" s="82" t="s">
        <v>20351</v>
      </c>
      <c r="AY3585" s="77"/>
      <c r="AZ3585" s="82" t="s">
        <v>20971</v>
      </c>
      <c r="BA3585" s="82" t="s">
        <v>20971</v>
      </c>
      <c r="BB3585" s="82" t="s">
        <v>20971</v>
      </c>
      <c r="BC3585" s="82" t="s">
        <v>20351</v>
      </c>
      <c r="BD3585" s="82" t="s">
        <v>21634</v>
      </c>
      <c r="BE3585" s="77"/>
      <c r="BF3585" s="77"/>
      <c r="BG3585" s="77"/>
      <c r="BH3585" s="77"/>
      <c r="BI3585" s="77"/>
    </row>
    <row r="3586" spans="1:61" x14ac:dyDescent="0.25">
      <c r="A3586" s="62" t="s">
        <v>1053</v>
      </c>
      <c r="B3586" s="62" t="s">
        <v>1053</v>
      </c>
      <c r="C3586" s="63"/>
      <c r="D3586" s="64"/>
      <c r="E3586" s="65"/>
      <c r="F3586" s="66"/>
      <c r="G3586" s="63"/>
      <c r="H3586" s="67"/>
      <c r="I3586" s="68"/>
      <c r="J3586" s="68"/>
      <c r="K3586" s="32"/>
      <c r="L3586" s="75">
        <v>3586</v>
      </c>
      <c r="M3586" s="75"/>
      <c r="N3586" s="70"/>
      <c r="O3586" s="77" t="s">
        <v>179</v>
      </c>
      <c r="P3586" s="79">
        <v>45035.803333333337</v>
      </c>
      <c r="Q3586" s="77" t="s">
        <v>4792</v>
      </c>
      <c r="R3586" s="77">
        <v>0</v>
      </c>
      <c r="S3586" s="77">
        <v>0</v>
      </c>
      <c r="T3586" s="77">
        <v>0</v>
      </c>
      <c r="U3586" s="77">
        <v>0</v>
      </c>
      <c r="V3586" s="77">
        <v>68</v>
      </c>
      <c r="W3586" s="82" t="s">
        <v>6863</v>
      </c>
      <c r="X3586" s="80" t="str">
        <f>HYPERLINK("https://www.youtube.com/watch?v=pN_k9f0Kb0s")</f>
        <v>https://www.youtube.com/watch?v=pN_k9f0Kb0s</v>
      </c>
      <c r="Y3586" s="77" t="s">
        <v>7303</v>
      </c>
      <c r="Z3586" s="77"/>
      <c r="AA3586" s="77"/>
      <c r="AB3586" s="77"/>
      <c r="AC3586" s="82" t="s">
        <v>10157</v>
      </c>
      <c r="AD3586" s="77" t="s">
        <v>10184</v>
      </c>
      <c r="AE3586" s="80" t="str">
        <f>HYPERLINK("https://twitter.com/meusfii/status/1648767621469200413")</f>
        <v>https://twitter.com/meusfii/status/1648767621469200413</v>
      </c>
      <c r="AF3586" s="79">
        <v>45035.803333333337</v>
      </c>
      <c r="AG3586" s="85">
        <v>45035</v>
      </c>
      <c r="AH3586" s="82" t="s">
        <v>13575</v>
      </c>
      <c r="AI3586" s="77" t="b">
        <v>0</v>
      </c>
      <c r="AJ3586" s="77"/>
      <c r="AK3586" s="77"/>
      <c r="AL3586" s="77"/>
      <c r="AM3586" s="77"/>
      <c r="AN3586" s="77"/>
      <c r="AO3586" s="77"/>
      <c r="AP3586" s="77"/>
      <c r="AQ3586" s="77"/>
      <c r="AR3586" s="77"/>
      <c r="AS3586" s="77"/>
      <c r="AT3586" s="77"/>
      <c r="AU3586" s="77"/>
      <c r="AV3586" s="80" t="str">
        <f>HYPERLINK("https://pbs.twimg.com/profile_images/1130931586059448320/J8lXhG_K_normal.png")</f>
        <v>https://pbs.twimg.com/profile_images/1130931586059448320/J8lXhG_K_normal.png</v>
      </c>
      <c r="AW3586" s="82" t="s">
        <v>20352</v>
      </c>
      <c r="AX3586" s="82" t="s">
        <v>20352</v>
      </c>
      <c r="AY3586" s="77"/>
      <c r="AZ3586" s="82" t="s">
        <v>20971</v>
      </c>
      <c r="BA3586" s="82" t="s">
        <v>20971</v>
      </c>
      <c r="BB3586" s="82" t="s">
        <v>20971</v>
      </c>
      <c r="BC3586" s="82" t="s">
        <v>20352</v>
      </c>
      <c r="BD3586" s="82" t="s">
        <v>21634</v>
      </c>
      <c r="BE3586" s="77"/>
      <c r="BF3586" s="77"/>
      <c r="BG3586" s="77"/>
      <c r="BH3586" s="77"/>
      <c r="BI3586" s="77"/>
    </row>
    <row r="3587" spans="1:61" x14ac:dyDescent="0.25">
      <c r="A3587" s="62" t="s">
        <v>1053</v>
      </c>
      <c r="B3587" s="62" t="s">
        <v>1053</v>
      </c>
      <c r="C3587" s="63"/>
      <c r="D3587" s="64"/>
      <c r="E3587" s="65"/>
      <c r="F3587" s="66"/>
      <c r="G3587" s="63"/>
      <c r="H3587" s="67"/>
      <c r="I3587" s="68"/>
      <c r="J3587" s="68"/>
      <c r="K3587" s="32"/>
      <c r="L3587" s="75">
        <v>3587</v>
      </c>
      <c r="M3587" s="75"/>
      <c r="N3587" s="70"/>
      <c r="O3587" s="77" t="s">
        <v>179</v>
      </c>
      <c r="P3587" s="79">
        <v>45012.677384259259</v>
      </c>
      <c r="Q3587" s="77" t="s">
        <v>4793</v>
      </c>
      <c r="R3587" s="77">
        <v>0</v>
      </c>
      <c r="S3587" s="77">
        <v>1</v>
      </c>
      <c r="T3587" s="77">
        <v>0</v>
      </c>
      <c r="U3587" s="77">
        <v>0</v>
      </c>
      <c r="V3587" s="77">
        <v>103</v>
      </c>
      <c r="W3587" s="82" t="s">
        <v>6845</v>
      </c>
      <c r="X3587" s="80" t="str">
        <f>HYPERLINK("https://www.youtube.com/watch?v=kvYGD_NMxoY")</f>
        <v>https://www.youtube.com/watch?v=kvYGD_NMxoY</v>
      </c>
      <c r="Y3587" s="77" t="s">
        <v>7303</v>
      </c>
      <c r="Z3587" s="77"/>
      <c r="AA3587" s="77"/>
      <c r="AB3587" s="77"/>
      <c r="AC3587" s="82" t="s">
        <v>10157</v>
      </c>
      <c r="AD3587" s="77" t="s">
        <v>10184</v>
      </c>
      <c r="AE3587" s="80" t="str">
        <f>HYPERLINK("https://twitter.com/meusfii/status/1640387061164244992")</f>
        <v>https://twitter.com/meusfii/status/1640387061164244992</v>
      </c>
      <c r="AF3587" s="79">
        <v>45012.677384259259</v>
      </c>
      <c r="AG3587" s="85">
        <v>45012</v>
      </c>
      <c r="AH3587" s="82" t="s">
        <v>13576</v>
      </c>
      <c r="AI3587" s="77" t="b">
        <v>0</v>
      </c>
      <c r="AJ3587" s="77"/>
      <c r="AK3587" s="77"/>
      <c r="AL3587" s="77"/>
      <c r="AM3587" s="77"/>
      <c r="AN3587" s="77"/>
      <c r="AO3587" s="77"/>
      <c r="AP3587" s="77"/>
      <c r="AQ3587" s="77"/>
      <c r="AR3587" s="77"/>
      <c r="AS3587" s="77"/>
      <c r="AT3587" s="77"/>
      <c r="AU3587" s="77"/>
      <c r="AV3587" s="80" t="str">
        <f>HYPERLINK("https://pbs.twimg.com/profile_images/1130931586059448320/J8lXhG_K_normal.png")</f>
        <v>https://pbs.twimg.com/profile_images/1130931586059448320/J8lXhG_K_normal.png</v>
      </c>
      <c r="AW3587" s="82" t="s">
        <v>20353</v>
      </c>
      <c r="AX3587" s="82" t="s">
        <v>20353</v>
      </c>
      <c r="AY3587" s="77"/>
      <c r="AZ3587" s="82" t="s">
        <v>20971</v>
      </c>
      <c r="BA3587" s="82" t="s">
        <v>20971</v>
      </c>
      <c r="BB3587" s="82" t="s">
        <v>20971</v>
      </c>
      <c r="BC3587" s="82" t="s">
        <v>20353</v>
      </c>
      <c r="BD3587" s="82" t="s">
        <v>21634</v>
      </c>
      <c r="BE3587" s="77"/>
      <c r="BF3587" s="77"/>
      <c r="BG3587" s="77"/>
      <c r="BH3587" s="77"/>
      <c r="BI3587" s="77"/>
    </row>
    <row r="3588" spans="1:61" x14ac:dyDescent="0.25">
      <c r="A3588" s="62" t="s">
        <v>1053</v>
      </c>
      <c r="B3588" s="62" t="s">
        <v>1053</v>
      </c>
      <c r="C3588" s="63"/>
      <c r="D3588" s="64"/>
      <c r="E3588" s="65"/>
      <c r="F3588" s="66"/>
      <c r="G3588" s="63"/>
      <c r="H3588" s="67"/>
      <c r="I3588" s="68"/>
      <c r="J3588" s="68"/>
      <c r="K3588" s="32"/>
      <c r="L3588" s="75">
        <v>3588</v>
      </c>
      <c r="M3588" s="75"/>
      <c r="N3588" s="70"/>
      <c r="O3588" s="77" t="s">
        <v>179</v>
      </c>
      <c r="P3588" s="79">
        <v>45010.635601851849</v>
      </c>
      <c r="Q3588" s="77" t="s">
        <v>4794</v>
      </c>
      <c r="R3588" s="77">
        <v>0</v>
      </c>
      <c r="S3588" s="77">
        <v>0</v>
      </c>
      <c r="T3588" s="77">
        <v>0</v>
      </c>
      <c r="U3588" s="77">
        <v>0</v>
      </c>
      <c r="V3588" s="77">
        <v>70</v>
      </c>
      <c r="W3588" s="82" t="s">
        <v>6864</v>
      </c>
      <c r="X3588" s="80" t="str">
        <f>HYPERLINK("https://www.youtube.com/watch?v=9qDJ20FkbxM")</f>
        <v>https://www.youtube.com/watch?v=9qDJ20FkbxM</v>
      </c>
      <c r="Y3588" s="77" t="s">
        <v>7303</v>
      </c>
      <c r="Z3588" s="77"/>
      <c r="AA3588" s="77"/>
      <c r="AB3588" s="77"/>
      <c r="AC3588" s="82" t="s">
        <v>10157</v>
      </c>
      <c r="AD3588" s="77" t="s">
        <v>10184</v>
      </c>
      <c r="AE3588" s="80" t="str">
        <f>HYPERLINK("https://twitter.com/meusfii/status/1639647144071299074")</f>
        <v>https://twitter.com/meusfii/status/1639647144071299074</v>
      </c>
      <c r="AF3588" s="79">
        <v>45010.635601851849</v>
      </c>
      <c r="AG3588" s="85">
        <v>45010</v>
      </c>
      <c r="AH3588" s="82" t="s">
        <v>13577</v>
      </c>
      <c r="AI3588" s="77" t="b">
        <v>0</v>
      </c>
      <c r="AJ3588" s="77"/>
      <c r="AK3588" s="77"/>
      <c r="AL3588" s="77"/>
      <c r="AM3588" s="77"/>
      <c r="AN3588" s="77"/>
      <c r="AO3588" s="77"/>
      <c r="AP3588" s="77"/>
      <c r="AQ3588" s="77"/>
      <c r="AR3588" s="77"/>
      <c r="AS3588" s="77"/>
      <c r="AT3588" s="77"/>
      <c r="AU3588" s="77"/>
      <c r="AV3588" s="80" t="str">
        <f>HYPERLINK("https://pbs.twimg.com/profile_images/1130931586059448320/J8lXhG_K_normal.png")</f>
        <v>https://pbs.twimg.com/profile_images/1130931586059448320/J8lXhG_K_normal.png</v>
      </c>
      <c r="AW3588" s="82" t="s">
        <v>20354</v>
      </c>
      <c r="AX3588" s="82" t="s">
        <v>20354</v>
      </c>
      <c r="AY3588" s="77"/>
      <c r="AZ3588" s="82" t="s">
        <v>20971</v>
      </c>
      <c r="BA3588" s="82" t="s">
        <v>20971</v>
      </c>
      <c r="BB3588" s="82" t="s">
        <v>20971</v>
      </c>
      <c r="BC3588" s="82" t="s">
        <v>20354</v>
      </c>
      <c r="BD3588" s="82" t="s">
        <v>21634</v>
      </c>
      <c r="BE3588" s="77"/>
      <c r="BF3588" s="77"/>
      <c r="BG3588" s="77"/>
      <c r="BH3588" s="77"/>
      <c r="BI3588" s="77"/>
    </row>
    <row r="3589" spans="1:61" x14ac:dyDescent="0.25">
      <c r="A3589" s="62" t="s">
        <v>1053</v>
      </c>
      <c r="B3589" s="62" t="s">
        <v>1053</v>
      </c>
      <c r="C3589" s="63"/>
      <c r="D3589" s="64"/>
      <c r="E3589" s="65"/>
      <c r="F3589" s="66"/>
      <c r="G3589" s="63"/>
      <c r="H3589" s="67"/>
      <c r="I3589" s="68"/>
      <c r="J3589" s="68"/>
      <c r="K3589" s="32"/>
      <c r="L3589" s="75">
        <v>3589</v>
      </c>
      <c r="M3589" s="75"/>
      <c r="N3589" s="70"/>
      <c r="O3589" s="77" t="s">
        <v>179</v>
      </c>
      <c r="P3589" s="79">
        <v>45065.844247685185</v>
      </c>
      <c r="Q3589" s="77" t="s">
        <v>4795</v>
      </c>
      <c r="R3589" s="77">
        <v>0</v>
      </c>
      <c r="S3589" s="77">
        <v>1</v>
      </c>
      <c r="T3589" s="77">
        <v>0</v>
      </c>
      <c r="U3589" s="77">
        <v>0</v>
      </c>
      <c r="V3589" s="77">
        <v>62</v>
      </c>
      <c r="W3589" s="82" t="s">
        <v>6865</v>
      </c>
      <c r="X3589" s="80" t="str">
        <f>HYPERLINK("https://www.youtube.com/watch?v=qoruk3XZudE")</f>
        <v>https://www.youtube.com/watch?v=qoruk3XZudE</v>
      </c>
      <c r="Y3589" s="77" t="s">
        <v>7303</v>
      </c>
      <c r="Z3589" s="77"/>
      <c r="AA3589" s="77"/>
      <c r="AB3589" s="77"/>
      <c r="AC3589" s="82" t="s">
        <v>10157</v>
      </c>
      <c r="AD3589" s="77" t="s">
        <v>10187</v>
      </c>
      <c r="AE3589" s="80" t="str">
        <f>HYPERLINK("https://twitter.com/meusfii/status/1659654083546849294")</f>
        <v>https://twitter.com/meusfii/status/1659654083546849294</v>
      </c>
      <c r="AF3589" s="79">
        <v>45065.844247685185</v>
      </c>
      <c r="AG3589" s="85">
        <v>45065</v>
      </c>
      <c r="AH3589" s="82" t="s">
        <v>13578</v>
      </c>
      <c r="AI3589" s="77" t="b">
        <v>0</v>
      </c>
      <c r="AJ3589" s="77"/>
      <c r="AK3589" s="77"/>
      <c r="AL3589" s="77"/>
      <c r="AM3589" s="77"/>
      <c r="AN3589" s="77"/>
      <c r="AO3589" s="77"/>
      <c r="AP3589" s="77"/>
      <c r="AQ3589" s="77"/>
      <c r="AR3589" s="77"/>
      <c r="AS3589" s="77"/>
      <c r="AT3589" s="77"/>
      <c r="AU3589" s="77"/>
      <c r="AV3589" s="80" t="str">
        <f>HYPERLINK("https://pbs.twimg.com/profile_images/1130931586059448320/J8lXhG_K_normal.png")</f>
        <v>https://pbs.twimg.com/profile_images/1130931586059448320/J8lXhG_K_normal.png</v>
      </c>
      <c r="AW3589" s="82" t="s">
        <v>20355</v>
      </c>
      <c r="AX3589" s="82" t="s">
        <v>20355</v>
      </c>
      <c r="AY3589" s="77"/>
      <c r="AZ3589" s="82" t="s">
        <v>20971</v>
      </c>
      <c r="BA3589" s="82" t="s">
        <v>20971</v>
      </c>
      <c r="BB3589" s="82" t="s">
        <v>20971</v>
      </c>
      <c r="BC3589" s="82" t="s">
        <v>20355</v>
      </c>
      <c r="BD3589" s="82" t="s">
        <v>21634</v>
      </c>
      <c r="BE3589" s="77"/>
      <c r="BF3589" s="77"/>
      <c r="BG3589" s="77"/>
      <c r="BH3589" s="77"/>
      <c r="BI3589" s="77"/>
    </row>
    <row r="3590" spans="1:61" x14ac:dyDescent="0.25">
      <c r="A3590" s="62" t="s">
        <v>1053</v>
      </c>
      <c r="B3590" s="62" t="s">
        <v>1053</v>
      </c>
      <c r="C3590" s="63"/>
      <c r="D3590" s="64"/>
      <c r="E3590" s="65"/>
      <c r="F3590" s="66"/>
      <c r="G3590" s="63"/>
      <c r="H3590" s="67"/>
      <c r="I3590" s="68"/>
      <c r="J3590" s="68"/>
      <c r="K3590" s="32"/>
      <c r="L3590" s="75">
        <v>3590</v>
      </c>
      <c r="M3590" s="75"/>
      <c r="N3590" s="70"/>
      <c r="O3590" s="77" t="s">
        <v>179</v>
      </c>
      <c r="P3590" s="79">
        <v>45050.886099537034</v>
      </c>
      <c r="Q3590" s="77" t="s">
        <v>4796</v>
      </c>
      <c r="R3590" s="77">
        <v>0</v>
      </c>
      <c r="S3590" s="77">
        <v>1</v>
      </c>
      <c r="T3590" s="77">
        <v>0</v>
      </c>
      <c r="U3590" s="77">
        <v>0</v>
      </c>
      <c r="V3590" s="77">
        <v>68</v>
      </c>
      <c r="W3590" s="82" t="s">
        <v>6866</v>
      </c>
      <c r="X3590" s="80" t="str">
        <f>HYPERLINK("https://www.youtube.com/watch?v=7my9B_3Hg9o")</f>
        <v>https://www.youtube.com/watch?v=7my9B_3Hg9o</v>
      </c>
      <c r="Y3590" s="77" t="s">
        <v>7303</v>
      </c>
      <c r="Z3590" s="77"/>
      <c r="AA3590" s="77"/>
      <c r="AB3590" s="77"/>
      <c r="AC3590" s="82" t="s">
        <v>10157</v>
      </c>
      <c r="AD3590" s="77" t="s">
        <v>10184</v>
      </c>
      <c r="AE3590" s="80" t="str">
        <f>HYPERLINK("https://twitter.com/meusfii/status/1654233434045153280")</f>
        <v>https://twitter.com/meusfii/status/1654233434045153280</v>
      </c>
      <c r="AF3590" s="79">
        <v>45050.886099537034</v>
      </c>
      <c r="AG3590" s="85">
        <v>45050</v>
      </c>
      <c r="AH3590" s="82" t="s">
        <v>13579</v>
      </c>
      <c r="AI3590" s="77" t="b">
        <v>0</v>
      </c>
      <c r="AJ3590" s="77"/>
      <c r="AK3590" s="77"/>
      <c r="AL3590" s="77"/>
      <c r="AM3590" s="77"/>
      <c r="AN3590" s="77"/>
      <c r="AO3590" s="77"/>
      <c r="AP3590" s="77"/>
      <c r="AQ3590" s="77"/>
      <c r="AR3590" s="77"/>
      <c r="AS3590" s="77"/>
      <c r="AT3590" s="77"/>
      <c r="AU3590" s="77"/>
      <c r="AV3590" s="80" t="str">
        <f>HYPERLINK("https://pbs.twimg.com/profile_images/1130931586059448320/J8lXhG_K_normal.png")</f>
        <v>https://pbs.twimg.com/profile_images/1130931586059448320/J8lXhG_K_normal.png</v>
      </c>
      <c r="AW3590" s="82" t="s">
        <v>20356</v>
      </c>
      <c r="AX3590" s="82" t="s">
        <v>20356</v>
      </c>
      <c r="AY3590" s="77"/>
      <c r="AZ3590" s="82" t="s">
        <v>20971</v>
      </c>
      <c r="BA3590" s="82" t="s">
        <v>20971</v>
      </c>
      <c r="BB3590" s="82" t="s">
        <v>20971</v>
      </c>
      <c r="BC3590" s="82" t="s">
        <v>20356</v>
      </c>
      <c r="BD3590" s="82" t="s">
        <v>21634</v>
      </c>
      <c r="BE3590" s="77"/>
      <c r="BF3590" s="77"/>
      <c r="BG3590" s="77"/>
      <c r="BH3590" s="77"/>
      <c r="BI3590" s="77"/>
    </row>
    <row r="3591" spans="1:61" x14ac:dyDescent="0.25">
      <c r="A3591" s="62" t="s">
        <v>1053</v>
      </c>
      <c r="B3591" s="62" t="s">
        <v>1053</v>
      </c>
      <c r="C3591" s="63"/>
      <c r="D3591" s="64"/>
      <c r="E3591" s="65"/>
      <c r="F3591" s="66"/>
      <c r="G3591" s="63"/>
      <c r="H3591" s="67"/>
      <c r="I3591" s="68"/>
      <c r="J3591" s="68"/>
      <c r="K3591" s="32"/>
      <c r="L3591" s="75">
        <v>3591</v>
      </c>
      <c r="M3591" s="75"/>
      <c r="N3591" s="70"/>
      <c r="O3591" s="77" t="s">
        <v>179</v>
      </c>
      <c r="P3591" s="79">
        <v>45050.803090277775</v>
      </c>
      <c r="Q3591" s="77" t="s">
        <v>4797</v>
      </c>
      <c r="R3591" s="77">
        <v>0</v>
      </c>
      <c r="S3591" s="77">
        <v>0</v>
      </c>
      <c r="T3591" s="77">
        <v>0</v>
      </c>
      <c r="U3591" s="77">
        <v>0</v>
      </c>
      <c r="V3591" s="77">
        <v>45</v>
      </c>
      <c r="W3591" s="82" t="s">
        <v>6867</v>
      </c>
      <c r="X3591" s="80" t="str">
        <f>HYPERLINK("https://www.youtube.com/watch?v=p7f4RDPGLK4")</f>
        <v>https://www.youtube.com/watch?v=p7f4RDPGLK4</v>
      </c>
      <c r="Y3591" s="77" t="s">
        <v>7303</v>
      </c>
      <c r="Z3591" s="77"/>
      <c r="AA3591" s="77"/>
      <c r="AB3591" s="77"/>
      <c r="AC3591" s="82" t="s">
        <v>10157</v>
      </c>
      <c r="AD3591" s="77" t="s">
        <v>10197</v>
      </c>
      <c r="AE3591" s="80" t="str">
        <f>HYPERLINK("https://twitter.com/meusfii/status/1654203353235177473")</f>
        <v>https://twitter.com/meusfii/status/1654203353235177473</v>
      </c>
      <c r="AF3591" s="79">
        <v>45050.803090277775</v>
      </c>
      <c r="AG3591" s="85">
        <v>45050</v>
      </c>
      <c r="AH3591" s="82" t="s">
        <v>13580</v>
      </c>
      <c r="AI3591" s="77" t="b">
        <v>0</v>
      </c>
      <c r="AJ3591" s="77"/>
      <c r="AK3591" s="77"/>
      <c r="AL3591" s="77"/>
      <c r="AM3591" s="77"/>
      <c r="AN3591" s="77"/>
      <c r="AO3591" s="77"/>
      <c r="AP3591" s="77"/>
      <c r="AQ3591" s="77"/>
      <c r="AR3591" s="77"/>
      <c r="AS3591" s="77"/>
      <c r="AT3591" s="77"/>
      <c r="AU3591" s="77"/>
      <c r="AV3591" s="80" t="str">
        <f>HYPERLINK("https://pbs.twimg.com/profile_images/1130931586059448320/J8lXhG_K_normal.png")</f>
        <v>https://pbs.twimg.com/profile_images/1130931586059448320/J8lXhG_K_normal.png</v>
      </c>
      <c r="AW3591" s="82" t="s">
        <v>20357</v>
      </c>
      <c r="AX3591" s="82" t="s">
        <v>20357</v>
      </c>
      <c r="AY3591" s="77"/>
      <c r="AZ3591" s="82" t="s">
        <v>20971</v>
      </c>
      <c r="BA3591" s="82" t="s">
        <v>20971</v>
      </c>
      <c r="BB3591" s="82" t="s">
        <v>20971</v>
      </c>
      <c r="BC3591" s="82" t="s">
        <v>20357</v>
      </c>
      <c r="BD3591" s="82" t="s">
        <v>21634</v>
      </c>
      <c r="BE3591" s="77"/>
      <c r="BF3591" s="77"/>
      <c r="BG3591" s="77"/>
      <c r="BH3591" s="77"/>
      <c r="BI3591" s="77"/>
    </row>
    <row r="3592" spans="1:61" x14ac:dyDescent="0.25">
      <c r="A3592" s="62" t="s">
        <v>1053</v>
      </c>
      <c r="B3592" s="62" t="s">
        <v>1053</v>
      </c>
      <c r="C3592" s="63"/>
      <c r="D3592" s="64"/>
      <c r="E3592" s="65"/>
      <c r="F3592" s="66"/>
      <c r="G3592" s="63"/>
      <c r="H3592" s="67"/>
      <c r="I3592" s="68"/>
      <c r="J3592" s="68"/>
      <c r="K3592" s="32"/>
      <c r="L3592" s="75">
        <v>3592</v>
      </c>
      <c r="M3592" s="75"/>
      <c r="N3592" s="70"/>
      <c r="O3592" s="77" t="s">
        <v>179</v>
      </c>
      <c r="P3592" s="79">
        <v>45050.677997685183</v>
      </c>
      <c r="Q3592" s="77" t="s">
        <v>4798</v>
      </c>
      <c r="R3592" s="77">
        <v>0</v>
      </c>
      <c r="S3592" s="77">
        <v>0</v>
      </c>
      <c r="T3592" s="77">
        <v>0</v>
      </c>
      <c r="U3592" s="77">
        <v>0</v>
      </c>
      <c r="V3592" s="77">
        <v>8</v>
      </c>
      <c r="W3592" s="82" t="s">
        <v>6868</v>
      </c>
      <c r="X3592" s="80" t="str">
        <f>HYPERLINK("https://www.youtube.com/watch?v=d5bV42EL5cQ")</f>
        <v>https://www.youtube.com/watch?v=d5bV42EL5cQ</v>
      </c>
      <c r="Y3592" s="77" t="s">
        <v>7303</v>
      </c>
      <c r="Z3592" s="77"/>
      <c r="AA3592" s="77"/>
      <c r="AB3592" s="77"/>
      <c r="AC3592" s="82" t="s">
        <v>10157</v>
      </c>
      <c r="AD3592" s="77" t="s">
        <v>10184</v>
      </c>
      <c r="AE3592" s="80" t="str">
        <f>HYPERLINK("https://twitter.com/meusfii/status/1654158021491032086")</f>
        <v>https://twitter.com/meusfii/status/1654158021491032086</v>
      </c>
      <c r="AF3592" s="79">
        <v>45050.677997685183</v>
      </c>
      <c r="AG3592" s="85">
        <v>45050</v>
      </c>
      <c r="AH3592" s="82" t="s">
        <v>13581</v>
      </c>
      <c r="AI3592" s="77" t="b">
        <v>0</v>
      </c>
      <c r="AJ3592" s="77"/>
      <c r="AK3592" s="77"/>
      <c r="AL3592" s="77"/>
      <c r="AM3592" s="77"/>
      <c r="AN3592" s="77"/>
      <c r="AO3592" s="77"/>
      <c r="AP3592" s="77"/>
      <c r="AQ3592" s="77"/>
      <c r="AR3592" s="77"/>
      <c r="AS3592" s="77"/>
      <c r="AT3592" s="77"/>
      <c r="AU3592" s="77"/>
      <c r="AV3592" s="80" t="str">
        <f>HYPERLINK("https://pbs.twimg.com/profile_images/1130931586059448320/J8lXhG_K_normal.png")</f>
        <v>https://pbs.twimg.com/profile_images/1130931586059448320/J8lXhG_K_normal.png</v>
      </c>
      <c r="AW3592" s="82" t="s">
        <v>20358</v>
      </c>
      <c r="AX3592" s="82" t="s">
        <v>20358</v>
      </c>
      <c r="AY3592" s="77"/>
      <c r="AZ3592" s="82" t="s">
        <v>20971</v>
      </c>
      <c r="BA3592" s="82" t="s">
        <v>20971</v>
      </c>
      <c r="BB3592" s="82" t="s">
        <v>20971</v>
      </c>
      <c r="BC3592" s="82" t="s">
        <v>20358</v>
      </c>
      <c r="BD3592" s="82" t="s">
        <v>21634</v>
      </c>
      <c r="BE3592" s="77"/>
      <c r="BF3592" s="77"/>
      <c r="BG3592" s="77"/>
      <c r="BH3592" s="77"/>
      <c r="BI3592" s="77"/>
    </row>
    <row r="3593" spans="1:61" x14ac:dyDescent="0.25">
      <c r="A3593" s="62" t="s">
        <v>1053</v>
      </c>
      <c r="B3593" s="62" t="s">
        <v>1053</v>
      </c>
      <c r="C3593" s="63"/>
      <c r="D3593" s="64"/>
      <c r="E3593" s="65"/>
      <c r="F3593" s="66"/>
      <c r="G3593" s="63"/>
      <c r="H3593" s="67"/>
      <c r="I3593" s="68"/>
      <c r="J3593" s="68"/>
      <c r="K3593" s="32"/>
      <c r="L3593" s="75">
        <v>3593</v>
      </c>
      <c r="M3593" s="75"/>
      <c r="N3593" s="70"/>
      <c r="O3593" s="77" t="s">
        <v>179</v>
      </c>
      <c r="P3593" s="79">
        <v>45034.052824074075</v>
      </c>
      <c r="Q3593" s="77" t="s">
        <v>4799</v>
      </c>
      <c r="R3593" s="77">
        <v>0</v>
      </c>
      <c r="S3593" s="77">
        <v>1</v>
      </c>
      <c r="T3593" s="77">
        <v>0</v>
      </c>
      <c r="U3593" s="77">
        <v>0</v>
      </c>
      <c r="V3593" s="77">
        <v>83</v>
      </c>
      <c r="W3593" s="82" t="s">
        <v>6869</v>
      </c>
      <c r="X3593" s="80" t="str">
        <f>HYPERLINK("https://www.youtube.com/watch?v=dxI31hzg87c")</f>
        <v>https://www.youtube.com/watch?v=dxI31hzg87c</v>
      </c>
      <c r="Y3593" s="77" t="s">
        <v>7303</v>
      </c>
      <c r="Z3593" s="77"/>
      <c r="AA3593" s="77"/>
      <c r="AB3593" s="77"/>
      <c r="AC3593" s="82" t="s">
        <v>10157</v>
      </c>
      <c r="AD3593" s="77" t="s">
        <v>10184</v>
      </c>
      <c r="AE3593" s="80" t="str">
        <f>HYPERLINK("https://twitter.com/meusfii/status/1648133259027415040")</f>
        <v>https://twitter.com/meusfii/status/1648133259027415040</v>
      </c>
      <c r="AF3593" s="79">
        <v>45034.052824074075</v>
      </c>
      <c r="AG3593" s="85">
        <v>45034</v>
      </c>
      <c r="AH3593" s="82" t="s">
        <v>13582</v>
      </c>
      <c r="AI3593" s="77" t="b">
        <v>0</v>
      </c>
      <c r="AJ3593" s="77"/>
      <c r="AK3593" s="77"/>
      <c r="AL3593" s="77"/>
      <c r="AM3593" s="77"/>
      <c r="AN3593" s="77"/>
      <c r="AO3593" s="77"/>
      <c r="AP3593" s="77"/>
      <c r="AQ3593" s="77"/>
      <c r="AR3593" s="77"/>
      <c r="AS3593" s="77"/>
      <c r="AT3593" s="77"/>
      <c r="AU3593" s="77"/>
      <c r="AV3593" s="80" t="str">
        <f>HYPERLINK("https://pbs.twimg.com/profile_images/1130931586059448320/J8lXhG_K_normal.png")</f>
        <v>https://pbs.twimg.com/profile_images/1130931586059448320/J8lXhG_K_normal.png</v>
      </c>
      <c r="AW3593" s="82" t="s">
        <v>20359</v>
      </c>
      <c r="AX3593" s="82" t="s">
        <v>20359</v>
      </c>
      <c r="AY3593" s="77"/>
      <c r="AZ3593" s="82" t="s">
        <v>20971</v>
      </c>
      <c r="BA3593" s="82" t="s">
        <v>20971</v>
      </c>
      <c r="BB3593" s="82" t="s">
        <v>20971</v>
      </c>
      <c r="BC3593" s="82" t="s">
        <v>20359</v>
      </c>
      <c r="BD3593" s="82" t="s">
        <v>21634</v>
      </c>
      <c r="BE3593" s="77"/>
      <c r="BF3593" s="77"/>
      <c r="BG3593" s="77"/>
      <c r="BH3593" s="77"/>
      <c r="BI3593" s="77"/>
    </row>
    <row r="3594" spans="1:61" x14ac:dyDescent="0.25">
      <c r="A3594" s="62" t="s">
        <v>1053</v>
      </c>
      <c r="B3594" s="62" t="s">
        <v>1053</v>
      </c>
      <c r="C3594" s="63"/>
      <c r="D3594" s="64"/>
      <c r="E3594" s="65"/>
      <c r="F3594" s="66"/>
      <c r="G3594" s="63"/>
      <c r="H3594" s="67"/>
      <c r="I3594" s="68"/>
      <c r="J3594" s="68"/>
      <c r="K3594" s="32"/>
      <c r="L3594" s="75">
        <v>3594</v>
      </c>
      <c r="M3594" s="75"/>
      <c r="N3594" s="70"/>
      <c r="O3594" s="77" t="s">
        <v>179</v>
      </c>
      <c r="P3594" s="79">
        <v>45001.594201388885</v>
      </c>
      <c r="Q3594" s="77" t="s">
        <v>4800</v>
      </c>
      <c r="R3594" s="77">
        <v>0</v>
      </c>
      <c r="S3594" s="77">
        <v>0</v>
      </c>
      <c r="T3594" s="77">
        <v>0</v>
      </c>
      <c r="U3594" s="77">
        <v>0</v>
      </c>
      <c r="V3594" s="77">
        <v>95</v>
      </c>
      <c r="W3594" s="82" t="s">
        <v>6835</v>
      </c>
      <c r="X3594" s="80" t="str">
        <f>HYPERLINK("https://www.youtube.com/watch?v=RWAUvksHSLE")</f>
        <v>https://www.youtube.com/watch?v=RWAUvksHSLE</v>
      </c>
      <c r="Y3594" s="77" t="s">
        <v>7303</v>
      </c>
      <c r="Z3594" s="77"/>
      <c r="AA3594" s="77"/>
      <c r="AB3594" s="77"/>
      <c r="AC3594" s="82" t="s">
        <v>10157</v>
      </c>
      <c r="AD3594" s="77" t="s">
        <v>10184</v>
      </c>
      <c r="AE3594" s="80" t="str">
        <f>HYPERLINK("https://twitter.com/meusfii/status/1636370646606258176")</f>
        <v>https://twitter.com/meusfii/status/1636370646606258176</v>
      </c>
      <c r="AF3594" s="79">
        <v>45001.594201388885</v>
      </c>
      <c r="AG3594" s="85">
        <v>45001</v>
      </c>
      <c r="AH3594" s="82" t="s">
        <v>13583</v>
      </c>
      <c r="AI3594" s="77" t="b">
        <v>0</v>
      </c>
      <c r="AJ3594" s="77"/>
      <c r="AK3594" s="77"/>
      <c r="AL3594" s="77"/>
      <c r="AM3594" s="77"/>
      <c r="AN3594" s="77"/>
      <c r="AO3594" s="77"/>
      <c r="AP3594" s="77"/>
      <c r="AQ3594" s="77"/>
      <c r="AR3594" s="77"/>
      <c r="AS3594" s="77"/>
      <c r="AT3594" s="77"/>
      <c r="AU3594" s="77"/>
      <c r="AV3594" s="80" t="str">
        <f>HYPERLINK("https://pbs.twimg.com/profile_images/1130931586059448320/J8lXhG_K_normal.png")</f>
        <v>https://pbs.twimg.com/profile_images/1130931586059448320/J8lXhG_K_normal.png</v>
      </c>
      <c r="AW3594" s="82" t="s">
        <v>20360</v>
      </c>
      <c r="AX3594" s="82" t="s">
        <v>20360</v>
      </c>
      <c r="AY3594" s="77"/>
      <c r="AZ3594" s="82" t="s">
        <v>20971</v>
      </c>
      <c r="BA3594" s="82" t="s">
        <v>20971</v>
      </c>
      <c r="BB3594" s="82" t="s">
        <v>20971</v>
      </c>
      <c r="BC3594" s="82" t="s">
        <v>20360</v>
      </c>
      <c r="BD3594" s="82" t="s">
        <v>21634</v>
      </c>
      <c r="BE3594" s="77"/>
      <c r="BF3594" s="77"/>
      <c r="BG3594" s="77"/>
      <c r="BH3594" s="77"/>
      <c r="BI3594" s="77"/>
    </row>
    <row r="3595" spans="1:61" x14ac:dyDescent="0.25">
      <c r="A3595" s="62" t="s">
        <v>1053</v>
      </c>
      <c r="B3595" s="62" t="s">
        <v>1053</v>
      </c>
      <c r="C3595" s="63"/>
      <c r="D3595" s="64"/>
      <c r="E3595" s="65"/>
      <c r="F3595" s="66"/>
      <c r="G3595" s="63"/>
      <c r="H3595" s="67"/>
      <c r="I3595" s="68"/>
      <c r="J3595" s="68"/>
      <c r="K3595" s="32"/>
      <c r="L3595" s="75">
        <v>3595</v>
      </c>
      <c r="M3595" s="75"/>
      <c r="N3595" s="70"/>
      <c r="O3595" s="77" t="s">
        <v>179</v>
      </c>
      <c r="P3595" s="79">
        <v>45000.677361111113</v>
      </c>
      <c r="Q3595" s="77" t="s">
        <v>4801</v>
      </c>
      <c r="R3595" s="77">
        <v>0</v>
      </c>
      <c r="S3595" s="77">
        <v>1</v>
      </c>
      <c r="T3595" s="77">
        <v>1</v>
      </c>
      <c r="U3595" s="77">
        <v>0</v>
      </c>
      <c r="V3595" s="77">
        <v>90</v>
      </c>
      <c r="W3595" s="82" t="s">
        <v>6844</v>
      </c>
      <c r="X3595" s="80" t="str">
        <f>HYPERLINK("https://www.youtube.com/watch?v=kKLKbKZAYYA")</f>
        <v>https://www.youtube.com/watch?v=kKLKbKZAYYA</v>
      </c>
      <c r="Y3595" s="77" t="s">
        <v>7303</v>
      </c>
      <c r="Z3595" s="77"/>
      <c r="AA3595" s="77"/>
      <c r="AB3595" s="77"/>
      <c r="AC3595" s="82" t="s">
        <v>10157</v>
      </c>
      <c r="AD3595" s="77" t="s">
        <v>10184</v>
      </c>
      <c r="AE3595" s="80" t="str">
        <f>HYPERLINK("https://twitter.com/meusfii/status/1636038394525483008")</f>
        <v>https://twitter.com/meusfii/status/1636038394525483008</v>
      </c>
      <c r="AF3595" s="79">
        <v>45000.677361111113</v>
      </c>
      <c r="AG3595" s="85">
        <v>45000</v>
      </c>
      <c r="AH3595" s="82" t="s">
        <v>13584</v>
      </c>
      <c r="AI3595" s="77" t="b">
        <v>0</v>
      </c>
      <c r="AJ3595" s="77"/>
      <c r="AK3595" s="77"/>
      <c r="AL3595" s="77"/>
      <c r="AM3595" s="77"/>
      <c r="AN3595" s="77"/>
      <c r="AO3595" s="77"/>
      <c r="AP3595" s="77"/>
      <c r="AQ3595" s="77"/>
      <c r="AR3595" s="77"/>
      <c r="AS3595" s="77"/>
      <c r="AT3595" s="77"/>
      <c r="AU3595" s="77"/>
      <c r="AV3595" s="80" t="str">
        <f>HYPERLINK("https://pbs.twimg.com/profile_images/1130931586059448320/J8lXhG_K_normal.png")</f>
        <v>https://pbs.twimg.com/profile_images/1130931586059448320/J8lXhG_K_normal.png</v>
      </c>
      <c r="AW3595" s="82" t="s">
        <v>20361</v>
      </c>
      <c r="AX3595" s="82" t="s">
        <v>20361</v>
      </c>
      <c r="AY3595" s="77"/>
      <c r="AZ3595" s="82" t="s">
        <v>20971</v>
      </c>
      <c r="BA3595" s="82" t="s">
        <v>20971</v>
      </c>
      <c r="BB3595" s="82" t="s">
        <v>20971</v>
      </c>
      <c r="BC3595" s="82" t="s">
        <v>20361</v>
      </c>
      <c r="BD3595" s="82" t="s">
        <v>21634</v>
      </c>
      <c r="BE3595" s="77"/>
      <c r="BF3595" s="77"/>
      <c r="BG3595" s="77"/>
      <c r="BH3595" s="77"/>
      <c r="BI3595" s="77"/>
    </row>
    <row r="3596" spans="1:61" x14ac:dyDescent="0.25">
      <c r="A3596" s="62" t="s">
        <v>1054</v>
      </c>
      <c r="B3596" s="62" t="s">
        <v>1240</v>
      </c>
      <c r="C3596" s="63"/>
      <c r="D3596" s="64"/>
      <c r="E3596" s="65"/>
      <c r="F3596" s="66"/>
      <c r="G3596" s="63"/>
      <c r="H3596" s="67"/>
      <c r="I3596" s="68"/>
      <c r="J3596" s="68"/>
      <c r="K3596" s="32"/>
      <c r="L3596" s="75">
        <v>3596</v>
      </c>
      <c r="M3596" s="75"/>
      <c r="N3596" s="70"/>
      <c r="O3596" s="77" t="s">
        <v>1285</v>
      </c>
      <c r="P3596" s="79">
        <v>45096.815416666665</v>
      </c>
      <c r="Q3596" s="77" t="s">
        <v>4802</v>
      </c>
      <c r="R3596" s="77">
        <v>0</v>
      </c>
      <c r="S3596" s="77">
        <v>0</v>
      </c>
      <c r="T3596" s="77">
        <v>0</v>
      </c>
      <c r="U3596" s="77">
        <v>0</v>
      </c>
      <c r="V3596" s="77">
        <v>52</v>
      </c>
      <c r="W3596" s="82" t="s">
        <v>5236</v>
      </c>
      <c r="X3596" s="77"/>
      <c r="Y3596" s="77"/>
      <c r="Z3596" s="77" t="s">
        <v>1240</v>
      </c>
      <c r="AA3596" s="77" t="s">
        <v>9849</v>
      </c>
      <c r="AB3596" s="77" t="s">
        <v>10130</v>
      </c>
      <c r="AC3596" s="82" t="s">
        <v>10144</v>
      </c>
      <c r="AD3596" s="77" t="s">
        <v>10184</v>
      </c>
      <c r="AE3596" s="80" t="str">
        <f>HYPERLINK("https://twitter.com/ocarapuca/status/1670877661718011910")</f>
        <v>https://twitter.com/ocarapuca/status/1670877661718011910</v>
      </c>
      <c r="AF3596" s="79">
        <v>45096.815416666665</v>
      </c>
      <c r="AG3596" s="85">
        <v>45096</v>
      </c>
      <c r="AH3596" s="82" t="s">
        <v>13585</v>
      </c>
      <c r="AI3596" s="77" t="b">
        <v>0</v>
      </c>
      <c r="AJ3596" s="77"/>
      <c r="AK3596" s="77"/>
      <c r="AL3596" s="77"/>
      <c r="AM3596" s="77"/>
      <c r="AN3596" s="77"/>
      <c r="AO3596" s="77"/>
      <c r="AP3596" s="77"/>
      <c r="AQ3596" s="77" t="s">
        <v>16492</v>
      </c>
      <c r="AR3596" s="77"/>
      <c r="AS3596" s="77"/>
      <c r="AT3596" s="77"/>
      <c r="AU3596" s="77"/>
      <c r="AV3596" s="80" t="str">
        <f>HYPERLINK("https://pbs.twimg.com/media/FzAmYOKWIAEqp6-.jpg")</f>
        <v>https://pbs.twimg.com/media/FzAmYOKWIAEqp6-.jpg</v>
      </c>
      <c r="AW3596" s="82" t="s">
        <v>20362</v>
      </c>
      <c r="AX3596" s="82" t="s">
        <v>20362</v>
      </c>
      <c r="AY3596" s="77"/>
      <c r="AZ3596" s="82" t="s">
        <v>20971</v>
      </c>
      <c r="BA3596" s="82" t="s">
        <v>20971</v>
      </c>
      <c r="BB3596" s="82" t="s">
        <v>20971</v>
      </c>
      <c r="BC3596" s="82" t="s">
        <v>20362</v>
      </c>
      <c r="BD3596" s="82" t="s">
        <v>21635</v>
      </c>
      <c r="BE3596" s="77"/>
      <c r="BF3596" s="77"/>
      <c r="BG3596" s="77"/>
      <c r="BH3596" s="77"/>
      <c r="BI3596" s="77"/>
    </row>
    <row r="3597" spans="1:61" x14ac:dyDescent="0.25">
      <c r="A3597" s="62" t="s">
        <v>1055</v>
      </c>
      <c r="B3597" s="62" t="s">
        <v>1055</v>
      </c>
      <c r="C3597" s="63"/>
      <c r="D3597" s="64"/>
      <c r="E3597" s="65"/>
      <c r="F3597" s="66"/>
      <c r="G3597" s="63"/>
      <c r="H3597" s="67"/>
      <c r="I3597" s="68"/>
      <c r="J3597" s="68"/>
      <c r="K3597" s="32"/>
      <c r="L3597" s="75">
        <v>3597</v>
      </c>
      <c r="M3597" s="75"/>
      <c r="N3597" s="70"/>
      <c r="O3597" s="77" t="s">
        <v>179</v>
      </c>
      <c r="P3597" s="79">
        <v>45183.854398148149</v>
      </c>
      <c r="Q3597" s="77" t="s">
        <v>4803</v>
      </c>
      <c r="R3597" s="77">
        <v>0</v>
      </c>
      <c r="S3597" s="77">
        <v>0</v>
      </c>
      <c r="T3597" s="77">
        <v>0</v>
      </c>
      <c r="U3597" s="77">
        <v>0</v>
      </c>
      <c r="V3597" s="77">
        <v>69</v>
      </c>
      <c r="W3597" s="82" t="s">
        <v>6870</v>
      </c>
      <c r="X3597" s="80" t="str">
        <f>HYPERLINK("https://kiwify.app/JGzjGmT?afid=lcL4P9pE")</f>
        <v>https://kiwify.app/JGzjGmT?afid=lcL4P9pE</v>
      </c>
      <c r="Y3597" s="77" t="s">
        <v>7269</v>
      </c>
      <c r="Z3597" s="77"/>
      <c r="AA3597" s="77" t="s">
        <v>9850</v>
      </c>
      <c r="AB3597" s="77" t="s">
        <v>10130</v>
      </c>
      <c r="AC3597" s="82" t="s">
        <v>10146</v>
      </c>
      <c r="AD3597" s="77" t="s">
        <v>10183</v>
      </c>
      <c r="AE3597" s="80" t="str">
        <f>HYPERLINK("https://twitter.com/tudonodigital23/status/1702419531451584606")</f>
        <v>https://twitter.com/tudonodigital23/status/1702419531451584606</v>
      </c>
      <c r="AF3597" s="79">
        <v>45183.854398148149</v>
      </c>
      <c r="AG3597" s="85">
        <v>45183</v>
      </c>
      <c r="AH3597" s="82" t="s">
        <v>13586</v>
      </c>
      <c r="AI3597" s="77" t="b">
        <v>0</v>
      </c>
      <c r="AJ3597" s="77"/>
      <c r="AK3597" s="77"/>
      <c r="AL3597" s="77"/>
      <c r="AM3597" s="77"/>
      <c r="AN3597" s="77"/>
      <c r="AO3597" s="77"/>
      <c r="AP3597" s="77"/>
      <c r="AQ3597" s="77" t="s">
        <v>16493</v>
      </c>
      <c r="AR3597" s="77"/>
      <c r="AS3597" s="77"/>
      <c r="AT3597" s="77"/>
      <c r="AU3597" s="77"/>
      <c r="AV3597" s="80" t="str">
        <f>HYPERLINK("https://pbs.twimg.com/media/F6A1HPtXMAAijIh.jpg")</f>
        <v>https://pbs.twimg.com/media/F6A1HPtXMAAijIh.jpg</v>
      </c>
      <c r="AW3597" s="82" t="s">
        <v>20363</v>
      </c>
      <c r="AX3597" s="82" t="s">
        <v>20363</v>
      </c>
      <c r="AY3597" s="77"/>
      <c r="AZ3597" s="82" t="s">
        <v>20971</v>
      </c>
      <c r="BA3597" s="82" t="s">
        <v>20971</v>
      </c>
      <c r="BB3597" s="82" t="s">
        <v>20971</v>
      </c>
      <c r="BC3597" s="82" t="s">
        <v>20363</v>
      </c>
      <c r="BD3597" s="82" t="s">
        <v>21636</v>
      </c>
      <c r="BE3597" s="77"/>
      <c r="BF3597" s="77"/>
      <c r="BG3597" s="77"/>
      <c r="BH3597" s="77"/>
      <c r="BI3597" s="77"/>
    </row>
    <row r="3598" spans="1:61" x14ac:dyDescent="0.25">
      <c r="A3598" s="62" t="s">
        <v>1056</v>
      </c>
      <c r="B3598" s="62" t="s">
        <v>1056</v>
      </c>
      <c r="C3598" s="63"/>
      <c r="D3598" s="64"/>
      <c r="E3598" s="65"/>
      <c r="F3598" s="66"/>
      <c r="G3598" s="63"/>
      <c r="H3598" s="67"/>
      <c r="I3598" s="68"/>
      <c r="J3598" s="68"/>
      <c r="K3598" s="32"/>
      <c r="L3598" s="75">
        <v>3598</v>
      </c>
      <c r="M3598" s="75"/>
      <c r="N3598" s="70"/>
      <c r="O3598" s="77" t="s">
        <v>179</v>
      </c>
      <c r="P3598" s="79">
        <v>45091.889513888891</v>
      </c>
      <c r="Q3598" s="77" t="s">
        <v>4804</v>
      </c>
      <c r="R3598" s="77">
        <v>0</v>
      </c>
      <c r="S3598" s="77">
        <v>2</v>
      </c>
      <c r="T3598" s="77">
        <v>0</v>
      </c>
      <c r="U3598" s="77">
        <v>0</v>
      </c>
      <c r="V3598" s="77">
        <v>120</v>
      </c>
      <c r="W3598" s="82" t="s">
        <v>6871</v>
      </c>
      <c r="X3598" s="77"/>
      <c r="Y3598" s="77"/>
      <c r="Z3598" s="77"/>
      <c r="AA3598" s="77" t="s">
        <v>9851</v>
      </c>
      <c r="AB3598" s="77" t="s">
        <v>10129</v>
      </c>
      <c r="AC3598" s="82" t="s">
        <v>10146</v>
      </c>
      <c r="AD3598" s="77" t="s">
        <v>10184</v>
      </c>
      <c r="AE3598" s="80" t="str">
        <f>HYPERLINK("https://twitter.com/joacytrajano/status/1669092574022303745")</f>
        <v>https://twitter.com/joacytrajano/status/1669092574022303745</v>
      </c>
      <c r="AF3598" s="79">
        <v>45091.889513888891</v>
      </c>
      <c r="AG3598" s="85">
        <v>45091</v>
      </c>
      <c r="AH3598" s="82" t="s">
        <v>13587</v>
      </c>
      <c r="AI3598" s="77" t="b">
        <v>0</v>
      </c>
      <c r="AJ3598" s="77"/>
      <c r="AK3598" s="77"/>
      <c r="AL3598" s="77"/>
      <c r="AM3598" s="77"/>
      <c r="AN3598" s="77"/>
      <c r="AO3598" s="77"/>
      <c r="AP3598" s="77"/>
      <c r="AQ3598" s="77" t="s">
        <v>16494</v>
      </c>
      <c r="AR3598" s="77">
        <v>59001</v>
      </c>
      <c r="AS3598" s="77"/>
      <c r="AT3598" s="77"/>
      <c r="AU3598" s="77"/>
      <c r="AV3598" s="80" t="str">
        <f>HYPERLINK("https://pbs.twimg.com/ext_tw_video_thumb/1669092049180581892/pu/img/T0xbtJ1ZTNOi_mJ0.jpg")</f>
        <v>https://pbs.twimg.com/ext_tw_video_thumb/1669092049180581892/pu/img/T0xbtJ1ZTNOi_mJ0.jpg</v>
      </c>
      <c r="AW3598" s="82" t="s">
        <v>20364</v>
      </c>
      <c r="AX3598" s="82" t="s">
        <v>20364</v>
      </c>
      <c r="AY3598" s="77"/>
      <c r="AZ3598" s="82" t="s">
        <v>20971</v>
      </c>
      <c r="BA3598" s="82" t="s">
        <v>20971</v>
      </c>
      <c r="BB3598" s="82" t="s">
        <v>20971</v>
      </c>
      <c r="BC3598" s="82" t="s">
        <v>20364</v>
      </c>
      <c r="BD3598" s="77">
        <v>2150320763</v>
      </c>
      <c r="BE3598" s="77"/>
      <c r="BF3598" s="77"/>
      <c r="BG3598" s="77"/>
      <c r="BH3598" s="77"/>
      <c r="BI3598" s="77"/>
    </row>
    <row r="3599" spans="1:61" x14ac:dyDescent="0.25">
      <c r="A3599" s="62" t="s">
        <v>1057</v>
      </c>
      <c r="B3599" s="62" t="s">
        <v>1057</v>
      </c>
      <c r="C3599" s="63"/>
      <c r="D3599" s="64"/>
      <c r="E3599" s="65"/>
      <c r="F3599" s="66"/>
      <c r="G3599" s="63"/>
      <c r="H3599" s="67"/>
      <c r="I3599" s="68"/>
      <c r="J3599" s="68"/>
      <c r="K3599" s="32"/>
      <c r="L3599" s="75">
        <v>3599</v>
      </c>
      <c r="M3599" s="75"/>
      <c r="N3599" s="70"/>
      <c r="O3599" s="77" t="s">
        <v>179</v>
      </c>
      <c r="P3599" s="79">
        <v>44988.977592592593</v>
      </c>
      <c r="Q3599" s="77" t="s">
        <v>4805</v>
      </c>
      <c r="R3599" s="77">
        <v>0</v>
      </c>
      <c r="S3599" s="77">
        <v>2</v>
      </c>
      <c r="T3599" s="77">
        <v>0</v>
      </c>
      <c r="U3599" s="77">
        <v>0</v>
      </c>
      <c r="V3599" s="77">
        <v>140</v>
      </c>
      <c r="W3599" s="82" t="s">
        <v>6872</v>
      </c>
      <c r="X3599" s="77"/>
      <c r="Y3599" s="77"/>
      <c r="Z3599" s="77"/>
      <c r="AA3599" s="77" t="s">
        <v>9852</v>
      </c>
      <c r="AB3599" s="77" t="s">
        <v>10129</v>
      </c>
      <c r="AC3599" s="82" t="s">
        <v>10145</v>
      </c>
      <c r="AD3599" s="77" t="s">
        <v>10184</v>
      </c>
      <c r="AE3599" s="80" t="str">
        <f>HYPERLINK("https://twitter.com/criptoicobr/status/1631798541080248322")</f>
        <v>https://twitter.com/criptoicobr/status/1631798541080248322</v>
      </c>
      <c r="AF3599" s="79">
        <v>44988.977592592593</v>
      </c>
      <c r="AG3599" s="85">
        <v>44988</v>
      </c>
      <c r="AH3599" s="82" t="s">
        <v>13588</v>
      </c>
      <c r="AI3599" s="77" t="b">
        <v>0</v>
      </c>
      <c r="AJ3599" s="77"/>
      <c r="AK3599" s="77"/>
      <c r="AL3599" s="77"/>
      <c r="AM3599" s="77"/>
      <c r="AN3599" s="77"/>
      <c r="AO3599" s="77"/>
      <c r="AP3599" s="77"/>
      <c r="AQ3599" s="77" t="s">
        <v>16495</v>
      </c>
      <c r="AR3599" s="77">
        <v>18708</v>
      </c>
      <c r="AS3599" s="77"/>
      <c r="AT3599" s="77"/>
      <c r="AU3599" s="77"/>
      <c r="AV3599" s="80" t="str">
        <f>HYPERLINK("https://pbs.twimg.com/amplify_video_thumb/1631798477880455168/img/grL1gUAmNbg7GIRM.jpg")</f>
        <v>https://pbs.twimg.com/amplify_video_thumb/1631798477880455168/img/grL1gUAmNbg7GIRM.jpg</v>
      </c>
      <c r="AW3599" s="82" t="s">
        <v>20365</v>
      </c>
      <c r="AX3599" s="82" t="s">
        <v>20365</v>
      </c>
      <c r="AY3599" s="77"/>
      <c r="AZ3599" s="82" t="s">
        <v>20971</v>
      </c>
      <c r="BA3599" s="82" t="s">
        <v>20971</v>
      </c>
      <c r="BB3599" s="82" t="s">
        <v>20971</v>
      </c>
      <c r="BC3599" s="82" t="s">
        <v>20365</v>
      </c>
      <c r="BD3599" s="82" t="s">
        <v>21637</v>
      </c>
      <c r="BE3599" s="77"/>
      <c r="BF3599" s="77"/>
      <c r="BG3599" s="77"/>
      <c r="BH3599" s="77"/>
      <c r="BI3599" s="77"/>
    </row>
    <row r="3600" spans="1:61" x14ac:dyDescent="0.25">
      <c r="A3600" s="62" t="s">
        <v>1057</v>
      </c>
      <c r="B3600" s="62" t="s">
        <v>1057</v>
      </c>
      <c r="C3600" s="63"/>
      <c r="D3600" s="64"/>
      <c r="E3600" s="65"/>
      <c r="F3600" s="66"/>
      <c r="G3600" s="63"/>
      <c r="H3600" s="67"/>
      <c r="I3600" s="68"/>
      <c r="J3600" s="68"/>
      <c r="K3600" s="32"/>
      <c r="L3600" s="75">
        <v>3600</v>
      </c>
      <c r="M3600" s="75"/>
      <c r="N3600" s="70"/>
      <c r="O3600" s="77" t="s">
        <v>179</v>
      </c>
      <c r="P3600" s="79">
        <v>45113.568159722221</v>
      </c>
      <c r="Q3600" s="77" t="s">
        <v>4806</v>
      </c>
      <c r="R3600" s="77">
        <v>0</v>
      </c>
      <c r="S3600" s="77">
        <v>9</v>
      </c>
      <c r="T3600" s="77">
        <v>0</v>
      </c>
      <c r="U3600" s="77">
        <v>0</v>
      </c>
      <c r="V3600" s="77">
        <v>158</v>
      </c>
      <c r="W3600" s="82" t="s">
        <v>6873</v>
      </c>
      <c r="X3600" s="77"/>
      <c r="Y3600" s="77"/>
      <c r="Z3600" s="77"/>
      <c r="AA3600" s="77" t="s">
        <v>9853</v>
      </c>
      <c r="AB3600" s="77" t="s">
        <v>10129</v>
      </c>
      <c r="AC3600" s="82" t="s">
        <v>10145</v>
      </c>
      <c r="AD3600" s="77" t="s">
        <v>10184</v>
      </c>
      <c r="AE3600" s="80" t="str">
        <f>HYPERLINK("https://twitter.com/criptoicobr/status/1676948650210234368")</f>
        <v>https://twitter.com/criptoicobr/status/1676948650210234368</v>
      </c>
      <c r="AF3600" s="79">
        <v>45113.568159722221</v>
      </c>
      <c r="AG3600" s="85">
        <v>45113</v>
      </c>
      <c r="AH3600" s="82" t="s">
        <v>13589</v>
      </c>
      <c r="AI3600" s="77" t="b">
        <v>0</v>
      </c>
      <c r="AJ3600" s="77"/>
      <c r="AK3600" s="77"/>
      <c r="AL3600" s="77"/>
      <c r="AM3600" s="77"/>
      <c r="AN3600" s="77"/>
      <c r="AO3600" s="77"/>
      <c r="AP3600" s="77"/>
      <c r="AQ3600" s="77" t="s">
        <v>16496</v>
      </c>
      <c r="AR3600" s="77">
        <v>81733</v>
      </c>
      <c r="AS3600" s="77"/>
      <c r="AT3600" s="77"/>
      <c r="AU3600" s="77"/>
      <c r="AV3600" s="80" t="str">
        <f>HYPERLINK("https://pbs.twimg.com/amplify_video_thumb/1676948469217656836/img/XT2tU08At3Xf439Q.jpg")</f>
        <v>https://pbs.twimg.com/amplify_video_thumb/1676948469217656836/img/XT2tU08At3Xf439Q.jpg</v>
      </c>
      <c r="AW3600" s="82" t="s">
        <v>20366</v>
      </c>
      <c r="AX3600" s="82" t="s">
        <v>20366</v>
      </c>
      <c r="AY3600" s="77"/>
      <c r="AZ3600" s="82" t="s">
        <v>20971</v>
      </c>
      <c r="BA3600" s="82" t="s">
        <v>20971</v>
      </c>
      <c r="BB3600" s="82" t="s">
        <v>20971</v>
      </c>
      <c r="BC3600" s="82" t="s">
        <v>20366</v>
      </c>
      <c r="BD3600" s="82" t="s">
        <v>21637</v>
      </c>
      <c r="BE3600" s="77"/>
      <c r="BF3600" s="77"/>
      <c r="BG3600" s="77"/>
      <c r="BH3600" s="77"/>
      <c r="BI3600" s="77"/>
    </row>
    <row r="3601" spans="1:61" x14ac:dyDescent="0.25">
      <c r="A3601" s="62" t="s">
        <v>1058</v>
      </c>
      <c r="B3601" s="62" t="s">
        <v>1058</v>
      </c>
      <c r="C3601" s="63"/>
      <c r="D3601" s="64"/>
      <c r="E3601" s="65"/>
      <c r="F3601" s="66"/>
      <c r="G3601" s="63"/>
      <c r="H3601" s="67"/>
      <c r="I3601" s="68"/>
      <c r="J3601" s="68"/>
      <c r="K3601" s="32"/>
      <c r="L3601" s="75">
        <v>3601</v>
      </c>
      <c r="M3601" s="75"/>
      <c r="N3601" s="70"/>
      <c r="O3601" s="77" t="s">
        <v>179</v>
      </c>
      <c r="P3601" s="79">
        <v>45053.126979166664</v>
      </c>
      <c r="Q3601" s="77" t="s">
        <v>4807</v>
      </c>
      <c r="R3601" s="77">
        <v>0</v>
      </c>
      <c r="S3601" s="77">
        <v>0</v>
      </c>
      <c r="T3601" s="77">
        <v>0</v>
      </c>
      <c r="U3601" s="77">
        <v>0</v>
      </c>
      <c r="V3601" s="77">
        <v>37</v>
      </c>
      <c r="W3601" s="82" t="s">
        <v>6874</v>
      </c>
      <c r="X3601" s="80" t="str">
        <f>HYPERLINK("https://linktr.ee/PotedaFelicidade1")</f>
        <v>https://linktr.ee/PotedaFelicidade1</v>
      </c>
      <c r="Y3601" s="77" t="s">
        <v>7300</v>
      </c>
      <c r="Z3601" s="77"/>
      <c r="AA3601" s="77" t="s">
        <v>9854</v>
      </c>
      <c r="AB3601" s="77" t="s">
        <v>10129</v>
      </c>
      <c r="AC3601" s="82" t="s">
        <v>10144</v>
      </c>
      <c r="AD3601" s="77" t="s">
        <v>10184</v>
      </c>
      <c r="AE3601" s="80" t="str">
        <f>HYPERLINK("https://twitter.com/receitas3145191/status/1655045500830208000")</f>
        <v>https://twitter.com/receitas3145191/status/1655045500830208000</v>
      </c>
      <c r="AF3601" s="79">
        <v>45053.126979166664</v>
      </c>
      <c r="AG3601" s="85">
        <v>45053</v>
      </c>
      <c r="AH3601" s="82" t="s">
        <v>13590</v>
      </c>
      <c r="AI3601" s="77" t="b">
        <v>0</v>
      </c>
      <c r="AJ3601" s="77"/>
      <c r="AK3601" s="77"/>
      <c r="AL3601" s="77"/>
      <c r="AM3601" s="77"/>
      <c r="AN3601" s="77"/>
      <c r="AO3601" s="77"/>
      <c r="AP3601" s="77"/>
      <c r="AQ3601" s="77" t="s">
        <v>16497</v>
      </c>
      <c r="AR3601" s="77">
        <v>31133</v>
      </c>
      <c r="AS3601" s="77"/>
      <c r="AT3601" s="77"/>
      <c r="AU3601" s="77"/>
      <c r="AV3601" s="80" t="str">
        <f>HYPERLINK("https://pbs.twimg.com/ext_tw_video_thumb/1655045445662527490/pu/img/qVhPlHYauFBLa5NF.jpg")</f>
        <v>https://pbs.twimg.com/ext_tw_video_thumb/1655045445662527490/pu/img/qVhPlHYauFBLa5NF.jpg</v>
      </c>
      <c r="AW3601" s="82" t="s">
        <v>20367</v>
      </c>
      <c r="AX3601" s="82" t="s">
        <v>20367</v>
      </c>
      <c r="AY3601" s="77"/>
      <c r="AZ3601" s="82" t="s">
        <v>20971</v>
      </c>
      <c r="BA3601" s="82" t="s">
        <v>20971</v>
      </c>
      <c r="BB3601" s="82" t="s">
        <v>20971</v>
      </c>
      <c r="BC3601" s="82" t="s">
        <v>20367</v>
      </c>
      <c r="BD3601" s="82" t="s">
        <v>21638</v>
      </c>
      <c r="BE3601" s="77"/>
      <c r="BF3601" s="77"/>
      <c r="BG3601" s="77"/>
      <c r="BH3601" s="77"/>
      <c r="BI3601" s="77"/>
    </row>
    <row r="3602" spans="1:61" x14ac:dyDescent="0.25">
      <c r="A3602" s="62" t="s">
        <v>1059</v>
      </c>
      <c r="B3602" s="62" t="s">
        <v>1059</v>
      </c>
      <c r="C3602" s="63"/>
      <c r="D3602" s="64"/>
      <c r="E3602" s="65"/>
      <c r="F3602" s="66"/>
      <c r="G3602" s="63"/>
      <c r="H3602" s="67"/>
      <c r="I3602" s="68"/>
      <c r="J3602" s="68"/>
      <c r="K3602" s="32"/>
      <c r="L3602" s="75">
        <v>3602</v>
      </c>
      <c r="M3602" s="75"/>
      <c r="N3602" s="70"/>
      <c r="O3602" s="77" t="s">
        <v>179</v>
      </c>
      <c r="P3602" s="79">
        <v>45020.794027777774</v>
      </c>
      <c r="Q3602" s="77" t="s">
        <v>4808</v>
      </c>
      <c r="R3602" s="77">
        <v>0</v>
      </c>
      <c r="S3602" s="77">
        <v>0</v>
      </c>
      <c r="T3602" s="77">
        <v>0</v>
      </c>
      <c r="U3602" s="77">
        <v>0</v>
      </c>
      <c r="V3602" s="77">
        <v>44</v>
      </c>
      <c r="W3602" s="82" t="s">
        <v>6875</v>
      </c>
      <c r="X3602" s="77"/>
      <c r="Y3602" s="77"/>
      <c r="Z3602" s="77"/>
      <c r="AA3602" s="77"/>
      <c r="AB3602" s="77"/>
      <c r="AC3602" s="82" t="s">
        <v>10144</v>
      </c>
      <c r="AD3602" s="77" t="s">
        <v>10184</v>
      </c>
      <c r="AE3602" s="80" t="str">
        <f>HYPERLINK("https://twitter.com/robert52770/status/1643328431193456641")</f>
        <v>https://twitter.com/robert52770/status/1643328431193456641</v>
      </c>
      <c r="AF3602" s="79">
        <v>45020.794027777774</v>
      </c>
      <c r="AG3602" s="85">
        <v>45020</v>
      </c>
      <c r="AH3602" s="82" t="s">
        <v>13591</v>
      </c>
      <c r="AI3602" s="77"/>
      <c r="AJ3602" s="77"/>
      <c r="AK3602" s="77"/>
      <c r="AL3602" s="77"/>
      <c r="AM3602" s="77"/>
      <c r="AN3602" s="77"/>
      <c r="AO3602" s="77"/>
      <c r="AP3602" s="77"/>
      <c r="AQ3602" s="77"/>
      <c r="AR3602" s="77"/>
      <c r="AS3602" s="77"/>
      <c r="AT3602" s="77"/>
      <c r="AU3602" s="77"/>
      <c r="AV3602" s="80" t="str">
        <f>HYPERLINK("https://pbs.twimg.com/profile_images/1639664399995613184/i8A3ysfY_normal.jpg")</f>
        <v>https://pbs.twimg.com/profile_images/1639664399995613184/i8A3ysfY_normal.jpg</v>
      </c>
      <c r="AW3602" s="82" t="s">
        <v>20368</v>
      </c>
      <c r="AX3602" s="82" t="s">
        <v>20368</v>
      </c>
      <c r="AY3602" s="77"/>
      <c r="AZ3602" s="82" t="s">
        <v>20971</v>
      </c>
      <c r="BA3602" s="82" t="s">
        <v>20971</v>
      </c>
      <c r="BB3602" s="82" t="s">
        <v>20971</v>
      </c>
      <c r="BC3602" s="82" t="s">
        <v>20368</v>
      </c>
      <c r="BD3602" s="82" t="s">
        <v>21639</v>
      </c>
      <c r="BE3602" s="77"/>
      <c r="BF3602" s="77"/>
      <c r="BG3602" s="77"/>
      <c r="BH3602" s="77"/>
      <c r="BI3602" s="77"/>
    </row>
    <row r="3603" spans="1:61" x14ac:dyDescent="0.25">
      <c r="A3603" s="62" t="s">
        <v>1059</v>
      </c>
      <c r="B3603" s="62" t="s">
        <v>1059</v>
      </c>
      <c r="C3603" s="63"/>
      <c r="D3603" s="64"/>
      <c r="E3603" s="65"/>
      <c r="F3603" s="66"/>
      <c r="G3603" s="63"/>
      <c r="H3603" s="67"/>
      <c r="I3603" s="68"/>
      <c r="J3603" s="68"/>
      <c r="K3603" s="32"/>
      <c r="L3603" s="75">
        <v>3603</v>
      </c>
      <c r="M3603" s="75"/>
      <c r="N3603" s="70"/>
      <c r="O3603" s="77" t="s">
        <v>179</v>
      </c>
      <c r="P3603" s="79">
        <v>45020.789652777778</v>
      </c>
      <c r="Q3603" s="77" t="s">
        <v>4809</v>
      </c>
      <c r="R3603" s="77">
        <v>0</v>
      </c>
      <c r="S3603" s="77">
        <v>0</v>
      </c>
      <c r="T3603" s="77">
        <v>0</v>
      </c>
      <c r="U3603" s="77">
        <v>1</v>
      </c>
      <c r="V3603" s="77">
        <v>52</v>
      </c>
      <c r="W3603" s="82" t="s">
        <v>6876</v>
      </c>
      <c r="X3603" s="77"/>
      <c r="Y3603" s="77"/>
      <c r="Z3603" s="77"/>
      <c r="AA3603" s="77"/>
      <c r="AB3603" s="77"/>
      <c r="AC3603" s="82" t="s">
        <v>10144</v>
      </c>
      <c r="AD3603" s="77" t="s">
        <v>10184</v>
      </c>
      <c r="AE3603" s="80" t="str">
        <f>HYPERLINK("https://twitter.com/robert52770/status/1643326845205504003")</f>
        <v>https://twitter.com/robert52770/status/1643326845205504003</v>
      </c>
      <c r="AF3603" s="79">
        <v>45020.789652777778</v>
      </c>
      <c r="AG3603" s="85">
        <v>45020</v>
      </c>
      <c r="AH3603" s="82" t="s">
        <v>13592</v>
      </c>
      <c r="AI3603" s="77"/>
      <c r="AJ3603" s="77"/>
      <c r="AK3603" s="77"/>
      <c r="AL3603" s="77"/>
      <c r="AM3603" s="77"/>
      <c r="AN3603" s="77"/>
      <c r="AO3603" s="77"/>
      <c r="AP3603" s="77"/>
      <c r="AQ3603" s="77"/>
      <c r="AR3603" s="77"/>
      <c r="AS3603" s="77"/>
      <c r="AT3603" s="77"/>
      <c r="AU3603" s="77"/>
      <c r="AV3603" s="80" t="str">
        <f>HYPERLINK("https://pbs.twimg.com/profile_images/1639664399995613184/i8A3ysfY_normal.jpg")</f>
        <v>https://pbs.twimg.com/profile_images/1639664399995613184/i8A3ysfY_normal.jpg</v>
      </c>
      <c r="AW3603" s="82" t="s">
        <v>20369</v>
      </c>
      <c r="AX3603" s="82" t="s">
        <v>20369</v>
      </c>
      <c r="AY3603" s="77"/>
      <c r="AZ3603" s="82" t="s">
        <v>20971</v>
      </c>
      <c r="BA3603" s="82" t="s">
        <v>20971</v>
      </c>
      <c r="BB3603" s="82" t="s">
        <v>20971</v>
      </c>
      <c r="BC3603" s="82" t="s">
        <v>20369</v>
      </c>
      <c r="BD3603" s="82" t="s">
        <v>21639</v>
      </c>
      <c r="BE3603" s="77"/>
      <c r="BF3603" s="77"/>
      <c r="BG3603" s="77"/>
      <c r="BH3603" s="77"/>
      <c r="BI3603" s="77"/>
    </row>
    <row r="3604" spans="1:61" x14ac:dyDescent="0.25">
      <c r="A3604" s="62" t="s">
        <v>1060</v>
      </c>
      <c r="B3604" s="62" t="s">
        <v>1060</v>
      </c>
      <c r="C3604" s="63"/>
      <c r="D3604" s="64"/>
      <c r="E3604" s="65"/>
      <c r="F3604" s="66"/>
      <c r="G3604" s="63"/>
      <c r="H3604" s="67"/>
      <c r="I3604" s="68"/>
      <c r="J3604" s="68"/>
      <c r="K3604" s="32"/>
      <c r="L3604" s="75">
        <v>3604</v>
      </c>
      <c r="M3604" s="75"/>
      <c r="N3604" s="70"/>
      <c r="O3604" s="77" t="s">
        <v>179</v>
      </c>
      <c r="P3604" s="79">
        <v>45078.867349537039</v>
      </c>
      <c r="Q3604" s="77" t="s">
        <v>4810</v>
      </c>
      <c r="R3604" s="77">
        <v>0</v>
      </c>
      <c r="S3604" s="77">
        <v>1</v>
      </c>
      <c r="T3604" s="77">
        <v>0</v>
      </c>
      <c r="U3604" s="77">
        <v>0</v>
      </c>
      <c r="V3604" s="77">
        <v>48</v>
      </c>
      <c r="W3604" s="82" t="s">
        <v>6877</v>
      </c>
      <c r="X3604" s="77"/>
      <c r="Y3604" s="77"/>
      <c r="Z3604" s="77"/>
      <c r="AA3604" s="77" t="s">
        <v>9855</v>
      </c>
      <c r="AB3604" s="77" t="s">
        <v>10131</v>
      </c>
      <c r="AC3604" s="82" t="s">
        <v>10144</v>
      </c>
      <c r="AD3604" s="77" t="s">
        <v>10184</v>
      </c>
      <c r="AE3604" s="80" t="str">
        <f>HYPERLINK("https://twitter.com/elivansantos_18/status/1664373499316584448")</f>
        <v>https://twitter.com/elivansantos_18/status/1664373499316584448</v>
      </c>
      <c r="AF3604" s="79">
        <v>45078.867349537039</v>
      </c>
      <c r="AG3604" s="85">
        <v>45078</v>
      </c>
      <c r="AH3604" s="82" t="s">
        <v>13593</v>
      </c>
      <c r="AI3604" s="77" t="b">
        <v>0</v>
      </c>
      <c r="AJ3604" s="77"/>
      <c r="AK3604" s="77"/>
      <c r="AL3604" s="77"/>
      <c r="AM3604" s="77"/>
      <c r="AN3604" s="77"/>
      <c r="AO3604" s="77"/>
      <c r="AP3604" s="77"/>
      <c r="AQ3604" s="77" t="s">
        <v>16498</v>
      </c>
      <c r="AR3604" s="77"/>
      <c r="AS3604" s="77"/>
      <c r="AT3604" s="77"/>
      <c r="AU3604" s="77"/>
      <c r="AV3604" s="80" t="str">
        <f>HYPERLINK("https://pbs.twimg.com/media/FxkK3SXXgAMrBAg.jpg")</f>
        <v>https://pbs.twimg.com/media/FxkK3SXXgAMrBAg.jpg</v>
      </c>
      <c r="AW3604" s="82" t="s">
        <v>20370</v>
      </c>
      <c r="AX3604" s="82" t="s">
        <v>20370</v>
      </c>
      <c r="AY3604" s="77"/>
      <c r="AZ3604" s="82" t="s">
        <v>20971</v>
      </c>
      <c r="BA3604" s="82" t="s">
        <v>20971</v>
      </c>
      <c r="BB3604" s="82" t="s">
        <v>20971</v>
      </c>
      <c r="BC3604" s="82" t="s">
        <v>20370</v>
      </c>
      <c r="BD3604" s="82" t="s">
        <v>21640</v>
      </c>
      <c r="BE3604" s="77"/>
      <c r="BF3604" s="77"/>
      <c r="BG3604" s="77"/>
      <c r="BH3604" s="77"/>
      <c r="BI3604" s="77"/>
    </row>
    <row r="3605" spans="1:61" x14ac:dyDescent="0.25">
      <c r="A3605" s="62" t="s">
        <v>1060</v>
      </c>
      <c r="B3605" s="62" t="s">
        <v>1060</v>
      </c>
      <c r="C3605" s="63"/>
      <c r="D3605" s="64"/>
      <c r="E3605" s="65"/>
      <c r="F3605" s="66"/>
      <c r="G3605" s="63"/>
      <c r="H3605" s="67"/>
      <c r="I3605" s="68"/>
      <c r="J3605" s="68"/>
      <c r="K3605" s="32"/>
      <c r="L3605" s="75">
        <v>3605</v>
      </c>
      <c r="M3605" s="75"/>
      <c r="N3605" s="70"/>
      <c r="O3605" s="77" t="s">
        <v>179</v>
      </c>
      <c r="P3605" s="79">
        <v>45078.36996527778</v>
      </c>
      <c r="Q3605" s="77" t="s">
        <v>4811</v>
      </c>
      <c r="R3605" s="77">
        <v>0</v>
      </c>
      <c r="S3605" s="77">
        <v>2</v>
      </c>
      <c r="T3605" s="77">
        <v>1</v>
      </c>
      <c r="U3605" s="77">
        <v>0</v>
      </c>
      <c r="V3605" s="77">
        <v>49</v>
      </c>
      <c r="W3605" s="82" t="s">
        <v>6878</v>
      </c>
      <c r="X3605" s="77"/>
      <c r="Y3605" s="77"/>
      <c r="Z3605" s="77"/>
      <c r="AA3605" s="77" t="s">
        <v>9856</v>
      </c>
      <c r="AB3605" s="77" t="s">
        <v>10132</v>
      </c>
      <c r="AC3605" s="82" t="s">
        <v>10144</v>
      </c>
      <c r="AD3605" s="77" t="s">
        <v>10184</v>
      </c>
      <c r="AE3605" s="80" t="str">
        <f>HYPERLINK("https://twitter.com/elivansantos_18/status/1664193253862768643")</f>
        <v>https://twitter.com/elivansantos_18/status/1664193253862768643</v>
      </c>
      <c r="AF3605" s="79">
        <v>45078.36996527778</v>
      </c>
      <c r="AG3605" s="85">
        <v>45078</v>
      </c>
      <c r="AH3605" s="82" t="s">
        <v>13594</v>
      </c>
      <c r="AI3605" s="77" t="b">
        <v>0</v>
      </c>
      <c r="AJ3605" s="77"/>
      <c r="AK3605" s="77"/>
      <c r="AL3605" s="77"/>
      <c r="AM3605" s="77"/>
      <c r="AN3605" s="77"/>
      <c r="AO3605" s="77"/>
      <c r="AP3605" s="77"/>
      <c r="AQ3605" s="77" t="s">
        <v>16499</v>
      </c>
      <c r="AR3605" s="77"/>
      <c r="AS3605" s="77"/>
      <c r="AT3605" s="77"/>
      <c r="AU3605" s="77"/>
      <c r="AV3605" s="80" t="str">
        <f>HYPERLINK("https://pbs.twimg.com/media/Fxhm74eXsAEzy-E.jpg")</f>
        <v>https://pbs.twimg.com/media/Fxhm74eXsAEzy-E.jpg</v>
      </c>
      <c r="AW3605" s="82" t="s">
        <v>20371</v>
      </c>
      <c r="AX3605" s="82" t="s">
        <v>20371</v>
      </c>
      <c r="AY3605" s="77"/>
      <c r="AZ3605" s="82" t="s">
        <v>20971</v>
      </c>
      <c r="BA3605" s="82" t="s">
        <v>20971</v>
      </c>
      <c r="BB3605" s="82" t="s">
        <v>20971</v>
      </c>
      <c r="BC3605" s="82" t="s">
        <v>20371</v>
      </c>
      <c r="BD3605" s="82" t="s">
        <v>21640</v>
      </c>
      <c r="BE3605" s="77"/>
      <c r="BF3605" s="77"/>
      <c r="BG3605" s="77"/>
      <c r="BH3605" s="77"/>
      <c r="BI3605" s="77"/>
    </row>
    <row r="3606" spans="1:61" x14ac:dyDescent="0.25">
      <c r="A3606" s="62" t="s">
        <v>1061</v>
      </c>
      <c r="B3606" s="62" t="s">
        <v>1061</v>
      </c>
      <c r="C3606" s="63"/>
      <c r="D3606" s="64"/>
      <c r="E3606" s="65"/>
      <c r="F3606" s="66"/>
      <c r="G3606" s="63"/>
      <c r="H3606" s="67"/>
      <c r="I3606" s="68"/>
      <c r="J3606" s="68"/>
      <c r="K3606" s="32"/>
      <c r="L3606" s="75">
        <v>3606</v>
      </c>
      <c r="M3606" s="75"/>
      <c r="N3606" s="70"/>
      <c r="O3606" s="77" t="s">
        <v>179</v>
      </c>
      <c r="P3606" s="79">
        <v>45002.803240740737</v>
      </c>
      <c r="Q3606" s="77" t="s">
        <v>4812</v>
      </c>
      <c r="R3606" s="77">
        <v>0</v>
      </c>
      <c r="S3606" s="77">
        <v>0</v>
      </c>
      <c r="T3606" s="77">
        <v>1</v>
      </c>
      <c r="U3606" s="77">
        <v>0</v>
      </c>
      <c r="V3606" s="77">
        <v>32</v>
      </c>
      <c r="W3606" s="82" t="s">
        <v>6879</v>
      </c>
      <c r="X3606" s="80" t="str">
        <f>HYPERLINK("https://s.kwai.app/w/6qI2jfgb")</f>
        <v>https://s.kwai.app/w/6qI2jfgb</v>
      </c>
      <c r="Y3606" s="77" t="s">
        <v>7292</v>
      </c>
      <c r="Z3606" s="77"/>
      <c r="AA3606" s="77"/>
      <c r="AB3606" s="77"/>
      <c r="AC3606" s="82" t="s">
        <v>10178</v>
      </c>
      <c r="AD3606" s="77" t="s">
        <v>10188</v>
      </c>
      <c r="AE3606" s="80" t="str">
        <f>HYPERLINK("https://twitter.com/gabisjesse/status/1636808787473432583")</f>
        <v>https://twitter.com/gabisjesse/status/1636808787473432583</v>
      </c>
      <c r="AF3606" s="79">
        <v>45002.803240740737</v>
      </c>
      <c r="AG3606" s="85">
        <v>45002</v>
      </c>
      <c r="AH3606" s="82" t="s">
        <v>13595</v>
      </c>
      <c r="AI3606" s="77" t="b">
        <v>0</v>
      </c>
      <c r="AJ3606" s="77"/>
      <c r="AK3606" s="77"/>
      <c r="AL3606" s="77"/>
      <c r="AM3606" s="77"/>
      <c r="AN3606" s="77"/>
      <c r="AO3606" s="77"/>
      <c r="AP3606" s="77"/>
      <c r="AQ3606" s="77"/>
      <c r="AR3606" s="77"/>
      <c r="AS3606" s="77"/>
      <c r="AT3606" s="77"/>
      <c r="AU3606" s="77"/>
      <c r="AV3606" s="80" t="str">
        <f>HYPERLINK("https://pbs.twimg.com/profile_images/1354088096166514691/7JjwT6s9_normal.jpg")</f>
        <v>https://pbs.twimg.com/profile_images/1354088096166514691/7JjwT6s9_normal.jpg</v>
      </c>
      <c r="AW3606" s="82" t="s">
        <v>20372</v>
      </c>
      <c r="AX3606" s="82" t="s">
        <v>20372</v>
      </c>
      <c r="AY3606" s="77"/>
      <c r="AZ3606" s="82" t="s">
        <v>20971</v>
      </c>
      <c r="BA3606" s="82" t="s">
        <v>20971</v>
      </c>
      <c r="BB3606" s="82" t="s">
        <v>20971</v>
      </c>
      <c r="BC3606" s="82" t="s">
        <v>20372</v>
      </c>
      <c r="BD3606" s="77">
        <v>1872930812</v>
      </c>
      <c r="BE3606" s="77"/>
      <c r="BF3606" s="77"/>
      <c r="BG3606" s="77"/>
      <c r="BH3606" s="77"/>
      <c r="BI3606" s="77"/>
    </row>
    <row r="3607" spans="1:61" x14ac:dyDescent="0.25">
      <c r="A3607" s="62" t="s">
        <v>1062</v>
      </c>
      <c r="B3607" s="62" t="s">
        <v>1062</v>
      </c>
      <c r="C3607" s="63"/>
      <c r="D3607" s="64"/>
      <c r="E3607" s="65"/>
      <c r="F3607" s="66"/>
      <c r="G3607" s="63"/>
      <c r="H3607" s="67"/>
      <c r="I3607" s="68"/>
      <c r="J3607" s="68"/>
      <c r="K3607" s="32"/>
      <c r="L3607" s="75">
        <v>3607</v>
      </c>
      <c r="M3607" s="75"/>
      <c r="N3607" s="70"/>
      <c r="O3607" s="77" t="s">
        <v>179</v>
      </c>
      <c r="P3607" s="79">
        <v>45154.43476851852</v>
      </c>
      <c r="Q3607" s="77" t="s">
        <v>4813</v>
      </c>
      <c r="R3607" s="77">
        <v>0</v>
      </c>
      <c r="S3607" s="77">
        <v>3</v>
      </c>
      <c r="T3607" s="77">
        <v>0</v>
      </c>
      <c r="U3607" s="77">
        <v>0</v>
      </c>
      <c r="V3607" s="77">
        <v>171</v>
      </c>
      <c r="W3607" s="82" t="s">
        <v>6880</v>
      </c>
      <c r="X3607" s="80" t="str">
        <f>HYPERLINK("https://pay.kiwify.com.br/AfzLeQP?afid=5Dj65e3O")</f>
        <v>https://pay.kiwify.com.br/AfzLeQP?afid=5Dj65e3O</v>
      </c>
      <c r="Y3607" s="77" t="s">
        <v>7252</v>
      </c>
      <c r="Z3607" s="77"/>
      <c r="AA3607" s="77" t="s">
        <v>9857</v>
      </c>
      <c r="AB3607" s="77" t="s">
        <v>10129</v>
      </c>
      <c r="AC3607" s="82" t="s">
        <v>10145</v>
      </c>
      <c r="AD3607" s="77" t="s">
        <v>10184</v>
      </c>
      <c r="AE3607" s="80" t="str">
        <f>HYPERLINK("https://twitter.com/iasdmedinheiro/status/1691758213639672056")</f>
        <v>https://twitter.com/iasdmedinheiro/status/1691758213639672056</v>
      </c>
      <c r="AF3607" s="79">
        <v>45154.43476851852</v>
      </c>
      <c r="AG3607" s="85">
        <v>45154</v>
      </c>
      <c r="AH3607" s="82" t="s">
        <v>13596</v>
      </c>
      <c r="AI3607" s="77" t="b">
        <v>0</v>
      </c>
      <c r="AJ3607" s="77"/>
      <c r="AK3607" s="77"/>
      <c r="AL3607" s="77"/>
      <c r="AM3607" s="77"/>
      <c r="AN3607" s="77"/>
      <c r="AO3607" s="77"/>
      <c r="AP3607" s="77"/>
      <c r="AQ3607" s="77" t="s">
        <v>16500</v>
      </c>
      <c r="AR3607" s="77">
        <v>14878</v>
      </c>
      <c r="AS3607" s="77"/>
      <c r="AT3607" s="77"/>
      <c r="AU3607" s="77"/>
      <c r="AV3607" s="80" t="str">
        <f>HYPERLINK("https://pbs.twimg.com/ext_tw_video_thumb/1691758188461187072/pu/img/f5v8_ac5NNPXInBP.jpg")</f>
        <v>https://pbs.twimg.com/ext_tw_video_thumb/1691758188461187072/pu/img/f5v8_ac5NNPXInBP.jpg</v>
      </c>
      <c r="AW3607" s="82" t="s">
        <v>20373</v>
      </c>
      <c r="AX3607" s="82" t="s">
        <v>20373</v>
      </c>
      <c r="AY3607" s="77"/>
      <c r="AZ3607" s="82" t="s">
        <v>20971</v>
      </c>
      <c r="BA3607" s="82" t="s">
        <v>20971</v>
      </c>
      <c r="BB3607" s="82" t="s">
        <v>20971</v>
      </c>
      <c r="BC3607" s="82" t="s">
        <v>20373</v>
      </c>
      <c r="BD3607" s="82" t="s">
        <v>21641</v>
      </c>
      <c r="BE3607" s="77"/>
      <c r="BF3607" s="77"/>
      <c r="BG3607" s="77"/>
      <c r="BH3607" s="77"/>
      <c r="BI3607" s="77"/>
    </row>
    <row r="3608" spans="1:61" x14ac:dyDescent="0.25">
      <c r="A3608" s="62" t="s">
        <v>1063</v>
      </c>
      <c r="B3608" s="62" t="s">
        <v>1241</v>
      </c>
      <c r="C3608" s="63"/>
      <c r="D3608" s="64"/>
      <c r="E3608" s="65"/>
      <c r="F3608" s="66"/>
      <c r="G3608" s="63"/>
      <c r="H3608" s="67"/>
      <c r="I3608" s="68"/>
      <c r="J3608" s="68"/>
      <c r="K3608" s="32"/>
      <c r="L3608" s="75">
        <v>3608</v>
      </c>
      <c r="M3608" s="75"/>
      <c r="N3608" s="70"/>
      <c r="O3608" s="77" t="s">
        <v>1285</v>
      </c>
      <c r="P3608" s="79">
        <v>45022.436805555553</v>
      </c>
      <c r="Q3608" s="77" t="s">
        <v>4814</v>
      </c>
      <c r="R3608" s="77">
        <v>0</v>
      </c>
      <c r="S3608" s="77">
        <v>0</v>
      </c>
      <c r="T3608" s="77">
        <v>8</v>
      </c>
      <c r="U3608" s="77">
        <v>0</v>
      </c>
      <c r="V3608" s="77">
        <v>43</v>
      </c>
      <c r="W3608" s="82" t="s">
        <v>6881</v>
      </c>
      <c r="X3608" s="77" t="s">
        <v>7231</v>
      </c>
      <c r="Y3608" s="77" t="s">
        <v>7461</v>
      </c>
      <c r="Z3608" s="77" t="s">
        <v>1241</v>
      </c>
      <c r="AA3608" s="77"/>
      <c r="AB3608" s="77"/>
      <c r="AC3608" s="82" t="s">
        <v>10146</v>
      </c>
      <c r="AD3608" s="77" t="s">
        <v>10184</v>
      </c>
      <c r="AE3608" s="80" t="str">
        <f>HYPERLINK("https://twitter.com/duarteafo/status/1643923753263415296")</f>
        <v>https://twitter.com/duarteafo/status/1643923753263415296</v>
      </c>
      <c r="AF3608" s="79">
        <v>45022.436805555553</v>
      </c>
      <c r="AG3608" s="85">
        <v>45022</v>
      </c>
      <c r="AH3608" s="82" t="s">
        <v>13597</v>
      </c>
      <c r="AI3608" s="77" t="b">
        <v>0</v>
      </c>
      <c r="AJ3608" s="77"/>
      <c r="AK3608" s="77"/>
      <c r="AL3608" s="77"/>
      <c r="AM3608" s="77"/>
      <c r="AN3608" s="77"/>
      <c r="AO3608" s="77"/>
      <c r="AP3608" s="77"/>
      <c r="AQ3608" s="77"/>
      <c r="AR3608" s="77"/>
      <c r="AS3608" s="77"/>
      <c r="AT3608" s="77"/>
      <c r="AU3608" s="77"/>
      <c r="AV3608" s="80" t="str">
        <f>HYPERLINK("https://pbs.twimg.com/profile_images/1492171635734061058/Oz5FchEX_normal.jpg")</f>
        <v>https://pbs.twimg.com/profile_images/1492171635734061058/Oz5FchEX_normal.jpg</v>
      </c>
      <c r="AW3608" s="82" t="s">
        <v>20374</v>
      </c>
      <c r="AX3608" s="82" t="s">
        <v>20374</v>
      </c>
      <c r="AY3608" s="77"/>
      <c r="AZ3608" s="82" t="s">
        <v>20971</v>
      </c>
      <c r="BA3608" s="82" t="s">
        <v>20971</v>
      </c>
      <c r="BB3608" s="82" t="s">
        <v>20971</v>
      </c>
      <c r="BC3608" s="82" t="s">
        <v>20374</v>
      </c>
      <c r="BD3608" s="77">
        <v>16121462</v>
      </c>
      <c r="BE3608" s="77"/>
      <c r="BF3608" s="77"/>
      <c r="BG3608" s="77"/>
      <c r="BH3608" s="77"/>
      <c r="BI3608" s="77"/>
    </row>
    <row r="3609" spans="1:61" x14ac:dyDescent="0.25">
      <c r="A3609" s="62" t="s">
        <v>1063</v>
      </c>
      <c r="B3609" s="62" t="s">
        <v>1241</v>
      </c>
      <c r="C3609" s="63"/>
      <c r="D3609" s="64"/>
      <c r="E3609" s="65"/>
      <c r="F3609" s="66"/>
      <c r="G3609" s="63"/>
      <c r="H3609" s="67"/>
      <c r="I3609" s="68"/>
      <c r="J3609" s="68"/>
      <c r="K3609" s="32"/>
      <c r="L3609" s="75">
        <v>3609</v>
      </c>
      <c r="M3609" s="75"/>
      <c r="N3609" s="70"/>
      <c r="O3609" s="77" t="s">
        <v>1285</v>
      </c>
      <c r="P3609" s="79">
        <v>45021.547233796293</v>
      </c>
      <c r="Q3609" s="77" t="s">
        <v>4815</v>
      </c>
      <c r="R3609" s="77">
        <v>0</v>
      </c>
      <c r="S3609" s="77">
        <v>1</v>
      </c>
      <c r="T3609" s="77">
        <v>1</v>
      </c>
      <c r="U3609" s="77">
        <v>0</v>
      </c>
      <c r="V3609" s="77">
        <v>66</v>
      </c>
      <c r="W3609" s="82" t="s">
        <v>6882</v>
      </c>
      <c r="X3609" s="77" t="s">
        <v>7231</v>
      </c>
      <c r="Y3609" s="77" t="s">
        <v>7461</v>
      </c>
      <c r="Z3609" s="77" t="s">
        <v>1241</v>
      </c>
      <c r="AA3609" s="77"/>
      <c r="AB3609" s="77"/>
      <c r="AC3609" s="82" t="s">
        <v>10146</v>
      </c>
      <c r="AD3609" s="77" t="s">
        <v>10184</v>
      </c>
      <c r="AE3609" s="80" t="str">
        <f>HYPERLINK("https://twitter.com/duarteafo/status/1643601384443445249")</f>
        <v>https://twitter.com/duarteafo/status/1643601384443445249</v>
      </c>
      <c r="AF3609" s="79">
        <v>45021.547233796293</v>
      </c>
      <c r="AG3609" s="85">
        <v>45021</v>
      </c>
      <c r="AH3609" s="82" t="s">
        <v>13598</v>
      </c>
      <c r="AI3609" s="77" t="b">
        <v>0</v>
      </c>
      <c r="AJ3609" s="77"/>
      <c r="AK3609" s="77"/>
      <c r="AL3609" s="77"/>
      <c r="AM3609" s="77"/>
      <c r="AN3609" s="77"/>
      <c r="AO3609" s="77"/>
      <c r="AP3609" s="77"/>
      <c r="AQ3609" s="77"/>
      <c r="AR3609" s="77"/>
      <c r="AS3609" s="77"/>
      <c r="AT3609" s="77"/>
      <c r="AU3609" s="77"/>
      <c r="AV3609" s="80" t="str">
        <f>HYPERLINK("https://pbs.twimg.com/profile_images/1492171635734061058/Oz5FchEX_normal.jpg")</f>
        <v>https://pbs.twimg.com/profile_images/1492171635734061058/Oz5FchEX_normal.jpg</v>
      </c>
      <c r="AW3609" s="82" t="s">
        <v>20375</v>
      </c>
      <c r="AX3609" s="82" t="s">
        <v>20375</v>
      </c>
      <c r="AY3609" s="77"/>
      <c r="AZ3609" s="82" t="s">
        <v>20971</v>
      </c>
      <c r="BA3609" s="82" t="s">
        <v>20971</v>
      </c>
      <c r="BB3609" s="82" t="s">
        <v>20971</v>
      </c>
      <c r="BC3609" s="82" t="s">
        <v>20375</v>
      </c>
      <c r="BD3609" s="77">
        <v>16121462</v>
      </c>
      <c r="BE3609" s="77"/>
      <c r="BF3609" s="77"/>
      <c r="BG3609" s="77"/>
      <c r="BH3609" s="77"/>
      <c r="BI3609" s="77"/>
    </row>
    <row r="3610" spans="1:61" x14ac:dyDescent="0.25">
      <c r="A3610" s="62" t="s">
        <v>1064</v>
      </c>
      <c r="B3610" s="62" t="s">
        <v>1064</v>
      </c>
      <c r="C3610" s="63"/>
      <c r="D3610" s="64"/>
      <c r="E3610" s="65"/>
      <c r="F3610" s="66"/>
      <c r="G3610" s="63"/>
      <c r="H3610" s="67"/>
      <c r="I3610" s="68"/>
      <c r="J3610" s="68"/>
      <c r="K3610" s="32"/>
      <c r="L3610" s="75">
        <v>3610</v>
      </c>
      <c r="M3610" s="75"/>
      <c r="N3610" s="70"/>
      <c r="O3610" s="77" t="s">
        <v>179</v>
      </c>
      <c r="P3610" s="79">
        <v>45004.936423611114</v>
      </c>
      <c r="Q3610" s="77" t="s">
        <v>4816</v>
      </c>
      <c r="R3610" s="77">
        <v>0</v>
      </c>
      <c r="S3610" s="77">
        <v>0</v>
      </c>
      <c r="T3610" s="77">
        <v>0</v>
      </c>
      <c r="U3610" s="77">
        <v>0</v>
      </c>
      <c r="V3610" s="77">
        <v>203</v>
      </c>
      <c r="W3610" s="82" t="s">
        <v>6883</v>
      </c>
      <c r="X3610" s="80" t="str">
        <f>HYPERLINK("https://pay.hotmart.com/N80873010B?checkoutMode=10")</f>
        <v>https://pay.hotmart.com/N80873010B?checkoutMode=10</v>
      </c>
      <c r="Y3610" s="77" t="s">
        <v>7251</v>
      </c>
      <c r="Z3610" s="77"/>
      <c r="AA3610" s="77" t="s">
        <v>9858</v>
      </c>
      <c r="AB3610" s="77" t="s">
        <v>10129</v>
      </c>
      <c r="AC3610" s="82" t="s">
        <v>10146</v>
      </c>
      <c r="AD3610" s="77" t="s">
        <v>10184</v>
      </c>
      <c r="AE3610" s="80" t="str">
        <f>HYPERLINK("https://twitter.com/paulladaudt5/status/1637581829505941506")</f>
        <v>https://twitter.com/paulladaudt5/status/1637581829505941506</v>
      </c>
      <c r="AF3610" s="79">
        <v>45004.936423611114</v>
      </c>
      <c r="AG3610" s="85">
        <v>45004</v>
      </c>
      <c r="AH3610" s="82" t="s">
        <v>13599</v>
      </c>
      <c r="AI3610" s="77" t="b">
        <v>0</v>
      </c>
      <c r="AJ3610" s="77"/>
      <c r="AK3610" s="77"/>
      <c r="AL3610" s="77"/>
      <c r="AM3610" s="77"/>
      <c r="AN3610" s="77"/>
      <c r="AO3610" s="77"/>
      <c r="AP3610" s="77"/>
      <c r="AQ3610" s="77" t="s">
        <v>16501</v>
      </c>
      <c r="AR3610" s="77">
        <v>17000</v>
      </c>
      <c r="AS3610" s="77"/>
      <c r="AT3610" s="77"/>
      <c r="AU3610" s="77"/>
      <c r="AV3610" s="80" t="str">
        <f>HYPERLINK("https://pbs.twimg.com/ext_tw_video_thumb/1637581587092062208/pu/img/Y6mUoowGgwMBgbpW.jpg")</f>
        <v>https://pbs.twimg.com/ext_tw_video_thumb/1637581587092062208/pu/img/Y6mUoowGgwMBgbpW.jpg</v>
      </c>
      <c r="AW3610" s="82" t="s">
        <v>20376</v>
      </c>
      <c r="AX3610" s="82" t="s">
        <v>20376</v>
      </c>
      <c r="AY3610" s="77"/>
      <c r="AZ3610" s="82" t="s">
        <v>20971</v>
      </c>
      <c r="BA3610" s="82" t="s">
        <v>20971</v>
      </c>
      <c r="BB3610" s="82" t="s">
        <v>20971</v>
      </c>
      <c r="BC3610" s="82" t="s">
        <v>20376</v>
      </c>
      <c r="BD3610" s="77">
        <v>1153707991</v>
      </c>
      <c r="BE3610" s="77"/>
      <c r="BF3610" s="77"/>
      <c r="BG3610" s="77"/>
      <c r="BH3610" s="77"/>
      <c r="BI3610" s="77"/>
    </row>
    <row r="3611" spans="1:61" x14ac:dyDescent="0.25">
      <c r="A3611" s="62" t="s">
        <v>1064</v>
      </c>
      <c r="B3611" s="62" t="s">
        <v>1064</v>
      </c>
      <c r="C3611" s="63"/>
      <c r="D3611" s="64"/>
      <c r="E3611" s="65"/>
      <c r="F3611" s="66"/>
      <c r="G3611" s="63"/>
      <c r="H3611" s="67"/>
      <c r="I3611" s="68"/>
      <c r="J3611" s="68"/>
      <c r="K3611" s="32"/>
      <c r="L3611" s="75">
        <v>3611</v>
      </c>
      <c r="M3611" s="75"/>
      <c r="N3611" s="70"/>
      <c r="O3611" s="77" t="s">
        <v>179</v>
      </c>
      <c r="P3611" s="79">
        <v>45011.319594907407</v>
      </c>
      <c r="Q3611" s="77" t="s">
        <v>4817</v>
      </c>
      <c r="R3611" s="77">
        <v>0</v>
      </c>
      <c r="S3611" s="77">
        <v>0</v>
      </c>
      <c r="T3611" s="77">
        <v>0</v>
      </c>
      <c r="U3611" s="77">
        <v>0</v>
      </c>
      <c r="V3611" s="77">
        <v>169</v>
      </c>
      <c r="W3611" s="82" t="s">
        <v>6884</v>
      </c>
      <c r="X3611" s="80" t="str">
        <f>HYPERLINK("https://go.hotmart.com/N80873010B")</f>
        <v>https://go.hotmart.com/N80873010B</v>
      </c>
      <c r="Y3611" s="77" t="s">
        <v>7251</v>
      </c>
      <c r="Z3611" s="77"/>
      <c r="AA3611" s="77" t="s">
        <v>9859</v>
      </c>
      <c r="AB3611" s="77" t="s">
        <v>10130</v>
      </c>
      <c r="AC3611" s="82" t="s">
        <v>10146</v>
      </c>
      <c r="AD3611" s="77" t="s">
        <v>10184</v>
      </c>
      <c r="AE3611" s="80" t="str">
        <f>HYPERLINK("https://twitter.com/paulladaudt5/status/1639895014049304578")</f>
        <v>https://twitter.com/paulladaudt5/status/1639895014049304578</v>
      </c>
      <c r="AF3611" s="79">
        <v>45011.319594907407</v>
      </c>
      <c r="AG3611" s="85">
        <v>45011</v>
      </c>
      <c r="AH3611" s="82" t="s">
        <v>13600</v>
      </c>
      <c r="AI3611" s="77" t="b">
        <v>0</v>
      </c>
      <c r="AJ3611" s="77"/>
      <c r="AK3611" s="77"/>
      <c r="AL3611" s="77"/>
      <c r="AM3611" s="77"/>
      <c r="AN3611" s="77"/>
      <c r="AO3611" s="77"/>
      <c r="AP3611" s="77"/>
      <c r="AQ3611" s="77" t="s">
        <v>16502</v>
      </c>
      <c r="AR3611" s="77"/>
      <c r="AS3611" s="77"/>
      <c r="AT3611" s="77"/>
      <c r="AU3611" s="77"/>
      <c r="AV3611" s="80" t="str">
        <f>HYPERLINK("https://pbs.twimg.com/media/FsITgsAX0AALAzV.png")</f>
        <v>https://pbs.twimg.com/media/FsITgsAX0AALAzV.png</v>
      </c>
      <c r="AW3611" s="82" t="s">
        <v>20377</v>
      </c>
      <c r="AX3611" s="82" t="s">
        <v>20377</v>
      </c>
      <c r="AY3611" s="77"/>
      <c r="AZ3611" s="82" t="s">
        <v>20971</v>
      </c>
      <c r="BA3611" s="82" t="s">
        <v>20971</v>
      </c>
      <c r="BB3611" s="82" t="s">
        <v>20971</v>
      </c>
      <c r="BC3611" s="82" t="s">
        <v>20377</v>
      </c>
      <c r="BD3611" s="77">
        <v>1153707991</v>
      </c>
      <c r="BE3611" s="77"/>
      <c r="BF3611" s="77"/>
      <c r="BG3611" s="77"/>
      <c r="BH3611" s="77"/>
      <c r="BI3611" s="77"/>
    </row>
    <row r="3612" spans="1:61" x14ac:dyDescent="0.25">
      <c r="A3612" s="62" t="s">
        <v>1065</v>
      </c>
      <c r="B3612" s="62" t="s">
        <v>1065</v>
      </c>
      <c r="C3612" s="63"/>
      <c r="D3612" s="64"/>
      <c r="E3612" s="65"/>
      <c r="F3612" s="66"/>
      <c r="G3612" s="63"/>
      <c r="H3612" s="67"/>
      <c r="I3612" s="68"/>
      <c r="J3612" s="68"/>
      <c r="K3612" s="32"/>
      <c r="L3612" s="75">
        <v>3612</v>
      </c>
      <c r="M3612" s="75"/>
      <c r="N3612" s="70"/>
      <c r="O3612" s="77" t="s">
        <v>179</v>
      </c>
      <c r="P3612" s="79">
        <v>44981.435891203706</v>
      </c>
      <c r="Q3612" s="77" t="s">
        <v>4818</v>
      </c>
      <c r="R3612" s="77">
        <v>0</v>
      </c>
      <c r="S3612" s="77">
        <v>0</v>
      </c>
      <c r="T3612" s="77">
        <v>1</v>
      </c>
      <c r="U3612" s="77">
        <v>0</v>
      </c>
      <c r="V3612" s="77">
        <v>54</v>
      </c>
      <c r="W3612" s="82" t="s">
        <v>6885</v>
      </c>
      <c r="X3612" s="80" t="str">
        <f>HYPERLINK("http://gotchosen.com/@tessyanne14/i")</f>
        <v>http://gotchosen.com/@tessyanne14/i</v>
      </c>
      <c r="Y3612" s="77" t="s">
        <v>7256</v>
      </c>
      <c r="Z3612" s="77"/>
      <c r="AA3612" s="77"/>
      <c r="AB3612" s="77"/>
      <c r="AC3612" s="82" t="s">
        <v>10145</v>
      </c>
      <c r="AD3612" s="77" t="s">
        <v>10184</v>
      </c>
      <c r="AE3612" s="80" t="str">
        <f>HYPERLINK("https://twitter.com/taroguiando/status/1629065519771840512")</f>
        <v>https://twitter.com/taroguiando/status/1629065519771840512</v>
      </c>
      <c r="AF3612" s="79">
        <v>44981.435891203706</v>
      </c>
      <c r="AG3612" s="85">
        <v>44981</v>
      </c>
      <c r="AH3612" s="82" t="s">
        <v>13601</v>
      </c>
      <c r="AI3612" s="77" t="b">
        <v>0</v>
      </c>
      <c r="AJ3612" s="77"/>
      <c r="AK3612" s="77"/>
      <c r="AL3612" s="77"/>
      <c r="AM3612" s="77"/>
      <c r="AN3612" s="77"/>
      <c r="AO3612" s="77"/>
      <c r="AP3612" s="77"/>
      <c r="AQ3612" s="77"/>
      <c r="AR3612" s="77"/>
      <c r="AS3612" s="77"/>
      <c r="AT3612" s="77"/>
      <c r="AU3612" s="77"/>
      <c r="AV3612" s="80" t="str">
        <f>HYPERLINK("https://pbs.twimg.com/profile_images/1605991335466524673/B4VLqmcC_normal.jpg")</f>
        <v>https://pbs.twimg.com/profile_images/1605991335466524673/B4VLqmcC_normal.jpg</v>
      </c>
      <c r="AW3612" s="82" t="s">
        <v>20378</v>
      </c>
      <c r="AX3612" s="82" t="s">
        <v>20378</v>
      </c>
      <c r="AY3612" s="77"/>
      <c r="AZ3612" s="82" t="s">
        <v>20971</v>
      </c>
      <c r="BA3612" s="82" t="s">
        <v>20971</v>
      </c>
      <c r="BB3612" s="82" t="s">
        <v>20971</v>
      </c>
      <c r="BC3612" s="82" t="s">
        <v>20378</v>
      </c>
      <c r="BD3612" s="82" t="s">
        <v>21642</v>
      </c>
      <c r="BE3612" s="77"/>
      <c r="BF3612" s="77"/>
      <c r="BG3612" s="77"/>
      <c r="BH3612" s="77"/>
      <c r="BI3612" s="77"/>
    </row>
    <row r="3613" spans="1:61" x14ac:dyDescent="0.25">
      <c r="A3613" s="62" t="s">
        <v>1066</v>
      </c>
      <c r="B3613" s="62" t="s">
        <v>1066</v>
      </c>
      <c r="C3613" s="63"/>
      <c r="D3613" s="64"/>
      <c r="E3613" s="65"/>
      <c r="F3613" s="66"/>
      <c r="G3613" s="63"/>
      <c r="H3613" s="67"/>
      <c r="I3613" s="68"/>
      <c r="J3613" s="68"/>
      <c r="K3613" s="32"/>
      <c r="L3613" s="75">
        <v>3613</v>
      </c>
      <c r="M3613" s="75"/>
      <c r="N3613" s="70"/>
      <c r="O3613" s="77" t="s">
        <v>179</v>
      </c>
      <c r="P3613" s="79">
        <v>45126.922986111109</v>
      </c>
      <c r="Q3613" s="77" t="s">
        <v>4819</v>
      </c>
      <c r="R3613" s="77">
        <v>0</v>
      </c>
      <c r="S3613" s="77">
        <v>0</v>
      </c>
      <c r="T3613" s="77">
        <v>0</v>
      </c>
      <c r="U3613" s="77">
        <v>0</v>
      </c>
      <c r="V3613" s="77">
        <v>152</v>
      </c>
      <c r="W3613" s="82" t="s">
        <v>6886</v>
      </c>
      <c r="X3613" s="80" t="str">
        <f>HYPERLINK("https://win2023.biz/?id=58776569")</f>
        <v>https://win2023.biz/?id=58776569</v>
      </c>
      <c r="Y3613" s="77" t="s">
        <v>7462</v>
      </c>
      <c r="Z3613" s="77"/>
      <c r="AA3613" s="77" t="s">
        <v>9860</v>
      </c>
      <c r="AB3613" s="77" t="s">
        <v>10130</v>
      </c>
      <c r="AC3613" s="82" t="s">
        <v>10144</v>
      </c>
      <c r="AD3613" s="77" t="s">
        <v>10184</v>
      </c>
      <c r="AE3613" s="80" t="str">
        <f>HYPERLINK("https://twitter.com/mah_munis79513/status/1681788280889647105")</f>
        <v>https://twitter.com/mah_munis79513/status/1681788280889647105</v>
      </c>
      <c r="AF3613" s="79">
        <v>45126.922986111109</v>
      </c>
      <c r="AG3613" s="85">
        <v>45126</v>
      </c>
      <c r="AH3613" s="82" t="s">
        <v>13602</v>
      </c>
      <c r="AI3613" s="77" t="b">
        <v>0</v>
      </c>
      <c r="AJ3613" s="77"/>
      <c r="AK3613" s="77"/>
      <c r="AL3613" s="77"/>
      <c r="AM3613" s="77"/>
      <c r="AN3613" s="77"/>
      <c r="AO3613" s="77"/>
      <c r="AP3613" s="77"/>
      <c r="AQ3613" s="77" t="s">
        <v>16503</v>
      </c>
      <c r="AR3613" s="77"/>
      <c r="AS3613" s="77"/>
      <c r="AT3613" s="77"/>
      <c r="AU3613" s="77"/>
      <c r="AV3613" s="80" t="str">
        <f>HYPERLINK("https://pbs.twimg.com/media/F1bphy9XsAAEUbV.jpg")</f>
        <v>https://pbs.twimg.com/media/F1bphy9XsAAEUbV.jpg</v>
      </c>
      <c r="AW3613" s="82" t="s">
        <v>20379</v>
      </c>
      <c r="AX3613" s="82" t="s">
        <v>20379</v>
      </c>
      <c r="AY3613" s="77"/>
      <c r="AZ3613" s="82" t="s">
        <v>20971</v>
      </c>
      <c r="BA3613" s="82" t="s">
        <v>20971</v>
      </c>
      <c r="BB3613" s="82" t="s">
        <v>20971</v>
      </c>
      <c r="BC3613" s="82" t="s">
        <v>20379</v>
      </c>
      <c r="BD3613" s="82" t="s">
        <v>21643</v>
      </c>
      <c r="BE3613" s="77"/>
      <c r="BF3613" s="77"/>
      <c r="BG3613" s="77"/>
      <c r="BH3613" s="77"/>
      <c r="BI3613" s="77"/>
    </row>
    <row r="3614" spans="1:61" x14ac:dyDescent="0.25">
      <c r="A3614" s="62" t="s">
        <v>1066</v>
      </c>
      <c r="B3614" s="62" t="s">
        <v>1066</v>
      </c>
      <c r="C3614" s="63"/>
      <c r="D3614" s="64"/>
      <c r="E3614" s="65"/>
      <c r="F3614" s="66"/>
      <c r="G3614" s="63"/>
      <c r="H3614" s="67"/>
      <c r="I3614" s="68"/>
      <c r="J3614" s="68"/>
      <c r="K3614" s="32"/>
      <c r="L3614" s="75">
        <v>3614</v>
      </c>
      <c r="M3614" s="75"/>
      <c r="N3614" s="70"/>
      <c r="O3614" s="77" t="s">
        <v>179</v>
      </c>
      <c r="P3614" s="79">
        <v>45149.029583333337</v>
      </c>
      <c r="Q3614" s="77" t="s">
        <v>4820</v>
      </c>
      <c r="R3614" s="77">
        <v>0</v>
      </c>
      <c r="S3614" s="77">
        <v>0</v>
      </c>
      <c r="T3614" s="77">
        <v>1</v>
      </c>
      <c r="U3614" s="77">
        <v>0</v>
      </c>
      <c r="V3614" s="77">
        <v>235</v>
      </c>
      <c r="W3614" s="82" t="s">
        <v>6887</v>
      </c>
      <c r="X3614" s="77" t="s">
        <v>7232</v>
      </c>
      <c r="Y3614" s="77" t="s">
        <v>7463</v>
      </c>
      <c r="Z3614" s="77"/>
      <c r="AA3614" s="77" t="s">
        <v>9861</v>
      </c>
      <c r="AB3614" s="77" t="s">
        <v>10130</v>
      </c>
      <c r="AC3614" s="82" t="s">
        <v>10144</v>
      </c>
      <c r="AD3614" s="77" t="s">
        <v>10184</v>
      </c>
      <c r="AE3614" s="80" t="str">
        <f>HYPERLINK("https://twitter.com/mah_munis79513/status/1689799442956709888")</f>
        <v>https://twitter.com/mah_munis79513/status/1689799442956709888</v>
      </c>
      <c r="AF3614" s="79">
        <v>45149.029583333337</v>
      </c>
      <c r="AG3614" s="85">
        <v>45149</v>
      </c>
      <c r="AH3614" s="82" t="s">
        <v>13603</v>
      </c>
      <c r="AI3614" s="77" t="b">
        <v>0</v>
      </c>
      <c r="AJ3614" s="77"/>
      <c r="AK3614" s="77"/>
      <c r="AL3614" s="77"/>
      <c r="AM3614" s="77"/>
      <c r="AN3614" s="77"/>
      <c r="AO3614" s="77"/>
      <c r="AP3614" s="77"/>
      <c r="AQ3614" s="77" t="s">
        <v>16504</v>
      </c>
      <c r="AR3614" s="77"/>
      <c r="AS3614" s="77"/>
      <c r="AT3614" s="77"/>
      <c r="AU3614" s="77"/>
      <c r="AV3614" s="80" t="str">
        <f>HYPERLINK("https://pbs.twimg.com/media/F3NfoxmWoAATgQe.jpg")</f>
        <v>https://pbs.twimg.com/media/F3NfoxmWoAATgQe.jpg</v>
      </c>
      <c r="AW3614" s="82" t="s">
        <v>20380</v>
      </c>
      <c r="AX3614" s="82" t="s">
        <v>20380</v>
      </c>
      <c r="AY3614" s="77"/>
      <c r="AZ3614" s="82" t="s">
        <v>20971</v>
      </c>
      <c r="BA3614" s="82" t="s">
        <v>20971</v>
      </c>
      <c r="BB3614" s="82" t="s">
        <v>20971</v>
      </c>
      <c r="BC3614" s="82" t="s">
        <v>20380</v>
      </c>
      <c r="BD3614" s="82" t="s">
        <v>21643</v>
      </c>
      <c r="BE3614" s="77"/>
      <c r="BF3614" s="77"/>
      <c r="BG3614" s="77"/>
      <c r="BH3614" s="77"/>
      <c r="BI3614" s="77"/>
    </row>
    <row r="3615" spans="1:61" x14ac:dyDescent="0.25">
      <c r="A3615" s="62" t="s">
        <v>1067</v>
      </c>
      <c r="B3615" s="62" t="s">
        <v>1067</v>
      </c>
      <c r="C3615" s="63"/>
      <c r="D3615" s="64"/>
      <c r="E3615" s="65"/>
      <c r="F3615" s="66"/>
      <c r="G3615" s="63"/>
      <c r="H3615" s="67"/>
      <c r="I3615" s="68"/>
      <c r="J3615" s="68"/>
      <c r="K3615" s="32"/>
      <c r="L3615" s="75">
        <v>3615</v>
      </c>
      <c r="M3615" s="75"/>
      <c r="N3615" s="70"/>
      <c r="O3615" s="77" t="s">
        <v>179</v>
      </c>
      <c r="P3615" s="79">
        <v>45118.558437500003</v>
      </c>
      <c r="Q3615" s="77" t="s">
        <v>4821</v>
      </c>
      <c r="R3615" s="77">
        <v>0</v>
      </c>
      <c r="S3615" s="77">
        <v>0</v>
      </c>
      <c r="T3615" s="77">
        <v>3</v>
      </c>
      <c r="U3615" s="77">
        <v>0</v>
      </c>
      <c r="V3615" s="77">
        <v>220</v>
      </c>
      <c r="W3615" s="82" t="s">
        <v>6888</v>
      </c>
      <c r="X3615" s="80" t="str">
        <f>HYPERLINK("https://www.brpatroa.com/register/4SNBH52voxU")</f>
        <v>https://www.brpatroa.com/register/4SNBH52voxU</v>
      </c>
      <c r="Y3615" s="77" t="s">
        <v>7464</v>
      </c>
      <c r="Z3615" s="77"/>
      <c r="AA3615" s="77" t="s">
        <v>9862</v>
      </c>
      <c r="AB3615" s="77" t="s">
        <v>10129</v>
      </c>
      <c r="AC3615" s="82" t="s">
        <v>10144</v>
      </c>
      <c r="AD3615" s="77" t="s">
        <v>10198</v>
      </c>
      <c r="AE3615" s="80" t="str">
        <f>HYPERLINK("https://twitter.com/daycosta31/status/1678757066209386497")</f>
        <v>https://twitter.com/daycosta31/status/1678757066209386497</v>
      </c>
      <c r="AF3615" s="79">
        <v>45118.558437500003</v>
      </c>
      <c r="AG3615" s="85">
        <v>45118</v>
      </c>
      <c r="AH3615" s="82" t="s">
        <v>13604</v>
      </c>
      <c r="AI3615" s="77" t="b">
        <v>0</v>
      </c>
      <c r="AJ3615" s="77"/>
      <c r="AK3615" s="77"/>
      <c r="AL3615" s="77"/>
      <c r="AM3615" s="77"/>
      <c r="AN3615" s="77"/>
      <c r="AO3615" s="77"/>
      <c r="AP3615" s="77"/>
      <c r="AQ3615" s="77" t="s">
        <v>16505</v>
      </c>
      <c r="AR3615" s="77">
        <v>44873</v>
      </c>
      <c r="AS3615" s="77"/>
      <c r="AT3615" s="77"/>
      <c r="AU3615" s="77"/>
      <c r="AV3615" s="80" t="str">
        <f>HYPERLINK("https://pbs.twimg.com/ext_tw_video_thumb/1678756982998573056/pu/img/oeKAazPcRXoM_q04.jpg")</f>
        <v>https://pbs.twimg.com/ext_tw_video_thumb/1678756982998573056/pu/img/oeKAazPcRXoM_q04.jpg</v>
      </c>
      <c r="AW3615" s="82" t="s">
        <v>20381</v>
      </c>
      <c r="AX3615" s="82" t="s">
        <v>20381</v>
      </c>
      <c r="AY3615" s="77"/>
      <c r="AZ3615" s="82" t="s">
        <v>20971</v>
      </c>
      <c r="BA3615" s="82" t="s">
        <v>20971</v>
      </c>
      <c r="BB3615" s="82" t="s">
        <v>20971</v>
      </c>
      <c r="BC3615" s="82" t="s">
        <v>20381</v>
      </c>
      <c r="BD3615" s="82" t="s">
        <v>21644</v>
      </c>
      <c r="BE3615" s="77"/>
      <c r="BF3615" s="77"/>
      <c r="BG3615" s="77"/>
      <c r="BH3615" s="77"/>
      <c r="BI3615" s="77"/>
    </row>
    <row r="3616" spans="1:61" x14ac:dyDescent="0.25">
      <c r="A3616" s="62" t="s">
        <v>1067</v>
      </c>
      <c r="B3616" s="62" t="s">
        <v>1067</v>
      </c>
      <c r="C3616" s="63"/>
      <c r="D3616" s="64"/>
      <c r="E3616" s="65"/>
      <c r="F3616" s="66"/>
      <c r="G3616" s="63"/>
      <c r="H3616" s="67"/>
      <c r="I3616" s="68"/>
      <c r="J3616" s="68"/>
      <c r="K3616" s="32"/>
      <c r="L3616" s="75">
        <v>3616</v>
      </c>
      <c r="M3616" s="75"/>
      <c r="N3616" s="70"/>
      <c r="O3616" s="77" t="s">
        <v>179</v>
      </c>
      <c r="P3616" s="79">
        <v>45078.571145833332</v>
      </c>
      <c r="Q3616" s="77" t="s">
        <v>4822</v>
      </c>
      <c r="R3616" s="77">
        <v>0</v>
      </c>
      <c r="S3616" s="77">
        <v>0</v>
      </c>
      <c r="T3616" s="77">
        <v>0</v>
      </c>
      <c r="U3616" s="77">
        <v>0</v>
      </c>
      <c r="V3616" s="77">
        <v>89</v>
      </c>
      <c r="W3616" s="82" t="s">
        <v>6889</v>
      </c>
      <c r="X3616" s="80" t="str">
        <f>HYPERLINK("https://www.codbet568.com/game/login/login?CODRD=28ccd81")</f>
        <v>https://www.codbet568.com/game/login/login?CODRD=28ccd81</v>
      </c>
      <c r="Y3616" s="77" t="s">
        <v>7465</v>
      </c>
      <c r="Z3616" s="77"/>
      <c r="AA3616" s="77" t="s">
        <v>9863</v>
      </c>
      <c r="AB3616" s="77" t="s">
        <v>10129</v>
      </c>
      <c r="AC3616" s="82" t="s">
        <v>10144</v>
      </c>
      <c r="AD3616" s="77" t="s">
        <v>10184</v>
      </c>
      <c r="AE3616" s="80" t="str">
        <f>HYPERLINK("https://twitter.com/daycosta31/status/1664266157346664448")</f>
        <v>https://twitter.com/daycosta31/status/1664266157346664448</v>
      </c>
      <c r="AF3616" s="79">
        <v>45078.571145833332</v>
      </c>
      <c r="AG3616" s="85">
        <v>45078</v>
      </c>
      <c r="AH3616" s="82" t="s">
        <v>13605</v>
      </c>
      <c r="AI3616" s="77" t="b">
        <v>0</v>
      </c>
      <c r="AJ3616" s="77"/>
      <c r="AK3616" s="77"/>
      <c r="AL3616" s="77"/>
      <c r="AM3616" s="77"/>
      <c r="AN3616" s="77"/>
      <c r="AO3616" s="77"/>
      <c r="AP3616" s="77"/>
      <c r="AQ3616" s="77" t="s">
        <v>16506</v>
      </c>
      <c r="AR3616" s="77">
        <v>21566</v>
      </c>
      <c r="AS3616" s="77"/>
      <c r="AT3616" s="77"/>
      <c r="AU3616" s="77"/>
      <c r="AV3616" s="80" t="str">
        <f>HYPERLINK("https://pbs.twimg.com/ext_tw_video_thumb/1664266087117234176/pu/img/DVzNWrDMP2y_ohc_.jpg")</f>
        <v>https://pbs.twimg.com/ext_tw_video_thumb/1664266087117234176/pu/img/DVzNWrDMP2y_ohc_.jpg</v>
      </c>
      <c r="AW3616" s="82" t="s">
        <v>20382</v>
      </c>
      <c r="AX3616" s="82" t="s">
        <v>20382</v>
      </c>
      <c r="AY3616" s="77"/>
      <c r="AZ3616" s="82" t="s">
        <v>20971</v>
      </c>
      <c r="BA3616" s="82" t="s">
        <v>20971</v>
      </c>
      <c r="BB3616" s="82" t="s">
        <v>20971</v>
      </c>
      <c r="BC3616" s="82" t="s">
        <v>20382</v>
      </c>
      <c r="BD3616" s="82" t="s">
        <v>21644</v>
      </c>
      <c r="BE3616" s="77"/>
      <c r="BF3616" s="77"/>
      <c r="BG3616" s="77"/>
      <c r="BH3616" s="77"/>
      <c r="BI3616" s="77"/>
    </row>
    <row r="3617" spans="1:61" x14ac:dyDescent="0.25">
      <c r="A3617" s="62" t="s">
        <v>1068</v>
      </c>
      <c r="B3617" s="62" t="s">
        <v>1265</v>
      </c>
      <c r="C3617" s="63"/>
      <c r="D3617" s="64"/>
      <c r="E3617" s="65"/>
      <c r="F3617" s="66"/>
      <c r="G3617" s="63"/>
      <c r="H3617" s="67"/>
      <c r="I3617" s="68"/>
      <c r="J3617" s="68"/>
      <c r="K3617" s="32"/>
      <c r="L3617" s="75">
        <v>3617</v>
      </c>
      <c r="M3617" s="75"/>
      <c r="N3617" s="70"/>
      <c r="O3617" s="77" t="s">
        <v>1284</v>
      </c>
      <c r="P3617" s="79">
        <v>45157.192418981482</v>
      </c>
      <c r="Q3617" s="77" t="s">
        <v>4823</v>
      </c>
      <c r="R3617" s="77">
        <v>0</v>
      </c>
      <c r="S3617" s="77">
        <v>0</v>
      </c>
      <c r="T3617" s="77">
        <v>0</v>
      </c>
      <c r="U3617" s="77">
        <v>0</v>
      </c>
      <c r="V3617" s="77">
        <v>511</v>
      </c>
      <c r="W3617" s="82" t="s">
        <v>5236</v>
      </c>
      <c r="X3617" s="77"/>
      <c r="Y3617" s="77"/>
      <c r="Z3617" s="77" t="s">
        <v>1265</v>
      </c>
      <c r="AA3617" s="77"/>
      <c r="AB3617" s="77"/>
      <c r="AC3617" s="82" t="s">
        <v>10144</v>
      </c>
      <c r="AD3617" s="77" t="s">
        <v>10183</v>
      </c>
      <c r="AE3617" s="80" t="str">
        <f>HYPERLINK("https://twitter.com/peidarnamao/status/1692757555766841498")</f>
        <v>https://twitter.com/peidarnamao/status/1692757555766841498</v>
      </c>
      <c r="AF3617" s="79">
        <v>45157.192418981482</v>
      </c>
      <c r="AG3617" s="85">
        <v>45157</v>
      </c>
      <c r="AH3617" s="82" t="s">
        <v>13606</v>
      </c>
      <c r="AI3617" s="77"/>
      <c r="AJ3617" s="77"/>
      <c r="AK3617" s="77"/>
      <c r="AL3617" s="77"/>
      <c r="AM3617" s="77"/>
      <c r="AN3617" s="77"/>
      <c r="AO3617" s="77"/>
      <c r="AP3617" s="77"/>
      <c r="AQ3617" s="77"/>
      <c r="AR3617" s="77"/>
      <c r="AS3617" s="77"/>
      <c r="AT3617" s="77"/>
      <c r="AU3617" s="77"/>
      <c r="AV3617" s="80" t="str">
        <f>HYPERLINK("https://pbs.twimg.com/profile_images/1701930377621676032/89bhASIm_normal.jpg")</f>
        <v>https://pbs.twimg.com/profile_images/1701930377621676032/89bhASIm_normal.jpg</v>
      </c>
      <c r="AW3617" s="82" t="s">
        <v>20383</v>
      </c>
      <c r="AX3617" s="82" t="s">
        <v>20867</v>
      </c>
      <c r="AY3617" s="82" t="s">
        <v>20950</v>
      </c>
      <c r="AZ3617" s="82" t="s">
        <v>20867</v>
      </c>
      <c r="BA3617" s="82" t="s">
        <v>20971</v>
      </c>
      <c r="BB3617" s="82" t="s">
        <v>20971</v>
      </c>
      <c r="BC3617" s="82" t="s">
        <v>20867</v>
      </c>
      <c r="BD3617" s="82" t="s">
        <v>21645</v>
      </c>
      <c r="BE3617" s="77"/>
      <c r="BF3617" s="77"/>
      <c r="BG3617" s="77"/>
      <c r="BH3617" s="77"/>
      <c r="BI3617" s="77"/>
    </row>
    <row r="3618" spans="1:61" x14ac:dyDescent="0.25">
      <c r="A3618" s="62" t="s">
        <v>1069</v>
      </c>
      <c r="B3618" s="62" t="s">
        <v>1069</v>
      </c>
      <c r="C3618" s="63"/>
      <c r="D3618" s="64"/>
      <c r="E3618" s="65"/>
      <c r="F3618" s="66"/>
      <c r="G3618" s="63"/>
      <c r="H3618" s="67"/>
      <c r="I3618" s="68"/>
      <c r="J3618" s="68"/>
      <c r="K3618" s="32"/>
      <c r="L3618" s="75">
        <v>3618</v>
      </c>
      <c r="M3618" s="75"/>
      <c r="N3618" s="70"/>
      <c r="O3618" s="77" t="s">
        <v>179</v>
      </c>
      <c r="P3618" s="79">
        <v>45100.838692129626</v>
      </c>
      <c r="Q3618" s="77" t="s">
        <v>4824</v>
      </c>
      <c r="R3618" s="77">
        <v>0</v>
      </c>
      <c r="S3618" s="77">
        <v>0</v>
      </c>
      <c r="T3618" s="77">
        <v>0</v>
      </c>
      <c r="U3618" s="77">
        <v>0</v>
      </c>
      <c r="V3618" s="77">
        <v>8</v>
      </c>
      <c r="W3618" s="82" t="s">
        <v>6890</v>
      </c>
      <c r="X3618" s="80" t="str">
        <f>HYPERLINK("https://otimoestar.com/glocalzone/")</f>
        <v>https://otimoestar.com/glocalzone/</v>
      </c>
      <c r="Y3618" s="77" t="s">
        <v>7466</v>
      </c>
      <c r="Z3618" s="77"/>
      <c r="AA3618" s="77"/>
      <c r="AB3618" s="77"/>
      <c r="AC3618" s="82" t="s">
        <v>10146</v>
      </c>
      <c r="AD3618" s="77" t="s">
        <v>10183</v>
      </c>
      <c r="AE3618" s="80" t="str">
        <f>HYPERLINK("https://twitter.com/otimoassim/status/1672335646650773504")</f>
        <v>https://twitter.com/otimoassim/status/1672335646650773504</v>
      </c>
      <c r="AF3618" s="79">
        <v>45100.838692129626</v>
      </c>
      <c r="AG3618" s="85">
        <v>45100</v>
      </c>
      <c r="AH3618" s="82" t="s">
        <v>13607</v>
      </c>
      <c r="AI3618" s="77" t="b">
        <v>0</v>
      </c>
      <c r="AJ3618" s="77"/>
      <c r="AK3618" s="77"/>
      <c r="AL3618" s="77"/>
      <c r="AM3618" s="77"/>
      <c r="AN3618" s="77"/>
      <c r="AO3618" s="77"/>
      <c r="AP3618" s="77"/>
      <c r="AQ3618" s="77"/>
      <c r="AR3618" s="77"/>
      <c r="AS3618" s="77"/>
      <c r="AT3618" s="77"/>
      <c r="AU3618" s="77"/>
      <c r="AV3618" s="80" t="str">
        <f>HYPERLINK("https://pbs.twimg.com/profile_images/1677776614753533955/RG1kX32a_normal.jpg")</f>
        <v>https://pbs.twimg.com/profile_images/1677776614753533955/RG1kX32a_normal.jpg</v>
      </c>
      <c r="AW3618" s="82" t="s">
        <v>20384</v>
      </c>
      <c r="AX3618" s="82" t="s">
        <v>20384</v>
      </c>
      <c r="AY3618" s="77"/>
      <c r="AZ3618" s="82" t="s">
        <v>20971</v>
      </c>
      <c r="BA3618" s="82" t="s">
        <v>20971</v>
      </c>
      <c r="BB3618" s="82" t="s">
        <v>20971</v>
      </c>
      <c r="BC3618" s="82" t="s">
        <v>20384</v>
      </c>
      <c r="BD3618" s="82" t="s">
        <v>21646</v>
      </c>
      <c r="BE3618" s="77"/>
      <c r="BF3618" s="77"/>
      <c r="BG3618" s="77"/>
      <c r="BH3618" s="77"/>
      <c r="BI3618" s="77"/>
    </row>
    <row r="3619" spans="1:61" x14ac:dyDescent="0.25">
      <c r="A3619" s="62" t="s">
        <v>1070</v>
      </c>
      <c r="B3619" s="62" t="s">
        <v>1070</v>
      </c>
      <c r="C3619" s="63"/>
      <c r="D3619" s="64"/>
      <c r="E3619" s="65"/>
      <c r="F3619" s="66"/>
      <c r="G3619" s="63"/>
      <c r="H3619" s="67"/>
      <c r="I3619" s="68"/>
      <c r="J3619" s="68"/>
      <c r="K3619" s="32"/>
      <c r="L3619" s="75">
        <v>3619</v>
      </c>
      <c r="M3619" s="75"/>
      <c r="N3619" s="70"/>
      <c r="O3619" s="77" t="s">
        <v>179</v>
      </c>
      <c r="P3619" s="79">
        <v>45167.795219907406</v>
      </c>
      <c r="Q3619" s="77" t="s">
        <v>4825</v>
      </c>
      <c r="R3619" s="77">
        <v>0</v>
      </c>
      <c r="S3619" s="77">
        <v>0</v>
      </c>
      <c r="T3619" s="77">
        <v>0</v>
      </c>
      <c r="U3619" s="77">
        <v>0</v>
      </c>
      <c r="V3619" s="77">
        <v>102</v>
      </c>
      <c r="W3619" s="82" t="s">
        <v>6891</v>
      </c>
      <c r="X3619" s="77"/>
      <c r="Y3619" s="77"/>
      <c r="Z3619" s="77"/>
      <c r="AA3619" s="77" t="s">
        <v>9864</v>
      </c>
      <c r="AB3619" s="77" t="s">
        <v>10129</v>
      </c>
      <c r="AC3619" s="82" t="s">
        <v>10144</v>
      </c>
      <c r="AD3619" s="77" t="s">
        <v>10183</v>
      </c>
      <c r="AE3619" s="80" t="str">
        <f>HYPERLINK("https://twitter.com/mundogebe/status/1696599880452452646")</f>
        <v>https://twitter.com/mundogebe/status/1696599880452452646</v>
      </c>
      <c r="AF3619" s="79">
        <v>45167.795219907406</v>
      </c>
      <c r="AG3619" s="85">
        <v>45167</v>
      </c>
      <c r="AH3619" s="82" t="s">
        <v>13608</v>
      </c>
      <c r="AI3619" s="77" t="b">
        <v>0</v>
      </c>
      <c r="AJ3619" s="77"/>
      <c r="AK3619" s="77"/>
      <c r="AL3619" s="77"/>
      <c r="AM3619" s="77"/>
      <c r="AN3619" s="77"/>
      <c r="AO3619" s="77"/>
      <c r="AP3619" s="77"/>
      <c r="AQ3619" s="77" t="s">
        <v>16507</v>
      </c>
      <c r="AR3619" s="77">
        <v>5880</v>
      </c>
      <c r="AS3619" s="77"/>
      <c r="AT3619" s="77"/>
      <c r="AU3619" s="77"/>
      <c r="AV3619" s="80" t="str">
        <f>HYPERLINK("https://pbs.twimg.com/ext_tw_video_thumb/1696599786697228288/pu/img/nSM07dU5JbrtKl8H.jpg")</f>
        <v>https://pbs.twimg.com/ext_tw_video_thumb/1696599786697228288/pu/img/nSM07dU5JbrtKl8H.jpg</v>
      </c>
      <c r="AW3619" s="82" t="s">
        <v>20385</v>
      </c>
      <c r="AX3619" s="82" t="s">
        <v>20385</v>
      </c>
      <c r="AY3619" s="77"/>
      <c r="AZ3619" s="82" t="s">
        <v>20971</v>
      </c>
      <c r="BA3619" s="82" t="s">
        <v>20971</v>
      </c>
      <c r="BB3619" s="82" t="s">
        <v>20971</v>
      </c>
      <c r="BC3619" s="82" t="s">
        <v>20385</v>
      </c>
      <c r="BD3619" s="82" t="s">
        <v>21647</v>
      </c>
      <c r="BE3619" s="77"/>
      <c r="BF3619" s="77"/>
      <c r="BG3619" s="77"/>
      <c r="BH3619" s="77"/>
      <c r="BI3619" s="77"/>
    </row>
    <row r="3620" spans="1:61" x14ac:dyDescent="0.25">
      <c r="A3620" s="62" t="s">
        <v>1071</v>
      </c>
      <c r="B3620" s="62" t="s">
        <v>1071</v>
      </c>
      <c r="C3620" s="63"/>
      <c r="D3620" s="64"/>
      <c r="E3620" s="65"/>
      <c r="F3620" s="66"/>
      <c r="G3620" s="63"/>
      <c r="H3620" s="67"/>
      <c r="I3620" s="68"/>
      <c r="J3620" s="68"/>
      <c r="K3620" s="32"/>
      <c r="L3620" s="75">
        <v>3620</v>
      </c>
      <c r="M3620" s="75"/>
      <c r="N3620" s="70"/>
      <c r="O3620" s="77" t="s">
        <v>179</v>
      </c>
      <c r="P3620" s="79">
        <v>44991.465277777781</v>
      </c>
      <c r="Q3620" s="77" t="s">
        <v>4826</v>
      </c>
      <c r="R3620" s="77">
        <v>0</v>
      </c>
      <c r="S3620" s="77">
        <v>0</v>
      </c>
      <c r="T3620" s="77">
        <v>0</v>
      </c>
      <c r="U3620" s="77">
        <v>0</v>
      </c>
      <c r="V3620" s="77">
        <v>31</v>
      </c>
      <c r="W3620" s="82" t="s">
        <v>6892</v>
      </c>
      <c r="X3620" s="80" t="str">
        <f>HYPERLINK("https://www.instagram.com/p/Cpcf4X7uOsJ/?igshid=YTgzYjQ4ZTY=")</f>
        <v>https://www.instagram.com/p/Cpcf4X7uOsJ/?igshid=YTgzYjQ4ZTY=</v>
      </c>
      <c r="Y3620" s="77" t="s">
        <v>7250</v>
      </c>
      <c r="Z3620" s="77"/>
      <c r="AA3620" s="77"/>
      <c r="AB3620" s="77"/>
      <c r="AC3620" s="82" t="s">
        <v>10148</v>
      </c>
      <c r="AD3620" s="77" t="s">
        <v>10184</v>
      </c>
      <c r="AE3620" s="80" t="str">
        <f>HYPERLINK("https://twitter.com/amiljoelson/status/1632700049527373824")</f>
        <v>https://twitter.com/amiljoelson/status/1632700049527373824</v>
      </c>
      <c r="AF3620" s="79">
        <v>44991.465277777781</v>
      </c>
      <c r="AG3620" s="85">
        <v>44991</v>
      </c>
      <c r="AH3620" s="82" t="s">
        <v>13609</v>
      </c>
      <c r="AI3620" s="77" t="b">
        <v>0</v>
      </c>
      <c r="AJ3620" s="77"/>
      <c r="AK3620" s="77"/>
      <c r="AL3620" s="77"/>
      <c r="AM3620" s="77"/>
      <c r="AN3620" s="77"/>
      <c r="AO3620" s="77"/>
      <c r="AP3620" s="77"/>
      <c r="AQ3620" s="77"/>
      <c r="AR3620" s="77"/>
      <c r="AS3620" s="77"/>
      <c r="AT3620" s="77"/>
      <c r="AU3620" s="77"/>
      <c r="AV3620" s="80" t="str">
        <f>HYPERLINK("https://pbs.twimg.com/profile_images/644512409642737664/PQIZ0YU3_normal.jpg")</f>
        <v>https://pbs.twimg.com/profile_images/644512409642737664/PQIZ0YU3_normal.jpg</v>
      </c>
      <c r="AW3620" s="82" t="s">
        <v>20386</v>
      </c>
      <c r="AX3620" s="82" t="s">
        <v>20386</v>
      </c>
      <c r="AY3620" s="77"/>
      <c r="AZ3620" s="82" t="s">
        <v>20971</v>
      </c>
      <c r="BA3620" s="82" t="s">
        <v>20971</v>
      </c>
      <c r="BB3620" s="82" t="s">
        <v>20971</v>
      </c>
      <c r="BC3620" s="82" t="s">
        <v>20386</v>
      </c>
      <c r="BD3620" s="77">
        <v>3686268077</v>
      </c>
      <c r="BE3620" s="77"/>
      <c r="BF3620" s="77"/>
      <c r="BG3620" s="77"/>
      <c r="BH3620" s="77"/>
      <c r="BI3620" s="77"/>
    </row>
    <row r="3621" spans="1:61" x14ac:dyDescent="0.25">
      <c r="A3621" s="62" t="s">
        <v>1072</v>
      </c>
      <c r="B3621" s="62" t="s">
        <v>1072</v>
      </c>
      <c r="C3621" s="63"/>
      <c r="D3621" s="64"/>
      <c r="E3621" s="65"/>
      <c r="F3621" s="66"/>
      <c r="G3621" s="63"/>
      <c r="H3621" s="67"/>
      <c r="I3621" s="68"/>
      <c r="J3621" s="68"/>
      <c r="K3621" s="32"/>
      <c r="L3621" s="75">
        <v>3621</v>
      </c>
      <c r="M3621" s="75"/>
      <c r="N3621" s="70"/>
      <c r="O3621" s="77" t="s">
        <v>179</v>
      </c>
      <c r="P3621" s="79">
        <v>45116.734479166669</v>
      </c>
      <c r="Q3621" s="77" t="s">
        <v>4827</v>
      </c>
      <c r="R3621" s="77">
        <v>0</v>
      </c>
      <c r="S3621" s="77">
        <v>0</v>
      </c>
      <c r="T3621" s="77">
        <v>1</v>
      </c>
      <c r="U3621" s="77">
        <v>0</v>
      </c>
      <c r="V3621" s="77">
        <v>66</v>
      </c>
      <c r="W3621" s="82" t="s">
        <v>6893</v>
      </c>
      <c r="X3621" s="77"/>
      <c r="Y3621" s="77"/>
      <c r="Z3621" s="77"/>
      <c r="AA3621" s="77" t="s">
        <v>9865</v>
      </c>
      <c r="AB3621" s="77" t="s">
        <v>10129</v>
      </c>
      <c r="AC3621" s="82" t="s">
        <v>10145</v>
      </c>
      <c r="AD3621" s="77" t="s">
        <v>10187</v>
      </c>
      <c r="AE3621" s="80" t="str">
        <f>HYPERLINK("https://twitter.com/expertdigitalms/status/1678096089189154816")</f>
        <v>https://twitter.com/expertdigitalms/status/1678096089189154816</v>
      </c>
      <c r="AF3621" s="79">
        <v>45116.734479166669</v>
      </c>
      <c r="AG3621" s="85">
        <v>45116</v>
      </c>
      <c r="AH3621" s="82" t="s">
        <v>13610</v>
      </c>
      <c r="AI3621" s="77" t="b">
        <v>0</v>
      </c>
      <c r="AJ3621" s="77"/>
      <c r="AK3621" s="77"/>
      <c r="AL3621" s="77"/>
      <c r="AM3621" s="77"/>
      <c r="AN3621" s="77"/>
      <c r="AO3621" s="77"/>
      <c r="AP3621" s="77"/>
      <c r="AQ3621" s="77" t="s">
        <v>16508</v>
      </c>
      <c r="AR3621" s="77">
        <v>6738</v>
      </c>
      <c r="AS3621" s="77"/>
      <c r="AT3621" s="77"/>
      <c r="AU3621" s="77"/>
      <c r="AV3621" s="80" t="str">
        <f>HYPERLINK("https://pbs.twimg.com/ext_tw_video_thumb/1678096006972334088/pu/img/OosBxCUfqKkN9Irk.jpg")</f>
        <v>https://pbs.twimg.com/ext_tw_video_thumb/1678096006972334088/pu/img/OosBxCUfqKkN9Irk.jpg</v>
      </c>
      <c r="AW3621" s="82" t="s">
        <v>20387</v>
      </c>
      <c r="AX3621" s="82" t="s">
        <v>20387</v>
      </c>
      <c r="AY3621" s="77"/>
      <c r="AZ3621" s="82" t="s">
        <v>20971</v>
      </c>
      <c r="BA3621" s="82" t="s">
        <v>20971</v>
      </c>
      <c r="BB3621" s="82" t="s">
        <v>20971</v>
      </c>
      <c r="BC3621" s="82" t="s">
        <v>20387</v>
      </c>
      <c r="BD3621" s="82" t="s">
        <v>21648</v>
      </c>
      <c r="BE3621" s="77"/>
      <c r="BF3621" s="77"/>
      <c r="BG3621" s="77"/>
      <c r="BH3621" s="77"/>
      <c r="BI3621" s="77"/>
    </row>
    <row r="3622" spans="1:61" x14ac:dyDescent="0.25">
      <c r="A3622" s="62" t="s">
        <v>1072</v>
      </c>
      <c r="B3622" s="62" t="s">
        <v>1072</v>
      </c>
      <c r="C3622" s="63"/>
      <c r="D3622" s="64"/>
      <c r="E3622" s="65"/>
      <c r="F3622" s="66"/>
      <c r="G3622" s="63"/>
      <c r="H3622" s="67"/>
      <c r="I3622" s="68"/>
      <c r="J3622" s="68"/>
      <c r="K3622" s="32"/>
      <c r="L3622" s="75">
        <v>3622</v>
      </c>
      <c r="M3622" s="75"/>
      <c r="N3622" s="70"/>
      <c r="O3622" s="77" t="s">
        <v>179</v>
      </c>
      <c r="P3622" s="79">
        <v>45133.087731481479</v>
      </c>
      <c r="Q3622" s="77" t="s">
        <v>4828</v>
      </c>
      <c r="R3622" s="77">
        <v>0</v>
      </c>
      <c r="S3622" s="77">
        <v>0</v>
      </c>
      <c r="T3622" s="77">
        <v>0</v>
      </c>
      <c r="U3622" s="77">
        <v>0</v>
      </c>
      <c r="V3622" s="77">
        <v>27</v>
      </c>
      <c r="W3622" s="82" t="s">
        <v>6894</v>
      </c>
      <c r="X3622" s="77"/>
      <c r="Y3622" s="77"/>
      <c r="Z3622" s="77"/>
      <c r="AA3622" s="77" t="s">
        <v>9866</v>
      </c>
      <c r="AB3622" s="77" t="s">
        <v>10129</v>
      </c>
      <c r="AC3622" s="82" t="s">
        <v>10145</v>
      </c>
      <c r="AD3622" s="77" t="s">
        <v>10184</v>
      </c>
      <c r="AE3622" s="80" t="str">
        <f>HYPERLINK("https://twitter.com/expertdigitalms/status/1684022307730358272")</f>
        <v>https://twitter.com/expertdigitalms/status/1684022307730358272</v>
      </c>
      <c r="AF3622" s="79">
        <v>45133.087731481479</v>
      </c>
      <c r="AG3622" s="85">
        <v>45133</v>
      </c>
      <c r="AH3622" s="82" t="s">
        <v>13611</v>
      </c>
      <c r="AI3622" s="77" t="b">
        <v>0</v>
      </c>
      <c r="AJ3622" s="77"/>
      <c r="AK3622" s="77"/>
      <c r="AL3622" s="77"/>
      <c r="AM3622" s="77"/>
      <c r="AN3622" s="77"/>
      <c r="AO3622" s="77"/>
      <c r="AP3622" s="77"/>
      <c r="AQ3622" s="77" t="s">
        <v>16509</v>
      </c>
      <c r="AR3622" s="77">
        <v>5773</v>
      </c>
      <c r="AS3622" s="77"/>
      <c r="AT3622" s="77"/>
      <c r="AU3622" s="77"/>
      <c r="AV3622" s="80" t="str">
        <f>HYPERLINK("https://pbs.twimg.com/ext_tw_video_thumb/1684022282706997248/pu/img/GUDb5khqRtxnow1w.jpg")</f>
        <v>https://pbs.twimg.com/ext_tw_video_thumb/1684022282706997248/pu/img/GUDb5khqRtxnow1w.jpg</v>
      </c>
      <c r="AW3622" s="82" t="s">
        <v>20388</v>
      </c>
      <c r="AX3622" s="82" t="s">
        <v>20388</v>
      </c>
      <c r="AY3622" s="77"/>
      <c r="AZ3622" s="82" t="s">
        <v>20971</v>
      </c>
      <c r="BA3622" s="82" t="s">
        <v>20971</v>
      </c>
      <c r="BB3622" s="82" t="s">
        <v>20971</v>
      </c>
      <c r="BC3622" s="82" t="s">
        <v>20388</v>
      </c>
      <c r="BD3622" s="82" t="s">
        <v>21648</v>
      </c>
      <c r="BE3622" s="77"/>
      <c r="BF3622" s="77"/>
      <c r="BG3622" s="77"/>
      <c r="BH3622" s="77"/>
      <c r="BI3622" s="77"/>
    </row>
    <row r="3623" spans="1:61" x14ac:dyDescent="0.25">
      <c r="A3623" s="62" t="s">
        <v>1072</v>
      </c>
      <c r="B3623" s="62" t="s">
        <v>1072</v>
      </c>
      <c r="C3623" s="63"/>
      <c r="D3623" s="64"/>
      <c r="E3623" s="65"/>
      <c r="F3623" s="66"/>
      <c r="G3623" s="63"/>
      <c r="H3623" s="67"/>
      <c r="I3623" s="68"/>
      <c r="J3623" s="68"/>
      <c r="K3623" s="32"/>
      <c r="L3623" s="75">
        <v>3623</v>
      </c>
      <c r="M3623" s="75"/>
      <c r="N3623" s="70"/>
      <c r="O3623" s="77" t="s">
        <v>179</v>
      </c>
      <c r="P3623" s="79">
        <v>45126.801770833335</v>
      </c>
      <c r="Q3623" s="77" t="s">
        <v>4829</v>
      </c>
      <c r="R3623" s="77">
        <v>0</v>
      </c>
      <c r="S3623" s="77">
        <v>0</v>
      </c>
      <c r="T3623" s="77">
        <v>1</v>
      </c>
      <c r="U3623" s="77">
        <v>0</v>
      </c>
      <c r="V3623" s="77">
        <v>43</v>
      </c>
      <c r="W3623" s="82" t="s">
        <v>6895</v>
      </c>
      <c r="X3623" s="77"/>
      <c r="Y3623" s="77"/>
      <c r="Z3623" s="77"/>
      <c r="AA3623" s="77" t="s">
        <v>9867</v>
      </c>
      <c r="AB3623" s="77" t="s">
        <v>10129</v>
      </c>
      <c r="AC3623" s="82" t="s">
        <v>10145</v>
      </c>
      <c r="AD3623" s="77" t="s">
        <v>10184</v>
      </c>
      <c r="AE3623" s="80" t="str">
        <f>HYPERLINK("https://twitter.com/expertdigitalms/status/1681744350064115713")</f>
        <v>https://twitter.com/expertdigitalms/status/1681744350064115713</v>
      </c>
      <c r="AF3623" s="79">
        <v>45126.801770833335</v>
      </c>
      <c r="AG3623" s="85">
        <v>45126</v>
      </c>
      <c r="AH3623" s="82" t="s">
        <v>13612</v>
      </c>
      <c r="AI3623" s="77" t="b">
        <v>0</v>
      </c>
      <c r="AJ3623" s="77"/>
      <c r="AK3623" s="77"/>
      <c r="AL3623" s="77"/>
      <c r="AM3623" s="77"/>
      <c r="AN3623" s="77"/>
      <c r="AO3623" s="77"/>
      <c r="AP3623" s="77"/>
      <c r="AQ3623" s="77" t="s">
        <v>16510</v>
      </c>
      <c r="AR3623" s="77">
        <v>111733</v>
      </c>
      <c r="AS3623" s="77"/>
      <c r="AT3623" s="77"/>
      <c r="AU3623" s="77"/>
      <c r="AV3623" s="80" t="str">
        <f>HYPERLINK("https://pbs.twimg.com/ext_tw_video_thumb/1681744251296657408/pu/img/A1daJaE-ZwdkW7l6.jpg")</f>
        <v>https://pbs.twimg.com/ext_tw_video_thumb/1681744251296657408/pu/img/A1daJaE-ZwdkW7l6.jpg</v>
      </c>
      <c r="AW3623" s="82" t="s">
        <v>20389</v>
      </c>
      <c r="AX3623" s="82" t="s">
        <v>20389</v>
      </c>
      <c r="AY3623" s="77"/>
      <c r="AZ3623" s="82" t="s">
        <v>20971</v>
      </c>
      <c r="BA3623" s="82" t="s">
        <v>20971</v>
      </c>
      <c r="BB3623" s="82" t="s">
        <v>20971</v>
      </c>
      <c r="BC3623" s="82" t="s">
        <v>20389</v>
      </c>
      <c r="BD3623" s="82" t="s">
        <v>21648</v>
      </c>
      <c r="BE3623" s="77"/>
      <c r="BF3623" s="77"/>
      <c r="BG3623" s="77"/>
      <c r="BH3623" s="77"/>
      <c r="BI3623" s="77"/>
    </row>
    <row r="3624" spans="1:61" x14ac:dyDescent="0.25">
      <c r="A3624" s="62" t="s">
        <v>1072</v>
      </c>
      <c r="B3624" s="62" t="s">
        <v>1072</v>
      </c>
      <c r="C3624" s="63"/>
      <c r="D3624" s="64"/>
      <c r="E3624" s="65"/>
      <c r="F3624" s="66"/>
      <c r="G3624" s="63"/>
      <c r="H3624" s="67"/>
      <c r="I3624" s="68"/>
      <c r="J3624" s="68"/>
      <c r="K3624" s="32"/>
      <c r="L3624" s="75">
        <v>3624</v>
      </c>
      <c r="M3624" s="75"/>
      <c r="N3624" s="70"/>
      <c r="O3624" s="77" t="s">
        <v>179</v>
      </c>
      <c r="P3624" s="79">
        <v>45125.941516203704</v>
      </c>
      <c r="Q3624" s="77" t="s">
        <v>4830</v>
      </c>
      <c r="R3624" s="77">
        <v>0</v>
      </c>
      <c r="S3624" s="77">
        <v>0</v>
      </c>
      <c r="T3624" s="77">
        <v>1</v>
      </c>
      <c r="U3624" s="77">
        <v>0</v>
      </c>
      <c r="V3624" s="77">
        <v>37</v>
      </c>
      <c r="W3624" s="82" t="s">
        <v>6896</v>
      </c>
      <c r="X3624" s="77"/>
      <c r="Y3624" s="77"/>
      <c r="Z3624" s="77"/>
      <c r="AA3624" s="77" t="s">
        <v>9868</v>
      </c>
      <c r="AB3624" s="77" t="s">
        <v>10129</v>
      </c>
      <c r="AC3624" s="82" t="s">
        <v>10145</v>
      </c>
      <c r="AD3624" s="77" t="s">
        <v>10184</v>
      </c>
      <c r="AE3624" s="80" t="str">
        <f>HYPERLINK("https://twitter.com/expertdigitalms/status/1681432607593234434")</f>
        <v>https://twitter.com/expertdigitalms/status/1681432607593234434</v>
      </c>
      <c r="AF3624" s="79">
        <v>45125.941516203704</v>
      </c>
      <c r="AG3624" s="85">
        <v>45125</v>
      </c>
      <c r="AH3624" s="82" t="s">
        <v>13613</v>
      </c>
      <c r="AI3624" s="77" t="b">
        <v>0</v>
      </c>
      <c r="AJ3624" s="77"/>
      <c r="AK3624" s="77"/>
      <c r="AL3624" s="77"/>
      <c r="AM3624" s="77"/>
      <c r="AN3624" s="77"/>
      <c r="AO3624" s="77"/>
      <c r="AP3624" s="77"/>
      <c r="AQ3624" s="77" t="s">
        <v>16511</v>
      </c>
      <c r="AR3624" s="77">
        <v>24000</v>
      </c>
      <c r="AS3624" s="77"/>
      <c r="AT3624" s="77"/>
      <c r="AU3624" s="77"/>
      <c r="AV3624" s="80" t="str">
        <f>HYPERLINK("https://pbs.twimg.com/ext_tw_video_thumb/1681432566287482880/pu/img/FBFPfHRXXMGSwXWk.jpg")</f>
        <v>https://pbs.twimg.com/ext_tw_video_thumb/1681432566287482880/pu/img/FBFPfHRXXMGSwXWk.jpg</v>
      </c>
      <c r="AW3624" s="82" t="s">
        <v>20390</v>
      </c>
      <c r="AX3624" s="82" t="s">
        <v>20390</v>
      </c>
      <c r="AY3624" s="77"/>
      <c r="AZ3624" s="82" t="s">
        <v>20971</v>
      </c>
      <c r="BA3624" s="82" t="s">
        <v>20971</v>
      </c>
      <c r="BB3624" s="82" t="s">
        <v>20971</v>
      </c>
      <c r="BC3624" s="82" t="s">
        <v>20390</v>
      </c>
      <c r="BD3624" s="82" t="s">
        <v>21648</v>
      </c>
      <c r="BE3624" s="77"/>
      <c r="BF3624" s="77"/>
      <c r="BG3624" s="77"/>
      <c r="BH3624" s="77"/>
      <c r="BI3624" s="77"/>
    </row>
    <row r="3625" spans="1:61" x14ac:dyDescent="0.25">
      <c r="A3625" s="62" t="s">
        <v>1072</v>
      </c>
      <c r="B3625" s="62" t="s">
        <v>1072</v>
      </c>
      <c r="C3625" s="63"/>
      <c r="D3625" s="64"/>
      <c r="E3625" s="65"/>
      <c r="F3625" s="66"/>
      <c r="G3625" s="63"/>
      <c r="H3625" s="67"/>
      <c r="I3625" s="68"/>
      <c r="J3625" s="68"/>
      <c r="K3625" s="32"/>
      <c r="L3625" s="75">
        <v>3625</v>
      </c>
      <c r="M3625" s="75"/>
      <c r="N3625" s="70"/>
      <c r="O3625" s="77" t="s">
        <v>179</v>
      </c>
      <c r="P3625" s="79">
        <v>45121.086018518516</v>
      </c>
      <c r="Q3625" s="77" t="s">
        <v>4831</v>
      </c>
      <c r="R3625" s="77">
        <v>0</v>
      </c>
      <c r="S3625" s="77">
        <v>0</v>
      </c>
      <c r="T3625" s="77">
        <v>1</v>
      </c>
      <c r="U3625" s="77">
        <v>0</v>
      </c>
      <c r="V3625" s="77">
        <v>77</v>
      </c>
      <c r="W3625" s="82" t="s">
        <v>6897</v>
      </c>
      <c r="X3625" s="77"/>
      <c r="Y3625" s="77"/>
      <c r="Z3625" s="77"/>
      <c r="AA3625" s="77" t="s">
        <v>9869</v>
      </c>
      <c r="AB3625" s="77" t="s">
        <v>10129</v>
      </c>
      <c r="AC3625" s="82" t="s">
        <v>10145</v>
      </c>
      <c r="AD3625" s="77" t="s">
        <v>10184</v>
      </c>
      <c r="AE3625" s="80" t="str">
        <f>HYPERLINK("https://twitter.com/expertdigitalms/status/1679673033437462528")</f>
        <v>https://twitter.com/expertdigitalms/status/1679673033437462528</v>
      </c>
      <c r="AF3625" s="79">
        <v>45121.086018518516</v>
      </c>
      <c r="AG3625" s="85">
        <v>45121</v>
      </c>
      <c r="AH3625" s="82" t="s">
        <v>13614</v>
      </c>
      <c r="AI3625" s="77" t="b">
        <v>0</v>
      </c>
      <c r="AJ3625" s="77"/>
      <c r="AK3625" s="77"/>
      <c r="AL3625" s="77"/>
      <c r="AM3625" s="77"/>
      <c r="AN3625" s="77"/>
      <c r="AO3625" s="77"/>
      <c r="AP3625" s="77"/>
      <c r="AQ3625" s="77" t="s">
        <v>16512</v>
      </c>
      <c r="AR3625" s="77">
        <v>16000</v>
      </c>
      <c r="AS3625" s="77"/>
      <c r="AT3625" s="77"/>
      <c r="AU3625" s="77"/>
      <c r="AV3625" s="80" t="str">
        <f>HYPERLINK("https://pbs.twimg.com/ext_tw_video_thumb/1679673010741997569/pu/img/kk3AP7qp2QdIMCPj.jpg")</f>
        <v>https://pbs.twimg.com/ext_tw_video_thumb/1679673010741997569/pu/img/kk3AP7qp2QdIMCPj.jpg</v>
      </c>
      <c r="AW3625" s="82" t="s">
        <v>20391</v>
      </c>
      <c r="AX3625" s="82" t="s">
        <v>20391</v>
      </c>
      <c r="AY3625" s="77"/>
      <c r="AZ3625" s="82" t="s">
        <v>20971</v>
      </c>
      <c r="BA3625" s="82" t="s">
        <v>20971</v>
      </c>
      <c r="BB3625" s="82" t="s">
        <v>20971</v>
      </c>
      <c r="BC3625" s="82" t="s">
        <v>20391</v>
      </c>
      <c r="BD3625" s="82" t="s">
        <v>21648</v>
      </c>
      <c r="BE3625" s="77"/>
      <c r="BF3625" s="77"/>
      <c r="BG3625" s="77"/>
      <c r="BH3625" s="77"/>
      <c r="BI3625" s="77"/>
    </row>
    <row r="3626" spans="1:61" x14ac:dyDescent="0.25">
      <c r="A3626" s="62" t="s">
        <v>1072</v>
      </c>
      <c r="B3626" s="62" t="s">
        <v>1072</v>
      </c>
      <c r="C3626" s="63"/>
      <c r="D3626" s="64"/>
      <c r="E3626" s="65"/>
      <c r="F3626" s="66"/>
      <c r="G3626" s="63"/>
      <c r="H3626" s="67"/>
      <c r="I3626" s="68"/>
      <c r="J3626" s="68"/>
      <c r="K3626" s="32"/>
      <c r="L3626" s="75">
        <v>3626</v>
      </c>
      <c r="M3626" s="75"/>
      <c r="N3626" s="70"/>
      <c r="O3626" s="77" t="s">
        <v>179</v>
      </c>
      <c r="P3626" s="79">
        <v>45138.840069444443</v>
      </c>
      <c r="Q3626" s="77" t="s">
        <v>4832</v>
      </c>
      <c r="R3626" s="77">
        <v>0</v>
      </c>
      <c r="S3626" s="77">
        <v>0</v>
      </c>
      <c r="T3626" s="77">
        <v>1</v>
      </c>
      <c r="U3626" s="77">
        <v>0</v>
      </c>
      <c r="V3626" s="77">
        <v>16</v>
      </c>
      <c r="W3626" s="82" t="s">
        <v>6898</v>
      </c>
      <c r="X3626" s="77"/>
      <c r="Y3626" s="77"/>
      <c r="Z3626" s="77"/>
      <c r="AA3626" s="77" t="s">
        <v>9870</v>
      </c>
      <c r="AB3626" s="77" t="s">
        <v>10130</v>
      </c>
      <c r="AC3626" s="82" t="s">
        <v>10145</v>
      </c>
      <c r="AD3626" s="77" t="s">
        <v>10184</v>
      </c>
      <c r="AE3626" s="80" t="str">
        <f>HYPERLINK("https://twitter.com/expertdigitalms/status/1686106883755532288")</f>
        <v>https://twitter.com/expertdigitalms/status/1686106883755532288</v>
      </c>
      <c r="AF3626" s="79">
        <v>45138.840069444443</v>
      </c>
      <c r="AG3626" s="85">
        <v>45138</v>
      </c>
      <c r="AH3626" s="82" t="s">
        <v>13615</v>
      </c>
      <c r="AI3626" s="77" t="b">
        <v>0</v>
      </c>
      <c r="AJ3626" s="77"/>
      <c r="AK3626" s="77"/>
      <c r="AL3626" s="77"/>
      <c r="AM3626" s="77"/>
      <c r="AN3626" s="77"/>
      <c r="AO3626" s="77"/>
      <c r="AP3626" s="77"/>
      <c r="AQ3626" s="77" t="s">
        <v>16513</v>
      </c>
      <c r="AR3626" s="77"/>
      <c r="AS3626" s="77"/>
      <c r="AT3626" s="77"/>
      <c r="AU3626" s="77"/>
      <c r="AV3626" s="80" t="str">
        <f>HYPERLINK("https://pbs.twimg.com/media/F2ZBReIWAAItw_l.jpg")</f>
        <v>https://pbs.twimg.com/media/F2ZBReIWAAItw_l.jpg</v>
      </c>
      <c r="AW3626" s="82" t="s">
        <v>20392</v>
      </c>
      <c r="AX3626" s="82" t="s">
        <v>20392</v>
      </c>
      <c r="AY3626" s="77"/>
      <c r="AZ3626" s="82" t="s">
        <v>20971</v>
      </c>
      <c r="BA3626" s="82" t="s">
        <v>20971</v>
      </c>
      <c r="BB3626" s="82" t="s">
        <v>20971</v>
      </c>
      <c r="BC3626" s="82" t="s">
        <v>20392</v>
      </c>
      <c r="BD3626" s="82" t="s">
        <v>21648</v>
      </c>
      <c r="BE3626" s="77"/>
      <c r="BF3626" s="77"/>
      <c r="BG3626" s="77"/>
      <c r="BH3626" s="77"/>
      <c r="BI3626" s="77"/>
    </row>
    <row r="3627" spans="1:61" x14ac:dyDescent="0.25">
      <c r="A3627" s="62" t="s">
        <v>1072</v>
      </c>
      <c r="B3627" s="62" t="s">
        <v>1072</v>
      </c>
      <c r="C3627" s="63"/>
      <c r="D3627" s="64"/>
      <c r="E3627" s="65"/>
      <c r="F3627" s="66"/>
      <c r="G3627" s="63"/>
      <c r="H3627" s="67"/>
      <c r="I3627" s="68"/>
      <c r="J3627" s="68"/>
      <c r="K3627" s="32"/>
      <c r="L3627" s="75">
        <v>3627</v>
      </c>
      <c r="M3627" s="75"/>
      <c r="N3627" s="70"/>
      <c r="O3627" s="77" t="s">
        <v>179</v>
      </c>
      <c r="P3627" s="79">
        <v>45120.107361111113</v>
      </c>
      <c r="Q3627" s="77" t="s">
        <v>4833</v>
      </c>
      <c r="R3627" s="77">
        <v>0</v>
      </c>
      <c r="S3627" s="77">
        <v>0</v>
      </c>
      <c r="T3627" s="77">
        <v>1</v>
      </c>
      <c r="U3627" s="77">
        <v>0</v>
      </c>
      <c r="V3627" s="77">
        <v>24</v>
      </c>
      <c r="W3627" s="82" t="s">
        <v>6899</v>
      </c>
      <c r="X3627" s="77"/>
      <c r="Y3627" s="77"/>
      <c r="Z3627" s="77"/>
      <c r="AA3627" s="77" t="s">
        <v>9871</v>
      </c>
      <c r="AB3627" s="77" t="s">
        <v>10129</v>
      </c>
      <c r="AC3627" s="82" t="s">
        <v>10145</v>
      </c>
      <c r="AD3627" s="77" t="s">
        <v>10187</v>
      </c>
      <c r="AE3627" s="80" t="str">
        <f>HYPERLINK("https://twitter.com/expertdigitalms/status/1679318379058823170")</f>
        <v>https://twitter.com/expertdigitalms/status/1679318379058823170</v>
      </c>
      <c r="AF3627" s="79">
        <v>45120.107361111113</v>
      </c>
      <c r="AG3627" s="85">
        <v>45120</v>
      </c>
      <c r="AH3627" s="82" t="s">
        <v>13616</v>
      </c>
      <c r="AI3627" s="77" t="b">
        <v>0</v>
      </c>
      <c r="AJ3627" s="77"/>
      <c r="AK3627" s="77"/>
      <c r="AL3627" s="77"/>
      <c r="AM3627" s="77"/>
      <c r="AN3627" s="77"/>
      <c r="AO3627" s="77"/>
      <c r="AP3627" s="77"/>
      <c r="AQ3627" s="77" t="s">
        <v>16514</v>
      </c>
      <c r="AR3627" s="77">
        <v>17033</v>
      </c>
      <c r="AS3627" s="77"/>
      <c r="AT3627" s="77"/>
      <c r="AU3627" s="77"/>
      <c r="AV3627" s="80" t="str">
        <f>HYPERLINK("https://pbs.twimg.com/ext_tw_video_thumb/1679318331826880513/pu/img/dODuiYHDiMrHojOr.jpg")</f>
        <v>https://pbs.twimg.com/ext_tw_video_thumb/1679318331826880513/pu/img/dODuiYHDiMrHojOr.jpg</v>
      </c>
      <c r="AW3627" s="82" t="s">
        <v>20393</v>
      </c>
      <c r="AX3627" s="82" t="s">
        <v>20393</v>
      </c>
      <c r="AY3627" s="77"/>
      <c r="AZ3627" s="82" t="s">
        <v>20971</v>
      </c>
      <c r="BA3627" s="82" t="s">
        <v>20971</v>
      </c>
      <c r="BB3627" s="82" t="s">
        <v>20971</v>
      </c>
      <c r="BC3627" s="82" t="s">
        <v>20393</v>
      </c>
      <c r="BD3627" s="82" t="s">
        <v>21648</v>
      </c>
      <c r="BE3627" s="77"/>
      <c r="BF3627" s="77"/>
      <c r="BG3627" s="77"/>
      <c r="BH3627" s="77"/>
      <c r="BI3627" s="77"/>
    </row>
    <row r="3628" spans="1:61" x14ac:dyDescent="0.25">
      <c r="A3628" s="62" t="s">
        <v>1072</v>
      </c>
      <c r="B3628" s="62" t="s">
        <v>1072</v>
      </c>
      <c r="C3628" s="63"/>
      <c r="D3628" s="64"/>
      <c r="E3628" s="65"/>
      <c r="F3628" s="66"/>
      <c r="G3628" s="63"/>
      <c r="H3628" s="67"/>
      <c r="I3628" s="68"/>
      <c r="J3628" s="68"/>
      <c r="K3628" s="32"/>
      <c r="L3628" s="75">
        <v>3628</v>
      </c>
      <c r="M3628" s="75"/>
      <c r="N3628" s="70"/>
      <c r="O3628" s="77" t="s">
        <v>179</v>
      </c>
      <c r="P3628" s="79">
        <v>45118.704930555556</v>
      </c>
      <c r="Q3628" s="77" t="s">
        <v>4834</v>
      </c>
      <c r="R3628" s="77">
        <v>0</v>
      </c>
      <c r="S3628" s="77">
        <v>0</v>
      </c>
      <c r="T3628" s="77">
        <v>1</v>
      </c>
      <c r="U3628" s="77">
        <v>0</v>
      </c>
      <c r="V3628" s="77">
        <v>82</v>
      </c>
      <c r="W3628" s="82" t="s">
        <v>6900</v>
      </c>
      <c r="X3628" s="77"/>
      <c r="Y3628" s="77"/>
      <c r="Z3628" s="77"/>
      <c r="AA3628" s="77" t="s">
        <v>9872</v>
      </c>
      <c r="AB3628" s="77" t="s">
        <v>10129</v>
      </c>
      <c r="AC3628" s="82" t="s">
        <v>10145</v>
      </c>
      <c r="AD3628" s="77" t="s">
        <v>10184</v>
      </c>
      <c r="AE3628" s="80" t="str">
        <f>HYPERLINK("https://twitter.com/expertdigitalms/status/1678810155411013632")</f>
        <v>https://twitter.com/expertdigitalms/status/1678810155411013632</v>
      </c>
      <c r="AF3628" s="79">
        <v>45118.704930555556</v>
      </c>
      <c r="AG3628" s="85">
        <v>45118</v>
      </c>
      <c r="AH3628" s="82" t="s">
        <v>13617</v>
      </c>
      <c r="AI3628" s="77" t="b">
        <v>0</v>
      </c>
      <c r="AJ3628" s="77"/>
      <c r="AK3628" s="77"/>
      <c r="AL3628" s="77"/>
      <c r="AM3628" s="77"/>
      <c r="AN3628" s="77"/>
      <c r="AO3628" s="77"/>
      <c r="AP3628" s="77"/>
      <c r="AQ3628" s="77" t="s">
        <v>16515</v>
      </c>
      <c r="AR3628" s="77">
        <v>8000</v>
      </c>
      <c r="AS3628" s="77"/>
      <c r="AT3628" s="77"/>
      <c r="AU3628" s="77"/>
      <c r="AV3628" s="80" t="str">
        <f>HYPERLINK("https://pbs.twimg.com/ext_tw_video_thumb/1678810140219256832/pu/img/2HV9gVPsfPyZFMmL.jpg")</f>
        <v>https://pbs.twimg.com/ext_tw_video_thumb/1678810140219256832/pu/img/2HV9gVPsfPyZFMmL.jpg</v>
      </c>
      <c r="AW3628" s="82" t="s">
        <v>20394</v>
      </c>
      <c r="AX3628" s="82" t="s">
        <v>20394</v>
      </c>
      <c r="AY3628" s="77"/>
      <c r="AZ3628" s="82" t="s">
        <v>20971</v>
      </c>
      <c r="BA3628" s="82" t="s">
        <v>20971</v>
      </c>
      <c r="BB3628" s="82" t="s">
        <v>20971</v>
      </c>
      <c r="BC3628" s="82" t="s">
        <v>20394</v>
      </c>
      <c r="BD3628" s="82" t="s">
        <v>21648</v>
      </c>
      <c r="BE3628" s="77"/>
      <c r="BF3628" s="77"/>
      <c r="BG3628" s="77"/>
      <c r="BH3628" s="77"/>
      <c r="BI3628" s="77"/>
    </row>
    <row r="3629" spans="1:61" x14ac:dyDescent="0.25">
      <c r="A3629" s="62" t="s">
        <v>1072</v>
      </c>
      <c r="B3629" s="62" t="s">
        <v>1072</v>
      </c>
      <c r="C3629" s="63"/>
      <c r="D3629" s="64"/>
      <c r="E3629" s="65"/>
      <c r="F3629" s="66"/>
      <c r="G3629" s="63"/>
      <c r="H3629" s="67"/>
      <c r="I3629" s="68"/>
      <c r="J3629" s="68"/>
      <c r="K3629" s="32"/>
      <c r="L3629" s="75">
        <v>3629</v>
      </c>
      <c r="M3629" s="75"/>
      <c r="N3629" s="70"/>
      <c r="O3629" s="77" t="s">
        <v>179</v>
      </c>
      <c r="P3629" s="79">
        <v>45117.939618055556</v>
      </c>
      <c r="Q3629" s="77" t="s">
        <v>4835</v>
      </c>
      <c r="R3629" s="77">
        <v>0</v>
      </c>
      <c r="S3629" s="77">
        <v>0</v>
      </c>
      <c r="T3629" s="77">
        <v>1</v>
      </c>
      <c r="U3629" s="77">
        <v>0</v>
      </c>
      <c r="V3629" s="77">
        <v>104</v>
      </c>
      <c r="W3629" s="82" t="s">
        <v>6901</v>
      </c>
      <c r="X3629" s="77"/>
      <c r="Y3629" s="77"/>
      <c r="Z3629" s="77"/>
      <c r="AA3629" s="77" t="s">
        <v>9873</v>
      </c>
      <c r="AB3629" s="77" t="s">
        <v>10129</v>
      </c>
      <c r="AC3629" s="82" t="s">
        <v>10145</v>
      </c>
      <c r="AD3629" s="77" t="s">
        <v>10184</v>
      </c>
      <c r="AE3629" s="80" t="str">
        <f>HYPERLINK("https://twitter.com/expertdigitalms/status/1678532813627203585")</f>
        <v>https://twitter.com/expertdigitalms/status/1678532813627203585</v>
      </c>
      <c r="AF3629" s="79">
        <v>45117.939618055556</v>
      </c>
      <c r="AG3629" s="85">
        <v>45117</v>
      </c>
      <c r="AH3629" s="82" t="s">
        <v>13618</v>
      </c>
      <c r="AI3629" s="77" t="b">
        <v>0</v>
      </c>
      <c r="AJ3629" s="77"/>
      <c r="AK3629" s="77"/>
      <c r="AL3629" s="77"/>
      <c r="AM3629" s="77"/>
      <c r="AN3629" s="77"/>
      <c r="AO3629" s="77"/>
      <c r="AP3629" s="77"/>
      <c r="AQ3629" s="77" t="s">
        <v>16516</v>
      </c>
      <c r="AR3629" s="77">
        <v>12033</v>
      </c>
      <c r="AS3629" s="77"/>
      <c r="AT3629" s="77"/>
      <c r="AU3629" s="77"/>
      <c r="AV3629" s="80" t="str">
        <f>HYPERLINK("https://pbs.twimg.com/ext_tw_video_thumb/1678532750968606727/pu/img/Q897oSpcJA4ncA2e.jpg")</f>
        <v>https://pbs.twimg.com/ext_tw_video_thumb/1678532750968606727/pu/img/Q897oSpcJA4ncA2e.jpg</v>
      </c>
      <c r="AW3629" s="82" t="s">
        <v>20395</v>
      </c>
      <c r="AX3629" s="82" t="s">
        <v>20395</v>
      </c>
      <c r="AY3629" s="77"/>
      <c r="AZ3629" s="82" t="s">
        <v>20971</v>
      </c>
      <c r="BA3629" s="82" t="s">
        <v>20971</v>
      </c>
      <c r="BB3629" s="82" t="s">
        <v>20971</v>
      </c>
      <c r="BC3629" s="82" t="s">
        <v>20395</v>
      </c>
      <c r="BD3629" s="82" t="s">
        <v>21648</v>
      </c>
      <c r="BE3629" s="77"/>
      <c r="BF3629" s="77"/>
      <c r="BG3629" s="77"/>
      <c r="BH3629" s="77"/>
      <c r="BI3629" s="77"/>
    </row>
    <row r="3630" spans="1:61" x14ac:dyDescent="0.25">
      <c r="A3630" s="62" t="s">
        <v>1072</v>
      </c>
      <c r="B3630" s="62" t="s">
        <v>1072</v>
      </c>
      <c r="C3630" s="63"/>
      <c r="D3630" s="64"/>
      <c r="E3630" s="65"/>
      <c r="F3630" s="66"/>
      <c r="G3630" s="63"/>
      <c r="H3630" s="67"/>
      <c r="I3630" s="68"/>
      <c r="J3630" s="68"/>
      <c r="K3630" s="32"/>
      <c r="L3630" s="75">
        <v>3630</v>
      </c>
      <c r="M3630" s="75"/>
      <c r="N3630" s="70"/>
      <c r="O3630" s="77" t="s">
        <v>179</v>
      </c>
      <c r="P3630" s="79">
        <v>45152.868310185186</v>
      </c>
      <c r="Q3630" s="77" t="s">
        <v>4836</v>
      </c>
      <c r="R3630" s="77">
        <v>0</v>
      </c>
      <c r="S3630" s="77">
        <v>0</v>
      </c>
      <c r="T3630" s="77">
        <v>0</v>
      </c>
      <c r="U3630" s="77">
        <v>0</v>
      </c>
      <c r="V3630" s="77">
        <v>33</v>
      </c>
      <c r="W3630" s="82" t="s">
        <v>6902</v>
      </c>
      <c r="X3630" s="77"/>
      <c r="Y3630" s="77"/>
      <c r="Z3630" s="77"/>
      <c r="AA3630" s="77" t="s">
        <v>9874</v>
      </c>
      <c r="AB3630" s="77" t="s">
        <v>10130</v>
      </c>
      <c r="AC3630" s="82" t="s">
        <v>10145</v>
      </c>
      <c r="AD3630" s="77" t="s">
        <v>10184</v>
      </c>
      <c r="AE3630" s="80" t="str">
        <f>HYPERLINK("https://twitter.com/expertdigitalms/status/1691190550563631106")</f>
        <v>https://twitter.com/expertdigitalms/status/1691190550563631106</v>
      </c>
      <c r="AF3630" s="79">
        <v>45152.868310185186</v>
      </c>
      <c r="AG3630" s="85">
        <v>45152</v>
      </c>
      <c r="AH3630" s="82" t="s">
        <v>13619</v>
      </c>
      <c r="AI3630" s="77" t="b">
        <v>0</v>
      </c>
      <c r="AJ3630" s="77"/>
      <c r="AK3630" s="77"/>
      <c r="AL3630" s="77"/>
      <c r="AM3630" s="77"/>
      <c r="AN3630" s="77"/>
      <c r="AO3630" s="77"/>
      <c r="AP3630" s="77"/>
      <c r="AQ3630" s="77" t="s">
        <v>16517</v>
      </c>
      <c r="AR3630" s="77"/>
      <c r="AS3630" s="77"/>
      <c r="AT3630" s="77"/>
      <c r="AU3630" s="77"/>
      <c r="AV3630" s="80" t="str">
        <f>HYPERLINK("https://pbs.twimg.com/media/F3hQ1vjWIAAOL9U.jpg")</f>
        <v>https://pbs.twimg.com/media/F3hQ1vjWIAAOL9U.jpg</v>
      </c>
      <c r="AW3630" s="82" t="s">
        <v>20396</v>
      </c>
      <c r="AX3630" s="82" t="s">
        <v>20396</v>
      </c>
      <c r="AY3630" s="77"/>
      <c r="AZ3630" s="82" t="s">
        <v>20971</v>
      </c>
      <c r="BA3630" s="82" t="s">
        <v>20971</v>
      </c>
      <c r="BB3630" s="82" t="s">
        <v>20971</v>
      </c>
      <c r="BC3630" s="82" t="s">
        <v>20396</v>
      </c>
      <c r="BD3630" s="82" t="s">
        <v>21648</v>
      </c>
      <c r="BE3630" s="77"/>
      <c r="BF3630" s="77"/>
      <c r="BG3630" s="77"/>
      <c r="BH3630" s="77"/>
      <c r="BI3630" s="77"/>
    </row>
    <row r="3631" spans="1:61" x14ac:dyDescent="0.25">
      <c r="A3631" s="62" t="s">
        <v>1072</v>
      </c>
      <c r="B3631" s="62" t="s">
        <v>1072</v>
      </c>
      <c r="C3631" s="63"/>
      <c r="D3631" s="64"/>
      <c r="E3631" s="65"/>
      <c r="F3631" s="66"/>
      <c r="G3631" s="63"/>
      <c r="H3631" s="67"/>
      <c r="I3631" s="68"/>
      <c r="J3631" s="68"/>
      <c r="K3631" s="32"/>
      <c r="L3631" s="75">
        <v>3631</v>
      </c>
      <c r="M3631" s="75"/>
      <c r="N3631" s="70"/>
      <c r="O3631" s="77" t="s">
        <v>179</v>
      </c>
      <c r="P3631" s="79">
        <v>45142.827731481484</v>
      </c>
      <c r="Q3631" s="77" t="s">
        <v>4837</v>
      </c>
      <c r="R3631" s="77">
        <v>0</v>
      </c>
      <c r="S3631" s="77">
        <v>0</v>
      </c>
      <c r="T3631" s="77">
        <v>0</v>
      </c>
      <c r="U3631" s="77">
        <v>0</v>
      </c>
      <c r="V3631" s="77">
        <v>30</v>
      </c>
      <c r="W3631" s="82" t="s">
        <v>6903</v>
      </c>
      <c r="X3631" s="77"/>
      <c r="Y3631" s="77"/>
      <c r="Z3631" s="77"/>
      <c r="AA3631" s="77" t="s">
        <v>9875</v>
      </c>
      <c r="AB3631" s="77" t="s">
        <v>10130</v>
      </c>
      <c r="AC3631" s="82" t="s">
        <v>10145</v>
      </c>
      <c r="AD3631" s="77" t="s">
        <v>10184</v>
      </c>
      <c r="AE3631" s="80" t="str">
        <f>HYPERLINK("https://twitter.com/expertdigitalms/status/1687551966879023104")</f>
        <v>https://twitter.com/expertdigitalms/status/1687551966879023104</v>
      </c>
      <c r="AF3631" s="79">
        <v>45142.827731481484</v>
      </c>
      <c r="AG3631" s="85">
        <v>45142</v>
      </c>
      <c r="AH3631" s="82" t="s">
        <v>13620</v>
      </c>
      <c r="AI3631" s="77" t="b">
        <v>0</v>
      </c>
      <c r="AJ3631" s="77"/>
      <c r="AK3631" s="77"/>
      <c r="AL3631" s="77"/>
      <c r="AM3631" s="77"/>
      <c r="AN3631" s="77"/>
      <c r="AO3631" s="77"/>
      <c r="AP3631" s="77"/>
      <c r="AQ3631" s="77" t="s">
        <v>16518</v>
      </c>
      <c r="AR3631" s="77"/>
      <c r="AS3631" s="77"/>
      <c r="AT3631" s="77"/>
      <c r="AU3631" s="77"/>
      <c r="AV3631" s="80" t="str">
        <f>HYPERLINK("https://pbs.twimg.com/media/F2tjkRWXkAApPwp.jpg")</f>
        <v>https://pbs.twimg.com/media/F2tjkRWXkAApPwp.jpg</v>
      </c>
      <c r="AW3631" s="82" t="s">
        <v>20397</v>
      </c>
      <c r="AX3631" s="82" t="s">
        <v>20397</v>
      </c>
      <c r="AY3631" s="77"/>
      <c r="AZ3631" s="82" t="s">
        <v>20971</v>
      </c>
      <c r="BA3631" s="82" t="s">
        <v>20971</v>
      </c>
      <c r="BB3631" s="82" t="s">
        <v>20971</v>
      </c>
      <c r="BC3631" s="82" t="s">
        <v>20397</v>
      </c>
      <c r="BD3631" s="82" t="s">
        <v>21648</v>
      </c>
      <c r="BE3631" s="77"/>
      <c r="BF3631" s="77"/>
      <c r="BG3631" s="77"/>
      <c r="BH3631" s="77"/>
      <c r="BI3631" s="77"/>
    </row>
    <row r="3632" spans="1:61" x14ac:dyDescent="0.25">
      <c r="A3632" s="62" t="s">
        <v>1073</v>
      </c>
      <c r="B3632" s="62" t="s">
        <v>1241</v>
      </c>
      <c r="C3632" s="63"/>
      <c r="D3632" s="64"/>
      <c r="E3632" s="65"/>
      <c r="F3632" s="66"/>
      <c r="G3632" s="63"/>
      <c r="H3632" s="67"/>
      <c r="I3632" s="68"/>
      <c r="J3632" s="68"/>
      <c r="K3632" s="32"/>
      <c r="L3632" s="75">
        <v>3632</v>
      </c>
      <c r="M3632" s="75"/>
      <c r="N3632" s="70"/>
      <c r="O3632" s="77" t="s">
        <v>1285</v>
      </c>
      <c r="P3632" s="79">
        <v>45044.45890046296</v>
      </c>
      <c r="Q3632" s="77" t="s">
        <v>4838</v>
      </c>
      <c r="R3632" s="77">
        <v>0</v>
      </c>
      <c r="S3632" s="77">
        <v>1</v>
      </c>
      <c r="T3632" s="77">
        <v>0</v>
      </c>
      <c r="U3632" s="77">
        <v>0</v>
      </c>
      <c r="V3632" s="77">
        <v>17</v>
      </c>
      <c r="W3632" s="82" t="s">
        <v>6904</v>
      </c>
      <c r="X3632" s="80" t="str">
        <f>HYPERLINK("https://youtu.be/-DH-R5zq9-o")</f>
        <v>https://youtu.be/-DH-R5zq9-o</v>
      </c>
      <c r="Y3632" s="77" t="s">
        <v>7248</v>
      </c>
      <c r="Z3632" s="77" t="s">
        <v>1241</v>
      </c>
      <c r="AA3632" s="77" t="s">
        <v>9876</v>
      </c>
      <c r="AB3632" s="77" t="s">
        <v>10130</v>
      </c>
      <c r="AC3632" s="82" t="s">
        <v>10145</v>
      </c>
      <c r="AD3632" s="77" t="s">
        <v>10184</v>
      </c>
      <c r="AE3632" s="80" t="str">
        <f>HYPERLINK("https://twitter.com/fabiooliveira18/status/1651904296986787841")</f>
        <v>https://twitter.com/fabiooliveira18/status/1651904296986787841</v>
      </c>
      <c r="AF3632" s="79">
        <v>45044.45890046296</v>
      </c>
      <c r="AG3632" s="85">
        <v>45044</v>
      </c>
      <c r="AH3632" s="82" t="s">
        <v>13621</v>
      </c>
      <c r="AI3632" s="77" t="b">
        <v>0</v>
      </c>
      <c r="AJ3632" s="77"/>
      <c r="AK3632" s="77"/>
      <c r="AL3632" s="77"/>
      <c r="AM3632" s="77"/>
      <c r="AN3632" s="77"/>
      <c r="AO3632" s="77"/>
      <c r="AP3632" s="77"/>
      <c r="AQ3632" s="77" t="s">
        <v>16519</v>
      </c>
      <c r="AR3632" s="77"/>
      <c r="AS3632" s="77"/>
      <c r="AT3632" s="77"/>
      <c r="AU3632" s="77"/>
      <c r="AV3632" s="80" t="str">
        <f>HYPERLINK("https://pbs.twimg.com/media/Fuy-M2oXgAEj8jN.jpg")</f>
        <v>https://pbs.twimg.com/media/Fuy-M2oXgAEj8jN.jpg</v>
      </c>
      <c r="AW3632" s="82" t="s">
        <v>20398</v>
      </c>
      <c r="AX3632" s="82" t="s">
        <v>20398</v>
      </c>
      <c r="AY3632" s="77"/>
      <c r="AZ3632" s="82" t="s">
        <v>20971</v>
      </c>
      <c r="BA3632" s="82" t="s">
        <v>20971</v>
      </c>
      <c r="BB3632" s="82" t="s">
        <v>20971</v>
      </c>
      <c r="BC3632" s="82" t="s">
        <v>20398</v>
      </c>
      <c r="BD3632" s="77">
        <v>230005777</v>
      </c>
      <c r="BE3632" s="77"/>
      <c r="BF3632" s="77"/>
      <c r="BG3632" s="77"/>
      <c r="BH3632" s="77"/>
      <c r="BI3632" s="77"/>
    </row>
    <row r="3633" spans="1:61" x14ac:dyDescent="0.25">
      <c r="A3633" s="62" t="s">
        <v>1073</v>
      </c>
      <c r="B3633" s="62" t="s">
        <v>1241</v>
      </c>
      <c r="C3633" s="63"/>
      <c r="D3633" s="64"/>
      <c r="E3633" s="65"/>
      <c r="F3633" s="66"/>
      <c r="G3633" s="63"/>
      <c r="H3633" s="67"/>
      <c r="I3633" s="68"/>
      <c r="J3633" s="68"/>
      <c r="K3633" s="32"/>
      <c r="L3633" s="75">
        <v>3633</v>
      </c>
      <c r="M3633" s="75"/>
      <c r="N3633" s="70"/>
      <c r="O3633" s="77" t="s">
        <v>1285</v>
      </c>
      <c r="P3633" s="79">
        <v>44996.972777777781</v>
      </c>
      <c r="Q3633" s="77" t="s">
        <v>4839</v>
      </c>
      <c r="R3633" s="77">
        <v>0</v>
      </c>
      <c r="S3633" s="77">
        <v>0</v>
      </c>
      <c r="T3633" s="77">
        <v>0</v>
      </c>
      <c r="U3633" s="77">
        <v>0</v>
      </c>
      <c r="V3633" s="77">
        <v>31</v>
      </c>
      <c r="W3633" s="82" t="s">
        <v>6905</v>
      </c>
      <c r="X3633" s="80" t="str">
        <f>HYPERLINK("https://youtu.be/XRsDX6Rd1dM")</f>
        <v>https://youtu.be/XRsDX6Rd1dM</v>
      </c>
      <c r="Y3633" s="77" t="s">
        <v>7248</v>
      </c>
      <c r="Z3633" s="77" t="s">
        <v>1241</v>
      </c>
      <c r="AA3633" s="77" t="s">
        <v>9877</v>
      </c>
      <c r="AB3633" s="77" t="s">
        <v>10130</v>
      </c>
      <c r="AC3633" s="82" t="s">
        <v>10145</v>
      </c>
      <c r="AD3633" s="77" t="s">
        <v>10184</v>
      </c>
      <c r="AE3633" s="80" t="str">
        <f>HYPERLINK("https://twitter.com/fabiooliveira18/status/1634695899384274946")</f>
        <v>https://twitter.com/fabiooliveira18/status/1634695899384274946</v>
      </c>
      <c r="AF3633" s="79">
        <v>44996.972777777781</v>
      </c>
      <c r="AG3633" s="85">
        <v>44996</v>
      </c>
      <c r="AH3633" s="82" t="s">
        <v>13622</v>
      </c>
      <c r="AI3633" s="77" t="b">
        <v>0</v>
      </c>
      <c r="AJ3633" s="77"/>
      <c r="AK3633" s="77"/>
      <c r="AL3633" s="77"/>
      <c r="AM3633" s="77"/>
      <c r="AN3633" s="77"/>
      <c r="AO3633" s="77"/>
      <c r="AP3633" s="77"/>
      <c r="AQ3633" s="77" t="s">
        <v>16520</v>
      </c>
      <c r="AR3633" s="77"/>
      <c r="AS3633" s="77"/>
      <c r="AT3633" s="77"/>
      <c r="AU3633" s="77"/>
      <c r="AV3633" s="80" t="str">
        <f>HYPERLINK("https://pbs.twimg.com/media/Fq-bQR6XwAcABOk.jpg")</f>
        <v>https://pbs.twimg.com/media/Fq-bQR6XwAcABOk.jpg</v>
      </c>
      <c r="AW3633" s="82" t="s">
        <v>20399</v>
      </c>
      <c r="AX3633" s="82" t="s">
        <v>20399</v>
      </c>
      <c r="AY3633" s="77"/>
      <c r="AZ3633" s="82" t="s">
        <v>20971</v>
      </c>
      <c r="BA3633" s="82" t="s">
        <v>20971</v>
      </c>
      <c r="BB3633" s="82" t="s">
        <v>20971</v>
      </c>
      <c r="BC3633" s="82" t="s">
        <v>20399</v>
      </c>
      <c r="BD3633" s="77">
        <v>230005777</v>
      </c>
      <c r="BE3633" s="77"/>
      <c r="BF3633" s="77"/>
      <c r="BG3633" s="77"/>
      <c r="BH3633" s="77"/>
      <c r="BI3633" s="77"/>
    </row>
    <row r="3634" spans="1:61" x14ac:dyDescent="0.25">
      <c r="A3634" s="62" t="s">
        <v>1074</v>
      </c>
      <c r="B3634" s="62" t="s">
        <v>1074</v>
      </c>
      <c r="C3634" s="63"/>
      <c r="D3634" s="64"/>
      <c r="E3634" s="65"/>
      <c r="F3634" s="66"/>
      <c r="G3634" s="63"/>
      <c r="H3634" s="67"/>
      <c r="I3634" s="68"/>
      <c r="J3634" s="68"/>
      <c r="K3634" s="32"/>
      <c r="L3634" s="75">
        <v>3634</v>
      </c>
      <c r="M3634" s="75"/>
      <c r="N3634" s="70"/>
      <c r="O3634" s="77" t="s">
        <v>179</v>
      </c>
      <c r="P3634" s="79">
        <v>45066.039027777777</v>
      </c>
      <c r="Q3634" s="77" t="s">
        <v>4840</v>
      </c>
      <c r="R3634" s="77">
        <v>0</v>
      </c>
      <c r="S3634" s="77">
        <v>0</v>
      </c>
      <c r="T3634" s="77">
        <v>0</v>
      </c>
      <c r="U3634" s="77">
        <v>0</v>
      </c>
      <c r="V3634" s="77">
        <v>81</v>
      </c>
      <c r="W3634" s="82" t="s">
        <v>6906</v>
      </c>
      <c r="X3634" s="80" t="str">
        <f>HYPERLINK("https://321809f.xyz/sharecwbr/wPe9p1U5")</f>
        <v>https://321809f.xyz/sharecwbr/wPe9p1U5</v>
      </c>
      <c r="Y3634" s="77" t="s">
        <v>7467</v>
      </c>
      <c r="Z3634" s="77"/>
      <c r="AA3634" s="77" t="s">
        <v>9878</v>
      </c>
      <c r="AB3634" s="77" t="s">
        <v>10130</v>
      </c>
      <c r="AC3634" s="82" t="s">
        <v>10144</v>
      </c>
      <c r="AD3634" s="77" t="s">
        <v>10184</v>
      </c>
      <c r="AE3634" s="80" t="str">
        <f>HYPERLINK("https://twitter.com/aline_ta_on/status/1659724672890437633")</f>
        <v>https://twitter.com/aline_ta_on/status/1659724672890437633</v>
      </c>
      <c r="AF3634" s="79">
        <v>45066.039027777777</v>
      </c>
      <c r="AG3634" s="85">
        <v>45066</v>
      </c>
      <c r="AH3634" s="82" t="s">
        <v>13623</v>
      </c>
      <c r="AI3634" s="77" t="b">
        <v>0</v>
      </c>
      <c r="AJ3634" s="77"/>
      <c r="AK3634" s="77"/>
      <c r="AL3634" s="77"/>
      <c r="AM3634" s="77"/>
      <c r="AN3634" s="77"/>
      <c r="AO3634" s="77"/>
      <c r="AP3634" s="77"/>
      <c r="AQ3634" s="77" t="s">
        <v>16521</v>
      </c>
      <c r="AR3634" s="77"/>
      <c r="AS3634" s="77"/>
      <c r="AT3634" s="77"/>
      <c r="AU3634" s="77"/>
      <c r="AV3634" s="80" t="str">
        <f>HYPERLINK("https://pbs.twimg.com/media/FwiGyylWAAANc2O.jpg")</f>
        <v>https://pbs.twimg.com/media/FwiGyylWAAANc2O.jpg</v>
      </c>
      <c r="AW3634" s="82" t="s">
        <v>20400</v>
      </c>
      <c r="AX3634" s="82" t="s">
        <v>20400</v>
      </c>
      <c r="AY3634" s="77"/>
      <c r="AZ3634" s="82" t="s">
        <v>20971</v>
      </c>
      <c r="BA3634" s="82" t="s">
        <v>20971</v>
      </c>
      <c r="BB3634" s="82" t="s">
        <v>20971</v>
      </c>
      <c r="BC3634" s="82" t="s">
        <v>20400</v>
      </c>
      <c r="BD3634" s="82" t="s">
        <v>21649</v>
      </c>
      <c r="BE3634" s="77"/>
      <c r="BF3634" s="77"/>
      <c r="BG3634" s="77"/>
      <c r="BH3634" s="77"/>
      <c r="BI3634" s="77"/>
    </row>
    <row r="3635" spans="1:61" x14ac:dyDescent="0.25">
      <c r="A3635" s="62" t="s">
        <v>1075</v>
      </c>
      <c r="B3635" s="62" t="s">
        <v>1075</v>
      </c>
      <c r="C3635" s="63"/>
      <c r="D3635" s="64"/>
      <c r="E3635" s="65"/>
      <c r="F3635" s="66"/>
      <c r="G3635" s="63"/>
      <c r="H3635" s="67"/>
      <c r="I3635" s="68"/>
      <c r="J3635" s="68"/>
      <c r="K3635" s="32"/>
      <c r="L3635" s="75">
        <v>3635</v>
      </c>
      <c r="M3635" s="75"/>
      <c r="N3635" s="70"/>
      <c r="O3635" s="77" t="s">
        <v>179</v>
      </c>
      <c r="P3635" s="79">
        <v>45119.006203703706</v>
      </c>
      <c r="Q3635" s="77" t="s">
        <v>4841</v>
      </c>
      <c r="R3635" s="77">
        <v>0</v>
      </c>
      <c r="S3635" s="77">
        <v>1</v>
      </c>
      <c r="T3635" s="77">
        <v>0</v>
      </c>
      <c r="U3635" s="77">
        <v>0</v>
      </c>
      <c r="V3635" s="77">
        <v>18</v>
      </c>
      <c r="W3635" s="82" t="s">
        <v>6907</v>
      </c>
      <c r="X3635" s="77"/>
      <c r="Y3635" s="77"/>
      <c r="Z3635" s="77"/>
      <c r="AA3635" s="77" t="s">
        <v>9879</v>
      </c>
      <c r="AB3635" s="77" t="s">
        <v>10130</v>
      </c>
      <c r="AC3635" s="82" t="s">
        <v>10145</v>
      </c>
      <c r="AD3635" s="77" t="s">
        <v>10184</v>
      </c>
      <c r="AE3635" s="80" t="str">
        <f>HYPERLINK("https://twitter.com/viniciusgpro/status/1678919334586982400")</f>
        <v>https://twitter.com/viniciusgpro/status/1678919334586982400</v>
      </c>
      <c r="AF3635" s="79">
        <v>45119.006203703706</v>
      </c>
      <c r="AG3635" s="85">
        <v>45119</v>
      </c>
      <c r="AH3635" s="82" t="s">
        <v>13624</v>
      </c>
      <c r="AI3635" s="77" t="b">
        <v>0</v>
      </c>
      <c r="AJ3635" s="77"/>
      <c r="AK3635" s="77"/>
      <c r="AL3635" s="77"/>
      <c r="AM3635" s="77"/>
      <c r="AN3635" s="77"/>
      <c r="AO3635" s="77"/>
      <c r="AP3635" s="77"/>
      <c r="AQ3635" s="77" t="s">
        <v>16522</v>
      </c>
      <c r="AR3635" s="77"/>
      <c r="AS3635" s="77"/>
      <c r="AT3635" s="77"/>
      <c r="AU3635" s="77"/>
      <c r="AV3635" s="80" t="str">
        <f>HYPERLINK("https://pbs.twimg.com/media/F0y4PElWwAciyio.jpg")</f>
        <v>https://pbs.twimg.com/media/F0y4PElWwAciyio.jpg</v>
      </c>
      <c r="AW3635" s="82" t="s">
        <v>20401</v>
      </c>
      <c r="AX3635" s="82" t="s">
        <v>20401</v>
      </c>
      <c r="AY3635" s="77"/>
      <c r="AZ3635" s="82" t="s">
        <v>20971</v>
      </c>
      <c r="BA3635" s="82" t="s">
        <v>20971</v>
      </c>
      <c r="BB3635" s="82" t="s">
        <v>20971</v>
      </c>
      <c r="BC3635" s="82" t="s">
        <v>20401</v>
      </c>
      <c r="BD3635" s="82" t="s">
        <v>21650</v>
      </c>
      <c r="BE3635" s="77"/>
      <c r="BF3635" s="77"/>
      <c r="BG3635" s="77"/>
      <c r="BH3635" s="77"/>
      <c r="BI3635" s="77"/>
    </row>
    <row r="3636" spans="1:61" x14ac:dyDescent="0.25">
      <c r="A3636" s="62" t="s">
        <v>1076</v>
      </c>
      <c r="B3636" s="62" t="s">
        <v>1076</v>
      </c>
      <c r="C3636" s="63"/>
      <c r="D3636" s="64"/>
      <c r="E3636" s="65"/>
      <c r="F3636" s="66"/>
      <c r="G3636" s="63"/>
      <c r="H3636" s="67"/>
      <c r="I3636" s="68"/>
      <c r="J3636" s="68"/>
      <c r="K3636" s="32"/>
      <c r="L3636" s="75">
        <v>3636</v>
      </c>
      <c r="M3636" s="75"/>
      <c r="N3636" s="70"/>
      <c r="O3636" s="77" t="s">
        <v>179</v>
      </c>
      <c r="P3636" s="79">
        <v>45108.193761574075</v>
      </c>
      <c r="Q3636" s="77" t="s">
        <v>4842</v>
      </c>
      <c r="R3636" s="77">
        <v>0</v>
      </c>
      <c r="S3636" s="77">
        <v>1</v>
      </c>
      <c r="T3636" s="77">
        <v>0</v>
      </c>
      <c r="U3636" s="77">
        <v>0</v>
      </c>
      <c r="V3636" s="77">
        <v>29</v>
      </c>
      <c r="W3636" s="82" t="s">
        <v>6908</v>
      </c>
      <c r="X3636" s="80" t="str">
        <f>HYPERLINK("https://linktr.ee/jonpadilha")</f>
        <v>https://linktr.ee/jonpadilha</v>
      </c>
      <c r="Y3636" s="77" t="s">
        <v>7300</v>
      </c>
      <c r="Z3636" s="77"/>
      <c r="AA3636" s="77" t="s">
        <v>9880</v>
      </c>
      <c r="AB3636" s="77" t="s">
        <v>10130</v>
      </c>
      <c r="AC3636" s="82" t="s">
        <v>10144</v>
      </c>
      <c r="AD3636" s="77" t="s">
        <v>10183</v>
      </c>
      <c r="AE3636" s="80" t="str">
        <f>HYPERLINK("https://twitter.com/jonpadilha/status/1675001033330761731")</f>
        <v>https://twitter.com/jonpadilha/status/1675001033330761731</v>
      </c>
      <c r="AF3636" s="79">
        <v>45108.193761574075</v>
      </c>
      <c r="AG3636" s="85">
        <v>45108</v>
      </c>
      <c r="AH3636" s="82" t="s">
        <v>13625</v>
      </c>
      <c r="AI3636" s="77" t="b">
        <v>0</v>
      </c>
      <c r="AJ3636" s="77"/>
      <c r="AK3636" s="77"/>
      <c r="AL3636" s="77"/>
      <c r="AM3636" s="77"/>
      <c r="AN3636" s="77"/>
      <c r="AO3636" s="77"/>
      <c r="AP3636" s="77"/>
      <c r="AQ3636" s="77" t="s">
        <v>16523</v>
      </c>
      <c r="AR3636" s="77"/>
      <c r="AS3636" s="77"/>
      <c r="AT3636" s="77"/>
      <c r="AU3636" s="77"/>
      <c r="AV3636" s="80" t="str">
        <f>HYPERLINK("https://pbs.twimg.com/media/Fz7MkBzWwAERBJz.jpg")</f>
        <v>https://pbs.twimg.com/media/Fz7MkBzWwAERBJz.jpg</v>
      </c>
      <c r="AW3636" s="82" t="s">
        <v>20402</v>
      </c>
      <c r="AX3636" s="82" t="s">
        <v>20402</v>
      </c>
      <c r="AY3636" s="77"/>
      <c r="AZ3636" s="82" t="s">
        <v>20971</v>
      </c>
      <c r="BA3636" s="82" t="s">
        <v>20971</v>
      </c>
      <c r="BB3636" s="82" t="s">
        <v>20971</v>
      </c>
      <c r="BC3636" s="82" t="s">
        <v>20402</v>
      </c>
      <c r="BD3636" s="82" t="s">
        <v>21651</v>
      </c>
      <c r="BE3636" s="77"/>
      <c r="BF3636" s="77"/>
      <c r="BG3636" s="77"/>
      <c r="BH3636" s="77"/>
      <c r="BI3636" s="77"/>
    </row>
    <row r="3637" spans="1:61" x14ac:dyDescent="0.25">
      <c r="A3637" s="62" t="s">
        <v>1077</v>
      </c>
      <c r="B3637" s="62" t="s">
        <v>1077</v>
      </c>
      <c r="C3637" s="63"/>
      <c r="D3637" s="64"/>
      <c r="E3637" s="65"/>
      <c r="F3637" s="66"/>
      <c r="G3637" s="63"/>
      <c r="H3637" s="67"/>
      <c r="I3637" s="68"/>
      <c r="J3637" s="68"/>
      <c r="K3637" s="32"/>
      <c r="L3637" s="75">
        <v>3637</v>
      </c>
      <c r="M3637" s="75"/>
      <c r="N3637" s="70"/>
      <c r="O3637" s="77" t="s">
        <v>179</v>
      </c>
      <c r="P3637" s="79">
        <v>45086.579594907409</v>
      </c>
      <c r="Q3637" s="77" t="s">
        <v>4843</v>
      </c>
      <c r="R3637" s="77">
        <v>0</v>
      </c>
      <c r="S3637" s="77">
        <v>0</v>
      </c>
      <c r="T3637" s="77">
        <v>0</v>
      </c>
      <c r="U3637" s="77">
        <v>0</v>
      </c>
      <c r="V3637" s="77">
        <v>13</v>
      </c>
      <c r="W3637" s="82" t="s">
        <v>5429</v>
      </c>
      <c r="X3637" s="80" t="str">
        <f>HYPERLINK("https://www.truh.xyz/XLZilDLrQY")</f>
        <v>https://www.truh.xyz/XLZilDLrQY</v>
      </c>
      <c r="Y3637" s="77" t="s">
        <v>7417</v>
      </c>
      <c r="Z3637" s="77"/>
      <c r="AA3637" s="77"/>
      <c r="AB3637" s="77"/>
      <c r="AC3637" s="82" t="s">
        <v>10144</v>
      </c>
      <c r="AD3637" s="77" t="s">
        <v>10184</v>
      </c>
      <c r="AE3637" s="80" t="str">
        <f>HYPERLINK("https://twitter.com/mi32395/status/1667168322238988288")</f>
        <v>https://twitter.com/mi32395/status/1667168322238988288</v>
      </c>
      <c r="AF3637" s="79">
        <v>45086.579594907409</v>
      </c>
      <c r="AG3637" s="85">
        <v>45086</v>
      </c>
      <c r="AH3637" s="82" t="s">
        <v>13626</v>
      </c>
      <c r="AI3637" s="77" t="b">
        <v>0</v>
      </c>
      <c r="AJ3637" s="77"/>
      <c r="AK3637" s="77"/>
      <c r="AL3637" s="77"/>
      <c r="AM3637" s="77"/>
      <c r="AN3637" s="77"/>
      <c r="AO3637" s="77"/>
      <c r="AP3637" s="77"/>
      <c r="AQ3637" s="77"/>
      <c r="AR3637" s="77"/>
      <c r="AS3637" s="77"/>
      <c r="AT3637" s="77"/>
      <c r="AU3637" s="77"/>
      <c r="AV3637" s="80" t="str">
        <f>HYPERLINK("https://pbs.twimg.com/profile_images/1660305393917083654/_j66x1rN_normal.png")</f>
        <v>https://pbs.twimg.com/profile_images/1660305393917083654/_j66x1rN_normal.png</v>
      </c>
      <c r="AW3637" s="82" t="s">
        <v>20403</v>
      </c>
      <c r="AX3637" s="82" t="s">
        <v>20403</v>
      </c>
      <c r="AY3637" s="77"/>
      <c r="AZ3637" s="82" t="s">
        <v>20971</v>
      </c>
      <c r="BA3637" s="82" t="s">
        <v>20971</v>
      </c>
      <c r="BB3637" s="82" t="s">
        <v>20971</v>
      </c>
      <c r="BC3637" s="82" t="s">
        <v>20403</v>
      </c>
      <c r="BD3637" s="82" t="s">
        <v>21652</v>
      </c>
      <c r="BE3637" s="77"/>
      <c r="BF3637" s="77"/>
      <c r="BG3637" s="77"/>
      <c r="BH3637" s="77"/>
      <c r="BI3637" s="77"/>
    </row>
    <row r="3638" spans="1:61" x14ac:dyDescent="0.25">
      <c r="A3638" s="62" t="s">
        <v>1078</v>
      </c>
      <c r="B3638" s="62" t="s">
        <v>1078</v>
      </c>
      <c r="C3638" s="63"/>
      <c r="D3638" s="64"/>
      <c r="E3638" s="65"/>
      <c r="F3638" s="66"/>
      <c r="G3638" s="63"/>
      <c r="H3638" s="67"/>
      <c r="I3638" s="68"/>
      <c r="J3638" s="68"/>
      <c r="K3638" s="32"/>
      <c r="L3638" s="75">
        <v>3638</v>
      </c>
      <c r="M3638" s="75"/>
      <c r="N3638" s="70"/>
      <c r="O3638" s="77" t="s">
        <v>179</v>
      </c>
      <c r="P3638" s="79">
        <v>44979.416886574072</v>
      </c>
      <c r="Q3638" s="77" t="s">
        <v>4844</v>
      </c>
      <c r="R3638" s="77">
        <v>0</v>
      </c>
      <c r="S3638" s="77">
        <v>0</v>
      </c>
      <c r="T3638" s="77">
        <v>0</v>
      </c>
      <c r="U3638" s="77">
        <v>0</v>
      </c>
      <c r="V3638" s="77">
        <v>36</v>
      </c>
      <c r="W3638" s="82" t="s">
        <v>6909</v>
      </c>
      <c r="X3638" s="77"/>
      <c r="Y3638" s="77"/>
      <c r="Z3638" s="77"/>
      <c r="AA3638" s="77" t="s">
        <v>9881</v>
      </c>
      <c r="AB3638" s="77" t="s">
        <v>10130</v>
      </c>
      <c r="AC3638" s="82" t="s">
        <v>10147</v>
      </c>
      <c r="AD3638" s="77" t="s">
        <v>10184</v>
      </c>
      <c r="AE3638" s="80" t="str">
        <f>HYPERLINK("https://twitter.com/pfeufferalpha7/status/1628333859203870721")</f>
        <v>https://twitter.com/pfeufferalpha7/status/1628333859203870721</v>
      </c>
      <c r="AF3638" s="79">
        <v>44979.416886574072</v>
      </c>
      <c r="AG3638" s="85">
        <v>44979</v>
      </c>
      <c r="AH3638" s="82" t="s">
        <v>13627</v>
      </c>
      <c r="AI3638" s="77" t="b">
        <v>0</v>
      </c>
      <c r="AJ3638" s="77"/>
      <c r="AK3638" s="77"/>
      <c r="AL3638" s="77"/>
      <c r="AM3638" s="77"/>
      <c r="AN3638" s="77"/>
      <c r="AO3638" s="77"/>
      <c r="AP3638" s="77"/>
      <c r="AQ3638" s="77" t="s">
        <v>16524</v>
      </c>
      <c r="AR3638" s="77"/>
      <c r="AS3638" s="77"/>
      <c r="AT3638" s="77"/>
      <c r="AU3638" s="77"/>
      <c r="AV3638" s="80" t="str">
        <f>HYPERLINK("https://pbs.twimg.com/media/FpkBA_8XgAAo0zv.jpg")</f>
        <v>https://pbs.twimg.com/media/FpkBA_8XgAAo0zv.jpg</v>
      </c>
      <c r="AW3638" s="82" t="s">
        <v>20404</v>
      </c>
      <c r="AX3638" s="82" t="s">
        <v>20404</v>
      </c>
      <c r="AY3638" s="77"/>
      <c r="AZ3638" s="82" t="s">
        <v>20971</v>
      </c>
      <c r="BA3638" s="82" t="s">
        <v>20971</v>
      </c>
      <c r="BB3638" s="82" t="s">
        <v>20971</v>
      </c>
      <c r="BC3638" s="82" t="s">
        <v>20404</v>
      </c>
      <c r="BD3638" s="82" t="s">
        <v>21653</v>
      </c>
      <c r="BE3638" s="77"/>
      <c r="BF3638" s="77"/>
      <c r="BG3638" s="77"/>
      <c r="BH3638" s="77"/>
      <c r="BI3638" s="77"/>
    </row>
    <row r="3639" spans="1:61" x14ac:dyDescent="0.25">
      <c r="A3639" s="62" t="s">
        <v>1079</v>
      </c>
      <c r="B3639" s="62" t="s">
        <v>1079</v>
      </c>
      <c r="C3639" s="63"/>
      <c r="D3639" s="64"/>
      <c r="E3639" s="65"/>
      <c r="F3639" s="66"/>
      <c r="G3639" s="63"/>
      <c r="H3639" s="67"/>
      <c r="I3639" s="68"/>
      <c r="J3639" s="68"/>
      <c r="K3639" s="32"/>
      <c r="L3639" s="75">
        <v>3639</v>
      </c>
      <c r="M3639" s="75"/>
      <c r="N3639" s="70"/>
      <c r="O3639" s="77" t="s">
        <v>179</v>
      </c>
      <c r="P3639" s="79">
        <v>45179.797152777777</v>
      </c>
      <c r="Q3639" s="77" t="s">
        <v>4845</v>
      </c>
      <c r="R3639" s="77">
        <v>3</v>
      </c>
      <c r="S3639" s="77">
        <v>671</v>
      </c>
      <c r="T3639" s="77">
        <v>117</v>
      </c>
      <c r="U3639" s="77">
        <v>98</v>
      </c>
      <c r="V3639" s="77">
        <v>320927</v>
      </c>
      <c r="W3639" s="77"/>
      <c r="X3639" s="77"/>
      <c r="Y3639" s="77"/>
      <c r="Z3639" s="77"/>
      <c r="AA3639" s="77" t="s">
        <v>9882</v>
      </c>
      <c r="AB3639" s="77" t="s">
        <v>10130</v>
      </c>
      <c r="AC3639" s="82" t="s">
        <v>10145</v>
      </c>
      <c r="AD3639" s="77" t="s">
        <v>10184</v>
      </c>
      <c r="AE3639" s="80" t="str">
        <f>HYPERLINK("https://twitter.com/harujiggly/status/1700949237377233123")</f>
        <v>https://twitter.com/harujiggly/status/1700949237377233123</v>
      </c>
      <c r="AF3639" s="79">
        <v>45179.797152777777</v>
      </c>
      <c r="AG3639" s="85">
        <v>45179</v>
      </c>
      <c r="AH3639" s="82" t="s">
        <v>13628</v>
      </c>
      <c r="AI3639" s="77" t="b">
        <v>0</v>
      </c>
      <c r="AJ3639" s="77"/>
      <c r="AK3639" s="77"/>
      <c r="AL3639" s="77"/>
      <c r="AM3639" s="77"/>
      <c r="AN3639" s="77"/>
      <c r="AO3639" s="77"/>
      <c r="AP3639" s="77"/>
      <c r="AQ3639" s="77" t="s">
        <v>16525</v>
      </c>
      <c r="AR3639" s="77"/>
      <c r="AS3639" s="77"/>
      <c r="AT3639" s="77"/>
      <c r="AU3639" s="77"/>
      <c r="AV3639" s="80" t="str">
        <f>HYPERLINK("https://pbs.twimg.com/media/F5r8T9XWMAAXXtr.jpg")</f>
        <v>https://pbs.twimg.com/media/F5r8T9XWMAAXXtr.jpg</v>
      </c>
      <c r="AW3639" s="82" t="s">
        <v>20405</v>
      </c>
      <c r="AX3639" s="82" t="s">
        <v>20405</v>
      </c>
      <c r="AY3639" s="77"/>
      <c r="AZ3639" s="82" t="s">
        <v>20971</v>
      </c>
      <c r="BA3639" s="82" t="s">
        <v>20971</v>
      </c>
      <c r="BB3639" s="82" t="s">
        <v>20971</v>
      </c>
      <c r="BC3639" s="82" t="s">
        <v>20405</v>
      </c>
      <c r="BD3639" s="77">
        <v>74634966</v>
      </c>
      <c r="BE3639" s="77"/>
      <c r="BF3639" s="77"/>
      <c r="BG3639" s="77"/>
      <c r="BH3639" s="77"/>
      <c r="BI3639" s="77"/>
    </row>
    <row r="3640" spans="1:61" x14ac:dyDescent="0.25">
      <c r="A3640" s="62" t="s">
        <v>1080</v>
      </c>
      <c r="B3640" s="62" t="s">
        <v>1271</v>
      </c>
      <c r="C3640" s="63"/>
      <c r="D3640" s="64"/>
      <c r="E3640" s="65"/>
      <c r="F3640" s="66"/>
      <c r="G3640" s="63"/>
      <c r="H3640" s="67"/>
      <c r="I3640" s="68"/>
      <c r="J3640" s="68"/>
      <c r="K3640" s="32"/>
      <c r="L3640" s="75">
        <v>3640</v>
      </c>
      <c r="M3640" s="75"/>
      <c r="N3640" s="70"/>
      <c r="O3640" s="77" t="s">
        <v>1284</v>
      </c>
      <c r="P3640" s="79">
        <v>45173.03534722222</v>
      </c>
      <c r="Q3640" s="77" t="s">
        <v>4846</v>
      </c>
      <c r="R3640" s="77">
        <v>0</v>
      </c>
      <c r="S3640" s="77">
        <v>0</v>
      </c>
      <c r="T3640" s="77">
        <v>0</v>
      </c>
      <c r="U3640" s="77">
        <v>0</v>
      </c>
      <c r="V3640" s="77">
        <v>766</v>
      </c>
      <c r="W3640" s="82" t="s">
        <v>5236</v>
      </c>
      <c r="X3640" s="77"/>
      <c r="Y3640" s="77"/>
      <c r="Z3640" s="77" t="s">
        <v>1271</v>
      </c>
      <c r="AA3640" s="77"/>
      <c r="AB3640" s="77"/>
      <c r="AC3640" s="82" t="s">
        <v>10144</v>
      </c>
      <c r="AD3640" s="77" t="s">
        <v>10183</v>
      </c>
      <c r="AE3640" s="80" t="str">
        <f>HYPERLINK("https://twitter.com/brun0__0/status/1698498841203388671")</f>
        <v>https://twitter.com/brun0__0/status/1698498841203388671</v>
      </c>
      <c r="AF3640" s="79">
        <v>45173.03534722222</v>
      </c>
      <c r="AG3640" s="85">
        <v>45173</v>
      </c>
      <c r="AH3640" s="82" t="s">
        <v>13629</v>
      </c>
      <c r="AI3640" s="77"/>
      <c r="AJ3640" s="77"/>
      <c r="AK3640" s="77"/>
      <c r="AL3640" s="77"/>
      <c r="AM3640" s="77"/>
      <c r="AN3640" s="77"/>
      <c r="AO3640" s="77"/>
      <c r="AP3640" s="77"/>
      <c r="AQ3640" s="77"/>
      <c r="AR3640" s="77"/>
      <c r="AS3640" s="77"/>
      <c r="AT3640" s="77"/>
      <c r="AU3640" s="77"/>
      <c r="AV3640" s="80" t="str">
        <f>HYPERLINK("https://pbs.twimg.com/profile_images/1610842481490280449/P30fzdOf_normal.jpg")</f>
        <v>https://pbs.twimg.com/profile_images/1610842481490280449/P30fzdOf_normal.jpg</v>
      </c>
      <c r="AW3640" s="82" t="s">
        <v>20406</v>
      </c>
      <c r="AX3640" s="82" t="s">
        <v>20882</v>
      </c>
      <c r="AY3640" s="82" t="s">
        <v>20963</v>
      </c>
      <c r="AZ3640" s="82" t="s">
        <v>20882</v>
      </c>
      <c r="BA3640" s="82" t="s">
        <v>20971</v>
      </c>
      <c r="BB3640" s="82" t="s">
        <v>20971</v>
      </c>
      <c r="BC3640" s="82" t="s">
        <v>20882</v>
      </c>
      <c r="BD3640" s="82" t="s">
        <v>21654</v>
      </c>
      <c r="BE3640" s="77"/>
      <c r="BF3640" s="77"/>
      <c r="BG3640" s="77"/>
      <c r="BH3640" s="77"/>
      <c r="BI3640" s="77"/>
    </row>
    <row r="3641" spans="1:61" x14ac:dyDescent="0.25">
      <c r="A3641" s="62" t="s">
        <v>1081</v>
      </c>
      <c r="B3641" s="62" t="s">
        <v>1081</v>
      </c>
      <c r="C3641" s="63"/>
      <c r="D3641" s="64"/>
      <c r="E3641" s="65"/>
      <c r="F3641" s="66"/>
      <c r="G3641" s="63"/>
      <c r="H3641" s="67"/>
      <c r="I3641" s="68"/>
      <c r="J3641" s="68"/>
      <c r="K3641" s="32"/>
      <c r="L3641" s="75">
        <v>3641</v>
      </c>
      <c r="M3641" s="75"/>
      <c r="N3641" s="70"/>
      <c r="O3641" s="77" t="s">
        <v>179</v>
      </c>
      <c r="P3641" s="79">
        <v>44964.622187499997</v>
      </c>
      <c r="Q3641" s="77" t="s">
        <v>4847</v>
      </c>
      <c r="R3641" s="77">
        <v>0</v>
      </c>
      <c r="S3641" s="77">
        <v>0</v>
      </c>
      <c r="T3641" s="77">
        <v>0</v>
      </c>
      <c r="U3641" s="77">
        <v>0</v>
      </c>
      <c r="V3641" s="77">
        <v>23</v>
      </c>
      <c r="W3641" s="82" t="s">
        <v>6910</v>
      </c>
      <c r="X3641" s="80" t="str">
        <f>HYPERLINK("https://s.click.aliexpress.com/e/_DlVFSTB")</f>
        <v>https://s.click.aliexpress.com/e/_DlVFSTB</v>
      </c>
      <c r="Y3641" s="77" t="s">
        <v>7468</v>
      </c>
      <c r="Z3641" s="77"/>
      <c r="AA3641" s="77"/>
      <c r="AB3641" s="77"/>
      <c r="AC3641" s="82" t="s">
        <v>10146</v>
      </c>
      <c r="AD3641" s="77" t="s">
        <v>10183</v>
      </c>
      <c r="AE3641" s="80" t="str">
        <f>HYPERLINK("https://twitter.com/amorim_divino/status/1622972438295216129")</f>
        <v>https://twitter.com/amorim_divino/status/1622972438295216129</v>
      </c>
      <c r="AF3641" s="79">
        <v>44964.622187499997</v>
      </c>
      <c r="AG3641" s="85">
        <v>44964</v>
      </c>
      <c r="AH3641" s="82" t="s">
        <v>13630</v>
      </c>
      <c r="AI3641" s="77" t="b">
        <v>1</v>
      </c>
      <c r="AJ3641" s="77"/>
      <c r="AK3641" s="77"/>
      <c r="AL3641" s="77"/>
      <c r="AM3641" s="77"/>
      <c r="AN3641" s="77"/>
      <c r="AO3641" s="77"/>
      <c r="AP3641" s="77"/>
      <c r="AQ3641" s="77"/>
      <c r="AR3641" s="77"/>
      <c r="AS3641" s="77"/>
      <c r="AT3641" s="77"/>
      <c r="AU3641" s="77"/>
      <c r="AV3641" s="80" t="str">
        <f>HYPERLINK("https://pbs.twimg.com/profile_images/1576867942536544256/mH6Xz2q7_normal.jpg")</f>
        <v>https://pbs.twimg.com/profile_images/1576867942536544256/mH6Xz2q7_normal.jpg</v>
      </c>
      <c r="AW3641" s="82" t="s">
        <v>20407</v>
      </c>
      <c r="AX3641" s="82" t="s">
        <v>20407</v>
      </c>
      <c r="AY3641" s="77"/>
      <c r="AZ3641" s="82" t="s">
        <v>20971</v>
      </c>
      <c r="BA3641" s="82" t="s">
        <v>20971</v>
      </c>
      <c r="BB3641" s="82" t="s">
        <v>20971</v>
      </c>
      <c r="BC3641" s="82" t="s">
        <v>20407</v>
      </c>
      <c r="BD3641" s="82" t="s">
        <v>21655</v>
      </c>
      <c r="BE3641" s="77"/>
      <c r="BF3641" s="77"/>
      <c r="BG3641" s="77"/>
      <c r="BH3641" s="77"/>
      <c r="BI3641" s="77"/>
    </row>
    <row r="3642" spans="1:61" x14ac:dyDescent="0.25">
      <c r="A3642" s="62" t="s">
        <v>1081</v>
      </c>
      <c r="B3642" s="62" t="s">
        <v>1081</v>
      </c>
      <c r="C3642" s="63"/>
      <c r="D3642" s="64"/>
      <c r="E3642" s="65"/>
      <c r="F3642" s="66"/>
      <c r="G3642" s="63"/>
      <c r="H3642" s="67"/>
      <c r="I3642" s="68"/>
      <c r="J3642" s="68"/>
      <c r="K3642" s="32"/>
      <c r="L3642" s="75">
        <v>3642</v>
      </c>
      <c r="M3642" s="75"/>
      <c r="N3642" s="70"/>
      <c r="O3642" s="77" t="s">
        <v>179</v>
      </c>
      <c r="P3642" s="79">
        <v>44969.812962962962</v>
      </c>
      <c r="Q3642" s="77" t="s">
        <v>4848</v>
      </c>
      <c r="R3642" s="77">
        <v>0</v>
      </c>
      <c r="S3642" s="77">
        <v>0</v>
      </c>
      <c r="T3642" s="77">
        <v>0</v>
      </c>
      <c r="U3642" s="77">
        <v>0</v>
      </c>
      <c r="V3642" s="77">
        <v>60</v>
      </c>
      <c r="W3642" s="82" t="s">
        <v>6911</v>
      </c>
      <c r="X3642" s="80" t="str">
        <f>HYPERLINK("https://s.click.aliexpress.com/e/_DlOjehb")</f>
        <v>https://s.click.aliexpress.com/e/_DlOjehb</v>
      </c>
      <c r="Y3642" s="77" t="s">
        <v>7468</v>
      </c>
      <c r="Z3642" s="77"/>
      <c r="AA3642" s="77"/>
      <c r="AB3642" s="77"/>
      <c r="AC3642" s="82" t="s">
        <v>10146</v>
      </c>
      <c r="AD3642" s="77" t="s">
        <v>10183</v>
      </c>
      <c r="AE3642" s="80" t="str">
        <f>HYPERLINK("https://twitter.com/amorim_divino/status/1624853513669935104")</f>
        <v>https://twitter.com/amorim_divino/status/1624853513669935104</v>
      </c>
      <c r="AF3642" s="79">
        <v>44969.812962962962</v>
      </c>
      <c r="AG3642" s="85">
        <v>44969</v>
      </c>
      <c r="AH3642" s="82" t="s">
        <v>13631</v>
      </c>
      <c r="AI3642" s="77" t="b">
        <v>1</v>
      </c>
      <c r="AJ3642" s="77"/>
      <c r="AK3642" s="77"/>
      <c r="AL3642" s="77"/>
      <c r="AM3642" s="77"/>
      <c r="AN3642" s="77"/>
      <c r="AO3642" s="77"/>
      <c r="AP3642" s="77"/>
      <c r="AQ3642" s="77"/>
      <c r="AR3642" s="77"/>
      <c r="AS3642" s="77"/>
      <c r="AT3642" s="77"/>
      <c r="AU3642" s="77"/>
      <c r="AV3642" s="80" t="str">
        <f>HYPERLINK("https://pbs.twimg.com/profile_images/1576867942536544256/mH6Xz2q7_normal.jpg")</f>
        <v>https://pbs.twimg.com/profile_images/1576867942536544256/mH6Xz2q7_normal.jpg</v>
      </c>
      <c r="AW3642" s="82" t="s">
        <v>20408</v>
      </c>
      <c r="AX3642" s="82" t="s">
        <v>20408</v>
      </c>
      <c r="AY3642" s="77"/>
      <c r="AZ3642" s="82" t="s">
        <v>20971</v>
      </c>
      <c r="BA3642" s="82" t="s">
        <v>20971</v>
      </c>
      <c r="BB3642" s="82" t="s">
        <v>20971</v>
      </c>
      <c r="BC3642" s="82" t="s">
        <v>20408</v>
      </c>
      <c r="BD3642" s="82" t="s">
        <v>21655</v>
      </c>
      <c r="BE3642" s="77"/>
      <c r="BF3642" s="77"/>
      <c r="BG3642" s="77"/>
      <c r="BH3642" s="77"/>
      <c r="BI3642" s="77"/>
    </row>
    <row r="3643" spans="1:61" x14ac:dyDescent="0.25">
      <c r="A3643" s="62" t="s">
        <v>1082</v>
      </c>
      <c r="B3643" s="62" t="s">
        <v>1082</v>
      </c>
      <c r="C3643" s="63"/>
      <c r="D3643" s="64"/>
      <c r="E3643" s="65"/>
      <c r="F3643" s="66"/>
      <c r="G3643" s="63"/>
      <c r="H3643" s="67"/>
      <c r="I3643" s="68"/>
      <c r="J3643" s="68"/>
      <c r="K3643" s="32"/>
      <c r="L3643" s="75">
        <v>3643</v>
      </c>
      <c r="M3643" s="75"/>
      <c r="N3643" s="70"/>
      <c r="O3643" s="77" t="s">
        <v>179</v>
      </c>
      <c r="P3643" s="79">
        <v>45024.01871527778</v>
      </c>
      <c r="Q3643" s="77" t="s">
        <v>4849</v>
      </c>
      <c r="R3643" s="77">
        <v>0</v>
      </c>
      <c r="S3643" s="77">
        <v>1</v>
      </c>
      <c r="T3643" s="77">
        <v>0</v>
      </c>
      <c r="U3643" s="77">
        <v>0</v>
      </c>
      <c r="V3643" s="77">
        <v>4</v>
      </c>
      <c r="W3643" s="82" t="s">
        <v>6912</v>
      </c>
      <c r="X3643" s="80" t="str">
        <f>HYPERLINK("https://www.instagram.com/reel/CqTFMibANx-/?igshid=MzA0OGM2MjU4Zg==")</f>
        <v>https://www.instagram.com/reel/CqTFMibANx-/?igshid=MzA0OGM2MjU4Zg==</v>
      </c>
      <c r="Y3643" s="77" t="s">
        <v>7250</v>
      </c>
      <c r="Z3643" s="77"/>
      <c r="AA3643" s="77"/>
      <c r="AB3643" s="77"/>
      <c r="AC3643" s="82" t="s">
        <v>10144</v>
      </c>
      <c r="AD3643" s="77" t="s">
        <v>10184</v>
      </c>
      <c r="AE3643" s="80" t="str">
        <f>HYPERLINK("https://twitter.com/tainara04763621/status/1644497020776853504")</f>
        <v>https://twitter.com/tainara04763621/status/1644497020776853504</v>
      </c>
      <c r="AF3643" s="79">
        <v>45024.01871527778</v>
      </c>
      <c r="AG3643" s="85">
        <v>45024</v>
      </c>
      <c r="AH3643" s="82" t="s">
        <v>13632</v>
      </c>
      <c r="AI3643" s="77" t="b">
        <v>0</v>
      </c>
      <c r="AJ3643" s="77"/>
      <c r="AK3643" s="77"/>
      <c r="AL3643" s="77"/>
      <c r="AM3643" s="77"/>
      <c r="AN3643" s="77"/>
      <c r="AO3643" s="77"/>
      <c r="AP3643" s="77"/>
      <c r="AQ3643" s="77"/>
      <c r="AR3643" s="77"/>
      <c r="AS3643" s="77"/>
      <c r="AT3643" s="77"/>
      <c r="AU3643" s="77"/>
      <c r="AV3643" s="80" t="str">
        <f>HYPERLINK("https://abs.twimg.com/sticky/default_profile_images/default_profile_normal.png")</f>
        <v>https://abs.twimg.com/sticky/default_profile_images/default_profile_normal.png</v>
      </c>
      <c r="AW3643" s="82" t="s">
        <v>20409</v>
      </c>
      <c r="AX3643" s="82" t="s">
        <v>20409</v>
      </c>
      <c r="AY3643" s="77"/>
      <c r="AZ3643" s="82" t="s">
        <v>20971</v>
      </c>
      <c r="BA3643" s="82" t="s">
        <v>20971</v>
      </c>
      <c r="BB3643" s="82" t="s">
        <v>20971</v>
      </c>
      <c r="BC3643" s="82" t="s">
        <v>20409</v>
      </c>
      <c r="BD3643" s="82" t="s">
        <v>21656</v>
      </c>
      <c r="BE3643" s="77"/>
      <c r="BF3643" s="77"/>
      <c r="BG3643" s="77"/>
      <c r="BH3643" s="77"/>
      <c r="BI3643" s="77"/>
    </row>
    <row r="3644" spans="1:61" x14ac:dyDescent="0.25">
      <c r="A3644" s="62" t="s">
        <v>1083</v>
      </c>
      <c r="B3644" s="62" t="s">
        <v>1083</v>
      </c>
      <c r="C3644" s="63"/>
      <c r="D3644" s="64"/>
      <c r="E3644" s="65"/>
      <c r="F3644" s="66"/>
      <c r="G3644" s="63"/>
      <c r="H3644" s="67"/>
      <c r="I3644" s="68"/>
      <c r="J3644" s="68"/>
      <c r="K3644" s="32"/>
      <c r="L3644" s="75">
        <v>3644</v>
      </c>
      <c r="M3644" s="75"/>
      <c r="N3644" s="70"/>
      <c r="O3644" s="77" t="s">
        <v>179</v>
      </c>
      <c r="P3644" s="79">
        <v>45137.689409722225</v>
      </c>
      <c r="Q3644" s="77" t="s">
        <v>4850</v>
      </c>
      <c r="R3644" s="77">
        <v>3</v>
      </c>
      <c r="S3644" s="77">
        <v>30</v>
      </c>
      <c r="T3644" s="77">
        <v>4</v>
      </c>
      <c r="U3644" s="77">
        <v>0</v>
      </c>
      <c r="V3644" s="77">
        <v>14541</v>
      </c>
      <c r="W3644" s="82" t="s">
        <v>6913</v>
      </c>
      <c r="X3644" s="77"/>
      <c r="Y3644" s="77"/>
      <c r="Z3644" s="77"/>
      <c r="AA3644" s="77" t="s">
        <v>9883</v>
      </c>
      <c r="AB3644" s="77" t="s">
        <v>10130</v>
      </c>
      <c r="AC3644" s="82" t="s">
        <v>10145</v>
      </c>
      <c r="AD3644" s="77" t="s">
        <v>10184</v>
      </c>
      <c r="AE3644" s="80" t="str">
        <f>HYPERLINK("https://twitter.com/dicadehoje7/status/1685689902162165760")</f>
        <v>https://twitter.com/dicadehoje7/status/1685689902162165760</v>
      </c>
      <c r="AF3644" s="79">
        <v>45137.689409722225</v>
      </c>
      <c r="AG3644" s="85">
        <v>45137</v>
      </c>
      <c r="AH3644" s="82" t="s">
        <v>13633</v>
      </c>
      <c r="AI3644" s="77" t="b">
        <v>0</v>
      </c>
      <c r="AJ3644" s="77"/>
      <c r="AK3644" s="77"/>
      <c r="AL3644" s="77"/>
      <c r="AM3644" s="77"/>
      <c r="AN3644" s="77"/>
      <c r="AO3644" s="77"/>
      <c r="AP3644" s="77"/>
      <c r="AQ3644" s="77" t="s">
        <v>16526</v>
      </c>
      <c r="AR3644" s="77"/>
      <c r="AS3644" s="77"/>
      <c r="AT3644" s="77"/>
      <c r="AU3644" s="77"/>
      <c r="AV3644" s="80" t="str">
        <f>HYPERLINK("https://pbs.twimg.com/media/F2TGCBnWAAEU0A_.jpg")</f>
        <v>https://pbs.twimg.com/media/F2TGCBnWAAEU0A_.jpg</v>
      </c>
      <c r="AW3644" s="82" t="s">
        <v>20410</v>
      </c>
      <c r="AX3644" s="82" t="s">
        <v>20410</v>
      </c>
      <c r="AY3644" s="77"/>
      <c r="AZ3644" s="82" t="s">
        <v>20971</v>
      </c>
      <c r="BA3644" s="82" t="s">
        <v>20971</v>
      </c>
      <c r="BB3644" s="82" t="s">
        <v>20971</v>
      </c>
      <c r="BC3644" s="82" t="s">
        <v>20410</v>
      </c>
      <c r="BD3644" s="82" t="s">
        <v>21657</v>
      </c>
      <c r="BE3644" s="77"/>
      <c r="BF3644" s="77"/>
      <c r="BG3644" s="77"/>
      <c r="BH3644" s="77"/>
      <c r="BI3644" s="77"/>
    </row>
    <row r="3645" spans="1:61" x14ac:dyDescent="0.25">
      <c r="A3645" s="62" t="s">
        <v>1084</v>
      </c>
      <c r="B3645" s="62" t="s">
        <v>1084</v>
      </c>
      <c r="C3645" s="63"/>
      <c r="D3645" s="64"/>
      <c r="E3645" s="65"/>
      <c r="F3645" s="66"/>
      <c r="G3645" s="63"/>
      <c r="H3645" s="67"/>
      <c r="I3645" s="68"/>
      <c r="J3645" s="68"/>
      <c r="K3645" s="32"/>
      <c r="L3645" s="75">
        <v>3645</v>
      </c>
      <c r="M3645" s="75"/>
      <c r="N3645" s="70"/>
      <c r="O3645" s="77" t="s">
        <v>179</v>
      </c>
      <c r="P3645" s="79">
        <v>45072.593321759261</v>
      </c>
      <c r="Q3645" s="77" t="s">
        <v>4851</v>
      </c>
      <c r="R3645" s="77">
        <v>0</v>
      </c>
      <c r="S3645" s="77">
        <v>1</v>
      </c>
      <c r="T3645" s="77">
        <v>0</v>
      </c>
      <c r="U3645" s="77">
        <v>0</v>
      </c>
      <c r="V3645" s="77">
        <v>135</v>
      </c>
      <c r="W3645" s="82" t="s">
        <v>6914</v>
      </c>
      <c r="X3645" s="77"/>
      <c r="Y3645" s="77"/>
      <c r="Z3645" s="77"/>
      <c r="AA3645" s="77" t="s">
        <v>9884</v>
      </c>
      <c r="AB3645" s="77" t="s">
        <v>10130</v>
      </c>
      <c r="AC3645" s="82" t="s">
        <v>10145</v>
      </c>
      <c r="AD3645" s="77" t="s">
        <v>10184</v>
      </c>
      <c r="AE3645" s="80" t="str">
        <f>HYPERLINK("https://twitter.com/si_luna_/status/1662099868842700801")</f>
        <v>https://twitter.com/si_luna_/status/1662099868842700801</v>
      </c>
      <c r="AF3645" s="79">
        <v>45072.593321759261</v>
      </c>
      <c r="AG3645" s="85">
        <v>45072</v>
      </c>
      <c r="AH3645" s="82" t="s">
        <v>13634</v>
      </c>
      <c r="AI3645" s="77" t="b">
        <v>0</v>
      </c>
      <c r="AJ3645" s="77"/>
      <c r="AK3645" s="77"/>
      <c r="AL3645" s="77"/>
      <c r="AM3645" s="77"/>
      <c r="AN3645" s="77"/>
      <c r="AO3645" s="77"/>
      <c r="AP3645" s="77"/>
      <c r="AQ3645" s="77" t="s">
        <v>16527</v>
      </c>
      <c r="AR3645" s="77"/>
      <c r="AS3645" s="77"/>
      <c r="AT3645" s="77"/>
      <c r="AU3645" s="77"/>
      <c r="AV3645" s="80" t="str">
        <f>HYPERLINK("https://pbs.twimg.com/media/FxD3BEjWAAA0DyN.jpg")</f>
        <v>https://pbs.twimg.com/media/FxD3BEjWAAA0DyN.jpg</v>
      </c>
      <c r="AW3645" s="82" t="s">
        <v>20411</v>
      </c>
      <c r="AX3645" s="82" t="s">
        <v>20411</v>
      </c>
      <c r="AY3645" s="77"/>
      <c r="AZ3645" s="82" t="s">
        <v>20971</v>
      </c>
      <c r="BA3645" s="82" t="s">
        <v>20971</v>
      </c>
      <c r="BB3645" s="82" t="s">
        <v>20971</v>
      </c>
      <c r="BC3645" s="82" t="s">
        <v>20411</v>
      </c>
      <c r="BD3645" s="82" t="s">
        <v>21658</v>
      </c>
      <c r="BE3645" s="77"/>
      <c r="BF3645" s="77"/>
      <c r="BG3645" s="77"/>
      <c r="BH3645" s="77"/>
      <c r="BI3645" s="77"/>
    </row>
    <row r="3646" spans="1:61" x14ac:dyDescent="0.25">
      <c r="A3646" s="62" t="s">
        <v>1085</v>
      </c>
      <c r="B3646" s="62" t="s">
        <v>1085</v>
      </c>
      <c r="C3646" s="63"/>
      <c r="D3646" s="64"/>
      <c r="E3646" s="65"/>
      <c r="F3646" s="66"/>
      <c r="G3646" s="63"/>
      <c r="H3646" s="67"/>
      <c r="I3646" s="68"/>
      <c r="J3646" s="68"/>
      <c r="K3646" s="32"/>
      <c r="L3646" s="75">
        <v>3646</v>
      </c>
      <c r="M3646" s="75"/>
      <c r="N3646" s="70"/>
      <c r="O3646" s="77" t="s">
        <v>179</v>
      </c>
      <c r="P3646" s="79">
        <v>45166.89025462963</v>
      </c>
      <c r="Q3646" s="77" t="s">
        <v>4852</v>
      </c>
      <c r="R3646" s="77">
        <v>0</v>
      </c>
      <c r="S3646" s="77">
        <v>1</v>
      </c>
      <c r="T3646" s="77">
        <v>0</v>
      </c>
      <c r="U3646" s="77">
        <v>0</v>
      </c>
      <c r="V3646" s="77">
        <v>141</v>
      </c>
      <c r="W3646" s="82" t="s">
        <v>6915</v>
      </c>
      <c r="X3646" s="77"/>
      <c r="Y3646" s="77"/>
      <c r="Z3646" s="77"/>
      <c r="AA3646" s="77" t="s">
        <v>9885</v>
      </c>
      <c r="AB3646" s="77" t="s">
        <v>10129</v>
      </c>
      <c r="AC3646" s="82" t="s">
        <v>10145</v>
      </c>
      <c r="AD3646" s="77" t="s">
        <v>10183</v>
      </c>
      <c r="AE3646" s="80" t="str">
        <f>HYPERLINK("https://twitter.com/arthurceo/status/1696271931324924117")</f>
        <v>https://twitter.com/arthurceo/status/1696271931324924117</v>
      </c>
      <c r="AF3646" s="79">
        <v>45166.89025462963</v>
      </c>
      <c r="AG3646" s="85">
        <v>45166</v>
      </c>
      <c r="AH3646" s="82" t="s">
        <v>13635</v>
      </c>
      <c r="AI3646" s="77" t="b">
        <v>0</v>
      </c>
      <c r="AJ3646" s="77"/>
      <c r="AK3646" s="77"/>
      <c r="AL3646" s="77"/>
      <c r="AM3646" s="77"/>
      <c r="AN3646" s="77"/>
      <c r="AO3646" s="77"/>
      <c r="AP3646" s="77"/>
      <c r="AQ3646" s="77" t="s">
        <v>16528</v>
      </c>
      <c r="AR3646" s="77">
        <v>135000</v>
      </c>
      <c r="AS3646" s="77"/>
      <c r="AT3646" s="77"/>
      <c r="AU3646" s="77"/>
      <c r="AV3646" s="80" t="str">
        <f>HYPERLINK("https://pbs.twimg.com/ext_tw_video_thumb/1696271278087553026/pu/img/SfL3Km2FaSW-6lJY.jpg")</f>
        <v>https://pbs.twimg.com/ext_tw_video_thumb/1696271278087553026/pu/img/SfL3Km2FaSW-6lJY.jpg</v>
      </c>
      <c r="AW3646" s="82" t="s">
        <v>20412</v>
      </c>
      <c r="AX3646" s="82" t="s">
        <v>20412</v>
      </c>
      <c r="AY3646" s="77"/>
      <c r="AZ3646" s="82" t="s">
        <v>20971</v>
      </c>
      <c r="BA3646" s="82" t="s">
        <v>20971</v>
      </c>
      <c r="BB3646" s="82" t="s">
        <v>20971</v>
      </c>
      <c r="BC3646" s="82" t="s">
        <v>20412</v>
      </c>
      <c r="BD3646" s="82" t="s">
        <v>21659</v>
      </c>
      <c r="BE3646" s="77"/>
      <c r="BF3646" s="77"/>
      <c r="BG3646" s="77"/>
      <c r="BH3646" s="77"/>
      <c r="BI3646" s="77"/>
    </row>
    <row r="3647" spans="1:61" x14ac:dyDescent="0.25">
      <c r="A3647" s="62" t="s">
        <v>1086</v>
      </c>
      <c r="B3647" s="62" t="s">
        <v>1086</v>
      </c>
      <c r="C3647" s="63"/>
      <c r="D3647" s="64"/>
      <c r="E3647" s="65"/>
      <c r="F3647" s="66"/>
      <c r="G3647" s="63"/>
      <c r="H3647" s="67"/>
      <c r="I3647" s="68"/>
      <c r="J3647" s="68"/>
      <c r="K3647" s="32"/>
      <c r="L3647" s="75">
        <v>3647</v>
      </c>
      <c r="M3647" s="75"/>
      <c r="N3647" s="70"/>
      <c r="O3647" s="77" t="s">
        <v>179</v>
      </c>
      <c r="P3647" s="79">
        <v>45020.015416666669</v>
      </c>
      <c r="Q3647" s="77" t="s">
        <v>4853</v>
      </c>
      <c r="R3647" s="77">
        <v>0</v>
      </c>
      <c r="S3647" s="77">
        <v>1</v>
      </c>
      <c r="T3647" s="77">
        <v>0</v>
      </c>
      <c r="U3647" s="77">
        <v>0</v>
      </c>
      <c r="V3647" s="77">
        <v>62</v>
      </c>
      <c r="W3647" s="82" t="s">
        <v>6916</v>
      </c>
      <c r="X3647" s="77"/>
      <c r="Y3647" s="77"/>
      <c r="Z3647" s="77"/>
      <c r="AA3647" s="77" t="s">
        <v>9886</v>
      </c>
      <c r="AB3647" s="77" t="s">
        <v>10129</v>
      </c>
      <c r="AC3647" s="82" t="s">
        <v>10144</v>
      </c>
      <c r="AD3647" s="77" t="s">
        <v>10183</v>
      </c>
      <c r="AE3647" s="80" t="str">
        <f>HYPERLINK("https://twitter.com/aliuwayu/status/1643046272612401154")</f>
        <v>https://twitter.com/aliuwayu/status/1643046272612401154</v>
      </c>
      <c r="AF3647" s="79">
        <v>45020.015416666669</v>
      </c>
      <c r="AG3647" s="85">
        <v>45020</v>
      </c>
      <c r="AH3647" s="82" t="s">
        <v>13636</v>
      </c>
      <c r="AI3647" s="77" t="b">
        <v>0</v>
      </c>
      <c r="AJ3647" s="77"/>
      <c r="AK3647" s="77"/>
      <c r="AL3647" s="77"/>
      <c r="AM3647" s="77"/>
      <c r="AN3647" s="77"/>
      <c r="AO3647" s="77"/>
      <c r="AP3647" s="77"/>
      <c r="AQ3647" s="77" t="s">
        <v>16529</v>
      </c>
      <c r="AR3647" s="77">
        <v>5033</v>
      </c>
      <c r="AS3647" s="77"/>
      <c r="AT3647" s="77"/>
      <c r="AU3647" s="77"/>
      <c r="AV3647" s="80" t="str">
        <f>HYPERLINK("https://pbs.twimg.com/ext_tw_video_thumb/1643046259370983427/pu/img/iuVfSMCWA7rNhnWT.jpg")</f>
        <v>https://pbs.twimg.com/ext_tw_video_thumb/1643046259370983427/pu/img/iuVfSMCWA7rNhnWT.jpg</v>
      </c>
      <c r="AW3647" s="82" t="s">
        <v>20413</v>
      </c>
      <c r="AX3647" s="82" t="s">
        <v>20413</v>
      </c>
      <c r="AY3647" s="77"/>
      <c r="AZ3647" s="82" t="s">
        <v>20971</v>
      </c>
      <c r="BA3647" s="82" t="s">
        <v>20971</v>
      </c>
      <c r="BB3647" s="82" t="s">
        <v>20971</v>
      </c>
      <c r="BC3647" s="82" t="s">
        <v>20413</v>
      </c>
      <c r="BD3647" s="82" t="s">
        <v>21660</v>
      </c>
      <c r="BE3647" s="77"/>
      <c r="BF3647" s="77"/>
      <c r="BG3647" s="77"/>
      <c r="BH3647" s="77"/>
      <c r="BI3647" s="77"/>
    </row>
    <row r="3648" spans="1:61" x14ac:dyDescent="0.25">
      <c r="A3648" s="62" t="s">
        <v>1086</v>
      </c>
      <c r="B3648" s="62" t="s">
        <v>1086</v>
      </c>
      <c r="C3648" s="63"/>
      <c r="D3648" s="64"/>
      <c r="E3648" s="65"/>
      <c r="F3648" s="66"/>
      <c r="G3648" s="63"/>
      <c r="H3648" s="67"/>
      <c r="I3648" s="68"/>
      <c r="J3648" s="68"/>
      <c r="K3648" s="32"/>
      <c r="L3648" s="75">
        <v>3648</v>
      </c>
      <c r="M3648" s="75"/>
      <c r="N3648" s="70"/>
      <c r="O3648" s="77" t="s">
        <v>179</v>
      </c>
      <c r="P3648" s="79">
        <v>45020.014317129629</v>
      </c>
      <c r="Q3648" s="77" t="s">
        <v>4854</v>
      </c>
      <c r="R3648" s="77">
        <v>0</v>
      </c>
      <c r="S3648" s="77">
        <v>1</v>
      </c>
      <c r="T3648" s="77">
        <v>0</v>
      </c>
      <c r="U3648" s="77">
        <v>0</v>
      </c>
      <c r="V3648" s="77">
        <v>47</v>
      </c>
      <c r="W3648" s="82" t="s">
        <v>6917</v>
      </c>
      <c r="X3648" s="77"/>
      <c r="Y3648" s="77"/>
      <c r="Z3648" s="77"/>
      <c r="AA3648" s="77" t="s">
        <v>9887</v>
      </c>
      <c r="AB3648" s="77" t="s">
        <v>10130</v>
      </c>
      <c r="AC3648" s="82" t="s">
        <v>10144</v>
      </c>
      <c r="AD3648" s="77" t="s">
        <v>10184</v>
      </c>
      <c r="AE3648" s="80" t="str">
        <f>HYPERLINK("https://twitter.com/aliuwayu/status/1643045875076431872")</f>
        <v>https://twitter.com/aliuwayu/status/1643045875076431872</v>
      </c>
      <c r="AF3648" s="79">
        <v>45020.014317129629</v>
      </c>
      <c r="AG3648" s="85">
        <v>45020</v>
      </c>
      <c r="AH3648" s="82" t="s">
        <v>13637</v>
      </c>
      <c r="AI3648" s="77" t="b">
        <v>0</v>
      </c>
      <c r="AJ3648" s="77"/>
      <c r="AK3648" s="77"/>
      <c r="AL3648" s="77"/>
      <c r="AM3648" s="77"/>
      <c r="AN3648" s="77"/>
      <c r="AO3648" s="77"/>
      <c r="AP3648" s="77"/>
      <c r="AQ3648" s="77" t="s">
        <v>16530</v>
      </c>
      <c r="AR3648" s="77"/>
      <c r="AS3648" s="77"/>
      <c r="AT3648" s="77"/>
      <c r="AU3648" s="77"/>
      <c r="AV3648" s="80" t="str">
        <f>HYPERLINK("https://pbs.twimg.com/media/Fs1FhBRX0AIQPii.jpg")</f>
        <v>https://pbs.twimg.com/media/Fs1FhBRX0AIQPii.jpg</v>
      </c>
      <c r="AW3648" s="82" t="s">
        <v>20414</v>
      </c>
      <c r="AX3648" s="82" t="s">
        <v>20414</v>
      </c>
      <c r="AY3648" s="77"/>
      <c r="AZ3648" s="82" t="s">
        <v>20971</v>
      </c>
      <c r="BA3648" s="82" t="s">
        <v>20971</v>
      </c>
      <c r="BB3648" s="82" t="s">
        <v>20971</v>
      </c>
      <c r="BC3648" s="82" t="s">
        <v>20414</v>
      </c>
      <c r="BD3648" s="82" t="s">
        <v>21660</v>
      </c>
      <c r="BE3648" s="77"/>
      <c r="BF3648" s="77"/>
      <c r="BG3648" s="77"/>
      <c r="BH3648" s="77"/>
      <c r="BI3648" s="77"/>
    </row>
    <row r="3649" spans="1:61" x14ac:dyDescent="0.25">
      <c r="A3649" s="62" t="s">
        <v>1086</v>
      </c>
      <c r="B3649" s="62" t="s">
        <v>1086</v>
      </c>
      <c r="C3649" s="63"/>
      <c r="D3649" s="64"/>
      <c r="E3649" s="65"/>
      <c r="F3649" s="66"/>
      <c r="G3649" s="63"/>
      <c r="H3649" s="67"/>
      <c r="I3649" s="68"/>
      <c r="J3649" s="68"/>
      <c r="K3649" s="32"/>
      <c r="L3649" s="75">
        <v>3649</v>
      </c>
      <c r="M3649" s="75"/>
      <c r="N3649" s="70"/>
      <c r="O3649" s="77" t="s">
        <v>179</v>
      </c>
      <c r="P3649" s="79">
        <v>45020.009212962963</v>
      </c>
      <c r="Q3649" s="77" t="s">
        <v>4855</v>
      </c>
      <c r="R3649" s="77">
        <v>0</v>
      </c>
      <c r="S3649" s="77">
        <v>1</v>
      </c>
      <c r="T3649" s="77">
        <v>0</v>
      </c>
      <c r="U3649" s="77">
        <v>0</v>
      </c>
      <c r="V3649" s="77">
        <v>23</v>
      </c>
      <c r="W3649" s="82" t="s">
        <v>5236</v>
      </c>
      <c r="X3649" s="77"/>
      <c r="Y3649" s="77"/>
      <c r="Z3649" s="77"/>
      <c r="AA3649" s="77" t="s">
        <v>9888</v>
      </c>
      <c r="AB3649" s="77" t="s">
        <v>10130</v>
      </c>
      <c r="AC3649" s="82" t="s">
        <v>10144</v>
      </c>
      <c r="AD3649" s="77" t="s">
        <v>10184</v>
      </c>
      <c r="AE3649" s="80" t="str">
        <f>HYPERLINK("https://twitter.com/aliuwayu/status/1643044024180195328")</f>
        <v>https://twitter.com/aliuwayu/status/1643044024180195328</v>
      </c>
      <c r="AF3649" s="79">
        <v>45020.009212962963</v>
      </c>
      <c r="AG3649" s="85">
        <v>45020</v>
      </c>
      <c r="AH3649" s="82" t="s">
        <v>13638</v>
      </c>
      <c r="AI3649" s="77" t="b">
        <v>0</v>
      </c>
      <c r="AJ3649" s="77"/>
      <c r="AK3649" s="77"/>
      <c r="AL3649" s="77"/>
      <c r="AM3649" s="77"/>
      <c r="AN3649" s="77"/>
      <c r="AO3649" s="77"/>
      <c r="AP3649" s="77"/>
      <c r="AQ3649" s="77" t="s">
        <v>16531</v>
      </c>
      <c r="AR3649" s="77"/>
      <c r="AS3649" s="77"/>
      <c r="AT3649" s="77"/>
      <c r="AU3649" s="77"/>
      <c r="AV3649" s="80" t="str">
        <f>HYPERLINK("https://pbs.twimg.com/media/Fs1D1SnWwAALJO4.jpg")</f>
        <v>https://pbs.twimg.com/media/Fs1D1SnWwAALJO4.jpg</v>
      </c>
      <c r="AW3649" s="82" t="s">
        <v>20415</v>
      </c>
      <c r="AX3649" s="82" t="s">
        <v>20415</v>
      </c>
      <c r="AY3649" s="77"/>
      <c r="AZ3649" s="82" t="s">
        <v>20971</v>
      </c>
      <c r="BA3649" s="82" t="s">
        <v>20971</v>
      </c>
      <c r="BB3649" s="82" t="s">
        <v>20971</v>
      </c>
      <c r="BC3649" s="82" t="s">
        <v>20415</v>
      </c>
      <c r="BD3649" s="82" t="s">
        <v>21660</v>
      </c>
      <c r="BE3649" s="77"/>
      <c r="BF3649" s="77"/>
      <c r="BG3649" s="77"/>
      <c r="BH3649" s="77"/>
      <c r="BI3649" s="77"/>
    </row>
    <row r="3650" spans="1:61" x14ac:dyDescent="0.25">
      <c r="A3650" s="62" t="s">
        <v>1087</v>
      </c>
      <c r="B3650" s="62" t="s">
        <v>1087</v>
      </c>
      <c r="C3650" s="63"/>
      <c r="D3650" s="64"/>
      <c r="E3650" s="65"/>
      <c r="F3650" s="66"/>
      <c r="G3650" s="63"/>
      <c r="H3650" s="67"/>
      <c r="I3650" s="68"/>
      <c r="J3650" s="68"/>
      <c r="K3650" s="32"/>
      <c r="L3650" s="75">
        <v>3650</v>
      </c>
      <c r="M3650" s="75"/>
      <c r="N3650" s="70"/>
      <c r="O3650" s="77" t="s">
        <v>179</v>
      </c>
      <c r="P3650" s="79">
        <v>45034.714270833334</v>
      </c>
      <c r="Q3650" s="77" t="s">
        <v>4856</v>
      </c>
      <c r="R3650" s="77">
        <v>0</v>
      </c>
      <c r="S3650" s="77">
        <v>0</v>
      </c>
      <c r="T3650" s="77">
        <v>1</v>
      </c>
      <c r="U3650" s="77">
        <v>0</v>
      </c>
      <c r="V3650" s="77">
        <v>345</v>
      </c>
      <c r="W3650" s="82" t="s">
        <v>6918</v>
      </c>
      <c r="X3650" s="80" t="str">
        <f>HYPERLINK("https://youtu.be/-mcdZ46jGfk")</f>
        <v>https://youtu.be/-mcdZ46jGfk</v>
      </c>
      <c r="Y3650" s="77" t="s">
        <v>7248</v>
      </c>
      <c r="Z3650" s="77"/>
      <c r="AA3650" s="77"/>
      <c r="AB3650" s="77"/>
      <c r="AC3650" s="82" t="s">
        <v>10144</v>
      </c>
      <c r="AD3650" s="77" t="s">
        <v>10184</v>
      </c>
      <c r="AE3650" s="80" t="str">
        <f>HYPERLINK("https://twitter.com/filipeveiga1992/status/1648372958409244696")</f>
        <v>https://twitter.com/filipeveiga1992/status/1648372958409244696</v>
      </c>
      <c r="AF3650" s="79">
        <v>45034.714270833334</v>
      </c>
      <c r="AG3650" s="85">
        <v>45034</v>
      </c>
      <c r="AH3650" s="82" t="s">
        <v>13639</v>
      </c>
      <c r="AI3650" s="77" t="b">
        <v>0</v>
      </c>
      <c r="AJ3650" s="77"/>
      <c r="AK3650" s="77"/>
      <c r="AL3650" s="77"/>
      <c r="AM3650" s="77"/>
      <c r="AN3650" s="77"/>
      <c r="AO3650" s="77"/>
      <c r="AP3650" s="77"/>
      <c r="AQ3650" s="77"/>
      <c r="AR3650" s="77"/>
      <c r="AS3650" s="77"/>
      <c r="AT3650" s="77"/>
      <c r="AU3650" s="77"/>
      <c r="AV3650" s="80" t="str">
        <f>HYPERLINK("https://pbs.twimg.com/profile_images/1237470144349310976/gwofr6dr_normal.jpg")</f>
        <v>https://pbs.twimg.com/profile_images/1237470144349310976/gwofr6dr_normal.jpg</v>
      </c>
      <c r="AW3650" s="82" t="s">
        <v>20416</v>
      </c>
      <c r="AX3650" s="82" t="s">
        <v>20416</v>
      </c>
      <c r="AY3650" s="77"/>
      <c r="AZ3650" s="82" t="s">
        <v>20971</v>
      </c>
      <c r="BA3650" s="82" t="s">
        <v>20971</v>
      </c>
      <c r="BB3650" s="82" t="s">
        <v>20971</v>
      </c>
      <c r="BC3650" s="82" t="s">
        <v>20416</v>
      </c>
      <c r="BD3650" s="77">
        <v>3174267771</v>
      </c>
      <c r="BE3650" s="77"/>
      <c r="BF3650" s="77"/>
      <c r="BG3650" s="77"/>
      <c r="BH3650" s="77"/>
      <c r="BI3650" s="77"/>
    </row>
    <row r="3651" spans="1:61" x14ac:dyDescent="0.25">
      <c r="A3651" s="62" t="s">
        <v>1088</v>
      </c>
      <c r="B3651" s="62" t="s">
        <v>1088</v>
      </c>
      <c r="C3651" s="63"/>
      <c r="D3651" s="64"/>
      <c r="E3651" s="65"/>
      <c r="F3651" s="66"/>
      <c r="G3651" s="63"/>
      <c r="H3651" s="67"/>
      <c r="I3651" s="68"/>
      <c r="J3651" s="68"/>
      <c r="K3651" s="32"/>
      <c r="L3651" s="75">
        <v>3651</v>
      </c>
      <c r="M3651" s="75"/>
      <c r="N3651" s="70"/>
      <c r="O3651" s="77" t="s">
        <v>179</v>
      </c>
      <c r="P3651" s="79">
        <v>45174.682534722226</v>
      </c>
      <c r="Q3651" s="77" t="s">
        <v>4857</v>
      </c>
      <c r="R3651" s="77">
        <v>0</v>
      </c>
      <c r="S3651" s="77">
        <v>1</v>
      </c>
      <c r="T3651" s="77">
        <v>0</v>
      </c>
      <c r="U3651" s="77">
        <v>0</v>
      </c>
      <c r="V3651" s="77">
        <v>39</v>
      </c>
      <c r="W3651" s="82" t="s">
        <v>6919</v>
      </c>
      <c r="X3651" s="80" t="str">
        <f>HYPERLINK("https://www.basicosstore.com.br/p/contador-home-office.html")</f>
        <v>https://www.basicosstore.com.br/p/contador-home-office.html</v>
      </c>
      <c r="Y3651" s="77" t="s">
        <v>7252</v>
      </c>
      <c r="Z3651" s="77"/>
      <c r="AA3651" s="77" t="s">
        <v>9889</v>
      </c>
      <c r="AB3651" s="77" t="s">
        <v>10129</v>
      </c>
      <c r="AC3651" s="82" t="s">
        <v>10146</v>
      </c>
      <c r="AD3651" s="77" t="s">
        <v>10184</v>
      </c>
      <c r="AE3651" s="80" t="str">
        <f>HYPERLINK("https://twitter.com/divulgabasicos/status/1699095760908824694")</f>
        <v>https://twitter.com/divulgabasicos/status/1699095760908824694</v>
      </c>
      <c r="AF3651" s="79">
        <v>45174.682534722226</v>
      </c>
      <c r="AG3651" s="85">
        <v>45174</v>
      </c>
      <c r="AH3651" s="82" t="s">
        <v>13640</v>
      </c>
      <c r="AI3651" s="77" t="b">
        <v>0</v>
      </c>
      <c r="AJ3651" s="77"/>
      <c r="AK3651" s="77"/>
      <c r="AL3651" s="77"/>
      <c r="AM3651" s="77"/>
      <c r="AN3651" s="77"/>
      <c r="AO3651" s="77"/>
      <c r="AP3651" s="77"/>
      <c r="AQ3651" s="77" t="s">
        <v>16532</v>
      </c>
      <c r="AR3651" s="77">
        <v>5733</v>
      </c>
      <c r="AS3651" s="77"/>
      <c r="AT3651" s="77"/>
      <c r="AU3651" s="77"/>
      <c r="AV3651" s="80" t="str">
        <f>HYPERLINK("https://pbs.twimg.com/ext_tw_video_thumb/1699093143134633984/pu/img/3t_cA4459wZU0x0E.jpg")</f>
        <v>https://pbs.twimg.com/ext_tw_video_thumb/1699093143134633984/pu/img/3t_cA4459wZU0x0E.jpg</v>
      </c>
      <c r="AW3651" s="82" t="s">
        <v>20417</v>
      </c>
      <c r="AX3651" s="82" t="s">
        <v>20417</v>
      </c>
      <c r="AY3651" s="77"/>
      <c r="AZ3651" s="82" t="s">
        <v>20971</v>
      </c>
      <c r="BA3651" s="82" t="s">
        <v>20971</v>
      </c>
      <c r="BB3651" s="82" t="s">
        <v>20971</v>
      </c>
      <c r="BC3651" s="82" t="s">
        <v>20417</v>
      </c>
      <c r="BD3651" s="82" t="s">
        <v>21661</v>
      </c>
      <c r="BE3651" s="77"/>
      <c r="BF3651" s="77"/>
      <c r="BG3651" s="77"/>
      <c r="BH3651" s="77"/>
      <c r="BI3651" s="77"/>
    </row>
    <row r="3652" spans="1:61" x14ac:dyDescent="0.25">
      <c r="A3652" s="62" t="s">
        <v>1089</v>
      </c>
      <c r="B3652" s="62" t="s">
        <v>1089</v>
      </c>
      <c r="C3652" s="63"/>
      <c r="D3652" s="64"/>
      <c r="E3652" s="65"/>
      <c r="F3652" s="66"/>
      <c r="G3652" s="63"/>
      <c r="H3652" s="67"/>
      <c r="I3652" s="68"/>
      <c r="J3652" s="68"/>
      <c r="K3652" s="32"/>
      <c r="L3652" s="75">
        <v>3652</v>
      </c>
      <c r="M3652" s="75"/>
      <c r="N3652" s="70"/>
      <c r="O3652" s="77" t="s">
        <v>179</v>
      </c>
      <c r="P3652" s="79">
        <v>45156.068287037036</v>
      </c>
      <c r="Q3652" s="77" t="s">
        <v>4858</v>
      </c>
      <c r="R3652" s="77">
        <v>0</v>
      </c>
      <c r="S3652" s="77">
        <v>0</v>
      </c>
      <c r="T3652" s="77">
        <v>0</v>
      </c>
      <c r="U3652" s="77">
        <v>0</v>
      </c>
      <c r="V3652" s="77">
        <v>14</v>
      </c>
      <c r="W3652" s="82" t="s">
        <v>6920</v>
      </c>
      <c r="X3652" s="77"/>
      <c r="Y3652" s="77"/>
      <c r="Z3652" s="77"/>
      <c r="AA3652" s="77" t="s">
        <v>9890</v>
      </c>
      <c r="AB3652" s="77" t="s">
        <v>10130</v>
      </c>
      <c r="AC3652" s="82" t="s">
        <v>10144</v>
      </c>
      <c r="AD3652" s="77" t="s">
        <v>10184</v>
      </c>
      <c r="AE3652" s="80" t="str">
        <f>HYPERLINK("https://twitter.com/michaelgodoy/status/1692350184334741734")</f>
        <v>https://twitter.com/michaelgodoy/status/1692350184334741734</v>
      </c>
      <c r="AF3652" s="79">
        <v>45156.068287037036</v>
      </c>
      <c r="AG3652" s="85">
        <v>45156</v>
      </c>
      <c r="AH3652" s="82" t="s">
        <v>13641</v>
      </c>
      <c r="AI3652" s="77" t="b">
        <v>0</v>
      </c>
      <c r="AJ3652" s="77"/>
      <c r="AK3652" s="77"/>
      <c r="AL3652" s="77"/>
      <c r="AM3652" s="77"/>
      <c r="AN3652" s="77"/>
      <c r="AO3652" s="77"/>
      <c r="AP3652" s="77"/>
      <c r="AQ3652" s="77" t="s">
        <v>16533</v>
      </c>
      <c r="AR3652" s="77"/>
      <c r="AS3652" s="77"/>
      <c r="AT3652" s="77"/>
      <c r="AU3652" s="77"/>
      <c r="AV3652" s="80" t="str">
        <f>HYPERLINK("https://pbs.twimg.com/media/F3xvhisW4AAlUTb.jpg")</f>
        <v>https://pbs.twimg.com/media/F3xvhisW4AAlUTb.jpg</v>
      </c>
      <c r="AW3652" s="82" t="s">
        <v>20418</v>
      </c>
      <c r="AX3652" s="82" t="s">
        <v>20418</v>
      </c>
      <c r="AY3652" s="77"/>
      <c r="AZ3652" s="82" t="s">
        <v>20971</v>
      </c>
      <c r="BA3652" s="82" t="s">
        <v>20971</v>
      </c>
      <c r="BB3652" s="82" t="s">
        <v>20971</v>
      </c>
      <c r="BC3652" s="82" t="s">
        <v>20418</v>
      </c>
      <c r="BD3652" s="77">
        <v>269591829</v>
      </c>
      <c r="BE3652" s="77"/>
      <c r="BF3652" s="77"/>
      <c r="BG3652" s="77"/>
      <c r="BH3652" s="77"/>
      <c r="BI3652" s="77"/>
    </row>
    <row r="3653" spans="1:61" x14ac:dyDescent="0.25">
      <c r="A3653" s="62" t="s">
        <v>1090</v>
      </c>
      <c r="B3653" s="62" t="s">
        <v>1090</v>
      </c>
      <c r="C3653" s="63"/>
      <c r="D3653" s="64"/>
      <c r="E3653" s="65"/>
      <c r="F3653" s="66"/>
      <c r="G3653" s="63"/>
      <c r="H3653" s="67"/>
      <c r="I3653" s="68"/>
      <c r="J3653" s="68"/>
      <c r="K3653" s="32"/>
      <c r="L3653" s="75">
        <v>3653</v>
      </c>
      <c r="M3653" s="75"/>
      <c r="N3653" s="70"/>
      <c r="O3653" s="77" t="s">
        <v>179</v>
      </c>
      <c r="P3653" s="79">
        <v>45186.796435185184</v>
      </c>
      <c r="Q3653" s="77" t="s">
        <v>4859</v>
      </c>
      <c r="R3653" s="77">
        <v>0</v>
      </c>
      <c r="S3653" s="77">
        <v>0</v>
      </c>
      <c r="T3653" s="77">
        <v>1</v>
      </c>
      <c r="U3653" s="77">
        <v>0</v>
      </c>
      <c r="V3653" s="77">
        <v>202</v>
      </c>
      <c r="W3653" s="82" t="s">
        <v>6921</v>
      </c>
      <c r="X3653" s="80" t="str">
        <f>HYPERLINK("https://m.fineslotsbet.com/?gfs=fnns3r64")</f>
        <v>https://m.fineslotsbet.com/?gfs=fnns3r64</v>
      </c>
      <c r="Y3653" s="77" t="s">
        <v>7469</v>
      </c>
      <c r="Z3653" s="77"/>
      <c r="AA3653" s="77"/>
      <c r="AB3653" s="77"/>
      <c r="AC3653" s="82" t="s">
        <v>10144</v>
      </c>
      <c r="AD3653" s="77" t="s">
        <v>10184</v>
      </c>
      <c r="AE3653" s="80" t="str">
        <f>HYPERLINK("https://twitter.com/air_rocha/status/1703485690447552647")</f>
        <v>https://twitter.com/air_rocha/status/1703485690447552647</v>
      </c>
      <c r="AF3653" s="79">
        <v>45186.796435185184</v>
      </c>
      <c r="AG3653" s="85">
        <v>45186</v>
      </c>
      <c r="AH3653" s="82" t="s">
        <v>13642</v>
      </c>
      <c r="AI3653" s="77" t="b">
        <v>0</v>
      </c>
      <c r="AJ3653" s="77"/>
      <c r="AK3653" s="77"/>
      <c r="AL3653" s="77"/>
      <c r="AM3653" s="77"/>
      <c r="AN3653" s="77"/>
      <c r="AO3653" s="77"/>
      <c r="AP3653" s="77"/>
      <c r="AQ3653" s="77"/>
      <c r="AR3653" s="77"/>
      <c r="AS3653" s="77"/>
      <c r="AT3653" s="77"/>
      <c r="AU3653" s="77"/>
      <c r="AV3653" s="80" t="str">
        <f>HYPERLINK("https://pbs.twimg.com/profile_images/1671232583709892609/nbNLComo_normal.jpg")</f>
        <v>https://pbs.twimg.com/profile_images/1671232583709892609/nbNLComo_normal.jpg</v>
      </c>
      <c r="AW3653" s="82" t="s">
        <v>20419</v>
      </c>
      <c r="AX3653" s="82" t="s">
        <v>20419</v>
      </c>
      <c r="AY3653" s="77"/>
      <c r="AZ3653" s="82" t="s">
        <v>20971</v>
      </c>
      <c r="BA3653" s="82" t="s">
        <v>20971</v>
      </c>
      <c r="BB3653" s="82" t="s">
        <v>20971</v>
      </c>
      <c r="BC3653" s="82" t="s">
        <v>20419</v>
      </c>
      <c r="BD3653" s="77">
        <v>825690463</v>
      </c>
      <c r="BE3653" s="77"/>
      <c r="BF3653" s="77"/>
      <c r="BG3653" s="77"/>
      <c r="BH3653" s="77"/>
      <c r="BI3653" s="77"/>
    </row>
    <row r="3654" spans="1:61" x14ac:dyDescent="0.25">
      <c r="A3654" s="62" t="s">
        <v>1091</v>
      </c>
      <c r="B3654" s="62" t="s">
        <v>1091</v>
      </c>
      <c r="C3654" s="63"/>
      <c r="D3654" s="64"/>
      <c r="E3654" s="65"/>
      <c r="F3654" s="66"/>
      <c r="G3654" s="63"/>
      <c r="H3654" s="67"/>
      <c r="I3654" s="68"/>
      <c r="J3654" s="68"/>
      <c r="K3654" s="32"/>
      <c r="L3654" s="75">
        <v>3654</v>
      </c>
      <c r="M3654" s="75"/>
      <c r="N3654" s="70"/>
      <c r="O3654" s="77" t="s">
        <v>179</v>
      </c>
      <c r="P3654" s="79">
        <v>45114.774918981479</v>
      </c>
      <c r="Q3654" s="77" t="s">
        <v>4860</v>
      </c>
      <c r="R3654" s="77">
        <v>0</v>
      </c>
      <c r="S3654" s="77">
        <v>0</v>
      </c>
      <c r="T3654" s="77">
        <v>0</v>
      </c>
      <c r="U3654" s="77">
        <v>0</v>
      </c>
      <c r="V3654" s="77">
        <v>10</v>
      </c>
      <c r="W3654" s="82" t="s">
        <v>6922</v>
      </c>
      <c r="X3654" s="77"/>
      <c r="Y3654" s="77"/>
      <c r="Z3654" s="77"/>
      <c r="AA3654" s="77"/>
      <c r="AB3654" s="77"/>
      <c r="AC3654" s="82" t="s">
        <v>10146</v>
      </c>
      <c r="AD3654" s="77" t="s">
        <v>10184</v>
      </c>
      <c r="AE3654" s="80" t="str">
        <f>HYPERLINK("https://twitter.com/zanettijeff/status/1677385965462257666")</f>
        <v>https://twitter.com/zanettijeff/status/1677385965462257666</v>
      </c>
      <c r="AF3654" s="79">
        <v>45114.774918981479</v>
      </c>
      <c r="AG3654" s="85">
        <v>45114</v>
      </c>
      <c r="AH3654" s="82" t="s">
        <v>13643</v>
      </c>
      <c r="AI3654" s="77"/>
      <c r="AJ3654" s="77"/>
      <c r="AK3654" s="77"/>
      <c r="AL3654" s="77"/>
      <c r="AM3654" s="77"/>
      <c r="AN3654" s="77"/>
      <c r="AO3654" s="77"/>
      <c r="AP3654" s="77"/>
      <c r="AQ3654" s="77"/>
      <c r="AR3654" s="77"/>
      <c r="AS3654" s="77"/>
      <c r="AT3654" s="77"/>
      <c r="AU3654" s="77"/>
      <c r="AV3654" s="80" t="str">
        <f>HYPERLINK("https://pbs.twimg.com/profile_images/1426399737230548992/1ZC_M2BK_normal.jpg")</f>
        <v>https://pbs.twimg.com/profile_images/1426399737230548992/1ZC_M2BK_normal.jpg</v>
      </c>
      <c r="AW3654" s="82" t="s">
        <v>20420</v>
      </c>
      <c r="AX3654" s="82" t="s">
        <v>20420</v>
      </c>
      <c r="AY3654" s="77"/>
      <c r="AZ3654" s="82" t="s">
        <v>20971</v>
      </c>
      <c r="BA3654" s="82" t="s">
        <v>20971</v>
      </c>
      <c r="BB3654" s="82" t="s">
        <v>20971</v>
      </c>
      <c r="BC3654" s="82" t="s">
        <v>20420</v>
      </c>
      <c r="BD3654" s="82" t="s">
        <v>21662</v>
      </c>
      <c r="BE3654" s="77"/>
      <c r="BF3654" s="77"/>
      <c r="BG3654" s="77"/>
      <c r="BH3654" s="77"/>
      <c r="BI3654" s="77"/>
    </row>
    <row r="3655" spans="1:61" x14ac:dyDescent="0.25">
      <c r="A3655" s="62" t="s">
        <v>1091</v>
      </c>
      <c r="B3655" s="62" t="s">
        <v>1091</v>
      </c>
      <c r="C3655" s="63"/>
      <c r="D3655" s="64"/>
      <c r="E3655" s="65"/>
      <c r="F3655" s="66"/>
      <c r="G3655" s="63"/>
      <c r="H3655" s="67"/>
      <c r="I3655" s="68"/>
      <c r="J3655" s="68"/>
      <c r="K3655" s="32"/>
      <c r="L3655" s="75">
        <v>3655</v>
      </c>
      <c r="M3655" s="75"/>
      <c r="N3655" s="70"/>
      <c r="O3655" s="77" t="s">
        <v>179</v>
      </c>
      <c r="P3655" s="79">
        <v>45114.774386574078</v>
      </c>
      <c r="Q3655" s="77" t="s">
        <v>4861</v>
      </c>
      <c r="R3655" s="77">
        <v>0</v>
      </c>
      <c r="S3655" s="77">
        <v>0</v>
      </c>
      <c r="T3655" s="77">
        <v>0</v>
      </c>
      <c r="U3655" s="77">
        <v>0</v>
      </c>
      <c r="V3655" s="77">
        <v>11</v>
      </c>
      <c r="W3655" s="82" t="s">
        <v>6922</v>
      </c>
      <c r="X3655" s="77"/>
      <c r="Y3655" s="77"/>
      <c r="Z3655" s="77"/>
      <c r="AA3655" s="77"/>
      <c r="AB3655" s="77"/>
      <c r="AC3655" s="82" t="s">
        <v>10146</v>
      </c>
      <c r="AD3655" s="77" t="s">
        <v>10184</v>
      </c>
      <c r="AE3655" s="80" t="str">
        <f>HYPERLINK("https://twitter.com/zanettijeff/status/1677385772230488064")</f>
        <v>https://twitter.com/zanettijeff/status/1677385772230488064</v>
      </c>
      <c r="AF3655" s="79">
        <v>45114.774386574078</v>
      </c>
      <c r="AG3655" s="85">
        <v>45114</v>
      </c>
      <c r="AH3655" s="82" t="s">
        <v>13644</v>
      </c>
      <c r="AI3655" s="77"/>
      <c r="AJ3655" s="77"/>
      <c r="AK3655" s="77"/>
      <c r="AL3655" s="77"/>
      <c r="AM3655" s="77"/>
      <c r="AN3655" s="77"/>
      <c r="AO3655" s="77"/>
      <c r="AP3655" s="77"/>
      <c r="AQ3655" s="77"/>
      <c r="AR3655" s="77"/>
      <c r="AS3655" s="77"/>
      <c r="AT3655" s="77"/>
      <c r="AU3655" s="77"/>
      <c r="AV3655" s="80" t="str">
        <f>HYPERLINK("https://pbs.twimg.com/profile_images/1426399737230548992/1ZC_M2BK_normal.jpg")</f>
        <v>https://pbs.twimg.com/profile_images/1426399737230548992/1ZC_M2BK_normal.jpg</v>
      </c>
      <c r="AW3655" s="82" t="s">
        <v>20421</v>
      </c>
      <c r="AX3655" s="82" t="s">
        <v>20421</v>
      </c>
      <c r="AY3655" s="77"/>
      <c r="AZ3655" s="82" t="s">
        <v>20971</v>
      </c>
      <c r="BA3655" s="82" t="s">
        <v>20971</v>
      </c>
      <c r="BB3655" s="82" t="s">
        <v>20971</v>
      </c>
      <c r="BC3655" s="82" t="s">
        <v>20421</v>
      </c>
      <c r="BD3655" s="82" t="s">
        <v>21662</v>
      </c>
      <c r="BE3655" s="77"/>
      <c r="BF3655" s="77"/>
      <c r="BG3655" s="77"/>
      <c r="BH3655" s="77"/>
      <c r="BI3655" s="77"/>
    </row>
    <row r="3656" spans="1:61" x14ac:dyDescent="0.25">
      <c r="A3656" s="62" t="s">
        <v>1092</v>
      </c>
      <c r="B3656" s="62" t="s">
        <v>1272</v>
      </c>
      <c r="C3656" s="63"/>
      <c r="D3656" s="64"/>
      <c r="E3656" s="65"/>
      <c r="F3656" s="66"/>
      <c r="G3656" s="63"/>
      <c r="H3656" s="67"/>
      <c r="I3656" s="68"/>
      <c r="J3656" s="68"/>
      <c r="K3656" s="32"/>
      <c r="L3656" s="75">
        <v>3656</v>
      </c>
      <c r="M3656" s="75"/>
      <c r="N3656" s="70"/>
      <c r="O3656" s="77" t="s">
        <v>1284</v>
      </c>
      <c r="P3656" s="79">
        <v>45085.962222222224</v>
      </c>
      <c r="Q3656" s="77" t="s">
        <v>4862</v>
      </c>
      <c r="R3656" s="77">
        <v>0</v>
      </c>
      <c r="S3656" s="77">
        <v>0</v>
      </c>
      <c r="T3656" s="77">
        <v>0</v>
      </c>
      <c r="U3656" s="77">
        <v>0</v>
      </c>
      <c r="V3656" s="77">
        <v>40</v>
      </c>
      <c r="W3656" s="82" t="s">
        <v>5236</v>
      </c>
      <c r="X3656" s="77"/>
      <c r="Y3656" s="77"/>
      <c r="Z3656" s="77" t="s">
        <v>1272</v>
      </c>
      <c r="AA3656" s="77"/>
      <c r="AB3656" s="77"/>
      <c r="AC3656" s="82" t="s">
        <v>10146</v>
      </c>
      <c r="AD3656" s="77" t="s">
        <v>10183</v>
      </c>
      <c r="AE3656" s="80" t="str">
        <f>HYPERLINK("https://twitter.com/binx_0101/status/1666944596872445952")</f>
        <v>https://twitter.com/binx_0101/status/1666944596872445952</v>
      </c>
      <c r="AF3656" s="79">
        <v>45085.962222222224</v>
      </c>
      <c r="AG3656" s="85">
        <v>45085</v>
      </c>
      <c r="AH3656" s="82" t="s">
        <v>13645</v>
      </c>
      <c r="AI3656" s="77"/>
      <c r="AJ3656" s="77"/>
      <c r="AK3656" s="77"/>
      <c r="AL3656" s="77"/>
      <c r="AM3656" s="77"/>
      <c r="AN3656" s="77"/>
      <c r="AO3656" s="77"/>
      <c r="AP3656" s="77"/>
      <c r="AQ3656" s="77"/>
      <c r="AR3656" s="77"/>
      <c r="AS3656" s="77"/>
      <c r="AT3656" s="77"/>
      <c r="AU3656" s="77"/>
      <c r="AV3656" s="80" t="str">
        <f>HYPERLINK("https://pbs.twimg.com/profile_images/1663297438252146689/5UywxchL_normal.jpg")</f>
        <v>https://pbs.twimg.com/profile_images/1663297438252146689/5UywxchL_normal.jpg</v>
      </c>
      <c r="AW3656" s="82" t="s">
        <v>20422</v>
      </c>
      <c r="AX3656" s="82" t="s">
        <v>20883</v>
      </c>
      <c r="AY3656" s="82" t="s">
        <v>20964</v>
      </c>
      <c r="AZ3656" s="82" t="s">
        <v>20883</v>
      </c>
      <c r="BA3656" s="82" t="s">
        <v>20971</v>
      </c>
      <c r="BB3656" s="82" t="s">
        <v>20971</v>
      </c>
      <c r="BC3656" s="82" t="s">
        <v>20883</v>
      </c>
      <c r="BD3656" s="82" t="s">
        <v>21663</v>
      </c>
      <c r="BE3656" s="77"/>
      <c r="BF3656" s="77"/>
      <c r="BG3656" s="77"/>
      <c r="BH3656" s="77"/>
      <c r="BI3656" s="77"/>
    </row>
    <row r="3657" spans="1:61" x14ac:dyDescent="0.25">
      <c r="A3657" s="62" t="s">
        <v>1093</v>
      </c>
      <c r="B3657" s="62" t="s">
        <v>1093</v>
      </c>
      <c r="C3657" s="63"/>
      <c r="D3657" s="64"/>
      <c r="E3657" s="65"/>
      <c r="F3657" s="66"/>
      <c r="G3657" s="63"/>
      <c r="H3657" s="67"/>
      <c r="I3657" s="68"/>
      <c r="J3657" s="68"/>
      <c r="K3657" s="32"/>
      <c r="L3657" s="75">
        <v>3657</v>
      </c>
      <c r="M3657" s="75"/>
      <c r="N3657" s="70"/>
      <c r="O3657" s="77" t="s">
        <v>179</v>
      </c>
      <c r="P3657" s="79">
        <v>44979.785798611112</v>
      </c>
      <c r="Q3657" s="77" t="s">
        <v>4863</v>
      </c>
      <c r="R3657" s="77">
        <v>0</v>
      </c>
      <c r="S3657" s="77">
        <v>0</v>
      </c>
      <c r="T3657" s="77">
        <v>0</v>
      </c>
      <c r="U3657" s="77">
        <v>0</v>
      </c>
      <c r="V3657" s="77">
        <v>18</v>
      </c>
      <c r="W3657" s="82" t="s">
        <v>6923</v>
      </c>
      <c r="X3657" s="80" t="str">
        <f>HYPERLINK("https://app.respondent.io/projects/view/63f64da1cc8fa751d6cbe2b4/conversa-sobre-cuidado-com-a-saude?referralCode=dervaldofilho-6088241b42c2")</f>
        <v>https://app.respondent.io/projects/view/63f64da1cc8fa751d6cbe2b4/conversa-sobre-cuidado-com-a-saude?referralCode=dervaldofilho-6088241b42c2</v>
      </c>
      <c r="Y3657" s="77" t="s">
        <v>7470</v>
      </c>
      <c r="Z3657" s="77"/>
      <c r="AA3657" s="77"/>
      <c r="AB3657" s="77"/>
      <c r="AC3657" s="82" t="s">
        <v>10146</v>
      </c>
      <c r="AD3657" s="77" t="s">
        <v>10184</v>
      </c>
      <c r="AE3657" s="80" t="str">
        <f>HYPERLINK("https://twitter.com/sendascontato/status/1628467546344095745")</f>
        <v>https://twitter.com/sendascontato/status/1628467546344095745</v>
      </c>
      <c r="AF3657" s="79">
        <v>44979.785798611112</v>
      </c>
      <c r="AG3657" s="85">
        <v>44979</v>
      </c>
      <c r="AH3657" s="82" t="s">
        <v>13646</v>
      </c>
      <c r="AI3657" s="77" t="b">
        <v>0</v>
      </c>
      <c r="AJ3657" s="77"/>
      <c r="AK3657" s="77"/>
      <c r="AL3657" s="77"/>
      <c r="AM3657" s="77"/>
      <c r="AN3657" s="77"/>
      <c r="AO3657" s="77"/>
      <c r="AP3657" s="77"/>
      <c r="AQ3657" s="77"/>
      <c r="AR3657" s="77"/>
      <c r="AS3657" s="77"/>
      <c r="AT3657" s="77"/>
      <c r="AU3657" s="77"/>
      <c r="AV3657" s="80" t="str">
        <f>HYPERLINK("https://pbs.twimg.com/profile_images/888489338069274624/Y8E8faiN_normal.jpg")</f>
        <v>https://pbs.twimg.com/profile_images/888489338069274624/Y8E8faiN_normal.jpg</v>
      </c>
      <c r="AW3657" s="82" t="s">
        <v>20423</v>
      </c>
      <c r="AX3657" s="82" t="s">
        <v>20423</v>
      </c>
      <c r="AY3657" s="77"/>
      <c r="AZ3657" s="82" t="s">
        <v>20971</v>
      </c>
      <c r="BA3657" s="82" t="s">
        <v>20971</v>
      </c>
      <c r="BB3657" s="82" t="s">
        <v>20971</v>
      </c>
      <c r="BC3657" s="82" t="s">
        <v>20423</v>
      </c>
      <c r="BD3657" s="82" t="s">
        <v>21664</v>
      </c>
      <c r="BE3657" s="77"/>
      <c r="BF3657" s="77"/>
      <c r="BG3657" s="77"/>
      <c r="BH3657" s="77"/>
      <c r="BI3657" s="77"/>
    </row>
    <row r="3658" spans="1:61" x14ac:dyDescent="0.25">
      <c r="A3658" s="62" t="s">
        <v>1094</v>
      </c>
      <c r="B3658" s="62" t="s">
        <v>1094</v>
      </c>
      <c r="C3658" s="63"/>
      <c r="D3658" s="64"/>
      <c r="E3658" s="65"/>
      <c r="F3658" s="66"/>
      <c r="G3658" s="63"/>
      <c r="H3658" s="67"/>
      <c r="I3658" s="68"/>
      <c r="J3658" s="68"/>
      <c r="K3658" s="32"/>
      <c r="L3658" s="75">
        <v>3658</v>
      </c>
      <c r="M3658" s="75"/>
      <c r="N3658" s="70"/>
      <c r="O3658" s="77" t="s">
        <v>179</v>
      </c>
      <c r="P3658" s="79">
        <v>45020.87773148148</v>
      </c>
      <c r="Q3658" s="77" t="s">
        <v>4864</v>
      </c>
      <c r="R3658" s="77">
        <v>0</v>
      </c>
      <c r="S3658" s="77">
        <v>0</v>
      </c>
      <c r="T3658" s="77">
        <v>0</v>
      </c>
      <c r="U3658" s="77">
        <v>0</v>
      </c>
      <c r="V3658" s="77">
        <v>21</v>
      </c>
      <c r="W3658" s="82" t="s">
        <v>6924</v>
      </c>
      <c r="X3658" s="80" t="str">
        <f>HYPERLINK("https://bit.ly/3WtBHvq")</f>
        <v>https://bit.ly/3WtBHvq</v>
      </c>
      <c r="Y3658" s="77" t="s">
        <v>7268</v>
      </c>
      <c r="Z3658" s="77"/>
      <c r="AA3658" s="77" t="s">
        <v>9891</v>
      </c>
      <c r="AB3658" s="77" t="s">
        <v>10129</v>
      </c>
      <c r="AC3658" s="82" t="s">
        <v>10146</v>
      </c>
      <c r="AD3658" s="77" t="s">
        <v>10184</v>
      </c>
      <c r="AE3658" s="80" t="str">
        <f>HYPERLINK("https://twitter.com/gunscenter/status/1643358765775835140")</f>
        <v>https://twitter.com/gunscenter/status/1643358765775835140</v>
      </c>
      <c r="AF3658" s="79">
        <v>45020.87773148148</v>
      </c>
      <c r="AG3658" s="85">
        <v>45020</v>
      </c>
      <c r="AH3658" s="82" t="s">
        <v>13647</v>
      </c>
      <c r="AI3658" s="77" t="b">
        <v>0</v>
      </c>
      <c r="AJ3658" s="77"/>
      <c r="AK3658" s="77"/>
      <c r="AL3658" s="77"/>
      <c r="AM3658" s="77"/>
      <c r="AN3658" s="77"/>
      <c r="AO3658" s="77"/>
      <c r="AP3658" s="77"/>
      <c r="AQ3658" s="77" t="s">
        <v>16534</v>
      </c>
      <c r="AR3658" s="77">
        <v>13566</v>
      </c>
      <c r="AS3658" s="77"/>
      <c r="AT3658" s="77"/>
      <c r="AU3658" s="77"/>
      <c r="AV3658" s="80" t="str">
        <f>HYPERLINK("https://pbs.twimg.com/ext_tw_video_thumb/1643358406525288448/pu/img/lyq8UtvflaK0WqK-.jpg")</f>
        <v>https://pbs.twimg.com/ext_tw_video_thumb/1643358406525288448/pu/img/lyq8UtvflaK0WqK-.jpg</v>
      </c>
      <c r="AW3658" s="82" t="s">
        <v>20424</v>
      </c>
      <c r="AX3658" s="82" t="s">
        <v>20424</v>
      </c>
      <c r="AY3658" s="77"/>
      <c r="AZ3658" s="82" t="s">
        <v>20971</v>
      </c>
      <c r="BA3658" s="82" t="s">
        <v>20971</v>
      </c>
      <c r="BB3658" s="82" t="s">
        <v>20971</v>
      </c>
      <c r="BC3658" s="82" t="s">
        <v>20424</v>
      </c>
      <c r="BD3658" s="82" t="s">
        <v>21665</v>
      </c>
      <c r="BE3658" s="77"/>
      <c r="BF3658" s="77"/>
      <c r="BG3658" s="77"/>
      <c r="BH3658" s="77"/>
      <c r="BI3658" s="77"/>
    </row>
    <row r="3659" spans="1:61" x14ac:dyDescent="0.25">
      <c r="A3659" s="62" t="s">
        <v>1095</v>
      </c>
      <c r="B3659" s="62" t="s">
        <v>1095</v>
      </c>
      <c r="C3659" s="63"/>
      <c r="D3659" s="64"/>
      <c r="E3659" s="65"/>
      <c r="F3659" s="66"/>
      <c r="G3659" s="63"/>
      <c r="H3659" s="67"/>
      <c r="I3659" s="68"/>
      <c r="J3659" s="68"/>
      <c r="K3659" s="32"/>
      <c r="L3659" s="75">
        <v>3659</v>
      </c>
      <c r="M3659" s="75"/>
      <c r="N3659" s="70"/>
      <c r="O3659" s="77" t="s">
        <v>179</v>
      </c>
      <c r="P3659" s="79">
        <v>44986.824988425928</v>
      </c>
      <c r="Q3659" s="77" t="s">
        <v>4865</v>
      </c>
      <c r="R3659" s="77">
        <v>0</v>
      </c>
      <c r="S3659" s="77">
        <v>1</v>
      </c>
      <c r="T3659" s="77">
        <v>0</v>
      </c>
      <c r="U3659" s="77">
        <v>0</v>
      </c>
      <c r="V3659" s="77">
        <v>12</v>
      </c>
      <c r="W3659" s="82" t="s">
        <v>5236</v>
      </c>
      <c r="X3659" s="80" t="str">
        <f>HYPERLINK("https://bc.ai/i-brlc5g5cgu1-n/?p=https://raf.bc.ai/")</f>
        <v>https://bc.ai/i-brlc5g5cgu1-n/?p=https://raf.bc.ai/</v>
      </c>
      <c r="Y3659" s="77" t="s">
        <v>7277</v>
      </c>
      <c r="Z3659" s="77"/>
      <c r="AA3659" s="77"/>
      <c r="AB3659" s="77"/>
      <c r="AC3659" s="82" t="s">
        <v>10146</v>
      </c>
      <c r="AD3659" s="77" t="s">
        <v>10183</v>
      </c>
      <c r="AE3659" s="80" t="str">
        <f>HYPERLINK("https://twitter.com/ana_rica2/status/1631018465103339521")</f>
        <v>https://twitter.com/ana_rica2/status/1631018465103339521</v>
      </c>
      <c r="AF3659" s="79">
        <v>44986.824988425928</v>
      </c>
      <c r="AG3659" s="85">
        <v>44986</v>
      </c>
      <c r="AH3659" s="82" t="s">
        <v>13648</v>
      </c>
      <c r="AI3659" s="77" t="b">
        <v>0</v>
      </c>
      <c r="AJ3659" s="77"/>
      <c r="AK3659" s="77"/>
      <c r="AL3659" s="77"/>
      <c r="AM3659" s="77"/>
      <c r="AN3659" s="77"/>
      <c r="AO3659" s="77"/>
      <c r="AP3659" s="77"/>
      <c r="AQ3659" s="77"/>
      <c r="AR3659" s="77"/>
      <c r="AS3659" s="77"/>
      <c r="AT3659" s="77"/>
      <c r="AU3659" s="77"/>
      <c r="AV3659" s="80" t="str">
        <f>HYPERLINK("https://pbs.twimg.com/profile_images/1599268701278191616/7jBh4n4l_normal.jpg")</f>
        <v>https://pbs.twimg.com/profile_images/1599268701278191616/7jBh4n4l_normal.jpg</v>
      </c>
      <c r="AW3659" s="82" t="s">
        <v>20425</v>
      </c>
      <c r="AX3659" s="82" t="s">
        <v>20425</v>
      </c>
      <c r="AY3659" s="77"/>
      <c r="AZ3659" s="82" t="s">
        <v>20971</v>
      </c>
      <c r="BA3659" s="82" t="s">
        <v>20971</v>
      </c>
      <c r="BB3659" s="82" t="s">
        <v>20971</v>
      </c>
      <c r="BC3659" s="82" t="s">
        <v>20425</v>
      </c>
      <c r="BD3659" s="82" t="s">
        <v>21666</v>
      </c>
      <c r="BE3659" s="77"/>
      <c r="BF3659" s="77"/>
      <c r="BG3659" s="77"/>
      <c r="BH3659" s="77"/>
      <c r="BI3659" s="77"/>
    </row>
    <row r="3660" spans="1:61" x14ac:dyDescent="0.25">
      <c r="A3660" s="62" t="s">
        <v>1096</v>
      </c>
      <c r="B3660" s="62" t="s">
        <v>1096</v>
      </c>
      <c r="C3660" s="63"/>
      <c r="D3660" s="64"/>
      <c r="E3660" s="65"/>
      <c r="F3660" s="66"/>
      <c r="G3660" s="63"/>
      <c r="H3660" s="67"/>
      <c r="I3660" s="68"/>
      <c r="J3660" s="68"/>
      <c r="K3660" s="32"/>
      <c r="L3660" s="75">
        <v>3660</v>
      </c>
      <c r="M3660" s="75"/>
      <c r="N3660" s="70"/>
      <c r="O3660" s="77" t="s">
        <v>179</v>
      </c>
      <c r="P3660" s="79">
        <v>45121.528194444443</v>
      </c>
      <c r="Q3660" s="77" t="s">
        <v>4866</v>
      </c>
      <c r="R3660" s="77">
        <v>0</v>
      </c>
      <c r="S3660" s="77">
        <v>0</v>
      </c>
      <c r="T3660" s="77">
        <v>0</v>
      </c>
      <c r="U3660" s="77">
        <v>0</v>
      </c>
      <c r="V3660" s="77">
        <v>41</v>
      </c>
      <c r="W3660" s="82" t="s">
        <v>6925</v>
      </c>
      <c r="X3660" s="80" t="str">
        <f>HYPERLINK("https://go.perfectpay.com.br/PPU38CMEQL5")</f>
        <v>https://go.perfectpay.com.br/PPU38CMEQL5</v>
      </c>
      <c r="Y3660" s="77" t="s">
        <v>7252</v>
      </c>
      <c r="Z3660" s="77"/>
      <c r="AA3660" s="77" t="s">
        <v>9892</v>
      </c>
      <c r="AB3660" s="77" t="s">
        <v>10130</v>
      </c>
      <c r="AC3660" s="82" t="s">
        <v>10145</v>
      </c>
      <c r="AD3660" s="77" t="s">
        <v>10184</v>
      </c>
      <c r="AE3660" s="80" t="str">
        <f>HYPERLINK("https://twitter.com/henriquer2020/status/1679833270022807552")</f>
        <v>https://twitter.com/henriquer2020/status/1679833270022807552</v>
      </c>
      <c r="AF3660" s="79">
        <v>45121.528194444443</v>
      </c>
      <c r="AG3660" s="85">
        <v>45121</v>
      </c>
      <c r="AH3660" s="82" t="s">
        <v>13649</v>
      </c>
      <c r="AI3660" s="77" t="b">
        <v>0</v>
      </c>
      <c r="AJ3660" s="77"/>
      <c r="AK3660" s="77"/>
      <c r="AL3660" s="77"/>
      <c r="AM3660" s="77"/>
      <c r="AN3660" s="77"/>
      <c r="AO3660" s="77"/>
      <c r="AP3660" s="77"/>
      <c r="AQ3660" s="77" t="s">
        <v>16535</v>
      </c>
      <c r="AR3660" s="77"/>
      <c r="AS3660" s="77"/>
      <c r="AT3660" s="77"/>
      <c r="AU3660" s="77"/>
      <c r="AV3660" s="80" t="str">
        <f>HYPERLINK("https://pbs.twimg.com/media/F0_3dGMWYAYYPD3.jpg")</f>
        <v>https://pbs.twimg.com/media/F0_3dGMWYAYYPD3.jpg</v>
      </c>
      <c r="AW3660" s="82" t="s">
        <v>20426</v>
      </c>
      <c r="AX3660" s="82" t="s">
        <v>20426</v>
      </c>
      <c r="AY3660" s="77"/>
      <c r="AZ3660" s="82" t="s">
        <v>20971</v>
      </c>
      <c r="BA3660" s="82" t="s">
        <v>20971</v>
      </c>
      <c r="BB3660" s="82" t="s">
        <v>20971</v>
      </c>
      <c r="BC3660" s="82" t="s">
        <v>20426</v>
      </c>
      <c r="BD3660" s="82" t="s">
        <v>21667</v>
      </c>
      <c r="BE3660" s="77"/>
      <c r="BF3660" s="77"/>
      <c r="BG3660" s="77"/>
      <c r="BH3660" s="77"/>
      <c r="BI3660" s="77"/>
    </row>
    <row r="3661" spans="1:61" x14ac:dyDescent="0.25">
      <c r="A3661" s="62" t="s">
        <v>1097</v>
      </c>
      <c r="B3661" s="62" t="s">
        <v>1097</v>
      </c>
      <c r="C3661" s="63"/>
      <c r="D3661" s="64"/>
      <c r="E3661" s="65"/>
      <c r="F3661" s="66"/>
      <c r="G3661" s="63"/>
      <c r="H3661" s="67"/>
      <c r="I3661" s="68"/>
      <c r="J3661" s="68"/>
      <c r="K3661" s="32"/>
      <c r="L3661" s="75">
        <v>3661</v>
      </c>
      <c r="M3661" s="75"/>
      <c r="N3661" s="70"/>
      <c r="O3661" s="77" t="s">
        <v>179</v>
      </c>
      <c r="P3661" s="79">
        <v>45168.627175925925</v>
      </c>
      <c r="Q3661" s="77" t="s">
        <v>4867</v>
      </c>
      <c r="R3661" s="77">
        <v>0</v>
      </c>
      <c r="S3661" s="77">
        <v>0</v>
      </c>
      <c r="T3661" s="77">
        <v>0</v>
      </c>
      <c r="U3661" s="77">
        <v>0</v>
      </c>
      <c r="V3661" s="77">
        <v>100</v>
      </c>
      <c r="W3661" s="82" t="s">
        <v>6926</v>
      </c>
      <c r="X3661" s="80" t="str">
        <f>HYPERLINK("https://poplottery.com/#/register?invitationCode=rB5UI292874")</f>
        <v>https://poplottery.com/#/register?invitationCode=rB5UI292874</v>
      </c>
      <c r="Y3661" s="77" t="s">
        <v>7259</v>
      </c>
      <c r="Z3661" s="77"/>
      <c r="AA3661" s="77" t="s">
        <v>9893</v>
      </c>
      <c r="AB3661" s="77" t="s">
        <v>10129</v>
      </c>
      <c r="AC3661" s="82" t="s">
        <v>10146</v>
      </c>
      <c r="AD3661" s="77" t="s">
        <v>10184</v>
      </c>
      <c r="AE3661" s="80" t="str">
        <f>HYPERLINK("https://twitter.com/marcosmano63653/status/1696901370756886622")</f>
        <v>https://twitter.com/marcosmano63653/status/1696901370756886622</v>
      </c>
      <c r="AF3661" s="79">
        <v>45168.627175925925</v>
      </c>
      <c r="AG3661" s="85">
        <v>45168</v>
      </c>
      <c r="AH3661" s="82" t="s">
        <v>13650</v>
      </c>
      <c r="AI3661" s="77" t="b">
        <v>0</v>
      </c>
      <c r="AJ3661" s="77"/>
      <c r="AK3661" s="77"/>
      <c r="AL3661" s="77"/>
      <c r="AM3661" s="77"/>
      <c r="AN3661" s="77"/>
      <c r="AO3661" s="77"/>
      <c r="AP3661" s="77"/>
      <c r="AQ3661" s="77" t="s">
        <v>16536</v>
      </c>
      <c r="AR3661" s="77">
        <v>9000</v>
      </c>
      <c r="AS3661" s="77"/>
      <c r="AT3661" s="77"/>
      <c r="AU3661" s="77"/>
      <c r="AV3661" s="80" t="str">
        <f>HYPERLINK("https://pbs.twimg.com/ext_tw_video_thumb/1696900055301566464/pu/img/SiC7-WNdNGPTd_43.jpg")</f>
        <v>https://pbs.twimg.com/ext_tw_video_thumb/1696900055301566464/pu/img/SiC7-WNdNGPTd_43.jpg</v>
      </c>
      <c r="AW3661" s="82" t="s">
        <v>20427</v>
      </c>
      <c r="AX3661" s="82" t="s">
        <v>20427</v>
      </c>
      <c r="AY3661" s="77"/>
      <c r="AZ3661" s="82" t="s">
        <v>20971</v>
      </c>
      <c r="BA3661" s="82" t="s">
        <v>20971</v>
      </c>
      <c r="BB3661" s="82" t="s">
        <v>20971</v>
      </c>
      <c r="BC3661" s="82" t="s">
        <v>20427</v>
      </c>
      <c r="BD3661" s="82" t="s">
        <v>21668</v>
      </c>
      <c r="BE3661" s="77"/>
      <c r="BF3661" s="77"/>
      <c r="BG3661" s="77"/>
      <c r="BH3661" s="77"/>
      <c r="BI3661" s="77"/>
    </row>
    <row r="3662" spans="1:61" x14ac:dyDescent="0.25">
      <c r="A3662" s="62" t="s">
        <v>1098</v>
      </c>
      <c r="B3662" s="62" t="s">
        <v>1098</v>
      </c>
      <c r="C3662" s="63"/>
      <c r="D3662" s="64"/>
      <c r="E3662" s="65"/>
      <c r="F3662" s="66"/>
      <c r="G3662" s="63"/>
      <c r="H3662" s="67"/>
      <c r="I3662" s="68"/>
      <c r="J3662" s="68"/>
      <c r="K3662" s="32"/>
      <c r="L3662" s="75">
        <v>3662</v>
      </c>
      <c r="M3662" s="75"/>
      <c r="N3662" s="70"/>
      <c r="O3662" s="77" t="s">
        <v>179</v>
      </c>
      <c r="P3662" s="79">
        <v>44993.585659722223</v>
      </c>
      <c r="Q3662" s="77" t="s">
        <v>4868</v>
      </c>
      <c r="R3662" s="77">
        <v>0</v>
      </c>
      <c r="S3662" s="77">
        <v>0</v>
      </c>
      <c r="T3662" s="77">
        <v>0</v>
      </c>
      <c r="U3662" s="77">
        <v>0</v>
      </c>
      <c r="V3662" s="77">
        <v>31</v>
      </c>
      <c r="W3662" s="82" t="s">
        <v>6927</v>
      </c>
      <c r="X3662" s="77"/>
      <c r="Y3662" s="77"/>
      <c r="Z3662" s="77"/>
      <c r="AA3662" s="77" t="s">
        <v>9894</v>
      </c>
      <c r="AB3662" s="77" t="s">
        <v>10128</v>
      </c>
      <c r="AC3662" s="82" t="s">
        <v>10146</v>
      </c>
      <c r="AD3662" s="77" t="s">
        <v>10184</v>
      </c>
      <c r="AE3662" s="80" t="str">
        <f>HYPERLINK("https://twitter.com/mariana01790550/status/1633468448167825408")</f>
        <v>https://twitter.com/mariana01790550/status/1633468448167825408</v>
      </c>
      <c r="AF3662" s="79">
        <v>44993.585659722223</v>
      </c>
      <c r="AG3662" s="85">
        <v>44993</v>
      </c>
      <c r="AH3662" s="82" t="s">
        <v>13651</v>
      </c>
      <c r="AI3662" s="77" t="b">
        <v>0</v>
      </c>
      <c r="AJ3662" s="77"/>
      <c r="AK3662" s="77"/>
      <c r="AL3662" s="77"/>
      <c r="AM3662" s="77"/>
      <c r="AN3662" s="77"/>
      <c r="AO3662" s="77"/>
      <c r="AP3662" s="77"/>
      <c r="AQ3662" s="77" t="s">
        <v>16537</v>
      </c>
      <c r="AR3662" s="77"/>
      <c r="AS3662" s="77"/>
      <c r="AT3662" s="77"/>
      <c r="AU3662" s="77"/>
      <c r="AV3662" s="80" t="str">
        <f>HYPERLINK("https://pbs.twimg.com/media/Fqs-w40aMAAkhwc.jpg")</f>
        <v>https://pbs.twimg.com/media/Fqs-w40aMAAkhwc.jpg</v>
      </c>
      <c r="AW3662" s="82" t="s">
        <v>20428</v>
      </c>
      <c r="AX3662" s="82" t="s">
        <v>20428</v>
      </c>
      <c r="AY3662" s="77"/>
      <c r="AZ3662" s="82" t="s">
        <v>20971</v>
      </c>
      <c r="BA3662" s="82" t="s">
        <v>20971</v>
      </c>
      <c r="BB3662" s="82" t="s">
        <v>20971</v>
      </c>
      <c r="BC3662" s="82" t="s">
        <v>20428</v>
      </c>
      <c r="BD3662" s="82" t="s">
        <v>21669</v>
      </c>
      <c r="BE3662" s="77"/>
      <c r="BF3662" s="77"/>
      <c r="BG3662" s="77"/>
      <c r="BH3662" s="77"/>
      <c r="BI3662" s="77"/>
    </row>
    <row r="3663" spans="1:61" x14ac:dyDescent="0.25">
      <c r="A3663" s="62" t="s">
        <v>1099</v>
      </c>
      <c r="B3663" s="62" t="s">
        <v>1099</v>
      </c>
      <c r="C3663" s="63"/>
      <c r="D3663" s="64"/>
      <c r="E3663" s="65"/>
      <c r="F3663" s="66"/>
      <c r="G3663" s="63"/>
      <c r="H3663" s="67"/>
      <c r="I3663" s="68"/>
      <c r="J3663" s="68"/>
      <c r="K3663" s="32"/>
      <c r="L3663" s="75">
        <v>3663</v>
      </c>
      <c r="M3663" s="75"/>
      <c r="N3663" s="70"/>
      <c r="O3663" s="77" t="s">
        <v>179</v>
      </c>
      <c r="P3663" s="79">
        <v>45105.636435185188</v>
      </c>
      <c r="Q3663" s="77" t="s">
        <v>4869</v>
      </c>
      <c r="R3663" s="77">
        <v>0</v>
      </c>
      <c r="S3663" s="77">
        <v>0</v>
      </c>
      <c r="T3663" s="77">
        <v>0</v>
      </c>
      <c r="U3663" s="77">
        <v>0</v>
      </c>
      <c r="V3663" s="77">
        <v>45</v>
      </c>
      <c r="W3663" s="82" t="s">
        <v>6928</v>
      </c>
      <c r="X3663" s="80" t="str">
        <f>HYPERLINK("https://go.hotmart.com/F80856670D")</f>
        <v>https://go.hotmart.com/F80856670D</v>
      </c>
      <c r="Y3663" s="77" t="s">
        <v>7251</v>
      </c>
      <c r="Z3663" s="77"/>
      <c r="AA3663" s="77" t="s">
        <v>9895</v>
      </c>
      <c r="AB3663" s="77" t="s">
        <v>10130</v>
      </c>
      <c r="AC3663" s="82" t="s">
        <v>10144</v>
      </c>
      <c r="AD3663" s="77" t="s">
        <v>10184</v>
      </c>
      <c r="AE3663" s="80" t="str">
        <f>HYPERLINK("https://twitter.com/leticialeite023/status/1674074291275550720")</f>
        <v>https://twitter.com/leticialeite023/status/1674074291275550720</v>
      </c>
      <c r="AF3663" s="79">
        <v>45105.636435185188</v>
      </c>
      <c r="AG3663" s="85">
        <v>45105</v>
      </c>
      <c r="AH3663" s="82" t="s">
        <v>13652</v>
      </c>
      <c r="AI3663" s="77" t="b">
        <v>0</v>
      </c>
      <c r="AJ3663" s="77" t="s">
        <v>14030</v>
      </c>
      <c r="AK3663" s="77" t="s">
        <v>14033</v>
      </c>
      <c r="AL3663" s="77" t="s">
        <v>14035</v>
      </c>
      <c r="AM3663" s="77" t="s">
        <v>14071</v>
      </c>
      <c r="AN3663" s="77" t="s">
        <v>14109</v>
      </c>
      <c r="AO3663" s="77" t="s">
        <v>14146</v>
      </c>
      <c r="AP3663" s="77" t="s">
        <v>14150</v>
      </c>
      <c r="AQ3663" s="77" t="s">
        <v>16538</v>
      </c>
      <c r="AR3663" s="77"/>
      <c r="AS3663" s="77"/>
      <c r="AT3663" s="77"/>
      <c r="AU3663" s="77"/>
      <c r="AV3663" s="80" t="str">
        <f>HYPERLINK("https://pbs.twimg.com/media/FzuBsjCWcAE0yHn.jpg")</f>
        <v>https://pbs.twimg.com/media/FzuBsjCWcAE0yHn.jpg</v>
      </c>
      <c r="AW3663" s="82" t="s">
        <v>20429</v>
      </c>
      <c r="AX3663" s="82" t="s">
        <v>20429</v>
      </c>
      <c r="AY3663" s="77"/>
      <c r="AZ3663" s="82" t="s">
        <v>20971</v>
      </c>
      <c r="BA3663" s="82" t="s">
        <v>20971</v>
      </c>
      <c r="BB3663" s="82" t="s">
        <v>20971</v>
      </c>
      <c r="BC3663" s="82" t="s">
        <v>20429</v>
      </c>
      <c r="BD3663" s="82" t="s">
        <v>21670</v>
      </c>
      <c r="BE3663" s="77"/>
      <c r="BF3663" s="77"/>
      <c r="BG3663" s="77"/>
      <c r="BH3663" s="77"/>
      <c r="BI3663" s="77"/>
    </row>
    <row r="3664" spans="1:61" x14ac:dyDescent="0.25">
      <c r="A3664" s="62" t="s">
        <v>1099</v>
      </c>
      <c r="B3664" s="62" t="s">
        <v>1099</v>
      </c>
      <c r="C3664" s="63"/>
      <c r="D3664" s="64"/>
      <c r="E3664" s="65"/>
      <c r="F3664" s="66"/>
      <c r="G3664" s="63"/>
      <c r="H3664" s="67"/>
      <c r="I3664" s="68"/>
      <c r="J3664" s="68"/>
      <c r="K3664" s="32"/>
      <c r="L3664" s="75">
        <v>3664</v>
      </c>
      <c r="M3664" s="75"/>
      <c r="N3664" s="70"/>
      <c r="O3664" s="77" t="s">
        <v>179</v>
      </c>
      <c r="P3664" s="79">
        <v>45103.623344907406</v>
      </c>
      <c r="Q3664" s="77" t="s">
        <v>4870</v>
      </c>
      <c r="R3664" s="77">
        <v>0</v>
      </c>
      <c r="S3664" s="77">
        <v>0</v>
      </c>
      <c r="T3664" s="77">
        <v>0</v>
      </c>
      <c r="U3664" s="77">
        <v>0</v>
      </c>
      <c r="V3664" s="77">
        <v>18</v>
      </c>
      <c r="W3664" s="82" t="s">
        <v>6929</v>
      </c>
      <c r="X3664" s="80" t="str">
        <f>HYPERLINK("https://superln.blogspot.com/2022/03/treinamento-de-marketing-digital-fdm.html")</f>
        <v>https://superln.blogspot.com/2022/03/treinamento-de-marketing-digital-fdm.html</v>
      </c>
      <c r="Y3664" s="77" t="s">
        <v>7261</v>
      </c>
      <c r="Z3664" s="77"/>
      <c r="AA3664" s="77" t="s">
        <v>9896</v>
      </c>
      <c r="AB3664" s="77" t="s">
        <v>10130</v>
      </c>
      <c r="AC3664" s="82" t="s">
        <v>10144</v>
      </c>
      <c r="AD3664" s="77" t="s">
        <v>10184</v>
      </c>
      <c r="AE3664" s="80" t="str">
        <f>HYPERLINK("https://twitter.com/leticialeite023/status/1673344769739702272")</f>
        <v>https://twitter.com/leticialeite023/status/1673344769739702272</v>
      </c>
      <c r="AF3664" s="79">
        <v>45103.623344907406</v>
      </c>
      <c r="AG3664" s="85">
        <v>45103</v>
      </c>
      <c r="AH3664" s="82" t="s">
        <v>13653</v>
      </c>
      <c r="AI3664" s="77" t="b">
        <v>0</v>
      </c>
      <c r="AJ3664" s="77"/>
      <c r="AK3664" s="77"/>
      <c r="AL3664" s="77"/>
      <c r="AM3664" s="77"/>
      <c r="AN3664" s="77"/>
      <c r="AO3664" s="77"/>
      <c r="AP3664" s="77"/>
      <c r="AQ3664" s="77" t="s">
        <v>16539</v>
      </c>
      <c r="AR3664" s="77"/>
      <c r="AS3664" s="77"/>
      <c r="AT3664" s="77"/>
      <c r="AU3664" s="77"/>
      <c r="AV3664" s="80" t="str">
        <f>HYPERLINK("https://pbs.twimg.com/media/FzjqMzjXsAA4BYO.jpg")</f>
        <v>https://pbs.twimg.com/media/FzjqMzjXsAA4BYO.jpg</v>
      </c>
      <c r="AW3664" s="82" t="s">
        <v>20430</v>
      </c>
      <c r="AX3664" s="82" t="s">
        <v>20430</v>
      </c>
      <c r="AY3664" s="77"/>
      <c r="AZ3664" s="82" t="s">
        <v>20971</v>
      </c>
      <c r="BA3664" s="82" t="s">
        <v>20971</v>
      </c>
      <c r="BB3664" s="82" t="s">
        <v>20971</v>
      </c>
      <c r="BC3664" s="82" t="s">
        <v>20430</v>
      </c>
      <c r="BD3664" s="82" t="s">
        <v>21670</v>
      </c>
      <c r="BE3664" s="77"/>
      <c r="BF3664" s="77"/>
      <c r="BG3664" s="77"/>
      <c r="BH3664" s="77"/>
      <c r="BI3664" s="77"/>
    </row>
    <row r="3665" spans="1:61" x14ac:dyDescent="0.25">
      <c r="A3665" s="62" t="s">
        <v>1099</v>
      </c>
      <c r="B3665" s="62" t="s">
        <v>1099</v>
      </c>
      <c r="C3665" s="63"/>
      <c r="D3665" s="64"/>
      <c r="E3665" s="65"/>
      <c r="F3665" s="66"/>
      <c r="G3665" s="63"/>
      <c r="H3665" s="67"/>
      <c r="I3665" s="68"/>
      <c r="J3665" s="68"/>
      <c r="K3665" s="32"/>
      <c r="L3665" s="75">
        <v>3665</v>
      </c>
      <c r="M3665" s="75"/>
      <c r="N3665" s="70"/>
      <c r="O3665" s="77" t="s">
        <v>179</v>
      </c>
      <c r="P3665" s="79">
        <v>45103.620196759257</v>
      </c>
      <c r="Q3665" s="77" t="s">
        <v>4871</v>
      </c>
      <c r="R3665" s="77">
        <v>0</v>
      </c>
      <c r="S3665" s="77">
        <v>0</v>
      </c>
      <c r="T3665" s="77">
        <v>0</v>
      </c>
      <c r="U3665" s="77">
        <v>0</v>
      </c>
      <c r="V3665" s="77">
        <v>20</v>
      </c>
      <c r="W3665" s="82" t="s">
        <v>6930</v>
      </c>
      <c r="X3665" s="80" t="str">
        <f>HYPERLINK("https://superln.blogspot.com/2022/03/treinamento-de-marketing-digital-fdm.html")</f>
        <v>https://superln.blogspot.com/2022/03/treinamento-de-marketing-digital-fdm.html</v>
      </c>
      <c r="Y3665" s="77" t="s">
        <v>7261</v>
      </c>
      <c r="Z3665" s="77"/>
      <c r="AA3665" s="77" t="s">
        <v>9897</v>
      </c>
      <c r="AB3665" s="77" t="s">
        <v>10130</v>
      </c>
      <c r="AC3665" s="82" t="s">
        <v>10144</v>
      </c>
      <c r="AD3665" s="77" t="s">
        <v>10184</v>
      </c>
      <c r="AE3665" s="80" t="str">
        <f>HYPERLINK("https://twitter.com/leticialeite023/status/1673343631422267393")</f>
        <v>https://twitter.com/leticialeite023/status/1673343631422267393</v>
      </c>
      <c r="AF3665" s="79">
        <v>45103.620196759257</v>
      </c>
      <c r="AG3665" s="85">
        <v>45103</v>
      </c>
      <c r="AH3665" s="82" t="s">
        <v>13654</v>
      </c>
      <c r="AI3665" s="77" t="b">
        <v>0</v>
      </c>
      <c r="AJ3665" s="77"/>
      <c r="AK3665" s="77"/>
      <c r="AL3665" s="77"/>
      <c r="AM3665" s="77"/>
      <c r="AN3665" s="77"/>
      <c r="AO3665" s="77"/>
      <c r="AP3665" s="77"/>
      <c r="AQ3665" s="77" t="s">
        <v>16540</v>
      </c>
      <c r="AR3665" s="77"/>
      <c r="AS3665" s="77"/>
      <c r="AT3665" s="77"/>
      <c r="AU3665" s="77"/>
      <c r="AV3665" s="80" t="str">
        <f>HYPERLINK("https://pbs.twimg.com/media/FzjpKijXoAMIeMk.jpg")</f>
        <v>https://pbs.twimg.com/media/FzjpKijXoAMIeMk.jpg</v>
      </c>
      <c r="AW3665" s="82" t="s">
        <v>20431</v>
      </c>
      <c r="AX3665" s="82" t="s">
        <v>20431</v>
      </c>
      <c r="AY3665" s="77"/>
      <c r="AZ3665" s="82" t="s">
        <v>20971</v>
      </c>
      <c r="BA3665" s="82" t="s">
        <v>20971</v>
      </c>
      <c r="BB3665" s="82" t="s">
        <v>20971</v>
      </c>
      <c r="BC3665" s="82" t="s">
        <v>20431</v>
      </c>
      <c r="BD3665" s="82" t="s">
        <v>21670</v>
      </c>
      <c r="BE3665" s="77"/>
      <c r="BF3665" s="77"/>
      <c r="BG3665" s="77"/>
      <c r="BH3665" s="77"/>
      <c r="BI3665" s="77"/>
    </row>
    <row r="3666" spans="1:61" x14ac:dyDescent="0.25">
      <c r="A3666" s="62" t="s">
        <v>1100</v>
      </c>
      <c r="B3666" s="62" t="s">
        <v>1273</v>
      </c>
      <c r="C3666" s="63"/>
      <c r="D3666" s="64"/>
      <c r="E3666" s="65"/>
      <c r="F3666" s="66"/>
      <c r="G3666" s="63"/>
      <c r="H3666" s="67"/>
      <c r="I3666" s="68"/>
      <c r="J3666" s="68"/>
      <c r="K3666" s="32"/>
      <c r="L3666" s="75">
        <v>3666</v>
      </c>
      <c r="M3666" s="75"/>
      <c r="N3666" s="70"/>
      <c r="O3666" s="77" t="s">
        <v>1284</v>
      </c>
      <c r="P3666" s="79">
        <v>45166.086689814816</v>
      </c>
      <c r="Q3666" s="77" t="s">
        <v>4872</v>
      </c>
      <c r="R3666" s="77">
        <v>0</v>
      </c>
      <c r="S3666" s="77">
        <v>1</v>
      </c>
      <c r="T3666" s="77">
        <v>0</v>
      </c>
      <c r="U3666" s="77">
        <v>0</v>
      </c>
      <c r="V3666" s="77">
        <v>35</v>
      </c>
      <c r="W3666" s="82" t="s">
        <v>5236</v>
      </c>
      <c r="X3666" s="77"/>
      <c r="Y3666" s="77"/>
      <c r="Z3666" s="77" t="s">
        <v>1273</v>
      </c>
      <c r="AA3666" s="77"/>
      <c r="AB3666" s="77"/>
      <c r="AC3666" s="82" t="s">
        <v>10144</v>
      </c>
      <c r="AD3666" s="77" t="s">
        <v>10184</v>
      </c>
      <c r="AE3666" s="80" t="str">
        <f>HYPERLINK("https://twitter.com/eliasisi/status/1695980728264122603")</f>
        <v>https://twitter.com/eliasisi/status/1695980728264122603</v>
      </c>
      <c r="AF3666" s="79">
        <v>45166.086689814816</v>
      </c>
      <c r="AG3666" s="85">
        <v>45166</v>
      </c>
      <c r="AH3666" s="82" t="s">
        <v>13655</v>
      </c>
      <c r="AI3666" s="77"/>
      <c r="AJ3666" s="77"/>
      <c r="AK3666" s="77"/>
      <c r="AL3666" s="77"/>
      <c r="AM3666" s="77"/>
      <c r="AN3666" s="77"/>
      <c r="AO3666" s="77"/>
      <c r="AP3666" s="77"/>
      <c r="AQ3666" s="77"/>
      <c r="AR3666" s="77"/>
      <c r="AS3666" s="77"/>
      <c r="AT3666" s="77"/>
      <c r="AU3666" s="77"/>
      <c r="AV3666" s="80" t="str">
        <f>HYPERLINK("https://pbs.twimg.com/profile_images/1681049803063451649/EpcRfaGI_normal.jpg")</f>
        <v>https://pbs.twimg.com/profile_images/1681049803063451649/EpcRfaGI_normal.jpg</v>
      </c>
      <c r="AW3666" s="82" t="s">
        <v>20432</v>
      </c>
      <c r="AX3666" s="82" t="s">
        <v>20884</v>
      </c>
      <c r="AY3666" s="82" t="s">
        <v>20965</v>
      </c>
      <c r="AZ3666" s="82" t="s">
        <v>21000</v>
      </c>
      <c r="BA3666" s="82" t="s">
        <v>20971</v>
      </c>
      <c r="BB3666" s="82" t="s">
        <v>20971</v>
      </c>
      <c r="BC3666" s="82" t="s">
        <v>21000</v>
      </c>
      <c r="BD3666" s="82" t="s">
        <v>21671</v>
      </c>
      <c r="BE3666" s="77"/>
      <c r="BF3666" s="77"/>
      <c r="BG3666" s="77"/>
      <c r="BH3666" s="77"/>
      <c r="BI3666" s="77"/>
    </row>
    <row r="3667" spans="1:61" x14ac:dyDescent="0.25">
      <c r="A3667" s="62" t="s">
        <v>1100</v>
      </c>
      <c r="B3667" s="62" t="s">
        <v>1273</v>
      </c>
      <c r="C3667" s="63"/>
      <c r="D3667" s="64"/>
      <c r="E3667" s="65"/>
      <c r="F3667" s="66"/>
      <c r="G3667" s="63"/>
      <c r="H3667" s="67"/>
      <c r="I3667" s="68"/>
      <c r="J3667" s="68"/>
      <c r="K3667" s="32"/>
      <c r="L3667" s="75">
        <v>3667</v>
      </c>
      <c r="M3667" s="75"/>
      <c r="N3667" s="70"/>
      <c r="O3667" s="77" t="s">
        <v>1284</v>
      </c>
      <c r="P3667" s="79">
        <v>45158.598796296297</v>
      </c>
      <c r="Q3667" s="77" t="s">
        <v>4873</v>
      </c>
      <c r="R3667" s="77">
        <v>0</v>
      </c>
      <c r="S3667" s="77">
        <v>1</v>
      </c>
      <c r="T3667" s="77">
        <v>0</v>
      </c>
      <c r="U3667" s="77">
        <v>0</v>
      </c>
      <c r="V3667" s="77">
        <v>17</v>
      </c>
      <c r="W3667" s="82" t="s">
        <v>5236</v>
      </c>
      <c r="X3667" s="77"/>
      <c r="Y3667" s="77"/>
      <c r="Z3667" s="77" t="s">
        <v>1273</v>
      </c>
      <c r="AA3667" s="77"/>
      <c r="AB3667" s="77"/>
      <c r="AC3667" s="82" t="s">
        <v>10144</v>
      </c>
      <c r="AD3667" s="77" t="s">
        <v>10189</v>
      </c>
      <c r="AE3667" s="80" t="str">
        <f>HYPERLINK("https://twitter.com/eliasisi/status/1693267209286455579")</f>
        <v>https://twitter.com/eliasisi/status/1693267209286455579</v>
      </c>
      <c r="AF3667" s="79">
        <v>45158.598796296297</v>
      </c>
      <c r="AG3667" s="85">
        <v>45158</v>
      </c>
      <c r="AH3667" s="82" t="s">
        <v>13656</v>
      </c>
      <c r="AI3667" s="77"/>
      <c r="AJ3667" s="77"/>
      <c r="AK3667" s="77"/>
      <c r="AL3667" s="77"/>
      <c r="AM3667" s="77"/>
      <c r="AN3667" s="77"/>
      <c r="AO3667" s="77"/>
      <c r="AP3667" s="77"/>
      <c r="AQ3667" s="77"/>
      <c r="AR3667" s="77"/>
      <c r="AS3667" s="77"/>
      <c r="AT3667" s="77"/>
      <c r="AU3667" s="77"/>
      <c r="AV3667" s="80" t="str">
        <f>HYPERLINK("https://pbs.twimg.com/profile_images/1681049803063451649/EpcRfaGI_normal.jpg")</f>
        <v>https://pbs.twimg.com/profile_images/1681049803063451649/EpcRfaGI_normal.jpg</v>
      </c>
      <c r="AW3667" s="82" t="s">
        <v>20433</v>
      </c>
      <c r="AX3667" s="82" t="s">
        <v>20885</v>
      </c>
      <c r="AY3667" s="82" t="s">
        <v>20965</v>
      </c>
      <c r="AZ3667" s="82" t="s">
        <v>21001</v>
      </c>
      <c r="BA3667" s="82" t="s">
        <v>20971</v>
      </c>
      <c r="BB3667" s="82" t="s">
        <v>20971</v>
      </c>
      <c r="BC3667" s="82" t="s">
        <v>21001</v>
      </c>
      <c r="BD3667" s="82" t="s">
        <v>21671</v>
      </c>
      <c r="BE3667" s="77"/>
      <c r="BF3667" s="77"/>
      <c r="BG3667" s="77"/>
      <c r="BH3667" s="77"/>
      <c r="BI3667" s="77"/>
    </row>
    <row r="3668" spans="1:61" x14ac:dyDescent="0.25">
      <c r="A3668" s="62" t="s">
        <v>1100</v>
      </c>
      <c r="B3668" s="62" t="s">
        <v>1273</v>
      </c>
      <c r="C3668" s="63"/>
      <c r="D3668" s="64"/>
      <c r="E3668" s="65"/>
      <c r="F3668" s="66"/>
      <c r="G3668" s="63"/>
      <c r="H3668" s="67"/>
      <c r="I3668" s="68"/>
      <c r="J3668" s="68"/>
      <c r="K3668" s="32"/>
      <c r="L3668" s="75">
        <v>3668</v>
      </c>
      <c r="M3668" s="75"/>
      <c r="N3668" s="70"/>
      <c r="O3668" s="77" t="s">
        <v>1284</v>
      </c>
      <c r="P3668" s="79">
        <v>45158.405381944445</v>
      </c>
      <c r="Q3668" s="77" t="s">
        <v>4874</v>
      </c>
      <c r="R3668" s="77">
        <v>0</v>
      </c>
      <c r="S3668" s="77">
        <v>1</v>
      </c>
      <c r="T3668" s="77">
        <v>0</v>
      </c>
      <c r="U3668" s="77">
        <v>0</v>
      </c>
      <c r="V3668" s="77">
        <v>19</v>
      </c>
      <c r="W3668" s="82" t="s">
        <v>5236</v>
      </c>
      <c r="X3668" s="77"/>
      <c r="Y3668" s="77"/>
      <c r="Z3668" s="77" t="s">
        <v>1273</v>
      </c>
      <c r="AA3668" s="77"/>
      <c r="AB3668" s="77"/>
      <c r="AC3668" s="82" t="s">
        <v>10144</v>
      </c>
      <c r="AD3668" s="77" t="s">
        <v>10183</v>
      </c>
      <c r="AE3668" s="80" t="str">
        <f>HYPERLINK("https://twitter.com/eliasisi/status/1693197117605421206")</f>
        <v>https://twitter.com/eliasisi/status/1693197117605421206</v>
      </c>
      <c r="AF3668" s="79">
        <v>45158.405381944445</v>
      </c>
      <c r="AG3668" s="85">
        <v>45158</v>
      </c>
      <c r="AH3668" s="82" t="s">
        <v>11649</v>
      </c>
      <c r="AI3668" s="77"/>
      <c r="AJ3668" s="77"/>
      <c r="AK3668" s="77"/>
      <c r="AL3668" s="77"/>
      <c r="AM3668" s="77"/>
      <c r="AN3668" s="77"/>
      <c r="AO3668" s="77"/>
      <c r="AP3668" s="77"/>
      <c r="AQ3668" s="77"/>
      <c r="AR3668" s="77"/>
      <c r="AS3668" s="77"/>
      <c r="AT3668" s="77"/>
      <c r="AU3668" s="77"/>
      <c r="AV3668" s="80" t="str">
        <f>HYPERLINK("https://pbs.twimg.com/profile_images/1681049803063451649/EpcRfaGI_normal.jpg")</f>
        <v>https://pbs.twimg.com/profile_images/1681049803063451649/EpcRfaGI_normal.jpg</v>
      </c>
      <c r="AW3668" s="82" t="s">
        <v>20434</v>
      </c>
      <c r="AX3668" s="82" t="s">
        <v>20886</v>
      </c>
      <c r="AY3668" s="82" t="s">
        <v>20965</v>
      </c>
      <c r="AZ3668" s="82" t="s">
        <v>21002</v>
      </c>
      <c r="BA3668" s="82" t="s">
        <v>20971</v>
      </c>
      <c r="BB3668" s="82" t="s">
        <v>20971</v>
      </c>
      <c r="BC3668" s="82" t="s">
        <v>21002</v>
      </c>
      <c r="BD3668" s="82" t="s">
        <v>21671</v>
      </c>
      <c r="BE3668" s="77"/>
      <c r="BF3668" s="77"/>
      <c r="BG3668" s="77"/>
      <c r="BH3668" s="77"/>
      <c r="BI3668" s="77"/>
    </row>
    <row r="3669" spans="1:61" x14ac:dyDescent="0.25">
      <c r="A3669" s="62" t="s">
        <v>1101</v>
      </c>
      <c r="B3669" s="62" t="s">
        <v>1101</v>
      </c>
      <c r="C3669" s="63"/>
      <c r="D3669" s="64"/>
      <c r="E3669" s="65"/>
      <c r="F3669" s="66"/>
      <c r="G3669" s="63"/>
      <c r="H3669" s="67"/>
      <c r="I3669" s="68"/>
      <c r="J3669" s="68"/>
      <c r="K3669" s="32"/>
      <c r="L3669" s="75">
        <v>3669</v>
      </c>
      <c r="M3669" s="75"/>
      <c r="N3669" s="70"/>
      <c r="O3669" s="77" t="s">
        <v>179</v>
      </c>
      <c r="P3669" s="79">
        <v>45006.692025462966</v>
      </c>
      <c r="Q3669" s="77" t="s">
        <v>4875</v>
      </c>
      <c r="R3669" s="77">
        <v>0</v>
      </c>
      <c r="S3669" s="77">
        <v>0</v>
      </c>
      <c r="T3669" s="77">
        <v>0</v>
      </c>
      <c r="U3669" s="77">
        <v>0</v>
      </c>
      <c r="V3669" s="77">
        <v>78</v>
      </c>
      <c r="W3669" s="82" t="s">
        <v>6931</v>
      </c>
      <c r="X3669" s="77"/>
      <c r="Y3669" s="77"/>
      <c r="Z3669" s="77"/>
      <c r="AA3669" s="77"/>
      <c r="AB3669" s="77"/>
      <c r="AC3669" s="82" t="s">
        <v>10145</v>
      </c>
      <c r="AD3669" s="77" t="s">
        <v>10184</v>
      </c>
      <c r="AE3669" s="80" t="str">
        <f>HYPERLINK("https://twitter.com/murilodahmer/status/1638218038582321160")</f>
        <v>https://twitter.com/murilodahmer/status/1638218038582321160</v>
      </c>
      <c r="AF3669" s="79">
        <v>45006.692025462966</v>
      </c>
      <c r="AG3669" s="85">
        <v>45006</v>
      </c>
      <c r="AH3669" s="82" t="s">
        <v>13657</v>
      </c>
      <c r="AI3669" s="77"/>
      <c r="AJ3669" s="77"/>
      <c r="AK3669" s="77"/>
      <c r="AL3669" s="77"/>
      <c r="AM3669" s="77"/>
      <c r="AN3669" s="77"/>
      <c r="AO3669" s="77"/>
      <c r="AP3669" s="77"/>
      <c r="AQ3669" s="77"/>
      <c r="AR3669" s="77"/>
      <c r="AS3669" s="77"/>
      <c r="AT3669" s="77"/>
      <c r="AU3669" s="77"/>
      <c r="AV3669" s="80" t="str">
        <f>HYPERLINK("https://pbs.twimg.com/profile_images/1630704780514402304/gS1FBfd1_normal.jpg")</f>
        <v>https://pbs.twimg.com/profile_images/1630704780514402304/gS1FBfd1_normal.jpg</v>
      </c>
      <c r="AW3669" s="82" t="s">
        <v>20435</v>
      </c>
      <c r="AX3669" s="82" t="s">
        <v>20435</v>
      </c>
      <c r="AY3669" s="77"/>
      <c r="AZ3669" s="82" t="s">
        <v>20971</v>
      </c>
      <c r="BA3669" s="82" t="s">
        <v>20971</v>
      </c>
      <c r="BB3669" s="82" t="s">
        <v>20971</v>
      </c>
      <c r="BC3669" s="82" t="s">
        <v>20435</v>
      </c>
      <c r="BD3669" s="77">
        <v>216536286</v>
      </c>
      <c r="BE3669" s="77"/>
      <c r="BF3669" s="77"/>
      <c r="BG3669" s="77"/>
      <c r="BH3669" s="77"/>
      <c r="BI3669" s="77"/>
    </row>
    <row r="3670" spans="1:61" x14ac:dyDescent="0.25">
      <c r="A3670" s="62" t="s">
        <v>1101</v>
      </c>
      <c r="B3670" s="62" t="s">
        <v>1101</v>
      </c>
      <c r="C3670" s="63"/>
      <c r="D3670" s="64"/>
      <c r="E3670" s="65"/>
      <c r="F3670" s="66"/>
      <c r="G3670" s="63"/>
      <c r="H3670" s="67"/>
      <c r="I3670" s="68"/>
      <c r="J3670" s="68"/>
      <c r="K3670" s="32"/>
      <c r="L3670" s="75">
        <v>3670</v>
      </c>
      <c r="M3670" s="75"/>
      <c r="N3670" s="70"/>
      <c r="O3670" s="77" t="s">
        <v>179</v>
      </c>
      <c r="P3670" s="79">
        <v>45001.807511574072</v>
      </c>
      <c r="Q3670" s="77" t="s">
        <v>4876</v>
      </c>
      <c r="R3670" s="77">
        <v>0</v>
      </c>
      <c r="S3670" s="77">
        <v>0</v>
      </c>
      <c r="T3670" s="77">
        <v>0</v>
      </c>
      <c r="U3670" s="77">
        <v>0</v>
      </c>
      <c r="V3670" s="77">
        <v>78</v>
      </c>
      <c r="W3670" s="82" t="s">
        <v>6932</v>
      </c>
      <c r="X3670" s="77"/>
      <c r="Y3670" s="77"/>
      <c r="Z3670" s="77"/>
      <c r="AA3670" s="77"/>
      <c r="AB3670" s="77"/>
      <c r="AC3670" s="82" t="s">
        <v>10145</v>
      </c>
      <c r="AD3670" s="77" t="s">
        <v>10184</v>
      </c>
      <c r="AE3670" s="80" t="str">
        <f>HYPERLINK("https://twitter.com/murilodahmer/status/1636447950346891264")</f>
        <v>https://twitter.com/murilodahmer/status/1636447950346891264</v>
      </c>
      <c r="AF3670" s="79">
        <v>45001.807511574072</v>
      </c>
      <c r="AG3670" s="85">
        <v>45001</v>
      </c>
      <c r="AH3670" s="82" t="s">
        <v>13658</v>
      </c>
      <c r="AI3670" s="77"/>
      <c r="AJ3670" s="77"/>
      <c r="AK3670" s="77"/>
      <c r="AL3670" s="77"/>
      <c r="AM3670" s="77"/>
      <c r="AN3670" s="77"/>
      <c r="AO3670" s="77"/>
      <c r="AP3670" s="77"/>
      <c r="AQ3670" s="77"/>
      <c r="AR3670" s="77"/>
      <c r="AS3670" s="77"/>
      <c r="AT3670" s="77"/>
      <c r="AU3670" s="77"/>
      <c r="AV3670" s="80" t="str">
        <f>HYPERLINK("https://pbs.twimg.com/profile_images/1630704780514402304/gS1FBfd1_normal.jpg")</f>
        <v>https://pbs.twimg.com/profile_images/1630704780514402304/gS1FBfd1_normal.jpg</v>
      </c>
      <c r="AW3670" s="82" t="s">
        <v>20436</v>
      </c>
      <c r="AX3670" s="82" t="s">
        <v>20436</v>
      </c>
      <c r="AY3670" s="77"/>
      <c r="AZ3670" s="82" t="s">
        <v>20971</v>
      </c>
      <c r="BA3670" s="82" t="s">
        <v>20971</v>
      </c>
      <c r="BB3670" s="82" t="s">
        <v>20971</v>
      </c>
      <c r="BC3670" s="82" t="s">
        <v>20436</v>
      </c>
      <c r="BD3670" s="77">
        <v>216536286</v>
      </c>
      <c r="BE3670" s="77"/>
      <c r="BF3670" s="77"/>
      <c r="BG3670" s="77"/>
      <c r="BH3670" s="77"/>
      <c r="BI3670" s="77"/>
    </row>
    <row r="3671" spans="1:61" x14ac:dyDescent="0.25">
      <c r="A3671" s="62" t="s">
        <v>1101</v>
      </c>
      <c r="B3671" s="62" t="s">
        <v>1101</v>
      </c>
      <c r="C3671" s="63"/>
      <c r="D3671" s="64"/>
      <c r="E3671" s="65"/>
      <c r="F3671" s="66"/>
      <c r="G3671" s="63"/>
      <c r="H3671" s="67"/>
      <c r="I3671" s="68"/>
      <c r="J3671" s="68"/>
      <c r="K3671" s="32"/>
      <c r="L3671" s="75">
        <v>3671</v>
      </c>
      <c r="M3671" s="75"/>
      <c r="N3671" s="70"/>
      <c r="O3671" s="77" t="s">
        <v>179</v>
      </c>
      <c r="P3671" s="79">
        <v>45001.795787037037</v>
      </c>
      <c r="Q3671" s="77" t="s">
        <v>4877</v>
      </c>
      <c r="R3671" s="77">
        <v>0</v>
      </c>
      <c r="S3671" s="77">
        <v>0</v>
      </c>
      <c r="T3671" s="77">
        <v>0</v>
      </c>
      <c r="U3671" s="77">
        <v>0</v>
      </c>
      <c r="V3671" s="77">
        <v>58</v>
      </c>
      <c r="W3671" s="82" t="s">
        <v>6933</v>
      </c>
      <c r="X3671" s="77"/>
      <c r="Y3671" s="77"/>
      <c r="Z3671" s="77"/>
      <c r="AA3671" s="77"/>
      <c r="AB3671" s="77"/>
      <c r="AC3671" s="82" t="s">
        <v>10145</v>
      </c>
      <c r="AD3671" s="77" t="s">
        <v>10184</v>
      </c>
      <c r="AE3671" s="80" t="str">
        <f>HYPERLINK("https://twitter.com/murilodahmer/status/1636443701697232922")</f>
        <v>https://twitter.com/murilodahmer/status/1636443701697232922</v>
      </c>
      <c r="AF3671" s="79">
        <v>45001.795787037037</v>
      </c>
      <c r="AG3671" s="85">
        <v>45001</v>
      </c>
      <c r="AH3671" s="82" t="s">
        <v>13659</v>
      </c>
      <c r="AI3671" s="77"/>
      <c r="AJ3671" s="77"/>
      <c r="AK3671" s="77"/>
      <c r="AL3671" s="77"/>
      <c r="AM3671" s="77"/>
      <c r="AN3671" s="77"/>
      <c r="AO3671" s="77"/>
      <c r="AP3671" s="77"/>
      <c r="AQ3671" s="77"/>
      <c r="AR3671" s="77"/>
      <c r="AS3671" s="77"/>
      <c r="AT3671" s="77"/>
      <c r="AU3671" s="77"/>
      <c r="AV3671" s="80" t="str">
        <f>HYPERLINK("https://pbs.twimg.com/profile_images/1630704780514402304/gS1FBfd1_normal.jpg")</f>
        <v>https://pbs.twimg.com/profile_images/1630704780514402304/gS1FBfd1_normal.jpg</v>
      </c>
      <c r="AW3671" s="82" t="s">
        <v>20437</v>
      </c>
      <c r="AX3671" s="82" t="s">
        <v>20437</v>
      </c>
      <c r="AY3671" s="77"/>
      <c r="AZ3671" s="82" t="s">
        <v>20971</v>
      </c>
      <c r="BA3671" s="82" t="s">
        <v>20971</v>
      </c>
      <c r="BB3671" s="82" t="s">
        <v>20971</v>
      </c>
      <c r="BC3671" s="82" t="s">
        <v>20437</v>
      </c>
      <c r="BD3671" s="77">
        <v>216536286</v>
      </c>
      <c r="BE3671" s="77"/>
      <c r="BF3671" s="77"/>
      <c r="BG3671" s="77"/>
      <c r="BH3671" s="77"/>
      <c r="BI3671" s="77"/>
    </row>
    <row r="3672" spans="1:61" x14ac:dyDescent="0.25">
      <c r="A3672" s="62" t="s">
        <v>1102</v>
      </c>
      <c r="B3672" s="62" t="s">
        <v>1102</v>
      </c>
      <c r="C3672" s="63"/>
      <c r="D3672" s="64"/>
      <c r="E3672" s="65"/>
      <c r="F3672" s="66"/>
      <c r="G3672" s="63"/>
      <c r="H3672" s="67"/>
      <c r="I3672" s="68"/>
      <c r="J3672" s="68"/>
      <c r="K3672" s="32"/>
      <c r="L3672" s="75">
        <v>3672</v>
      </c>
      <c r="M3672" s="75"/>
      <c r="N3672" s="70"/>
      <c r="O3672" s="77" t="s">
        <v>179</v>
      </c>
      <c r="P3672" s="79">
        <v>45068.3278125</v>
      </c>
      <c r="Q3672" s="77" t="s">
        <v>4878</v>
      </c>
      <c r="R3672" s="77">
        <v>0</v>
      </c>
      <c r="S3672" s="77">
        <v>0</v>
      </c>
      <c r="T3672" s="77">
        <v>1</v>
      </c>
      <c r="U3672" s="77">
        <v>0</v>
      </c>
      <c r="V3672" s="77">
        <v>46</v>
      </c>
      <c r="W3672" s="82" t="s">
        <v>6934</v>
      </c>
      <c r="X3672" s="77"/>
      <c r="Y3672" s="77"/>
      <c r="Z3672" s="77"/>
      <c r="AA3672" s="77" t="s">
        <v>9898</v>
      </c>
      <c r="AB3672" s="77" t="s">
        <v>10130</v>
      </c>
      <c r="AC3672" s="82" t="s">
        <v>10146</v>
      </c>
      <c r="AD3672" s="77" t="s">
        <v>10184</v>
      </c>
      <c r="AE3672" s="80" t="str">
        <f>HYPERLINK("https://twitter.com/cgo_cursos/status/1660554100365312000")</f>
        <v>https://twitter.com/cgo_cursos/status/1660554100365312000</v>
      </c>
      <c r="AF3672" s="79">
        <v>45068.3278125</v>
      </c>
      <c r="AG3672" s="85">
        <v>45068</v>
      </c>
      <c r="AH3672" s="82" t="s">
        <v>13660</v>
      </c>
      <c r="AI3672" s="77" t="b">
        <v>0</v>
      </c>
      <c r="AJ3672" s="77"/>
      <c r="AK3672" s="77"/>
      <c r="AL3672" s="77"/>
      <c r="AM3672" s="77"/>
      <c r="AN3672" s="77"/>
      <c r="AO3672" s="77"/>
      <c r="AP3672" s="77"/>
      <c r="AQ3672" s="77" t="s">
        <v>16541</v>
      </c>
      <c r="AR3672" s="77"/>
      <c r="AS3672" s="77"/>
      <c r="AT3672" s="77"/>
      <c r="AU3672" s="77"/>
      <c r="AV3672" s="80" t="str">
        <f>HYPERLINK("https://pbs.twimg.com/media/Fwt5EGLWwAEPkst.jpg")</f>
        <v>https://pbs.twimg.com/media/Fwt5EGLWwAEPkst.jpg</v>
      </c>
      <c r="AW3672" s="82" t="s">
        <v>20438</v>
      </c>
      <c r="AX3672" s="82" t="s">
        <v>20438</v>
      </c>
      <c r="AY3672" s="77"/>
      <c r="AZ3672" s="82" t="s">
        <v>20971</v>
      </c>
      <c r="BA3672" s="82" t="s">
        <v>20971</v>
      </c>
      <c r="BB3672" s="82" t="s">
        <v>20971</v>
      </c>
      <c r="BC3672" s="82" t="s">
        <v>20438</v>
      </c>
      <c r="BD3672" s="82" t="s">
        <v>21672</v>
      </c>
      <c r="BE3672" s="77"/>
      <c r="BF3672" s="77"/>
      <c r="BG3672" s="77"/>
      <c r="BH3672" s="77"/>
      <c r="BI3672" s="77"/>
    </row>
    <row r="3673" spans="1:61" x14ac:dyDescent="0.25">
      <c r="A3673" s="62" t="s">
        <v>1103</v>
      </c>
      <c r="B3673" s="62" t="s">
        <v>1103</v>
      </c>
      <c r="C3673" s="63"/>
      <c r="D3673" s="64"/>
      <c r="E3673" s="65"/>
      <c r="F3673" s="66"/>
      <c r="G3673" s="63"/>
      <c r="H3673" s="67"/>
      <c r="I3673" s="68"/>
      <c r="J3673" s="68"/>
      <c r="K3673" s="32"/>
      <c r="L3673" s="75">
        <v>3673</v>
      </c>
      <c r="M3673" s="75"/>
      <c r="N3673" s="70"/>
      <c r="O3673" s="77" t="s">
        <v>179</v>
      </c>
      <c r="P3673" s="79">
        <v>45028.039224537039</v>
      </c>
      <c r="Q3673" s="77" t="s">
        <v>4879</v>
      </c>
      <c r="R3673" s="77">
        <v>0</v>
      </c>
      <c r="S3673" s="77">
        <v>2</v>
      </c>
      <c r="T3673" s="77">
        <v>0</v>
      </c>
      <c r="U3673" s="77">
        <v>0</v>
      </c>
      <c r="V3673" s="77">
        <v>50</v>
      </c>
      <c r="W3673" s="82" t="s">
        <v>6935</v>
      </c>
      <c r="X3673" s="77" t="s">
        <v>7233</v>
      </c>
      <c r="Y3673" s="77" t="s">
        <v>7471</v>
      </c>
      <c r="Z3673" s="77"/>
      <c r="AA3673" s="77" t="s">
        <v>9899</v>
      </c>
      <c r="AB3673" s="77" t="s">
        <v>10130</v>
      </c>
      <c r="AC3673" s="82" t="s">
        <v>10146</v>
      </c>
      <c r="AD3673" s="77" t="s">
        <v>10184</v>
      </c>
      <c r="AE3673" s="80" t="str">
        <f>HYPERLINK("https://twitter.com/50niggazsergio/status/1645954003589578753")</f>
        <v>https://twitter.com/50niggazsergio/status/1645954003589578753</v>
      </c>
      <c r="AF3673" s="79">
        <v>45028.039224537039</v>
      </c>
      <c r="AG3673" s="85">
        <v>45028</v>
      </c>
      <c r="AH3673" s="82" t="s">
        <v>13661</v>
      </c>
      <c r="AI3673" s="77" t="b">
        <v>0</v>
      </c>
      <c r="AJ3673" s="77"/>
      <c r="AK3673" s="77"/>
      <c r="AL3673" s="77"/>
      <c r="AM3673" s="77"/>
      <c r="AN3673" s="77"/>
      <c r="AO3673" s="77"/>
      <c r="AP3673" s="77"/>
      <c r="AQ3673" s="77" t="s">
        <v>16542</v>
      </c>
      <c r="AR3673" s="77"/>
      <c r="AS3673" s="77"/>
      <c r="AT3673" s="77"/>
      <c r="AU3673" s="77"/>
      <c r="AV3673" s="80" t="str">
        <f>HYPERLINK("https://pbs.twimg.com/media/FteXbhdXoAAxcot.jpg")</f>
        <v>https://pbs.twimg.com/media/FteXbhdXoAAxcot.jpg</v>
      </c>
      <c r="AW3673" s="82" t="s">
        <v>20439</v>
      </c>
      <c r="AX3673" s="82" t="s">
        <v>20439</v>
      </c>
      <c r="AY3673" s="77"/>
      <c r="AZ3673" s="82" t="s">
        <v>20971</v>
      </c>
      <c r="BA3673" s="82" t="s">
        <v>20971</v>
      </c>
      <c r="BB3673" s="82" t="s">
        <v>20971</v>
      </c>
      <c r="BC3673" s="82" t="s">
        <v>20439</v>
      </c>
      <c r="BD3673" s="82" t="s">
        <v>21673</v>
      </c>
      <c r="BE3673" s="77"/>
      <c r="BF3673" s="77"/>
      <c r="BG3673" s="77"/>
      <c r="BH3673" s="77"/>
      <c r="BI3673" s="77"/>
    </row>
    <row r="3674" spans="1:61" x14ac:dyDescent="0.25">
      <c r="A3674" s="62" t="s">
        <v>1104</v>
      </c>
      <c r="B3674" s="62" t="s">
        <v>1104</v>
      </c>
      <c r="C3674" s="63"/>
      <c r="D3674" s="64"/>
      <c r="E3674" s="65"/>
      <c r="F3674" s="66"/>
      <c r="G3674" s="63"/>
      <c r="H3674" s="67"/>
      <c r="I3674" s="68"/>
      <c r="J3674" s="68"/>
      <c r="K3674" s="32"/>
      <c r="L3674" s="75">
        <v>3674</v>
      </c>
      <c r="M3674" s="75"/>
      <c r="N3674" s="70"/>
      <c r="O3674" s="77" t="s">
        <v>179</v>
      </c>
      <c r="P3674" s="79">
        <v>45128.657071759262</v>
      </c>
      <c r="Q3674" s="77" t="s">
        <v>4880</v>
      </c>
      <c r="R3674" s="77">
        <v>0</v>
      </c>
      <c r="S3674" s="77">
        <v>0</v>
      </c>
      <c r="T3674" s="77">
        <v>0</v>
      </c>
      <c r="U3674" s="77">
        <v>0</v>
      </c>
      <c r="V3674" s="77">
        <v>39</v>
      </c>
      <c r="W3674" s="82" t="s">
        <v>6936</v>
      </c>
      <c r="X3674" s="80" t="str">
        <f>HYPERLINK("https://atilalemos.com.br/2023/07/21/bolsa-familia-sera-pago-aos-beneficiarios-com-nis-de-final-4")</f>
        <v>https://atilalemos.com.br/2023/07/21/bolsa-familia-sera-pago-aos-beneficiarios-com-nis-de-final-4</v>
      </c>
      <c r="Y3674" s="77" t="s">
        <v>7252</v>
      </c>
      <c r="Z3674" s="77"/>
      <c r="AA3674" s="77"/>
      <c r="AB3674" s="77"/>
      <c r="AC3674" s="82" t="s">
        <v>10146</v>
      </c>
      <c r="AD3674" s="77" t="s">
        <v>10183</v>
      </c>
      <c r="AE3674" s="80" t="str">
        <f>HYPERLINK("https://twitter.com/atilalemos10/status/1682416691987218432")</f>
        <v>https://twitter.com/atilalemos10/status/1682416691987218432</v>
      </c>
      <c r="AF3674" s="79">
        <v>45128.657071759262</v>
      </c>
      <c r="AG3674" s="85">
        <v>45128</v>
      </c>
      <c r="AH3674" s="82" t="s">
        <v>13662</v>
      </c>
      <c r="AI3674" s="77" t="b">
        <v>0</v>
      </c>
      <c r="AJ3674" s="77"/>
      <c r="AK3674" s="77"/>
      <c r="AL3674" s="77"/>
      <c r="AM3674" s="77"/>
      <c r="AN3674" s="77"/>
      <c r="AO3674" s="77"/>
      <c r="AP3674" s="77"/>
      <c r="AQ3674" s="77"/>
      <c r="AR3674" s="77"/>
      <c r="AS3674" s="77"/>
      <c r="AT3674" s="77"/>
      <c r="AU3674" s="77"/>
      <c r="AV3674" s="80" t="str">
        <f>HYPERLINK("https://pbs.twimg.com/profile_images/1358155775252791303/jd7qCS6S_normal.jpg")</f>
        <v>https://pbs.twimg.com/profile_images/1358155775252791303/jd7qCS6S_normal.jpg</v>
      </c>
      <c r="AW3674" s="82" t="s">
        <v>20440</v>
      </c>
      <c r="AX3674" s="82" t="s">
        <v>20440</v>
      </c>
      <c r="AY3674" s="77"/>
      <c r="AZ3674" s="82" t="s">
        <v>20971</v>
      </c>
      <c r="BA3674" s="82" t="s">
        <v>20971</v>
      </c>
      <c r="BB3674" s="82" t="s">
        <v>20971</v>
      </c>
      <c r="BC3674" s="82" t="s">
        <v>20440</v>
      </c>
      <c r="BD3674" s="77">
        <v>82592371</v>
      </c>
      <c r="BE3674" s="77"/>
      <c r="BF3674" s="77"/>
      <c r="BG3674" s="77"/>
      <c r="BH3674" s="77"/>
      <c r="BI3674" s="77"/>
    </row>
    <row r="3675" spans="1:61" x14ac:dyDescent="0.25">
      <c r="A3675" s="62" t="s">
        <v>1105</v>
      </c>
      <c r="B3675" s="62" t="s">
        <v>1105</v>
      </c>
      <c r="C3675" s="63"/>
      <c r="D3675" s="64"/>
      <c r="E3675" s="65"/>
      <c r="F3675" s="66"/>
      <c r="G3675" s="63"/>
      <c r="H3675" s="67"/>
      <c r="I3675" s="68"/>
      <c r="J3675" s="68"/>
      <c r="K3675" s="32"/>
      <c r="L3675" s="75">
        <v>3675</v>
      </c>
      <c r="M3675" s="75"/>
      <c r="N3675" s="70"/>
      <c r="O3675" s="77" t="s">
        <v>179</v>
      </c>
      <c r="P3675" s="79">
        <v>44985.883784722224</v>
      </c>
      <c r="Q3675" s="77" t="s">
        <v>4881</v>
      </c>
      <c r="R3675" s="77">
        <v>0</v>
      </c>
      <c r="S3675" s="77">
        <v>0</v>
      </c>
      <c r="T3675" s="77">
        <v>0</v>
      </c>
      <c r="U3675" s="77">
        <v>0</v>
      </c>
      <c r="V3675" s="77">
        <v>32</v>
      </c>
      <c r="W3675" s="82" t="s">
        <v>6937</v>
      </c>
      <c r="X3675" s="80" t="str">
        <f>HYPERLINK("https://joerdsonrodrigues.com.br/bolsa-familia-tera-valor-superior-para-familias-maiores/")</f>
        <v>https://joerdsonrodrigues.com.br/bolsa-familia-tera-valor-superior-para-familias-maiores/</v>
      </c>
      <c r="Y3675" s="77" t="s">
        <v>7252</v>
      </c>
      <c r="Z3675" s="77"/>
      <c r="AA3675" s="77"/>
      <c r="AB3675" s="77"/>
      <c r="AC3675" s="82" t="s">
        <v>10146</v>
      </c>
      <c r="AD3675" s="77" t="s">
        <v>10184</v>
      </c>
      <c r="AE3675" s="80" t="str">
        <f>HYPERLINK("https://twitter.com/joerdson/status/1630677381970026501")</f>
        <v>https://twitter.com/joerdson/status/1630677381970026501</v>
      </c>
      <c r="AF3675" s="79">
        <v>44985.883784722224</v>
      </c>
      <c r="AG3675" s="85">
        <v>44985</v>
      </c>
      <c r="AH3675" s="82" t="s">
        <v>11022</v>
      </c>
      <c r="AI3675" s="77" t="b">
        <v>0</v>
      </c>
      <c r="AJ3675" s="77"/>
      <c r="AK3675" s="77"/>
      <c r="AL3675" s="77"/>
      <c r="AM3675" s="77"/>
      <c r="AN3675" s="77"/>
      <c r="AO3675" s="77"/>
      <c r="AP3675" s="77"/>
      <c r="AQ3675" s="77"/>
      <c r="AR3675" s="77"/>
      <c r="AS3675" s="77"/>
      <c r="AT3675" s="77"/>
      <c r="AU3675" s="77"/>
      <c r="AV3675" s="80" t="str">
        <f>HYPERLINK("https://pbs.twimg.com/profile_images/1291457516912738307/ghQFnP8r_normal.jpg")</f>
        <v>https://pbs.twimg.com/profile_images/1291457516912738307/ghQFnP8r_normal.jpg</v>
      </c>
      <c r="AW3675" s="82" t="s">
        <v>20441</v>
      </c>
      <c r="AX3675" s="82" t="s">
        <v>20441</v>
      </c>
      <c r="AY3675" s="77"/>
      <c r="AZ3675" s="82" t="s">
        <v>20971</v>
      </c>
      <c r="BA3675" s="82" t="s">
        <v>20971</v>
      </c>
      <c r="BB3675" s="82" t="s">
        <v>20971</v>
      </c>
      <c r="BC3675" s="82" t="s">
        <v>20441</v>
      </c>
      <c r="BD3675" s="77">
        <v>43528661</v>
      </c>
      <c r="BE3675" s="77"/>
      <c r="BF3675" s="77"/>
      <c r="BG3675" s="77"/>
      <c r="BH3675" s="77"/>
      <c r="BI3675" s="77"/>
    </row>
    <row r="3676" spans="1:61" x14ac:dyDescent="0.25">
      <c r="A3676" s="62" t="s">
        <v>1106</v>
      </c>
      <c r="B3676" s="62" t="s">
        <v>1241</v>
      </c>
      <c r="C3676" s="63"/>
      <c r="D3676" s="64"/>
      <c r="E3676" s="65"/>
      <c r="F3676" s="66"/>
      <c r="G3676" s="63"/>
      <c r="H3676" s="67"/>
      <c r="I3676" s="68"/>
      <c r="J3676" s="68"/>
      <c r="K3676" s="32"/>
      <c r="L3676" s="75">
        <v>3676</v>
      </c>
      <c r="M3676" s="75"/>
      <c r="N3676" s="70"/>
      <c r="O3676" s="77" t="s">
        <v>1285</v>
      </c>
      <c r="P3676" s="79">
        <v>45096.739398148151</v>
      </c>
      <c r="Q3676" s="77" t="s">
        <v>4882</v>
      </c>
      <c r="R3676" s="77">
        <v>0</v>
      </c>
      <c r="S3676" s="77">
        <v>1</v>
      </c>
      <c r="T3676" s="77">
        <v>0</v>
      </c>
      <c r="U3676" s="77">
        <v>0</v>
      </c>
      <c r="V3676" s="77">
        <v>17</v>
      </c>
      <c r="W3676" s="82" t="s">
        <v>6938</v>
      </c>
      <c r="X3676" s="80" t="str">
        <f>HYPERLINK("https://youtu.be/8t5eKzrystg")</f>
        <v>https://youtu.be/8t5eKzrystg</v>
      </c>
      <c r="Y3676" s="77" t="s">
        <v>7248</v>
      </c>
      <c r="Z3676" s="77" t="s">
        <v>1241</v>
      </c>
      <c r="AA3676" s="77"/>
      <c r="AB3676" s="77"/>
      <c r="AC3676" s="82" t="s">
        <v>10146</v>
      </c>
      <c r="AD3676" s="77" t="s">
        <v>10184</v>
      </c>
      <c r="AE3676" s="80" t="str">
        <f>HYPERLINK("https://twitter.com/gustavoo_eu/status/1670850112166273025")</f>
        <v>https://twitter.com/gustavoo_eu/status/1670850112166273025</v>
      </c>
      <c r="AF3676" s="79">
        <v>45096.739398148151</v>
      </c>
      <c r="AG3676" s="85">
        <v>45096</v>
      </c>
      <c r="AH3676" s="82" t="s">
        <v>13663</v>
      </c>
      <c r="AI3676" s="77" t="b">
        <v>0</v>
      </c>
      <c r="AJ3676" s="77"/>
      <c r="AK3676" s="77"/>
      <c r="AL3676" s="77"/>
      <c r="AM3676" s="77"/>
      <c r="AN3676" s="77"/>
      <c r="AO3676" s="77"/>
      <c r="AP3676" s="77"/>
      <c r="AQ3676" s="77"/>
      <c r="AR3676" s="77"/>
      <c r="AS3676" s="77"/>
      <c r="AT3676" s="77"/>
      <c r="AU3676" s="77"/>
      <c r="AV3676" s="80" t="str">
        <f>HYPERLINK("https://pbs.twimg.com/profile_images/1668964936976875522/lf5K_oVi_normal.png")</f>
        <v>https://pbs.twimg.com/profile_images/1668964936976875522/lf5K_oVi_normal.png</v>
      </c>
      <c r="AW3676" s="82" t="s">
        <v>20442</v>
      </c>
      <c r="AX3676" s="82" t="s">
        <v>20442</v>
      </c>
      <c r="AY3676" s="77"/>
      <c r="AZ3676" s="82" t="s">
        <v>20971</v>
      </c>
      <c r="BA3676" s="82" t="s">
        <v>20971</v>
      </c>
      <c r="BB3676" s="82" t="s">
        <v>20971</v>
      </c>
      <c r="BC3676" s="82" t="s">
        <v>20442</v>
      </c>
      <c r="BD3676" s="82" t="s">
        <v>21674</v>
      </c>
      <c r="BE3676" s="77"/>
      <c r="BF3676" s="77"/>
      <c r="BG3676" s="77"/>
      <c r="BH3676" s="77"/>
      <c r="BI3676" s="77"/>
    </row>
    <row r="3677" spans="1:61" x14ac:dyDescent="0.25">
      <c r="A3677" s="62" t="s">
        <v>1106</v>
      </c>
      <c r="B3677" s="62" t="s">
        <v>1241</v>
      </c>
      <c r="C3677" s="63"/>
      <c r="D3677" s="64"/>
      <c r="E3677" s="65"/>
      <c r="F3677" s="66"/>
      <c r="G3677" s="63"/>
      <c r="H3677" s="67"/>
      <c r="I3677" s="68"/>
      <c r="J3677" s="68"/>
      <c r="K3677" s="32"/>
      <c r="L3677" s="75">
        <v>3677</v>
      </c>
      <c r="M3677" s="75"/>
      <c r="N3677" s="70"/>
      <c r="O3677" s="77" t="s">
        <v>1285</v>
      </c>
      <c r="P3677" s="79">
        <v>45112.037407407406</v>
      </c>
      <c r="Q3677" s="77" t="s">
        <v>4883</v>
      </c>
      <c r="R3677" s="77">
        <v>0</v>
      </c>
      <c r="S3677" s="77">
        <v>1</v>
      </c>
      <c r="T3677" s="77">
        <v>0</v>
      </c>
      <c r="U3677" s="77">
        <v>0</v>
      </c>
      <c r="V3677" s="77">
        <v>24</v>
      </c>
      <c r="W3677" s="82" t="s">
        <v>5295</v>
      </c>
      <c r="X3677" s="80" t="str">
        <f>HYPERLINK("https://youtu.be/kFNHsYKTTfc")</f>
        <v>https://youtu.be/kFNHsYKTTfc</v>
      </c>
      <c r="Y3677" s="77" t="s">
        <v>7248</v>
      </c>
      <c r="Z3677" s="77" t="s">
        <v>1241</v>
      </c>
      <c r="AA3677" s="77"/>
      <c r="AB3677" s="77"/>
      <c r="AC3677" s="82" t="s">
        <v>10146</v>
      </c>
      <c r="AD3677" s="77" t="s">
        <v>10184</v>
      </c>
      <c r="AE3677" s="80" t="str">
        <f>HYPERLINK("https://twitter.com/gustavoo_eu/status/1676393926255673345")</f>
        <v>https://twitter.com/gustavoo_eu/status/1676393926255673345</v>
      </c>
      <c r="AF3677" s="79">
        <v>45112.037407407406</v>
      </c>
      <c r="AG3677" s="85">
        <v>45112</v>
      </c>
      <c r="AH3677" s="82" t="s">
        <v>13664</v>
      </c>
      <c r="AI3677" s="77" t="b">
        <v>0</v>
      </c>
      <c r="AJ3677" s="77"/>
      <c r="AK3677" s="77"/>
      <c r="AL3677" s="77"/>
      <c r="AM3677" s="77"/>
      <c r="AN3677" s="77"/>
      <c r="AO3677" s="77"/>
      <c r="AP3677" s="77"/>
      <c r="AQ3677" s="77"/>
      <c r="AR3677" s="77"/>
      <c r="AS3677" s="77"/>
      <c r="AT3677" s="77"/>
      <c r="AU3677" s="77"/>
      <c r="AV3677" s="80" t="str">
        <f>HYPERLINK("https://pbs.twimg.com/profile_images/1668964936976875522/lf5K_oVi_normal.png")</f>
        <v>https://pbs.twimg.com/profile_images/1668964936976875522/lf5K_oVi_normal.png</v>
      </c>
      <c r="AW3677" s="82" t="s">
        <v>20443</v>
      </c>
      <c r="AX3677" s="82" t="s">
        <v>20443</v>
      </c>
      <c r="AY3677" s="77"/>
      <c r="AZ3677" s="82" t="s">
        <v>20971</v>
      </c>
      <c r="BA3677" s="82" t="s">
        <v>20971</v>
      </c>
      <c r="BB3677" s="82" t="s">
        <v>20971</v>
      </c>
      <c r="BC3677" s="82" t="s">
        <v>20443</v>
      </c>
      <c r="BD3677" s="82" t="s">
        <v>21674</v>
      </c>
      <c r="BE3677" s="77"/>
      <c r="BF3677" s="77"/>
      <c r="BG3677" s="77"/>
      <c r="BH3677" s="77"/>
      <c r="BI3677" s="77"/>
    </row>
    <row r="3678" spans="1:61" x14ac:dyDescent="0.25">
      <c r="A3678" s="62" t="s">
        <v>1107</v>
      </c>
      <c r="B3678" s="62" t="s">
        <v>1107</v>
      </c>
      <c r="C3678" s="63"/>
      <c r="D3678" s="64"/>
      <c r="E3678" s="65"/>
      <c r="F3678" s="66"/>
      <c r="G3678" s="63"/>
      <c r="H3678" s="67"/>
      <c r="I3678" s="68"/>
      <c r="J3678" s="68"/>
      <c r="K3678" s="32"/>
      <c r="L3678" s="75">
        <v>3678</v>
      </c>
      <c r="M3678" s="75"/>
      <c r="N3678" s="70"/>
      <c r="O3678" s="77" t="s">
        <v>179</v>
      </c>
      <c r="P3678" s="79">
        <v>44966.23170138889</v>
      </c>
      <c r="Q3678" s="77" t="s">
        <v>4884</v>
      </c>
      <c r="R3678" s="77">
        <v>0</v>
      </c>
      <c r="S3678" s="77">
        <v>0</v>
      </c>
      <c r="T3678" s="77">
        <v>0</v>
      </c>
      <c r="U3678" s="77">
        <v>0</v>
      </c>
      <c r="V3678" s="77">
        <v>1</v>
      </c>
      <c r="W3678" s="82" t="s">
        <v>5236</v>
      </c>
      <c r="X3678" s="80" t="str">
        <f>HYPERLINK("https://go.hotmart.com/B77468619P")</f>
        <v>https://go.hotmart.com/B77468619P</v>
      </c>
      <c r="Y3678" s="77" t="s">
        <v>7251</v>
      </c>
      <c r="Z3678" s="77"/>
      <c r="AA3678" s="77" t="s">
        <v>9900</v>
      </c>
      <c r="AB3678" s="77" t="s">
        <v>10130</v>
      </c>
      <c r="AC3678" s="82" t="s">
        <v>10179</v>
      </c>
      <c r="AD3678" s="77" t="s">
        <v>10184</v>
      </c>
      <c r="AE3678" s="80" t="str">
        <f>HYPERLINK("https://twitter.com/tubeyoutrends/status/1623555708175151104")</f>
        <v>https://twitter.com/tubeyoutrends/status/1623555708175151104</v>
      </c>
      <c r="AF3678" s="79">
        <v>44966.23170138889</v>
      </c>
      <c r="AG3678" s="85">
        <v>44966</v>
      </c>
      <c r="AH3678" s="82" t="s">
        <v>13665</v>
      </c>
      <c r="AI3678" s="77" t="b">
        <v>0</v>
      </c>
      <c r="AJ3678" s="77"/>
      <c r="AK3678" s="77"/>
      <c r="AL3678" s="77"/>
      <c r="AM3678" s="77"/>
      <c r="AN3678" s="77"/>
      <c r="AO3678" s="77"/>
      <c r="AP3678" s="77"/>
      <c r="AQ3678" s="77" t="s">
        <v>16543</v>
      </c>
      <c r="AR3678" s="77"/>
      <c r="AS3678" s="77"/>
      <c r="AT3678" s="77"/>
      <c r="AU3678" s="77"/>
      <c r="AV3678" s="80" t="str">
        <f>HYPERLINK("https://pbs.twimg.com/media/FogHQLlaIAAYyVQ.jpg")</f>
        <v>https://pbs.twimg.com/media/FogHQLlaIAAYyVQ.jpg</v>
      </c>
      <c r="AW3678" s="82" t="s">
        <v>20444</v>
      </c>
      <c r="AX3678" s="82" t="s">
        <v>20444</v>
      </c>
      <c r="AY3678" s="77"/>
      <c r="AZ3678" s="82" t="s">
        <v>20971</v>
      </c>
      <c r="BA3678" s="82" t="s">
        <v>20971</v>
      </c>
      <c r="BB3678" s="82" t="s">
        <v>20971</v>
      </c>
      <c r="BC3678" s="82" t="s">
        <v>20444</v>
      </c>
      <c r="BD3678" s="82" t="s">
        <v>21675</v>
      </c>
      <c r="BE3678" s="77"/>
      <c r="BF3678" s="77"/>
      <c r="BG3678" s="77"/>
      <c r="BH3678" s="77"/>
      <c r="BI3678" s="77"/>
    </row>
    <row r="3679" spans="1:61" x14ac:dyDescent="0.25">
      <c r="A3679" s="62" t="s">
        <v>1107</v>
      </c>
      <c r="B3679" s="62" t="s">
        <v>1107</v>
      </c>
      <c r="C3679" s="63"/>
      <c r="D3679" s="64"/>
      <c r="E3679" s="65"/>
      <c r="F3679" s="66"/>
      <c r="G3679" s="63"/>
      <c r="H3679" s="67"/>
      <c r="I3679" s="68"/>
      <c r="J3679" s="68"/>
      <c r="K3679" s="32"/>
      <c r="L3679" s="75">
        <v>3679</v>
      </c>
      <c r="M3679" s="75"/>
      <c r="N3679" s="70"/>
      <c r="O3679" s="77" t="s">
        <v>179</v>
      </c>
      <c r="P3679" s="79">
        <v>44964.88621527778</v>
      </c>
      <c r="Q3679" s="77" t="s">
        <v>4885</v>
      </c>
      <c r="R3679" s="77">
        <v>0</v>
      </c>
      <c r="S3679" s="77">
        <v>0</v>
      </c>
      <c r="T3679" s="77">
        <v>0</v>
      </c>
      <c r="U3679" s="77">
        <v>0</v>
      </c>
      <c r="V3679" s="77">
        <v>4</v>
      </c>
      <c r="W3679" s="82" t="s">
        <v>5236</v>
      </c>
      <c r="X3679" s="80" t="str">
        <f>HYPERLINK("https://go.hotmart.com/B77468619P")</f>
        <v>https://go.hotmart.com/B77468619P</v>
      </c>
      <c r="Y3679" s="77" t="s">
        <v>7251</v>
      </c>
      <c r="Z3679" s="77"/>
      <c r="AA3679" s="77" t="s">
        <v>9901</v>
      </c>
      <c r="AB3679" s="77" t="s">
        <v>10130</v>
      </c>
      <c r="AC3679" s="82" t="s">
        <v>10179</v>
      </c>
      <c r="AD3679" s="77" t="s">
        <v>10184</v>
      </c>
      <c r="AE3679" s="80" t="str">
        <f>HYPERLINK("https://twitter.com/tubeyoutrends/status/1623068121085931526")</f>
        <v>https://twitter.com/tubeyoutrends/status/1623068121085931526</v>
      </c>
      <c r="AF3679" s="79">
        <v>44964.88621527778</v>
      </c>
      <c r="AG3679" s="85">
        <v>44964</v>
      </c>
      <c r="AH3679" s="82" t="s">
        <v>13666</v>
      </c>
      <c r="AI3679" s="77" t="b">
        <v>0</v>
      </c>
      <c r="AJ3679" s="77"/>
      <c r="AK3679" s="77"/>
      <c r="AL3679" s="77"/>
      <c r="AM3679" s="77"/>
      <c r="AN3679" s="77"/>
      <c r="AO3679" s="77"/>
      <c r="AP3679" s="77"/>
      <c r="AQ3679" s="77" t="s">
        <v>16544</v>
      </c>
      <c r="AR3679" s="77"/>
      <c r="AS3679" s="77"/>
      <c r="AT3679" s="77"/>
      <c r="AU3679" s="77"/>
      <c r="AV3679" s="80" t="str">
        <f>HYPERLINK("https://pbs.twimg.com/media/FoZL0q5XgAEfIVk.jpg")</f>
        <v>https://pbs.twimg.com/media/FoZL0q5XgAEfIVk.jpg</v>
      </c>
      <c r="AW3679" s="82" t="s">
        <v>20445</v>
      </c>
      <c r="AX3679" s="82" t="s">
        <v>20445</v>
      </c>
      <c r="AY3679" s="77"/>
      <c r="AZ3679" s="82" t="s">
        <v>20971</v>
      </c>
      <c r="BA3679" s="82" t="s">
        <v>20971</v>
      </c>
      <c r="BB3679" s="82" t="s">
        <v>20971</v>
      </c>
      <c r="BC3679" s="82" t="s">
        <v>20445</v>
      </c>
      <c r="BD3679" s="82" t="s">
        <v>21675</v>
      </c>
      <c r="BE3679" s="77"/>
      <c r="BF3679" s="77"/>
      <c r="BG3679" s="77"/>
      <c r="BH3679" s="77"/>
      <c r="BI3679" s="77"/>
    </row>
    <row r="3680" spans="1:61" x14ac:dyDescent="0.25">
      <c r="A3680" s="62" t="s">
        <v>1107</v>
      </c>
      <c r="B3680" s="62" t="s">
        <v>1107</v>
      </c>
      <c r="C3680" s="63"/>
      <c r="D3680" s="64"/>
      <c r="E3680" s="65"/>
      <c r="F3680" s="66"/>
      <c r="G3680" s="63"/>
      <c r="H3680" s="67"/>
      <c r="I3680" s="68"/>
      <c r="J3680" s="68"/>
      <c r="K3680" s="32"/>
      <c r="L3680" s="75">
        <v>3680</v>
      </c>
      <c r="M3680" s="75"/>
      <c r="N3680" s="70"/>
      <c r="O3680" s="77" t="s">
        <v>179</v>
      </c>
      <c r="P3680" s="79">
        <v>44964.715486111112</v>
      </c>
      <c r="Q3680" s="77" t="s">
        <v>4886</v>
      </c>
      <c r="R3680" s="77">
        <v>0</v>
      </c>
      <c r="S3680" s="77">
        <v>0</v>
      </c>
      <c r="T3680" s="77">
        <v>0</v>
      </c>
      <c r="U3680" s="77">
        <v>0</v>
      </c>
      <c r="V3680" s="77">
        <v>3</v>
      </c>
      <c r="W3680" s="82" t="s">
        <v>5236</v>
      </c>
      <c r="X3680" s="80" t="str">
        <f>HYPERLINK("https://go.hotmart.com/B77468619P")</f>
        <v>https://go.hotmart.com/B77468619P</v>
      </c>
      <c r="Y3680" s="77" t="s">
        <v>7251</v>
      </c>
      <c r="Z3680" s="77"/>
      <c r="AA3680" s="77" t="s">
        <v>9902</v>
      </c>
      <c r="AB3680" s="77" t="s">
        <v>10130</v>
      </c>
      <c r="AC3680" s="82" t="s">
        <v>10179</v>
      </c>
      <c r="AD3680" s="77" t="s">
        <v>10184</v>
      </c>
      <c r="AE3680" s="80" t="str">
        <f>HYPERLINK("https://twitter.com/tubeyoutrends/status/1623006250819629089")</f>
        <v>https://twitter.com/tubeyoutrends/status/1623006250819629089</v>
      </c>
      <c r="AF3680" s="79">
        <v>44964.715486111112</v>
      </c>
      <c r="AG3680" s="85">
        <v>44964</v>
      </c>
      <c r="AH3680" s="82" t="s">
        <v>13667</v>
      </c>
      <c r="AI3680" s="77" t="b">
        <v>0</v>
      </c>
      <c r="AJ3680" s="77"/>
      <c r="AK3680" s="77"/>
      <c r="AL3680" s="77"/>
      <c r="AM3680" s="77"/>
      <c r="AN3680" s="77"/>
      <c r="AO3680" s="77"/>
      <c r="AP3680" s="77"/>
      <c r="AQ3680" s="77" t="s">
        <v>16545</v>
      </c>
      <c r="AR3680" s="77"/>
      <c r="AS3680" s="77"/>
      <c r="AT3680" s="77"/>
      <c r="AU3680" s="77"/>
      <c r="AV3680" s="80" t="str">
        <f>HYPERLINK("https://pbs.twimg.com/media/FoYTjJcXsA8BiE6.jpg")</f>
        <v>https://pbs.twimg.com/media/FoYTjJcXsA8BiE6.jpg</v>
      </c>
      <c r="AW3680" s="82" t="s">
        <v>20446</v>
      </c>
      <c r="AX3680" s="82" t="s">
        <v>20446</v>
      </c>
      <c r="AY3680" s="77"/>
      <c r="AZ3680" s="82" t="s">
        <v>20971</v>
      </c>
      <c r="BA3680" s="82" t="s">
        <v>20971</v>
      </c>
      <c r="BB3680" s="82" t="s">
        <v>20971</v>
      </c>
      <c r="BC3680" s="82" t="s">
        <v>20446</v>
      </c>
      <c r="BD3680" s="82" t="s">
        <v>21675</v>
      </c>
      <c r="BE3680" s="77"/>
      <c r="BF3680" s="77"/>
      <c r="BG3680" s="77"/>
      <c r="BH3680" s="77"/>
      <c r="BI3680" s="77"/>
    </row>
    <row r="3681" spans="1:61" x14ac:dyDescent="0.25">
      <c r="A3681" s="62" t="s">
        <v>1107</v>
      </c>
      <c r="B3681" s="62" t="s">
        <v>1107</v>
      </c>
      <c r="C3681" s="63"/>
      <c r="D3681" s="64"/>
      <c r="E3681" s="65"/>
      <c r="F3681" s="66"/>
      <c r="G3681" s="63"/>
      <c r="H3681" s="67"/>
      <c r="I3681" s="68"/>
      <c r="J3681" s="68"/>
      <c r="K3681" s="32"/>
      <c r="L3681" s="75">
        <v>3681</v>
      </c>
      <c r="M3681" s="75"/>
      <c r="N3681" s="70"/>
      <c r="O3681" s="77" t="s">
        <v>179</v>
      </c>
      <c r="P3681" s="79">
        <v>44989.447766203702</v>
      </c>
      <c r="Q3681" s="77" t="s">
        <v>4887</v>
      </c>
      <c r="R3681" s="77">
        <v>0</v>
      </c>
      <c r="S3681" s="77">
        <v>0</v>
      </c>
      <c r="T3681" s="77">
        <v>0</v>
      </c>
      <c r="U3681" s="77">
        <v>0</v>
      </c>
      <c r="V3681" s="77">
        <v>4</v>
      </c>
      <c r="W3681" s="82" t="s">
        <v>5236</v>
      </c>
      <c r="X3681" s="80" t="str">
        <f>HYPERLINK("https://go.hotmart.com/B77468619P")</f>
        <v>https://go.hotmart.com/B77468619P</v>
      </c>
      <c r="Y3681" s="77" t="s">
        <v>7251</v>
      </c>
      <c r="Z3681" s="77"/>
      <c r="AA3681" s="77" t="s">
        <v>9903</v>
      </c>
      <c r="AB3681" s="77" t="s">
        <v>10130</v>
      </c>
      <c r="AC3681" s="82" t="s">
        <v>10179</v>
      </c>
      <c r="AD3681" s="77" t="s">
        <v>10184</v>
      </c>
      <c r="AE3681" s="80" t="str">
        <f>HYPERLINK("https://twitter.com/tubeyoutrends/status/1631968928669786114")</f>
        <v>https://twitter.com/tubeyoutrends/status/1631968928669786114</v>
      </c>
      <c r="AF3681" s="79">
        <v>44989.447766203702</v>
      </c>
      <c r="AG3681" s="85">
        <v>44989</v>
      </c>
      <c r="AH3681" s="82" t="s">
        <v>13668</v>
      </c>
      <c r="AI3681" s="77" t="b">
        <v>0</v>
      </c>
      <c r="AJ3681" s="77"/>
      <c r="AK3681" s="77"/>
      <c r="AL3681" s="77"/>
      <c r="AM3681" s="77"/>
      <c r="AN3681" s="77"/>
      <c r="AO3681" s="77"/>
      <c r="AP3681" s="77"/>
      <c r="AQ3681" s="77" t="s">
        <v>16546</v>
      </c>
      <c r="AR3681" s="77"/>
      <c r="AS3681" s="77"/>
      <c r="AT3681" s="77"/>
      <c r="AU3681" s="77"/>
      <c r="AV3681" s="80" t="str">
        <f>HYPERLINK("https://pbs.twimg.com/media/FqXrFAxXgAIIjL6.jpg")</f>
        <v>https://pbs.twimg.com/media/FqXrFAxXgAIIjL6.jpg</v>
      </c>
      <c r="AW3681" s="82" t="s">
        <v>20447</v>
      </c>
      <c r="AX3681" s="82" t="s">
        <v>20447</v>
      </c>
      <c r="AY3681" s="77"/>
      <c r="AZ3681" s="82" t="s">
        <v>20971</v>
      </c>
      <c r="BA3681" s="82" t="s">
        <v>20971</v>
      </c>
      <c r="BB3681" s="82" t="s">
        <v>20971</v>
      </c>
      <c r="BC3681" s="82" t="s">
        <v>20447</v>
      </c>
      <c r="BD3681" s="82" t="s">
        <v>21675</v>
      </c>
      <c r="BE3681" s="77"/>
      <c r="BF3681" s="77"/>
      <c r="BG3681" s="77"/>
      <c r="BH3681" s="77"/>
      <c r="BI3681" s="77"/>
    </row>
    <row r="3682" spans="1:61" x14ac:dyDescent="0.25">
      <c r="A3682" s="62" t="s">
        <v>1107</v>
      </c>
      <c r="B3682" s="62" t="s">
        <v>1107</v>
      </c>
      <c r="C3682" s="63"/>
      <c r="D3682" s="64"/>
      <c r="E3682" s="65"/>
      <c r="F3682" s="66"/>
      <c r="G3682" s="63"/>
      <c r="H3682" s="67"/>
      <c r="I3682" s="68"/>
      <c r="J3682" s="68"/>
      <c r="K3682" s="32"/>
      <c r="L3682" s="75">
        <v>3682</v>
      </c>
      <c r="M3682" s="75"/>
      <c r="N3682" s="70"/>
      <c r="O3682" s="77" t="s">
        <v>179</v>
      </c>
      <c r="P3682" s="79">
        <v>44988.02175925926</v>
      </c>
      <c r="Q3682" s="77" t="s">
        <v>4888</v>
      </c>
      <c r="R3682" s="77">
        <v>0</v>
      </c>
      <c r="S3682" s="77">
        <v>0</v>
      </c>
      <c r="T3682" s="77">
        <v>0</v>
      </c>
      <c r="U3682" s="77">
        <v>0</v>
      </c>
      <c r="V3682" s="77">
        <v>5</v>
      </c>
      <c r="W3682" s="82" t="s">
        <v>5236</v>
      </c>
      <c r="X3682" s="80" t="str">
        <f>HYPERLINK("https://go.hotmart.com/B77468619P")</f>
        <v>https://go.hotmart.com/B77468619P</v>
      </c>
      <c r="Y3682" s="77" t="s">
        <v>7251</v>
      </c>
      <c r="Z3682" s="77"/>
      <c r="AA3682" s="77" t="s">
        <v>9904</v>
      </c>
      <c r="AB3682" s="77" t="s">
        <v>10130</v>
      </c>
      <c r="AC3682" s="82" t="s">
        <v>10179</v>
      </c>
      <c r="AD3682" s="77" t="s">
        <v>10184</v>
      </c>
      <c r="AE3682" s="80" t="str">
        <f>HYPERLINK("https://twitter.com/tubeyoutrends/status/1631452158263427072")</f>
        <v>https://twitter.com/tubeyoutrends/status/1631452158263427072</v>
      </c>
      <c r="AF3682" s="79">
        <v>44988.02175925926</v>
      </c>
      <c r="AG3682" s="85">
        <v>44988</v>
      </c>
      <c r="AH3682" s="82" t="s">
        <v>13669</v>
      </c>
      <c r="AI3682" s="77" t="b">
        <v>0</v>
      </c>
      <c r="AJ3682" s="77"/>
      <c r="AK3682" s="77"/>
      <c r="AL3682" s="77"/>
      <c r="AM3682" s="77"/>
      <c r="AN3682" s="77"/>
      <c r="AO3682" s="77"/>
      <c r="AP3682" s="77"/>
      <c r="AQ3682" s="77" t="s">
        <v>16547</v>
      </c>
      <c r="AR3682" s="77"/>
      <c r="AS3682" s="77"/>
      <c r="AT3682" s="77"/>
      <c r="AU3682" s="77"/>
      <c r="AV3682" s="80" t="str">
        <f>HYPERLINK("https://pbs.twimg.com/media/FqQVD21WIAMRM_X.jpg")</f>
        <v>https://pbs.twimg.com/media/FqQVD21WIAMRM_X.jpg</v>
      </c>
      <c r="AW3682" s="82" t="s">
        <v>20448</v>
      </c>
      <c r="AX3682" s="82" t="s">
        <v>20448</v>
      </c>
      <c r="AY3682" s="77"/>
      <c r="AZ3682" s="82" t="s">
        <v>20971</v>
      </c>
      <c r="BA3682" s="82" t="s">
        <v>20971</v>
      </c>
      <c r="BB3682" s="82" t="s">
        <v>20971</v>
      </c>
      <c r="BC3682" s="82" t="s">
        <v>20448</v>
      </c>
      <c r="BD3682" s="82" t="s">
        <v>21675</v>
      </c>
      <c r="BE3682" s="77"/>
      <c r="BF3682" s="77"/>
      <c r="BG3682" s="77"/>
      <c r="BH3682" s="77"/>
      <c r="BI3682" s="77"/>
    </row>
    <row r="3683" spans="1:61" x14ac:dyDescent="0.25">
      <c r="A3683" s="62" t="s">
        <v>1107</v>
      </c>
      <c r="B3683" s="62" t="s">
        <v>1107</v>
      </c>
      <c r="C3683" s="63"/>
      <c r="D3683" s="64"/>
      <c r="E3683" s="65"/>
      <c r="F3683" s="66"/>
      <c r="G3683" s="63"/>
      <c r="H3683" s="67"/>
      <c r="I3683" s="68"/>
      <c r="J3683" s="68"/>
      <c r="K3683" s="32"/>
      <c r="L3683" s="75">
        <v>3683</v>
      </c>
      <c r="M3683" s="75"/>
      <c r="N3683" s="70"/>
      <c r="O3683" s="77" t="s">
        <v>179</v>
      </c>
      <c r="P3683" s="79">
        <v>44967.596944444442</v>
      </c>
      <c r="Q3683" s="77" t="s">
        <v>4889</v>
      </c>
      <c r="R3683" s="77">
        <v>0</v>
      </c>
      <c r="S3683" s="77">
        <v>0</v>
      </c>
      <c r="T3683" s="77">
        <v>0</v>
      </c>
      <c r="U3683" s="77">
        <v>0</v>
      </c>
      <c r="V3683" s="77">
        <v>6</v>
      </c>
      <c r="W3683" s="82" t="s">
        <v>5236</v>
      </c>
      <c r="X3683" s="80" t="str">
        <f>HYPERLINK("https://go.hotmart.com/B77468619P")</f>
        <v>https://go.hotmart.com/B77468619P</v>
      </c>
      <c r="Y3683" s="77" t="s">
        <v>7251</v>
      </c>
      <c r="Z3683" s="77"/>
      <c r="AA3683" s="77" t="s">
        <v>9905</v>
      </c>
      <c r="AB3683" s="77" t="s">
        <v>10130</v>
      </c>
      <c r="AC3683" s="82" t="s">
        <v>10179</v>
      </c>
      <c r="AD3683" s="77" t="s">
        <v>10184</v>
      </c>
      <c r="AE3683" s="80" t="str">
        <f>HYPERLINK("https://twitter.com/tubeyoutrends/status/1624050453305602049")</f>
        <v>https://twitter.com/tubeyoutrends/status/1624050453305602049</v>
      </c>
      <c r="AF3683" s="79">
        <v>44967.596944444442</v>
      </c>
      <c r="AG3683" s="85">
        <v>44967</v>
      </c>
      <c r="AH3683" s="82" t="s">
        <v>13670</v>
      </c>
      <c r="AI3683" s="77" t="b">
        <v>0</v>
      </c>
      <c r="AJ3683" s="77"/>
      <c r="AK3683" s="77"/>
      <c r="AL3683" s="77"/>
      <c r="AM3683" s="77"/>
      <c r="AN3683" s="77"/>
      <c r="AO3683" s="77"/>
      <c r="AP3683" s="77"/>
      <c r="AQ3683" s="77" t="s">
        <v>16548</v>
      </c>
      <c r="AR3683" s="77"/>
      <c r="AS3683" s="77"/>
      <c r="AT3683" s="77"/>
      <c r="AU3683" s="77"/>
      <c r="AV3683" s="80" t="str">
        <f>HYPERLINK("https://pbs.twimg.com/media/FonJNTwX0AsBm7Q.jpg")</f>
        <v>https://pbs.twimg.com/media/FonJNTwX0AsBm7Q.jpg</v>
      </c>
      <c r="AW3683" s="82" t="s">
        <v>20449</v>
      </c>
      <c r="AX3683" s="82" t="s">
        <v>20449</v>
      </c>
      <c r="AY3683" s="77"/>
      <c r="AZ3683" s="82" t="s">
        <v>20971</v>
      </c>
      <c r="BA3683" s="82" t="s">
        <v>20971</v>
      </c>
      <c r="BB3683" s="82" t="s">
        <v>20971</v>
      </c>
      <c r="BC3683" s="82" t="s">
        <v>20449</v>
      </c>
      <c r="BD3683" s="82" t="s">
        <v>21675</v>
      </c>
      <c r="BE3683" s="77"/>
      <c r="BF3683" s="77"/>
      <c r="BG3683" s="77"/>
      <c r="BH3683" s="77"/>
      <c r="BI3683" s="77"/>
    </row>
    <row r="3684" spans="1:61" x14ac:dyDescent="0.25">
      <c r="A3684" s="62" t="s">
        <v>1107</v>
      </c>
      <c r="B3684" s="62" t="s">
        <v>1107</v>
      </c>
      <c r="C3684" s="63"/>
      <c r="D3684" s="64"/>
      <c r="E3684" s="65"/>
      <c r="F3684" s="66"/>
      <c r="G3684" s="63"/>
      <c r="H3684" s="67"/>
      <c r="I3684" s="68"/>
      <c r="J3684" s="68"/>
      <c r="K3684" s="32"/>
      <c r="L3684" s="75">
        <v>3684</v>
      </c>
      <c r="M3684" s="75"/>
      <c r="N3684" s="70"/>
      <c r="O3684" s="77" t="s">
        <v>179</v>
      </c>
      <c r="P3684" s="79">
        <v>44966.905011574076</v>
      </c>
      <c r="Q3684" s="77" t="s">
        <v>4890</v>
      </c>
      <c r="R3684" s="77">
        <v>0</v>
      </c>
      <c r="S3684" s="77">
        <v>0</v>
      </c>
      <c r="T3684" s="77">
        <v>0</v>
      </c>
      <c r="U3684" s="77">
        <v>0</v>
      </c>
      <c r="V3684" s="77">
        <v>6</v>
      </c>
      <c r="W3684" s="82" t="s">
        <v>5236</v>
      </c>
      <c r="X3684" s="80" t="str">
        <f>HYPERLINK("https://go.hotmart.com/B77468619P")</f>
        <v>https://go.hotmart.com/B77468619P</v>
      </c>
      <c r="Y3684" s="77" t="s">
        <v>7251</v>
      </c>
      <c r="Z3684" s="77"/>
      <c r="AA3684" s="77" t="s">
        <v>9906</v>
      </c>
      <c r="AB3684" s="77" t="s">
        <v>10130</v>
      </c>
      <c r="AC3684" s="82" t="s">
        <v>10179</v>
      </c>
      <c r="AD3684" s="77" t="s">
        <v>10184</v>
      </c>
      <c r="AE3684" s="80" t="str">
        <f>HYPERLINK("https://twitter.com/tubeyoutrends/status/1623799708379496449")</f>
        <v>https://twitter.com/tubeyoutrends/status/1623799708379496449</v>
      </c>
      <c r="AF3684" s="79">
        <v>44966.905011574076</v>
      </c>
      <c r="AG3684" s="85">
        <v>44966</v>
      </c>
      <c r="AH3684" s="82" t="s">
        <v>13671</v>
      </c>
      <c r="AI3684" s="77" t="b">
        <v>0</v>
      </c>
      <c r="AJ3684" s="77"/>
      <c r="AK3684" s="77"/>
      <c r="AL3684" s="77"/>
      <c r="AM3684" s="77"/>
      <c r="AN3684" s="77"/>
      <c r="AO3684" s="77"/>
      <c r="AP3684" s="77"/>
      <c r="AQ3684" s="77" t="s">
        <v>16549</v>
      </c>
      <c r="AR3684" s="77"/>
      <c r="AS3684" s="77"/>
      <c r="AT3684" s="77"/>
      <c r="AU3684" s="77"/>
      <c r="AV3684" s="80" t="str">
        <f>HYPERLINK("https://pbs.twimg.com/media/FojlMOyWYAIxi5o.jpg")</f>
        <v>https://pbs.twimg.com/media/FojlMOyWYAIxi5o.jpg</v>
      </c>
      <c r="AW3684" s="82" t="s">
        <v>20450</v>
      </c>
      <c r="AX3684" s="82" t="s">
        <v>20450</v>
      </c>
      <c r="AY3684" s="77"/>
      <c r="AZ3684" s="82" t="s">
        <v>20971</v>
      </c>
      <c r="BA3684" s="82" t="s">
        <v>20971</v>
      </c>
      <c r="BB3684" s="82" t="s">
        <v>20971</v>
      </c>
      <c r="BC3684" s="82" t="s">
        <v>20450</v>
      </c>
      <c r="BD3684" s="82" t="s">
        <v>21675</v>
      </c>
      <c r="BE3684" s="77"/>
      <c r="BF3684" s="77"/>
      <c r="BG3684" s="77"/>
      <c r="BH3684" s="77"/>
      <c r="BI3684" s="77"/>
    </row>
    <row r="3685" spans="1:61" x14ac:dyDescent="0.25">
      <c r="A3685" s="62" t="s">
        <v>1107</v>
      </c>
      <c r="B3685" s="62" t="s">
        <v>1107</v>
      </c>
      <c r="C3685" s="63"/>
      <c r="D3685" s="64"/>
      <c r="E3685" s="65"/>
      <c r="F3685" s="66"/>
      <c r="G3685" s="63"/>
      <c r="H3685" s="67"/>
      <c r="I3685" s="68"/>
      <c r="J3685" s="68"/>
      <c r="K3685" s="32"/>
      <c r="L3685" s="75">
        <v>3685</v>
      </c>
      <c r="M3685" s="75"/>
      <c r="N3685" s="70"/>
      <c r="O3685" s="77" t="s">
        <v>179</v>
      </c>
      <c r="P3685" s="79">
        <v>44963.42428240741</v>
      </c>
      <c r="Q3685" s="77" t="s">
        <v>4891</v>
      </c>
      <c r="R3685" s="77">
        <v>0</v>
      </c>
      <c r="S3685" s="77">
        <v>0</v>
      </c>
      <c r="T3685" s="77">
        <v>0</v>
      </c>
      <c r="U3685" s="77">
        <v>0</v>
      </c>
      <c r="V3685" s="77">
        <v>2</v>
      </c>
      <c r="W3685" s="82" t="s">
        <v>5236</v>
      </c>
      <c r="X3685" s="80" t="str">
        <f>HYPERLINK("https://go.hotmart.com/B77468619P")</f>
        <v>https://go.hotmart.com/B77468619P</v>
      </c>
      <c r="Y3685" s="77" t="s">
        <v>7251</v>
      </c>
      <c r="Z3685" s="77"/>
      <c r="AA3685" s="77" t="s">
        <v>9907</v>
      </c>
      <c r="AB3685" s="77" t="s">
        <v>10130</v>
      </c>
      <c r="AC3685" s="82" t="s">
        <v>10179</v>
      </c>
      <c r="AD3685" s="77" t="s">
        <v>10184</v>
      </c>
      <c r="AE3685" s="80" t="str">
        <f>HYPERLINK("https://twitter.com/tubeyoutrends/status/1622538334831620096")</f>
        <v>https://twitter.com/tubeyoutrends/status/1622538334831620096</v>
      </c>
      <c r="AF3685" s="79">
        <v>44963.42428240741</v>
      </c>
      <c r="AG3685" s="85">
        <v>44963</v>
      </c>
      <c r="AH3685" s="82" t="s">
        <v>13672</v>
      </c>
      <c r="AI3685" s="77" t="b">
        <v>0</v>
      </c>
      <c r="AJ3685" s="77"/>
      <c r="AK3685" s="77"/>
      <c r="AL3685" s="77"/>
      <c r="AM3685" s="77"/>
      <c r="AN3685" s="77"/>
      <c r="AO3685" s="77"/>
      <c r="AP3685" s="77"/>
      <c r="AQ3685" s="77" t="s">
        <v>16550</v>
      </c>
      <c r="AR3685" s="77"/>
      <c r="AS3685" s="77"/>
      <c r="AT3685" s="77"/>
      <c r="AU3685" s="77"/>
      <c r="AV3685" s="80" t="str">
        <f>HYPERLINK("https://pbs.twimg.com/media/FoRp_LiWIAEz8cK.jpg")</f>
        <v>https://pbs.twimg.com/media/FoRp_LiWIAEz8cK.jpg</v>
      </c>
      <c r="AW3685" s="82" t="s">
        <v>20451</v>
      </c>
      <c r="AX3685" s="82" t="s">
        <v>20451</v>
      </c>
      <c r="AY3685" s="77"/>
      <c r="AZ3685" s="82" t="s">
        <v>20971</v>
      </c>
      <c r="BA3685" s="82" t="s">
        <v>20971</v>
      </c>
      <c r="BB3685" s="82" t="s">
        <v>20971</v>
      </c>
      <c r="BC3685" s="82" t="s">
        <v>20451</v>
      </c>
      <c r="BD3685" s="82" t="s">
        <v>21675</v>
      </c>
      <c r="BE3685" s="77"/>
      <c r="BF3685" s="77"/>
      <c r="BG3685" s="77"/>
      <c r="BH3685" s="77"/>
      <c r="BI3685" s="77"/>
    </row>
    <row r="3686" spans="1:61" x14ac:dyDescent="0.25">
      <c r="A3686" s="62" t="s">
        <v>1107</v>
      </c>
      <c r="B3686" s="62" t="s">
        <v>1107</v>
      </c>
      <c r="C3686" s="63"/>
      <c r="D3686" s="64"/>
      <c r="E3686" s="65"/>
      <c r="F3686" s="66"/>
      <c r="G3686" s="63"/>
      <c r="H3686" s="67"/>
      <c r="I3686" s="68"/>
      <c r="J3686" s="68"/>
      <c r="K3686" s="32"/>
      <c r="L3686" s="75">
        <v>3686</v>
      </c>
      <c r="M3686" s="75"/>
      <c r="N3686" s="70"/>
      <c r="O3686" s="77" t="s">
        <v>179</v>
      </c>
      <c r="P3686" s="79">
        <v>44976.587187500001</v>
      </c>
      <c r="Q3686" s="77" t="s">
        <v>4892</v>
      </c>
      <c r="R3686" s="77">
        <v>0</v>
      </c>
      <c r="S3686" s="77">
        <v>0</v>
      </c>
      <c r="T3686" s="77">
        <v>0</v>
      </c>
      <c r="U3686" s="77">
        <v>0</v>
      </c>
      <c r="V3686" s="77">
        <v>3</v>
      </c>
      <c r="W3686" s="82" t="s">
        <v>5236</v>
      </c>
      <c r="X3686" s="80" t="str">
        <f>HYPERLINK("https://go.hotmart.com/B77468619P")</f>
        <v>https://go.hotmart.com/B77468619P</v>
      </c>
      <c r="Y3686" s="77" t="s">
        <v>7251</v>
      </c>
      <c r="Z3686" s="77"/>
      <c r="AA3686" s="77" t="s">
        <v>9908</v>
      </c>
      <c r="AB3686" s="77" t="s">
        <v>10130</v>
      </c>
      <c r="AC3686" s="82" t="s">
        <v>10179</v>
      </c>
      <c r="AD3686" s="77" t="s">
        <v>10184</v>
      </c>
      <c r="AE3686" s="80" t="str">
        <f>HYPERLINK("https://twitter.com/tubeyoutrends/status/1627308410977787904")</f>
        <v>https://twitter.com/tubeyoutrends/status/1627308410977787904</v>
      </c>
      <c r="AF3686" s="79">
        <v>44976.587187500001</v>
      </c>
      <c r="AG3686" s="85">
        <v>44976</v>
      </c>
      <c r="AH3686" s="82" t="s">
        <v>13673</v>
      </c>
      <c r="AI3686" s="77" t="b">
        <v>0</v>
      </c>
      <c r="AJ3686" s="77"/>
      <c r="AK3686" s="77"/>
      <c r="AL3686" s="77"/>
      <c r="AM3686" s="77"/>
      <c r="AN3686" s="77"/>
      <c r="AO3686" s="77"/>
      <c r="AP3686" s="77"/>
      <c r="AQ3686" s="77" t="s">
        <v>16551</v>
      </c>
      <c r="AR3686" s="77"/>
      <c r="AS3686" s="77"/>
      <c r="AT3686" s="77"/>
      <c r="AU3686" s="77"/>
      <c r="AV3686" s="80" t="str">
        <f>HYPERLINK("https://pbs.twimg.com/media/FpVcV3XWAAIyu3x.jpg")</f>
        <v>https://pbs.twimg.com/media/FpVcV3XWAAIyu3x.jpg</v>
      </c>
      <c r="AW3686" s="82" t="s">
        <v>20452</v>
      </c>
      <c r="AX3686" s="82" t="s">
        <v>20452</v>
      </c>
      <c r="AY3686" s="77"/>
      <c r="AZ3686" s="82" t="s">
        <v>20971</v>
      </c>
      <c r="BA3686" s="82" t="s">
        <v>20971</v>
      </c>
      <c r="BB3686" s="82" t="s">
        <v>20971</v>
      </c>
      <c r="BC3686" s="82" t="s">
        <v>20452</v>
      </c>
      <c r="BD3686" s="82" t="s">
        <v>21675</v>
      </c>
      <c r="BE3686" s="77"/>
      <c r="BF3686" s="77"/>
      <c r="BG3686" s="77"/>
      <c r="BH3686" s="77"/>
      <c r="BI3686" s="77"/>
    </row>
    <row r="3687" spans="1:61" x14ac:dyDescent="0.25">
      <c r="A3687" s="62" t="s">
        <v>1107</v>
      </c>
      <c r="B3687" s="62" t="s">
        <v>1107</v>
      </c>
      <c r="C3687" s="63"/>
      <c r="D3687" s="64"/>
      <c r="E3687" s="65"/>
      <c r="F3687" s="66"/>
      <c r="G3687" s="63"/>
      <c r="H3687" s="67"/>
      <c r="I3687" s="68"/>
      <c r="J3687" s="68"/>
      <c r="K3687" s="32"/>
      <c r="L3687" s="75">
        <v>3687</v>
      </c>
      <c r="M3687" s="75"/>
      <c r="N3687" s="70"/>
      <c r="O3687" s="77" t="s">
        <v>179</v>
      </c>
      <c r="P3687" s="79">
        <v>44986.557650462964</v>
      </c>
      <c r="Q3687" s="77" t="s">
        <v>4893</v>
      </c>
      <c r="R3687" s="77">
        <v>0</v>
      </c>
      <c r="S3687" s="77">
        <v>0</v>
      </c>
      <c r="T3687" s="77">
        <v>0</v>
      </c>
      <c r="U3687" s="77">
        <v>0</v>
      </c>
      <c r="V3687" s="77">
        <v>2</v>
      </c>
      <c r="W3687" s="82" t="s">
        <v>5236</v>
      </c>
      <c r="X3687" s="80" t="str">
        <f>HYPERLINK("https://go.hotmart.com/B77468619P")</f>
        <v>https://go.hotmart.com/B77468619P</v>
      </c>
      <c r="Y3687" s="77" t="s">
        <v>7251</v>
      </c>
      <c r="Z3687" s="77"/>
      <c r="AA3687" s="77" t="s">
        <v>9909</v>
      </c>
      <c r="AB3687" s="77" t="s">
        <v>10130</v>
      </c>
      <c r="AC3687" s="82" t="s">
        <v>10179</v>
      </c>
      <c r="AD3687" s="77" t="s">
        <v>10184</v>
      </c>
      <c r="AE3687" s="80" t="str">
        <f>HYPERLINK("https://twitter.com/tubeyoutrends/status/1630921585732329472")</f>
        <v>https://twitter.com/tubeyoutrends/status/1630921585732329472</v>
      </c>
      <c r="AF3687" s="79">
        <v>44986.557650462964</v>
      </c>
      <c r="AG3687" s="85">
        <v>44986</v>
      </c>
      <c r="AH3687" s="82" t="s">
        <v>13674</v>
      </c>
      <c r="AI3687" s="77" t="b">
        <v>0</v>
      </c>
      <c r="AJ3687" s="77"/>
      <c r="AK3687" s="77"/>
      <c r="AL3687" s="77"/>
      <c r="AM3687" s="77"/>
      <c r="AN3687" s="77"/>
      <c r="AO3687" s="77"/>
      <c r="AP3687" s="77"/>
      <c r="AQ3687" s="77" t="s">
        <v>16552</v>
      </c>
      <c r="AR3687" s="77"/>
      <c r="AS3687" s="77"/>
      <c r="AT3687" s="77"/>
      <c r="AU3687" s="77"/>
      <c r="AV3687" s="80" t="str">
        <f>HYPERLINK("https://pbs.twimg.com/media/FqIyf1XWwAoSH8o.jpg")</f>
        <v>https://pbs.twimg.com/media/FqIyf1XWwAoSH8o.jpg</v>
      </c>
      <c r="AW3687" s="82" t="s">
        <v>20453</v>
      </c>
      <c r="AX3687" s="82" t="s">
        <v>20453</v>
      </c>
      <c r="AY3687" s="77"/>
      <c r="AZ3687" s="82" t="s">
        <v>20971</v>
      </c>
      <c r="BA3687" s="82" t="s">
        <v>20971</v>
      </c>
      <c r="BB3687" s="82" t="s">
        <v>20971</v>
      </c>
      <c r="BC3687" s="82" t="s">
        <v>20453</v>
      </c>
      <c r="BD3687" s="82" t="s">
        <v>21675</v>
      </c>
      <c r="BE3687" s="77"/>
      <c r="BF3687" s="77"/>
      <c r="BG3687" s="77"/>
      <c r="BH3687" s="77"/>
      <c r="BI3687" s="77"/>
    </row>
    <row r="3688" spans="1:61" x14ac:dyDescent="0.25">
      <c r="A3688" s="62" t="s">
        <v>1107</v>
      </c>
      <c r="B3688" s="62" t="s">
        <v>1107</v>
      </c>
      <c r="C3688" s="63"/>
      <c r="D3688" s="64"/>
      <c r="E3688" s="65"/>
      <c r="F3688" s="66"/>
      <c r="G3688" s="63"/>
      <c r="H3688" s="67"/>
      <c r="I3688" s="68"/>
      <c r="J3688" s="68"/>
      <c r="K3688" s="32"/>
      <c r="L3688" s="75">
        <v>3688</v>
      </c>
      <c r="M3688" s="75"/>
      <c r="N3688" s="70"/>
      <c r="O3688" s="77" t="s">
        <v>179</v>
      </c>
      <c r="P3688" s="79">
        <v>44985.135034722225</v>
      </c>
      <c r="Q3688" s="77" t="s">
        <v>4894</v>
      </c>
      <c r="R3688" s="77">
        <v>0</v>
      </c>
      <c r="S3688" s="77">
        <v>0</v>
      </c>
      <c r="T3688" s="77">
        <v>0</v>
      </c>
      <c r="U3688" s="77">
        <v>0</v>
      </c>
      <c r="V3688" s="77">
        <v>7</v>
      </c>
      <c r="W3688" s="82" t="s">
        <v>5236</v>
      </c>
      <c r="X3688" s="80" t="str">
        <f>HYPERLINK("https://go.hotmart.com/B77468619P")</f>
        <v>https://go.hotmart.com/B77468619P</v>
      </c>
      <c r="Y3688" s="77" t="s">
        <v>7251</v>
      </c>
      <c r="Z3688" s="77"/>
      <c r="AA3688" s="77" t="s">
        <v>9910</v>
      </c>
      <c r="AB3688" s="77" t="s">
        <v>10130</v>
      </c>
      <c r="AC3688" s="82" t="s">
        <v>10179</v>
      </c>
      <c r="AD3688" s="77" t="s">
        <v>10184</v>
      </c>
      <c r="AE3688" s="80" t="str">
        <f>HYPERLINK("https://twitter.com/tubeyoutrends/status/1630406044009496577")</f>
        <v>https://twitter.com/tubeyoutrends/status/1630406044009496577</v>
      </c>
      <c r="AF3688" s="79">
        <v>44985.135034722225</v>
      </c>
      <c r="AG3688" s="85">
        <v>44985</v>
      </c>
      <c r="AH3688" s="82" t="s">
        <v>13675</v>
      </c>
      <c r="AI3688" s="77" t="b">
        <v>0</v>
      </c>
      <c r="AJ3688" s="77"/>
      <c r="AK3688" s="77"/>
      <c r="AL3688" s="77"/>
      <c r="AM3688" s="77"/>
      <c r="AN3688" s="77"/>
      <c r="AO3688" s="77"/>
      <c r="AP3688" s="77"/>
      <c r="AQ3688" s="77" t="s">
        <v>16553</v>
      </c>
      <c r="AR3688" s="77"/>
      <c r="AS3688" s="77"/>
      <c r="AT3688" s="77"/>
      <c r="AU3688" s="77"/>
      <c r="AV3688" s="80" t="str">
        <f>HYPERLINK("https://pbs.twimg.com/media/FqBdpBLXgAEh5Am.jpg")</f>
        <v>https://pbs.twimg.com/media/FqBdpBLXgAEh5Am.jpg</v>
      </c>
      <c r="AW3688" s="82" t="s">
        <v>20454</v>
      </c>
      <c r="AX3688" s="82" t="s">
        <v>20454</v>
      </c>
      <c r="AY3688" s="77"/>
      <c r="AZ3688" s="82" t="s">
        <v>20971</v>
      </c>
      <c r="BA3688" s="82" t="s">
        <v>20971</v>
      </c>
      <c r="BB3688" s="82" t="s">
        <v>20971</v>
      </c>
      <c r="BC3688" s="82" t="s">
        <v>20454</v>
      </c>
      <c r="BD3688" s="82" t="s">
        <v>21675</v>
      </c>
      <c r="BE3688" s="77"/>
      <c r="BF3688" s="77"/>
      <c r="BG3688" s="77"/>
      <c r="BH3688" s="77"/>
      <c r="BI3688" s="77"/>
    </row>
    <row r="3689" spans="1:61" x14ac:dyDescent="0.25">
      <c r="A3689" s="62" t="s">
        <v>1107</v>
      </c>
      <c r="B3689" s="62" t="s">
        <v>1107</v>
      </c>
      <c r="C3689" s="63"/>
      <c r="D3689" s="64"/>
      <c r="E3689" s="65"/>
      <c r="F3689" s="66"/>
      <c r="G3689" s="63"/>
      <c r="H3689" s="67"/>
      <c r="I3689" s="68"/>
      <c r="J3689" s="68"/>
      <c r="K3689" s="32"/>
      <c r="L3689" s="75">
        <v>3689</v>
      </c>
      <c r="M3689" s="75"/>
      <c r="N3689" s="70"/>
      <c r="O3689" s="77" t="s">
        <v>179</v>
      </c>
      <c r="P3689" s="79">
        <v>44983.712430555555</v>
      </c>
      <c r="Q3689" s="77" t="s">
        <v>4895</v>
      </c>
      <c r="R3689" s="77">
        <v>0</v>
      </c>
      <c r="S3689" s="77">
        <v>0</v>
      </c>
      <c r="T3689" s="77">
        <v>0</v>
      </c>
      <c r="U3689" s="77">
        <v>0</v>
      </c>
      <c r="V3689" s="77">
        <v>3</v>
      </c>
      <c r="W3689" s="82" t="s">
        <v>5236</v>
      </c>
      <c r="X3689" s="80" t="str">
        <f>HYPERLINK("https://go.hotmart.com/B77468619P")</f>
        <v>https://go.hotmart.com/B77468619P</v>
      </c>
      <c r="Y3689" s="77" t="s">
        <v>7251</v>
      </c>
      <c r="Z3689" s="77"/>
      <c r="AA3689" s="77" t="s">
        <v>9911</v>
      </c>
      <c r="AB3689" s="77" t="s">
        <v>10130</v>
      </c>
      <c r="AC3689" s="82" t="s">
        <v>10179</v>
      </c>
      <c r="AD3689" s="77" t="s">
        <v>10184</v>
      </c>
      <c r="AE3689" s="80" t="str">
        <f>HYPERLINK("https://twitter.com/tubeyoutrends/status/1629890512051220489")</f>
        <v>https://twitter.com/tubeyoutrends/status/1629890512051220489</v>
      </c>
      <c r="AF3689" s="79">
        <v>44983.712430555555</v>
      </c>
      <c r="AG3689" s="85">
        <v>44983</v>
      </c>
      <c r="AH3689" s="82" t="s">
        <v>13676</v>
      </c>
      <c r="AI3689" s="77" t="b">
        <v>0</v>
      </c>
      <c r="AJ3689" s="77"/>
      <c r="AK3689" s="77"/>
      <c r="AL3689" s="77"/>
      <c r="AM3689" s="77"/>
      <c r="AN3689" s="77"/>
      <c r="AO3689" s="77"/>
      <c r="AP3689" s="77"/>
      <c r="AQ3689" s="77" t="s">
        <v>16554</v>
      </c>
      <c r="AR3689" s="77"/>
      <c r="AS3689" s="77"/>
      <c r="AT3689" s="77"/>
      <c r="AU3689" s="77"/>
      <c r="AV3689" s="80" t="str">
        <f>HYPERLINK("https://pbs.twimg.com/media/Fp6IxDkX0AEGXaZ.jpg")</f>
        <v>https://pbs.twimg.com/media/Fp6IxDkX0AEGXaZ.jpg</v>
      </c>
      <c r="AW3689" s="82" t="s">
        <v>20455</v>
      </c>
      <c r="AX3689" s="82" t="s">
        <v>20455</v>
      </c>
      <c r="AY3689" s="77"/>
      <c r="AZ3689" s="82" t="s">
        <v>20971</v>
      </c>
      <c r="BA3689" s="82" t="s">
        <v>20971</v>
      </c>
      <c r="BB3689" s="82" t="s">
        <v>20971</v>
      </c>
      <c r="BC3689" s="82" t="s">
        <v>20455</v>
      </c>
      <c r="BD3689" s="82" t="s">
        <v>21675</v>
      </c>
      <c r="BE3689" s="77"/>
      <c r="BF3689" s="77"/>
      <c r="BG3689" s="77"/>
      <c r="BH3689" s="77"/>
      <c r="BI3689" s="77"/>
    </row>
    <row r="3690" spans="1:61" x14ac:dyDescent="0.25">
      <c r="A3690" s="62" t="s">
        <v>1107</v>
      </c>
      <c r="B3690" s="62" t="s">
        <v>1107</v>
      </c>
      <c r="C3690" s="63"/>
      <c r="D3690" s="64"/>
      <c r="E3690" s="65"/>
      <c r="F3690" s="66"/>
      <c r="G3690" s="63"/>
      <c r="H3690" s="67"/>
      <c r="I3690" s="68"/>
      <c r="J3690" s="68"/>
      <c r="K3690" s="32"/>
      <c r="L3690" s="75">
        <v>3690</v>
      </c>
      <c r="M3690" s="75"/>
      <c r="N3690" s="70"/>
      <c r="O3690" s="77" t="s">
        <v>179</v>
      </c>
      <c r="P3690" s="79">
        <v>44982.284120370372</v>
      </c>
      <c r="Q3690" s="77" t="s">
        <v>4896</v>
      </c>
      <c r="R3690" s="77">
        <v>0</v>
      </c>
      <c r="S3690" s="77">
        <v>0</v>
      </c>
      <c r="T3690" s="77">
        <v>0</v>
      </c>
      <c r="U3690" s="77">
        <v>0</v>
      </c>
      <c r="V3690" s="77">
        <v>8</v>
      </c>
      <c r="W3690" s="82" t="s">
        <v>5236</v>
      </c>
      <c r="X3690" s="80" t="str">
        <f>HYPERLINK("https://go.hotmart.com/B77468619P")</f>
        <v>https://go.hotmart.com/B77468619P</v>
      </c>
      <c r="Y3690" s="77" t="s">
        <v>7251</v>
      </c>
      <c r="Z3690" s="77"/>
      <c r="AA3690" s="77" t="s">
        <v>9912</v>
      </c>
      <c r="AB3690" s="77" t="s">
        <v>10130</v>
      </c>
      <c r="AC3690" s="82" t="s">
        <v>10179</v>
      </c>
      <c r="AD3690" s="77" t="s">
        <v>10184</v>
      </c>
      <c r="AE3690" s="80" t="str">
        <f>HYPERLINK("https://twitter.com/tubeyoutrends/status/1629372909813735426")</f>
        <v>https://twitter.com/tubeyoutrends/status/1629372909813735426</v>
      </c>
      <c r="AF3690" s="79">
        <v>44982.284120370372</v>
      </c>
      <c r="AG3690" s="85">
        <v>44982</v>
      </c>
      <c r="AH3690" s="82" t="s">
        <v>13677</v>
      </c>
      <c r="AI3690" s="77" t="b">
        <v>0</v>
      </c>
      <c r="AJ3690" s="77"/>
      <c r="AK3690" s="77"/>
      <c r="AL3690" s="77"/>
      <c r="AM3690" s="77"/>
      <c r="AN3690" s="77"/>
      <c r="AO3690" s="77"/>
      <c r="AP3690" s="77"/>
      <c r="AQ3690" s="77" t="s">
        <v>16555</v>
      </c>
      <c r="AR3690" s="77"/>
      <c r="AS3690" s="77"/>
      <c r="AT3690" s="77"/>
      <c r="AU3690" s="77"/>
      <c r="AV3690" s="80" t="str">
        <f>HYPERLINK("https://pbs.twimg.com/media/Fpyx_GuXwAEHyF7.jpg")</f>
        <v>https://pbs.twimg.com/media/Fpyx_GuXwAEHyF7.jpg</v>
      </c>
      <c r="AW3690" s="82" t="s">
        <v>20456</v>
      </c>
      <c r="AX3690" s="82" t="s">
        <v>20456</v>
      </c>
      <c r="AY3690" s="77"/>
      <c r="AZ3690" s="82" t="s">
        <v>20971</v>
      </c>
      <c r="BA3690" s="82" t="s">
        <v>20971</v>
      </c>
      <c r="BB3690" s="82" t="s">
        <v>20971</v>
      </c>
      <c r="BC3690" s="82" t="s">
        <v>20456</v>
      </c>
      <c r="BD3690" s="82" t="s">
        <v>21675</v>
      </c>
      <c r="BE3690" s="77"/>
      <c r="BF3690" s="77"/>
      <c r="BG3690" s="77"/>
      <c r="BH3690" s="77"/>
      <c r="BI3690" s="77"/>
    </row>
    <row r="3691" spans="1:61" x14ac:dyDescent="0.25">
      <c r="A3691" s="62" t="s">
        <v>1107</v>
      </c>
      <c r="B3691" s="62" t="s">
        <v>1107</v>
      </c>
      <c r="C3691" s="63"/>
      <c r="D3691" s="64"/>
      <c r="E3691" s="65"/>
      <c r="F3691" s="66"/>
      <c r="G3691" s="63"/>
      <c r="H3691" s="67"/>
      <c r="I3691" s="68"/>
      <c r="J3691" s="68"/>
      <c r="K3691" s="32"/>
      <c r="L3691" s="75">
        <v>3691</v>
      </c>
      <c r="M3691" s="75"/>
      <c r="N3691" s="70"/>
      <c r="O3691" s="77" t="s">
        <v>179</v>
      </c>
      <c r="P3691" s="79">
        <v>44980.859363425923</v>
      </c>
      <c r="Q3691" s="77" t="s">
        <v>4897</v>
      </c>
      <c r="R3691" s="77">
        <v>0</v>
      </c>
      <c r="S3691" s="77">
        <v>0</v>
      </c>
      <c r="T3691" s="77">
        <v>0</v>
      </c>
      <c r="U3691" s="77">
        <v>0</v>
      </c>
      <c r="V3691" s="77">
        <v>3</v>
      </c>
      <c r="W3691" s="82" t="s">
        <v>5236</v>
      </c>
      <c r="X3691" s="80" t="str">
        <f>HYPERLINK("https://go.hotmart.com/B77468619P")</f>
        <v>https://go.hotmart.com/B77468619P</v>
      </c>
      <c r="Y3691" s="77" t="s">
        <v>7251</v>
      </c>
      <c r="Z3691" s="77"/>
      <c r="AA3691" s="77" t="s">
        <v>9913</v>
      </c>
      <c r="AB3691" s="77" t="s">
        <v>10130</v>
      </c>
      <c r="AC3691" s="82" t="s">
        <v>10179</v>
      </c>
      <c r="AD3691" s="77" t="s">
        <v>10184</v>
      </c>
      <c r="AE3691" s="80" t="str">
        <f>HYPERLINK("https://twitter.com/tubeyoutrends/status/1628856594250203137")</f>
        <v>https://twitter.com/tubeyoutrends/status/1628856594250203137</v>
      </c>
      <c r="AF3691" s="79">
        <v>44980.859363425923</v>
      </c>
      <c r="AG3691" s="85">
        <v>44980</v>
      </c>
      <c r="AH3691" s="82" t="s">
        <v>13678</v>
      </c>
      <c r="AI3691" s="77" t="b">
        <v>0</v>
      </c>
      <c r="AJ3691" s="77"/>
      <c r="AK3691" s="77"/>
      <c r="AL3691" s="77"/>
      <c r="AM3691" s="77"/>
      <c r="AN3691" s="77"/>
      <c r="AO3691" s="77"/>
      <c r="AP3691" s="77"/>
      <c r="AQ3691" s="77" t="s">
        <v>16556</v>
      </c>
      <c r="AR3691" s="77"/>
      <c r="AS3691" s="77"/>
      <c r="AT3691" s="77"/>
      <c r="AU3691" s="77"/>
      <c r="AV3691" s="80" t="str">
        <f>HYPERLINK("https://pbs.twimg.com/media/FprcaIPWYAgzCIk.jpg")</f>
        <v>https://pbs.twimg.com/media/FprcaIPWYAgzCIk.jpg</v>
      </c>
      <c r="AW3691" s="82" t="s">
        <v>20457</v>
      </c>
      <c r="AX3691" s="82" t="s">
        <v>20457</v>
      </c>
      <c r="AY3691" s="77"/>
      <c r="AZ3691" s="82" t="s">
        <v>20971</v>
      </c>
      <c r="BA3691" s="82" t="s">
        <v>20971</v>
      </c>
      <c r="BB3691" s="82" t="s">
        <v>20971</v>
      </c>
      <c r="BC3691" s="82" t="s">
        <v>20457</v>
      </c>
      <c r="BD3691" s="82" t="s">
        <v>21675</v>
      </c>
      <c r="BE3691" s="77"/>
      <c r="BF3691" s="77"/>
      <c r="BG3691" s="77"/>
      <c r="BH3691" s="77"/>
      <c r="BI3691" s="77"/>
    </row>
    <row r="3692" spans="1:61" x14ac:dyDescent="0.25">
      <c r="A3692" s="62" t="s">
        <v>1107</v>
      </c>
      <c r="B3692" s="62" t="s">
        <v>1107</v>
      </c>
      <c r="C3692" s="63"/>
      <c r="D3692" s="64"/>
      <c r="E3692" s="65"/>
      <c r="F3692" s="66"/>
      <c r="G3692" s="63"/>
      <c r="H3692" s="67"/>
      <c r="I3692" s="68"/>
      <c r="J3692" s="68"/>
      <c r="K3692" s="32"/>
      <c r="L3692" s="75">
        <v>3692</v>
      </c>
      <c r="M3692" s="75"/>
      <c r="N3692" s="70"/>
      <c r="O3692" s="77" t="s">
        <v>179</v>
      </c>
      <c r="P3692" s="79">
        <v>44979.437743055554</v>
      </c>
      <c r="Q3692" s="77" t="s">
        <v>4898</v>
      </c>
      <c r="R3692" s="77">
        <v>0</v>
      </c>
      <c r="S3692" s="77">
        <v>0</v>
      </c>
      <c r="T3692" s="77">
        <v>0</v>
      </c>
      <c r="U3692" s="77">
        <v>0</v>
      </c>
      <c r="V3692" s="77">
        <v>3</v>
      </c>
      <c r="W3692" s="82" t="s">
        <v>5236</v>
      </c>
      <c r="X3692" s="80" t="str">
        <f>HYPERLINK("https://go.hotmart.com/B77468619P")</f>
        <v>https://go.hotmart.com/B77468619P</v>
      </c>
      <c r="Y3692" s="77" t="s">
        <v>7251</v>
      </c>
      <c r="Z3692" s="77"/>
      <c r="AA3692" s="77" t="s">
        <v>9914</v>
      </c>
      <c r="AB3692" s="77" t="s">
        <v>10130</v>
      </c>
      <c r="AC3692" s="82" t="s">
        <v>10179</v>
      </c>
      <c r="AD3692" s="77" t="s">
        <v>10184</v>
      </c>
      <c r="AE3692" s="80" t="str">
        <f>HYPERLINK("https://twitter.com/tubeyoutrends/status/1628341418392449028")</f>
        <v>https://twitter.com/tubeyoutrends/status/1628341418392449028</v>
      </c>
      <c r="AF3692" s="79">
        <v>44979.437743055554</v>
      </c>
      <c r="AG3692" s="85">
        <v>44979</v>
      </c>
      <c r="AH3692" s="82" t="s">
        <v>13679</v>
      </c>
      <c r="AI3692" s="77" t="b">
        <v>0</v>
      </c>
      <c r="AJ3692" s="77"/>
      <c r="AK3692" s="77"/>
      <c r="AL3692" s="77"/>
      <c r="AM3692" s="77"/>
      <c r="AN3692" s="77"/>
      <c r="AO3692" s="77"/>
      <c r="AP3692" s="77"/>
      <c r="AQ3692" s="77" t="s">
        <v>16557</v>
      </c>
      <c r="AR3692" s="77"/>
      <c r="AS3692" s="77"/>
      <c r="AT3692" s="77"/>
      <c r="AU3692" s="77"/>
      <c r="AV3692" s="80" t="str">
        <f>HYPERLINK("https://pbs.twimg.com/media/FpkH3GpX0AIc4NE.jpg")</f>
        <v>https://pbs.twimg.com/media/FpkH3GpX0AIc4NE.jpg</v>
      </c>
      <c r="AW3692" s="82" t="s">
        <v>20458</v>
      </c>
      <c r="AX3692" s="82" t="s">
        <v>20458</v>
      </c>
      <c r="AY3692" s="77"/>
      <c r="AZ3692" s="82" t="s">
        <v>20971</v>
      </c>
      <c r="BA3692" s="82" t="s">
        <v>20971</v>
      </c>
      <c r="BB3692" s="82" t="s">
        <v>20971</v>
      </c>
      <c r="BC3692" s="82" t="s">
        <v>20458</v>
      </c>
      <c r="BD3692" s="82" t="s">
        <v>21675</v>
      </c>
      <c r="BE3692" s="77"/>
      <c r="BF3692" s="77"/>
      <c r="BG3692" s="77"/>
      <c r="BH3692" s="77"/>
      <c r="BI3692" s="77"/>
    </row>
    <row r="3693" spans="1:61" x14ac:dyDescent="0.25">
      <c r="A3693" s="62" t="s">
        <v>1107</v>
      </c>
      <c r="B3693" s="62" t="s">
        <v>1107</v>
      </c>
      <c r="C3693" s="63"/>
      <c r="D3693" s="64"/>
      <c r="E3693" s="65"/>
      <c r="F3693" s="66"/>
      <c r="G3693" s="63"/>
      <c r="H3693" s="67"/>
      <c r="I3693" s="68"/>
      <c r="J3693" s="68"/>
      <c r="K3693" s="32"/>
      <c r="L3693" s="75">
        <v>3693</v>
      </c>
      <c r="M3693" s="75"/>
      <c r="N3693" s="70"/>
      <c r="O3693" s="77" t="s">
        <v>179</v>
      </c>
      <c r="P3693" s="79">
        <v>44978.012789351851</v>
      </c>
      <c r="Q3693" s="77" t="s">
        <v>4899</v>
      </c>
      <c r="R3693" s="77">
        <v>0</v>
      </c>
      <c r="S3693" s="77">
        <v>0</v>
      </c>
      <c r="T3693" s="77">
        <v>0</v>
      </c>
      <c r="U3693" s="77">
        <v>0</v>
      </c>
      <c r="V3693" s="77">
        <v>7</v>
      </c>
      <c r="W3693" s="82" t="s">
        <v>5236</v>
      </c>
      <c r="X3693" s="80" t="str">
        <f>HYPERLINK("https://go.hotmart.com/B77468619P")</f>
        <v>https://go.hotmart.com/B77468619P</v>
      </c>
      <c r="Y3693" s="77" t="s">
        <v>7251</v>
      </c>
      <c r="Z3693" s="77"/>
      <c r="AA3693" s="77" t="s">
        <v>9915</v>
      </c>
      <c r="AB3693" s="77" t="s">
        <v>10130</v>
      </c>
      <c r="AC3693" s="82" t="s">
        <v>10179</v>
      </c>
      <c r="AD3693" s="77" t="s">
        <v>10184</v>
      </c>
      <c r="AE3693" s="80" t="str">
        <f>HYPERLINK("https://twitter.com/tubeyoutrends/status/1627825030275952643")</f>
        <v>https://twitter.com/tubeyoutrends/status/1627825030275952643</v>
      </c>
      <c r="AF3693" s="79">
        <v>44978.012789351851</v>
      </c>
      <c r="AG3693" s="85">
        <v>44978</v>
      </c>
      <c r="AH3693" s="82" t="s">
        <v>13680</v>
      </c>
      <c r="AI3693" s="77" t="b">
        <v>0</v>
      </c>
      <c r="AJ3693" s="77"/>
      <c r="AK3693" s="77"/>
      <c r="AL3693" s="77"/>
      <c r="AM3693" s="77"/>
      <c r="AN3693" s="77"/>
      <c r="AO3693" s="77"/>
      <c r="AP3693" s="77"/>
      <c r="AQ3693" s="77" t="s">
        <v>16558</v>
      </c>
      <c r="AR3693" s="77"/>
      <c r="AS3693" s="77"/>
      <c r="AT3693" s="77"/>
      <c r="AU3693" s="77"/>
      <c r="AV3693" s="80" t="str">
        <f>HYPERLINK("https://pbs.twimg.com/media/FpcyOOrXoAIRwvp.jpg")</f>
        <v>https://pbs.twimg.com/media/FpcyOOrXoAIRwvp.jpg</v>
      </c>
      <c r="AW3693" s="82" t="s">
        <v>20459</v>
      </c>
      <c r="AX3693" s="82" t="s">
        <v>20459</v>
      </c>
      <c r="AY3693" s="77"/>
      <c r="AZ3693" s="82" t="s">
        <v>20971</v>
      </c>
      <c r="BA3693" s="82" t="s">
        <v>20971</v>
      </c>
      <c r="BB3693" s="82" t="s">
        <v>20971</v>
      </c>
      <c r="BC3693" s="82" t="s">
        <v>20459</v>
      </c>
      <c r="BD3693" s="82" t="s">
        <v>21675</v>
      </c>
      <c r="BE3693" s="77"/>
      <c r="BF3693" s="77"/>
      <c r="BG3693" s="77"/>
      <c r="BH3693" s="77"/>
      <c r="BI3693" s="77"/>
    </row>
    <row r="3694" spans="1:61" x14ac:dyDescent="0.25">
      <c r="A3694" s="62" t="s">
        <v>1108</v>
      </c>
      <c r="B3694" s="62" t="s">
        <v>1108</v>
      </c>
      <c r="C3694" s="63"/>
      <c r="D3694" s="64"/>
      <c r="E3694" s="65"/>
      <c r="F3694" s="66"/>
      <c r="G3694" s="63"/>
      <c r="H3694" s="67"/>
      <c r="I3694" s="68"/>
      <c r="J3694" s="68"/>
      <c r="K3694" s="32"/>
      <c r="L3694" s="75">
        <v>3694</v>
      </c>
      <c r="M3694" s="75"/>
      <c r="N3694" s="70"/>
      <c r="O3694" s="77" t="s">
        <v>179</v>
      </c>
      <c r="P3694" s="79">
        <v>45070.52516203704</v>
      </c>
      <c r="Q3694" s="77" t="s">
        <v>4900</v>
      </c>
      <c r="R3694" s="77">
        <v>0</v>
      </c>
      <c r="S3694" s="77">
        <v>0</v>
      </c>
      <c r="T3694" s="77">
        <v>0</v>
      </c>
      <c r="U3694" s="77">
        <v>0</v>
      </c>
      <c r="V3694" s="77">
        <v>5</v>
      </c>
      <c r="W3694" s="82" t="s">
        <v>6939</v>
      </c>
      <c r="X3694" s="80" t="str">
        <f>HYPERLINK("https://instagram.com/stories/brunovalenteoficial/3109754214921703183?utm_source=ig_story_item_share&amp;igshid=MTVlNTYxMjY2ZQ==")</f>
        <v>https://instagram.com/stories/brunovalenteoficial/3109754214921703183?utm_source=ig_story_item_share&amp;igshid=MTVlNTYxMjY2ZQ==</v>
      </c>
      <c r="Y3694" s="77" t="s">
        <v>7250</v>
      </c>
      <c r="Z3694" s="77"/>
      <c r="AA3694" s="77"/>
      <c r="AB3694" s="77"/>
      <c r="AC3694" s="82" t="s">
        <v>10145</v>
      </c>
      <c r="AD3694" s="77" t="s">
        <v>10184</v>
      </c>
      <c r="AE3694" s="80" t="str">
        <f>HYPERLINK("https://twitter.com/brunova56701023/status/1661350390904889345")</f>
        <v>https://twitter.com/brunova56701023/status/1661350390904889345</v>
      </c>
      <c r="AF3694" s="79">
        <v>45070.52516203704</v>
      </c>
      <c r="AG3694" s="85">
        <v>45070</v>
      </c>
      <c r="AH3694" s="82" t="s">
        <v>13681</v>
      </c>
      <c r="AI3694" s="77" t="b">
        <v>0</v>
      </c>
      <c r="AJ3694" s="77"/>
      <c r="AK3694" s="77"/>
      <c r="AL3694" s="77"/>
      <c r="AM3694" s="77"/>
      <c r="AN3694" s="77"/>
      <c r="AO3694" s="77"/>
      <c r="AP3694" s="77"/>
      <c r="AQ3694" s="77"/>
      <c r="AR3694" s="77"/>
      <c r="AS3694" s="77"/>
      <c r="AT3694" s="77"/>
      <c r="AU3694" s="77"/>
      <c r="AV3694" s="80" t="str">
        <f>HYPERLINK("https://pbs.twimg.com/profile_images/1633605469196435457/s_nsHCNm_normal.jpg")</f>
        <v>https://pbs.twimg.com/profile_images/1633605469196435457/s_nsHCNm_normal.jpg</v>
      </c>
      <c r="AW3694" s="82" t="s">
        <v>20460</v>
      </c>
      <c r="AX3694" s="82" t="s">
        <v>20460</v>
      </c>
      <c r="AY3694" s="77"/>
      <c r="AZ3694" s="82" t="s">
        <v>20971</v>
      </c>
      <c r="BA3694" s="82" t="s">
        <v>20971</v>
      </c>
      <c r="BB3694" s="82" t="s">
        <v>20971</v>
      </c>
      <c r="BC3694" s="82" t="s">
        <v>20460</v>
      </c>
      <c r="BD3694" s="82" t="s">
        <v>21676</v>
      </c>
      <c r="BE3694" s="77"/>
      <c r="BF3694" s="77"/>
      <c r="BG3694" s="77"/>
      <c r="BH3694" s="77"/>
      <c r="BI3694" s="77"/>
    </row>
    <row r="3695" spans="1:61" x14ac:dyDescent="0.25">
      <c r="A3695" s="62" t="s">
        <v>1108</v>
      </c>
      <c r="B3695" s="62" t="s">
        <v>1108</v>
      </c>
      <c r="C3695" s="63"/>
      <c r="D3695" s="64"/>
      <c r="E3695" s="65"/>
      <c r="F3695" s="66"/>
      <c r="G3695" s="63"/>
      <c r="H3695" s="67"/>
      <c r="I3695" s="68"/>
      <c r="J3695" s="68"/>
      <c r="K3695" s="32"/>
      <c r="L3695" s="75">
        <v>3695</v>
      </c>
      <c r="M3695" s="75"/>
      <c r="N3695" s="70"/>
      <c r="O3695" s="77" t="s">
        <v>179</v>
      </c>
      <c r="P3695" s="79">
        <v>45045.131006944444</v>
      </c>
      <c r="Q3695" s="77" t="s">
        <v>4901</v>
      </c>
      <c r="R3695" s="77">
        <v>0</v>
      </c>
      <c r="S3695" s="77">
        <v>0</v>
      </c>
      <c r="T3695" s="77">
        <v>0</v>
      </c>
      <c r="U3695" s="77">
        <v>0</v>
      </c>
      <c r="V3695" s="77">
        <v>44</v>
      </c>
      <c r="W3695" s="82" t="s">
        <v>6940</v>
      </c>
      <c r="X3695" s="77"/>
      <c r="Y3695" s="77"/>
      <c r="Z3695" s="77"/>
      <c r="AA3695" s="77" t="s">
        <v>9916</v>
      </c>
      <c r="AB3695" s="77" t="s">
        <v>10129</v>
      </c>
      <c r="AC3695" s="82" t="s">
        <v>10145</v>
      </c>
      <c r="AD3695" s="77" t="s">
        <v>10183</v>
      </c>
      <c r="AE3695" s="80" t="str">
        <f>HYPERLINK("https://twitter.com/brunova56701023/status/1652147860304011265")</f>
        <v>https://twitter.com/brunova56701023/status/1652147860304011265</v>
      </c>
      <c r="AF3695" s="79">
        <v>45045.131006944444</v>
      </c>
      <c r="AG3695" s="85">
        <v>45045</v>
      </c>
      <c r="AH3695" s="82" t="s">
        <v>13682</v>
      </c>
      <c r="AI3695" s="77" t="b">
        <v>0</v>
      </c>
      <c r="AJ3695" s="77"/>
      <c r="AK3695" s="77"/>
      <c r="AL3695" s="77"/>
      <c r="AM3695" s="77"/>
      <c r="AN3695" s="77"/>
      <c r="AO3695" s="77"/>
      <c r="AP3695" s="77"/>
      <c r="AQ3695" s="77" t="s">
        <v>16559</v>
      </c>
      <c r="AR3695" s="77">
        <v>68566</v>
      </c>
      <c r="AS3695" s="77"/>
      <c r="AT3695" s="77"/>
      <c r="AU3695" s="77"/>
      <c r="AV3695" s="80" t="str">
        <f>HYPERLINK("https://pbs.twimg.com/ext_tw_video_thumb/1652147758709587970/pu/img/MR56HlWLy2yg3q8C.jpg")</f>
        <v>https://pbs.twimg.com/ext_tw_video_thumb/1652147758709587970/pu/img/MR56HlWLy2yg3q8C.jpg</v>
      </c>
      <c r="AW3695" s="82" t="s">
        <v>20461</v>
      </c>
      <c r="AX3695" s="82" t="s">
        <v>20461</v>
      </c>
      <c r="AY3695" s="77"/>
      <c r="AZ3695" s="82" t="s">
        <v>20971</v>
      </c>
      <c r="BA3695" s="82" t="s">
        <v>20971</v>
      </c>
      <c r="BB3695" s="82" t="s">
        <v>20971</v>
      </c>
      <c r="BC3695" s="82" t="s">
        <v>20461</v>
      </c>
      <c r="BD3695" s="82" t="s">
        <v>21676</v>
      </c>
      <c r="BE3695" s="77"/>
      <c r="BF3695" s="77"/>
      <c r="BG3695" s="77"/>
      <c r="BH3695" s="77"/>
      <c r="BI3695" s="77"/>
    </row>
    <row r="3696" spans="1:61" x14ac:dyDescent="0.25">
      <c r="A3696" s="62" t="s">
        <v>1108</v>
      </c>
      <c r="B3696" s="62" t="s">
        <v>1108</v>
      </c>
      <c r="C3696" s="63"/>
      <c r="D3696" s="64"/>
      <c r="E3696" s="65"/>
      <c r="F3696" s="66"/>
      <c r="G3696" s="63"/>
      <c r="H3696" s="67"/>
      <c r="I3696" s="68"/>
      <c r="J3696" s="68"/>
      <c r="K3696" s="32"/>
      <c r="L3696" s="75">
        <v>3696</v>
      </c>
      <c r="M3696" s="75"/>
      <c r="N3696" s="70"/>
      <c r="O3696" s="77" t="s">
        <v>179</v>
      </c>
      <c r="P3696" s="79">
        <v>45082.542870370373</v>
      </c>
      <c r="Q3696" s="77" t="s">
        <v>4902</v>
      </c>
      <c r="R3696" s="77">
        <v>0</v>
      </c>
      <c r="S3696" s="77">
        <v>0</v>
      </c>
      <c r="T3696" s="77">
        <v>0</v>
      </c>
      <c r="U3696" s="77">
        <v>0</v>
      </c>
      <c r="V3696" s="77">
        <v>33</v>
      </c>
      <c r="W3696" s="82" t="s">
        <v>6941</v>
      </c>
      <c r="X3696" s="77"/>
      <c r="Y3696" s="77"/>
      <c r="Z3696" s="77"/>
      <c r="AA3696" s="77" t="s">
        <v>9917</v>
      </c>
      <c r="AB3696" s="77" t="s">
        <v>10130</v>
      </c>
      <c r="AC3696" s="82" t="s">
        <v>10145</v>
      </c>
      <c r="AD3696" s="77" t="s">
        <v>10184</v>
      </c>
      <c r="AE3696" s="80" t="str">
        <f>HYPERLINK("https://twitter.com/brunova56701023/status/1665705463529218050")</f>
        <v>https://twitter.com/brunova56701023/status/1665705463529218050</v>
      </c>
      <c r="AF3696" s="79">
        <v>45082.542870370373</v>
      </c>
      <c r="AG3696" s="85">
        <v>45082</v>
      </c>
      <c r="AH3696" s="82" t="s">
        <v>13683</v>
      </c>
      <c r="AI3696" s="77" t="b">
        <v>0</v>
      </c>
      <c r="AJ3696" s="77"/>
      <c r="AK3696" s="77"/>
      <c r="AL3696" s="77"/>
      <c r="AM3696" s="77"/>
      <c r="AN3696" s="77"/>
      <c r="AO3696" s="77"/>
      <c r="AP3696" s="77"/>
      <c r="AQ3696" s="77" t="s">
        <v>16560</v>
      </c>
      <c r="AR3696" s="77"/>
      <c r="AS3696" s="77"/>
      <c r="AT3696" s="77"/>
      <c r="AU3696" s="77"/>
      <c r="AV3696" s="80" t="str">
        <f>HYPERLINK("https://pbs.twimg.com/media/Fx3GSiDXsAEFX-S.jpg")</f>
        <v>https://pbs.twimg.com/media/Fx3GSiDXsAEFX-S.jpg</v>
      </c>
      <c r="AW3696" s="82" t="s">
        <v>20462</v>
      </c>
      <c r="AX3696" s="82" t="s">
        <v>20462</v>
      </c>
      <c r="AY3696" s="77"/>
      <c r="AZ3696" s="82" t="s">
        <v>20971</v>
      </c>
      <c r="BA3696" s="82" t="s">
        <v>20971</v>
      </c>
      <c r="BB3696" s="82" t="s">
        <v>20971</v>
      </c>
      <c r="BC3696" s="82" t="s">
        <v>20462</v>
      </c>
      <c r="BD3696" s="82" t="s">
        <v>21676</v>
      </c>
      <c r="BE3696" s="77"/>
      <c r="BF3696" s="77"/>
      <c r="BG3696" s="77"/>
      <c r="BH3696" s="77"/>
      <c r="BI3696" s="77"/>
    </row>
    <row r="3697" spans="1:61" x14ac:dyDescent="0.25">
      <c r="A3697" s="62" t="s">
        <v>1108</v>
      </c>
      <c r="B3697" s="62" t="s">
        <v>1108</v>
      </c>
      <c r="C3697" s="63"/>
      <c r="D3697" s="64"/>
      <c r="E3697" s="65"/>
      <c r="F3697" s="66"/>
      <c r="G3697" s="63"/>
      <c r="H3697" s="67"/>
      <c r="I3697" s="68"/>
      <c r="J3697" s="68"/>
      <c r="K3697" s="32"/>
      <c r="L3697" s="75">
        <v>3697</v>
      </c>
      <c r="M3697" s="75"/>
      <c r="N3697" s="70"/>
      <c r="O3697" s="77" t="s">
        <v>179</v>
      </c>
      <c r="P3697" s="79">
        <v>45064.534456018519</v>
      </c>
      <c r="Q3697" s="77" t="s">
        <v>4903</v>
      </c>
      <c r="R3697" s="77">
        <v>0</v>
      </c>
      <c r="S3697" s="77">
        <v>0</v>
      </c>
      <c r="T3697" s="77">
        <v>0</v>
      </c>
      <c r="U3697" s="77">
        <v>0</v>
      </c>
      <c r="V3697" s="77">
        <v>18</v>
      </c>
      <c r="W3697" s="82" t="s">
        <v>6942</v>
      </c>
      <c r="X3697" s="80" t="str">
        <f>HYPERLINK("https://instagram.com/stories/brunovalenteoficial/3104729762060607014?utm_source=ig_story_item_share&amp;igshid=MTVlNTYxMjY2ZQ==")</f>
        <v>https://instagram.com/stories/brunovalenteoficial/3104729762060607014?utm_source=ig_story_item_share&amp;igshid=MTVlNTYxMjY2ZQ==</v>
      </c>
      <c r="Y3697" s="77" t="s">
        <v>7250</v>
      </c>
      <c r="Z3697" s="77"/>
      <c r="AA3697" s="77"/>
      <c r="AB3697" s="77"/>
      <c r="AC3697" s="82" t="s">
        <v>10145</v>
      </c>
      <c r="AD3697" s="77" t="s">
        <v>10184</v>
      </c>
      <c r="AE3697" s="80" t="str">
        <f>HYPERLINK("https://twitter.com/brunova56701023/status/1659179432907513858")</f>
        <v>https://twitter.com/brunova56701023/status/1659179432907513858</v>
      </c>
      <c r="AF3697" s="79">
        <v>45064.534456018519</v>
      </c>
      <c r="AG3697" s="85">
        <v>45064</v>
      </c>
      <c r="AH3697" s="82" t="s">
        <v>13684</v>
      </c>
      <c r="AI3697" s="77" t="b">
        <v>0</v>
      </c>
      <c r="AJ3697" s="77"/>
      <c r="AK3697" s="77"/>
      <c r="AL3697" s="77"/>
      <c r="AM3697" s="77"/>
      <c r="AN3697" s="77"/>
      <c r="AO3697" s="77"/>
      <c r="AP3697" s="77"/>
      <c r="AQ3697" s="77"/>
      <c r="AR3697" s="77"/>
      <c r="AS3697" s="77"/>
      <c r="AT3697" s="77"/>
      <c r="AU3697" s="77"/>
      <c r="AV3697" s="80" t="str">
        <f>HYPERLINK("https://pbs.twimg.com/profile_images/1633605469196435457/s_nsHCNm_normal.jpg")</f>
        <v>https://pbs.twimg.com/profile_images/1633605469196435457/s_nsHCNm_normal.jpg</v>
      </c>
      <c r="AW3697" s="82" t="s">
        <v>20463</v>
      </c>
      <c r="AX3697" s="82" t="s">
        <v>20463</v>
      </c>
      <c r="AY3697" s="77"/>
      <c r="AZ3697" s="82" t="s">
        <v>20971</v>
      </c>
      <c r="BA3697" s="82" t="s">
        <v>20971</v>
      </c>
      <c r="BB3697" s="82" t="s">
        <v>20971</v>
      </c>
      <c r="BC3697" s="82" t="s">
        <v>20463</v>
      </c>
      <c r="BD3697" s="82" t="s">
        <v>21676</v>
      </c>
      <c r="BE3697" s="77"/>
      <c r="BF3697" s="77"/>
      <c r="BG3697" s="77"/>
      <c r="BH3697" s="77"/>
      <c r="BI3697" s="77"/>
    </row>
    <row r="3698" spans="1:61" x14ac:dyDescent="0.25">
      <c r="A3698" s="62" t="s">
        <v>1108</v>
      </c>
      <c r="B3698" s="62" t="s">
        <v>1108</v>
      </c>
      <c r="C3698" s="63"/>
      <c r="D3698" s="64"/>
      <c r="E3698" s="65"/>
      <c r="F3698" s="66"/>
      <c r="G3698" s="63"/>
      <c r="H3698" s="67"/>
      <c r="I3698" s="68"/>
      <c r="J3698" s="68"/>
      <c r="K3698" s="32"/>
      <c r="L3698" s="75">
        <v>3698</v>
      </c>
      <c r="M3698" s="75"/>
      <c r="N3698" s="70"/>
      <c r="O3698" s="77" t="s">
        <v>179</v>
      </c>
      <c r="P3698" s="79">
        <v>45079.565243055556</v>
      </c>
      <c r="Q3698" s="77" t="s">
        <v>4904</v>
      </c>
      <c r="R3698" s="77">
        <v>0</v>
      </c>
      <c r="S3698" s="77">
        <v>0</v>
      </c>
      <c r="T3698" s="77">
        <v>0</v>
      </c>
      <c r="U3698" s="77">
        <v>0</v>
      </c>
      <c r="V3698" s="77">
        <v>19</v>
      </c>
      <c r="W3698" s="82" t="s">
        <v>6943</v>
      </c>
      <c r="X3698" s="77"/>
      <c r="Y3698" s="77"/>
      <c r="Z3698" s="77"/>
      <c r="AA3698" s="77" t="s">
        <v>9918</v>
      </c>
      <c r="AB3698" s="77" t="s">
        <v>10131</v>
      </c>
      <c r="AC3698" s="82" t="s">
        <v>10145</v>
      </c>
      <c r="AD3698" s="77" t="s">
        <v>10184</v>
      </c>
      <c r="AE3698" s="80" t="str">
        <f>HYPERLINK("https://twitter.com/brunova56701023/status/1664626406666518531")</f>
        <v>https://twitter.com/brunova56701023/status/1664626406666518531</v>
      </c>
      <c r="AF3698" s="79">
        <v>45079.565243055556</v>
      </c>
      <c r="AG3698" s="85">
        <v>45079</v>
      </c>
      <c r="AH3698" s="82" t="s">
        <v>13685</v>
      </c>
      <c r="AI3698" s="77" t="b">
        <v>0</v>
      </c>
      <c r="AJ3698" s="77"/>
      <c r="AK3698" s="77"/>
      <c r="AL3698" s="77"/>
      <c r="AM3698" s="77"/>
      <c r="AN3698" s="77"/>
      <c r="AO3698" s="77"/>
      <c r="AP3698" s="77"/>
      <c r="AQ3698" s="77" t="s">
        <v>16561</v>
      </c>
      <c r="AR3698" s="77"/>
      <c r="AS3698" s="77"/>
      <c r="AT3698" s="77"/>
      <c r="AU3698" s="77"/>
      <c r="AV3698" s="80" t="str">
        <f>HYPERLINK("https://pbs.twimg.com/media/Fxnw5HmWIAAW5ZP.jpg")</f>
        <v>https://pbs.twimg.com/media/Fxnw5HmWIAAW5ZP.jpg</v>
      </c>
      <c r="AW3698" s="82" t="s">
        <v>20464</v>
      </c>
      <c r="AX3698" s="82" t="s">
        <v>20464</v>
      </c>
      <c r="AY3698" s="77"/>
      <c r="AZ3698" s="82" t="s">
        <v>20971</v>
      </c>
      <c r="BA3698" s="82" t="s">
        <v>20971</v>
      </c>
      <c r="BB3698" s="82" t="s">
        <v>20971</v>
      </c>
      <c r="BC3698" s="82" t="s">
        <v>20464</v>
      </c>
      <c r="BD3698" s="82" t="s">
        <v>21676</v>
      </c>
      <c r="BE3698" s="77"/>
      <c r="BF3698" s="77"/>
      <c r="BG3698" s="77"/>
      <c r="BH3698" s="77"/>
      <c r="BI3698" s="77"/>
    </row>
    <row r="3699" spans="1:61" x14ac:dyDescent="0.25">
      <c r="A3699" s="62" t="s">
        <v>1108</v>
      </c>
      <c r="B3699" s="62" t="s">
        <v>1108</v>
      </c>
      <c r="C3699" s="63"/>
      <c r="D3699" s="64"/>
      <c r="E3699" s="65"/>
      <c r="F3699" s="66"/>
      <c r="G3699" s="63"/>
      <c r="H3699" s="67"/>
      <c r="I3699" s="68"/>
      <c r="J3699" s="68"/>
      <c r="K3699" s="32"/>
      <c r="L3699" s="75">
        <v>3699</v>
      </c>
      <c r="M3699" s="75"/>
      <c r="N3699" s="70"/>
      <c r="O3699" s="77" t="s">
        <v>179</v>
      </c>
      <c r="P3699" s="79">
        <v>45089.585995370369</v>
      </c>
      <c r="Q3699" s="77" t="s">
        <v>4905</v>
      </c>
      <c r="R3699" s="77">
        <v>0</v>
      </c>
      <c r="S3699" s="77">
        <v>0</v>
      </c>
      <c r="T3699" s="77">
        <v>0</v>
      </c>
      <c r="U3699" s="77">
        <v>0</v>
      </c>
      <c r="V3699" s="77">
        <v>18</v>
      </c>
      <c r="W3699" s="82" t="s">
        <v>6944</v>
      </c>
      <c r="X3699" s="77"/>
      <c r="Y3699" s="77"/>
      <c r="Z3699" s="77"/>
      <c r="AA3699" s="77" t="s">
        <v>9919</v>
      </c>
      <c r="AB3699" s="77" t="s">
        <v>10131</v>
      </c>
      <c r="AC3699" s="82" t="s">
        <v>10145</v>
      </c>
      <c r="AD3699" s="77" t="s">
        <v>10184</v>
      </c>
      <c r="AE3699" s="80" t="str">
        <f>HYPERLINK("https://twitter.com/brunova56701023/status/1668257807597027328")</f>
        <v>https://twitter.com/brunova56701023/status/1668257807597027328</v>
      </c>
      <c r="AF3699" s="79">
        <v>45089.585995370369</v>
      </c>
      <c r="AG3699" s="85">
        <v>45089</v>
      </c>
      <c r="AH3699" s="82" t="s">
        <v>13686</v>
      </c>
      <c r="AI3699" s="77" t="b">
        <v>0</v>
      </c>
      <c r="AJ3699" s="77"/>
      <c r="AK3699" s="77"/>
      <c r="AL3699" s="77"/>
      <c r="AM3699" s="77"/>
      <c r="AN3699" s="77"/>
      <c r="AO3699" s="77"/>
      <c r="AP3699" s="77"/>
      <c r="AQ3699" s="77" t="s">
        <v>16562</v>
      </c>
      <c r="AR3699" s="77"/>
      <c r="AS3699" s="77"/>
      <c r="AT3699" s="77"/>
      <c r="AU3699" s="77"/>
      <c r="AV3699" s="80" t="str">
        <f>HYPERLINK("https://pbs.twimg.com/media/FybXoSyWYAIEeuk.jpg")</f>
        <v>https://pbs.twimg.com/media/FybXoSyWYAIEeuk.jpg</v>
      </c>
      <c r="AW3699" s="82" t="s">
        <v>20465</v>
      </c>
      <c r="AX3699" s="82" t="s">
        <v>20465</v>
      </c>
      <c r="AY3699" s="77"/>
      <c r="AZ3699" s="82" t="s">
        <v>20971</v>
      </c>
      <c r="BA3699" s="82" t="s">
        <v>20971</v>
      </c>
      <c r="BB3699" s="82" t="s">
        <v>20971</v>
      </c>
      <c r="BC3699" s="82" t="s">
        <v>20465</v>
      </c>
      <c r="BD3699" s="82" t="s">
        <v>21676</v>
      </c>
      <c r="BE3699" s="77"/>
      <c r="BF3699" s="77"/>
      <c r="BG3699" s="77"/>
      <c r="BH3699" s="77"/>
      <c r="BI3699" s="77"/>
    </row>
    <row r="3700" spans="1:61" x14ac:dyDescent="0.25">
      <c r="A3700" s="62" t="s">
        <v>1109</v>
      </c>
      <c r="B3700" s="62" t="s">
        <v>1274</v>
      </c>
      <c r="C3700" s="63"/>
      <c r="D3700" s="64"/>
      <c r="E3700" s="65"/>
      <c r="F3700" s="66"/>
      <c r="G3700" s="63"/>
      <c r="H3700" s="67"/>
      <c r="I3700" s="68"/>
      <c r="J3700" s="68"/>
      <c r="K3700" s="32"/>
      <c r="L3700" s="75">
        <v>3700</v>
      </c>
      <c r="M3700" s="75"/>
      <c r="N3700" s="70"/>
      <c r="O3700" s="77" t="s">
        <v>1284</v>
      </c>
      <c r="P3700" s="79">
        <v>45168.033703703702</v>
      </c>
      <c r="Q3700" s="77" t="s">
        <v>4906</v>
      </c>
      <c r="R3700" s="77">
        <v>0</v>
      </c>
      <c r="S3700" s="77">
        <v>1</v>
      </c>
      <c r="T3700" s="77">
        <v>0</v>
      </c>
      <c r="U3700" s="77">
        <v>0</v>
      </c>
      <c r="V3700" s="77">
        <v>85</v>
      </c>
      <c r="W3700" s="82" t="s">
        <v>5236</v>
      </c>
      <c r="X3700" s="77"/>
      <c r="Y3700" s="77"/>
      <c r="Z3700" s="77" t="s">
        <v>1274</v>
      </c>
      <c r="AA3700" s="77"/>
      <c r="AB3700" s="77"/>
      <c r="AC3700" s="82" t="s">
        <v>10144</v>
      </c>
      <c r="AD3700" s="77" t="s">
        <v>10185</v>
      </c>
      <c r="AE3700" s="80" t="str">
        <f>HYPERLINK("https://twitter.com/inimigodonft5/status/1696686304480702617")</f>
        <v>https://twitter.com/inimigodonft5/status/1696686304480702617</v>
      </c>
      <c r="AF3700" s="79">
        <v>45168.033703703702</v>
      </c>
      <c r="AG3700" s="85">
        <v>45168</v>
      </c>
      <c r="AH3700" s="82" t="s">
        <v>13687</v>
      </c>
      <c r="AI3700" s="77"/>
      <c r="AJ3700" s="77"/>
      <c r="AK3700" s="77"/>
      <c r="AL3700" s="77"/>
      <c r="AM3700" s="77"/>
      <c r="AN3700" s="77"/>
      <c r="AO3700" s="77"/>
      <c r="AP3700" s="77"/>
      <c r="AQ3700" s="77"/>
      <c r="AR3700" s="77"/>
      <c r="AS3700" s="77"/>
      <c r="AT3700" s="77"/>
      <c r="AU3700" s="77"/>
      <c r="AV3700" s="80" t="str">
        <f>HYPERLINK("https://pbs.twimg.com/profile_images/1622912092935229441/H2oFtCqg_normal.jpg")</f>
        <v>https://pbs.twimg.com/profile_images/1622912092935229441/H2oFtCqg_normal.jpg</v>
      </c>
      <c r="AW3700" s="82" t="s">
        <v>20466</v>
      </c>
      <c r="AX3700" s="82" t="s">
        <v>20887</v>
      </c>
      <c r="AY3700" s="82" t="s">
        <v>20966</v>
      </c>
      <c r="AZ3700" s="82" t="s">
        <v>20887</v>
      </c>
      <c r="BA3700" s="82" t="s">
        <v>20971</v>
      </c>
      <c r="BB3700" s="82" t="s">
        <v>20971</v>
      </c>
      <c r="BC3700" s="82" t="s">
        <v>20887</v>
      </c>
      <c r="BD3700" s="82" t="s">
        <v>21677</v>
      </c>
      <c r="BE3700" s="77"/>
      <c r="BF3700" s="77"/>
      <c r="BG3700" s="77"/>
      <c r="BH3700" s="77"/>
      <c r="BI3700" s="77"/>
    </row>
    <row r="3701" spans="1:61" x14ac:dyDescent="0.25">
      <c r="A3701" s="62" t="s">
        <v>1110</v>
      </c>
      <c r="B3701" s="62" t="s">
        <v>1275</v>
      </c>
      <c r="C3701" s="63"/>
      <c r="D3701" s="64"/>
      <c r="E3701" s="65"/>
      <c r="F3701" s="66"/>
      <c r="G3701" s="63"/>
      <c r="H3701" s="67"/>
      <c r="I3701" s="68"/>
      <c r="J3701" s="68"/>
      <c r="K3701" s="32"/>
      <c r="L3701" s="75">
        <v>3701</v>
      </c>
      <c r="M3701" s="75"/>
      <c r="N3701" s="70"/>
      <c r="O3701" s="77" t="s">
        <v>1285</v>
      </c>
      <c r="P3701" s="79">
        <v>45186.988321759258</v>
      </c>
      <c r="Q3701" s="77" t="s">
        <v>4907</v>
      </c>
      <c r="R3701" s="77">
        <v>0</v>
      </c>
      <c r="S3701" s="77">
        <v>0</v>
      </c>
      <c r="T3701" s="77">
        <v>0</v>
      </c>
      <c r="U3701" s="77">
        <v>0</v>
      </c>
      <c r="V3701" s="77">
        <v>86</v>
      </c>
      <c r="W3701" s="82" t="s">
        <v>6945</v>
      </c>
      <c r="X3701" s="77"/>
      <c r="Y3701" s="77"/>
      <c r="Z3701" s="77" t="s">
        <v>1275</v>
      </c>
      <c r="AA3701" s="77" t="s">
        <v>9920</v>
      </c>
      <c r="AB3701" s="77" t="s">
        <v>10129</v>
      </c>
      <c r="AC3701" s="82" t="s">
        <v>10146</v>
      </c>
      <c r="AD3701" s="77" t="s">
        <v>10184</v>
      </c>
      <c r="AE3701" s="80" t="str">
        <f>HYPERLINK("https://twitter.com/sanches92512/status/1703555227809374300")</f>
        <v>https://twitter.com/sanches92512/status/1703555227809374300</v>
      </c>
      <c r="AF3701" s="79">
        <v>45186.988321759258</v>
      </c>
      <c r="AG3701" s="85">
        <v>45186</v>
      </c>
      <c r="AH3701" s="82" t="s">
        <v>13688</v>
      </c>
      <c r="AI3701" s="77" t="b">
        <v>0</v>
      </c>
      <c r="AJ3701" s="77"/>
      <c r="AK3701" s="77"/>
      <c r="AL3701" s="77"/>
      <c r="AM3701" s="77"/>
      <c r="AN3701" s="77"/>
      <c r="AO3701" s="77"/>
      <c r="AP3701" s="77"/>
      <c r="AQ3701" s="77" t="s">
        <v>16563</v>
      </c>
      <c r="AR3701" s="77">
        <v>18766</v>
      </c>
      <c r="AS3701" s="77"/>
      <c r="AT3701" s="77"/>
      <c r="AU3701" s="77"/>
      <c r="AV3701" s="80" t="str">
        <f>HYPERLINK("https://pbs.twimg.com/ext_tw_video_thumb/1703555141981360128/pu/img/atQ1xWJ6DdakZbnQ.jpg")</f>
        <v>https://pbs.twimg.com/ext_tw_video_thumb/1703555141981360128/pu/img/atQ1xWJ6DdakZbnQ.jpg</v>
      </c>
      <c r="AW3701" s="82" t="s">
        <v>20467</v>
      </c>
      <c r="AX3701" s="82" t="s">
        <v>20467</v>
      </c>
      <c r="AY3701" s="77"/>
      <c r="AZ3701" s="82" t="s">
        <v>20971</v>
      </c>
      <c r="BA3701" s="82" t="s">
        <v>20971</v>
      </c>
      <c r="BB3701" s="82" t="s">
        <v>20971</v>
      </c>
      <c r="BC3701" s="82" t="s">
        <v>20467</v>
      </c>
      <c r="BD3701" s="82" t="s">
        <v>21678</v>
      </c>
      <c r="BE3701" s="77"/>
      <c r="BF3701" s="77"/>
      <c r="BG3701" s="77"/>
      <c r="BH3701" s="77"/>
      <c r="BI3701" s="77"/>
    </row>
    <row r="3702" spans="1:61" x14ac:dyDescent="0.25">
      <c r="A3702" s="62" t="s">
        <v>1111</v>
      </c>
      <c r="B3702" s="62" t="s">
        <v>1111</v>
      </c>
      <c r="C3702" s="63"/>
      <c r="D3702" s="64"/>
      <c r="E3702" s="65"/>
      <c r="F3702" s="66"/>
      <c r="G3702" s="63"/>
      <c r="H3702" s="67"/>
      <c r="I3702" s="68"/>
      <c r="J3702" s="68"/>
      <c r="K3702" s="32"/>
      <c r="L3702" s="75">
        <v>3702</v>
      </c>
      <c r="M3702" s="75"/>
      <c r="N3702" s="70"/>
      <c r="O3702" s="77" t="s">
        <v>179</v>
      </c>
      <c r="P3702" s="79">
        <v>44977.47315972222</v>
      </c>
      <c r="Q3702" s="77" t="s">
        <v>4908</v>
      </c>
      <c r="R3702" s="77">
        <v>0</v>
      </c>
      <c r="S3702" s="77">
        <v>0</v>
      </c>
      <c r="T3702" s="77">
        <v>0</v>
      </c>
      <c r="U3702" s="77">
        <v>0</v>
      </c>
      <c r="V3702" s="77">
        <v>20</v>
      </c>
      <c r="W3702" s="82" t="s">
        <v>5236</v>
      </c>
      <c r="X3702" s="80" t="str">
        <f>HYPERLINK("https://ift.tt/vPD17Vq")</f>
        <v>https://ift.tt/vPD17Vq</v>
      </c>
      <c r="Y3702" s="77" t="s">
        <v>7330</v>
      </c>
      <c r="Z3702" s="77"/>
      <c r="AA3702" s="77"/>
      <c r="AB3702" s="77"/>
      <c r="AC3702" s="82" t="s">
        <v>10157</v>
      </c>
      <c r="AD3702" s="77" t="s">
        <v>10184</v>
      </c>
      <c r="AE3702" s="80" t="str">
        <f>HYPERLINK("https://twitter.com/bytresloucado/status/1627629476526817280")</f>
        <v>https://twitter.com/bytresloucado/status/1627629476526817280</v>
      </c>
      <c r="AF3702" s="79">
        <v>44977.47315972222</v>
      </c>
      <c r="AG3702" s="85">
        <v>44977</v>
      </c>
      <c r="AH3702" s="82" t="s">
        <v>13689</v>
      </c>
      <c r="AI3702" s="77" t="b">
        <v>0</v>
      </c>
      <c r="AJ3702" s="77"/>
      <c r="AK3702" s="77"/>
      <c r="AL3702" s="77"/>
      <c r="AM3702" s="77"/>
      <c r="AN3702" s="77"/>
      <c r="AO3702" s="77"/>
      <c r="AP3702" s="77"/>
      <c r="AQ3702" s="77"/>
      <c r="AR3702" s="77"/>
      <c r="AS3702" s="77"/>
      <c r="AT3702" s="77"/>
      <c r="AU3702" s="77"/>
      <c r="AV3702" s="80" t="str">
        <f>HYPERLINK("https://pbs.twimg.com/profile_images/1479504305015205892/z9LtNU8X_normal.jpg")</f>
        <v>https://pbs.twimg.com/profile_images/1479504305015205892/z9LtNU8X_normal.jpg</v>
      </c>
      <c r="AW3702" s="82" t="s">
        <v>20468</v>
      </c>
      <c r="AX3702" s="82" t="s">
        <v>20468</v>
      </c>
      <c r="AY3702" s="77"/>
      <c r="AZ3702" s="82" t="s">
        <v>20971</v>
      </c>
      <c r="BA3702" s="82" t="s">
        <v>20971</v>
      </c>
      <c r="BB3702" s="82" t="s">
        <v>20971</v>
      </c>
      <c r="BC3702" s="82" t="s">
        <v>20468</v>
      </c>
      <c r="BD3702" s="82" t="s">
        <v>21679</v>
      </c>
      <c r="BE3702" s="77"/>
      <c r="BF3702" s="77"/>
      <c r="BG3702" s="77"/>
      <c r="BH3702" s="77"/>
      <c r="BI3702" s="77"/>
    </row>
    <row r="3703" spans="1:61" x14ac:dyDescent="0.25">
      <c r="A3703" s="62" t="s">
        <v>1111</v>
      </c>
      <c r="B3703" s="62" t="s">
        <v>1111</v>
      </c>
      <c r="C3703" s="63"/>
      <c r="D3703" s="64"/>
      <c r="E3703" s="65"/>
      <c r="F3703" s="66"/>
      <c r="G3703" s="63"/>
      <c r="H3703" s="67"/>
      <c r="I3703" s="68"/>
      <c r="J3703" s="68"/>
      <c r="K3703" s="32"/>
      <c r="L3703" s="75">
        <v>3703</v>
      </c>
      <c r="M3703" s="75"/>
      <c r="N3703" s="70"/>
      <c r="O3703" s="77" t="s">
        <v>179</v>
      </c>
      <c r="P3703" s="79">
        <v>44977.389803240738</v>
      </c>
      <c r="Q3703" s="77" t="s">
        <v>4909</v>
      </c>
      <c r="R3703" s="77">
        <v>0</v>
      </c>
      <c r="S3703" s="77">
        <v>0</v>
      </c>
      <c r="T3703" s="77">
        <v>0</v>
      </c>
      <c r="U3703" s="77">
        <v>0</v>
      </c>
      <c r="V3703" s="77">
        <v>18</v>
      </c>
      <c r="W3703" s="82" t="s">
        <v>5299</v>
      </c>
      <c r="X3703" s="80" t="str">
        <f>HYPERLINK("https://ift.tt/At7suLk")</f>
        <v>https://ift.tt/At7suLk</v>
      </c>
      <c r="Y3703" s="77" t="s">
        <v>7330</v>
      </c>
      <c r="Z3703" s="77"/>
      <c r="AA3703" s="77"/>
      <c r="AB3703" s="77"/>
      <c r="AC3703" s="82" t="s">
        <v>10157</v>
      </c>
      <c r="AD3703" s="77" t="s">
        <v>10184</v>
      </c>
      <c r="AE3703" s="80" t="str">
        <f>HYPERLINK("https://twitter.com/bytresloucado/status/1627599267815690241")</f>
        <v>https://twitter.com/bytresloucado/status/1627599267815690241</v>
      </c>
      <c r="AF3703" s="79">
        <v>44977.389803240738</v>
      </c>
      <c r="AG3703" s="85">
        <v>44977</v>
      </c>
      <c r="AH3703" s="82" t="s">
        <v>13690</v>
      </c>
      <c r="AI3703" s="77" t="b">
        <v>0</v>
      </c>
      <c r="AJ3703" s="77"/>
      <c r="AK3703" s="77"/>
      <c r="AL3703" s="77"/>
      <c r="AM3703" s="77"/>
      <c r="AN3703" s="77"/>
      <c r="AO3703" s="77"/>
      <c r="AP3703" s="77"/>
      <c r="AQ3703" s="77"/>
      <c r="AR3703" s="77"/>
      <c r="AS3703" s="77"/>
      <c r="AT3703" s="77"/>
      <c r="AU3703" s="77"/>
      <c r="AV3703" s="80" t="str">
        <f>HYPERLINK("https://pbs.twimg.com/profile_images/1479504305015205892/z9LtNU8X_normal.jpg")</f>
        <v>https://pbs.twimg.com/profile_images/1479504305015205892/z9LtNU8X_normal.jpg</v>
      </c>
      <c r="AW3703" s="82" t="s">
        <v>20469</v>
      </c>
      <c r="AX3703" s="82" t="s">
        <v>20469</v>
      </c>
      <c r="AY3703" s="77"/>
      <c r="AZ3703" s="82" t="s">
        <v>20971</v>
      </c>
      <c r="BA3703" s="82" t="s">
        <v>20971</v>
      </c>
      <c r="BB3703" s="82" t="s">
        <v>20971</v>
      </c>
      <c r="BC3703" s="82" t="s">
        <v>20469</v>
      </c>
      <c r="BD3703" s="82" t="s">
        <v>21679</v>
      </c>
      <c r="BE3703" s="77"/>
      <c r="BF3703" s="77"/>
      <c r="BG3703" s="77"/>
      <c r="BH3703" s="77"/>
      <c r="BI3703" s="77"/>
    </row>
    <row r="3704" spans="1:61" x14ac:dyDescent="0.25">
      <c r="A3704" s="62" t="s">
        <v>1111</v>
      </c>
      <c r="B3704" s="62" t="s">
        <v>1111</v>
      </c>
      <c r="C3704" s="63"/>
      <c r="D3704" s="64"/>
      <c r="E3704" s="65"/>
      <c r="F3704" s="66"/>
      <c r="G3704" s="63"/>
      <c r="H3704" s="67"/>
      <c r="I3704" s="68"/>
      <c r="J3704" s="68"/>
      <c r="K3704" s="32"/>
      <c r="L3704" s="75">
        <v>3704</v>
      </c>
      <c r="M3704" s="75"/>
      <c r="N3704" s="70"/>
      <c r="O3704" s="77" t="s">
        <v>179</v>
      </c>
      <c r="P3704" s="79">
        <v>45001.306284722225</v>
      </c>
      <c r="Q3704" s="77" t="s">
        <v>4910</v>
      </c>
      <c r="R3704" s="77">
        <v>0</v>
      </c>
      <c r="S3704" s="77">
        <v>0</v>
      </c>
      <c r="T3704" s="77">
        <v>0</v>
      </c>
      <c r="U3704" s="77">
        <v>0</v>
      </c>
      <c r="V3704" s="77">
        <v>9</v>
      </c>
      <c r="W3704" s="82" t="s">
        <v>6946</v>
      </c>
      <c r="X3704" s="80" t="str">
        <f>HYPERLINK("https://ift.tt/5zZrDdg")</f>
        <v>https://ift.tt/5zZrDdg</v>
      </c>
      <c r="Y3704" s="77" t="s">
        <v>7330</v>
      </c>
      <c r="Z3704" s="77"/>
      <c r="AA3704" s="77"/>
      <c r="AB3704" s="77"/>
      <c r="AC3704" s="82" t="s">
        <v>10157</v>
      </c>
      <c r="AD3704" s="77" t="s">
        <v>10184</v>
      </c>
      <c r="AE3704" s="80" t="str">
        <f>HYPERLINK("https://twitter.com/bytresloucado/status/1636266310903496706")</f>
        <v>https://twitter.com/bytresloucado/status/1636266310903496706</v>
      </c>
      <c r="AF3704" s="79">
        <v>45001.306284722225</v>
      </c>
      <c r="AG3704" s="85">
        <v>45001</v>
      </c>
      <c r="AH3704" s="82" t="s">
        <v>13691</v>
      </c>
      <c r="AI3704" s="77" t="b">
        <v>0</v>
      </c>
      <c r="AJ3704" s="77"/>
      <c r="AK3704" s="77"/>
      <c r="AL3704" s="77"/>
      <c r="AM3704" s="77"/>
      <c r="AN3704" s="77"/>
      <c r="AO3704" s="77"/>
      <c r="AP3704" s="77"/>
      <c r="AQ3704" s="77"/>
      <c r="AR3704" s="77"/>
      <c r="AS3704" s="77"/>
      <c r="AT3704" s="77"/>
      <c r="AU3704" s="77"/>
      <c r="AV3704" s="80" t="str">
        <f>HYPERLINK("https://pbs.twimg.com/profile_images/1479504305015205892/z9LtNU8X_normal.jpg")</f>
        <v>https://pbs.twimg.com/profile_images/1479504305015205892/z9LtNU8X_normal.jpg</v>
      </c>
      <c r="AW3704" s="82" t="s">
        <v>20470</v>
      </c>
      <c r="AX3704" s="82" t="s">
        <v>20470</v>
      </c>
      <c r="AY3704" s="77"/>
      <c r="AZ3704" s="82" t="s">
        <v>20971</v>
      </c>
      <c r="BA3704" s="82" t="s">
        <v>20971</v>
      </c>
      <c r="BB3704" s="82" t="s">
        <v>20971</v>
      </c>
      <c r="BC3704" s="82" t="s">
        <v>20470</v>
      </c>
      <c r="BD3704" s="82" t="s">
        <v>21679</v>
      </c>
      <c r="BE3704" s="77"/>
      <c r="BF3704" s="77"/>
      <c r="BG3704" s="77"/>
      <c r="BH3704" s="77"/>
      <c r="BI3704" s="77"/>
    </row>
    <row r="3705" spans="1:61" x14ac:dyDescent="0.25">
      <c r="A3705" s="62" t="s">
        <v>1111</v>
      </c>
      <c r="B3705" s="62" t="s">
        <v>1111</v>
      </c>
      <c r="C3705" s="63"/>
      <c r="D3705" s="64"/>
      <c r="E3705" s="65"/>
      <c r="F3705" s="66"/>
      <c r="G3705" s="63"/>
      <c r="H3705" s="67"/>
      <c r="I3705" s="68"/>
      <c r="J3705" s="68"/>
      <c r="K3705" s="32"/>
      <c r="L3705" s="75">
        <v>3705</v>
      </c>
      <c r="M3705" s="75"/>
      <c r="N3705" s="70"/>
      <c r="O3705" s="77" t="s">
        <v>179</v>
      </c>
      <c r="P3705" s="79">
        <v>44963.473391203705</v>
      </c>
      <c r="Q3705" s="77" t="s">
        <v>4911</v>
      </c>
      <c r="R3705" s="77">
        <v>0</v>
      </c>
      <c r="S3705" s="77">
        <v>0</v>
      </c>
      <c r="T3705" s="77">
        <v>0</v>
      </c>
      <c r="U3705" s="77">
        <v>0</v>
      </c>
      <c r="V3705" s="77">
        <v>8</v>
      </c>
      <c r="W3705" s="82" t="s">
        <v>6947</v>
      </c>
      <c r="X3705" s="80" t="str">
        <f>HYPERLINK("https://ift.tt/lhz5PwS")</f>
        <v>https://ift.tt/lhz5PwS</v>
      </c>
      <c r="Y3705" s="77" t="s">
        <v>7330</v>
      </c>
      <c r="Z3705" s="77"/>
      <c r="AA3705" s="77"/>
      <c r="AB3705" s="77"/>
      <c r="AC3705" s="82" t="s">
        <v>10157</v>
      </c>
      <c r="AD3705" s="77" t="s">
        <v>10184</v>
      </c>
      <c r="AE3705" s="80" t="str">
        <f>HYPERLINK("https://twitter.com/bytresloucado/status/1622556131158638593")</f>
        <v>https://twitter.com/bytresloucado/status/1622556131158638593</v>
      </c>
      <c r="AF3705" s="79">
        <v>44963.473391203705</v>
      </c>
      <c r="AG3705" s="85">
        <v>44963</v>
      </c>
      <c r="AH3705" s="82" t="s">
        <v>13692</v>
      </c>
      <c r="AI3705" s="77" t="b">
        <v>0</v>
      </c>
      <c r="AJ3705" s="77"/>
      <c r="AK3705" s="77"/>
      <c r="AL3705" s="77"/>
      <c r="AM3705" s="77"/>
      <c r="AN3705" s="77"/>
      <c r="AO3705" s="77"/>
      <c r="AP3705" s="77"/>
      <c r="AQ3705" s="77"/>
      <c r="AR3705" s="77"/>
      <c r="AS3705" s="77"/>
      <c r="AT3705" s="77"/>
      <c r="AU3705" s="77"/>
      <c r="AV3705" s="80" t="str">
        <f>HYPERLINK("https://pbs.twimg.com/profile_images/1479504305015205892/z9LtNU8X_normal.jpg")</f>
        <v>https://pbs.twimg.com/profile_images/1479504305015205892/z9LtNU8X_normal.jpg</v>
      </c>
      <c r="AW3705" s="82" t="s">
        <v>20471</v>
      </c>
      <c r="AX3705" s="82" t="s">
        <v>20471</v>
      </c>
      <c r="AY3705" s="77"/>
      <c r="AZ3705" s="82" t="s">
        <v>20971</v>
      </c>
      <c r="BA3705" s="82" t="s">
        <v>20971</v>
      </c>
      <c r="BB3705" s="82" t="s">
        <v>20971</v>
      </c>
      <c r="BC3705" s="82" t="s">
        <v>20471</v>
      </c>
      <c r="BD3705" s="82" t="s">
        <v>21679</v>
      </c>
      <c r="BE3705" s="77"/>
      <c r="BF3705" s="77"/>
      <c r="BG3705" s="77"/>
      <c r="BH3705" s="77"/>
      <c r="BI3705" s="77"/>
    </row>
    <row r="3706" spans="1:61" x14ac:dyDescent="0.25">
      <c r="A3706" s="62" t="s">
        <v>1111</v>
      </c>
      <c r="B3706" s="62" t="s">
        <v>1111</v>
      </c>
      <c r="C3706" s="63"/>
      <c r="D3706" s="64"/>
      <c r="E3706" s="65"/>
      <c r="F3706" s="66"/>
      <c r="G3706" s="63"/>
      <c r="H3706" s="67"/>
      <c r="I3706" s="68"/>
      <c r="J3706" s="68"/>
      <c r="K3706" s="32"/>
      <c r="L3706" s="75">
        <v>3706</v>
      </c>
      <c r="M3706" s="75"/>
      <c r="N3706" s="70"/>
      <c r="O3706" s="77" t="s">
        <v>179</v>
      </c>
      <c r="P3706" s="79">
        <v>44963.390266203707</v>
      </c>
      <c r="Q3706" s="77" t="s">
        <v>4912</v>
      </c>
      <c r="R3706" s="77">
        <v>0</v>
      </c>
      <c r="S3706" s="77">
        <v>0</v>
      </c>
      <c r="T3706" s="77">
        <v>0</v>
      </c>
      <c r="U3706" s="77">
        <v>0</v>
      </c>
      <c r="V3706" s="77">
        <v>13</v>
      </c>
      <c r="W3706" s="82" t="s">
        <v>6948</v>
      </c>
      <c r="X3706" s="80" t="str">
        <f>HYPERLINK("https://ift.tt/7P5be0I")</f>
        <v>https://ift.tt/7P5be0I</v>
      </c>
      <c r="Y3706" s="77" t="s">
        <v>7330</v>
      </c>
      <c r="Z3706" s="77"/>
      <c r="AA3706" s="77"/>
      <c r="AB3706" s="77"/>
      <c r="AC3706" s="82" t="s">
        <v>10157</v>
      </c>
      <c r="AD3706" s="77" t="s">
        <v>10184</v>
      </c>
      <c r="AE3706" s="80" t="str">
        <f>HYPERLINK("https://twitter.com/bytresloucado/status/1622526004945117185")</f>
        <v>https://twitter.com/bytresloucado/status/1622526004945117185</v>
      </c>
      <c r="AF3706" s="79">
        <v>44963.390266203707</v>
      </c>
      <c r="AG3706" s="85">
        <v>44963</v>
      </c>
      <c r="AH3706" s="82" t="s">
        <v>13693</v>
      </c>
      <c r="AI3706" s="77" t="b">
        <v>0</v>
      </c>
      <c r="AJ3706" s="77"/>
      <c r="AK3706" s="77"/>
      <c r="AL3706" s="77"/>
      <c r="AM3706" s="77"/>
      <c r="AN3706" s="77"/>
      <c r="AO3706" s="77"/>
      <c r="AP3706" s="77"/>
      <c r="AQ3706" s="77"/>
      <c r="AR3706" s="77"/>
      <c r="AS3706" s="77"/>
      <c r="AT3706" s="77"/>
      <c r="AU3706" s="77"/>
      <c r="AV3706" s="80" t="str">
        <f>HYPERLINK("https://pbs.twimg.com/profile_images/1479504305015205892/z9LtNU8X_normal.jpg")</f>
        <v>https://pbs.twimg.com/profile_images/1479504305015205892/z9LtNU8X_normal.jpg</v>
      </c>
      <c r="AW3706" s="82" t="s">
        <v>20472</v>
      </c>
      <c r="AX3706" s="82" t="s">
        <v>20472</v>
      </c>
      <c r="AY3706" s="77"/>
      <c r="AZ3706" s="82" t="s">
        <v>20971</v>
      </c>
      <c r="BA3706" s="82" t="s">
        <v>20971</v>
      </c>
      <c r="BB3706" s="82" t="s">
        <v>20971</v>
      </c>
      <c r="BC3706" s="82" t="s">
        <v>20472</v>
      </c>
      <c r="BD3706" s="82" t="s">
        <v>21679</v>
      </c>
      <c r="BE3706" s="77"/>
      <c r="BF3706" s="77"/>
      <c r="BG3706" s="77"/>
      <c r="BH3706" s="77"/>
      <c r="BI3706" s="77"/>
    </row>
    <row r="3707" spans="1:61" x14ac:dyDescent="0.25">
      <c r="A3707" s="62" t="s">
        <v>1111</v>
      </c>
      <c r="B3707" s="62" t="s">
        <v>1111</v>
      </c>
      <c r="C3707" s="63"/>
      <c r="D3707" s="64"/>
      <c r="E3707" s="65"/>
      <c r="F3707" s="66"/>
      <c r="G3707" s="63"/>
      <c r="H3707" s="67"/>
      <c r="I3707" s="68"/>
      <c r="J3707" s="68"/>
      <c r="K3707" s="32"/>
      <c r="L3707" s="75">
        <v>3707</v>
      </c>
      <c r="M3707" s="75"/>
      <c r="N3707" s="70"/>
      <c r="O3707" s="77" t="s">
        <v>179</v>
      </c>
      <c r="P3707" s="79">
        <v>44961.431979166664</v>
      </c>
      <c r="Q3707" s="77" t="s">
        <v>4913</v>
      </c>
      <c r="R3707" s="77">
        <v>0</v>
      </c>
      <c r="S3707" s="77">
        <v>0</v>
      </c>
      <c r="T3707" s="77">
        <v>0</v>
      </c>
      <c r="U3707" s="77">
        <v>0</v>
      </c>
      <c r="V3707" s="77">
        <v>19</v>
      </c>
      <c r="W3707" s="82" t="s">
        <v>5429</v>
      </c>
      <c r="X3707" s="80" t="str">
        <f>HYPERLINK("https://ift.tt/mMQzog1")</f>
        <v>https://ift.tt/mMQzog1</v>
      </c>
      <c r="Y3707" s="77" t="s">
        <v>7330</v>
      </c>
      <c r="Z3707" s="77"/>
      <c r="AA3707" s="77"/>
      <c r="AB3707" s="77"/>
      <c r="AC3707" s="82" t="s">
        <v>10157</v>
      </c>
      <c r="AD3707" s="77" t="s">
        <v>10184</v>
      </c>
      <c r="AE3707" s="80" t="str">
        <f>HYPERLINK("https://twitter.com/bytresloucado/status/1621816346437685248")</f>
        <v>https://twitter.com/bytresloucado/status/1621816346437685248</v>
      </c>
      <c r="AF3707" s="79">
        <v>44961.431979166664</v>
      </c>
      <c r="AG3707" s="85">
        <v>44961</v>
      </c>
      <c r="AH3707" s="82" t="s">
        <v>13694</v>
      </c>
      <c r="AI3707" s="77" t="b">
        <v>0</v>
      </c>
      <c r="AJ3707" s="77"/>
      <c r="AK3707" s="77"/>
      <c r="AL3707" s="77"/>
      <c r="AM3707" s="77"/>
      <c r="AN3707" s="77"/>
      <c r="AO3707" s="77"/>
      <c r="AP3707" s="77"/>
      <c r="AQ3707" s="77"/>
      <c r="AR3707" s="77"/>
      <c r="AS3707" s="77"/>
      <c r="AT3707" s="77"/>
      <c r="AU3707" s="77"/>
      <c r="AV3707" s="80" t="str">
        <f>HYPERLINK("https://pbs.twimg.com/profile_images/1479504305015205892/z9LtNU8X_normal.jpg")</f>
        <v>https://pbs.twimg.com/profile_images/1479504305015205892/z9LtNU8X_normal.jpg</v>
      </c>
      <c r="AW3707" s="82" t="s">
        <v>20473</v>
      </c>
      <c r="AX3707" s="82" t="s">
        <v>20473</v>
      </c>
      <c r="AY3707" s="77"/>
      <c r="AZ3707" s="82" t="s">
        <v>20971</v>
      </c>
      <c r="BA3707" s="82" t="s">
        <v>20971</v>
      </c>
      <c r="BB3707" s="82" t="s">
        <v>20971</v>
      </c>
      <c r="BC3707" s="82" t="s">
        <v>20473</v>
      </c>
      <c r="BD3707" s="82" t="s">
        <v>21679</v>
      </c>
      <c r="BE3707" s="77"/>
      <c r="BF3707" s="77"/>
      <c r="BG3707" s="77"/>
      <c r="BH3707" s="77"/>
      <c r="BI3707" s="77"/>
    </row>
    <row r="3708" spans="1:61" x14ac:dyDescent="0.25">
      <c r="A3708" s="62" t="s">
        <v>1111</v>
      </c>
      <c r="B3708" s="62" t="s">
        <v>1111</v>
      </c>
      <c r="C3708" s="63"/>
      <c r="D3708" s="64"/>
      <c r="E3708" s="65"/>
      <c r="F3708" s="66"/>
      <c r="G3708" s="63"/>
      <c r="H3708" s="67"/>
      <c r="I3708" s="68"/>
      <c r="J3708" s="68"/>
      <c r="K3708" s="32"/>
      <c r="L3708" s="75">
        <v>3708</v>
      </c>
      <c r="M3708" s="75"/>
      <c r="N3708" s="70"/>
      <c r="O3708" s="77" t="s">
        <v>179</v>
      </c>
      <c r="P3708" s="79">
        <v>45030.473252314812</v>
      </c>
      <c r="Q3708" s="77" t="s">
        <v>4914</v>
      </c>
      <c r="R3708" s="77">
        <v>0</v>
      </c>
      <c r="S3708" s="77">
        <v>0</v>
      </c>
      <c r="T3708" s="77">
        <v>0</v>
      </c>
      <c r="U3708" s="77">
        <v>0</v>
      </c>
      <c r="V3708" s="77">
        <v>34</v>
      </c>
      <c r="W3708" s="82" t="s">
        <v>6949</v>
      </c>
      <c r="X3708" s="80" t="str">
        <f>HYPERLINK("https://ift.tt/SwLuPJh")</f>
        <v>https://ift.tt/SwLuPJh</v>
      </c>
      <c r="Y3708" s="77" t="s">
        <v>7330</v>
      </c>
      <c r="Z3708" s="77"/>
      <c r="AA3708" s="77"/>
      <c r="AB3708" s="77"/>
      <c r="AC3708" s="82" t="s">
        <v>10157</v>
      </c>
      <c r="AD3708" s="77" t="s">
        <v>10187</v>
      </c>
      <c r="AE3708" s="80" t="str">
        <f>HYPERLINK("https://twitter.com/bytresloucado/status/1646836064424796160")</f>
        <v>https://twitter.com/bytresloucado/status/1646836064424796160</v>
      </c>
      <c r="AF3708" s="79">
        <v>45030.473252314812</v>
      </c>
      <c r="AG3708" s="85">
        <v>45030</v>
      </c>
      <c r="AH3708" s="82" t="s">
        <v>13695</v>
      </c>
      <c r="AI3708" s="77" t="b">
        <v>0</v>
      </c>
      <c r="AJ3708" s="77"/>
      <c r="AK3708" s="77"/>
      <c r="AL3708" s="77"/>
      <c r="AM3708" s="77"/>
      <c r="AN3708" s="77"/>
      <c r="AO3708" s="77"/>
      <c r="AP3708" s="77"/>
      <c r="AQ3708" s="77"/>
      <c r="AR3708" s="77"/>
      <c r="AS3708" s="77"/>
      <c r="AT3708" s="77"/>
      <c r="AU3708" s="77"/>
      <c r="AV3708" s="80" t="str">
        <f>HYPERLINK("https://pbs.twimg.com/profile_images/1479504305015205892/z9LtNU8X_normal.jpg")</f>
        <v>https://pbs.twimg.com/profile_images/1479504305015205892/z9LtNU8X_normal.jpg</v>
      </c>
      <c r="AW3708" s="82" t="s">
        <v>20474</v>
      </c>
      <c r="AX3708" s="82" t="s">
        <v>20474</v>
      </c>
      <c r="AY3708" s="77"/>
      <c r="AZ3708" s="82" t="s">
        <v>20971</v>
      </c>
      <c r="BA3708" s="82" t="s">
        <v>20971</v>
      </c>
      <c r="BB3708" s="82" t="s">
        <v>20971</v>
      </c>
      <c r="BC3708" s="82" t="s">
        <v>20474</v>
      </c>
      <c r="BD3708" s="82" t="s">
        <v>21679</v>
      </c>
      <c r="BE3708" s="77"/>
      <c r="BF3708" s="77"/>
      <c r="BG3708" s="77"/>
      <c r="BH3708" s="77"/>
      <c r="BI3708" s="77"/>
    </row>
    <row r="3709" spans="1:61" x14ac:dyDescent="0.25">
      <c r="A3709" s="62" t="s">
        <v>1111</v>
      </c>
      <c r="B3709" s="62" t="s">
        <v>1111</v>
      </c>
      <c r="C3709" s="63"/>
      <c r="D3709" s="64"/>
      <c r="E3709" s="65"/>
      <c r="F3709" s="66"/>
      <c r="G3709" s="63"/>
      <c r="H3709" s="67"/>
      <c r="I3709" s="68"/>
      <c r="J3709" s="68"/>
      <c r="K3709" s="32"/>
      <c r="L3709" s="75">
        <v>3709</v>
      </c>
      <c r="M3709" s="75"/>
      <c r="N3709" s="70"/>
      <c r="O3709" s="77" t="s">
        <v>179</v>
      </c>
      <c r="P3709" s="79">
        <v>45030.389780092592</v>
      </c>
      <c r="Q3709" s="77" t="s">
        <v>4915</v>
      </c>
      <c r="R3709" s="77">
        <v>0</v>
      </c>
      <c r="S3709" s="77">
        <v>0</v>
      </c>
      <c r="T3709" s="77">
        <v>0</v>
      </c>
      <c r="U3709" s="77">
        <v>0</v>
      </c>
      <c r="V3709" s="77">
        <v>14</v>
      </c>
      <c r="W3709" s="82" t="s">
        <v>6950</v>
      </c>
      <c r="X3709" s="80" t="str">
        <f>HYPERLINK("https://ift.tt/QXn97Ad")</f>
        <v>https://ift.tt/QXn97Ad</v>
      </c>
      <c r="Y3709" s="77" t="s">
        <v>7330</v>
      </c>
      <c r="Z3709" s="77"/>
      <c r="AA3709" s="77"/>
      <c r="AB3709" s="77"/>
      <c r="AC3709" s="82" t="s">
        <v>10157</v>
      </c>
      <c r="AD3709" s="77" t="s">
        <v>10183</v>
      </c>
      <c r="AE3709" s="80" t="str">
        <f>HYPERLINK("https://twitter.com/bytresloucado/status/1646805818287816704")</f>
        <v>https://twitter.com/bytresloucado/status/1646805818287816704</v>
      </c>
      <c r="AF3709" s="79">
        <v>45030.389780092592</v>
      </c>
      <c r="AG3709" s="85">
        <v>45030</v>
      </c>
      <c r="AH3709" s="82" t="s">
        <v>13696</v>
      </c>
      <c r="AI3709" s="77" t="b">
        <v>0</v>
      </c>
      <c r="AJ3709" s="77"/>
      <c r="AK3709" s="77"/>
      <c r="AL3709" s="77"/>
      <c r="AM3709" s="77"/>
      <c r="AN3709" s="77"/>
      <c r="AO3709" s="77"/>
      <c r="AP3709" s="77"/>
      <c r="AQ3709" s="77"/>
      <c r="AR3709" s="77"/>
      <c r="AS3709" s="77"/>
      <c r="AT3709" s="77"/>
      <c r="AU3709" s="77"/>
      <c r="AV3709" s="80" t="str">
        <f>HYPERLINK("https://pbs.twimg.com/profile_images/1479504305015205892/z9LtNU8X_normal.jpg")</f>
        <v>https://pbs.twimg.com/profile_images/1479504305015205892/z9LtNU8X_normal.jpg</v>
      </c>
      <c r="AW3709" s="82" t="s">
        <v>20475</v>
      </c>
      <c r="AX3709" s="82" t="s">
        <v>20475</v>
      </c>
      <c r="AY3709" s="77"/>
      <c r="AZ3709" s="82" t="s">
        <v>20971</v>
      </c>
      <c r="BA3709" s="82" t="s">
        <v>20971</v>
      </c>
      <c r="BB3709" s="82" t="s">
        <v>20971</v>
      </c>
      <c r="BC3709" s="82" t="s">
        <v>20475</v>
      </c>
      <c r="BD3709" s="82" t="s">
        <v>21679</v>
      </c>
      <c r="BE3709" s="77"/>
      <c r="BF3709" s="77"/>
      <c r="BG3709" s="77"/>
      <c r="BH3709" s="77"/>
      <c r="BI3709" s="77"/>
    </row>
    <row r="3710" spans="1:61" x14ac:dyDescent="0.25">
      <c r="A3710" s="62" t="s">
        <v>1111</v>
      </c>
      <c r="B3710" s="62" t="s">
        <v>1111</v>
      </c>
      <c r="C3710" s="63"/>
      <c r="D3710" s="64"/>
      <c r="E3710" s="65"/>
      <c r="F3710" s="66"/>
      <c r="G3710" s="63"/>
      <c r="H3710" s="67"/>
      <c r="I3710" s="68"/>
      <c r="J3710" s="68"/>
      <c r="K3710" s="32"/>
      <c r="L3710" s="75">
        <v>3710</v>
      </c>
      <c r="M3710" s="75"/>
      <c r="N3710" s="70"/>
      <c r="O3710" s="77" t="s">
        <v>179</v>
      </c>
      <c r="P3710" s="79">
        <v>44971.38994212963</v>
      </c>
      <c r="Q3710" s="77" t="s">
        <v>4916</v>
      </c>
      <c r="R3710" s="77">
        <v>0</v>
      </c>
      <c r="S3710" s="77">
        <v>0</v>
      </c>
      <c r="T3710" s="77">
        <v>0</v>
      </c>
      <c r="U3710" s="77">
        <v>0</v>
      </c>
      <c r="V3710" s="77">
        <v>6</v>
      </c>
      <c r="W3710" s="82" t="s">
        <v>6951</v>
      </c>
      <c r="X3710" s="80" t="str">
        <f>HYPERLINK("https://ift.tt/VoXE8fB")</f>
        <v>https://ift.tt/VoXE8fB</v>
      </c>
      <c r="Y3710" s="77" t="s">
        <v>7330</v>
      </c>
      <c r="Z3710" s="77"/>
      <c r="AA3710" s="77"/>
      <c r="AB3710" s="77"/>
      <c r="AC3710" s="82" t="s">
        <v>10157</v>
      </c>
      <c r="AD3710" s="77" t="s">
        <v>10184</v>
      </c>
      <c r="AE3710" s="80" t="str">
        <f>HYPERLINK("https://twitter.com/bytresloucado/status/1625424991901650945")</f>
        <v>https://twitter.com/bytresloucado/status/1625424991901650945</v>
      </c>
      <c r="AF3710" s="79">
        <v>44971.38994212963</v>
      </c>
      <c r="AG3710" s="85">
        <v>44971</v>
      </c>
      <c r="AH3710" s="82" t="s">
        <v>13697</v>
      </c>
      <c r="AI3710" s="77" t="b">
        <v>0</v>
      </c>
      <c r="AJ3710" s="77"/>
      <c r="AK3710" s="77"/>
      <c r="AL3710" s="77"/>
      <c r="AM3710" s="77"/>
      <c r="AN3710" s="77"/>
      <c r="AO3710" s="77"/>
      <c r="AP3710" s="77"/>
      <c r="AQ3710" s="77"/>
      <c r="AR3710" s="77"/>
      <c r="AS3710" s="77"/>
      <c r="AT3710" s="77"/>
      <c r="AU3710" s="77"/>
      <c r="AV3710" s="80" t="str">
        <f>HYPERLINK("https://pbs.twimg.com/profile_images/1479504305015205892/z9LtNU8X_normal.jpg")</f>
        <v>https://pbs.twimg.com/profile_images/1479504305015205892/z9LtNU8X_normal.jpg</v>
      </c>
      <c r="AW3710" s="82" t="s">
        <v>20476</v>
      </c>
      <c r="AX3710" s="82" t="s">
        <v>20476</v>
      </c>
      <c r="AY3710" s="77"/>
      <c r="AZ3710" s="82" t="s">
        <v>20971</v>
      </c>
      <c r="BA3710" s="82" t="s">
        <v>20971</v>
      </c>
      <c r="BB3710" s="82" t="s">
        <v>20971</v>
      </c>
      <c r="BC3710" s="82" t="s">
        <v>20476</v>
      </c>
      <c r="BD3710" s="82" t="s">
        <v>21679</v>
      </c>
      <c r="BE3710" s="77"/>
      <c r="BF3710" s="77"/>
      <c r="BG3710" s="77"/>
      <c r="BH3710" s="77"/>
      <c r="BI3710" s="77"/>
    </row>
    <row r="3711" spans="1:61" x14ac:dyDescent="0.25">
      <c r="A3711" s="62" t="s">
        <v>1111</v>
      </c>
      <c r="B3711" s="62" t="s">
        <v>1111</v>
      </c>
      <c r="C3711" s="63"/>
      <c r="D3711" s="64"/>
      <c r="E3711" s="65"/>
      <c r="F3711" s="66"/>
      <c r="G3711" s="63"/>
      <c r="H3711" s="67"/>
      <c r="I3711" s="68"/>
      <c r="J3711" s="68"/>
      <c r="K3711" s="32"/>
      <c r="L3711" s="75">
        <v>3711</v>
      </c>
      <c r="M3711" s="75"/>
      <c r="N3711" s="70"/>
      <c r="O3711" s="77" t="s">
        <v>179</v>
      </c>
      <c r="P3711" s="79">
        <v>44970.473368055558</v>
      </c>
      <c r="Q3711" s="77" t="s">
        <v>4917</v>
      </c>
      <c r="R3711" s="77">
        <v>0</v>
      </c>
      <c r="S3711" s="77">
        <v>0</v>
      </c>
      <c r="T3711" s="77">
        <v>0</v>
      </c>
      <c r="U3711" s="77">
        <v>0</v>
      </c>
      <c r="V3711" s="77">
        <v>19</v>
      </c>
      <c r="W3711" s="82" t="s">
        <v>5335</v>
      </c>
      <c r="X3711" s="80" t="str">
        <f>HYPERLINK("https://ift.tt/oIRwdlv")</f>
        <v>https://ift.tt/oIRwdlv</v>
      </c>
      <c r="Y3711" s="77" t="s">
        <v>7330</v>
      </c>
      <c r="Z3711" s="77"/>
      <c r="AA3711" s="77"/>
      <c r="AB3711" s="77"/>
      <c r="AC3711" s="82" t="s">
        <v>10157</v>
      </c>
      <c r="AD3711" s="77" t="s">
        <v>10184</v>
      </c>
      <c r="AE3711" s="80" t="str">
        <f>HYPERLINK("https://twitter.com/bytresloucado/status/1625092835069272066")</f>
        <v>https://twitter.com/bytresloucado/status/1625092835069272066</v>
      </c>
      <c r="AF3711" s="79">
        <v>44970.473368055558</v>
      </c>
      <c r="AG3711" s="85">
        <v>44970</v>
      </c>
      <c r="AH3711" s="82" t="s">
        <v>13698</v>
      </c>
      <c r="AI3711" s="77" t="b">
        <v>0</v>
      </c>
      <c r="AJ3711" s="77"/>
      <c r="AK3711" s="77"/>
      <c r="AL3711" s="77"/>
      <c r="AM3711" s="77"/>
      <c r="AN3711" s="77"/>
      <c r="AO3711" s="77"/>
      <c r="AP3711" s="77"/>
      <c r="AQ3711" s="77"/>
      <c r="AR3711" s="77"/>
      <c r="AS3711" s="77"/>
      <c r="AT3711" s="77"/>
      <c r="AU3711" s="77"/>
      <c r="AV3711" s="80" t="str">
        <f>HYPERLINK("https://pbs.twimg.com/profile_images/1479504305015205892/z9LtNU8X_normal.jpg")</f>
        <v>https://pbs.twimg.com/profile_images/1479504305015205892/z9LtNU8X_normal.jpg</v>
      </c>
      <c r="AW3711" s="82" t="s">
        <v>20477</v>
      </c>
      <c r="AX3711" s="82" t="s">
        <v>20477</v>
      </c>
      <c r="AY3711" s="77"/>
      <c r="AZ3711" s="82" t="s">
        <v>20971</v>
      </c>
      <c r="BA3711" s="82" t="s">
        <v>20971</v>
      </c>
      <c r="BB3711" s="82" t="s">
        <v>20971</v>
      </c>
      <c r="BC3711" s="82" t="s">
        <v>20477</v>
      </c>
      <c r="BD3711" s="82" t="s">
        <v>21679</v>
      </c>
      <c r="BE3711" s="77"/>
      <c r="BF3711" s="77"/>
      <c r="BG3711" s="77"/>
      <c r="BH3711" s="77"/>
      <c r="BI3711" s="77"/>
    </row>
    <row r="3712" spans="1:61" x14ac:dyDescent="0.25">
      <c r="A3712" s="62" t="s">
        <v>1111</v>
      </c>
      <c r="B3712" s="62" t="s">
        <v>1111</v>
      </c>
      <c r="C3712" s="63"/>
      <c r="D3712" s="64"/>
      <c r="E3712" s="65"/>
      <c r="F3712" s="66"/>
      <c r="G3712" s="63"/>
      <c r="H3712" s="67"/>
      <c r="I3712" s="68"/>
      <c r="J3712" s="68"/>
      <c r="K3712" s="32"/>
      <c r="L3712" s="75">
        <v>3712</v>
      </c>
      <c r="M3712" s="75"/>
      <c r="N3712" s="70"/>
      <c r="O3712" s="77" t="s">
        <v>179</v>
      </c>
      <c r="P3712" s="79">
        <v>45032.431597222225</v>
      </c>
      <c r="Q3712" s="77" t="s">
        <v>4918</v>
      </c>
      <c r="R3712" s="77">
        <v>0</v>
      </c>
      <c r="S3712" s="77">
        <v>0</v>
      </c>
      <c r="T3712" s="77">
        <v>0</v>
      </c>
      <c r="U3712" s="77">
        <v>0</v>
      </c>
      <c r="V3712" s="77">
        <v>22</v>
      </c>
      <c r="W3712" s="82" t="s">
        <v>6952</v>
      </c>
      <c r="X3712" s="80" t="str">
        <f>HYPERLINK("https://ift.tt/dTirmve")</f>
        <v>https://ift.tt/dTirmve</v>
      </c>
      <c r="Y3712" s="77" t="s">
        <v>7330</v>
      </c>
      <c r="Z3712" s="77"/>
      <c r="AA3712" s="77"/>
      <c r="AB3712" s="77"/>
      <c r="AC3712" s="82" t="s">
        <v>10157</v>
      </c>
      <c r="AD3712" s="77" t="s">
        <v>10187</v>
      </c>
      <c r="AE3712" s="80" t="str">
        <f>HYPERLINK("https://twitter.com/bytresloucado/status/1647545745426219009")</f>
        <v>https://twitter.com/bytresloucado/status/1647545745426219009</v>
      </c>
      <c r="AF3712" s="79">
        <v>45032.431597222225</v>
      </c>
      <c r="AG3712" s="85">
        <v>45032</v>
      </c>
      <c r="AH3712" s="82" t="s">
        <v>13699</v>
      </c>
      <c r="AI3712" s="77" t="b">
        <v>0</v>
      </c>
      <c r="AJ3712" s="77"/>
      <c r="AK3712" s="77"/>
      <c r="AL3712" s="77"/>
      <c r="AM3712" s="77"/>
      <c r="AN3712" s="77"/>
      <c r="AO3712" s="77"/>
      <c r="AP3712" s="77"/>
      <c r="AQ3712" s="77"/>
      <c r="AR3712" s="77"/>
      <c r="AS3712" s="77"/>
      <c r="AT3712" s="77"/>
      <c r="AU3712" s="77"/>
      <c r="AV3712" s="80" t="str">
        <f>HYPERLINK("https://pbs.twimg.com/profile_images/1479504305015205892/z9LtNU8X_normal.jpg")</f>
        <v>https://pbs.twimg.com/profile_images/1479504305015205892/z9LtNU8X_normal.jpg</v>
      </c>
      <c r="AW3712" s="82" t="s">
        <v>20478</v>
      </c>
      <c r="AX3712" s="82" t="s">
        <v>20478</v>
      </c>
      <c r="AY3712" s="77"/>
      <c r="AZ3712" s="82" t="s">
        <v>20971</v>
      </c>
      <c r="BA3712" s="82" t="s">
        <v>20971</v>
      </c>
      <c r="BB3712" s="82" t="s">
        <v>20971</v>
      </c>
      <c r="BC3712" s="82" t="s">
        <v>20478</v>
      </c>
      <c r="BD3712" s="82" t="s">
        <v>21679</v>
      </c>
      <c r="BE3712" s="77"/>
      <c r="BF3712" s="77"/>
      <c r="BG3712" s="77"/>
      <c r="BH3712" s="77"/>
      <c r="BI3712" s="77"/>
    </row>
    <row r="3713" spans="1:61" x14ac:dyDescent="0.25">
      <c r="A3713" s="62" t="s">
        <v>1111</v>
      </c>
      <c r="B3713" s="62" t="s">
        <v>1111</v>
      </c>
      <c r="C3713" s="63"/>
      <c r="D3713" s="64"/>
      <c r="E3713" s="65"/>
      <c r="F3713" s="66"/>
      <c r="G3713" s="63"/>
      <c r="H3713" s="67"/>
      <c r="I3713" s="68"/>
      <c r="J3713" s="68"/>
      <c r="K3713" s="32"/>
      <c r="L3713" s="75">
        <v>3713</v>
      </c>
      <c r="M3713" s="75"/>
      <c r="N3713" s="70"/>
      <c r="O3713" s="77" t="s">
        <v>179</v>
      </c>
      <c r="P3713" s="79">
        <v>45008.30678240741</v>
      </c>
      <c r="Q3713" s="77" t="s">
        <v>4919</v>
      </c>
      <c r="R3713" s="77">
        <v>0</v>
      </c>
      <c r="S3713" s="77">
        <v>0</v>
      </c>
      <c r="T3713" s="77">
        <v>0</v>
      </c>
      <c r="U3713" s="77">
        <v>0</v>
      </c>
      <c r="V3713" s="77">
        <v>17</v>
      </c>
      <c r="W3713" s="82" t="s">
        <v>6953</v>
      </c>
      <c r="X3713" s="80" t="str">
        <f>HYPERLINK("https://ift.tt/Fm0dvlY")</f>
        <v>https://ift.tt/Fm0dvlY</v>
      </c>
      <c r="Y3713" s="77" t="s">
        <v>7330</v>
      </c>
      <c r="Z3713" s="77"/>
      <c r="AA3713" s="77"/>
      <c r="AB3713" s="77"/>
      <c r="AC3713" s="82" t="s">
        <v>10157</v>
      </c>
      <c r="AD3713" s="77" t="s">
        <v>10184</v>
      </c>
      <c r="AE3713" s="80" t="str">
        <f>HYPERLINK("https://twitter.com/bytresloucado/status/1638803206720598016")</f>
        <v>https://twitter.com/bytresloucado/status/1638803206720598016</v>
      </c>
      <c r="AF3713" s="79">
        <v>45008.30678240741</v>
      </c>
      <c r="AG3713" s="85">
        <v>45008</v>
      </c>
      <c r="AH3713" s="82" t="s">
        <v>13700</v>
      </c>
      <c r="AI3713" s="77" t="b">
        <v>0</v>
      </c>
      <c r="AJ3713" s="77"/>
      <c r="AK3713" s="77"/>
      <c r="AL3713" s="77"/>
      <c r="AM3713" s="77"/>
      <c r="AN3713" s="77"/>
      <c r="AO3713" s="77"/>
      <c r="AP3713" s="77"/>
      <c r="AQ3713" s="77"/>
      <c r="AR3713" s="77"/>
      <c r="AS3713" s="77"/>
      <c r="AT3713" s="77"/>
      <c r="AU3713" s="77"/>
      <c r="AV3713" s="80" t="str">
        <f>HYPERLINK("https://pbs.twimg.com/profile_images/1479504305015205892/z9LtNU8X_normal.jpg")</f>
        <v>https://pbs.twimg.com/profile_images/1479504305015205892/z9LtNU8X_normal.jpg</v>
      </c>
      <c r="AW3713" s="82" t="s">
        <v>20479</v>
      </c>
      <c r="AX3713" s="82" t="s">
        <v>20479</v>
      </c>
      <c r="AY3713" s="77"/>
      <c r="AZ3713" s="82" t="s">
        <v>20971</v>
      </c>
      <c r="BA3713" s="82" t="s">
        <v>20971</v>
      </c>
      <c r="BB3713" s="82" t="s">
        <v>20971</v>
      </c>
      <c r="BC3713" s="82" t="s">
        <v>20479</v>
      </c>
      <c r="BD3713" s="82" t="s">
        <v>21679</v>
      </c>
      <c r="BE3713" s="77"/>
      <c r="BF3713" s="77"/>
      <c r="BG3713" s="77"/>
      <c r="BH3713" s="77"/>
      <c r="BI3713" s="77"/>
    </row>
    <row r="3714" spans="1:61" x14ac:dyDescent="0.25">
      <c r="A3714" s="62" t="s">
        <v>1111</v>
      </c>
      <c r="B3714" s="62" t="s">
        <v>1111</v>
      </c>
      <c r="C3714" s="63"/>
      <c r="D3714" s="64"/>
      <c r="E3714" s="65"/>
      <c r="F3714" s="66"/>
      <c r="G3714" s="63"/>
      <c r="H3714" s="67"/>
      <c r="I3714" s="68"/>
      <c r="J3714" s="68"/>
      <c r="K3714" s="32"/>
      <c r="L3714" s="75">
        <v>3714</v>
      </c>
      <c r="M3714" s="75"/>
      <c r="N3714" s="70"/>
      <c r="O3714" s="77" t="s">
        <v>179</v>
      </c>
      <c r="P3714" s="79">
        <v>45005.431481481479</v>
      </c>
      <c r="Q3714" s="77" t="s">
        <v>4920</v>
      </c>
      <c r="R3714" s="77">
        <v>0</v>
      </c>
      <c r="S3714" s="77">
        <v>0</v>
      </c>
      <c r="T3714" s="77">
        <v>0</v>
      </c>
      <c r="U3714" s="77">
        <v>0</v>
      </c>
      <c r="V3714" s="77">
        <v>23</v>
      </c>
      <c r="W3714" s="82" t="s">
        <v>6927</v>
      </c>
      <c r="X3714" s="80" t="str">
        <f>HYPERLINK("https://ift.tt/aUyetFv")</f>
        <v>https://ift.tt/aUyetFv</v>
      </c>
      <c r="Y3714" s="77" t="s">
        <v>7330</v>
      </c>
      <c r="Z3714" s="77"/>
      <c r="AA3714" s="77"/>
      <c r="AB3714" s="77"/>
      <c r="AC3714" s="82" t="s">
        <v>10157</v>
      </c>
      <c r="AD3714" s="77" t="s">
        <v>10184</v>
      </c>
      <c r="AE3714" s="80" t="str">
        <f>HYPERLINK("https://twitter.com/bytresloucado/status/1637761231028207616")</f>
        <v>https://twitter.com/bytresloucado/status/1637761231028207616</v>
      </c>
      <c r="AF3714" s="79">
        <v>45005.431481481479</v>
      </c>
      <c r="AG3714" s="85">
        <v>45005</v>
      </c>
      <c r="AH3714" s="82" t="s">
        <v>13701</v>
      </c>
      <c r="AI3714" s="77" t="b">
        <v>0</v>
      </c>
      <c r="AJ3714" s="77"/>
      <c r="AK3714" s="77"/>
      <c r="AL3714" s="77"/>
      <c r="AM3714" s="77"/>
      <c r="AN3714" s="77"/>
      <c r="AO3714" s="77"/>
      <c r="AP3714" s="77"/>
      <c r="AQ3714" s="77"/>
      <c r="AR3714" s="77"/>
      <c r="AS3714" s="77"/>
      <c r="AT3714" s="77"/>
      <c r="AU3714" s="77"/>
      <c r="AV3714" s="80" t="str">
        <f>HYPERLINK("https://pbs.twimg.com/profile_images/1479504305015205892/z9LtNU8X_normal.jpg")</f>
        <v>https://pbs.twimg.com/profile_images/1479504305015205892/z9LtNU8X_normal.jpg</v>
      </c>
      <c r="AW3714" s="82" t="s">
        <v>20480</v>
      </c>
      <c r="AX3714" s="82" t="s">
        <v>20480</v>
      </c>
      <c r="AY3714" s="77"/>
      <c r="AZ3714" s="82" t="s">
        <v>20971</v>
      </c>
      <c r="BA3714" s="82" t="s">
        <v>20971</v>
      </c>
      <c r="BB3714" s="82" t="s">
        <v>20971</v>
      </c>
      <c r="BC3714" s="82" t="s">
        <v>20480</v>
      </c>
      <c r="BD3714" s="82" t="s">
        <v>21679</v>
      </c>
      <c r="BE3714" s="77"/>
      <c r="BF3714" s="77"/>
      <c r="BG3714" s="77"/>
      <c r="BH3714" s="77"/>
      <c r="BI3714" s="77"/>
    </row>
    <row r="3715" spans="1:61" x14ac:dyDescent="0.25">
      <c r="A3715" s="62" t="s">
        <v>1111</v>
      </c>
      <c r="B3715" s="62" t="s">
        <v>1111</v>
      </c>
      <c r="C3715" s="63"/>
      <c r="D3715" s="64"/>
      <c r="E3715" s="65"/>
      <c r="F3715" s="66"/>
      <c r="G3715" s="63"/>
      <c r="H3715" s="67"/>
      <c r="I3715" s="68"/>
      <c r="J3715" s="68"/>
      <c r="K3715" s="32"/>
      <c r="L3715" s="75">
        <v>3715</v>
      </c>
      <c r="M3715" s="75"/>
      <c r="N3715" s="70"/>
      <c r="O3715" s="77" t="s">
        <v>179</v>
      </c>
      <c r="P3715" s="79">
        <v>44959.474074074074</v>
      </c>
      <c r="Q3715" s="77" t="s">
        <v>4921</v>
      </c>
      <c r="R3715" s="77">
        <v>0</v>
      </c>
      <c r="S3715" s="77">
        <v>0</v>
      </c>
      <c r="T3715" s="77">
        <v>0</v>
      </c>
      <c r="U3715" s="77">
        <v>0</v>
      </c>
      <c r="V3715" s="77">
        <v>26</v>
      </c>
      <c r="W3715" s="82" t="s">
        <v>6954</v>
      </c>
      <c r="X3715" s="80" t="str">
        <f>HYPERLINK("https://ift.tt/qJ76t0R")</f>
        <v>https://ift.tt/qJ76t0R</v>
      </c>
      <c r="Y3715" s="77" t="s">
        <v>7330</v>
      </c>
      <c r="Z3715" s="77"/>
      <c r="AA3715" s="77"/>
      <c r="AB3715" s="77"/>
      <c r="AC3715" s="82" t="s">
        <v>10157</v>
      </c>
      <c r="AD3715" s="77" t="s">
        <v>10184</v>
      </c>
      <c r="AE3715" s="80" t="str">
        <f>HYPERLINK("https://twitter.com/bytresloucado/status/1621106824660324353")</f>
        <v>https://twitter.com/bytresloucado/status/1621106824660324353</v>
      </c>
      <c r="AF3715" s="79">
        <v>44959.474074074074</v>
      </c>
      <c r="AG3715" s="85">
        <v>44959</v>
      </c>
      <c r="AH3715" s="82" t="s">
        <v>13702</v>
      </c>
      <c r="AI3715" s="77" t="b">
        <v>0</v>
      </c>
      <c r="AJ3715" s="77"/>
      <c r="AK3715" s="77"/>
      <c r="AL3715" s="77"/>
      <c r="AM3715" s="77"/>
      <c r="AN3715" s="77"/>
      <c r="AO3715" s="77"/>
      <c r="AP3715" s="77"/>
      <c r="AQ3715" s="77"/>
      <c r="AR3715" s="77"/>
      <c r="AS3715" s="77"/>
      <c r="AT3715" s="77"/>
      <c r="AU3715" s="77"/>
      <c r="AV3715" s="80" t="str">
        <f>HYPERLINK("https://pbs.twimg.com/profile_images/1479504305015205892/z9LtNU8X_normal.jpg")</f>
        <v>https://pbs.twimg.com/profile_images/1479504305015205892/z9LtNU8X_normal.jpg</v>
      </c>
      <c r="AW3715" s="82" t="s">
        <v>20481</v>
      </c>
      <c r="AX3715" s="82" t="s">
        <v>20481</v>
      </c>
      <c r="AY3715" s="77"/>
      <c r="AZ3715" s="82" t="s">
        <v>20971</v>
      </c>
      <c r="BA3715" s="82" t="s">
        <v>20971</v>
      </c>
      <c r="BB3715" s="82" t="s">
        <v>20971</v>
      </c>
      <c r="BC3715" s="82" t="s">
        <v>20481</v>
      </c>
      <c r="BD3715" s="82" t="s">
        <v>21679</v>
      </c>
      <c r="BE3715" s="77"/>
      <c r="BF3715" s="77"/>
      <c r="BG3715" s="77"/>
      <c r="BH3715" s="77"/>
      <c r="BI3715" s="77"/>
    </row>
    <row r="3716" spans="1:61" x14ac:dyDescent="0.25">
      <c r="A3716" s="62" t="s">
        <v>1111</v>
      </c>
      <c r="B3716" s="62" t="s">
        <v>1111</v>
      </c>
      <c r="C3716" s="63"/>
      <c r="D3716" s="64"/>
      <c r="E3716" s="65"/>
      <c r="F3716" s="66"/>
      <c r="G3716" s="63"/>
      <c r="H3716" s="67"/>
      <c r="I3716" s="68"/>
      <c r="J3716" s="68"/>
      <c r="K3716" s="32"/>
      <c r="L3716" s="75">
        <v>3716</v>
      </c>
      <c r="M3716" s="75"/>
      <c r="N3716" s="70"/>
      <c r="O3716" s="77" t="s">
        <v>179</v>
      </c>
      <c r="P3716" s="79">
        <v>45043.349409722221</v>
      </c>
      <c r="Q3716" s="77" t="s">
        <v>4922</v>
      </c>
      <c r="R3716" s="77">
        <v>0</v>
      </c>
      <c r="S3716" s="77">
        <v>0</v>
      </c>
      <c r="T3716" s="77">
        <v>0</v>
      </c>
      <c r="U3716" s="77">
        <v>0</v>
      </c>
      <c r="V3716" s="77">
        <v>10</v>
      </c>
      <c r="W3716" s="82" t="s">
        <v>6955</v>
      </c>
      <c r="X3716" s="80" t="str">
        <f>HYPERLINK("https://ift.tt/AiVtvlN")</f>
        <v>https://ift.tt/AiVtvlN</v>
      </c>
      <c r="Y3716" s="77" t="s">
        <v>7330</v>
      </c>
      <c r="Z3716" s="77"/>
      <c r="AA3716" s="77"/>
      <c r="AB3716" s="77"/>
      <c r="AC3716" s="82" t="s">
        <v>10157</v>
      </c>
      <c r="AD3716" s="77" t="s">
        <v>10184</v>
      </c>
      <c r="AE3716" s="80" t="str">
        <f>HYPERLINK("https://twitter.com/bytresloucado/status/1651502229851963398")</f>
        <v>https://twitter.com/bytresloucado/status/1651502229851963398</v>
      </c>
      <c r="AF3716" s="79">
        <v>45043.349409722221</v>
      </c>
      <c r="AG3716" s="85">
        <v>45043</v>
      </c>
      <c r="AH3716" s="82" t="s">
        <v>13703</v>
      </c>
      <c r="AI3716" s="77" t="b">
        <v>0</v>
      </c>
      <c r="AJ3716" s="77"/>
      <c r="AK3716" s="77"/>
      <c r="AL3716" s="77"/>
      <c r="AM3716" s="77"/>
      <c r="AN3716" s="77"/>
      <c r="AO3716" s="77"/>
      <c r="AP3716" s="77"/>
      <c r="AQ3716" s="77"/>
      <c r="AR3716" s="77"/>
      <c r="AS3716" s="77"/>
      <c r="AT3716" s="77"/>
      <c r="AU3716" s="77"/>
      <c r="AV3716" s="80" t="str">
        <f>HYPERLINK("https://pbs.twimg.com/profile_images/1479504305015205892/z9LtNU8X_normal.jpg")</f>
        <v>https://pbs.twimg.com/profile_images/1479504305015205892/z9LtNU8X_normal.jpg</v>
      </c>
      <c r="AW3716" s="82" t="s">
        <v>20482</v>
      </c>
      <c r="AX3716" s="82" t="s">
        <v>20482</v>
      </c>
      <c r="AY3716" s="77"/>
      <c r="AZ3716" s="82" t="s">
        <v>20971</v>
      </c>
      <c r="BA3716" s="82" t="s">
        <v>20971</v>
      </c>
      <c r="BB3716" s="82" t="s">
        <v>20971</v>
      </c>
      <c r="BC3716" s="82" t="s">
        <v>20482</v>
      </c>
      <c r="BD3716" s="82" t="s">
        <v>21679</v>
      </c>
      <c r="BE3716" s="77"/>
      <c r="BF3716" s="77"/>
      <c r="BG3716" s="77"/>
      <c r="BH3716" s="77"/>
      <c r="BI3716" s="77"/>
    </row>
    <row r="3717" spans="1:61" x14ac:dyDescent="0.25">
      <c r="A3717" s="62" t="s">
        <v>1111</v>
      </c>
      <c r="B3717" s="62" t="s">
        <v>1111</v>
      </c>
      <c r="C3717" s="63"/>
      <c r="D3717" s="64"/>
      <c r="E3717" s="65"/>
      <c r="F3717" s="66"/>
      <c r="G3717" s="63"/>
      <c r="H3717" s="67"/>
      <c r="I3717" s="68"/>
      <c r="J3717" s="68"/>
      <c r="K3717" s="32"/>
      <c r="L3717" s="75">
        <v>3717</v>
      </c>
      <c r="M3717" s="75"/>
      <c r="N3717" s="70"/>
      <c r="O3717" s="77" t="s">
        <v>179</v>
      </c>
      <c r="P3717" s="79">
        <v>44983.389652777776</v>
      </c>
      <c r="Q3717" s="77" t="s">
        <v>4923</v>
      </c>
      <c r="R3717" s="77">
        <v>0</v>
      </c>
      <c r="S3717" s="77">
        <v>0</v>
      </c>
      <c r="T3717" s="77">
        <v>0</v>
      </c>
      <c r="U3717" s="77">
        <v>0</v>
      </c>
      <c r="V3717" s="77">
        <v>17</v>
      </c>
      <c r="W3717" s="82" t="s">
        <v>6956</v>
      </c>
      <c r="X3717" s="80" t="str">
        <f>HYPERLINK("https://ift.tt/BMliRjc")</f>
        <v>https://ift.tt/BMliRjc</v>
      </c>
      <c r="Y3717" s="77" t="s">
        <v>7330</v>
      </c>
      <c r="Z3717" s="77"/>
      <c r="AA3717" s="77"/>
      <c r="AB3717" s="77"/>
      <c r="AC3717" s="82" t="s">
        <v>10157</v>
      </c>
      <c r="AD3717" s="77" t="s">
        <v>10184</v>
      </c>
      <c r="AE3717" s="80" t="str">
        <f>HYPERLINK("https://twitter.com/bytresloucado/status/1629773539791208448")</f>
        <v>https://twitter.com/bytresloucado/status/1629773539791208448</v>
      </c>
      <c r="AF3717" s="79">
        <v>44983.389652777776</v>
      </c>
      <c r="AG3717" s="85">
        <v>44983</v>
      </c>
      <c r="AH3717" s="82" t="s">
        <v>13704</v>
      </c>
      <c r="AI3717" s="77" t="b">
        <v>0</v>
      </c>
      <c r="AJ3717" s="77"/>
      <c r="AK3717" s="77"/>
      <c r="AL3717" s="77"/>
      <c r="AM3717" s="77"/>
      <c r="AN3717" s="77"/>
      <c r="AO3717" s="77"/>
      <c r="AP3717" s="77"/>
      <c r="AQ3717" s="77"/>
      <c r="AR3717" s="77"/>
      <c r="AS3717" s="77"/>
      <c r="AT3717" s="77"/>
      <c r="AU3717" s="77"/>
      <c r="AV3717" s="80" t="str">
        <f>HYPERLINK("https://pbs.twimg.com/profile_images/1479504305015205892/z9LtNU8X_normal.jpg")</f>
        <v>https://pbs.twimg.com/profile_images/1479504305015205892/z9LtNU8X_normal.jpg</v>
      </c>
      <c r="AW3717" s="82" t="s">
        <v>20483</v>
      </c>
      <c r="AX3717" s="82" t="s">
        <v>20483</v>
      </c>
      <c r="AY3717" s="77"/>
      <c r="AZ3717" s="82" t="s">
        <v>20971</v>
      </c>
      <c r="BA3717" s="82" t="s">
        <v>20971</v>
      </c>
      <c r="BB3717" s="82" t="s">
        <v>20971</v>
      </c>
      <c r="BC3717" s="82" t="s">
        <v>20483</v>
      </c>
      <c r="BD3717" s="82" t="s">
        <v>21679</v>
      </c>
      <c r="BE3717" s="77"/>
      <c r="BF3717" s="77"/>
      <c r="BG3717" s="77"/>
      <c r="BH3717" s="77"/>
      <c r="BI3717" s="77"/>
    </row>
    <row r="3718" spans="1:61" x14ac:dyDescent="0.25">
      <c r="A3718" s="62" t="s">
        <v>1111</v>
      </c>
      <c r="B3718" s="62" t="s">
        <v>1111</v>
      </c>
      <c r="C3718" s="63"/>
      <c r="D3718" s="64"/>
      <c r="E3718" s="65"/>
      <c r="F3718" s="66"/>
      <c r="G3718" s="63"/>
      <c r="H3718" s="67"/>
      <c r="I3718" s="68"/>
      <c r="J3718" s="68"/>
      <c r="K3718" s="32"/>
      <c r="L3718" s="75">
        <v>3718</v>
      </c>
      <c r="M3718" s="75"/>
      <c r="N3718" s="70"/>
      <c r="O3718" s="77" t="s">
        <v>179</v>
      </c>
      <c r="P3718" s="79">
        <v>44982.431574074071</v>
      </c>
      <c r="Q3718" s="77" t="s">
        <v>4924</v>
      </c>
      <c r="R3718" s="77">
        <v>0</v>
      </c>
      <c r="S3718" s="77">
        <v>0</v>
      </c>
      <c r="T3718" s="77">
        <v>0</v>
      </c>
      <c r="U3718" s="77">
        <v>0</v>
      </c>
      <c r="V3718" s="77">
        <v>15</v>
      </c>
      <c r="W3718" s="82" t="s">
        <v>6957</v>
      </c>
      <c r="X3718" s="80" t="str">
        <f>HYPERLINK("https://ift.tt/L7ECIrT")</f>
        <v>https://ift.tt/L7ECIrT</v>
      </c>
      <c r="Y3718" s="77" t="s">
        <v>7330</v>
      </c>
      <c r="Z3718" s="77"/>
      <c r="AA3718" s="77"/>
      <c r="AB3718" s="77"/>
      <c r="AC3718" s="82" t="s">
        <v>10157</v>
      </c>
      <c r="AD3718" s="77" t="s">
        <v>10184</v>
      </c>
      <c r="AE3718" s="80" t="str">
        <f>HYPERLINK("https://twitter.com/bytresloucado/status/1629426343040385024")</f>
        <v>https://twitter.com/bytresloucado/status/1629426343040385024</v>
      </c>
      <c r="AF3718" s="79">
        <v>44982.431574074071</v>
      </c>
      <c r="AG3718" s="85">
        <v>44982</v>
      </c>
      <c r="AH3718" s="82" t="s">
        <v>13705</v>
      </c>
      <c r="AI3718" s="77" t="b">
        <v>0</v>
      </c>
      <c r="AJ3718" s="77"/>
      <c r="AK3718" s="77"/>
      <c r="AL3718" s="77"/>
      <c r="AM3718" s="77"/>
      <c r="AN3718" s="77"/>
      <c r="AO3718" s="77"/>
      <c r="AP3718" s="77"/>
      <c r="AQ3718" s="77"/>
      <c r="AR3718" s="77"/>
      <c r="AS3718" s="77"/>
      <c r="AT3718" s="77"/>
      <c r="AU3718" s="77"/>
      <c r="AV3718" s="80" t="str">
        <f>HYPERLINK("https://pbs.twimg.com/profile_images/1479504305015205892/z9LtNU8X_normal.jpg")</f>
        <v>https://pbs.twimg.com/profile_images/1479504305015205892/z9LtNU8X_normal.jpg</v>
      </c>
      <c r="AW3718" s="82" t="s">
        <v>20484</v>
      </c>
      <c r="AX3718" s="82" t="s">
        <v>20484</v>
      </c>
      <c r="AY3718" s="77"/>
      <c r="AZ3718" s="82" t="s">
        <v>20971</v>
      </c>
      <c r="BA3718" s="82" t="s">
        <v>20971</v>
      </c>
      <c r="BB3718" s="82" t="s">
        <v>20971</v>
      </c>
      <c r="BC3718" s="82" t="s">
        <v>20484</v>
      </c>
      <c r="BD3718" s="82" t="s">
        <v>21679</v>
      </c>
      <c r="BE3718" s="77"/>
      <c r="BF3718" s="77"/>
      <c r="BG3718" s="77"/>
      <c r="BH3718" s="77"/>
      <c r="BI3718" s="77"/>
    </row>
    <row r="3719" spans="1:61" x14ac:dyDescent="0.25">
      <c r="A3719" s="62" t="s">
        <v>1111</v>
      </c>
      <c r="B3719" s="62" t="s">
        <v>1111</v>
      </c>
      <c r="C3719" s="63"/>
      <c r="D3719" s="64"/>
      <c r="E3719" s="65"/>
      <c r="F3719" s="66"/>
      <c r="G3719" s="63"/>
      <c r="H3719" s="67"/>
      <c r="I3719" s="68"/>
      <c r="J3719" s="68"/>
      <c r="K3719" s="32"/>
      <c r="L3719" s="75">
        <v>3719</v>
      </c>
      <c r="M3719" s="75"/>
      <c r="N3719" s="70"/>
      <c r="O3719" s="77" t="s">
        <v>179</v>
      </c>
      <c r="P3719" s="79">
        <v>44980.43172453704</v>
      </c>
      <c r="Q3719" s="77" t="s">
        <v>4925</v>
      </c>
      <c r="R3719" s="77">
        <v>0</v>
      </c>
      <c r="S3719" s="77">
        <v>0</v>
      </c>
      <c r="T3719" s="77">
        <v>1</v>
      </c>
      <c r="U3719" s="77">
        <v>0</v>
      </c>
      <c r="V3719" s="77">
        <v>15</v>
      </c>
      <c r="W3719" s="82" t="s">
        <v>5236</v>
      </c>
      <c r="X3719" s="80" t="str">
        <f>HYPERLINK("https://ift.tt/eZKnkrL")</f>
        <v>https://ift.tt/eZKnkrL</v>
      </c>
      <c r="Y3719" s="77" t="s">
        <v>7330</v>
      </c>
      <c r="Z3719" s="77"/>
      <c r="AA3719" s="77"/>
      <c r="AB3719" s="77"/>
      <c r="AC3719" s="82" t="s">
        <v>10157</v>
      </c>
      <c r="AD3719" s="77" t="s">
        <v>10184</v>
      </c>
      <c r="AE3719" s="80" t="str">
        <f>HYPERLINK("https://twitter.com/bytresloucado/status/1628701625417179136")</f>
        <v>https://twitter.com/bytresloucado/status/1628701625417179136</v>
      </c>
      <c r="AF3719" s="79">
        <v>44980.43172453704</v>
      </c>
      <c r="AG3719" s="85">
        <v>44980</v>
      </c>
      <c r="AH3719" s="82" t="s">
        <v>13706</v>
      </c>
      <c r="AI3719" s="77" t="b">
        <v>0</v>
      </c>
      <c r="AJ3719" s="77"/>
      <c r="AK3719" s="77"/>
      <c r="AL3719" s="77"/>
      <c r="AM3719" s="77"/>
      <c r="AN3719" s="77"/>
      <c r="AO3719" s="77"/>
      <c r="AP3719" s="77"/>
      <c r="AQ3719" s="77"/>
      <c r="AR3719" s="77"/>
      <c r="AS3719" s="77"/>
      <c r="AT3719" s="77"/>
      <c r="AU3719" s="77"/>
      <c r="AV3719" s="80" t="str">
        <f>HYPERLINK("https://pbs.twimg.com/profile_images/1479504305015205892/z9LtNU8X_normal.jpg")</f>
        <v>https://pbs.twimg.com/profile_images/1479504305015205892/z9LtNU8X_normal.jpg</v>
      </c>
      <c r="AW3719" s="82" t="s">
        <v>20485</v>
      </c>
      <c r="AX3719" s="82" t="s">
        <v>20485</v>
      </c>
      <c r="AY3719" s="77"/>
      <c r="AZ3719" s="82" t="s">
        <v>20971</v>
      </c>
      <c r="BA3719" s="82" t="s">
        <v>20971</v>
      </c>
      <c r="BB3719" s="82" t="s">
        <v>20971</v>
      </c>
      <c r="BC3719" s="82" t="s">
        <v>20485</v>
      </c>
      <c r="BD3719" s="82" t="s">
        <v>21679</v>
      </c>
      <c r="BE3719" s="77"/>
      <c r="BF3719" s="77"/>
      <c r="BG3719" s="77"/>
      <c r="BH3719" s="77"/>
      <c r="BI3719" s="77"/>
    </row>
    <row r="3720" spans="1:61" x14ac:dyDescent="0.25">
      <c r="A3720" s="62" t="s">
        <v>1111</v>
      </c>
      <c r="B3720" s="62" t="s">
        <v>1111</v>
      </c>
      <c r="C3720" s="63"/>
      <c r="D3720" s="64"/>
      <c r="E3720" s="65"/>
      <c r="F3720" s="66"/>
      <c r="G3720" s="63"/>
      <c r="H3720" s="67"/>
      <c r="I3720" s="68"/>
      <c r="J3720" s="68"/>
      <c r="K3720" s="32"/>
      <c r="L3720" s="75">
        <v>3720</v>
      </c>
      <c r="M3720" s="75"/>
      <c r="N3720" s="70"/>
      <c r="O3720" s="77" t="s">
        <v>179</v>
      </c>
      <c r="P3720" s="79">
        <v>44980.348437499997</v>
      </c>
      <c r="Q3720" s="77" t="s">
        <v>4926</v>
      </c>
      <c r="R3720" s="77">
        <v>0</v>
      </c>
      <c r="S3720" s="77">
        <v>0</v>
      </c>
      <c r="T3720" s="77">
        <v>0</v>
      </c>
      <c r="U3720" s="77">
        <v>0</v>
      </c>
      <c r="V3720" s="77">
        <v>20</v>
      </c>
      <c r="W3720" s="82" t="s">
        <v>6958</v>
      </c>
      <c r="X3720" s="80" t="str">
        <f>HYPERLINK("https://ift.tt/ae4lUn6")</f>
        <v>https://ift.tt/ae4lUn6</v>
      </c>
      <c r="Y3720" s="77" t="s">
        <v>7330</v>
      </c>
      <c r="Z3720" s="77"/>
      <c r="AA3720" s="77"/>
      <c r="AB3720" s="77"/>
      <c r="AC3720" s="82" t="s">
        <v>10157</v>
      </c>
      <c r="AD3720" s="77" t="s">
        <v>10184</v>
      </c>
      <c r="AE3720" s="80" t="str">
        <f>HYPERLINK("https://twitter.com/bytresloucado/status/1628671442547093506")</f>
        <v>https://twitter.com/bytresloucado/status/1628671442547093506</v>
      </c>
      <c r="AF3720" s="79">
        <v>44980.348437499997</v>
      </c>
      <c r="AG3720" s="85">
        <v>44980</v>
      </c>
      <c r="AH3720" s="82" t="s">
        <v>13707</v>
      </c>
      <c r="AI3720" s="77" t="b">
        <v>0</v>
      </c>
      <c r="AJ3720" s="77"/>
      <c r="AK3720" s="77"/>
      <c r="AL3720" s="77"/>
      <c r="AM3720" s="77"/>
      <c r="AN3720" s="77"/>
      <c r="AO3720" s="77"/>
      <c r="AP3720" s="77"/>
      <c r="AQ3720" s="77"/>
      <c r="AR3720" s="77"/>
      <c r="AS3720" s="77"/>
      <c r="AT3720" s="77"/>
      <c r="AU3720" s="77"/>
      <c r="AV3720" s="80" t="str">
        <f>HYPERLINK("https://pbs.twimg.com/profile_images/1479504305015205892/z9LtNU8X_normal.jpg")</f>
        <v>https://pbs.twimg.com/profile_images/1479504305015205892/z9LtNU8X_normal.jpg</v>
      </c>
      <c r="AW3720" s="82" t="s">
        <v>20486</v>
      </c>
      <c r="AX3720" s="82" t="s">
        <v>20486</v>
      </c>
      <c r="AY3720" s="77"/>
      <c r="AZ3720" s="82" t="s">
        <v>20971</v>
      </c>
      <c r="BA3720" s="82" t="s">
        <v>20971</v>
      </c>
      <c r="BB3720" s="82" t="s">
        <v>20971</v>
      </c>
      <c r="BC3720" s="82" t="s">
        <v>20486</v>
      </c>
      <c r="BD3720" s="82" t="s">
        <v>21679</v>
      </c>
      <c r="BE3720" s="77"/>
      <c r="BF3720" s="77"/>
      <c r="BG3720" s="77"/>
      <c r="BH3720" s="77"/>
      <c r="BI3720" s="77"/>
    </row>
    <row r="3721" spans="1:61" x14ac:dyDescent="0.25">
      <c r="A3721" s="62" t="s">
        <v>1111</v>
      </c>
      <c r="B3721" s="62" t="s">
        <v>1111</v>
      </c>
      <c r="C3721" s="63"/>
      <c r="D3721" s="64"/>
      <c r="E3721" s="65"/>
      <c r="F3721" s="66"/>
      <c r="G3721" s="63"/>
      <c r="H3721" s="67"/>
      <c r="I3721" s="68"/>
      <c r="J3721" s="68"/>
      <c r="K3721" s="32"/>
      <c r="L3721" s="75">
        <v>3721</v>
      </c>
      <c r="M3721" s="75"/>
      <c r="N3721" s="70"/>
      <c r="O3721" s="77" t="s">
        <v>179</v>
      </c>
      <c r="P3721" s="79">
        <v>45049.348310185182</v>
      </c>
      <c r="Q3721" s="77" t="s">
        <v>4927</v>
      </c>
      <c r="R3721" s="77">
        <v>0</v>
      </c>
      <c r="S3721" s="77">
        <v>0</v>
      </c>
      <c r="T3721" s="77">
        <v>0</v>
      </c>
      <c r="U3721" s="77">
        <v>0</v>
      </c>
      <c r="V3721" s="77">
        <v>14</v>
      </c>
      <c r="W3721" s="82" t="s">
        <v>6959</v>
      </c>
      <c r="X3721" s="80" t="str">
        <f>HYPERLINK("https://ift.tt/W2YzPgu")</f>
        <v>https://ift.tt/W2YzPgu</v>
      </c>
      <c r="Y3721" s="77" t="s">
        <v>7330</v>
      </c>
      <c r="Z3721" s="77"/>
      <c r="AA3721" s="77"/>
      <c r="AB3721" s="77"/>
      <c r="AC3721" s="82" t="s">
        <v>10157</v>
      </c>
      <c r="AD3721" s="77" t="s">
        <v>10184</v>
      </c>
      <c r="AE3721" s="80" t="str">
        <f>HYPERLINK("https://twitter.com/bytresloucado/status/1653676155793186816")</f>
        <v>https://twitter.com/bytresloucado/status/1653676155793186816</v>
      </c>
      <c r="AF3721" s="79">
        <v>45049.348310185182</v>
      </c>
      <c r="AG3721" s="85">
        <v>45049</v>
      </c>
      <c r="AH3721" s="82" t="s">
        <v>13708</v>
      </c>
      <c r="AI3721" s="77" t="b">
        <v>0</v>
      </c>
      <c r="AJ3721" s="77"/>
      <c r="AK3721" s="77"/>
      <c r="AL3721" s="77"/>
      <c r="AM3721" s="77"/>
      <c r="AN3721" s="77"/>
      <c r="AO3721" s="77"/>
      <c r="AP3721" s="77"/>
      <c r="AQ3721" s="77"/>
      <c r="AR3721" s="77"/>
      <c r="AS3721" s="77"/>
      <c r="AT3721" s="77"/>
      <c r="AU3721" s="77"/>
      <c r="AV3721" s="80" t="str">
        <f>HYPERLINK("https://pbs.twimg.com/profile_images/1479504305015205892/z9LtNU8X_normal.jpg")</f>
        <v>https://pbs.twimg.com/profile_images/1479504305015205892/z9LtNU8X_normal.jpg</v>
      </c>
      <c r="AW3721" s="82" t="s">
        <v>20487</v>
      </c>
      <c r="AX3721" s="82" t="s">
        <v>20487</v>
      </c>
      <c r="AY3721" s="77"/>
      <c r="AZ3721" s="82" t="s">
        <v>20971</v>
      </c>
      <c r="BA3721" s="82" t="s">
        <v>20971</v>
      </c>
      <c r="BB3721" s="82" t="s">
        <v>20971</v>
      </c>
      <c r="BC3721" s="82" t="s">
        <v>20487</v>
      </c>
      <c r="BD3721" s="82" t="s">
        <v>21679</v>
      </c>
      <c r="BE3721" s="77"/>
      <c r="BF3721" s="77"/>
      <c r="BG3721" s="77"/>
      <c r="BH3721" s="77"/>
      <c r="BI3721" s="77"/>
    </row>
    <row r="3722" spans="1:61" x14ac:dyDescent="0.25">
      <c r="A3722" s="62" t="s">
        <v>1111</v>
      </c>
      <c r="B3722" s="62" t="s">
        <v>1111</v>
      </c>
      <c r="C3722" s="63"/>
      <c r="D3722" s="64"/>
      <c r="E3722" s="65"/>
      <c r="F3722" s="66"/>
      <c r="G3722" s="63"/>
      <c r="H3722" s="67"/>
      <c r="I3722" s="68"/>
      <c r="J3722" s="68"/>
      <c r="K3722" s="32"/>
      <c r="L3722" s="75">
        <v>3722</v>
      </c>
      <c r="M3722" s="75"/>
      <c r="N3722" s="70"/>
      <c r="O3722" s="77" t="s">
        <v>179</v>
      </c>
      <c r="P3722" s="79">
        <v>44998.306539351855</v>
      </c>
      <c r="Q3722" s="77" t="s">
        <v>4928</v>
      </c>
      <c r="R3722" s="77">
        <v>0</v>
      </c>
      <c r="S3722" s="77">
        <v>0</v>
      </c>
      <c r="T3722" s="77">
        <v>0</v>
      </c>
      <c r="U3722" s="77">
        <v>0</v>
      </c>
      <c r="V3722" s="77">
        <v>9</v>
      </c>
      <c r="W3722" s="82" t="s">
        <v>6960</v>
      </c>
      <c r="X3722" s="80" t="str">
        <f>HYPERLINK("https://ift.tt/qXi0KlS")</f>
        <v>https://ift.tt/qXi0KlS</v>
      </c>
      <c r="Y3722" s="77" t="s">
        <v>7330</v>
      </c>
      <c r="Z3722" s="77"/>
      <c r="AA3722" s="77"/>
      <c r="AB3722" s="77"/>
      <c r="AC3722" s="82" t="s">
        <v>10157</v>
      </c>
      <c r="AD3722" s="77" t="s">
        <v>10184</v>
      </c>
      <c r="AE3722" s="80" t="str">
        <f>HYPERLINK("https://twitter.com/bytresloucado/status/1635179240671911937")</f>
        <v>https://twitter.com/bytresloucado/status/1635179240671911937</v>
      </c>
      <c r="AF3722" s="79">
        <v>44998.306539351855</v>
      </c>
      <c r="AG3722" s="85">
        <v>44998</v>
      </c>
      <c r="AH3722" s="82" t="s">
        <v>13709</v>
      </c>
      <c r="AI3722" s="77" t="b">
        <v>0</v>
      </c>
      <c r="AJ3722" s="77"/>
      <c r="AK3722" s="77"/>
      <c r="AL3722" s="77"/>
      <c r="AM3722" s="77"/>
      <c r="AN3722" s="77"/>
      <c r="AO3722" s="77"/>
      <c r="AP3722" s="77"/>
      <c r="AQ3722" s="77"/>
      <c r="AR3722" s="77"/>
      <c r="AS3722" s="77"/>
      <c r="AT3722" s="77"/>
      <c r="AU3722" s="77"/>
      <c r="AV3722" s="80" t="str">
        <f>HYPERLINK("https://pbs.twimg.com/profile_images/1479504305015205892/z9LtNU8X_normal.jpg")</f>
        <v>https://pbs.twimg.com/profile_images/1479504305015205892/z9LtNU8X_normal.jpg</v>
      </c>
      <c r="AW3722" s="82" t="s">
        <v>20488</v>
      </c>
      <c r="AX3722" s="82" t="s">
        <v>20488</v>
      </c>
      <c r="AY3722" s="77"/>
      <c r="AZ3722" s="82" t="s">
        <v>20971</v>
      </c>
      <c r="BA3722" s="82" t="s">
        <v>20971</v>
      </c>
      <c r="BB3722" s="82" t="s">
        <v>20971</v>
      </c>
      <c r="BC3722" s="82" t="s">
        <v>20488</v>
      </c>
      <c r="BD3722" s="82" t="s">
        <v>21679</v>
      </c>
      <c r="BE3722" s="77"/>
      <c r="BF3722" s="77"/>
      <c r="BG3722" s="77"/>
      <c r="BH3722" s="77"/>
      <c r="BI3722" s="77"/>
    </row>
    <row r="3723" spans="1:61" x14ac:dyDescent="0.25">
      <c r="A3723" s="62" t="s">
        <v>1111</v>
      </c>
      <c r="B3723" s="62" t="s">
        <v>1111</v>
      </c>
      <c r="C3723" s="63"/>
      <c r="D3723" s="64"/>
      <c r="E3723" s="65"/>
      <c r="F3723" s="66"/>
      <c r="G3723" s="63"/>
      <c r="H3723" s="67"/>
      <c r="I3723" s="68"/>
      <c r="J3723" s="68"/>
      <c r="K3723" s="32"/>
      <c r="L3723" s="75">
        <v>3723</v>
      </c>
      <c r="M3723" s="75"/>
      <c r="N3723" s="70"/>
      <c r="O3723" s="77" t="s">
        <v>179</v>
      </c>
      <c r="P3723" s="79">
        <v>44966.431631944448</v>
      </c>
      <c r="Q3723" s="77" t="s">
        <v>4929</v>
      </c>
      <c r="R3723" s="77">
        <v>0</v>
      </c>
      <c r="S3723" s="77">
        <v>0</v>
      </c>
      <c r="T3723" s="77">
        <v>0</v>
      </c>
      <c r="U3723" s="77">
        <v>0</v>
      </c>
      <c r="V3723" s="77">
        <v>9</v>
      </c>
      <c r="W3723" s="82" t="s">
        <v>6961</v>
      </c>
      <c r="X3723" s="80" t="str">
        <f>HYPERLINK("https://ift.tt/bPlfUSn")</f>
        <v>https://ift.tt/bPlfUSn</v>
      </c>
      <c r="Y3723" s="77" t="s">
        <v>7330</v>
      </c>
      <c r="Z3723" s="77"/>
      <c r="AA3723" s="77"/>
      <c r="AB3723" s="77"/>
      <c r="AC3723" s="82" t="s">
        <v>10157</v>
      </c>
      <c r="AD3723" s="77" t="s">
        <v>10184</v>
      </c>
      <c r="AE3723" s="80" t="str">
        <f>HYPERLINK("https://twitter.com/bytresloucado/status/1623628158468608000")</f>
        <v>https://twitter.com/bytresloucado/status/1623628158468608000</v>
      </c>
      <c r="AF3723" s="79">
        <v>44966.431631944448</v>
      </c>
      <c r="AG3723" s="85">
        <v>44966</v>
      </c>
      <c r="AH3723" s="82" t="s">
        <v>13710</v>
      </c>
      <c r="AI3723" s="77" t="b">
        <v>0</v>
      </c>
      <c r="AJ3723" s="77"/>
      <c r="AK3723" s="77"/>
      <c r="AL3723" s="77"/>
      <c r="AM3723" s="77"/>
      <c r="AN3723" s="77"/>
      <c r="AO3723" s="77"/>
      <c r="AP3723" s="77"/>
      <c r="AQ3723" s="77"/>
      <c r="AR3723" s="77"/>
      <c r="AS3723" s="77"/>
      <c r="AT3723" s="77"/>
      <c r="AU3723" s="77"/>
      <c r="AV3723" s="80" t="str">
        <f>HYPERLINK("https://pbs.twimg.com/profile_images/1479504305015205892/z9LtNU8X_normal.jpg")</f>
        <v>https://pbs.twimg.com/profile_images/1479504305015205892/z9LtNU8X_normal.jpg</v>
      </c>
      <c r="AW3723" s="82" t="s">
        <v>20489</v>
      </c>
      <c r="AX3723" s="82" t="s">
        <v>20489</v>
      </c>
      <c r="AY3723" s="77"/>
      <c r="AZ3723" s="82" t="s">
        <v>20971</v>
      </c>
      <c r="BA3723" s="82" t="s">
        <v>20971</v>
      </c>
      <c r="BB3723" s="82" t="s">
        <v>20971</v>
      </c>
      <c r="BC3723" s="82" t="s">
        <v>20489</v>
      </c>
      <c r="BD3723" s="82" t="s">
        <v>21679</v>
      </c>
      <c r="BE3723" s="77"/>
      <c r="BF3723" s="77"/>
      <c r="BG3723" s="77"/>
      <c r="BH3723" s="77"/>
      <c r="BI3723" s="77"/>
    </row>
    <row r="3724" spans="1:61" x14ac:dyDescent="0.25">
      <c r="A3724" s="62" t="s">
        <v>1111</v>
      </c>
      <c r="B3724" s="62" t="s">
        <v>1111</v>
      </c>
      <c r="C3724" s="63"/>
      <c r="D3724" s="64"/>
      <c r="E3724" s="65"/>
      <c r="F3724" s="66"/>
      <c r="G3724" s="63"/>
      <c r="H3724" s="67"/>
      <c r="I3724" s="68"/>
      <c r="J3724" s="68"/>
      <c r="K3724" s="32"/>
      <c r="L3724" s="75">
        <v>3724</v>
      </c>
      <c r="M3724" s="75"/>
      <c r="N3724" s="70"/>
      <c r="O3724" s="77" t="s">
        <v>179</v>
      </c>
      <c r="P3724" s="79">
        <v>45041.389872685184</v>
      </c>
      <c r="Q3724" s="77" t="s">
        <v>4930</v>
      </c>
      <c r="R3724" s="77">
        <v>0</v>
      </c>
      <c r="S3724" s="77">
        <v>0</v>
      </c>
      <c r="T3724" s="77">
        <v>0</v>
      </c>
      <c r="U3724" s="77">
        <v>0</v>
      </c>
      <c r="V3724" s="77">
        <v>19</v>
      </c>
      <c r="W3724" s="82" t="s">
        <v>6962</v>
      </c>
      <c r="X3724" s="80" t="str">
        <f>HYPERLINK("https://reviewprodutos.com/aprenda-a-vender-pela-internet-sem-investir-rendaextra-ganhardinheiro-tutorial/")</f>
        <v>https://reviewprodutos.com/aprenda-a-vender-pela-internet-sem-investir-rendaextra-ganhardinheiro-tutorial/</v>
      </c>
      <c r="Y3724" s="77" t="s">
        <v>7472</v>
      </c>
      <c r="Z3724" s="77"/>
      <c r="AA3724" s="77"/>
      <c r="AB3724" s="77"/>
      <c r="AC3724" s="82" t="s">
        <v>10157</v>
      </c>
      <c r="AD3724" s="77" t="s">
        <v>10184</v>
      </c>
      <c r="AE3724" s="80" t="str">
        <f>HYPERLINK("https://twitter.com/bytresloucado/status/1650792117902385153")</f>
        <v>https://twitter.com/bytresloucado/status/1650792117902385153</v>
      </c>
      <c r="AF3724" s="79">
        <v>45041.389872685184</v>
      </c>
      <c r="AG3724" s="85">
        <v>45041</v>
      </c>
      <c r="AH3724" s="82" t="s">
        <v>13711</v>
      </c>
      <c r="AI3724" s="77" t="b">
        <v>0</v>
      </c>
      <c r="AJ3724" s="77"/>
      <c r="AK3724" s="77"/>
      <c r="AL3724" s="77"/>
      <c r="AM3724" s="77"/>
      <c r="AN3724" s="77"/>
      <c r="AO3724" s="77"/>
      <c r="AP3724" s="77"/>
      <c r="AQ3724" s="77"/>
      <c r="AR3724" s="77"/>
      <c r="AS3724" s="77"/>
      <c r="AT3724" s="77"/>
      <c r="AU3724" s="77"/>
      <c r="AV3724" s="80" t="str">
        <f>HYPERLINK("https://pbs.twimg.com/profile_images/1479504305015205892/z9LtNU8X_normal.jpg")</f>
        <v>https://pbs.twimg.com/profile_images/1479504305015205892/z9LtNU8X_normal.jpg</v>
      </c>
      <c r="AW3724" s="82" t="s">
        <v>20490</v>
      </c>
      <c r="AX3724" s="82" t="s">
        <v>20490</v>
      </c>
      <c r="AY3724" s="77"/>
      <c r="AZ3724" s="82" t="s">
        <v>20971</v>
      </c>
      <c r="BA3724" s="82" t="s">
        <v>20971</v>
      </c>
      <c r="BB3724" s="82" t="s">
        <v>20971</v>
      </c>
      <c r="BC3724" s="82" t="s">
        <v>20490</v>
      </c>
      <c r="BD3724" s="82" t="s">
        <v>21679</v>
      </c>
      <c r="BE3724" s="77"/>
      <c r="BF3724" s="77"/>
      <c r="BG3724" s="77"/>
      <c r="BH3724" s="77"/>
      <c r="BI3724" s="77"/>
    </row>
    <row r="3725" spans="1:61" x14ac:dyDescent="0.25">
      <c r="A3725" s="62" t="s">
        <v>1111</v>
      </c>
      <c r="B3725" s="62" t="s">
        <v>1111</v>
      </c>
      <c r="C3725" s="63"/>
      <c r="D3725" s="64"/>
      <c r="E3725" s="65"/>
      <c r="F3725" s="66"/>
      <c r="G3725" s="63"/>
      <c r="H3725" s="67"/>
      <c r="I3725" s="68"/>
      <c r="J3725" s="68"/>
      <c r="K3725" s="32"/>
      <c r="L3725" s="75">
        <v>3725</v>
      </c>
      <c r="M3725" s="75"/>
      <c r="N3725" s="70"/>
      <c r="O3725" s="77" t="s">
        <v>179</v>
      </c>
      <c r="P3725" s="79">
        <v>45015.390162037038</v>
      </c>
      <c r="Q3725" s="77" t="s">
        <v>4931</v>
      </c>
      <c r="R3725" s="77">
        <v>0</v>
      </c>
      <c r="S3725" s="77">
        <v>0</v>
      </c>
      <c r="T3725" s="77">
        <v>0</v>
      </c>
      <c r="U3725" s="77">
        <v>0</v>
      </c>
      <c r="V3725" s="77">
        <v>10</v>
      </c>
      <c r="W3725" s="82" t="s">
        <v>6963</v>
      </c>
      <c r="X3725" s="80" t="str">
        <f>HYPERLINK("https://ift.tt/sjoNwP4")</f>
        <v>https://ift.tt/sjoNwP4</v>
      </c>
      <c r="Y3725" s="77" t="s">
        <v>7330</v>
      </c>
      <c r="Z3725" s="77"/>
      <c r="AA3725" s="77"/>
      <c r="AB3725" s="77"/>
      <c r="AC3725" s="82" t="s">
        <v>10157</v>
      </c>
      <c r="AD3725" s="77" t="s">
        <v>10184</v>
      </c>
      <c r="AE3725" s="80" t="str">
        <f>HYPERLINK("https://twitter.com/bytresloucado/status/1641370138539708417")</f>
        <v>https://twitter.com/bytresloucado/status/1641370138539708417</v>
      </c>
      <c r="AF3725" s="79">
        <v>45015.390162037038</v>
      </c>
      <c r="AG3725" s="85">
        <v>45015</v>
      </c>
      <c r="AH3725" s="82" t="s">
        <v>13712</v>
      </c>
      <c r="AI3725" s="77" t="b">
        <v>0</v>
      </c>
      <c r="AJ3725" s="77"/>
      <c r="AK3725" s="77"/>
      <c r="AL3725" s="77"/>
      <c r="AM3725" s="77"/>
      <c r="AN3725" s="77"/>
      <c r="AO3725" s="77"/>
      <c r="AP3725" s="77"/>
      <c r="AQ3725" s="77"/>
      <c r="AR3725" s="77"/>
      <c r="AS3725" s="77"/>
      <c r="AT3725" s="77"/>
      <c r="AU3725" s="77"/>
      <c r="AV3725" s="80" t="str">
        <f>HYPERLINK("https://pbs.twimg.com/profile_images/1479504305015205892/z9LtNU8X_normal.jpg")</f>
        <v>https://pbs.twimg.com/profile_images/1479504305015205892/z9LtNU8X_normal.jpg</v>
      </c>
      <c r="AW3725" s="82" t="s">
        <v>20491</v>
      </c>
      <c r="AX3725" s="82" t="s">
        <v>20491</v>
      </c>
      <c r="AY3725" s="77"/>
      <c r="AZ3725" s="82" t="s">
        <v>20971</v>
      </c>
      <c r="BA3725" s="82" t="s">
        <v>20971</v>
      </c>
      <c r="BB3725" s="82" t="s">
        <v>20971</v>
      </c>
      <c r="BC3725" s="82" t="s">
        <v>20491</v>
      </c>
      <c r="BD3725" s="82" t="s">
        <v>21679</v>
      </c>
      <c r="BE3725" s="77"/>
      <c r="BF3725" s="77"/>
      <c r="BG3725" s="77"/>
      <c r="BH3725" s="77"/>
      <c r="BI3725" s="77"/>
    </row>
    <row r="3726" spans="1:61" x14ac:dyDescent="0.25">
      <c r="A3726" s="62" t="s">
        <v>1111</v>
      </c>
      <c r="B3726" s="62" t="s">
        <v>1111</v>
      </c>
      <c r="C3726" s="63"/>
      <c r="D3726" s="64"/>
      <c r="E3726" s="65"/>
      <c r="F3726" s="66"/>
      <c r="G3726" s="63"/>
      <c r="H3726" s="67"/>
      <c r="I3726" s="68"/>
      <c r="J3726" s="68"/>
      <c r="K3726" s="32"/>
      <c r="L3726" s="75">
        <v>3726</v>
      </c>
      <c r="M3726" s="75"/>
      <c r="N3726" s="70"/>
      <c r="O3726" s="77" t="s">
        <v>179</v>
      </c>
      <c r="P3726" s="79">
        <v>45014.348425925928</v>
      </c>
      <c r="Q3726" s="77" t="s">
        <v>4932</v>
      </c>
      <c r="R3726" s="77">
        <v>0</v>
      </c>
      <c r="S3726" s="77">
        <v>1</v>
      </c>
      <c r="T3726" s="77">
        <v>0</v>
      </c>
      <c r="U3726" s="77">
        <v>0</v>
      </c>
      <c r="V3726" s="77">
        <v>33</v>
      </c>
      <c r="W3726" s="82" t="s">
        <v>6964</v>
      </c>
      <c r="X3726" s="80" t="str">
        <f>HYPERLINK("https://ift.tt/meMpixH")</f>
        <v>https://ift.tt/meMpixH</v>
      </c>
      <c r="Y3726" s="77" t="s">
        <v>7330</v>
      </c>
      <c r="Z3726" s="77"/>
      <c r="AA3726" s="77"/>
      <c r="AB3726" s="77"/>
      <c r="AC3726" s="82" t="s">
        <v>10157</v>
      </c>
      <c r="AD3726" s="77" t="s">
        <v>10184</v>
      </c>
      <c r="AE3726" s="80" t="str">
        <f>HYPERLINK("https://twitter.com/bytresloucado/status/1640992624231211010")</f>
        <v>https://twitter.com/bytresloucado/status/1640992624231211010</v>
      </c>
      <c r="AF3726" s="79">
        <v>45014.348425925928</v>
      </c>
      <c r="AG3726" s="85">
        <v>45014</v>
      </c>
      <c r="AH3726" s="82" t="s">
        <v>13713</v>
      </c>
      <c r="AI3726" s="77" t="b">
        <v>0</v>
      </c>
      <c r="AJ3726" s="77"/>
      <c r="AK3726" s="77"/>
      <c r="AL3726" s="77"/>
      <c r="AM3726" s="77"/>
      <c r="AN3726" s="77"/>
      <c r="AO3726" s="77"/>
      <c r="AP3726" s="77"/>
      <c r="AQ3726" s="77"/>
      <c r="AR3726" s="77"/>
      <c r="AS3726" s="77"/>
      <c r="AT3726" s="77"/>
      <c r="AU3726" s="77"/>
      <c r="AV3726" s="80" t="str">
        <f>HYPERLINK("https://pbs.twimg.com/profile_images/1479504305015205892/z9LtNU8X_normal.jpg")</f>
        <v>https://pbs.twimg.com/profile_images/1479504305015205892/z9LtNU8X_normal.jpg</v>
      </c>
      <c r="AW3726" s="82" t="s">
        <v>20492</v>
      </c>
      <c r="AX3726" s="82" t="s">
        <v>20492</v>
      </c>
      <c r="AY3726" s="77"/>
      <c r="AZ3726" s="82" t="s">
        <v>20971</v>
      </c>
      <c r="BA3726" s="82" t="s">
        <v>20971</v>
      </c>
      <c r="BB3726" s="82" t="s">
        <v>20971</v>
      </c>
      <c r="BC3726" s="82" t="s">
        <v>20492</v>
      </c>
      <c r="BD3726" s="82" t="s">
        <v>21679</v>
      </c>
      <c r="BE3726" s="77"/>
      <c r="BF3726" s="77"/>
      <c r="BG3726" s="77"/>
      <c r="BH3726" s="77"/>
      <c r="BI3726" s="77"/>
    </row>
    <row r="3727" spans="1:61" x14ac:dyDescent="0.25">
      <c r="A3727" s="62" t="s">
        <v>1111</v>
      </c>
      <c r="B3727" s="62" t="s">
        <v>1111</v>
      </c>
      <c r="C3727" s="63"/>
      <c r="D3727" s="64"/>
      <c r="E3727" s="65"/>
      <c r="F3727" s="66"/>
      <c r="G3727" s="63"/>
      <c r="H3727" s="67"/>
      <c r="I3727" s="68"/>
      <c r="J3727" s="68"/>
      <c r="K3727" s="32"/>
      <c r="L3727" s="75">
        <v>3727</v>
      </c>
      <c r="M3727" s="75"/>
      <c r="N3727" s="70"/>
      <c r="O3727" s="77" t="s">
        <v>179</v>
      </c>
      <c r="P3727" s="79">
        <v>44992.473009259258</v>
      </c>
      <c r="Q3727" s="77" t="s">
        <v>4933</v>
      </c>
      <c r="R3727" s="77">
        <v>0</v>
      </c>
      <c r="S3727" s="77">
        <v>0</v>
      </c>
      <c r="T3727" s="77">
        <v>0</v>
      </c>
      <c r="U3727" s="77">
        <v>0</v>
      </c>
      <c r="V3727" s="77">
        <v>15</v>
      </c>
      <c r="W3727" s="82" t="s">
        <v>6965</v>
      </c>
      <c r="X3727" s="80" t="str">
        <f>HYPERLINK("https://ift.tt/LzCcTgj")</f>
        <v>https://ift.tt/LzCcTgj</v>
      </c>
      <c r="Y3727" s="77" t="s">
        <v>7330</v>
      </c>
      <c r="Z3727" s="77"/>
      <c r="AA3727" s="77"/>
      <c r="AB3727" s="77"/>
      <c r="AC3727" s="82" t="s">
        <v>10157</v>
      </c>
      <c r="AD3727" s="77" t="s">
        <v>10184</v>
      </c>
      <c r="AE3727" s="80" t="str">
        <f>HYPERLINK("https://twitter.com/bytresloucado/status/1633065237476696067")</f>
        <v>https://twitter.com/bytresloucado/status/1633065237476696067</v>
      </c>
      <c r="AF3727" s="79">
        <v>44992.473009259258</v>
      </c>
      <c r="AG3727" s="85">
        <v>44992</v>
      </c>
      <c r="AH3727" s="82" t="s">
        <v>13714</v>
      </c>
      <c r="AI3727" s="77" t="b">
        <v>0</v>
      </c>
      <c r="AJ3727" s="77"/>
      <c r="AK3727" s="77"/>
      <c r="AL3727" s="77"/>
      <c r="AM3727" s="77"/>
      <c r="AN3727" s="77"/>
      <c r="AO3727" s="77"/>
      <c r="AP3727" s="77"/>
      <c r="AQ3727" s="77"/>
      <c r="AR3727" s="77"/>
      <c r="AS3727" s="77"/>
      <c r="AT3727" s="77"/>
      <c r="AU3727" s="77"/>
      <c r="AV3727" s="80" t="str">
        <f>HYPERLINK("https://pbs.twimg.com/profile_images/1479504305015205892/z9LtNU8X_normal.jpg")</f>
        <v>https://pbs.twimg.com/profile_images/1479504305015205892/z9LtNU8X_normal.jpg</v>
      </c>
      <c r="AW3727" s="82" t="s">
        <v>20493</v>
      </c>
      <c r="AX3727" s="82" t="s">
        <v>20493</v>
      </c>
      <c r="AY3727" s="77"/>
      <c r="AZ3727" s="82" t="s">
        <v>20971</v>
      </c>
      <c r="BA3727" s="82" t="s">
        <v>20971</v>
      </c>
      <c r="BB3727" s="82" t="s">
        <v>20971</v>
      </c>
      <c r="BC3727" s="82" t="s">
        <v>20493</v>
      </c>
      <c r="BD3727" s="82" t="s">
        <v>21679</v>
      </c>
      <c r="BE3727" s="77"/>
      <c r="BF3727" s="77"/>
      <c r="BG3727" s="77"/>
      <c r="BH3727" s="77"/>
      <c r="BI3727" s="77"/>
    </row>
    <row r="3728" spans="1:61" x14ac:dyDescent="0.25">
      <c r="A3728" s="62" t="s">
        <v>1111</v>
      </c>
      <c r="B3728" s="62" t="s">
        <v>1111</v>
      </c>
      <c r="C3728" s="63"/>
      <c r="D3728" s="64"/>
      <c r="E3728" s="65"/>
      <c r="F3728" s="66"/>
      <c r="G3728" s="63"/>
      <c r="H3728" s="67"/>
      <c r="I3728" s="68"/>
      <c r="J3728" s="68"/>
      <c r="K3728" s="32"/>
      <c r="L3728" s="75">
        <v>3728</v>
      </c>
      <c r="M3728" s="75"/>
      <c r="N3728" s="70"/>
      <c r="O3728" s="77" t="s">
        <v>179</v>
      </c>
      <c r="P3728" s="79">
        <v>44986.640057870369</v>
      </c>
      <c r="Q3728" s="77" t="s">
        <v>4934</v>
      </c>
      <c r="R3728" s="77">
        <v>0</v>
      </c>
      <c r="S3728" s="77">
        <v>0</v>
      </c>
      <c r="T3728" s="77">
        <v>0</v>
      </c>
      <c r="U3728" s="77">
        <v>0</v>
      </c>
      <c r="V3728" s="77">
        <v>8</v>
      </c>
      <c r="W3728" s="82" t="s">
        <v>6966</v>
      </c>
      <c r="X3728" s="80" t="str">
        <f>HYPERLINK("https://ift.tt/Z0NbsFT")</f>
        <v>https://ift.tt/Z0NbsFT</v>
      </c>
      <c r="Y3728" s="77" t="s">
        <v>7330</v>
      </c>
      <c r="Z3728" s="77"/>
      <c r="AA3728" s="77"/>
      <c r="AB3728" s="77"/>
      <c r="AC3728" s="82" t="s">
        <v>10157</v>
      </c>
      <c r="AD3728" s="77" t="s">
        <v>10183</v>
      </c>
      <c r="AE3728" s="80" t="str">
        <f>HYPERLINK("https://twitter.com/bytresloucado/status/1630951449768149001")</f>
        <v>https://twitter.com/bytresloucado/status/1630951449768149001</v>
      </c>
      <c r="AF3728" s="79">
        <v>44986.640057870369</v>
      </c>
      <c r="AG3728" s="85">
        <v>44986</v>
      </c>
      <c r="AH3728" s="82" t="s">
        <v>13715</v>
      </c>
      <c r="AI3728" s="77" t="b">
        <v>0</v>
      </c>
      <c r="AJ3728" s="77"/>
      <c r="AK3728" s="77"/>
      <c r="AL3728" s="77"/>
      <c r="AM3728" s="77"/>
      <c r="AN3728" s="77"/>
      <c r="AO3728" s="77"/>
      <c r="AP3728" s="77"/>
      <c r="AQ3728" s="77"/>
      <c r="AR3728" s="77"/>
      <c r="AS3728" s="77"/>
      <c r="AT3728" s="77"/>
      <c r="AU3728" s="77"/>
      <c r="AV3728" s="80" t="str">
        <f>HYPERLINK("https://pbs.twimg.com/profile_images/1479504305015205892/z9LtNU8X_normal.jpg")</f>
        <v>https://pbs.twimg.com/profile_images/1479504305015205892/z9LtNU8X_normal.jpg</v>
      </c>
      <c r="AW3728" s="82" t="s">
        <v>20494</v>
      </c>
      <c r="AX3728" s="82" t="s">
        <v>20494</v>
      </c>
      <c r="AY3728" s="77"/>
      <c r="AZ3728" s="82" t="s">
        <v>20971</v>
      </c>
      <c r="BA3728" s="82" t="s">
        <v>20971</v>
      </c>
      <c r="BB3728" s="82" t="s">
        <v>20971</v>
      </c>
      <c r="BC3728" s="82" t="s">
        <v>20494</v>
      </c>
      <c r="BD3728" s="82" t="s">
        <v>21679</v>
      </c>
      <c r="BE3728" s="77"/>
      <c r="BF3728" s="77"/>
      <c r="BG3728" s="77"/>
      <c r="BH3728" s="77"/>
      <c r="BI3728" s="77"/>
    </row>
    <row r="3729" spans="1:61" x14ac:dyDescent="0.25">
      <c r="A3729" s="62" t="s">
        <v>1111</v>
      </c>
      <c r="B3729" s="62" t="s">
        <v>1111</v>
      </c>
      <c r="C3729" s="63"/>
      <c r="D3729" s="64"/>
      <c r="E3729" s="65"/>
      <c r="F3729" s="66"/>
      <c r="G3729" s="63"/>
      <c r="H3729" s="67"/>
      <c r="I3729" s="68"/>
      <c r="J3729" s="68"/>
      <c r="K3729" s="32"/>
      <c r="L3729" s="75">
        <v>3729</v>
      </c>
      <c r="M3729" s="75"/>
      <c r="N3729" s="70"/>
      <c r="O3729" s="77" t="s">
        <v>179</v>
      </c>
      <c r="P3729" s="79">
        <v>45053.473912037036</v>
      </c>
      <c r="Q3729" s="77" t="s">
        <v>4935</v>
      </c>
      <c r="R3729" s="77">
        <v>0</v>
      </c>
      <c r="S3729" s="77">
        <v>0</v>
      </c>
      <c r="T3729" s="77">
        <v>0</v>
      </c>
      <c r="U3729" s="77">
        <v>0</v>
      </c>
      <c r="V3729" s="77">
        <v>27</v>
      </c>
      <c r="W3729" s="82" t="s">
        <v>5423</v>
      </c>
      <c r="X3729" s="80" t="str">
        <f>HYPERLINK("https://ift.tt/pwtmC6I")</f>
        <v>https://ift.tt/pwtmC6I</v>
      </c>
      <c r="Y3729" s="77" t="s">
        <v>7330</v>
      </c>
      <c r="Z3729" s="77"/>
      <c r="AA3729" s="77"/>
      <c r="AB3729" s="77"/>
      <c r="AC3729" s="82" t="s">
        <v>10157</v>
      </c>
      <c r="AD3729" s="77" t="s">
        <v>10184</v>
      </c>
      <c r="AE3729" s="80" t="str">
        <f>HYPERLINK("https://twitter.com/bytresloucado/status/1655171224324956160")</f>
        <v>https://twitter.com/bytresloucado/status/1655171224324956160</v>
      </c>
      <c r="AF3729" s="79">
        <v>45053.473912037036</v>
      </c>
      <c r="AG3729" s="85">
        <v>45053</v>
      </c>
      <c r="AH3729" s="82" t="s">
        <v>13716</v>
      </c>
      <c r="AI3729" s="77" t="b">
        <v>0</v>
      </c>
      <c r="AJ3729" s="77"/>
      <c r="AK3729" s="77"/>
      <c r="AL3729" s="77"/>
      <c r="AM3729" s="77"/>
      <c r="AN3729" s="77"/>
      <c r="AO3729" s="77"/>
      <c r="AP3729" s="77"/>
      <c r="AQ3729" s="77"/>
      <c r="AR3729" s="77"/>
      <c r="AS3729" s="77"/>
      <c r="AT3729" s="77"/>
      <c r="AU3729" s="77"/>
      <c r="AV3729" s="80" t="str">
        <f>HYPERLINK("https://pbs.twimg.com/profile_images/1479504305015205892/z9LtNU8X_normal.jpg")</f>
        <v>https://pbs.twimg.com/profile_images/1479504305015205892/z9LtNU8X_normal.jpg</v>
      </c>
      <c r="AW3729" s="82" t="s">
        <v>20495</v>
      </c>
      <c r="AX3729" s="82" t="s">
        <v>20495</v>
      </c>
      <c r="AY3729" s="77"/>
      <c r="AZ3729" s="82" t="s">
        <v>20971</v>
      </c>
      <c r="BA3729" s="82" t="s">
        <v>20971</v>
      </c>
      <c r="BB3729" s="82" t="s">
        <v>20971</v>
      </c>
      <c r="BC3729" s="82" t="s">
        <v>20495</v>
      </c>
      <c r="BD3729" s="82" t="s">
        <v>21679</v>
      </c>
      <c r="BE3729" s="77"/>
      <c r="BF3729" s="77"/>
      <c r="BG3729" s="77"/>
      <c r="BH3729" s="77"/>
      <c r="BI3729" s="77"/>
    </row>
    <row r="3730" spans="1:61" x14ac:dyDescent="0.25">
      <c r="A3730" s="62" t="s">
        <v>1112</v>
      </c>
      <c r="B3730" s="62" t="s">
        <v>1112</v>
      </c>
      <c r="C3730" s="63"/>
      <c r="D3730" s="64"/>
      <c r="E3730" s="65"/>
      <c r="F3730" s="66"/>
      <c r="G3730" s="63"/>
      <c r="H3730" s="67"/>
      <c r="I3730" s="68"/>
      <c r="J3730" s="68"/>
      <c r="K3730" s="32"/>
      <c r="L3730" s="75">
        <v>3730</v>
      </c>
      <c r="M3730" s="75"/>
      <c r="N3730" s="70"/>
      <c r="O3730" s="77" t="s">
        <v>179</v>
      </c>
      <c r="P3730" s="79">
        <v>45074.052361111113</v>
      </c>
      <c r="Q3730" s="77" t="s">
        <v>4936</v>
      </c>
      <c r="R3730" s="77">
        <v>0</v>
      </c>
      <c r="S3730" s="77">
        <v>0</v>
      </c>
      <c r="T3730" s="77">
        <v>1</v>
      </c>
      <c r="U3730" s="77">
        <v>0</v>
      </c>
      <c r="V3730" s="77">
        <v>287</v>
      </c>
      <c r="W3730" s="82" t="s">
        <v>6967</v>
      </c>
      <c r="X3730" s="77" t="s">
        <v>7234</v>
      </c>
      <c r="Y3730" s="77" t="s">
        <v>7473</v>
      </c>
      <c r="Z3730" s="77"/>
      <c r="AA3730" s="77" t="s">
        <v>9921</v>
      </c>
      <c r="AB3730" s="77" t="s">
        <v>10130</v>
      </c>
      <c r="AC3730" s="82" t="s">
        <v>10144</v>
      </c>
      <c r="AD3730" s="77" t="s">
        <v>10184</v>
      </c>
      <c r="AE3730" s="80" t="str">
        <f>HYPERLINK("https://twitter.com/alanvictormato1/status/1662628607338971137")</f>
        <v>https://twitter.com/alanvictormato1/status/1662628607338971137</v>
      </c>
      <c r="AF3730" s="79">
        <v>45074.052361111113</v>
      </c>
      <c r="AG3730" s="85">
        <v>45074</v>
      </c>
      <c r="AH3730" s="82" t="s">
        <v>13717</v>
      </c>
      <c r="AI3730" s="77" t="b">
        <v>0</v>
      </c>
      <c r="AJ3730" s="77"/>
      <c r="AK3730" s="77"/>
      <c r="AL3730" s="77"/>
      <c r="AM3730" s="77"/>
      <c r="AN3730" s="77"/>
      <c r="AO3730" s="77"/>
      <c r="AP3730" s="77"/>
      <c r="AQ3730" s="77" t="s">
        <v>16564</v>
      </c>
      <c r="AR3730" s="77"/>
      <c r="AS3730" s="77"/>
      <c r="AT3730" s="77"/>
      <c r="AU3730" s="77"/>
      <c r="AV3730" s="80" t="str">
        <f>HYPERLINK("https://pbs.twimg.com/media/FxLX3zjWcAI6Gsf.jpg")</f>
        <v>https://pbs.twimg.com/media/FxLX3zjWcAI6Gsf.jpg</v>
      </c>
      <c r="AW3730" s="82" t="s">
        <v>20496</v>
      </c>
      <c r="AX3730" s="82" t="s">
        <v>20496</v>
      </c>
      <c r="AY3730" s="77"/>
      <c r="AZ3730" s="82" t="s">
        <v>20971</v>
      </c>
      <c r="BA3730" s="82" t="s">
        <v>20971</v>
      </c>
      <c r="BB3730" s="82" t="s">
        <v>20971</v>
      </c>
      <c r="BC3730" s="82" t="s">
        <v>20496</v>
      </c>
      <c r="BD3730" s="82" t="s">
        <v>21680</v>
      </c>
      <c r="BE3730" s="77"/>
      <c r="BF3730" s="77"/>
      <c r="BG3730" s="77"/>
      <c r="BH3730" s="77"/>
      <c r="BI3730" s="77"/>
    </row>
    <row r="3731" spans="1:61" x14ac:dyDescent="0.25">
      <c r="A3731" s="62" t="s">
        <v>1113</v>
      </c>
      <c r="B3731" s="62" t="s">
        <v>1113</v>
      </c>
      <c r="C3731" s="63"/>
      <c r="D3731" s="64"/>
      <c r="E3731" s="65"/>
      <c r="F3731" s="66"/>
      <c r="G3731" s="63"/>
      <c r="H3731" s="67"/>
      <c r="I3731" s="68"/>
      <c r="J3731" s="68"/>
      <c r="K3731" s="32"/>
      <c r="L3731" s="75">
        <v>3731</v>
      </c>
      <c r="M3731" s="75"/>
      <c r="N3731" s="70"/>
      <c r="O3731" s="77" t="s">
        <v>179</v>
      </c>
      <c r="P3731" s="79">
        <v>44980.134062500001</v>
      </c>
      <c r="Q3731" s="77" t="s">
        <v>4937</v>
      </c>
      <c r="R3731" s="77">
        <v>1</v>
      </c>
      <c r="S3731" s="77">
        <v>1</v>
      </c>
      <c r="T3731" s="77">
        <v>1</v>
      </c>
      <c r="U3731" s="77">
        <v>1</v>
      </c>
      <c r="V3731" s="77">
        <v>1758</v>
      </c>
      <c r="W3731" s="82" t="s">
        <v>6968</v>
      </c>
      <c r="X3731" s="80" t="str">
        <f>HYPERLINK("https://go.hotmart.com/T79988995C")</f>
        <v>https://go.hotmart.com/T79988995C</v>
      </c>
      <c r="Y3731" s="77" t="s">
        <v>7251</v>
      </c>
      <c r="Z3731" s="77"/>
      <c r="AA3731" s="77" t="s">
        <v>9922</v>
      </c>
      <c r="AB3731" s="77" t="s">
        <v>10129</v>
      </c>
      <c r="AC3731" s="82" t="s">
        <v>10144</v>
      </c>
      <c r="AD3731" s="77" t="s">
        <v>10184</v>
      </c>
      <c r="AE3731" s="80" t="str">
        <f>HYPERLINK("https://twitter.com/henriquebenede3/status/1628593753513463808")</f>
        <v>https://twitter.com/henriquebenede3/status/1628593753513463808</v>
      </c>
      <c r="AF3731" s="79">
        <v>44980.134062500001</v>
      </c>
      <c r="AG3731" s="85">
        <v>44980</v>
      </c>
      <c r="AH3731" s="82" t="s">
        <v>13718</v>
      </c>
      <c r="AI3731" s="77" t="b">
        <v>0</v>
      </c>
      <c r="AJ3731" s="77"/>
      <c r="AK3731" s="77"/>
      <c r="AL3731" s="77"/>
      <c r="AM3731" s="77"/>
      <c r="AN3731" s="77"/>
      <c r="AO3731" s="77"/>
      <c r="AP3731" s="77"/>
      <c r="AQ3731" s="77" t="s">
        <v>16565</v>
      </c>
      <c r="AR3731" s="77">
        <v>28999</v>
      </c>
      <c r="AS3731" s="77"/>
      <c r="AT3731" s="77"/>
      <c r="AU3731" s="77"/>
      <c r="AV3731" s="80" t="str">
        <f>HYPERLINK("https://pbs.twimg.com/ext_tw_video_thumb/1628593719921328132/pu/img/yuzimGRZnRIl-Gni.jpg")</f>
        <v>https://pbs.twimg.com/ext_tw_video_thumb/1628593719921328132/pu/img/yuzimGRZnRIl-Gni.jpg</v>
      </c>
      <c r="AW3731" s="82" t="s">
        <v>20497</v>
      </c>
      <c r="AX3731" s="82" t="s">
        <v>20497</v>
      </c>
      <c r="AY3731" s="77"/>
      <c r="AZ3731" s="82" t="s">
        <v>20971</v>
      </c>
      <c r="BA3731" s="82" t="s">
        <v>20971</v>
      </c>
      <c r="BB3731" s="82" t="s">
        <v>20971</v>
      </c>
      <c r="BC3731" s="82" t="s">
        <v>20497</v>
      </c>
      <c r="BD3731" s="82" t="s">
        <v>21681</v>
      </c>
      <c r="BE3731" s="77"/>
      <c r="BF3731" s="77"/>
      <c r="BG3731" s="77"/>
      <c r="BH3731" s="77"/>
      <c r="BI3731" s="77"/>
    </row>
    <row r="3732" spans="1:61" x14ac:dyDescent="0.25">
      <c r="A3732" s="62" t="s">
        <v>1113</v>
      </c>
      <c r="B3732" s="62" t="s">
        <v>1113</v>
      </c>
      <c r="C3732" s="63"/>
      <c r="D3732" s="64"/>
      <c r="E3732" s="65"/>
      <c r="F3732" s="66"/>
      <c r="G3732" s="63"/>
      <c r="H3732" s="67"/>
      <c r="I3732" s="68"/>
      <c r="J3732" s="68"/>
      <c r="K3732" s="32"/>
      <c r="L3732" s="75">
        <v>3732</v>
      </c>
      <c r="M3732" s="75"/>
      <c r="N3732" s="70"/>
      <c r="O3732" s="77" t="s">
        <v>1286</v>
      </c>
      <c r="P3732" s="79">
        <v>44981.291655092595</v>
      </c>
      <c r="Q3732" s="77" t="s">
        <v>4938</v>
      </c>
      <c r="R3732" s="77">
        <v>0</v>
      </c>
      <c r="S3732" s="77">
        <v>1</v>
      </c>
      <c r="T3732" s="77">
        <v>1</v>
      </c>
      <c r="U3732" s="77">
        <v>0</v>
      </c>
      <c r="V3732" s="77">
        <v>286</v>
      </c>
      <c r="W3732" s="82" t="s">
        <v>6969</v>
      </c>
      <c r="X3732" s="77"/>
      <c r="Y3732" s="77"/>
      <c r="Z3732" s="77"/>
      <c r="AA3732" s="77"/>
      <c r="AB3732" s="77"/>
      <c r="AC3732" s="82" t="s">
        <v>10144</v>
      </c>
      <c r="AD3732" s="77" t="s">
        <v>10186</v>
      </c>
      <c r="AE3732" s="80" t="str">
        <f>HYPERLINK("https://twitter.com/henriquebenede3/status/1629013250917408770")</f>
        <v>https://twitter.com/henriquebenede3/status/1629013250917408770</v>
      </c>
      <c r="AF3732" s="79">
        <v>44981.291655092595</v>
      </c>
      <c r="AG3732" s="85">
        <v>44981</v>
      </c>
      <c r="AH3732" s="82" t="s">
        <v>13719</v>
      </c>
      <c r="AI3732" s="77"/>
      <c r="AJ3732" s="77"/>
      <c r="AK3732" s="77"/>
      <c r="AL3732" s="77"/>
      <c r="AM3732" s="77"/>
      <c r="AN3732" s="77"/>
      <c r="AO3732" s="77"/>
      <c r="AP3732" s="77"/>
      <c r="AQ3732" s="77"/>
      <c r="AR3732" s="77"/>
      <c r="AS3732" s="77"/>
      <c r="AT3732" s="77"/>
      <c r="AU3732" s="77"/>
      <c r="AV3732" s="80" t="str">
        <f>HYPERLINK("https://pbs.twimg.com/profile_images/1629021398361427968/ChehGsFz_normal.jpg")</f>
        <v>https://pbs.twimg.com/profile_images/1629021398361427968/ChehGsFz_normal.jpg</v>
      </c>
      <c r="AW3732" s="82" t="s">
        <v>20498</v>
      </c>
      <c r="AX3732" s="82" t="s">
        <v>20498</v>
      </c>
      <c r="AY3732" s="77"/>
      <c r="AZ3732" s="82" t="s">
        <v>20971</v>
      </c>
      <c r="BA3732" s="82" t="s">
        <v>20497</v>
      </c>
      <c r="BB3732" s="82" t="s">
        <v>20971</v>
      </c>
      <c r="BC3732" s="82" t="s">
        <v>20497</v>
      </c>
      <c r="BD3732" s="82" t="s">
        <v>21681</v>
      </c>
      <c r="BE3732" s="77"/>
      <c r="BF3732" s="77"/>
      <c r="BG3732" s="77"/>
      <c r="BH3732" s="77"/>
      <c r="BI3732" s="77"/>
    </row>
    <row r="3733" spans="1:61" x14ac:dyDescent="0.25">
      <c r="A3733" s="62" t="s">
        <v>1114</v>
      </c>
      <c r="B3733" s="62" t="s">
        <v>1114</v>
      </c>
      <c r="C3733" s="63"/>
      <c r="D3733" s="64"/>
      <c r="E3733" s="65"/>
      <c r="F3733" s="66"/>
      <c r="G3733" s="63"/>
      <c r="H3733" s="67"/>
      <c r="I3733" s="68"/>
      <c r="J3733" s="68"/>
      <c r="K3733" s="32"/>
      <c r="L3733" s="75">
        <v>3733</v>
      </c>
      <c r="M3733" s="75"/>
      <c r="N3733" s="70"/>
      <c r="O3733" s="77" t="s">
        <v>179</v>
      </c>
      <c r="P3733" s="79">
        <v>45196.501770833333</v>
      </c>
      <c r="Q3733" s="77" t="s">
        <v>4939</v>
      </c>
      <c r="R3733" s="77">
        <v>0</v>
      </c>
      <c r="S3733" s="77">
        <v>0</v>
      </c>
      <c r="T3733" s="77">
        <v>0</v>
      </c>
      <c r="U3733" s="77">
        <v>0</v>
      </c>
      <c r="V3733" s="77">
        <v>4</v>
      </c>
      <c r="W3733" s="82" t="s">
        <v>6970</v>
      </c>
      <c r="X3733" s="80" t="str">
        <f>HYPERLINK("http://SejaHojeDiferente.Com")</f>
        <v>http://SejaHojeDiferente.Com</v>
      </c>
      <c r="Y3733" s="77" t="s">
        <v>7474</v>
      </c>
      <c r="Z3733" s="77"/>
      <c r="AA3733" s="77"/>
      <c r="AB3733" s="77"/>
      <c r="AC3733" s="82" t="s">
        <v>10144</v>
      </c>
      <c r="AD3733" s="77" t="s">
        <v>10184</v>
      </c>
      <c r="AE3733" s="80" t="str">
        <f>HYPERLINK("https://twitter.com/newsshd/status/1707002785370087708")</f>
        <v>https://twitter.com/newsshd/status/1707002785370087708</v>
      </c>
      <c r="AF3733" s="79">
        <v>45196.501770833333</v>
      </c>
      <c r="AG3733" s="85">
        <v>45196</v>
      </c>
      <c r="AH3733" s="82" t="s">
        <v>13720</v>
      </c>
      <c r="AI3733" s="77" t="b">
        <v>0</v>
      </c>
      <c r="AJ3733" s="77"/>
      <c r="AK3733" s="77"/>
      <c r="AL3733" s="77"/>
      <c r="AM3733" s="77"/>
      <c r="AN3733" s="77"/>
      <c r="AO3733" s="77"/>
      <c r="AP3733" s="77"/>
      <c r="AQ3733" s="77"/>
      <c r="AR3733" s="77"/>
      <c r="AS3733" s="77"/>
      <c r="AT3733" s="77"/>
      <c r="AU3733" s="77"/>
      <c r="AV3733" s="80" t="str">
        <f>HYPERLINK("https://pbs.twimg.com/profile_images/1684162716930281472/WgZEbaxH_normal.jpg")</f>
        <v>https://pbs.twimg.com/profile_images/1684162716930281472/WgZEbaxH_normal.jpg</v>
      </c>
      <c r="AW3733" s="82" t="s">
        <v>20499</v>
      </c>
      <c r="AX3733" s="82" t="s">
        <v>20499</v>
      </c>
      <c r="AY3733" s="77"/>
      <c r="AZ3733" s="82" t="s">
        <v>20971</v>
      </c>
      <c r="BA3733" s="82" t="s">
        <v>20971</v>
      </c>
      <c r="BB3733" s="82" t="s">
        <v>20971</v>
      </c>
      <c r="BC3733" s="82" t="s">
        <v>20499</v>
      </c>
      <c r="BD3733" s="77">
        <v>3364562657</v>
      </c>
      <c r="BE3733" s="77"/>
      <c r="BF3733" s="77"/>
      <c r="BG3733" s="77"/>
      <c r="BH3733" s="77"/>
      <c r="BI3733" s="77"/>
    </row>
    <row r="3734" spans="1:61" x14ac:dyDescent="0.25">
      <c r="A3734" s="62" t="s">
        <v>1115</v>
      </c>
      <c r="B3734" s="62" t="s">
        <v>1115</v>
      </c>
      <c r="C3734" s="63"/>
      <c r="D3734" s="64"/>
      <c r="E3734" s="65"/>
      <c r="F3734" s="66"/>
      <c r="G3734" s="63"/>
      <c r="H3734" s="67"/>
      <c r="I3734" s="68"/>
      <c r="J3734" s="68"/>
      <c r="K3734" s="32"/>
      <c r="L3734" s="75">
        <v>3734</v>
      </c>
      <c r="M3734" s="75"/>
      <c r="N3734" s="70"/>
      <c r="O3734" s="77" t="s">
        <v>179</v>
      </c>
      <c r="P3734" s="79">
        <v>45035.180127314816</v>
      </c>
      <c r="Q3734" s="77" t="s">
        <v>4940</v>
      </c>
      <c r="R3734" s="77">
        <v>0</v>
      </c>
      <c r="S3734" s="77">
        <v>0</v>
      </c>
      <c r="T3734" s="77">
        <v>1</v>
      </c>
      <c r="U3734" s="77">
        <v>0</v>
      </c>
      <c r="V3734" s="77">
        <v>40</v>
      </c>
      <c r="W3734" s="82" t="s">
        <v>6971</v>
      </c>
      <c r="X3734" s="77"/>
      <c r="Y3734" s="77"/>
      <c r="Z3734" s="77"/>
      <c r="AA3734" s="77" t="s">
        <v>9923</v>
      </c>
      <c r="AB3734" s="77" t="s">
        <v>10131</v>
      </c>
      <c r="AC3734" s="82" t="s">
        <v>10145</v>
      </c>
      <c r="AD3734" s="77" t="s">
        <v>10184</v>
      </c>
      <c r="AE3734" s="80" t="str">
        <f>HYPERLINK("https://twitter.com/afalcao93/status/1648541781804433409")</f>
        <v>https://twitter.com/afalcao93/status/1648541781804433409</v>
      </c>
      <c r="AF3734" s="79">
        <v>45035.180127314816</v>
      </c>
      <c r="AG3734" s="85">
        <v>45035</v>
      </c>
      <c r="AH3734" s="82" t="s">
        <v>13721</v>
      </c>
      <c r="AI3734" s="77" t="b">
        <v>0</v>
      </c>
      <c r="AJ3734" s="77" t="s">
        <v>14031</v>
      </c>
      <c r="AK3734" s="77" t="s">
        <v>14033</v>
      </c>
      <c r="AL3734" s="77" t="s">
        <v>14035</v>
      </c>
      <c r="AM3734" s="77" t="s">
        <v>14072</v>
      </c>
      <c r="AN3734" s="77" t="s">
        <v>14110</v>
      </c>
      <c r="AO3734" s="77" t="s">
        <v>14147</v>
      </c>
      <c r="AP3734" s="77" t="s">
        <v>14149</v>
      </c>
      <c r="AQ3734" s="77" t="s">
        <v>16566</v>
      </c>
      <c r="AR3734" s="77"/>
      <c r="AS3734" s="77"/>
      <c r="AT3734" s="77"/>
      <c r="AU3734" s="77"/>
      <c r="AV3734" s="80" t="str">
        <f>HYPERLINK("https://pbs.twimg.com/media/FuDMAnPWIAA-N3j.jpg")</f>
        <v>https://pbs.twimg.com/media/FuDMAnPWIAA-N3j.jpg</v>
      </c>
      <c r="AW3734" s="82" t="s">
        <v>20500</v>
      </c>
      <c r="AX3734" s="82" t="s">
        <v>20500</v>
      </c>
      <c r="AY3734" s="77"/>
      <c r="AZ3734" s="82" t="s">
        <v>20971</v>
      </c>
      <c r="BA3734" s="82" t="s">
        <v>20971</v>
      </c>
      <c r="BB3734" s="82" t="s">
        <v>20971</v>
      </c>
      <c r="BC3734" s="82" t="s">
        <v>20500</v>
      </c>
      <c r="BD3734" s="77">
        <v>3394108533</v>
      </c>
      <c r="BE3734" s="77"/>
      <c r="BF3734" s="77"/>
      <c r="BG3734" s="77"/>
      <c r="BH3734" s="77"/>
      <c r="BI3734" s="77"/>
    </row>
    <row r="3735" spans="1:61" x14ac:dyDescent="0.25">
      <c r="A3735" s="62" t="s">
        <v>1116</v>
      </c>
      <c r="B3735" s="62" t="s">
        <v>1116</v>
      </c>
      <c r="C3735" s="63"/>
      <c r="D3735" s="64"/>
      <c r="E3735" s="65"/>
      <c r="F3735" s="66"/>
      <c r="G3735" s="63"/>
      <c r="H3735" s="67"/>
      <c r="I3735" s="68"/>
      <c r="J3735" s="68"/>
      <c r="K3735" s="32"/>
      <c r="L3735" s="75">
        <v>3735</v>
      </c>
      <c r="M3735" s="75"/>
      <c r="N3735" s="70"/>
      <c r="O3735" s="77" t="s">
        <v>179</v>
      </c>
      <c r="P3735" s="79">
        <v>45186.898449074077</v>
      </c>
      <c r="Q3735" s="77" t="s">
        <v>4941</v>
      </c>
      <c r="R3735" s="77">
        <v>0</v>
      </c>
      <c r="S3735" s="77">
        <v>3</v>
      </c>
      <c r="T3735" s="77">
        <v>0</v>
      </c>
      <c r="U3735" s="77">
        <v>0</v>
      </c>
      <c r="V3735" s="77">
        <v>148</v>
      </c>
      <c r="W3735" s="82" t="s">
        <v>6540</v>
      </c>
      <c r="X3735" s="80" t="str">
        <f>HYPERLINK("https://go.hotmart.com/A86831601T")</f>
        <v>https://go.hotmart.com/A86831601T</v>
      </c>
      <c r="Y3735" s="77" t="s">
        <v>7251</v>
      </c>
      <c r="Z3735" s="77"/>
      <c r="AA3735" s="77"/>
      <c r="AB3735" s="77"/>
      <c r="AC3735" s="82" t="s">
        <v>10146</v>
      </c>
      <c r="AD3735" s="77" t="s">
        <v>10184</v>
      </c>
      <c r="AE3735" s="80" t="str">
        <f>HYPERLINK("https://twitter.com/jardelanjos75/status/1703522659344982182")</f>
        <v>https://twitter.com/jardelanjos75/status/1703522659344982182</v>
      </c>
      <c r="AF3735" s="79">
        <v>45186.898449074077</v>
      </c>
      <c r="AG3735" s="85">
        <v>45186</v>
      </c>
      <c r="AH3735" s="82" t="s">
        <v>13722</v>
      </c>
      <c r="AI3735" s="77" t="b">
        <v>0</v>
      </c>
      <c r="AJ3735" s="77"/>
      <c r="AK3735" s="77"/>
      <c r="AL3735" s="77"/>
      <c r="AM3735" s="77"/>
      <c r="AN3735" s="77"/>
      <c r="AO3735" s="77"/>
      <c r="AP3735" s="77"/>
      <c r="AQ3735" s="77"/>
      <c r="AR3735" s="77"/>
      <c r="AS3735" s="77"/>
      <c r="AT3735" s="77"/>
      <c r="AU3735" s="77"/>
      <c r="AV3735" s="80" t="str">
        <f>HYPERLINK("https://pbs.twimg.com/profile_images/1704172277229621248/iCel-ZU0_normal.jpg")</f>
        <v>https://pbs.twimg.com/profile_images/1704172277229621248/iCel-ZU0_normal.jpg</v>
      </c>
      <c r="AW3735" s="82" t="s">
        <v>20501</v>
      </c>
      <c r="AX3735" s="82" t="s">
        <v>20501</v>
      </c>
      <c r="AY3735" s="77"/>
      <c r="AZ3735" s="82" t="s">
        <v>20971</v>
      </c>
      <c r="BA3735" s="82" t="s">
        <v>20971</v>
      </c>
      <c r="BB3735" s="82" t="s">
        <v>20971</v>
      </c>
      <c r="BC3735" s="82" t="s">
        <v>20501</v>
      </c>
      <c r="BD3735" s="82" t="s">
        <v>21682</v>
      </c>
      <c r="BE3735" s="77"/>
      <c r="BF3735" s="77"/>
      <c r="BG3735" s="77"/>
      <c r="BH3735" s="77"/>
      <c r="BI3735" s="77"/>
    </row>
    <row r="3736" spans="1:61" x14ac:dyDescent="0.25">
      <c r="A3736" s="62" t="s">
        <v>1116</v>
      </c>
      <c r="B3736" s="62" t="s">
        <v>1116</v>
      </c>
      <c r="C3736" s="63"/>
      <c r="D3736" s="64"/>
      <c r="E3736" s="65"/>
      <c r="F3736" s="66"/>
      <c r="G3736" s="63"/>
      <c r="H3736" s="67"/>
      <c r="I3736" s="68"/>
      <c r="J3736" s="68"/>
      <c r="K3736" s="32"/>
      <c r="L3736" s="75">
        <v>3736</v>
      </c>
      <c r="M3736" s="75"/>
      <c r="N3736" s="70"/>
      <c r="O3736" s="77" t="s">
        <v>179</v>
      </c>
      <c r="P3736" s="79">
        <v>45195.694733796299</v>
      </c>
      <c r="Q3736" s="77" t="s">
        <v>4942</v>
      </c>
      <c r="R3736" s="77">
        <v>0</v>
      </c>
      <c r="S3736" s="77">
        <v>3</v>
      </c>
      <c r="T3736" s="77">
        <v>0</v>
      </c>
      <c r="U3736" s="77">
        <v>0</v>
      </c>
      <c r="V3736" s="77">
        <v>74</v>
      </c>
      <c r="W3736" s="82" t="s">
        <v>6318</v>
      </c>
      <c r="X3736" s="80" t="str">
        <f>HYPERLINK("https://go.hotmart.com/A86969848G")</f>
        <v>https://go.hotmart.com/A86969848G</v>
      </c>
      <c r="Y3736" s="77" t="s">
        <v>7251</v>
      </c>
      <c r="Z3736" s="77"/>
      <c r="AA3736" s="77" t="s">
        <v>9924</v>
      </c>
      <c r="AB3736" s="77" t="s">
        <v>10130</v>
      </c>
      <c r="AC3736" s="82" t="s">
        <v>10146</v>
      </c>
      <c r="AD3736" s="77" t="s">
        <v>10184</v>
      </c>
      <c r="AE3736" s="80" t="str">
        <f>HYPERLINK("https://twitter.com/jardelanjos75/status/1706710327184781767")</f>
        <v>https://twitter.com/jardelanjos75/status/1706710327184781767</v>
      </c>
      <c r="AF3736" s="79">
        <v>45195.694733796299</v>
      </c>
      <c r="AG3736" s="85">
        <v>45195</v>
      </c>
      <c r="AH3736" s="82" t="s">
        <v>13723</v>
      </c>
      <c r="AI3736" s="77" t="b">
        <v>0</v>
      </c>
      <c r="AJ3736" s="77"/>
      <c r="AK3736" s="77"/>
      <c r="AL3736" s="77"/>
      <c r="AM3736" s="77"/>
      <c r="AN3736" s="77"/>
      <c r="AO3736" s="77"/>
      <c r="AP3736" s="77"/>
      <c r="AQ3736" s="77" t="s">
        <v>16567</v>
      </c>
      <c r="AR3736" s="77"/>
      <c r="AS3736" s="77"/>
      <c r="AT3736" s="77"/>
      <c r="AU3736" s="77"/>
      <c r="AV3736" s="80" t="str">
        <f>HYPERLINK("https://pbs.twimg.com/media/F69z-niWUAECpBw.jpg")</f>
        <v>https://pbs.twimg.com/media/F69z-niWUAECpBw.jpg</v>
      </c>
      <c r="AW3736" s="82" t="s">
        <v>20502</v>
      </c>
      <c r="AX3736" s="82" t="s">
        <v>20502</v>
      </c>
      <c r="AY3736" s="77"/>
      <c r="AZ3736" s="82" t="s">
        <v>20971</v>
      </c>
      <c r="BA3736" s="82" t="s">
        <v>20971</v>
      </c>
      <c r="BB3736" s="82" t="s">
        <v>20971</v>
      </c>
      <c r="BC3736" s="82" t="s">
        <v>20502</v>
      </c>
      <c r="BD3736" s="82" t="s">
        <v>21682</v>
      </c>
      <c r="BE3736" s="77"/>
      <c r="BF3736" s="77"/>
      <c r="BG3736" s="77"/>
      <c r="BH3736" s="77"/>
      <c r="BI3736" s="77"/>
    </row>
    <row r="3737" spans="1:61" x14ac:dyDescent="0.25">
      <c r="A3737" s="62" t="s">
        <v>1117</v>
      </c>
      <c r="B3737" s="62" t="s">
        <v>1117</v>
      </c>
      <c r="C3737" s="63"/>
      <c r="D3737" s="64"/>
      <c r="E3737" s="65"/>
      <c r="F3737" s="66"/>
      <c r="G3737" s="63"/>
      <c r="H3737" s="67"/>
      <c r="I3737" s="68"/>
      <c r="J3737" s="68"/>
      <c r="K3737" s="32"/>
      <c r="L3737" s="75">
        <v>3737</v>
      </c>
      <c r="M3737" s="75"/>
      <c r="N3737" s="70"/>
      <c r="O3737" s="77" t="s">
        <v>179</v>
      </c>
      <c r="P3737" s="79">
        <v>45177.066863425927</v>
      </c>
      <c r="Q3737" s="77" t="s">
        <v>4943</v>
      </c>
      <c r="R3737" s="77">
        <v>0</v>
      </c>
      <c r="S3737" s="77">
        <v>1</v>
      </c>
      <c r="T3737" s="77">
        <v>0</v>
      </c>
      <c r="U3737" s="77">
        <v>0</v>
      </c>
      <c r="V3737" s="77">
        <v>41</v>
      </c>
      <c r="W3737" s="82" t="s">
        <v>6367</v>
      </c>
      <c r="X3737" s="80" t="str">
        <f>HYPERLINK("https://kiwify.app/JGzjGmT?afid=Whiswnzr")</f>
        <v>https://kiwify.app/JGzjGmT?afid=Whiswnzr</v>
      </c>
      <c r="Y3737" s="77" t="s">
        <v>7269</v>
      </c>
      <c r="Z3737" s="77"/>
      <c r="AA3737" s="77" t="s">
        <v>9925</v>
      </c>
      <c r="AB3737" s="77" t="s">
        <v>10130</v>
      </c>
      <c r="AC3737" s="82" t="s">
        <v>10144</v>
      </c>
      <c r="AD3737" s="77" t="s">
        <v>10184</v>
      </c>
      <c r="AE3737" s="80" t="str">
        <f>HYPERLINK("https://twitter.com/anonima_asz/status/1699959813243883786")</f>
        <v>https://twitter.com/anonima_asz/status/1699959813243883786</v>
      </c>
      <c r="AF3737" s="79">
        <v>45177.066863425927</v>
      </c>
      <c r="AG3737" s="85">
        <v>45177</v>
      </c>
      <c r="AH3737" s="82" t="s">
        <v>13724</v>
      </c>
      <c r="AI3737" s="77" t="b">
        <v>0</v>
      </c>
      <c r="AJ3737" s="77" t="s">
        <v>14011</v>
      </c>
      <c r="AK3737" s="77" t="s">
        <v>14033</v>
      </c>
      <c r="AL3737" s="77" t="s">
        <v>14035</v>
      </c>
      <c r="AM3737" s="77" t="s">
        <v>14033</v>
      </c>
      <c r="AN3737" s="77" t="s">
        <v>14090</v>
      </c>
      <c r="AO3737" s="77" t="s">
        <v>14033</v>
      </c>
      <c r="AP3737" s="77" t="s">
        <v>14151</v>
      </c>
      <c r="AQ3737" s="77" t="s">
        <v>16568</v>
      </c>
      <c r="AR3737" s="77"/>
      <c r="AS3737" s="77"/>
      <c r="AT3737" s="77"/>
      <c r="AU3737" s="77"/>
      <c r="AV3737" s="80" t="str">
        <f>HYPERLINK("https://pbs.twimg.com/media/F5d4b-7X0AEQO0X.jpg")</f>
        <v>https://pbs.twimg.com/media/F5d4b-7X0AEQO0X.jpg</v>
      </c>
      <c r="AW3737" s="82" t="s">
        <v>20503</v>
      </c>
      <c r="AX3737" s="82" t="s">
        <v>20503</v>
      </c>
      <c r="AY3737" s="77"/>
      <c r="AZ3737" s="82" t="s">
        <v>20971</v>
      </c>
      <c r="BA3737" s="82" t="s">
        <v>20971</v>
      </c>
      <c r="BB3737" s="82" t="s">
        <v>20971</v>
      </c>
      <c r="BC3737" s="82" t="s">
        <v>20503</v>
      </c>
      <c r="BD3737" s="82" t="s">
        <v>21683</v>
      </c>
      <c r="BE3737" s="77"/>
      <c r="BF3737" s="77"/>
      <c r="BG3737" s="77"/>
      <c r="BH3737" s="77"/>
      <c r="BI3737" s="77"/>
    </row>
    <row r="3738" spans="1:61" x14ac:dyDescent="0.25">
      <c r="A3738" s="62" t="s">
        <v>1118</v>
      </c>
      <c r="B3738" s="62" t="s">
        <v>1118</v>
      </c>
      <c r="C3738" s="63"/>
      <c r="D3738" s="64"/>
      <c r="E3738" s="65"/>
      <c r="F3738" s="66"/>
      <c r="G3738" s="63"/>
      <c r="H3738" s="67"/>
      <c r="I3738" s="68"/>
      <c r="J3738" s="68"/>
      <c r="K3738" s="32"/>
      <c r="L3738" s="75">
        <v>3738</v>
      </c>
      <c r="M3738" s="75"/>
      <c r="N3738" s="70"/>
      <c r="O3738" s="77" t="s">
        <v>179</v>
      </c>
      <c r="P3738" s="79">
        <v>45194.416666666664</v>
      </c>
      <c r="Q3738" s="77" t="s">
        <v>4944</v>
      </c>
      <c r="R3738" s="77">
        <v>0</v>
      </c>
      <c r="S3738" s="77">
        <v>0</v>
      </c>
      <c r="T3738" s="77">
        <v>0</v>
      </c>
      <c r="U3738" s="77">
        <v>0</v>
      </c>
      <c r="V3738" s="77">
        <v>8</v>
      </c>
      <c r="W3738" s="82" t="s">
        <v>6972</v>
      </c>
      <c r="X3738" s="77"/>
      <c r="Y3738" s="77"/>
      <c r="Z3738" s="77"/>
      <c r="AA3738" s="77" t="s">
        <v>9926</v>
      </c>
      <c r="AB3738" s="77" t="s">
        <v>10130</v>
      </c>
      <c r="AC3738" s="82" t="s">
        <v>10180</v>
      </c>
      <c r="AD3738" s="77" t="s">
        <v>10184</v>
      </c>
      <c r="AE3738" s="80" t="str">
        <f>HYPERLINK("https://twitter.com/minumenergia/status/1706247168913211807")</f>
        <v>https://twitter.com/minumenergia/status/1706247168913211807</v>
      </c>
      <c r="AF3738" s="79">
        <v>45194.416666666664</v>
      </c>
      <c r="AG3738" s="85">
        <v>45194</v>
      </c>
      <c r="AH3738" s="82" t="s">
        <v>12862</v>
      </c>
      <c r="AI3738" s="77" t="b">
        <v>0</v>
      </c>
      <c r="AJ3738" s="77"/>
      <c r="AK3738" s="77"/>
      <c r="AL3738" s="77"/>
      <c r="AM3738" s="77"/>
      <c r="AN3738" s="77"/>
      <c r="AO3738" s="77"/>
      <c r="AP3738" s="77"/>
      <c r="AQ3738" s="77" t="s">
        <v>16569</v>
      </c>
      <c r="AR3738" s="77"/>
      <c r="AS3738" s="77"/>
      <c r="AT3738" s="77"/>
      <c r="AU3738" s="77"/>
      <c r="AV3738" s="80" t="str">
        <f>HYPERLINK("https://pbs.twimg.com/media/F63BBuJXYAAQBT2.jpg")</f>
        <v>https://pbs.twimg.com/media/F63BBuJXYAAQBT2.jpg</v>
      </c>
      <c r="AW3738" s="82" t="s">
        <v>20504</v>
      </c>
      <c r="AX3738" s="82" t="s">
        <v>20504</v>
      </c>
      <c r="AY3738" s="77"/>
      <c r="AZ3738" s="82" t="s">
        <v>20971</v>
      </c>
      <c r="BA3738" s="82" t="s">
        <v>20971</v>
      </c>
      <c r="BB3738" s="82" t="s">
        <v>20971</v>
      </c>
      <c r="BC3738" s="82" t="s">
        <v>20504</v>
      </c>
      <c r="BD3738" s="82" t="s">
        <v>21684</v>
      </c>
      <c r="BE3738" s="77"/>
      <c r="BF3738" s="77"/>
      <c r="BG3738" s="77"/>
      <c r="BH3738" s="77"/>
      <c r="BI3738" s="77"/>
    </row>
    <row r="3739" spans="1:61" x14ac:dyDescent="0.25">
      <c r="A3739" s="62" t="s">
        <v>1118</v>
      </c>
      <c r="B3739" s="62" t="s">
        <v>1118</v>
      </c>
      <c r="C3739" s="63"/>
      <c r="D3739" s="64"/>
      <c r="E3739" s="65"/>
      <c r="F3739" s="66"/>
      <c r="G3739" s="63"/>
      <c r="H3739" s="67"/>
      <c r="I3739" s="68"/>
      <c r="J3739" s="68"/>
      <c r="K3739" s="32"/>
      <c r="L3739" s="75">
        <v>3739</v>
      </c>
      <c r="M3739" s="75"/>
      <c r="N3739" s="70"/>
      <c r="O3739" s="77" t="s">
        <v>179</v>
      </c>
      <c r="P3739" s="79">
        <v>45175.875</v>
      </c>
      <c r="Q3739" s="77" t="s">
        <v>4945</v>
      </c>
      <c r="R3739" s="77">
        <v>0</v>
      </c>
      <c r="S3739" s="77">
        <v>0</v>
      </c>
      <c r="T3739" s="77">
        <v>0</v>
      </c>
      <c r="U3739" s="77">
        <v>0</v>
      </c>
      <c r="V3739" s="77">
        <v>15</v>
      </c>
      <c r="W3739" s="82" t="s">
        <v>6973</v>
      </c>
      <c r="X3739" s="77"/>
      <c r="Y3739" s="77"/>
      <c r="Z3739" s="77"/>
      <c r="AA3739" s="77" t="s">
        <v>9927</v>
      </c>
      <c r="AB3739" s="77" t="s">
        <v>10130</v>
      </c>
      <c r="AC3739" s="82" t="s">
        <v>10180</v>
      </c>
      <c r="AD3739" s="77" t="s">
        <v>10184</v>
      </c>
      <c r="AE3739" s="80" t="str">
        <f>HYPERLINK("https://twitter.com/minumenergia/status/1699527895100674201")</f>
        <v>https://twitter.com/minumenergia/status/1699527895100674201</v>
      </c>
      <c r="AF3739" s="79">
        <v>45175.875</v>
      </c>
      <c r="AG3739" s="85">
        <v>45175</v>
      </c>
      <c r="AH3739" s="82" t="s">
        <v>13725</v>
      </c>
      <c r="AI3739" s="77" t="b">
        <v>0</v>
      </c>
      <c r="AJ3739" s="77"/>
      <c r="AK3739" s="77"/>
      <c r="AL3739" s="77"/>
      <c r="AM3739" s="77"/>
      <c r="AN3739" s="77"/>
      <c r="AO3739" s="77"/>
      <c r="AP3739" s="77"/>
      <c r="AQ3739" s="77" t="s">
        <v>16570</v>
      </c>
      <c r="AR3739" s="77"/>
      <c r="AS3739" s="77"/>
      <c r="AT3739" s="77"/>
      <c r="AU3739" s="77"/>
      <c r="AV3739" s="80" t="str">
        <f>HYPERLINK("https://pbs.twimg.com/media/F5Xh4buXwAAzg7i.jpg")</f>
        <v>https://pbs.twimg.com/media/F5Xh4buXwAAzg7i.jpg</v>
      </c>
      <c r="AW3739" s="82" t="s">
        <v>20505</v>
      </c>
      <c r="AX3739" s="82" t="s">
        <v>20505</v>
      </c>
      <c r="AY3739" s="77"/>
      <c r="AZ3739" s="82" t="s">
        <v>20971</v>
      </c>
      <c r="BA3739" s="82" t="s">
        <v>20971</v>
      </c>
      <c r="BB3739" s="82" t="s">
        <v>20971</v>
      </c>
      <c r="BC3739" s="82" t="s">
        <v>20505</v>
      </c>
      <c r="BD3739" s="82" t="s">
        <v>21684</v>
      </c>
      <c r="BE3739" s="77"/>
      <c r="BF3739" s="77"/>
      <c r="BG3739" s="77"/>
      <c r="BH3739" s="77"/>
      <c r="BI3739" s="77"/>
    </row>
    <row r="3740" spans="1:61" x14ac:dyDescent="0.25">
      <c r="A3740" s="62" t="s">
        <v>1119</v>
      </c>
      <c r="B3740" s="62" t="s">
        <v>1119</v>
      </c>
      <c r="C3740" s="63"/>
      <c r="D3740" s="64"/>
      <c r="E3740" s="65"/>
      <c r="F3740" s="66"/>
      <c r="G3740" s="63"/>
      <c r="H3740" s="67"/>
      <c r="I3740" s="68"/>
      <c r="J3740" s="68"/>
      <c r="K3740" s="32"/>
      <c r="L3740" s="75">
        <v>3740</v>
      </c>
      <c r="M3740" s="75"/>
      <c r="N3740" s="70"/>
      <c r="O3740" s="77" t="s">
        <v>179</v>
      </c>
      <c r="P3740" s="79">
        <v>45070.569097222222</v>
      </c>
      <c r="Q3740" s="77" t="s">
        <v>4946</v>
      </c>
      <c r="R3740" s="77">
        <v>0</v>
      </c>
      <c r="S3740" s="77">
        <v>0</v>
      </c>
      <c r="T3740" s="77">
        <v>2</v>
      </c>
      <c r="U3740" s="77">
        <v>0</v>
      </c>
      <c r="V3740" s="77">
        <v>29</v>
      </c>
      <c r="W3740" s="82" t="s">
        <v>5516</v>
      </c>
      <c r="X3740" s="80" t="str">
        <f>HYPERLINK("https://kwai-video.com/w/FpEbdnKv")</f>
        <v>https://kwai-video.com/w/FpEbdnKv</v>
      </c>
      <c r="Y3740" s="77" t="s">
        <v>7299</v>
      </c>
      <c r="Z3740" s="77"/>
      <c r="AA3740" s="77"/>
      <c r="AB3740" s="77"/>
      <c r="AC3740" s="82" t="s">
        <v>10144</v>
      </c>
      <c r="AD3740" s="77" t="s">
        <v>10184</v>
      </c>
      <c r="AE3740" s="80" t="str">
        <f>HYPERLINK("https://twitter.com/notproudm/status/1661366314588307456")</f>
        <v>https://twitter.com/notproudm/status/1661366314588307456</v>
      </c>
      <c r="AF3740" s="79">
        <v>45070.569097222222</v>
      </c>
      <c r="AG3740" s="85">
        <v>45070</v>
      </c>
      <c r="AH3740" s="82" t="s">
        <v>13726</v>
      </c>
      <c r="AI3740" s="77" t="b">
        <v>0</v>
      </c>
      <c r="AJ3740" s="77"/>
      <c r="AK3740" s="77"/>
      <c r="AL3740" s="77"/>
      <c r="AM3740" s="77"/>
      <c r="AN3740" s="77"/>
      <c r="AO3740" s="77"/>
      <c r="AP3740" s="77"/>
      <c r="AQ3740" s="77"/>
      <c r="AR3740" s="77"/>
      <c r="AS3740" s="77"/>
      <c r="AT3740" s="77"/>
      <c r="AU3740" s="77"/>
      <c r="AV3740" s="80" t="str">
        <f>HYPERLINK("https://pbs.twimg.com/profile_images/1699413516623527936/z_Qwv-Fg_normal.jpg")</f>
        <v>https://pbs.twimg.com/profile_images/1699413516623527936/z_Qwv-Fg_normal.jpg</v>
      </c>
      <c r="AW3740" s="82" t="s">
        <v>20506</v>
      </c>
      <c r="AX3740" s="82" t="s">
        <v>20506</v>
      </c>
      <c r="AY3740" s="77"/>
      <c r="AZ3740" s="82" t="s">
        <v>20971</v>
      </c>
      <c r="BA3740" s="82" t="s">
        <v>20971</v>
      </c>
      <c r="BB3740" s="82" t="s">
        <v>20971</v>
      </c>
      <c r="BC3740" s="82" t="s">
        <v>20506</v>
      </c>
      <c r="BD3740" s="82" t="s">
        <v>21685</v>
      </c>
      <c r="BE3740" s="77"/>
      <c r="BF3740" s="77"/>
      <c r="BG3740" s="77"/>
      <c r="BH3740" s="77"/>
      <c r="BI3740" s="77"/>
    </row>
    <row r="3741" spans="1:61" x14ac:dyDescent="0.25">
      <c r="A3741" s="62" t="s">
        <v>1120</v>
      </c>
      <c r="B3741" s="62" t="s">
        <v>1120</v>
      </c>
      <c r="C3741" s="63"/>
      <c r="D3741" s="64"/>
      <c r="E3741" s="65"/>
      <c r="F3741" s="66"/>
      <c r="G3741" s="63"/>
      <c r="H3741" s="67"/>
      <c r="I3741" s="68"/>
      <c r="J3741" s="68"/>
      <c r="K3741" s="32"/>
      <c r="L3741" s="75">
        <v>3741</v>
      </c>
      <c r="M3741" s="75"/>
      <c r="N3741" s="70"/>
      <c r="O3741" s="77" t="s">
        <v>179</v>
      </c>
      <c r="P3741" s="79">
        <v>45156.968553240738</v>
      </c>
      <c r="Q3741" s="77" t="s">
        <v>4947</v>
      </c>
      <c r="R3741" s="77">
        <v>0</v>
      </c>
      <c r="S3741" s="77">
        <v>0</v>
      </c>
      <c r="T3741" s="77">
        <v>0</v>
      </c>
      <c r="U3741" s="77">
        <v>0</v>
      </c>
      <c r="V3741" s="77">
        <v>44</v>
      </c>
      <c r="W3741" s="82" t="s">
        <v>6974</v>
      </c>
      <c r="X3741" s="80" t="str">
        <f>HYPERLINK("https://pay.kiwify.com.br/RJvxXfK")</f>
        <v>https://pay.kiwify.com.br/RJvxXfK</v>
      </c>
      <c r="Y3741" s="77" t="s">
        <v>7252</v>
      </c>
      <c r="Z3741" s="77"/>
      <c r="AA3741" s="77" t="s">
        <v>9928</v>
      </c>
      <c r="AB3741" s="77" t="s">
        <v>10130</v>
      </c>
      <c r="AC3741" s="82" t="s">
        <v>10146</v>
      </c>
      <c r="AD3741" s="77" t="s">
        <v>10184</v>
      </c>
      <c r="AE3741" s="80" t="str">
        <f>HYPERLINK("https://twitter.com/marcosmentoria/status/1692676428909658477")</f>
        <v>https://twitter.com/marcosmentoria/status/1692676428909658477</v>
      </c>
      <c r="AF3741" s="79">
        <v>45156.968553240738</v>
      </c>
      <c r="AG3741" s="85">
        <v>45156</v>
      </c>
      <c r="AH3741" s="82" t="s">
        <v>13727</v>
      </c>
      <c r="AI3741" s="77" t="b">
        <v>0</v>
      </c>
      <c r="AJ3741" s="77"/>
      <c r="AK3741" s="77"/>
      <c r="AL3741" s="77"/>
      <c r="AM3741" s="77"/>
      <c r="AN3741" s="77"/>
      <c r="AO3741" s="77"/>
      <c r="AP3741" s="77"/>
      <c r="AQ3741" s="77" t="s">
        <v>16571</v>
      </c>
      <c r="AR3741" s="77"/>
      <c r="AS3741" s="77"/>
      <c r="AT3741" s="77"/>
      <c r="AU3741" s="77"/>
      <c r="AV3741" s="80" t="str">
        <f>HYPERLINK("https://pbs.twimg.com/media/F32X2QBX0AADao2.png")</f>
        <v>https://pbs.twimg.com/media/F32X2QBX0AADao2.png</v>
      </c>
      <c r="AW3741" s="82" t="s">
        <v>20507</v>
      </c>
      <c r="AX3741" s="82" t="s">
        <v>20507</v>
      </c>
      <c r="AY3741" s="77"/>
      <c r="AZ3741" s="82" t="s">
        <v>20971</v>
      </c>
      <c r="BA3741" s="82" t="s">
        <v>20971</v>
      </c>
      <c r="BB3741" s="82" t="s">
        <v>20971</v>
      </c>
      <c r="BC3741" s="82" t="s">
        <v>20507</v>
      </c>
      <c r="BD3741" s="82" t="s">
        <v>21686</v>
      </c>
      <c r="BE3741" s="77"/>
      <c r="BF3741" s="77"/>
      <c r="BG3741" s="77"/>
      <c r="BH3741" s="77"/>
      <c r="BI3741" s="77"/>
    </row>
    <row r="3742" spans="1:61" x14ac:dyDescent="0.25">
      <c r="A3742" s="62" t="s">
        <v>1120</v>
      </c>
      <c r="B3742" s="62" t="s">
        <v>1120</v>
      </c>
      <c r="C3742" s="63"/>
      <c r="D3742" s="64"/>
      <c r="E3742" s="65"/>
      <c r="F3742" s="66"/>
      <c r="G3742" s="63"/>
      <c r="H3742" s="67"/>
      <c r="I3742" s="68"/>
      <c r="J3742" s="68"/>
      <c r="K3742" s="32"/>
      <c r="L3742" s="75">
        <v>3742</v>
      </c>
      <c r="M3742" s="75"/>
      <c r="N3742" s="70"/>
      <c r="O3742" s="77" t="s">
        <v>179</v>
      </c>
      <c r="P3742" s="79">
        <v>45156.955069444448</v>
      </c>
      <c r="Q3742" s="77" t="s">
        <v>4948</v>
      </c>
      <c r="R3742" s="77">
        <v>0</v>
      </c>
      <c r="S3742" s="77">
        <v>0</v>
      </c>
      <c r="T3742" s="77">
        <v>0</v>
      </c>
      <c r="U3742" s="77">
        <v>0</v>
      </c>
      <c r="V3742" s="77">
        <v>13</v>
      </c>
      <c r="W3742" s="82" t="s">
        <v>6975</v>
      </c>
      <c r="X3742" s="77"/>
      <c r="Y3742" s="77"/>
      <c r="Z3742" s="77"/>
      <c r="AA3742" s="77" t="s">
        <v>9929</v>
      </c>
      <c r="AB3742" s="77" t="s">
        <v>10130</v>
      </c>
      <c r="AC3742" s="82" t="s">
        <v>10146</v>
      </c>
      <c r="AD3742" s="77" t="s">
        <v>10184</v>
      </c>
      <c r="AE3742" s="80" t="str">
        <f>HYPERLINK("https://twitter.com/marcosmentoria/status/1692671541400555930")</f>
        <v>https://twitter.com/marcosmentoria/status/1692671541400555930</v>
      </c>
      <c r="AF3742" s="79">
        <v>45156.955069444448</v>
      </c>
      <c r="AG3742" s="85">
        <v>45156</v>
      </c>
      <c r="AH3742" s="82" t="s">
        <v>13728</v>
      </c>
      <c r="AI3742" s="77" t="b">
        <v>0</v>
      </c>
      <c r="AJ3742" s="77"/>
      <c r="AK3742" s="77"/>
      <c r="AL3742" s="77"/>
      <c r="AM3742" s="77"/>
      <c r="AN3742" s="77"/>
      <c r="AO3742" s="77"/>
      <c r="AP3742" s="77"/>
      <c r="AQ3742" s="77" t="s">
        <v>16572</v>
      </c>
      <c r="AR3742" s="77"/>
      <c r="AS3742" s="77"/>
      <c r="AT3742" s="77"/>
      <c r="AU3742" s="77"/>
      <c r="AV3742" s="80" t="str">
        <f>HYPERLINK("https://pbs.twimg.com/media/F32TQNUXIAA1T9u.png")</f>
        <v>https://pbs.twimg.com/media/F32TQNUXIAA1T9u.png</v>
      </c>
      <c r="AW3742" s="82" t="s">
        <v>20508</v>
      </c>
      <c r="AX3742" s="82" t="s">
        <v>20508</v>
      </c>
      <c r="AY3742" s="77"/>
      <c r="AZ3742" s="82" t="s">
        <v>20971</v>
      </c>
      <c r="BA3742" s="82" t="s">
        <v>20971</v>
      </c>
      <c r="BB3742" s="82" t="s">
        <v>20971</v>
      </c>
      <c r="BC3742" s="82" t="s">
        <v>20508</v>
      </c>
      <c r="BD3742" s="82" t="s">
        <v>21686</v>
      </c>
      <c r="BE3742" s="77"/>
      <c r="BF3742" s="77"/>
      <c r="BG3742" s="77"/>
      <c r="BH3742" s="77"/>
      <c r="BI3742" s="77"/>
    </row>
    <row r="3743" spans="1:61" x14ac:dyDescent="0.25">
      <c r="A3743" s="62" t="s">
        <v>1121</v>
      </c>
      <c r="B3743" s="62" t="s">
        <v>1121</v>
      </c>
      <c r="C3743" s="63"/>
      <c r="D3743" s="64"/>
      <c r="E3743" s="65"/>
      <c r="F3743" s="66"/>
      <c r="G3743" s="63"/>
      <c r="H3743" s="67"/>
      <c r="I3743" s="68"/>
      <c r="J3743" s="68"/>
      <c r="K3743" s="32"/>
      <c r="L3743" s="75">
        <v>3743</v>
      </c>
      <c r="M3743" s="75"/>
      <c r="N3743" s="70"/>
      <c r="O3743" s="77" t="s">
        <v>179</v>
      </c>
      <c r="P3743" s="79">
        <v>45010.574050925927</v>
      </c>
      <c r="Q3743" s="77" t="s">
        <v>4949</v>
      </c>
      <c r="R3743" s="77">
        <v>0</v>
      </c>
      <c r="S3743" s="77">
        <v>0</v>
      </c>
      <c r="T3743" s="77">
        <v>0</v>
      </c>
      <c r="U3743" s="77">
        <v>0</v>
      </c>
      <c r="V3743" s="77">
        <v>42</v>
      </c>
      <c r="W3743" s="82" t="s">
        <v>6976</v>
      </c>
      <c r="X3743" s="77"/>
      <c r="Y3743" s="77"/>
      <c r="Z3743" s="77"/>
      <c r="AA3743" s="77"/>
      <c r="AB3743" s="77"/>
      <c r="AC3743" s="82" t="s">
        <v>10146</v>
      </c>
      <c r="AD3743" s="77" t="s">
        <v>10184</v>
      </c>
      <c r="AE3743" s="80" t="str">
        <f>HYPERLINK("https://twitter.com/donuts4brazil/status/1639624836249972736")</f>
        <v>https://twitter.com/donuts4brazil/status/1639624836249972736</v>
      </c>
      <c r="AF3743" s="79">
        <v>45010.574050925927</v>
      </c>
      <c r="AG3743" s="85">
        <v>45010</v>
      </c>
      <c r="AH3743" s="82" t="s">
        <v>13729</v>
      </c>
      <c r="AI3743" s="77"/>
      <c r="AJ3743" s="77"/>
      <c r="AK3743" s="77"/>
      <c r="AL3743" s="77"/>
      <c r="AM3743" s="77"/>
      <c r="AN3743" s="77"/>
      <c r="AO3743" s="77"/>
      <c r="AP3743" s="77"/>
      <c r="AQ3743" s="77"/>
      <c r="AR3743" s="77"/>
      <c r="AS3743" s="77"/>
      <c r="AT3743" s="77"/>
      <c r="AU3743" s="77"/>
      <c r="AV3743" s="80" t="str">
        <f>HYPERLINK("https://pbs.twimg.com/profile_images/1639348004225155072/lMAiB5KE_normal.jpg")</f>
        <v>https://pbs.twimg.com/profile_images/1639348004225155072/lMAiB5KE_normal.jpg</v>
      </c>
      <c r="AW3743" s="82" t="s">
        <v>20509</v>
      </c>
      <c r="AX3743" s="82" t="s">
        <v>20509</v>
      </c>
      <c r="AY3743" s="77"/>
      <c r="AZ3743" s="82" t="s">
        <v>20971</v>
      </c>
      <c r="BA3743" s="82" t="s">
        <v>20971</v>
      </c>
      <c r="BB3743" s="82" t="s">
        <v>20971</v>
      </c>
      <c r="BC3743" s="82" t="s">
        <v>20509</v>
      </c>
      <c r="BD3743" s="82" t="s">
        <v>21687</v>
      </c>
      <c r="BE3743" s="77"/>
      <c r="BF3743" s="77"/>
      <c r="BG3743" s="77"/>
      <c r="BH3743" s="77"/>
      <c r="BI3743" s="77"/>
    </row>
    <row r="3744" spans="1:61" x14ac:dyDescent="0.25">
      <c r="A3744" s="62" t="s">
        <v>1121</v>
      </c>
      <c r="B3744" s="62" t="s">
        <v>1121</v>
      </c>
      <c r="C3744" s="63"/>
      <c r="D3744" s="64"/>
      <c r="E3744" s="65"/>
      <c r="F3744" s="66"/>
      <c r="G3744" s="63"/>
      <c r="H3744" s="67"/>
      <c r="I3744" s="68"/>
      <c r="J3744" s="68"/>
      <c r="K3744" s="32"/>
      <c r="L3744" s="75">
        <v>3744</v>
      </c>
      <c r="M3744" s="75"/>
      <c r="N3744" s="70"/>
      <c r="O3744" s="77" t="s">
        <v>179</v>
      </c>
      <c r="P3744" s="79">
        <v>45010.572766203702</v>
      </c>
      <c r="Q3744" s="77" t="s">
        <v>4950</v>
      </c>
      <c r="R3744" s="77">
        <v>0</v>
      </c>
      <c r="S3744" s="77">
        <v>0</v>
      </c>
      <c r="T3744" s="77">
        <v>0</v>
      </c>
      <c r="U3744" s="77">
        <v>0</v>
      </c>
      <c r="V3744" s="77">
        <v>33</v>
      </c>
      <c r="W3744" s="82" t="s">
        <v>6977</v>
      </c>
      <c r="X3744" s="77"/>
      <c r="Y3744" s="77"/>
      <c r="Z3744" s="77"/>
      <c r="AA3744" s="77"/>
      <c r="AB3744" s="77"/>
      <c r="AC3744" s="82" t="s">
        <v>10146</v>
      </c>
      <c r="AD3744" s="77" t="s">
        <v>10184</v>
      </c>
      <c r="AE3744" s="80" t="str">
        <f>HYPERLINK("https://twitter.com/donuts4brazil/status/1639624372825587712")</f>
        <v>https://twitter.com/donuts4brazil/status/1639624372825587712</v>
      </c>
      <c r="AF3744" s="79">
        <v>45010.572766203702</v>
      </c>
      <c r="AG3744" s="85">
        <v>45010</v>
      </c>
      <c r="AH3744" s="82" t="s">
        <v>13730</v>
      </c>
      <c r="AI3744" s="77"/>
      <c r="AJ3744" s="77"/>
      <c r="AK3744" s="77"/>
      <c r="AL3744" s="77"/>
      <c r="AM3744" s="77"/>
      <c r="AN3744" s="77"/>
      <c r="AO3744" s="77"/>
      <c r="AP3744" s="77"/>
      <c r="AQ3744" s="77"/>
      <c r="AR3744" s="77"/>
      <c r="AS3744" s="77"/>
      <c r="AT3744" s="77"/>
      <c r="AU3744" s="77"/>
      <c r="AV3744" s="80" t="str">
        <f>HYPERLINK("https://pbs.twimg.com/profile_images/1639348004225155072/lMAiB5KE_normal.jpg")</f>
        <v>https://pbs.twimg.com/profile_images/1639348004225155072/lMAiB5KE_normal.jpg</v>
      </c>
      <c r="AW3744" s="82" t="s">
        <v>20510</v>
      </c>
      <c r="AX3744" s="82" t="s">
        <v>20510</v>
      </c>
      <c r="AY3744" s="77"/>
      <c r="AZ3744" s="82" t="s">
        <v>20971</v>
      </c>
      <c r="BA3744" s="82" t="s">
        <v>20971</v>
      </c>
      <c r="BB3744" s="82" t="s">
        <v>20971</v>
      </c>
      <c r="BC3744" s="82" t="s">
        <v>20510</v>
      </c>
      <c r="BD3744" s="82" t="s">
        <v>21687</v>
      </c>
      <c r="BE3744" s="77"/>
      <c r="BF3744" s="77"/>
      <c r="BG3744" s="77"/>
      <c r="BH3744" s="77"/>
      <c r="BI3744" s="77"/>
    </row>
    <row r="3745" spans="1:61" x14ac:dyDescent="0.25">
      <c r="A3745" s="62" t="s">
        <v>1121</v>
      </c>
      <c r="B3745" s="62" t="s">
        <v>1121</v>
      </c>
      <c r="C3745" s="63"/>
      <c r="D3745" s="64"/>
      <c r="E3745" s="65"/>
      <c r="F3745" s="66"/>
      <c r="G3745" s="63"/>
      <c r="H3745" s="67"/>
      <c r="I3745" s="68"/>
      <c r="J3745" s="68"/>
      <c r="K3745" s="32"/>
      <c r="L3745" s="75">
        <v>3745</v>
      </c>
      <c r="M3745" s="75"/>
      <c r="N3745" s="70"/>
      <c r="O3745" s="77" t="s">
        <v>179</v>
      </c>
      <c r="P3745" s="79">
        <v>45010.569606481484</v>
      </c>
      <c r="Q3745" s="77" t="s">
        <v>4951</v>
      </c>
      <c r="R3745" s="77">
        <v>0</v>
      </c>
      <c r="S3745" s="77">
        <v>0</v>
      </c>
      <c r="T3745" s="77">
        <v>0</v>
      </c>
      <c r="U3745" s="77">
        <v>0</v>
      </c>
      <c r="V3745" s="77">
        <v>23</v>
      </c>
      <c r="W3745" s="82" t="s">
        <v>6978</v>
      </c>
      <c r="X3745" s="77"/>
      <c r="Y3745" s="77"/>
      <c r="Z3745" s="77"/>
      <c r="AA3745" s="77"/>
      <c r="AB3745" s="77"/>
      <c r="AC3745" s="82" t="s">
        <v>10146</v>
      </c>
      <c r="AD3745" s="77" t="s">
        <v>10184</v>
      </c>
      <c r="AE3745" s="80" t="str">
        <f>HYPERLINK("https://twitter.com/donuts4brazil/status/1639623227352707074")</f>
        <v>https://twitter.com/donuts4brazil/status/1639623227352707074</v>
      </c>
      <c r="AF3745" s="79">
        <v>45010.569606481484</v>
      </c>
      <c r="AG3745" s="85">
        <v>45010</v>
      </c>
      <c r="AH3745" s="82" t="s">
        <v>13731</v>
      </c>
      <c r="AI3745" s="77"/>
      <c r="AJ3745" s="77"/>
      <c r="AK3745" s="77"/>
      <c r="AL3745" s="77"/>
      <c r="AM3745" s="77"/>
      <c r="AN3745" s="77"/>
      <c r="AO3745" s="77"/>
      <c r="AP3745" s="77"/>
      <c r="AQ3745" s="77"/>
      <c r="AR3745" s="77"/>
      <c r="AS3745" s="77"/>
      <c r="AT3745" s="77"/>
      <c r="AU3745" s="77"/>
      <c r="AV3745" s="80" t="str">
        <f>HYPERLINK("https://pbs.twimg.com/profile_images/1639348004225155072/lMAiB5KE_normal.jpg")</f>
        <v>https://pbs.twimg.com/profile_images/1639348004225155072/lMAiB5KE_normal.jpg</v>
      </c>
      <c r="AW3745" s="82" t="s">
        <v>20511</v>
      </c>
      <c r="AX3745" s="82" t="s">
        <v>20511</v>
      </c>
      <c r="AY3745" s="77"/>
      <c r="AZ3745" s="82" t="s">
        <v>20971</v>
      </c>
      <c r="BA3745" s="82" t="s">
        <v>20971</v>
      </c>
      <c r="BB3745" s="82" t="s">
        <v>20971</v>
      </c>
      <c r="BC3745" s="82" t="s">
        <v>20511</v>
      </c>
      <c r="BD3745" s="82" t="s">
        <v>21687</v>
      </c>
      <c r="BE3745" s="77"/>
      <c r="BF3745" s="77"/>
      <c r="BG3745" s="77"/>
      <c r="BH3745" s="77"/>
      <c r="BI3745" s="77"/>
    </row>
    <row r="3746" spans="1:61" x14ac:dyDescent="0.25">
      <c r="A3746" s="62" t="s">
        <v>1122</v>
      </c>
      <c r="B3746" s="62" t="s">
        <v>1122</v>
      </c>
      <c r="C3746" s="63"/>
      <c r="D3746" s="64"/>
      <c r="E3746" s="65"/>
      <c r="F3746" s="66"/>
      <c r="G3746" s="63"/>
      <c r="H3746" s="67"/>
      <c r="I3746" s="68"/>
      <c r="J3746" s="68"/>
      <c r="K3746" s="32"/>
      <c r="L3746" s="75">
        <v>3746</v>
      </c>
      <c r="M3746" s="75"/>
      <c r="N3746" s="70"/>
      <c r="O3746" s="77" t="s">
        <v>179</v>
      </c>
      <c r="P3746" s="79">
        <v>45030.911851851852</v>
      </c>
      <c r="Q3746" s="77" t="s">
        <v>4952</v>
      </c>
      <c r="R3746" s="77">
        <v>0</v>
      </c>
      <c r="S3746" s="77">
        <v>0</v>
      </c>
      <c r="T3746" s="77">
        <v>0</v>
      </c>
      <c r="U3746" s="77">
        <v>0</v>
      </c>
      <c r="V3746" s="77">
        <v>19</v>
      </c>
      <c r="W3746" s="82" t="s">
        <v>6979</v>
      </c>
      <c r="X3746" s="77"/>
      <c r="Y3746" s="77"/>
      <c r="Z3746" s="77"/>
      <c r="AA3746" s="77" t="s">
        <v>9930</v>
      </c>
      <c r="AB3746" s="77" t="s">
        <v>10130</v>
      </c>
      <c r="AC3746" s="82" t="s">
        <v>10146</v>
      </c>
      <c r="AD3746" s="77" t="s">
        <v>10184</v>
      </c>
      <c r="AE3746" s="80" t="str">
        <f>HYPERLINK("https://twitter.com/saberdigitall/status/1646995008602402821")</f>
        <v>https://twitter.com/saberdigitall/status/1646995008602402821</v>
      </c>
      <c r="AF3746" s="79">
        <v>45030.911851851852</v>
      </c>
      <c r="AG3746" s="85">
        <v>45030</v>
      </c>
      <c r="AH3746" s="82" t="s">
        <v>13732</v>
      </c>
      <c r="AI3746" s="77" t="b">
        <v>0</v>
      </c>
      <c r="AJ3746" s="77"/>
      <c r="AK3746" s="77"/>
      <c r="AL3746" s="77"/>
      <c r="AM3746" s="77"/>
      <c r="AN3746" s="77"/>
      <c r="AO3746" s="77"/>
      <c r="AP3746" s="77"/>
      <c r="AQ3746" s="77" t="s">
        <v>16573</v>
      </c>
      <c r="AR3746" s="77"/>
      <c r="AS3746" s="77"/>
      <c r="AT3746" s="77"/>
      <c r="AU3746" s="77"/>
      <c r="AV3746" s="80" t="str">
        <f>HYPERLINK("https://pbs.twimg.com/media/FttMX3TWwAAFdDa.jpg")</f>
        <v>https://pbs.twimg.com/media/FttMX3TWwAAFdDa.jpg</v>
      </c>
      <c r="AW3746" s="82" t="s">
        <v>20512</v>
      </c>
      <c r="AX3746" s="82" t="s">
        <v>20512</v>
      </c>
      <c r="AY3746" s="77"/>
      <c r="AZ3746" s="82" t="s">
        <v>20971</v>
      </c>
      <c r="BA3746" s="82" t="s">
        <v>20971</v>
      </c>
      <c r="BB3746" s="82" t="s">
        <v>20971</v>
      </c>
      <c r="BC3746" s="82" t="s">
        <v>20512</v>
      </c>
      <c r="BD3746" s="82" t="s">
        <v>21688</v>
      </c>
      <c r="BE3746" s="77"/>
      <c r="BF3746" s="77"/>
      <c r="BG3746" s="77"/>
      <c r="BH3746" s="77"/>
      <c r="BI3746" s="77"/>
    </row>
    <row r="3747" spans="1:61" x14ac:dyDescent="0.25">
      <c r="A3747" s="62" t="s">
        <v>1122</v>
      </c>
      <c r="B3747" s="62" t="s">
        <v>1122</v>
      </c>
      <c r="C3747" s="63"/>
      <c r="D3747" s="64"/>
      <c r="E3747" s="65"/>
      <c r="F3747" s="66"/>
      <c r="G3747" s="63"/>
      <c r="H3747" s="67"/>
      <c r="I3747" s="68"/>
      <c r="J3747" s="68"/>
      <c r="K3747" s="32"/>
      <c r="L3747" s="75">
        <v>3747</v>
      </c>
      <c r="M3747" s="75"/>
      <c r="N3747" s="70"/>
      <c r="O3747" s="77" t="s">
        <v>179</v>
      </c>
      <c r="P3747" s="79">
        <v>45030.908530092594</v>
      </c>
      <c r="Q3747" s="77" t="s">
        <v>4953</v>
      </c>
      <c r="R3747" s="77">
        <v>0</v>
      </c>
      <c r="S3747" s="77">
        <v>0</v>
      </c>
      <c r="T3747" s="77">
        <v>0</v>
      </c>
      <c r="U3747" s="77">
        <v>0</v>
      </c>
      <c r="V3747" s="77">
        <v>18</v>
      </c>
      <c r="W3747" s="82" t="s">
        <v>6980</v>
      </c>
      <c r="X3747" s="77"/>
      <c r="Y3747" s="77"/>
      <c r="Z3747" s="77"/>
      <c r="AA3747" s="77" t="s">
        <v>9931</v>
      </c>
      <c r="AB3747" s="77" t="s">
        <v>10130</v>
      </c>
      <c r="AC3747" s="82" t="s">
        <v>10146</v>
      </c>
      <c r="AD3747" s="77" t="s">
        <v>10184</v>
      </c>
      <c r="AE3747" s="80" t="str">
        <f>HYPERLINK("https://twitter.com/saberdigitall/status/1646993805642481665")</f>
        <v>https://twitter.com/saberdigitall/status/1646993805642481665</v>
      </c>
      <c r="AF3747" s="79">
        <v>45030.908530092594</v>
      </c>
      <c r="AG3747" s="85">
        <v>45030</v>
      </c>
      <c r="AH3747" s="82" t="s">
        <v>13733</v>
      </c>
      <c r="AI3747" s="77" t="b">
        <v>0</v>
      </c>
      <c r="AJ3747" s="77"/>
      <c r="AK3747" s="77"/>
      <c r="AL3747" s="77"/>
      <c r="AM3747" s="77"/>
      <c r="AN3747" s="77"/>
      <c r="AO3747" s="77"/>
      <c r="AP3747" s="77"/>
      <c r="AQ3747" s="77" t="s">
        <v>16574</v>
      </c>
      <c r="AR3747" s="77"/>
      <c r="AS3747" s="77"/>
      <c r="AT3747" s="77"/>
      <c r="AU3747" s="77"/>
      <c r="AV3747" s="80" t="str">
        <f>HYPERLINK("https://pbs.twimg.com/media/FttLStYXoAMQdCU.jpg")</f>
        <v>https://pbs.twimg.com/media/FttLStYXoAMQdCU.jpg</v>
      </c>
      <c r="AW3747" s="82" t="s">
        <v>20513</v>
      </c>
      <c r="AX3747" s="82" t="s">
        <v>20513</v>
      </c>
      <c r="AY3747" s="77"/>
      <c r="AZ3747" s="82" t="s">
        <v>20971</v>
      </c>
      <c r="BA3747" s="82" t="s">
        <v>20971</v>
      </c>
      <c r="BB3747" s="82" t="s">
        <v>20971</v>
      </c>
      <c r="BC3747" s="82" t="s">
        <v>20513</v>
      </c>
      <c r="BD3747" s="82" t="s">
        <v>21688</v>
      </c>
      <c r="BE3747" s="77"/>
      <c r="BF3747" s="77"/>
      <c r="BG3747" s="77"/>
      <c r="BH3747" s="77"/>
      <c r="BI3747" s="77"/>
    </row>
    <row r="3748" spans="1:61" x14ac:dyDescent="0.25">
      <c r="A3748" s="62" t="s">
        <v>1122</v>
      </c>
      <c r="B3748" s="62" t="s">
        <v>1122</v>
      </c>
      <c r="C3748" s="63"/>
      <c r="D3748" s="64"/>
      <c r="E3748" s="65"/>
      <c r="F3748" s="66"/>
      <c r="G3748" s="63"/>
      <c r="H3748" s="67"/>
      <c r="I3748" s="68"/>
      <c r="J3748" s="68"/>
      <c r="K3748" s="32"/>
      <c r="L3748" s="75">
        <v>3748</v>
      </c>
      <c r="M3748" s="75"/>
      <c r="N3748" s="70"/>
      <c r="O3748" s="77" t="s">
        <v>179</v>
      </c>
      <c r="P3748" s="79">
        <v>45030.905092592591</v>
      </c>
      <c r="Q3748" s="77" t="s">
        <v>4954</v>
      </c>
      <c r="R3748" s="77">
        <v>0</v>
      </c>
      <c r="S3748" s="77">
        <v>0</v>
      </c>
      <c r="T3748" s="77">
        <v>0</v>
      </c>
      <c r="U3748" s="77">
        <v>0</v>
      </c>
      <c r="V3748" s="77">
        <v>53</v>
      </c>
      <c r="W3748" s="82" t="s">
        <v>6981</v>
      </c>
      <c r="X3748" s="77"/>
      <c r="Y3748" s="77"/>
      <c r="Z3748" s="77"/>
      <c r="AA3748" s="77" t="s">
        <v>9932</v>
      </c>
      <c r="AB3748" s="77" t="s">
        <v>10130</v>
      </c>
      <c r="AC3748" s="82" t="s">
        <v>10146</v>
      </c>
      <c r="AD3748" s="77" t="s">
        <v>10184</v>
      </c>
      <c r="AE3748" s="80" t="str">
        <f>HYPERLINK("https://twitter.com/saberdigitall/status/1646992559850364929")</f>
        <v>https://twitter.com/saberdigitall/status/1646992559850364929</v>
      </c>
      <c r="AF3748" s="79">
        <v>45030.905092592591</v>
      </c>
      <c r="AG3748" s="85">
        <v>45030</v>
      </c>
      <c r="AH3748" s="82" t="s">
        <v>13734</v>
      </c>
      <c r="AI3748" s="77" t="b">
        <v>0</v>
      </c>
      <c r="AJ3748" s="77"/>
      <c r="AK3748" s="77"/>
      <c r="AL3748" s="77"/>
      <c r="AM3748" s="77"/>
      <c r="AN3748" s="77"/>
      <c r="AO3748" s="77"/>
      <c r="AP3748" s="77"/>
      <c r="AQ3748" s="77" t="s">
        <v>16575</v>
      </c>
      <c r="AR3748" s="77"/>
      <c r="AS3748" s="77"/>
      <c r="AT3748" s="77"/>
      <c r="AU3748" s="77"/>
      <c r="AV3748" s="80" t="str">
        <f>HYPERLINK("https://pbs.twimg.com/media/FttKuI3XgAMY0YQ.jpg")</f>
        <v>https://pbs.twimg.com/media/FttKuI3XgAMY0YQ.jpg</v>
      </c>
      <c r="AW3748" s="82" t="s">
        <v>20514</v>
      </c>
      <c r="AX3748" s="82" t="s">
        <v>20514</v>
      </c>
      <c r="AY3748" s="77"/>
      <c r="AZ3748" s="82" t="s">
        <v>20971</v>
      </c>
      <c r="BA3748" s="82" t="s">
        <v>20971</v>
      </c>
      <c r="BB3748" s="82" t="s">
        <v>20971</v>
      </c>
      <c r="BC3748" s="82" t="s">
        <v>20514</v>
      </c>
      <c r="BD3748" s="82" t="s">
        <v>21688</v>
      </c>
      <c r="BE3748" s="77"/>
      <c r="BF3748" s="77"/>
      <c r="BG3748" s="77"/>
      <c r="BH3748" s="77"/>
      <c r="BI3748" s="77"/>
    </row>
    <row r="3749" spans="1:61" x14ac:dyDescent="0.25">
      <c r="A3749" s="62" t="s">
        <v>1122</v>
      </c>
      <c r="B3749" s="62" t="s">
        <v>1122</v>
      </c>
      <c r="C3749" s="63"/>
      <c r="D3749" s="64"/>
      <c r="E3749" s="65"/>
      <c r="F3749" s="66"/>
      <c r="G3749" s="63"/>
      <c r="H3749" s="67"/>
      <c r="I3749" s="68"/>
      <c r="J3749" s="68"/>
      <c r="K3749" s="32"/>
      <c r="L3749" s="75">
        <v>3749</v>
      </c>
      <c r="M3749" s="75"/>
      <c r="N3749" s="70"/>
      <c r="O3749" s="77" t="s">
        <v>179</v>
      </c>
      <c r="P3749" s="79">
        <v>45030.903749999998</v>
      </c>
      <c r="Q3749" s="77" t="s">
        <v>4955</v>
      </c>
      <c r="R3749" s="77">
        <v>0</v>
      </c>
      <c r="S3749" s="77">
        <v>0</v>
      </c>
      <c r="T3749" s="77">
        <v>0</v>
      </c>
      <c r="U3749" s="77">
        <v>0</v>
      </c>
      <c r="V3749" s="77">
        <v>60</v>
      </c>
      <c r="W3749" s="82" t="s">
        <v>6982</v>
      </c>
      <c r="X3749" s="77"/>
      <c r="Y3749" s="77"/>
      <c r="Z3749" s="77"/>
      <c r="AA3749" s="77" t="s">
        <v>9933</v>
      </c>
      <c r="AB3749" s="77" t="s">
        <v>10130</v>
      </c>
      <c r="AC3749" s="82" t="s">
        <v>10146</v>
      </c>
      <c r="AD3749" s="77" t="s">
        <v>10184</v>
      </c>
      <c r="AE3749" s="80" t="str">
        <f>HYPERLINK("https://twitter.com/saberdigitall/status/1646992073977913344")</f>
        <v>https://twitter.com/saberdigitall/status/1646992073977913344</v>
      </c>
      <c r="AF3749" s="79">
        <v>45030.903749999998</v>
      </c>
      <c r="AG3749" s="85">
        <v>45030</v>
      </c>
      <c r="AH3749" s="82" t="s">
        <v>13735</v>
      </c>
      <c r="AI3749" s="77" t="b">
        <v>0</v>
      </c>
      <c r="AJ3749" s="77"/>
      <c r="AK3749" s="77"/>
      <c r="AL3749" s="77"/>
      <c r="AM3749" s="77"/>
      <c r="AN3749" s="77"/>
      <c r="AO3749" s="77"/>
      <c r="AP3749" s="77"/>
      <c r="AQ3749" s="77" t="s">
        <v>16576</v>
      </c>
      <c r="AR3749" s="77"/>
      <c r="AS3749" s="77"/>
      <c r="AT3749" s="77"/>
      <c r="AU3749" s="77"/>
      <c r="AV3749" s="80" t="str">
        <f>HYPERLINK("https://pbs.twimg.com/media/FttKdBEWYAAT5Vm.jpg")</f>
        <v>https://pbs.twimg.com/media/FttKdBEWYAAT5Vm.jpg</v>
      </c>
      <c r="AW3749" s="82" t="s">
        <v>20515</v>
      </c>
      <c r="AX3749" s="82" t="s">
        <v>20515</v>
      </c>
      <c r="AY3749" s="77"/>
      <c r="AZ3749" s="82" t="s">
        <v>20971</v>
      </c>
      <c r="BA3749" s="82" t="s">
        <v>20971</v>
      </c>
      <c r="BB3749" s="82" t="s">
        <v>20971</v>
      </c>
      <c r="BC3749" s="82" t="s">
        <v>20515</v>
      </c>
      <c r="BD3749" s="82" t="s">
        <v>21688</v>
      </c>
      <c r="BE3749" s="77"/>
      <c r="BF3749" s="77"/>
      <c r="BG3749" s="77"/>
      <c r="BH3749" s="77"/>
      <c r="BI3749" s="77"/>
    </row>
    <row r="3750" spans="1:61" x14ac:dyDescent="0.25">
      <c r="A3750" s="62" t="s">
        <v>1122</v>
      </c>
      <c r="B3750" s="62" t="s">
        <v>1122</v>
      </c>
      <c r="C3750" s="63"/>
      <c r="D3750" s="64"/>
      <c r="E3750" s="65"/>
      <c r="F3750" s="66"/>
      <c r="G3750" s="63"/>
      <c r="H3750" s="67"/>
      <c r="I3750" s="68"/>
      <c r="J3750" s="68"/>
      <c r="K3750" s="32"/>
      <c r="L3750" s="75">
        <v>3750</v>
      </c>
      <c r="M3750" s="75"/>
      <c r="N3750" s="70"/>
      <c r="O3750" s="77" t="s">
        <v>179</v>
      </c>
      <c r="P3750" s="79">
        <v>45030.899618055555</v>
      </c>
      <c r="Q3750" s="77" t="s">
        <v>4956</v>
      </c>
      <c r="R3750" s="77">
        <v>0</v>
      </c>
      <c r="S3750" s="77">
        <v>0</v>
      </c>
      <c r="T3750" s="77">
        <v>0</v>
      </c>
      <c r="U3750" s="77">
        <v>0</v>
      </c>
      <c r="V3750" s="77">
        <v>40</v>
      </c>
      <c r="W3750" s="82" t="s">
        <v>6983</v>
      </c>
      <c r="X3750" s="77"/>
      <c r="Y3750" s="77"/>
      <c r="Z3750" s="77"/>
      <c r="AA3750" s="77" t="s">
        <v>9934</v>
      </c>
      <c r="AB3750" s="77" t="s">
        <v>10130</v>
      </c>
      <c r="AC3750" s="82" t="s">
        <v>10146</v>
      </c>
      <c r="AD3750" s="77" t="s">
        <v>10184</v>
      </c>
      <c r="AE3750" s="80" t="str">
        <f>HYPERLINK("https://twitter.com/saberdigitall/status/1646990576305184771")</f>
        <v>https://twitter.com/saberdigitall/status/1646990576305184771</v>
      </c>
      <c r="AF3750" s="79">
        <v>45030.899618055555</v>
      </c>
      <c r="AG3750" s="85">
        <v>45030</v>
      </c>
      <c r="AH3750" s="82" t="s">
        <v>13736</v>
      </c>
      <c r="AI3750" s="77" t="b">
        <v>0</v>
      </c>
      <c r="AJ3750" s="77"/>
      <c r="AK3750" s="77"/>
      <c r="AL3750" s="77"/>
      <c r="AM3750" s="77"/>
      <c r="AN3750" s="77"/>
      <c r="AO3750" s="77"/>
      <c r="AP3750" s="77"/>
      <c r="AQ3750" s="77" t="s">
        <v>16577</v>
      </c>
      <c r="AR3750" s="77"/>
      <c r="AS3750" s="77"/>
      <c r="AT3750" s="77"/>
      <c r="AU3750" s="77"/>
      <c r="AV3750" s="80" t="str">
        <f>HYPERLINK("https://pbs.twimg.com/media/FttIupWWcAIlf68.jpg")</f>
        <v>https://pbs.twimg.com/media/FttIupWWcAIlf68.jpg</v>
      </c>
      <c r="AW3750" s="82" t="s">
        <v>20516</v>
      </c>
      <c r="AX3750" s="82" t="s">
        <v>20516</v>
      </c>
      <c r="AY3750" s="77"/>
      <c r="AZ3750" s="82" t="s">
        <v>20971</v>
      </c>
      <c r="BA3750" s="82" t="s">
        <v>20971</v>
      </c>
      <c r="BB3750" s="82" t="s">
        <v>20971</v>
      </c>
      <c r="BC3750" s="82" t="s">
        <v>20516</v>
      </c>
      <c r="BD3750" s="82" t="s">
        <v>21688</v>
      </c>
      <c r="BE3750" s="77"/>
      <c r="BF3750" s="77"/>
      <c r="BG3750" s="77"/>
      <c r="BH3750" s="77"/>
      <c r="BI3750" s="77"/>
    </row>
    <row r="3751" spans="1:61" x14ac:dyDescent="0.25">
      <c r="A3751" s="62" t="s">
        <v>1123</v>
      </c>
      <c r="B3751" s="62" t="s">
        <v>1123</v>
      </c>
      <c r="C3751" s="63"/>
      <c r="D3751" s="64"/>
      <c r="E3751" s="65"/>
      <c r="F3751" s="66"/>
      <c r="G3751" s="63"/>
      <c r="H3751" s="67"/>
      <c r="I3751" s="68"/>
      <c r="J3751" s="68"/>
      <c r="K3751" s="32"/>
      <c r="L3751" s="75">
        <v>3751</v>
      </c>
      <c r="M3751" s="75"/>
      <c r="N3751" s="70"/>
      <c r="O3751" s="77" t="s">
        <v>179</v>
      </c>
      <c r="P3751" s="79">
        <v>45018.846145833333</v>
      </c>
      <c r="Q3751" s="77" t="s">
        <v>4957</v>
      </c>
      <c r="R3751" s="77">
        <v>0</v>
      </c>
      <c r="S3751" s="77">
        <v>2</v>
      </c>
      <c r="T3751" s="77">
        <v>0</v>
      </c>
      <c r="U3751" s="77">
        <v>0</v>
      </c>
      <c r="V3751" s="77">
        <v>97</v>
      </c>
      <c r="W3751" s="82" t="s">
        <v>6984</v>
      </c>
      <c r="X3751" s="77"/>
      <c r="Y3751" s="77"/>
      <c r="Z3751" s="77"/>
      <c r="AA3751" s="77" t="s">
        <v>9935</v>
      </c>
      <c r="AB3751" s="77" t="s">
        <v>10130</v>
      </c>
      <c r="AC3751" s="82" t="s">
        <v>10145</v>
      </c>
      <c r="AD3751" s="77" t="s">
        <v>10184</v>
      </c>
      <c r="AE3751" s="80" t="str">
        <f>HYPERLINK("https://twitter.com/talagadabruta/status/1642622543696723968")</f>
        <v>https://twitter.com/talagadabruta/status/1642622543696723968</v>
      </c>
      <c r="AF3751" s="79">
        <v>45018.846145833333</v>
      </c>
      <c r="AG3751" s="85">
        <v>45018</v>
      </c>
      <c r="AH3751" s="82" t="s">
        <v>13737</v>
      </c>
      <c r="AI3751" s="77" t="b">
        <v>0</v>
      </c>
      <c r="AJ3751" s="77"/>
      <c r="AK3751" s="77"/>
      <c r="AL3751" s="77"/>
      <c r="AM3751" s="77"/>
      <c r="AN3751" s="77"/>
      <c r="AO3751" s="77"/>
      <c r="AP3751" s="77"/>
      <c r="AQ3751" s="77" t="s">
        <v>16578</v>
      </c>
      <c r="AR3751" s="77"/>
      <c r="AS3751" s="77"/>
      <c r="AT3751" s="77"/>
      <c r="AU3751" s="77"/>
      <c r="AV3751" s="80" t="str">
        <f>HYPERLINK("https://pbs.twimg.com/media/FsvEfxJXgAAgzDq.jpg")</f>
        <v>https://pbs.twimg.com/media/FsvEfxJXgAAgzDq.jpg</v>
      </c>
      <c r="AW3751" s="82" t="s">
        <v>20517</v>
      </c>
      <c r="AX3751" s="82" t="s">
        <v>20517</v>
      </c>
      <c r="AY3751" s="77"/>
      <c r="AZ3751" s="82" t="s">
        <v>20971</v>
      </c>
      <c r="BA3751" s="82" t="s">
        <v>20971</v>
      </c>
      <c r="BB3751" s="82" t="s">
        <v>20971</v>
      </c>
      <c r="BC3751" s="82" t="s">
        <v>20517</v>
      </c>
      <c r="BD3751" s="77">
        <v>2366791588</v>
      </c>
      <c r="BE3751" s="77"/>
      <c r="BF3751" s="77"/>
      <c r="BG3751" s="77"/>
      <c r="BH3751" s="77"/>
      <c r="BI3751" s="77"/>
    </row>
    <row r="3752" spans="1:61" x14ac:dyDescent="0.25">
      <c r="A3752" s="62" t="s">
        <v>1124</v>
      </c>
      <c r="B3752" s="62" t="s">
        <v>1124</v>
      </c>
      <c r="C3752" s="63"/>
      <c r="D3752" s="64"/>
      <c r="E3752" s="65"/>
      <c r="F3752" s="66"/>
      <c r="G3752" s="63"/>
      <c r="H3752" s="67"/>
      <c r="I3752" s="68"/>
      <c r="J3752" s="68"/>
      <c r="K3752" s="32"/>
      <c r="L3752" s="75">
        <v>3752</v>
      </c>
      <c r="M3752" s="75"/>
      <c r="N3752" s="70"/>
      <c r="O3752" s="77" t="s">
        <v>179</v>
      </c>
      <c r="P3752" s="79">
        <v>45141.668923611112</v>
      </c>
      <c r="Q3752" s="77" t="s">
        <v>4958</v>
      </c>
      <c r="R3752" s="77">
        <v>0</v>
      </c>
      <c r="S3752" s="77">
        <v>0</v>
      </c>
      <c r="T3752" s="77">
        <v>1</v>
      </c>
      <c r="U3752" s="77">
        <v>0</v>
      </c>
      <c r="V3752" s="77">
        <v>55</v>
      </c>
      <c r="W3752" s="82" t="s">
        <v>6985</v>
      </c>
      <c r="X3752" s="80" t="str">
        <f>HYPERLINK("https://www.betrebels.com/pt/")</f>
        <v>https://www.betrebels.com/pt/</v>
      </c>
      <c r="Y3752" s="77" t="s">
        <v>7475</v>
      </c>
      <c r="Z3752" s="77"/>
      <c r="AA3752" s="77" t="s">
        <v>9936</v>
      </c>
      <c r="AB3752" s="77" t="s">
        <v>10130</v>
      </c>
      <c r="AC3752" s="82" t="s">
        <v>10146</v>
      </c>
      <c r="AD3752" s="77" t="s">
        <v>10184</v>
      </c>
      <c r="AE3752" s="80" t="str">
        <f>HYPERLINK("https://twitter.com/betrebels_bra/status/1687132028775350272")</f>
        <v>https://twitter.com/betrebels_bra/status/1687132028775350272</v>
      </c>
      <c r="AF3752" s="79">
        <v>45141.668923611112</v>
      </c>
      <c r="AG3752" s="85">
        <v>45141</v>
      </c>
      <c r="AH3752" s="82" t="s">
        <v>13738</v>
      </c>
      <c r="AI3752" s="77" t="b">
        <v>0</v>
      </c>
      <c r="AJ3752" s="77"/>
      <c r="AK3752" s="77"/>
      <c r="AL3752" s="77"/>
      <c r="AM3752" s="77"/>
      <c r="AN3752" s="77"/>
      <c r="AO3752" s="77"/>
      <c r="AP3752" s="77"/>
      <c r="AQ3752" s="77" t="s">
        <v>16579</v>
      </c>
      <c r="AR3752" s="77"/>
      <c r="AS3752" s="77"/>
      <c r="AT3752" s="77"/>
      <c r="AU3752" s="77"/>
      <c r="AV3752" s="80" t="str">
        <f>HYPERLINK("https://pbs.twimg.com/media/F2nkcP2WEAImbwq.jpg")</f>
        <v>https://pbs.twimg.com/media/F2nkcP2WEAImbwq.jpg</v>
      </c>
      <c r="AW3752" s="82" t="s">
        <v>20518</v>
      </c>
      <c r="AX3752" s="82" t="s">
        <v>20518</v>
      </c>
      <c r="AY3752" s="77"/>
      <c r="AZ3752" s="82" t="s">
        <v>20971</v>
      </c>
      <c r="BA3752" s="82" t="s">
        <v>20971</v>
      </c>
      <c r="BB3752" s="82" t="s">
        <v>20971</v>
      </c>
      <c r="BC3752" s="82" t="s">
        <v>20518</v>
      </c>
      <c r="BD3752" s="82" t="s">
        <v>21689</v>
      </c>
      <c r="BE3752" s="77"/>
      <c r="BF3752" s="77"/>
      <c r="BG3752" s="77"/>
      <c r="BH3752" s="77"/>
      <c r="BI3752" s="77"/>
    </row>
    <row r="3753" spans="1:61" x14ac:dyDescent="0.25">
      <c r="A3753" s="62" t="s">
        <v>1124</v>
      </c>
      <c r="B3753" s="62" t="s">
        <v>1124</v>
      </c>
      <c r="C3753" s="63"/>
      <c r="D3753" s="64"/>
      <c r="E3753" s="65"/>
      <c r="F3753" s="66"/>
      <c r="G3753" s="63"/>
      <c r="H3753" s="67"/>
      <c r="I3753" s="68"/>
      <c r="J3753" s="68"/>
      <c r="K3753" s="32"/>
      <c r="L3753" s="75">
        <v>3753</v>
      </c>
      <c r="M3753" s="75"/>
      <c r="N3753" s="70"/>
      <c r="O3753" s="77" t="s">
        <v>179</v>
      </c>
      <c r="P3753" s="79">
        <v>45142.373298611114</v>
      </c>
      <c r="Q3753" s="77" t="s">
        <v>4959</v>
      </c>
      <c r="R3753" s="77">
        <v>0</v>
      </c>
      <c r="S3753" s="77">
        <v>0</v>
      </c>
      <c r="T3753" s="77">
        <v>2</v>
      </c>
      <c r="U3753" s="77">
        <v>0</v>
      </c>
      <c r="V3753" s="77">
        <v>67</v>
      </c>
      <c r="W3753" s="82" t="s">
        <v>6986</v>
      </c>
      <c r="X3753" s="80" t="str">
        <f>HYPERLINK("https://affiliates.affiliatesrebels.com/auth")</f>
        <v>https://affiliates.affiliatesrebels.com/auth</v>
      </c>
      <c r="Y3753" s="77" t="s">
        <v>7476</v>
      </c>
      <c r="Z3753" s="77"/>
      <c r="AA3753" s="77"/>
      <c r="AB3753" s="77"/>
      <c r="AC3753" s="82" t="s">
        <v>10146</v>
      </c>
      <c r="AD3753" s="77" t="s">
        <v>10184</v>
      </c>
      <c r="AE3753" s="80" t="str">
        <f>HYPERLINK("https://twitter.com/betrebels_bra/status/1687387283438043136")</f>
        <v>https://twitter.com/betrebels_bra/status/1687387283438043136</v>
      </c>
      <c r="AF3753" s="79">
        <v>45142.373298611114</v>
      </c>
      <c r="AG3753" s="85">
        <v>45142</v>
      </c>
      <c r="AH3753" s="82" t="s">
        <v>13739</v>
      </c>
      <c r="AI3753" s="77" t="b">
        <v>0</v>
      </c>
      <c r="AJ3753" s="77"/>
      <c r="AK3753" s="77"/>
      <c r="AL3753" s="77"/>
      <c r="AM3753" s="77"/>
      <c r="AN3753" s="77"/>
      <c r="AO3753" s="77"/>
      <c r="AP3753" s="77"/>
      <c r="AQ3753" s="77"/>
      <c r="AR3753" s="77"/>
      <c r="AS3753" s="77"/>
      <c r="AT3753" s="77"/>
      <c r="AU3753" s="77"/>
      <c r="AV3753" s="80" t="str">
        <f>HYPERLINK("https://pbs.twimg.com/profile_images/1646078565593624578/a1qrlQb6_normal.jpg")</f>
        <v>https://pbs.twimg.com/profile_images/1646078565593624578/a1qrlQb6_normal.jpg</v>
      </c>
      <c r="AW3753" s="82" t="s">
        <v>20519</v>
      </c>
      <c r="AX3753" s="82" t="s">
        <v>20519</v>
      </c>
      <c r="AY3753" s="77"/>
      <c r="AZ3753" s="82" t="s">
        <v>20971</v>
      </c>
      <c r="BA3753" s="82" t="s">
        <v>20971</v>
      </c>
      <c r="BB3753" s="82" t="s">
        <v>20971</v>
      </c>
      <c r="BC3753" s="82" t="s">
        <v>20519</v>
      </c>
      <c r="BD3753" s="82" t="s">
        <v>21689</v>
      </c>
      <c r="BE3753" s="77"/>
      <c r="BF3753" s="77"/>
      <c r="BG3753" s="77"/>
      <c r="BH3753" s="77"/>
      <c r="BI3753" s="77"/>
    </row>
    <row r="3754" spans="1:61" x14ac:dyDescent="0.25">
      <c r="A3754" s="62" t="s">
        <v>1125</v>
      </c>
      <c r="B3754" s="62" t="s">
        <v>1125</v>
      </c>
      <c r="C3754" s="63"/>
      <c r="D3754" s="64"/>
      <c r="E3754" s="65"/>
      <c r="F3754" s="66"/>
      <c r="G3754" s="63"/>
      <c r="H3754" s="67"/>
      <c r="I3754" s="68"/>
      <c r="J3754" s="68"/>
      <c r="K3754" s="32"/>
      <c r="L3754" s="75">
        <v>3754</v>
      </c>
      <c r="M3754" s="75"/>
      <c r="N3754" s="70"/>
      <c r="O3754" s="77" t="s">
        <v>179</v>
      </c>
      <c r="P3754" s="79">
        <v>45105.106064814812</v>
      </c>
      <c r="Q3754" s="77" t="s">
        <v>4960</v>
      </c>
      <c r="R3754" s="77">
        <v>0</v>
      </c>
      <c r="S3754" s="77">
        <v>2</v>
      </c>
      <c r="T3754" s="77">
        <v>0</v>
      </c>
      <c r="U3754" s="77">
        <v>0</v>
      </c>
      <c r="V3754" s="77">
        <v>653</v>
      </c>
      <c r="W3754" s="82" t="s">
        <v>6987</v>
      </c>
      <c r="X3754" s="77"/>
      <c r="Y3754" s="77"/>
      <c r="Z3754" s="77"/>
      <c r="AA3754" s="77" t="s">
        <v>9937</v>
      </c>
      <c r="AB3754" s="77" t="s">
        <v>10130</v>
      </c>
      <c r="AC3754" s="82" t="s">
        <v>10144</v>
      </c>
      <c r="AD3754" s="77" t="s">
        <v>10184</v>
      </c>
      <c r="AE3754" s="80" t="str">
        <f>HYPERLINK("https://twitter.com/graca_duarte_/status/1673882089639297026")</f>
        <v>https://twitter.com/graca_duarte_/status/1673882089639297026</v>
      </c>
      <c r="AF3754" s="79">
        <v>45105.106064814812</v>
      </c>
      <c r="AG3754" s="85">
        <v>45105</v>
      </c>
      <c r="AH3754" s="82" t="s">
        <v>13740</v>
      </c>
      <c r="AI3754" s="77" t="b">
        <v>0</v>
      </c>
      <c r="AJ3754" s="77"/>
      <c r="AK3754" s="77"/>
      <c r="AL3754" s="77"/>
      <c r="AM3754" s="77"/>
      <c r="AN3754" s="77"/>
      <c r="AO3754" s="77"/>
      <c r="AP3754" s="77"/>
      <c r="AQ3754" s="77" t="s">
        <v>16580</v>
      </c>
      <c r="AR3754" s="77"/>
      <c r="AS3754" s="77"/>
      <c r="AT3754" s="77"/>
      <c r="AU3754" s="77"/>
      <c r="AV3754" s="80" t="str">
        <f>HYPERLINK("https://pbs.twimg.com/media/FzrS498WAAA3itW.jpg")</f>
        <v>https://pbs.twimg.com/media/FzrS498WAAA3itW.jpg</v>
      </c>
      <c r="AW3754" s="82" t="s">
        <v>20520</v>
      </c>
      <c r="AX3754" s="82" t="s">
        <v>20520</v>
      </c>
      <c r="AY3754" s="77"/>
      <c r="AZ3754" s="82" t="s">
        <v>20971</v>
      </c>
      <c r="BA3754" s="82" t="s">
        <v>20971</v>
      </c>
      <c r="BB3754" s="82" t="s">
        <v>20971</v>
      </c>
      <c r="BC3754" s="82" t="s">
        <v>20520</v>
      </c>
      <c r="BD3754" s="82" t="s">
        <v>21690</v>
      </c>
      <c r="BE3754" s="77"/>
      <c r="BF3754" s="77"/>
      <c r="BG3754" s="77"/>
      <c r="BH3754" s="77"/>
      <c r="BI3754" s="77"/>
    </row>
    <row r="3755" spans="1:61" x14ac:dyDescent="0.25">
      <c r="A3755" s="62" t="s">
        <v>1126</v>
      </c>
      <c r="B3755" s="62" t="s">
        <v>1126</v>
      </c>
      <c r="C3755" s="63"/>
      <c r="D3755" s="64"/>
      <c r="E3755" s="65"/>
      <c r="F3755" s="66"/>
      <c r="G3755" s="63"/>
      <c r="H3755" s="67"/>
      <c r="I3755" s="68"/>
      <c r="J3755" s="68"/>
      <c r="K3755" s="32"/>
      <c r="L3755" s="75">
        <v>3755</v>
      </c>
      <c r="M3755" s="75"/>
      <c r="N3755" s="70"/>
      <c r="O3755" s="77" t="s">
        <v>179</v>
      </c>
      <c r="P3755" s="79">
        <v>45034.775567129633</v>
      </c>
      <c r="Q3755" s="77" t="s">
        <v>4961</v>
      </c>
      <c r="R3755" s="77">
        <v>0</v>
      </c>
      <c r="S3755" s="77">
        <v>0</v>
      </c>
      <c r="T3755" s="77">
        <v>0</v>
      </c>
      <c r="U3755" s="77">
        <v>0</v>
      </c>
      <c r="V3755" s="77">
        <v>11</v>
      </c>
      <c r="W3755" s="82" t="s">
        <v>6988</v>
      </c>
      <c r="X3755" s="80" t="str">
        <f>HYPERLINK("https://chillbet.top/ref/116F561374C3")</f>
        <v>https://chillbet.top/ref/116F561374C3</v>
      </c>
      <c r="Y3755" s="77" t="s">
        <v>7477</v>
      </c>
      <c r="Z3755" s="77"/>
      <c r="AA3755" s="77"/>
      <c r="AB3755" s="77"/>
      <c r="AC3755" s="82" t="s">
        <v>10146</v>
      </c>
      <c r="AD3755" s="77" t="s">
        <v>10184</v>
      </c>
      <c r="AE3755" s="80" t="str">
        <f>HYPERLINK("https://twitter.com/andersonpmt/status/1648395172324208646")</f>
        <v>https://twitter.com/andersonpmt/status/1648395172324208646</v>
      </c>
      <c r="AF3755" s="79">
        <v>45034.775567129633</v>
      </c>
      <c r="AG3755" s="85">
        <v>45034</v>
      </c>
      <c r="AH3755" s="82" t="s">
        <v>13741</v>
      </c>
      <c r="AI3755" s="77" t="b">
        <v>0</v>
      </c>
      <c r="AJ3755" s="77"/>
      <c r="AK3755" s="77"/>
      <c r="AL3755" s="77"/>
      <c r="AM3755" s="77"/>
      <c r="AN3755" s="77"/>
      <c r="AO3755" s="77"/>
      <c r="AP3755" s="77"/>
      <c r="AQ3755" s="77"/>
      <c r="AR3755" s="77"/>
      <c r="AS3755" s="77"/>
      <c r="AT3755" s="77"/>
      <c r="AU3755" s="77"/>
      <c r="AV3755" s="80" t="str">
        <f>HYPERLINK("https://pbs.twimg.com/profile_images/1264737386262642693/eMIKN_0M_normal.jpg")</f>
        <v>https://pbs.twimg.com/profile_images/1264737386262642693/eMIKN_0M_normal.jpg</v>
      </c>
      <c r="AW3755" s="82" t="s">
        <v>20521</v>
      </c>
      <c r="AX3755" s="82" t="s">
        <v>20521</v>
      </c>
      <c r="AY3755" s="77"/>
      <c r="AZ3755" s="82" t="s">
        <v>20971</v>
      </c>
      <c r="BA3755" s="82" t="s">
        <v>20971</v>
      </c>
      <c r="BB3755" s="82" t="s">
        <v>20971</v>
      </c>
      <c r="BC3755" s="82" t="s">
        <v>20521</v>
      </c>
      <c r="BD3755" s="77">
        <v>321693215</v>
      </c>
      <c r="BE3755" s="77"/>
      <c r="BF3755" s="77"/>
      <c r="BG3755" s="77"/>
      <c r="BH3755" s="77"/>
      <c r="BI3755" s="77"/>
    </row>
    <row r="3756" spans="1:61" x14ac:dyDescent="0.25">
      <c r="A3756" s="62" t="s">
        <v>1127</v>
      </c>
      <c r="B3756" s="62" t="s">
        <v>1127</v>
      </c>
      <c r="C3756" s="63"/>
      <c r="D3756" s="64"/>
      <c r="E3756" s="65"/>
      <c r="F3756" s="66"/>
      <c r="G3756" s="63"/>
      <c r="H3756" s="67"/>
      <c r="I3756" s="68"/>
      <c r="J3756" s="68"/>
      <c r="K3756" s="32"/>
      <c r="L3756" s="75">
        <v>3756</v>
      </c>
      <c r="M3756" s="75"/>
      <c r="N3756" s="70"/>
      <c r="O3756" s="77" t="s">
        <v>179</v>
      </c>
      <c r="P3756" s="79">
        <v>45164.705381944441</v>
      </c>
      <c r="Q3756" s="77" t="s">
        <v>4962</v>
      </c>
      <c r="R3756" s="77">
        <v>0</v>
      </c>
      <c r="S3756" s="77">
        <v>0</v>
      </c>
      <c r="T3756" s="77">
        <v>0</v>
      </c>
      <c r="U3756" s="77">
        <v>0</v>
      </c>
      <c r="V3756" s="77">
        <v>142</v>
      </c>
      <c r="W3756" s="82" t="s">
        <v>6989</v>
      </c>
      <c r="X3756" s="77"/>
      <c r="Y3756" s="77"/>
      <c r="Z3756" s="77"/>
      <c r="AA3756" s="77" t="s">
        <v>9938</v>
      </c>
      <c r="AB3756" s="77" t="s">
        <v>10129</v>
      </c>
      <c r="AC3756" s="82" t="s">
        <v>10145</v>
      </c>
      <c r="AD3756" s="77" t="s">
        <v>10184</v>
      </c>
      <c r="AE3756" s="80" t="str">
        <f>HYPERLINK("https://twitter.com/ratinhamilgrau/status/1695480161859194987")</f>
        <v>https://twitter.com/ratinhamilgrau/status/1695480161859194987</v>
      </c>
      <c r="AF3756" s="79">
        <v>45164.705381944441</v>
      </c>
      <c r="AG3756" s="85">
        <v>45164</v>
      </c>
      <c r="AH3756" s="82" t="s">
        <v>13742</v>
      </c>
      <c r="AI3756" s="77" t="b">
        <v>0</v>
      </c>
      <c r="AJ3756" s="77"/>
      <c r="AK3756" s="77"/>
      <c r="AL3756" s="77"/>
      <c r="AM3756" s="77"/>
      <c r="AN3756" s="77"/>
      <c r="AO3756" s="77"/>
      <c r="AP3756" s="77"/>
      <c r="AQ3756" s="77" t="s">
        <v>16581</v>
      </c>
      <c r="AR3756" s="77">
        <v>20046</v>
      </c>
      <c r="AS3756" s="77"/>
      <c r="AT3756" s="77"/>
      <c r="AU3756" s="77"/>
      <c r="AV3756" s="80" t="str">
        <f>HYPERLINK("https://pbs.twimg.com/ext_tw_video_thumb/1695480072881295360/pu/img/FnBlvkAm02nMRWLk.jpg")</f>
        <v>https://pbs.twimg.com/ext_tw_video_thumb/1695480072881295360/pu/img/FnBlvkAm02nMRWLk.jpg</v>
      </c>
      <c r="AW3756" s="82" t="s">
        <v>20522</v>
      </c>
      <c r="AX3756" s="82" t="s">
        <v>20522</v>
      </c>
      <c r="AY3756" s="77"/>
      <c r="AZ3756" s="82" t="s">
        <v>20971</v>
      </c>
      <c r="BA3756" s="82" t="s">
        <v>20971</v>
      </c>
      <c r="BB3756" s="82" t="s">
        <v>20971</v>
      </c>
      <c r="BC3756" s="82" t="s">
        <v>20522</v>
      </c>
      <c r="BD3756" s="82" t="s">
        <v>21691</v>
      </c>
      <c r="BE3756" s="77"/>
      <c r="BF3756" s="77"/>
      <c r="BG3756" s="77"/>
      <c r="BH3756" s="77"/>
      <c r="BI3756" s="77"/>
    </row>
    <row r="3757" spans="1:61" x14ac:dyDescent="0.25">
      <c r="A3757" s="62" t="s">
        <v>1127</v>
      </c>
      <c r="B3757" s="62" t="s">
        <v>1127</v>
      </c>
      <c r="C3757" s="63"/>
      <c r="D3757" s="64"/>
      <c r="E3757" s="65"/>
      <c r="F3757" s="66"/>
      <c r="G3757" s="63"/>
      <c r="H3757" s="67"/>
      <c r="I3757" s="68"/>
      <c r="J3757" s="68"/>
      <c r="K3757" s="32"/>
      <c r="L3757" s="75">
        <v>3757</v>
      </c>
      <c r="M3757" s="75"/>
      <c r="N3757" s="70"/>
      <c r="O3757" s="77" t="s">
        <v>179</v>
      </c>
      <c r="P3757" s="79">
        <v>45162.716504629629</v>
      </c>
      <c r="Q3757" s="77" t="s">
        <v>4963</v>
      </c>
      <c r="R3757" s="77">
        <v>0</v>
      </c>
      <c r="S3757" s="77">
        <v>0</v>
      </c>
      <c r="T3757" s="77">
        <v>0</v>
      </c>
      <c r="U3757" s="77">
        <v>0</v>
      </c>
      <c r="V3757" s="77">
        <v>33</v>
      </c>
      <c r="W3757" s="82" t="s">
        <v>6990</v>
      </c>
      <c r="X3757" s="77"/>
      <c r="Y3757" s="77"/>
      <c r="Z3757" s="77"/>
      <c r="AA3757" s="77" t="s">
        <v>9939</v>
      </c>
      <c r="AB3757" s="77" t="s">
        <v>10130</v>
      </c>
      <c r="AC3757" s="82" t="s">
        <v>10145</v>
      </c>
      <c r="AD3757" s="77" t="s">
        <v>10184</v>
      </c>
      <c r="AE3757" s="80" t="str">
        <f>HYPERLINK("https://twitter.com/ratinhamilgrau/status/1694759415725830355")</f>
        <v>https://twitter.com/ratinhamilgrau/status/1694759415725830355</v>
      </c>
      <c r="AF3757" s="79">
        <v>45162.716504629629</v>
      </c>
      <c r="AG3757" s="85">
        <v>45162</v>
      </c>
      <c r="AH3757" s="82" t="s">
        <v>13743</v>
      </c>
      <c r="AI3757" s="77" t="b">
        <v>0</v>
      </c>
      <c r="AJ3757" s="77"/>
      <c r="AK3757" s="77"/>
      <c r="AL3757" s="77"/>
      <c r="AM3757" s="77"/>
      <c r="AN3757" s="77"/>
      <c r="AO3757" s="77"/>
      <c r="AP3757" s="77"/>
      <c r="AQ3757" s="77" t="s">
        <v>16582</v>
      </c>
      <c r="AR3757" s="77"/>
      <c r="AS3757" s="77"/>
      <c r="AT3757" s="77"/>
      <c r="AU3757" s="77"/>
      <c r="AV3757" s="80" t="str">
        <f>HYPERLINK("https://pbs.twimg.com/media/F4T-tIbX0AAET6z.jpg")</f>
        <v>https://pbs.twimg.com/media/F4T-tIbX0AAET6z.jpg</v>
      </c>
      <c r="AW3757" s="82" t="s">
        <v>20523</v>
      </c>
      <c r="AX3757" s="82" t="s">
        <v>20523</v>
      </c>
      <c r="AY3757" s="77"/>
      <c r="AZ3757" s="82" t="s">
        <v>20971</v>
      </c>
      <c r="BA3757" s="82" t="s">
        <v>20971</v>
      </c>
      <c r="BB3757" s="82" t="s">
        <v>20971</v>
      </c>
      <c r="BC3757" s="82" t="s">
        <v>20523</v>
      </c>
      <c r="BD3757" s="82" t="s">
        <v>21691</v>
      </c>
      <c r="BE3757" s="77"/>
      <c r="BF3757" s="77"/>
      <c r="BG3757" s="77"/>
      <c r="BH3757" s="77"/>
      <c r="BI3757" s="77"/>
    </row>
    <row r="3758" spans="1:61" x14ac:dyDescent="0.25">
      <c r="A3758" s="62" t="s">
        <v>1128</v>
      </c>
      <c r="B3758" s="62" t="s">
        <v>1128</v>
      </c>
      <c r="C3758" s="63"/>
      <c r="D3758" s="64"/>
      <c r="E3758" s="65"/>
      <c r="F3758" s="66"/>
      <c r="G3758" s="63"/>
      <c r="H3758" s="67"/>
      <c r="I3758" s="68"/>
      <c r="J3758" s="68"/>
      <c r="K3758" s="32"/>
      <c r="L3758" s="75">
        <v>3758</v>
      </c>
      <c r="M3758" s="75"/>
      <c r="N3758" s="70"/>
      <c r="O3758" s="77" t="s">
        <v>179</v>
      </c>
      <c r="P3758" s="79">
        <v>45159.080057870371</v>
      </c>
      <c r="Q3758" s="77" t="s">
        <v>4964</v>
      </c>
      <c r="R3758" s="77">
        <v>0</v>
      </c>
      <c r="S3758" s="77">
        <v>0</v>
      </c>
      <c r="T3758" s="77">
        <v>0</v>
      </c>
      <c r="U3758" s="77">
        <v>0</v>
      </c>
      <c r="V3758" s="77">
        <v>215</v>
      </c>
      <c r="W3758" s="82" t="s">
        <v>6991</v>
      </c>
      <c r="X3758" s="77"/>
      <c r="Y3758" s="77"/>
      <c r="Z3758" s="77"/>
      <c r="AA3758" s="77" t="s">
        <v>9940</v>
      </c>
      <c r="AB3758" s="77" t="s">
        <v>10129</v>
      </c>
      <c r="AC3758" s="82" t="s">
        <v>10146</v>
      </c>
      <c r="AD3758" s="77" t="s">
        <v>10184</v>
      </c>
      <c r="AE3758" s="80" t="str">
        <f>HYPERLINK("https://twitter.com/jtr0nline/status/1693441610938212790")</f>
        <v>https://twitter.com/jtr0nline/status/1693441610938212790</v>
      </c>
      <c r="AF3758" s="79">
        <v>45159.080057870371</v>
      </c>
      <c r="AG3758" s="85">
        <v>45159</v>
      </c>
      <c r="AH3758" s="82" t="s">
        <v>11192</v>
      </c>
      <c r="AI3758" s="77" t="b">
        <v>0</v>
      </c>
      <c r="AJ3758" s="77"/>
      <c r="AK3758" s="77"/>
      <c r="AL3758" s="77"/>
      <c r="AM3758" s="77"/>
      <c r="AN3758" s="77"/>
      <c r="AO3758" s="77"/>
      <c r="AP3758" s="77"/>
      <c r="AQ3758" s="77" t="s">
        <v>16583</v>
      </c>
      <c r="AR3758" s="77">
        <v>11332</v>
      </c>
      <c r="AS3758" s="77"/>
      <c r="AT3758" s="77"/>
      <c r="AU3758" s="77"/>
      <c r="AV3758" s="80" t="str">
        <f>HYPERLINK("https://pbs.twimg.com/ext_tw_video_thumb/1693441216807845888/pu/img/zFkTxN6rtc2_cHMe.jpg")</f>
        <v>https://pbs.twimg.com/ext_tw_video_thumb/1693441216807845888/pu/img/zFkTxN6rtc2_cHMe.jpg</v>
      </c>
      <c r="AW3758" s="82" t="s">
        <v>20524</v>
      </c>
      <c r="AX3758" s="82" t="s">
        <v>20524</v>
      </c>
      <c r="AY3758" s="77"/>
      <c r="AZ3758" s="82" t="s">
        <v>20971</v>
      </c>
      <c r="BA3758" s="82" t="s">
        <v>20971</v>
      </c>
      <c r="BB3758" s="82" t="s">
        <v>20971</v>
      </c>
      <c r="BC3758" s="82" t="s">
        <v>20524</v>
      </c>
      <c r="BD3758" s="82" t="s">
        <v>21692</v>
      </c>
      <c r="BE3758" s="77"/>
      <c r="BF3758" s="77"/>
      <c r="BG3758" s="77"/>
      <c r="BH3758" s="77"/>
      <c r="BI3758" s="77"/>
    </row>
    <row r="3759" spans="1:61" x14ac:dyDescent="0.25">
      <c r="A3759" s="62" t="s">
        <v>1128</v>
      </c>
      <c r="B3759" s="62" t="s">
        <v>1128</v>
      </c>
      <c r="C3759" s="63"/>
      <c r="D3759" s="64"/>
      <c r="E3759" s="65"/>
      <c r="F3759" s="66"/>
      <c r="G3759" s="63"/>
      <c r="H3759" s="67"/>
      <c r="I3759" s="68"/>
      <c r="J3759" s="68"/>
      <c r="K3759" s="32"/>
      <c r="L3759" s="75">
        <v>3759</v>
      </c>
      <c r="M3759" s="75"/>
      <c r="N3759" s="70"/>
      <c r="O3759" s="77" t="s">
        <v>179</v>
      </c>
      <c r="P3759" s="79">
        <v>45171.434189814812</v>
      </c>
      <c r="Q3759" s="77" t="s">
        <v>4965</v>
      </c>
      <c r="R3759" s="77">
        <v>0</v>
      </c>
      <c r="S3759" s="77">
        <v>0</v>
      </c>
      <c r="T3759" s="77">
        <v>0</v>
      </c>
      <c r="U3759" s="77">
        <v>0</v>
      </c>
      <c r="V3759" s="77">
        <v>55</v>
      </c>
      <c r="W3759" s="82" t="s">
        <v>6992</v>
      </c>
      <c r="X3759" s="77"/>
      <c r="Y3759" s="77"/>
      <c r="Z3759" s="77"/>
      <c r="AA3759" s="77" t="s">
        <v>9941</v>
      </c>
      <c r="AB3759" s="77" t="s">
        <v>10129</v>
      </c>
      <c r="AC3759" s="82" t="s">
        <v>10146</v>
      </c>
      <c r="AD3759" s="77" t="s">
        <v>10184</v>
      </c>
      <c r="AE3759" s="80" t="str">
        <f>HYPERLINK("https://twitter.com/jtr0nline/status/1697918597547368856")</f>
        <v>https://twitter.com/jtr0nline/status/1697918597547368856</v>
      </c>
      <c r="AF3759" s="79">
        <v>45171.434189814812</v>
      </c>
      <c r="AG3759" s="85">
        <v>45171</v>
      </c>
      <c r="AH3759" s="82" t="s">
        <v>13744</v>
      </c>
      <c r="AI3759" s="77" t="b">
        <v>0</v>
      </c>
      <c r="AJ3759" s="77"/>
      <c r="AK3759" s="77"/>
      <c r="AL3759" s="77"/>
      <c r="AM3759" s="77"/>
      <c r="AN3759" s="77"/>
      <c r="AO3759" s="77"/>
      <c r="AP3759" s="77"/>
      <c r="AQ3759" s="77" t="s">
        <v>16584</v>
      </c>
      <c r="AR3759" s="77">
        <v>117307</v>
      </c>
      <c r="AS3759" s="77"/>
      <c r="AT3759" s="77"/>
      <c r="AU3759" s="77"/>
      <c r="AV3759" s="80" t="str">
        <f>HYPERLINK("https://pbs.twimg.com/ext_tw_video_thumb/1697918369712730113/pu/img/CQ1I9MfQe93jRGvW.jpg")</f>
        <v>https://pbs.twimg.com/ext_tw_video_thumb/1697918369712730113/pu/img/CQ1I9MfQe93jRGvW.jpg</v>
      </c>
      <c r="AW3759" s="82" t="s">
        <v>20525</v>
      </c>
      <c r="AX3759" s="82" t="s">
        <v>20525</v>
      </c>
      <c r="AY3759" s="77"/>
      <c r="AZ3759" s="82" t="s">
        <v>20971</v>
      </c>
      <c r="BA3759" s="82" t="s">
        <v>20971</v>
      </c>
      <c r="BB3759" s="82" t="s">
        <v>20971</v>
      </c>
      <c r="BC3759" s="82" t="s">
        <v>20525</v>
      </c>
      <c r="BD3759" s="82" t="s">
        <v>21692</v>
      </c>
      <c r="BE3759" s="77"/>
      <c r="BF3759" s="77"/>
      <c r="BG3759" s="77"/>
      <c r="BH3759" s="77"/>
      <c r="BI3759" s="77"/>
    </row>
    <row r="3760" spans="1:61" x14ac:dyDescent="0.25">
      <c r="A3760" s="62" t="s">
        <v>1129</v>
      </c>
      <c r="B3760" s="62" t="s">
        <v>1129</v>
      </c>
      <c r="C3760" s="63"/>
      <c r="D3760" s="64"/>
      <c r="E3760" s="65"/>
      <c r="F3760" s="66"/>
      <c r="G3760" s="63"/>
      <c r="H3760" s="67"/>
      <c r="I3760" s="68"/>
      <c r="J3760" s="68"/>
      <c r="K3760" s="32"/>
      <c r="L3760" s="75">
        <v>3760</v>
      </c>
      <c r="M3760" s="75"/>
      <c r="N3760" s="70"/>
      <c r="O3760" s="77" t="s">
        <v>179</v>
      </c>
      <c r="P3760" s="79">
        <v>45060.070509259262</v>
      </c>
      <c r="Q3760" s="77" t="s">
        <v>4966</v>
      </c>
      <c r="R3760" s="77">
        <v>0</v>
      </c>
      <c r="S3760" s="77">
        <v>1</v>
      </c>
      <c r="T3760" s="77">
        <v>0</v>
      </c>
      <c r="U3760" s="77">
        <v>0</v>
      </c>
      <c r="V3760" s="77">
        <v>19</v>
      </c>
      <c r="W3760" s="82" t="s">
        <v>6993</v>
      </c>
      <c r="X3760" s="80" t="str">
        <f>HYPERLINK("https://www.lobo8888.com/?code=gvtjih")</f>
        <v>https://www.lobo8888.com/?code=gvtjih</v>
      </c>
      <c r="Y3760" s="77" t="s">
        <v>7295</v>
      </c>
      <c r="Z3760" s="77"/>
      <c r="AA3760" s="77"/>
      <c r="AB3760" s="77"/>
      <c r="AC3760" s="82" t="s">
        <v>10144</v>
      </c>
      <c r="AD3760" s="77" t="s">
        <v>10184</v>
      </c>
      <c r="AE3760" s="80" t="str">
        <f>HYPERLINK("https://twitter.com/anabeatrizfoll8/status/1657561753738256387")</f>
        <v>https://twitter.com/anabeatrizfoll8/status/1657561753738256387</v>
      </c>
      <c r="AF3760" s="79">
        <v>45060.070509259262</v>
      </c>
      <c r="AG3760" s="85">
        <v>45060</v>
      </c>
      <c r="AH3760" s="82" t="s">
        <v>13745</v>
      </c>
      <c r="AI3760" s="77" t="b">
        <v>0</v>
      </c>
      <c r="AJ3760" s="77"/>
      <c r="AK3760" s="77"/>
      <c r="AL3760" s="77"/>
      <c r="AM3760" s="77"/>
      <c r="AN3760" s="77"/>
      <c r="AO3760" s="77"/>
      <c r="AP3760" s="77"/>
      <c r="AQ3760" s="77"/>
      <c r="AR3760" s="77"/>
      <c r="AS3760" s="77"/>
      <c r="AT3760" s="77"/>
      <c r="AU3760" s="77"/>
      <c r="AV3760" s="80" t="str">
        <f>HYPERLINK("https://pbs.twimg.com/profile_images/1337307094890983424/kQ-fFFLo_normal.jpg")</f>
        <v>https://pbs.twimg.com/profile_images/1337307094890983424/kQ-fFFLo_normal.jpg</v>
      </c>
      <c r="AW3760" s="82" t="s">
        <v>20526</v>
      </c>
      <c r="AX3760" s="82" t="s">
        <v>20526</v>
      </c>
      <c r="AY3760" s="77"/>
      <c r="AZ3760" s="82" t="s">
        <v>20971</v>
      </c>
      <c r="BA3760" s="82" t="s">
        <v>20971</v>
      </c>
      <c r="BB3760" s="82" t="s">
        <v>20971</v>
      </c>
      <c r="BC3760" s="82" t="s">
        <v>20526</v>
      </c>
      <c r="BD3760" s="82" t="s">
        <v>21693</v>
      </c>
      <c r="BE3760" s="77"/>
      <c r="BF3760" s="77"/>
      <c r="BG3760" s="77"/>
      <c r="BH3760" s="77"/>
      <c r="BI3760" s="77"/>
    </row>
    <row r="3761" spans="1:61" x14ac:dyDescent="0.25">
      <c r="A3761" s="62" t="s">
        <v>1130</v>
      </c>
      <c r="B3761" s="62" t="s">
        <v>1130</v>
      </c>
      <c r="C3761" s="63"/>
      <c r="D3761" s="64"/>
      <c r="E3761" s="65"/>
      <c r="F3761" s="66"/>
      <c r="G3761" s="63"/>
      <c r="H3761" s="67"/>
      <c r="I3761" s="68"/>
      <c r="J3761" s="68"/>
      <c r="K3761" s="32"/>
      <c r="L3761" s="75">
        <v>3761</v>
      </c>
      <c r="M3761" s="75"/>
      <c r="N3761" s="70"/>
      <c r="O3761" s="77" t="s">
        <v>1285</v>
      </c>
      <c r="P3761" s="79">
        <v>45031.292361111111</v>
      </c>
      <c r="Q3761" s="77" t="s">
        <v>4967</v>
      </c>
      <c r="R3761" s="77">
        <v>2</v>
      </c>
      <c r="S3761" s="77">
        <v>3</v>
      </c>
      <c r="T3761" s="77">
        <v>0</v>
      </c>
      <c r="U3761" s="77">
        <v>0</v>
      </c>
      <c r="V3761" s="77">
        <v>133</v>
      </c>
      <c r="W3761" s="82" t="s">
        <v>6994</v>
      </c>
      <c r="X3761" s="80" t="str">
        <f>HYPERLINK("https://bit.ly/3oaWsjo")</f>
        <v>https://bit.ly/3oaWsjo</v>
      </c>
      <c r="Y3761" s="77" t="s">
        <v>7268</v>
      </c>
      <c r="Z3761" s="77" t="s">
        <v>1130</v>
      </c>
      <c r="AA3761" s="77" t="s">
        <v>9942</v>
      </c>
      <c r="AB3761" s="77" t="s">
        <v>10130</v>
      </c>
      <c r="AC3761" s="82" t="s">
        <v>10146</v>
      </c>
      <c r="AD3761" s="77" t="s">
        <v>10188</v>
      </c>
      <c r="AE3761" s="80" t="str">
        <f>HYPERLINK("https://twitter.com/bisbatsantfeliu/status/1647132899936747523")</f>
        <v>https://twitter.com/bisbatsantfeliu/status/1647132899936747523</v>
      </c>
      <c r="AF3761" s="79">
        <v>45031.292361111111</v>
      </c>
      <c r="AG3761" s="85">
        <v>45031</v>
      </c>
      <c r="AH3761" s="82" t="s">
        <v>13746</v>
      </c>
      <c r="AI3761" s="77" t="b">
        <v>0</v>
      </c>
      <c r="AJ3761" s="77"/>
      <c r="AK3761" s="77"/>
      <c r="AL3761" s="77"/>
      <c r="AM3761" s="77"/>
      <c r="AN3761" s="77"/>
      <c r="AO3761" s="77"/>
      <c r="AP3761" s="77"/>
      <c r="AQ3761" s="77" t="s">
        <v>16585</v>
      </c>
      <c r="AR3761" s="77"/>
      <c r="AS3761" s="77"/>
      <c r="AT3761" s="77"/>
      <c r="AU3761" s="77"/>
      <c r="AV3761" s="80" t="str">
        <f>HYPERLINK("https://pbs.twimg.com/media/FtqL9VBWcAAR06_.jpg")</f>
        <v>https://pbs.twimg.com/media/FtqL9VBWcAAR06_.jpg</v>
      </c>
      <c r="AW3761" s="82" t="s">
        <v>20527</v>
      </c>
      <c r="AX3761" s="82" t="s">
        <v>20527</v>
      </c>
      <c r="AY3761" s="77"/>
      <c r="AZ3761" s="82" t="s">
        <v>20971</v>
      </c>
      <c r="BA3761" s="82" t="s">
        <v>20971</v>
      </c>
      <c r="BB3761" s="82" t="s">
        <v>20971</v>
      </c>
      <c r="BC3761" s="82" t="s">
        <v>20527</v>
      </c>
      <c r="BD3761" s="82" t="s">
        <v>21694</v>
      </c>
      <c r="BE3761" s="77"/>
      <c r="BF3761" s="77"/>
      <c r="BG3761" s="77"/>
      <c r="BH3761" s="77"/>
      <c r="BI3761" s="77"/>
    </row>
    <row r="3762" spans="1:61" x14ac:dyDescent="0.25">
      <c r="A3762" s="62" t="s">
        <v>1131</v>
      </c>
      <c r="B3762" s="62" t="s">
        <v>1131</v>
      </c>
      <c r="C3762" s="63"/>
      <c r="D3762" s="64"/>
      <c r="E3762" s="65"/>
      <c r="F3762" s="66"/>
      <c r="G3762" s="63"/>
      <c r="H3762" s="67"/>
      <c r="I3762" s="68"/>
      <c r="J3762" s="68"/>
      <c r="K3762" s="32"/>
      <c r="L3762" s="75">
        <v>3762</v>
      </c>
      <c r="M3762" s="75"/>
      <c r="N3762" s="70"/>
      <c r="O3762" s="77" t="s">
        <v>179</v>
      </c>
      <c r="P3762" s="79">
        <v>45023.848576388889</v>
      </c>
      <c r="Q3762" s="77" t="s">
        <v>4968</v>
      </c>
      <c r="R3762" s="77">
        <v>0</v>
      </c>
      <c r="S3762" s="77">
        <v>0</v>
      </c>
      <c r="T3762" s="77">
        <v>0</v>
      </c>
      <c r="U3762" s="77">
        <v>0</v>
      </c>
      <c r="V3762" s="77">
        <v>91</v>
      </c>
      <c r="W3762" s="82" t="s">
        <v>6995</v>
      </c>
      <c r="X3762" s="77"/>
      <c r="Y3762" s="77"/>
      <c r="Z3762" s="77"/>
      <c r="AA3762" s="77" t="s">
        <v>9943</v>
      </c>
      <c r="AB3762" s="77" t="s">
        <v>10130</v>
      </c>
      <c r="AC3762" s="82" t="s">
        <v>10145</v>
      </c>
      <c r="AD3762" s="77" t="s">
        <v>10184</v>
      </c>
      <c r="AE3762" s="80" t="str">
        <f>HYPERLINK("https://twitter.com/fs_karoliny/status/1644435364029820946")</f>
        <v>https://twitter.com/fs_karoliny/status/1644435364029820946</v>
      </c>
      <c r="AF3762" s="79">
        <v>45023.848576388889</v>
      </c>
      <c r="AG3762" s="85">
        <v>45023</v>
      </c>
      <c r="AH3762" s="82" t="s">
        <v>13747</v>
      </c>
      <c r="AI3762" s="77" t="b">
        <v>0</v>
      </c>
      <c r="AJ3762" s="77" t="s">
        <v>14032</v>
      </c>
      <c r="AK3762" s="77" t="s">
        <v>14033</v>
      </c>
      <c r="AL3762" s="77" t="s">
        <v>14035</v>
      </c>
      <c r="AM3762" s="77" t="s">
        <v>14073</v>
      </c>
      <c r="AN3762" s="77" t="s">
        <v>14111</v>
      </c>
      <c r="AO3762" s="77" t="s">
        <v>14148</v>
      </c>
      <c r="AP3762" s="77" t="s">
        <v>14149</v>
      </c>
      <c r="AQ3762" s="77" t="s">
        <v>16586</v>
      </c>
      <c r="AR3762" s="77"/>
      <c r="AS3762" s="77"/>
      <c r="AT3762" s="77"/>
      <c r="AU3762" s="77"/>
      <c r="AV3762" s="80" t="str">
        <f>HYPERLINK("https://pbs.twimg.com/media/FtI1PgPWcAIg9fB.jpg")</f>
        <v>https://pbs.twimg.com/media/FtI1PgPWcAIg9fB.jpg</v>
      </c>
      <c r="AW3762" s="82" t="s">
        <v>20528</v>
      </c>
      <c r="AX3762" s="82" t="s">
        <v>20528</v>
      </c>
      <c r="AY3762" s="77"/>
      <c r="AZ3762" s="82" t="s">
        <v>20971</v>
      </c>
      <c r="BA3762" s="82" t="s">
        <v>20971</v>
      </c>
      <c r="BB3762" s="82" t="s">
        <v>20971</v>
      </c>
      <c r="BC3762" s="82" t="s">
        <v>20528</v>
      </c>
      <c r="BD3762" s="77">
        <v>213012326</v>
      </c>
      <c r="BE3762" s="77"/>
      <c r="BF3762" s="77"/>
      <c r="BG3762" s="77"/>
      <c r="BH3762" s="77"/>
      <c r="BI3762" s="77"/>
    </row>
    <row r="3763" spans="1:61" x14ac:dyDescent="0.25">
      <c r="A3763" s="62" t="s">
        <v>1131</v>
      </c>
      <c r="B3763" s="62" t="s">
        <v>1131</v>
      </c>
      <c r="C3763" s="63"/>
      <c r="D3763" s="64"/>
      <c r="E3763" s="65"/>
      <c r="F3763" s="66"/>
      <c r="G3763" s="63"/>
      <c r="H3763" s="67"/>
      <c r="I3763" s="68"/>
      <c r="J3763" s="68"/>
      <c r="K3763" s="32"/>
      <c r="L3763" s="75">
        <v>3763</v>
      </c>
      <c r="M3763" s="75"/>
      <c r="N3763" s="70"/>
      <c r="O3763" s="77" t="s">
        <v>179</v>
      </c>
      <c r="P3763" s="79">
        <v>45023.719606481478</v>
      </c>
      <c r="Q3763" s="77" t="s">
        <v>4969</v>
      </c>
      <c r="R3763" s="77">
        <v>1</v>
      </c>
      <c r="S3763" s="77">
        <v>0</v>
      </c>
      <c r="T3763" s="77">
        <v>0</v>
      </c>
      <c r="U3763" s="77">
        <v>0</v>
      </c>
      <c r="V3763" s="77">
        <v>156</v>
      </c>
      <c r="W3763" s="82" t="s">
        <v>6995</v>
      </c>
      <c r="X3763" s="80" t="str">
        <f>HYPERLINK("http://wa.me/5521985026289")</f>
        <v>http://wa.me/5521985026289</v>
      </c>
      <c r="Y3763" s="77" t="s">
        <v>7279</v>
      </c>
      <c r="Z3763" s="77"/>
      <c r="AA3763" s="77" t="s">
        <v>9944</v>
      </c>
      <c r="AB3763" s="77" t="s">
        <v>10129</v>
      </c>
      <c r="AC3763" s="82" t="s">
        <v>10145</v>
      </c>
      <c r="AD3763" s="77" t="s">
        <v>10185</v>
      </c>
      <c r="AE3763" s="80" t="str">
        <f>HYPERLINK("https://twitter.com/fs_karoliny/status/1644388627982450712")</f>
        <v>https://twitter.com/fs_karoliny/status/1644388627982450712</v>
      </c>
      <c r="AF3763" s="79">
        <v>45023.719606481478</v>
      </c>
      <c r="AG3763" s="85">
        <v>45023</v>
      </c>
      <c r="AH3763" s="82" t="s">
        <v>13748</v>
      </c>
      <c r="AI3763" s="77" t="b">
        <v>0</v>
      </c>
      <c r="AJ3763" s="77" t="s">
        <v>14032</v>
      </c>
      <c r="AK3763" s="77" t="s">
        <v>14033</v>
      </c>
      <c r="AL3763" s="77" t="s">
        <v>14035</v>
      </c>
      <c r="AM3763" s="77" t="s">
        <v>14073</v>
      </c>
      <c r="AN3763" s="77" t="s">
        <v>14111</v>
      </c>
      <c r="AO3763" s="77" t="s">
        <v>14148</v>
      </c>
      <c r="AP3763" s="77" t="s">
        <v>14149</v>
      </c>
      <c r="AQ3763" s="77" t="s">
        <v>16587</v>
      </c>
      <c r="AR3763" s="77">
        <v>5000</v>
      </c>
      <c r="AS3763" s="77"/>
      <c r="AT3763" s="77"/>
      <c r="AU3763" s="77"/>
      <c r="AV3763" s="80" t="str">
        <f>HYPERLINK("https://pbs.twimg.com/ext_tw_video_thumb/1644388591202598917/pu/img/B_ZDCadzL5PSSPSV.jpg")</f>
        <v>https://pbs.twimg.com/ext_tw_video_thumb/1644388591202598917/pu/img/B_ZDCadzL5PSSPSV.jpg</v>
      </c>
      <c r="AW3763" s="82" t="s">
        <v>20529</v>
      </c>
      <c r="AX3763" s="82" t="s">
        <v>20529</v>
      </c>
      <c r="AY3763" s="77"/>
      <c r="AZ3763" s="82" t="s">
        <v>20971</v>
      </c>
      <c r="BA3763" s="82" t="s">
        <v>20971</v>
      </c>
      <c r="BB3763" s="82" t="s">
        <v>20971</v>
      </c>
      <c r="BC3763" s="82" t="s">
        <v>20529</v>
      </c>
      <c r="BD3763" s="77">
        <v>213012326</v>
      </c>
      <c r="BE3763" s="77"/>
      <c r="BF3763" s="77"/>
      <c r="BG3763" s="77"/>
      <c r="BH3763" s="77"/>
      <c r="BI3763" s="77"/>
    </row>
    <row r="3764" spans="1:61" x14ac:dyDescent="0.25">
      <c r="A3764" s="62" t="s">
        <v>1131</v>
      </c>
      <c r="B3764" s="62" t="s">
        <v>1131</v>
      </c>
      <c r="C3764" s="63"/>
      <c r="D3764" s="64"/>
      <c r="E3764" s="65"/>
      <c r="F3764" s="66"/>
      <c r="G3764" s="63"/>
      <c r="H3764" s="67"/>
      <c r="I3764" s="68"/>
      <c r="J3764" s="68"/>
      <c r="K3764" s="32"/>
      <c r="L3764" s="75">
        <v>3764</v>
      </c>
      <c r="M3764" s="75"/>
      <c r="N3764" s="70"/>
      <c r="O3764" s="77" t="s">
        <v>179</v>
      </c>
      <c r="P3764" s="79">
        <v>45016.753379629627</v>
      </c>
      <c r="Q3764" s="77" t="s">
        <v>4970</v>
      </c>
      <c r="R3764" s="77">
        <v>0</v>
      </c>
      <c r="S3764" s="77">
        <v>0</v>
      </c>
      <c r="T3764" s="77">
        <v>1</v>
      </c>
      <c r="U3764" s="77">
        <v>0</v>
      </c>
      <c r="V3764" s="77">
        <v>105</v>
      </c>
      <c r="W3764" s="82" t="s">
        <v>6996</v>
      </c>
      <c r="X3764" s="80" t="str">
        <f>HYPERLINK("https://wa.me/5521985026289?text=Ola!+vim+pelo+seu+Twitter")</f>
        <v>https://wa.me/5521985026289?text=Ola!+vim+pelo+seu+Twitter</v>
      </c>
      <c r="Y3764" s="77" t="s">
        <v>7279</v>
      </c>
      <c r="Z3764" s="77"/>
      <c r="AA3764" s="77" t="s">
        <v>9945</v>
      </c>
      <c r="AB3764" s="77" t="s">
        <v>10131</v>
      </c>
      <c r="AC3764" s="82" t="s">
        <v>10145</v>
      </c>
      <c r="AD3764" s="77" t="s">
        <v>10184</v>
      </c>
      <c r="AE3764" s="80" t="str">
        <f>HYPERLINK("https://twitter.com/fs_karoliny/status/1641864151399030794")</f>
        <v>https://twitter.com/fs_karoliny/status/1641864151399030794</v>
      </c>
      <c r="AF3764" s="79">
        <v>45016.753379629627</v>
      </c>
      <c r="AG3764" s="85">
        <v>45016</v>
      </c>
      <c r="AH3764" s="82" t="s">
        <v>13749</v>
      </c>
      <c r="AI3764" s="77" t="b">
        <v>0</v>
      </c>
      <c r="AJ3764" s="77" t="s">
        <v>14032</v>
      </c>
      <c r="AK3764" s="77" t="s">
        <v>14033</v>
      </c>
      <c r="AL3764" s="77" t="s">
        <v>14035</v>
      </c>
      <c r="AM3764" s="77" t="s">
        <v>14073</v>
      </c>
      <c r="AN3764" s="77" t="s">
        <v>14111</v>
      </c>
      <c r="AO3764" s="77" t="s">
        <v>14148</v>
      </c>
      <c r="AP3764" s="77" t="s">
        <v>14149</v>
      </c>
      <c r="AQ3764" s="77" t="s">
        <v>16588</v>
      </c>
      <c r="AR3764" s="77"/>
      <c r="AS3764" s="77"/>
      <c r="AT3764" s="77"/>
      <c r="AU3764" s="77"/>
      <c r="AV3764" s="80" t="str">
        <f>HYPERLINK("https://pbs.twimg.com/media/FskSvNrXwAAuAyw.jpg")</f>
        <v>https://pbs.twimg.com/media/FskSvNrXwAAuAyw.jpg</v>
      </c>
      <c r="AW3764" s="82" t="s">
        <v>20530</v>
      </c>
      <c r="AX3764" s="82" t="s">
        <v>20530</v>
      </c>
      <c r="AY3764" s="77"/>
      <c r="AZ3764" s="82" t="s">
        <v>20971</v>
      </c>
      <c r="BA3764" s="82" t="s">
        <v>20971</v>
      </c>
      <c r="BB3764" s="82" t="s">
        <v>20971</v>
      </c>
      <c r="BC3764" s="82" t="s">
        <v>20530</v>
      </c>
      <c r="BD3764" s="77">
        <v>213012326</v>
      </c>
      <c r="BE3764" s="77"/>
      <c r="BF3764" s="77"/>
      <c r="BG3764" s="77"/>
      <c r="BH3764" s="77"/>
      <c r="BI3764" s="77"/>
    </row>
    <row r="3765" spans="1:61" x14ac:dyDescent="0.25">
      <c r="A3765" s="62" t="s">
        <v>1132</v>
      </c>
      <c r="B3765" s="62" t="s">
        <v>1241</v>
      </c>
      <c r="C3765" s="63"/>
      <c r="D3765" s="64"/>
      <c r="E3765" s="65"/>
      <c r="F3765" s="66"/>
      <c r="G3765" s="63"/>
      <c r="H3765" s="67"/>
      <c r="I3765" s="68"/>
      <c r="J3765" s="68"/>
      <c r="K3765" s="32"/>
      <c r="L3765" s="75">
        <v>3765</v>
      </c>
      <c r="M3765" s="75"/>
      <c r="N3765" s="70"/>
      <c r="O3765" s="77" t="s">
        <v>1285</v>
      </c>
      <c r="P3765" s="79">
        <v>45112.610173611109</v>
      </c>
      <c r="Q3765" s="77" t="s">
        <v>4971</v>
      </c>
      <c r="R3765" s="77">
        <v>1</v>
      </c>
      <c r="S3765" s="77">
        <v>1</v>
      </c>
      <c r="T3765" s="77">
        <v>0</v>
      </c>
      <c r="U3765" s="77">
        <v>0</v>
      </c>
      <c r="V3765" s="77">
        <v>13</v>
      </c>
      <c r="W3765" s="82" t="s">
        <v>6997</v>
      </c>
      <c r="X3765" s="80" t="str">
        <f>HYPERLINK("https://youtu.be/N5JLYz5sR-0")</f>
        <v>https://youtu.be/N5JLYz5sR-0</v>
      </c>
      <c r="Y3765" s="77" t="s">
        <v>7248</v>
      </c>
      <c r="Z3765" s="77" t="s">
        <v>1241</v>
      </c>
      <c r="AA3765" s="77"/>
      <c r="AB3765" s="77"/>
      <c r="AC3765" s="82" t="s">
        <v>10146</v>
      </c>
      <c r="AD3765" s="77" t="s">
        <v>10184</v>
      </c>
      <c r="AE3765" s="80" t="str">
        <f>HYPERLINK("https://twitter.com/fabim_felix/status/1676601491476434948")</f>
        <v>https://twitter.com/fabim_felix/status/1676601491476434948</v>
      </c>
      <c r="AF3765" s="79">
        <v>45112.610173611109</v>
      </c>
      <c r="AG3765" s="85">
        <v>45112</v>
      </c>
      <c r="AH3765" s="82" t="s">
        <v>13750</v>
      </c>
      <c r="AI3765" s="77" t="b">
        <v>0</v>
      </c>
      <c r="AJ3765" s="77"/>
      <c r="AK3765" s="77"/>
      <c r="AL3765" s="77"/>
      <c r="AM3765" s="77"/>
      <c r="AN3765" s="77"/>
      <c r="AO3765" s="77"/>
      <c r="AP3765" s="77"/>
      <c r="AQ3765" s="77"/>
      <c r="AR3765" s="77"/>
      <c r="AS3765" s="77"/>
      <c r="AT3765" s="77"/>
      <c r="AU3765" s="77"/>
      <c r="AV3765" s="80" t="str">
        <f>HYPERLINK("https://pbs.twimg.com/profile_images/1613886008034004997/2L2NCFze_normal.jpg")</f>
        <v>https://pbs.twimg.com/profile_images/1613886008034004997/2L2NCFze_normal.jpg</v>
      </c>
      <c r="AW3765" s="82" t="s">
        <v>20531</v>
      </c>
      <c r="AX3765" s="82" t="s">
        <v>20531</v>
      </c>
      <c r="AY3765" s="77"/>
      <c r="AZ3765" s="82" t="s">
        <v>20971</v>
      </c>
      <c r="BA3765" s="82" t="s">
        <v>20971</v>
      </c>
      <c r="BB3765" s="82" t="s">
        <v>20971</v>
      </c>
      <c r="BC3765" s="82" t="s">
        <v>20531</v>
      </c>
      <c r="BD3765" s="77">
        <v>142453632</v>
      </c>
      <c r="BE3765" s="77"/>
      <c r="BF3765" s="77"/>
      <c r="BG3765" s="77"/>
      <c r="BH3765" s="77"/>
      <c r="BI3765" s="77"/>
    </row>
    <row r="3766" spans="1:61" x14ac:dyDescent="0.25">
      <c r="A3766" s="62" t="s">
        <v>1133</v>
      </c>
      <c r="B3766" s="62" t="s">
        <v>1133</v>
      </c>
      <c r="C3766" s="63"/>
      <c r="D3766" s="64"/>
      <c r="E3766" s="65"/>
      <c r="F3766" s="66"/>
      <c r="G3766" s="63"/>
      <c r="H3766" s="67"/>
      <c r="I3766" s="68"/>
      <c r="J3766" s="68"/>
      <c r="K3766" s="32"/>
      <c r="L3766" s="75">
        <v>3766</v>
      </c>
      <c r="M3766" s="75"/>
      <c r="N3766" s="70"/>
      <c r="O3766" s="77" t="s">
        <v>179</v>
      </c>
      <c r="P3766" s="79">
        <v>45002.789386574077</v>
      </c>
      <c r="Q3766" s="77" t="s">
        <v>4972</v>
      </c>
      <c r="R3766" s="77">
        <v>0</v>
      </c>
      <c r="S3766" s="77">
        <v>2</v>
      </c>
      <c r="T3766" s="77">
        <v>0</v>
      </c>
      <c r="U3766" s="77">
        <v>0</v>
      </c>
      <c r="V3766" s="77">
        <v>859</v>
      </c>
      <c r="W3766" s="82" t="s">
        <v>6998</v>
      </c>
      <c r="X3766" s="77"/>
      <c r="Y3766" s="77"/>
      <c r="Z3766" s="77"/>
      <c r="AA3766" s="77" t="s">
        <v>9946</v>
      </c>
      <c r="AB3766" s="77" t="s">
        <v>10129</v>
      </c>
      <c r="AC3766" s="82" t="s">
        <v>10144</v>
      </c>
      <c r="AD3766" s="77" t="s">
        <v>10184</v>
      </c>
      <c r="AE3766" s="80" t="str">
        <f>HYPERLINK("https://twitter.com/cleonilsonofc/status/1636803767868719120")</f>
        <v>https://twitter.com/cleonilsonofc/status/1636803767868719120</v>
      </c>
      <c r="AF3766" s="79">
        <v>45002.789386574077</v>
      </c>
      <c r="AG3766" s="85">
        <v>45002</v>
      </c>
      <c r="AH3766" s="82" t="s">
        <v>13751</v>
      </c>
      <c r="AI3766" s="77" t="b">
        <v>0</v>
      </c>
      <c r="AJ3766" s="77"/>
      <c r="AK3766" s="77"/>
      <c r="AL3766" s="77"/>
      <c r="AM3766" s="77"/>
      <c r="AN3766" s="77"/>
      <c r="AO3766" s="77"/>
      <c r="AP3766" s="77"/>
      <c r="AQ3766" s="77" t="s">
        <v>16589</v>
      </c>
      <c r="AR3766" s="77">
        <v>14966</v>
      </c>
      <c r="AS3766" s="77"/>
      <c r="AT3766" s="77"/>
      <c r="AU3766" s="77"/>
      <c r="AV3766" s="80" t="str">
        <f>HYPERLINK("https://pbs.twimg.com/ext_tw_video_thumb/1636803701007343616/pu/img/BKF5_YP5oQWq9FwU.jpg")</f>
        <v>https://pbs.twimg.com/ext_tw_video_thumb/1636803701007343616/pu/img/BKF5_YP5oQWq9FwU.jpg</v>
      </c>
      <c r="AW3766" s="82" t="s">
        <v>20532</v>
      </c>
      <c r="AX3766" s="82" t="s">
        <v>20532</v>
      </c>
      <c r="AY3766" s="77"/>
      <c r="AZ3766" s="82" t="s">
        <v>20971</v>
      </c>
      <c r="BA3766" s="82" t="s">
        <v>20971</v>
      </c>
      <c r="BB3766" s="82" t="s">
        <v>20971</v>
      </c>
      <c r="BC3766" s="82" t="s">
        <v>20532</v>
      </c>
      <c r="BD3766" s="82" t="s">
        <v>21695</v>
      </c>
      <c r="BE3766" s="77"/>
      <c r="BF3766" s="77"/>
      <c r="BG3766" s="77"/>
      <c r="BH3766" s="77"/>
      <c r="BI3766" s="77"/>
    </row>
    <row r="3767" spans="1:61" x14ac:dyDescent="0.25">
      <c r="A3767" s="62" t="s">
        <v>1134</v>
      </c>
      <c r="B3767" s="62" t="s">
        <v>1134</v>
      </c>
      <c r="C3767" s="63"/>
      <c r="D3767" s="64"/>
      <c r="E3767" s="65"/>
      <c r="F3767" s="66"/>
      <c r="G3767" s="63"/>
      <c r="H3767" s="67"/>
      <c r="I3767" s="68"/>
      <c r="J3767" s="68"/>
      <c r="K3767" s="32"/>
      <c r="L3767" s="75">
        <v>3767</v>
      </c>
      <c r="M3767" s="75"/>
      <c r="N3767" s="70"/>
      <c r="O3767" s="77" t="s">
        <v>1284</v>
      </c>
      <c r="P3767" s="79">
        <v>45083.953414351854</v>
      </c>
      <c r="Q3767" s="77" t="s">
        <v>4973</v>
      </c>
      <c r="R3767" s="77">
        <v>0</v>
      </c>
      <c r="S3767" s="77">
        <v>0</v>
      </c>
      <c r="T3767" s="77">
        <v>0</v>
      </c>
      <c r="U3767" s="77">
        <v>0</v>
      </c>
      <c r="V3767" s="77">
        <v>34</v>
      </c>
      <c r="W3767" s="82" t="s">
        <v>5236</v>
      </c>
      <c r="X3767" s="77"/>
      <c r="Y3767" s="77"/>
      <c r="Z3767" s="77"/>
      <c r="AA3767" s="77"/>
      <c r="AB3767" s="77"/>
      <c r="AC3767" s="82" t="s">
        <v>10144</v>
      </c>
      <c r="AD3767" s="77" t="s">
        <v>10186</v>
      </c>
      <c r="AE3767" s="80" t="str">
        <f>HYPERLINK("https://twitter.com/cosmi0c/status/1666216628432822273")</f>
        <v>https://twitter.com/cosmi0c/status/1666216628432822273</v>
      </c>
      <c r="AF3767" s="79">
        <v>45083.953414351854</v>
      </c>
      <c r="AG3767" s="85">
        <v>45083</v>
      </c>
      <c r="AH3767" s="82" t="s">
        <v>13752</v>
      </c>
      <c r="AI3767" s="77"/>
      <c r="AJ3767" s="77"/>
      <c r="AK3767" s="77"/>
      <c r="AL3767" s="77"/>
      <c r="AM3767" s="77"/>
      <c r="AN3767" s="77"/>
      <c r="AO3767" s="77"/>
      <c r="AP3767" s="77"/>
      <c r="AQ3767" s="77"/>
      <c r="AR3767" s="77"/>
      <c r="AS3767" s="77"/>
      <c r="AT3767" s="77"/>
      <c r="AU3767" s="77"/>
      <c r="AV3767" s="80" t="str">
        <f>HYPERLINK("https://pbs.twimg.com/profile_images/1677544992758169600/rXqsfTHZ_normal.jpg")</f>
        <v>https://pbs.twimg.com/profile_images/1677544992758169600/rXqsfTHZ_normal.jpg</v>
      </c>
      <c r="AW3767" s="82" t="s">
        <v>20533</v>
      </c>
      <c r="AX3767" s="82" t="s">
        <v>20888</v>
      </c>
      <c r="AY3767" s="82" t="s">
        <v>20967</v>
      </c>
      <c r="AZ3767" s="82" t="s">
        <v>20888</v>
      </c>
      <c r="BA3767" s="82" t="s">
        <v>20971</v>
      </c>
      <c r="BB3767" s="82" t="s">
        <v>20971</v>
      </c>
      <c r="BC3767" s="82" t="s">
        <v>20888</v>
      </c>
      <c r="BD3767" s="82" t="s">
        <v>20967</v>
      </c>
      <c r="BE3767" s="77"/>
      <c r="BF3767" s="77"/>
      <c r="BG3767" s="77"/>
      <c r="BH3767" s="77"/>
      <c r="BI3767" s="77"/>
    </row>
    <row r="3768" spans="1:61" x14ac:dyDescent="0.25">
      <c r="A3768" s="62" t="s">
        <v>1135</v>
      </c>
      <c r="B3768" s="62" t="s">
        <v>1135</v>
      </c>
      <c r="C3768" s="63"/>
      <c r="D3768" s="64"/>
      <c r="E3768" s="65"/>
      <c r="F3768" s="66"/>
      <c r="G3768" s="63"/>
      <c r="H3768" s="67"/>
      <c r="I3768" s="68"/>
      <c r="J3768" s="68"/>
      <c r="K3768" s="32"/>
      <c r="L3768" s="75">
        <v>3768</v>
      </c>
      <c r="M3768" s="75"/>
      <c r="N3768" s="70"/>
      <c r="O3768" s="77" t="s">
        <v>179</v>
      </c>
      <c r="P3768" s="79">
        <v>45166.629374999997</v>
      </c>
      <c r="Q3768" s="77" t="s">
        <v>4974</v>
      </c>
      <c r="R3768" s="77">
        <v>0</v>
      </c>
      <c r="S3768" s="77">
        <v>0</v>
      </c>
      <c r="T3768" s="77">
        <v>1</v>
      </c>
      <c r="U3768" s="77">
        <v>0</v>
      </c>
      <c r="V3768" s="77">
        <v>390</v>
      </c>
      <c r="W3768" s="82" t="s">
        <v>5725</v>
      </c>
      <c r="X3768" s="80" t="str">
        <f>HYPERLINK("https://www.bbrbet.com/c-RNtHJGaM?lang=pt")</f>
        <v>https://www.bbrbet.com/c-RNtHJGaM?lang=pt</v>
      </c>
      <c r="Y3768" s="77" t="s">
        <v>7280</v>
      </c>
      <c r="Z3768" s="77"/>
      <c r="AA3768" s="77" t="s">
        <v>9947</v>
      </c>
      <c r="AB3768" s="77" t="s">
        <v>10142</v>
      </c>
      <c r="AC3768" s="82" t="s">
        <v>10144</v>
      </c>
      <c r="AD3768" s="77" t="s">
        <v>10184</v>
      </c>
      <c r="AE3768" s="80" t="str">
        <f>HYPERLINK("https://twitter.com/clarice_1122/status/1696177393990283640")</f>
        <v>https://twitter.com/clarice_1122/status/1696177393990283640</v>
      </c>
      <c r="AF3768" s="79">
        <v>45166.629374999997</v>
      </c>
      <c r="AG3768" s="85">
        <v>45166</v>
      </c>
      <c r="AH3768" s="82" t="s">
        <v>13753</v>
      </c>
      <c r="AI3768" s="77" t="b">
        <v>0</v>
      </c>
      <c r="AJ3768" s="77"/>
      <c r="AK3768" s="77"/>
      <c r="AL3768" s="77"/>
      <c r="AM3768" s="77"/>
      <c r="AN3768" s="77"/>
      <c r="AO3768" s="77"/>
      <c r="AP3768" s="77"/>
      <c r="AQ3768" s="77" t="s">
        <v>16590</v>
      </c>
      <c r="AR3768" s="77">
        <v>27886</v>
      </c>
      <c r="AS3768" s="77"/>
      <c r="AT3768" s="77"/>
      <c r="AU3768" s="77"/>
      <c r="AV3768" s="80" t="str">
        <f>HYPERLINK("https://pbs.twimg.com/ext_tw_video_thumb/1696176773484929024/pu/img/9Aytl39WS1iIJzdu.jpg")</f>
        <v>https://pbs.twimg.com/ext_tw_video_thumb/1696176773484929024/pu/img/9Aytl39WS1iIJzdu.jpg</v>
      </c>
      <c r="AW3768" s="82" t="s">
        <v>20534</v>
      </c>
      <c r="AX3768" s="82" t="s">
        <v>20534</v>
      </c>
      <c r="AY3768" s="77"/>
      <c r="AZ3768" s="82" t="s">
        <v>20971</v>
      </c>
      <c r="BA3768" s="82" t="s">
        <v>20971</v>
      </c>
      <c r="BB3768" s="82" t="s">
        <v>20971</v>
      </c>
      <c r="BC3768" s="82" t="s">
        <v>20534</v>
      </c>
      <c r="BD3768" s="82" t="s">
        <v>21696</v>
      </c>
      <c r="BE3768" s="77"/>
      <c r="BF3768" s="77"/>
      <c r="BG3768" s="77"/>
      <c r="BH3768" s="77"/>
      <c r="BI3768" s="77"/>
    </row>
    <row r="3769" spans="1:61" x14ac:dyDescent="0.25">
      <c r="A3769" s="62" t="s">
        <v>1136</v>
      </c>
      <c r="B3769" s="62" t="s">
        <v>1136</v>
      </c>
      <c r="C3769" s="63"/>
      <c r="D3769" s="64"/>
      <c r="E3769" s="65"/>
      <c r="F3769" s="66"/>
      <c r="G3769" s="63"/>
      <c r="H3769" s="67"/>
      <c r="I3769" s="68"/>
      <c r="J3769" s="68"/>
      <c r="K3769" s="32"/>
      <c r="L3769" s="75">
        <v>3769</v>
      </c>
      <c r="M3769" s="75"/>
      <c r="N3769" s="70"/>
      <c r="O3769" s="77" t="s">
        <v>179</v>
      </c>
      <c r="P3769" s="79">
        <v>45012.130162037036</v>
      </c>
      <c r="Q3769" s="77" t="s">
        <v>4975</v>
      </c>
      <c r="R3769" s="77">
        <v>0</v>
      </c>
      <c r="S3769" s="77">
        <v>0</v>
      </c>
      <c r="T3769" s="77">
        <v>0</v>
      </c>
      <c r="U3769" s="77">
        <v>0</v>
      </c>
      <c r="V3769" s="77">
        <v>10</v>
      </c>
      <c r="W3769" s="82" t="s">
        <v>6999</v>
      </c>
      <c r="X3769" s="80" t="str">
        <f>HYPERLINK("https://go.hotmart.com/G81193033V")</f>
        <v>https://go.hotmart.com/G81193033V</v>
      </c>
      <c r="Y3769" s="77" t="s">
        <v>7251</v>
      </c>
      <c r="Z3769" s="77"/>
      <c r="AA3769" s="77"/>
      <c r="AB3769" s="77"/>
      <c r="AC3769" s="82" t="s">
        <v>10145</v>
      </c>
      <c r="AD3769" s="77" t="s">
        <v>10184</v>
      </c>
      <c r="AE3769" s="80" t="str">
        <f>HYPERLINK("https://twitter.com/clicksh11623271/status/1640188754278187008")</f>
        <v>https://twitter.com/clicksh11623271/status/1640188754278187008</v>
      </c>
      <c r="AF3769" s="79">
        <v>45012.130162037036</v>
      </c>
      <c r="AG3769" s="85">
        <v>45012</v>
      </c>
      <c r="AH3769" s="82" t="s">
        <v>13754</v>
      </c>
      <c r="AI3769" s="77" t="b">
        <v>0</v>
      </c>
      <c r="AJ3769" s="77"/>
      <c r="AK3769" s="77"/>
      <c r="AL3769" s="77"/>
      <c r="AM3769" s="77"/>
      <c r="AN3769" s="77"/>
      <c r="AO3769" s="77"/>
      <c r="AP3769" s="77"/>
      <c r="AQ3769" s="77"/>
      <c r="AR3769" s="77"/>
      <c r="AS3769" s="77"/>
      <c r="AT3769" s="77"/>
      <c r="AU3769" s="77"/>
      <c r="AV3769" s="80" t="str">
        <f>HYPERLINK("https://pbs.twimg.com/profile_images/1639234430085525505/wxCAIfhP_normal.jpg")</f>
        <v>https://pbs.twimg.com/profile_images/1639234430085525505/wxCAIfhP_normal.jpg</v>
      </c>
      <c r="AW3769" s="82" t="s">
        <v>20535</v>
      </c>
      <c r="AX3769" s="82" t="s">
        <v>20535</v>
      </c>
      <c r="AY3769" s="77"/>
      <c r="AZ3769" s="82" t="s">
        <v>20971</v>
      </c>
      <c r="BA3769" s="82" t="s">
        <v>20971</v>
      </c>
      <c r="BB3769" s="82" t="s">
        <v>20971</v>
      </c>
      <c r="BC3769" s="82" t="s">
        <v>20535</v>
      </c>
      <c r="BD3769" s="82" t="s">
        <v>21697</v>
      </c>
      <c r="BE3769" s="77"/>
      <c r="BF3769" s="77"/>
      <c r="BG3769" s="77"/>
      <c r="BH3769" s="77"/>
      <c r="BI3769" s="77"/>
    </row>
    <row r="3770" spans="1:61" x14ac:dyDescent="0.25">
      <c r="A3770" s="62" t="s">
        <v>1137</v>
      </c>
      <c r="B3770" s="62" t="s">
        <v>1137</v>
      </c>
      <c r="C3770" s="63"/>
      <c r="D3770" s="64"/>
      <c r="E3770" s="65"/>
      <c r="F3770" s="66"/>
      <c r="G3770" s="63"/>
      <c r="H3770" s="67"/>
      <c r="I3770" s="68"/>
      <c r="J3770" s="68"/>
      <c r="K3770" s="32"/>
      <c r="L3770" s="75">
        <v>3770</v>
      </c>
      <c r="M3770" s="75"/>
      <c r="N3770" s="70"/>
      <c r="O3770" s="77" t="s">
        <v>179</v>
      </c>
      <c r="P3770" s="79">
        <v>45017.135081018518</v>
      </c>
      <c r="Q3770" s="77" t="s">
        <v>4976</v>
      </c>
      <c r="R3770" s="77">
        <v>0</v>
      </c>
      <c r="S3770" s="77">
        <v>0</v>
      </c>
      <c r="T3770" s="77">
        <v>0</v>
      </c>
      <c r="U3770" s="77">
        <v>0</v>
      </c>
      <c r="V3770" s="77">
        <v>68</v>
      </c>
      <c r="W3770" s="82" t="s">
        <v>7000</v>
      </c>
      <c r="X3770" s="77"/>
      <c r="Y3770" s="77"/>
      <c r="Z3770" s="77"/>
      <c r="AA3770" s="77"/>
      <c r="AB3770" s="77"/>
      <c r="AC3770" s="82" t="s">
        <v>10144</v>
      </c>
      <c r="AD3770" s="77" t="s">
        <v>10184</v>
      </c>
      <c r="AE3770" s="80" t="str">
        <f>HYPERLINK("https://twitter.com/renan_11fla/status/1642002475514224641")</f>
        <v>https://twitter.com/renan_11fla/status/1642002475514224641</v>
      </c>
      <c r="AF3770" s="79">
        <v>45017.135081018518</v>
      </c>
      <c r="AG3770" s="85">
        <v>45017</v>
      </c>
      <c r="AH3770" s="82" t="s">
        <v>13755</v>
      </c>
      <c r="AI3770" s="77"/>
      <c r="AJ3770" s="77"/>
      <c r="AK3770" s="77"/>
      <c r="AL3770" s="77"/>
      <c r="AM3770" s="77"/>
      <c r="AN3770" s="77"/>
      <c r="AO3770" s="77"/>
      <c r="AP3770" s="77"/>
      <c r="AQ3770" s="77"/>
      <c r="AR3770" s="77"/>
      <c r="AS3770" s="77"/>
      <c r="AT3770" s="77"/>
      <c r="AU3770" s="77"/>
      <c r="AV3770" s="80" t="str">
        <f>HYPERLINK("https://pbs.twimg.com/profile_images/1636232805179969542/Knko7x5a_normal.jpg")</f>
        <v>https://pbs.twimg.com/profile_images/1636232805179969542/Knko7x5a_normal.jpg</v>
      </c>
      <c r="AW3770" s="82" t="s">
        <v>20536</v>
      </c>
      <c r="AX3770" s="82" t="s">
        <v>20536</v>
      </c>
      <c r="AY3770" s="77"/>
      <c r="AZ3770" s="82" t="s">
        <v>20971</v>
      </c>
      <c r="BA3770" s="82" t="s">
        <v>20971</v>
      </c>
      <c r="BB3770" s="82" t="s">
        <v>20971</v>
      </c>
      <c r="BC3770" s="82" t="s">
        <v>20536</v>
      </c>
      <c r="BD3770" s="77">
        <v>2732649765</v>
      </c>
      <c r="BE3770" s="77"/>
      <c r="BF3770" s="77"/>
      <c r="BG3770" s="77"/>
      <c r="BH3770" s="77"/>
      <c r="BI3770" s="77"/>
    </row>
    <row r="3771" spans="1:61" x14ac:dyDescent="0.25">
      <c r="A3771" s="62" t="s">
        <v>1138</v>
      </c>
      <c r="B3771" s="62" t="s">
        <v>1241</v>
      </c>
      <c r="C3771" s="63"/>
      <c r="D3771" s="64"/>
      <c r="E3771" s="65"/>
      <c r="F3771" s="66"/>
      <c r="G3771" s="63"/>
      <c r="H3771" s="67"/>
      <c r="I3771" s="68"/>
      <c r="J3771" s="68"/>
      <c r="K3771" s="32"/>
      <c r="L3771" s="75">
        <v>3771</v>
      </c>
      <c r="M3771" s="75"/>
      <c r="N3771" s="70"/>
      <c r="O3771" s="77" t="s">
        <v>1285</v>
      </c>
      <c r="P3771" s="79">
        <v>44958.041921296295</v>
      </c>
      <c r="Q3771" s="77" t="s">
        <v>4977</v>
      </c>
      <c r="R3771" s="77">
        <v>0</v>
      </c>
      <c r="S3771" s="77">
        <v>0</v>
      </c>
      <c r="T3771" s="77">
        <v>0</v>
      </c>
      <c r="U3771" s="77">
        <v>0</v>
      </c>
      <c r="V3771" s="77">
        <v>97</v>
      </c>
      <c r="W3771" s="82" t="s">
        <v>7001</v>
      </c>
      <c r="X3771" s="80" t="str">
        <f>HYPERLINK("https://youtu.be/tJ-FDjqgZqs")</f>
        <v>https://youtu.be/tJ-FDjqgZqs</v>
      </c>
      <c r="Y3771" s="77" t="s">
        <v>7248</v>
      </c>
      <c r="Z3771" s="77" t="s">
        <v>1241</v>
      </c>
      <c r="AA3771" s="77" t="s">
        <v>9948</v>
      </c>
      <c r="AB3771" s="77" t="s">
        <v>10130</v>
      </c>
      <c r="AC3771" s="82" t="s">
        <v>10146</v>
      </c>
      <c r="AD3771" s="77" t="s">
        <v>10184</v>
      </c>
      <c r="AE3771" s="80" t="str">
        <f>HYPERLINK("https://twitter.com/saul_invest/status/1620587829020733441")</f>
        <v>https://twitter.com/saul_invest/status/1620587829020733441</v>
      </c>
      <c r="AF3771" s="79">
        <v>44958.041921296295</v>
      </c>
      <c r="AG3771" s="85">
        <v>44958</v>
      </c>
      <c r="AH3771" s="82" t="s">
        <v>13756</v>
      </c>
      <c r="AI3771" s="77" t="b">
        <v>0</v>
      </c>
      <c r="AJ3771" s="77"/>
      <c r="AK3771" s="77"/>
      <c r="AL3771" s="77"/>
      <c r="AM3771" s="77"/>
      <c r="AN3771" s="77"/>
      <c r="AO3771" s="77"/>
      <c r="AP3771" s="77"/>
      <c r="AQ3771" s="77" t="s">
        <v>16591</v>
      </c>
      <c r="AR3771" s="77"/>
      <c r="AS3771" s="77"/>
      <c r="AT3771" s="77"/>
      <c r="AU3771" s="77"/>
      <c r="AV3771" s="80" t="str">
        <f>HYPERLINK("https://pbs.twimg.com/media/Fn17-wpWQAMiMxK.jpg")</f>
        <v>https://pbs.twimg.com/media/Fn17-wpWQAMiMxK.jpg</v>
      </c>
      <c r="AW3771" s="82" t="s">
        <v>20537</v>
      </c>
      <c r="AX3771" s="82" t="s">
        <v>20537</v>
      </c>
      <c r="AY3771" s="77"/>
      <c r="AZ3771" s="82" t="s">
        <v>20971</v>
      </c>
      <c r="BA3771" s="82" t="s">
        <v>20971</v>
      </c>
      <c r="BB3771" s="82" t="s">
        <v>20971</v>
      </c>
      <c r="BC3771" s="82" t="s">
        <v>20537</v>
      </c>
      <c r="BD3771" s="82" t="s">
        <v>21698</v>
      </c>
      <c r="BE3771" s="77"/>
      <c r="BF3771" s="77"/>
      <c r="BG3771" s="77"/>
      <c r="BH3771" s="77"/>
      <c r="BI3771" s="77"/>
    </row>
    <row r="3772" spans="1:61" x14ac:dyDescent="0.25">
      <c r="A3772" s="62" t="s">
        <v>1138</v>
      </c>
      <c r="B3772" s="62" t="s">
        <v>1138</v>
      </c>
      <c r="C3772" s="63"/>
      <c r="D3772" s="64"/>
      <c r="E3772" s="65"/>
      <c r="F3772" s="66"/>
      <c r="G3772" s="63"/>
      <c r="H3772" s="67"/>
      <c r="I3772" s="68"/>
      <c r="J3772" s="68"/>
      <c r="K3772" s="32"/>
      <c r="L3772" s="75">
        <v>3772</v>
      </c>
      <c r="M3772" s="75"/>
      <c r="N3772" s="70"/>
      <c r="O3772" s="77" t="s">
        <v>179</v>
      </c>
      <c r="P3772" s="79">
        <v>44971.907430555555</v>
      </c>
      <c r="Q3772" s="77" t="s">
        <v>4978</v>
      </c>
      <c r="R3772" s="77">
        <v>0</v>
      </c>
      <c r="S3772" s="77">
        <v>0</v>
      </c>
      <c r="T3772" s="77">
        <v>0</v>
      </c>
      <c r="U3772" s="77">
        <v>0</v>
      </c>
      <c r="V3772" s="77">
        <v>425</v>
      </c>
      <c r="W3772" s="82" t="s">
        <v>7002</v>
      </c>
      <c r="X3772" s="80" t="str">
        <f>HYPERLINK("https://youtu.be/_JKRBJGOQrM")</f>
        <v>https://youtu.be/_JKRBJGOQrM</v>
      </c>
      <c r="Y3772" s="77" t="s">
        <v>7248</v>
      </c>
      <c r="Z3772" s="77"/>
      <c r="AA3772" s="77"/>
      <c r="AB3772" s="77"/>
      <c r="AC3772" s="82" t="s">
        <v>10146</v>
      </c>
      <c r="AD3772" s="77" t="s">
        <v>10184</v>
      </c>
      <c r="AE3772" s="80" t="str">
        <f>HYPERLINK("https://twitter.com/saul_invest/status/1625612521494159387")</f>
        <v>https://twitter.com/saul_invest/status/1625612521494159387</v>
      </c>
      <c r="AF3772" s="79">
        <v>44971.907430555555</v>
      </c>
      <c r="AG3772" s="85">
        <v>44971</v>
      </c>
      <c r="AH3772" s="82" t="s">
        <v>13757</v>
      </c>
      <c r="AI3772" s="77" t="b">
        <v>0</v>
      </c>
      <c r="AJ3772" s="77"/>
      <c r="AK3772" s="77"/>
      <c r="AL3772" s="77"/>
      <c r="AM3772" s="77"/>
      <c r="AN3772" s="77"/>
      <c r="AO3772" s="77"/>
      <c r="AP3772" s="77"/>
      <c r="AQ3772" s="77"/>
      <c r="AR3772" s="77"/>
      <c r="AS3772" s="77"/>
      <c r="AT3772" s="77"/>
      <c r="AU3772" s="77"/>
      <c r="AV3772" s="80" t="str">
        <f>HYPERLINK("https://pbs.twimg.com/profile_images/1520008153932476416/Eyi91wgh_normal.jpg")</f>
        <v>https://pbs.twimg.com/profile_images/1520008153932476416/Eyi91wgh_normal.jpg</v>
      </c>
      <c r="AW3772" s="82" t="s">
        <v>20538</v>
      </c>
      <c r="AX3772" s="82" t="s">
        <v>20538</v>
      </c>
      <c r="AY3772" s="77"/>
      <c r="AZ3772" s="82" t="s">
        <v>20971</v>
      </c>
      <c r="BA3772" s="82" t="s">
        <v>20971</v>
      </c>
      <c r="BB3772" s="82" t="s">
        <v>20971</v>
      </c>
      <c r="BC3772" s="82" t="s">
        <v>20538</v>
      </c>
      <c r="BD3772" s="82" t="s">
        <v>21698</v>
      </c>
      <c r="BE3772" s="77"/>
      <c r="BF3772" s="77"/>
      <c r="BG3772" s="77"/>
      <c r="BH3772" s="77"/>
      <c r="BI3772" s="77"/>
    </row>
    <row r="3773" spans="1:61" x14ac:dyDescent="0.25">
      <c r="A3773" s="62" t="s">
        <v>1139</v>
      </c>
      <c r="B3773" s="62" t="s">
        <v>1139</v>
      </c>
      <c r="C3773" s="63"/>
      <c r="D3773" s="64"/>
      <c r="E3773" s="65"/>
      <c r="F3773" s="66"/>
      <c r="G3773" s="63"/>
      <c r="H3773" s="67"/>
      <c r="I3773" s="68"/>
      <c r="J3773" s="68"/>
      <c r="K3773" s="32"/>
      <c r="L3773" s="75">
        <v>3773</v>
      </c>
      <c r="M3773" s="75"/>
      <c r="N3773" s="70"/>
      <c r="O3773" s="77" t="s">
        <v>179</v>
      </c>
      <c r="P3773" s="79">
        <v>45146.7108912037</v>
      </c>
      <c r="Q3773" s="77" t="s">
        <v>4979</v>
      </c>
      <c r="R3773" s="77">
        <v>0</v>
      </c>
      <c r="S3773" s="77">
        <v>1</v>
      </c>
      <c r="T3773" s="77">
        <v>0</v>
      </c>
      <c r="U3773" s="77">
        <v>0</v>
      </c>
      <c r="V3773" s="77">
        <v>34</v>
      </c>
      <c r="W3773" s="82" t="s">
        <v>7003</v>
      </c>
      <c r="X3773" s="80" t="str">
        <f>HYPERLINK("http://pay.kiwify.com.br/Euf2xKq")</f>
        <v>http://pay.kiwify.com.br/Euf2xKq</v>
      </c>
      <c r="Y3773" s="77" t="s">
        <v>7252</v>
      </c>
      <c r="Z3773" s="77"/>
      <c r="AA3773" s="77"/>
      <c r="AB3773" s="77"/>
      <c r="AC3773" s="82" t="s">
        <v>10144</v>
      </c>
      <c r="AD3773" s="77" t="s">
        <v>10184</v>
      </c>
      <c r="AE3773" s="80" t="str">
        <f>HYPERLINK("https://twitter.com/plrs_sora/status/1688959174841970703")</f>
        <v>https://twitter.com/plrs_sora/status/1688959174841970703</v>
      </c>
      <c r="AF3773" s="79">
        <v>45146.7108912037</v>
      </c>
      <c r="AG3773" s="85">
        <v>45146</v>
      </c>
      <c r="AH3773" s="82" t="s">
        <v>13758</v>
      </c>
      <c r="AI3773" s="77" t="b">
        <v>0</v>
      </c>
      <c r="AJ3773" s="77"/>
      <c r="AK3773" s="77"/>
      <c r="AL3773" s="77"/>
      <c r="AM3773" s="77"/>
      <c r="AN3773" s="77"/>
      <c r="AO3773" s="77"/>
      <c r="AP3773" s="77"/>
      <c r="AQ3773" s="77"/>
      <c r="AR3773" s="77"/>
      <c r="AS3773" s="77"/>
      <c r="AT3773" s="77"/>
      <c r="AU3773" s="77"/>
      <c r="AV3773" s="80" t="str">
        <f>HYPERLINK("https://pbs.twimg.com/profile_images/1687462101218979840/Z8DI2awI_normal.jpg")</f>
        <v>https://pbs.twimg.com/profile_images/1687462101218979840/Z8DI2awI_normal.jpg</v>
      </c>
      <c r="AW3773" s="82" t="s">
        <v>20539</v>
      </c>
      <c r="AX3773" s="82" t="s">
        <v>20539</v>
      </c>
      <c r="AY3773" s="77"/>
      <c r="AZ3773" s="82" t="s">
        <v>20971</v>
      </c>
      <c r="BA3773" s="82" t="s">
        <v>20971</v>
      </c>
      <c r="BB3773" s="82" t="s">
        <v>20971</v>
      </c>
      <c r="BC3773" s="82" t="s">
        <v>20539</v>
      </c>
      <c r="BD3773" s="82" t="s">
        <v>21699</v>
      </c>
      <c r="BE3773" s="77"/>
      <c r="BF3773" s="77"/>
      <c r="BG3773" s="77"/>
      <c r="BH3773" s="77"/>
      <c r="BI3773" s="77"/>
    </row>
    <row r="3774" spans="1:61" x14ac:dyDescent="0.25">
      <c r="A3774" s="62" t="s">
        <v>1139</v>
      </c>
      <c r="B3774" s="62" t="s">
        <v>1139</v>
      </c>
      <c r="C3774" s="63"/>
      <c r="D3774" s="64"/>
      <c r="E3774" s="65"/>
      <c r="F3774" s="66"/>
      <c r="G3774" s="63"/>
      <c r="H3774" s="67"/>
      <c r="I3774" s="68"/>
      <c r="J3774" s="68"/>
      <c r="K3774" s="32"/>
      <c r="L3774" s="75">
        <v>3774</v>
      </c>
      <c r="M3774" s="75"/>
      <c r="N3774" s="70"/>
      <c r="O3774" s="77" t="s">
        <v>179</v>
      </c>
      <c r="P3774" s="79">
        <v>45143.689247685186</v>
      </c>
      <c r="Q3774" s="77" t="s">
        <v>4980</v>
      </c>
      <c r="R3774" s="77">
        <v>0</v>
      </c>
      <c r="S3774" s="77">
        <v>1</v>
      </c>
      <c r="T3774" s="77">
        <v>0</v>
      </c>
      <c r="U3774" s="77">
        <v>0</v>
      </c>
      <c r="V3774" s="77">
        <v>44</v>
      </c>
      <c r="W3774" s="82" t="s">
        <v>7003</v>
      </c>
      <c r="X3774" s="80" t="str">
        <f>HYPERLINK("https://pay.kiwify.com.br/Euf2xKq")</f>
        <v>https://pay.kiwify.com.br/Euf2xKq</v>
      </c>
      <c r="Y3774" s="77" t="s">
        <v>7252</v>
      </c>
      <c r="Z3774" s="77"/>
      <c r="AA3774" s="77" t="s">
        <v>9949</v>
      </c>
      <c r="AB3774" s="77" t="s">
        <v>10130</v>
      </c>
      <c r="AC3774" s="82" t="s">
        <v>10146</v>
      </c>
      <c r="AD3774" s="77" t="s">
        <v>10184</v>
      </c>
      <c r="AE3774" s="80" t="str">
        <f>HYPERLINK("https://twitter.com/plrs_sora/status/1687864169113268224")</f>
        <v>https://twitter.com/plrs_sora/status/1687864169113268224</v>
      </c>
      <c r="AF3774" s="79">
        <v>45143.689247685186</v>
      </c>
      <c r="AG3774" s="85">
        <v>45143</v>
      </c>
      <c r="AH3774" s="82" t="s">
        <v>13759</v>
      </c>
      <c r="AI3774" s="77" t="b">
        <v>0</v>
      </c>
      <c r="AJ3774" s="77"/>
      <c r="AK3774" s="77"/>
      <c r="AL3774" s="77"/>
      <c r="AM3774" s="77"/>
      <c r="AN3774" s="77"/>
      <c r="AO3774" s="77"/>
      <c r="AP3774" s="77"/>
      <c r="AQ3774" s="77" t="s">
        <v>16592</v>
      </c>
      <c r="AR3774" s="77"/>
      <c r="AS3774" s="77"/>
      <c r="AT3774" s="77"/>
      <c r="AU3774" s="77"/>
      <c r="AV3774" s="80" t="str">
        <f>HYPERLINK("https://pbs.twimg.com/media/F2x_es5W0AAnPa3.jpg")</f>
        <v>https://pbs.twimg.com/media/F2x_es5W0AAnPa3.jpg</v>
      </c>
      <c r="AW3774" s="82" t="s">
        <v>20540</v>
      </c>
      <c r="AX3774" s="82" t="s">
        <v>20540</v>
      </c>
      <c r="AY3774" s="77"/>
      <c r="AZ3774" s="82" t="s">
        <v>20971</v>
      </c>
      <c r="BA3774" s="82" t="s">
        <v>20971</v>
      </c>
      <c r="BB3774" s="82" t="s">
        <v>20971</v>
      </c>
      <c r="BC3774" s="82" t="s">
        <v>20540</v>
      </c>
      <c r="BD3774" s="82" t="s">
        <v>21699</v>
      </c>
      <c r="BE3774" s="77"/>
      <c r="BF3774" s="77"/>
      <c r="BG3774" s="77"/>
      <c r="BH3774" s="77"/>
      <c r="BI3774" s="77"/>
    </row>
    <row r="3775" spans="1:61" x14ac:dyDescent="0.25">
      <c r="A3775" s="62" t="s">
        <v>1140</v>
      </c>
      <c r="B3775" s="62" t="s">
        <v>1140</v>
      </c>
      <c r="C3775" s="63"/>
      <c r="D3775" s="64"/>
      <c r="E3775" s="65"/>
      <c r="F3775" s="66"/>
      <c r="G3775" s="63"/>
      <c r="H3775" s="67"/>
      <c r="I3775" s="68"/>
      <c r="J3775" s="68"/>
      <c r="K3775" s="32"/>
      <c r="L3775" s="75">
        <v>3775</v>
      </c>
      <c r="M3775" s="75"/>
      <c r="N3775" s="70"/>
      <c r="O3775" s="77" t="s">
        <v>179</v>
      </c>
      <c r="P3775" s="79">
        <v>45000.133576388886</v>
      </c>
      <c r="Q3775" s="77" t="s">
        <v>4981</v>
      </c>
      <c r="R3775" s="77">
        <v>0</v>
      </c>
      <c r="S3775" s="77">
        <v>0</v>
      </c>
      <c r="T3775" s="77">
        <v>1</v>
      </c>
      <c r="U3775" s="77">
        <v>0</v>
      </c>
      <c r="V3775" s="77">
        <v>25</v>
      </c>
      <c r="W3775" s="77"/>
      <c r="X3775" s="80" t="str">
        <f>HYPERLINK("https://sun.eduzz.com/1749133")</f>
        <v>https://sun.eduzz.com/1749133</v>
      </c>
      <c r="Y3775" s="77" t="s">
        <v>7245</v>
      </c>
      <c r="Z3775" s="77"/>
      <c r="AA3775" s="77" t="s">
        <v>9950</v>
      </c>
      <c r="AB3775" s="77" t="s">
        <v>10130</v>
      </c>
      <c r="AC3775" s="82" t="s">
        <v>10145</v>
      </c>
      <c r="AD3775" s="77" t="s">
        <v>10184</v>
      </c>
      <c r="AE3775" s="80" t="str">
        <f>HYPERLINK("https://twitter.com/carolin86516164/status/1635841337319727107")</f>
        <v>https://twitter.com/carolin86516164/status/1635841337319727107</v>
      </c>
      <c r="AF3775" s="79">
        <v>45000.133576388886</v>
      </c>
      <c r="AG3775" s="85">
        <v>45000</v>
      </c>
      <c r="AH3775" s="82" t="s">
        <v>13760</v>
      </c>
      <c r="AI3775" s="77" t="b">
        <v>0</v>
      </c>
      <c r="AJ3775" s="77"/>
      <c r="AK3775" s="77"/>
      <c r="AL3775" s="77"/>
      <c r="AM3775" s="77"/>
      <c r="AN3775" s="77"/>
      <c r="AO3775" s="77"/>
      <c r="AP3775" s="77"/>
      <c r="AQ3775" s="77" t="s">
        <v>16593</v>
      </c>
      <c r="AR3775" s="77"/>
      <c r="AS3775" s="77"/>
      <c r="AT3775" s="77"/>
      <c r="AU3775" s="77"/>
      <c r="AV3775" s="80" t="str">
        <f>HYPERLINK("https://pbs.twimg.com/media/FrOtBnxX0AIz0cZ.jpg")</f>
        <v>https://pbs.twimg.com/media/FrOtBnxX0AIz0cZ.jpg</v>
      </c>
      <c r="AW3775" s="82" t="s">
        <v>20541</v>
      </c>
      <c r="AX3775" s="82" t="s">
        <v>20541</v>
      </c>
      <c r="AY3775" s="77"/>
      <c r="AZ3775" s="82" t="s">
        <v>20971</v>
      </c>
      <c r="BA3775" s="82" t="s">
        <v>20971</v>
      </c>
      <c r="BB3775" s="82" t="s">
        <v>20971</v>
      </c>
      <c r="BC3775" s="82" t="s">
        <v>20541</v>
      </c>
      <c r="BD3775" s="82" t="s">
        <v>21700</v>
      </c>
      <c r="BE3775" s="77"/>
      <c r="BF3775" s="77"/>
      <c r="BG3775" s="77"/>
      <c r="BH3775" s="77"/>
      <c r="BI3775" s="77"/>
    </row>
    <row r="3776" spans="1:61" x14ac:dyDescent="0.25">
      <c r="A3776" s="62" t="s">
        <v>1141</v>
      </c>
      <c r="B3776" s="62" t="s">
        <v>1141</v>
      </c>
      <c r="C3776" s="63"/>
      <c r="D3776" s="64"/>
      <c r="E3776" s="65"/>
      <c r="F3776" s="66"/>
      <c r="G3776" s="63"/>
      <c r="H3776" s="67"/>
      <c r="I3776" s="68"/>
      <c r="J3776" s="68"/>
      <c r="K3776" s="32"/>
      <c r="L3776" s="75">
        <v>3776</v>
      </c>
      <c r="M3776" s="75"/>
      <c r="N3776" s="70"/>
      <c r="O3776" s="77" t="s">
        <v>179</v>
      </c>
      <c r="P3776" s="79">
        <v>44993.526655092595</v>
      </c>
      <c r="Q3776" s="77" t="s">
        <v>4982</v>
      </c>
      <c r="R3776" s="77">
        <v>0</v>
      </c>
      <c r="S3776" s="77">
        <v>0</v>
      </c>
      <c r="T3776" s="77">
        <v>0</v>
      </c>
      <c r="U3776" s="77">
        <v>0</v>
      </c>
      <c r="V3776" s="77">
        <v>77</v>
      </c>
      <c r="W3776" s="82" t="s">
        <v>7004</v>
      </c>
      <c r="X3776" s="77"/>
      <c r="Y3776" s="77"/>
      <c r="Z3776" s="77"/>
      <c r="AA3776" s="77" t="s">
        <v>9951</v>
      </c>
      <c r="AB3776" s="77" t="s">
        <v>10130</v>
      </c>
      <c r="AC3776" s="82" t="s">
        <v>10144</v>
      </c>
      <c r="AD3776" s="77" t="s">
        <v>10184</v>
      </c>
      <c r="AE3776" s="80" t="str">
        <f>HYPERLINK("https://twitter.com/tijiomo/status/1633447065920389121")</f>
        <v>https://twitter.com/tijiomo/status/1633447065920389121</v>
      </c>
      <c r="AF3776" s="79">
        <v>44993.526655092595</v>
      </c>
      <c r="AG3776" s="85">
        <v>44993</v>
      </c>
      <c r="AH3776" s="82" t="s">
        <v>13761</v>
      </c>
      <c r="AI3776" s="77" t="b">
        <v>0</v>
      </c>
      <c r="AJ3776" s="77"/>
      <c r="AK3776" s="77"/>
      <c r="AL3776" s="77"/>
      <c r="AM3776" s="77"/>
      <c r="AN3776" s="77"/>
      <c r="AO3776" s="77"/>
      <c r="AP3776" s="77"/>
      <c r="AQ3776" s="77" t="s">
        <v>16594</v>
      </c>
      <c r="AR3776" s="77"/>
      <c r="AS3776" s="77"/>
      <c r="AT3776" s="77"/>
      <c r="AU3776" s="77"/>
      <c r="AV3776" s="80" t="str">
        <f>HYPERLINK("https://pbs.twimg.com/media/FqsrcxjWcAAyiSY.jpg")</f>
        <v>https://pbs.twimg.com/media/FqsrcxjWcAAyiSY.jpg</v>
      </c>
      <c r="AW3776" s="82" t="s">
        <v>20542</v>
      </c>
      <c r="AX3776" s="82" t="s">
        <v>20542</v>
      </c>
      <c r="AY3776" s="77"/>
      <c r="AZ3776" s="82" t="s">
        <v>20971</v>
      </c>
      <c r="BA3776" s="82" t="s">
        <v>20971</v>
      </c>
      <c r="BB3776" s="82" t="s">
        <v>20971</v>
      </c>
      <c r="BC3776" s="82" t="s">
        <v>20542</v>
      </c>
      <c r="BD3776" s="82" t="s">
        <v>21701</v>
      </c>
      <c r="BE3776" s="77"/>
      <c r="BF3776" s="77"/>
      <c r="BG3776" s="77"/>
      <c r="BH3776" s="77"/>
      <c r="BI3776" s="77"/>
    </row>
    <row r="3777" spans="1:61" x14ac:dyDescent="0.25">
      <c r="A3777" s="62" t="s">
        <v>1142</v>
      </c>
      <c r="B3777" s="62" t="s">
        <v>1142</v>
      </c>
      <c r="C3777" s="63"/>
      <c r="D3777" s="64"/>
      <c r="E3777" s="65"/>
      <c r="F3777" s="66"/>
      <c r="G3777" s="63"/>
      <c r="H3777" s="67"/>
      <c r="I3777" s="68"/>
      <c r="J3777" s="68"/>
      <c r="K3777" s="32"/>
      <c r="L3777" s="75">
        <v>3777</v>
      </c>
      <c r="M3777" s="75"/>
      <c r="N3777" s="70"/>
      <c r="O3777" s="77" t="s">
        <v>179</v>
      </c>
      <c r="P3777" s="79">
        <v>45098.938043981485</v>
      </c>
      <c r="Q3777" s="77" t="s">
        <v>4983</v>
      </c>
      <c r="R3777" s="77">
        <v>0</v>
      </c>
      <c r="S3777" s="77">
        <v>0</v>
      </c>
      <c r="T3777" s="77">
        <v>0</v>
      </c>
      <c r="U3777" s="77">
        <v>0</v>
      </c>
      <c r="V3777" s="77">
        <v>11</v>
      </c>
      <c r="W3777" s="82" t="s">
        <v>7005</v>
      </c>
      <c r="X3777" s="77"/>
      <c r="Y3777" s="77"/>
      <c r="Z3777" s="77"/>
      <c r="AA3777" s="77" t="s">
        <v>9952</v>
      </c>
      <c r="AB3777" s="77" t="s">
        <v>10130</v>
      </c>
      <c r="AC3777" s="82" t="s">
        <v>10145</v>
      </c>
      <c r="AD3777" s="77" t="s">
        <v>10184</v>
      </c>
      <c r="AE3777" s="80" t="str">
        <f>HYPERLINK("https://twitter.com/meguilhermem/status/1671646876267945984")</f>
        <v>https://twitter.com/meguilhermem/status/1671646876267945984</v>
      </c>
      <c r="AF3777" s="79">
        <v>45098.938043981485</v>
      </c>
      <c r="AG3777" s="85">
        <v>45098</v>
      </c>
      <c r="AH3777" s="82" t="s">
        <v>13762</v>
      </c>
      <c r="AI3777" s="77" t="b">
        <v>0</v>
      </c>
      <c r="AJ3777" s="77"/>
      <c r="AK3777" s="77"/>
      <c r="AL3777" s="77"/>
      <c r="AM3777" s="77"/>
      <c r="AN3777" s="77"/>
      <c r="AO3777" s="77"/>
      <c r="AP3777" s="77"/>
      <c r="AQ3777" s="77" t="s">
        <v>16595</v>
      </c>
      <c r="AR3777" s="77"/>
      <c r="AS3777" s="77"/>
      <c r="AT3777" s="77"/>
      <c r="AU3777" s="77"/>
      <c r="AV3777" s="80" t="str">
        <f>HYPERLINK("https://pbs.twimg.com/media/FzLh-KjXwAIEVCb.jpg")</f>
        <v>https://pbs.twimg.com/media/FzLh-KjXwAIEVCb.jpg</v>
      </c>
      <c r="AW3777" s="82" t="s">
        <v>20543</v>
      </c>
      <c r="AX3777" s="82" t="s">
        <v>20543</v>
      </c>
      <c r="AY3777" s="77"/>
      <c r="AZ3777" s="82" t="s">
        <v>20971</v>
      </c>
      <c r="BA3777" s="82" t="s">
        <v>20971</v>
      </c>
      <c r="BB3777" s="82" t="s">
        <v>20971</v>
      </c>
      <c r="BC3777" s="82" t="s">
        <v>20543</v>
      </c>
      <c r="BD3777" s="82" t="s">
        <v>21702</v>
      </c>
      <c r="BE3777" s="77"/>
      <c r="BF3777" s="77"/>
      <c r="BG3777" s="77"/>
      <c r="BH3777" s="77"/>
      <c r="BI3777" s="77"/>
    </row>
    <row r="3778" spans="1:61" x14ac:dyDescent="0.25">
      <c r="A3778" s="62" t="s">
        <v>1142</v>
      </c>
      <c r="B3778" s="62" t="s">
        <v>1142</v>
      </c>
      <c r="C3778" s="63"/>
      <c r="D3778" s="64"/>
      <c r="E3778" s="65"/>
      <c r="F3778" s="66"/>
      <c r="G3778" s="63"/>
      <c r="H3778" s="67"/>
      <c r="I3778" s="68"/>
      <c r="J3778" s="68"/>
      <c r="K3778" s="32"/>
      <c r="L3778" s="75">
        <v>3778</v>
      </c>
      <c r="M3778" s="75"/>
      <c r="N3778" s="70"/>
      <c r="O3778" s="77" t="s">
        <v>179</v>
      </c>
      <c r="P3778" s="79">
        <v>45097.642384259256</v>
      </c>
      <c r="Q3778" s="77" t="s">
        <v>4984</v>
      </c>
      <c r="R3778" s="77">
        <v>0</v>
      </c>
      <c r="S3778" s="77">
        <v>0</v>
      </c>
      <c r="T3778" s="77">
        <v>0</v>
      </c>
      <c r="U3778" s="77">
        <v>0</v>
      </c>
      <c r="V3778" s="77">
        <v>15</v>
      </c>
      <c r="W3778" s="82" t="s">
        <v>7006</v>
      </c>
      <c r="X3778" s="77"/>
      <c r="Y3778" s="77"/>
      <c r="Z3778" s="77"/>
      <c r="AA3778" s="77"/>
      <c r="AB3778" s="77"/>
      <c r="AC3778" s="82" t="s">
        <v>10145</v>
      </c>
      <c r="AD3778" s="77" t="s">
        <v>10184</v>
      </c>
      <c r="AE3778" s="80" t="str">
        <f>HYPERLINK("https://twitter.com/meguilhermem/status/1671177343128199169")</f>
        <v>https://twitter.com/meguilhermem/status/1671177343128199169</v>
      </c>
      <c r="AF3778" s="79">
        <v>45097.642384259256</v>
      </c>
      <c r="AG3778" s="85">
        <v>45097</v>
      </c>
      <c r="AH3778" s="82" t="s">
        <v>13763</v>
      </c>
      <c r="AI3778" s="77"/>
      <c r="AJ3778" s="77"/>
      <c r="AK3778" s="77"/>
      <c r="AL3778" s="77"/>
      <c r="AM3778" s="77"/>
      <c r="AN3778" s="77"/>
      <c r="AO3778" s="77"/>
      <c r="AP3778" s="77"/>
      <c r="AQ3778" s="77"/>
      <c r="AR3778" s="77"/>
      <c r="AS3778" s="77"/>
      <c r="AT3778" s="77"/>
      <c r="AU3778" s="77"/>
      <c r="AV3778" s="80" t="str">
        <f>HYPERLINK("https://pbs.twimg.com/profile_images/1673468753915289603/riDo021R_normal.jpg")</f>
        <v>https://pbs.twimg.com/profile_images/1673468753915289603/riDo021R_normal.jpg</v>
      </c>
      <c r="AW3778" s="82" t="s">
        <v>20544</v>
      </c>
      <c r="AX3778" s="82" t="s">
        <v>20544</v>
      </c>
      <c r="AY3778" s="77"/>
      <c r="AZ3778" s="82" t="s">
        <v>20971</v>
      </c>
      <c r="BA3778" s="82" t="s">
        <v>20971</v>
      </c>
      <c r="BB3778" s="82" t="s">
        <v>20971</v>
      </c>
      <c r="BC3778" s="82" t="s">
        <v>20544</v>
      </c>
      <c r="BD3778" s="82" t="s">
        <v>21702</v>
      </c>
      <c r="BE3778" s="77"/>
      <c r="BF3778" s="77"/>
      <c r="BG3778" s="77"/>
      <c r="BH3778" s="77"/>
      <c r="BI3778" s="77"/>
    </row>
    <row r="3779" spans="1:61" x14ac:dyDescent="0.25">
      <c r="A3779" s="62" t="s">
        <v>1143</v>
      </c>
      <c r="B3779" s="62" t="s">
        <v>1143</v>
      </c>
      <c r="C3779" s="63"/>
      <c r="D3779" s="64"/>
      <c r="E3779" s="65"/>
      <c r="F3779" s="66"/>
      <c r="G3779" s="63"/>
      <c r="H3779" s="67"/>
      <c r="I3779" s="68"/>
      <c r="J3779" s="68"/>
      <c r="K3779" s="32"/>
      <c r="L3779" s="75">
        <v>3779</v>
      </c>
      <c r="M3779" s="75"/>
      <c r="N3779" s="70"/>
      <c r="O3779" s="77" t="s">
        <v>179</v>
      </c>
      <c r="P3779" s="79">
        <v>44988.105196759258</v>
      </c>
      <c r="Q3779" s="77" t="s">
        <v>4985</v>
      </c>
      <c r="R3779" s="77">
        <v>0</v>
      </c>
      <c r="S3779" s="77">
        <v>0</v>
      </c>
      <c r="T3779" s="77">
        <v>0</v>
      </c>
      <c r="U3779" s="77">
        <v>0</v>
      </c>
      <c r="V3779" s="77">
        <v>86</v>
      </c>
      <c r="W3779" s="82" t="s">
        <v>7007</v>
      </c>
      <c r="X3779" s="80" t="str">
        <f>HYPERLINK("https://chat.whatsapp.com/GfuCP3jByxL8cvUFtVHXuY")</f>
        <v>https://chat.whatsapp.com/GfuCP3jByxL8cvUFtVHXuY</v>
      </c>
      <c r="Y3779" s="77" t="s">
        <v>7343</v>
      </c>
      <c r="Z3779" s="77"/>
      <c r="AA3779" s="77" t="s">
        <v>9953</v>
      </c>
      <c r="AB3779" s="77" t="s">
        <v>10132</v>
      </c>
      <c r="AC3779" s="82" t="s">
        <v>10146</v>
      </c>
      <c r="AD3779" s="77" t="s">
        <v>10184</v>
      </c>
      <c r="AE3779" s="80" t="str">
        <f>HYPERLINK("https://twitter.com/cryptobotsniper/status/1631482395219181575")</f>
        <v>https://twitter.com/cryptobotsniper/status/1631482395219181575</v>
      </c>
      <c r="AF3779" s="79">
        <v>44988.105196759258</v>
      </c>
      <c r="AG3779" s="85">
        <v>44988</v>
      </c>
      <c r="AH3779" s="82" t="s">
        <v>13764</v>
      </c>
      <c r="AI3779" s="77" t="b">
        <v>0</v>
      </c>
      <c r="AJ3779" s="77"/>
      <c r="AK3779" s="77"/>
      <c r="AL3779" s="77"/>
      <c r="AM3779" s="77"/>
      <c r="AN3779" s="77"/>
      <c r="AO3779" s="77"/>
      <c r="AP3779" s="77"/>
      <c r="AQ3779" s="77" t="s">
        <v>16596</v>
      </c>
      <c r="AR3779" s="77"/>
      <c r="AS3779" s="77"/>
      <c r="AT3779" s="77"/>
      <c r="AU3779" s="77"/>
      <c r="AV3779" s="80" t="str">
        <f>HYPERLINK("https://pbs.twimg.com/media/FqQwGTBWcAEzg4C.jpg")</f>
        <v>https://pbs.twimg.com/media/FqQwGTBWcAEzg4C.jpg</v>
      </c>
      <c r="AW3779" s="82" t="s">
        <v>20545</v>
      </c>
      <c r="AX3779" s="82" t="s">
        <v>20545</v>
      </c>
      <c r="AY3779" s="77"/>
      <c r="AZ3779" s="82" t="s">
        <v>20971</v>
      </c>
      <c r="BA3779" s="82" t="s">
        <v>20971</v>
      </c>
      <c r="BB3779" s="82" t="s">
        <v>20971</v>
      </c>
      <c r="BC3779" s="82" t="s">
        <v>20545</v>
      </c>
      <c r="BD3779" s="82" t="s">
        <v>21703</v>
      </c>
      <c r="BE3779" s="77"/>
      <c r="BF3779" s="77"/>
      <c r="BG3779" s="77"/>
      <c r="BH3779" s="77"/>
      <c r="BI3779" s="77"/>
    </row>
    <row r="3780" spans="1:61" x14ac:dyDescent="0.25">
      <c r="A3780" s="62" t="s">
        <v>1144</v>
      </c>
      <c r="B3780" s="62" t="s">
        <v>1144</v>
      </c>
      <c r="C3780" s="63"/>
      <c r="D3780" s="64"/>
      <c r="E3780" s="65"/>
      <c r="F3780" s="66"/>
      <c r="G3780" s="63"/>
      <c r="H3780" s="67"/>
      <c r="I3780" s="68"/>
      <c r="J3780" s="68"/>
      <c r="K3780" s="32"/>
      <c r="L3780" s="75">
        <v>3780</v>
      </c>
      <c r="M3780" s="75"/>
      <c r="N3780" s="70"/>
      <c r="O3780" s="77" t="s">
        <v>179</v>
      </c>
      <c r="P3780" s="79">
        <v>45042.55572916667</v>
      </c>
      <c r="Q3780" s="77" t="s">
        <v>4986</v>
      </c>
      <c r="R3780" s="77">
        <v>0</v>
      </c>
      <c r="S3780" s="77">
        <v>0</v>
      </c>
      <c r="T3780" s="77">
        <v>0</v>
      </c>
      <c r="U3780" s="77">
        <v>0</v>
      </c>
      <c r="V3780" s="77">
        <v>61</v>
      </c>
      <c r="W3780" s="82" t="s">
        <v>7008</v>
      </c>
      <c r="X3780" s="80" t="str">
        <f>HYPERLINK("http://www.instagram.com/apenasdanmendes")</f>
        <v>http://www.instagram.com/apenasdanmendes</v>
      </c>
      <c r="Y3780" s="77" t="s">
        <v>7250</v>
      </c>
      <c r="Z3780" s="77"/>
      <c r="AA3780" s="77" t="s">
        <v>9954</v>
      </c>
      <c r="AB3780" s="77" t="s">
        <v>10130</v>
      </c>
      <c r="AC3780" s="82" t="s">
        <v>10151</v>
      </c>
      <c r="AD3780" s="77" t="s">
        <v>10189</v>
      </c>
      <c r="AE3780" s="80" t="str">
        <f>HYPERLINK("https://twitter.com/apenasdanmendes/status/1651214606998618115")</f>
        <v>https://twitter.com/apenasdanmendes/status/1651214606998618115</v>
      </c>
      <c r="AF3780" s="79">
        <v>45042.55572916667</v>
      </c>
      <c r="AG3780" s="85">
        <v>45042</v>
      </c>
      <c r="AH3780" s="82" t="s">
        <v>13765</v>
      </c>
      <c r="AI3780" s="77" t="b">
        <v>0</v>
      </c>
      <c r="AJ3780" s="77"/>
      <c r="AK3780" s="77"/>
      <c r="AL3780" s="77"/>
      <c r="AM3780" s="77"/>
      <c r="AN3780" s="77"/>
      <c r="AO3780" s="77"/>
      <c r="AP3780" s="77"/>
      <c r="AQ3780" s="77" t="s">
        <v>16597</v>
      </c>
      <c r="AR3780" s="77"/>
      <c r="AS3780" s="77"/>
      <c r="AT3780" s="77"/>
      <c r="AU3780" s="77"/>
      <c r="AV3780" s="80" t="str">
        <f>HYPERLINK("https://pbs.twimg.com/media/FupK7zdWwAM9Tgy.jpg")</f>
        <v>https://pbs.twimg.com/media/FupK7zdWwAM9Tgy.jpg</v>
      </c>
      <c r="AW3780" s="82" t="s">
        <v>20546</v>
      </c>
      <c r="AX3780" s="82" t="s">
        <v>20546</v>
      </c>
      <c r="AY3780" s="77"/>
      <c r="AZ3780" s="82" t="s">
        <v>20971</v>
      </c>
      <c r="BA3780" s="82" t="s">
        <v>20971</v>
      </c>
      <c r="BB3780" s="82" t="s">
        <v>20971</v>
      </c>
      <c r="BC3780" s="82" t="s">
        <v>20546</v>
      </c>
      <c r="BD3780" s="77">
        <v>408509697</v>
      </c>
      <c r="BE3780" s="77"/>
      <c r="BF3780" s="77"/>
      <c r="BG3780" s="77"/>
      <c r="BH3780" s="77"/>
      <c r="BI3780" s="77"/>
    </row>
    <row r="3781" spans="1:61" x14ac:dyDescent="0.25">
      <c r="A3781" s="62" t="s">
        <v>1145</v>
      </c>
      <c r="B3781" s="62" t="s">
        <v>1145</v>
      </c>
      <c r="C3781" s="63"/>
      <c r="D3781" s="64"/>
      <c r="E3781" s="65"/>
      <c r="F3781" s="66"/>
      <c r="G3781" s="63"/>
      <c r="H3781" s="67"/>
      <c r="I3781" s="68"/>
      <c r="J3781" s="68"/>
      <c r="K3781" s="32"/>
      <c r="L3781" s="75">
        <v>3781</v>
      </c>
      <c r="M3781" s="75"/>
      <c r="N3781" s="70"/>
      <c r="O3781" s="77" t="s">
        <v>179</v>
      </c>
      <c r="P3781" s="79">
        <v>44983.419409722221</v>
      </c>
      <c r="Q3781" s="77" t="s">
        <v>4987</v>
      </c>
      <c r="R3781" s="77">
        <v>0</v>
      </c>
      <c r="S3781" s="77">
        <v>0</v>
      </c>
      <c r="T3781" s="77">
        <v>0</v>
      </c>
      <c r="U3781" s="77">
        <v>0</v>
      </c>
      <c r="V3781" s="77">
        <v>290</v>
      </c>
      <c r="W3781" s="82" t="s">
        <v>7009</v>
      </c>
      <c r="X3781" s="77"/>
      <c r="Y3781" s="77"/>
      <c r="Z3781" s="77"/>
      <c r="AA3781" s="77" t="s">
        <v>9955</v>
      </c>
      <c r="AB3781" s="77" t="s">
        <v>10130</v>
      </c>
      <c r="AC3781" s="82" t="s">
        <v>10144</v>
      </c>
      <c r="AD3781" s="77" t="s">
        <v>10184</v>
      </c>
      <c r="AE3781" s="80" t="str">
        <f>HYPERLINK("https://twitter.com/decorando_ld/status/1629784324856840193")</f>
        <v>https://twitter.com/decorando_ld/status/1629784324856840193</v>
      </c>
      <c r="AF3781" s="79">
        <v>44983.419409722221</v>
      </c>
      <c r="AG3781" s="85">
        <v>44983</v>
      </c>
      <c r="AH3781" s="82" t="s">
        <v>13766</v>
      </c>
      <c r="AI3781" s="77" t="b">
        <v>0</v>
      </c>
      <c r="AJ3781" s="77"/>
      <c r="AK3781" s="77"/>
      <c r="AL3781" s="77"/>
      <c r="AM3781" s="77"/>
      <c r="AN3781" s="77"/>
      <c r="AO3781" s="77"/>
      <c r="AP3781" s="77"/>
      <c r="AQ3781" s="77" t="s">
        <v>16598</v>
      </c>
      <c r="AR3781" s="77"/>
      <c r="AS3781" s="77"/>
      <c r="AT3781" s="77"/>
      <c r="AU3781" s="77"/>
      <c r="AV3781" s="80" t="str">
        <f>HYPERLINK("https://pbs.twimg.com/media/Fp4oM_GXgAAPeBC.jpg")</f>
        <v>https://pbs.twimg.com/media/Fp4oM_GXgAAPeBC.jpg</v>
      </c>
      <c r="AW3781" s="82" t="s">
        <v>20547</v>
      </c>
      <c r="AX3781" s="82" t="s">
        <v>20547</v>
      </c>
      <c r="AY3781" s="77"/>
      <c r="AZ3781" s="82" t="s">
        <v>20971</v>
      </c>
      <c r="BA3781" s="82" t="s">
        <v>20971</v>
      </c>
      <c r="BB3781" s="82" t="s">
        <v>20971</v>
      </c>
      <c r="BC3781" s="82" t="s">
        <v>20547</v>
      </c>
      <c r="BD3781" s="82" t="s">
        <v>21704</v>
      </c>
      <c r="BE3781" s="77"/>
      <c r="BF3781" s="77"/>
      <c r="BG3781" s="77"/>
      <c r="BH3781" s="77"/>
      <c r="BI3781" s="77"/>
    </row>
    <row r="3782" spans="1:61" x14ac:dyDescent="0.25">
      <c r="A3782" s="62" t="s">
        <v>1145</v>
      </c>
      <c r="B3782" s="62" t="s">
        <v>1145</v>
      </c>
      <c r="C3782" s="63"/>
      <c r="D3782" s="64"/>
      <c r="E3782" s="65"/>
      <c r="F3782" s="66"/>
      <c r="G3782" s="63"/>
      <c r="H3782" s="67"/>
      <c r="I3782" s="68"/>
      <c r="J3782" s="68"/>
      <c r="K3782" s="32"/>
      <c r="L3782" s="75">
        <v>3782</v>
      </c>
      <c r="M3782" s="75"/>
      <c r="N3782" s="70"/>
      <c r="O3782" s="77" t="s">
        <v>179</v>
      </c>
      <c r="P3782" s="79">
        <v>44983.417569444442</v>
      </c>
      <c r="Q3782" s="77" t="s">
        <v>4988</v>
      </c>
      <c r="R3782" s="77">
        <v>0</v>
      </c>
      <c r="S3782" s="77">
        <v>0</v>
      </c>
      <c r="T3782" s="77">
        <v>0</v>
      </c>
      <c r="U3782" s="77">
        <v>0</v>
      </c>
      <c r="V3782" s="77">
        <v>14</v>
      </c>
      <c r="W3782" s="82" t="s">
        <v>7010</v>
      </c>
      <c r="X3782" s="80" t="str">
        <f>HYPERLINK("https://hotm.art/EqG9oByw")</f>
        <v>https://hotm.art/EqG9oByw</v>
      </c>
      <c r="Y3782" s="77" t="s">
        <v>7260</v>
      </c>
      <c r="Z3782" s="77"/>
      <c r="AA3782" s="77" t="s">
        <v>9956</v>
      </c>
      <c r="AB3782" s="77" t="s">
        <v>10130</v>
      </c>
      <c r="AC3782" s="82" t="s">
        <v>10144</v>
      </c>
      <c r="AD3782" s="77" t="s">
        <v>10184</v>
      </c>
      <c r="AE3782" s="80" t="str">
        <f>HYPERLINK("https://twitter.com/decorando_ld/status/1629783658428084226")</f>
        <v>https://twitter.com/decorando_ld/status/1629783658428084226</v>
      </c>
      <c r="AF3782" s="79">
        <v>44983.417569444442</v>
      </c>
      <c r="AG3782" s="85">
        <v>44983</v>
      </c>
      <c r="AH3782" s="82" t="s">
        <v>13767</v>
      </c>
      <c r="AI3782" s="77" t="b">
        <v>0</v>
      </c>
      <c r="AJ3782" s="77"/>
      <c r="AK3782" s="77"/>
      <c r="AL3782" s="77"/>
      <c r="AM3782" s="77"/>
      <c r="AN3782" s="77"/>
      <c r="AO3782" s="77"/>
      <c r="AP3782" s="77"/>
      <c r="AQ3782" s="77" t="s">
        <v>16599</v>
      </c>
      <c r="AR3782" s="77"/>
      <c r="AS3782" s="77"/>
      <c r="AT3782" s="77"/>
      <c r="AU3782" s="77"/>
      <c r="AV3782" s="80" t="str">
        <f>HYPERLINK("https://pbs.twimg.com/media/Fp4nmMtXsAEFgec.jpg")</f>
        <v>https://pbs.twimg.com/media/Fp4nmMtXsAEFgec.jpg</v>
      </c>
      <c r="AW3782" s="82" t="s">
        <v>20548</v>
      </c>
      <c r="AX3782" s="82" t="s">
        <v>20548</v>
      </c>
      <c r="AY3782" s="77"/>
      <c r="AZ3782" s="82" t="s">
        <v>20971</v>
      </c>
      <c r="BA3782" s="82" t="s">
        <v>20971</v>
      </c>
      <c r="BB3782" s="82" t="s">
        <v>20971</v>
      </c>
      <c r="BC3782" s="82" t="s">
        <v>20548</v>
      </c>
      <c r="BD3782" s="82" t="s">
        <v>21704</v>
      </c>
      <c r="BE3782" s="77"/>
      <c r="BF3782" s="77"/>
      <c r="BG3782" s="77"/>
      <c r="BH3782" s="77"/>
      <c r="BI3782" s="77"/>
    </row>
    <row r="3783" spans="1:61" x14ac:dyDescent="0.25">
      <c r="A3783" s="62" t="s">
        <v>1145</v>
      </c>
      <c r="B3783" s="62" t="s">
        <v>1145</v>
      </c>
      <c r="C3783" s="63"/>
      <c r="D3783" s="64"/>
      <c r="E3783" s="65"/>
      <c r="F3783" s="66"/>
      <c r="G3783" s="63"/>
      <c r="H3783" s="67"/>
      <c r="I3783" s="68"/>
      <c r="J3783" s="68"/>
      <c r="K3783" s="32"/>
      <c r="L3783" s="75">
        <v>3783</v>
      </c>
      <c r="M3783" s="75"/>
      <c r="N3783" s="70"/>
      <c r="O3783" s="77" t="s">
        <v>179</v>
      </c>
      <c r="P3783" s="79">
        <v>45035.835844907408</v>
      </c>
      <c r="Q3783" s="77" t="s">
        <v>4989</v>
      </c>
      <c r="R3783" s="77">
        <v>0</v>
      </c>
      <c r="S3783" s="77">
        <v>0</v>
      </c>
      <c r="T3783" s="77">
        <v>0</v>
      </c>
      <c r="U3783" s="77">
        <v>0</v>
      </c>
      <c r="V3783" s="77">
        <v>6</v>
      </c>
      <c r="W3783" s="82" t="s">
        <v>5236</v>
      </c>
      <c r="X3783" s="80" t="str">
        <f>HYPERLINK("https://go.hotmart.com/L82080709M?dp=1")</f>
        <v>https://go.hotmart.com/L82080709M?dp=1</v>
      </c>
      <c r="Y3783" s="77" t="s">
        <v>7251</v>
      </c>
      <c r="Z3783" s="77"/>
      <c r="AA3783" s="77"/>
      <c r="AB3783" s="77"/>
      <c r="AC3783" s="82" t="s">
        <v>10146</v>
      </c>
      <c r="AD3783" s="77" t="s">
        <v>10184</v>
      </c>
      <c r="AE3783" s="80" t="str">
        <f>HYPERLINK("https://twitter.com/decorando_ld/status/1648779403516690434")</f>
        <v>https://twitter.com/decorando_ld/status/1648779403516690434</v>
      </c>
      <c r="AF3783" s="79">
        <v>45035.835844907408</v>
      </c>
      <c r="AG3783" s="85">
        <v>45035</v>
      </c>
      <c r="AH3783" s="82" t="s">
        <v>13768</v>
      </c>
      <c r="AI3783" s="77" t="b">
        <v>0</v>
      </c>
      <c r="AJ3783" s="77"/>
      <c r="AK3783" s="77"/>
      <c r="AL3783" s="77"/>
      <c r="AM3783" s="77"/>
      <c r="AN3783" s="77"/>
      <c r="AO3783" s="77"/>
      <c r="AP3783" s="77"/>
      <c r="AQ3783" s="77"/>
      <c r="AR3783" s="77"/>
      <c r="AS3783" s="77"/>
      <c r="AT3783" s="77"/>
      <c r="AU3783" s="77"/>
      <c r="AV3783" s="80" t="str">
        <f>HYPERLINK("https://pbs.twimg.com/profile_images/1629800143691153413/gV-0HHMM_normal.jpg")</f>
        <v>https://pbs.twimg.com/profile_images/1629800143691153413/gV-0HHMM_normal.jpg</v>
      </c>
      <c r="AW3783" s="82" t="s">
        <v>20549</v>
      </c>
      <c r="AX3783" s="82" t="s">
        <v>20549</v>
      </c>
      <c r="AY3783" s="77"/>
      <c r="AZ3783" s="82" t="s">
        <v>20971</v>
      </c>
      <c r="BA3783" s="82" t="s">
        <v>20971</v>
      </c>
      <c r="BB3783" s="82" t="s">
        <v>20971</v>
      </c>
      <c r="BC3783" s="82" t="s">
        <v>20549</v>
      </c>
      <c r="BD3783" s="82" t="s">
        <v>21704</v>
      </c>
      <c r="BE3783" s="77"/>
      <c r="BF3783" s="77"/>
      <c r="BG3783" s="77"/>
      <c r="BH3783" s="77"/>
      <c r="BI3783" s="77"/>
    </row>
    <row r="3784" spans="1:61" x14ac:dyDescent="0.25">
      <c r="A3784" s="62" t="s">
        <v>1145</v>
      </c>
      <c r="B3784" s="62" t="s">
        <v>1145</v>
      </c>
      <c r="C3784" s="63"/>
      <c r="D3784" s="64"/>
      <c r="E3784" s="65"/>
      <c r="F3784" s="66"/>
      <c r="G3784" s="63"/>
      <c r="H3784" s="67"/>
      <c r="I3784" s="68"/>
      <c r="J3784" s="68"/>
      <c r="K3784" s="32"/>
      <c r="L3784" s="75">
        <v>3784</v>
      </c>
      <c r="M3784" s="75"/>
      <c r="N3784" s="70"/>
      <c r="O3784" s="77" t="s">
        <v>179</v>
      </c>
      <c r="P3784" s="79">
        <v>45035.826782407406</v>
      </c>
      <c r="Q3784" s="77" t="s">
        <v>4990</v>
      </c>
      <c r="R3784" s="77">
        <v>0</v>
      </c>
      <c r="S3784" s="77">
        <v>0</v>
      </c>
      <c r="T3784" s="77">
        <v>0</v>
      </c>
      <c r="U3784" s="77">
        <v>0</v>
      </c>
      <c r="V3784" s="77">
        <v>5</v>
      </c>
      <c r="W3784" s="82" t="s">
        <v>7011</v>
      </c>
      <c r="X3784" s="80" t="str">
        <f>HYPERLINK("https://go.hotmart.com/L82080709M")</f>
        <v>https://go.hotmart.com/L82080709M</v>
      </c>
      <c r="Y3784" s="77" t="s">
        <v>7251</v>
      </c>
      <c r="Z3784" s="77"/>
      <c r="AA3784" s="77"/>
      <c r="AB3784" s="77"/>
      <c r="AC3784" s="82" t="s">
        <v>10146</v>
      </c>
      <c r="AD3784" s="77" t="s">
        <v>10184</v>
      </c>
      <c r="AE3784" s="80" t="str">
        <f>HYPERLINK("https://twitter.com/decorando_ld/status/1648776119615647744")</f>
        <v>https://twitter.com/decorando_ld/status/1648776119615647744</v>
      </c>
      <c r="AF3784" s="79">
        <v>45035.826782407406</v>
      </c>
      <c r="AG3784" s="85">
        <v>45035</v>
      </c>
      <c r="AH3784" s="82" t="s">
        <v>13769</v>
      </c>
      <c r="AI3784" s="77" t="b">
        <v>0</v>
      </c>
      <c r="AJ3784" s="77"/>
      <c r="AK3784" s="77"/>
      <c r="AL3784" s="77"/>
      <c r="AM3784" s="77"/>
      <c r="AN3784" s="77"/>
      <c r="AO3784" s="77"/>
      <c r="AP3784" s="77"/>
      <c r="AQ3784" s="77"/>
      <c r="AR3784" s="77"/>
      <c r="AS3784" s="77"/>
      <c r="AT3784" s="77"/>
      <c r="AU3784" s="77"/>
      <c r="AV3784" s="80" t="str">
        <f>HYPERLINK("https://pbs.twimg.com/profile_images/1629800143691153413/gV-0HHMM_normal.jpg")</f>
        <v>https://pbs.twimg.com/profile_images/1629800143691153413/gV-0HHMM_normal.jpg</v>
      </c>
      <c r="AW3784" s="82" t="s">
        <v>20550</v>
      </c>
      <c r="AX3784" s="82" t="s">
        <v>20550</v>
      </c>
      <c r="AY3784" s="77"/>
      <c r="AZ3784" s="82" t="s">
        <v>20971</v>
      </c>
      <c r="BA3784" s="82" t="s">
        <v>20971</v>
      </c>
      <c r="BB3784" s="82" t="s">
        <v>20971</v>
      </c>
      <c r="BC3784" s="82" t="s">
        <v>20550</v>
      </c>
      <c r="BD3784" s="82" t="s">
        <v>21704</v>
      </c>
      <c r="BE3784" s="77"/>
      <c r="BF3784" s="77"/>
      <c r="BG3784" s="77"/>
      <c r="BH3784" s="77"/>
      <c r="BI3784" s="77"/>
    </row>
    <row r="3785" spans="1:61" x14ac:dyDescent="0.25">
      <c r="A3785" s="62" t="s">
        <v>1145</v>
      </c>
      <c r="B3785" s="62" t="s">
        <v>1145</v>
      </c>
      <c r="C3785" s="63"/>
      <c r="D3785" s="64"/>
      <c r="E3785" s="65"/>
      <c r="F3785" s="66"/>
      <c r="G3785" s="63"/>
      <c r="H3785" s="67"/>
      <c r="I3785" s="68"/>
      <c r="J3785" s="68"/>
      <c r="K3785" s="32"/>
      <c r="L3785" s="75">
        <v>3785</v>
      </c>
      <c r="M3785" s="75"/>
      <c r="N3785" s="70"/>
      <c r="O3785" s="77" t="s">
        <v>179</v>
      </c>
      <c r="P3785" s="79">
        <v>45040.803993055553</v>
      </c>
      <c r="Q3785" s="77" t="s">
        <v>4991</v>
      </c>
      <c r="R3785" s="77">
        <v>0</v>
      </c>
      <c r="S3785" s="77">
        <v>0</v>
      </c>
      <c r="T3785" s="77">
        <v>0</v>
      </c>
      <c r="U3785" s="77">
        <v>0</v>
      </c>
      <c r="V3785" s="77">
        <v>24</v>
      </c>
      <c r="W3785" s="82" t="s">
        <v>7012</v>
      </c>
      <c r="X3785" s="80" t="str">
        <f>HYPERLINK("https://p.eduzz.com/383301?a=677413257")</f>
        <v>https://p.eduzz.com/383301?a=677413257</v>
      </c>
      <c r="Y3785" s="77" t="s">
        <v>7245</v>
      </c>
      <c r="Z3785" s="77"/>
      <c r="AA3785" s="77"/>
      <c r="AB3785" s="77"/>
      <c r="AC3785" s="82" t="s">
        <v>10146</v>
      </c>
      <c r="AD3785" s="77" t="s">
        <v>10184</v>
      </c>
      <c r="AE3785" s="80" t="str">
        <f>HYPERLINK("https://twitter.com/decorando_ld/status/1650579801063784449")</f>
        <v>https://twitter.com/decorando_ld/status/1650579801063784449</v>
      </c>
      <c r="AF3785" s="79">
        <v>45040.803993055553</v>
      </c>
      <c r="AG3785" s="85">
        <v>45040</v>
      </c>
      <c r="AH3785" s="82" t="s">
        <v>12150</v>
      </c>
      <c r="AI3785" s="77" t="b">
        <v>0</v>
      </c>
      <c r="AJ3785" s="77"/>
      <c r="AK3785" s="77"/>
      <c r="AL3785" s="77"/>
      <c r="AM3785" s="77"/>
      <c r="AN3785" s="77"/>
      <c r="AO3785" s="77"/>
      <c r="AP3785" s="77"/>
      <c r="AQ3785" s="77"/>
      <c r="AR3785" s="77"/>
      <c r="AS3785" s="77"/>
      <c r="AT3785" s="77"/>
      <c r="AU3785" s="77"/>
      <c r="AV3785" s="80" t="str">
        <f>HYPERLINK("https://pbs.twimg.com/profile_images/1629800143691153413/gV-0HHMM_normal.jpg")</f>
        <v>https://pbs.twimg.com/profile_images/1629800143691153413/gV-0HHMM_normal.jpg</v>
      </c>
      <c r="AW3785" s="82" t="s">
        <v>20551</v>
      </c>
      <c r="AX3785" s="82" t="s">
        <v>20551</v>
      </c>
      <c r="AY3785" s="77"/>
      <c r="AZ3785" s="82" t="s">
        <v>20971</v>
      </c>
      <c r="BA3785" s="82" t="s">
        <v>20971</v>
      </c>
      <c r="BB3785" s="82" t="s">
        <v>20971</v>
      </c>
      <c r="BC3785" s="82" t="s">
        <v>20551</v>
      </c>
      <c r="BD3785" s="82" t="s">
        <v>21704</v>
      </c>
      <c r="BE3785" s="77"/>
      <c r="BF3785" s="77"/>
      <c r="BG3785" s="77"/>
      <c r="BH3785" s="77"/>
      <c r="BI3785" s="77"/>
    </row>
    <row r="3786" spans="1:61" x14ac:dyDescent="0.25">
      <c r="A3786" s="62" t="s">
        <v>1146</v>
      </c>
      <c r="B3786" s="62" t="s">
        <v>1146</v>
      </c>
      <c r="C3786" s="63"/>
      <c r="D3786" s="64"/>
      <c r="E3786" s="65"/>
      <c r="F3786" s="66"/>
      <c r="G3786" s="63"/>
      <c r="H3786" s="67"/>
      <c r="I3786" s="68"/>
      <c r="J3786" s="68"/>
      <c r="K3786" s="32"/>
      <c r="L3786" s="75">
        <v>3786</v>
      </c>
      <c r="M3786" s="75"/>
      <c r="N3786" s="70"/>
      <c r="O3786" s="77" t="s">
        <v>179</v>
      </c>
      <c r="P3786" s="79">
        <v>45058.532164351855</v>
      </c>
      <c r="Q3786" s="77" t="s">
        <v>4992</v>
      </c>
      <c r="R3786" s="77">
        <v>0</v>
      </c>
      <c r="S3786" s="77">
        <v>0</v>
      </c>
      <c r="T3786" s="77">
        <v>1</v>
      </c>
      <c r="U3786" s="77">
        <v>0</v>
      </c>
      <c r="V3786" s="77">
        <v>32</v>
      </c>
      <c r="W3786" s="82" t="s">
        <v>7013</v>
      </c>
      <c r="X3786" s="77"/>
      <c r="Y3786" s="77"/>
      <c r="Z3786" s="77"/>
      <c r="AA3786" s="77" t="s">
        <v>9957</v>
      </c>
      <c r="AB3786" s="77" t="s">
        <v>10129</v>
      </c>
      <c r="AC3786" s="82" t="s">
        <v>10144</v>
      </c>
      <c r="AD3786" s="77" t="s">
        <v>10184</v>
      </c>
      <c r="AE3786" s="80" t="str">
        <f>HYPERLINK("https://twitter.com/jovememprendedo/status/1657004274239381504")</f>
        <v>https://twitter.com/jovememprendedo/status/1657004274239381504</v>
      </c>
      <c r="AF3786" s="79">
        <v>45058.532164351855</v>
      </c>
      <c r="AG3786" s="85">
        <v>45058</v>
      </c>
      <c r="AH3786" s="82" t="s">
        <v>13770</v>
      </c>
      <c r="AI3786" s="77" t="b">
        <v>0</v>
      </c>
      <c r="AJ3786" s="77"/>
      <c r="AK3786" s="77"/>
      <c r="AL3786" s="77"/>
      <c r="AM3786" s="77"/>
      <c r="AN3786" s="77"/>
      <c r="AO3786" s="77"/>
      <c r="AP3786" s="77"/>
      <c r="AQ3786" s="77" t="s">
        <v>16600</v>
      </c>
      <c r="AR3786" s="77">
        <v>9699</v>
      </c>
      <c r="AS3786" s="77"/>
      <c r="AT3786" s="77"/>
      <c r="AU3786" s="77"/>
      <c r="AV3786" s="80" t="str">
        <f>HYPERLINK("https://pbs.twimg.com/ext_tw_video_thumb/1657004234540236800/pu/img/r0GGej9pgLIFjOiU.jpg")</f>
        <v>https://pbs.twimg.com/ext_tw_video_thumb/1657004234540236800/pu/img/r0GGej9pgLIFjOiU.jpg</v>
      </c>
      <c r="AW3786" s="82" t="s">
        <v>20552</v>
      </c>
      <c r="AX3786" s="82" t="s">
        <v>20552</v>
      </c>
      <c r="AY3786" s="77"/>
      <c r="AZ3786" s="82" t="s">
        <v>20971</v>
      </c>
      <c r="BA3786" s="82" t="s">
        <v>20971</v>
      </c>
      <c r="BB3786" s="82" t="s">
        <v>20971</v>
      </c>
      <c r="BC3786" s="82" t="s">
        <v>20552</v>
      </c>
      <c r="BD3786" s="82" t="s">
        <v>21705</v>
      </c>
      <c r="BE3786" s="77"/>
      <c r="BF3786" s="77"/>
      <c r="BG3786" s="77"/>
      <c r="BH3786" s="77"/>
      <c r="BI3786" s="77"/>
    </row>
    <row r="3787" spans="1:61" x14ac:dyDescent="0.25">
      <c r="A3787" s="62" t="s">
        <v>1147</v>
      </c>
      <c r="B3787" s="62" t="s">
        <v>1260</v>
      </c>
      <c r="C3787" s="63"/>
      <c r="D3787" s="64"/>
      <c r="E3787" s="65"/>
      <c r="F3787" s="66"/>
      <c r="G3787" s="63"/>
      <c r="H3787" s="67"/>
      <c r="I3787" s="68"/>
      <c r="J3787" s="68"/>
      <c r="K3787" s="32"/>
      <c r="L3787" s="75">
        <v>3787</v>
      </c>
      <c r="M3787" s="75"/>
      <c r="N3787" s="70"/>
      <c r="O3787" s="77" t="s">
        <v>1284</v>
      </c>
      <c r="P3787" s="79">
        <v>45134.93240740741</v>
      </c>
      <c r="Q3787" s="77" t="s">
        <v>4993</v>
      </c>
      <c r="R3787" s="77">
        <v>0</v>
      </c>
      <c r="S3787" s="77">
        <v>0</v>
      </c>
      <c r="T3787" s="77">
        <v>0</v>
      </c>
      <c r="U3787" s="77">
        <v>0</v>
      </c>
      <c r="V3787" s="77">
        <v>699</v>
      </c>
      <c r="W3787" s="82" t="s">
        <v>6045</v>
      </c>
      <c r="X3787" s="77"/>
      <c r="Y3787" s="77"/>
      <c r="Z3787" s="77" t="s">
        <v>1260</v>
      </c>
      <c r="AA3787" s="77"/>
      <c r="AB3787" s="77"/>
      <c r="AC3787" s="82" t="s">
        <v>10144</v>
      </c>
      <c r="AD3787" s="77" t="s">
        <v>10183</v>
      </c>
      <c r="AE3787" s="80" t="str">
        <f>HYPERLINK("https://twitter.com/camaradaeduh/status/1684690794672734209")</f>
        <v>https://twitter.com/camaradaeduh/status/1684690794672734209</v>
      </c>
      <c r="AF3787" s="79">
        <v>45134.93240740741</v>
      </c>
      <c r="AG3787" s="85">
        <v>45134</v>
      </c>
      <c r="AH3787" s="82" t="s">
        <v>13771</v>
      </c>
      <c r="AI3787" s="77"/>
      <c r="AJ3787" s="77"/>
      <c r="AK3787" s="77"/>
      <c r="AL3787" s="77"/>
      <c r="AM3787" s="77"/>
      <c r="AN3787" s="77"/>
      <c r="AO3787" s="77"/>
      <c r="AP3787" s="77"/>
      <c r="AQ3787" s="77"/>
      <c r="AR3787" s="77"/>
      <c r="AS3787" s="77"/>
      <c r="AT3787" s="77"/>
      <c r="AU3787" s="77"/>
      <c r="AV3787" s="80" t="str">
        <f>HYPERLINK("https://pbs.twimg.com/profile_images/1686533816276398080/1GgnlYcW_normal.jpg")</f>
        <v>https://pbs.twimg.com/profile_images/1686533816276398080/1GgnlYcW_normal.jpg</v>
      </c>
      <c r="AW3787" s="82" t="s">
        <v>20553</v>
      </c>
      <c r="AX3787" s="82" t="s">
        <v>20889</v>
      </c>
      <c r="AY3787" s="82" t="s">
        <v>20937</v>
      </c>
      <c r="AZ3787" s="82" t="s">
        <v>20889</v>
      </c>
      <c r="BA3787" s="82" t="s">
        <v>20971</v>
      </c>
      <c r="BB3787" s="82" t="s">
        <v>20971</v>
      </c>
      <c r="BC3787" s="82" t="s">
        <v>20889</v>
      </c>
      <c r="BD3787" s="77">
        <v>32189106</v>
      </c>
      <c r="BE3787" s="77"/>
      <c r="BF3787" s="77"/>
      <c r="BG3787" s="77"/>
      <c r="BH3787" s="77"/>
      <c r="BI3787" s="77"/>
    </row>
    <row r="3788" spans="1:61" x14ac:dyDescent="0.25">
      <c r="A3788" s="62" t="s">
        <v>1147</v>
      </c>
      <c r="B3788" s="62" t="s">
        <v>1276</v>
      </c>
      <c r="C3788" s="63"/>
      <c r="D3788" s="64"/>
      <c r="E3788" s="65"/>
      <c r="F3788" s="66"/>
      <c r="G3788" s="63"/>
      <c r="H3788" s="67"/>
      <c r="I3788" s="68"/>
      <c r="J3788" s="68"/>
      <c r="K3788" s="32"/>
      <c r="L3788" s="75">
        <v>3788</v>
      </c>
      <c r="M3788" s="75"/>
      <c r="N3788" s="70"/>
      <c r="O3788" s="77" t="s">
        <v>1285</v>
      </c>
      <c r="P3788" s="79">
        <v>45176.046898148146</v>
      </c>
      <c r="Q3788" s="77" t="s">
        <v>4994</v>
      </c>
      <c r="R3788" s="77">
        <v>0</v>
      </c>
      <c r="S3788" s="77">
        <v>0</v>
      </c>
      <c r="T3788" s="77">
        <v>0</v>
      </c>
      <c r="U3788" s="77">
        <v>0</v>
      </c>
      <c r="V3788" s="77">
        <v>43</v>
      </c>
      <c r="W3788" s="82" t="s">
        <v>6045</v>
      </c>
      <c r="X3788" s="77"/>
      <c r="Y3788" s="77"/>
      <c r="Z3788" s="77" t="s">
        <v>1276</v>
      </c>
      <c r="AA3788" s="77"/>
      <c r="AB3788" s="77"/>
      <c r="AC3788" s="82" t="s">
        <v>10144</v>
      </c>
      <c r="AD3788" s="77" t="s">
        <v>10184</v>
      </c>
      <c r="AE3788" s="80" t="str">
        <f>HYPERLINK("https://twitter.com/camaradaeduh/status/1699590190673678513")</f>
        <v>https://twitter.com/camaradaeduh/status/1699590190673678513</v>
      </c>
      <c r="AF3788" s="79">
        <v>45176.046898148146</v>
      </c>
      <c r="AG3788" s="85">
        <v>45176</v>
      </c>
      <c r="AH3788" s="82" t="s">
        <v>13772</v>
      </c>
      <c r="AI3788" s="77"/>
      <c r="AJ3788" s="77"/>
      <c r="AK3788" s="77"/>
      <c r="AL3788" s="77"/>
      <c r="AM3788" s="77"/>
      <c r="AN3788" s="77"/>
      <c r="AO3788" s="77"/>
      <c r="AP3788" s="77"/>
      <c r="AQ3788" s="77"/>
      <c r="AR3788" s="77"/>
      <c r="AS3788" s="77"/>
      <c r="AT3788" s="77"/>
      <c r="AU3788" s="77"/>
      <c r="AV3788" s="80" t="str">
        <f>HYPERLINK("https://pbs.twimg.com/profile_images/1686533816276398080/1GgnlYcW_normal.jpg")</f>
        <v>https://pbs.twimg.com/profile_images/1686533816276398080/1GgnlYcW_normal.jpg</v>
      </c>
      <c r="AW3788" s="82" t="s">
        <v>20554</v>
      </c>
      <c r="AX3788" s="82" t="s">
        <v>20554</v>
      </c>
      <c r="AY3788" s="77"/>
      <c r="AZ3788" s="82" t="s">
        <v>20971</v>
      </c>
      <c r="BA3788" s="82" t="s">
        <v>20971</v>
      </c>
      <c r="BB3788" s="82" t="s">
        <v>20971</v>
      </c>
      <c r="BC3788" s="82" t="s">
        <v>20554</v>
      </c>
      <c r="BD3788" s="77">
        <v>32189106</v>
      </c>
      <c r="BE3788" s="77"/>
      <c r="BF3788" s="77"/>
      <c r="BG3788" s="77"/>
      <c r="BH3788" s="77"/>
      <c r="BI3788" s="77"/>
    </row>
    <row r="3789" spans="1:61" x14ac:dyDescent="0.25">
      <c r="A3789" s="62" t="s">
        <v>1148</v>
      </c>
      <c r="B3789" s="62" t="s">
        <v>1148</v>
      </c>
      <c r="C3789" s="63"/>
      <c r="D3789" s="64"/>
      <c r="E3789" s="65"/>
      <c r="F3789" s="66"/>
      <c r="G3789" s="63"/>
      <c r="H3789" s="67"/>
      <c r="I3789" s="68"/>
      <c r="J3789" s="68"/>
      <c r="K3789" s="32"/>
      <c r="L3789" s="75">
        <v>3789</v>
      </c>
      <c r="M3789" s="75"/>
      <c r="N3789" s="70"/>
      <c r="O3789" s="77" t="s">
        <v>179</v>
      </c>
      <c r="P3789" s="79">
        <v>45106.645601851851</v>
      </c>
      <c r="Q3789" s="77" t="s">
        <v>4995</v>
      </c>
      <c r="R3789" s="77">
        <v>0</v>
      </c>
      <c r="S3789" s="77">
        <v>0</v>
      </c>
      <c r="T3789" s="77">
        <v>0</v>
      </c>
      <c r="U3789" s="77">
        <v>0</v>
      </c>
      <c r="V3789" s="77">
        <v>43</v>
      </c>
      <c r="W3789" s="82" t="s">
        <v>7014</v>
      </c>
      <c r="X3789" s="80" t="str">
        <f>HYPERLINK("https://hotm.art/Pki0FUF9")</f>
        <v>https://hotm.art/Pki0FUF9</v>
      </c>
      <c r="Y3789" s="77" t="s">
        <v>7260</v>
      </c>
      <c r="Z3789" s="77"/>
      <c r="AA3789" s="77" t="s">
        <v>9958</v>
      </c>
      <c r="AB3789" s="77" t="s">
        <v>10130</v>
      </c>
      <c r="AC3789" s="82" t="s">
        <v>10146</v>
      </c>
      <c r="AD3789" s="77" t="s">
        <v>10184</v>
      </c>
      <c r="AE3789" s="80" t="str">
        <f>HYPERLINK("https://twitter.com/tamylima89/status/1674440000664924163")</f>
        <v>https://twitter.com/tamylima89/status/1674440000664924163</v>
      </c>
      <c r="AF3789" s="79">
        <v>45106.645601851851</v>
      </c>
      <c r="AG3789" s="85">
        <v>45106</v>
      </c>
      <c r="AH3789" s="82" t="s">
        <v>13773</v>
      </c>
      <c r="AI3789" s="77" t="b">
        <v>0</v>
      </c>
      <c r="AJ3789" s="77"/>
      <c r="AK3789" s="77"/>
      <c r="AL3789" s="77"/>
      <c r="AM3789" s="77"/>
      <c r="AN3789" s="77"/>
      <c r="AO3789" s="77"/>
      <c r="AP3789" s="77"/>
      <c r="AQ3789" s="77" t="s">
        <v>16601</v>
      </c>
      <c r="AR3789" s="77"/>
      <c r="AS3789" s="77"/>
      <c r="AT3789" s="77"/>
      <c r="AU3789" s="77"/>
      <c r="AV3789" s="80" t="str">
        <f>HYPERLINK("https://pbs.twimg.com/media/FzzNmgEWIAIWrqN.jpg")</f>
        <v>https://pbs.twimg.com/media/FzzNmgEWIAIWrqN.jpg</v>
      </c>
      <c r="AW3789" s="82" t="s">
        <v>20555</v>
      </c>
      <c r="AX3789" s="82" t="s">
        <v>20555</v>
      </c>
      <c r="AY3789" s="77"/>
      <c r="AZ3789" s="82" t="s">
        <v>20971</v>
      </c>
      <c r="BA3789" s="82" t="s">
        <v>20971</v>
      </c>
      <c r="BB3789" s="82" t="s">
        <v>20971</v>
      </c>
      <c r="BC3789" s="82" t="s">
        <v>20555</v>
      </c>
      <c r="BD3789" s="82" t="s">
        <v>21706</v>
      </c>
      <c r="BE3789" s="77"/>
      <c r="BF3789" s="77"/>
      <c r="BG3789" s="77"/>
      <c r="BH3789" s="77"/>
      <c r="BI3789" s="77"/>
    </row>
    <row r="3790" spans="1:61" x14ac:dyDescent="0.25">
      <c r="A3790" s="62" t="s">
        <v>1149</v>
      </c>
      <c r="B3790" s="62" t="s">
        <v>1149</v>
      </c>
      <c r="C3790" s="63"/>
      <c r="D3790" s="64"/>
      <c r="E3790" s="65"/>
      <c r="F3790" s="66"/>
      <c r="G3790" s="63"/>
      <c r="H3790" s="67"/>
      <c r="I3790" s="68"/>
      <c r="J3790" s="68"/>
      <c r="K3790" s="32"/>
      <c r="L3790" s="75">
        <v>3790</v>
      </c>
      <c r="M3790" s="75"/>
      <c r="N3790" s="70"/>
      <c r="O3790" s="77" t="s">
        <v>179</v>
      </c>
      <c r="P3790" s="79">
        <v>44973.068518518521</v>
      </c>
      <c r="Q3790" s="77" t="s">
        <v>4996</v>
      </c>
      <c r="R3790" s="77">
        <v>0</v>
      </c>
      <c r="S3790" s="77">
        <v>0</v>
      </c>
      <c r="T3790" s="77">
        <v>0</v>
      </c>
      <c r="U3790" s="77">
        <v>0</v>
      </c>
      <c r="V3790" s="77">
        <v>35</v>
      </c>
      <c r="W3790" s="82" t="s">
        <v>7015</v>
      </c>
      <c r="X3790" s="77"/>
      <c r="Y3790" s="77"/>
      <c r="Z3790" s="77"/>
      <c r="AA3790" s="77" t="s">
        <v>9959</v>
      </c>
      <c r="AB3790" s="77" t="s">
        <v>10129</v>
      </c>
      <c r="AC3790" s="82" t="s">
        <v>10145</v>
      </c>
      <c r="AD3790" s="77" t="s">
        <v>10184</v>
      </c>
      <c r="AE3790" s="80" t="str">
        <f>HYPERLINK("https://twitter.com/rosana_alfaro/status/1626033286395879425")</f>
        <v>https://twitter.com/rosana_alfaro/status/1626033286395879425</v>
      </c>
      <c r="AF3790" s="79">
        <v>44973.068518518521</v>
      </c>
      <c r="AG3790" s="85">
        <v>44973</v>
      </c>
      <c r="AH3790" s="82" t="s">
        <v>13774</v>
      </c>
      <c r="AI3790" s="77" t="b">
        <v>0</v>
      </c>
      <c r="AJ3790" s="77"/>
      <c r="AK3790" s="77"/>
      <c r="AL3790" s="77"/>
      <c r="AM3790" s="77"/>
      <c r="AN3790" s="77"/>
      <c r="AO3790" s="77"/>
      <c r="AP3790" s="77"/>
      <c r="AQ3790" s="77" t="s">
        <v>16602</v>
      </c>
      <c r="AR3790" s="77">
        <v>15133</v>
      </c>
      <c r="AS3790" s="77"/>
      <c r="AT3790" s="77"/>
      <c r="AU3790" s="77"/>
      <c r="AV3790" s="80" t="str">
        <f>HYPERLINK("https://pbs.twimg.com/ext_tw_video_thumb/1626033255706202112/pu/img/qBcA4T7hlxuM6J1R.jpg")</f>
        <v>https://pbs.twimg.com/ext_tw_video_thumb/1626033255706202112/pu/img/qBcA4T7hlxuM6J1R.jpg</v>
      </c>
      <c r="AW3790" s="82" t="s">
        <v>20556</v>
      </c>
      <c r="AX3790" s="82" t="s">
        <v>20556</v>
      </c>
      <c r="AY3790" s="77"/>
      <c r="AZ3790" s="82" t="s">
        <v>20971</v>
      </c>
      <c r="BA3790" s="82" t="s">
        <v>20971</v>
      </c>
      <c r="BB3790" s="82" t="s">
        <v>20971</v>
      </c>
      <c r="BC3790" s="82" t="s">
        <v>20556</v>
      </c>
      <c r="BD3790" s="77">
        <v>114500744</v>
      </c>
      <c r="BE3790" s="77"/>
      <c r="BF3790" s="77"/>
      <c r="BG3790" s="77"/>
      <c r="BH3790" s="77"/>
      <c r="BI3790" s="77"/>
    </row>
    <row r="3791" spans="1:61" x14ac:dyDescent="0.25">
      <c r="A3791" s="62" t="s">
        <v>1150</v>
      </c>
      <c r="B3791" s="62" t="s">
        <v>1150</v>
      </c>
      <c r="C3791" s="63"/>
      <c r="D3791" s="64"/>
      <c r="E3791" s="65"/>
      <c r="F3791" s="66"/>
      <c r="G3791" s="63"/>
      <c r="H3791" s="67"/>
      <c r="I3791" s="68"/>
      <c r="J3791" s="68"/>
      <c r="K3791" s="32"/>
      <c r="L3791" s="75">
        <v>3791</v>
      </c>
      <c r="M3791" s="75"/>
      <c r="N3791" s="70"/>
      <c r="O3791" s="77" t="s">
        <v>179</v>
      </c>
      <c r="P3791" s="79">
        <v>45173.997361111113</v>
      </c>
      <c r="Q3791" s="77" t="s">
        <v>4997</v>
      </c>
      <c r="R3791" s="77">
        <v>0</v>
      </c>
      <c r="S3791" s="77">
        <v>0</v>
      </c>
      <c r="T3791" s="77">
        <v>2</v>
      </c>
      <c r="U3791" s="77">
        <v>0</v>
      </c>
      <c r="V3791" s="77">
        <v>302</v>
      </c>
      <c r="W3791" s="82" t="s">
        <v>7016</v>
      </c>
      <c r="X3791" s="77"/>
      <c r="Y3791" s="77"/>
      <c r="Z3791" s="77"/>
      <c r="AA3791" s="77" t="s">
        <v>9960</v>
      </c>
      <c r="AB3791" s="77" t="s">
        <v>10129</v>
      </c>
      <c r="AC3791" s="82" t="s">
        <v>10145</v>
      </c>
      <c r="AD3791" s="77" t="s">
        <v>10184</v>
      </c>
      <c r="AE3791" s="80" t="str">
        <f>HYPERLINK("https://twitter.com/xscavuzzi/status/1698847460754395455")</f>
        <v>https://twitter.com/xscavuzzi/status/1698847460754395455</v>
      </c>
      <c r="AF3791" s="79">
        <v>45173.997361111113</v>
      </c>
      <c r="AG3791" s="85">
        <v>45173</v>
      </c>
      <c r="AH3791" s="82" t="s">
        <v>13775</v>
      </c>
      <c r="AI3791" s="77" t="b">
        <v>0</v>
      </c>
      <c r="AJ3791" s="77"/>
      <c r="AK3791" s="77"/>
      <c r="AL3791" s="77"/>
      <c r="AM3791" s="77"/>
      <c r="AN3791" s="77"/>
      <c r="AO3791" s="77"/>
      <c r="AP3791" s="77"/>
      <c r="AQ3791" s="77" t="s">
        <v>16603</v>
      </c>
      <c r="AR3791" s="77">
        <v>42600</v>
      </c>
      <c r="AS3791" s="77"/>
      <c r="AT3791" s="77"/>
      <c r="AU3791" s="77"/>
      <c r="AV3791" s="80" t="str">
        <f>HYPERLINK("https://pbs.twimg.com/ext_tw_video_thumb/1698847128758464512/pu/img/Ry34bC-pgSpuQ1Ae.jpg")</f>
        <v>https://pbs.twimg.com/ext_tw_video_thumb/1698847128758464512/pu/img/Ry34bC-pgSpuQ1Ae.jpg</v>
      </c>
      <c r="AW3791" s="82" t="s">
        <v>20557</v>
      </c>
      <c r="AX3791" s="82" t="s">
        <v>20557</v>
      </c>
      <c r="AY3791" s="77"/>
      <c r="AZ3791" s="82" t="s">
        <v>20971</v>
      </c>
      <c r="BA3791" s="82" t="s">
        <v>20971</v>
      </c>
      <c r="BB3791" s="82" t="s">
        <v>20971</v>
      </c>
      <c r="BC3791" s="82" t="s">
        <v>20557</v>
      </c>
      <c r="BD3791" s="77">
        <v>718250155</v>
      </c>
      <c r="BE3791" s="77"/>
      <c r="BF3791" s="77"/>
      <c r="BG3791" s="77"/>
      <c r="BH3791" s="77"/>
      <c r="BI3791" s="77"/>
    </row>
    <row r="3792" spans="1:61" x14ac:dyDescent="0.25">
      <c r="A3792" s="62" t="s">
        <v>1150</v>
      </c>
      <c r="B3792" s="62" t="s">
        <v>1150</v>
      </c>
      <c r="C3792" s="63"/>
      <c r="D3792" s="64"/>
      <c r="E3792" s="65"/>
      <c r="F3792" s="66"/>
      <c r="G3792" s="63"/>
      <c r="H3792" s="67"/>
      <c r="I3792" s="68"/>
      <c r="J3792" s="68"/>
      <c r="K3792" s="32"/>
      <c r="L3792" s="75">
        <v>3792</v>
      </c>
      <c r="M3792" s="75"/>
      <c r="N3792" s="70"/>
      <c r="O3792" s="77" t="s">
        <v>179</v>
      </c>
      <c r="P3792" s="79">
        <v>45175.144189814811</v>
      </c>
      <c r="Q3792" s="77" t="s">
        <v>4998</v>
      </c>
      <c r="R3792" s="77">
        <v>0</v>
      </c>
      <c r="S3792" s="77">
        <v>0</v>
      </c>
      <c r="T3792" s="77">
        <v>0</v>
      </c>
      <c r="U3792" s="77">
        <v>0</v>
      </c>
      <c r="V3792" s="77">
        <v>79</v>
      </c>
      <c r="W3792" s="82" t="s">
        <v>7017</v>
      </c>
      <c r="X3792" s="77"/>
      <c r="Y3792" s="77"/>
      <c r="Z3792" s="77"/>
      <c r="AA3792" s="77" t="s">
        <v>9961</v>
      </c>
      <c r="AB3792" s="77" t="s">
        <v>10130</v>
      </c>
      <c r="AC3792" s="82" t="s">
        <v>10145</v>
      </c>
      <c r="AD3792" s="77" t="s">
        <v>10184</v>
      </c>
      <c r="AE3792" s="80" t="str">
        <f>HYPERLINK("https://twitter.com/xscavuzzi/status/1699263057078173975")</f>
        <v>https://twitter.com/xscavuzzi/status/1699263057078173975</v>
      </c>
      <c r="AF3792" s="79">
        <v>45175.144189814811</v>
      </c>
      <c r="AG3792" s="85">
        <v>45175</v>
      </c>
      <c r="AH3792" s="82" t="s">
        <v>13776</v>
      </c>
      <c r="AI3792" s="77" t="b">
        <v>0</v>
      </c>
      <c r="AJ3792" s="77"/>
      <c r="AK3792" s="77"/>
      <c r="AL3792" s="77"/>
      <c r="AM3792" s="77"/>
      <c r="AN3792" s="77"/>
      <c r="AO3792" s="77"/>
      <c r="AP3792" s="77"/>
      <c r="AQ3792" s="77" t="s">
        <v>16604</v>
      </c>
      <c r="AR3792" s="77"/>
      <c r="AS3792" s="77"/>
      <c r="AT3792" s="77"/>
      <c r="AU3792" s="77"/>
      <c r="AV3792" s="80" t="str">
        <f>HYPERLINK("https://pbs.twimg.com/media/F5T-vgmXMAAysD-.jpg")</f>
        <v>https://pbs.twimg.com/media/F5T-vgmXMAAysD-.jpg</v>
      </c>
      <c r="AW3792" s="82" t="s">
        <v>20558</v>
      </c>
      <c r="AX3792" s="82" t="s">
        <v>20558</v>
      </c>
      <c r="AY3792" s="77"/>
      <c r="AZ3792" s="82" t="s">
        <v>20971</v>
      </c>
      <c r="BA3792" s="82" t="s">
        <v>20971</v>
      </c>
      <c r="BB3792" s="82" t="s">
        <v>20971</v>
      </c>
      <c r="BC3792" s="82" t="s">
        <v>20558</v>
      </c>
      <c r="BD3792" s="77">
        <v>718250155</v>
      </c>
      <c r="BE3792" s="77"/>
      <c r="BF3792" s="77"/>
      <c r="BG3792" s="77"/>
      <c r="BH3792" s="77"/>
      <c r="BI3792" s="77"/>
    </row>
    <row r="3793" spans="1:61" x14ac:dyDescent="0.25">
      <c r="A3793" s="62" t="s">
        <v>1150</v>
      </c>
      <c r="B3793" s="62" t="s">
        <v>1150</v>
      </c>
      <c r="C3793" s="63"/>
      <c r="D3793" s="64"/>
      <c r="E3793" s="65"/>
      <c r="F3793" s="66"/>
      <c r="G3793" s="63"/>
      <c r="H3793" s="67"/>
      <c r="I3793" s="68"/>
      <c r="J3793" s="68"/>
      <c r="K3793" s="32"/>
      <c r="L3793" s="75">
        <v>3793</v>
      </c>
      <c r="M3793" s="75"/>
      <c r="N3793" s="70"/>
      <c r="O3793" s="77" t="s">
        <v>179</v>
      </c>
      <c r="P3793" s="79">
        <v>45176.758530092593</v>
      </c>
      <c r="Q3793" s="77" t="s">
        <v>4999</v>
      </c>
      <c r="R3793" s="77">
        <v>0</v>
      </c>
      <c r="S3793" s="77">
        <v>0</v>
      </c>
      <c r="T3793" s="77">
        <v>1</v>
      </c>
      <c r="U3793" s="77">
        <v>0</v>
      </c>
      <c r="V3793" s="77">
        <v>269</v>
      </c>
      <c r="W3793" s="82" t="s">
        <v>7017</v>
      </c>
      <c r="X3793" s="77"/>
      <c r="Y3793" s="77"/>
      <c r="Z3793" s="77"/>
      <c r="AA3793" s="77" t="s">
        <v>9962</v>
      </c>
      <c r="AB3793" s="77" t="s">
        <v>10129</v>
      </c>
      <c r="AC3793" s="82" t="s">
        <v>10145</v>
      </c>
      <c r="AD3793" s="77" t="s">
        <v>10184</v>
      </c>
      <c r="AE3793" s="80" t="str">
        <f>HYPERLINK("https://twitter.com/xscavuzzi/status/1699848076817523103")</f>
        <v>https://twitter.com/xscavuzzi/status/1699848076817523103</v>
      </c>
      <c r="AF3793" s="79">
        <v>45176.758530092593</v>
      </c>
      <c r="AG3793" s="85">
        <v>45176</v>
      </c>
      <c r="AH3793" s="82" t="s">
        <v>13777</v>
      </c>
      <c r="AI3793" s="77" t="b">
        <v>0</v>
      </c>
      <c r="AJ3793" s="77"/>
      <c r="AK3793" s="77"/>
      <c r="AL3793" s="77"/>
      <c r="AM3793" s="77"/>
      <c r="AN3793" s="77"/>
      <c r="AO3793" s="77"/>
      <c r="AP3793" s="77"/>
      <c r="AQ3793" s="77" t="s">
        <v>16605</v>
      </c>
      <c r="AR3793" s="77">
        <v>26366</v>
      </c>
      <c r="AS3793" s="77"/>
      <c r="AT3793" s="77"/>
      <c r="AU3793" s="77"/>
      <c r="AV3793" s="80" t="str">
        <f>HYPERLINK("https://pbs.twimg.com/ext_tw_video_thumb/1699847972819726336/pu/img/PujizBIs6CwU171x.jpg")</f>
        <v>https://pbs.twimg.com/ext_tw_video_thumb/1699847972819726336/pu/img/PujizBIs6CwU171x.jpg</v>
      </c>
      <c r="AW3793" s="82" t="s">
        <v>20559</v>
      </c>
      <c r="AX3793" s="82" t="s">
        <v>20559</v>
      </c>
      <c r="AY3793" s="77"/>
      <c r="AZ3793" s="82" t="s">
        <v>20971</v>
      </c>
      <c r="BA3793" s="82" t="s">
        <v>20971</v>
      </c>
      <c r="BB3793" s="82" t="s">
        <v>20971</v>
      </c>
      <c r="BC3793" s="82" t="s">
        <v>20559</v>
      </c>
      <c r="BD3793" s="77">
        <v>718250155</v>
      </c>
      <c r="BE3793" s="77"/>
      <c r="BF3793" s="77"/>
      <c r="BG3793" s="77"/>
      <c r="BH3793" s="77"/>
      <c r="BI3793" s="77"/>
    </row>
    <row r="3794" spans="1:61" x14ac:dyDescent="0.25">
      <c r="A3794" s="62" t="s">
        <v>1151</v>
      </c>
      <c r="B3794" s="62" t="s">
        <v>1151</v>
      </c>
      <c r="C3794" s="63"/>
      <c r="D3794" s="64"/>
      <c r="E3794" s="65"/>
      <c r="F3794" s="66"/>
      <c r="G3794" s="63"/>
      <c r="H3794" s="67"/>
      <c r="I3794" s="68"/>
      <c r="J3794" s="68"/>
      <c r="K3794" s="32"/>
      <c r="L3794" s="75">
        <v>3794</v>
      </c>
      <c r="M3794" s="75"/>
      <c r="N3794" s="70"/>
      <c r="O3794" s="77" t="s">
        <v>179</v>
      </c>
      <c r="P3794" s="79">
        <v>45118.705185185187</v>
      </c>
      <c r="Q3794" s="77" t="s">
        <v>5000</v>
      </c>
      <c r="R3794" s="77">
        <v>0</v>
      </c>
      <c r="S3794" s="77">
        <v>0</v>
      </c>
      <c r="T3794" s="77">
        <v>0</v>
      </c>
      <c r="U3794" s="77">
        <v>0</v>
      </c>
      <c r="V3794" s="77">
        <v>153</v>
      </c>
      <c r="W3794" s="82" t="s">
        <v>7018</v>
      </c>
      <c r="X3794" s="77"/>
      <c r="Y3794" s="77"/>
      <c r="Z3794" s="77"/>
      <c r="AA3794" s="77" t="s">
        <v>9963</v>
      </c>
      <c r="AB3794" s="77" t="s">
        <v>10129</v>
      </c>
      <c r="AC3794" s="82" t="s">
        <v>10146</v>
      </c>
      <c r="AD3794" s="77" t="s">
        <v>10184</v>
      </c>
      <c r="AE3794" s="80" t="str">
        <f>HYPERLINK("https://twitter.com/mentoriajurosa/status/1678810248826454026")</f>
        <v>https://twitter.com/mentoriajurosa/status/1678810248826454026</v>
      </c>
      <c r="AF3794" s="79">
        <v>45118.705185185187</v>
      </c>
      <c r="AG3794" s="85">
        <v>45118</v>
      </c>
      <c r="AH3794" s="82" t="s">
        <v>13778</v>
      </c>
      <c r="AI3794" s="77" t="b">
        <v>0</v>
      </c>
      <c r="AJ3794" s="77"/>
      <c r="AK3794" s="77"/>
      <c r="AL3794" s="77"/>
      <c r="AM3794" s="77"/>
      <c r="AN3794" s="77"/>
      <c r="AO3794" s="77"/>
      <c r="AP3794" s="77"/>
      <c r="AQ3794" s="77" t="s">
        <v>16606</v>
      </c>
      <c r="AR3794" s="77">
        <v>21000</v>
      </c>
      <c r="AS3794" s="77"/>
      <c r="AT3794" s="77"/>
      <c r="AU3794" s="77"/>
      <c r="AV3794" s="80" t="str">
        <f>HYPERLINK("https://pbs.twimg.com/ext_tw_video_thumb/1678810094085996556/pu/img/rCJXyxoGLGXdxbUn.jpg")</f>
        <v>https://pbs.twimg.com/ext_tw_video_thumb/1678810094085996556/pu/img/rCJXyxoGLGXdxbUn.jpg</v>
      </c>
      <c r="AW3794" s="82" t="s">
        <v>20560</v>
      </c>
      <c r="AX3794" s="82" t="s">
        <v>20560</v>
      </c>
      <c r="AY3794" s="77"/>
      <c r="AZ3794" s="82" t="s">
        <v>20971</v>
      </c>
      <c r="BA3794" s="82" t="s">
        <v>20971</v>
      </c>
      <c r="BB3794" s="82" t="s">
        <v>20971</v>
      </c>
      <c r="BC3794" s="82" t="s">
        <v>20560</v>
      </c>
      <c r="BD3794" s="82" t="s">
        <v>21707</v>
      </c>
      <c r="BE3794" s="77"/>
      <c r="BF3794" s="77"/>
      <c r="BG3794" s="77"/>
      <c r="BH3794" s="77"/>
      <c r="BI3794" s="77"/>
    </row>
    <row r="3795" spans="1:61" x14ac:dyDescent="0.25">
      <c r="A3795" s="62" t="s">
        <v>1151</v>
      </c>
      <c r="B3795" s="62" t="s">
        <v>1151</v>
      </c>
      <c r="C3795" s="63"/>
      <c r="D3795" s="64"/>
      <c r="E3795" s="65"/>
      <c r="F3795" s="66"/>
      <c r="G3795" s="63"/>
      <c r="H3795" s="67"/>
      <c r="I3795" s="68"/>
      <c r="J3795" s="68"/>
      <c r="K3795" s="32"/>
      <c r="L3795" s="75">
        <v>3795</v>
      </c>
      <c r="M3795" s="75"/>
      <c r="N3795" s="70"/>
      <c r="O3795" s="77" t="s">
        <v>179</v>
      </c>
      <c r="P3795" s="79">
        <v>45121.837523148148</v>
      </c>
      <c r="Q3795" s="77" t="s">
        <v>5001</v>
      </c>
      <c r="R3795" s="77">
        <v>0</v>
      </c>
      <c r="S3795" s="77">
        <v>0</v>
      </c>
      <c r="T3795" s="77">
        <v>0</v>
      </c>
      <c r="U3795" s="77">
        <v>0</v>
      </c>
      <c r="V3795" s="77">
        <v>104</v>
      </c>
      <c r="W3795" s="82" t="s">
        <v>7019</v>
      </c>
      <c r="X3795" s="77"/>
      <c r="Y3795" s="77"/>
      <c r="Z3795" s="77"/>
      <c r="AA3795" s="77" t="s">
        <v>9964</v>
      </c>
      <c r="AB3795" s="77" t="s">
        <v>10130</v>
      </c>
      <c r="AC3795" s="82" t="s">
        <v>10146</v>
      </c>
      <c r="AD3795" s="77" t="s">
        <v>10184</v>
      </c>
      <c r="AE3795" s="80" t="str">
        <f>HYPERLINK("https://twitter.com/mentoriajurosa/status/1679945367880626176")</f>
        <v>https://twitter.com/mentoriajurosa/status/1679945367880626176</v>
      </c>
      <c r="AF3795" s="79">
        <v>45121.837523148148</v>
      </c>
      <c r="AG3795" s="85">
        <v>45121</v>
      </c>
      <c r="AH3795" s="82" t="s">
        <v>13779</v>
      </c>
      <c r="AI3795" s="77" t="b">
        <v>0</v>
      </c>
      <c r="AJ3795" s="77"/>
      <c r="AK3795" s="77"/>
      <c r="AL3795" s="77"/>
      <c r="AM3795" s="77"/>
      <c r="AN3795" s="77"/>
      <c r="AO3795" s="77"/>
      <c r="AP3795" s="77"/>
      <c r="AQ3795" s="77" t="s">
        <v>16607</v>
      </c>
      <c r="AR3795" s="77"/>
      <c r="AS3795" s="77"/>
      <c r="AT3795" s="77"/>
      <c r="AU3795" s="77"/>
      <c r="AV3795" s="80" t="str">
        <f>HYPERLINK("https://pbs.twimg.com/media/F1Bck-qWIAE6K9a.jpg")</f>
        <v>https://pbs.twimg.com/media/F1Bck-qWIAE6K9a.jpg</v>
      </c>
      <c r="AW3795" s="82" t="s">
        <v>20561</v>
      </c>
      <c r="AX3795" s="82" t="s">
        <v>20561</v>
      </c>
      <c r="AY3795" s="77"/>
      <c r="AZ3795" s="82" t="s">
        <v>20971</v>
      </c>
      <c r="BA3795" s="82" t="s">
        <v>20971</v>
      </c>
      <c r="BB3795" s="82" t="s">
        <v>20971</v>
      </c>
      <c r="BC3795" s="82" t="s">
        <v>20561</v>
      </c>
      <c r="BD3795" s="82" t="s">
        <v>21707</v>
      </c>
      <c r="BE3795" s="77"/>
      <c r="BF3795" s="77"/>
      <c r="BG3795" s="77"/>
      <c r="BH3795" s="77"/>
      <c r="BI3795" s="77"/>
    </row>
    <row r="3796" spans="1:61" x14ac:dyDescent="0.25">
      <c r="A3796" s="62" t="s">
        <v>1152</v>
      </c>
      <c r="B3796" s="62" t="s">
        <v>1152</v>
      </c>
      <c r="C3796" s="63"/>
      <c r="D3796" s="64"/>
      <c r="E3796" s="65"/>
      <c r="F3796" s="66"/>
      <c r="G3796" s="63"/>
      <c r="H3796" s="67"/>
      <c r="I3796" s="68"/>
      <c r="J3796" s="68"/>
      <c r="K3796" s="32"/>
      <c r="L3796" s="75">
        <v>3796</v>
      </c>
      <c r="M3796" s="75"/>
      <c r="N3796" s="70"/>
      <c r="O3796" s="77" t="s">
        <v>179</v>
      </c>
      <c r="P3796" s="79">
        <v>44993.0309375</v>
      </c>
      <c r="Q3796" s="77" t="s">
        <v>5002</v>
      </c>
      <c r="R3796" s="77">
        <v>0</v>
      </c>
      <c r="S3796" s="77">
        <v>1</v>
      </c>
      <c r="T3796" s="77">
        <v>1</v>
      </c>
      <c r="U3796" s="77">
        <v>1</v>
      </c>
      <c r="V3796" s="77">
        <v>488</v>
      </c>
      <c r="W3796" s="77"/>
      <c r="X3796" s="80" t="str">
        <f>HYPERLINK("https://chat.whatsapp.com/GCXlV3dUyRMBiyR76Eu9bT")</f>
        <v>https://chat.whatsapp.com/GCXlV3dUyRMBiyR76Eu9bT</v>
      </c>
      <c r="Y3796" s="77" t="s">
        <v>7343</v>
      </c>
      <c r="Z3796" s="77"/>
      <c r="AA3796" s="77"/>
      <c r="AB3796" s="77"/>
      <c r="AC3796" s="82" t="s">
        <v>10144</v>
      </c>
      <c r="AD3796" s="77" t="s">
        <v>10184</v>
      </c>
      <c r="AE3796" s="80" t="str">
        <f>HYPERLINK("https://twitter.com/iniccolaz/status/1633267424312041473")</f>
        <v>https://twitter.com/iniccolaz/status/1633267424312041473</v>
      </c>
      <c r="AF3796" s="79">
        <v>44993.0309375</v>
      </c>
      <c r="AG3796" s="85">
        <v>44993</v>
      </c>
      <c r="AH3796" s="82" t="s">
        <v>13780</v>
      </c>
      <c r="AI3796" s="77" t="b">
        <v>0</v>
      </c>
      <c r="AJ3796" s="77"/>
      <c r="AK3796" s="77"/>
      <c r="AL3796" s="77"/>
      <c r="AM3796" s="77"/>
      <c r="AN3796" s="77"/>
      <c r="AO3796" s="77"/>
      <c r="AP3796" s="77"/>
      <c r="AQ3796" s="77"/>
      <c r="AR3796" s="77"/>
      <c r="AS3796" s="77"/>
      <c r="AT3796" s="77"/>
      <c r="AU3796" s="77"/>
      <c r="AV3796" s="80" t="str">
        <f>HYPERLINK("https://pbs.twimg.com/profile_images/1685833841376735233/sLFY7bm3_normal.jpg")</f>
        <v>https://pbs.twimg.com/profile_images/1685833841376735233/sLFY7bm3_normal.jpg</v>
      </c>
      <c r="AW3796" s="82" t="s">
        <v>20562</v>
      </c>
      <c r="AX3796" s="82" t="s">
        <v>20562</v>
      </c>
      <c r="AY3796" s="77"/>
      <c r="AZ3796" s="82" t="s">
        <v>20971</v>
      </c>
      <c r="BA3796" s="82" t="s">
        <v>20971</v>
      </c>
      <c r="BB3796" s="82" t="s">
        <v>20971</v>
      </c>
      <c r="BC3796" s="82" t="s">
        <v>20562</v>
      </c>
      <c r="BD3796" s="82" t="s">
        <v>21708</v>
      </c>
      <c r="BE3796" s="77"/>
      <c r="BF3796" s="77"/>
      <c r="BG3796" s="77"/>
      <c r="BH3796" s="77"/>
      <c r="BI3796" s="77"/>
    </row>
    <row r="3797" spans="1:61" x14ac:dyDescent="0.25">
      <c r="A3797" s="62" t="s">
        <v>1152</v>
      </c>
      <c r="B3797" s="62" t="s">
        <v>1152</v>
      </c>
      <c r="C3797" s="63"/>
      <c r="D3797" s="64"/>
      <c r="E3797" s="65"/>
      <c r="F3797" s="66"/>
      <c r="G3797" s="63"/>
      <c r="H3797" s="67"/>
      <c r="I3797" s="68"/>
      <c r="J3797" s="68"/>
      <c r="K3797" s="32"/>
      <c r="L3797" s="75">
        <v>3797</v>
      </c>
      <c r="M3797" s="75"/>
      <c r="N3797" s="70"/>
      <c r="O3797" s="77" t="s">
        <v>1286</v>
      </c>
      <c r="P3797" s="79">
        <v>44993.373067129629</v>
      </c>
      <c r="Q3797" s="77" t="s">
        <v>5003</v>
      </c>
      <c r="R3797" s="77">
        <v>0</v>
      </c>
      <c r="S3797" s="77">
        <v>0</v>
      </c>
      <c r="T3797" s="77">
        <v>0</v>
      </c>
      <c r="U3797" s="77">
        <v>0</v>
      </c>
      <c r="V3797" s="77">
        <v>86</v>
      </c>
      <c r="W3797" s="82" t="s">
        <v>7020</v>
      </c>
      <c r="X3797" s="77"/>
      <c r="Y3797" s="77"/>
      <c r="Z3797" s="77"/>
      <c r="AA3797" s="77"/>
      <c r="AB3797" s="77"/>
      <c r="AC3797" s="82" t="s">
        <v>10144</v>
      </c>
      <c r="AD3797" s="77" t="s">
        <v>10186</v>
      </c>
      <c r="AE3797" s="80" t="str">
        <f>HYPERLINK("https://twitter.com/iniccolaz/status/1633391407535730688")</f>
        <v>https://twitter.com/iniccolaz/status/1633391407535730688</v>
      </c>
      <c r="AF3797" s="79">
        <v>44993.373067129629</v>
      </c>
      <c r="AG3797" s="85">
        <v>44993</v>
      </c>
      <c r="AH3797" s="82" t="s">
        <v>13781</v>
      </c>
      <c r="AI3797" s="77"/>
      <c r="AJ3797" s="77"/>
      <c r="AK3797" s="77"/>
      <c r="AL3797" s="77"/>
      <c r="AM3797" s="77"/>
      <c r="AN3797" s="77"/>
      <c r="AO3797" s="77"/>
      <c r="AP3797" s="77"/>
      <c r="AQ3797" s="77"/>
      <c r="AR3797" s="77"/>
      <c r="AS3797" s="77"/>
      <c r="AT3797" s="77"/>
      <c r="AU3797" s="77"/>
      <c r="AV3797" s="80" t="str">
        <f>HYPERLINK("https://pbs.twimg.com/profile_images/1685833841376735233/sLFY7bm3_normal.jpg")</f>
        <v>https://pbs.twimg.com/profile_images/1685833841376735233/sLFY7bm3_normal.jpg</v>
      </c>
      <c r="AW3797" s="82" t="s">
        <v>20563</v>
      </c>
      <c r="AX3797" s="82" t="s">
        <v>20563</v>
      </c>
      <c r="AY3797" s="77"/>
      <c r="AZ3797" s="82" t="s">
        <v>20971</v>
      </c>
      <c r="BA3797" s="82" t="s">
        <v>20562</v>
      </c>
      <c r="BB3797" s="82" t="s">
        <v>20971</v>
      </c>
      <c r="BC3797" s="82" t="s">
        <v>20562</v>
      </c>
      <c r="BD3797" s="82" t="s">
        <v>21708</v>
      </c>
      <c r="BE3797" s="77"/>
      <c r="BF3797" s="77"/>
      <c r="BG3797" s="77"/>
      <c r="BH3797" s="77"/>
      <c r="BI3797" s="77"/>
    </row>
    <row r="3798" spans="1:61" x14ac:dyDescent="0.25">
      <c r="A3798" s="62" t="s">
        <v>1152</v>
      </c>
      <c r="B3798" s="62" t="s">
        <v>1152</v>
      </c>
      <c r="C3798" s="63"/>
      <c r="D3798" s="64"/>
      <c r="E3798" s="65"/>
      <c r="F3798" s="66"/>
      <c r="G3798" s="63"/>
      <c r="H3798" s="67"/>
      <c r="I3798" s="68"/>
      <c r="J3798" s="68"/>
      <c r="K3798" s="32"/>
      <c r="L3798" s="75">
        <v>3798</v>
      </c>
      <c r="M3798" s="75"/>
      <c r="N3798" s="70"/>
      <c r="O3798" s="77" t="s">
        <v>1286</v>
      </c>
      <c r="P3798" s="79">
        <v>44993.372546296298</v>
      </c>
      <c r="Q3798" s="77" t="s">
        <v>5004</v>
      </c>
      <c r="R3798" s="77">
        <v>0</v>
      </c>
      <c r="S3798" s="77">
        <v>0</v>
      </c>
      <c r="T3798" s="77">
        <v>0</v>
      </c>
      <c r="U3798" s="77">
        <v>0</v>
      </c>
      <c r="V3798" s="77">
        <v>49</v>
      </c>
      <c r="W3798" s="82" t="s">
        <v>7020</v>
      </c>
      <c r="X3798" s="77"/>
      <c r="Y3798" s="77"/>
      <c r="Z3798" s="77"/>
      <c r="AA3798" s="77"/>
      <c r="AB3798" s="77"/>
      <c r="AC3798" s="82" t="s">
        <v>10144</v>
      </c>
      <c r="AD3798" s="77" t="s">
        <v>10186</v>
      </c>
      <c r="AE3798" s="80" t="str">
        <f>HYPERLINK("https://twitter.com/iniccolaz/status/1633391218259378176")</f>
        <v>https://twitter.com/iniccolaz/status/1633391218259378176</v>
      </c>
      <c r="AF3798" s="79">
        <v>44993.372546296298</v>
      </c>
      <c r="AG3798" s="85">
        <v>44993</v>
      </c>
      <c r="AH3798" s="82" t="s">
        <v>13782</v>
      </c>
      <c r="AI3798" s="77"/>
      <c r="AJ3798" s="77"/>
      <c r="AK3798" s="77"/>
      <c r="AL3798" s="77"/>
      <c r="AM3798" s="77"/>
      <c r="AN3798" s="77"/>
      <c r="AO3798" s="77"/>
      <c r="AP3798" s="77"/>
      <c r="AQ3798" s="77"/>
      <c r="AR3798" s="77"/>
      <c r="AS3798" s="77"/>
      <c r="AT3798" s="77"/>
      <c r="AU3798" s="77"/>
      <c r="AV3798" s="80" t="str">
        <f>HYPERLINK("https://pbs.twimg.com/profile_images/1685833841376735233/sLFY7bm3_normal.jpg")</f>
        <v>https://pbs.twimg.com/profile_images/1685833841376735233/sLFY7bm3_normal.jpg</v>
      </c>
      <c r="AW3798" s="82" t="s">
        <v>20564</v>
      </c>
      <c r="AX3798" s="82" t="s">
        <v>20564</v>
      </c>
      <c r="AY3798" s="77"/>
      <c r="AZ3798" s="82" t="s">
        <v>20971</v>
      </c>
      <c r="BA3798" s="82" t="s">
        <v>20562</v>
      </c>
      <c r="BB3798" s="82" t="s">
        <v>20971</v>
      </c>
      <c r="BC3798" s="82" t="s">
        <v>20562</v>
      </c>
      <c r="BD3798" s="82" t="s">
        <v>21708</v>
      </c>
      <c r="BE3798" s="77"/>
      <c r="BF3798" s="77"/>
      <c r="BG3798" s="77"/>
      <c r="BH3798" s="77"/>
      <c r="BI3798" s="77"/>
    </row>
    <row r="3799" spans="1:61" x14ac:dyDescent="0.25">
      <c r="A3799" s="62" t="s">
        <v>1153</v>
      </c>
      <c r="B3799" s="62" t="s">
        <v>1153</v>
      </c>
      <c r="C3799" s="63"/>
      <c r="D3799" s="64"/>
      <c r="E3799" s="65"/>
      <c r="F3799" s="66"/>
      <c r="G3799" s="63"/>
      <c r="H3799" s="67"/>
      <c r="I3799" s="68"/>
      <c r="J3799" s="68"/>
      <c r="K3799" s="32"/>
      <c r="L3799" s="75">
        <v>3799</v>
      </c>
      <c r="M3799" s="75"/>
      <c r="N3799" s="70"/>
      <c r="O3799" s="77" t="s">
        <v>179</v>
      </c>
      <c r="P3799" s="79">
        <v>45007.753564814811</v>
      </c>
      <c r="Q3799" s="77" t="s">
        <v>5005</v>
      </c>
      <c r="R3799" s="77">
        <v>0</v>
      </c>
      <c r="S3799" s="77">
        <v>0</v>
      </c>
      <c r="T3799" s="77">
        <v>0</v>
      </c>
      <c r="U3799" s="77">
        <v>0</v>
      </c>
      <c r="V3799" s="77">
        <v>23</v>
      </c>
      <c r="W3799" s="82" t="s">
        <v>7021</v>
      </c>
      <c r="X3799" s="77"/>
      <c r="Y3799" s="77"/>
      <c r="Z3799" s="77"/>
      <c r="AA3799" s="77" t="s">
        <v>9965</v>
      </c>
      <c r="AB3799" s="77" t="s">
        <v>10130</v>
      </c>
      <c r="AC3799" s="82" t="s">
        <v>10147</v>
      </c>
      <c r="AD3799" s="77" t="s">
        <v>10184</v>
      </c>
      <c r="AE3799" s="80" t="str">
        <f>HYPERLINK("https://twitter.com/portalimoveisij/status/1638602728224989188")</f>
        <v>https://twitter.com/portalimoveisij/status/1638602728224989188</v>
      </c>
      <c r="AF3799" s="79">
        <v>45007.753564814811</v>
      </c>
      <c r="AG3799" s="85">
        <v>45007</v>
      </c>
      <c r="AH3799" s="82" t="s">
        <v>13783</v>
      </c>
      <c r="AI3799" s="77" t="b">
        <v>0</v>
      </c>
      <c r="AJ3799" s="77"/>
      <c r="AK3799" s="77"/>
      <c r="AL3799" s="77"/>
      <c r="AM3799" s="77"/>
      <c r="AN3799" s="77"/>
      <c r="AO3799" s="77"/>
      <c r="AP3799" s="77"/>
      <c r="AQ3799" s="77" t="s">
        <v>16608</v>
      </c>
      <c r="AR3799" s="77"/>
      <c r="AS3799" s="77"/>
      <c r="AT3799" s="77"/>
      <c r="AU3799" s="77"/>
      <c r="AV3799" s="80" t="str">
        <f>HYPERLINK("https://pbs.twimg.com/media/Fr18f2iXwAIrRd9.jpg")</f>
        <v>https://pbs.twimg.com/media/Fr18f2iXwAIrRd9.jpg</v>
      </c>
      <c r="AW3799" s="82" t="s">
        <v>20565</v>
      </c>
      <c r="AX3799" s="82" t="s">
        <v>20565</v>
      </c>
      <c r="AY3799" s="77"/>
      <c r="AZ3799" s="82" t="s">
        <v>20971</v>
      </c>
      <c r="BA3799" s="82" t="s">
        <v>20971</v>
      </c>
      <c r="BB3799" s="82" t="s">
        <v>20971</v>
      </c>
      <c r="BC3799" s="82" t="s">
        <v>20565</v>
      </c>
      <c r="BD3799" s="82" t="s">
        <v>21709</v>
      </c>
      <c r="BE3799" s="77"/>
      <c r="BF3799" s="77"/>
      <c r="BG3799" s="77"/>
      <c r="BH3799" s="77"/>
      <c r="BI3799" s="77"/>
    </row>
    <row r="3800" spans="1:61" x14ac:dyDescent="0.25">
      <c r="A3800" s="62" t="s">
        <v>1154</v>
      </c>
      <c r="B3800" s="62" t="s">
        <v>1154</v>
      </c>
      <c r="C3800" s="63"/>
      <c r="D3800" s="64"/>
      <c r="E3800" s="65"/>
      <c r="F3800" s="66"/>
      <c r="G3800" s="63"/>
      <c r="H3800" s="67"/>
      <c r="I3800" s="68"/>
      <c r="J3800" s="68"/>
      <c r="K3800" s="32"/>
      <c r="L3800" s="75">
        <v>3800</v>
      </c>
      <c r="M3800" s="75"/>
      <c r="N3800" s="70"/>
      <c r="O3800" s="77" t="s">
        <v>179</v>
      </c>
      <c r="P3800" s="79">
        <v>45134.637118055558</v>
      </c>
      <c r="Q3800" s="77" t="s">
        <v>5006</v>
      </c>
      <c r="R3800" s="77">
        <v>0</v>
      </c>
      <c r="S3800" s="77">
        <v>0</v>
      </c>
      <c r="T3800" s="77">
        <v>0</v>
      </c>
      <c r="U3800" s="77">
        <v>0</v>
      </c>
      <c r="V3800" s="77">
        <v>8</v>
      </c>
      <c r="W3800" s="82" t="s">
        <v>7022</v>
      </c>
      <c r="X3800" s="77"/>
      <c r="Y3800" s="77"/>
      <c r="Z3800" s="77"/>
      <c r="AA3800" s="77" t="s">
        <v>9966</v>
      </c>
      <c r="AB3800" s="77" t="s">
        <v>10130</v>
      </c>
      <c r="AC3800" s="82" t="s">
        <v>10144</v>
      </c>
      <c r="AD3800" s="77" t="s">
        <v>10184</v>
      </c>
      <c r="AE3800" s="80" t="str">
        <f>HYPERLINK("https://twitter.com/livrodigital1/status/1684583788028862467")</f>
        <v>https://twitter.com/livrodigital1/status/1684583788028862467</v>
      </c>
      <c r="AF3800" s="79">
        <v>45134.637118055558</v>
      </c>
      <c r="AG3800" s="85">
        <v>45134</v>
      </c>
      <c r="AH3800" s="82" t="s">
        <v>13784</v>
      </c>
      <c r="AI3800" s="77" t="b">
        <v>0</v>
      </c>
      <c r="AJ3800" s="77"/>
      <c r="AK3800" s="77"/>
      <c r="AL3800" s="77"/>
      <c r="AM3800" s="77"/>
      <c r="AN3800" s="77"/>
      <c r="AO3800" s="77"/>
      <c r="AP3800" s="77"/>
      <c r="AQ3800" s="77" t="s">
        <v>16609</v>
      </c>
      <c r="AR3800" s="77"/>
      <c r="AS3800" s="77"/>
      <c r="AT3800" s="77"/>
      <c r="AU3800" s="77"/>
      <c r="AV3800" s="80" t="str">
        <f>HYPERLINK("https://pbs.twimg.com/media/F2DYBxwWUAArJTr.jpg")</f>
        <v>https://pbs.twimg.com/media/F2DYBxwWUAArJTr.jpg</v>
      </c>
      <c r="AW3800" s="82" t="s">
        <v>20566</v>
      </c>
      <c r="AX3800" s="82" t="s">
        <v>20566</v>
      </c>
      <c r="AY3800" s="77"/>
      <c r="AZ3800" s="82" t="s">
        <v>20971</v>
      </c>
      <c r="BA3800" s="82" t="s">
        <v>20971</v>
      </c>
      <c r="BB3800" s="82" t="s">
        <v>20971</v>
      </c>
      <c r="BC3800" s="82" t="s">
        <v>20566</v>
      </c>
      <c r="BD3800" s="82" t="s">
        <v>21710</v>
      </c>
      <c r="BE3800" s="77"/>
      <c r="BF3800" s="77"/>
      <c r="BG3800" s="77"/>
      <c r="BH3800" s="77"/>
      <c r="BI3800" s="77"/>
    </row>
    <row r="3801" spans="1:61" x14ac:dyDescent="0.25">
      <c r="A3801" s="62" t="s">
        <v>1155</v>
      </c>
      <c r="B3801" s="62" t="s">
        <v>1155</v>
      </c>
      <c r="C3801" s="63"/>
      <c r="D3801" s="64"/>
      <c r="E3801" s="65"/>
      <c r="F3801" s="66"/>
      <c r="G3801" s="63"/>
      <c r="H3801" s="67"/>
      <c r="I3801" s="68"/>
      <c r="J3801" s="68"/>
      <c r="K3801" s="32"/>
      <c r="L3801" s="75">
        <v>3801</v>
      </c>
      <c r="M3801" s="75"/>
      <c r="N3801" s="70"/>
      <c r="O3801" s="77" t="s">
        <v>179</v>
      </c>
      <c r="P3801" s="79">
        <v>44988.58556712963</v>
      </c>
      <c r="Q3801" s="77" t="s">
        <v>5007</v>
      </c>
      <c r="R3801" s="77">
        <v>0</v>
      </c>
      <c r="S3801" s="77">
        <v>0</v>
      </c>
      <c r="T3801" s="77">
        <v>0</v>
      </c>
      <c r="U3801" s="77">
        <v>0</v>
      </c>
      <c r="V3801" s="77">
        <v>13</v>
      </c>
      <c r="W3801" s="82" t="s">
        <v>7023</v>
      </c>
      <c r="X3801" s="80" t="str">
        <f>HYPERLINK("https://cursos.escoladevencedores.net")</f>
        <v>https://cursos.escoladevencedores.net</v>
      </c>
      <c r="Y3801" s="77" t="s">
        <v>7478</v>
      </c>
      <c r="Z3801" s="77"/>
      <c r="AA3801" s="77" t="s">
        <v>9967</v>
      </c>
      <c r="AB3801" s="77" t="s">
        <v>10130</v>
      </c>
      <c r="AC3801" s="82" t="s">
        <v>10146</v>
      </c>
      <c r="AD3801" s="77" t="s">
        <v>10184</v>
      </c>
      <c r="AE3801" s="80" t="str">
        <f>HYPERLINK("https://twitter.com/marcos_s_goes/status/1631656478774902785")</f>
        <v>https://twitter.com/marcos_s_goes/status/1631656478774902785</v>
      </c>
      <c r="AF3801" s="79">
        <v>44988.58556712963</v>
      </c>
      <c r="AG3801" s="85">
        <v>44988</v>
      </c>
      <c r="AH3801" s="82" t="s">
        <v>13785</v>
      </c>
      <c r="AI3801" s="77" t="b">
        <v>0</v>
      </c>
      <c r="AJ3801" s="77"/>
      <c r="AK3801" s="77"/>
      <c r="AL3801" s="77"/>
      <c r="AM3801" s="77"/>
      <c r="AN3801" s="77"/>
      <c r="AO3801" s="77"/>
      <c r="AP3801" s="77"/>
      <c r="AQ3801" s="77" t="s">
        <v>16610</v>
      </c>
      <c r="AR3801" s="77"/>
      <c r="AS3801" s="77"/>
      <c r="AT3801" s="77"/>
      <c r="AU3801" s="77"/>
      <c r="AV3801" s="80" t="str">
        <f>HYPERLINK("https://pbs.twimg.com/media/FqTO6TTWAAEmnxl.jpg")</f>
        <v>https://pbs.twimg.com/media/FqTO6TTWAAEmnxl.jpg</v>
      </c>
      <c r="AW3801" s="82" t="s">
        <v>20567</v>
      </c>
      <c r="AX3801" s="82" t="s">
        <v>20567</v>
      </c>
      <c r="AY3801" s="77"/>
      <c r="AZ3801" s="82" t="s">
        <v>20971</v>
      </c>
      <c r="BA3801" s="82" t="s">
        <v>20971</v>
      </c>
      <c r="BB3801" s="82" t="s">
        <v>20971</v>
      </c>
      <c r="BC3801" s="82" t="s">
        <v>20567</v>
      </c>
      <c r="BD3801" s="82" t="s">
        <v>21711</v>
      </c>
      <c r="BE3801" s="77"/>
      <c r="BF3801" s="77"/>
      <c r="BG3801" s="77"/>
      <c r="BH3801" s="77"/>
      <c r="BI3801" s="77"/>
    </row>
    <row r="3802" spans="1:61" x14ac:dyDescent="0.25">
      <c r="A3802" s="62" t="s">
        <v>1156</v>
      </c>
      <c r="B3802" s="62" t="s">
        <v>1156</v>
      </c>
      <c r="C3802" s="63"/>
      <c r="D3802" s="64"/>
      <c r="E3802" s="65"/>
      <c r="F3802" s="66"/>
      <c r="G3802" s="63"/>
      <c r="H3802" s="67"/>
      <c r="I3802" s="68"/>
      <c r="J3802" s="68"/>
      <c r="K3802" s="32"/>
      <c r="L3802" s="75">
        <v>3802</v>
      </c>
      <c r="M3802" s="75"/>
      <c r="N3802" s="70"/>
      <c r="O3802" s="77" t="s">
        <v>179</v>
      </c>
      <c r="P3802" s="79">
        <v>44963.506076388891</v>
      </c>
      <c r="Q3802" s="77" t="s">
        <v>5008</v>
      </c>
      <c r="R3802" s="77">
        <v>0</v>
      </c>
      <c r="S3802" s="77">
        <v>0</v>
      </c>
      <c r="T3802" s="77">
        <v>0</v>
      </c>
      <c r="U3802" s="77">
        <v>0</v>
      </c>
      <c r="V3802" s="77">
        <v>25</v>
      </c>
      <c r="W3802" s="82" t="s">
        <v>7024</v>
      </c>
      <c r="X3802" s="77"/>
      <c r="Y3802" s="77"/>
      <c r="Z3802" s="77"/>
      <c r="AA3802" s="77" t="s">
        <v>9968</v>
      </c>
      <c r="AB3802" s="77" t="s">
        <v>10130</v>
      </c>
      <c r="AC3802" s="82" t="s">
        <v>10144</v>
      </c>
      <c r="AD3802" s="77" t="s">
        <v>10184</v>
      </c>
      <c r="AE3802" s="80" t="str">
        <f>HYPERLINK("https://twitter.com/cleitonfinancas/status/1622567972719009793")</f>
        <v>https://twitter.com/cleitonfinancas/status/1622567972719009793</v>
      </c>
      <c r="AF3802" s="79">
        <v>44963.506076388891</v>
      </c>
      <c r="AG3802" s="85">
        <v>44963</v>
      </c>
      <c r="AH3802" s="82" t="s">
        <v>13786</v>
      </c>
      <c r="AI3802" s="77" t="b">
        <v>0</v>
      </c>
      <c r="AJ3802" s="77"/>
      <c r="AK3802" s="77"/>
      <c r="AL3802" s="77"/>
      <c r="AM3802" s="77"/>
      <c r="AN3802" s="77"/>
      <c r="AO3802" s="77"/>
      <c r="AP3802" s="77"/>
      <c r="AQ3802" s="77" t="s">
        <v>16611</v>
      </c>
      <c r="AR3802" s="77"/>
      <c r="AS3802" s="77"/>
      <c r="AT3802" s="77"/>
      <c r="AU3802" s="77"/>
      <c r="AV3802" s="80" t="str">
        <f>HYPERLINK("https://pbs.twimg.com/media/FoSE-KSXEAASjGB.jpg")</f>
        <v>https://pbs.twimg.com/media/FoSE-KSXEAASjGB.jpg</v>
      </c>
      <c r="AW3802" s="82" t="s">
        <v>20568</v>
      </c>
      <c r="AX3802" s="82" t="s">
        <v>20568</v>
      </c>
      <c r="AY3802" s="77"/>
      <c r="AZ3802" s="82" t="s">
        <v>20971</v>
      </c>
      <c r="BA3802" s="82" t="s">
        <v>20971</v>
      </c>
      <c r="BB3802" s="82" t="s">
        <v>20971</v>
      </c>
      <c r="BC3802" s="82" t="s">
        <v>20568</v>
      </c>
      <c r="BD3802" s="82" t="s">
        <v>21712</v>
      </c>
      <c r="BE3802" s="77"/>
      <c r="BF3802" s="77"/>
      <c r="BG3802" s="77"/>
      <c r="BH3802" s="77"/>
      <c r="BI3802" s="77"/>
    </row>
    <row r="3803" spans="1:61" x14ac:dyDescent="0.25">
      <c r="A3803" s="62" t="s">
        <v>1157</v>
      </c>
      <c r="B3803" s="62" t="s">
        <v>1157</v>
      </c>
      <c r="C3803" s="63"/>
      <c r="D3803" s="64"/>
      <c r="E3803" s="65"/>
      <c r="F3803" s="66"/>
      <c r="G3803" s="63"/>
      <c r="H3803" s="67"/>
      <c r="I3803" s="68"/>
      <c r="J3803" s="68"/>
      <c r="K3803" s="32"/>
      <c r="L3803" s="75">
        <v>3803</v>
      </c>
      <c r="M3803" s="75"/>
      <c r="N3803" s="70"/>
      <c r="O3803" s="77" t="s">
        <v>179</v>
      </c>
      <c r="P3803" s="79">
        <v>45136.584988425922</v>
      </c>
      <c r="Q3803" s="77" t="s">
        <v>5009</v>
      </c>
      <c r="R3803" s="77">
        <v>0</v>
      </c>
      <c r="S3803" s="77">
        <v>0</v>
      </c>
      <c r="T3803" s="77">
        <v>0</v>
      </c>
      <c r="U3803" s="77">
        <v>0</v>
      </c>
      <c r="V3803" s="77">
        <v>38</v>
      </c>
      <c r="W3803" s="82" t="s">
        <v>7025</v>
      </c>
      <c r="X3803" s="80" t="str">
        <f>HYPERLINK("https://p.eduzz.com/1957423?a=298136378")</f>
        <v>https://p.eduzz.com/1957423?a=298136378</v>
      </c>
      <c r="Y3803" s="77" t="s">
        <v>7245</v>
      </c>
      <c r="Z3803" s="77"/>
      <c r="AA3803" s="77" t="s">
        <v>9969</v>
      </c>
      <c r="AB3803" s="77" t="s">
        <v>10130</v>
      </c>
      <c r="AC3803" s="82" t="s">
        <v>10145</v>
      </c>
      <c r="AD3803" s="77" t="s">
        <v>10184</v>
      </c>
      <c r="AE3803" s="80" t="str">
        <f>HYPERLINK("https://twitter.com/wellington271/status/1685289672811917312")</f>
        <v>https://twitter.com/wellington271/status/1685289672811917312</v>
      </c>
      <c r="AF3803" s="79">
        <v>45136.584988425922</v>
      </c>
      <c r="AG3803" s="85">
        <v>45136</v>
      </c>
      <c r="AH3803" s="82" t="s">
        <v>10659</v>
      </c>
      <c r="AI3803" s="77" t="b">
        <v>0</v>
      </c>
      <c r="AJ3803" s="77"/>
      <c r="AK3803" s="77"/>
      <c r="AL3803" s="77"/>
      <c r="AM3803" s="77"/>
      <c r="AN3803" s="77"/>
      <c r="AO3803" s="77"/>
      <c r="AP3803" s="77"/>
      <c r="AQ3803" s="77" t="s">
        <v>16612</v>
      </c>
      <c r="AR3803" s="77"/>
      <c r="AS3803" s="77"/>
      <c r="AT3803" s="77"/>
      <c r="AU3803" s="77"/>
      <c r="AV3803" s="80" t="str">
        <f>HYPERLINK("https://pbs.twimg.com/media/F2NaBgMWMAAZGT_.jpg")</f>
        <v>https://pbs.twimg.com/media/F2NaBgMWMAAZGT_.jpg</v>
      </c>
      <c r="AW3803" s="82" t="s">
        <v>20569</v>
      </c>
      <c r="AX3803" s="82" t="s">
        <v>20569</v>
      </c>
      <c r="AY3803" s="77"/>
      <c r="AZ3803" s="82" t="s">
        <v>20971</v>
      </c>
      <c r="BA3803" s="82" t="s">
        <v>20971</v>
      </c>
      <c r="BB3803" s="82" t="s">
        <v>20971</v>
      </c>
      <c r="BC3803" s="82" t="s">
        <v>20569</v>
      </c>
      <c r="BD3803" s="77">
        <v>51202019</v>
      </c>
      <c r="BE3803" s="77"/>
      <c r="BF3803" s="77"/>
      <c r="BG3803" s="77"/>
      <c r="BH3803" s="77"/>
      <c r="BI3803" s="77"/>
    </row>
    <row r="3804" spans="1:61" x14ac:dyDescent="0.25">
      <c r="A3804" s="62" t="s">
        <v>1158</v>
      </c>
      <c r="B3804" s="62" t="s">
        <v>1158</v>
      </c>
      <c r="C3804" s="63"/>
      <c r="D3804" s="64"/>
      <c r="E3804" s="65"/>
      <c r="F3804" s="66"/>
      <c r="G3804" s="63"/>
      <c r="H3804" s="67"/>
      <c r="I3804" s="68"/>
      <c r="J3804" s="68"/>
      <c r="K3804" s="32"/>
      <c r="L3804" s="75">
        <v>3804</v>
      </c>
      <c r="M3804" s="75"/>
      <c r="N3804" s="70"/>
      <c r="O3804" s="77" t="s">
        <v>179</v>
      </c>
      <c r="P3804" s="79">
        <v>45119.479166666664</v>
      </c>
      <c r="Q3804" s="77" t="s">
        <v>5010</v>
      </c>
      <c r="R3804" s="77">
        <v>0</v>
      </c>
      <c r="S3804" s="77">
        <v>0</v>
      </c>
      <c r="T3804" s="77">
        <v>0</v>
      </c>
      <c r="U3804" s="77">
        <v>0</v>
      </c>
      <c r="V3804" s="77">
        <v>43</v>
      </c>
      <c r="W3804" s="82" t="s">
        <v>7026</v>
      </c>
      <c r="X3804" s="77"/>
      <c r="Y3804" s="77"/>
      <c r="Z3804" s="77"/>
      <c r="AA3804" s="77" t="s">
        <v>9970</v>
      </c>
      <c r="AB3804" s="77" t="s">
        <v>10129</v>
      </c>
      <c r="AC3804" s="82" t="s">
        <v>10146</v>
      </c>
      <c r="AD3804" s="77" t="s">
        <v>10184</v>
      </c>
      <c r="AE3804" s="80" t="str">
        <f>HYPERLINK("https://twitter.com/fortunewolf88/status/1679090728692068352")</f>
        <v>https://twitter.com/fortunewolf88/status/1679090728692068352</v>
      </c>
      <c r="AF3804" s="79">
        <v>45119.479166666664</v>
      </c>
      <c r="AG3804" s="85">
        <v>45119</v>
      </c>
      <c r="AH3804" s="82" t="s">
        <v>12878</v>
      </c>
      <c r="AI3804" s="77" t="b">
        <v>0</v>
      </c>
      <c r="AJ3804" s="77"/>
      <c r="AK3804" s="77"/>
      <c r="AL3804" s="77"/>
      <c r="AM3804" s="77"/>
      <c r="AN3804" s="77"/>
      <c r="AO3804" s="77"/>
      <c r="AP3804" s="77"/>
      <c r="AQ3804" s="77" t="s">
        <v>16613</v>
      </c>
      <c r="AR3804" s="77">
        <v>14372</v>
      </c>
      <c r="AS3804" s="77"/>
      <c r="AT3804" s="77"/>
      <c r="AU3804" s="77"/>
      <c r="AV3804" s="80" t="str">
        <f>HYPERLINK("https://pbs.twimg.com/ext_tw_video_thumb/1679089751410765825/pu/img/y_fWqJpV8gAp_YcJ.jpg")</f>
        <v>https://pbs.twimg.com/ext_tw_video_thumb/1679089751410765825/pu/img/y_fWqJpV8gAp_YcJ.jpg</v>
      </c>
      <c r="AW3804" s="82" t="s">
        <v>20570</v>
      </c>
      <c r="AX3804" s="82" t="s">
        <v>20570</v>
      </c>
      <c r="AY3804" s="77"/>
      <c r="AZ3804" s="82" t="s">
        <v>20971</v>
      </c>
      <c r="BA3804" s="82" t="s">
        <v>20971</v>
      </c>
      <c r="BB3804" s="82" t="s">
        <v>20971</v>
      </c>
      <c r="BC3804" s="82" t="s">
        <v>20570</v>
      </c>
      <c r="BD3804" s="82" t="s">
        <v>21713</v>
      </c>
      <c r="BE3804" s="77"/>
      <c r="BF3804" s="77"/>
      <c r="BG3804" s="77"/>
      <c r="BH3804" s="77"/>
      <c r="BI3804" s="77"/>
    </row>
    <row r="3805" spans="1:61" x14ac:dyDescent="0.25">
      <c r="A3805" s="62" t="s">
        <v>1158</v>
      </c>
      <c r="B3805" s="62" t="s">
        <v>1158</v>
      </c>
      <c r="C3805" s="63"/>
      <c r="D3805" s="64"/>
      <c r="E3805" s="65"/>
      <c r="F3805" s="66"/>
      <c r="G3805" s="63"/>
      <c r="H3805" s="67"/>
      <c r="I3805" s="68"/>
      <c r="J3805" s="68"/>
      <c r="K3805" s="32"/>
      <c r="L3805" s="75">
        <v>3805</v>
      </c>
      <c r="M3805" s="75"/>
      <c r="N3805" s="70"/>
      <c r="O3805" s="77" t="s">
        <v>179</v>
      </c>
      <c r="P3805" s="79">
        <v>45118.975115740737</v>
      </c>
      <c r="Q3805" s="77" t="s">
        <v>5011</v>
      </c>
      <c r="R3805" s="77">
        <v>0</v>
      </c>
      <c r="S3805" s="77">
        <v>0</v>
      </c>
      <c r="T3805" s="77">
        <v>0</v>
      </c>
      <c r="U3805" s="77">
        <v>0</v>
      </c>
      <c r="V3805" s="77">
        <v>109</v>
      </c>
      <c r="W3805" s="82" t="s">
        <v>7027</v>
      </c>
      <c r="X3805" s="77"/>
      <c r="Y3805" s="77"/>
      <c r="Z3805" s="77"/>
      <c r="AA3805" s="77" t="s">
        <v>9971</v>
      </c>
      <c r="AB3805" s="77" t="s">
        <v>10129</v>
      </c>
      <c r="AC3805" s="82" t="s">
        <v>10146</v>
      </c>
      <c r="AD3805" s="77" t="s">
        <v>10184</v>
      </c>
      <c r="AE3805" s="80" t="str">
        <f>HYPERLINK("https://twitter.com/fortunewolf88/status/1678908067788775427")</f>
        <v>https://twitter.com/fortunewolf88/status/1678908067788775427</v>
      </c>
      <c r="AF3805" s="79">
        <v>45118.975115740737</v>
      </c>
      <c r="AG3805" s="85">
        <v>45118</v>
      </c>
      <c r="AH3805" s="82" t="s">
        <v>10899</v>
      </c>
      <c r="AI3805" s="77" t="b">
        <v>0</v>
      </c>
      <c r="AJ3805" s="77"/>
      <c r="AK3805" s="77"/>
      <c r="AL3805" s="77"/>
      <c r="AM3805" s="77"/>
      <c r="AN3805" s="77"/>
      <c r="AO3805" s="77"/>
      <c r="AP3805" s="77"/>
      <c r="AQ3805" s="77" t="s">
        <v>16614</v>
      </c>
      <c r="AR3805" s="77">
        <v>17995</v>
      </c>
      <c r="AS3805" s="77"/>
      <c r="AT3805" s="77"/>
      <c r="AU3805" s="77"/>
      <c r="AV3805" s="80" t="str">
        <f>HYPERLINK("https://pbs.twimg.com/ext_tw_video_thumb/1678907885768548353/pu/img/V3a06bCl2Ux9mliB.jpg")</f>
        <v>https://pbs.twimg.com/ext_tw_video_thumb/1678907885768548353/pu/img/V3a06bCl2Ux9mliB.jpg</v>
      </c>
      <c r="AW3805" s="82" t="s">
        <v>20571</v>
      </c>
      <c r="AX3805" s="82" t="s">
        <v>20571</v>
      </c>
      <c r="AY3805" s="77"/>
      <c r="AZ3805" s="82" t="s">
        <v>20971</v>
      </c>
      <c r="BA3805" s="82" t="s">
        <v>20971</v>
      </c>
      <c r="BB3805" s="82" t="s">
        <v>20971</v>
      </c>
      <c r="BC3805" s="82" t="s">
        <v>20571</v>
      </c>
      <c r="BD3805" s="82" t="s">
        <v>21713</v>
      </c>
      <c r="BE3805" s="77"/>
      <c r="BF3805" s="77"/>
      <c r="BG3805" s="77"/>
      <c r="BH3805" s="77"/>
      <c r="BI3805" s="77"/>
    </row>
    <row r="3806" spans="1:61" x14ac:dyDescent="0.25">
      <c r="A3806" s="62" t="s">
        <v>1159</v>
      </c>
      <c r="B3806" s="62" t="s">
        <v>1159</v>
      </c>
      <c r="C3806" s="63"/>
      <c r="D3806" s="64"/>
      <c r="E3806" s="65"/>
      <c r="F3806" s="66"/>
      <c r="G3806" s="63"/>
      <c r="H3806" s="67"/>
      <c r="I3806" s="68"/>
      <c r="J3806" s="68"/>
      <c r="K3806" s="32"/>
      <c r="L3806" s="75">
        <v>3806</v>
      </c>
      <c r="M3806" s="75"/>
      <c r="N3806" s="70"/>
      <c r="O3806" s="77" t="s">
        <v>179</v>
      </c>
      <c r="P3806" s="79">
        <v>45016.728090277778</v>
      </c>
      <c r="Q3806" s="77" t="s">
        <v>5012</v>
      </c>
      <c r="R3806" s="77">
        <v>0</v>
      </c>
      <c r="S3806" s="77">
        <v>0</v>
      </c>
      <c r="T3806" s="77">
        <v>0</v>
      </c>
      <c r="U3806" s="77">
        <v>0</v>
      </c>
      <c r="V3806" s="77">
        <v>14</v>
      </c>
      <c r="W3806" s="82" t="s">
        <v>7028</v>
      </c>
      <c r="X3806" s="77"/>
      <c r="Y3806" s="77"/>
      <c r="Z3806" s="77"/>
      <c r="AA3806" s="77" t="s">
        <v>9972</v>
      </c>
      <c r="AB3806" s="77" t="s">
        <v>10130</v>
      </c>
      <c r="AC3806" s="82" t="s">
        <v>10146</v>
      </c>
      <c r="AD3806" s="77" t="s">
        <v>10184</v>
      </c>
      <c r="AE3806" s="80" t="str">
        <f>HYPERLINK("https://twitter.com/mesadinhaextra/status/1641854985192325121")</f>
        <v>https://twitter.com/mesadinhaextra/status/1641854985192325121</v>
      </c>
      <c r="AF3806" s="79">
        <v>45016.728090277778</v>
      </c>
      <c r="AG3806" s="85">
        <v>45016</v>
      </c>
      <c r="AH3806" s="82" t="s">
        <v>13787</v>
      </c>
      <c r="AI3806" s="77" t="b">
        <v>0</v>
      </c>
      <c r="AJ3806" s="77"/>
      <c r="AK3806" s="77"/>
      <c r="AL3806" s="77"/>
      <c r="AM3806" s="77"/>
      <c r="AN3806" s="77"/>
      <c r="AO3806" s="77"/>
      <c r="AP3806" s="77"/>
      <c r="AQ3806" s="77" t="s">
        <v>16615</v>
      </c>
      <c r="AR3806" s="77"/>
      <c r="AS3806" s="77"/>
      <c r="AT3806" s="77"/>
      <c r="AU3806" s="77"/>
      <c r="AV3806" s="80" t="str">
        <f>HYPERLINK("https://pbs.twimg.com/media/FskKJZGWABMmYwG.jpg")</f>
        <v>https://pbs.twimg.com/media/FskKJZGWABMmYwG.jpg</v>
      </c>
      <c r="AW3806" s="82" t="s">
        <v>20572</v>
      </c>
      <c r="AX3806" s="82" t="s">
        <v>20572</v>
      </c>
      <c r="AY3806" s="77"/>
      <c r="AZ3806" s="82" t="s">
        <v>20971</v>
      </c>
      <c r="BA3806" s="82" t="s">
        <v>20971</v>
      </c>
      <c r="BB3806" s="82" t="s">
        <v>20971</v>
      </c>
      <c r="BC3806" s="82" t="s">
        <v>20572</v>
      </c>
      <c r="BD3806" s="82" t="s">
        <v>21714</v>
      </c>
      <c r="BE3806" s="77"/>
      <c r="BF3806" s="77"/>
      <c r="BG3806" s="77"/>
      <c r="BH3806" s="77"/>
      <c r="BI3806" s="77"/>
    </row>
    <row r="3807" spans="1:61" x14ac:dyDescent="0.25">
      <c r="A3807" s="62" t="s">
        <v>1159</v>
      </c>
      <c r="B3807" s="62" t="s">
        <v>1159</v>
      </c>
      <c r="C3807" s="63"/>
      <c r="D3807" s="64"/>
      <c r="E3807" s="65"/>
      <c r="F3807" s="66"/>
      <c r="G3807" s="63"/>
      <c r="H3807" s="67"/>
      <c r="I3807" s="68"/>
      <c r="J3807" s="68"/>
      <c r="K3807" s="32"/>
      <c r="L3807" s="75">
        <v>3807</v>
      </c>
      <c r="M3807" s="75"/>
      <c r="N3807" s="70"/>
      <c r="O3807" s="77" t="s">
        <v>179</v>
      </c>
      <c r="P3807" s="79">
        <v>45013.011412037034</v>
      </c>
      <c r="Q3807" s="77" t="s">
        <v>5013</v>
      </c>
      <c r="R3807" s="77">
        <v>0</v>
      </c>
      <c r="S3807" s="77">
        <v>0</v>
      </c>
      <c r="T3807" s="77">
        <v>0</v>
      </c>
      <c r="U3807" s="77">
        <v>0</v>
      </c>
      <c r="V3807" s="77">
        <v>21</v>
      </c>
      <c r="W3807" s="82" t="s">
        <v>7029</v>
      </c>
      <c r="X3807" s="77"/>
      <c r="Y3807" s="77"/>
      <c r="Z3807" s="77"/>
      <c r="AA3807" s="77" t="s">
        <v>9973</v>
      </c>
      <c r="AB3807" s="77" t="s">
        <v>10130</v>
      </c>
      <c r="AC3807" s="82" t="s">
        <v>10146</v>
      </c>
      <c r="AD3807" s="77" t="s">
        <v>10184</v>
      </c>
      <c r="AE3807" s="80" t="str">
        <f>HYPERLINK("https://twitter.com/mesadinhaextra/status/1640508105267068928")</f>
        <v>https://twitter.com/mesadinhaextra/status/1640508105267068928</v>
      </c>
      <c r="AF3807" s="79">
        <v>45013.011412037034</v>
      </c>
      <c r="AG3807" s="85">
        <v>45013</v>
      </c>
      <c r="AH3807" s="82" t="s">
        <v>13788</v>
      </c>
      <c r="AI3807" s="77" t="b">
        <v>0</v>
      </c>
      <c r="AJ3807" s="77"/>
      <c r="AK3807" s="77"/>
      <c r="AL3807" s="77"/>
      <c r="AM3807" s="77"/>
      <c r="AN3807" s="77"/>
      <c r="AO3807" s="77"/>
      <c r="AP3807" s="77"/>
      <c r="AQ3807" s="77" t="s">
        <v>16616</v>
      </c>
      <c r="AR3807" s="77"/>
      <c r="AS3807" s="77"/>
      <c r="AT3807" s="77"/>
      <c r="AU3807" s="77"/>
      <c r="AV3807" s="80" t="str">
        <f>HYPERLINK("https://pbs.twimg.com/media/FsRBALVX0AAsoWD.jpg")</f>
        <v>https://pbs.twimg.com/media/FsRBALVX0AAsoWD.jpg</v>
      </c>
      <c r="AW3807" s="82" t="s">
        <v>20573</v>
      </c>
      <c r="AX3807" s="82" t="s">
        <v>20573</v>
      </c>
      <c r="AY3807" s="77"/>
      <c r="AZ3807" s="82" t="s">
        <v>20971</v>
      </c>
      <c r="BA3807" s="82" t="s">
        <v>20971</v>
      </c>
      <c r="BB3807" s="82" t="s">
        <v>20971</v>
      </c>
      <c r="BC3807" s="82" t="s">
        <v>20573</v>
      </c>
      <c r="BD3807" s="82" t="s">
        <v>21714</v>
      </c>
      <c r="BE3807" s="77"/>
      <c r="BF3807" s="77"/>
      <c r="BG3807" s="77"/>
      <c r="BH3807" s="77"/>
      <c r="BI3807" s="77"/>
    </row>
    <row r="3808" spans="1:61" x14ac:dyDescent="0.25">
      <c r="A3808" s="62" t="s">
        <v>1159</v>
      </c>
      <c r="B3808" s="62" t="s">
        <v>1159</v>
      </c>
      <c r="C3808" s="63"/>
      <c r="D3808" s="64"/>
      <c r="E3808" s="65"/>
      <c r="F3808" s="66"/>
      <c r="G3808" s="63"/>
      <c r="H3808" s="67"/>
      <c r="I3808" s="68"/>
      <c r="J3808" s="68"/>
      <c r="K3808" s="32"/>
      <c r="L3808" s="75">
        <v>3808</v>
      </c>
      <c r="M3808" s="75"/>
      <c r="N3808" s="70"/>
      <c r="O3808" s="77" t="s">
        <v>179</v>
      </c>
      <c r="P3808" s="79">
        <v>45013.009328703702</v>
      </c>
      <c r="Q3808" s="77" t="s">
        <v>5014</v>
      </c>
      <c r="R3808" s="77">
        <v>0</v>
      </c>
      <c r="S3808" s="77">
        <v>0</v>
      </c>
      <c r="T3808" s="77">
        <v>0</v>
      </c>
      <c r="U3808" s="77">
        <v>0</v>
      </c>
      <c r="V3808" s="77">
        <v>20</v>
      </c>
      <c r="W3808" s="82" t="s">
        <v>7030</v>
      </c>
      <c r="X3808" s="77"/>
      <c r="Y3808" s="77"/>
      <c r="Z3808" s="77"/>
      <c r="AA3808" s="77" t="s">
        <v>9974</v>
      </c>
      <c r="AB3808" s="77" t="s">
        <v>10130</v>
      </c>
      <c r="AC3808" s="82" t="s">
        <v>10146</v>
      </c>
      <c r="AD3808" s="77" t="s">
        <v>10184</v>
      </c>
      <c r="AE3808" s="80" t="str">
        <f>HYPERLINK("https://twitter.com/mesadinhaextra/status/1640507352305618944")</f>
        <v>https://twitter.com/mesadinhaextra/status/1640507352305618944</v>
      </c>
      <c r="AF3808" s="79">
        <v>45013.009328703702</v>
      </c>
      <c r="AG3808" s="85">
        <v>45013</v>
      </c>
      <c r="AH3808" s="82" t="s">
        <v>13789</v>
      </c>
      <c r="AI3808" s="77" t="b">
        <v>0</v>
      </c>
      <c r="AJ3808" s="77"/>
      <c r="AK3808" s="77"/>
      <c r="AL3808" s="77"/>
      <c r="AM3808" s="77"/>
      <c r="AN3808" s="77"/>
      <c r="AO3808" s="77"/>
      <c r="AP3808" s="77"/>
      <c r="AQ3808" s="77" t="s">
        <v>16617</v>
      </c>
      <c r="AR3808" s="77"/>
      <c r="AS3808" s="77"/>
      <c r="AT3808" s="77"/>
      <c r="AU3808" s="77"/>
      <c r="AV3808" s="80" t="str">
        <f>HYPERLINK("https://pbs.twimg.com/media/FsRAq8GWAAAugQa.jpg")</f>
        <v>https://pbs.twimg.com/media/FsRAq8GWAAAugQa.jpg</v>
      </c>
      <c r="AW3808" s="82" t="s">
        <v>20574</v>
      </c>
      <c r="AX3808" s="82" t="s">
        <v>20574</v>
      </c>
      <c r="AY3808" s="77"/>
      <c r="AZ3808" s="82" t="s">
        <v>20971</v>
      </c>
      <c r="BA3808" s="82" t="s">
        <v>20971</v>
      </c>
      <c r="BB3808" s="82" t="s">
        <v>20971</v>
      </c>
      <c r="BC3808" s="82" t="s">
        <v>20574</v>
      </c>
      <c r="BD3808" s="82" t="s">
        <v>21714</v>
      </c>
      <c r="BE3808" s="77"/>
      <c r="BF3808" s="77"/>
      <c r="BG3808" s="77"/>
      <c r="BH3808" s="77"/>
      <c r="BI3808" s="77"/>
    </row>
    <row r="3809" spans="1:61" x14ac:dyDescent="0.25">
      <c r="A3809" s="62" t="s">
        <v>1159</v>
      </c>
      <c r="B3809" s="62" t="s">
        <v>1159</v>
      </c>
      <c r="C3809" s="63"/>
      <c r="D3809" s="64"/>
      <c r="E3809" s="65"/>
      <c r="F3809" s="66"/>
      <c r="G3809" s="63"/>
      <c r="H3809" s="67"/>
      <c r="I3809" s="68"/>
      <c r="J3809" s="68"/>
      <c r="K3809" s="32"/>
      <c r="L3809" s="75">
        <v>3809</v>
      </c>
      <c r="M3809" s="75"/>
      <c r="N3809" s="70"/>
      <c r="O3809" s="77" t="s">
        <v>179</v>
      </c>
      <c r="P3809" s="79">
        <v>45015.523842592593</v>
      </c>
      <c r="Q3809" s="77" t="s">
        <v>5015</v>
      </c>
      <c r="R3809" s="77">
        <v>0</v>
      </c>
      <c r="S3809" s="77">
        <v>0</v>
      </c>
      <c r="T3809" s="77">
        <v>0</v>
      </c>
      <c r="U3809" s="77">
        <v>0</v>
      </c>
      <c r="V3809" s="77">
        <v>39</v>
      </c>
      <c r="W3809" s="82" t="s">
        <v>7031</v>
      </c>
      <c r="X3809" s="77"/>
      <c r="Y3809" s="77"/>
      <c r="Z3809" s="77"/>
      <c r="AA3809" s="77" t="s">
        <v>9975</v>
      </c>
      <c r="AB3809" s="77" t="s">
        <v>10130</v>
      </c>
      <c r="AC3809" s="82" t="s">
        <v>10146</v>
      </c>
      <c r="AD3809" s="77" t="s">
        <v>10184</v>
      </c>
      <c r="AE3809" s="80" t="str">
        <f>HYPERLINK("https://twitter.com/mesadinhaextra/status/1641418581891055616")</f>
        <v>https://twitter.com/mesadinhaextra/status/1641418581891055616</v>
      </c>
      <c r="AF3809" s="79">
        <v>45015.523842592593</v>
      </c>
      <c r="AG3809" s="85">
        <v>45015</v>
      </c>
      <c r="AH3809" s="82" t="s">
        <v>13790</v>
      </c>
      <c r="AI3809" s="77" t="b">
        <v>0</v>
      </c>
      <c r="AJ3809" s="77"/>
      <c r="AK3809" s="77"/>
      <c r="AL3809" s="77"/>
      <c r="AM3809" s="77"/>
      <c r="AN3809" s="77"/>
      <c r="AO3809" s="77"/>
      <c r="AP3809" s="77"/>
      <c r="AQ3809" s="77" t="s">
        <v>16618</v>
      </c>
      <c r="AR3809" s="77"/>
      <c r="AS3809" s="77"/>
      <c r="AT3809" s="77"/>
      <c r="AU3809" s="77"/>
      <c r="AV3809" s="80" t="str">
        <f>HYPERLINK("https://pbs.twimg.com/media/Fsd9d7yWcAM1V32.jpg")</f>
        <v>https://pbs.twimg.com/media/Fsd9d7yWcAM1V32.jpg</v>
      </c>
      <c r="AW3809" s="82" t="s">
        <v>20575</v>
      </c>
      <c r="AX3809" s="82" t="s">
        <v>20575</v>
      </c>
      <c r="AY3809" s="77"/>
      <c r="AZ3809" s="82" t="s">
        <v>20971</v>
      </c>
      <c r="BA3809" s="82" t="s">
        <v>20971</v>
      </c>
      <c r="BB3809" s="82" t="s">
        <v>20971</v>
      </c>
      <c r="BC3809" s="82" t="s">
        <v>20575</v>
      </c>
      <c r="BD3809" s="82" t="s">
        <v>21714</v>
      </c>
      <c r="BE3809" s="77"/>
      <c r="BF3809" s="77"/>
      <c r="BG3809" s="77"/>
      <c r="BH3809" s="77"/>
      <c r="BI3809" s="77"/>
    </row>
    <row r="3810" spans="1:61" x14ac:dyDescent="0.25">
      <c r="A3810" s="62" t="s">
        <v>1159</v>
      </c>
      <c r="B3810" s="62" t="s">
        <v>1159</v>
      </c>
      <c r="C3810" s="63"/>
      <c r="D3810" s="64"/>
      <c r="E3810" s="65"/>
      <c r="F3810" s="66"/>
      <c r="G3810" s="63"/>
      <c r="H3810" s="67"/>
      <c r="I3810" s="68"/>
      <c r="J3810" s="68"/>
      <c r="K3810" s="32"/>
      <c r="L3810" s="75">
        <v>3810</v>
      </c>
      <c r="M3810" s="75"/>
      <c r="N3810" s="70"/>
      <c r="O3810" s="77" t="s">
        <v>179</v>
      </c>
      <c r="P3810" s="79">
        <v>45015.043842592589</v>
      </c>
      <c r="Q3810" s="77" t="s">
        <v>5016</v>
      </c>
      <c r="R3810" s="77">
        <v>0</v>
      </c>
      <c r="S3810" s="77">
        <v>0</v>
      </c>
      <c r="T3810" s="77">
        <v>0</v>
      </c>
      <c r="U3810" s="77">
        <v>0</v>
      </c>
      <c r="V3810" s="77">
        <v>31</v>
      </c>
      <c r="W3810" s="82" t="s">
        <v>7032</v>
      </c>
      <c r="X3810" s="77"/>
      <c r="Y3810" s="77"/>
      <c r="Z3810" s="77"/>
      <c r="AA3810" s="77" t="s">
        <v>9976</v>
      </c>
      <c r="AB3810" s="77" t="s">
        <v>10128</v>
      </c>
      <c r="AC3810" s="82" t="s">
        <v>10146</v>
      </c>
      <c r="AD3810" s="77" t="s">
        <v>10184</v>
      </c>
      <c r="AE3810" s="80" t="str">
        <f>HYPERLINK("https://twitter.com/mesadinhaextra/status/1641244635887554565")</f>
        <v>https://twitter.com/mesadinhaextra/status/1641244635887554565</v>
      </c>
      <c r="AF3810" s="79">
        <v>45015.043842592589</v>
      </c>
      <c r="AG3810" s="85">
        <v>45015</v>
      </c>
      <c r="AH3810" s="82" t="s">
        <v>13791</v>
      </c>
      <c r="AI3810" s="77" t="b">
        <v>0</v>
      </c>
      <c r="AJ3810" s="77"/>
      <c r="AK3810" s="77"/>
      <c r="AL3810" s="77"/>
      <c r="AM3810" s="77"/>
      <c r="AN3810" s="77"/>
      <c r="AO3810" s="77"/>
      <c r="AP3810" s="77"/>
      <c r="AQ3810" s="77" t="s">
        <v>16619</v>
      </c>
      <c r="AR3810" s="77"/>
      <c r="AS3810" s="77"/>
      <c r="AT3810" s="77"/>
      <c r="AU3810" s="77"/>
      <c r="AV3810" s="80" t="str">
        <f>HYPERLINK("https://pbs.twimg.com/media/Fsbe6qrWYAAxPRU.jpg")</f>
        <v>https://pbs.twimg.com/media/Fsbe6qrWYAAxPRU.jpg</v>
      </c>
      <c r="AW3810" s="82" t="s">
        <v>20576</v>
      </c>
      <c r="AX3810" s="82" t="s">
        <v>20576</v>
      </c>
      <c r="AY3810" s="77"/>
      <c r="AZ3810" s="82" t="s">
        <v>20971</v>
      </c>
      <c r="BA3810" s="82" t="s">
        <v>20971</v>
      </c>
      <c r="BB3810" s="82" t="s">
        <v>20971</v>
      </c>
      <c r="BC3810" s="82" t="s">
        <v>20576</v>
      </c>
      <c r="BD3810" s="82" t="s">
        <v>21714</v>
      </c>
      <c r="BE3810" s="77"/>
      <c r="BF3810" s="77"/>
      <c r="BG3810" s="77"/>
      <c r="BH3810" s="77"/>
      <c r="BI3810" s="77"/>
    </row>
    <row r="3811" spans="1:61" x14ac:dyDescent="0.25">
      <c r="A3811" s="62" t="s">
        <v>1160</v>
      </c>
      <c r="B3811" s="62" t="s">
        <v>1160</v>
      </c>
      <c r="C3811" s="63"/>
      <c r="D3811" s="64"/>
      <c r="E3811" s="65"/>
      <c r="F3811" s="66"/>
      <c r="G3811" s="63"/>
      <c r="H3811" s="67"/>
      <c r="I3811" s="68"/>
      <c r="J3811" s="68"/>
      <c r="K3811" s="32"/>
      <c r="L3811" s="75">
        <v>3811</v>
      </c>
      <c r="M3811" s="75"/>
      <c r="N3811" s="70"/>
      <c r="O3811" s="77" t="s">
        <v>179</v>
      </c>
      <c r="P3811" s="79">
        <v>45174.914675925924</v>
      </c>
      <c r="Q3811" s="77" t="s">
        <v>5017</v>
      </c>
      <c r="R3811" s="77">
        <v>0</v>
      </c>
      <c r="S3811" s="77">
        <v>0</v>
      </c>
      <c r="T3811" s="77">
        <v>0</v>
      </c>
      <c r="U3811" s="77">
        <v>0</v>
      </c>
      <c r="V3811" s="77">
        <v>11</v>
      </c>
      <c r="W3811" s="82" t="s">
        <v>7033</v>
      </c>
      <c r="X3811" s="80" t="str">
        <f>HYPERLINK("https://edzz.la/85XWE?a=35047238")</f>
        <v>https://edzz.la/85XWE?a=35047238</v>
      </c>
      <c r="Y3811" s="77" t="s">
        <v>7271</v>
      </c>
      <c r="Z3811" s="77"/>
      <c r="AA3811" s="77"/>
      <c r="AB3811" s="77"/>
      <c r="AC3811" s="82" t="s">
        <v>10146</v>
      </c>
      <c r="AD3811" s="77" t="s">
        <v>10184</v>
      </c>
      <c r="AE3811" s="80" t="str">
        <f>HYPERLINK("https://twitter.com/rivelyfuchs/status/1699179886404071817")</f>
        <v>https://twitter.com/rivelyfuchs/status/1699179886404071817</v>
      </c>
      <c r="AF3811" s="79">
        <v>45174.914675925924</v>
      </c>
      <c r="AG3811" s="85">
        <v>45174</v>
      </c>
      <c r="AH3811" s="82" t="s">
        <v>13792</v>
      </c>
      <c r="AI3811" s="77" t="b">
        <v>0</v>
      </c>
      <c r="AJ3811" s="77"/>
      <c r="AK3811" s="77"/>
      <c r="AL3811" s="77"/>
      <c r="AM3811" s="77"/>
      <c r="AN3811" s="77"/>
      <c r="AO3811" s="77"/>
      <c r="AP3811" s="77"/>
      <c r="AQ3811" s="77"/>
      <c r="AR3811" s="77"/>
      <c r="AS3811" s="77"/>
      <c r="AT3811" s="77"/>
      <c r="AU3811" s="77"/>
      <c r="AV3811" s="80" t="str">
        <f>HYPERLINK("https://pbs.twimg.com/profile_images/1589957451809525760/-PSamV7K_normal.png")</f>
        <v>https://pbs.twimg.com/profile_images/1589957451809525760/-PSamV7K_normal.png</v>
      </c>
      <c r="AW3811" s="82" t="s">
        <v>20577</v>
      </c>
      <c r="AX3811" s="82" t="s">
        <v>20577</v>
      </c>
      <c r="AY3811" s="77"/>
      <c r="AZ3811" s="82" t="s">
        <v>20971</v>
      </c>
      <c r="BA3811" s="82" t="s">
        <v>20971</v>
      </c>
      <c r="BB3811" s="82" t="s">
        <v>20971</v>
      </c>
      <c r="BC3811" s="82" t="s">
        <v>20577</v>
      </c>
      <c r="BD3811" s="82" t="s">
        <v>21715</v>
      </c>
      <c r="BE3811" s="77"/>
      <c r="BF3811" s="77"/>
      <c r="BG3811" s="77"/>
      <c r="BH3811" s="77"/>
      <c r="BI3811" s="77"/>
    </row>
    <row r="3812" spans="1:61" x14ac:dyDescent="0.25">
      <c r="A3812" s="62" t="s">
        <v>1161</v>
      </c>
      <c r="B3812" s="62" t="s">
        <v>1161</v>
      </c>
      <c r="C3812" s="63"/>
      <c r="D3812" s="64"/>
      <c r="E3812" s="65"/>
      <c r="F3812" s="66"/>
      <c r="G3812" s="63"/>
      <c r="H3812" s="67"/>
      <c r="I3812" s="68"/>
      <c r="J3812" s="68"/>
      <c r="K3812" s="32"/>
      <c r="L3812" s="75">
        <v>3812</v>
      </c>
      <c r="M3812" s="75"/>
      <c r="N3812" s="70"/>
      <c r="O3812" s="77" t="s">
        <v>179</v>
      </c>
      <c r="P3812" s="79">
        <v>45002.642175925925</v>
      </c>
      <c r="Q3812" s="77" t="s">
        <v>5018</v>
      </c>
      <c r="R3812" s="77">
        <v>0</v>
      </c>
      <c r="S3812" s="77">
        <v>0</v>
      </c>
      <c r="T3812" s="77">
        <v>0</v>
      </c>
      <c r="U3812" s="77">
        <v>0</v>
      </c>
      <c r="V3812" s="77">
        <v>62</v>
      </c>
      <c r="W3812" s="82" t="s">
        <v>7034</v>
      </c>
      <c r="X3812" s="77"/>
      <c r="Y3812" s="77"/>
      <c r="Z3812" s="77"/>
      <c r="AA3812" s="77" t="s">
        <v>9977</v>
      </c>
      <c r="AB3812" s="77" t="s">
        <v>10129</v>
      </c>
      <c r="AC3812" s="82" t="s">
        <v>10144</v>
      </c>
      <c r="AD3812" s="77" t="s">
        <v>10184</v>
      </c>
      <c r="AE3812" s="80" t="str">
        <f>HYPERLINK("https://twitter.com/kash777official/status/1636750421149581313")</f>
        <v>https://twitter.com/kash777official/status/1636750421149581313</v>
      </c>
      <c r="AF3812" s="79">
        <v>45002.642175925925</v>
      </c>
      <c r="AG3812" s="85">
        <v>45002</v>
      </c>
      <c r="AH3812" s="82" t="s">
        <v>13793</v>
      </c>
      <c r="AI3812" s="77" t="b">
        <v>0</v>
      </c>
      <c r="AJ3812" s="77"/>
      <c r="AK3812" s="77"/>
      <c r="AL3812" s="77"/>
      <c r="AM3812" s="77"/>
      <c r="AN3812" s="77"/>
      <c r="AO3812" s="77"/>
      <c r="AP3812" s="77"/>
      <c r="AQ3812" s="77" t="s">
        <v>16620</v>
      </c>
      <c r="AR3812" s="77">
        <v>15280</v>
      </c>
      <c r="AS3812" s="77"/>
      <c r="AT3812" s="77"/>
      <c r="AU3812" s="77"/>
      <c r="AV3812" s="80" t="str">
        <f>HYPERLINK("https://pbs.twimg.com/ext_tw_video_thumb/1636750378271141890/pu/img/MFxj7Mm-2JF_gY5d.jpg")</f>
        <v>https://pbs.twimg.com/ext_tw_video_thumb/1636750378271141890/pu/img/MFxj7Mm-2JF_gY5d.jpg</v>
      </c>
      <c r="AW3812" s="82" t="s">
        <v>20578</v>
      </c>
      <c r="AX3812" s="82" t="s">
        <v>20578</v>
      </c>
      <c r="AY3812" s="77"/>
      <c r="AZ3812" s="82" t="s">
        <v>20971</v>
      </c>
      <c r="BA3812" s="82" t="s">
        <v>20971</v>
      </c>
      <c r="BB3812" s="82" t="s">
        <v>20971</v>
      </c>
      <c r="BC3812" s="82" t="s">
        <v>20578</v>
      </c>
      <c r="BD3812" s="82" t="s">
        <v>21716</v>
      </c>
      <c r="BE3812" s="77"/>
      <c r="BF3812" s="77"/>
      <c r="BG3812" s="77"/>
      <c r="BH3812" s="77"/>
      <c r="BI3812" s="77"/>
    </row>
    <row r="3813" spans="1:61" x14ac:dyDescent="0.25">
      <c r="A3813" s="62" t="s">
        <v>1162</v>
      </c>
      <c r="B3813" s="62" t="s">
        <v>1162</v>
      </c>
      <c r="C3813" s="63"/>
      <c r="D3813" s="64"/>
      <c r="E3813" s="65"/>
      <c r="F3813" s="66"/>
      <c r="G3813" s="63"/>
      <c r="H3813" s="67"/>
      <c r="I3813" s="68"/>
      <c r="J3813" s="68"/>
      <c r="K3813" s="32"/>
      <c r="L3813" s="75">
        <v>3813</v>
      </c>
      <c r="M3813" s="75"/>
      <c r="N3813" s="70"/>
      <c r="O3813" s="77" t="s">
        <v>179</v>
      </c>
      <c r="P3813" s="79">
        <v>45026.701770833337</v>
      </c>
      <c r="Q3813" s="77" t="s">
        <v>5019</v>
      </c>
      <c r="R3813" s="77">
        <v>0</v>
      </c>
      <c r="S3813" s="77">
        <v>0</v>
      </c>
      <c r="T3813" s="77">
        <v>0</v>
      </c>
      <c r="U3813" s="77">
        <v>0</v>
      </c>
      <c r="V3813" s="77">
        <v>43</v>
      </c>
      <c r="W3813" s="82" t="s">
        <v>7035</v>
      </c>
      <c r="X3813" s="80" t="str">
        <f>HYPERLINK("http://dlvr.it/SmGZlq")</f>
        <v>http://dlvr.it/SmGZlq</v>
      </c>
      <c r="Y3813" s="77" t="s">
        <v>7479</v>
      </c>
      <c r="Z3813" s="77"/>
      <c r="AA3813" s="77" t="s">
        <v>9978</v>
      </c>
      <c r="AB3813" s="77" t="s">
        <v>10130</v>
      </c>
      <c r="AC3813" s="82" t="s">
        <v>7479</v>
      </c>
      <c r="AD3813" s="77" t="s">
        <v>10184</v>
      </c>
      <c r="AE3813" s="80" t="str">
        <f>HYPERLINK("https://twitter.com/financas/status/1645469328224194560")</f>
        <v>https://twitter.com/financas/status/1645469328224194560</v>
      </c>
      <c r="AF3813" s="79">
        <v>45026.701770833337</v>
      </c>
      <c r="AG3813" s="85">
        <v>45026</v>
      </c>
      <c r="AH3813" s="82" t="s">
        <v>13794</v>
      </c>
      <c r="AI3813" s="77" t="b">
        <v>0</v>
      </c>
      <c r="AJ3813" s="77"/>
      <c r="AK3813" s="77"/>
      <c r="AL3813" s="77"/>
      <c r="AM3813" s="77"/>
      <c r="AN3813" s="77"/>
      <c r="AO3813" s="77"/>
      <c r="AP3813" s="77"/>
      <c r="AQ3813" s="77" t="s">
        <v>16621</v>
      </c>
      <c r="AR3813" s="77"/>
      <c r="AS3813" s="77"/>
      <c r="AT3813" s="77"/>
      <c r="AU3813" s="77"/>
      <c r="AV3813" s="80" t="str">
        <f>HYPERLINK("https://pbs.twimg.com/media/FtXhom0aAAIlrxz.jpg")</f>
        <v>https://pbs.twimg.com/media/FtXhom0aAAIlrxz.jpg</v>
      </c>
      <c r="AW3813" s="82" t="s">
        <v>20579</v>
      </c>
      <c r="AX3813" s="82" t="s">
        <v>20579</v>
      </c>
      <c r="AY3813" s="77"/>
      <c r="AZ3813" s="82" t="s">
        <v>20971</v>
      </c>
      <c r="BA3813" s="82" t="s">
        <v>20971</v>
      </c>
      <c r="BB3813" s="82" t="s">
        <v>20971</v>
      </c>
      <c r="BC3813" s="82" t="s">
        <v>20579</v>
      </c>
      <c r="BD3813" s="77">
        <v>25371172</v>
      </c>
      <c r="BE3813" s="77"/>
      <c r="BF3813" s="77"/>
      <c r="BG3813" s="77"/>
      <c r="BH3813" s="77"/>
      <c r="BI3813" s="77"/>
    </row>
    <row r="3814" spans="1:61" x14ac:dyDescent="0.25">
      <c r="A3814" s="62" t="s">
        <v>1162</v>
      </c>
      <c r="B3814" s="62" t="s">
        <v>1162</v>
      </c>
      <c r="C3814" s="63"/>
      <c r="D3814" s="64"/>
      <c r="E3814" s="65"/>
      <c r="F3814" s="66"/>
      <c r="G3814" s="63"/>
      <c r="H3814" s="67"/>
      <c r="I3814" s="68"/>
      <c r="J3814" s="68"/>
      <c r="K3814" s="32"/>
      <c r="L3814" s="75">
        <v>3814</v>
      </c>
      <c r="M3814" s="75"/>
      <c r="N3814" s="70"/>
      <c r="O3814" s="77" t="s">
        <v>179</v>
      </c>
      <c r="P3814" s="79">
        <v>45097.537893518522</v>
      </c>
      <c r="Q3814" s="77" t="s">
        <v>5020</v>
      </c>
      <c r="R3814" s="77">
        <v>0</v>
      </c>
      <c r="S3814" s="77">
        <v>0</v>
      </c>
      <c r="T3814" s="77">
        <v>0</v>
      </c>
      <c r="U3814" s="77">
        <v>0</v>
      </c>
      <c r="V3814" s="77">
        <v>71</v>
      </c>
      <c r="W3814" s="82" t="s">
        <v>7036</v>
      </c>
      <c r="X3814" s="80" t="str">
        <f>HYPERLINK("http://dlvr.it/SqyGyZ")</f>
        <v>http://dlvr.it/SqyGyZ</v>
      </c>
      <c r="Y3814" s="77" t="s">
        <v>7479</v>
      </c>
      <c r="Z3814" s="77"/>
      <c r="AA3814" s="77" t="s">
        <v>9979</v>
      </c>
      <c r="AB3814" s="77" t="s">
        <v>10130</v>
      </c>
      <c r="AC3814" s="82" t="s">
        <v>7479</v>
      </c>
      <c r="AD3814" s="77" t="s">
        <v>10184</v>
      </c>
      <c r="AE3814" s="80" t="str">
        <f>HYPERLINK("https://twitter.com/financas/status/1671139476909981697")</f>
        <v>https://twitter.com/financas/status/1671139476909981697</v>
      </c>
      <c r="AF3814" s="79">
        <v>45097.537893518522</v>
      </c>
      <c r="AG3814" s="85">
        <v>45097</v>
      </c>
      <c r="AH3814" s="82" t="s">
        <v>13795</v>
      </c>
      <c r="AI3814" s="77" t="b">
        <v>0</v>
      </c>
      <c r="AJ3814" s="77"/>
      <c r="AK3814" s="77"/>
      <c r="AL3814" s="77"/>
      <c r="AM3814" s="77"/>
      <c r="AN3814" s="77"/>
      <c r="AO3814" s="77"/>
      <c r="AP3814" s="77"/>
      <c r="AQ3814" s="77" t="s">
        <v>16622</v>
      </c>
      <c r="AR3814" s="77"/>
      <c r="AS3814" s="77"/>
      <c r="AT3814" s="77"/>
      <c r="AU3814" s="77"/>
      <c r="AV3814" s="80" t="str">
        <f>HYPERLINK("https://pbs.twimg.com/media/FzEUf6caIAIPFrW.jpg")</f>
        <v>https://pbs.twimg.com/media/FzEUf6caIAIPFrW.jpg</v>
      </c>
      <c r="AW3814" s="82" t="s">
        <v>20580</v>
      </c>
      <c r="AX3814" s="82" t="s">
        <v>20580</v>
      </c>
      <c r="AY3814" s="77"/>
      <c r="AZ3814" s="82" t="s">
        <v>20971</v>
      </c>
      <c r="BA3814" s="82" t="s">
        <v>20971</v>
      </c>
      <c r="BB3814" s="82" t="s">
        <v>20971</v>
      </c>
      <c r="BC3814" s="82" t="s">
        <v>20580</v>
      </c>
      <c r="BD3814" s="77">
        <v>25371172</v>
      </c>
      <c r="BE3814" s="77"/>
      <c r="BF3814" s="77"/>
      <c r="BG3814" s="77"/>
      <c r="BH3814" s="77"/>
      <c r="BI3814" s="77"/>
    </row>
    <row r="3815" spans="1:61" x14ac:dyDescent="0.25">
      <c r="A3815" s="62" t="s">
        <v>1162</v>
      </c>
      <c r="B3815" s="62" t="s">
        <v>1162</v>
      </c>
      <c r="C3815" s="63"/>
      <c r="D3815" s="64"/>
      <c r="E3815" s="65"/>
      <c r="F3815" s="66"/>
      <c r="G3815" s="63"/>
      <c r="H3815" s="67"/>
      <c r="I3815" s="68"/>
      <c r="J3815" s="68"/>
      <c r="K3815" s="32"/>
      <c r="L3815" s="75">
        <v>3815</v>
      </c>
      <c r="M3815" s="75"/>
      <c r="N3815" s="70"/>
      <c r="O3815" s="77" t="s">
        <v>179</v>
      </c>
      <c r="P3815" s="79">
        <v>45104.549328703702</v>
      </c>
      <c r="Q3815" s="77" t="s">
        <v>5021</v>
      </c>
      <c r="R3815" s="77">
        <v>0</v>
      </c>
      <c r="S3815" s="77">
        <v>0</v>
      </c>
      <c r="T3815" s="77">
        <v>0</v>
      </c>
      <c r="U3815" s="77">
        <v>0</v>
      </c>
      <c r="V3815" s="77">
        <v>18</v>
      </c>
      <c r="W3815" s="82" t="s">
        <v>7037</v>
      </c>
      <c r="X3815" s="80" t="str">
        <f>HYPERLINK("http://dlvr.it/SrJfCf")</f>
        <v>http://dlvr.it/SrJfCf</v>
      </c>
      <c r="Y3815" s="77" t="s">
        <v>7479</v>
      </c>
      <c r="Z3815" s="77"/>
      <c r="AA3815" s="77" t="s">
        <v>9980</v>
      </c>
      <c r="AB3815" s="77" t="s">
        <v>10130</v>
      </c>
      <c r="AC3815" s="82" t="s">
        <v>7479</v>
      </c>
      <c r="AD3815" s="77" t="s">
        <v>10184</v>
      </c>
      <c r="AE3815" s="80" t="str">
        <f>HYPERLINK("https://twitter.com/financas/status/1673680339045347328")</f>
        <v>https://twitter.com/financas/status/1673680339045347328</v>
      </c>
      <c r="AF3815" s="79">
        <v>45104.549328703702</v>
      </c>
      <c r="AG3815" s="85">
        <v>45104</v>
      </c>
      <c r="AH3815" s="82" t="s">
        <v>13796</v>
      </c>
      <c r="AI3815" s="77" t="b">
        <v>0</v>
      </c>
      <c r="AJ3815" s="77"/>
      <c r="AK3815" s="77"/>
      <c r="AL3815" s="77"/>
      <c r="AM3815" s="77"/>
      <c r="AN3815" s="77"/>
      <c r="AO3815" s="77"/>
      <c r="AP3815" s="77"/>
      <c r="AQ3815" s="77" t="s">
        <v>16623</v>
      </c>
      <c r="AR3815" s="77"/>
      <c r="AS3815" s="77"/>
      <c r="AT3815" s="77"/>
      <c r="AU3815" s="77"/>
      <c r="AV3815" s="80" t="str">
        <f>HYPERLINK("https://pbs.twimg.com/media/FzobZjvWAAIxtkD.jpg")</f>
        <v>https://pbs.twimg.com/media/FzobZjvWAAIxtkD.jpg</v>
      </c>
      <c r="AW3815" s="82" t="s">
        <v>20581</v>
      </c>
      <c r="AX3815" s="82" t="s">
        <v>20581</v>
      </c>
      <c r="AY3815" s="77"/>
      <c r="AZ3815" s="82" t="s">
        <v>20971</v>
      </c>
      <c r="BA3815" s="82" t="s">
        <v>20971</v>
      </c>
      <c r="BB3815" s="82" t="s">
        <v>20971</v>
      </c>
      <c r="BC3815" s="82" t="s">
        <v>20581</v>
      </c>
      <c r="BD3815" s="77">
        <v>25371172</v>
      </c>
      <c r="BE3815" s="77"/>
      <c r="BF3815" s="77"/>
      <c r="BG3815" s="77"/>
      <c r="BH3815" s="77"/>
      <c r="BI3815" s="77"/>
    </row>
    <row r="3816" spans="1:61" x14ac:dyDescent="0.25">
      <c r="A3816" s="62" t="s">
        <v>1162</v>
      </c>
      <c r="B3816" s="62" t="s">
        <v>1162</v>
      </c>
      <c r="C3816" s="63"/>
      <c r="D3816" s="64"/>
      <c r="E3816" s="65"/>
      <c r="F3816" s="66"/>
      <c r="G3816" s="63"/>
      <c r="H3816" s="67"/>
      <c r="I3816" s="68"/>
      <c r="J3816" s="68"/>
      <c r="K3816" s="32"/>
      <c r="L3816" s="75">
        <v>3816</v>
      </c>
      <c r="M3816" s="75"/>
      <c r="N3816" s="70"/>
      <c r="O3816" s="77" t="s">
        <v>179</v>
      </c>
      <c r="P3816" s="79">
        <v>45103.564629629633</v>
      </c>
      <c r="Q3816" s="77" t="s">
        <v>5022</v>
      </c>
      <c r="R3816" s="77">
        <v>0</v>
      </c>
      <c r="S3816" s="77">
        <v>0</v>
      </c>
      <c r="T3816" s="77">
        <v>0</v>
      </c>
      <c r="U3816" s="77">
        <v>0</v>
      </c>
      <c r="V3816" s="77">
        <v>108</v>
      </c>
      <c r="W3816" s="82" t="s">
        <v>7038</v>
      </c>
      <c r="X3816" s="80" t="str">
        <f>HYPERLINK("http://dlvr.it/SrFqx4")</f>
        <v>http://dlvr.it/SrFqx4</v>
      </c>
      <c r="Y3816" s="77" t="s">
        <v>7479</v>
      </c>
      <c r="Z3816" s="77"/>
      <c r="AA3816" s="77" t="s">
        <v>9981</v>
      </c>
      <c r="AB3816" s="77" t="s">
        <v>10130</v>
      </c>
      <c r="AC3816" s="82" t="s">
        <v>7479</v>
      </c>
      <c r="AD3816" s="77" t="s">
        <v>10184</v>
      </c>
      <c r="AE3816" s="80" t="str">
        <f>HYPERLINK("https://twitter.com/financas/status/1673323492723531782")</f>
        <v>https://twitter.com/financas/status/1673323492723531782</v>
      </c>
      <c r="AF3816" s="79">
        <v>45103.564629629633</v>
      </c>
      <c r="AG3816" s="85">
        <v>45103</v>
      </c>
      <c r="AH3816" s="82" t="s">
        <v>13530</v>
      </c>
      <c r="AI3816" s="77" t="b">
        <v>0</v>
      </c>
      <c r="AJ3816" s="77"/>
      <c r="AK3816" s="77"/>
      <c r="AL3816" s="77"/>
      <c r="AM3816" s="77"/>
      <c r="AN3816" s="77"/>
      <c r="AO3816" s="77"/>
      <c r="AP3816" s="77"/>
      <c r="AQ3816" s="77" t="s">
        <v>16624</v>
      </c>
      <c r="AR3816" s="77"/>
      <c r="AS3816" s="77"/>
      <c r="AT3816" s="77"/>
      <c r="AU3816" s="77"/>
      <c r="AV3816" s="80" t="str">
        <f>HYPERLINK("https://pbs.twimg.com/media/FzjW2WnaMAEbtcM.jpg")</f>
        <v>https://pbs.twimg.com/media/FzjW2WnaMAEbtcM.jpg</v>
      </c>
      <c r="AW3816" s="82" t="s">
        <v>20582</v>
      </c>
      <c r="AX3816" s="82" t="s">
        <v>20582</v>
      </c>
      <c r="AY3816" s="77"/>
      <c r="AZ3816" s="82" t="s">
        <v>20971</v>
      </c>
      <c r="BA3816" s="82" t="s">
        <v>20971</v>
      </c>
      <c r="BB3816" s="82" t="s">
        <v>20971</v>
      </c>
      <c r="BC3816" s="82" t="s">
        <v>20582</v>
      </c>
      <c r="BD3816" s="77">
        <v>25371172</v>
      </c>
      <c r="BE3816" s="77"/>
      <c r="BF3816" s="77"/>
      <c r="BG3816" s="77"/>
      <c r="BH3816" s="77"/>
      <c r="BI3816" s="77"/>
    </row>
    <row r="3817" spans="1:61" x14ac:dyDescent="0.25">
      <c r="A3817" s="62" t="s">
        <v>1162</v>
      </c>
      <c r="B3817" s="62" t="s">
        <v>1162</v>
      </c>
      <c r="C3817" s="63"/>
      <c r="D3817" s="64"/>
      <c r="E3817" s="65"/>
      <c r="F3817" s="66"/>
      <c r="G3817" s="63"/>
      <c r="H3817" s="67"/>
      <c r="I3817" s="68"/>
      <c r="J3817" s="68"/>
      <c r="K3817" s="32"/>
      <c r="L3817" s="75">
        <v>3817</v>
      </c>
      <c r="M3817" s="75"/>
      <c r="N3817" s="70"/>
      <c r="O3817" s="77" t="s">
        <v>179</v>
      </c>
      <c r="P3817" s="79">
        <v>45130.630115740743</v>
      </c>
      <c r="Q3817" s="77" t="s">
        <v>5023</v>
      </c>
      <c r="R3817" s="77">
        <v>0</v>
      </c>
      <c r="S3817" s="77">
        <v>0</v>
      </c>
      <c r="T3817" s="77">
        <v>0</v>
      </c>
      <c r="U3817" s="77">
        <v>0</v>
      </c>
      <c r="V3817" s="77">
        <v>52</v>
      </c>
      <c r="W3817" s="82" t="s">
        <v>7039</v>
      </c>
      <c r="X3817" s="80" t="str">
        <f>HYPERLINK("http://dlvr.it/SscFF3")</f>
        <v>http://dlvr.it/SscFF3</v>
      </c>
      <c r="Y3817" s="77" t="s">
        <v>7479</v>
      </c>
      <c r="Z3817" s="77"/>
      <c r="AA3817" s="77" t="s">
        <v>9982</v>
      </c>
      <c r="AB3817" s="77" t="s">
        <v>10130</v>
      </c>
      <c r="AC3817" s="82" t="s">
        <v>7479</v>
      </c>
      <c r="AD3817" s="77" t="s">
        <v>10184</v>
      </c>
      <c r="AE3817" s="80" t="str">
        <f>HYPERLINK("https://twitter.com/financas/status/1683131697607622656")</f>
        <v>https://twitter.com/financas/status/1683131697607622656</v>
      </c>
      <c r="AF3817" s="79">
        <v>45130.630115740743</v>
      </c>
      <c r="AG3817" s="85">
        <v>45130</v>
      </c>
      <c r="AH3817" s="82" t="s">
        <v>13797</v>
      </c>
      <c r="AI3817" s="77" t="b">
        <v>0</v>
      </c>
      <c r="AJ3817" s="77"/>
      <c r="AK3817" s="77"/>
      <c r="AL3817" s="77"/>
      <c r="AM3817" s="77"/>
      <c r="AN3817" s="77"/>
      <c r="AO3817" s="77"/>
      <c r="AP3817" s="77"/>
      <c r="AQ3817" s="77" t="s">
        <v>16625</v>
      </c>
      <c r="AR3817" s="77"/>
      <c r="AS3817" s="77"/>
      <c r="AT3817" s="77"/>
      <c r="AU3817" s="77"/>
      <c r="AV3817" s="80" t="str">
        <f>HYPERLINK("https://pbs.twimg.com/media/F1uvW9faQAUNvcn.jpg")</f>
        <v>https://pbs.twimg.com/media/F1uvW9faQAUNvcn.jpg</v>
      </c>
      <c r="AW3817" s="82" t="s">
        <v>20583</v>
      </c>
      <c r="AX3817" s="82" t="s">
        <v>20583</v>
      </c>
      <c r="AY3817" s="77"/>
      <c r="AZ3817" s="82" t="s">
        <v>20971</v>
      </c>
      <c r="BA3817" s="82" t="s">
        <v>20971</v>
      </c>
      <c r="BB3817" s="82" t="s">
        <v>20971</v>
      </c>
      <c r="BC3817" s="82" t="s">
        <v>20583</v>
      </c>
      <c r="BD3817" s="77">
        <v>25371172</v>
      </c>
      <c r="BE3817" s="77"/>
      <c r="BF3817" s="77"/>
      <c r="BG3817" s="77"/>
      <c r="BH3817" s="77"/>
      <c r="BI3817" s="77"/>
    </row>
    <row r="3818" spans="1:61" x14ac:dyDescent="0.25">
      <c r="A3818" s="62" t="s">
        <v>1162</v>
      </c>
      <c r="B3818" s="62" t="s">
        <v>1162</v>
      </c>
      <c r="C3818" s="63"/>
      <c r="D3818" s="64"/>
      <c r="E3818" s="65"/>
      <c r="F3818" s="66"/>
      <c r="G3818" s="63"/>
      <c r="H3818" s="67"/>
      <c r="I3818" s="68"/>
      <c r="J3818" s="68"/>
      <c r="K3818" s="32"/>
      <c r="L3818" s="75">
        <v>3818</v>
      </c>
      <c r="M3818" s="75"/>
      <c r="N3818" s="70"/>
      <c r="O3818" s="77" t="s">
        <v>179</v>
      </c>
      <c r="P3818" s="79">
        <v>45127.678182870368</v>
      </c>
      <c r="Q3818" s="77" t="s">
        <v>5024</v>
      </c>
      <c r="R3818" s="77">
        <v>0</v>
      </c>
      <c r="S3818" s="77">
        <v>0</v>
      </c>
      <c r="T3818" s="77">
        <v>0</v>
      </c>
      <c r="U3818" s="77">
        <v>0</v>
      </c>
      <c r="V3818" s="77">
        <v>26</v>
      </c>
      <c r="W3818" s="82" t="s">
        <v>7040</v>
      </c>
      <c r="X3818" s="80" t="str">
        <f>HYPERLINK("http://dlvr.it/SsTSLj")</f>
        <v>http://dlvr.it/SsTSLj</v>
      </c>
      <c r="Y3818" s="77" t="s">
        <v>7479</v>
      </c>
      <c r="Z3818" s="77"/>
      <c r="AA3818" s="77" t="s">
        <v>9983</v>
      </c>
      <c r="AB3818" s="77" t="s">
        <v>10130</v>
      </c>
      <c r="AC3818" s="82" t="s">
        <v>7479</v>
      </c>
      <c r="AD3818" s="77" t="s">
        <v>10184</v>
      </c>
      <c r="AE3818" s="80" t="str">
        <f>HYPERLINK("https://twitter.com/financas/status/1682061953357991937")</f>
        <v>https://twitter.com/financas/status/1682061953357991937</v>
      </c>
      <c r="AF3818" s="79">
        <v>45127.678182870368</v>
      </c>
      <c r="AG3818" s="85">
        <v>45127</v>
      </c>
      <c r="AH3818" s="82" t="s">
        <v>13798</v>
      </c>
      <c r="AI3818" s="77" t="b">
        <v>0</v>
      </c>
      <c r="AJ3818" s="77"/>
      <c r="AK3818" s="77"/>
      <c r="AL3818" s="77"/>
      <c r="AM3818" s="77"/>
      <c r="AN3818" s="77"/>
      <c r="AO3818" s="77"/>
      <c r="AP3818" s="77"/>
      <c r="AQ3818" s="77" t="s">
        <v>16626</v>
      </c>
      <c r="AR3818" s="77"/>
      <c r="AS3818" s="77"/>
      <c r="AT3818" s="77"/>
      <c r="AU3818" s="77"/>
      <c r="AV3818" s="80" t="str">
        <f>HYPERLINK("https://pbs.twimg.com/media/F1fibtCaIAAgf4I.jpg")</f>
        <v>https://pbs.twimg.com/media/F1fibtCaIAAgf4I.jpg</v>
      </c>
      <c r="AW3818" s="82" t="s">
        <v>20584</v>
      </c>
      <c r="AX3818" s="82" t="s">
        <v>20584</v>
      </c>
      <c r="AY3818" s="77"/>
      <c r="AZ3818" s="82" t="s">
        <v>20971</v>
      </c>
      <c r="BA3818" s="82" t="s">
        <v>20971</v>
      </c>
      <c r="BB3818" s="82" t="s">
        <v>20971</v>
      </c>
      <c r="BC3818" s="82" t="s">
        <v>20584</v>
      </c>
      <c r="BD3818" s="77">
        <v>25371172</v>
      </c>
      <c r="BE3818" s="77"/>
      <c r="BF3818" s="77"/>
      <c r="BG3818" s="77"/>
      <c r="BH3818" s="77"/>
      <c r="BI3818" s="77"/>
    </row>
    <row r="3819" spans="1:61" x14ac:dyDescent="0.25">
      <c r="A3819" s="62" t="s">
        <v>1162</v>
      </c>
      <c r="B3819" s="62" t="s">
        <v>1162</v>
      </c>
      <c r="C3819" s="63"/>
      <c r="D3819" s="64"/>
      <c r="E3819" s="65"/>
      <c r="F3819" s="66"/>
      <c r="G3819" s="63"/>
      <c r="H3819" s="67"/>
      <c r="I3819" s="68"/>
      <c r="J3819" s="68"/>
      <c r="K3819" s="32"/>
      <c r="L3819" s="75">
        <v>3819</v>
      </c>
      <c r="M3819" s="75"/>
      <c r="N3819" s="70"/>
      <c r="O3819" s="77" t="s">
        <v>179</v>
      </c>
      <c r="P3819" s="79">
        <v>45079.707685185182</v>
      </c>
      <c r="Q3819" s="77" t="s">
        <v>5025</v>
      </c>
      <c r="R3819" s="77">
        <v>0</v>
      </c>
      <c r="S3819" s="77">
        <v>0</v>
      </c>
      <c r="T3819" s="77">
        <v>0</v>
      </c>
      <c r="U3819" s="77">
        <v>0</v>
      </c>
      <c r="V3819" s="77">
        <v>30</v>
      </c>
      <c r="W3819" s="82" t="s">
        <v>7041</v>
      </c>
      <c r="X3819" s="80" t="str">
        <f>HYPERLINK("http://dlvr.it/Sq393h")</f>
        <v>http://dlvr.it/Sq393h</v>
      </c>
      <c r="Y3819" s="77" t="s">
        <v>7479</v>
      </c>
      <c r="Z3819" s="77"/>
      <c r="AA3819" s="77" t="s">
        <v>9984</v>
      </c>
      <c r="AB3819" s="77" t="s">
        <v>10130</v>
      </c>
      <c r="AC3819" s="82" t="s">
        <v>7479</v>
      </c>
      <c r="AD3819" s="77" t="s">
        <v>10184</v>
      </c>
      <c r="AE3819" s="80" t="str">
        <f>HYPERLINK("https://twitter.com/financas/status/1664678025483677697")</f>
        <v>https://twitter.com/financas/status/1664678025483677697</v>
      </c>
      <c r="AF3819" s="79">
        <v>45079.707685185182</v>
      </c>
      <c r="AG3819" s="85">
        <v>45079</v>
      </c>
      <c r="AH3819" s="82" t="s">
        <v>13799</v>
      </c>
      <c r="AI3819" s="77" t="b">
        <v>0</v>
      </c>
      <c r="AJ3819" s="77"/>
      <c r="AK3819" s="77"/>
      <c r="AL3819" s="77"/>
      <c r="AM3819" s="77"/>
      <c r="AN3819" s="77"/>
      <c r="AO3819" s="77"/>
      <c r="AP3819" s="77"/>
      <c r="AQ3819" s="77" t="s">
        <v>16627</v>
      </c>
      <c r="AR3819" s="77"/>
      <c r="AS3819" s="77"/>
      <c r="AT3819" s="77"/>
      <c r="AU3819" s="77"/>
      <c r="AV3819" s="80" t="str">
        <f>HYPERLINK("https://pbs.twimg.com/media/Fxof17iaAAA-MV1.jpg")</f>
        <v>https://pbs.twimg.com/media/Fxof17iaAAA-MV1.jpg</v>
      </c>
      <c r="AW3819" s="82" t="s">
        <v>20585</v>
      </c>
      <c r="AX3819" s="82" t="s">
        <v>20585</v>
      </c>
      <c r="AY3819" s="77"/>
      <c r="AZ3819" s="82" t="s">
        <v>20971</v>
      </c>
      <c r="BA3819" s="82" t="s">
        <v>20971</v>
      </c>
      <c r="BB3819" s="82" t="s">
        <v>20971</v>
      </c>
      <c r="BC3819" s="82" t="s">
        <v>20585</v>
      </c>
      <c r="BD3819" s="77">
        <v>25371172</v>
      </c>
      <c r="BE3819" s="77"/>
      <c r="BF3819" s="77"/>
      <c r="BG3819" s="77"/>
      <c r="BH3819" s="77"/>
      <c r="BI3819" s="77"/>
    </row>
    <row r="3820" spans="1:61" x14ac:dyDescent="0.25">
      <c r="A3820" s="62" t="s">
        <v>1162</v>
      </c>
      <c r="B3820" s="62" t="s">
        <v>1162</v>
      </c>
      <c r="C3820" s="63"/>
      <c r="D3820" s="64"/>
      <c r="E3820" s="65"/>
      <c r="F3820" s="66"/>
      <c r="G3820" s="63"/>
      <c r="H3820" s="67"/>
      <c r="I3820" s="68"/>
      <c r="J3820" s="68"/>
      <c r="K3820" s="32"/>
      <c r="L3820" s="75">
        <v>3820</v>
      </c>
      <c r="M3820" s="75"/>
      <c r="N3820" s="70"/>
      <c r="O3820" s="77" t="s">
        <v>179</v>
      </c>
      <c r="P3820" s="79">
        <v>45191.545914351853</v>
      </c>
      <c r="Q3820" s="77" t="s">
        <v>5026</v>
      </c>
      <c r="R3820" s="77">
        <v>0</v>
      </c>
      <c r="S3820" s="77">
        <v>0</v>
      </c>
      <c r="T3820" s="77">
        <v>0</v>
      </c>
      <c r="U3820" s="77">
        <v>0</v>
      </c>
      <c r="V3820" s="77">
        <v>38</v>
      </c>
      <c r="W3820" s="82" t="s">
        <v>7042</v>
      </c>
      <c r="X3820" s="80" t="str">
        <f>HYPERLINK("http://dlvr.it/SwSyPP")</f>
        <v>http://dlvr.it/SwSyPP</v>
      </c>
      <c r="Y3820" s="77" t="s">
        <v>7479</v>
      </c>
      <c r="Z3820" s="77"/>
      <c r="AA3820" s="77" t="s">
        <v>9985</v>
      </c>
      <c r="AB3820" s="77" t="s">
        <v>10130</v>
      </c>
      <c r="AC3820" s="82" t="s">
        <v>7479</v>
      </c>
      <c r="AD3820" s="77" t="s">
        <v>10184</v>
      </c>
      <c r="AE3820" s="80" t="str">
        <f>HYPERLINK("https://twitter.com/financas/status/1705206844560650415")</f>
        <v>https://twitter.com/financas/status/1705206844560650415</v>
      </c>
      <c r="AF3820" s="79">
        <v>45191.545914351853</v>
      </c>
      <c r="AG3820" s="85">
        <v>45191</v>
      </c>
      <c r="AH3820" s="82" t="s">
        <v>13800</v>
      </c>
      <c r="AI3820" s="77" t="b">
        <v>0</v>
      </c>
      <c r="AJ3820" s="77"/>
      <c r="AK3820" s="77"/>
      <c r="AL3820" s="77"/>
      <c r="AM3820" s="77"/>
      <c r="AN3820" s="77"/>
      <c r="AO3820" s="77"/>
      <c r="AP3820" s="77"/>
      <c r="AQ3820" s="77" t="s">
        <v>16628</v>
      </c>
      <c r="AR3820" s="77"/>
      <c r="AS3820" s="77"/>
      <c r="AT3820" s="77"/>
      <c r="AU3820" s="77"/>
      <c r="AV3820" s="80" t="str">
        <f>HYPERLINK("https://pbs.twimg.com/media/F6ocluAbAAAl-TL.jpg")</f>
        <v>https://pbs.twimg.com/media/F6ocluAbAAAl-TL.jpg</v>
      </c>
      <c r="AW3820" s="82" t="s">
        <v>20586</v>
      </c>
      <c r="AX3820" s="82" t="s">
        <v>20586</v>
      </c>
      <c r="AY3820" s="77"/>
      <c r="AZ3820" s="82" t="s">
        <v>20971</v>
      </c>
      <c r="BA3820" s="82" t="s">
        <v>20971</v>
      </c>
      <c r="BB3820" s="82" t="s">
        <v>20971</v>
      </c>
      <c r="BC3820" s="82" t="s">
        <v>20586</v>
      </c>
      <c r="BD3820" s="77">
        <v>25371172</v>
      </c>
      <c r="BE3820" s="77"/>
      <c r="BF3820" s="77"/>
      <c r="BG3820" s="77"/>
      <c r="BH3820" s="77"/>
      <c r="BI3820" s="77"/>
    </row>
    <row r="3821" spans="1:61" x14ac:dyDescent="0.25">
      <c r="A3821" s="62" t="s">
        <v>1163</v>
      </c>
      <c r="B3821" s="62" t="s">
        <v>1163</v>
      </c>
      <c r="C3821" s="63"/>
      <c r="D3821" s="64"/>
      <c r="E3821" s="65"/>
      <c r="F3821" s="66"/>
      <c r="G3821" s="63"/>
      <c r="H3821" s="67"/>
      <c r="I3821" s="68"/>
      <c r="J3821" s="68"/>
      <c r="K3821" s="32"/>
      <c r="L3821" s="75">
        <v>3821</v>
      </c>
      <c r="M3821" s="75"/>
      <c r="N3821" s="70"/>
      <c r="O3821" s="77" t="s">
        <v>179</v>
      </c>
      <c r="P3821" s="79">
        <v>45155.691863425927</v>
      </c>
      <c r="Q3821" s="77" t="s">
        <v>5027</v>
      </c>
      <c r="R3821" s="77">
        <v>0</v>
      </c>
      <c r="S3821" s="77">
        <v>1</v>
      </c>
      <c r="T3821" s="77">
        <v>0</v>
      </c>
      <c r="U3821" s="77">
        <v>0</v>
      </c>
      <c r="V3821" s="77">
        <v>37</v>
      </c>
      <c r="W3821" s="82" t="s">
        <v>7043</v>
      </c>
      <c r="X3821" s="80" t="str">
        <f>HYPERLINK("https://mla.bs/db50d8f6")</f>
        <v>https://mla.bs/db50d8f6</v>
      </c>
      <c r="Y3821" s="77" t="s">
        <v>7480</v>
      </c>
      <c r="Z3821" s="77"/>
      <c r="AA3821" s="77" t="s">
        <v>9986</v>
      </c>
      <c r="AB3821" s="77" t="s">
        <v>10130</v>
      </c>
      <c r="AC3821" s="82" t="s">
        <v>10146</v>
      </c>
      <c r="AD3821" s="77" t="s">
        <v>10184</v>
      </c>
      <c r="AE3821" s="80" t="str">
        <f>HYPERLINK("https://twitter.com/sistemafaemg/status/1692213769630363757")</f>
        <v>https://twitter.com/sistemafaemg/status/1692213769630363757</v>
      </c>
      <c r="AF3821" s="79">
        <v>45155.691863425927</v>
      </c>
      <c r="AG3821" s="85">
        <v>45155</v>
      </c>
      <c r="AH3821" s="82" t="s">
        <v>13801</v>
      </c>
      <c r="AI3821" s="77" t="b">
        <v>0</v>
      </c>
      <c r="AJ3821" s="77"/>
      <c r="AK3821" s="77"/>
      <c r="AL3821" s="77"/>
      <c r="AM3821" s="77"/>
      <c r="AN3821" s="77"/>
      <c r="AO3821" s="77"/>
      <c r="AP3821" s="77"/>
      <c r="AQ3821" s="77" t="s">
        <v>16629</v>
      </c>
      <c r="AR3821" s="77"/>
      <c r="AS3821" s="77"/>
      <c r="AT3821" s="77"/>
      <c r="AU3821" s="77"/>
      <c r="AV3821" s="80" t="str">
        <f>HYPERLINK("https://pbs.twimg.com/media/F3vzcd1XsAAYSKw.jpg")</f>
        <v>https://pbs.twimg.com/media/F3vzcd1XsAAYSKw.jpg</v>
      </c>
      <c r="AW3821" s="82" t="s">
        <v>20587</v>
      </c>
      <c r="AX3821" s="82" t="s">
        <v>20587</v>
      </c>
      <c r="AY3821" s="77"/>
      <c r="AZ3821" s="82" t="s">
        <v>20971</v>
      </c>
      <c r="BA3821" s="82" t="s">
        <v>20971</v>
      </c>
      <c r="BB3821" s="82" t="s">
        <v>20971</v>
      </c>
      <c r="BC3821" s="82" t="s">
        <v>20587</v>
      </c>
      <c r="BD3821" s="77">
        <v>557963849</v>
      </c>
      <c r="BE3821" s="77"/>
      <c r="BF3821" s="77"/>
      <c r="BG3821" s="77"/>
      <c r="BH3821" s="77"/>
      <c r="BI3821" s="77"/>
    </row>
    <row r="3822" spans="1:61" x14ac:dyDescent="0.25">
      <c r="A3822" s="62" t="s">
        <v>1164</v>
      </c>
      <c r="B3822" s="62" t="s">
        <v>1164</v>
      </c>
      <c r="C3822" s="63"/>
      <c r="D3822" s="64"/>
      <c r="E3822" s="65"/>
      <c r="F3822" s="66"/>
      <c r="G3822" s="63"/>
      <c r="H3822" s="67"/>
      <c r="I3822" s="68"/>
      <c r="J3822" s="68"/>
      <c r="K3822" s="32"/>
      <c r="L3822" s="75">
        <v>3822</v>
      </c>
      <c r="M3822" s="75"/>
      <c r="N3822" s="70"/>
      <c r="O3822" s="77" t="s">
        <v>179</v>
      </c>
      <c r="P3822" s="79">
        <v>45028.066724537035</v>
      </c>
      <c r="Q3822" s="77" t="s">
        <v>5028</v>
      </c>
      <c r="R3822" s="77">
        <v>0</v>
      </c>
      <c r="S3822" s="77">
        <v>0</v>
      </c>
      <c r="T3822" s="77">
        <v>0</v>
      </c>
      <c r="U3822" s="77">
        <v>0</v>
      </c>
      <c r="V3822" s="77">
        <v>102</v>
      </c>
      <c r="W3822" s="82" t="s">
        <v>7044</v>
      </c>
      <c r="X3822" s="77"/>
      <c r="Y3822" s="77"/>
      <c r="Z3822" s="77"/>
      <c r="AA3822" s="77" t="s">
        <v>9987</v>
      </c>
      <c r="AB3822" s="77" t="s">
        <v>10129</v>
      </c>
      <c r="AC3822" s="82" t="s">
        <v>10145</v>
      </c>
      <c r="AD3822" s="77" t="s">
        <v>10184</v>
      </c>
      <c r="AE3822" s="80" t="str">
        <f>HYPERLINK("https://twitter.com/naterciamanuel1/status/1645963968073154562")</f>
        <v>https://twitter.com/naterciamanuel1/status/1645963968073154562</v>
      </c>
      <c r="AF3822" s="79">
        <v>45028.066724537035</v>
      </c>
      <c r="AG3822" s="85">
        <v>45028</v>
      </c>
      <c r="AH3822" s="82" t="s">
        <v>13802</v>
      </c>
      <c r="AI3822" s="77" t="b">
        <v>0</v>
      </c>
      <c r="AJ3822" s="77"/>
      <c r="AK3822" s="77"/>
      <c r="AL3822" s="77"/>
      <c r="AM3822" s="77"/>
      <c r="AN3822" s="77"/>
      <c r="AO3822" s="77"/>
      <c r="AP3822" s="77"/>
      <c r="AQ3822" s="77" t="s">
        <v>16630</v>
      </c>
      <c r="AR3822" s="77">
        <v>22433</v>
      </c>
      <c r="AS3822" s="77"/>
      <c r="AT3822" s="77"/>
      <c r="AU3822" s="77"/>
      <c r="AV3822" s="80" t="str">
        <f>HYPERLINK("https://pbs.twimg.com/ext_tw_video_thumb/1645963910535688192/pu/img/XCxDhDFtjG96XMA9.jpg")</f>
        <v>https://pbs.twimg.com/ext_tw_video_thumb/1645963910535688192/pu/img/XCxDhDFtjG96XMA9.jpg</v>
      </c>
      <c r="AW3822" s="82" t="s">
        <v>20588</v>
      </c>
      <c r="AX3822" s="82" t="s">
        <v>20588</v>
      </c>
      <c r="AY3822" s="77"/>
      <c r="AZ3822" s="82" t="s">
        <v>20971</v>
      </c>
      <c r="BA3822" s="82" t="s">
        <v>20971</v>
      </c>
      <c r="BB3822" s="82" t="s">
        <v>20971</v>
      </c>
      <c r="BC3822" s="82" t="s">
        <v>20588</v>
      </c>
      <c r="BD3822" s="82" t="s">
        <v>21717</v>
      </c>
      <c r="BE3822" s="77"/>
      <c r="BF3822" s="77"/>
      <c r="BG3822" s="77"/>
      <c r="BH3822" s="77"/>
      <c r="BI3822" s="77"/>
    </row>
    <row r="3823" spans="1:61" x14ac:dyDescent="0.25">
      <c r="A3823" s="62" t="s">
        <v>1165</v>
      </c>
      <c r="B3823" s="62" t="s">
        <v>1165</v>
      </c>
      <c r="C3823" s="63"/>
      <c r="D3823" s="64"/>
      <c r="E3823" s="65"/>
      <c r="F3823" s="66"/>
      <c r="G3823" s="63"/>
      <c r="H3823" s="67"/>
      <c r="I3823" s="68"/>
      <c r="J3823" s="68"/>
      <c r="K3823" s="32"/>
      <c r="L3823" s="75">
        <v>3823</v>
      </c>
      <c r="M3823" s="75"/>
      <c r="N3823" s="70"/>
      <c r="O3823" s="77" t="s">
        <v>179</v>
      </c>
      <c r="P3823" s="79">
        <v>45002.498043981483</v>
      </c>
      <c r="Q3823" s="77" t="s">
        <v>5029</v>
      </c>
      <c r="R3823" s="77">
        <v>0</v>
      </c>
      <c r="S3823" s="77">
        <v>1</v>
      </c>
      <c r="T3823" s="77">
        <v>0</v>
      </c>
      <c r="U3823" s="77">
        <v>0</v>
      </c>
      <c r="V3823" s="77">
        <v>16</v>
      </c>
      <c r="W3823" s="82" t="s">
        <v>7045</v>
      </c>
      <c r="X3823" s="80" t="str">
        <f>HYPERLINK("https://engenheiroeco.com/web-stories/home-office-as-5-melhores-plataformas-de-marketing-de-afiliados/")</f>
        <v>https://engenheiroeco.com/web-stories/home-office-as-5-melhores-plataformas-de-marketing-de-afiliados/</v>
      </c>
      <c r="Y3823" s="77" t="s">
        <v>7481</v>
      </c>
      <c r="Z3823" s="77"/>
      <c r="AA3823" s="77"/>
      <c r="AB3823" s="77"/>
      <c r="AC3823" s="82" t="s">
        <v>10146</v>
      </c>
      <c r="AD3823" s="77" t="s">
        <v>10184</v>
      </c>
      <c r="AE3823" s="80" t="str">
        <f>HYPERLINK("https://twitter.com/ecoengenheiro/status/1636698191767785476")</f>
        <v>https://twitter.com/ecoengenheiro/status/1636698191767785476</v>
      </c>
      <c r="AF3823" s="79">
        <v>45002.498043981483</v>
      </c>
      <c r="AG3823" s="85">
        <v>45002</v>
      </c>
      <c r="AH3823" s="82" t="s">
        <v>13803</v>
      </c>
      <c r="AI3823" s="77" t="b">
        <v>0</v>
      </c>
      <c r="AJ3823" s="77"/>
      <c r="AK3823" s="77"/>
      <c r="AL3823" s="77"/>
      <c r="AM3823" s="77"/>
      <c r="AN3823" s="77"/>
      <c r="AO3823" s="77"/>
      <c r="AP3823" s="77"/>
      <c r="AQ3823" s="77"/>
      <c r="AR3823" s="77"/>
      <c r="AS3823" s="77"/>
      <c r="AT3823" s="77"/>
      <c r="AU3823" s="77"/>
      <c r="AV3823" s="80" t="str">
        <f>HYPERLINK("https://pbs.twimg.com/profile_images/1393238870112735235/dRIsOuJc_normal.jpg")</f>
        <v>https://pbs.twimg.com/profile_images/1393238870112735235/dRIsOuJc_normal.jpg</v>
      </c>
      <c r="AW3823" s="82" t="s">
        <v>20589</v>
      </c>
      <c r="AX3823" s="82" t="s">
        <v>20589</v>
      </c>
      <c r="AY3823" s="77"/>
      <c r="AZ3823" s="82" t="s">
        <v>20971</v>
      </c>
      <c r="BA3823" s="82" t="s">
        <v>20971</v>
      </c>
      <c r="BB3823" s="82" t="s">
        <v>20971</v>
      </c>
      <c r="BC3823" s="82" t="s">
        <v>20589</v>
      </c>
      <c r="BD3823" s="82" t="s">
        <v>21718</v>
      </c>
      <c r="BE3823" s="77"/>
      <c r="BF3823" s="77"/>
      <c r="BG3823" s="77"/>
      <c r="BH3823" s="77"/>
      <c r="BI3823" s="77"/>
    </row>
    <row r="3824" spans="1:61" x14ac:dyDescent="0.25">
      <c r="A3824" s="62" t="s">
        <v>1166</v>
      </c>
      <c r="B3824" s="62" t="s">
        <v>1241</v>
      </c>
      <c r="C3824" s="63"/>
      <c r="D3824" s="64"/>
      <c r="E3824" s="65"/>
      <c r="F3824" s="66"/>
      <c r="G3824" s="63"/>
      <c r="H3824" s="67"/>
      <c r="I3824" s="68"/>
      <c r="J3824" s="68"/>
      <c r="K3824" s="32"/>
      <c r="L3824" s="75">
        <v>3824</v>
      </c>
      <c r="M3824" s="75"/>
      <c r="N3824" s="70"/>
      <c r="O3824" s="77" t="s">
        <v>1285</v>
      </c>
      <c r="P3824" s="79">
        <v>45082.75953703704</v>
      </c>
      <c r="Q3824" s="77" t="s">
        <v>5030</v>
      </c>
      <c r="R3824" s="77">
        <v>0</v>
      </c>
      <c r="S3824" s="77">
        <v>0</v>
      </c>
      <c r="T3824" s="77">
        <v>0</v>
      </c>
      <c r="U3824" s="77">
        <v>0</v>
      </c>
      <c r="V3824" s="77">
        <v>17</v>
      </c>
      <c r="W3824" s="82" t="s">
        <v>7046</v>
      </c>
      <c r="X3824" s="80" t="str">
        <f>HYPERLINK("https://youtu.be/JoFLWXPCZT0")</f>
        <v>https://youtu.be/JoFLWXPCZT0</v>
      </c>
      <c r="Y3824" s="77" t="s">
        <v>7248</v>
      </c>
      <c r="Z3824" s="77" t="s">
        <v>1241</v>
      </c>
      <c r="AA3824" s="77"/>
      <c r="AB3824" s="77"/>
      <c r="AC3824" s="82" t="s">
        <v>10146</v>
      </c>
      <c r="AD3824" s="77" t="s">
        <v>10184</v>
      </c>
      <c r="AE3824" s="80" t="str">
        <f>HYPERLINK("https://twitter.com/vitorsantosvag1/status/1665783981550317570")</f>
        <v>https://twitter.com/vitorsantosvag1/status/1665783981550317570</v>
      </c>
      <c r="AF3824" s="79">
        <v>45082.75953703704</v>
      </c>
      <c r="AG3824" s="85">
        <v>45082</v>
      </c>
      <c r="AH3824" s="82" t="s">
        <v>13804</v>
      </c>
      <c r="AI3824" s="77" t="b">
        <v>0</v>
      </c>
      <c r="AJ3824" s="77"/>
      <c r="AK3824" s="77"/>
      <c r="AL3824" s="77"/>
      <c r="AM3824" s="77"/>
      <c r="AN3824" s="77"/>
      <c r="AO3824" s="77"/>
      <c r="AP3824" s="77"/>
      <c r="AQ3824" s="77"/>
      <c r="AR3824" s="77"/>
      <c r="AS3824" s="77"/>
      <c r="AT3824" s="77"/>
      <c r="AU3824" s="77"/>
      <c r="AV3824" s="80" t="str">
        <f>HYPERLINK("https://pbs.twimg.com/profile_images/1428360757628964874/egNx1lTb_normal.jpg")</f>
        <v>https://pbs.twimg.com/profile_images/1428360757628964874/egNx1lTb_normal.jpg</v>
      </c>
      <c r="AW3824" s="82" t="s">
        <v>20590</v>
      </c>
      <c r="AX3824" s="82" t="s">
        <v>20590</v>
      </c>
      <c r="AY3824" s="77"/>
      <c r="AZ3824" s="82" t="s">
        <v>20971</v>
      </c>
      <c r="BA3824" s="82" t="s">
        <v>20971</v>
      </c>
      <c r="BB3824" s="82" t="s">
        <v>20971</v>
      </c>
      <c r="BC3824" s="82" t="s">
        <v>20590</v>
      </c>
      <c r="BD3824" s="82" t="s">
        <v>21719</v>
      </c>
      <c r="BE3824" s="77"/>
      <c r="BF3824" s="77"/>
      <c r="BG3824" s="77"/>
      <c r="BH3824" s="77"/>
      <c r="BI3824" s="77"/>
    </row>
    <row r="3825" spans="1:61" x14ac:dyDescent="0.25">
      <c r="A3825" s="62" t="s">
        <v>1166</v>
      </c>
      <c r="B3825" s="62" t="s">
        <v>1241</v>
      </c>
      <c r="C3825" s="63"/>
      <c r="D3825" s="64"/>
      <c r="E3825" s="65"/>
      <c r="F3825" s="66"/>
      <c r="G3825" s="63"/>
      <c r="H3825" s="67"/>
      <c r="I3825" s="68"/>
      <c r="J3825" s="68"/>
      <c r="K3825" s="32"/>
      <c r="L3825" s="75">
        <v>3825</v>
      </c>
      <c r="M3825" s="75"/>
      <c r="N3825" s="70"/>
      <c r="O3825" s="77" t="s">
        <v>1285</v>
      </c>
      <c r="P3825" s="79">
        <v>45082.753078703703</v>
      </c>
      <c r="Q3825" s="77" t="s">
        <v>5031</v>
      </c>
      <c r="R3825" s="77">
        <v>0</v>
      </c>
      <c r="S3825" s="77">
        <v>0</v>
      </c>
      <c r="T3825" s="77">
        <v>0</v>
      </c>
      <c r="U3825" s="77">
        <v>0</v>
      </c>
      <c r="V3825" s="77">
        <v>16</v>
      </c>
      <c r="W3825" s="82" t="s">
        <v>7046</v>
      </c>
      <c r="X3825" s="80" t="str">
        <f>HYPERLINK("https://youtu.be/ICCtFt_CRBY")</f>
        <v>https://youtu.be/ICCtFt_CRBY</v>
      </c>
      <c r="Y3825" s="77" t="s">
        <v>7248</v>
      </c>
      <c r="Z3825" s="77" t="s">
        <v>1241</v>
      </c>
      <c r="AA3825" s="77"/>
      <c r="AB3825" s="77"/>
      <c r="AC3825" s="82" t="s">
        <v>10146</v>
      </c>
      <c r="AD3825" s="77" t="s">
        <v>10184</v>
      </c>
      <c r="AE3825" s="80" t="str">
        <f>HYPERLINK("https://twitter.com/vitorsantosvag1/status/1665781638536601602")</f>
        <v>https://twitter.com/vitorsantosvag1/status/1665781638536601602</v>
      </c>
      <c r="AF3825" s="79">
        <v>45082.753078703703</v>
      </c>
      <c r="AG3825" s="85">
        <v>45082</v>
      </c>
      <c r="AH3825" s="82" t="s">
        <v>13805</v>
      </c>
      <c r="AI3825" s="77" t="b">
        <v>0</v>
      </c>
      <c r="AJ3825" s="77"/>
      <c r="AK3825" s="77"/>
      <c r="AL3825" s="77"/>
      <c r="AM3825" s="77"/>
      <c r="AN3825" s="77"/>
      <c r="AO3825" s="77"/>
      <c r="AP3825" s="77"/>
      <c r="AQ3825" s="77"/>
      <c r="AR3825" s="77"/>
      <c r="AS3825" s="77"/>
      <c r="AT3825" s="77"/>
      <c r="AU3825" s="77"/>
      <c r="AV3825" s="80" t="str">
        <f>HYPERLINK("https://pbs.twimg.com/profile_images/1428360757628964874/egNx1lTb_normal.jpg")</f>
        <v>https://pbs.twimg.com/profile_images/1428360757628964874/egNx1lTb_normal.jpg</v>
      </c>
      <c r="AW3825" s="82" t="s">
        <v>20591</v>
      </c>
      <c r="AX3825" s="82" t="s">
        <v>20591</v>
      </c>
      <c r="AY3825" s="77"/>
      <c r="AZ3825" s="82" t="s">
        <v>20971</v>
      </c>
      <c r="BA3825" s="82" t="s">
        <v>20971</v>
      </c>
      <c r="BB3825" s="82" t="s">
        <v>20971</v>
      </c>
      <c r="BC3825" s="82" t="s">
        <v>20591</v>
      </c>
      <c r="BD3825" s="82" t="s">
        <v>21719</v>
      </c>
      <c r="BE3825" s="77"/>
      <c r="BF3825" s="77"/>
      <c r="BG3825" s="77"/>
      <c r="BH3825" s="77"/>
      <c r="BI3825" s="77"/>
    </row>
    <row r="3826" spans="1:61" x14ac:dyDescent="0.25">
      <c r="A3826" s="62" t="s">
        <v>1166</v>
      </c>
      <c r="B3826" s="62" t="s">
        <v>1241</v>
      </c>
      <c r="C3826" s="63"/>
      <c r="D3826" s="64"/>
      <c r="E3826" s="65"/>
      <c r="F3826" s="66"/>
      <c r="G3826" s="63"/>
      <c r="H3826" s="67"/>
      <c r="I3826" s="68"/>
      <c r="J3826" s="68"/>
      <c r="K3826" s="32"/>
      <c r="L3826" s="75">
        <v>3826</v>
      </c>
      <c r="M3826" s="75"/>
      <c r="N3826" s="70"/>
      <c r="O3826" s="77" t="s">
        <v>1285</v>
      </c>
      <c r="P3826" s="79">
        <v>45082.693796296298</v>
      </c>
      <c r="Q3826" s="77" t="s">
        <v>5032</v>
      </c>
      <c r="R3826" s="77">
        <v>0</v>
      </c>
      <c r="S3826" s="77">
        <v>0</v>
      </c>
      <c r="T3826" s="77">
        <v>0</v>
      </c>
      <c r="U3826" s="77">
        <v>0</v>
      </c>
      <c r="V3826" s="77">
        <v>17</v>
      </c>
      <c r="W3826" s="82" t="s">
        <v>7046</v>
      </c>
      <c r="X3826" s="77" t="s">
        <v>7235</v>
      </c>
      <c r="Y3826" s="77" t="s">
        <v>7482</v>
      </c>
      <c r="Z3826" s="77" t="s">
        <v>1241</v>
      </c>
      <c r="AA3826" s="77"/>
      <c r="AB3826" s="77"/>
      <c r="AC3826" s="82" t="s">
        <v>10146</v>
      </c>
      <c r="AD3826" s="77" t="s">
        <v>10184</v>
      </c>
      <c r="AE3826" s="80" t="str">
        <f>HYPERLINK("https://twitter.com/vitorsantosvag1/status/1665760157626662940")</f>
        <v>https://twitter.com/vitorsantosvag1/status/1665760157626662940</v>
      </c>
      <c r="AF3826" s="79">
        <v>45082.693796296298</v>
      </c>
      <c r="AG3826" s="85">
        <v>45082</v>
      </c>
      <c r="AH3826" s="82" t="s">
        <v>13806</v>
      </c>
      <c r="AI3826" s="77" t="b">
        <v>0</v>
      </c>
      <c r="AJ3826" s="77"/>
      <c r="AK3826" s="77"/>
      <c r="AL3826" s="77"/>
      <c r="AM3826" s="77"/>
      <c r="AN3826" s="77"/>
      <c r="AO3826" s="77"/>
      <c r="AP3826" s="77"/>
      <c r="AQ3826" s="77"/>
      <c r="AR3826" s="77"/>
      <c r="AS3826" s="77"/>
      <c r="AT3826" s="77"/>
      <c r="AU3826" s="77"/>
      <c r="AV3826" s="80" t="str">
        <f>HYPERLINK("https://pbs.twimg.com/profile_images/1428360757628964874/egNx1lTb_normal.jpg")</f>
        <v>https://pbs.twimg.com/profile_images/1428360757628964874/egNx1lTb_normal.jpg</v>
      </c>
      <c r="AW3826" s="82" t="s">
        <v>20592</v>
      </c>
      <c r="AX3826" s="82" t="s">
        <v>20592</v>
      </c>
      <c r="AY3826" s="77"/>
      <c r="AZ3826" s="82" t="s">
        <v>20971</v>
      </c>
      <c r="BA3826" s="82" t="s">
        <v>20971</v>
      </c>
      <c r="BB3826" s="82" t="s">
        <v>20971</v>
      </c>
      <c r="BC3826" s="82" t="s">
        <v>20592</v>
      </c>
      <c r="BD3826" s="82" t="s">
        <v>21719</v>
      </c>
      <c r="BE3826" s="77"/>
      <c r="BF3826" s="77"/>
      <c r="BG3826" s="77"/>
      <c r="BH3826" s="77"/>
      <c r="BI3826" s="77"/>
    </row>
    <row r="3827" spans="1:61" x14ac:dyDescent="0.25">
      <c r="A3827" s="62" t="s">
        <v>1166</v>
      </c>
      <c r="B3827" s="62" t="s">
        <v>1241</v>
      </c>
      <c r="C3827" s="63"/>
      <c r="D3827" s="64"/>
      <c r="E3827" s="65"/>
      <c r="F3827" s="66"/>
      <c r="G3827" s="63"/>
      <c r="H3827" s="67"/>
      <c r="I3827" s="68"/>
      <c r="J3827" s="68"/>
      <c r="K3827" s="32"/>
      <c r="L3827" s="75">
        <v>3827</v>
      </c>
      <c r="M3827" s="75"/>
      <c r="N3827" s="70"/>
      <c r="O3827" s="77" t="s">
        <v>1285</v>
      </c>
      <c r="P3827" s="79">
        <v>45082.691319444442</v>
      </c>
      <c r="Q3827" s="77" t="s">
        <v>5033</v>
      </c>
      <c r="R3827" s="77">
        <v>0</v>
      </c>
      <c r="S3827" s="77">
        <v>0</v>
      </c>
      <c r="T3827" s="77">
        <v>0</v>
      </c>
      <c r="U3827" s="77">
        <v>0</v>
      </c>
      <c r="V3827" s="77">
        <v>15</v>
      </c>
      <c r="W3827" s="82" t="s">
        <v>7046</v>
      </c>
      <c r="X3827" s="77" t="s">
        <v>7236</v>
      </c>
      <c r="Y3827" s="77" t="s">
        <v>7482</v>
      </c>
      <c r="Z3827" s="77" t="s">
        <v>1241</v>
      </c>
      <c r="AA3827" s="77"/>
      <c r="AB3827" s="77"/>
      <c r="AC3827" s="82" t="s">
        <v>10146</v>
      </c>
      <c r="AD3827" s="77" t="s">
        <v>10184</v>
      </c>
      <c r="AE3827" s="80" t="str">
        <f>HYPERLINK("https://twitter.com/vitorsantosvag1/status/1665759258384777216")</f>
        <v>https://twitter.com/vitorsantosvag1/status/1665759258384777216</v>
      </c>
      <c r="AF3827" s="79">
        <v>45082.691319444442</v>
      </c>
      <c r="AG3827" s="85">
        <v>45082</v>
      </c>
      <c r="AH3827" s="82" t="s">
        <v>13807</v>
      </c>
      <c r="AI3827" s="77" t="b">
        <v>0</v>
      </c>
      <c r="AJ3827" s="77"/>
      <c r="AK3827" s="77"/>
      <c r="AL3827" s="77"/>
      <c r="AM3827" s="77"/>
      <c r="AN3827" s="77"/>
      <c r="AO3827" s="77"/>
      <c r="AP3827" s="77"/>
      <c r="AQ3827" s="77"/>
      <c r="AR3827" s="77"/>
      <c r="AS3827" s="77"/>
      <c r="AT3827" s="77"/>
      <c r="AU3827" s="77"/>
      <c r="AV3827" s="80" t="str">
        <f>HYPERLINK("https://pbs.twimg.com/profile_images/1428360757628964874/egNx1lTb_normal.jpg")</f>
        <v>https://pbs.twimg.com/profile_images/1428360757628964874/egNx1lTb_normal.jpg</v>
      </c>
      <c r="AW3827" s="82" t="s">
        <v>20593</v>
      </c>
      <c r="AX3827" s="82" t="s">
        <v>20593</v>
      </c>
      <c r="AY3827" s="77"/>
      <c r="AZ3827" s="82" t="s">
        <v>20971</v>
      </c>
      <c r="BA3827" s="82" t="s">
        <v>20971</v>
      </c>
      <c r="BB3827" s="82" t="s">
        <v>20971</v>
      </c>
      <c r="BC3827" s="82" t="s">
        <v>20593</v>
      </c>
      <c r="BD3827" s="82" t="s">
        <v>21719</v>
      </c>
      <c r="BE3827" s="77"/>
      <c r="BF3827" s="77"/>
      <c r="BG3827" s="77"/>
      <c r="BH3827" s="77"/>
      <c r="BI3827" s="77"/>
    </row>
    <row r="3828" spans="1:61" x14ac:dyDescent="0.25">
      <c r="A3828" s="62" t="s">
        <v>1166</v>
      </c>
      <c r="B3828" s="62" t="s">
        <v>1241</v>
      </c>
      <c r="C3828" s="63"/>
      <c r="D3828" s="64"/>
      <c r="E3828" s="65"/>
      <c r="F3828" s="66"/>
      <c r="G3828" s="63"/>
      <c r="H3828" s="67"/>
      <c r="I3828" s="68"/>
      <c r="J3828" s="68"/>
      <c r="K3828" s="32"/>
      <c r="L3828" s="75">
        <v>3828</v>
      </c>
      <c r="M3828" s="75"/>
      <c r="N3828" s="70"/>
      <c r="O3828" s="77" t="s">
        <v>1285</v>
      </c>
      <c r="P3828" s="79">
        <v>45079.586145833331</v>
      </c>
      <c r="Q3828" s="77" t="s">
        <v>5034</v>
      </c>
      <c r="R3828" s="77">
        <v>0</v>
      </c>
      <c r="S3828" s="77">
        <v>0</v>
      </c>
      <c r="T3828" s="77">
        <v>0</v>
      </c>
      <c r="U3828" s="77">
        <v>0</v>
      </c>
      <c r="V3828" s="77">
        <v>18</v>
      </c>
      <c r="W3828" s="82" t="s">
        <v>7046</v>
      </c>
      <c r="X3828" s="80" t="str">
        <f>HYPERLINK("https://youtu.be/yYA7M6pAuLg")</f>
        <v>https://youtu.be/yYA7M6pAuLg</v>
      </c>
      <c r="Y3828" s="77" t="s">
        <v>7248</v>
      </c>
      <c r="Z3828" s="77" t="s">
        <v>1241</v>
      </c>
      <c r="AA3828" s="77"/>
      <c r="AB3828" s="77"/>
      <c r="AC3828" s="82" t="s">
        <v>10146</v>
      </c>
      <c r="AD3828" s="77" t="s">
        <v>10199</v>
      </c>
      <c r="AE3828" s="80" t="str">
        <f>HYPERLINK("https://twitter.com/vitorsantosvag1/status/1664633981831135238")</f>
        <v>https://twitter.com/vitorsantosvag1/status/1664633981831135238</v>
      </c>
      <c r="AF3828" s="79">
        <v>45079.586145833331</v>
      </c>
      <c r="AG3828" s="85">
        <v>45079</v>
      </c>
      <c r="AH3828" s="82" t="s">
        <v>13808</v>
      </c>
      <c r="AI3828" s="77" t="b">
        <v>0</v>
      </c>
      <c r="AJ3828" s="77"/>
      <c r="AK3828" s="77"/>
      <c r="AL3828" s="77"/>
      <c r="AM3828" s="77"/>
      <c r="AN3828" s="77"/>
      <c r="AO3828" s="77"/>
      <c r="AP3828" s="77"/>
      <c r="AQ3828" s="77"/>
      <c r="AR3828" s="77"/>
      <c r="AS3828" s="77"/>
      <c r="AT3828" s="77"/>
      <c r="AU3828" s="77"/>
      <c r="AV3828" s="80" t="str">
        <f>HYPERLINK("https://pbs.twimg.com/profile_images/1428360757628964874/egNx1lTb_normal.jpg")</f>
        <v>https://pbs.twimg.com/profile_images/1428360757628964874/egNx1lTb_normal.jpg</v>
      </c>
      <c r="AW3828" s="82" t="s">
        <v>20594</v>
      </c>
      <c r="AX3828" s="82" t="s">
        <v>20594</v>
      </c>
      <c r="AY3828" s="77"/>
      <c r="AZ3828" s="82" t="s">
        <v>20971</v>
      </c>
      <c r="BA3828" s="82" t="s">
        <v>20971</v>
      </c>
      <c r="BB3828" s="82" t="s">
        <v>20971</v>
      </c>
      <c r="BC3828" s="82" t="s">
        <v>20594</v>
      </c>
      <c r="BD3828" s="82" t="s">
        <v>21719</v>
      </c>
      <c r="BE3828" s="77"/>
      <c r="BF3828" s="77"/>
      <c r="BG3828" s="77"/>
      <c r="BH3828" s="77"/>
      <c r="BI3828" s="77"/>
    </row>
    <row r="3829" spans="1:61" x14ac:dyDescent="0.25">
      <c r="A3829" s="62" t="s">
        <v>1166</v>
      </c>
      <c r="B3829" s="62" t="s">
        <v>1166</v>
      </c>
      <c r="C3829" s="63"/>
      <c r="D3829" s="64"/>
      <c r="E3829" s="65"/>
      <c r="F3829" s="66"/>
      <c r="G3829" s="63"/>
      <c r="H3829" s="67"/>
      <c r="I3829" s="68"/>
      <c r="J3829" s="68"/>
      <c r="K3829" s="32"/>
      <c r="L3829" s="75">
        <v>3829</v>
      </c>
      <c r="M3829" s="75"/>
      <c r="N3829" s="70"/>
      <c r="O3829" s="77" t="s">
        <v>179</v>
      </c>
      <c r="P3829" s="79">
        <v>45079.523414351854</v>
      </c>
      <c r="Q3829" s="77" t="s">
        <v>5035</v>
      </c>
      <c r="R3829" s="77">
        <v>0</v>
      </c>
      <c r="S3829" s="77">
        <v>0</v>
      </c>
      <c r="T3829" s="77">
        <v>1</v>
      </c>
      <c r="U3829" s="77">
        <v>0</v>
      </c>
      <c r="V3829" s="77">
        <v>189</v>
      </c>
      <c r="W3829" s="82" t="s">
        <v>7047</v>
      </c>
      <c r="X3829" s="77"/>
      <c r="Y3829" s="77"/>
      <c r="Z3829" s="77"/>
      <c r="AA3829" s="77" t="s">
        <v>9988</v>
      </c>
      <c r="AB3829" s="77" t="s">
        <v>10129</v>
      </c>
      <c r="AC3829" s="82" t="s">
        <v>10146</v>
      </c>
      <c r="AD3829" s="77" t="s">
        <v>10184</v>
      </c>
      <c r="AE3829" s="80" t="str">
        <f>HYPERLINK("https://twitter.com/vitorsantosvag1/status/1664611248833429505")</f>
        <v>https://twitter.com/vitorsantosvag1/status/1664611248833429505</v>
      </c>
      <c r="AF3829" s="79">
        <v>45079.523414351854</v>
      </c>
      <c r="AG3829" s="85">
        <v>45079</v>
      </c>
      <c r="AH3829" s="82" t="s">
        <v>13809</v>
      </c>
      <c r="AI3829" s="77" t="b">
        <v>0</v>
      </c>
      <c r="AJ3829" s="77"/>
      <c r="AK3829" s="77"/>
      <c r="AL3829" s="77"/>
      <c r="AM3829" s="77"/>
      <c r="AN3829" s="77"/>
      <c r="AO3829" s="77"/>
      <c r="AP3829" s="77"/>
      <c r="AQ3829" s="77" t="s">
        <v>16631</v>
      </c>
      <c r="AR3829" s="77">
        <v>22466</v>
      </c>
      <c r="AS3829" s="77"/>
      <c r="AT3829" s="77"/>
      <c r="AU3829" s="77"/>
      <c r="AV3829" s="80" t="str">
        <f>HYPERLINK("https://pbs.twimg.com/ext_tw_video_thumb/1664611134496731136/pu/img/h6YvhQtIPR_qNdk7.jpg")</f>
        <v>https://pbs.twimg.com/ext_tw_video_thumb/1664611134496731136/pu/img/h6YvhQtIPR_qNdk7.jpg</v>
      </c>
      <c r="AW3829" s="82" t="s">
        <v>20595</v>
      </c>
      <c r="AX3829" s="82" t="s">
        <v>20595</v>
      </c>
      <c r="AY3829" s="77"/>
      <c r="AZ3829" s="82" t="s">
        <v>20971</v>
      </c>
      <c r="BA3829" s="82" t="s">
        <v>20971</v>
      </c>
      <c r="BB3829" s="82" t="s">
        <v>20971</v>
      </c>
      <c r="BC3829" s="82" t="s">
        <v>20595</v>
      </c>
      <c r="BD3829" s="82" t="s">
        <v>21719</v>
      </c>
      <c r="BE3829" s="77"/>
      <c r="BF3829" s="77"/>
      <c r="BG3829" s="77"/>
      <c r="BH3829" s="77"/>
      <c r="BI3829" s="77"/>
    </row>
    <row r="3830" spans="1:61" x14ac:dyDescent="0.25">
      <c r="A3830" s="62" t="s">
        <v>1166</v>
      </c>
      <c r="B3830" s="62" t="s">
        <v>1166</v>
      </c>
      <c r="C3830" s="63"/>
      <c r="D3830" s="64"/>
      <c r="E3830" s="65"/>
      <c r="F3830" s="66"/>
      <c r="G3830" s="63"/>
      <c r="H3830" s="67"/>
      <c r="I3830" s="68"/>
      <c r="J3830" s="68"/>
      <c r="K3830" s="32"/>
      <c r="L3830" s="75">
        <v>3830</v>
      </c>
      <c r="M3830" s="75"/>
      <c r="N3830" s="70"/>
      <c r="O3830" s="77" t="s">
        <v>179</v>
      </c>
      <c r="P3830" s="79">
        <v>45079.522581018522</v>
      </c>
      <c r="Q3830" s="77" t="s">
        <v>5036</v>
      </c>
      <c r="R3830" s="77">
        <v>0</v>
      </c>
      <c r="S3830" s="77">
        <v>0</v>
      </c>
      <c r="T3830" s="77">
        <v>0</v>
      </c>
      <c r="U3830" s="77">
        <v>0</v>
      </c>
      <c r="V3830" s="77">
        <v>44</v>
      </c>
      <c r="W3830" s="82" t="s">
        <v>7047</v>
      </c>
      <c r="X3830" s="77"/>
      <c r="Y3830" s="77"/>
      <c r="Z3830" s="77"/>
      <c r="AA3830" s="77" t="s">
        <v>9989</v>
      </c>
      <c r="AB3830" s="77" t="s">
        <v>10130</v>
      </c>
      <c r="AC3830" s="82" t="s">
        <v>10146</v>
      </c>
      <c r="AD3830" s="77" t="s">
        <v>10184</v>
      </c>
      <c r="AE3830" s="80" t="str">
        <f>HYPERLINK("https://twitter.com/vitorsantosvag1/status/1664610947070083075")</f>
        <v>https://twitter.com/vitorsantosvag1/status/1664610947070083075</v>
      </c>
      <c r="AF3830" s="79">
        <v>45079.522581018522</v>
      </c>
      <c r="AG3830" s="85">
        <v>45079</v>
      </c>
      <c r="AH3830" s="82" t="s">
        <v>13810</v>
      </c>
      <c r="AI3830" s="77" t="b">
        <v>0</v>
      </c>
      <c r="AJ3830" s="77"/>
      <c r="AK3830" s="77"/>
      <c r="AL3830" s="77"/>
      <c r="AM3830" s="77"/>
      <c r="AN3830" s="77"/>
      <c r="AO3830" s="77"/>
      <c r="AP3830" s="77"/>
      <c r="AQ3830" s="77" t="s">
        <v>16632</v>
      </c>
      <c r="AR3830" s="77"/>
      <c r="AS3830" s="77"/>
      <c r="AT3830" s="77"/>
      <c r="AU3830" s="77"/>
      <c r="AV3830" s="80" t="str">
        <f>HYPERLINK("https://pbs.twimg.com/media/Fxnin0bXoAM7mz4.jpg")</f>
        <v>https://pbs.twimg.com/media/Fxnin0bXoAM7mz4.jpg</v>
      </c>
      <c r="AW3830" s="82" t="s">
        <v>20596</v>
      </c>
      <c r="AX3830" s="82" t="s">
        <v>20596</v>
      </c>
      <c r="AY3830" s="77"/>
      <c r="AZ3830" s="82" t="s">
        <v>20971</v>
      </c>
      <c r="BA3830" s="82" t="s">
        <v>20971</v>
      </c>
      <c r="BB3830" s="82" t="s">
        <v>20971</v>
      </c>
      <c r="BC3830" s="82" t="s">
        <v>20596</v>
      </c>
      <c r="BD3830" s="82" t="s">
        <v>21719</v>
      </c>
      <c r="BE3830" s="77"/>
      <c r="BF3830" s="77"/>
      <c r="BG3830" s="77"/>
      <c r="BH3830" s="77"/>
      <c r="BI3830" s="77"/>
    </row>
    <row r="3831" spans="1:61" x14ac:dyDescent="0.25">
      <c r="A3831" s="62" t="s">
        <v>1167</v>
      </c>
      <c r="B3831" s="62" t="s">
        <v>1167</v>
      </c>
      <c r="C3831" s="63"/>
      <c r="D3831" s="64"/>
      <c r="E3831" s="65"/>
      <c r="F3831" s="66"/>
      <c r="G3831" s="63"/>
      <c r="H3831" s="67"/>
      <c r="I3831" s="68"/>
      <c r="J3831" s="68"/>
      <c r="K3831" s="32"/>
      <c r="L3831" s="75">
        <v>3831</v>
      </c>
      <c r="M3831" s="75"/>
      <c r="N3831" s="70"/>
      <c r="O3831" s="77" t="s">
        <v>179</v>
      </c>
      <c r="P3831" s="79">
        <v>45054.665844907409</v>
      </c>
      <c r="Q3831" s="77" t="s">
        <v>5037</v>
      </c>
      <c r="R3831" s="77">
        <v>0</v>
      </c>
      <c r="S3831" s="77">
        <v>0</v>
      </c>
      <c r="T3831" s="77">
        <v>0</v>
      </c>
      <c r="U3831" s="77">
        <v>0</v>
      </c>
      <c r="V3831" s="77">
        <v>70</v>
      </c>
      <c r="W3831" s="82" t="s">
        <v>7048</v>
      </c>
      <c r="X3831" s="80" t="str">
        <f>HYPERLINK("https://bit.ly/44iodXI")</f>
        <v>https://bit.ly/44iodXI</v>
      </c>
      <c r="Y3831" s="77" t="s">
        <v>7268</v>
      </c>
      <c r="Z3831" s="77"/>
      <c r="AA3831" s="77" t="s">
        <v>9990</v>
      </c>
      <c r="AB3831" s="77" t="s">
        <v>10130</v>
      </c>
      <c r="AC3831" s="82" t="s">
        <v>10144</v>
      </c>
      <c r="AD3831" s="77" t="s">
        <v>10184</v>
      </c>
      <c r="AE3831" s="80" t="str">
        <f>HYPERLINK("https://twitter.com/luisper26600465/status/1655603166296039425")</f>
        <v>https://twitter.com/luisper26600465/status/1655603166296039425</v>
      </c>
      <c r="AF3831" s="79">
        <v>45054.665844907409</v>
      </c>
      <c r="AG3831" s="85">
        <v>45054</v>
      </c>
      <c r="AH3831" s="82" t="s">
        <v>13811</v>
      </c>
      <c r="AI3831" s="77" t="b">
        <v>0</v>
      </c>
      <c r="AJ3831" s="77"/>
      <c r="AK3831" s="77"/>
      <c r="AL3831" s="77"/>
      <c r="AM3831" s="77"/>
      <c r="AN3831" s="77"/>
      <c r="AO3831" s="77"/>
      <c r="AP3831" s="77"/>
      <c r="AQ3831" s="77" t="s">
        <v>16633</v>
      </c>
      <c r="AR3831" s="77"/>
      <c r="AS3831" s="77"/>
      <c r="AT3831" s="77"/>
      <c r="AU3831" s="77"/>
      <c r="AV3831" s="80" t="str">
        <f>HYPERLINK("https://pbs.twimg.com/media/FvniTjyXgAM2fOL.jpg")</f>
        <v>https://pbs.twimg.com/media/FvniTjyXgAM2fOL.jpg</v>
      </c>
      <c r="AW3831" s="82" t="s">
        <v>20597</v>
      </c>
      <c r="AX3831" s="82" t="s">
        <v>20597</v>
      </c>
      <c r="AY3831" s="77"/>
      <c r="AZ3831" s="82" t="s">
        <v>20971</v>
      </c>
      <c r="BA3831" s="82" t="s">
        <v>20971</v>
      </c>
      <c r="BB3831" s="82" t="s">
        <v>20971</v>
      </c>
      <c r="BC3831" s="82" t="s">
        <v>20597</v>
      </c>
      <c r="BD3831" s="82" t="s">
        <v>21720</v>
      </c>
      <c r="BE3831" s="77"/>
      <c r="BF3831" s="77"/>
      <c r="BG3831" s="77"/>
      <c r="BH3831" s="77"/>
      <c r="BI3831" s="77"/>
    </row>
    <row r="3832" spans="1:61" x14ac:dyDescent="0.25">
      <c r="A3832" s="62" t="s">
        <v>1167</v>
      </c>
      <c r="B3832" s="62" t="s">
        <v>1167</v>
      </c>
      <c r="C3832" s="63"/>
      <c r="D3832" s="64"/>
      <c r="E3832" s="65"/>
      <c r="F3832" s="66"/>
      <c r="G3832" s="63"/>
      <c r="H3832" s="67"/>
      <c r="I3832" s="68"/>
      <c r="J3832" s="68"/>
      <c r="K3832" s="32"/>
      <c r="L3832" s="75">
        <v>3832</v>
      </c>
      <c r="M3832" s="75"/>
      <c r="N3832" s="70"/>
      <c r="O3832" s="77" t="s">
        <v>179</v>
      </c>
      <c r="P3832" s="79">
        <v>45053.292175925926</v>
      </c>
      <c r="Q3832" s="77" t="s">
        <v>5038</v>
      </c>
      <c r="R3832" s="77">
        <v>0</v>
      </c>
      <c r="S3832" s="77">
        <v>0</v>
      </c>
      <c r="T3832" s="77">
        <v>0</v>
      </c>
      <c r="U3832" s="77">
        <v>0</v>
      </c>
      <c r="V3832" s="77">
        <v>73</v>
      </c>
      <c r="W3832" s="82" t="s">
        <v>7049</v>
      </c>
      <c r="X3832" s="80" t="str">
        <f>HYPERLINK("https://bit.ly/44iodXI")</f>
        <v>https://bit.ly/44iodXI</v>
      </c>
      <c r="Y3832" s="77" t="s">
        <v>7268</v>
      </c>
      <c r="Z3832" s="77"/>
      <c r="AA3832" s="77" t="s">
        <v>9991</v>
      </c>
      <c r="AB3832" s="77" t="s">
        <v>10130</v>
      </c>
      <c r="AC3832" s="82" t="s">
        <v>10144</v>
      </c>
      <c r="AD3832" s="77" t="s">
        <v>10184</v>
      </c>
      <c r="AE3832" s="80" t="str">
        <f>HYPERLINK("https://twitter.com/luisper26600465/status/1655105366949081089")</f>
        <v>https://twitter.com/luisper26600465/status/1655105366949081089</v>
      </c>
      <c r="AF3832" s="79">
        <v>45053.292175925926</v>
      </c>
      <c r="AG3832" s="85">
        <v>45053</v>
      </c>
      <c r="AH3832" s="82" t="s">
        <v>13812</v>
      </c>
      <c r="AI3832" s="77" t="b">
        <v>0</v>
      </c>
      <c r="AJ3832" s="77"/>
      <c r="AK3832" s="77"/>
      <c r="AL3832" s="77"/>
      <c r="AM3832" s="77"/>
      <c r="AN3832" s="77"/>
      <c r="AO3832" s="77"/>
      <c r="AP3832" s="77"/>
      <c r="AQ3832" s="77" t="s">
        <v>16634</v>
      </c>
      <c r="AR3832" s="77"/>
      <c r="AS3832" s="77"/>
      <c r="AT3832" s="77"/>
      <c r="AU3832" s="77"/>
      <c r="AV3832" s="80" t="str">
        <f>HYPERLINK("https://pbs.twimg.com/media/Fvgdj1sXgAY08bn.jpg")</f>
        <v>https://pbs.twimg.com/media/Fvgdj1sXgAY08bn.jpg</v>
      </c>
      <c r="AW3832" s="82" t="s">
        <v>20598</v>
      </c>
      <c r="AX3832" s="82" t="s">
        <v>20598</v>
      </c>
      <c r="AY3832" s="77"/>
      <c r="AZ3832" s="82" t="s">
        <v>20971</v>
      </c>
      <c r="BA3832" s="82" t="s">
        <v>20971</v>
      </c>
      <c r="BB3832" s="82" t="s">
        <v>20971</v>
      </c>
      <c r="BC3832" s="82" t="s">
        <v>20598</v>
      </c>
      <c r="BD3832" s="82" t="s">
        <v>21720</v>
      </c>
      <c r="BE3832" s="77"/>
      <c r="BF3832" s="77"/>
      <c r="BG3832" s="77"/>
      <c r="BH3832" s="77"/>
      <c r="BI3832" s="77"/>
    </row>
    <row r="3833" spans="1:61" x14ac:dyDescent="0.25">
      <c r="A3833" s="62" t="s">
        <v>1168</v>
      </c>
      <c r="B3833" s="62" t="s">
        <v>1168</v>
      </c>
      <c r="C3833" s="63"/>
      <c r="D3833" s="64"/>
      <c r="E3833" s="65"/>
      <c r="F3833" s="66"/>
      <c r="G3833" s="63"/>
      <c r="H3833" s="67"/>
      <c r="I3833" s="68"/>
      <c r="J3833" s="68"/>
      <c r="K3833" s="32"/>
      <c r="L3833" s="75">
        <v>3833</v>
      </c>
      <c r="M3833" s="75"/>
      <c r="N3833" s="70"/>
      <c r="O3833" s="77" t="s">
        <v>179</v>
      </c>
      <c r="P3833" s="79">
        <v>45140.580046296294</v>
      </c>
      <c r="Q3833" s="77" t="s">
        <v>5039</v>
      </c>
      <c r="R3833" s="77">
        <v>0</v>
      </c>
      <c r="S3833" s="77">
        <v>0</v>
      </c>
      <c r="T3833" s="77">
        <v>0</v>
      </c>
      <c r="U3833" s="77">
        <v>0</v>
      </c>
      <c r="V3833" s="77">
        <v>18</v>
      </c>
      <c r="W3833" s="82" t="s">
        <v>7050</v>
      </c>
      <c r="X3833" s="80" t="str">
        <f>HYPERLINK("https://tr.ee/x011p_lguP")</f>
        <v>https://tr.ee/x011p_lguP</v>
      </c>
      <c r="Y3833" s="77" t="s">
        <v>7483</v>
      </c>
      <c r="Z3833" s="77"/>
      <c r="AA3833" s="77" t="s">
        <v>9992</v>
      </c>
      <c r="AB3833" s="77" t="s">
        <v>10129</v>
      </c>
      <c r="AC3833" s="82" t="s">
        <v>10144</v>
      </c>
      <c r="AD3833" s="77" t="s">
        <v>10184</v>
      </c>
      <c r="AE3833" s="80" t="str">
        <f>HYPERLINK("https://twitter.com/caxavil/status/1686737431507156992")</f>
        <v>https://twitter.com/caxavil/status/1686737431507156992</v>
      </c>
      <c r="AF3833" s="79">
        <v>45140.580046296294</v>
      </c>
      <c r="AG3833" s="85">
        <v>45140</v>
      </c>
      <c r="AH3833" s="82" t="s">
        <v>13813</v>
      </c>
      <c r="AI3833" s="77" t="b">
        <v>0</v>
      </c>
      <c r="AJ3833" s="77"/>
      <c r="AK3833" s="77"/>
      <c r="AL3833" s="77"/>
      <c r="AM3833" s="77"/>
      <c r="AN3833" s="77"/>
      <c r="AO3833" s="77"/>
      <c r="AP3833" s="77"/>
      <c r="AQ3833" s="77" t="s">
        <v>16635</v>
      </c>
      <c r="AR3833" s="77">
        <v>44985</v>
      </c>
      <c r="AS3833" s="77"/>
      <c r="AT3833" s="77"/>
      <c r="AU3833" s="77"/>
      <c r="AV3833" s="80" t="str">
        <f>HYPERLINK("https://pbs.twimg.com/ext_tw_video_thumb/1686737223612313600/pu/img/wLrOjIGcuHg9Vrdr.jpg")</f>
        <v>https://pbs.twimg.com/ext_tw_video_thumb/1686737223612313600/pu/img/wLrOjIGcuHg9Vrdr.jpg</v>
      </c>
      <c r="AW3833" s="82" t="s">
        <v>20599</v>
      </c>
      <c r="AX3833" s="82" t="s">
        <v>20599</v>
      </c>
      <c r="AY3833" s="77"/>
      <c r="AZ3833" s="82" t="s">
        <v>20971</v>
      </c>
      <c r="BA3833" s="82" t="s">
        <v>20971</v>
      </c>
      <c r="BB3833" s="82" t="s">
        <v>20971</v>
      </c>
      <c r="BC3833" s="82" t="s">
        <v>20599</v>
      </c>
      <c r="BD3833" s="82" t="s">
        <v>21721</v>
      </c>
      <c r="BE3833" s="77"/>
      <c r="BF3833" s="77"/>
      <c r="BG3833" s="77"/>
      <c r="BH3833" s="77"/>
      <c r="BI3833" s="77"/>
    </row>
    <row r="3834" spans="1:61" x14ac:dyDescent="0.25">
      <c r="A3834" s="62" t="s">
        <v>1168</v>
      </c>
      <c r="B3834" s="62" t="s">
        <v>1168</v>
      </c>
      <c r="C3834" s="63"/>
      <c r="D3834" s="64"/>
      <c r="E3834" s="65"/>
      <c r="F3834" s="66"/>
      <c r="G3834" s="63"/>
      <c r="H3834" s="67"/>
      <c r="I3834" s="68"/>
      <c r="J3834" s="68"/>
      <c r="K3834" s="32"/>
      <c r="L3834" s="75">
        <v>3834</v>
      </c>
      <c r="M3834" s="75"/>
      <c r="N3834" s="70"/>
      <c r="O3834" s="77" t="s">
        <v>179</v>
      </c>
      <c r="P3834" s="79">
        <v>45106.300636574073</v>
      </c>
      <c r="Q3834" s="77" t="s">
        <v>5040</v>
      </c>
      <c r="R3834" s="77">
        <v>0</v>
      </c>
      <c r="S3834" s="77">
        <v>0</v>
      </c>
      <c r="T3834" s="77">
        <v>0</v>
      </c>
      <c r="U3834" s="77">
        <v>0</v>
      </c>
      <c r="V3834" s="77">
        <v>63</v>
      </c>
      <c r="W3834" s="82" t="s">
        <v>7051</v>
      </c>
      <c r="X3834" s="77"/>
      <c r="Y3834" s="77"/>
      <c r="Z3834" s="77"/>
      <c r="AA3834" s="77" t="s">
        <v>9993</v>
      </c>
      <c r="AB3834" s="77" t="s">
        <v>10129</v>
      </c>
      <c r="AC3834" s="82" t="s">
        <v>10144</v>
      </c>
      <c r="AD3834" s="77" t="s">
        <v>10184</v>
      </c>
      <c r="AE3834" s="80" t="str">
        <f>HYPERLINK("https://twitter.com/caxavil/status/1674314987873902592")</f>
        <v>https://twitter.com/caxavil/status/1674314987873902592</v>
      </c>
      <c r="AF3834" s="79">
        <v>45106.300636574073</v>
      </c>
      <c r="AG3834" s="85">
        <v>45106</v>
      </c>
      <c r="AH3834" s="82" t="s">
        <v>13814</v>
      </c>
      <c r="AI3834" s="77" t="b">
        <v>0</v>
      </c>
      <c r="AJ3834" s="77"/>
      <c r="AK3834" s="77"/>
      <c r="AL3834" s="77"/>
      <c r="AM3834" s="77"/>
      <c r="AN3834" s="77"/>
      <c r="AO3834" s="77"/>
      <c r="AP3834" s="77"/>
      <c r="AQ3834" s="77" t="s">
        <v>16636</v>
      </c>
      <c r="AR3834" s="77">
        <v>44985</v>
      </c>
      <c r="AS3834" s="77"/>
      <c r="AT3834" s="77"/>
      <c r="AU3834" s="77"/>
      <c r="AV3834" s="80" t="str">
        <f>HYPERLINK("https://pbs.twimg.com/ext_tw_video_thumb/1674314930420432897/pu/img/iimsTwOTkXtDfl06.jpg")</f>
        <v>https://pbs.twimg.com/ext_tw_video_thumb/1674314930420432897/pu/img/iimsTwOTkXtDfl06.jpg</v>
      </c>
      <c r="AW3834" s="82" t="s">
        <v>20600</v>
      </c>
      <c r="AX3834" s="82" t="s">
        <v>20600</v>
      </c>
      <c r="AY3834" s="77"/>
      <c r="AZ3834" s="82" t="s">
        <v>20971</v>
      </c>
      <c r="BA3834" s="82" t="s">
        <v>20971</v>
      </c>
      <c r="BB3834" s="82" t="s">
        <v>20971</v>
      </c>
      <c r="BC3834" s="82" t="s">
        <v>20600</v>
      </c>
      <c r="BD3834" s="82" t="s">
        <v>21721</v>
      </c>
      <c r="BE3834" s="77"/>
      <c r="BF3834" s="77"/>
      <c r="BG3834" s="77"/>
      <c r="BH3834" s="77"/>
      <c r="BI3834" s="77"/>
    </row>
    <row r="3835" spans="1:61" x14ac:dyDescent="0.25">
      <c r="A3835" s="62" t="s">
        <v>1168</v>
      </c>
      <c r="B3835" s="62" t="s">
        <v>1168</v>
      </c>
      <c r="C3835" s="63"/>
      <c r="D3835" s="64"/>
      <c r="E3835" s="65"/>
      <c r="F3835" s="66"/>
      <c r="G3835" s="63"/>
      <c r="H3835" s="67"/>
      <c r="I3835" s="68"/>
      <c r="J3835" s="68"/>
      <c r="K3835" s="32"/>
      <c r="L3835" s="75">
        <v>3835</v>
      </c>
      <c r="M3835" s="75"/>
      <c r="N3835" s="70"/>
      <c r="O3835" s="77" t="s">
        <v>179</v>
      </c>
      <c r="P3835" s="79">
        <v>45141.636354166665</v>
      </c>
      <c r="Q3835" s="77" t="s">
        <v>5041</v>
      </c>
      <c r="R3835" s="77">
        <v>0</v>
      </c>
      <c r="S3835" s="77">
        <v>0</v>
      </c>
      <c r="T3835" s="77">
        <v>0</v>
      </c>
      <c r="U3835" s="77">
        <v>0</v>
      </c>
      <c r="V3835" s="77">
        <v>5</v>
      </c>
      <c r="W3835" s="82" t="s">
        <v>7052</v>
      </c>
      <c r="X3835" s="80" t="str">
        <f>HYPERLINK("https://tr.ee/x011p_lguP")</f>
        <v>https://tr.ee/x011p_lguP</v>
      </c>
      <c r="Y3835" s="77" t="s">
        <v>7483</v>
      </c>
      <c r="Z3835" s="77"/>
      <c r="AA3835" s="77" t="s">
        <v>9994</v>
      </c>
      <c r="AB3835" s="77" t="s">
        <v>10129</v>
      </c>
      <c r="AC3835" s="82" t="s">
        <v>10144</v>
      </c>
      <c r="AD3835" s="77" t="s">
        <v>10184</v>
      </c>
      <c r="AE3835" s="80" t="str">
        <f>HYPERLINK("https://twitter.com/caxavil/status/1687120226557857795")</f>
        <v>https://twitter.com/caxavil/status/1687120226557857795</v>
      </c>
      <c r="AF3835" s="79">
        <v>45141.636354166665</v>
      </c>
      <c r="AG3835" s="85">
        <v>45141</v>
      </c>
      <c r="AH3835" s="82" t="s">
        <v>12651</v>
      </c>
      <c r="AI3835" s="77" t="b">
        <v>0</v>
      </c>
      <c r="AJ3835" s="77"/>
      <c r="AK3835" s="77"/>
      <c r="AL3835" s="77"/>
      <c r="AM3835" s="77"/>
      <c r="AN3835" s="77"/>
      <c r="AO3835" s="77"/>
      <c r="AP3835" s="77"/>
      <c r="AQ3835" s="77" t="s">
        <v>16637</v>
      </c>
      <c r="AR3835" s="77">
        <v>44979</v>
      </c>
      <c r="AS3835" s="77"/>
      <c r="AT3835" s="77"/>
      <c r="AU3835" s="77"/>
      <c r="AV3835" s="80" t="str">
        <f>HYPERLINK("https://pbs.twimg.com/ext_tw_video_thumb/1687120131145535488/pu/img/BHVx9hJxipYbWvX7.jpg")</f>
        <v>https://pbs.twimg.com/ext_tw_video_thumb/1687120131145535488/pu/img/BHVx9hJxipYbWvX7.jpg</v>
      </c>
      <c r="AW3835" s="82" t="s">
        <v>20601</v>
      </c>
      <c r="AX3835" s="82" t="s">
        <v>20601</v>
      </c>
      <c r="AY3835" s="77"/>
      <c r="AZ3835" s="82" t="s">
        <v>20971</v>
      </c>
      <c r="BA3835" s="82" t="s">
        <v>20971</v>
      </c>
      <c r="BB3835" s="82" t="s">
        <v>20971</v>
      </c>
      <c r="BC3835" s="82" t="s">
        <v>20601</v>
      </c>
      <c r="BD3835" s="82" t="s">
        <v>21721</v>
      </c>
      <c r="BE3835" s="77"/>
      <c r="BF3835" s="77"/>
      <c r="BG3835" s="77"/>
      <c r="BH3835" s="77"/>
      <c r="BI3835" s="77"/>
    </row>
    <row r="3836" spans="1:61" x14ac:dyDescent="0.25">
      <c r="A3836" s="62" t="s">
        <v>1169</v>
      </c>
      <c r="B3836" s="62" t="s">
        <v>1169</v>
      </c>
      <c r="C3836" s="63"/>
      <c r="D3836" s="64"/>
      <c r="E3836" s="65"/>
      <c r="F3836" s="66"/>
      <c r="G3836" s="63"/>
      <c r="H3836" s="67"/>
      <c r="I3836" s="68"/>
      <c r="J3836" s="68"/>
      <c r="K3836" s="32"/>
      <c r="L3836" s="75">
        <v>3836</v>
      </c>
      <c r="M3836" s="75"/>
      <c r="N3836" s="70"/>
      <c r="O3836" s="77" t="s">
        <v>179</v>
      </c>
      <c r="P3836" s="79">
        <v>44969.715300925927</v>
      </c>
      <c r="Q3836" s="77" t="s">
        <v>5042</v>
      </c>
      <c r="R3836" s="77">
        <v>0</v>
      </c>
      <c r="S3836" s="77">
        <v>0</v>
      </c>
      <c r="T3836" s="77">
        <v>0</v>
      </c>
      <c r="U3836" s="77">
        <v>0</v>
      </c>
      <c r="V3836" s="77">
        <v>225</v>
      </c>
      <c r="W3836" s="82" t="s">
        <v>7053</v>
      </c>
      <c r="X3836" s="80" t="str">
        <f>HYPERLINK("https://hood.bet/?r=eihyrdjm5d")</f>
        <v>https://hood.bet/?r=eihyrdjm5d</v>
      </c>
      <c r="Y3836" s="77" t="s">
        <v>7484</v>
      </c>
      <c r="Z3836" s="77"/>
      <c r="AA3836" s="77" t="s">
        <v>9995</v>
      </c>
      <c r="AB3836" s="77" t="s">
        <v>10129</v>
      </c>
      <c r="AC3836" s="82" t="s">
        <v>10144</v>
      </c>
      <c r="AD3836" s="77" t="s">
        <v>10184</v>
      </c>
      <c r="AE3836" s="80" t="str">
        <f>HYPERLINK("https://twitter.com/guillergs007/status/1624818119863681027")</f>
        <v>https://twitter.com/guillergs007/status/1624818119863681027</v>
      </c>
      <c r="AF3836" s="79">
        <v>44969.715300925927</v>
      </c>
      <c r="AG3836" s="85">
        <v>44969</v>
      </c>
      <c r="AH3836" s="82" t="s">
        <v>13815</v>
      </c>
      <c r="AI3836" s="77" t="b">
        <v>0</v>
      </c>
      <c r="AJ3836" s="77"/>
      <c r="AK3836" s="77"/>
      <c r="AL3836" s="77"/>
      <c r="AM3836" s="77"/>
      <c r="AN3836" s="77"/>
      <c r="AO3836" s="77"/>
      <c r="AP3836" s="77"/>
      <c r="AQ3836" s="77" t="s">
        <v>16638</v>
      </c>
      <c r="AR3836" s="77">
        <v>104766</v>
      </c>
      <c r="AS3836" s="77"/>
      <c r="AT3836" s="77"/>
      <c r="AU3836" s="77"/>
      <c r="AV3836" s="80" t="str">
        <f>HYPERLINK("https://pbs.twimg.com/ext_tw_video_thumb/1624817988955168768/pu/img/3J-mVbr4RqdKvcok.jpg")</f>
        <v>https://pbs.twimg.com/ext_tw_video_thumb/1624817988955168768/pu/img/3J-mVbr4RqdKvcok.jpg</v>
      </c>
      <c r="AW3836" s="82" t="s">
        <v>20602</v>
      </c>
      <c r="AX3836" s="82" t="s">
        <v>20602</v>
      </c>
      <c r="AY3836" s="77"/>
      <c r="AZ3836" s="82" t="s">
        <v>20971</v>
      </c>
      <c r="BA3836" s="82" t="s">
        <v>20971</v>
      </c>
      <c r="BB3836" s="82" t="s">
        <v>20971</v>
      </c>
      <c r="BC3836" s="82" t="s">
        <v>20602</v>
      </c>
      <c r="BD3836" s="77">
        <v>219974739</v>
      </c>
      <c r="BE3836" s="77"/>
      <c r="BF3836" s="77"/>
      <c r="BG3836" s="77"/>
      <c r="BH3836" s="77"/>
      <c r="BI3836" s="77"/>
    </row>
    <row r="3837" spans="1:61" x14ac:dyDescent="0.25">
      <c r="A3837" s="62" t="s">
        <v>1169</v>
      </c>
      <c r="B3837" s="62" t="s">
        <v>1169</v>
      </c>
      <c r="C3837" s="63"/>
      <c r="D3837" s="64"/>
      <c r="E3837" s="65"/>
      <c r="F3837" s="66"/>
      <c r="G3837" s="63"/>
      <c r="H3837" s="67"/>
      <c r="I3837" s="68"/>
      <c r="J3837" s="68"/>
      <c r="K3837" s="32"/>
      <c r="L3837" s="75">
        <v>3837</v>
      </c>
      <c r="M3837" s="75"/>
      <c r="N3837" s="70"/>
      <c r="O3837" s="77" t="s">
        <v>179</v>
      </c>
      <c r="P3837" s="79">
        <v>45039.915046296293</v>
      </c>
      <c r="Q3837" s="77" t="s">
        <v>5043</v>
      </c>
      <c r="R3837" s="77">
        <v>0</v>
      </c>
      <c r="S3837" s="77">
        <v>0</v>
      </c>
      <c r="T3837" s="77">
        <v>0</v>
      </c>
      <c r="U3837" s="77">
        <v>0</v>
      </c>
      <c r="V3837" s="77">
        <v>86</v>
      </c>
      <c r="W3837" s="82" t="s">
        <v>7054</v>
      </c>
      <c r="X3837" s="80" t="str">
        <f>HYPERLINK("https://www.gotchosen.com/@guillergs007/invite/SYDFYSG")</f>
        <v>https://www.gotchosen.com/@guillergs007/invite/SYDFYSG</v>
      </c>
      <c r="Y3837" s="77" t="s">
        <v>7256</v>
      </c>
      <c r="Z3837" s="77"/>
      <c r="AA3837" s="77"/>
      <c r="AB3837" s="77"/>
      <c r="AC3837" s="82" t="s">
        <v>10144</v>
      </c>
      <c r="AD3837" s="77" t="s">
        <v>10184</v>
      </c>
      <c r="AE3837" s="80" t="str">
        <f>HYPERLINK("https://twitter.com/guillergs007/status/1650257657368813568")</f>
        <v>https://twitter.com/guillergs007/status/1650257657368813568</v>
      </c>
      <c r="AF3837" s="79">
        <v>45039.915046296293</v>
      </c>
      <c r="AG3837" s="85">
        <v>45039</v>
      </c>
      <c r="AH3837" s="82" t="s">
        <v>13816</v>
      </c>
      <c r="AI3837" s="77" t="b">
        <v>0</v>
      </c>
      <c r="AJ3837" s="77"/>
      <c r="AK3837" s="77"/>
      <c r="AL3837" s="77"/>
      <c r="AM3837" s="77"/>
      <c r="AN3837" s="77"/>
      <c r="AO3837" s="77"/>
      <c r="AP3837" s="77"/>
      <c r="AQ3837" s="77"/>
      <c r="AR3837" s="77"/>
      <c r="AS3837" s="77"/>
      <c r="AT3837" s="77"/>
      <c r="AU3837" s="77"/>
      <c r="AV3837" s="80" t="str">
        <f>HYPERLINK("https://pbs.twimg.com/profile_images/1463825904870871041/EuJzAmcS_normal.jpg")</f>
        <v>https://pbs.twimg.com/profile_images/1463825904870871041/EuJzAmcS_normal.jpg</v>
      </c>
      <c r="AW3837" s="82" t="s">
        <v>20603</v>
      </c>
      <c r="AX3837" s="82" t="s">
        <v>20603</v>
      </c>
      <c r="AY3837" s="77"/>
      <c r="AZ3837" s="82" t="s">
        <v>20971</v>
      </c>
      <c r="BA3837" s="82" t="s">
        <v>20971</v>
      </c>
      <c r="BB3837" s="82" t="s">
        <v>20971</v>
      </c>
      <c r="BC3837" s="82" t="s">
        <v>20603</v>
      </c>
      <c r="BD3837" s="77">
        <v>219974739</v>
      </c>
      <c r="BE3837" s="77"/>
      <c r="BF3837" s="77"/>
      <c r="BG3837" s="77"/>
      <c r="BH3837" s="77"/>
      <c r="BI3837" s="77"/>
    </row>
    <row r="3838" spans="1:61" x14ac:dyDescent="0.25">
      <c r="A3838" s="62" t="s">
        <v>1170</v>
      </c>
      <c r="B3838" s="62" t="s">
        <v>1170</v>
      </c>
      <c r="C3838" s="63"/>
      <c r="D3838" s="64"/>
      <c r="E3838" s="65"/>
      <c r="F3838" s="66"/>
      <c r="G3838" s="63"/>
      <c r="H3838" s="67"/>
      <c r="I3838" s="68"/>
      <c r="J3838" s="68"/>
      <c r="K3838" s="32"/>
      <c r="L3838" s="75">
        <v>3838</v>
      </c>
      <c r="M3838" s="75"/>
      <c r="N3838" s="70"/>
      <c r="O3838" s="77" t="s">
        <v>179</v>
      </c>
      <c r="P3838" s="79">
        <v>45052.068171296298</v>
      </c>
      <c r="Q3838" s="77" t="s">
        <v>5044</v>
      </c>
      <c r="R3838" s="77">
        <v>0</v>
      </c>
      <c r="S3838" s="77">
        <v>0</v>
      </c>
      <c r="T3838" s="77">
        <v>0</v>
      </c>
      <c r="U3838" s="77">
        <v>0</v>
      </c>
      <c r="V3838" s="77">
        <v>116</v>
      </c>
      <c r="W3838" s="82" t="s">
        <v>7055</v>
      </c>
      <c r="X3838" s="80" t="str">
        <f>HYPERLINK("https://bit.ly/3NKyW7A")</f>
        <v>https://bit.ly/3NKyW7A</v>
      </c>
      <c r="Y3838" s="77" t="s">
        <v>7268</v>
      </c>
      <c r="Z3838" s="77"/>
      <c r="AA3838" s="77" t="s">
        <v>9996</v>
      </c>
      <c r="AB3838" s="77" t="s">
        <v>10130</v>
      </c>
      <c r="AC3838" s="82" t="s">
        <v>10146</v>
      </c>
      <c r="AD3838" s="77" t="s">
        <v>10184</v>
      </c>
      <c r="AE3838" s="80" t="str">
        <f>HYPERLINK("https://twitter.com/braip_afil73309/status/1654661801655631872")</f>
        <v>https://twitter.com/braip_afil73309/status/1654661801655631872</v>
      </c>
      <c r="AF3838" s="79">
        <v>45052.068171296298</v>
      </c>
      <c r="AG3838" s="85">
        <v>45052</v>
      </c>
      <c r="AH3838" s="82" t="s">
        <v>13817</v>
      </c>
      <c r="AI3838" s="77" t="b">
        <v>0</v>
      </c>
      <c r="AJ3838" s="77"/>
      <c r="AK3838" s="77"/>
      <c r="AL3838" s="77"/>
      <c r="AM3838" s="77"/>
      <c r="AN3838" s="77"/>
      <c r="AO3838" s="77"/>
      <c r="AP3838" s="77"/>
      <c r="AQ3838" s="77" t="s">
        <v>16639</v>
      </c>
      <c r="AR3838" s="77"/>
      <c r="AS3838" s="77"/>
      <c r="AT3838" s="77"/>
      <c r="AU3838" s="77"/>
      <c r="AV3838" s="80" t="str">
        <f>HYPERLINK("https://pbs.twimg.com/media/FvaI-tUWAAIBzmb.png")</f>
        <v>https://pbs.twimg.com/media/FvaI-tUWAAIBzmb.png</v>
      </c>
      <c r="AW3838" s="82" t="s">
        <v>20604</v>
      </c>
      <c r="AX3838" s="82" t="s">
        <v>20604</v>
      </c>
      <c r="AY3838" s="77"/>
      <c r="AZ3838" s="82" t="s">
        <v>20971</v>
      </c>
      <c r="BA3838" s="82" t="s">
        <v>20971</v>
      </c>
      <c r="BB3838" s="82" t="s">
        <v>20971</v>
      </c>
      <c r="BC3838" s="82" t="s">
        <v>20604</v>
      </c>
      <c r="BD3838" s="82" t="s">
        <v>21722</v>
      </c>
      <c r="BE3838" s="77"/>
      <c r="BF3838" s="77"/>
      <c r="BG3838" s="77"/>
      <c r="BH3838" s="77"/>
      <c r="BI3838" s="77"/>
    </row>
    <row r="3839" spans="1:61" x14ac:dyDescent="0.25">
      <c r="A3839" s="62" t="s">
        <v>1170</v>
      </c>
      <c r="B3839" s="62" t="s">
        <v>1170</v>
      </c>
      <c r="C3839" s="63"/>
      <c r="D3839" s="64"/>
      <c r="E3839" s="65"/>
      <c r="F3839" s="66"/>
      <c r="G3839" s="63"/>
      <c r="H3839" s="67"/>
      <c r="I3839" s="68"/>
      <c r="J3839" s="68"/>
      <c r="K3839" s="32"/>
      <c r="L3839" s="75">
        <v>3839</v>
      </c>
      <c r="M3839" s="75"/>
      <c r="N3839" s="70"/>
      <c r="O3839" s="77" t="s">
        <v>179</v>
      </c>
      <c r="P3839" s="79">
        <v>45142.788761574076</v>
      </c>
      <c r="Q3839" s="77" t="s">
        <v>5045</v>
      </c>
      <c r="R3839" s="77">
        <v>0</v>
      </c>
      <c r="S3839" s="77">
        <v>0</v>
      </c>
      <c r="T3839" s="77">
        <v>0</v>
      </c>
      <c r="U3839" s="77">
        <v>0</v>
      </c>
      <c r="V3839" s="77">
        <v>66</v>
      </c>
      <c r="W3839" s="82" t="s">
        <v>7056</v>
      </c>
      <c r="X3839" s="80" t="str">
        <f>HYPERLINK("https://go.hotmart.com/C85515408F")</f>
        <v>https://go.hotmart.com/C85515408F</v>
      </c>
      <c r="Y3839" s="77" t="s">
        <v>7251</v>
      </c>
      <c r="Z3839" s="77"/>
      <c r="AA3839" s="77" t="s">
        <v>9997</v>
      </c>
      <c r="AB3839" s="77" t="s">
        <v>10130</v>
      </c>
      <c r="AC3839" s="82" t="s">
        <v>10146</v>
      </c>
      <c r="AD3839" s="77" t="s">
        <v>10184</v>
      </c>
      <c r="AE3839" s="80" t="str">
        <f>HYPERLINK("https://twitter.com/braip_afil73309/status/1687537842832998410")</f>
        <v>https://twitter.com/braip_afil73309/status/1687537842832998410</v>
      </c>
      <c r="AF3839" s="79">
        <v>45142.788761574076</v>
      </c>
      <c r="AG3839" s="85">
        <v>45142</v>
      </c>
      <c r="AH3839" s="82" t="s">
        <v>13818</v>
      </c>
      <c r="AI3839" s="77" t="b">
        <v>0</v>
      </c>
      <c r="AJ3839" s="77"/>
      <c r="AK3839" s="77"/>
      <c r="AL3839" s="77"/>
      <c r="AM3839" s="77"/>
      <c r="AN3839" s="77"/>
      <c r="AO3839" s="77"/>
      <c r="AP3839" s="77"/>
      <c r="AQ3839" s="77" t="s">
        <v>16640</v>
      </c>
      <c r="AR3839" s="77"/>
      <c r="AS3839" s="77"/>
      <c r="AT3839" s="77"/>
      <c r="AU3839" s="77"/>
      <c r="AV3839" s="80" t="str">
        <f>HYPERLINK("https://pbs.twimg.com/media/F2tWMBIXAAM64wL.jpg")</f>
        <v>https://pbs.twimg.com/media/F2tWMBIXAAM64wL.jpg</v>
      </c>
      <c r="AW3839" s="82" t="s">
        <v>20605</v>
      </c>
      <c r="AX3839" s="82" t="s">
        <v>20605</v>
      </c>
      <c r="AY3839" s="77"/>
      <c r="AZ3839" s="82" t="s">
        <v>20971</v>
      </c>
      <c r="BA3839" s="82" t="s">
        <v>20971</v>
      </c>
      <c r="BB3839" s="82" t="s">
        <v>20971</v>
      </c>
      <c r="BC3839" s="82" t="s">
        <v>20605</v>
      </c>
      <c r="BD3839" s="82" t="s">
        <v>21722</v>
      </c>
      <c r="BE3839" s="77"/>
      <c r="BF3839" s="77"/>
      <c r="BG3839" s="77"/>
      <c r="BH3839" s="77"/>
      <c r="BI3839" s="77"/>
    </row>
    <row r="3840" spans="1:61" x14ac:dyDescent="0.25">
      <c r="A3840" s="62" t="s">
        <v>1171</v>
      </c>
      <c r="B3840" s="62" t="s">
        <v>1277</v>
      </c>
      <c r="C3840" s="63"/>
      <c r="D3840" s="64"/>
      <c r="E3840" s="65"/>
      <c r="F3840" s="66"/>
      <c r="G3840" s="63"/>
      <c r="H3840" s="67"/>
      <c r="I3840" s="68"/>
      <c r="J3840" s="68"/>
      <c r="K3840" s="32"/>
      <c r="L3840" s="75">
        <v>3840</v>
      </c>
      <c r="M3840" s="75"/>
      <c r="N3840" s="70"/>
      <c r="O3840" s="77" t="s">
        <v>1285</v>
      </c>
      <c r="P3840" s="79">
        <v>44980.060474537036</v>
      </c>
      <c r="Q3840" s="77" t="s">
        <v>5046</v>
      </c>
      <c r="R3840" s="77">
        <v>0</v>
      </c>
      <c r="S3840" s="77">
        <v>0</v>
      </c>
      <c r="T3840" s="77">
        <v>0</v>
      </c>
      <c r="U3840" s="77">
        <v>0</v>
      </c>
      <c r="V3840" s="77">
        <v>82</v>
      </c>
      <c r="W3840" s="82" t="s">
        <v>7057</v>
      </c>
      <c r="X3840" s="77"/>
      <c r="Y3840" s="77"/>
      <c r="Z3840" s="77" t="s">
        <v>1277</v>
      </c>
      <c r="AA3840" s="77" t="s">
        <v>9998</v>
      </c>
      <c r="AB3840" s="77" t="s">
        <v>10128</v>
      </c>
      <c r="AC3840" s="82" t="s">
        <v>10145</v>
      </c>
      <c r="AD3840" s="77" t="s">
        <v>10184</v>
      </c>
      <c r="AE3840" s="80" t="str">
        <f>HYPERLINK("https://twitter.com/comentandotret1/status/1628567085545660418")</f>
        <v>https://twitter.com/comentandotret1/status/1628567085545660418</v>
      </c>
      <c r="AF3840" s="79">
        <v>44980.060474537036</v>
      </c>
      <c r="AG3840" s="85">
        <v>44980</v>
      </c>
      <c r="AH3840" s="82" t="s">
        <v>13819</v>
      </c>
      <c r="AI3840" s="77" t="b">
        <v>1</v>
      </c>
      <c r="AJ3840" s="77"/>
      <c r="AK3840" s="77"/>
      <c r="AL3840" s="77"/>
      <c r="AM3840" s="77"/>
      <c r="AN3840" s="77"/>
      <c r="AO3840" s="77"/>
      <c r="AP3840" s="77"/>
      <c r="AQ3840" s="77" t="s">
        <v>16641</v>
      </c>
      <c r="AR3840" s="77"/>
      <c r="AS3840" s="77"/>
      <c r="AT3840" s="77"/>
      <c r="AU3840" s="77"/>
      <c r="AV3840" s="80" t="str">
        <f>HYPERLINK("https://pbs.twimg.com/media/FpnVIMFXsAA8UVb.jpg")</f>
        <v>https://pbs.twimg.com/media/FpnVIMFXsAA8UVb.jpg</v>
      </c>
      <c r="AW3840" s="82" t="s">
        <v>20606</v>
      </c>
      <c r="AX3840" s="82" t="s">
        <v>20606</v>
      </c>
      <c r="AY3840" s="77"/>
      <c r="AZ3840" s="82" t="s">
        <v>20971</v>
      </c>
      <c r="BA3840" s="82" t="s">
        <v>20971</v>
      </c>
      <c r="BB3840" s="82" t="s">
        <v>20971</v>
      </c>
      <c r="BC3840" s="82" t="s">
        <v>20606</v>
      </c>
      <c r="BD3840" s="82" t="s">
        <v>21723</v>
      </c>
      <c r="BE3840" s="77"/>
      <c r="BF3840" s="77"/>
      <c r="BG3840" s="77"/>
      <c r="BH3840" s="77"/>
      <c r="BI3840" s="77"/>
    </row>
    <row r="3841" spans="1:61" x14ac:dyDescent="0.25">
      <c r="A3841" s="62" t="s">
        <v>1172</v>
      </c>
      <c r="B3841" s="62" t="s">
        <v>1172</v>
      </c>
      <c r="C3841" s="63"/>
      <c r="D3841" s="64"/>
      <c r="E3841" s="65"/>
      <c r="F3841" s="66"/>
      <c r="G3841" s="63"/>
      <c r="H3841" s="67"/>
      <c r="I3841" s="68"/>
      <c r="J3841" s="68"/>
      <c r="K3841" s="32"/>
      <c r="L3841" s="75">
        <v>3841</v>
      </c>
      <c r="M3841" s="75"/>
      <c r="N3841" s="70"/>
      <c r="O3841" s="77" t="s">
        <v>179</v>
      </c>
      <c r="P3841" s="79">
        <v>45017.050486111111</v>
      </c>
      <c r="Q3841" s="77" t="s">
        <v>5047</v>
      </c>
      <c r="R3841" s="77">
        <v>0</v>
      </c>
      <c r="S3841" s="77">
        <v>2</v>
      </c>
      <c r="T3841" s="77">
        <v>3</v>
      </c>
      <c r="U3841" s="77">
        <v>0</v>
      </c>
      <c r="V3841" s="77">
        <v>184</v>
      </c>
      <c r="W3841" s="82" t="s">
        <v>7058</v>
      </c>
      <c r="X3841" s="80" t="str">
        <f>HYPERLINK("https://youtu.be/nDx039MJGqc")</f>
        <v>https://youtu.be/nDx039MJGqc</v>
      </c>
      <c r="Y3841" s="77" t="s">
        <v>7248</v>
      </c>
      <c r="Z3841" s="77"/>
      <c r="AA3841" s="77"/>
      <c r="AB3841" s="77"/>
      <c r="AC3841" s="82" t="s">
        <v>10146</v>
      </c>
      <c r="AD3841" s="77" t="s">
        <v>10184</v>
      </c>
      <c r="AE3841" s="80" t="str">
        <f>HYPERLINK("https://twitter.com/bitprofit2/status/1641971819392450560")</f>
        <v>https://twitter.com/bitprofit2/status/1641971819392450560</v>
      </c>
      <c r="AF3841" s="79">
        <v>45017.050486111111</v>
      </c>
      <c r="AG3841" s="85">
        <v>45017</v>
      </c>
      <c r="AH3841" s="82" t="s">
        <v>13820</v>
      </c>
      <c r="AI3841" s="77" t="b">
        <v>0</v>
      </c>
      <c r="AJ3841" s="77"/>
      <c r="AK3841" s="77"/>
      <c r="AL3841" s="77"/>
      <c r="AM3841" s="77"/>
      <c r="AN3841" s="77"/>
      <c r="AO3841" s="77"/>
      <c r="AP3841" s="77"/>
      <c r="AQ3841" s="77"/>
      <c r="AR3841" s="77"/>
      <c r="AS3841" s="77"/>
      <c r="AT3841" s="77"/>
      <c r="AU3841" s="77"/>
      <c r="AV3841" s="80" t="str">
        <f>HYPERLINK("https://pbs.twimg.com/profile_images/1334305100190380034/VrPrMycz_normal.jpg")</f>
        <v>https://pbs.twimg.com/profile_images/1334305100190380034/VrPrMycz_normal.jpg</v>
      </c>
      <c r="AW3841" s="82" t="s">
        <v>20607</v>
      </c>
      <c r="AX3841" s="82" t="s">
        <v>20607</v>
      </c>
      <c r="AY3841" s="77"/>
      <c r="AZ3841" s="82" t="s">
        <v>20971</v>
      </c>
      <c r="BA3841" s="82" t="s">
        <v>20971</v>
      </c>
      <c r="BB3841" s="82" t="s">
        <v>20971</v>
      </c>
      <c r="BC3841" s="82" t="s">
        <v>20607</v>
      </c>
      <c r="BD3841" s="82" t="s">
        <v>21724</v>
      </c>
      <c r="BE3841" s="77"/>
      <c r="BF3841" s="77"/>
      <c r="BG3841" s="77"/>
      <c r="BH3841" s="77"/>
      <c r="BI3841" s="77"/>
    </row>
    <row r="3842" spans="1:61" x14ac:dyDescent="0.25">
      <c r="A3842" s="62" t="s">
        <v>1173</v>
      </c>
      <c r="B3842" s="62" t="s">
        <v>1173</v>
      </c>
      <c r="C3842" s="63"/>
      <c r="D3842" s="64"/>
      <c r="E3842" s="65"/>
      <c r="F3842" s="66"/>
      <c r="G3842" s="63"/>
      <c r="H3842" s="67"/>
      <c r="I3842" s="68"/>
      <c r="J3842" s="68"/>
      <c r="K3842" s="32"/>
      <c r="L3842" s="75">
        <v>3842</v>
      </c>
      <c r="M3842" s="75"/>
      <c r="N3842" s="70"/>
      <c r="O3842" s="77" t="s">
        <v>179</v>
      </c>
      <c r="P3842" s="79">
        <v>45154.058113425926</v>
      </c>
      <c r="Q3842" s="77" t="s">
        <v>5048</v>
      </c>
      <c r="R3842" s="77">
        <v>1</v>
      </c>
      <c r="S3842" s="77">
        <v>0</v>
      </c>
      <c r="T3842" s="77">
        <v>0</v>
      </c>
      <c r="U3842" s="77">
        <v>0</v>
      </c>
      <c r="V3842" s="77">
        <v>34</v>
      </c>
      <c r="W3842" s="82" t="s">
        <v>7059</v>
      </c>
      <c r="X3842" s="80" t="str">
        <f>HYPERLINK("https://firebets.bet/afiliado/kbcaloka01")</f>
        <v>https://firebets.bet/afiliado/kbcaloka01</v>
      </c>
      <c r="Y3842" s="77" t="s">
        <v>7485</v>
      </c>
      <c r="Z3842" s="77"/>
      <c r="AA3842" s="77" t="s">
        <v>9999</v>
      </c>
      <c r="AB3842" s="77" t="s">
        <v>10130</v>
      </c>
      <c r="AC3842" s="82" t="s">
        <v>10145</v>
      </c>
      <c r="AD3842" s="77" t="s">
        <v>10184</v>
      </c>
      <c r="AE3842" s="80" t="str">
        <f>HYPERLINK("https://twitter.com/kbcaxxx/status/1691621718526173220")</f>
        <v>https://twitter.com/kbcaxxx/status/1691621718526173220</v>
      </c>
      <c r="AF3842" s="79">
        <v>45154.058113425926</v>
      </c>
      <c r="AG3842" s="85">
        <v>45154</v>
      </c>
      <c r="AH3842" s="82" t="s">
        <v>13821</v>
      </c>
      <c r="AI3842" s="77" t="b">
        <v>0</v>
      </c>
      <c r="AJ3842" s="77"/>
      <c r="AK3842" s="77"/>
      <c r="AL3842" s="77"/>
      <c r="AM3842" s="77"/>
      <c r="AN3842" s="77"/>
      <c r="AO3842" s="77"/>
      <c r="AP3842" s="77"/>
      <c r="AQ3842" s="77" t="s">
        <v>16642</v>
      </c>
      <c r="AR3842" s="77"/>
      <c r="AS3842" s="77"/>
      <c r="AT3842" s="77"/>
      <c r="AU3842" s="77"/>
      <c r="AV3842" s="80" t="str">
        <f>HYPERLINK("https://pbs.twimg.com/media/F3nY_EgXIAAUy-C.jpg")</f>
        <v>https://pbs.twimg.com/media/F3nY_EgXIAAUy-C.jpg</v>
      </c>
      <c r="AW3842" s="82" t="s">
        <v>20608</v>
      </c>
      <c r="AX3842" s="82" t="s">
        <v>20608</v>
      </c>
      <c r="AY3842" s="77"/>
      <c r="AZ3842" s="82" t="s">
        <v>20971</v>
      </c>
      <c r="BA3842" s="82" t="s">
        <v>20971</v>
      </c>
      <c r="BB3842" s="82" t="s">
        <v>20971</v>
      </c>
      <c r="BC3842" s="82" t="s">
        <v>20608</v>
      </c>
      <c r="BD3842" s="77">
        <v>213529176</v>
      </c>
      <c r="BE3842" s="77"/>
      <c r="BF3842" s="77"/>
      <c r="BG3842" s="77"/>
      <c r="BH3842" s="77"/>
      <c r="BI3842" s="77"/>
    </row>
    <row r="3843" spans="1:61" x14ac:dyDescent="0.25">
      <c r="A3843" s="62" t="s">
        <v>1174</v>
      </c>
      <c r="B3843" s="62" t="s">
        <v>1174</v>
      </c>
      <c r="C3843" s="63"/>
      <c r="D3843" s="64"/>
      <c r="E3843" s="65"/>
      <c r="F3843" s="66"/>
      <c r="G3843" s="63"/>
      <c r="H3843" s="67"/>
      <c r="I3843" s="68"/>
      <c r="J3843" s="68"/>
      <c r="K3843" s="32"/>
      <c r="L3843" s="75">
        <v>3843</v>
      </c>
      <c r="M3843" s="75"/>
      <c r="N3843" s="70"/>
      <c r="O3843" s="77" t="s">
        <v>179</v>
      </c>
      <c r="P3843" s="79">
        <v>44994.918333333335</v>
      </c>
      <c r="Q3843" s="77" t="s">
        <v>5049</v>
      </c>
      <c r="R3843" s="77">
        <v>0</v>
      </c>
      <c r="S3843" s="77">
        <v>1</v>
      </c>
      <c r="T3843" s="77">
        <v>0</v>
      </c>
      <c r="U3843" s="77">
        <v>0</v>
      </c>
      <c r="V3843" s="77">
        <v>98</v>
      </c>
      <c r="W3843" s="82" t="s">
        <v>7060</v>
      </c>
      <c r="X3843" s="80" t="str">
        <f>HYPERLINK("https://e.vg/OuersaG?s=tw")</f>
        <v>https://e.vg/OuersaG?s=tw</v>
      </c>
      <c r="Y3843" s="77" t="s">
        <v>7486</v>
      </c>
      <c r="Z3843" s="77"/>
      <c r="AA3843" s="77"/>
      <c r="AB3843" s="77"/>
      <c r="AC3843" s="82" t="s">
        <v>10144</v>
      </c>
      <c r="AD3843" s="77" t="s">
        <v>10184</v>
      </c>
      <c r="AE3843" s="80" t="str">
        <f>HYPERLINK("https://twitter.com/limahanelio/status/1633951396461441024")</f>
        <v>https://twitter.com/limahanelio/status/1633951396461441024</v>
      </c>
      <c r="AF3843" s="79">
        <v>44994.918333333335</v>
      </c>
      <c r="AG3843" s="85">
        <v>44994</v>
      </c>
      <c r="AH3843" s="82" t="s">
        <v>13822</v>
      </c>
      <c r="AI3843" s="77" t="b">
        <v>0</v>
      </c>
      <c r="AJ3843" s="77"/>
      <c r="AK3843" s="77"/>
      <c r="AL3843" s="77"/>
      <c r="AM3843" s="77"/>
      <c r="AN3843" s="77"/>
      <c r="AO3843" s="77"/>
      <c r="AP3843" s="77"/>
      <c r="AQ3843" s="77"/>
      <c r="AR3843" s="77"/>
      <c r="AS3843" s="77"/>
      <c r="AT3843" s="77"/>
      <c r="AU3843" s="77"/>
      <c r="AV3843" s="80" t="str">
        <f>HYPERLINK("https://pbs.twimg.com/profile_images/1620840896164921358/so4CdJUj_normal.jpg")</f>
        <v>https://pbs.twimg.com/profile_images/1620840896164921358/so4CdJUj_normal.jpg</v>
      </c>
      <c r="AW3843" s="82" t="s">
        <v>20609</v>
      </c>
      <c r="AX3843" s="82" t="s">
        <v>20609</v>
      </c>
      <c r="AY3843" s="77"/>
      <c r="AZ3843" s="82" t="s">
        <v>20971</v>
      </c>
      <c r="BA3843" s="82" t="s">
        <v>20971</v>
      </c>
      <c r="BB3843" s="82" t="s">
        <v>20971</v>
      </c>
      <c r="BC3843" s="82" t="s">
        <v>20609</v>
      </c>
      <c r="BD3843" s="82" t="s">
        <v>21725</v>
      </c>
      <c r="BE3843" s="77"/>
      <c r="BF3843" s="77"/>
      <c r="BG3843" s="77"/>
      <c r="BH3843" s="77"/>
      <c r="BI3843" s="77"/>
    </row>
    <row r="3844" spans="1:61" x14ac:dyDescent="0.25">
      <c r="A3844" s="62" t="s">
        <v>1174</v>
      </c>
      <c r="B3844" s="62" t="s">
        <v>1174</v>
      </c>
      <c r="C3844" s="63"/>
      <c r="D3844" s="64"/>
      <c r="E3844" s="65"/>
      <c r="F3844" s="66"/>
      <c r="G3844" s="63"/>
      <c r="H3844" s="67"/>
      <c r="I3844" s="68"/>
      <c r="J3844" s="68"/>
      <c r="K3844" s="32"/>
      <c r="L3844" s="75">
        <v>3844</v>
      </c>
      <c r="M3844" s="75"/>
      <c r="N3844" s="70"/>
      <c r="O3844" s="77" t="s">
        <v>179</v>
      </c>
      <c r="P3844" s="79">
        <v>44985.041585648149</v>
      </c>
      <c r="Q3844" s="77" t="s">
        <v>5050</v>
      </c>
      <c r="R3844" s="77">
        <v>0</v>
      </c>
      <c r="S3844" s="77">
        <v>0</v>
      </c>
      <c r="T3844" s="77">
        <v>0</v>
      </c>
      <c r="U3844" s="77">
        <v>0</v>
      </c>
      <c r="V3844" s="77">
        <v>54</v>
      </c>
      <c r="W3844" s="82" t="s">
        <v>7061</v>
      </c>
      <c r="X3844" s="80" t="str">
        <f>HYPERLINK("http://rotate4all.com/ptp/?r=Hanelio")</f>
        <v>http://rotate4all.com/ptp/?r=Hanelio</v>
      </c>
      <c r="Y3844" s="77" t="s">
        <v>7487</v>
      </c>
      <c r="Z3844" s="77"/>
      <c r="AA3844" s="77" t="s">
        <v>10000</v>
      </c>
      <c r="AB3844" s="77" t="s">
        <v>10129</v>
      </c>
      <c r="AC3844" s="82" t="s">
        <v>10144</v>
      </c>
      <c r="AD3844" s="77" t="s">
        <v>10184</v>
      </c>
      <c r="AE3844" s="80" t="str">
        <f>HYPERLINK("https://twitter.com/limahanelio/status/1630372179542958081")</f>
        <v>https://twitter.com/limahanelio/status/1630372179542958081</v>
      </c>
      <c r="AF3844" s="79">
        <v>44985.041585648149</v>
      </c>
      <c r="AG3844" s="85">
        <v>44985</v>
      </c>
      <c r="AH3844" s="82" t="s">
        <v>13823</v>
      </c>
      <c r="AI3844" s="77" t="b">
        <v>0</v>
      </c>
      <c r="AJ3844" s="77"/>
      <c r="AK3844" s="77"/>
      <c r="AL3844" s="77"/>
      <c r="AM3844" s="77"/>
      <c r="AN3844" s="77"/>
      <c r="AO3844" s="77"/>
      <c r="AP3844" s="77"/>
      <c r="AQ3844" s="77" t="s">
        <v>16643</v>
      </c>
      <c r="AR3844" s="77">
        <v>14320</v>
      </c>
      <c r="AS3844" s="77"/>
      <c r="AT3844" s="77"/>
      <c r="AU3844" s="77"/>
      <c r="AV3844" s="80" t="str">
        <f>HYPERLINK("https://pbs.twimg.com/ext_tw_video_thumb/1630372133690830849/pu/img/j7pKH34BAVl5jiyI.jpg")</f>
        <v>https://pbs.twimg.com/ext_tw_video_thumb/1630372133690830849/pu/img/j7pKH34BAVl5jiyI.jpg</v>
      </c>
      <c r="AW3844" s="82" t="s">
        <v>20610</v>
      </c>
      <c r="AX3844" s="82" t="s">
        <v>20610</v>
      </c>
      <c r="AY3844" s="77"/>
      <c r="AZ3844" s="82" t="s">
        <v>20971</v>
      </c>
      <c r="BA3844" s="82" t="s">
        <v>20971</v>
      </c>
      <c r="BB3844" s="82" t="s">
        <v>20971</v>
      </c>
      <c r="BC3844" s="82" t="s">
        <v>20610</v>
      </c>
      <c r="BD3844" s="82" t="s">
        <v>21725</v>
      </c>
      <c r="BE3844" s="77"/>
      <c r="BF3844" s="77"/>
      <c r="BG3844" s="77"/>
      <c r="BH3844" s="77"/>
      <c r="BI3844" s="77"/>
    </row>
    <row r="3845" spans="1:61" x14ac:dyDescent="0.25">
      <c r="A3845" s="62" t="s">
        <v>1175</v>
      </c>
      <c r="B3845" s="62" t="s">
        <v>1175</v>
      </c>
      <c r="C3845" s="63"/>
      <c r="D3845" s="64"/>
      <c r="E3845" s="65"/>
      <c r="F3845" s="66"/>
      <c r="G3845" s="63"/>
      <c r="H3845" s="67"/>
      <c r="I3845" s="68"/>
      <c r="J3845" s="68"/>
      <c r="K3845" s="32"/>
      <c r="L3845" s="75">
        <v>3845</v>
      </c>
      <c r="M3845" s="75"/>
      <c r="N3845" s="70"/>
      <c r="O3845" s="77" t="s">
        <v>179</v>
      </c>
      <c r="P3845" s="79">
        <v>45149.413136574076</v>
      </c>
      <c r="Q3845" s="77" t="s">
        <v>5051</v>
      </c>
      <c r="R3845" s="77">
        <v>0</v>
      </c>
      <c r="S3845" s="77">
        <v>0</v>
      </c>
      <c r="T3845" s="77">
        <v>0</v>
      </c>
      <c r="U3845" s="77">
        <v>0</v>
      </c>
      <c r="V3845" s="77">
        <v>28</v>
      </c>
      <c r="W3845" s="82" t="s">
        <v>7062</v>
      </c>
      <c r="X3845" s="77"/>
      <c r="Y3845" s="77"/>
      <c r="Z3845" s="77"/>
      <c r="AA3845" s="77" t="s">
        <v>10001</v>
      </c>
      <c r="AB3845" s="77" t="s">
        <v>10128</v>
      </c>
      <c r="AC3845" s="82" t="s">
        <v>10146</v>
      </c>
      <c r="AD3845" s="77" t="s">
        <v>10184</v>
      </c>
      <c r="AE3845" s="80" t="str">
        <f>HYPERLINK("https://twitter.com/alexselhorst/status/1689938438374514689")</f>
        <v>https://twitter.com/alexselhorst/status/1689938438374514689</v>
      </c>
      <c r="AF3845" s="79">
        <v>45149.413136574076</v>
      </c>
      <c r="AG3845" s="85">
        <v>45149</v>
      </c>
      <c r="AH3845" s="82" t="s">
        <v>13824</v>
      </c>
      <c r="AI3845" s="77" t="b">
        <v>0</v>
      </c>
      <c r="AJ3845" s="77"/>
      <c r="AK3845" s="77"/>
      <c r="AL3845" s="77"/>
      <c r="AM3845" s="77"/>
      <c r="AN3845" s="77"/>
      <c r="AO3845" s="77"/>
      <c r="AP3845" s="77"/>
      <c r="AQ3845" s="77" t="s">
        <v>16644</v>
      </c>
      <c r="AR3845" s="77"/>
      <c r="AS3845" s="77"/>
      <c r="AT3845" s="77"/>
      <c r="AU3845" s="77"/>
      <c r="AV3845" s="80" t="str">
        <f>HYPERLINK("https://pbs.twimg.com/media/F3PdbI2W8AA3moy.jpg")</f>
        <v>https://pbs.twimg.com/media/F3PdbI2W8AA3moy.jpg</v>
      </c>
      <c r="AW3845" s="82" t="s">
        <v>20611</v>
      </c>
      <c r="AX3845" s="82" t="s">
        <v>20611</v>
      </c>
      <c r="AY3845" s="77"/>
      <c r="AZ3845" s="82" t="s">
        <v>20971</v>
      </c>
      <c r="BA3845" s="82" t="s">
        <v>20971</v>
      </c>
      <c r="BB3845" s="82" t="s">
        <v>20971</v>
      </c>
      <c r="BC3845" s="82" t="s">
        <v>20611</v>
      </c>
      <c r="BD3845" s="82" t="s">
        <v>21726</v>
      </c>
      <c r="BE3845" s="77"/>
      <c r="BF3845" s="77"/>
      <c r="BG3845" s="77"/>
      <c r="BH3845" s="77"/>
      <c r="BI3845" s="77"/>
    </row>
    <row r="3846" spans="1:61" x14ac:dyDescent="0.25">
      <c r="A3846" s="62" t="s">
        <v>1176</v>
      </c>
      <c r="B3846" s="62" t="s">
        <v>1176</v>
      </c>
      <c r="C3846" s="63"/>
      <c r="D3846" s="64"/>
      <c r="E3846" s="65"/>
      <c r="F3846" s="66"/>
      <c r="G3846" s="63"/>
      <c r="H3846" s="67"/>
      <c r="I3846" s="68"/>
      <c r="J3846" s="68"/>
      <c r="K3846" s="32"/>
      <c r="L3846" s="75">
        <v>3846</v>
      </c>
      <c r="M3846" s="75"/>
      <c r="N3846" s="70"/>
      <c r="O3846" s="77" t="s">
        <v>179</v>
      </c>
      <c r="P3846" s="79">
        <v>44965.051863425928</v>
      </c>
      <c r="Q3846" s="77" t="s">
        <v>5052</v>
      </c>
      <c r="R3846" s="77">
        <v>0</v>
      </c>
      <c r="S3846" s="77">
        <v>0</v>
      </c>
      <c r="T3846" s="77">
        <v>0</v>
      </c>
      <c r="U3846" s="77">
        <v>0</v>
      </c>
      <c r="V3846" s="77">
        <v>10</v>
      </c>
      <c r="W3846" s="82" t="s">
        <v>7063</v>
      </c>
      <c r="X3846" s="80" t="str">
        <f>HYPERLINK("http://bit.ly/40BxRD1")</f>
        <v>http://bit.ly/40BxRD1</v>
      </c>
      <c r="Y3846" s="77" t="s">
        <v>7268</v>
      </c>
      <c r="Z3846" s="77"/>
      <c r="AA3846" s="77" t="s">
        <v>10002</v>
      </c>
      <c r="AB3846" s="77" t="s">
        <v>10129</v>
      </c>
      <c r="AC3846" s="82" t="s">
        <v>10144</v>
      </c>
      <c r="AD3846" s="77" t="s">
        <v>10184</v>
      </c>
      <c r="AE3846" s="80" t="str">
        <f>HYPERLINK("https://twitter.com/adriana44006527/status/1623128146722553863")</f>
        <v>https://twitter.com/adriana44006527/status/1623128146722553863</v>
      </c>
      <c r="AF3846" s="79">
        <v>44965.051863425928</v>
      </c>
      <c r="AG3846" s="85">
        <v>44965</v>
      </c>
      <c r="AH3846" s="82" t="s">
        <v>13825</v>
      </c>
      <c r="AI3846" s="77" t="b">
        <v>0</v>
      </c>
      <c r="AJ3846" s="77"/>
      <c r="AK3846" s="77"/>
      <c r="AL3846" s="77"/>
      <c r="AM3846" s="77"/>
      <c r="AN3846" s="77"/>
      <c r="AO3846" s="77"/>
      <c r="AP3846" s="77"/>
      <c r="AQ3846" s="77" t="s">
        <v>16645</v>
      </c>
      <c r="AR3846" s="77">
        <v>3599</v>
      </c>
      <c r="AS3846" s="77"/>
      <c r="AT3846" s="77"/>
      <c r="AU3846" s="77"/>
      <c r="AV3846" s="80" t="str">
        <f>HYPERLINK("https://pbs.twimg.com/ext_tw_video_thumb/1623127987372670980/pu/img/bwI66C6SlogLXR75.jpg")</f>
        <v>https://pbs.twimg.com/ext_tw_video_thumb/1623127987372670980/pu/img/bwI66C6SlogLXR75.jpg</v>
      </c>
      <c r="AW3846" s="82" t="s">
        <v>20612</v>
      </c>
      <c r="AX3846" s="82" t="s">
        <v>20612</v>
      </c>
      <c r="AY3846" s="77"/>
      <c r="AZ3846" s="82" t="s">
        <v>20971</v>
      </c>
      <c r="BA3846" s="82" t="s">
        <v>20971</v>
      </c>
      <c r="BB3846" s="82" t="s">
        <v>20971</v>
      </c>
      <c r="BC3846" s="82" t="s">
        <v>20612</v>
      </c>
      <c r="BD3846" s="82" t="s">
        <v>21727</v>
      </c>
      <c r="BE3846" s="77"/>
      <c r="BF3846" s="77"/>
      <c r="BG3846" s="77"/>
      <c r="BH3846" s="77"/>
      <c r="BI3846" s="77"/>
    </row>
    <row r="3847" spans="1:61" x14ac:dyDescent="0.25">
      <c r="A3847" s="62" t="s">
        <v>1177</v>
      </c>
      <c r="B3847" s="62" t="s">
        <v>1177</v>
      </c>
      <c r="C3847" s="63"/>
      <c r="D3847" s="64"/>
      <c r="E3847" s="65"/>
      <c r="F3847" s="66"/>
      <c r="G3847" s="63"/>
      <c r="H3847" s="67"/>
      <c r="I3847" s="68"/>
      <c r="J3847" s="68"/>
      <c r="K3847" s="32"/>
      <c r="L3847" s="75">
        <v>3847</v>
      </c>
      <c r="M3847" s="75"/>
      <c r="N3847" s="70"/>
      <c r="O3847" s="77" t="s">
        <v>179</v>
      </c>
      <c r="P3847" s="79">
        <v>45007.936307870368</v>
      </c>
      <c r="Q3847" s="77" t="s">
        <v>5053</v>
      </c>
      <c r="R3847" s="77">
        <v>0</v>
      </c>
      <c r="S3847" s="77">
        <v>0</v>
      </c>
      <c r="T3847" s="77">
        <v>0</v>
      </c>
      <c r="U3847" s="77">
        <v>0</v>
      </c>
      <c r="V3847" s="77">
        <v>54</v>
      </c>
      <c r="W3847" s="82" t="s">
        <v>7064</v>
      </c>
      <c r="X3847" s="80" t="str">
        <f>HYPERLINK("https://go.hotmart.com/T80452318H")</f>
        <v>https://go.hotmart.com/T80452318H</v>
      </c>
      <c r="Y3847" s="77" t="s">
        <v>7251</v>
      </c>
      <c r="Z3847" s="77"/>
      <c r="AA3847" s="77" t="s">
        <v>10003</v>
      </c>
      <c r="AB3847" s="77" t="s">
        <v>10130</v>
      </c>
      <c r="AC3847" s="82" t="s">
        <v>10146</v>
      </c>
      <c r="AD3847" s="77" t="s">
        <v>10184</v>
      </c>
      <c r="AE3847" s="80" t="str">
        <f>HYPERLINK("https://twitter.com/taufagundes/status/1638668952149655555")</f>
        <v>https://twitter.com/taufagundes/status/1638668952149655555</v>
      </c>
      <c r="AF3847" s="79">
        <v>45007.936307870368</v>
      </c>
      <c r="AG3847" s="85">
        <v>45007</v>
      </c>
      <c r="AH3847" s="82" t="s">
        <v>13826</v>
      </c>
      <c r="AI3847" s="77" t="b">
        <v>0</v>
      </c>
      <c r="AJ3847" s="77"/>
      <c r="AK3847" s="77"/>
      <c r="AL3847" s="77"/>
      <c r="AM3847" s="77"/>
      <c r="AN3847" s="77"/>
      <c r="AO3847" s="77"/>
      <c r="AP3847" s="77"/>
      <c r="AQ3847" s="77" t="s">
        <v>16646</v>
      </c>
      <c r="AR3847" s="77"/>
      <c r="AS3847" s="77"/>
      <c r="AT3847" s="77"/>
      <c r="AU3847" s="77"/>
      <c r="AV3847" s="80" t="str">
        <f>HYPERLINK("https://pbs.twimg.com/media/Fr24J0cWAAIXh7J.jpg")</f>
        <v>https://pbs.twimg.com/media/Fr24J0cWAAIXh7J.jpg</v>
      </c>
      <c r="AW3847" s="82" t="s">
        <v>20613</v>
      </c>
      <c r="AX3847" s="82" t="s">
        <v>20613</v>
      </c>
      <c r="AY3847" s="77"/>
      <c r="AZ3847" s="82" t="s">
        <v>20971</v>
      </c>
      <c r="BA3847" s="82" t="s">
        <v>20971</v>
      </c>
      <c r="BB3847" s="82" t="s">
        <v>20971</v>
      </c>
      <c r="BC3847" s="82" t="s">
        <v>20613</v>
      </c>
      <c r="BD3847" s="82" t="s">
        <v>21728</v>
      </c>
      <c r="BE3847" s="77"/>
      <c r="BF3847" s="77"/>
      <c r="BG3847" s="77"/>
      <c r="BH3847" s="77"/>
      <c r="BI3847" s="77"/>
    </row>
    <row r="3848" spans="1:61" x14ac:dyDescent="0.25">
      <c r="A3848" s="62" t="s">
        <v>1177</v>
      </c>
      <c r="B3848" s="62" t="s">
        <v>1177</v>
      </c>
      <c r="C3848" s="63"/>
      <c r="D3848" s="64"/>
      <c r="E3848" s="65"/>
      <c r="F3848" s="66"/>
      <c r="G3848" s="63"/>
      <c r="H3848" s="67"/>
      <c r="I3848" s="68"/>
      <c r="J3848" s="68"/>
      <c r="K3848" s="32"/>
      <c r="L3848" s="75">
        <v>3848</v>
      </c>
      <c r="M3848" s="75"/>
      <c r="N3848" s="70"/>
      <c r="O3848" s="77" t="s">
        <v>179</v>
      </c>
      <c r="P3848" s="79">
        <v>45013.570416666669</v>
      </c>
      <c r="Q3848" s="77" t="s">
        <v>5054</v>
      </c>
      <c r="R3848" s="77">
        <v>0</v>
      </c>
      <c r="S3848" s="77">
        <v>1</v>
      </c>
      <c r="T3848" s="77">
        <v>0</v>
      </c>
      <c r="U3848" s="77">
        <v>0</v>
      </c>
      <c r="V3848" s="77">
        <v>59</v>
      </c>
      <c r="W3848" s="82" t="s">
        <v>7065</v>
      </c>
      <c r="X3848" s="80" t="str">
        <f>HYPERLINK("https://go.hotmart.com/T80452318H")</f>
        <v>https://go.hotmart.com/T80452318H</v>
      </c>
      <c r="Y3848" s="77" t="s">
        <v>7251</v>
      </c>
      <c r="Z3848" s="77"/>
      <c r="AA3848" s="77" t="s">
        <v>10004</v>
      </c>
      <c r="AB3848" s="77" t="s">
        <v>10130</v>
      </c>
      <c r="AC3848" s="82" t="s">
        <v>10146</v>
      </c>
      <c r="AD3848" s="77" t="s">
        <v>10184</v>
      </c>
      <c r="AE3848" s="80" t="str">
        <f>HYPERLINK("https://twitter.com/taufagundes/status/1640710685037563912")</f>
        <v>https://twitter.com/taufagundes/status/1640710685037563912</v>
      </c>
      <c r="AF3848" s="79">
        <v>45013.570416666669</v>
      </c>
      <c r="AG3848" s="85">
        <v>45013</v>
      </c>
      <c r="AH3848" s="82" t="s">
        <v>13827</v>
      </c>
      <c r="AI3848" s="77" t="b">
        <v>0</v>
      </c>
      <c r="AJ3848" s="77"/>
      <c r="AK3848" s="77"/>
      <c r="AL3848" s="77"/>
      <c r="AM3848" s="77"/>
      <c r="AN3848" s="77"/>
      <c r="AO3848" s="77"/>
      <c r="AP3848" s="77"/>
      <c r="AQ3848" s="77" t="s">
        <v>16647</v>
      </c>
      <c r="AR3848" s="77"/>
      <c r="AS3848" s="77"/>
      <c r="AT3848" s="77"/>
      <c r="AU3848" s="77"/>
      <c r="AV3848" s="80" t="str">
        <f>HYPERLINK("https://pbs.twimg.com/media/FsT4mnbakAQF1MY.jpg")</f>
        <v>https://pbs.twimg.com/media/FsT4mnbakAQF1MY.jpg</v>
      </c>
      <c r="AW3848" s="82" t="s">
        <v>20614</v>
      </c>
      <c r="AX3848" s="82" t="s">
        <v>20614</v>
      </c>
      <c r="AY3848" s="77"/>
      <c r="AZ3848" s="82" t="s">
        <v>20971</v>
      </c>
      <c r="BA3848" s="82" t="s">
        <v>20971</v>
      </c>
      <c r="BB3848" s="82" t="s">
        <v>20971</v>
      </c>
      <c r="BC3848" s="82" t="s">
        <v>20614</v>
      </c>
      <c r="BD3848" s="82" t="s">
        <v>21728</v>
      </c>
      <c r="BE3848" s="77"/>
      <c r="BF3848" s="77"/>
      <c r="BG3848" s="77"/>
      <c r="BH3848" s="77"/>
      <c r="BI3848" s="77"/>
    </row>
    <row r="3849" spans="1:61" x14ac:dyDescent="0.25">
      <c r="A3849" s="62" t="s">
        <v>1178</v>
      </c>
      <c r="B3849" s="62" t="s">
        <v>1178</v>
      </c>
      <c r="C3849" s="63"/>
      <c r="D3849" s="64"/>
      <c r="E3849" s="65"/>
      <c r="F3849" s="66"/>
      <c r="G3849" s="63"/>
      <c r="H3849" s="67"/>
      <c r="I3849" s="68"/>
      <c r="J3849" s="68"/>
      <c r="K3849" s="32"/>
      <c r="L3849" s="75">
        <v>3849</v>
      </c>
      <c r="M3849" s="75"/>
      <c r="N3849" s="70"/>
      <c r="O3849" s="77" t="s">
        <v>179</v>
      </c>
      <c r="P3849" s="79">
        <v>45155.561909722222</v>
      </c>
      <c r="Q3849" s="77" t="s">
        <v>5055</v>
      </c>
      <c r="R3849" s="77">
        <v>0</v>
      </c>
      <c r="S3849" s="77">
        <v>0</v>
      </c>
      <c r="T3849" s="77">
        <v>0</v>
      </c>
      <c r="U3849" s="77">
        <v>0</v>
      </c>
      <c r="V3849" s="77">
        <v>1575</v>
      </c>
      <c r="W3849" s="82" t="s">
        <v>7066</v>
      </c>
      <c r="X3849" s="77"/>
      <c r="Y3849" s="77"/>
      <c r="Z3849" s="77"/>
      <c r="AA3849" s="77" t="s">
        <v>10005</v>
      </c>
      <c r="AB3849" s="77" t="s">
        <v>10130</v>
      </c>
      <c r="AC3849" s="82" t="s">
        <v>10146</v>
      </c>
      <c r="AD3849" s="77" t="s">
        <v>10184</v>
      </c>
      <c r="AE3849" s="80" t="str">
        <f>HYPERLINK("https://twitter.com/marirecrutarora/status/1692166678367371412")</f>
        <v>https://twitter.com/marirecrutarora/status/1692166678367371412</v>
      </c>
      <c r="AF3849" s="79">
        <v>45155.561909722222</v>
      </c>
      <c r="AG3849" s="85">
        <v>45155</v>
      </c>
      <c r="AH3849" s="82" t="s">
        <v>13828</v>
      </c>
      <c r="AI3849" s="77" t="b">
        <v>0</v>
      </c>
      <c r="AJ3849" s="77"/>
      <c r="AK3849" s="77"/>
      <c r="AL3849" s="77"/>
      <c r="AM3849" s="77"/>
      <c r="AN3849" s="77"/>
      <c r="AO3849" s="77"/>
      <c r="AP3849" s="77"/>
      <c r="AQ3849" s="77" t="s">
        <v>16648</v>
      </c>
      <c r="AR3849" s="77"/>
      <c r="AS3849" s="77"/>
      <c r="AT3849" s="77"/>
      <c r="AU3849" s="77"/>
      <c r="AV3849" s="80" t="str">
        <f>HYPERLINK("https://pbs.twimg.com/media/F3vIEEWWwAAnwAS.jpg")</f>
        <v>https://pbs.twimg.com/media/F3vIEEWWwAAnwAS.jpg</v>
      </c>
      <c r="AW3849" s="82" t="s">
        <v>20615</v>
      </c>
      <c r="AX3849" s="82" t="s">
        <v>20615</v>
      </c>
      <c r="AY3849" s="77"/>
      <c r="AZ3849" s="82" t="s">
        <v>20971</v>
      </c>
      <c r="BA3849" s="82" t="s">
        <v>20971</v>
      </c>
      <c r="BB3849" s="82" t="s">
        <v>20971</v>
      </c>
      <c r="BC3849" s="82" t="s">
        <v>20615</v>
      </c>
      <c r="BD3849" s="82" t="s">
        <v>21729</v>
      </c>
      <c r="BE3849" s="77"/>
      <c r="BF3849" s="77"/>
      <c r="BG3849" s="77"/>
      <c r="BH3849" s="77"/>
      <c r="BI3849" s="77"/>
    </row>
    <row r="3850" spans="1:61" x14ac:dyDescent="0.25">
      <c r="A3850" s="62" t="s">
        <v>1179</v>
      </c>
      <c r="B3850" s="62" t="s">
        <v>1179</v>
      </c>
      <c r="C3850" s="63"/>
      <c r="D3850" s="64"/>
      <c r="E3850" s="65"/>
      <c r="F3850" s="66"/>
      <c r="G3850" s="63"/>
      <c r="H3850" s="67"/>
      <c r="I3850" s="68"/>
      <c r="J3850" s="68"/>
      <c r="K3850" s="32"/>
      <c r="L3850" s="75">
        <v>3850</v>
      </c>
      <c r="M3850" s="75"/>
      <c r="N3850" s="70"/>
      <c r="O3850" s="77" t="s">
        <v>179</v>
      </c>
      <c r="P3850" s="79">
        <v>45004.316354166665</v>
      </c>
      <c r="Q3850" s="77" t="s">
        <v>5056</v>
      </c>
      <c r="R3850" s="77">
        <v>0</v>
      </c>
      <c r="S3850" s="77">
        <v>0</v>
      </c>
      <c r="T3850" s="77">
        <v>0</v>
      </c>
      <c r="U3850" s="77">
        <v>0</v>
      </c>
      <c r="V3850" s="77">
        <v>21</v>
      </c>
      <c r="W3850" s="82" t="s">
        <v>7067</v>
      </c>
      <c r="X3850" s="80" t="str">
        <f>HYPERLINK("https://www.instagram.com/reel/Cp9kXwtDBza/?igshid=YTgzYjQ4ZTY=")</f>
        <v>https://www.instagram.com/reel/Cp9kXwtDBza/?igshid=YTgzYjQ4ZTY=</v>
      </c>
      <c r="Y3850" s="77" t="s">
        <v>7250</v>
      </c>
      <c r="Z3850" s="77"/>
      <c r="AA3850" s="77"/>
      <c r="AB3850" s="77"/>
      <c r="AC3850" s="82" t="s">
        <v>10145</v>
      </c>
      <c r="AD3850" s="77" t="s">
        <v>10183</v>
      </c>
      <c r="AE3850" s="80" t="str">
        <f>HYPERLINK("https://twitter.com/dennerramo86286/status/1637357125180481538")</f>
        <v>https://twitter.com/dennerramo86286/status/1637357125180481538</v>
      </c>
      <c r="AF3850" s="79">
        <v>45004.316354166665</v>
      </c>
      <c r="AG3850" s="85">
        <v>45004</v>
      </c>
      <c r="AH3850" s="82" t="s">
        <v>13829</v>
      </c>
      <c r="AI3850" s="77" t="b">
        <v>0</v>
      </c>
      <c r="AJ3850" s="77"/>
      <c r="AK3850" s="77"/>
      <c r="AL3850" s="77"/>
      <c r="AM3850" s="77"/>
      <c r="AN3850" s="77"/>
      <c r="AO3850" s="77"/>
      <c r="AP3850" s="77"/>
      <c r="AQ3850" s="77"/>
      <c r="AR3850" s="77"/>
      <c r="AS3850" s="77"/>
      <c r="AT3850" s="77"/>
      <c r="AU3850" s="77"/>
      <c r="AV3850" s="80" t="str">
        <f>HYPERLINK("https://pbs.twimg.com/profile_images/1635713488164093973/X4lJcHCO_normal.jpg")</f>
        <v>https://pbs.twimg.com/profile_images/1635713488164093973/X4lJcHCO_normal.jpg</v>
      </c>
      <c r="AW3850" s="82" t="s">
        <v>20616</v>
      </c>
      <c r="AX3850" s="82" t="s">
        <v>20616</v>
      </c>
      <c r="AY3850" s="77"/>
      <c r="AZ3850" s="82" t="s">
        <v>20971</v>
      </c>
      <c r="BA3850" s="82" t="s">
        <v>20971</v>
      </c>
      <c r="BB3850" s="82" t="s">
        <v>20971</v>
      </c>
      <c r="BC3850" s="82" t="s">
        <v>20616</v>
      </c>
      <c r="BD3850" s="82" t="s">
        <v>21730</v>
      </c>
      <c r="BE3850" s="77"/>
      <c r="BF3850" s="77"/>
      <c r="BG3850" s="77"/>
      <c r="BH3850" s="77"/>
      <c r="BI3850" s="77"/>
    </row>
    <row r="3851" spans="1:61" x14ac:dyDescent="0.25">
      <c r="A3851" s="62" t="s">
        <v>1180</v>
      </c>
      <c r="B3851" s="62" t="s">
        <v>1180</v>
      </c>
      <c r="C3851" s="63"/>
      <c r="D3851" s="64"/>
      <c r="E3851" s="65"/>
      <c r="F3851" s="66"/>
      <c r="G3851" s="63"/>
      <c r="H3851" s="67"/>
      <c r="I3851" s="68"/>
      <c r="J3851" s="68"/>
      <c r="K3851" s="32"/>
      <c r="L3851" s="75">
        <v>3851</v>
      </c>
      <c r="M3851" s="75"/>
      <c r="N3851" s="70"/>
      <c r="O3851" s="77" t="s">
        <v>179</v>
      </c>
      <c r="P3851" s="79">
        <v>45126.5315162037</v>
      </c>
      <c r="Q3851" s="77" t="s">
        <v>5057</v>
      </c>
      <c r="R3851" s="77">
        <v>0</v>
      </c>
      <c r="S3851" s="77">
        <v>0</v>
      </c>
      <c r="T3851" s="77">
        <v>0</v>
      </c>
      <c r="U3851" s="77">
        <v>0</v>
      </c>
      <c r="V3851" s="77">
        <v>2</v>
      </c>
      <c r="W3851" s="82" t="s">
        <v>7068</v>
      </c>
      <c r="X3851" s="80" t="str">
        <f>HYPERLINK("https://neuroflash.com/e-commerce?fpr=free")</f>
        <v>https://neuroflash.com/e-commerce?fpr=free</v>
      </c>
      <c r="Y3851" s="77" t="s">
        <v>7488</v>
      </c>
      <c r="Z3851" s="77"/>
      <c r="AA3851" s="77" t="s">
        <v>10006</v>
      </c>
      <c r="AB3851" s="77" t="s">
        <v>10130</v>
      </c>
      <c r="AC3851" s="82" t="s">
        <v>10146</v>
      </c>
      <c r="AD3851" s="77" t="s">
        <v>10189</v>
      </c>
      <c r="AE3851" s="80" t="str">
        <f>HYPERLINK("https://twitter.com/karra_opire/status/1681646416999981056")</f>
        <v>https://twitter.com/karra_opire/status/1681646416999981056</v>
      </c>
      <c r="AF3851" s="79">
        <v>45126.5315162037</v>
      </c>
      <c r="AG3851" s="85">
        <v>45126</v>
      </c>
      <c r="AH3851" s="82" t="s">
        <v>13830</v>
      </c>
      <c r="AI3851" s="77" t="b">
        <v>0</v>
      </c>
      <c r="AJ3851" s="77"/>
      <c r="AK3851" s="77"/>
      <c r="AL3851" s="77"/>
      <c r="AM3851" s="77"/>
      <c r="AN3851" s="77"/>
      <c r="AO3851" s="77"/>
      <c r="AP3851" s="77"/>
      <c r="AQ3851" s="77" t="s">
        <v>16649</v>
      </c>
      <c r="AR3851" s="77"/>
      <c r="AS3851" s="77"/>
      <c r="AT3851" s="77"/>
      <c r="AU3851" s="77"/>
      <c r="AV3851" s="80" t="str">
        <f>HYPERLINK("https://pbs.twimg.com/media/F1ZogG6WIAAbC4Z.jpg")</f>
        <v>https://pbs.twimg.com/media/F1ZogG6WIAAbC4Z.jpg</v>
      </c>
      <c r="AW3851" s="82" t="s">
        <v>20617</v>
      </c>
      <c r="AX3851" s="82" t="s">
        <v>20617</v>
      </c>
      <c r="AY3851" s="77"/>
      <c r="AZ3851" s="82" t="s">
        <v>20971</v>
      </c>
      <c r="BA3851" s="82" t="s">
        <v>20971</v>
      </c>
      <c r="BB3851" s="82" t="s">
        <v>20971</v>
      </c>
      <c r="BC3851" s="82" t="s">
        <v>20617</v>
      </c>
      <c r="BD3851" s="82" t="s">
        <v>21731</v>
      </c>
      <c r="BE3851" s="77"/>
      <c r="BF3851" s="77"/>
      <c r="BG3851" s="77"/>
      <c r="BH3851" s="77"/>
      <c r="BI3851" s="77"/>
    </row>
    <row r="3852" spans="1:61" x14ac:dyDescent="0.25">
      <c r="A3852" s="62" t="s">
        <v>1181</v>
      </c>
      <c r="B3852" s="62" t="s">
        <v>1181</v>
      </c>
      <c r="C3852" s="63"/>
      <c r="D3852" s="64"/>
      <c r="E3852" s="65"/>
      <c r="F3852" s="66"/>
      <c r="G3852" s="63"/>
      <c r="H3852" s="67"/>
      <c r="I3852" s="68"/>
      <c r="J3852" s="68"/>
      <c r="K3852" s="32"/>
      <c r="L3852" s="75">
        <v>3852</v>
      </c>
      <c r="M3852" s="75"/>
      <c r="N3852" s="70"/>
      <c r="O3852" s="77" t="s">
        <v>179</v>
      </c>
      <c r="P3852" s="79">
        <v>45010.000868055555</v>
      </c>
      <c r="Q3852" s="77" t="s">
        <v>5058</v>
      </c>
      <c r="R3852" s="77">
        <v>0</v>
      </c>
      <c r="S3852" s="77">
        <v>0</v>
      </c>
      <c r="T3852" s="77">
        <v>0</v>
      </c>
      <c r="U3852" s="77">
        <v>0</v>
      </c>
      <c r="V3852" s="77">
        <v>145</v>
      </c>
      <c r="W3852" s="82" t="s">
        <v>7069</v>
      </c>
      <c r="X3852" s="77" t="s">
        <v>7237</v>
      </c>
      <c r="Y3852" s="77" t="s">
        <v>7489</v>
      </c>
      <c r="Z3852" s="77"/>
      <c r="AA3852" s="77" t="s">
        <v>10007</v>
      </c>
      <c r="AB3852" s="77" t="s">
        <v>10129</v>
      </c>
      <c r="AC3852" s="82" t="s">
        <v>10144</v>
      </c>
      <c r="AD3852" s="77" t="s">
        <v>10184</v>
      </c>
      <c r="AE3852" s="80" t="str">
        <f>HYPERLINK("https://twitter.com/janaynna_js/status/1639417121879752704")</f>
        <v>https://twitter.com/janaynna_js/status/1639417121879752704</v>
      </c>
      <c r="AF3852" s="79">
        <v>45010.000868055555</v>
      </c>
      <c r="AG3852" s="85">
        <v>45010</v>
      </c>
      <c r="AH3852" s="82" t="s">
        <v>13831</v>
      </c>
      <c r="AI3852" s="77" t="b">
        <v>0</v>
      </c>
      <c r="AJ3852" s="77"/>
      <c r="AK3852" s="77"/>
      <c r="AL3852" s="77"/>
      <c r="AM3852" s="77"/>
      <c r="AN3852" s="77"/>
      <c r="AO3852" s="77"/>
      <c r="AP3852" s="77"/>
      <c r="AQ3852" s="77" t="s">
        <v>16650</v>
      </c>
      <c r="AR3852" s="77">
        <v>44952</v>
      </c>
      <c r="AS3852" s="77"/>
      <c r="AT3852" s="77"/>
      <c r="AU3852" s="77"/>
      <c r="AV3852" s="80" t="str">
        <f>HYPERLINK("https://pbs.twimg.com/ext_tw_video_thumb/1639417058667511809/pu/img/FhHIhb7mUZtyo_li.jpg")</f>
        <v>https://pbs.twimg.com/ext_tw_video_thumb/1639417058667511809/pu/img/FhHIhb7mUZtyo_li.jpg</v>
      </c>
      <c r="AW3852" s="82" t="s">
        <v>20618</v>
      </c>
      <c r="AX3852" s="82" t="s">
        <v>20618</v>
      </c>
      <c r="AY3852" s="77"/>
      <c r="AZ3852" s="82" t="s">
        <v>20971</v>
      </c>
      <c r="BA3852" s="82" t="s">
        <v>20971</v>
      </c>
      <c r="BB3852" s="82" t="s">
        <v>20971</v>
      </c>
      <c r="BC3852" s="82" t="s">
        <v>20618</v>
      </c>
      <c r="BD3852" s="82" t="s">
        <v>21732</v>
      </c>
      <c r="BE3852" s="77"/>
      <c r="BF3852" s="77"/>
      <c r="BG3852" s="77"/>
      <c r="BH3852" s="77"/>
      <c r="BI3852" s="77"/>
    </row>
    <row r="3853" spans="1:61" x14ac:dyDescent="0.25">
      <c r="A3853" s="62" t="s">
        <v>1182</v>
      </c>
      <c r="B3853" s="62" t="s">
        <v>1182</v>
      </c>
      <c r="C3853" s="63"/>
      <c r="D3853" s="64"/>
      <c r="E3853" s="65"/>
      <c r="F3853" s="66"/>
      <c r="G3853" s="63"/>
      <c r="H3853" s="67"/>
      <c r="I3853" s="68"/>
      <c r="J3853" s="68"/>
      <c r="K3853" s="32"/>
      <c r="L3853" s="75">
        <v>3853</v>
      </c>
      <c r="M3853" s="75"/>
      <c r="N3853" s="70"/>
      <c r="O3853" s="77" t="s">
        <v>179</v>
      </c>
      <c r="P3853" s="79">
        <v>44979.646215277775</v>
      </c>
      <c r="Q3853" s="77" t="s">
        <v>5059</v>
      </c>
      <c r="R3853" s="77">
        <v>0</v>
      </c>
      <c r="S3853" s="77">
        <v>1</v>
      </c>
      <c r="T3853" s="77">
        <v>0</v>
      </c>
      <c r="U3853" s="77">
        <v>0</v>
      </c>
      <c r="V3853" s="77">
        <v>40</v>
      </c>
      <c r="W3853" s="82" t="s">
        <v>7070</v>
      </c>
      <c r="X3853" s="80" t="str">
        <f>HYPERLINK("https://edzz.la/MXSWB?a=52415071")</f>
        <v>https://edzz.la/MXSWB?a=52415071</v>
      </c>
      <c r="Y3853" s="77" t="s">
        <v>7271</v>
      </c>
      <c r="Z3853" s="77"/>
      <c r="AA3853" s="77" t="s">
        <v>10008</v>
      </c>
      <c r="AB3853" s="77" t="s">
        <v>10130</v>
      </c>
      <c r="AC3853" s="82" t="s">
        <v>10144</v>
      </c>
      <c r="AD3853" s="77" t="s">
        <v>10184</v>
      </c>
      <c r="AE3853" s="80" t="str">
        <f>HYPERLINK("https://twitter.com/raquelkayllanny/status/1628416965424422913")</f>
        <v>https://twitter.com/raquelkayllanny/status/1628416965424422913</v>
      </c>
      <c r="AF3853" s="79">
        <v>44979.646215277775</v>
      </c>
      <c r="AG3853" s="85">
        <v>44979</v>
      </c>
      <c r="AH3853" s="82" t="s">
        <v>13832</v>
      </c>
      <c r="AI3853" s="77" t="b">
        <v>0</v>
      </c>
      <c r="AJ3853" s="77"/>
      <c r="AK3853" s="77"/>
      <c r="AL3853" s="77"/>
      <c r="AM3853" s="77"/>
      <c r="AN3853" s="77"/>
      <c r="AO3853" s="77"/>
      <c r="AP3853" s="77"/>
      <c r="AQ3853" s="77" t="s">
        <v>16651</v>
      </c>
      <c r="AR3853" s="77"/>
      <c r="AS3853" s="77"/>
      <c r="AT3853" s="77"/>
      <c r="AU3853" s="77"/>
      <c r="AV3853" s="80" t="str">
        <f>HYPERLINK("https://pbs.twimg.com/media/FplMmXmWcAAJZwW.jpg")</f>
        <v>https://pbs.twimg.com/media/FplMmXmWcAAJZwW.jpg</v>
      </c>
      <c r="AW3853" s="82" t="s">
        <v>20619</v>
      </c>
      <c r="AX3853" s="82" t="s">
        <v>20619</v>
      </c>
      <c r="AY3853" s="77"/>
      <c r="AZ3853" s="82" t="s">
        <v>20971</v>
      </c>
      <c r="BA3853" s="82" t="s">
        <v>20971</v>
      </c>
      <c r="BB3853" s="82" t="s">
        <v>20971</v>
      </c>
      <c r="BC3853" s="82" t="s">
        <v>20619</v>
      </c>
      <c r="BD3853" s="82" t="s">
        <v>21733</v>
      </c>
      <c r="BE3853" s="77"/>
      <c r="BF3853" s="77"/>
      <c r="BG3853" s="77"/>
      <c r="BH3853" s="77"/>
      <c r="BI3853" s="77"/>
    </row>
    <row r="3854" spans="1:61" x14ac:dyDescent="0.25">
      <c r="A3854" s="62" t="s">
        <v>1183</v>
      </c>
      <c r="B3854" s="62" t="s">
        <v>1278</v>
      </c>
      <c r="C3854" s="63"/>
      <c r="D3854" s="64"/>
      <c r="E3854" s="65"/>
      <c r="F3854" s="66"/>
      <c r="G3854" s="63"/>
      <c r="H3854" s="67"/>
      <c r="I3854" s="68"/>
      <c r="J3854" s="68"/>
      <c r="K3854" s="32"/>
      <c r="L3854" s="75">
        <v>3854</v>
      </c>
      <c r="M3854" s="75"/>
      <c r="N3854" s="70"/>
      <c r="O3854" s="77" t="s">
        <v>1288</v>
      </c>
      <c r="P3854" s="79">
        <v>45179.964004629626</v>
      </c>
      <c r="Q3854" s="77" t="s">
        <v>5060</v>
      </c>
      <c r="R3854" s="77">
        <v>0</v>
      </c>
      <c r="S3854" s="77">
        <v>1</v>
      </c>
      <c r="T3854" s="77">
        <v>1</v>
      </c>
      <c r="U3854" s="77">
        <v>0</v>
      </c>
      <c r="V3854" s="77">
        <v>24</v>
      </c>
      <c r="W3854" s="82" t="s">
        <v>6045</v>
      </c>
      <c r="X3854" s="77"/>
      <c r="Y3854" s="77"/>
      <c r="Z3854" s="77" t="s">
        <v>7506</v>
      </c>
      <c r="AA3854" s="77"/>
      <c r="AB3854" s="77"/>
      <c r="AC3854" s="82" t="s">
        <v>10144</v>
      </c>
      <c r="AD3854" s="77" t="s">
        <v>10183</v>
      </c>
      <c r="AE3854" s="80" t="str">
        <f>HYPERLINK("https://twitter.com/lucastrndd_/status/1701009702560395622")</f>
        <v>https://twitter.com/lucastrndd_/status/1701009702560395622</v>
      </c>
      <c r="AF3854" s="79">
        <v>45179.964004629626</v>
      </c>
      <c r="AG3854" s="85">
        <v>45179</v>
      </c>
      <c r="AH3854" s="82" t="s">
        <v>13833</v>
      </c>
      <c r="AI3854" s="77"/>
      <c r="AJ3854" s="77"/>
      <c r="AK3854" s="77"/>
      <c r="AL3854" s="77"/>
      <c r="AM3854" s="77"/>
      <c r="AN3854" s="77"/>
      <c r="AO3854" s="77"/>
      <c r="AP3854" s="77"/>
      <c r="AQ3854" s="77"/>
      <c r="AR3854" s="77"/>
      <c r="AS3854" s="77"/>
      <c r="AT3854" s="77"/>
      <c r="AU3854" s="77"/>
      <c r="AV3854" s="80" t="str">
        <f>HYPERLINK("https://pbs.twimg.com/profile_images/1640484026250059777/bas-fjQE_normal.jpg")</f>
        <v>https://pbs.twimg.com/profile_images/1640484026250059777/bas-fjQE_normal.jpg</v>
      </c>
      <c r="AW3854" s="82" t="s">
        <v>20620</v>
      </c>
      <c r="AX3854" s="82" t="s">
        <v>20890</v>
      </c>
      <c r="AY3854" s="82" t="s">
        <v>20968</v>
      </c>
      <c r="AZ3854" s="82" t="s">
        <v>21003</v>
      </c>
      <c r="BA3854" s="82" t="s">
        <v>20971</v>
      </c>
      <c r="BB3854" s="82" t="s">
        <v>20971</v>
      </c>
      <c r="BC3854" s="82" t="s">
        <v>21003</v>
      </c>
      <c r="BD3854" s="82" t="s">
        <v>21734</v>
      </c>
      <c r="BE3854" s="77"/>
      <c r="BF3854" s="77"/>
      <c r="BG3854" s="77"/>
      <c r="BH3854" s="77"/>
      <c r="BI3854" s="77"/>
    </row>
    <row r="3855" spans="1:61" x14ac:dyDescent="0.25">
      <c r="A3855" s="62" t="s">
        <v>1183</v>
      </c>
      <c r="B3855" s="62" t="s">
        <v>1279</v>
      </c>
      <c r="C3855" s="63"/>
      <c r="D3855" s="64"/>
      <c r="E3855" s="65"/>
      <c r="F3855" s="66"/>
      <c r="G3855" s="63"/>
      <c r="H3855" s="67"/>
      <c r="I3855" s="68"/>
      <c r="J3855" s="68"/>
      <c r="K3855" s="32"/>
      <c r="L3855" s="75">
        <v>3855</v>
      </c>
      <c r="M3855" s="75"/>
      <c r="N3855" s="70"/>
      <c r="O3855" s="77" t="s">
        <v>1284</v>
      </c>
      <c r="P3855" s="79">
        <v>45179.964004629626</v>
      </c>
      <c r="Q3855" s="77" t="s">
        <v>5060</v>
      </c>
      <c r="R3855" s="77">
        <v>0</v>
      </c>
      <c r="S3855" s="77">
        <v>1</v>
      </c>
      <c r="T3855" s="77">
        <v>1</v>
      </c>
      <c r="U3855" s="77">
        <v>0</v>
      </c>
      <c r="V3855" s="77">
        <v>24</v>
      </c>
      <c r="W3855" s="82" t="s">
        <v>6045</v>
      </c>
      <c r="X3855" s="77"/>
      <c r="Y3855" s="77"/>
      <c r="Z3855" s="77" t="s">
        <v>7506</v>
      </c>
      <c r="AA3855" s="77"/>
      <c r="AB3855" s="77"/>
      <c r="AC3855" s="82" t="s">
        <v>10144</v>
      </c>
      <c r="AD3855" s="77" t="s">
        <v>10183</v>
      </c>
      <c r="AE3855" s="80" t="str">
        <f>HYPERLINK("https://twitter.com/lucastrndd_/status/1701009702560395622")</f>
        <v>https://twitter.com/lucastrndd_/status/1701009702560395622</v>
      </c>
      <c r="AF3855" s="79">
        <v>45179.964004629626</v>
      </c>
      <c r="AG3855" s="85">
        <v>45179</v>
      </c>
      <c r="AH3855" s="82" t="s">
        <v>13833</v>
      </c>
      <c r="AI3855" s="77"/>
      <c r="AJ3855" s="77"/>
      <c r="AK3855" s="77"/>
      <c r="AL3855" s="77"/>
      <c r="AM3855" s="77"/>
      <c r="AN3855" s="77"/>
      <c r="AO3855" s="77"/>
      <c r="AP3855" s="77"/>
      <c r="AQ3855" s="77"/>
      <c r="AR3855" s="77"/>
      <c r="AS3855" s="77"/>
      <c r="AT3855" s="77"/>
      <c r="AU3855" s="77"/>
      <c r="AV3855" s="80" t="str">
        <f>HYPERLINK("https://pbs.twimg.com/profile_images/1640484026250059777/bas-fjQE_normal.jpg")</f>
        <v>https://pbs.twimg.com/profile_images/1640484026250059777/bas-fjQE_normal.jpg</v>
      </c>
      <c r="AW3855" s="82" t="s">
        <v>20620</v>
      </c>
      <c r="AX3855" s="82" t="s">
        <v>20890</v>
      </c>
      <c r="AY3855" s="82" t="s">
        <v>20968</v>
      </c>
      <c r="AZ3855" s="82" t="s">
        <v>21003</v>
      </c>
      <c r="BA3855" s="82" t="s">
        <v>20971</v>
      </c>
      <c r="BB3855" s="82" t="s">
        <v>20971</v>
      </c>
      <c r="BC3855" s="82" t="s">
        <v>21003</v>
      </c>
      <c r="BD3855" s="82" t="s">
        <v>21734</v>
      </c>
      <c r="BE3855" s="77"/>
      <c r="BF3855" s="77"/>
      <c r="BG3855" s="77"/>
      <c r="BH3855" s="77"/>
      <c r="BI3855" s="77"/>
    </row>
    <row r="3856" spans="1:61" x14ac:dyDescent="0.25">
      <c r="A3856" s="62" t="s">
        <v>1184</v>
      </c>
      <c r="B3856" s="62" t="s">
        <v>1184</v>
      </c>
      <c r="C3856" s="63"/>
      <c r="D3856" s="64"/>
      <c r="E3856" s="65"/>
      <c r="F3856" s="66"/>
      <c r="G3856" s="63"/>
      <c r="H3856" s="67"/>
      <c r="I3856" s="68"/>
      <c r="J3856" s="68"/>
      <c r="K3856" s="32"/>
      <c r="L3856" s="75">
        <v>3856</v>
      </c>
      <c r="M3856" s="75"/>
      <c r="N3856" s="70"/>
      <c r="O3856" s="77" t="s">
        <v>179</v>
      </c>
      <c r="P3856" s="79">
        <v>45099.990324074075</v>
      </c>
      <c r="Q3856" s="77" t="s">
        <v>5061</v>
      </c>
      <c r="R3856" s="77">
        <v>0</v>
      </c>
      <c r="S3856" s="77">
        <v>1</v>
      </c>
      <c r="T3856" s="77">
        <v>0</v>
      </c>
      <c r="U3856" s="77">
        <v>0</v>
      </c>
      <c r="V3856" s="77">
        <v>27</v>
      </c>
      <c r="W3856" s="82" t="s">
        <v>7071</v>
      </c>
      <c r="X3856" s="77"/>
      <c r="Y3856" s="77"/>
      <c r="Z3856" s="77"/>
      <c r="AA3856" s="77" t="s">
        <v>10009</v>
      </c>
      <c r="AB3856" s="77" t="s">
        <v>10129</v>
      </c>
      <c r="AC3856" s="82" t="s">
        <v>10144</v>
      </c>
      <c r="AD3856" s="77" t="s">
        <v>10184</v>
      </c>
      <c r="AE3856" s="80" t="str">
        <f>HYPERLINK("https://twitter.com/nataniellemelo/status/1672028210706407424")</f>
        <v>https://twitter.com/nataniellemelo/status/1672028210706407424</v>
      </c>
      <c r="AF3856" s="79">
        <v>45099.990324074075</v>
      </c>
      <c r="AG3856" s="85">
        <v>45099</v>
      </c>
      <c r="AH3856" s="82" t="s">
        <v>13834</v>
      </c>
      <c r="AI3856" s="77" t="b">
        <v>0</v>
      </c>
      <c r="AJ3856" s="77"/>
      <c r="AK3856" s="77"/>
      <c r="AL3856" s="77"/>
      <c r="AM3856" s="77"/>
      <c r="AN3856" s="77"/>
      <c r="AO3856" s="77"/>
      <c r="AP3856" s="77"/>
      <c r="AQ3856" s="77" t="s">
        <v>16652</v>
      </c>
      <c r="AR3856" s="77">
        <v>9533</v>
      </c>
      <c r="AS3856" s="77"/>
      <c r="AT3856" s="77"/>
      <c r="AU3856" s="77"/>
      <c r="AV3856" s="80" t="str">
        <f>HYPERLINK("https://pbs.twimg.com/ext_tw_video_thumb/1672028184253022209/pu/img/Pxc7kuMTEkkfYpeu.jpg")</f>
        <v>https://pbs.twimg.com/ext_tw_video_thumb/1672028184253022209/pu/img/Pxc7kuMTEkkfYpeu.jpg</v>
      </c>
      <c r="AW3856" s="82" t="s">
        <v>20621</v>
      </c>
      <c r="AX3856" s="82" t="s">
        <v>20621</v>
      </c>
      <c r="AY3856" s="77"/>
      <c r="AZ3856" s="82" t="s">
        <v>20971</v>
      </c>
      <c r="BA3856" s="82" t="s">
        <v>20971</v>
      </c>
      <c r="BB3856" s="82" t="s">
        <v>20971</v>
      </c>
      <c r="BC3856" s="82" t="s">
        <v>20621</v>
      </c>
      <c r="BD3856" s="82" t="s">
        <v>21735</v>
      </c>
      <c r="BE3856" s="77"/>
      <c r="BF3856" s="77"/>
      <c r="BG3856" s="77"/>
      <c r="BH3856" s="77"/>
      <c r="BI3856" s="77"/>
    </row>
    <row r="3857" spans="1:61" x14ac:dyDescent="0.25">
      <c r="A3857" s="62" t="s">
        <v>1185</v>
      </c>
      <c r="B3857" s="62" t="s">
        <v>1280</v>
      </c>
      <c r="C3857" s="63"/>
      <c r="D3857" s="64"/>
      <c r="E3857" s="65"/>
      <c r="F3857" s="66"/>
      <c r="G3857" s="63"/>
      <c r="H3857" s="67"/>
      <c r="I3857" s="68"/>
      <c r="J3857" s="68"/>
      <c r="K3857" s="32"/>
      <c r="L3857" s="75">
        <v>3857</v>
      </c>
      <c r="M3857" s="75"/>
      <c r="N3857" s="70"/>
      <c r="O3857" s="77" t="s">
        <v>1285</v>
      </c>
      <c r="P3857" s="79">
        <v>45121.565127314818</v>
      </c>
      <c r="Q3857" s="77" t="s">
        <v>5062</v>
      </c>
      <c r="R3857" s="77">
        <v>0</v>
      </c>
      <c r="S3857" s="77">
        <v>0</v>
      </c>
      <c r="T3857" s="77">
        <v>0</v>
      </c>
      <c r="U3857" s="77">
        <v>0</v>
      </c>
      <c r="V3857" s="77">
        <v>178</v>
      </c>
      <c r="W3857" s="82" t="s">
        <v>5236</v>
      </c>
      <c r="X3857" s="77"/>
      <c r="Y3857" s="77"/>
      <c r="Z3857" s="77" t="s">
        <v>7507</v>
      </c>
      <c r="AA3857" s="77" t="s">
        <v>10010</v>
      </c>
      <c r="AB3857" s="77" t="s">
        <v>10129</v>
      </c>
      <c r="AC3857" s="82" t="s">
        <v>10144</v>
      </c>
      <c r="AD3857" s="77" t="s">
        <v>10184</v>
      </c>
      <c r="AE3857" s="80" t="str">
        <f>HYPERLINK("https://twitter.com/rcelcoin/status/1679846655028350978")</f>
        <v>https://twitter.com/rcelcoin/status/1679846655028350978</v>
      </c>
      <c r="AF3857" s="79">
        <v>45121.565127314818</v>
      </c>
      <c r="AG3857" s="85">
        <v>45121</v>
      </c>
      <c r="AH3857" s="82" t="s">
        <v>13835</v>
      </c>
      <c r="AI3857" s="77" t="b">
        <v>0</v>
      </c>
      <c r="AJ3857" s="77"/>
      <c r="AK3857" s="77"/>
      <c r="AL3857" s="77"/>
      <c r="AM3857" s="77"/>
      <c r="AN3857" s="77"/>
      <c r="AO3857" s="77"/>
      <c r="AP3857" s="77"/>
      <c r="AQ3857" s="77" t="s">
        <v>16653</v>
      </c>
      <c r="AR3857" s="77">
        <v>44998</v>
      </c>
      <c r="AS3857" s="77"/>
      <c r="AT3857" s="77"/>
      <c r="AU3857" s="77"/>
      <c r="AV3857" s="80" t="str">
        <f>HYPERLINK("https://pbs.twimg.com/ext_tw_video_thumb/1679846618219139072/pu/img/MDfCWmQ8a5GJv_zQ.jpg")</f>
        <v>https://pbs.twimg.com/ext_tw_video_thumb/1679846618219139072/pu/img/MDfCWmQ8a5GJv_zQ.jpg</v>
      </c>
      <c r="AW3857" s="82" t="s">
        <v>20622</v>
      </c>
      <c r="AX3857" s="82" t="s">
        <v>20622</v>
      </c>
      <c r="AY3857" s="77"/>
      <c r="AZ3857" s="82" t="s">
        <v>20971</v>
      </c>
      <c r="BA3857" s="82" t="s">
        <v>20971</v>
      </c>
      <c r="BB3857" s="82" t="s">
        <v>20971</v>
      </c>
      <c r="BC3857" s="82" t="s">
        <v>20622</v>
      </c>
      <c r="BD3857" s="82" t="s">
        <v>21736</v>
      </c>
      <c r="BE3857" s="77"/>
      <c r="BF3857" s="77"/>
      <c r="BG3857" s="77"/>
      <c r="BH3857" s="77"/>
      <c r="BI3857" s="77"/>
    </row>
    <row r="3858" spans="1:61" x14ac:dyDescent="0.25">
      <c r="A3858" s="62" t="s">
        <v>1185</v>
      </c>
      <c r="B3858" s="62" t="s">
        <v>1281</v>
      </c>
      <c r="C3858" s="63"/>
      <c r="D3858" s="64"/>
      <c r="E3858" s="65"/>
      <c r="F3858" s="66"/>
      <c r="G3858" s="63"/>
      <c r="H3858" s="67"/>
      <c r="I3858" s="68"/>
      <c r="J3858" s="68"/>
      <c r="K3858" s="32"/>
      <c r="L3858" s="75">
        <v>3858</v>
      </c>
      <c r="M3858" s="75"/>
      <c r="N3858" s="70"/>
      <c r="O3858" s="77" t="s">
        <v>1285</v>
      </c>
      <c r="P3858" s="79">
        <v>45121.565127314818</v>
      </c>
      <c r="Q3858" s="77" t="s">
        <v>5062</v>
      </c>
      <c r="R3858" s="77">
        <v>0</v>
      </c>
      <c r="S3858" s="77">
        <v>0</v>
      </c>
      <c r="T3858" s="77">
        <v>0</v>
      </c>
      <c r="U3858" s="77">
        <v>0</v>
      </c>
      <c r="V3858" s="77">
        <v>178</v>
      </c>
      <c r="W3858" s="82" t="s">
        <v>5236</v>
      </c>
      <c r="X3858" s="77"/>
      <c r="Y3858" s="77"/>
      <c r="Z3858" s="77" t="s">
        <v>7507</v>
      </c>
      <c r="AA3858" s="77" t="s">
        <v>10010</v>
      </c>
      <c r="AB3858" s="77" t="s">
        <v>10129</v>
      </c>
      <c r="AC3858" s="82" t="s">
        <v>10144</v>
      </c>
      <c r="AD3858" s="77" t="s">
        <v>10184</v>
      </c>
      <c r="AE3858" s="80" t="str">
        <f>HYPERLINK("https://twitter.com/rcelcoin/status/1679846655028350978")</f>
        <v>https://twitter.com/rcelcoin/status/1679846655028350978</v>
      </c>
      <c r="AF3858" s="79">
        <v>45121.565127314818</v>
      </c>
      <c r="AG3858" s="85">
        <v>45121</v>
      </c>
      <c r="AH3858" s="82" t="s">
        <v>13835</v>
      </c>
      <c r="AI3858" s="77" t="b">
        <v>0</v>
      </c>
      <c r="AJ3858" s="77"/>
      <c r="AK3858" s="77"/>
      <c r="AL3858" s="77"/>
      <c r="AM3858" s="77"/>
      <c r="AN3858" s="77"/>
      <c r="AO3858" s="77"/>
      <c r="AP3858" s="77"/>
      <c r="AQ3858" s="77" t="s">
        <v>16653</v>
      </c>
      <c r="AR3858" s="77">
        <v>44998</v>
      </c>
      <c r="AS3858" s="77"/>
      <c r="AT3858" s="77"/>
      <c r="AU3858" s="77"/>
      <c r="AV3858" s="80" t="str">
        <f>HYPERLINK("https://pbs.twimg.com/ext_tw_video_thumb/1679846618219139072/pu/img/MDfCWmQ8a5GJv_zQ.jpg")</f>
        <v>https://pbs.twimg.com/ext_tw_video_thumb/1679846618219139072/pu/img/MDfCWmQ8a5GJv_zQ.jpg</v>
      </c>
      <c r="AW3858" s="82" t="s">
        <v>20622</v>
      </c>
      <c r="AX3858" s="82" t="s">
        <v>20622</v>
      </c>
      <c r="AY3858" s="77"/>
      <c r="AZ3858" s="82" t="s">
        <v>20971</v>
      </c>
      <c r="BA3858" s="82" t="s">
        <v>20971</v>
      </c>
      <c r="BB3858" s="82" t="s">
        <v>20971</v>
      </c>
      <c r="BC3858" s="82" t="s">
        <v>20622</v>
      </c>
      <c r="BD3858" s="82" t="s">
        <v>21736</v>
      </c>
      <c r="BE3858" s="77"/>
      <c r="BF3858" s="77"/>
      <c r="BG3858" s="77"/>
      <c r="BH3858" s="77"/>
      <c r="BI3858" s="77"/>
    </row>
    <row r="3859" spans="1:61" x14ac:dyDescent="0.25">
      <c r="A3859" s="62" t="s">
        <v>1186</v>
      </c>
      <c r="B3859" s="62" t="s">
        <v>1186</v>
      </c>
      <c r="C3859" s="63"/>
      <c r="D3859" s="64"/>
      <c r="E3859" s="65"/>
      <c r="F3859" s="66"/>
      <c r="G3859" s="63"/>
      <c r="H3859" s="67"/>
      <c r="I3859" s="68"/>
      <c r="J3859" s="68"/>
      <c r="K3859" s="32"/>
      <c r="L3859" s="75">
        <v>3859</v>
      </c>
      <c r="M3859" s="75"/>
      <c r="N3859" s="70"/>
      <c r="O3859" s="77" t="s">
        <v>179</v>
      </c>
      <c r="P3859" s="79">
        <v>45177.818749999999</v>
      </c>
      <c r="Q3859" s="77" t="s">
        <v>5063</v>
      </c>
      <c r="R3859" s="77">
        <v>0</v>
      </c>
      <c r="S3859" s="77">
        <v>0</v>
      </c>
      <c r="T3859" s="77">
        <v>0</v>
      </c>
      <c r="U3859" s="77">
        <v>0</v>
      </c>
      <c r="V3859" s="77">
        <v>13</v>
      </c>
      <c r="W3859" s="82" t="s">
        <v>5236</v>
      </c>
      <c r="X3859" s="80" t="str">
        <f>HYPERLINK("https://bit.ly/Masterpin")</f>
        <v>https://bit.ly/Masterpin</v>
      </c>
      <c r="Y3859" s="77" t="s">
        <v>7268</v>
      </c>
      <c r="Z3859" s="77"/>
      <c r="AA3859" s="77"/>
      <c r="AB3859" s="77"/>
      <c r="AC3859" s="82" t="s">
        <v>10144</v>
      </c>
      <c r="AD3859" s="77" t="s">
        <v>10184</v>
      </c>
      <c r="AE3859" s="80" t="str">
        <f>HYPERLINK("https://twitter.com/victorcartie/status/1700232286090747955")</f>
        <v>https://twitter.com/victorcartie/status/1700232286090747955</v>
      </c>
      <c r="AF3859" s="79">
        <v>45177.818749999999</v>
      </c>
      <c r="AG3859" s="85">
        <v>45177</v>
      </c>
      <c r="AH3859" s="82" t="s">
        <v>13836</v>
      </c>
      <c r="AI3859" s="77" t="b">
        <v>0</v>
      </c>
      <c r="AJ3859" s="77" t="s">
        <v>13998</v>
      </c>
      <c r="AK3859" s="77" t="s">
        <v>14033</v>
      </c>
      <c r="AL3859" s="77" t="s">
        <v>14035</v>
      </c>
      <c r="AM3859" s="77" t="s">
        <v>14040</v>
      </c>
      <c r="AN3859" s="77" t="s">
        <v>14077</v>
      </c>
      <c r="AO3859" s="77" t="s">
        <v>14115</v>
      </c>
      <c r="AP3859" s="77" t="s">
        <v>14149</v>
      </c>
      <c r="AQ3859" s="77"/>
      <c r="AR3859" s="77"/>
      <c r="AS3859" s="77"/>
      <c r="AT3859" s="77"/>
      <c r="AU3859" s="77"/>
      <c r="AV3859" s="80" t="str">
        <f>HYPERLINK("https://pbs.twimg.com/profile_images/1699641741370937344/0y5p0u3j_normal.jpg")</f>
        <v>https://pbs.twimg.com/profile_images/1699641741370937344/0y5p0u3j_normal.jpg</v>
      </c>
      <c r="AW3859" s="82" t="s">
        <v>20623</v>
      </c>
      <c r="AX3859" s="82" t="s">
        <v>20623</v>
      </c>
      <c r="AY3859" s="77"/>
      <c r="AZ3859" s="82" t="s">
        <v>20971</v>
      </c>
      <c r="BA3859" s="82" t="s">
        <v>20971</v>
      </c>
      <c r="BB3859" s="82" t="s">
        <v>20971</v>
      </c>
      <c r="BC3859" s="82" t="s">
        <v>20623</v>
      </c>
      <c r="BD3859" s="82" t="s">
        <v>21737</v>
      </c>
      <c r="BE3859" s="77"/>
      <c r="BF3859" s="77"/>
      <c r="BG3859" s="77"/>
      <c r="BH3859" s="77"/>
      <c r="BI3859" s="77"/>
    </row>
    <row r="3860" spans="1:61" x14ac:dyDescent="0.25">
      <c r="A3860" s="62" t="s">
        <v>1187</v>
      </c>
      <c r="B3860" s="62" t="s">
        <v>1187</v>
      </c>
      <c r="C3860" s="63"/>
      <c r="D3860" s="64"/>
      <c r="E3860" s="65"/>
      <c r="F3860" s="66"/>
      <c r="G3860" s="63"/>
      <c r="H3860" s="67"/>
      <c r="I3860" s="68"/>
      <c r="J3860" s="68"/>
      <c r="K3860" s="32"/>
      <c r="L3860" s="75">
        <v>3860</v>
      </c>
      <c r="M3860" s="75"/>
      <c r="N3860" s="70"/>
      <c r="O3860" s="77" t="s">
        <v>179</v>
      </c>
      <c r="P3860" s="79">
        <v>45196.710763888892</v>
      </c>
      <c r="Q3860" s="77" t="s">
        <v>5064</v>
      </c>
      <c r="R3860" s="77">
        <v>0</v>
      </c>
      <c r="S3860" s="77">
        <v>0</v>
      </c>
      <c r="T3860" s="77">
        <v>0</v>
      </c>
      <c r="U3860" s="77">
        <v>0</v>
      </c>
      <c r="V3860" s="77">
        <v>1</v>
      </c>
      <c r="W3860" s="82" t="s">
        <v>6011</v>
      </c>
      <c r="X3860" s="80" t="str">
        <f>HYPERLINK("https://bit.ly/4837WrE")</f>
        <v>https://bit.ly/4837WrE</v>
      </c>
      <c r="Y3860" s="77" t="s">
        <v>7268</v>
      </c>
      <c r="Z3860" s="77"/>
      <c r="AA3860" s="77" t="s">
        <v>10011</v>
      </c>
      <c r="AB3860" s="77" t="s">
        <v>10129</v>
      </c>
      <c r="AC3860" s="82" t="s">
        <v>10144</v>
      </c>
      <c r="AD3860" s="77" t="s">
        <v>10184</v>
      </c>
      <c r="AE3860" s="80" t="str">
        <f>HYPERLINK("https://twitter.com/achadinhosdaall/status/1707078523641319513")</f>
        <v>https://twitter.com/achadinhosdaall/status/1707078523641319513</v>
      </c>
      <c r="AF3860" s="79">
        <v>45196.710763888892</v>
      </c>
      <c r="AG3860" s="85">
        <v>45196</v>
      </c>
      <c r="AH3860" s="82" t="s">
        <v>13837</v>
      </c>
      <c r="AI3860" s="77" t="b">
        <v>0</v>
      </c>
      <c r="AJ3860" s="77"/>
      <c r="AK3860" s="77"/>
      <c r="AL3860" s="77"/>
      <c r="AM3860" s="77"/>
      <c r="AN3860" s="77"/>
      <c r="AO3860" s="77"/>
      <c r="AP3860" s="77"/>
      <c r="AQ3860" s="77" t="s">
        <v>16654</v>
      </c>
      <c r="AR3860" s="77">
        <v>44906</v>
      </c>
      <c r="AS3860" s="77"/>
      <c r="AT3860" s="77"/>
      <c r="AU3860" s="77"/>
      <c r="AV3860" s="80" t="str">
        <f>HYPERLINK("https://pbs.twimg.com/ext_tw_video_thumb/1707078380611342336/pu/img/4eeJkaUqDostKt03.jpg")</f>
        <v>https://pbs.twimg.com/ext_tw_video_thumb/1707078380611342336/pu/img/4eeJkaUqDostKt03.jpg</v>
      </c>
      <c r="AW3860" s="82" t="s">
        <v>20624</v>
      </c>
      <c r="AX3860" s="82" t="s">
        <v>20624</v>
      </c>
      <c r="AY3860" s="77"/>
      <c r="AZ3860" s="82" t="s">
        <v>20971</v>
      </c>
      <c r="BA3860" s="82" t="s">
        <v>20971</v>
      </c>
      <c r="BB3860" s="82" t="s">
        <v>20971</v>
      </c>
      <c r="BC3860" s="82" t="s">
        <v>20624</v>
      </c>
      <c r="BD3860" s="82" t="s">
        <v>21738</v>
      </c>
      <c r="BE3860" s="77"/>
      <c r="BF3860" s="77"/>
      <c r="BG3860" s="77"/>
      <c r="BH3860" s="77"/>
      <c r="BI3860" s="77"/>
    </row>
    <row r="3861" spans="1:61" x14ac:dyDescent="0.25">
      <c r="A3861" s="62" t="s">
        <v>1188</v>
      </c>
      <c r="B3861" s="62" t="s">
        <v>1188</v>
      </c>
      <c r="C3861" s="63"/>
      <c r="D3861" s="64"/>
      <c r="E3861" s="65"/>
      <c r="F3861" s="66"/>
      <c r="G3861" s="63"/>
      <c r="H3861" s="67"/>
      <c r="I3861" s="68"/>
      <c r="J3861" s="68"/>
      <c r="K3861" s="32"/>
      <c r="L3861" s="75">
        <v>3861</v>
      </c>
      <c r="M3861" s="75"/>
      <c r="N3861" s="70"/>
      <c r="O3861" s="77" t="s">
        <v>179</v>
      </c>
      <c r="P3861" s="79">
        <v>44975.491412037038</v>
      </c>
      <c r="Q3861" s="77" t="s">
        <v>5065</v>
      </c>
      <c r="R3861" s="77">
        <v>0</v>
      </c>
      <c r="S3861" s="77">
        <v>0</v>
      </c>
      <c r="T3861" s="77">
        <v>0</v>
      </c>
      <c r="U3861" s="77">
        <v>0</v>
      </c>
      <c r="V3861" s="77">
        <v>146</v>
      </c>
      <c r="W3861" s="82" t="s">
        <v>7072</v>
      </c>
      <c r="X3861" s="77"/>
      <c r="Y3861" s="77"/>
      <c r="Z3861" s="77"/>
      <c r="AA3861" s="77" t="s">
        <v>10012</v>
      </c>
      <c r="AB3861" s="77" t="s">
        <v>10130</v>
      </c>
      <c r="AC3861" s="82" t="s">
        <v>10146</v>
      </c>
      <c r="AD3861" s="77" t="s">
        <v>10184</v>
      </c>
      <c r="AE3861" s="80" t="str">
        <f>HYPERLINK("https://twitter.com/recrutatalento2/status/1626911312818106369")</f>
        <v>https://twitter.com/recrutatalento2/status/1626911312818106369</v>
      </c>
      <c r="AF3861" s="79">
        <v>44975.491412037038</v>
      </c>
      <c r="AG3861" s="85">
        <v>44975</v>
      </c>
      <c r="AH3861" s="82" t="s">
        <v>13838</v>
      </c>
      <c r="AI3861" s="77" t="b">
        <v>0</v>
      </c>
      <c r="AJ3861" s="77"/>
      <c r="AK3861" s="77"/>
      <c r="AL3861" s="77"/>
      <c r="AM3861" s="77"/>
      <c r="AN3861" s="77"/>
      <c r="AO3861" s="77"/>
      <c r="AP3861" s="77"/>
      <c r="AQ3861" s="77" t="s">
        <v>16655</v>
      </c>
      <c r="AR3861" s="77"/>
      <c r="AS3861" s="77"/>
      <c r="AT3861" s="77"/>
      <c r="AU3861" s="77"/>
      <c r="AV3861" s="80" t="str">
        <f>HYPERLINK("https://pbs.twimg.com/media/FpPzB_YXEAMDiHX.jpg")</f>
        <v>https://pbs.twimg.com/media/FpPzB_YXEAMDiHX.jpg</v>
      </c>
      <c r="AW3861" s="82" t="s">
        <v>20625</v>
      </c>
      <c r="AX3861" s="82" t="s">
        <v>20625</v>
      </c>
      <c r="AY3861" s="77"/>
      <c r="AZ3861" s="82" t="s">
        <v>20971</v>
      </c>
      <c r="BA3861" s="82" t="s">
        <v>20971</v>
      </c>
      <c r="BB3861" s="82" t="s">
        <v>20971</v>
      </c>
      <c r="BC3861" s="82" t="s">
        <v>20625</v>
      </c>
      <c r="BD3861" s="82" t="s">
        <v>21739</v>
      </c>
      <c r="BE3861" s="77"/>
      <c r="BF3861" s="77"/>
      <c r="BG3861" s="77"/>
      <c r="BH3861" s="77"/>
      <c r="BI3861" s="77"/>
    </row>
    <row r="3862" spans="1:61" x14ac:dyDescent="0.25">
      <c r="A3862" s="62" t="s">
        <v>1189</v>
      </c>
      <c r="B3862" s="62" t="s">
        <v>1189</v>
      </c>
      <c r="C3862" s="63"/>
      <c r="D3862" s="64"/>
      <c r="E3862" s="65"/>
      <c r="F3862" s="66"/>
      <c r="G3862" s="63"/>
      <c r="H3862" s="67"/>
      <c r="I3862" s="68"/>
      <c r="J3862" s="68"/>
      <c r="K3862" s="32"/>
      <c r="L3862" s="75">
        <v>3862</v>
      </c>
      <c r="M3862" s="75"/>
      <c r="N3862" s="70"/>
      <c r="O3862" s="77" t="s">
        <v>179</v>
      </c>
      <c r="P3862" s="79">
        <v>45012.977060185185</v>
      </c>
      <c r="Q3862" s="77" t="s">
        <v>5066</v>
      </c>
      <c r="R3862" s="77">
        <v>0</v>
      </c>
      <c r="S3862" s="77">
        <v>0</v>
      </c>
      <c r="T3862" s="77">
        <v>0</v>
      </c>
      <c r="U3862" s="77">
        <v>0</v>
      </c>
      <c r="V3862" s="77">
        <v>265</v>
      </c>
      <c r="W3862" s="82" t="s">
        <v>7073</v>
      </c>
      <c r="X3862" s="77"/>
      <c r="Y3862" s="77"/>
      <c r="Z3862" s="77"/>
      <c r="AA3862" s="77" t="s">
        <v>10013</v>
      </c>
      <c r="AB3862" s="77" t="s">
        <v>10129</v>
      </c>
      <c r="AC3862" s="82" t="s">
        <v>10146</v>
      </c>
      <c r="AD3862" s="77" t="s">
        <v>10184</v>
      </c>
      <c r="AE3862" s="80" t="str">
        <f>HYPERLINK("https://twitter.com/abzimports/status/1640495659101847554")</f>
        <v>https://twitter.com/abzimports/status/1640495659101847554</v>
      </c>
      <c r="AF3862" s="79">
        <v>45012.977060185185</v>
      </c>
      <c r="AG3862" s="85">
        <v>45012</v>
      </c>
      <c r="AH3862" s="82" t="s">
        <v>13839</v>
      </c>
      <c r="AI3862" s="77" t="b">
        <v>0</v>
      </c>
      <c r="AJ3862" s="77"/>
      <c r="AK3862" s="77"/>
      <c r="AL3862" s="77"/>
      <c r="AM3862" s="77"/>
      <c r="AN3862" s="77"/>
      <c r="AO3862" s="77"/>
      <c r="AP3862" s="77"/>
      <c r="AQ3862" s="77" t="s">
        <v>16656</v>
      </c>
      <c r="AR3862" s="77">
        <v>31071</v>
      </c>
      <c r="AS3862" s="77"/>
      <c r="AT3862" s="77"/>
      <c r="AU3862" s="77"/>
      <c r="AV3862" s="80" t="str">
        <f>HYPERLINK("https://pbs.twimg.com/ext_tw_video_thumb/1640494712975941633/pu/img/8mpH4R-WFWc7JY5y.jpg")</f>
        <v>https://pbs.twimg.com/ext_tw_video_thumb/1640494712975941633/pu/img/8mpH4R-WFWc7JY5y.jpg</v>
      </c>
      <c r="AW3862" s="82" t="s">
        <v>20626</v>
      </c>
      <c r="AX3862" s="82" t="s">
        <v>20626</v>
      </c>
      <c r="AY3862" s="77"/>
      <c r="AZ3862" s="82" t="s">
        <v>20971</v>
      </c>
      <c r="BA3862" s="82" t="s">
        <v>20971</v>
      </c>
      <c r="BB3862" s="82" t="s">
        <v>20971</v>
      </c>
      <c r="BC3862" s="82" t="s">
        <v>20626</v>
      </c>
      <c r="BD3862" s="82" t="s">
        <v>21740</v>
      </c>
      <c r="BE3862" s="77"/>
      <c r="BF3862" s="77"/>
      <c r="BG3862" s="77"/>
      <c r="BH3862" s="77"/>
      <c r="BI3862" s="77"/>
    </row>
    <row r="3863" spans="1:61" x14ac:dyDescent="0.25">
      <c r="A3863" s="62" t="s">
        <v>1190</v>
      </c>
      <c r="B3863" s="62" t="s">
        <v>1190</v>
      </c>
      <c r="C3863" s="63"/>
      <c r="D3863" s="64"/>
      <c r="E3863" s="65"/>
      <c r="F3863" s="66"/>
      <c r="G3863" s="63"/>
      <c r="H3863" s="67"/>
      <c r="I3863" s="68"/>
      <c r="J3863" s="68"/>
      <c r="K3863" s="32"/>
      <c r="L3863" s="75">
        <v>3863</v>
      </c>
      <c r="M3863" s="75"/>
      <c r="N3863" s="70"/>
      <c r="O3863" s="77" t="s">
        <v>179</v>
      </c>
      <c r="P3863" s="79">
        <v>44982.890972222223</v>
      </c>
      <c r="Q3863" s="77" t="s">
        <v>5067</v>
      </c>
      <c r="R3863" s="77">
        <v>0</v>
      </c>
      <c r="S3863" s="77">
        <v>0</v>
      </c>
      <c r="T3863" s="77">
        <v>0</v>
      </c>
      <c r="U3863" s="77">
        <v>0</v>
      </c>
      <c r="V3863" s="77">
        <v>18</v>
      </c>
      <c r="W3863" s="82" t="s">
        <v>7074</v>
      </c>
      <c r="X3863" s="80" t="str">
        <f>HYPERLINK("https://www.sssgamendl.com?code=385283")</f>
        <v>https://www.sssgamendl.com?code=385283</v>
      </c>
      <c r="Y3863" s="77" t="s">
        <v>7490</v>
      </c>
      <c r="Z3863" s="77"/>
      <c r="AA3863" s="77" t="s">
        <v>10014</v>
      </c>
      <c r="AB3863" s="77" t="s">
        <v>10130</v>
      </c>
      <c r="AC3863" s="82" t="s">
        <v>10144</v>
      </c>
      <c r="AD3863" s="77" t="s">
        <v>10184</v>
      </c>
      <c r="AE3863" s="80" t="str">
        <f>HYPERLINK("https://twitter.com/weverton202/status/1629592826752167937")</f>
        <v>https://twitter.com/weverton202/status/1629592826752167937</v>
      </c>
      <c r="AF3863" s="79">
        <v>44982.890972222223</v>
      </c>
      <c r="AG3863" s="85">
        <v>44982</v>
      </c>
      <c r="AH3863" s="82" t="s">
        <v>13840</v>
      </c>
      <c r="AI3863" s="77" t="b">
        <v>0</v>
      </c>
      <c r="AJ3863" s="77"/>
      <c r="AK3863" s="77"/>
      <c r="AL3863" s="77"/>
      <c r="AM3863" s="77"/>
      <c r="AN3863" s="77"/>
      <c r="AO3863" s="77"/>
      <c r="AP3863" s="77"/>
      <c r="AQ3863" s="77" t="s">
        <v>16657</v>
      </c>
      <c r="AR3863" s="77"/>
      <c r="AS3863" s="77"/>
      <c r="AT3863" s="77"/>
      <c r="AU3863" s="77"/>
      <c r="AV3863" s="80" t="str">
        <f>HYPERLINK("https://pbs.twimg.com/media/Fp16Ch7WIAAhlU4.jpg")</f>
        <v>https://pbs.twimg.com/media/Fp16Ch7WIAAhlU4.jpg</v>
      </c>
      <c r="AW3863" s="82" t="s">
        <v>20627</v>
      </c>
      <c r="AX3863" s="82" t="s">
        <v>20627</v>
      </c>
      <c r="AY3863" s="77"/>
      <c r="AZ3863" s="82" t="s">
        <v>20971</v>
      </c>
      <c r="BA3863" s="82" t="s">
        <v>20971</v>
      </c>
      <c r="BB3863" s="82" t="s">
        <v>20971</v>
      </c>
      <c r="BC3863" s="82" t="s">
        <v>20627</v>
      </c>
      <c r="BD3863" s="77">
        <v>3100620625</v>
      </c>
      <c r="BE3863" s="77"/>
      <c r="BF3863" s="77"/>
      <c r="BG3863" s="77"/>
      <c r="BH3863" s="77"/>
      <c r="BI3863" s="77"/>
    </row>
    <row r="3864" spans="1:61" x14ac:dyDescent="0.25">
      <c r="A3864" s="62" t="s">
        <v>1191</v>
      </c>
      <c r="B3864" s="62" t="s">
        <v>1191</v>
      </c>
      <c r="C3864" s="63"/>
      <c r="D3864" s="64"/>
      <c r="E3864" s="65"/>
      <c r="F3864" s="66"/>
      <c r="G3864" s="63"/>
      <c r="H3864" s="67"/>
      <c r="I3864" s="68"/>
      <c r="J3864" s="68"/>
      <c r="K3864" s="32"/>
      <c r="L3864" s="75">
        <v>3864</v>
      </c>
      <c r="M3864" s="75"/>
      <c r="N3864" s="70"/>
      <c r="O3864" s="77" t="s">
        <v>179</v>
      </c>
      <c r="P3864" s="79">
        <v>45091.670034722221</v>
      </c>
      <c r="Q3864" s="77" t="s">
        <v>5068</v>
      </c>
      <c r="R3864" s="77">
        <v>0</v>
      </c>
      <c r="S3864" s="77">
        <v>0</v>
      </c>
      <c r="T3864" s="77">
        <v>0</v>
      </c>
      <c r="U3864" s="77">
        <v>0</v>
      </c>
      <c r="V3864" s="77">
        <v>9</v>
      </c>
      <c r="W3864" s="82" t="s">
        <v>7075</v>
      </c>
      <c r="X3864" s="80" t="str">
        <f>HYPERLINK("https://brfilms-fund.com/download?code=u78C75")</f>
        <v>https://brfilms-fund.com/download?code=u78C75</v>
      </c>
      <c r="Y3864" s="77" t="s">
        <v>7284</v>
      </c>
      <c r="Z3864" s="77"/>
      <c r="AA3864" s="77" t="s">
        <v>10015</v>
      </c>
      <c r="AB3864" s="77" t="s">
        <v>10128</v>
      </c>
      <c r="AC3864" s="82" t="s">
        <v>10144</v>
      </c>
      <c r="AD3864" s="77" t="s">
        <v>10184</v>
      </c>
      <c r="AE3864" s="80" t="str">
        <f>HYPERLINK("https://twitter.com/maviipereiira/status/1669013039327092742")</f>
        <v>https://twitter.com/maviipereiira/status/1669013039327092742</v>
      </c>
      <c r="AF3864" s="79">
        <v>45091.670034722221</v>
      </c>
      <c r="AG3864" s="85">
        <v>45091</v>
      </c>
      <c r="AH3864" s="82" t="s">
        <v>13841</v>
      </c>
      <c r="AI3864" s="77" t="b">
        <v>0</v>
      </c>
      <c r="AJ3864" s="77"/>
      <c r="AK3864" s="77"/>
      <c r="AL3864" s="77"/>
      <c r="AM3864" s="77"/>
      <c r="AN3864" s="77"/>
      <c r="AO3864" s="77"/>
      <c r="AP3864" s="77"/>
      <c r="AQ3864" s="77" t="s">
        <v>16658</v>
      </c>
      <c r="AR3864" s="77"/>
      <c r="AS3864" s="77"/>
      <c r="AT3864" s="77"/>
      <c r="AU3864" s="77"/>
      <c r="AV3864" s="80" t="str">
        <f>HYPERLINK("https://pbs.twimg.com/media/FymGgtwWwAEQXRe.jpg")</f>
        <v>https://pbs.twimg.com/media/FymGgtwWwAEQXRe.jpg</v>
      </c>
      <c r="AW3864" s="82" t="s">
        <v>20628</v>
      </c>
      <c r="AX3864" s="82" t="s">
        <v>20628</v>
      </c>
      <c r="AY3864" s="77"/>
      <c r="AZ3864" s="82" t="s">
        <v>20971</v>
      </c>
      <c r="BA3864" s="82" t="s">
        <v>20971</v>
      </c>
      <c r="BB3864" s="82" t="s">
        <v>20971</v>
      </c>
      <c r="BC3864" s="82" t="s">
        <v>20628</v>
      </c>
      <c r="BD3864" s="82" t="s">
        <v>21741</v>
      </c>
      <c r="BE3864" s="77"/>
      <c r="BF3864" s="77"/>
      <c r="BG3864" s="77"/>
      <c r="BH3864" s="77"/>
      <c r="BI3864" s="77"/>
    </row>
    <row r="3865" spans="1:61" x14ac:dyDescent="0.25">
      <c r="A3865" s="62" t="s">
        <v>1192</v>
      </c>
      <c r="B3865" s="62" t="s">
        <v>1192</v>
      </c>
      <c r="C3865" s="63"/>
      <c r="D3865" s="64"/>
      <c r="E3865" s="65"/>
      <c r="F3865" s="66"/>
      <c r="G3865" s="63"/>
      <c r="H3865" s="67"/>
      <c r="I3865" s="68"/>
      <c r="J3865" s="68"/>
      <c r="K3865" s="32"/>
      <c r="L3865" s="75">
        <v>3865</v>
      </c>
      <c r="M3865" s="75"/>
      <c r="N3865" s="70"/>
      <c r="O3865" s="77" t="s">
        <v>179</v>
      </c>
      <c r="P3865" s="79">
        <v>45192.982546296298</v>
      </c>
      <c r="Q3865" s="77" t="s">
        <v>5069</v>
      </c>
      <c r="R3865" s="77">
        <v>0</v>
      </c>
      <c r="S3865" s="77">
        <v>0</v>
      </c>
      <c r="T3865" s="77">
        <v>1</v>
      </c>
      <c r="U3865" s="77">
        <v>0</v>
      </c>
      <c r="V3865" s="77">
        <v>34</v>
      </c>
      <c r="W3865" s="82" t="s">
        <v>7076</v>
      </c>
      <c r="X3865" s="77"/>
      <c r="Y3865" s="77"/>
      <c r="Z3865" s="77"/>
      <c r="AA3865" s="77" t="s">
        <v>10016</v>
      </c>
      <c r="AB3865" s="77" t="s">
        <v>10130</v>
      </c>
      <c r="AC3865" s="82" t="s">
        <v>10146</v>
      </c>
      <c r="AD3865" s="77" t="s">
        <v>10184</v>
      </c>
      <c r="AE3865" s="80" t="str">
        <f>HYPERLINK("https://twitter.com/techlife_inc/status/1705727462351446391")</f>
        <v>https://twitter.com/techlife_inc/status/1705727462351446391</v>
      </c>
      <c r="AF3865" s="79">
        <v>45192.982546296298</v>
      </c>
      <c r="AG3865" s="85">
        <v>45192</v>
      </c>
      <c r="AH3865" s="82" t="s">
        <v>13842</v>
      </c>
      <c r="AI3865" s="77" t="b">
        <v>0</v>
      </c>
      <c r="AJ3865" s="77"/>
      <c r="AK3865" s="77"/>
      <c r="AL3865" s="77"/>
      <c r="AM3865" s="77"/>
      <c r="AN3865" s="77"/>
      <c r="AO3865" s="77"/>
      <c r="AP3865" s="77"/>
      <c r="AQ3865" s="77" t="s">
        <v>16659</v>
      </c>
      <c r="AR3865" s="77"/>
      <c r="AS3865" s="77"/>
      <c r="AT3865" s="77"/>
      <c r="AU3865" s="77"/>
      <c r="AV3865" s="80" t="str">
        <f>HYPERLINK("https://pbs.twimg.com/media/F6v1K8LW0AAmIfW.png")</f>
        <v>https://pbs.twimg.com/media/F6v1K8LW0AAmIfW.png</v>
      </c>
      <c r="AW3865" s="82" t="s">
        <v>20629</v>
      </c>
      <c r="AX3865" s="82" t="s">
        <v>20629</v>
      </c>
      <c r="AY3865" s="77"/>
      <c r="AZ3865" s="82" t="s">
        <v>20971</v>
      </c>
      <c r="BA3865" s="82" t="s">
        <v>20971</v>
      </c>
      <c r="BB3865" s="82" t="s">
        <v>20971</v>
      </c>
      <c r="BC3865" s="82" t="s">
        <v>20629</v>
      </c>
      <c r="BD3865" s="82" t="s">
        <v>21742</v>
      </c>
      <c r="BE3865" s="77"/>
      <c r="BF3865" s="77"/>
      <c r="BG3865" s="77"/>
      <c r="BH3865" s="77"/>
      <c r="BI3865" s="77"/>
    </row>
    <row r="3866" spans="1:61" x14ac:dyDescent="0.25">
      <c r="A3866" s="62" t="s">
        <v>1193</v>
      </c>
      <c r="B3866" s="62" t="s">
        <v>1241</v>
      </c>
      <c r="C3866" s="63"/>
      <c r="D3866" s="64"/>
      <c r="E3866" s="65"/>
      <c r="F3866" s="66"/>
      <c r="G3866" s="63"/>
      <c r="H3866" s="67"/>
      <c r="I3866" s="68"/>
      <c r="J3866" s="68"/>
      <c r="K3866" s="32"/>
      <c r="L3866" s="75">
        <v>3866</v>
      </c>
      <c r="M3866" s="75"/>
      <c r="N3866" s="70"/>
      <c r="O3866" s="77" t="s">
        <v>1285</v>
      </c>
      <c r="P3866" s="79">
        <v>44999.812905092593</v>
      </c>
      <c r="Q3866" s="77" t="s">
        <v>5070</v>
      </c>
      <c r="R3866" s="77">
        <v>0</v>
      </c>
      <c r="S3866" s="77">
        <v>0</v>
      </c>
      <c r="T3866" s="77">
        <v>0</v>
      </c>
      <c r="U3866" s="77">
        <v>0</v>
      </c>
      <c r="V3866" s="77">
        <v>10</v>
      </c>
      <c r="W3866" s="82" t="s">
        <v>7077</v>
      </c>
      <c r="X3866" s="80" t="str">
        <f>HYPERLINK("https://youtube.com/shorts/OhKE1RcH6Xo?feature=share")</f>
        <v>https://youtube.com/shorts/OhKE1RcH6Xo?feature=share</v>
      </c>
      <c r="Y3866" s="77" t="s">
        <v>7303</v>
      </c>
      <c r="Z3866" s="77" t="s">
        <v>1241</v>
      </c>
      <c r="AA3866" s="77"/>
      <c r="AB3866" s="77"/>
      <c r="AC3866" s="82" t="s">
        <v>10146</v>
      </c>
      <c r="AD3866" s="77" t="s">
        <v>10192</v>
      </c>
      <c r="AE3866" s="80" t="str">
        <f>HYPERLINK("https://twitter.com/kellyzinhanasci/status/1635725127320064000")</f>
        <v>https://twitter.com/kellyzinhanasci/status/1635725127320064000</v>
      </c>
      <c r="AF3866" s="79">
        <v>44999.812905092593</v>
      </c>
      <c r="AG3866" s="85">
        <v>44999</v>
      </c>
      <c r="AH3866" s="82" t="s">
        <v>13843</v>
      </c>
      <c r="AI3866" s="77" t="b">
        <v>0</v>
      </c>
      <c r="AJ3866" s="77"/>
      <c r="AK3866" s="77"/>
      <c r="AL3866" s="77"/>
      <c r="AM3866" s="77"/>
      <c r="AN3866" s="77"/>
      <c r="AO3866" s="77"/>
      <c r="AP3866" s="77"/>
      <c r="AQ3866" s="77"/>
      <c r="AR3866" s="77"/>
      <c r="AS3866" s="77"/>
      <c r="AT3866" s="77"/>
      <c r="AU3866" s="77"/>
      <c r="AV3866" s="80" t="str">
        <f>HYPERLINK("https://pbs.twimg.com/profile_images/1328748105039294471/JwLfxw10_normal.jpg")</f>
        <v>https://pbs.twimg.com/profile_images/1328748105039294471/JwLfxw10_normal.jpg</v>
      </c>
      <c r="AW3866" s="82" t="s">
        <v>20630</v>
      </c>
      <c r="AX3866" s="82" t="s">
        <v>20630</v>
      </c>
      <c r="AY3866" s="77"/>
      <c r="AZ3866" s="82" t="s">
        <v>20971</v>
      </c>
      <c r="BA3866" s="82" t="s">
        <v>20971</v>
      </c>
      <c r="BB3866" s="82" t="s">
        <v>20971</v>
      </c>
      <c r="BC3866" s="82" t="s">
        <v>20630</v>
      </c>
      <c r="BD3866" s="77">
        <v>238736288</v>
      </c>
      <c r="BE3866" s="77"/>
      <c r="BF3866" s="77"/>
      <c r="BG3866" s="77"/>
      <c r="BH3866" s="77"/>
      <c r="BI3866" s="77"/>
    </row>
    <row r="3867" spans="1:61" x14ac:dyDescent="0.25">
      <c r="A3867" s="62" t="s">
        <v>1193</v>
      </c>
      <c r="B3867" s="62" t="s">
        <v>1241</v>
      </c>
      <c r="C3867" s="63"/>
      <c r="D3867" s="64"/>
      <c r="E3867" s="65"/>
      <c r="F3867" s="66"/>
      <c r="G3867" s="63"/>
      <c r="H3867" s="67"/>
      <c r="I3867" s="68"/>
      <c r="J3867" s="68"/>
      <c r="K3867" s="32"/>
      <c r="L3867" s="75">
        <v>3867</v>
      </c>
      <c r="M3867" s="75"/>
      <c r="N3867" s="70"/>
      <c r="O3867" s="77" t="s">
        <v>1285</v>
      </c>
      <c r="P3867" s="79">
        <v>44959.659513888888</v>
      </c>
      <c r="Q3867" s="77" t="s">
        <v>5071</v>
      </c>
      <c r="R3867" s="77">
        <v>0</v>
      </c>
      <c r="S3867" s="77">
        <v>0</v>
      </c>
      <c r="T3867" s="77">
        <v>0</v>
      </c>
      <c r="U3867" s="77">
        <v>0</v>
      </c>
      <c r="V3867" s="77">
        <v>8</v>
      </c>
      <c r="W3867" s="82" t="s">
        <v>7078</v>
      </c>
      <c r="X3867" s="80" t="str">
        <f>HYPERLINK("https://youtu.be/SJ_Y-L6qEXg")</f>
        <v>https://youtu.be/SJ_Y-L6qEXg</v>
      </c>
      <c r="Y3867" s="77" t="s">
        <v>7248</v>
      </c>
      <c r="Z3867" s="77" t="s">
        <v>1241</v>
      </c>
      <c r="AA3867" s="77"/>
      <c r="AB3867" s="77"/>
      <c r="AC3867" s="82" t="s">
        <v>10146</v>
      </c>
      <c r="AD3867" s="77" t="s">
        <v>10184</v>
      </c>
      <c r="AE3867" s="80" t="str">
        <f>HYPERLINK("https://twitter.com/kellyzinhanasci/status/1621174025803411459")</f>
        <v>https://twitter.com/kellyzinhanasci/status/1621174025803411459</v>
      </c>
      <c r="AF3867" s="79">
        <v>44959.659513888888</v>
      </c>
      <c r="AG3867" s="85">
        <v>44959</v>
      </c>
      <c r="AH3867" s="82" t="s">
        <v>13844</v>
      </c>
      <c r="AI3867" s="77" t="b">
        <v>0</v>
      </c>
      <c r="AJ3867" s="77"/>
      <c r="AK3867" s="77"/>
      <c r="AL3867" s="77"/>
      <c r="AM3867" s="77"/>
      <c r="AN3867" s="77"/>
      <c r="AO3867" s="77"/>
      <c r="AP3867" s="77"/>
      <c r="AQ3867" s="77"/>
      <c r="AR3867" s="77"/>
      <c r="AS3867" s="77"/>
      <c r="AT3867" s="77"/>
      <c r="AU3867" s="77"/>
      <c r="AV3867" s="80" t="str">
        <f>HYPERLINK("https://pbs.twimg.com/profile_images/1328748105039294471/JwLfxw10_normal.jpg")</f>
        <v>https://pbs.twimg.com/profile_images/1328748105039294471/JwLfxw10_normal.jpg</v>
      </c>
      <c r="AW3867" s="82" t="s">
        <v>20631</v>
      </c>
      <c r="AX3867" s="82" t="s">
        <v>20631</v>
      </c>
      <c r="AY3867" s="77"/>
      <c r="AZ3867" s="82" t="s">
        <v>20971</v>
      </c>
      <c r="BA3867" s="82" t="s">
        <v>20971</v>
      </c>
      <c r="BB3867" s="82" t="s">
        <v>20971</v>
      </c>
      <c r="BC3867" s="82" t="s">
        <v>20631</v>
      </c>
      <c r="BD3867" s="77">
        <v>238736288</v>
      </c>
      <c r="BE3867" s="77"/>
      <c r="BF3867" s="77"/>
      <c r="BG3867" s="77"/>
      <c r="BH3867" s="77"/>
      <c r="BI3867" s="77"/>
    </row>
    <row r="3868" spans="1:61" x14ac:dyDescent="0.25">
      <c r="A3868" s="62" t="s">
        <v>1194</v>
      </c>
      <c r="B3868" s="62" t="s">
        <v>1194</v>
      </c>
      <c r="C3868" s="63"/>
      <c r="D3868" s="64"/>
      <c r="E3868" s="65"/>
      <c r="F3868" s="66"/>
      <c r="G3868" s="63"/>
      <c r="H3868" s="67"/>
      <c r="I3868" s="68"/>
      <c r="J3868" s="68"/>
      <c r="K3868" s="32"/>
      <c r="L3868" s="75">
        <v>3868</v>
      </c>
      <c r="M3868" s="75"/>
      <c r="N3868" s="70"/>
      <c r="O3868" s="77" t="s">
        <v>179</v>
      </c>
      <c r="P3868" s="79">
        <v>45096.435335648152</v>
      </c>
      <c r="Q3868" s="77" t="s">
        <v>5072</v>
      </c>
      <c r="R3868" s="77">
        <v>0</v>
      </c>
      <c r="S3868" s="77">
        <v>0</v>
      </c>
      <c r="T3868" s="77">
        <v>0</v>
      </c>
      <c r="U3868" s="77">
        <v>0</v>
      </c>
      <c r="V3868" s="77">
        <v>19</v>
      </c>
      <c r="W3868" s="82" t="s">
        <v>7079</v>
      </c>
      <c r="X3868" s="80" t="str">
        <f>HYPERLINK("https://app.monetizze.com.br/r/APZ22629043")</f>
        <v>https://app.monetizze.com.br/r/APZ22629043</v>
      </c>
      <c r="Y3868" s="77" t="s">
        <v>7252</v>
      </c>
      <c r="Z3868" s="77"/>
      <c r="AA3868" s="77" t="s">
        <v>10017</v>
      </c>
      <c r="AB3868" s="77" t="s">
        <v>10130</v>
      </c>
      <c r="AC3868" s="82" t="s">
        <v>10144</v>
      </c>
      <c r="AD3868" s="77" t="s">
        <v>10184</v>
      </c>
      <c r="AE3868" s="80" t="str">
        <f>HYPERLINK("https://twitter.com/paulinhasi39902/status/1670739923312300032")</f>
        <v>https://twitter.com/paulinhasi39902/status/1670739923312300032</v>
      </c>
      <c r="AF3868" s="79">
        <v>45096.435335648152</v>
      </c>
      <c r="AG3868" s="85">
        <v>45096</v>
      </c>
      <c r="AH3868" s="82" t="s">
        <v>13845</v>
      </c>
      <c r="AI3868" s="77" t="b">
        <v>0</v>
      </c>
      <c r="AJ3868" s="77"/>
      <c r="AK3868" s="77"/>
      <c r="AL3868" s="77"/>
      <c r="AM3868" s="77"/>
      <c r="AN3868" s="77"/>
      <c r="AO3868" s="77"/>
      <c r="AP3868" s="77"/>
      <c r="AQ3868" s="77" t="s">
        <v>16660</v>
      </c>
      <c r="AR3868" s="77"/>
      <c r="AS3868" s="77"/>
      <c r="AT3868" s="77"/>
      <c r="AU3868" s="77"/>
      <c r="AV3868" s="80" t="str">
        <f>HYPERLINK("https://pbs.twimg.com/media/Fy-pGvUWAAA_TAJ.jpg")</f>
        <v>https://pbs.twimg.com/media/Fy-pGvUWAAA_TAJ.jpg</v>
      </c>
      <c r="AW3868" s="82" t="s">
        <v>20632</v>
      </c>
      <c r="AX3868" s="82" t="s">
        <v>20632</v>
      </c>
      <c r="AY3868" s="77"/>
      <c r="AZ3868" s="82" t="s">
        <v>20971</v>
      </c>
      <c r="BA3868" s="82" t="s">
        <v>20971</v>
      </c>
      <c r="BB3868" s="82" t="s">
        <v>20971</v>
      </c>
      <c r="BC3868" s="82" t="s">
        <v>20632</v>
      </c>
      <c r="BD3868" s="82" t="s">
        <v>21743</v>
      </c>
      <c r="BE3868" s="77"/>
      <c r="BF3868" s="77"/>
      <c r="BG3868" s="77"/>
      <c r="BH3868" s="77"/>
      <c r="BI3868" s="77"/>
    </row>
    <row r="3869" spans="1:61" x14ac:dyDescent="0.25">
      <c r="A3869" s="62" t="s">
        <v>1195</v>
      </c>
      <c r="B3869" s="62" t="s">
        <v>1195</v>
      </c>
      <c r="C3869" s="63"/>
      <c r="D3869" s="64"/>
      <c r="E3869" s="65"/>
      <c r="F3869" s="66"/>
      <c r="G3869" s="63"/>
      <c r="H3869" s="67"/>
      <c r="I3869" s="68"/>
      <c r="J3869" s="68"/>
      <c r="K3869" s="32"/>
      <c r="L3869" s="75">
        <v>3869</v>
      </c>
      <c r="M3869" s="75"/>
      <c r="N3869" s="70"/>
      <c r="O3869" s="77" t="s">
        <v>179</v>
      </c>
      <c r="P3869" s="79">
        <v>45031.146493055552</v>
      </c>
      <c r="Q3869" s="77" t="s">
        <v>5073</v>
      </c>
      <c r="R3869" s="77">
        <v>0</v>
      </c>
      <c r="S3869" s="77">
        <v>0</v>
      </c>
      <c r="T3869" s="77">
        <v>0</v>
      </c>
      <c r="U3869" s="77">
        <v>0</v>
      </c>
      <c r="V3869" s="77">
        <v>20</v>
      </c>
      <c r="W3869" s="82" t="s">
        <v>5753</v>
      </c>
      <c r="X3869" s="80" t="str">
        <f>HYPERLINK("https://www.xn--visoremota-h5a.com/2023/04/vale-pena-investir-em-cdi-quanto-esta.html")</f>
        <v>https://www.xn--visoremota-h5a.com/2023/04/vale-pena-investir-em-cdi-quanto-esta.html</v>
      </c>
      <c r="Y3869" s="77" t="s">
        <v>7337</v>
      </c>
      <c r="Z3869" s="77"/>
      <c r="AA3869" s="77"/>
      <c r="AB3869" s="77"/>
      <c r="AC3869" s="82" t="s">
        <v>10146</v>
      </c>
      <c r="AD3869" s="77" t="s">
        <v>10184</v>
      </c>
      <c r="AE3869" s="80" t="str">
        <f>HYPERLINK("https://twitter.com/javiunej/status/1647080038850785281")</f>
        <v>https://twitter.com/javiunej/status/1647080038850785281</v>
      </c>
      <c r="AF3869" s="79">
        <v>45031.146493055552</v>
      </c>
      <c r="AG3869" s="85">
        <v>45031</v>
      </c>
      <c r="AH3869" s="82" t="s">
        <v>13846</v>
      </c>
      <c r="AI3869" s="77" t="b">
        <v>0</v>
      </c>
      <c r="AJ3869" s="77"/>
      <c r="AK3869" s="77"/>
      <c r="AL3869" s="77"/>
      <c r="AM3869" s="77"/>
      <c r="AN3869" s="77"/>
      <c r="AO3869" s="77"/>
      <c r="AP3869" s="77"/>
      <c r="AQ3869" s="77"/>
      <c r="AR3869" s="77"/>
      <c r="AS3869" s="77"/>
      <c r="AT3869" s="77"/>
      <c r="AU3869" s="77"/>
      <c r="AV3869" s="80" t="str">
        <f>HYPERLINK("https://pbs.twimg.com/profile_images/1683992272260550657/GztNsneE_normal.jpg")</f>
        <v>https://pbs.twimg.com/profile_images/1683992272260550657/GztNsneE_normal.jpg</v>
      </c>
      <c r="AW3869" s="82" t="s">
        <v>20633</v>
      </c>
      <c r="AX3869" s="82" t="s">
        <v>20633</v>
      </c>
      <c r="AY3869" s="77"/>
      <c r="AZ3869" s="82" t="s">
        <v>20971</v>
      </c>
      <c r="BA3869" s="82" t="s">
        <v>20971</v>
      </c>
      <c r="BB3869" s="82" t="s">
        <v>20971</v>
      </c>
      <c r="BC3869" s="82" t="s">
        <v>20633</v>
      </c>
      <c r="BD3869" s="82" t="s">
        <v>21744</v>
      </c>
      <c r="BE3869" s="77"/>
      <c r="BF3869" s="77"/>
      <c r="BG3869" s="77"/>
      <c r="BH3869" s="77"/>
      <c r="BI3869" s="77"/>
    </row>
    <row r="3870" spans="1:61" x14ac:dyDescent="0.25">
      <c r="A3870" s="62" t="s">
        <v>1195</v>
      </c>
      <c r="B3870" s="62" t="s">
        <v>1195</v>
      </c>
      <c r="C3870" s="63"/>
      <c r="D3870" s="64"/>
      <c r="E3870" s="65"/>
      <c r="F3870" s="66"/>
      <c r="G3870" s="63"/>
      <c r="H3870" s="67"/>
      <c r="I3870" s="68"/>
      <c r="J3870" s="68"/>
      <c r="K3870" s="32"/>
      <c r="L3870" s="75">
        <v>3870</v>
      </c>
      <c r="M3870" s="75"/>
      <c r="N3870" s="70"/>
      <c r="O3870" s="77" t="s">
        <v>179</v>
      </c>
      <c r="P3870" s="79">
        <v>45031.145185185182</v>
      </c>
      <c r="Q3870" s="77" t="s">
        <v>5074</v>
      </c>
      <c r="R3870" s="77">
        <v>0</v>
      </c>
      <c r="S3870" s="77">
        <v>1</v>
      </c>
      <c r="T3870" s="77">
        <v>1</v>
      </c>
      <c r="U3870" s="77">
        <v>0</v>
      </c>
      <c r="V3870" s="77">
        <v>73</v>
      </c>
      <c r="W3870" s="82" t="s">
        <v>5753</v>
      </c>
      <c r="X3870" s="80" t="str">
        <f>HYPERLINK("https://www.xn--visoremota-h5a.com/2023/04/renda-extra-vire-um-cliente-oculto.html")</f>
        <v>https://www.xn--visoremota-h5a.com/2023/04/renda-extra-vire-um-cliente-oculto.html</v>
      </c>
      <c r="Y3870" s="77" t="s">
        <v>7337</v>
      </c>
      <c r="Z3870" s="77"/>
      <c r="AA3870" s="77"/>
      <c r="AB3870" s="77"/>
      <c r="AC3870" s="82" t="s">
        <v>10146</v>
      </c>
      <c r="AD3870" s="77" t="s">
        <v>10184</v>
      </c>
      <c r="AE3870" s="80" t="str">
        <f>HYPERLINK("https://twitter.com/javiunej/status/1647079565565591553")</f>
        <v>https://twitter.com/javiunej/status/1647079565565591553</v>
      </c>
      <c r="AF3870" s="79">
        <v>45031.145185185182</v>
      </c>
      <c r="AG3870" s="85">
        <v>45031</v>
      </c>
      <c r="AH3870" s="82" t="s">
        <v>13847</v>
      </c>
      <c r="AI3870" s="77" t="b">
        <v>0</v>
      </c>
      <c r="AJ3870" s="77"/>
      <c r="AK3870" s="77"/>
      <c r="AL3870" s="77"/>
      <c r="AM3870" s="77"/>
      <c r="AN3870" s="77"/>
      <c r="AO3870" s="77"/>
      <c r="AP3870" s="77"/>
      <c r="AQ3870" s="77"/>
      <c r="AR3870" s="77"/>
      <c r="AS3870" s="77"/>
      <c r="AT3870" s="77"/>
      <c r="AU3870" s="77"/>
      <c r="AV3870" s="80" t="str">
        <f>HYPERLINK("https://pbs.twimg.com/profile_images/1683992272260550657/GztNsneE_normal.jpg")</f>
        <v>https://pbs.twimg.com/profile_images/1683992272260550657/GztNsneE_normal.jpg</v>
      </c>
      <c r="AW3870" s="82" t="s">
        <v>20634</v>
      </c>
      <c r="AX3870" s="82" t="s">
        <v>20634</v>
      </c>
      <c r="AY3870" s="77"/>
      <c r="AZ3870" s="82" t="s">
        <v>20971</v>
      </c>
      <c r="BA3870" s="82" t="s">
        <v>20971</v>
      </c>
      <c r="BB3870" s="82" t="s">
        <v>20971</v>
      </c>
      <c r="BC3870" s="82" t="s">
        <v>20634</v>
      </c>
      <c r="BD3870" s="82" t="s">
        <v>21744</v>
      </c>
      <c r="BE3870" s="77"/>
      <c r="BF3870" s="77"/>
      <c r="BG3870" s="77"/>
      <c r="BH3870" s="77"/>
      <c r="BI3870" s="77"/>
    </row>
    <row r="3871" spans="1:61" x14ac:dyDescent="0.25">
      <c r="A3871" s="62" t="s">
        <v>1195</v>
      </c>
      <c r="B3871" s="62" t="s">
        <v>1195</v>
      </c>
      <c r="C3871" s="63"/>
      <c r="D3871" s="64"/>
      <c r="E3871" s="65"/>
      <c r="F3871" s="66"/>
      <c r="G3871" s="63"/>
      <c r="H3871" s="67"/>
      <c r="I3871" s="68"/>
      <c r="J3871" s="68"/>
      <c r="K3871" s="32"/>
      <c r="L3871" s="75">
        <v>3871</v>
      </c>
      <c r="M3871" s="75"/>
      <c r="N3871" s="70"/>
      <c r="O3871" s="77" t="s">
        <v>179</v>
      </c>
      <c r="P3871" s="79">
        <v>45031.144814814812</v>
      </c>
      <c r="Q3871" s="77" t="s">
        <v>5075</v>
      </c>
      <c r="R3871" s="77">
        <v>0</v>
      </c>
      <c r="S3871" s="77">
        <v>0</v>
      </c>
      <c r="T3871" s="77">
        <v>0</v>
      </c>
      <c r="U3871" s="77">
        <v>0</v>
      </c>
      <c r="V3871" s="77">
        <v>13</v>
      </c>
      <c r="W3871" s="82" t="s">
        <v>5753</v>
      </c>
      <c r="X3871" s="80" t="str">
        <f>HYPERLINK("https://www.xn--visoremota-h5a.com/2023/04/ganhe-dinheiro-jogando-jogos-online-2023.html")</f>
        <v>https://www.xn--visoremota-h5a.com/2023/04/ganhe-dinheiro-jogando-jogos-online-2023.html</v>
      </c>
      <c r="Y3871" s="77" t="s">
        <v>7337</v>
      </c>
      <c r="Z3871" s="77"/>
      <c r="AA3871" s="77"/>
      <c r="AB3871" s="77"/>
      <c r="AC3871" s="82" t="s">
        <v>10146</v>
      </c>
      <c r="AD3871" s="77" t="s">
        <v>10184</v>
      </c>
      <c r="AE3871" s="80" t="str">
        <f>HYPERLINK("https://twitter.com/javiunej/status/1647079430731317248")</f>
        <v>https://twitter.com/javiunej/status/1647079430731317248</v>
      </c>
      <c r="AF3871" s="79">
        <v>45031.144814814812</v>
      </c>
      <c r="AG3871" s="85">
        <v>45031</v>
      </c>
      <c r="AH3871" s="82" t="s">
        <v>13848</v>
      </c>
      <c r="AI3871" s="77" t="b">
        <v>0</v>
      </c>
      <c r="AJ3871" s="77"/>
      <c r="AK3871" s="77"/>
      <c r="AL3871" s="77"/>
      <c r="AM3871" s="77"/>
      <c r="AN3871" s="77"/>
      <c r="AO3871" s="77"/>
      <c r="AP3871" s="77"/>
      <c r="AQ3871" s="77"/>
      <c r="AR3871" s="77"/>
      <c r="AS3871" s="77"/>
      <c r="AT3871" s="77"/>
      <c r="AU3871" s="77"/>
      <c r="AV3871" s="80" t="str">
        <f>HYPERLINK("https://pbs.twimg.com/profile_images/1683992272260550657/GztNsneE_normal.jpg")</f>
        <v>https://pbs.twimg.com/profile_images/1683992272260550657/GztNsneE_normal.jpg</v>
      </c>
      <c r="AW3871" s="82" t="s">
        <v>20635</v>
      </c>
      <c r="AX3871" s="82" t="s">
        <v>20635</v>
      </c>
      <c r="AY3871" s="77"/>
      <c r="AZ3871" s="82" t="s">
        <v>20971</v>
      </c>
      <c r="BA3871" s="82" t="s">
        <v>20971</v>
      </c>
      <c r="BB3871" s="82" t="s">
        <v>20971</v>
      </c>
      <c r="BC3871" s="82" t="s">
        <v>20635</v>
      </c>
      <c r="BD3871" s="82" t="s">
        <v>21744</v>
      </c>
      <c r="BE3871" s="77"/>
      <c r="BF3871" s="77"/>
      <c r="BG3871" s="77"/>
      <c r="BH3871" s="77"/>
      <c r="BI3871" s="77"/>
    </row>
    <row r="3872" spans="1:61" x14ac:dyDescent="0.25">
      <c r="A3872" s="62" t="s">
        <v>1195</v>
      </c>
      <c r="B3872" s="62" t="s">
        <v>1195</v>
      </c>
      <c r="C3872" s="63"/>
      <c r="D3872" s="64"/>
      <c r="E3872" s="65"/>
      <c r="F3872" s="66"/>
      <c r="G3872" s="63"/>
      <c r="H3872" s="67"/>
      <c r="I3872" s="68"/>
      <c r="J3872" s="68"/>
      <c r="K3872" s="32"/>
      <c r="L3872" s="75">
        <v>3872</v>
      </c>
      <c r="M3872" s="75"/>
      <c r="N3872" s="70"/>
      <c r="O3872" s="77" t="s">
        <v>179</v>
      </c>
      <c r="P3872" s="79">
        <v>45031.144131944442</v>
      </c>
      <c r="Q3872" s="77" t="s">
        <v>5076</v>
      </c>
      <c r="R3872" s="77">
        <v>0</v>
      </c>
      <c r="S3872" s="77">
        <v>0</v>
      </c>
      <c r="T3872" s="77">
        <v>0</v>
      </c>
      <c r="U3872" s="77">
        <v>0</v>
      </c>
      <c r="V3872" s="77">
        <v>15</v>
      </c>
      <c r="W3872" s="82" t="s">
        <v>5753</v>
      </c>
      <c r="X3872" s="80" t="str">
        <f>HYPERLINK("https://www.xn--visoremota-h5a.com/2023/04/ganhe-dinheiro-vendendo-milhas-no-seu.html")</f>
        <v>https://www.xn--visoremota-h5a.com/2023/04/ganhe-dinheiro-vendendo-milhas-no-seu.html</v>
      </c>
      <c r="Y3872" s="77" t="s">
        <v>7337</v>
      </c>
      <c r="Z3872" s="77"/>
      <c r="AA3872" s="77"/>
      <c r="AB3872" s="77"/>
      <c r="AC3872" s="82" t="s">
        <v>10146</v>
      </c>
      <c r="AD3872" s="77" t="s">
        <v>10184</v>
      </c>
      <c r="AE3872" s="80" t="str">
        <f>HYPERLINK("https://twitter.com/javiunej/status/1647079186287263744")</f>
        <v>https://twitter.com/javiunej/status/1647079186287263744</v>
      </c>
      <c r="AF3872" s="79">
        <v>45031.144131944442</v>
      </c>
      <c r="AG3872" s="85">
        <v>45031</v>
      </c>
      <c r="AH3872" s="82" t="s">
        <v>13849</v>
      </c>
      <c r="AI3872" s="77" t="b">
        <v>0</v>
      </c>
      <c r="AJ3872" s="77"/>
      <c r="AK3872" s="77"/>
      <c r="AL3872" s="77"/>
      <c r="AM3872" s="77"/>
      <c r="AN3872" s="77"/>
      <c r="AO3872" s="77"/>
      <c r="AP3872" s="77"/>
      <c r="AQ3872" s="77"/>
      <c r="AR3872" s="77"/>
      <c r="AS3872" s="77"/>
      <c r="AT3872" s="77"/>
      <c r="AU3872" s="77"/>
      <c r="AV3872" s="80" t="str">
        <f>HYPERLINK("https://pbs.twimg.com/profile_images/1683992272260550657/GztNsneE_normal.jpg")</f>
        <v>https://pbs.twimg.com/profile_images/1683992272260550657/GztNsneE_normal.jpg</v>
      </c>
      <c r="AW3872" s="82" t="s">
        <v>20636</v>
      </c>
      <c r="AX3872" s="82" t="s">
        <v>20636</v>
      </c>
      <c r="AY3872" s="77"/>
      <c r="AZ3872" s="82" t="s">
        <v>20971</v>
      </c>
      <c r="BA3872" s="82" t="s">
        <v>20971</v>
      </c>
      <c r="BB3872" s="82" t="s">
        <v>20971</v>
      </c>
      <c r="BC3872" s="82" t="s">
        <v>20636</v>
      </c>
      <c r="BD3872" s="82" t="s">
        <v>21744</v>
      </c>
      <c r="BE3872" s="77"/>
      <c r="BF3872" s="77"/>
      <c r="BG3872" s="77"/>
      <c r="BH3872" s="77"/>
      <c r="BI3872" s="77"/>
    </row>
    <row r="3873" spans="1:61" x14ac:dyDescent="0.25">
      <c r="A3873" s="62" t="s">
        <v>1195</v>
      </c>
      <c r="B3873" s="62" t="s">
        <v>1195</v>
      </c>
      <c r="C3873" s="63"/>
      <c r="D3873" s="64"/>
      <c r="E3873" s="65"/>
      <c r="F3873" s="66"/>
      <c r="G3873" s="63"/>
      <c r="H3873" s="67"/>
      <c r="I3873" s="68"/>
      <c r="J3873" s="68"/>
      <c r="K3873" s="32"/>
      <c r="L3873" s="75">
        <v>3873</v>
      </c>
      <c r="M3873" s="75"/>
      <c r="N3873" s="70"/>
      <c r="O3873" s="77" t="s">
        <v>179</v>
      </c>
      <c r="P3873" s="79">
        <v>45031.143634259257</v>
      </c>
      <c r="Q3873" s="77" t="s">
        <v>5077</v>
      </c>
      <c r="R3873" s="77">
        <v>0</v>
      </c>
      <c r="S3873" s="77">
        <v>0</v>
      </c>
      <c r="T3873" s="77">
        <v>0</v>
      </c>
      <c r="U3873" s="77">
        <v>0</v>
      </c>
      <c r="V3873" s="77">
        <v>12</v>
      </c>
      <c r="W3873" s="82" t="s">
        <v>5753</v>
      </c>
      <c r="X3873" s="80" t="str">
        <f>HYPERLINK("https://www.xn--visoremota-h5a.com/2023/04/voce-pode-ganhar-dinheiro-alugando-seu.html")</f>
        <v>https://www.xn--visoremota-h5a.com/2023/04/voce-pode-ganhar-dinheiro-alugando-seu.html</v>
      </c>
      <c r="Y3873" s="77" t="s">
        <v>7337</v>
      </c>
      <c r="Z3873" s="77"/>
      <c r="AA3873" s="77"/>
      <c r="AB3873" s="77"/>
      <c r="AC3873" s="82" t="s">
        <v>10146</v>
      </c>
      <c r="AD3873" s="77" t="s">
        <v>10184</v>
      </c>
      <c r="AE3873" s="80" t="str">
        <f>HYPERLINK("https://twitter.com/javiunej/status/1647079005525356545")</f>
        <v>https://twitter.com/javiunej/status/1647079005525356545</v>
      </c>
      <c r="AF3873" s="79">
        <v>45031.143634259257</v>
      </c>
      <c r="AG3873" s="85">
        <v>45031</v>
      </c>
      <c r="AH3873" s="82" t="s">
        <v>13850</v>
      </c>
      <c r="AI3873" s="77" t="b">
        <v>0</v>
      </c>
      <c r="AJ3873" s="77"/>
      <c r="AK3873" s="77"/>
      <c r="AL3873" s="77"/>
      <c r="AM3873" s="77"/>
      <c r="AN3873" s="77"/>
      <c r="AO3873" s="77"/>
      <c r="AP3873" s="77"/>
      <c r="AQ3873" s="77"/>
      <c r="AR3873" s="77"/>
      <c r="AS3873" s="77"/>
      <c r="AT3873" s="77"/>
      <c r="AU3873" s="77"/>
      <c r="AV3873" s="80" t="str">
        <f>HYPERLINK("https://pbs.twimg.com/profile_images/1683992272260550657/GztNsneE_normal.jpg")</f>
        <v>https://pbs.twimg.com/profile_images/1683992272260550657/GztNsneE_normal.jpg</v>
      </c>
      <c r="AW3873" s="82" t="s">
        <v>20637</v>
      </c>
      <c r="AX3873" s="82" t="s">
        <v>20637</v>
      </c>
      <c r="AY3873" s="77"/>
      <c r="AZ3873" s="82" t="s">
        <v>20971</v>
      </c>
      <c r="BA3873" s="82" t="s">
        <v>20971</v>
      </c>
      <c r="BB3873" s="82" t="s">
        <v>20971</v>
      </c>
      <c r="BC3873" s="82" t="s">
        <v>20637</v>
      </c>
      <c r="BD3873" s="82" t="s">
        <v>21744</v>
      </c>
      <c r="BE3873" s="77"/>
      <c r="BF3873" s="77"/>
      <c r="BG3873" s="77"/>
      <c r="BH3873" s="77"/>
      <c r="BI3873" s="77"/>
    </row>
    <row r="3874" spans="1:61" x14ac:dyDescent="0.25">
      <c r="A3874" s="62" t="s">
        <v>1195</v>
      </c>
      <c r="B3874" s="62" t="s">
        <v>1195</v>
      </c>
      <c r="C3874" s="63"/>
      <c r="D3874" s="64"/>
      <c r="E3874" s="65"/>
      <c r="F3874" s="66"/>
      <c r="G3874" s="63"/>
      <c r="H3874" s="67"/>
      <c r="I3874" s="68"/>
      <c r="J3874" s="68"/>
      <c r="K3874" s="32"/>
      <c r="L3874" s="75">
        <v>3874</v>
      </c>
      <c r="M3874" s="75"/>
      <c r="N3874" s="70"/>
      <c r="O3874" s="77" t="s">
        <v>179</v>
      </c>
      <c r="P3874" s="79">
        <v>45031.143090277779</v>
      </c>
      <c r="Q3874" s="77" t="s">
        <v>5078</v>
      </c>
      <c r="R3874" s="77">
        <v>0</v>
      </c>
      <c r="S3874" s="77">
        <v>0</v>
      </c>
      <c r="T3874" s="77">
        <v>0</v>
      </c>
      <c r="U3874" s="77">
        <v>0</v>
      </c>
      <c r="V3874" s="77">
        <v>14</v>
      </c>
      <c r="W3874" s="82" t="s">
        <v>5753</v>
      </c>
      <c r="X3874" s="80" t="str">
        <f>HYPERLINK("https://www.xn--visoremota-h5a.com/2023/04/ganhar-dinheiro-com-programas-de.html")</f>
        <v>https://www.xn--visoremota-h5a.com/2023/04/ganhar-dinheiro-com-programas-de.html</v>
      </c>
      <c r="Y3874" s="77" t="s">
        <v>7337</v>
      </c>
      <c r="Z3874" s="77"/>
      <c r="AA3874" s="77"/>
      <c r="AB3874" s="77"/>
      <c r="AC3874" s="82" t="s">
        <v>10146</v>
      </c>
      <c r="AD3874" s="77" t="s">
        <v>10184</v>
      </c>
      <c r="AE3874" s="80" t="str">
        <f>HYPERLINK("https://twitter.com/javiunej/status/1647078807017336832")</f>
        <v>https://twitter.com/javiunej/status/1647078807017336832</v>
      </c>
      <c r="AF3874" s="79">
        <v>45031.143090277779</v>
      </c>
      <c r="AG3874" s="85">
        <v>45031</v>
      </c>
      <c r="AH3874" s="82" t="s">
        <v>13851</v>
      </c>
      <c r="AI3874" s="77" t="b">
        <v>0</v>
      </c>
      <c r="AJ3874" s="77"/>
      <c r="AK3874" s="77"/>
      <c r="AL3874" s="77"/>
      <c r="AM3874" s="77"/>
      <c r="AN3874" s="77"/>
      <c r="AO3874" s="77"/>
      <c r="AP3874" s="77"/>
      <c r="AQ3874" s="77"/>
      <c r="AR3874" s="77"/>
      <c r="AS3874" s="77"/>
      <c r="AT3874" s="77"/>
      <c r="AU3874" s="77"/>
      <c r="AV3874" s="80" t="str">
        <f>HYPERLINK("https://pbs.twimg.com/profile_images/1683992272260550657/GztNsneE_normal.jpg")</f>
        <v>https://pbs.twimg.com/profile_images/1683992272260550657/GztNsneE_normal.jpg</v>
      </c>
      <c r="AW3874" s="82" t="s">
        <v>20638</v>
      </c>
      <c r="AX3874" s="82" t="s">
        <v>20638</v>
      </c>
      <c r="AY3874" s="77"/>
      <c r="AZ3874" s="82" t="s">
        <v>20971</v>
      </c>
      <c r="BA3874" s="82" t="s">
        <v>20971</v>
      </c>
      <c r="BB3874" s="82" t="s">
        <v>20971</v>
      </c>
      <c r="BC3874" s="82" t="s">
        <v>20638</v>
      </c>
      <c r="BD3874" s="82" t="s">
        <v>21744</v>
      </c>
      <c r="BE3874" s="77"/>
      <c r="BF3874" s="77"/>
      <c r="BG3874" s="77"/>
      <c r="BH3874" s="77"/>
      <c r="BI3874" s="77"/>
    </row>
    <row r="3875" spans="1:61" x14ac:dyDescent="0.25">
      <c r="A3875" s="62" t="s">
        <v>1195</v>
      </c>
      <c r="B3875" s="62" t="s">
        <v>1195</v>
      </c>
      <c r="C3875" s="63"/>
      <c r="D3875" s="64"/>
      <c r="E3875" s="65"/>
      <c r="F3875" s="66"/>
      <c r="G3875" s="63"/>
      <c r="H3875" s="67"/>
      <c r="I3875" s="68"/>
      <c r="J3875" s="68"/>
      <c r="K3875" s="32"/>
      <c r="L3875" s="75">
        <v>3875</v>
      </c>
      <c r="M3875" s="75"/>
      <c r="N3875" s="70"/>
      <c r="O3875" s="77" t="s">
        <v>179</v>
      </c>
      <c r="P3875" s="79">
        <v>45031.142060185186</v>
      </c>
      <c r="Q3875" s="77" t="s">
        <v>5079</v>
      </c>
      <c r="R3875" s="77">
        <v>0</v>
      </c>
      <c r="S3875" s="77">
        <v>1</v>
      </c>
      <c r="T3875" s="77">
        <v>1</v>
      </c>
      <c r="U3875" s="77">
        <v>0</v>
      </c>
      <c r="V3875" s="77">
        <v>17</v>
      </c>
      <c r="W3875" s="82" t="s">
        <v>5753</v>
      </c>
      <c r="X3875" s="80" t="str">
        <f>HYPERLINK("https://www.xn--visoremota-h5a.com/2023/04/como-fazer-dinheiro-testando-sites-e.html")</f>
        <v>https://www.xn--visoremota-h5a.com/2023/04/como-fazer-dinheiro-testando-sites-e.html</v>
      </c>
      <c r="Y3875" s="77" t="s">
        <v>7337</v>
      </c>
      <c r="Z3875" s="77"/>
      <c r="AA3875" s="77"/>
      <c r="AB3875" s="77"/>
      <c r="AC3875" s="82" t="s">
        <v>10146</v>
      </c>
      <c r="AD3875" s="77" t="s">
        <v>10184</v>
      </c>
      <c r="AE3875" s="80" t="str">
        <f>HYPERLINK("https://twitter.com/javiunej/status/1647078434638643200")</f>
        <v>https://twitter.com/javiunej/status/1647078434638643200</v>
      </c>
      <c r="AF3875" s="79">
        <v>45031.142060185186</v>
      </c>
      <c r="AG3875" s="85">
        <v>45031</v>
      </c>
      <c r="AH3875" s="82" t="s">
        <v>13852</v>
      </c>
      <c r="AI3875" s="77" t="b">
        <v>0</v>
      </c>
      <c r="AJ3875" s="77"/>
      <c r="AK3875" s="77"/>
      <c r="AL3875" s="77"/>
      <c r="AM3875" s="77"/>
      <c r="AN3875" s="77"/>
      <c r="AO3875" s="77"/>
      <c r="AP3875" s="77"/>
      <c r="AQ3875" s="77"/>
      <c r="AR3875" s="77"/>
      <c r="AS3875" s="77"/>
      <c r="AT3875" s="77"/>
      <c r="AU3875" s="77"/>
      <c r="AV3875" s="80" t="str">
        <f>HYPERLINK("https://pbs.twimg.com/profile_images/1683992272260550657/GztNsneE_normal.jpg")</f>
        <v>https://pbs.twimg.com/profile_images/1683992272260550657/GztNsneE_normal.jpg</v>
      </c>
      <c r="AW3875" s="82" t="s">
        <v>20639</v>
      </c>
      <c r="AX3875" s="82" t="s">
        <v>20639</v>
      </c>
      <c r="AY3875" s="77"/>
      <c r="AZ3875" s="82" t="s">
        <v>20971</v>
      </c>
      <c r="BA3875" s="82" t="s">
        <v>20971</v>
      </c>
      <c r="BB3875" s="82" t="s">
        <v>20971</v>
      </c>
      <c r="BC3875" s="82" t="s">
        <v>20639</v>
      </c>
      <c r="BD3875" s="82" t="s">
        <v>21744</v>
      </c>
      <c r="BE3875" s="77"/>
      <c r="BF3875" s="77"/>
      <c r="BG3875" s="77"/>
      <c r="BH3875" s="77"/>
      <c r="BI3875" s="77"/>
    </row>
    <row r="3876" spans="1:61" x14ac:dyDescent="0.25">
      <c r="A3876" s="62" t="s">
        <v>1195</v>
      </c>
      <c r="B3876" s="62" t="s">
        <v>1195</v>
      </c>
      <c r="C3876" s="63"/>
      <c r="D3876" s="64"/>
      <c r="E3876" s="65"/>
      <c r="F3876" s="66"/>
      <c r="G3876" s="63"/>
      <c r="H3876" s="67"/>
      <c r="I3876" s="68"/>
      <c r="J3876" s="68"/>
      <c r="K3876" s="32"/>
      <c r="L3876" s="75">
        <v>3876</v>
      </c>
      <c r="M3876" s="75"/>
      <c r="N3876" s="70"/>
      <c r="O3876" s="77" t="s">
        <v>179</v>
      </c>
      <c r="P3876" s="79">
        <v>45031.141331018516</v>
      </c>
      <c r="Q3876" s="77" t="s">
        <v>5080</v>
      </c>
      <c r="R3876" s="77">
        <v>0</v>
      </c>
      <c r="S3876" s="77">
        <v>0</v>
      </c>
      <c r="T3876" s="77">
        <v>0</v>
      </c>
      <c r="U3876" s="77">
        <v>0</v>
      </c>
      <c r="V3876" s="77">
        <v>37</v>
      </c>
      <c r="W3876" s="82" t="s">
        <v>5753</v>
      </c>
      <c r="X3876" s="80" t="str">
        <f>HYPERLINK("https://www.xn--visoremota-h5a.com/2023/04/apps-para-ganhar-dinheiro-oferecendo.html")</f>
        <v>https://www.xn--visoremota-h5a.com/2023/04/apps-para-ganhar-dinheiro-oferecendo.html</v>
      </c>
      <c r="Y3876" s="77" t="s">
        <v>7337</v>
      </c>
      <c r="Z3876" s="77"/>
      <c r="AA3876" s="77"/>
      <c r="AB3876" s="77"/>
      <c r="AC3876" s="82" t="s">
        <v>10146</v>
      </c>
      <c r="AD3876" s="77" t="s">
        <v>10184</v>
      </c>
      <c r="AE3876" s="80" t="str">
        <f>HYPERLINK("https://twitter.com/javiunej/status/1647078168337973249")</f>
        <v>https://twitter.com/javiunej/status/1647078168337973249</v>
      </c>
      <c r="AF3876" s="79">
        <v>45031.141331018516</v>
      </c>
      <c r="AG3876" s="85">
        <v>45031</v>
      </c>
      <c r="AH3876" s="82" t="s">
        <v>13853</v>
      </c>
      <c r="AI3876" s="77" t="b">
        <v>0</v>
      </c>
      <c r="AJ3876" s="77"/>
      <c r="AK3876" s="77"/>
      <c r="AL3876" s="77"/>
      <c r="AM3876" s="77"/>
      <c r="AN3876" s="77"/>
      <c r="AO3876" s="77"/>
      <c r="AP3876" s="77"/>
      <c r="AQ3876" s="77"/>
      <c r="AR3876" s="77"/>
      <c r="AS3876" s="77"/>
      <c r="AT3876" s="77"/>
      <c r="AU3876" s="77"/>
      <c r="AV3876" s="80" t="str">
        <f>HYPERLINK("https://pbs.twimg.com/profile_images/1683992272260550657/GztNsneE_normal.jpg")</f>
        <v>https://pbs.twimg.com/profile_images/1683992272260550657/GztNsneE_normal.jpg</v>
      </c>
      <c r="AW3876" s="82" t="s">
        <v>20640</v>
      </c>
      <c r="AX3876" s="82" t="s">
        <v>20640</v>
      </c>
      <c r="AY3876" s="77"/>
      <c r="AZ3876" s="82" t="s">
        <v>20971</v>
      </c>
      <c r="BA3876" s="82" t="s">
        <v>20971</v>
      </c>
      <c r="BB3876" s="82" t="s">
        <v>20971</v>
      </c>
      <c r="BC3876" s="82" t="s">
        <v>20640</v>
      </c>
      <c r="BD3876" s="82" t="s">
        <v>21744</v>
      </c>
      <c r="BE3876" s="77"/>
      <c r="BF3876" s="77"/>
      <c r="BG3876" s="77"/>
      <c r="BH3876" s="77"/>
      <c r="BI3876" s="77"/>
    </row>
    <row r="3877" spans="1:61" x14ac:dyDescent="0.25">
      <c r="A3877" s="62" t="s">
        <v>1195</v>
      </c>
      <c r="B3877" s="62" t="s">
        <v>1195</v>
      </c>
      <c r="C3877" s="63"/>
      <c r="D3877" s="64"/>
      <c r="E3877" s="65"/>
      <c r="F3877" s="66"/>
      <c r="G3877" s="63"/>
      <c r="H3877" s="67"/>
      <c r="I3877" s="68"/>
      <c r="J3877" s="68"/>
      <c r="K3877" s="32"/>
      <c r="L3877" s="75">
        <v>3877</v>
      </c>
      <c r="M3877" s="75"/>
      <c r="N3877" s="70"/>
      <c r="O3877" s="77" t="s">
        <v>179</v>
      </c>
      <c r="P3877" s="79">
        <v>45031.140509259261</v>
      </c>
      <c r="Q3877" s="77" t="s">
        <v>5081</v>
      </c>
      <c r="R3877" s="77">
        <v>0</v>
      </c>
      <c r="S3877" s="77">
        <v>0</v>
      </c>
      <c r="T3877" s="77">
        <v>0</v>
      </c>
      <c r="U3877" s="77">
        <v>0</v>
      </c>
      <c r="V3877" s="77">
        <v>13</v>
      </c>
      <c r="W3877" s="82" t="s">
        <v>5753</v>
      </c>
      <c r="X3877" s="80" t="str">
        <f>HYPERLINK("https://www.xn--visoremota-h5a.com/2023/04/aprendendo-vender-produtos-artesanais.html")</f>
        <v>https://www.xn--visoremota-h5a.com/2023/04/aprendendo-vender-produtos-artesanais.html</v>
      </c>
      <c r="Y3877" s="77" t="s">
        <v>7337</v>
      </c>
      <c r="Z3877" s="77"/>
      <c r="AA3877" s="77"/>
      <c r="AB3877" s="77"/>
      <c r="AC3877" s="82" t="s">
        <v>10146</v>
      </c>
      <c r="AD3877" s="77" t="s">
        <v>10184</v>
      </c>
      <c r="AE3877" s="80" t="str">
        <f>HYPERLINK("https://twitter.com/javiunej/status/1647077870265589762")</f>
        <v>https://twitter.com/javiunej/status/1647077870265589762</v>
      </c>
      <c r="AF3877" s="79">
        <v>45031.140509259261</v>
      </c>
      <c r="AG3877" s="85">
        <v>45031</v>
      </c>
      <c r="AH3877" s="82" t="s">
        <v>13854</v>
      </c>
      <c r="AI3877" s="77" t="b">
        <v>0</v>
      </c>
      <c r="AJ3877" s="77"/>
      <c r="AK3877" s="77"/>
      <c r="AL3877" s="77"/>
      <c r="AM3877" s="77"/>
      <c r="AN3877" s="77"/>
      <c r="AO3877" s="77"/>
      <c r="AP3877" s="77"/>
      <c r="AQ3877" s="77"/>
      <c r="AR3877" s="77"/>
      <c r="AS3877" s="77"/>
      <c r="AT3877" s="77"/>
      <c r="AU3877" s="77"/>
      <c r="AV3877" s="80" t="str">
        <f>HYPERLINK("https://pbs.twimg.com/profile_images/1683992272260550657/GztNsneE_normal.jpg")</f>
        <v>https://pbs.twimg.com/profile_images/1683992272260550657/GztNsneE_normal.jpg</v>
      </c>
      <c r="AW3877" s="82" t="s">
        <v>20641</v>
      </c>
      <c r="AX3877" s="82" t="s">
        <v>20641</v>
      </c>
      <c r="AY3877" s="77"/>
      <c r="AZ3877" s="82" t="s">
        <v>20971</v>
      </c>
      <c r="BA3877" s="82" t="s">
        <v>20971</v>
      </c>
      <c r="BB3877" s="82" t="s">
        <v>20971</v>
      </c>
      <c r="BC3877" s="82" t="s">
        <v>20641</v>
      </c>
      <c r="BD3877" s="82" t="s">
        <v>21744</v>
      </c>
      <c r="BE3877" s="77"/>
      <c r="BF3877" s="77"/>
      <c r="BG3877" s="77"/>
      <c r="BH3877" s="77"/>
      <c r="BI3877" s="77"/>
    </row>
    <row r="3878" spans="1:61" x14ac:dyDescent="0.25">
      <c r="A3878" s="62" t="s">
        <v>1195</v>
      </c>
      <c r="B3878" s="62" t="s">
        <v>1195</v>
      </c>
      <c r="C3878" s="63"/>
      <c r="D3878" s="64"/>
      <c r="E3878" s="65"/>
      <c r="F3878" s="66"/>
      <c r="G3878" s="63"/>
      <c r="H3878" s="67"/>
      <c r="I3878" s="68"/>
      <c r="J3878" s="68"/>
      <c r="K3878" s="32"/>
      <c r="L3878" s="75">
        <v>3878</v>
      </c>
      <c r="M3878" s="75"/>
      <c r="N3878" s="70"/>
      <c r="O3878" s="77" t="s">
        <v>179</v>
      </c>
      <c r="P3878" s="79">
        <v>45031.140023148146</v>
      </c>
      <c r="Q3878" s="77" t="s">
        <v>5082</v>
      </c>
      <c r="R3878" s="77">
        <v>0</v>
      </c>
      <c r="S3878" s="77">
        <v>0</v>
      </c>
      <c r="T3878" s="77">
        <v>0</v>
      </c>
      <c r="U3878" s="77">
        <v>0</v>
      </c>
      <c r="V3878" s="77">
        <v>15</v>
      </c>
      <c r="W3878" s="82" t="s">
        <v>5753</v>
      </c>
      <c r="X3878" s="80" t="str">
        <f>HYPERLINK("https://www.xn--visoremota-h5a.com/2023/04/como-fazer-renda-extra-revendendo.html")</f>
        <v>https://www.xn--visoremota-h5a.com/2023/04/como-fazer-renda-extra-revendendo.html</v>
      </c>
      <c r="Y3878" s="77" t="s">
        <v>7337</v>
      </c>
      <c r="Z3878" s="77"/>
      <c r="AA3878" s="77"/>
      <c r="AB3878" s="77"/>
      <c r="AC3878" s="82" t="s">
        <v>10146</v>
      </c>
      <c r="AD3878" s="77" t="s">
        <v>10184</v>
      </c>
      <c r="AE3878" s="80" t="str">
        <f>HYPERLINK("https://twitter.com/javiunej/status/1647077697410023424")</f>
        <v>https://twitter.com/javiunej/status/1647077697410023424</v>
      </c>
      <c r="AF3878" s="79">
        <v>45031.140023148146</v>
      </c>
      <c r="AG3878" s="85">
        <v>45031</v>
      </c>
      <c r="AH3878" s="82" t="s">
        <v>13855</v>
      </c>
      <c r="AI3878" s="77" t="b">
        <v>0</v>
      </c>
      <c r="AJ3878" s="77"/>
      <c r="AK3878" s="77"/>
      <c r="AL3878" s="77"/>
      <c r="AM3878" s="77"/>
      <c r="AN3878" s="77"/>
      <c r="AO3878" s="77"/>
      <c r="AP3878" s="77"/>
      <c r="AQ3878" s="77"/>
      <c r="AR3878" s="77"/>
      <c r="AS3878" s="77"/>
      <c r="AT3878" s="77"/>
      <c r="AU3878" s="77"/>
      <c r="AV3878" s="80" t="str">
        <f>HYPERLINK("https://pbs.twimg.com/profile_images/1683992272260550657/GztNsneE_normal.jpg")</f>
        <v>https://pbs.twimg.com/profile_images/1683992272260550657/GztNsneE_normal.jpg</v>
      </c>
      <c r="AW3878" s="82" t="s">
        <v>20642</v>
      </c>
      <c r="AX3878" s="82" t="s">
        <v>20642</v>
      </c>
      <c r="AY3878" s="77"/>
      <c r="AZ3878" s="82" t="s">
        <v>20971</v>
      </c>
      <c r="BA3878" s="82" t="s">
        <v>20971</v>
      </c>
      <c r="BB3878" s="82" t="s">
        <v>20971</v>
      </c>
      <c r="BC3878" s="82" t="s">
        <v>20642</v>
      </c>
      <c r="BD3878" s="82" t="s">
        <v>21744</v>
      </c>
      <c r="BE3878" s="77"/>
      <c r="BF3878" s="77"/>
      <c r="BG3878" s="77"/>
      <c r="BH3878" s="77"/>
      <c r="BI3878" s="77"/>
    </row>
    <row r="3879" spans="1:61" x14ac:dyDescent="0.25">
      <c r="A3879" s="62" t="s">
        <v>1195</v>
      </c>
      <c r="B3879" s="62" t="s">
        <v>1195</v>
      </c>
      <c r="C3879" s="63"/>
      <c r="D3879" s="64"/>
      <c r="E3879" s="65"/>
      <c r="F3879" s="66"/>
      <c r="G3879" s="63"/>
      <c r="H3879" s="67"/>
      <c r="I3879" s="68"/>
      <c r="J3879" s="68"/>
      <c r="K3879" s="32"/>
      <c r="L3879" s="75">
        <v>3879</v>
      </c>
      <c r="M3879" s="75"/>
      <c r="N3879" s="70"/>
      <c r="O3879" s="77" t="s">
        <v>179</v>
      </c>
      <c r="P3879" s="79">
        <v>45031.13925925926</v>
      </c>
      <c r="Q3879" s="77" t="s">
        <v>5083</v>
      </c>
      <c r="R3879" s="77">
        <v>0</v>
      </c>
      <c r="S3879" s="77">
        <v>0</v>
      </c>
      <c r="T3879" s="77">
        <v>0</v>
      </c>
      <c r="U3879" s="77">
        <v>0</v>
      </c>
      <c r="V3879" s="77">
        <v>12</v>
      </c>
      <c r="W3879" s="82" t="s">
        <v>5753</v>
      </c>
      <c r="X3879" s="80" t="str">
        <f>HYPERLINK("https://www.xn--visoremota-h5a.com/2023/04/renda-extra-preste-servicos-de-maquiagem.html")</f>
        <v>https://www.xn--visoremota-h5a.com/2023/04/renda-extra-preste-servicos-de-maquiagem.html</v>
      </c>
      <c r="Y3879" s="77" t="s">
        <v>7337</v>
      </c>
      <c r="Z3879" s="77"/>
      <c r="AA3879" s="77"/>
      <c r="AB3879" s="77"/>
      <c r="AC3879" s="82" t="s">
        <v>10146</v>
      </c>
      <c r="AD3879" s="77" t="s">
        <v>10184</v>
      </c>
      <c r="AE3879" s="80" t="str">
        <f>HYPERLINK("https://twitter.com/javiunej/status/1647077418614546432")</f>
        <v>https://twitter.com/javiunej/status/1647077418614546432</v>
      </c>
      <c r="AF3879" s="79">
        <v>45031.13925925926</v>
      </c>
      <c r="AG3879" s="85">
        <v>45031</v>
      </c>
      <c r="AH3879" s="82" t="s">
        <v>13856</v>
      </c>
      <c r="AI3879" s="77" t="b">
        <v>0</v>
      </c>
      <c r="AJ3879" s="77"/>
      <c r="AK3879" s="77"/>
      <c r="AL3879" s="77"/>
      <c r="AM3879" s="77"/>
      <c r="AN3879" s="77"/>
      <c r="AO3879" s="77"/>
      <c r="AP3879" s="77"/>
      <c r="AQ3879" s="77"/>
      <c r="AR3879" s="77"/>
      <c r="AS3879" s="77"/>
      <c r="AT3879" s="77"/>
      <c r="AU3879" s="77"/>
      <c r="AV3879" s="80" t="str">
        <f>HYPERLINK("https://pbs.twimg.com/profile_images/1683992272260550657/GztNsneE_normal.jpg")</f>
        <v>https://pbs.twimg.com/profile_images/1683992272260550657/GztNsneE_normal.jpg</v>
      </c>
      <c r="AW3879" s="82" t="s">
        <v>20643</v>
      </c>
      <c r="AX3879" s="82" t="s">
        <v>20643</v>
      </c>
      <c r="AY3879" s="77"/>
      <c r="AZ3879" s="82" t="s">
        <v>20971</v>
      </c>
      <c r="BA3879" s="82" t="s">
        <v>20971</v>
      </c>
      <c r="BB3879" s="82" t="s">
        <v>20971</v>
      </c>
      <c r="BC3879" s="82" t="s">
        <v>20643</v>
      </c>
      <c r="BD3879" s="82" t="s">
        <v>21744</v>
      </c>
      <c r="BE3879" s="77"/>
      <c r="BF3879" s="77"/>
      <c r="BG3879" s="77"/>
      <c r="BH3879" s="77"/>
      <c r="BI3879" s="77"/>
    </row>
    <row r="3880" spans="1:61" x14ac:dyDescent="0.25">
      <c r="A3880" s="62" t="s">
        <v>1195</v>
      </c>
      <c r="B3880" s="62" t="s">
        <v>1195</v>
      </c>
      <c r="C3880" s="63"/>
      <c r="D3880" s="64"/>
      <c r="E3880" s="65"/>
      <c r="F3880" s="66"/>
      <c r="G3880" s="63"/>
      <c r="H3880" s="67"/>
      <c r="I3880" s="68"/>
      <c r="J3880" s="68"/>
      <c r="K3880" s="32"/>
      <c r="L3880" s="75">
        <v>3880</v>
      </c>
      <c r="M3880" s="75"/>
      <c r="N3880" s="70"/>
      <c r="O3880" s="77" t="s">
        <v>179</v>
      </c>
      <c r="P3880" s="79">
        <v>45031.13858796296</v>
      </c>
      <c r="Q3880" s="77" t="s">
        <v>5084</v>
      </c>
      <c r="R3880" s="77">
        <v>0</v>
      </c>
      <c r="S3880" s="77">
        <v>0</v>
      </c>
      <c r="T3880" s="77">
        <v>0</v>
      </c>
      <c r="U3880" s="77">
        <v>0</v>
      </c>
      <c r="V3880" s="77">
        <v>17</v>
      </c>
      <c r="W3880" s="82" t="s">
        <v>5753</v>
      </c>
      <c r="X3880" s="80" t="str">
        <f>HYPERLINK("https://www.xn--visoremota-h5a.com/2023/04/ganhe-uma-renda-extra-alugue-um-quarto.html")</f>
        <v>https://www.xn--visoremota-h5a.com/2023/04/ganhe-uma-renda-extra-alugue-um-quarto.html</v>
      </c>
      <c r="Y3880" s="77" t="s">
        <v>7337</v>
      </c>
      <c r="Z3880" s="77"/>
      <c r="AA3880" s="77"/>
      <c r="AB3880" s="77"/>
      <c r="AC3880" s="82" t="s">
        <v>10146</v>
      </c>
      <c r="AD3880" s="77" t="s">
        <v>10184</v>
      </c>
      <c r="AE3880" s="80" t="str">
        <f>HYPERLINK("https://twitter.com/javiunej/status/1647077173654700041")</f>
        <v>https://twitter.com/javiunej/status/1647077173654700041</v>
      </c>
      <c r="AF3880" s="79">
        <v>45031.13858796296</v>
      </c>
      <c r="AG3880" s="85">
        <v>45031</v>
      </c>
      <c r="AH3880" s="82" t="s">
        <v>13857</v>
      </c>
      <c r="AI3880" s="77" t="b">
        <v>0</v>
      </c>
      <c r="AJ3880" s="77"/>
      <c r="AK3880" s="77"/>
      <c r="AL3880" s="77"/>
      <c r="AM3880" s="77"/>
      <c r="AN3880" s="77"/>
      <c r="AO3880" s="77"/>
      <c r="AP3880" s="77"/>
      <c r="AQ3880" s="77"/>
      <c r="AR3880" s="77"/>
      <c r="AS3880" s="77"/>
      <c r="AT3880" s="77"/>
      <c r="AU3880" s="77"/>
      <c r="AV3880" s="80" t="str">
        <f>HYPERLINK("https://pbs.twimg.com/profile_images/1683992272260550657/GztNsneE_normal.jpg")</f>
        <v>https://pbs.twimg.com/profile_images/1683992272260550657/GztNsneE_normal.jpg</v>
      </c>
      <c r="AW3880" s="82" t="s">
        <v>20644</v>
      </c>
      <c r="AX3880" s="82" t="s">
        <v>20644</v>
      </c>
      <c r="AY3880" s="77"/>
      <c r="AZ3880" s="82" t="s">
        <v>20971</v>
      </c>
      <c r="BA3880" s="82" t="s">
        <v>20971</v>
      </c>
      <c r="BB3880" s="82" t="s">
        <v>20971</v>
      </c>
      <c r="BC3880" s="82" t="s">
        <v>20644</v>
      </c>
      <c r="BD3880" s="82" t="s">
        <v>21744</v>
      </c>
      <c r="BE3880" s="77"/>
      <c r="BF3880" s="77"/>
      <c r="BG3880" s="77"/>
      <c r="BH3880" s="77"/>
      <c r="BI3880" s="77"/>
    </row>
    <row r="3881" spans="1:61" x14ac:dyDescent="0.25">
      <c r="A3881" s="62" t="s">
        <v>1195</v>
      </c>
      <c r="B3881" s="62" t="s">
        <v>1195</v>
      </c>
      <c r="C3881" s="63"/>
      <c r="D3881" s="64"/>
      <c r="E3881" s="65"/>
      <c r="F3881" s="66"/>
      <c r="G3881" s="63"/>
      <c r="H3881" s="67"/>
      <c r="I3881" s="68"/>
      <c r="J3881" s="68"/>
      <c r="K3881" s="32"/>
      <c r="L3881" s="75">
        <v>3881</v>
      </c>
      <c r="M3881" s="75"/>
      <c r="N3881" s="70"/>
      <c r="O3881" s="77" t="s">
        <v>179</v>
      </c>
      <c r="P3881" s="79">
        <v>45031.137997685182</v>
      </c>
      <c r="Q3881" s="77" t="s">
        <v>5085</v>
      </c>
      <c r="R3881" s="77">
        <v>0</v>
      </c>
      <c r="S3881" s="77">
        <v>0</v>
      </c>
      <c r="T3881" s="77">
        <v>0</v>
      </c>
      <c r="U3881" s="77">
        <v>0</v>
      </c>
      <c r="V3881" s="77">
        <v>17</v>
      </c>
      <c r="W3881" s="82" t="s">
        <v>5753</v>
      </c>
      <c r="X3881" s="80" t="str">
        <f>HYPERLINK("https://www.xn--visoremota-h5a.com/2023/04/como-ganhar-dinheiro-escrevendo-um-e.html")</f>
        <v>https://www.xn--visoremota-h5a.com/2023/04/como-ganhar-dinheiro-escrevendo-um-e.html</v>
      </c>
      <c r="Y3881" s="77" t="s">
        <v>7337</v>
      </c>
      <c r="Z3881" s="77"/>
      <c r="AA3881" s="77"/>
      <c r="AB3881" s="77"/>
      <c r="AC3881" s="82" t="s">
        <v>10146</v>
      </c>
      <c r="AD3881" s="77" t="s">
        <v>10184</v>
      </c>
      <c r="AE3881" s="80" t="str">
        <f>HYPERLINK("https://twitter.com/javiunej/status/1647076960353280000")</f>
        <v>https://twitter.com/javiunej/status/1647076960353280000</v>
      </c>
      <c r="AF3881" s="79">
        <v>45031.137997685182</v>
      </c>
      <c r="AG3881" s="85">
        <v>45031</v>
      </c>
      <c r="AH3881" s="82" t="s">
        <v>13858</v>
      </c>
      <c r="AI3881" s="77" t="b">
        <v>0</v>
      </c>
      <c r="AJ3881" s="77"/>
      <c r="AK3881" s="77"/>
      <c r="AL3881" s="77"/>
      <c r="AM3881" s="77"/>
      <c r="AN3881" s="77"/>
      <c r="AO3881" s="77"/>
      <c r="AP3881" s="77"/>
      <c r="AQ3881" s="77"/>
      <c r="AR3881" s="77"/>
      <c r="AS3881" s="77"/>
      <c r="AT3881" s="77"/>
      <c r="AU3881" s="77"/>
      <c r="AV3881" s="80" t="str">
        <f>HYPERLINK("https://pbs.twimg.com/profile_images/1683992272260550657/GztNsneE_normal.jpg")</f>
        <v>https://pbs.twimg.com/profile_images/1683992272260550657/GztNsneE_normal.jpg</v>
      </c>
      <c r="AW3881" s="82" t="s">
        <v>20645</v>
      </c>
      <c r="AX3881" s="82" t="s">
        <v>20645</v>
      </c>
      <c r="AY3881" s="77"/>
      <c r="AZ3881" s="82" t="s">
        <v>20971</v>
      </c>
      <c r="BA3881" s="82" t="s">
        <v>20971</v>
      </c>
      <c r="BB3881" s="82" t="s">
        <v>20971</v>
      </c>
      <c r="BC3881" s="82" t="s">
        <v>20645</v>
      </c>
      <c r="BD3881" s="82" t="s">
        <v>21744</v>
      </c>
      <c r="BE3881" s="77"/>
      <c r="BF3881" s="77"/>
      <c r="BG3881" s="77"/>
      <c r="BH3881" s="77"/>
      <c r="BI3881" s="77"/>
    </row>
    <row r="3882" spans="1:61" x14ac:dyDescent="0.25">
      <c r="A3882" s="62" t="s">
        <v>1195</v>
      </c>
      <c r="B3882" s="62" t="s">
        <v>1195</v>
      </c>
      <c r="C3882" s="63"/>
      <c r="D3882" s="64"/>
      <c r="E3882" s="65"/>
      <c r="F3882" s="66"/>
      <c r="G3882" s="63"/>
      <c r="H3882" s="67"/>
      <c r="I3882" s="68"/>
      <c r="J3882" s="68"/>
      <c r="K3882" s="32"/>
      <c r="L3882" s="75">
        <v>3882</v>
      </c>
      <c r="M3882" s="75"/>
      <c r="N3882" s="70"/>
      <c r="O3882" s="77" t="s">
        <v>179</v>
      </c>
      <c r="P3882" s="79">
        <v>45031.137696759259</v>
      </c>
      <c r="Q3882" s="77" t="s">
        <v>5086</v>
      </c>
      <c r="R3882" s="77">
        <v>0</v>
      </c>
      <c r="S3882" s="77">
        <v>0</v>
      </c>
      <c r="T3882" s="77">
        <v>0</v>
      </c>
      <c r="U3882" s="77">
        <v>0</v>
      </c>
      <c r="V3882" s="77">
        <v>14</v>
      </c>
      <c r="W3882" s="82" t="s">
        <v>5753</v>
      </c>
      <c r="X3882" s="80" t="str">
        <f>HYPERLINK("https://www.xn--visoremota-h5a.com/2023/04/trabalhar-ensinando-um-outro-idioma-na.html")</f>
        <v>https://www.xn--visoremota-h5a.com/2023/04/trabalhar-ensinando-um-outro-idioma-na.html</v>
      </c>
      <c r="Y3882" s="77" t="s">
        <v>7337</v>
      </c>
      <c r="Z3882" s="77"/>
      <c r="AA3882" s="77"/>
      <c r="AB3882" s="77"/>
      <c r="AC3882" s="82" t="s">
        <v>10146</v>
      </c>
      <c r="AD3882" s="77" t="s">
        <v>10184</v>
      </c>
      <c r="AE3882" s="80" t="str">
        <f>HYPERLINK("https://twitter.com/javiunej/status/1647076854367416321")</f>
        <v>https://twitter.com/javiunej/status/1647076854367416321</v>
      </c>
      <c r="AF3882" s="79">
        <v>45031.137696759259</v>
      </c>
      <c r="AG3882" s="85">
        <v>45031</v>
      </c>
      <c r="AH3882" s="82" t="s">
        <v>13859</v>
      </c>
      <c r="AI3882" s="77" t="b">
        <v>0</v>
      </c>
      <c r="AJ3882" s="77"/>
      <c r="AK3882" s="77"/>
      <c r="AL3882" s="77"/>
      <c r="AM3882" s="77"/>
      <c r="AN3882" s="77"/>
      <c r="AO3882" s="77"/>
      <c r="AP3882" s="77"/>
      <c r="AQ3882" s="77"/>
      <c r="AR3882" s="77"/>
      <c r="AS3882" s="77"/>
      <c r="AT3882" s="77"/>
      <c r="AU3882" s="77"/>
      <c r="AV3882" s="80" t="str">
        <f>HYPERLINK("https://pbs.twimg.com/profile_images/1683992272260550657/GztNsneE_normal.jpg")</f>
        <v>https://pbs.twimg.com/profile_images/1683992272260550657/GztNsneE_normal.jpg</v>
      </c>
      <c r="AW3882" s="82" t="s">
        <v>20646</v>
      </c>
      <c r="AX3882" s="82" t="s">
        <v>20646</v>
      </c>
      <c r="AY3882" s="77"/>
      <c r="AZ3882" s="82" t="s">
        <v>20971</v>
      </c>
      <c r="BA3882" s="82" t="s">
        <v>20971</v>
      </c>
      <c r="BB3882" s="82" t="s">
        <v>20971</v>
      </c>
      <c r="BC3882" s="82" t="s">
        <v>20646</v>
      </c>
      <c r="BD3882" s="82" t="s">
        <v>21744</v>
      </c>
      <c r="BE3882" s="77"/>
      <c r="BF3882" s="77"/>
      <c r="BG3882" s="77"/>
      <c r="BH3882" s="77"/>
      <c r="BI3882" s="77"/>
    </row>
    <row r="3883" spans="1:61" x14ac:dyDescent="0.25">
      <c r="A3883" s="62" t="s">
        <v>1195</v>
      </c>
      <c r="B3883" s="62" t="s">
        <v>1195</v>
      </c>
      <c r="C3883" s="63"/>
      <c r="D3883" s="64"/>
      <c r="E3883" s="65"/>
      <c r="F3883" s="66"/>
      <c r="G3883" s="63"/>
      <c r="H3883" s="67"/>
      <c r="I3883" s="68"/>
      <c r="J3883" s="68"/>
      <c r="K3883" s="32"/>
      <c r="L3883" s="75">
        <v>3883</v>
      </c>
      <c r="M3883" s="75"/>
      <c r="N3883" s="70"/>
      <c r="O3883" s="77" t="s">
        <v>179</v>
      </c>
      <c r="P3883" s="79">
        <v>45031.137326388889</v>
      </c>
      <c r="Q3883" s="77" t="s">
        <v>5087</v>
      </c>
      <c r="R3883" s="77">
        <v>0</v>
      </c>
      <c r="S3883" s="77">
        <v>0</v>
      </c>
      <c r="T3883" s="77">
        <v>0</v>
      </c>
      <c r="U3883" s="77">
        <v>0</v>
      </c>
      <c r="V3883" s="77">
        <v>15</v>
      </c>
      <c r="W3883" s="82" t="s">
        <v>5753</v>
      </c>
      <c r="X3883" s="80" t="str">
        <f>HYPERLINK("https://www.xn--visoremota-h5a.com/2023/04/como-ganhar-dinheiro-gerenciando-rendes.html")</f>
        <v>https://www.xn--visoremota-h5a.com/2023/04/como-ganhar-dinheiro-gerenciando-rendes.html</v>
      </c>
      <c r="Y3883" s="77" t="s">
        <v>7337</v>
      </c>
      <c r="Z3883" s="77"/>
      <c r="AA3883" s="77"/>
      <c r="AB3883" s="77"/>
      <c r="AC3883" s="82" t="s">
        <v>10146</v>
      </c>
      <c r="AD3883" s="77" t="s">
        <v>10184</v>
      </c>
      <c r="AE3883" s="80" t="str">
        <f>HYPERLINK("https://twitter.com/javiunej/status/1647076720028143616")</f>
        <v>https://twitter.com/javiunej/status/1647076720028143616</v>
      </c>
      <c r="AF3883" s="79">
        <v>45031.137326388889</v>
      </c>
      <c r="AG3883" s="85">
        <v>45031</v>
      </c>
      <c r="AH3883" s="82" t="s">
        <v>13860</v>
      </c>
      <c r="AI3883" s="77" t="b">
        <v>0</v>
      </c>
      <c r="AJ3883" s="77"/>
      <c r="AK3883" s="77"/>
      <c r="AL3883" s="77"/>
      <c r="AM3883" s="77"/>
      <c r="AN3883" s="77"/>
      <c r="AO3883" s="77"/>
      <c r="AP3883" s="77"/>
      <c r="AQ3883" s="77"/>
      <c r="AR3883" s="77"/>
      <c r="AS3883" s="77"/>
      <c r="AT3883" s="77"/>
      <c r="AU3883" s="77"/>
      <c r="AV3883" s="80" t="str">
        <f>HYPERLINK("https://pbs.twimg.com/profile_images/1683992272260550657/GztNsneE_normal.jpg")</f>
        <v>https://pbs.twimg.com/profile_images/1683992272260550657/GztNsneE_normal.jpg</v>
      </c>
      <c r="AW3883" s="82" t="s">
        <v>20647</v>
      </c>
      <c r="AX3883" s="82" t="s">
        <v>20647</v>
      </c>
      <c r="AY3883" s="77"/>
      <c r="AZ3883" s="82" t="s">
        <v>20971</v>
      </c>
      <c r="BA3883" s="82" t="s">
        <v>20971</v>
      </c>
      <c r="BB3883" s="82" t="s">
        <v>20971</v>
      </c>
      <c r="BC3883" s="82" t="s">
        <v>20647</v>
      </c>
      <c r="BD3883" s="82" t="s">
        <v>21744</v>
      </c>
      <c r="BE3883" s="77"/>
      <c r="BF3883" s="77"/>
      <c r="BG3883" s="77"/>
      <c r="BH3883" s="77"/>
      <c r="BI3883" s="77"/>
    </row>
    <row r="3884" spans="1:61" x14ac:dyDescent="0.25">
      <c r="A3884" s="62" t="s">
        <v>1195</v>
      </c>
      <c r="B3884" s="62" t="s">
        <v>1195</v>
      </c>
      <c r="C3884" s="63"/>
      <c r="D3884" s="64"/>
      <c r="E3884" s="65"/>
      <c r="F3884" s="66"/>
      <c r="G3884" s="63"/>
      <c r="H3884" s="67"/>
      <c r="I3884" s="68"/>
      <c r="J3884" s="68"/>
      <c r="K3884" s="32"/>
      <c r="L3884" s="75">
        <v>3884</v>
      </c>
      <c r="M3884" s="75"/>
      <c r="N3884" s="70"/>
      <c r="O3884" s="77" t="s">
        <v>179</v>
      </c>
      <c r="P3884" s="79">
        <v>45031.13690972222</v>
      </c>
      <c r="Q3884" s="77" t="s">
        <v>5088</v>
      </c>
      <c r="R3884" s="77">
        <v>0</v>
      </c>
      <c r="S3884" s="77">
        <v>0</v>
      </c>
      <c r="T3884" s="77">
        <v>0</v>
      </c>
      <c r="U3884" s="77">
        <v>0</v>
      </c>
      <c r="V3884" s="77">
        <v>62</v>
      </c>
      <c r="W3884" s="82" t="s">
        <v>5753</v>
      </c>
      <c r="X3884" s="80" t="str">
        <f>HYPERLINK("https://www.xn--visoremota-h5a.com/2023/04/como-ganhar-dinheiro-sendo-tradutor.html")</f>
        <v>https://www.xn--visoremota-h5a.com/2023/04/como-ganhar-dinheiro-sendo-tradutor.html</v>
      </c>
      <c r="Y3884" s="77" t="s">
        <v>7337</v>
      </c>
      <c r="Z3884" s="77"/>
      <c r="AA3884" s="77"/>
      <c r="AB3884" s="77"/>
      <c r="AC3884" s="82" t="s">
        <v>10146</v>
      </c>
      <c r="AD3884" s="77" t="s">
        <v>10184</v>
      </c>
      <c r="AE3884" s="80" t="str">
        <f>HYPERLINK("https://twitter.com/javiunej/status/1647076565774114816")</f>
        <v>https://twitter.com/javiunej/status/1647076565774114816</v>
      </c>
      <c r="AF3884" s="79">
        <v>45031.13690972222</v>
      </c>
      <c r="AG3884" s="85">
        <v>45031</v>
      </c>
      <c r="AH3884" s="82" t="s">
        <v>13861</v>
      </c>
      <c r="AI3884" s="77" t="b">
        <v>0</v>
      </c>
      <c r="AJ3884" s="77"/>
      <c r="AK3884" s="77"/>
      <c r="AL3884" s="77"/>
      <c r="AM3884" s="77"/>
      <c r="AN3884" s="77"/>
      <c r="AO3884" s="77"/>
      <c r="AP3884" s="77"/>
      <c r="AQ3884" s="77"/>
      <c r="AR3884" s="77"/>
      <c r="AS3884" s="77"/>
      <c r="AT3884" s="77"/>
      <c r="AU3884" s="77"/>
      <c r="AV3884" s="80" t="str">
        <f>HYPERLINK("https://pbs.twimg.com/profile_images/1683992272260550657/GztNsneE_normal.jpg")</f>
        <v>https://pbs.twimg.com/profile_images/1683992272260550657/GztNsneE_normal.jpg</v>
      </c>
      <c r="AW3884" s="82" t="s">
        <v>20648</v>
      </c>
      <c r="AX3884" s="82" t="s">
        <v>20648</v>
      </c>
      <c r="AY3884" s="77"/>
      <c r="AZ3884" s="82" t="s">
        <v>20971</v>
      </c>
      <c r="BA3884" s="82" t="s">
        <v>20971</v>
      </c>
      <c r="BB3884" s="82" t="s">
        <v>20971</v>
      </c>
      <c r="BC3884" s="82" t="s">
        <v>20648</v>
      </c>
      <c r="BD3884" s="82" t="s">
        <v>21744</v>
      </c>
      <c r="BE3884" s="77"/>
      <c r="BF3884" s="77"/>
      <c r="BG3884" s="77"/>
      <c r="BH3884" s="77"/>
      <c r="BI3884" s="77"/>
    </row>
    <row r="3885" spans="1:61" x14ac:dyDescent="0.25">
      <c r="A3885" s="62" t="s">
        <v>1195</v>
      </c>
      <c r="B3885" s="62" t="s">
        <v>1195</v>
      </c>
      <c r="C3885" s="63"/>
      <c r="D3885" s="64"/>
      <c r="E3885" s="65"/>
      <c r="F3885" s="66"/>
      <c r="G3885" s="63"/>
      <c r="H3885" s="67"/>
      <c r="I3885" s="68"/>
      <c r="J3885" s="68"/>
      <c r="K3885" s="32"/>
      <c r="L3885" s="75">
        <v>3885</v>
      </c>
      <c r="M3885" s="75"/>
      <c r="N3885" s="70"/>
      <c r="O3885" s="77" t="s">
        <v>179</v>
      </c>
      <c r="P3885" s="79">
        <v>45031.13653935185</v>
      </c>
      <c r="Q3885" s="77" t="s">
        <v>5089</v>
      </c>
      <c r="R3885" s="77">
        <v>0</v>
      </c>
      <c r="S3885" s="77">
        <v>0</v>
      </c>
      <c r="T3885" s="77">
        <v>0</v>
      </c>
      <c r="U3885" s="77">
        <v>0</v>
      </c>
      <c r="V3885" s="77">
        <v>16</v>
      </c>
      <c r="W3885" s="82" t="s">
        <v>5753</v>
      </c>
      <c r="X3885" s="80" t="str">
        <f>HYPERLINK("https://www.xn--visoremota-h5a.com/2023/04/como-ganhar-dinheiro-fazendo.html")</f>
        <v>https://www.xn--visoremota-h5a.com/2023/04/como-ganhar-dinheiro-fazendo.html</v>
      </c>
      <c r="Y3885" s="77" t="s">
        <v>7337</v>
      </c>
      <c r="Z3885" s="77"/>
      <c r="AA3885" s="77"/>
      <c r="AB3885" s="77"/>
      <c r="AC3885" s="82" t="s">
        <v>10146</v>
      </c>
      <c r="AD3885" s="77" t="s">
        <v>10184</v>
      </c>
      <c r="AE3885" s="80" t="str">
        <f>HYPERLINK("https://twitter.com/javiunej/status/1647076433934667777")</f>
        <v>https://twitter.com/javiunej/status/1647076433934667777</v>
      </c>
      <c r="AF3885" s="79">
        <v>45031.13653935185</v>
      </c>
      <c r="AG3885" s="85">
        <v>45031</v>
      </c>
      <c r="AH3885" s="82" t="s">
        <v>13862</v>
      </c>
      <c r="AI3885" s="77" t="b">
        <v>0</v>
      </c>
      <c r="AJ3885" s="77"/>
      <c r="AK3885" s="77"/>
      <c r="AL3885" s="77"/>
      <c r="AM3885" s="77"/>
      <c r="AN3885" s="77"/>
      <c r="AO3885" s="77"/>
      <c r="AP3885" s="77"/>
      <c r="AQ3885" s="77"/>
      <c r="AR3885" s="77"/>
      <c r="AS3885" s="77"/>
      <c r="AT3885" s="77"/>
      <c r="AU3885" s="77"/>
      <c r="AV3885" s="80" t="str">
        <f>HYPERLINK("https://pbs.twimg.com/profile_images/1683992272260550657/GztNsneE_normal.jpg")</f>
        <v>https://pbs.twimg.com/profile_images/1683992272260550657/GztNsneE_normal.jpg</v>
      </c>
      <c r="AW3885" s="82" t="s">
        <v>20649</v>
      </c>
      <c r="AX3885" s="82" t="s">
        <v>20649</v>
      </c>
      <c r="AY3885" s="77"/>
      <c r="AZ3885" s="82" t="s">
        <v>20971</v>
      </c>
      <c r="BA3885" s="82" t="s">
        <v>20971</v>
      </c>
      <c r="BB3885" s="82" t="s">
        <v>20971</v>
      </c>
      <c r="BC3885" s="82" t="s">
        <v>20649</v>
      </c>
      <c r="BD3885" s="82" t="s">
        <v>21744</v>
      </c>
      <c r="BE3885" s="77"/>
      <c r="BF3885" s="77"/>
      <c r="BG3885" s="77"/>
      <c r="BH3885" s="77"/>
      <c r="BI3885" s="77"/>
    </row>
    <row r="3886" spans="1:61" x14ac:dyDescent="0.25">
      <c r="A3886" s="62" t="s">
        <v>1195</v>
      </c>
      <c r="B3886" s="62" t="s">
        <v>1195</v>
      </c>
      <c r="C3886" s="63"/>
      <c r="D3886" s="64"/>
      <c r="E3886" s="65"/>
      <c r="F3886" s="66"/>
      <c r="G3886" s="63"/>
      <c r="H3886" s="67"/>
      <c r="I3886" s="68"/>
      <c r="J3886" s="68"/>
      <c r="K3886" s="32"/>
      <c r="L3886" s="75">
        <v>3886</v>
      </c>
      <c r="M3886" s="75"/>
      <c r="N3886" s="70"/>
      <c r="O3886" s="77" t="s">
        <v>179</v>
      </c>
      <c r="P3886" s="79">
        <v>45031.136064814818</v>
      </c>
      <c r="Q3886" s="77" t="s">
        <v>5090</v>
      </c>
      <c r="R3886" s="77">
        <v>0</v>
      </c>
      <c r="S3886" s="77">
        <v>0</v>
      </c>
      <c r="T3886" s="77">
        <v>0</v>
      </c>
      <c r="U3886" s="77">
        <v>0</v>
      </c>
      <c r="V3886" s="77">
        <v>13</v>
      </c>
      <c r="W3886" s="82" t="s">
        <v>5753</v>
      </c>
      <c r="X3886" s="80" t="str">
        <f>HYPERLINK("https://www.xn--visoremota-h5a.com/2023/04/ganhe-dinheiro-cuidando-dos-dogs.html")</f>
        <v>https://www.xn--visoremota-h5a.com/2023/04/ganhe-dinheiro-cuidando-dos-dogs.html</v>
      </c>
      <c r="Y3886" s="77" t="s">
        <v>7337</v>
      </c>
      <c r="Z3886" s="77"/>
      <c r="AA3886" s="77"/>
      <c r="AB3886" s="77"/>
      <c r="AC3886" s="82" t="s">
        <v>10146</v>
      </c>
      <c r="AD3886" s="77" t="s">
        <v>10184</v>
      </c>
      <c r="AE3886" s="80" t="str">
        <f>HYPERLINK("https://twitter.com/javiunej/status/1647076260797992962")</f>
        <v>https://twitter.com/javiunej/status/1647076260797992962</v>
      </c>
      <c r="AF3886" s="79">
        <v>45031.136064814818</v>
      </c>
      <c r="AG3886" s="85">
        <v>45031</v>
      </c>
      <c r="AH3886" s="82" t="s">
        <v>13863</v>
      </c>
      <c r="AI3886" s="77" t="b">
        <v>0</v>
      </c>
      <c r="AJ3886" s="77"/>
      <c r="AK3886" s="77"/>
      <c r="AL3886" s="77"/>
      <c r="AM3886" s="77"/>
      <c r="AN3886" s="77"/>
      <c r="AO3886" s="77"/>
      <c r="AP3886" s="77"/>
      <c r="AQ3886" s="77"/>
      <c r="AR3886" s="77"/>
      <c r="AS3886" s="77"/>
      <c r="AT3886" s="77"/>
      <c r="AU3886" s="77"/>
      <c r="AV3886" s="80" t="str">
        <f>HYPERLINK("https://pbs.twimg.com/profile_images/1683992272260550657/GztNsneE_normal.jpg")</f>
        <v>https://pbs.twimg.com/profile_images/1683992272260550657/GztNsneE_normal.jpg</v>
      </c>
      <c r="AW3886" s="82" t="s">
        <v>20650</v>
      </c>
      <c r="AX3886" s="82" t="s">
        <v>20650</v>
      </c>
      <c r="AY3886" s="77"/>
      <c r="AZ3886" s="82" t="s">
        <v>20971</v>
      </c>
      <c r="BA3886" s="82" t="s">
        <v>20971</v>
      </c>
      <c r="BB3886" s="82" t="s">
        <v>20971</v>
      </c>
      <c r="BC3886" s="82" t="s">
        <v>20650</v>
      </c>
      <c r="BD3886" s="82" t="s">
        <v>21744</v>
      </c>
      <c r="BE3886" s="77"/>
      <c r="BF3886" s="77"/>
      <c r="BG3886" s="77"/>
      <c r="BH3886" s="77"/>
      <c r="BI3886" s="77"/>
    </row>
    <row r="3887" spans="1:61" x14ac:dyDescent="0.25">
      <c r="A3887" s="62" t="s">
        <v>1195</v>
      </c>
      <c r="B3887" s="62" t="s">
        <v>1195</v>
      </c>
      <c r="C3887" s="63"/>
      <c r="D3887" s="64"/>
      <c r="E3887" s="65"/>
      <c r="F3887" s="66"/>
      <c r="G3887" s="63"/>
      <c r="H3887" s="67"/>
      <c r="I3887" s="68"/>
      <c r="J3887" s="68"/>
      <c r="K3887" s="32"/>
      <c r="L3887" s="75">
        <v>3887</v>
      </c>
      <c r="M3887" s="75"/>
      <c r="N3887" s="70"/>
      <c r="O3887" s="77" t="s">
        <v>179</v>
      </c>
      <c r="P3887" s="79">
        <v>45031.134884259256</v>
      </c>
      <c r="Q3887" s="77" t="s">
        <v>5091</v>
      </c>
      <c r="R3887" s="77">
        <v>0</v>
      </c>
      <c r="S3887" s="77">
        <v>0</v>
      </c>
      <c r="T3887" s="77">
        <v>0</v>
      </c>
      <c r="U3887" s="77">
        <v>0</v>
      </c>
      <c r="V3887" s="77">
        <v>20</v>
      </c>
      <c r="W3887" s="82" t="s">
        <v>5753</v>
      </c>
      <c r="X3887" s="80" t="str">
        <f>HYPERLINK("https://www.xn--visoremota-h5a.com/2023/04/como-ser-motorista-de-aplicativo.html")</f>
        <v>https://www.xn--visoremota-h5a.com/2023/04/como-ser-motorista-de-aplicativo.html</v>
      </c>
      <c r="Y3887" s="77" t="s">
        <v>7337</v>
      </c>
      <c r="Z3887" s="77"/>
      <c r="AA3887" s="77"/>
      <c r="AB3887" s="77"/>
      <c r="AC3887" s="82" t="s">
        <v>10146</v>
      </c>
      <c r="AD3887" s="77" t="s">
        <v>10187</v>
      </c>
      <c r="AE3887" s="80" t="str">
        <f>HYPERLINK("https://twitter.com/javiunej/status/1647075832077099010")</f>
        <v>https://twitter.com/javiunej/status/1647075832077099010</v>
      </c>
      <c r="AF3887" s="79">
        <v>45031.134884259256</v>
      </c>
      <c r="AG3887" s="85">
        <v>45031</v>
      </c>
      <c r="AH3887" s="82" t="s">
        <v>13864</v>
      </c>
      <c r="AI3887" s="77" t="b">
        <v>0</v>
      </c>
      <c r="AJ3887" s="77"/>
      <c r="AK3887" s="77"/>
      <c r="AL3887" s="77"/>
      <c r="AM3887" s="77"/>
      <c r="AN3887" s="77"/>
      <c r="AO3887" s="77"/>
      <c r="AP3887" s="77"/>
      <c r="AQ3887" s="77"/>
      <c r="AR3887" s="77"/>
      <c r="AS3887" s="77"/>
      <c r="AT3887" s="77"/>
      <c r="AU3887" s="77"/>
      <c r="AV3887" s="80" t="str">
        <f>HYPERLINK("https://pbs.twimg.com/profile_images/1683992272260550657/GztNsneE_normal.jpg")</f>
        <v>https://pbs.twimg.com/profile_images/1683992272260550657/GztNsneE_normal.jpg</v>
      </c>
      <c r="AW3887" s="82" t="s">
        <v>20651</v>
      </c>
      <c r="AX3887" s="82" t="s">
        <v>20651</v>
      </c>
      <c r="AY3887" s="77"/>
      <c r="AZ3887" s="82" t="s">
        <v>20971</v>
      </c>
      <c r="BA3887" s="82" t="s">
        <v>20971</v>
      </c>
      <c r="BB3887" s="82" t="s">
        <v>20971</v>
      </c>
      <c r="BC3887" s="82" t="s">
        <v>20651</v>
      </c>
      <c r="BD3887" s="82" t="s">
        <v>21744</v>
      </c>
      <c r="BE3887" s="77"/>
      <c r="BF3887" s="77"/>
      <c r="BG3887" s="77"/>
      <c r="BH3887" s="77"/>
      <c r="BI3887" s="77"/>
    </row>
    <row r="3888" spans="1:61" x14ac:dyDescent="0.25">
      <c r="A3888" s="62" t="s">
        <v>1196</v>
      </c>
      <c r="B3888" s="62" t="s">
        <v>1196</v>
      </c>
      <c r="C3888" s="63"/>
      <c r="D3888" s="64"/>
      <c r="E3888" s="65"/>
      <c r="F3888" s="66"/>
      <c r="G3888" s="63"/>
      <c r="H3888" s="67"/>
      <c r="I3888" s="68"/>
      <c r="J3888" s="68"/>
      <c r="K3888" s="32"/>
      <c r="L3888" s="75">
        <v>3888</v>
      </c>
      <c r="M3888" s="75"/>
      <c r="N3888" s="70"/>
      <c r="O3888" s="77" t="s">
        <v>1284</v>
      </c>
      <c r="P3888" s="79">
        <v>45028.937777777777</v>
      </c>
      <c r="Q3888" s="77" t="s">
        <v>5092</v>
      </c>
      <c r="R3888" s="77">
        <v>0</v>
      </c>
      <c r="S3888" s="77">
        <v>0</v>
      </c>
      <c r="T3888" s="77">
        <v>1</v>
      </c>
      <c r="U3888" s="77">
        <v>0</v>
      </c>
      <c r="V3888" s="77">
        <v>74</v>
      </c>
      <c r="W3888" s="82" t="s">
        <v>7080</v>
      </c>
      <c r="X3888" s="77"/>
      <c r="Y3888" s="77"/>
      <c r="Z3888" s="77"/>
      <c r="AA3888" s="77" t="s">
        <v>10018</v>
      </c>
      <c r="AB3888" s="77" t="s">
        <v>10130</v>
      </c>
      <c r="AC3888" s="82" t="s">
        <v>10145</v>
      </c>
      <c r="AD3888" s="77" t="s">
        <v>10184</v>
      </c>
      <c r="AE3888" s="80" t="str">
        <f>HYPERLINK("https://twitter.com/rafael__costa__/status/1646279626652524546")</f>
        <v>https://twitter.com/rafael__costa__/status/1646279626652524546</v>
      </c>
      <c r="AF3888" s="79">
        <v>45028.937777777777</v>
      </c>
      <c r="AG3888" s="85">
        <v>45028</v>
      </c>
      <c r="AH3888" s="82" t="s">
        <v>13865</v>
      </c>
      <c r="AI3888" s="77" t="b">
        <v>0</v>
      </c>
      <c r="AJ3888" s="77"/>
      <c r="AK3888" s="77"/>
      <c r="AL3888" s="77"/>
      <c r="AM3888" s="77"/>
      <c r="AN3888" s="77"/>
      <c r="AO3888" s="77"/>
      <c r="AP3888" s="77"/>
      <c r="AQ3888" s="77" t="s">
        <v>16661</v>
      </c>
      <c r="AR3888" s="77"/>
      <c r="AS3888" s="77"/>
      <c r="AT3888" s="77"/>
      <c r="AU3888" s="77"/>
      <c r="AV3888" s="80" t="str">
        <f>HYPERLINK("https://pbs.twimg.com/media/FtjCl_UXoAEMgcF.jpg")</f>
        <v>https://pbs.twimg.com/media/FtjCl_UXoAEMgcF.jpg</v>
      </c>
      <c r="AW3888" s="82" t="s">
        <v>20652</v>
      </c>
      <c r="AX3888" s="82" t="s">
        <v>20891</v>
      </c>
      <c r="AY3888" s="82" t="s">
        <v>20969</v>
      </c>
      <c r="AZ3888" s="82" t="s">
        <v>21004</v>
      </c>
      <c r="BA3888" s="82" t="s">
        <v>20971</v>
      </c>
      <c r="BB3888" s="82" t="s">
        <v>20971</v>
      </c>
      <c r="BC3888" s="82" t="s">
        <v>21004</v>
      </c>
      <c r="BD3888" s="82" t="s">
        <v>20969</v>
      </c>
      <c r="BE3888" s="77"/>
      <c r="BF3888" s="77"/>
      <c r="BG3888" s="77"/>
      <c r="BH3888" s="77"/>
      <c r="BI3888" s="77"/>
    </row>
    <row r="3889" spans="1:61" x14ac:dyDescent="0.25">
      <c r="A3889" s="62" t="s">
        <v>1196</v>
      </c>
      <c r="B3889" s="62" t="s">
        <v>1196</v>
      </c>
      <c r="C3889" s="63"/>
      <c r="D3889" s="64"/>
      <c r="E3889" s="65"/>
      <c r="F3889" s="66"/>
      <c r="G3889" s="63"/>
      <c r="H3889" s="67"/>
      <c r="I3889" s="68"/>
      <c r="J3889" s="68"/>
      <c r="K3889" s="32"/>
      <c r="L3889" s="75">
        <v>3889</v>
      </c>
      <c r="M3889" s="75"/>
      <c r="N3889" s="70"/>
      <c r="O3889" s="77" t="s">
        <v>1284</v>
      </c>
      <c r="P3889" s="79">
        <v>45002.523159722223</v>
      </c>
      <c r="Q3889" s="77" t="s">
        <v>5093</v>
      </c>
      <c r="R3889" s="77">
        <v>0</v>
      </c>
      <c r="S3889" s="77">
        <v>0</v>
      </c>
      <c r="T3889" s="77">
        <v>1</v>
      </c>
      <c r="U3889" s="77">
        <v>0</v>
      </c>
      <c r="V3889" s="77">
        <v>81</v>
      </c>
      <c r="W3889" s="82" t="s">
        <v>7081</v>
      </c>
      <c r="X3889" s="77"/>
      <c r="Y3889" s="77"/>
      <c r="Z3889" s="77"/>
      <c r="AA3889" s="77" t="s">
        <v>10019</v>
      </c>
      <c r="AB3889" s="77" t="s">
        <v>10130</v>
      </c>
      <c r="AC3889" s="82" t="s">
        <v>10145</v>
      </c>
      <c r="AD3889" s="77" t="s">
        <v>10184</v>
      </c>
      <c r="AE3889" s="80" t="str">
        <f>HYPERLINK("https://twitter.com/rafael__costa__/status/1636707292925112322")</f>
        <v>https://twitter.com/rafael__costa__/status/1636707292925112322</v>
      </c>
      <c r="AF3889" s="79">
        <v>45002.523159722223</v>
      </c>
      <c r="AG3889" s="85">
        <v>45002</v>
      </c>
      <c r="AH3889" s="82" t="s">
        <v>13866</v>
      </c>
      <c r="AI3889" s="77" t="b">
        <v>0</v>
      </c>
      <c r="AJ3889" s="77"/>
      <c r="AK3889" s="77"/>
      <c r="AL3889" s="77"/>
      <c r="AM3889" s="77"/>
      <c r="AN3889" s="77"/>
      <c r="AO3889" s="77"/>
      <c r="AP3889" s="77"/>
      <c r="AQ3889" s="77" t="s">
        <v>16662</v>
      </c>
      <c r="AR3889" s="77"/>
      <c r="AS3889" s="77"/>
      <c r="AT3889" s="77"/>
      <c r="AU3889" s="77"/>
      <c r="AV3889" s="80" t="str">
        <f>HYPERLINK("https://pbs.twimg.com/media/FrbAm0GXgAA74eR.jpg")</f>
        <v>https://pbs.twimg.com/media/FrbAm0GXgAA74eR.jpg</v>
      </c>
      <c r="AW3889" s="82" t="s">
        <v>20653</v>
      </c>
      <c r="AX3889" s="82" t="s">
        <v>20892</v>
      </c>
      <c r="AY3889" s="82" t="s">
        <v>20969</v>
      </c>
      <c r="AZ3889" s="82" t="s">
        <v>21005</v>
      </c>
      <c r="BA3889" s="82" t="s">
        <v>20971</v>
      </c>
      <c r="BB3889" s="82" t="s">
        <v>20971</v>
      </c>
      <c r="BC3889" s="82" t="s">
        <v>21005</v>
      </c>
      <c r="BD3889" s="82" t="s">
        <v>20969</v>
      </c>
      <c r="BE3889" s="77"/>
      <c r="BF3889" s="77"/>
      <c r="BG3889" s="77"/>
      <c r="BH3889" s="77"/>
      <c r="BI3889" s="77"/>
    </row>
    <row r="3890" spans="1:61" x14ac:dyDescent="0.25">
      <c r="A3890" s="62" t="s">
        <v>1196</v>
      </c>
      <c r="B3890" s="62" t="s">
        <v>1196</v>
      </c>
      <c r="C3890" s="63"/>
      <c r="D3890" s="64"/>
      <c r="E3890" s="65"/>
      <c r="F3890" s="66"/>
      <c r="G3890" s="63"/>
      <c r="H3890" s="67"/>
      <c r="I3890" s="68"/>
      <c r="J3890" s="68"/>
      <c r="K3890" s="32"/>
      <c r="L3890" s="75">
        <v>3890</v>
      </c>
      <c r="M3890" s="75"/>
      <c r="N3890" s="70"/>
      <c r="O3890" s="77" t="s">
        <v>1284</v>
      </c>
      <c r="P3890" s="79">
        <v>45020.918854166666</v>
      </c>
      <c r="Q3890" s="77" t="s">
        <v>5094</v>
      </c>
      <c r="R3890" s="77">
        <v>0</v>
      </c>
      <c r="S3890" s="77">
        <v>0</v>
      </c>
      <c r="T3890" s="77">
        <v>1</v>
      </c>
      <c r="U3890" s="77">
        <v>0</v>
      </c>
      <c r="V3890" s="77">
        <v>73</v>
      </c>
      <c r="W3890" s="82" t="s">
        <v>7082</v>
      </c>
      <c r="X3890" s="77"/>
      <c r="Y3890" s="77"/>
      <c r="Z3890" s="77"/>
      <c r="AA3890" s="77" t="s">
        <v>10020</v>
      </c>
      <c r="AB3890" s="77" t="s">
        <v>10130</v>
      </c>
      <c r="AC3890" s="82" t="s">
        <v>10145</v>
      </c>
      <c r="AD3890" s="77" t="s">
        <v>10184</v>
      </c>
      <c r="AE3890" s="80" t="str">
        <f>HYPERLINK("https://twitter.com/rafael__costa__/status/1643373666007121922")</f>
        <v>https://twitter.com/rafael__costa__/status/1643373666007121922</v>
      </c>
      <c r="AF3890" s="79">
        <v>45020.918854166666</v>
      </c>
      <c r="AG3890" s="85">
        <v>45020</v>
      </c>
      <c r="AH3890" s="82" t="s">
        <v>13867</v>
      </c>
      <c r="AI3890" s="77" t="b">
        <v>0</v>
      </c>
      <c r="AJ3890" s="77"/>
      <c r="AK3890" s="77"/>
      <c r="AL3890" s="77"/>
      <c r="AM3890" s="77"/>
      <c r="AN3890" s="77"/>
      <c r="AO3890" s="77"/>
      <c r="AP3890" s="77"/>
      <c r="AQ3890" s="77" t="s">
        <v>16663</v>
      </c>
      <c r="AR3890" s="77"/>
      <c r="AS3890" s="77"/>
      <c r="AT3890" s="77"/>
      <c r="AU3890" s="77"/>
      <c r="AV3890" s="80" t="str">
        <f>HYPERLINK("https://pbs.twimg.com/media/Fs5vo2kXsAUjiBC.jpg")</f>
        <v>https://pbs.twimg.com/media/Fs5vo2kXsAUjiBC.jpg</v>
      </c>
      <c r="AW3890" s="82" t="s">
        <v>20654</v>
      </c>
      <c r="AX3890" s="82" t="s">
        <v>20893</v>
      </c>
      <c r="AY3890" s="82" t="s">
        <v>20969</v>
      </c>
      <c r="AZ3890" s="82" t="s">
        <v>21006</v>
      </c>
      <c r="BA3890" s="82" t="s">
        <v>20971</v>
      </c>
      <c r="BB3890" s="82" t="s">
        <v>20971</v>
      </c>
      <c r="BC3890" s="82" t="s">
        <v>21006</v>
      </c>
      <c r="BD3890" s="82" t="s">
        <v>20969</v>
      </c>
      <c r="BE3890" s="77"/>
      <c r="BF3890" s="77"/>
      <c r="BG3890" s="77"/>
      <c r="BH3890" s="77"/>
      <c r="BI3890" s="77"/>
    </row>
    <row r="3891" spans="1:61" x14ac:dyDescent="0.25">
      <c r="A3891" s="62" t="s">
        <v>1196</v>
      </c>
      <c r="B3891" s="62" t="s">
        <v>1196</v>
      </c>
      <c r="C3891" s="63"/>
      <c r="D3891" s="64"/>
      <c r="E3891" s="65"/>
      <c r="F3891" s="66"/>
      <c r="G3891" s="63"/>
      <c r="H3891" s="67"/>
      <c r="I3891" s="68"/>
      <c r="J3891" s="68"/>
      <c r="K3891" s="32"/>
      <c r="L3891" s="75">
        <v>3891</v>
      </c>
      <c r="M3891" s="75"/>
      <c r="N3891" s="70"/>
      <c r="O3891" s="77" t="s">
        <v>179</v>
      </c>
      <c r="P3891" s="79">
        <v>45037.615474537037</v>
      </c>
      <c r="Q3891" s="77" t="s">
        <v>5095</v>
      </c>
      <c r="R3891" s="77">
        <v>0</v>
      </c>
      <c r="S3891" s="77">
        <v>0</v>
      </c>
      <c r="T3891" s="77">
        <v>1</v>
      </c>
      <c r="U3891" s="77">
        <v>0</v>
      </c>
      <c r="V3891" s="77">
        <v>59</v>
      </c>
      <c r="W3891" s="82" t="s">
        <v>7083</v>
      </c>
      <c r="X3891" s="77"/>
      <c r="Y3891" s="77"/>
      <c r="Z3891" s="77"/>
      <c r="AA3891" s="77" t="s">
        <v>10021</v>
      </c>
      <c r="AB3891" s="77" t="s">
        <v>10130</v>
      </c>
      <c r="AC3891" s="82" t="s">
        <v>10145</v>
      </c>
      <c r="AD3891" s="77" t="s">
        <v>10184</v>
      </c>
      <c r="AE3891" s="80" t="str">
        <f>HYPERLINK("https://twitter.com/rafael__costa__/status/1649424319867412484")</f>
        <v>https://twitter.com/rafael__costa__/status/1649424319867412484</v>
      </c>
      <c r="AF3891" s="79">
        <v>45037.615474537037</v>
      </c>
      <c r="AG3891" s="85">
        <v>45037</v>
      </c>
      <c r="AH3891" s="82" t="s">
        <v>13868</v>
      </c>
      <c r="AI3891" s="77" t="b">
        <v>0</v>
      </c>
      <c r="AJ3891" s="77"/>
      <c r="AK3891" s="77"/>
      <c r="AL3891" s="77"/>
      <c r="AM3891" s="77"/>
      <c r="AN3891" s="77"/>
      <c r="AO3891" s="77"/>
      <c r="AP3891" s="77"/>
      <c r="AQ3891" s="77" t="s">
        <v>16664</v>
      </c>
      <c r="AR3891" s="77"/>
      <c r="AS3891" s="77"/>
      <c r="AT3891" s="77"/>
      <c r="AU3891" s="77"/>
      <c r="AV3891" s="80" t="str">
        <f>HYPERLINK("https://pbs.twimg.com/media/FuPumC1WYAEsaLJ.jpg")</f>
        <v>https://pbs.twimg.com/media/FuPumC1WYAEsaLJ.jpg</v>
      </c>
      <c r="AW3891" s="82" t="s">
        <v>20655</v>
      </c>
      <c r="AX3891" s="82" t="s">
        <v>20655</v>
      </c>
      <c r="AY3891" s="77"/>
      <c r="AZ3891" s="82" t="s">
        <v>20971</v>
      </c>
      <c r="BA3891" s="82" t="s">
        <v>20971</v>
      </c>
      <c r="BB3891" s="82" t="s">
        <v>20971</v>
      </c>
      <c r="BC3891" s="82" t="s">
        <v>20655</v>
      </c>
      <c r="BD3891" s="82" t="s">
        <v>20969</v>
      </c>
      <c r="BE3891" s="77"/>
      <c r="BF3891" s="77"/>
      <c r="BG3891" s="77"/>
      <c r="BH3891" s="77"/>
      <c r="BI3891" s="77"/>
    </row>
    <row r="3892" spans="1:61" x14ac:dyDescent="0.25">
      <c r="A3892" s="62" t="s">
        <v>1196</v>
      </c>
      <c r="B3892" s="62" t="s">
        <v>1196</v>
      </c>
      <c r="C3892" s="63"/>
      <c r="D3892" s="64"/>
      <c r="E3892" s="65"/>
      <c r="F3892" s="66"/>
      <c r="G3892" s="63"/>
      <c r="H3892" s="67"/>
      <c r="I3892" s="68"/>
      <c r="J3892" s="68"/>
      <c r="K3892" s="32"/>
      <c r="L3892" s="75">
        <v>3892</v>
      </c>
      <c r="M3892" s="75"/>
      <c r="N3892" s="70"/>
      <c r="O3892" s="77" t="s">
        <v>1284</v>
      </c>
      <c r="P3892" s="79">
        <v>45118.352152777778</v>
      </c>
      <c r="Q3892" s="77" t="s">
        <v>5096</v>
      </c>
      <c r="R3892" s="77">
        <v>0</v>
      </c>
      <c r="S3892" s="77">
        <v>0</v>
      </c>
      <c r="T3892" s="77">
        <v>0</v>
      </c>
      <c r="U3892" s="77">
        <v>0</v>
      </c>
      <c r="V3892" s="77">
        <v>128</v>
      </c>
      <c r="W3892" s="82" t="s">
        <v>7084</v>
      </c>
      <c r="X3892" s="77"/>
      <c r="Y3892" s="77"/>
      <c r="Z3892" s="77"/>
      <c r="AA3892" s="77"/>
      <c r="AB3892" s="77"/>
      <c r="AC3892" s="82" t="s">
        <v>10145</v>
      </c>
      <c r="AD3892" s="77" t="s">
        <v>10186</v>
      </c>
      <c r="AE3892" s="80" t="str">
        <f>HYPERLINK("https://twitter.com/rafael__costa__/status/1678682314786611200")</f>
        <v>https://twitter.com/rafael__costa__/status/1678682314786611200</v>
      </c>
      <c r="AF3892" s="79">
        <v>45118.352152777778</v>
      </c>
      <c r="AG3892" s="85">
        <v>45118</v>
      </c>
      <c r="AH3892" s="82" t="s">
        <v>13869</v>
      </c>
      <c r="AI3892" s="77"/>
      <c r="AJ3892" s="77"/>
      <c r="AK3892" s="77"/>
      <c r="AL3892" s="77"/>
      <c r="AM3892" s="77"/>
      <c r="AN3892" s="77"/>
      <c r="AO3892" s="77"/>
      <c r="AP3892" s="77"/>
      <c r="AQ3892" s="77"/>
      <c r="AR3892" s="77"/>
      <c r="AS3892" s="77"/>
      <c r="AT3892" s="77"/>
      <c r="AU3892" s="77"/>
      <c r="AV3892" s="80" t="str">
        <f>HYPERLINK("https://pbs.twimg.com/profile_images/1460727419829116929/1hfB_OTD_normal.jpg")</f>
        <v>https://pbs.twimg.com/profile_images/1460727419829116929/1hfB_OTD_normal.jpg</v>
      </c>
      <c r="AW3892" s="82" t="s">
        <v>20656</v>
      </c>
      <c r="AX3892" s="82" t="s">
        <v>20894</v>
      </c>
      <c r="AY3892" s="82" t="s">
        <v>20969</v>
      </c>
      <c r="AZ3892" s="82" t="s">
        <v>21007</v>
      </c>
      <c r="BA3892" s="82" t="s">
        <v>20971</v>
      </c>
      <c r="BB3892" s="82" t="s">
        <v>20971</v>
      </c>
      <c r="BC3892" s="82" t="s">
        <v>21007</v>
      </c>
      <c r="BD3892" s="82" t="s">
        <v>20969</v>
      </c>
      <c r="BE3892" s="77"/>
      <c r="BF3892" s="77"/>
      <c r="BG3892" s="77"/>
      <c r="BH3892" s="77"/>
      <c r="BI3892" s="77"/>
    </row>
    <row r="3893" spans="1:61" x14ac:dyDescent="0.25">
      <c r="A3893" s="62" t="s">
        <v>1196</v>
      </c>
      <c r="B3893" s="62" t="s">
        <v>1196</v>
      </c>
      <c r="C3893" s="63"/>
      <c r="D3893" s="64"/>
      <c r="E3893" s="65"/>
      <c r="F3893" s="66"/>
      <c r="G3893" s="63"/>
      <c r="H3893" s="67"/>
      <c r="I3893" s="68"/>
      <c r="J3893" s="68"/>
      <c r="K3893" s="32"/>
      <c r="L3893" s="75">
        <v>3893</v>
      </c>
      <c r="M3893" s="75"/>
      <c r="N3893" s="70"/>
      <c r="O3893" s="77" t="s">
        <v>1284</v>
      </c>
      <c r="P3893" s="79">
        <v>45134.350057870368</v>
      </c>
      <c r="Q3893" s="77" t="s">
        <v>5097</v>
      </c>
      <c r="R3893" s="77">
        <v>0</v>
      </c>
      <c r="S3893" s="77">
        <v>0</v>
      </c>
      <c r="T3893" s="77">
        <v>1</v>
      </c>
      <c r="U3893" s="77">
        <v>0</v>
      </c>
      <c r="V3893" s="77">
        <v>101</v>
      </c>
      <c r="W3893" s="82" t="s">
        <v>7085</v>
      </c>
      <c r="X3893" s="77"/>
      <c r="Y3893" s="77"/>
      <c r="Z3893" s="77"/>
      <c r="AA3893" s="77"/>
      <c r="AB3893" s="77"/>
      <c r="AC3893" s="82" t="s">
        <v>10145</v>
      </c>
      <c r="AD3893" s="77" t="s">
        <v>10184</v>
      </c>
      <c r="AE3893" s="80" t="str">
        <f>HYPERLINK("https://twitter.com/rafael__costa__/status/1684479758879322112")</f>
        <v>https://twitter.com/rafael__costa__/status/1684479758879322112</v>
      </c>
      <c r="AF3893" s="79">
        <v>45134.350057870368</v>
      </c>
      <c r="AG3893" s="85">
        <v>45134</v>
      </c>
      <c r="AH3893" s="82" t="s">
        <v>13870</v>
      </c>
      <c r="AI3893" s="77"/>
      <c r="AJ3893" s="77"/>
      <c r="AK3893" s="77"/>
      <c r="AL3893" s="77"/>
      <c r="AM3893" s="77"/>
      <c r="AN3893" s="77"/>
      <c r="AO3893" s="77"/>
      <c r="AP3893" s="77"/>
      <c r="AQ3893" s="77"/>
      <c r="AR3893" s="77"/>
      <c r="AS3893" s="77"/>
      <c r="AT3893" s="77"/>
      <c r="AU3893" s="77"/>
      <c r="AV3893" s="80" t="str">
        <f>HYPERLINK("https://pbs.twimg.com/profile_images/1460727419829116929/1hfB_OTD_normal.jpg")</f>
        <v>https://pbs.twimg.com/profile_images/1460727419829116929/1hfB_OTD_normal.jpg</v>
      </c>
      <c r="AW3893" s="82" t="s">
        <v>20657</v>
      </c>
      <c r="AX3893" s="82" t="s">
        <v>20895</v>
      </c>
      <c r="AY3893" s="82" t="s">
        <v>20969</v>
      </c>
      <c r="AZ3893" s="82" t="s">
        <v>21008</v>
      </c>
      <c r="BA3893" s="82" t="s">
        <v>20971</v>
      </c>
      <c r="BB3893" s="82" t="s">
        <v>20971</v>
      </c>
      <c r="BC3893" s="82" t="s">
        <v>21008</v>
      </c>
      <c r="BD3893" s="82" t="s">
        <v>20969</v>
      </c>
      <c r="BE3893" s="77"/>
      <c r="BF3893" s="77"/>
      <c r="BG3893" s="77"/>
      <c r="BH3893" s="77"/>
      <c r="BI3893" s="77"/>
    </row>
    <row r="3894" spans="1:61" x14ac:dyDescent="0.25">
      <c r="A3894" s="62" t="s">
        <v>1196</v>
      </c>
      <c r="B3894" s="62" t="s">
        <v>1196</v>
      </c>
      <c r="C3894" s="63"/>
      <c r="D3894" s="64"/>
      <c r="E3894" s="65"/>
      <c r="F3894" s="66"/>
      <c r="G3894" s="63"/>
      <c r="H3894" s="67"/>
      <c r="I3894" s="68"/>
      <c r="J3894" s="68"/>
      <c r="K3894" s="32"/>
      <c r="L3894" s="75">
        <v>3894</v>
      </c>
      <c r="M3894" s="75"/>
      <c r="N3894" s="70"/>
      <c r="O3894" s="77" t="s">
        <v>1284</v>
      </c>
      <c r="P3894" s="79">
        <v>45091.439942129633</v>
      </c>
      <c r="Q3894" s="77" t="s">
        <v>5098</v>
      </c>
      <c r="R3894" s="77">
        <v>0</v>
      </c>
      <c r="S3894" s="77">
        <v>0</v>
      </c>
      <c r="T3894" s="77">
        <v>1</v>
      </c>
      <c r="U3894" s="77">
        <v>0</v>
      </c>
      <c r="V3894" s="77">
        <v>78</v>
      </c>
      <c r="W3894" s="82" t="s">
        <v>7086</v>
      </c>
      <c r="X3894" s="77"/>
      <c r="Y3894" s="77"/>
      <c r="Z3894" s="77"/>
      <c r="AA3894" s="77" t="s">
        <v>10022</v>
      </c>
      <c r="AB3894" s="77" t="s">
        <v>10130</v>
      </c>
      <c r="AC3894" s="82" t="s">
        <v>10145</v>
      </c>
      <c r="AD3894" s="77" t="s">
        <v>10184</v>
      </c>
      <c r="AE3894" s="80" t="str">
        <f>HYPERLINK("https://twitter.com/rafael__costa__/status/1668929656425267203")</f>
        <v>https://twitter.com/rafael__costa__/status/1668929656425267203</v>
      </c>
      <c r="AF3894" s="79">
        <v>45091.439942129633</v>
      </c>
      <c r="AG3894" s="85">
        <v>45091</v>
      </c>
      <c r="AH3894" s="82" t="s">
        <v>13871</v>
      </c>
      <c r="AI3894" s="77" t="b">
        <v>0</v>
      </c>
      <c r="AJ3894" s="77"/>
      <c r="AK3894" s="77"/>
      <c r="AL3894" s="77"/>
      <c r="AM3894" s="77"/>
      <c r="AN3894" s="77"/>
      <c r="AO3894" s="77"/>
      <c r="AP3894" s="77"/>
      <c r="AQ3894" s="77" t="s">
        <v>16665</v>
      </c>
      <c r="AR3894" s="77"/>
      <c r="AS3894" s="77"/>
      <c r="AT3894" s="77"/>
      <c r="AU3894" s="77"/>
      <c r="AV3894" s="80" t="str">
        <f>HYPERLINK("https://pbs.twimg.com/media/Fyk6rJeXoAAYVSf.jpg")</f>
        <v>https://pbs.twimg.com/media/Fyk6rJeXoAAYVSf.jpg</v>
      </c>
      <c r="AW3894" s="82" t="s">
        <v>20658</v>
      </c>
      <c r="AX3894" s="82" t="s">
        <v>20896</v>
      </c>
      <c r="AY3894" s="82" t="s">
        <v>20969</v>
      </c>
      <c r="AZ3894" s="82" t="s">
        <v>21009</v>
      </c>
      <c r="BA3894" s="82" t="s">
        <v>20971</v>
      </c>
      <c r="BB3894" s="82" t="s">
        <v>20971</v>
      </c>
      <c r="BC3894" s="82" t="s">
        <v>21009</v>
      </c>
      <c r="BD3894" s="82" t="s">
        <v>20969</v>
      </c>
      <c r="BE3894" s="77"/>
      <c r="BF3894" s="77"/>
      <c r="BG3894" s="77"/>
      <c r="BH3894" s="77"/>
      <c r="BI3894" s="77"/>
    </row>
    <row r="3895" spans="1:61" x14ac:dyDescent="0.25">
      <c r="A3895" s="62" t="s">
        <v>1196</v>
      </c>
      <c r="B3895" s="62" t="s">
        <v>1196</v>
      </c>
      <c r="C3895" s="63"/>
      <c r="D3895" s="64"/>
      <c r="E3895" s="65"/>
      <c r="F3895" s="66"/>
      <c r="G3895" s="63"/>
      <c r="H3895" s="67"/>
      <c r="I3895" s="68"/>
      <c r="J3895" s="68"/>
      <c r="K3895" s="32"/>
      <c r="L3895" s="75">
        <v>3895</v>
      </c>
      <c r="M3895" s="75"/>
      <c r="N3895" s="70"/>
      <c r="O3895" s="77" t="s">
        <v>1284</v>
      </c>
      <c r="P3895" s="79">
        <v>45049.372118055559</v>
      </c>
      <c r="Q3895" s="77" t="s">
        <v>5099</v>
      </c>
      <c r="R3895" s="77">
        <v>0</v>
      </c>
      <c r="S3895" s="77">
        <v>0</v>
      </c>
      <c r="T3895" s="77">
        <v>1</v>
      </c>
      <c r="U3895" s="77">
        <v>0</v>
      </c>
      <c r="V3895" s="77">
        <v>60</v>
      </c>
      <c r="W3895" s="82" t="s">
        <v>7086</v>
      </c>
      <c r="X3895" s="77"/>
      <c r="Y3895" s="77"/>
      <c r="Z3895" s="77"/>
      <c r="AA3895" s="77" t="s">
        <v>10023</v>
      </c>
      <c r="AB3895" s="77" t="s">
        <v>10130</v>
      </c>
      <c r="AC3895" s="82" t="s">
        <v>10145</v>
      </c>
      <c r="AD3895" s="77" t="s">
        <v>10184</v>
      </c>
      <c r="AE3895" s="80" t="str">
        <f>HYPERLINK("https://twitter.com/rafael__costa__/status/1653684785171030019")</f>
        <v>https://twitter.com/rafael__costa__/status/1653684785171030019</v>
      </c>
      <c r="AF3895" s="79">
        <v>45049.372118055559</v>
      </c>
      <c r="AG3895" s="85">
        <v>45049</v>
      </c>
      <c r="AH3895" s="82" t="s">
        <v>13872</v>
      </c>
      <c r="AI3895" s="77" t="b">
        <v>0</v>
      </c>
      <c r="AJ3895" s="77"/>
      <c r="AK3895" s="77"/>
      <c r="AL3895" s="77"/>
      <c r="AM3895" s="77"/>
      <c r="AN3895" s="77"/>
      <c r="AO3895" s="77"/>
      <c r="AP3895" s="77"/>
      <c r="AQ3895" s="77" t="s">
        <v>16666</v>
      </c>
      <c r="AR3895" s="77"/>
      <c r="AS3895" s="77"/>
      <c r="AT3895" s="77"/>
      <c r="AU3895" s="77"/>
      <c r="AV3895" s="80" t="str">
        <f>HYPERLINK("https://pbs.twimg.com/media/FvMRi8cWYAI-Hyg.jpg")</f>
        <v>https://pbs.twimg.com/media/FvMRi8cWYAI-Hyg.jpg</v>
      </c>
      <c r="AW3895" s="82" t="s">
        <v>20659</v>
      </c>
      <c r="AX3895" s="82" t="s">
        <v>20897</v>
      </c>
      <c r="AY3895" s="82" t="s">
        <v>20969</v>
      </c>
      <c r="AZ3895" s="82" t="s">
        <v>21010</v>
      </c>
      <c r="BA3895" s="82" t="s">
        <v>20971</v>
      </c>
      <c r="BB3895" s="82" t="s">
        <v>20971</v>
      </c>
      <c r="BC3895" s="82" t="s">
        <v>21010</v>
      </c>
      <c r="BD3895" s="82" t="s">
        <v>20969</v>
      </c>
      <c r="BE3895" s="77"/>
      <c r="BF3895" s="77"/>
      <c r="BG3895" s="77"/>
      <c r="BH3895" s="77"/>
      <c r="BI3895" s="77"/>
    </row>
    <row r="3896" spans="1:61" x14ac:dyDescent="0.25">
      <c r="A3896" s="62" t="s">
        <v>1197</v>
      </c>
      <c r="B3896" s="62" t="s">
        <v>1197</v>
      </c>
      <c r="C3896" s="63"/>
      <c r="D3896" s="64"/>
      <c r="E3896" s="65"/>
      <c r="F3896" s="66"/>
      <c r="G3896" s="63"/>
      <c r="H3896" s="67"/>
      <c r="I3896" s="68"/>
      <c r="J3896" s="68"/>
      <c r="K3896" s="32"/>
      <c r="L3896" s="75">
        <v>3896</v>
      </c>
      <c r="M3896" s="75"/>
      <c r="N3896" s="70"/>
      <c r="O3896" s="77" t="s">
        <v>179</v>
      </c>
      <c r="P3896" s="79">
        <v>45049.798460648148</v>
      </c>
      <c r="Q3896" s="77" t="s">
        <v>5100</v>
      </c>
      <c r="R3896" s="77">
        <v>0</v>
      </c>
      <c r="S3896" s="77">
        <v>0</v>
      </c>
      <c r="T3896" s="77">
        <v>0</v>
      </c>
      <c r="U3896" s="77">
        <v>0</v>
      </c>
      <c r="V3896" s="77">
        <v>15</v>
      </c>
      <c r="W3896" s="82" t="s">
        <v>7087</v>
      </c>
      <c r="X3896" s="80" t="str">
        <f>HYPERLINK("https://linkme.bio/julianarohers")</f>
        <v>https://linkme.bio/julianarohers</v>
      </c>
      <c r="Y3896" s="77" t="s">
        <v>7491</v>
      </c>
      <c r="Z3896" s="77"/>
      <c r="AA3896" s="77" t="s">
        <v>10024</v>
      </c>
      <c r="AB3896" s="77" t="s">
        <v>10129</v>
      </c>
      <c r="AC3896" s="82" t="s">
        <v>10144</v>
      </c>
      <c r="AD3896" s="77" t="s">
        <v>10184</v>
      </c>
      <c r="AE3896" s="80" t="str">
        <f>HYPERLINK("https://twitter.com/jupaimrohers/status/1653839285202591780")</f>
        <v>https://twitter.com/jupaimrohers/status/1653839285202591780</v>
      </c>
      <c r="AF3896" s="79">
        <v>45049.798460648148</v>
      </c>
      <c r="AG3896" s="85">
        <v>45049</v>
      </c>
      <c r="AH3896" s="82" t="s">
        <v>13873</v>
      </c>
      <c r="AI3896" s="77" t="b">
        <v>0</v>
      </c>
      <c r="AJ3896" s="77"/>
      <c r="AK3896" s="77"/>
      <c r="AL3896" s="77"/>
      <c r="AM3896" s="77"/>
      <c r="AN3896" s="77"/>
      <c r="AO3896" s="77"/>
      <c r="AP3896" s="77"/>
      <c r="AQ3896" s="77" t="s">
        <v>16667</v>
      </c>
      <c r="AR3896" s="77">
        <v>4933</v>
      </c>
      <c r="AS3896" s="77"/>
      <c r="AT3896" s="77"/>
      <c r="AU3896" s="77"/>
      <c r="AV3896" s="80" t="str">
        <f>HYPERLINK("https://pbs.twimg.com/ext_tw_video_thumb/1653839258535206921/pu/img/-BxTbOYlRKE3C5AT.jpg")</f>
        <v>https://pbs.twimg.com/ext_tw_video_thumb/1653839258535206921/pu/img/-BxTbOYlRKE3C5AT.jpg</v>
      </c>
      <c r="AW3896" s="82" t="s">
        <v>20660</v>
      </c>
      <c r="AX3896" s="82" t="s">
        <v>20660</v>
      </c>
      <c r="AY3896" s="77"/>
      <c r="AZ3896" s="82" t="s">
        <v>20971</v>
      </c>
      <c r="BA3896" s="82" t="s">
        <v>20971</v>
      </c>
      <c r="BB3896" s="82" t="s">
        <v>20971</v>
      </c>
      <c r="BC3896" s="82" t="s">
        <v>20660</v>
      </c>
      <c r="BD3896" s="82" t="s">
        <v>21745</v>
      </c>
      <c r="BE3896" s="77"/>
      <c r="BF3896" s="77"/>
      <c r="BG3896" s="77"/>
      <c r="BH3896" s="77"/>
      <c r="BI3896" s="77"/>
    </row>
    <row r="3897" spans="1:61" x14ac:dyDescent="0.25">
      <c r="A3897" s="62" t="s">
        <v>1198</v>
      </c>
      <c r="B3897" s="62" t="s">
        <v>1198</v>
      </c>
      <c r="C3897" s="63"/>
      <c r="D3897" s="64"/>
      <c r="E3897" s="65"/>
      <c r="F3897" s="66"/>
      <c r="G3897" s="63"/>
      <c r="H3897" s="67"/>
      <c r="I3897" s="68"/>
      <c r="J3897" s="68"/>
      <c r="K3897" s="32"/>
      <c r="L3897" s="75">
        <v>3897</v>
      </c>
      <c r="M3897" s="75"/>
      <c r="N3897" s="70"/>
      <c r="O3897" s="77" t="s">
        <v>179</v>
      </c>
      <c r="P3897" s="79">
        <v>45125.869953703703</v>
      </c>
      <c r="Q3897" s="77" t="s">
        <v>5101</v>
      </c>
      <c r="R3897" s="77">
        <v>0</v>
      </c>
      <c r="S3897" s="77">
        <v>0</v>
      </c>
      <c r="T3897" s="77">
        <v>0</v>
      </c>
      <c r="U3897" s="77">
        <v>0</v>
      </c>
      <c r="V3897" s="77">
        <v>67</v>
      </c>
      <c r="W3897" s="82" t="s">
        <v>7088</v>
      </c>
      <c r="X3897" s="80" t="str">
        <f>HYPERLINK("http://mpago.li/2UzrFx2")</f>
        <v>http://mpago.li/2UzrFx2</v>
      </c>
      <c r="Y3897" s="77" t="s">
        <v>7492</v>
      </c>
      <c r="Z3897" s="77"/>
      <c r="AA3897" s="77" t="s">
        <v>10025</v>
      </c>
      <c r="AB3897" s="77" t="s">
        <v>10130</v>
      </c>
      <c r="AC3897" s="82" t="s">
        <v>10144</v>
      </c>
      <c r="AD3897" s="77" t="s">
        <v>10184</v>
      </c>
      <c r="AE3897" s="80" t="str">
        <f>HYPERLINK("https://twitter.com/online24horass/status/1681406671363424266")</f>
        <v>https://twitter.com/online24horass/status/1681406671363424266</v>
      </c>
      <c r="AF3897" s="79">
        <v>45125.869953703703</v>
      </c>
      <c r="AG3897" s="85">
        <v>45125</v>
      </c>
      <c r="AH3897" s="82" t="s">
        <v>13874</v>
      </c>
      <c r="AI3897" s="77" t="b">
        <v>0</v>
      </c>
      <c r="AJ3897" s="77"/>
      <c r="AK3897" s="77"/>
      <c r="AL3897" s="77"/>
      <c r="AM3897" s="77"/>
      <c r="AN3897" s="77"/>
      <c r="AO3897" s="77"/>
      <c r="AP3897" s="77"/>
      <c r="AQ3897" s="77" t="s">
        <v>16668</v>
      </c>
      <c r="AR3897" s="77"/>
      <c r="AS3897" s="77"/>
      <c r="AT3897" s="77"/>
      <c r="AU3897" s="77"/>
      <c r="AV3897" s="80" t="str">
        <f>HYPERLINK("https://pbs.twimg.com/media/F1WOdRtWcAEVFtv.jpg")</f>
        <v>https://pbs.twimg.com/media/F1WOdRtWcAEVFtv.jpg</v>
      </c>
      <c r="AW3897" s="82" t="s">
        <v>20661</v>
      </c>
      <c r="AX3897" s="82" t="s">
        <v>20661</v>
      </c>
      <c r="AY3897" s="77"/>
      <c r="AZ3897" s="82" t="s">
        <v>20971</v>
      </c>
      <c r="BA3897" s="82" t="s">
        <v>20971</v>
      </c>
      <c r="BB3897" s="82" t="s">
        <v>20971</v>
      </c>
      <c r="BC3897" s="82" t="s">
        <v>20661</v>
      </c>
      <c r="BD3897" s="82" t="s">
        <v>21746</v>
      </c>
      <c r="BE3897" s="77"/>
      <c r="BF3897" s="77"/>
      <c r="BG3897" s="77"/>
      <c r="BH3897" s="77"/>
      <c r="BI3897" s="77"/>
    </row>
    <row r="3898" spans="1:61" x14ac:dyDescent="0.25">
      <c r="A3898" s="62" t="s">
        <v>1199</v>
      </c>
      <c r="B3898" s="62" t="s">
        <v>1199</v>
      </c>
      <c r="C3898" s="63"/>
      <c r="D3898" s="64"/>
      <c r="E3898" s="65"/>
      <c r="F3898" s="66"/>
      <c r="G3898" s="63"/>
      <c r="H3898" s="67"/>
      <c r="I3898" s="68"/>
      <c r="J3898" s="68"/>
      <c r="K3898" s="32"/>
      <c r="L3898" s="75">
        <v>3898</v>
      </c>
      <c r="M3898" s="75"/>
      <c r="N3898" s="70"/>
      <c r="O3898" s="77" t="s">
        <v>179</v>
      </c>
      <c r="P3898" s="79">
        <v>45068.716099537036</v>
      </c>
      <c r="Q3898" s="77" t="s">
        <v>5102</v>
      </c>
      <c r="R3898" s="77">
        <v>0</v>
      </c>
      <c r="S3898" s="77">
        <v>0</v>
      </c>
      <c r="T3898" s="77">
        <v>1</v>
      </c>
      <c r="U3898" s="77">
        <v>0</v>
      </c>
      <c r="V3898" s="77">
        <v>33</v>
      </c>
      <c r="W3898" s="82" t="s">
        <v>7089</v>
      </c>
      <c r="X3898" s="80" t="str">
        <f>HYPERLINK("https://vm.tiktok.com/ZM2LN6K1e/")</f>
        <v>https://vm.tiktok.com/ZM2LN6K1e/</v>
      </c>
      <c r="Y3898" s="77" t="s">
        <v>7306</v>
      </c>
      <c r="Z3898" s="77"/>
      <c r="AA3898" s="77"/>
      <c r="AB3898" s="77"/>
      <c r="AC3898" s="82" t="s">
        <v>10145</v>
      </c>
      <c r="AD3898" s="77" t="s">
        <v>10184</v>
      </c>
      <c r="AE3898" s="80" t="str">
        <f>HYPERLINK("https://twitter.com/mah4ever/status/1660694810863255561")</f>
        <v>https://twitter.com/mah4ever/status/1660694810863255561</v>
      </c>
      <c r="AF3898" s="79">
        <v>45068.716099537036</v>
      </c>
      <c r="AG3898" s="85">
        <v>45068</v>
      </c>
      <c r="AH3898" s="82" t="s">
        <v>13875</v>
      </c>
      <c r="AI3898" s="77" t="b">
        <v>0</v>
      </c>
      <c r="AJ3898" s="77"/>
      <c r="AK3898" s="77"/>
      <c r="AL3898" s="77"/>
      <c r="AM3898" s="77"/>
      <c r="AN3898" s="77"/>
      <c r="AO3898" s="77"/>
      <c r="AP3898" s="77"/>
      <c r="AQ3898" s="77"/>
      <c r="AR3898" s="77"/>
      <c r="AS3898" s="77"/>
      <c r="AT3898" s="77"/>
      <c r="AU3898" s="77"/>
      <c r="AV3898" s="80" t="str">
        <f>HYPERLINK("https://pbs.twimg.com/profile_images/1660594047252152322/056j0U13_normal.jpg")</f>
        <v>https://pbs.twimg.com/profile_images/1660594047252152322/056j0U13_normal.jpg</v>
      </c>
      <c r="AW3898" s="82" t="s">
        <v>20662</v>
      </c>
      <c r="AX3898" s="82" t="s">
        <v>20662</v>
      </c>
      <c r="AY3898" s="77"/>
      <c r="AZ3898" s="82" t="s">
        <v>20971</v>
      </c>
      <c r="BA3898" s="82" t="s">
        <v>20971</v>
      </c>
      <c r="BB3898" s="82" t="s">
        <v>20971</v>
      </c>
      <c r="BC3898" s="82" t="s">
        <v>20662</v>
      </c>
      <c r="BD3898" s="77">
        <v>70861309</v>
      </c>
      <c r="BE3898" s="77"/>
      <c r="BF3898" s="77"/>
      <c r="BG3898" s="77"/>
      <c r="BH3898" s="77"/>
      <c r="BI3898" s="77"/>
    </row>
    <row r="3899" spans="1:61" x14ac:dyDescent="0.25">
      <c r="A3899" s="62" t="s">
        <v>1199</v>
      </c>
      <c r="B3899" s="62" t="s">
        <v>1199</v>
      </c>
      <c r="C3899" s="63"/>
      <c r="D3899" s="64"/>
      <c r="E3899" s="65"/>
      <c r="F3899" s="66"/>
      <c r="G3899" s="63"/>
      <c r="H3899" s="67"/>
      <c r="I3899" s="68"/>
      <c r="J3899" s="68"/>
      <c r="K3899" s="32"/>
      <c r="L3899" s="75">
        <v>3899</v>
      </c>
      <c r="M3899" s="75"/>
      <c r="N3899" s="70"/>
      <c r="O3899" s="77" t="s">
        <v>179</v>
      </c>
      <c r="P3899" s="79">
        <v>45068.429814814815</v>
      </c>
      <c r="Q3899" s="77" t="s">
        <v>5103</v>
      </c>
      <c r="R3899" s="77">
        <v>0</v>
      </c>
      <c r="S3899" s="77">
        <v>0</v>
      </c>
      <c r="T3899" s="77">
        <v>1</v>
      </c>
      <c r="U3899" s="77">
        <v>0</v>
      </c>
      <c r="V3899" s="77">
        <v>39</v>
      </c>
      <c r="W3899" s="82" t="s">
        <v>7090</v>
      </c>
      <c r="X3899" s="80" t="str">
        <f>HYPERLINK("https://vm.tiktok.com/ZM2LeJU7T/")</f>
        <v>https://vm.tiktok.com/ZM2LeJU7T/</v>
      </c>
      <c r="Y3899" s="77" t="s">
        <v>7306</v>
      </c>
      <c r="Z3899" s="77"/>
      <c r="AA3899" s="77"/>
      <c r="AB3899" s="77"/>
      <c r="AC3899" s="82" t="s">
        <v>10145</v>
      </c>
      <c r="AD3899" s="77" t="s">
        <v>10184</v>
      </c>
      <c r="AE3899" s="80" t="str">
        <f>HYPERLINK("https://twitter.com/mah4ever/status/1660591062774169604")</f>
        <v>https://twitter.com/mah4ever/status/1660591062774169604</v>
      </c>
      <c r="AF3899" s="79">
        <v>45068.429814814815</v>
      </c>
      <c r="AG3899" s="85">
        <v>45068</v>
      </c>
      <c r="AH3899" s="82" t="s">
        <v>13876</v>
      </c>
      <c r="AI3899" s="77" t="b">
        <v>0</v>
      </c>
      <c r="AJ3899" s="77"/>
      <c r="AK3899" s="77"/>
      <c r="AL3899" s="77"/>
      <c r="AM3899" s="77"/>
      <c r="AN3899" s="77"/>
      <c r="AO3899" s="77"/>
      <c r="AP3899" s="77"/>
      <c r="AQ3899" s="77"/>
      <c r="AR3899" s="77"/>
      <c r="AS3899" s="77"/>
      <c r="AT3899" s="77"/>
      <c r="AU3899" s="77"/>
      <c r="AV3899" s="80" t="str">
        <f>HYPERLINK("https://pbs.twimg.com/profile_images/1660594047252152322/056j0U13_normal.jpg")</f>
        <v>https://pbs.twimg.com/profile_images/1660594047252152322/056j0U13_normal.jpg</v>
      </c>
      <c r="AW3899" s="82" t="s">
        <v>20663</v>
      </c>
      <c r="AX3899" s="82" t="s">
        <v>20663</v>
      </c>
      <c r="AY3899" s="77"/>
      <c r="AZ3899" s="82" t="s">
        <v>20971</v>
      </c>
      <c r="BA3899" s="82" t="s">
        <v>20971</v>
      </c>
      <c r="BB3899" s="82" t="s">
        <v>20971</v>
      </c>
      <c r="BC3899" s="82" t="s">
        <v>20663</v>
      </c>
      <c r="BD3899" s="77">
        <v>70861309</v>
      </c>
      <c r="BE3899" s="77"/>
      <c r="BF3899" s="77"/>
      <c r="BG3899" s="77"/>
      <c r="BH3899" s="77"/>
      <c r="BI3899" s="77"/>
    </row>
    <row r="3900" spans="1:61" x14ac:dyDescent="0.25">
      <c r="A3900" s="62" t="s">
        <v>1199</v>
      </c>
      <c r="B3900" s="62" t="s">
        <v>1199</v>
      </c>
      <c r="C3900" s="63"/>
      <c r="D3900" s="64"/>
      <c r="E3900" s="65"/>
      <c r="F3900" s="66"/>
      <c r="G3900" s="63"/>
      <c r="H3900" s="67"/>
      <c r="I3900" s="68"/>
      <c r="J3900" s="68"/>
      <c r="K3900" s="32"/>
      <c r="L3900" s="75">
        <v>3900</v>
      </c>
      <c r="M3900" s="75"/>
      <c r="N3900" s="70"/>
      <c r="O3900" s="77" t="s">
        <v>179</v>
      </c>
      <c r="P3900" s="79">
        <v>45074.79105324074</v>
      </c>
      <c r="Q3900" s="77" t="s">
        <v>5104</v>
      </c>
      <c r="R3900" s="77">
        <v>0</v>
      </c>
      <c r="S3900" s="77">
        <v>0</v>
      </c>
      <c r="T3900" s="77">
        <v>0</v>
      </c>
      <c r="U3900" s="77">
        <v>0</v>
      </c>
      <c r="V3900" s="77">
        <v>31</v>
      </c>
      <c r="W3900" s="82" t="s">
        <v>7091</v>
      </c>
      <c r="X3900" s="80" t="str">
        <f>HYPERLINK("https://vm.tiktok.com/ZM2YhyebD/")</f>
        <v>https://vm.tiktok.com/ZM2YhyebD/</v>
      </c>
      <c r="Y3900" s="77" t="s">
        <v>7306</v>
      </c>
      <c r="Z3900" s="77"/>
      <c r="AA3900" s="77"/>
      <c r="AB3900" s="77"/>
      <c r="AC3900" s="82" t="s">
        <v>10145</v>
      </c>
      <c r="AD3900" s="77" t="s">
        <v>10184</v>
      </c>
      <c r="AE3900" s="80" t="str">
        <f>HYPERLINK("https://twitter.com/mah4ever/status/1662896299006468098")</f>
        <v>https://twitter.com/mah4ever/status/1662896299006468098</v>
      </c>
      <c r="AF3900" s="79">
        <v>45074.79105324074</v>
      </c>
      <c r="AG3900" s="85">
        <v>45074</v>
      </c>
      <c r="AH3900" s="82" t="s">
        <v>13877</v>
      </c>
      <c r="AI3900" s="77" t="b">
        <v>0</v>
      </c>
      <c r="AJ3900" s="77"/>
      <c r="AK3900" s="77"/>
      <c r="AL3900" s="77"/>
      <c r="AM3900" s="77"/>
      <c r="AN3900" s="77"/>
      <c r="AO3900" s="77"/>
      <c r="AP3900" s="77"/>
      <c r="AQ3900" s="77"/>
      <c r="AR3900" s="77"/>
      <c r="AS3900" s="77"/>
      <c r="AT3900" s="77"/>
      <c r="AU3900" s="77"/>
      <c r="AV3900" s="80" t="str">
        <f>HYPERLINK("https://pbs.twimg.com/profile_images/1660594047252152322/056j0U13_normal.jpg")</f>
        <v>https://pbs.twimg.com/profile_images/1660594047252152322/056j0U13_normal.jpg</v>
      </c>
      <c r="AW3900" s="82" t="s">
        <v>20664</v>
      </c>
      <c r="AX3900" s="82" t="s">
        <v>20664</v>
      </c>
      <c r="AY3900" s="77"/>
      <c r="AZ3900" s="82" t="s">
        <v>20971</v>
      </c>
      <c r="BA3900" s="82" t="s">
        <v>20971</v>
      </c>
      <c r="BB3900" s="82" t="s">
        <v>20971</v>
      </c>
      <c r="BC3900" s="82" t="s">
        <v>20664</v>
      </c>
      <c r="BD3900" s="77">
        <v>70861309</v>
      </c>
      <c r="BE3900" s="77"/>
      <c r="BF3900" s="77"/>
      <c r="BG3900" s="77"/>
      <c r="BH3900" s="77"/>
      <c r="BI3900" s="77"/>
    </row>
    <row r="3901" spans="1:61" x14ac:dyDescent="0.25">
      <c r="A3901" s="62" t="s">
        <v>1200</v>
      </c>
      <c r="B3901" s="62" t="s">
        <v>1282</v>
      </c>
      <c r="C3901" s="63"/>
      <c r="D3901" s="64"/>
      <c r="E3901" s="65"/>
      <c r="F3901" s="66"/>
      <c r="G3901" s="63"/>
      <c r="H3901" s="67"/>
      <c r="I3901" s="68"/>
      <c r="J3901" s="68"/>
      <c r="K3901" s="32"/>
      <c r="L3901" s="75">
        <v>3901</v>
      </c>
      <c r="M3901" s="75"/>
      <c r="N3901" s="70"/>
      <c r="O3901" s="77" t="s">
        <v>1285</v>
      </c>
      <c r="P3901" s="79">
        <v>45014.938206018516</v>
      </c>
      <c r="Q3901" s="77" t="s">
        <v>5105</v>
      </c>
      <c r="R3901" s="77">
        <v>0</v>
      </c>
      <c r="S3901" s="77">
        <v>1</v>
      </c>
      <c r="T3901" s="77">
        <v>0</v>
      </c>
      <c r="U3901" s="77">
        <v>0</v>
      </c>
      <c r="V3901" s="77">
        <v>33</v>
      </c>
      <c r="W3901" s="82" t="s">
        <v>7092</v>
      </c>
      <c r="X3901" s="77"/>
      <c r="Y3901" s="77"/>
      <c r="Z3901" s="77" t="s">
        <v>1282</v>
      </c>
      <c r="AA3901" s="77" t="s">
        <v>10026</v>
      </c>
      <c r="AB3901" s="77" t="s">
        <v>10130</v>
      </c>
      <c r="AC3901" s="82" t="s">
        <v>10146</v>
      </c>
      <c r="AD3901" s="77" t="s">
        <v>10184</v>
      </c>
      <c r="AE3901" s="80" t="str">
        <f>HYPERLINK("https://twitter.com/julioce09076006/status/1641206351711055873")</f>
        <v>https://twitter.com/julioce09076006/status/1641206351711055873</v>
      </c>
      <c r="AF3901" s="79">
        <v>45014.938206018516</v>
      </c>
      <c r="AG3901" s="85">
        <v>45014</v>
      </c>
      <c r="AH3901" s="82" t="s">
        <v>13878</v>
      </c>
      <c r="AI3901" s="77" t="b">
        <v>0</v>
      </c>
      <c r="AJ3901" s="77"/>
      <c r="AK3901" s="77"/>
      <c r="AL3901" s="77"/>
      <c r="AM3901" s="77"/>
      <c r="AN3901" s="77"/>
      <c r="AO3901" s="77"/>
      <c r="AP3901" s="77"/>
      <c r="AQ3901" s="77" t="s">
        <v>16669</v>
      </c>
      <c r="AR3901" s="77"/>
      <c r="AS3901" s="77"/>
      <c r="AT3901" s="77"/>
      <c r="AU3901" s="77"/>
      <c r="AV3901" s="80" t="str">
        <f>HYPERLINK("https://pbs.twimg.com/media/Fsa7-iTWcAAAL5i.jpg")</f>
        <v>https://pbs.twimg.com/media/Fsa7-iTWcAAAL5i.jpg</v>
      </c>
      <c r="AW3901" s="82" t="s">
        <v>20665</v>
      </c>
      <c r="AX3901" s="82" t="s">
        <v>20665</v>
      </c>
      <c r="AY3901" s="77"/>
      <c r="AZ3901" s="82" t="s">
        <v>20971</v>
      </c>
      <c r="BA3901" s="82" t="s">
        <v>20971</v>
      </c>
      <c r="BB3901" s="82" t="s">
        <v>20971</v>
      </c>
      <c r="BC3901" s="82" t="s">
        <v>20665</v>
      </c>
      <c r="BD3901" s="82" t="s">
        <v>21747</v>
      </c>
      <c r="BE3901" s="77"/>
      <c r="BF3901" s="77"/>
      <c r="BG3901" s="77"/>
      <c r="BH3901" s="77"/>
      <c r="BI3901" s="77"/>
    </row>
    <row r="3902" spans="1:61" x14ac:dyDescent="0.25">
      <c r="A3902" s="62" t="s">
        <v>1200</v>
      </c>
      <c r="B3902" s="62" t="s">
        <v>1200</v>
      </c>
      <c r="C3902" s="63"/>
      <c r="D3902" s="64"/>
      <c r="E3902" s="65"/>
      <c r="F3902" s="66"/>
      <c r="G3902" s="63"/>
      <c r="H3902" s="67"/>
      <c r="I3902" s="68"/>
      <c r="J3902" s="68"/>
      <c r="K3902" s="32"/>
      <c r="L3902" s="75">
        <v>3902</v>
      </c>
      <c r="M3902" s="75"/>
      <c r="N3902" s="70"/>
      <c r="O3902" s="77" t="s">
        <v>179</v>
      </c>
      <c r="P3902" s="79">
        <v>44956.697187500002</v>
      </c>
      <c r="Q3902" s="77" t="s">
        <v>5106</v>
      </c>
      <c r="R3902" s="77">
        <v>0</v>
      </c>
      <c r="S3902" s="77">
        <v>0</v>
      </c>
      <c r="T3902" s="77">
        <v>0</v>
      </c>
      <c r="U3902" s="77">
        <v>0</v>
      </c>
      <c r="V3902" s="77">
        <v>61</v>
      </c>
      <c r="W3902" s="82" t="s">
        <v>7093</v>
      </c>
      <c r="X3902" s="77"/>
      <c r="Y3902" s="77"/>
      <c r="Z3902" s="77"/>
      <c r="AA3902" s="77" t="s">
        <v>10027</v>
      </c>
      <c r="AB3902" s="77" t="s">
        <v>10130</v>
      </c>
      <c r="AC3902" s="82" t="s">
        <v>10146</v>
      </c>
      <c r="AD3902" s="77" t="s">
        <v>10184</v>
      </c>
      <c r="AE3902" s="80" t="str">
        <f>HYPERLINK("https://twitter.com/julioce09076006/status/1620100513458163712")</f>
        <v>https://twitter.com/julioce09076006/status/1620100513458163712</v>
      </c>
      <c r="AF3902" s="79">
        <v>44956.697187500002</v>
      </c>
      <c r="AG3902" s="85">
        <v>44956</v>
      </c>
      <c r="AH3902" s="82" t="s">
        <v>13879</v>
      </c>
      <c r="AI3902" s="77" t="b">
        <v>0</v>
      </c>
      <c r="AJ3902" s="77"/>
      <c r="AK3902" s="77"/>
      <c r="AL3902" s="77"/>
      <c r="AM3902" s="77"/>
      <c r="AN3902" s="77"/>
      <c r="AO3902" s="77"/>
      <c r="AP3902" s="77"/>
      <c r="AQ3902" s="77" t="s">
        <v>16670</v>
      </c>
      <c r="AR3902" s="77"/>
      <c r="AS3902" s="77"/>
      <c r="AT3902" s="77"/>
      <c r="AU3902" s="77"/>
      <c r="AV3902" s="80" t="str">
        <f>HYPERLINK("https://pbs.twimg.com/media/FnvAMtjXEAMWxNN.png")</f>
        <v>https://pbs.twimg.com/media/FnvAMtjXEAMWxNN.png</v>
      </c>
      <c r="AW3902" s="82" t="s">
        <v>20666</v>
      </c>
      <c r="AX3902" s="82" t="s">
        <v>20666</v>
      </c>
      <c r="AY3902" s="77"/>
      <c r="AZ3902" s="82" t="s">
        <v>20971</v>
      </c>
      <c r="BA3902" s="82" t="s">
        <v>20971</v>
      </c>
      <c r="BB3902" s="82" t="s">
        <v>20971</v>
      </c>
      <c r="BC3902" s="82" t="s">
        <v>20666</v>
      </c>
      <c r="BD3902" s="82" t="s">
        <v>21747</v>
      </c>
      <c r="BE3902" s="77"/>
      <c r="BF3902" s="77"/>
      <c r="BG3902" s="77"/>
      <c r="BH3902" s="77"/>
      <c r="BI3902" s="77"/>
    </row>
    <row r="3903" spans="1:61" x14ac:dyDescent="0.25">
      <c r="A3903" s="62" t="s">
        <v>1201</v>
      </c>
      <c r="B3903" s="62" t="s">
        <v>1201</v>
      </c>
      <c r="C3903" s="63"/>
      <c r="D3903" s="64"/>
      <c r="E3903" s="65"/>
      <c r="F3903" s="66"/>
      <c r="G3903" s="63"/>
      <c r="H3903" s="67"/>
      <c r="I3903" s="68"/>
      <c r="J3903" s="68"/>
      <c r="K3903" s="32"/>
      <c r="L3903" s="75">
        <v>3903</v>
      </c>
      <c r="M3903" s="75"/>
      <c r="N3903" s="70"/>
      <c r="O3903" s="77" t="s">
        <v>179</v>
      </c>
      <c r="P3903" s="79">
        <v>45085.902395833335</v>
      </c>
      <c r="Q3903" s="77" t="s">
        <v>5107</v>
      </c>
      <c r="R3903" s="77">
        <v>0</v>
      </c>
      <c r="S3903" s="77">
        <v>0</v>
      </c>
      <c r="T3903" s="77">
        <v>0</v>
      </c>
      <c r="U3903" s="77">
        <v>0</v>
      </c>
      <c r="V3903" s="77">
        <v>17</v>
      </c>
      <c r="W3903" s="82" t="s">
        <v>7094</v>
      </c>
      <c r="X3903" s="80" t="str">
        <f>HYPERLINK("https://taniapaula.com/como-ganhar-dinheiro-pelo-celular-jogando/")</f>
        <v>https://taniapaula.com/como-ganhar-dinheiro-pelo-celular-jogando/</v>
      </c>
      <c r="Y3903" s="77" t="s">
        <v>7493</v>
      </c>
      <c r="Z3903" s="77"/>
      <c r="AA3903" s="77"/>
      <c r="AB3903" s="77"/>
      <c r="AC3903" s="82" t="s">
        <v>10146</v>
      </c>
      <c r="AD3903" s="77" t="s">
        <v>10189</v>
      </c>
      <c r="AE3903" s="80" t="str">
        <f>HYPERLINK("https://twitter.com/taniapaula_/status/1666922914237521925")</f>
        <v>https://twitter.com/taniapaula_/status/1666922914237521925</v>
      </c>
      <c r="AF3903" s="79">
        <v>45085.902395833335</v>
      </c>
      <c r="AG3903" s="85">
        <v>45085</v>
      </c>
      <c r="AH3903" s="82" t="s">
        <v>13880</v>
      </c>
      <c r="AI3903" s="77" t="b">
        <v>0</v>
      </c>
      <c r="AJ3903" s="77"/>
      <c r="AK3903" s="77"/>
      <c r="AL3903" s="77"/>
      <c r="AM3903" s="77"/>
      <c r="AN3903" s="77"/>
      <c r="AO3903" s="77"/>
      <c r="AP3903" s="77"/>
      <c r="AQ3903" s="77"/>
      <c r="AR3903" s="77"/>
      <c r="AS3903" s="77"/>
      <c r="AT3903" s="77"/>
      <c r="AU3903" s="77"/>
      <c r="AV3903" s="80" t="str">
        <f>HYPERLINK("https://pbs.twimg.com/profile_images/1651033541977821187/kZYx0GiQ_normal.jpg")</f>
        <v>https://pbs.twimg.com/profile_images/1651033541977821187/kZYx0GiQ_normal.jpg</v>
      </c>
      <c r="AW3903" s="82" t="s">
        <v>20667</v>
      </c>
      <c r="AX3903" s="82" t="s">
        <v>20667</v>
      </c>
      <c r="AY3903" s="77"/>
      <c r="AZ3903" s="82" t="s">
        <v>20971</v>
      </c>
      <c r="BA3903" s="82" t="s">
        <v>20971</v>
      </c>
      <c r="BB3903" s="82" t="s">
        <v>20971</v>
      </c>
      <c r="BC3903" s="82" t="s">
        <v>20667</v>
      </c>
      <c r="BD3903" s="82" t="s">
        <v>21748</v>
      </c>
      <c r="BE3903" s="77"/>
      <c r="BF3903" s="77"/>
      <c r="BG3903" s="77"/>
      <c r="BH3903" s="77"/>
      <c r="BI3903" s="77"/>
    </row>
    <row r="3904" spans="1:61" x14ac:dyDescent="0.25">
      <c r="A3904" s="62" t="s">
        <v>1201</v>
      </c>
      <c r="B3904" s="62" t="s">
        <v>1201</v>
      </c>
      <c r="C3904" s="63"/>
      <c r="D3904" s="64"/>
      <c r="E3904" s="65"/>
      <c r="F3904" s="66"/>
      <c r="G3904" s="63"/>
      <c r="H3904" s="67"/>
      <c r="I3904" s="68"/>
      <c r="J3904" s="68"/>
      <c r="K3904" s="32"/>
      <c r="L3904" s="75">
        <v>3904</v>
      </c>
      <c r="M3904" s="75"/>
      <c r="N3904" s="70"/>
      <c r="O3904" s="77" t="s">
        <v>179</v>
      </c>
      <c r="P3904" s="79">
        <v>45087.102476851855</v>
      </c>
      <c r="Q3904" s="77" t="s">
        <v>5108</v>
      </c>
      <c r="R3904" s="77">
        <v>0</v>
      </c>
      <c r="S3904" s="77">
        <v>0</v>
      </c>
      <c r="T3904" s="77">
        <v>0</v>
      </c>
      <c r="U3904" s="77">
        <v>0</v>
      </c>
      <c r="V3904" s="77">
        <v>10</v>
      </c>
      <c r="W3904" s="82" t="s">
        <v>7095</v>
      </c>
      <c r="X3904" s="80" t="str">
        <f>HYPERLINK("https://taniapaula.com/5-maneiras-de-fazer-renda-extra-em-casa/")</f>
        <v>https://taniapaula.com/5-maneiras-de-fazer-renda-extra-em-casa/</v>
      </c>
      <c r="Y3904" s="77" t="s">
        <v>7493</v>
      </c>
      <c r="Z3904" s="77"/>
      <c r="AA3904" s="77"/>
      <c r="AB3904" s="77"/>
      <c r="AC3904" s="82" t="s">
        <v>10146</v>
      </c>
      <c r="AD3904" s="77" t="s">
        <v>10189</v>
      </c>
      <c r="AE3904" s="80" t="str">
        <f>HYPERLINK("https://twitter.com/taniapaula_/status/1667357810034606080")</f>
        <v>https://twitter.com/taniapaula_/status/1667357810034606080</v>
      </c>
      <c r="AF3904" s="79">
        <v>45087.102476851855</v>
      </c>
      <c r="AG3904" s="85">
        <v>45087</v>
      </c>
      <c r="AH3904" s="82" t="s">
        <v>13881</v>
      </c>
      <c r="AI3904" s="77" t="b">
        <v>0</v>
      </c>
      <c r="AJ3904" s="77"/>
      <c r="AK3904" s="77"/>
      <c r="AL3904" s="77"/>
      <c r="AM3904" s="77"/>
      <c r="AN3904" s="77"/>
      <c r="AO3904" s="77"/>
      <c r="AP3904" s="77"/>
      <c r="AQ3904" s="77"/>
      <c r="AR3904" s="77"/>
      <c r="AS3904" s="77"/>
      <c r="AT3904" s="77"/>
      <c r="AU3904" s="77"/>
      <c r="AV3904" s="80" t="str">
        <f>HYPERLINK("https://pbs.twimg.com/profile_images/1651033541977821187/kZYx0GiQ_normal.jpg")</f>
        <v>https://pbs.twimg.com/profile_images/1651033541977821187/kZYx0GiQ_normal.jpg</v>
      </c>
      <c r="AW3904" s="82" t="s">
        <v>20668</v>
      </c>
      <c r="AX3904" s="82" t="s">
        <v>20668</v>
      </c>
      <c r="AY3904" s="77"/>
      <c r="AZ3904" s="82" t="s">
        <v>20971</v>
      </c>
      <c r="BA3904" s="82" t="s">
        <v>20971</v>
      </c>
      <c r="BB3904" s="82" t="s">
        <v>20971</v>
      </c>
      <c r="BC3904" s="82" t="s">
        <v>20668</v>
      </c>
      <c r="BD3904" s="82" t="s">
        <v>21748</v>
      </c>
      <c r="BE3904" s="77"/>
      <c r="BF3904" s="77"/>
      <c r="BG3904" s="77"/>
      <c r="BH3904" s="77"/>
      <c r="BI3904" s="77"/>
    </row>
    <row r="3905" spans="1:61" x14ac:dyDescent="0.25">
      <c r="A3905" s="62" t="s">
        <v>1202</v>
      </c>
      <c r="B3905" s="62" t="s">
        <v>1202</v>
      </c>
      <c r="C3905" s="63"/>
      <c r="D3905" s="64"/>
      <c r="E3905" s="65"/>
      <c r="F3905" s="66"/>
      <c r="G3905" s="63"/>
      <c r="H3905" s="67"/>
      <c r="I3905" s="68"/>
      <c r="J3905" s="68"/>
      <c r="K3905" s="32"/>
      <c r="L3905" s="75">
        <v>3905</v>
      </c>
      <c r="M3905" s="75"/>
      <c r="N3905" s="70"/>
      <c r="O3905" s="77" t="s">
        <v>179</v>
      </c>
      <c r="P3905" s="79">
        <v>45130.127557870372</v>
      </c>
      <c r="Q3905" s="77" t="s">
        <v>5109</v>
      </c>
      <c r="R3905" s="77">
        <v>0</v>
      </c>
      <c r="S3905" s="77">
        <v>0</v>
      </c>
      <c r="T3905" s="77">
        <v>0</v>
      </c>
      <c r="U3905" s="77">
        <v>0</v>
      </c>
      <c r="V3905" s="77">
        <v>29</v>
      </c>
      <c r="W3905" s="82" t="s">
        <v>7096</v>
      </c>
      <c r="X3905" s="77"/>
      <c r="Y3905" s="77"/>
      <c r="Z3905" s="77"/>
      <c r="AA3905" s="77" t="s">
        <v>10028</v>
      </c>
      <c r="AB3905" s="77" t="s">
        <v>10130</v>
      </c>
      <c r="AC3905" s="82" t="s">
        <v>10146</v>
      </c>
      <c r="AD3905" s="77" t="s">
        <v>10184</v>
      </c>
      <c r="AE3905" s="80" t="str">
        <f>HYPERLINK("https://twitter.com/bianobk1bianobk/status/1682949578860138496")</f>
        <v>https://twitter.com/bianobk1bianobk/status/1682949578860138496</v>
      </c>
      <c r="AF3905" s="79">
        <v>45130.127557870372</v>
      </c>
      <c r="AG3905" s="85">
        <v>45130</v>
      </c>
      <c r="AH3905" s="82" t="s">
        <v>13882</v>
      </c>
      <c r="AI3905" s="77" t="b">
        <v>0</v>
      </c>
      <c r="AJ3905" s="77"/>
      <c r="AK3905" s="77"/>
      <c r="AL3905" s="77"/>
      <c r="AM3905" s="77"/>
      <c r="AN3905" s="77"/>
      <c r="AO3905" s="77"/>
      <c r="AP3905" s="77"/>
      <c r="AQ3905" s="77" t="s">
        <v>16671</v>
      </c>
      <c r="AR3905" s="77"/>
      <c r="AS3905" s="77"/>
      <c r="AT3905" s="77"/>
      <c r="AU3905" s="77"/>
      <c r="AV3905" s="80" t="str">
        <f>HYPERLINK("https://pbs.twimg.com/media/F1sJkIgWwAEQNYL.jpg")</f>
        <v>https://pbs.twimg.com/media/F1sJkIgWwAEQNYL.jpg</v>
      </c>
      <c r="AW3905" s="82" t="s">
        <v>20669</v>
      </c>
      <c r="AX3905" s="82" t="s">
        <v>20669</v>
      </c>
      <c r="AY3905" s="77"/>
      <c r="AZ3905" s="82" t="s">
        <v>20971</v>
      </c>
      <c r="BA3905" s="82" t="s">
        <v>20971</v>
      </c>
      <c r="BB3905" s="82" t="s">
        <v>20971</v>
      </c>
      <c r="BC3905" s="82" t="s">
        <v>20669</v>
      </c>
      <c r="BD3905" s="82" t="s">
        <v>21749</v>
      </c>
      <c r="BE3905" s="77"/>
      <c r="BF3905" s="77"/>
      <c r="BG3905" s="77"/>
      <c r="BH3905" s="77"/>
      <c r="BI3905" s="77"/>
    </row>
    <row r="3906" spans="1:61" x14ac:dyDescent="0.25">
      <c r="A3906" s="62" t="s">
        <v>1202</v>
      </c>
      <c r="B3906" s="62" t="s">
        <v>1202</v>
      </c>
      <c r="C3906" s="63"/>
      <c r="D3906" s="64"/>
      <c r="E3906" s="65"/>
      <c r="F3906" s="66"/>
      <c r="G3906" s="63"/>
      <c r="H3906" s="67"/>
      <c r="I3906" s="68"/>
      <c r="J3906" s="68"/>
      <c r="K3906" s="32"/>
      <c r="L3906" s="75">
        <v>3906</v>
      </c>
      <c r="M3906" s="75"/>
      <c r="N3906" s="70"/>
      <c r="O3906" s="77" t="s">
        <v>179</v>
      </c>
      <c r="P3906" s="79">
        <v>45130.126782407409</v>
      </c>
      <c r="Q3906" s="77" t="s">
        <v>5110</v>
      </c>
      <c r="R3906" s="77">
        <v>0</v>
      </c>
      <c r="S3906" s="77">
        <v>0</v>
      </c>
      <c r="T3906" s="77">
        <v>0</v>
      </c>
      <c r="U3906" s="77">
        <v>0</v>
      </c>
      <c r="V3906" s="77">
        <v>16</v>
      </c>
      <c r="W3906" s="82" t="s">
        <v>7097</v>
      </c>
      <c r="X3906" s="80" t="str">
        <f>HYPERLINK("https://pay.kiwify.com.br/1eKuUje")</f>
        <v>https://pay.kiwify.com.br/1eKuUje</v>
      </c>
      <c r="Y3906" s="77" t="s">
        <v>7252</v>
      </c>
      <c r="Z3906" s="77"/>
      <c r="AA3906" s="77" t="s">
        <v>10029</v>
      </c>
      <c r="AB3906" s="77" t="s">
        <v>10130</v>
      </c>
      <c r="AC3906" s="82" t="s">
        <v>10146</v>
      </c>
      <c r="AD3906" s="77" t="s">
        <v>10184</v>
      </c>
      <c r="AE3906" s="80" t="str">
        <f>HYPERLINK("https://twitter.com/bianobk1bianobk/status/1682949296256106497")</f>
        <v>https://twitter.com/bianobk1bianobk/status/1682949296256106497</v>
      </c>
      <c r="AF3906" s="79">
        <v>45130.126782407409</v>
      </c>
      <c r="AG3906" s="85">
        <v>45130</v>
      </c>
      <c r="AH3906" s="82" t="s">
        <v>13883</v>
      </c>
      <c r="AI3906" s="77" t="b">
        <v>0</v>
      </c>
      <c r="AJ3906" s="77"/>
      <c r="AK3906" s="77"/>
      <c r="AL3906" s="77"/>
      <c r="AM3906" s="77"/>
      <c r="AN3906" s="77"/>
      <c r="AO3906" s="77"/>
      <c r="AP3906" s="77"/>
      <c r="AQ3906" s="77" t="s">
        <v>16672</v>
      </c>
      <c r="AR3906" s="77"/>
      <c r="AS3906" s="77"/>
      <c r="AT3906" s="77"/>
      <c r="AU3906" s="77"/>
      <c r="AV3906" s="80" t="str">
        <f>HYPERLINK("https://pbs.twimg.com/media/F1sJMo_XwAAybH_.jpg")</f>
        <v>https://pbs.twimg.com/media/F1sJMo_XwAAybH_.jpg</v>
      </c>
      <c r="AW3906" s="82" t="s">
        <v>20670</v>
      </c>
      <c r="AX3906" s="82" t="s">
        <v>20670</v>
      </c>
      <c r="AY3906" s="77"/>
      <c r="AZ3906" s="82" t="s">
        <v>20971</v>
      </c>
      <c r="BA3906" s="82" t="s">
        <v>20971</v>
      </c>
      <c r="BB3906" s="82" t="s">
        <v>20971</v>
      </c>
      <c r="BC3906" s="82" t="s">
        <v>20670</v>
      </c>
      <c r="BD3906" s="82" t="s">
        <v>21749</v>
      </c>
      <c r="BE3906" s="77"/>
      <c r="BF3906" s="77"/>
      <c r="BG3906" s="77"/>
      <c r="BH3906" s="77"/>
      <c r="BI3906" s="77"/>
    </row>
    <row r="3907" spans="1:61" x14ac:dyDescent="0.25">
      <c r="A3907" s="62" t="s">
        <v>1202</v>
      </c>
      <c r="B3907" s="62" t="s">
        <v>1202</v>
      </c>
      <c r="C3907" s="63"/>
      <c r="D3907" s="64"/>
      <c r="E3907" s="65"/>
      <c r="F3907" s="66"/>
      <c r="G3907" s="63"/>
      <c r="H3907" s="67"/>
      <c r="I3907" s="68"/>
      <c r="J3907" s="68"/>
      <c r="K3907" s="32"/>
      <c r="L3907" s="75">
        <v>3907</v>
      </c>
      <c r="M3907" s="75"/>
      <c r="N3907" s="70"/>
      <c r="O3907" s="77" t="s">
        <v>179</v>
      </c>
      <c r="P3907" s="79">
        <v>45130.125752314816</v>
      </c>
      <c r="Q3907" s="77" t="s">
        <v>5111</v>
      </c>
      <c r="R3907" s="77">
        <v>0</v>
      </c>
      <c r="S3907" s="77">
        <v>0</v>
      </c>
      <c r="T3907" s="77">
        <v>0</v>
      </c>
      <c r="U3907" s="77">
        <v>0</v>
      </c>
      <c r="V3907" s="77">
        <v>20</v>
      </c>
      <c r="W3907" s="82" t="s">
        <v>7098</v>
      </c>
      <c r="X3907" s="77"/>
      <c r="Y3907" s="77"/>
      <c r="Z3907" s="77"/>
      <c r="AA3907" s="77" t="s">
        <v>10030</v>
      </c>
      <c r="AB3907" s="77" t="s">
        <v>10130</v>
      </c>
      <c r="AC3907" s="82" t="s">
        <v>10146</v>
      </c>
      <c r="AD3907" s="77" t="s">
        <v>10184</v>
      </c>
      <c r="AE3907" s="80" t="str">
        <f>HYPERLINK("https://twitter.com/bianobk1bianobk/status/1682948922057318400")</f>
        <v>https://twitter.com/bianobk1bianobk/status/1682948922057318400</v>
      </c>
      <c r="AF3907" s="79">
        <v>45130.125752314816</v>
      </c>
      <c r="AG3907" s="85">
        <v>45130</v>
      </c>
      <c r="AH3907" s="82" t="s">
        <v>13884</v>
      </c>
      <c r="AI3907" s="77" t="b">
        <v>0</v>
      </c>
      <c r="AJ3907" s="77"/>
      <c r="AK3907" s="77"/>
      <c r="AL3907" s="77"/>
      <c r="AM3907" s="77"/>
      <c r="AN3907" s="77"/>
      <c r="AO3907" s="77"/>
      <c r="AP3907" s="77"/>
      <c r="AQ3907" s="77" t="s">
        <v>16673</v>
      </c>
      <c r="AR3907" s="77"/>
      <c r="AS3907" s="77"/>
      <c r="AT3907" s="77"/>
      <c r="AU3907" s="77"/>
      <c r="AV3907" s="80" t="str">
        <f>HYPERLINK("https://pbs.twimg.com/media/F1sI7uXWYAAzNq6.jpg")</f>
        <v>https://pbs.twimg.com/media/F1sI7uXWYAAzNq6.jpg</v>
      </c>
      <c r="AW3907" s="82" t="s">
        <v>20671</v>
      </c>
      <c r="AX3907" s="82" t="s">
        <v>20671</v>
      </c>
      <c r="AY3907" s="77"/>
      <c r="AZ3907" s="82" t="s">
        <v>20971</v>
      </c>
      <c r="BA3907" s="82" t="s">
        <v>20971</v>
      </c>
      <c r="BB3907" s="82" t="s">
        <v>20971</v>
      </c>
      <c r="BC3907" s="82" t="s">
        <v>20671</v>
      </c>
      <c r="BD3907" s="82" t="s">
        <v>21749</v>
      </c>
      <c r="BE3907" s="77"/>
      <c r="BF3907" s="77"/>
      <c r="BG3907" s="77"/>
      <c r="BH3907" s="77"/>
      <c r="BI3907" s="77"/>
    </row>
    <row r="3908" spans="1:61" x14ac:dyDescent="0.25">
      <c r="A3908" s="62" t="s">
        <v>1202</v>
      </c>
      <c r="B3908" s="62" t="s">
        <v>1202</v>
      </c>
      <c r="C3908" s="63"/>
      <c r="D3908" s="64"/>
      <c r="E3908" s="65"/>
      <c r="F3908" s="66"/>
      <c r="G3908" s="63"/>
      <c r="H3908" s="67"/>
      <c r="I3908" s="68"/>
      <c r="J3908" s="68"/>
      <c r="K3908" s="32"/>
      <c r="L3908" s="75">
        <v>3908</v>
      </c>
      <c r="M3908" s="75"/>
      <c r="N3908" s="70"/>
      <c r="O3908" s="77" t="s">
        <v>179</v>
      </c>
      <c r="P3908" s="79">
        <v>45130.123113425929</v>
      </c>
      <c r="Q3908" s="77" t="s">
        <v>5112</v>
      </c>
      <c r="R3908" s="77">
        <v>0</v>
      </c>
      <c r="S3908" s="77">
        <v>0</v>
      </c>
      <c r="T3908" s="77">
        <v>0</v>
      </c>
      <c r="U3908" s="77">
        <v>0</v>
      </c>
      <c r="V3908" s="77">
        <v>12</v>
      </c>
      <c r="W3908" s="82" t="s">
        <v>7099</v>
      </c>
      <c r="X3908" s="80" t="str">
        <f>HYPERLINK("https://pay.kiwify.com.br/1eKuUje")</f>
        <v>https://pay.kiwify.com.br/1eKuUje</v>
      </c>
      <c r="Y3908" s="77" t="s">
        <v>7252</v>
      </c>
      <c r="Z3908" s="77"/>
      <c r="AA3908" s="77" t="s">
        <v>10031</v>
      </c>
      <c r="AB3908" s="77" t="s">
        <v>10130</v>
      </c>
      <c r="AC3908" s="82" t="s">
        <v>10146</v>
      </c>
      <c r="AD3908" s="77" t="s">
        <v>10184</v>
      </c>
      <c r="AE3908" s="80" t="str">
        <f>HYPERLINK("https://twitter.com/bianobk1bianobk/status/1682947967207059457")</f>
        <v>https://twitter.com/bianobk1bianobk/status/1682947967207059457</v>
      </c>
      <c r="AF3908" s="79">
        <v>45130.123113425929</v>
      </c>
      <c r="AG3908" s="85">
        <v>45130</v>
      </c>
      <c r="AH3908" s="82" t="s">
        <v>13885</v>
      </c>
      <c r="AI3908" s="77" t="b">
        <v>0</v>
      </c>
      <c r="AJ3908" s="77"/>
      <c r="AK3908" s="77"/>
      <c r="AL3908" s="77"/>
      <c r="AM3908" s="77"/>
      <c r="AN3908" s="77"/>
      <c r="AO3908" s="77"/>
      <c r="AP3908" s="77"/>
      <c r="AQ3908" s="77" t="s">
        <v>16674</v>
      </c>
      <c r="AR3908" s="77"/>
      <c r="AS3908" s="77"/>
      <c r="AT3908" s="77"/>
      <c r="AU3908" s="77"/>
      <c r="AV3908" s="80" t="str">
        <f>HYPERLINK("https://pbs.twimg.com/media/F1sH6TjXwAEf4bx.jpg")</f>
        <v>https://pbs.twimg.com/media/F1sH6TjXwAEf4bx.jpg</v>
      </c>
      <c r="AW3908" s="82" t="s">
        <v>20672</v>
      </c>
      <c r="AX3908" s="82" t="s">
        <v>20672</v>
      </c>
      <c r="AY3908" s="77"/>
      <c r="AZ3908" s="82" t="s">
        <v>20971</v>
      </c>
      <c r="BA3908" s="82" t="s">
        <v>20971</v>
      </c>
      <c r="BB3908" s="82" t="s">
        <v>20971</v>
      </c>
      <c r="BC3908" s="82" t="s">
        <v>20672</v>
      </c>
      <c r="BD3908" s="82" t="s">
        <v>21749</v>
      </c>
      <c r="BE3908" s="77"/>
      <c r="BF3908" s="77"/>
      <c r="BG3908" s="77"/>
      <c r="BH3908" s="77"/>
      <c r="BI3908" s="77"/>
    </row>
    <row r="3909" spans="1:61" x14ac:dyDescent="0.25">
      <c r="A3909" s="62" t="s">
        <v>1202</v>
      </c>
      <c r="B3909" s="62" t="s">
        <v>1202</v>
      </c>
      <c r="C3909" s="63"/>
      <c r="D3909" s="64"/>
      <c r="E3909" s="65"/>
      <c r="F3909" s="66"/>
      <c r="G3909" s="63"/>
      <c r="H3909" s="67"/>
      <c r="I3909" s="68"/>
      <c r="J3909" s="68"/>
      <c r="K3909" s="32"/>
      <c r="L3909" s="75">
        <v>3909</v>
      </c>
      <c r="M3909" s="75"/>
      <c r="N3909" s="70"/>
      <c r="O3909" s="77" t="s">
        <v>179</v>
      </c>
      <c r="P3909" s="79">
        <v>45130.121423611112</v>
      </c>
      <c r="Q3909" s="77" t="s">
        <v>5113</v>
      </c>
      <c r="R3909" s="77">
        <v>0</v>
      </c>
      <c r="S3909" s="77">
        <v>0</v>
      </c>
      <c r="T3909" s="77">
        <v>0</v>
      </c>
      <c r="U3909" s="77">
        <v>0</v>
      </c>
      <c r="V3909" s="77">
        <v>12</v>
      </c>
      <c r="W3909" s="82" t="s">
        <v>7100</v>
      </c>
      <c r="X3909" s="80" t="str">
        <f>HYPERLINK("https://pay.kiwify.com.br/1eKuUje")</f>
        <v>https://pay.kiwify.com.br/1eKuUje</v>
      </c>
      <c r="Y3909" s="77" t="s">
        <v>7252</v>
      </c>
      <c r="Z3909" s="77"/>
      <c r="AA3909" s="77" t="s">
        <v>10032</v>
      </c>
      <c r="AB3909" s="77" t="s">
        <v>10130</v>
      </c>
      <c r="AC3909" s="82" t="s">
        <v>10146</v>
      </c>
      <c r="AD3909" s="77" t="s">
        <v>10184</v>
      </c>
      <c r="AE3909" s="80" t="str">
        <f>HYPERLINK("https://twitter.com/bianobk1bianobk/status/1682947354356248576")</f>
        <v>https://twitter.com/bianobk1bianobk/status/1682947354356248576</v>
      </c>
      <c r="AF3909" s="79">
        <v>45130.121423611112</v>
      </c>
      <c r="AG3909" s="85">
        <v>45130</v>
      </c>
      <c r="AH3909" s="82" t="s">
        <v>13886</v>
      </c>
      <c r="AI3909" s="77" t="b">
        <v>0</v>
      </c>
      <c r="AJ3909" s="77"/>
      <c r="AK3909" s="77"/>
      <c r="AL3909" s="77"/>
      <c r="AM3909" s="77"/>
      <c r="AN3909" s="77"/>
      <c r="AO3909" s="77"/>
      <c r="AP3909" s="77"/>
      <c r="AQ3909" s="77" t="s">
        <v>16675</v>
      </c>
      <c r="AR3909" s="77"/>
      <c r="AS3909" s="77"/>
      <c r="AT3909" s="77"/>
      <c r="AU3909" s="77"/>
      <c r="AV3909" s="80" t="str">
        <f>HYPERLINK("https://pbs.twimg.com/media/F1sHf8kWYAAJCe9.jpg")</f>
        <v>https://pbs.twimg.com/media/F1sHf8kWYAAJCe9.jpg</v>
      </c>
      <c r="AW3909" s="82" t="s">
        <v>20673</v>
      </c>
      <c r="AX3909" s="82" t="s">
        <v>20673</v>
      </c>
      <c r="AY3909" s="77"/>
      <c r="AZ3909" s="82" t="s">
        <v>20971</v>
      </c>
      <c r="BA3909" s="82" t="s">
        <v>20971</v>
      </c>
      <c r="BB3909" s="82" t="s">
        <v>20971</v>
      </c>
      <c r="BC3909" s="82" t="s">
        <v>20673</v>
      </c>
      <c r="BD3909" s="82" t="s">
        <v>21749</v>
      </c>
      <c r="BE3909" s="77"/>
      <c r="BF3909" s="77"/>
      <c r="BG3909" s="77"/>
      <c r="BH3909" s="77"/>
      <c r="BI3909" s="77"/>
    </row>
    <row r="3910" spans="1:61" x14ac:dyDescent="0.25">
      <c r="A3910" s="62" t="s">
        <v>1202</v>
      </c>
      <c r="B3910" s="62" t="s">
        <v>1202</v>
      </c>
      <c r="C3910" s="63"/>
      <c r="D3910" s="64"/>
      <c r="E3910" s="65"/>
      <c r="F3910" s="66"/>
      <c r="G3910" s="63"/>
      <c r="H3910" s="67"/>
      <c r="I3910" s="68"/>
      <c r="J3910" s="68"/>
      <c r="K3910" s="32"/>
      <c r="L3910" s="75">
        <v>3910</v>
      </c>
      <c r="M3910" s="75"/>
      <c r="N3910" s="70"/>
      <c r="O3910" s="77" t="s">
        <v>179</v>
      </c>
      <c r="P3910" s="79">
        <v>45130.120439814818</v>
      </c>
      <c r="Q3910" s="77" t="s">
        <v>5114</v>
      </c>
      <c r="R3910" s="77">
        <v>0</v>
      </c>
      <c r="S3910" s="77">
        <v>0</v>
      </c>
      <c r="T3910" s="77">
        <v>0</v>
      </c>
      <c r="U3910" s="77">
        <v>0</v>
      </c>
      <c r="V3910" s="77">
        <v>64</v>
      </c>
      <c r="W3910" s="82" t="s">
        <v>7101</v>
      </c>
      <c r="X3910" s="80" t="str">
        <f>HYPERLINK("https://pay.kiwify.com.br/1eKuUje")</f>
        <v>https://pay.kiwify.com.br/1eKuUje</v>
      </c>
      <c r="Y3910" s="77" t="s">
        <v>7252</v>
      </c>
      <c r="Z3910" s="77"/>
      <c r="AA3910" s="77" t="s">
        <v>10033</v>
      </c>
      <c r="AB3910" s="77" t="s">
        <v>10130</v>
      </c>
      <c r="AC3910" s="82" t="s">
        <v>10146</v>
      </c>
      <c r="AD3910" s="77" t="s">
        <v>10184</v>
      </c>
      <c r="AE3910" s="80" t="str">
        <f>HYPERLINK("https://twitter.com/bianobk1bianobk/status/1682946998003957760")</f>
        <v>https://twitter.com/bianobk1bianobk/status/1682946998003957760</v>
      </c>
      <c r="AF3910" s="79">
        <v>45130.120439814818</v>
      </c>
      <c r="AG3910" s="85">
        <v>45130</v>
      </c>
      <c r="AH3910" s="82" t="s">
        <v>13887</v>
      </c>
      <c r="AI3910" s="77" t="b">
        <v>0</v>
      </c>
      <c r="AJ3910" s="77"/>
      <c r="AK3910" s="77"/>
      <c r="AL3910" s="77"/>
      <c r="AM3910" s="77"/>
      <c r="AN3910" s="77"/>
      <c r="AO3910" s="77"/>
      <c r="AP3910" s="77"/>
      <c r="AQ3910" s="77" t="s">
        <v>16676</v>
      </c>
      <c r="AR3910" s="77"/>
      <c r="AS3910" s="77"/>
      <c r="AT3910" s="77"/>
      <c r="AU3910" s="77"/>
      <c r="AV3910" s="80" t="str">
        <f>HYPERLINK("https://pbs.twimg.com/media/F1sHLHFWYAEIldu.jpg")</f>
        <v>https://pbs.twimg.com/media/F1sHLHFWYAEIldu.jpg</v>
      </c>
      <c r="AW3910" s="82" t="s">
        <v>20674</v>
      </c>
      <c r="AX3910" s="82" t="s">
        <v>20674</v>
      </c>
      <c r="AY3910" s="77"/>
      <c r="AZ3910" s="82" t="s">
        <v>20971</v>
      </c>
      <c r="BA3910" s="82" t="s">
        <v>20971</v>
      </c>
      <c r="BB3910" s="82" t="s">
        <v>20971</v>
      </c>
      <c r="BC3910" s="82" t="s">
        <v>20674</v>
      </c>
      <c r="BD3910" s="82" t="s">
        <v>21749</v>
      </c>
      <c r="BE3910" s="77"/>
      <c r="BF3910" s="77"/>
      <c r="BG3910" s="77"/>
      <c r="BH3910" s="77"/>
      <c r="BI3910" s="77"/>
    </row>
    <row r="3911" spans="1:61" x14ac:dyDescent="0.25">
      <c r="A3911" s="62" t="s">
        <v>1202</v>
      </c>
      <c r="B3911" s="62" t="s">
        <v>1202</v>
      </c>
      <c r="C3911" s="63"/>
      <c r="D3911" s="64"/>
      <c r="E3911" s="65"/>
      <c r="F3911" s="66"/>
      <c r="G3911" s="63"/>
      <c r="H3911" s="67"/>
      <c r="I3911" s="68"/>
      <c r="J3911" s="68"/>
      <c r="K3911" s="32"/>
      <c r="L3911" s="75">
        <v>3911</v>
      </c>
      <c r="M3911" s="75"/>
      <c r="N3911" s="70"/>
      <c r="O3911" s="77" t="s">
        <v>179</v>
      </c>
      <c r="P3911" s="79">
        <v>45130.119398148148</v>
      </c>
      <c r="Q3911" s="77" t="s">
        <v>5115</v>
      </c>
      <c r="R3911" s="77">
        <v>0</v>
      </c>
      <c r="S3911" s="77">
        <v>0</v>
      </c>
      <c r="T3911" s="77">
        <v>0</v>
      </c>
      <c r="U3911" s="77">
        <v>0</v>
      </c>
      <c r="V3911" s="77">
        <v>12</v>
      </c>
      <c r="W3911" s="82" t="s">
        <v>7102</v>
      </c>
      <c r="X3911" s="80" t="str">
        <f>HYPERLINK("https://pay.kiwify.com.br/1eKuUje")</f>
        <v>https://pay.kiwify.com.br/1eKuUje</v>
      </c>
      <c r="Y3911" s="77" t="s">
        <v>7252</v>
      </c>
      <c r="Z3911" s="77"/>
      <c r="AA3911" s="77" t="s">
        <v>10034</v>
      </c>
      <c r="AB3911" s="77" t="s">
        <v>10130</v>
      </c>
      <c r="AC3911" s="82" t="s">
        <v>10146</v>
      </c>
      <c r="AD3911" s="77" t="s">
        <v>10184</v>
      </c>
      <c r="AE3911" s="80" t="str">
        <f>HYPERLINK("https://twitter.com/bianobk1bianobk/status/1682946618314686464")</f>
        <v>https://twitter.com/bianobk1bianobk/status/1682946618314686464</v>
      </c>
      <c r="AF3911" s="79">
        <v>45130.119398148148</v>
      </c>
      <c r="AG3911" s="85">
        <v>45130</v>
      </c>
      <c r="AH3911" s="82" t="s">
        <v>13888</v>
      </c>
      <c r="AI3911" s="77" t="b">
        <v>0</v>
      </c>
      <c r="AJ3911" s="77"/>
      <c r="AK3911" s="77"/>
      <c r="AL3911" s="77"/>
      <c r="AM3911" s="77"/>
      <c r="AN3911" s="77"/>
      <c r="AO3911" s="77"/>
      <c r="AP3911" s="77"/>
      <c r="AQ3911" s="77" t="s">
        <v>16677</v>
      </c>
      <c r="AR3911" s="77"/>
      <c r="AS3911" s="77"/>
      <c r="AT3911" s="77"/>
      <c r="AU3911" s="77"/>
      <c r="AV3911" s="80" t="str">
        <f>HYPERLINK("https://pbs.twimg.com/media/F1sGil1XsAE8wQV.jpg")</f>
        <v>https://pbs.twimg.com/media/F1sGil1XsAE8wQV.jpg</v>
      </c>
      <c r="AW3911" s="82" t="s">
        <v>20675</v>
      </c>
      <c r="AX3911" s="82" t="s">
        <v>20675</v>
      </c>
      <c r="AY3911" s="77"/>
      <c r="AZ3911" s="82" t="s">
        <v>20971</v>
      </c>
      <c r="BA3911" s="82" t="s">
        <v>20971</v>
      </c>
      <c r="BB3911" s="82" t="s">
        <v>20971</v>
      </c>
      <c r="BC3911" s="82" t="s">
        <v>20675</v>
      </c>
      <c r="BD3911" s="82" t="s">
        <v>21749</v>
      </c>
      <c r="BE3911" s="77"/>
      <c r="BF3911" s="77"/>
      <c r="BG3911" s="77"/>
      <c r="BH3911" s="77"/>
      <c r="BI3911" s="77"/>
    </row>
    <row r="3912" spans="1:61" x14ac:dyDescent="0.25">
      <c r="A3912" s="62" t="s">
        <v>1202</v>
      </c>
      <c r="B3912" s="62" t="s">
        <v>1202</v>
      </c>
      <c r="C3912" s="63"/>
      <c r="D3912" s="64"/>
      <c r="E3912" s="65"/>
      <c r="F3912" s="66"/>
      <c r="G3912" s="63"/>
      <c r="H3912" s="67"/>
      <c r="I3912" s="68"/>
      <c r="J3912" s="68"/>
      <c r="K3912" s="32"/>
      <c r="L3912" s="75">
        <v>3912</v>
      </c>
      <c r="M3912" s="75"/>
      <c r="N3912" s="70"/>
      <c r="O3912" s="77" t="s">
        <v>179</v>
      </c>
      <c r="P3912" s="79">
        <v>45130.117685185185</v>
      </c>
      <c r="Q3912" s="77" t="s">
        <v>5116</v>
      </c>
      <c r="R3912" s="77">
        <v>0</v>
      </c>
      <c r="S3912" s="77">
        <v>0</v>
      </c>
      <c r="T3912" s="77">
        <v>0</v>
      </c>
      <c r="U3912" s="77">
        <v>0</v>
      </c>
      <c r="V3912" s="77">
        <v>10</v>
      </c>
      <c r="W3912" s="82" t="s">
        <v>7103</v>
      </c>
      <c r="X3912" s="80" t="str">
        <f>HYPERLINK("https://pay.kiwify.com.br/1eKuUje")</f>
        <v>https://pay.kiwify.com.br/1eKuUje</v>
      </c>
      <c r="Y3912" s="77" t="s">
        <v>7252</v>
      </c>
      <c r="Z3912" s="77"/>
      <c r="AA3912" s="77" t="s">
        <v>10035</v>
      </c>
      <c r="AB3912" s="77" t="s">
        <v>10130</v>
      </c>
      <c r="AC3912" s="82" t="s">
        <v>10146</v>
      </c>
      <c r="AD3912" s="77" t="s">
        <v>10184</v>
      </c>
      <c r="AE3912" s="80" t="str">
        <f>HYPERLINK("https://twitter.com/bianobk1bianobk/status/1682946001215135745")</f>
        <v>https://twitter.com/bianobk1bianobk/status/1682946001215135745</v>
      </c>
      <c r="AF3912" s="79">
        <v>45130.117685185185</v>
      </c>
      <c r="AG3912" s="85">
        <v>45130</v>
      </c>
      <c r="AH3912" s="82" t="s">
        <v>13889</v>
      </c>
      <c r="AI3912" s="77" t="b">
        <v>0</v>
      </c>
      <c r="AJ3912" s="77"/>
      <c r="AK3912" s="77"/>
      <c r="AL3912" s="77"/>
      <c r="AM3912" s="77"/>
      <c r="AN3912" s="77"/>
      <c r="AO3912" s="77"/>
      <c r="AP3912" s="77"/>
      <c r="AQ3912" s="77" t="s">
        <v>16678</v>
      </c>
      <c r="AR3912" s="77"/>
      <c r="AS3912" s="77"/>
      <c r="AT3912" s="77"/>
      <c r="AU3912" s="77"/>
      <c r="AV3912" s="80" t="str">
        <f>HYPERLINK("https://pbs.twimg.com/media/F1sF7QpWIAAu6PQ.jpg")</f>
        <v>https://pbs.twimg.com/media/F1sF7QpWIAAu6PQ.jpg</v>
      </c>
      <c r="AW3912" s="82" t="s">
        <v>20676</v>
      </c>
      <c r="AX3912" s="82" t="s">
        <v>20676</v>
      </c>
      <c r="AY3912" s="77"/>
      <c r="AZ3912" s="82" t="s">
        <v>20971</v>
      </c>
      <c r="BA3912" s="82" t="s">
        <v>20971</v>
      </c>
      <c r="BB3912" s="82" t="s">
        <v>20971</v>
      </c>
      <c r="BC3912" s="82" t="s">
        <v>20676</v>
      </c>
      <c r="BD3912" s="82" t="s">
        <v>21749</v>
      </c>
      <c r="BE3912" s="77"/>
      <c r="BF3912" s="77"/>
      <c r="BG3912" s="77"/>
      <c r="BH3912" s="77"/>
      <c r="BI3912" s="77"/>
    </row>
    <row r="3913" spans="1:61" x14ac:dyDescent="0.25">
      <c r="A3913" s="62" t="s">
        <v>1202</v>
      </c>
      <c r="B3913" s="62" t="s">
        <v>1202</v>
      </c>
      <c r="C3913" s="63"/>
      <c r="D3913" s="64"/>
      <c r="E3913" s="65"/>
      <c r="F3913" s="66"/>
      <c r="G3913" s="63"/>
      <c r="H3913" s="67"/>
      <c r="I3913" s="68"/>
      <c r="J3913" s="68"/>
      <c r="K3913" s="32"/>
      <c r="L3913" s="75">
        <v>3913</v>
      </c>
      <c r="M3913" s="75"/>
      <c r="N3913" s="70"/>
      <c r="O3913" s="77" t="s">
        <v>179</v>
      </c>
      <c r="P3913" s="79">
        <v>45130.111481481479</v>
      </c>
      <c r="Q3913" s="77" t="s">
        <v>5117</v>
      </c>
      <c r="R3913" s="77">
        <v>0</v>
      </c>
      <c r="S3913" s="77">
        <v>0</v>
      </c>
      <c r="T3913" s="77">
        <v>0</v>
      </c>
      <c r="U3913" s="77">
        <v>0</v>
      </c>
      <c r="V3913" s="77">
        <v>9</v>
      </c>
      <c r="W3913" s="82" t="s">
        <v>7104</v>
      </c>
      <c r="X3913" s="77"/>
      <c r="Y3913" s="77"/>
      <c r="Z3913" s="77"/>
      <c r="AA3913" s="77" t="s">
        <v>10036</v>
      </c>
      <c r="AB3913" s="77" t="s">
        <v>10130</v>
      </c>
      <c r="AC3913" s="82" t="s">
        <v>10146</v>
      </c>
      <c r="AD3913" s="77" t="s">
        <v>10184</v>
      </c>
      <c r="AE3913" s="80" t="str">
        <f>HYPERLINK("https://twitter.com/bianobk1bianobk/status/1682943751445004288")</f>
        <v>https://twitter.com/bianobk1bianobk/status/1682943751445004288</v>
      </c>
      <c r="AF3913" s="79">
        <v>45130.111481481479</v>
      </c>
      <c r="AG3913" s="85">
        <v>45130</v>
      </c>
      <c r="AH3913" s="82" t="s">
        <v>13890</v>
      </c>
      <c r="AI3913" s="77" t="b">
        <v>0</v>
      </c>
      <c r="AJ3913" s="77"/>
      <c r="AK3913" s="77"/>
      <c r="AL3913" s="77"/>
      <c r="AM3913" s="77"/>
      <c r="AN3913" s="77"/>
      <c r="AO3913" s="77"/>
      <c r="AP3913" s="77"/>
      <c r="AQ3913" s="77" t="s">
        <v>16679</v>
      </c>
      <c r="AR3913" s="77"/>
      <c r="AS3913" s="77"/>
      <c r="AT3913" s="77"/>
      <c r="AU3913" s="77"/>
      <c r="AV3913" s="80" t="str">
        <f>HYPERLINK("https://pbs.twimg.com/media/F1sEKOaXwAAtPn2.jpg")</f>
        <v>https://pbs.twimg.com/media/F1sEKOaXwAAtPn2.jpg</v>
      </c>
      <c r="AW3913" s="82" t="s">
        <v>20677</v>
      </c>
      <c r="AX3913" s="82" t="s">
        <v>20677</v>
      </c>
      <c r="AY3913" s="77"/>
      <c r="AZ3913" s="82" t="s">
        <v>20971</v>
      </c>
      <c r="BA3913" s="82" t="s">
        <v>20971</v>
      </c>
      <c r="BB3913" s="82" t="s">
        <v>20971</v>
      </c>
      <c r="BC3913" s="82" t="s">
        <v>20677</v>
      </c>
      <c r="BD3913" s="82" t="s">
        <v>21749</v>
      </c>
      <c r="BE3913" s="77"/>
      <c r="BF3913" s="77"/>
      <c r="BG3913" s="77"/>
      <c r="BH3913" s="77"/>
      <c r="BI3913" s="77"/>
    </row>
    <row r="3914" spans="1:61" x14ac:dyDescent="0.25">
      <c r="A3914" s="62" t="s">
        <v>1202</v>
      </c>
      <c r="B3914" s="62" t="s">
        <v>1202</v>
      </c>
      <c r="C3914" s="63"/>
      <c r="D3914" s="64"/>
      <c r="E3914" s="65"/>
      <c r="F3914" s="66"/>
      <c r="G3914" s="63"/>
      <c r="H3914" s="67"/>
      <c r="I3914" s="68"/>
      <c r="J3914" s="68"/>
      <c r="K3914" s="32"/>
      <c r="L3914" s="75">
        <v>3914</v>
      </c>
      <c r="M3914" s="75"/>
      <c r="N3914" s="70"/>
      <c r="O3914" s="77" t="s">
        <v>179</v>
      </c>
      <c r="P3914" s="79">
        <v>45130.110138888886</v>
      </c>
      <c r="Q3914" s="77" t="s">
        <v>5118</v>
      </c>
      <c r="R3914" s="77">
        <v>0</v>
      </c>
      <c r="S3914" s="77">
        <v>0</v>
      </c>
      <c r="T3914" s="77">
        <v>0</v>
      </c>
      <c r="U3914" s="77">
        <v>0</v>
      </c>
      <c r="V3914" s="77">
        <v>19</v>
      </c>
      <c r="W3914" s="82" t="s">
        <v>7105</v>
      </c>
      <c r="X3914" s="77"/>
      <c r="Y3914" s="77"/>
      <c r="Z3914" s="77"/>
      <c r="AA3914" s="77" t="s">
        <v>10037</v>
      </c>
      <c r="AB3914" s="77" t="s">
        <v>10130</v>
      </c>
      <c r="AC3914" s="82" t="s">
        <v>10146</v>
      </c>
      <c r="AD3914" s="77" t="s">
        <v>10184</v>
      </c>
      <c r="AE3914" s="80" t="str">
        <f>HYPERLINK("https://twitter.com/bianobk1bianobk/status/1682943266075885568")</f>
        <v>https://twitter.com/bianobk1bianobk/status/1682943266075885568</v>
      </c>
      <c r="AF3914" s="79">
        <v>45130.110138888886</v>
      </c>
      <c r="AG3914" s="85">
        <v>45130</v>
      </c>
      <c r="AH3914" s="82" t="s">
        <v>13891</v>
      </c>
      <c r="AI3914" s="77" t="b">
        <v>0</v>
      </c>
      <c r="AJ3914" s="77"/>
      <c r="AK3914" s="77"/>
      <c r="AL3914" s="77"/>
      <c r="AM3914" s="77"/>
      <c r="AN3914" s="77"/>
      <c r="AO3914" s="77"/>
      <c r="AP3914" s="77"/>
      <c r="AQ3914" s="77" t="s">
        <v>16680</v>
      </c>
      <c r="AR3914" s="77"/>
      <c r="AS3914" s="77"/>
      <c r="AT3914" s="77"/>
      <c r="AU3914" s="77"/>
      <c r="AV3914" s="80" t="str">
        <f>HYPERLINK("https://pbs.twimg.com/media/F1sDwvxXoAAXVOd.jpg")</f>
        <v>https://pbs.twimg.com/media/F1sDwvxXoAAXVOd.jpg</v>
      </c>
      <c r="AW3914" s="82" t="s">
        <v>20678</v>
      </c>
      <c r="AX3914" s="82" t="s">
        <v>20678</v>
      </c>
      <c r="AY3914" s="77"/>
      <c r="AZ3914" s="82" t="s">
        <v>20971</v>
      </c>
      <c r="BA3914" s="82" t="s">
        <v>20971</v>
      </c>
      <c r="BB3914" s="82" t="s">
        <v>20971</v>
      </c>
      <c r="BC3914" s="82" t="s">
        <v>20678</v>
      </c>
      <c r="BD3914" s="82" t="s">
        <v>21749</v>
      </c>
      <c r="BE3914" s="77"/>
      <c r="BF3914" s="77"/>
      <c r="BG3914" s="77"/>
      <c r="BH3914" s="77"/>
      <c r="BI3914" s="77"/>
    </row>
    <row r="3915" spans="1:61" x14ac:dyDescent="0.25">
      <c r="A3915" s="62" t="s">
        <v>1202</v>
      </c>
      <c r="B3915" s="62" t="s">
        <v>1202</v>
      </c>
      <c r="C3915" s="63"/>
      <c r="D3915" s="64"/>
      <c r="E3915" s="65"/>
      <c r="F3915" s="66"/>
      <c r="G3915" s="63"/>
      <c r="H3915" s="67"/>
      <c r="I3915" s="68"/>
      <c r="J3915" s="68"/>
      <c r="K3915" s="32"/>
      <c r="L3915" s="75">
        <v>3915</v>
      </c>
      <c r="M3915" s="75"/>
      <c r="N3915" s="70"/>
      <c r="O3915" s="77" t="s">
        <v>179</v>
      </c>
      <c r="P3915" s="79">
        <v>45130.109236111108</v>
      </c>
      <c r="Q3915" s="77" t="s">
        <v>5119</v>
      </c>
      <c r="R3915" s="77">
        <v>0</v>
      </c>
      <c r="S3915" s="77">
        <v>0</v>
      </c>
      <c r="T3915" s="77">
        <v>0</v>
      </c>
      <c r="U3915" s="77">
        <v>0</v>
      </c>
      <c r="V3915" s="77">
        <v>17</v>
      </c>
      <c r="W3915" s="82" t="s">
        <v>7106</v>
      </c>
      <c r="X3915" s="77"/>
      <c r="Y3915" s="77"/>
      <c r="Z3915" s="77"/>
      <c r="AA3915" s="77" t="s">
        <v>10038</v>
      </c>
      <c r="AB3915" s="77" t="s">
        <v>10130</v>
      </c>
      <c r="AC3915" s="82" t="s">
        <v>10146</v>
      </c>
      <c r="AD3915" s="77" t="s">
        <v>10184</v>
      </c>
      <c r="AE3915" s="80" t="str">
        <f>HYPERLINK("https://twitter.com/bianobk1bianobk/status/1682942935900323840")</f>
        <v>https://twitter.com/bianobk1bianobk/status/1682942935900323840</v>
      </c>
      <c r="AF3915" s="79">
        <v>45130.109236111108</v>
      </c>
      <c r="AG3915" s="85">
        <v>45130</v>
      </c>
      <c r="AH3915" s="82" t="s">
        <v>13892</v>
      </c>
      <c r="AI3915" s="77" t="b">
        <v>0</v>
      </c>
      <c r="AJ3915" s="77"/>
      <c r="AK3915" s="77"/>
      <c r="AL3915" s="77"/>
      <c r="AM3915" s="77"/>
      <c r="AN3915" s="77"/>
      <c r="AO3915" s="77"/>
      <c r="AP3915" s="77"/>
      <c r="AQ3915" s="77" t="s">
        <v>16681</v>
      </c>
      <c r="AR3915" s="77"/>
      <c r="AS3915" s="77"/>
      <c r="AT3915" s="77"/>
      <c r="AU3915" s="77"/>
      <c r="AV3915" s="80" t="str">
        <f>HYPERLINK("https://pbs.twimg.com/media/F1sDfYrWAAAMdhD.jpg")</f>
        <v>https://pbs.twimg.com/media/F1sDfYrWAAAMdhD.jpg</v>
      </c>
      <c r="AW3915" s="82" t="s">
        <v>20679</v>
      </c>
      <c r="AX3915" s="82" t="s">
        <v>20679</v>
      </c>
      <c r="AY3915" s="77"/>
      <c r="AZ3915" s="82" t="s">
        <v>20971</v>
      </c>
      <c r="BA3915" s="82" t="s">
        <v>20971</v>
      </c>
      <c r="BB3915" s="82" t="s">
        <v>20971</v>
      </c>
      <c r="BC3915" s="82" t="s">
        <v>20679</v>
      </c>
      <c r="BD3915" s="82" t="s">
        <v>21749</v>
      </c>
      <c r="BE3915" s="77"/>
      <c r="BF3915" s="77"/>
      <c r="BG3915" s="77"/>
      <c r="BH3915" s="77"/>
      <c r="BI3915" s="77"/>
    </row>
    <row r="3916" spans="1:61" x14ac:dyDescent="0.25">
      <c r="A3916" s="62" t="s">
        <v>1202</v>
      </c>
      <c r="B3916" s="62" t="s">
        <v>1202</v>
      </c>
      <c r="C3916" s="63"/>
      <c r="D3916" s="64"/>
      <c r="E3916" s="65"/>
      <c r="F3916" s="66"/>
      <c r="G3916" s="63"/>
      <c r="H3916" s="67"/>
      <c r="I3916" s="68"/>
      <c r="J3916" s="68"/>
      <c r="K3916" s="32"/>
      <c r="L3916" s="75">
        <v>3916</v>
      </c>
      <c r="M3916" s="75"/>
      <c r="N3916" s="70"/>
      <c r="O3916" s="77" t="s">
        <v>179</v>
      </c>
      <c r="P3916" s="79">
        <v>45130.107662037037</v>
      </c>
      <c r="Q3916" s="77" t="s">
        <v>5120</v>
      </c>
      <c r="R3916" s="77">
        <v>0</v>
      </c>
      <c r="S3916" s="77">
        <v>0</v>
      </c>
      <c r="T3916" s="77">
        <v>0</v>
      </c>
      <c r="U3916" s="77">
        <v>0</v>
      </c>
      <c r="V3916" s="77">
        <v>8</v>
      </c>
      <c r="W3916" s="82" t="s">
        <v>7107</v>
      </c>
      <c r="X3916" s="77"/>
      <c r="Y3916" s="77"/>
      <c r="Z3916" s="77"/>
      <c r="AA3916" s="77" t="s">
        <v>10039</v>
      </c>
      <c r="AB3916" s="77" t="s">
        <v>10130</v>
      </c>
      <c r="AC3916" s="82" t="s">
        <v>10146</v>
      </c>
      <c r="AD3916" s="77" t="s">
        <v>10184</v>
      </c>
      <c r="AE3916" s="80" t="str">
        <f>HYPERLINK("https://twitter.com/bianobk1bianobk/status/1682942368515850240")</f>
        <v>https://twitter.com/bianobk1bianobk/status/1682942368515850240</v>
      </c>
      <c r="AF3916" s="79">
        <v>45130.107662037037</v>
      </c>
      <c r="AG3916" s="85">
        <v>45130</v>
      </c>
      <c r="AH3916" s="82" t="s">
        <v>13893</v>
      </c>
      <c r="AI3916" s="77" t="b">
        <v>0</v>
      </c>
      <c r="AJ3916" s="77"/>
      <c r="AK3916" s="77"/>
      <c r="AL3916" s="77"/>
      <c r="AM3916" s="77"/>
      <c r="AN3916" s="77"/>
      <c r="AO3916" s="77"/>
      <c r="AP3916" s="77"/>
      <c r="AQ3916" s="77" t="s">
        <v>16682</v>
      </c>
      <c r="AR3916" s="77"/>
      <c r="AS3916" s="77"/>
      <c r="AT3916" s="77"/>
      <c r="AU3916" s="77"/>
      <c r="AV3916" s="80" t="str">
        <f>HYPERLINK("https://pbs.twimg.com/media/F1sC6khXwAAcm7F.jpg")</f>
        <v>https://pbs.twimg.com/media/F1sC6khXwAAcm7F.jpg</v>
      </c>
      <c r="AW3916" s="82" t="s">
        <v>20680</v>
      </c>
      <c r="AX3916" s="82" t="s">
        <v>20680</v>
      </c>
      <c r="AY3916" s="77"/>
      <c r="AZ3916" s="82" t="s">
        <v>20971</v>
      </c>
      <c r="BA3916" s="82" t="s">
        <v>20971</v>
      </c>
      <c r="BB3916" s="82" t="s">
        <v>20971</v>
      </c>
      <c r="BC3916" s="82" t="s">
        <v>20680</v>
      </c>
      <c r="BD3916" s="82" t="s">
        <v>21749</v>
      </c>
      <c r="BE3916" s="77"/>
      <c r="BF3916" s="77"/>
      <c r="BG3916" s="77"/>
      <c r="BH3916" s="77"/>
      <c r="BI3916" s="77"/>
    </row>
    <row r="3917" spans="1:61" x14ac:dyDescent="0.25">
      <c r="A3917" s="62" t="s">
        <v>1202</v>
      </c>
      <c r="B3917" s="62" t="s">
        <v>1202</v>
      </c>
      <c r="C3917" s="63"/>
      <c r="D3917" s="64"/>
      <c r="E3917" s="65"/>
      <c r="F3917" s="66"/>
      <c r="G3917" s="63"/>
      <c r="H3917" s="67"/>
      <c r="I3917" s="68"/>
      <c r="J3917" s="68"/>
      <c r="K3917" s="32"/>
      <c r="L3917" s="75">
        <v>3917</v>
      </c>
      <c r="M3917" s="75"/>
      <c r="N3917" s="70"/>
      <c r="O3917" s="77" t="s">
        <v>179</v>
      </c>
      <c r="P3917" s="79">
        <v>45130.106122685182</v>
      </c>
      <c r="Q3917" s="77" t="s">
        <v>5121</v>
      </c>
      <c r="R3917" s="77">
        <v>0</v>
      </c>
      <c r="S3917" s="77">
        <v>0</v>
      </c>
      <c r="T3917" s="77">
        <v>0</v>
      </c>
      <c r="U3917" s="77">
        <v>0</v>
      </c>
      <c r="V3917" s="77">
        <v>21</v>
      </c>
      <c r="W3917" s="82" t="s">
        <v>7108</v>
      </c>
      <c r="X3917" s="77"/>
      <c r="Y3917" s="77"/>
      <c r="Z3917" s="77"/>
      <c r="AA3917" s="77" t="s">
        <v>10040</v>
      </c>
      <c r="AB3917" s="77" t="s">
        <v>10130</v>
      </c>
      <c r="AC3917" s="82" t="s">
        <v>10146</v>
      </c>
      <c r="AD3917" s="77" t="s">
        <v>10184</v>
      </c>
      <c r="AE3917" s="80" t="str">
        <f>HYPERLINK("https://twitter.com/bianobk1bianobk/status/1682941809939595265")</f>
        <v>https://twitter.com/bianobk1bianobk/status/1682941809939595265</v>
      </c>
      <c r="AF3917" s="79">
        <v>45130.106122685182</v>
      </c>
      <c r="AG3917" s="85">
        <v>45130</v>
      </c>
      <c r="AH3917" s="82" t="s">
        <v>13894</v>
      </c>
      <c r="AI3917" s="77" t="b">
        <v>0</v>
      </c>
      <c r="AJ3917" s="77"/>
      <c r="AK3917" s="77"/>
      <c r="AL3917" s="77"/>
      <c r="AM3917" s="77"/>
      <c r="AN3917" s="77"/>
      <c r="AO3917" s="77"/>
      <c r="AP3917" s="77"/>
      <c r="AQ3917" s="77" t="s">
        <v>16683</v>
      </c>
      <c r="AR3917" s="77"/>
      <c r="AS3917" s="77"/>
      <c r="AT3917" s="77"/>
      <c r="AU3917" s="77"/>
      <c r="AV3917" s="80" t="str">
        <f>HYPERLINK("https://pbs.twimg.com/media/F1sCZy4WcAIF9ua.jpg")</f>
        <v>https://pbs.twimg.com/media/F1sCZy4WcAIF9ua.jpg</v>
      </c>
      <c r="AW3917" s="82" t="s">
        <v>20681</v>
      </c>
      <c r="AX3917" s="82" t="s">
        <v>20681</v>
      </c>
      <c r="AY3917" s="77"/>
      <c r="AZ3917" s="82" t="s">
        <v>20971</v>
      </c>
      <c r="BA3917" s="82" t="s">
        <v>20971</v>
      </c>
      <c r="BB3917" s="82" t="s">
        <v>20971</v>
      </c>
      <c r="BC3917" s="82" t="s">
        <v>20681</v>
      </c>
      <c r="BD3917" s="82" t="s">
        <v>21749</v>
      </c>
      <c r="BE3917" s="77"/>
      <c r="BF3917" s="77"/>
      <c r="BG3917" s="77"/>
      <c r="BH3917" s="77"/>
      <c r="BI3917" s="77"/>
    </row>
    <row r="3918" spans="1:61" x14ac:dyDescent="0.25">
      <c r="A3918" s="62" t="s">
        <v>1202</v>
      </c>
      <c r="B3918" s="62" t="s">
        <v>1202</v>
      </c>
      <c r="C3918" s="63"/>
      <c r="D3918" s="64"/>
      <c r="E3918" s="65"/>
      <c r="F3918" s="66"/>
      <c r="G3918" s="63"/>
      <c r="H3918" s="67"/>
      <c r="I3918" s="68"/>
      <c r="J3918" s="68"/>
      <c r="K3918" s="32"/>
      <c r="L3918" s="75">
        <v>3918</v>
      </c>
      <c r="M3918" s="75"/>
      <c r="N3918" s="70"/>
      <c r="O3918" s="77" t="s">
        <v>179</v>
      </c>
      <c r="P3918" s="79">
        <v>45130.101990740739</v>
      </c>
      <c r="Q3918" s="77" t="s">
        <v>5122</v>
      </c>
      <c r="R3918" s="77">
        <v>0</v>
      </c>
      <c r="S3918" s="77">
        <v>0</v>
      </c>
      <c r="T3918" s="77">
        <v>0</v>
      </c>
      <c r="U3918" s="77">
        <v>0</v>
      </c>
      <c r="V3918" s="77">
        <v>24</v>
      </c>
      <c r="W3918" s="82" t="s">
        <v>7109</v>
      </c>
      <c r="X3918" s="77"/>
      <c r="Y3918" s="77"/>
      <c r="Z3918" s="77"/>
      <c r="AA3918" s="77" t="s">
        <v>10041</v>
      </c>
      <c r="AB3918" s="77" t="s">
        <v>10130</v>
      </c>
      <c r="AC3918" s="82" t="s">
        <v>10146</v>
      </c>
      <c r="AD3918" s="77" t="s">
        <v>10184</v>
      </c>
      <c r="AE3918" s="80" t="str">
        <f>HYPERLINK("https://twitter.com/bianobk1bianobk/status/1682940312669306881")</f>
        <v>https://twitter.com/bianobk1bianobk/status/1682940312669306881</v>
      </c>
      <c r="AF3918" s="79">
        <v>45130.101990740739</v>
      </c>
      <c r="AG3918" s="85">
        <v>45130</v>
      </c>
      <c r="AH3918" s="82" t="s">
        <v>13895</v>
      </c>
      <c r="AI3918" s="77" t="b">
        <v>0</v>
      </c>
      <c r="AJ3918" s="77"/>
      <c r="AK3918" s="77"/>
      <c r="AL3918" s="77"/>
      <c r="AM3918" s="77"/>
      <c r="AN3918" s="77"/>
      <c r="AO3918" s="77"/>
      <c r="AP3918" s="77"/>
      <c r="AQ3918" s="77" t="s">
        <v>16684</v>
      </c>
      <c r="AR3918" s="77"/>
      <c r="AS3918" s="77"/>
      <c r="AT3918" s="77"/>
      <c r="AU3918" s="77"/>
      <c r="AV3918" s="80" t="str">
        <f>HYPERLINK("https://pbs.twimg.com/media/F1sA9-MXsAE71PJ.jpg")</f>
        <v>https://pbs.twimg.com/media/F1sA9-MXsAE71PJ.jpg</v>
      </c>
      <c r="AW3918" s="82" t="s">
        <v>20682</v>
      </c>
      <c r="AX3918" s="82" t="s">
        <v>20682</v>
      </c>
      <c r="AY3918" s="77"/>
      <c r="AZ3918" s="82" t="s">
        <v>20971</v>
      </c>
      <c r="BA3918" s="82" t="s">
        <v>20971</v>
      </c>
      <c r="BB3918" s="82" t="s">
        <v>20971</v>
      </c>
      <c r="BC3918" s="82" t="s">
        <v>20682</v>
      </c>
      <c r="BD3918" s="82" t="s">
        <v>21749</v>
      </c>
      <c r="BE3918" s="77"/>
      <c r="BF3918" s="77"/>
      <c r="BG3918" s="77"/>
      <c r="BH3918" s="77"/>
      <c r="BI3918" s="77"/>
    </row>
    <row r="3919" spans="1:61" x14ac:dyDescent="0.25">
      <c r="A3919" s="62" t="s">
        <v>1202</v>
      </c>
      <c r="B3919" s="62" t="s">
        <v>1202</v>
      </c>
      <c r="C3919" s="63"/>
      <c r="D3919" s="64"/>
      <c r="E3919" s="65"/>
      <c r="F3919" s="66"/>
      <c r="G3919" s="63"/>
      <c r="H3919" s="67"/>
      <c r="I3919" s="68"/>
      <c r="J3919" s="68"/>
      <c r="K3919" s="32"/>
      <c r="L3919" s="75">
        <v>3919</v>
      </c>
      <c r="M3919" s="75"/>
      <c r="N3919" s="70"/>
      <c r="O3919" s="77" t="s">
        <v>179</v>
      </c>
      <c r="P3919" s="79">
        <v>45130.100740740738</v>
      </c>
      <c r="Q3919" s="77" t="s">
        <v>5123</v>
      </c>
      <c r="R3919" s="77">
        <v>0</v>
      </c>
      <c r="S3919" s="77">
        <v>0</v>
      </c>
      <c r="T3919" s="77">
        <v>0</v>
      </c>
      <c r="U3919" s="77">
        <v>0</v>
      </c>
      <c r="V3919" s="77">
        <v>8</v>
      </c>
      <c r="W3919" s="82" t="s">
        <v>7110</v>
      </c>
      <c r="X3919" s="80" t="str">
        <f>HYPERLINK("https://pay.kiwify.com.br/1eKuUje")</f>
        <v>https://pay.kiwify.com.br/1eKuUje</v>
      </c>
      <c r="Y3919" s="77" t="s">
        <v>7252</v>
      </c>
      <c r="Z3919" s="77"/>
      <c r="AA3919" s="77" t="s">
        <v>10042</v>
      </c>
      <c r="AB3919" s="77" t="s">
        <v>10130</v>
      </c>
      <c r="AC3919" s="82" t="s">
        <v>10146</v>
      </c>
      <c r="AD3919" s="77" t="s">
        <v>10184</v>
      </c>
      <c r="AE3919" s="80" t="str">
        <f>HYPERLINK("https://twitter.com/bianobk1bianobk/status/1682939860741660677")</f>
        <v>https://twitter.com/bianobk1bianobk/status/1682939860741660677</v>
      </c>
      <c r="AF3919" s="79">
        <v>45130.100740740738</v>
      </c>
      <c r="AG3919" s="85">
        <v>45130</v>
      </c>
      <c r="AH3919" s="82" t="s">
        <v>13896</v>
      </c>
      <c r="AI3919" s="77" t="b">
        <v>0</v>
      </c>
      <c r="AJ3919" s="77"/>
      <c r="AK3919" s="77"/>
      <c r="AL3919" s="77"/>
      <c r="AM3919" s="77"/>
      <c r="AN3919" s="77"/>
      <c r="AO3919" s="77"/>
      <c r="AP3919" s="77"/>
      <c r="AQ3919" s="77" t="s">
        <v>16685</v>
      </c>
      <c r="AR3919" s="77"/>
      <c r="AS3919" s="77"/>
      <c r="AT3919" s="77"/>
      <c r="AU3919" s="77"/>
      <c r="AV3919" s="80" t="str">
        <f>HYPERLINK("https://pbs.twimg.com/media/F1sAacGX0AEMn_0.jpg")</f>
        <v>https://pbs.twimg.com/media/F1sAacGX0AEMn_0.jpg</v>
      </c>
      <c r="AW3919" s="82" t="s">
        <v>20683</v>
      </c>
      <c r="AX3919" s="82" t="s">
        <v>20683</v>
      </c>
      <c r="AY3919" s="77"/>
      <c r="AZ3919" s="82" t="s">
        <v>20971</v>
      </c>
      <c r="BA3919" s="82" t="s">
        <v>20971</v>
      </c>
      <c r="BB3919" s="82" t="s">
        <v>20971</v>
      </c>
      <c r="BC3919" s="82" t="s">
        <v>20683</v>
      </c>
      <c r="BD3919" s="82" t="s">
        <v>21749</v>
      </c>
      <c r="BE3919" s="77"/>
      <c r="BF3919" s="77"/>
      <c r="BG3919" s="77"/>
      <c r="BH3919" s="77"/>
      <c r="BI3919" s="77"/>
    </row>
    <row r="3920" spans="1:61" x14ac:dyDescent="0.25">
      <c r="A3920" s="62" t="s">
        <v>1202</v>
      </c>
      <c r="B3920" s="62" t="s">
        <v>1202</v>
      </c>
      <c r="C3920" s="63"/>
      <c r="D3920" s="64"/>
      <c r="E3920" s="65"/>
      <c r="F3920" s="66"/>
      <c r="G3920" s="63"/>
      <c r="H3920" s="67"/>
      <c r="I3920" s="68"/>
      <c r="J3920" s="68"/>
      <c r="K3920" s="32"/>
      <c r="L3920" s="75">
        <v>3920</v>
      </c>
      <c r="M3920" s="75"/>
      <c r="N3920" s="70"/>
      <c r="O3920" s="77" t="s">
        <v>179</v>
      </c>
      <c r="P3920" s="79">
        <v>45130.099050925928</v>
      </c>
      <c r="Q3920" s="77" t="s">
        <v>5124</v>
      </c>
      <c r="R3920" s="77">
        <v>0</v>
      </c>
      <c r="S3920" s="77">
        <v>0</v>
      </c>
      <c r="T3920" s="77">
        <v>0</v>
      </c>
      <c r="U3920" s="77">
        <v>0</v>
      </c>
      <c r="V3920" s="77">
        <v>11</v>
      </c>
      <c r="W3920" s="82" t="s">
        <v>7111</v>
      </c>
      <c r="X3920" s="80" t="str">
        <f>HYPERLINK("https://pay.kiwify.com.br/1eKuUje")</f>
        <v>https://pay.kiwify.com.br/1eKuUje</v>
      </c>
      <c r="Y3920" s="77" t="s">
        <v>7252</v>
      </c>
      <c r="Z3920" s="77"/>
      <c r="AA3920" s="77" t="s">
        <v>10043</v>
      </c>
      <c r="AB3920" s="77" t="s">
        <v>10130</v>
      </c>
      <c r="AC3920" s="82" t="s">
        <v>10146</v>
      </c>
      <c r="AD3920" s="77" t="s">
        <v>10184</v>
      </c>
      <c r="AE3920" s="80" t="str">
        <f>HYPERLINK("https://twitter.com/bianobk1bianobk/status/1682939244405305346")</f>
        <v>https://twitter.com/bianobk1bianobk/status/1682939244405305346</v>
      </c>
      <c r="AF3920" s="79">
        <v>45130.099050925928</v>
      </c>
      <c r="AG3920" s="85">
        <v>45130</v>
      </c>
      <c r="AH3920" s="82" t="s">
        <v>13897</v>
      </c>
      <c r="AI3920" s="77" t="b">
        <v>0</v>
      </c>
      <c r="AJ3920" s="77"/>
      <c r="AK3920" s="77"/>
      <c r="AL3920" s="77"/>
      <c r="AM3920" s="77"/>
      <c r="AN3920" s="77"/>
      <c r="AO3920" s="77"/>
      <c r="AP3920" s="77"/>
      <c r="AQ3920" s="77" t="s">
        <v>16686</v>
      </c>
      <c r="AR3920" s="77"/>
      <c r="AS3920" s="77"/>
      <c r="AT3920" s="77"/>
      <c r="AU3920" s="77"/>
      <c r="AV3920" s="80" t="str">
        <f>HYPERLINK("https://pbs.twimg.com/media/F1r_r35WYAA1nhB.jpg")</f>
        <v>https://pbs.twimg.com/media/F1r_r35WYAA1nhB.jpg</v>
      </c>
      <c r="AW3920" s="82" t="s">
        <v>20684</v>
      </c>
      <c r="AX3920" s="82" t="s">
        <v>20684</v>
      </c>
      <c r="AY3920" s="77"/>
      <c r="AZ3920" s="82" t="s">
        <v>20971</v>
      </c>
      <c r="BA3920" s="82" t="s">
        <v>20971</v>
      </c>
      <c r="BB3920" s="82" t="s">
        <v>20971</v>
      </c>
      <c r="BC3920" s="82" t="s">
        <v>20684</v>
      </c>
      <c r="BD3920" s="82" t="s">
        <v>21749</v>
      </c>
      <c r="BE3920" s="77"/>
      <c r="BF3920" s="77"/>
      <c r="BG3920" s="77"/>
      <c r="BH3920" s="77"/>
      <c r="BI3920" s="77"/>
    </row>
    <row r="3921" spans="1:61" x14ac:dyDescent="0.25">
      <c r="A3921" s="62" t="s">
        <v>1202</v>
      </c>
      <c r="B3921" s="62" t="s">
        <v>1202</v>
      </c>
      <c r="C3921" s="63"/>
      <c r="D3921" s="64"/>
      <c r="E3921" s="65"/>
      <c r="F3921" s="66"/>
      <c r="G3921" s="63"/>
      <c r="H3921" s="67"/>
      <c r="I3921" s="68"/>
      <c r="J3921" s="68"/>
      <c r="K3921" s="32"/>
      <c r="L3921" s="75">
        <v>3921</v>
      </c>
      <c r="M3921" s="75"/>
      <c r="N3921" s="70"/>
      <c r="O3921" s="77" t="s">
        <v>179</v>
      </c>
      <c r="P3921" s="79">
        <v>45130.093148148146</v>
      </c>
      <c r="Q3921" s="77" t="s">
        <v>5125</v>
      </c>
      <c r="R3921" s="77">
        <v>0</v>
      </c>
      <c r="S3921" s="77">
        <v>0</v>
      </c>
      <c r="T3921" s="77">
        <v>0</v>
      </c>
      <c r="U3921" s="77">
        <v>0</v>
      </c>
      <c r="V3921" s="77">
        <v>19</v>
      </c>
      <c r="W3921" s="82" t="s">
        <v>7112</v>
      </c>
      <c r="X3921" s="80" t="str">
        <f>HYPERLINK("https://pay.kiwify.com.br/1eKuUje")</f>
        <v>https://pay.kiwify.com.br/1eKuUje</v>
      </c>
      <c r="Y3921" s="77" t="s">
        <v>7252</v>
      </c>
      <c r="Z3921" s="77"/>
      <c r="AA3921" s="77" t="s">
        <v>10044</v>
      </c>
      <c r="AB3921" s="77" t="s">
        <v>10130</v>
      </c>
      <c r="AC3921" s="82" t="s">
        <v>10146</v>
      </c>
      <c r="AD3921" s="77" t="s">
        <v>10184</v>
      </c>
      <c r="AE3921" s="80" t="str">
        <f>HYPERLINK("https://twitter.com/bianobk1bianobk/status/1682937106295865345")</f>
        <v>https://twitter.com/bianobk1bianobk/status/1682937106295865345</v>
      </c>
      <c r="AF3921" s="79">
        <v>45130.093148148146</v>
      </c>
      <c r="AG3921" s="85">
        <v>45130</v>
      </c>
      <c r="AH3921" s="82" t="s">
        <v>13898</v>
      </c>
      <c r="AI3921" s="77" t="b">
        <v>0</v>
      </c>
      <c r="AJ3921" s="77"/>
      <c r="AK3921" s="77"/>
      <c r="AL3921" s="77"/>
      <c r="AM3921" s="77"/>
      <c r="AN3921" s="77"/>
      <c r="AO3921" s="77"/>
      <c r="AP3921" s="77"/>
      <c r="AQ3921" s="77" t="s">
        <v>16687</v>
      </c>
      <c r="AR3921" s="77"/>
      <c r="AS3921" s="77"/>
      <c r="AT3921" s="77"/>
      <c r="AU3921" s="77"/>
      <c r="AV3921" s="80" t="str">
        <f>HYPERLINK("https://pbs.twimg.com/media/F1r9t-TXgAEgxvf.jpg")</f>
        <v>https://pbs.twimg.com/media/F1r9t-TXgAEgxvf.jpg</v>
      </c>
      <c r="AW3921" s="82" t="s">
        <v>20685</v>
      </c>
      <c r="AX3921" s="82" t="s">
        <v>20685</v>
      </c>
      <c r="AY3921" s="77"/>
      <c r="AZ3921" s="82" t="s">
        <v>20971</v>
      </c>
      <c r="BA3921" s="82" t="s">
        <v>20971</v>
      </c>
      <c r="BB3921" s="82" t="s">
        <v>20971</v>
      </c>
      <c r="BC3921" s="82" t="s">
        <v>20685</v>
      </c>
      <c r="BD3921" s="82" t="s">
        <v>21749</v>
      </c>
      <c r="BE3921" s="77"/>
      <c r="BF3921" s="77"/>
      <c r="BG3921" s="77"/>
      <c r="BH3921" s="77"/>
      <c r="BI3921" s="77"/>
    </row>
    <row r="3922" spans="1:61" x14ac:dyDescent="0.25">
      <c r="A3922" s="62" t="s">
        <v>1202</v>
      </c>
      <c r="B3922" s="62" t="s">
        <v>1202</v>
      </c>
      <c r="C3922" s="63"/>
      <c r="D3922" s="64"/>
      <c r="E3922" s="65"/>
      <c r="F3922" s="66"/>
      <c r="G3922" s="63"/>
      <c r="H3922" s="67"/>
      <c r="I3922" s="68"/>
      <c r="J3922" s="68"/>
      <c r="K3922" s="32"/>
      <c r="L3922" s="75">
        <v>3922</v>
      </c>
      <c r="M3922" s="75"/>
      <c r="N3922" s="70"/>
      <c r="O3922" s="77" t="s">
        <v>179</v>
      </c>
      <c r="P3922" s="79">
        <v>45130.090949074074</v>
      </c>
      <c r="Q3922" s="77" t="s">
        <v>5126</v>
      </c>
      <c r="R3922" s="77">
        <v>0</v>
      </c>
      <c r="S3922" s="77">
        <v>0</v>
      </c>
      <c r="T3922" s="77">
        <v>0</v>
      </c>
      <c r="U3922" s="77">
        <v>0</v>
      </c>
      <c r="V3922" s="77">
        <v>10</v>
      </c>
      <c r="W3922" s="82" t="s">
        <v>7113</v>
      </c>
      <c r="X3922" s="80" t="str">
        <f>HYPERLINK("https://pay.kiwify.com.br/1eKuUje")</f>
        <v>https://pay.kiwify.com.br/1eKuUje</v>
      </c>
      <c r="Y3922" s="77" t="s">
        <v>7252</v>
      </c>
      <c r="Z3922" s="77"/>
      <c r="AA3922" s="77" t="s">
        <v>10045</v>
      </c>
      <c r="AB3922" s="77" t="s">
        <v>10130</v>
      </c>
      <c r="AC3922" s="82" t="s">
        <v>10146</v>
      </c>
      <c r="AD3922" s="77" t="s">
        <v>10184</v>
      </c>
      <c r="AE3922" s="80" t="str">
        <f>HYPERLINK("https://twitter.com/bianobk1bianobk/status/1682936309625618434")</f>
        <v>https://twitter.com/bianobk1bianobk/status/1682936309625618434</v>
      </c>
      <c r="AF3922" s="79">
        <v>45130.090949074074</v>
      </c>
      <c r="AG3922" s="85">
        <v>45130</v>
      </c>
      <c r="AH3922" s="82" t="s">
        <v>13899</v>
      </c>
      <c r="AI3922" s="77" t="b">
        <v>0</v>
      </c>
      <c r="AJ3922" s="77"/>
      <c r="AK3922" s="77"/>
      <c r="AL3922" s="77"/>
      <c r="AM3922" s="77"/>
      <c r="AN3922" s="77"/>
      <c r="AO3922" s="77"/>
      <c r="AP3922" s="77"/>
      <c r="AQ3922" s="77" t="s">
        <v>16688</v>
      </c>
      <c r="AR3922" s="77"/>
      <c r="AS3922" s="77"/>
      <c r="AT3922" s="77"/>
      <c r="AU3922" s="77"/>
      <c r="AV3922" s="80" t="str">
        <f>HYPERLINK("https://pbs.twimg.com/media/F1r9T6LXsAE2mv4.jpg")</f>
        <v>https://pbs.twimg.com/media/F1r9T6LXsAE2mv4.jpg</v>
      </c>
      <c r="AW3922" s="82" t="s">
        <v>20686</v>
      </c>
      <c r="AX3922" s="82" t="s">
        <v>20686</v>
      </c>
      <c r="AY3922" s="77"/>
      <c r="AZ3922" s="82" t="s">
        <v>20971</v>
      </c>
      <c r="BA3922" s="82" t="s">
        <v>20971</v>
      </c>
      <c r="BB3922" s="82" t="s">
        <v>20971</v>
      </c>
      <c r="BC3922" s="82" t="s">
        <v>20686</v>
      </c>
      <c r="BD3922" s="82" t="s">
        <v>21749</v>
      </c>
      <c r="BE3922" s="77"/>
      <c r="BF3922" s="77"/>
      <c r="BG3922" s="77"/>
      <c r="BH3922" s="77"/>
      <c r="BI3922" s="77"/>
    </row>
    <row r="3923" spans="1:61" x14ac:dyDescent="0.25">
      <c r="A3923" s="62" t="s">
        <v>1202</v>
      </c>
      <c r="B3923" s="62" t="s">
        <v>1202</v>
      </c>
      <c r="C3923" s="63"/>
      <c r="D3923" s="64"/>
      <c r="E3923" s="65"/>
      <c r="F3923" s="66"/>
      <c r="G3923" s="63"/>
      <c r="H3923" s="67"/>
      <c r="I3923" s="68"/>
      <c r="J3923" s="68"/>
      <c r="K3923" s="32"/>
      <c r="L3923" s="75">
        <v>3923</v>
      </c>
      <c r="M3923" s="75"/>
      <c r="N3923" s="70"/>
      <c r="O3923" s="77" t="s">
        <v>179</v>
      </c>
      <c r="P3923" s="79">
        <v>45130.089687500003</v>
      </c>
      <c r="Q3923" s="77" t="s">
        <v>5127</v>
      </c>
      <c r="R3923" s="77">
        <v>0</v>
      </c>
      <c r="S3923" s="77">
        <v>0</v>
      </c>
      <c r="T3923" s="77">
        <v>0</v>
      </c>
      <c r="U3923" s="77">
        <v>0</v>
      </c>
      <c r="V3923" s="77">
        <v>18</v>
      </c>
      <c r="W3923" s="82" t="s">
        <v>7114</v>
      </c>
      <c r="X3923" s="80" t="str">
        <f>HYPERLINK("https://pay.kiwify.com.br/1eKuUje")</f>
        <v>https://pay.kiwify.com.br/1eKuUje</v>
      </c>
      <c r="Y3923" s="77" t="s">
        <v>7252</v>
      </c>
      <c r="Z3923" s="77"/>
      <c r="AA3923" s="77" t="s">
        <v>10046</v>
      </c>
      <c r="AB3923" s="77" t="s">
        <v>10130</v>
      </c>
      <c r="AC3923" s="82" t="s">
        <v>10146</v>
      </c>
      <c r="AD3923" s="77" t="s">
        <v>10184</v>
      </c>
      <c r="AE3923" s="80" t="str">
        <f>HYPERLINK("https://twitter.com/bianobk1bianobk/status/1682935852354158592")</f>
        <v>https://twitter.com/bianobk1bianobk/status/1682935852354158592</v>
      </c>
      <c r="AF3923" s="79">
        <v>45130.089687500003</v>
      </c>
      <c r="AG3923" s="85">
        <v>45130</v>
      </c>
      <c r="AH3923" s="82" t="s">
        <v>13900</v>
      </c>
      <c r="AI3923" s="77" t="b">
        <v>0</v>
      </c>
      <c r="AJ3923" s="77"/>
      <c r="AK3923" s="77"/>
      <c r="AL3923" s="77"/>
      <c r="AM3923" s="77"/>
      <c r="AN3923" s="77"/>
      <c r="AO3923" s="77"/>
      <c r="AP3923" s="77"/>
      <c r="AQ3923" s="77" t="s">
        <v>16689</v>
      </c>
      <c r="AR3923" s="77"/>
      <c r="AS3923" s="77"/>
      <c r="AT3923" s="77"/>
      <c r="AU3923" s="77"/>
      <c r="AV3923" s="80" t="str">
        <f>HYPERLINK("https://pbs.twimg.com/media/F1r8zwLXsAIMw9Z.jpg")</f>
        <v>https://pbs.twimg.com/media/F1r8zwLXsAIMw9Z.jpg</v>
      </c>
      <c r="AW3923" s="82" t="s">
        <v>20687</v>
      </c>
      <c r="AX3923" s="82" t="s">
        <v>20687</v>
      </c>
      <c r="AY3923" s="77"/>
      <c r="AZ3923" s="82" t="s">
        <v>20971</v>
      </c>
      <c r="BA3923" s="82" t="s">
        <v>20971</v>
      </c>
      <c r="BB3923" s="82" t="s">
        <v>20971</v>
      </c>
      <c r="BC3923" s="82" t="s">
        <v>20687</v>
      </c>
      <c r="BD3923" s="82" t="s">
        <v>21749</v>
      </c>
      <c r="BE3923" s="77"/>
      <c r="BF3923" s="77"/>
      <c r="BG3923" s="77"/>
      <c r="BH3923" s="77"/>
      <c r="BI3923" s="77"/>
    </row>
    <row r="3924" spans="1:61" x14ac:dyDescent="0.25">
      <c r="A3924" s="62" t="s">
        <v>1202</v>
      </c>
      <c r="B3924" s="62" t="s">
        <v>1202</v>
      </c>
      <c r="C3924" s="63"/>
      <c r="D3924" s="64"/>
      <c r="E3924" s="65"/>
      <c r="F3924" s="66"/>
      <c r="G3924" s="63"/>
      <c r="H3924" s="67"/>
      <c r="I3924" s="68"/>
      <c r="J3924" s="68"/>
      <c r="K3924" s="32"/>
      <c r="L3924" s="75">
        <v>3924</v>
      </c>
      <c r="M3924" s="75"/>
      <c r="N3924" s="70"/>
      <c r="O3924" s="77" t="s">
        <v>179</v>
      </c>
      <c r="P3924" s="79">
        <v>45130.088194444441</v>
      </c>
      <c r="Q3924" s="77" t="s">
        <v>5128</v>
      </c>
      <c r="R3924" s="77">
        <v>0</v>
      </c>
      <c r="S3924" s="77">
        <v>0</v>
      </c>
      <c r="T3924" s="77">
        <v>0</v>
      </c>
      <c r="U3924" s="77">
        <v>0</v>
      </c>
      <c r="V3924" s="77">
        <v>10</v>
      </c>
      <c r="W3924" s="82" t="s">
        <v>7115</v>
      </c>
      <c r="X3924" s="80" t="str">
        <f>HYPERLINK("https://pay.kiwify.com.br/1eKuUje")</f>
        <v>https://pay.kiwify.com.br/1eKuUje</v>
      </c>
      <c r="Y3924" s="77" t="s">
        <v>7252</v>
      </c>
      <c r="Z3924" s="77"/>
      <c r="AA3924" s="77" t="s">
        <v>10047</v>
      </c>
      <c r="AB3924" s="77" t="s">
        <v>10130</v>
      </c>
      <c r="AC3924" s="82" t="s">
        <v>10146</v>
      </c>
      <c r="AD3924" s="77" t="s">
        <v>10184</v>
      </c>
      <c r="AE3924" s="80" t="str">
        <f>HYPERLINK("https://twitter.com/bianobk1bianobk/status/1682935310164828162")</f>
        <v>https://twitter.com/bianobk1bianobk/status/1682935310164828162</v>
      </c>
      <c r="AF3924" s="79">
        <v>45130.088194444441</v>
      </c>
      <c r="AG3924" s="85">
        <v>45130</v>
      </c>
      <c r="AH3924" s="82" t="s">
        <v>13901</v>
      </c>
      <c r="AI3924" s="77" t="b">
        <v>0</v>
      </c>
      <c r="AJ3924" s="77"/>
      <c r="AK3924" s="77"/>
      <c r="AL3924" s="77"/>
      <c r="AM3924" s="77"/>
      <c r="AN3924" s="77"/>
      <c r="AO3924" s="77"/>
      <c r="AP3924" s="77"/>
      <c r="AQ3924" s="77" t="s">
        <v>16690</v>
      </c>
      <c r="AR3924" s="77"/>
      <c r="AS3924" s="77"/>
      <c r="AT3924" s="77"/>
      <c r="AU3924" s="77"/>
      <c r="AV3924" s="80" t="str">
        <f>HYPERLINK("https://pbs.twimg.com/media/F1r8buSWwAIYP1J.jpg")</f>
        <v>https://pbs.twimg.com/media/F1r8buSWwAIYP1J.jpg</v>
      </c>
      <c r="AW3924" s="82" t="s">
        <v>20688</v>
      </c>
      <c r="AX3924" s="82" t="s">
        <v>20688</v>
      </c>
      <c r="AY3924" s="77"/>
      <c r="AZ3924" s="82" t="s">
        <v>20971</v>
      </c>
      <c r="BA3924" s="82" t="s">
        <v>20971</v>
      </c>
      <c r="BB3924" s="82" t="s">
        <v>20971</v>
      </c>
      <c r="BC3924" s="82" t="s">
        <v>20688</v>
      </c>
      <c r="BD3924" s="82" t="s">
        <v>21749</v>
      </c>
      <c r="BE3924" s="77"/>
      <c r="BF3924" s="77"/>
      <c r="BG3924" s="77"/>
      <c r="BH3924" s="77"/>
      <c r="BI3924" s="77"/>
    </row>
    <row r="3925" spans="1:61" x14ac:dyDescent="0.25">
      <c r="A3925" s="62" t="s">
        <v>1202</v>
      </c>
      <c r="B3925" s="62" t="s">
        <v>1202</v>
      </c>
      <c r="C3925" s="63"/>
      <c r="D3925" s="64"/>
      <c r="E3925" s="65"/>
      <c r="F3925" s="66"/>
      <c r="G3925" s="63"/>
      <c r="H3925" s="67"/>
      <c r="I3925" s="68"/>
      <c r="J3925" s="68"/>
      <c r="K3925" s="32"/>
      <c r="L3925" s="75">
        <v>3925</v>
      </c>
      <c r="M3925" s="75"/>
      <c r="N3925" s="70"/>
      <c r="O3925" s="77" t="s">
        <v>179</v>
      </c>
      <c r="P3925" s="79">
        <v>45130.087002314816</v>
      </c>
      <c r="Q3925" s="77" t="s">
        <v>5129</v>
      </c>
      <c r="R3925" s="77">
        <v>0</v>
      </c>
      <c r="S3925" s="77">
        <v>0</v>
      </c>
      <c r="T3925" s="77">
        <v>0</v>
      </c>
      <c r="U3925" s="77">
        <v>0</v>
      </c>
      <c r="V3925" s="77">
        <v>7</v>
      </c>
      <c r="W3925" s="82" t="s">
        <v>7116</v>
      </c>
      <c r="X3925" s="80" t="str">
        <f>HYPERLINK("https://pay.kiwify.com.br/1eKuUje")</f>
        <v>https://pay.kiwify.com.br/1eKuUje</v>
      </c>
      <c r="Y3925" s="77" t="s">
        <v>7252</v>
      </c>
      <c r="Z3925" s="77"/>
      <c r="AA3925" s="77" t="s">
        <v>10048</v>
      </c>
      <c r="AB3925" s="77" t="s">
        <v>10130</v>
      </c>
      <c r="AC3925" s="82" t="s">
        <v>10146</v>
      </c>
      <c r="AD3925" s="77" t="s">
        <v>10184</v>
      </c>
      <c r="AE3925" s="80" t="str">
        <f>HYPERLINK("https://twitter.com/bianobk1bianobk/status/1682934881783803905")</f>
        <v>https://twitter.com/bianobk1bianobk/status/1682934881783803905</v>
      </c>
      <c r="AF3925" s="79">
        <v>45130.087002314816</v>
      </c>
      <c r="AG3925" s="85">
        <v>45130</v>
      </c>
      <c r="AH3925" s="82" t="s">
        <v>13902</v>
      </c>
      <c r="AI3925" s="77" t="b">
        <v>0</v>
      </c>
      <c r="AJ3925" s="77"/>
      <c r="AK3925" s="77"/>
      <c r="AL3925" s="77"/>
      <c r="AM3925" s="77"/>
      <c r="AN3925" s="77"/>
      <c r="AO3925" s="77"/>
      <c r="AP3925" s="77"/>
      <c r="AQ3925" s="77" t="s">
        <v>16691</v>
      </c>
      <c r="AR3925" s="77"/>
      <c r="AS3925" s="77"/>
      <c r="AT3925" s="77"/>
      <c r="AU3925" s="77"/>
      <c r="AV3925" s="80" t="str">
        <f>HYPERLINK("https://pbs.twimg.com/media/F1r7xxaXsAUuPva.jpg")</f>
        <v>https://pbs.twimg.com/media/F1r7xxaXsAUuPva.jpg</v>
      </c>
      <c r="AW3925" s="82" t="s">
        <v>20689</v>
      </c>
      <c r="AX3925" s="82" t="s">
        <v>20689</v>
      </c>
      <c r="AY3925" s="77"/>
      <c r="AZ3925" s="82" t="s">
        <v>20971</v>
      </c>
      <c r="BA3925" s="82" t="s">
        <v>20971</v>
      </c>
      <c r="BB3925" s="82" t="s">
        <v>20971</v>
      </c>
      <c r="BC3925" s="82" t="s">
        <v>20689</v>
      </c>
      <c r="BD3925" s="82" t="s">
        <v>21749</v>
      </c>
      <c r="BE3925" s="77"/>
      <c r="BF3925" s="77"/>
      <c r="BG3925" s="77"/>
      <c r="BH3925" s="77"/>
      <c r="BI3925" s="77"/>
    </row>
    <row r="3926" spans="1:61" x14ac:dyDescent="0.25">
      <c r="A3926" s="62" t="s">
        <v>1202</v>
      </c>
      <c r="B3926" s="62" t="s">
        <v>1202</v>
      </c>
      <c r="C3926" s="63"/>
      <c r="D3926" s="64"/>
      <c r="E3926" s="65"/>
      <c r="F3926" s="66"/>
      <c r="G3926" s="63"/>
      <c r="H3926" s="67"/>
      <c r="I3926" s="68"/>
      <c r="J3926" s="68"/>
      <c r="K3926" s="32"/>
      <c r="L3926" s="75">
        <v>3926</v>
      </c>
      <c r="M3926" s="75"/>
      <c r="N3926" s="70"/>
      <c r="O3926" s="77" t="s">
        <v>179</v>
      </c>
      <c r="P3926" s="79">
        <v>45130.070902777778</v>
      </c>
      <c r="Q3926" s="77" t="s">
        <v>5130</v>
      </c>
      <c r="R3926" s="77">
        <v>0</v>
      </c>
      <c r="S3926" s="77">
        <v>0</v>
      </c>
      <c r="T3926" s="77">
        <v>0</v>
      </c>
      <c r="U3926" s="77">
        <v>0</v>
      </c>
      <c r="V3926" s="77">
        <v>11</v>
      </c>
      <c r="W3926" s="82" t="s">
        <v>7117</v>
      </c>
      <c r="X3926" s="77"/>
      <c r="Y3926" s="77"/>
      <c r="Z3926" s="77"/>
      <c r="AA3926" s="77" t="s">
        <v>10049</v>
      </c>
      <c r="AB3926" s="77" t="s">
        <v>10130</v>
      </c>
      <c r="AC3926" s="82" t="s">
        <v>10146</v>
      </c>
      <c r="AD3926" s="77" t="s">
        <v>10184</v>
      </c>
      <c r="AE3926" s="80" t="str">
        <f>HYPERLINK("https://twitter.com/bianobk1bianobk/status/1682929047502725121")</f>
        <v>https://twitter.com/bianobk1bianobk/status/1682929047502725121</v>
      </c>
      <c r="AF3926" s="79">
        <v>45130.070902777778</v>
      </c>
      <c r="AG3926" s="85">
        <v>45130</v>
      </c>
      <c r="AH3926" s="82" t="s">
        <v>13903</v>
      </c>
      <c r="AI3926" s="77" t="b">
        <v>0</v>
      </c>
      <c r="AJ3926" s="77"/>
      <c r="AK3926" s="77"/>
      <c r="AL3926" s="77"/>
      <c r="AM3926" s="77"/>
      <c r="AN3926" s="77"/>
      <c r="AO3926" s="77"/>
      <c r="AP3926" s="77"/>
      <c r="AQ3926" s="77" t="s">
        <v>16692</v>
      </c>
      <c r="AR3926" s="77"/>
      <c r="AS3926" s="77"/>
      <c r="AT3926" s="77"/>
      <c r="AU3926" s="77"/>
      <c r="AV3926" s="80" t="str">
        <f>HYPERLINK("https://pbs.twimg.com/media/F1r2rZ6X0AA6I_b.jpg")</f>
        <v>https://pbs.twimg.com/media/F1r2rZ6X0AA6I_b.jpg</v>
      </c>
      <c r="AW3926" s="82" t="s">
        <v>20690</v>
      </c>
      <c r="AX3926" s="82" t="s">
        <v>20690</v>
      </c>
      <c r="AY3926" s="77"/>
      <c r="AZ3926" s="82" t="s">
        <v>20971</v>
      </c>
      <c r="BA3926" s="82" t="s">
        <v>20971</v>
      </c>
      <c r="BB3926" s="82" t="s">
        <v>20971</v>
      </c>
      <c r="BC3926" s="82" t="s">
        <v>20690</v>
      </c>
      <c r="BD3926" s="82" t="s">
        <v>21749</v>
      </c>
      <c r="BE3926" s="77"/>
      <c r="BF3926" s="77"/>
      <c r="BG3926" s="77"/>
      <c r="BH3926" s="77"/>
      <c r="BI3926" s="77"/>
    </row>
    <row r="3927" spans="1:61" x14ac:dyDescent="0.25">
      <c r="A3927" s="62" t="s">
        <v>1202</v>
      </c>
      <c r="B3927" s="62" t="s">
        <v>1202</v>
      </c>
      <c r="C3927" s="63"/>
      <c r="D3927" s="64"/>
      <c r="E3927" s="65"/>
      <c r="F3927" s="66"/>
      <c r="G3927" s="63"/>
      <c r="H3927" s="67"/>
      <c r="I3927" s="68"/>
      <c r="J3927" s="68"/>
      <c r="K3927" s="32"/>
      <c r="L3927" s="75">
        <v>3927</v>
      </c>
      <c r="M3927" s="75"/>
      <c r="N3927" s="70"/>
      <c r="O3927" s="77" t="s">
        <v>179</v>
      </c>
      <c r="P3927" s="79">
        <v>45130.065381944441</v>
      </c>
      <c r="Q3927" s="77" t="s">
        <v>5131</v>
      </c>
      <c r="R3927" s="77">
        <v>0</v>
      </c>
      <c r="S3927" s="77">
        <v>1</v>
      </c>
      <c r="T3927" s="77">
        <v>0</v>
      </c>
      <c r="U3927" s="77">
        <v>0</v>
      </c>
      <c r="V3927" s="77">
        <v>30</v>
      </c>
      <c r="W3927" s="82" t="s">
        <v>7118</v>
      </c>
      <c r="X3927" s="77"/>
      <c r="Y3927" s="77"/>
      <c r="Z3927" s="77"/>
      <c r="AA3927" s="77" t="s">
        <v>10050</v>
      </c>
      <c r="AB3927" s="77" t="s">
        <v>10130</v>
      </c>
      <c r="AC3927" s="82" t="s">
        <v>10146</v>
      </c>
      <c r="AD3927" s="77" t="s">
        <v>10184</v>
      </c>
      <c r="AE3927" s="80" t="str">
        <f>HYPERLINK("https://twitter.com/bianobk1bianobk/status/1682927044903190529")</f>
        <v>https://twitter.com/bianobk1bianobk/status/1682927044903190529</v>
      </c>
      <c r="AF3927" s="79">
        <v>45130.065381944441</v>
      </c>
      <c r="AG3927" s="85">
        <v>45130</v>
      </c>
      <c r="AH3927" s="82" t="s">
        <v>13904</v>
      </c>
      <c r="AI3927" s="77" t="b">
        <v>0</v>
      </c>
      <c r="AJ3927" s="77"/>
      <c r="AK3927" s="77"/>
      <c r="AL3927" s="77"/>
      <c r="AM3927" s="77"/>
      <c r="AN3927" s="77"/>
      <c r="AO3927" s="77"/>
      <c r="AP3927" s="77"/>
      <c r="AQ3927" s="77" t="s">
        <v>16693</v>
      </c>
      <c r="AR3927" s="77"/>
      <c r="AS3927" s="77"/>
      <c r="AT3927" s="77"/>
      <c r="AU3927" s="77"/>
      <c r="AV3927" s="80" t="str">
        <f>HYPERLINK("https://pbs.twimg.com/media/F1r05N7WAAAZojg.jpg")</f>
        <v>https://pbs.twimg.com/media/F1r05N7WAAAZojg.jpg</v>
      </c>
      <c r="AW3927" s="82" t="s">
        <v>20691</v>
      </c>
      <c r="AX3927" s="82" t="s">
        <v>20691</v>
      </c>
      <c r="AY3927" s="77"/>
      <c r="AZ3927" s="82" t="s">
        <v>20971</v>
      </c>
      <c r="BA3927" s="82" t="s">
        <v>20971</v>
      </c>
      <c r="BB3927" s="82" t="s">
        <v>20971</v>
      </c>
      <c r="BC3927" s="82" t="s">
        <v>20691</v>
      </c>
      <c r="BD3927" s="82" t="s">
        <v>21749</v>
      </c>
      <c r="BE3927" s="77"/>
      <c r="BF3927" s="77"/>
      <c r="BG3927" s="77"/>
      <c r="BH3927" s="77"/>
      <c r="BI3927" s="77"/>
    </row>
    <row r="3928" spans="1:61" x14ac:dyDescent="0.25">
      <c r="A3928" s="62" t="s">
        <v>1202</v>
      </c>
      <c r="B3928" s="62" t="s">
        <v>1202</v>
      </c>
      <c r="C3928" s="63"/>
      <c r="D3928" s="64"/>
      <c r="E3928" s="65"/>
      <c r="F3928" s="66"/>
      <c r="G3928" s="63"/>
      <c r="H3928" s="67"/>
      <c r="I3928" s="68"/>
      <c r="J3928" s="68"/>
      <c r="K3928" s="32"/>
      <c r="L3928" s="75">
        <v>3928</v>
      </c>
      <c r="M3928" s="75"/>
      <c r="N3928" s="70"/>
      <c r="O3928" s="77" t="s">
        <v>179</v>
      </c>
      <c r="P3928" s="79">
        <v>45130.063900462963</v>
      </c>
      <c r="Q3928" s="77" t="s">
        <v>5132</v>
      </c>
      <c r="R3928" s="77">
        <v>0</v>
      </c>
      <c r="S3928" s="77">
        <v>0</v>
      </c>
      <c r="T3928" s="77">
        <v>0</v>
      </c>
      <c r="U3928" s="77">
        <v>0</v>
      </c>
      <c r="V3928" s="77">
        <v>10</v>
      </c>
      <c r="W3928" s="82" t="s">
        <v>7112</v>
      </c>
      <c r="X3928" s="77"/>
      <c r="Y3928" s="77"/>
      <c r="Z3928" s="77"/>
      <c r="AA3928" s="77" t="s">
        <v>10051</v>
      </c>
      <c r="AB3928" s="77" t="s">
        <v>10130</v>
      </c>
      <c r="AC3928" s="82" t="s">
        <v>10146</v>
      </c>
      <c r="AD3928" s="77" t="s">
        <v>10184</v>
      </c>
      <c r="AE3928" s="80" t="str">
        <f>HYPERLINK("https://twitter.com/bianobk1bianobk/status/1682926508963254273")</f>
        <v>https://twitter.com/bianobk1bianobk/status/1682926508963254273</v>
      </c>
      <c r="AF3928" s="79">
        <v>45130.063900462963</v>
      </c>
      <c r="AG3928" s="85">
        <v>45130</v>
      </c>
      <c r="AH3928" s="82" t="s">
        <v>13905</v>
      </c>
      <c r="AI3928" s="77" t="b">
        <v>0</v>
      </c>
      <c r="AJ3928" s="77"/>
      <c r="AK3928" s="77"/>
      <c r="AL3928" s="77"/>
      <c r="AM3928" s="77"/>
      <c r="AN3928" s="77"/>
      <c r="AO3928" s="77"/>
      <c r="AP3928" s="77"/>
      <c r="AQ3928" s="77" t="s">
        <v>16694</v>
      </c>
      <c r="AR3928" s="77"/>
      <c r="AS3928" s="77"/>
      <c r="AT3928" s="77"/>
      <c r="AU3928" s="77"/>
      <c r="AV3928" s="80" t="str">
        <f>HYPERLINK("https://pbs.twimg.com/media/F1r0YwzXwAAsYC2.jpg")</f>
        <v>https://pbs.twimg.com/media/F1r0YwzXwAAsYC2.jpg</v>
      </c>
      <c r="AW3928" s="82" t="s">
        <v>20692</v>
      </c>
      <c r="AX3928" s="82" t="s">
        <v>20692</v>
      </c>
      <c r="AY3928" s="77"/>
      <c r="AZ3928" s="82" t="s">
        <v>20971</v>
      </c>
      <c r="BA3928" s="82" t="s">
        <v>20971</v>
      </c>
      <c r="BB3928" s="82" t="s">
        <v>20971</v>
      </c>
      <c r="BC3928" s="82" t="s">
        <v>20692</v>
      </c>
      <c r="BD3928" s="82" t="s">
        <v>21749</v>
      </c>
      <c r="BE3928" s="77"/>
      <c r="BF3928" s="77"/>
      <c r="BG3928" s="77"/>
      <c r="BH3928" s="77"/>
      <c r="BI3928" s="77"/>
    </row>
    <row r="3929" spans="1:61" x14ac:dyDescent="0.25">
      <c r="A3929" s="62" t="s">
        <v>1202</v>
      </c>
      <c r="B3929" s="62" t="s">
        <v>1202</v>
      </c>
      <c r="C3929" s="63"/>
      <c r="D3929" s="64"/>
      <c r="E3929" s="65"/>
      <c r="F3929" s="66"/>
      <c r="G3929" s="63"/>
      <c r="H3929" s="67"/>
      <c r="I3929" s="68"/>
      <c r="J3929" s="68"/>
      <c r="K3929" s="32"/>
      <c r="L3929" s="75">
        <v>3929</v>
      </c>
      <c r="M3929" s="75"/>
      <c r="N3929" s="70"/>
      <c r="O3929" s="77" t="s">
        <v>179</v>
      </c>
      <c r="P3929" s="79">
        <v>45132.105543981481</v>
      </c>
      <c r="Q3929" s="77" t="s">
        <v>5133</v>
      </c>
      <c r="R3929" s="77">
        <v>0</v>
      </c>
      <c r="S3929" s="77">
        <v>0</v>
      </c>
      <c r="T3929" s="77">
        <v>0</v>
      </c>
      <c r="U3929" s="77">
        <v>0</v>
      </c>
      <c r="V3929" s="77">
        <v>23</v>
      </c>
      <c r="W3929" s="82" t="s">
        <v>7119</v>
      </c>
      <c r="X3929" s="77"/>
      <c r="Y3929" s="77"/>
      <c r="Z3929" s="77"/>
      <c r="AA3929" s="77" t="s">
        <v>10052</v>
      </c>
      <c r="AB3929" s="77" t="s">
        <v>10130</v>
      </c>
      <c r="AC3929" s="82" t="s">
        <v>10146</v>
      </c>
      <c r="AD3929" s="77" t="s">
        <v>10184</v>
      </c>
      <c r="AE3929" s="80" t="str">
        <f>HYPERLINK("https://twitter.com/bianobk1bianobk/status/1683666376458633216")</f>
        <v>https://twitter.com/bianobk1bianobk/status/1683666376458633216</v>
      </c>
      <c r="AF3929" s="79">
        <v>45132.105543981481</v>
      </c>
      <c r="AG3929" s="85">
        <v>45132</v>
      </c>
      <c r="AH3929" s="82" t="s">
        <v>13906</v>
      </c>
      <c r="AI3929" s="77" t="b">
        <v>0</v>
      </c>
      <c r="AJ3929" s="77"/>
      <c r="AK3929" s="77"/>
      <c r="AL3929" s="77"/>
      <c r="AM3929" s="77"/>
      <c r="AN3929" s="77"/>
      <c r="AO3929" s="77"/>
      <c r="AP3929" s="77"/>
      <c r="AQ3929" s="77" t="s">
        <v>16695</v>
      </c>
      <c r="AR3929" s="77"/>
      <c r="AS3929" s="77"/>
      <c r="AT3929" s="77"/>
      <c r="AU3929" s="77"/>
      <c r="AV3929" s="80" t="str">
        <f>HYPERLINK("https://pbs.twimg.com/media/F12Vc8ZWEAE_pZo.jpg")</f>
        <v>https://pbs.twimg.com/media/F12Vc8ZWEAE_pZo.jpg</v>
      </c>
      <c r="AW3929" s="82" t="s">
        <v>20693</v>
      </c>
      <c r="AX3929" s="82" t="s">
        <v>20693</v>
      </c>
      <c r="AY3929" s="77"/>
      <c r="AZ3929" s="82" t="s">
        <v>20971</v>
      </c>
      <c r="BA3929" s="82" t="s">
        <v>20971</v>
      </c>
      <c r="BB3929" s="82" t="s">
        <v>20971</v>
      </c>
      <c r="BC3929" s="82" t="s">
        <v>20693</v>
      </c>
      <c r="BD3929" s="82" t="s">
        <v>21749</v>
      </c>
      <c r="BE3929" s="77"/>
      <c r="BF3929" s="77"/>
      <c r="BG3929" s="77"/>
      <c r="BH3929" s="77"/>
      <c r="BI3929" s="77"/>
    </row>
    <row r="3930" spans="1:61" x14ac:dyDescent="0.25">
      <c r="A3930" s="62" t="s">
        <v>1202</v>
      </c>
      <c r="B3930" s="62" t="s">
        <v>1202</v>
      </c>
      <c r="C3930" s="63"/>
      <c r="D3930" s="64"/>
      <c r="E3930" s="65"/>
      <c r="F3930" s="66"/>
      <c r="G3930" s="63"/>
      <c r="H3930" s="67"/>
      <c r="I3930" s="68"/>
      <c r="J3930" s="68"/>
      <c r="K3930" s="32"/>
      <c r="L3930" s="75">
        <v>3930</v>
      </c>
      <c r="M3930" s="75"/>
      <c r="N3930" s="70"/>
      <c r="O3930" s="77" t="s">
        <v>179</v>
      </c>
      <c r="P3930" s="79">
        <v>45132.104756944442</v>
      </c>
      <c r="Q3930" s="77" t="s">
        <v>5134</v>
      </c>
      <c r="R3930" s="77">
        <v>0</v>
      </c>
      <c r="S3930" s="77">
        <v>0</v>
      </c>
      <c r="T3930" s="77">
        <v>0</v>
      </c>
      <c r="U3930" s="77">
        <v>0</v>
      </c>
      <c r="V3930" s="77">
        <v>33</v>
      </c>
      <c r="W3930" s="82" t="s">
        <v>7120</v>
      </c>
      <c r="X3930" s="77"/>
      <c r="Y3930" s="77"/>
      <c r="Z3930" s="77"/>
      <c r="AA3930" s="77" t="s">
        <v>10053</v>
      </c>
      <c r="AB3930" s="77" t="s">
        <v>10130</v>
      </c>
      <c r="AC3930" s="82" t="s">
        <v>10146</v>
      </c>
      <c r="AD3930" s="77" t="s">
        <v>10184</v>
      </c>
      <c r="AE3930" s="80" t="str">
        <f>HYPERLINK("https://twitter.com/bianobk1bianobk/status/1683666088301674496")</f>
        <v>https://twitter.com/bianobk1bianobk/status/1683666088301674496</v>
      </c>
      <c r="AF3930" s="79">
        <v>45132.104756944442</v>
      </c>
      <c r="AG3930" s="85">
        <v>45132</v>
      </c>
      <c r="AH3930" s="82" t="s">
        <v>13907</v>
      </c>
      <c r="AI3930" s="77" t="b">
        <v>0</v>
      </c>
      <c r="AJ3930" s="77"/>
      <c r="AK3930" s="77"/>
      <c r="AL3930" s="77"/>
      <c r="AM3930" s="77"/>
      <c r="AN3930" s="77"/>
      <c r="AO3930" s="77"/>
      <c r="AP3930" s="77"/>
      <c r="AQ3930" s="77" t="s">
        <v>16696</v>
      </c>
      <c r="AR3930" s="77"/>
      <c r="AS3930" s="77"/>
      <c r="AT3930" s="77"/>
      <c r="AU3930" s="77"/>
      <c r="AV3930" s="80" t="str">
        <f>HYPERLINK("https://pbs.twimg.com/media/F12VJmNXgAAiLUA.jpg")</f>
        <v>https://pbs.twimg.com/media/F12VJmNXgAAiLUA.jpg</v>
      </c>
      <c r="AW3930" s="82" t="s">
        <v>20694</v>
      </c>
      <c r="AX3930" s="82" t="s">
        <v>20694</v>
      </c>
      <c r="AY3930" s="77"/>
      <c r="AZ3930" s="82" t="s">
        <v>20971</v>
      </c>
      <c r="BA3930" s="82" t="s">
        <v>20971</v>
      </c>
      <c r="BB3930" s="82" t="s">
        <v>20971</v>
      </c>
      <c r="BC3930" s="82" t="s">
        <v>20694</v>
      </c>
      <c r="BD3930" s="82" t="s">
        <v>21749</v>
      </c>
      <c r="BE3930" s="77"/>
      <c r="BF3930" s="77"/>
      <c r="BG3930" s="77"/>
      <c r="BH3930" s="77"/>
      <c r="BI3930" s="77"/>
    </row>
    <row r="3931" spans="1:61" x14ac:dyDescent="0.25">
      <c r="A3931" s="62" t="s">
        <v>1202</v>
      </c>
      <c r="B3931" s="62" t="s">
        <v>1202</v>
      </c>
      <c r="C3931" s="63"/>
      <c r="D3931" s="64"/>
      <c r="E3931" s="65"/>
      <c r="F3931" s="66"/>
      <c r="G3931" s="63"/>
      <c r="H3931" s="67"/>
      <c r="I3931" s="68"/>
      <c r="J3931" s="68"/>
      <c r="K3931" s="32"/>
      <c r="L3931" s="75">
        <v>3931</v>
      </c>
      <c r="M3931" s="75"/>
      <c r="N3931" s="70"/>
      <c r="O3931" s="77" t="s">
        <v>179</v>
      </c>
      <c r="P3931" s="79">
        <v>45132.098877314813</v>
      </c>
      <c r="Q3931" s="77" t="s">
        <v>5135</v>
      </c>
      <c r="R3931" s="77">
        <v>0</v>
      </c>
      <c r="S3931" s="77">
        <v>0</v>
      </c>
      <c r="T3931" s="77">
        <v>0</v>
      </c>
      <c r="U3931" s="77">
        <v>0</v>
      </c>
      <c r="V3931" s="77">
        <v>20</v>
      </c>
      <c r="W3931" s="82" t="s">
        <v>7121</v>
      </c>
      <c r="X3931" s="77"/>
      <c r="Y3931" s="77"/>
      <c r="Z3931" s="77"/>
      <c r="AA3931" s="77" t="s">
        <v>10054</v>
      </c>
      <c r="AB3931" s="77" t="s">
        <v>10130</v>
      </c>
      <c r="AC3931" s="82" t="s">
        <v>10146</v>
      </c>
      <c r="AD3931" s="77" t="s">
        <v>10184</v>
      </c>
      <c r="AE3931" s="80" t="str">
        <f>HYPERLINK("https://twitter.com/bianobk1bianobk/status/1683663961214820352")</f>
        <v>https://twitter.com/bianobk1bianobk/status/1683663961214820352</v>
      </c>
      <c r="AF3931" s="79">
        <v>45132.098877314813</v>
      </c>
      <c r="AG3931" s="85">
        <v>45132</v>
      </c>
      <c r="AH3931" s="82" t="s">
        <v>13908</v>
      </c>
      <c r="AI3931" s="77" t="b">
        <v>0</v>
      </c>
      <c r="AJ3931" s="77"/>
      <c r="AK3931" s="77"/>
      <c r="AL3931" s="77"/>
      <c r="AM3931" s="77"/>
      <c r="AN3931" s="77"/>
      <c r="AO3931" s="77"/>
      <c r="AP3931" s="77"/>
      <c r="AQ3931" s="77" t="s">
        <v>16697</v>
      </c>
      <c r="AR3931" s="77"/>
      <c r="AS3931" s="77"/>
      <c r="AT3931" s="77"/>
      <c r="AU3931" s="77"/>
      <c r="AV3931" s="80" t="str">
        <f>HYPERLINK("https://pbs.twimg.com/media/F12TQ5UWIAIISp2.jpg")</f>
        <v>https://pbs.twimg.com/media/F12TQ5UWIAIISp2.jpg</v>
      </c>
      <c r="AW3931" s="82" t="s">
        <v>20695</v>
      </c>
      <c r="AX3931" s="82" t="s">
        <v>20695</v>
      </c>
      <c r="AY3931" s="77"/>
      <c r="AZ3931" s="82" t="s">
        <v>20971</v>
      </c>
      <c r="BA3931" s="82" t="s">
        <v>20971</v>
      </c>
      <c r="BB3931" s="82" t="s">
        <v>20971</v>
      </c>
      <c r="BC3931" s="82" t="s">
        <v>20695</v>
      </c>
      <c r="BD3931" s="82" t="s">
        <v>21749</v>
      </c>
      <c r="BE3931" s="77"/>
      <c r="BF3931" s="77"/>
      <c r="BG3931" s="77"/>
      <c r="BH3931" s="77"/>
      <c r="BI3931" s="77"/>
    </row>
    <row r="3932" spans="1:61" x14ac:dyDescent="0.25">
      <c r="A3932" s="62" t="s">
        <v>1202</v>
      </c>
      <c r="B3932" s="62" t="s">
        <v>1202</v>
      </c>
      <c r="C3932" s="63"/>
      <c r="D3932" s="64"/>
      <c r="E3932" s="65"/>
      <c r="F3932" s="66"/>
      <c r="G3932" s="63"/>
      <c r="H3932" s="67"/>
      <c r="I3932" s="68"/>
      <c r="J3932" s="68"/>
      <c r="K3932" s="32"/>
      <c r="L3932" s="75">
        <v>3932</v>
      </c>
      <c r="M3932" s="75"/>
      <c r="N3932" s="70"/>
      <c r="O3932" s="77" t="s">
        <v>179</v>
      </c>
      <c r="P3932" s="79">
        <v>45132.09815972222</v>
      </c>
      <c r="Q3932" s="77" t="s">
        <v>5136</v>
      </c>
      <c r="R3932" s="77">
        <v>0</v>
      </c>
      <c r="S3932" s="77">
        <v>0</v>
      </c>
      <c r="T3932" s="77">
        <v>0</v>
      </c>
      <c r="U3932" s="77">
        <v>0</v>
      </c>
      <c r="V3932" s="77">
        <v>9</v>
      </c>
      <c r="W3932" s="82" t="s">
        <v>7122</v>
      </c>
      <c r="X3932" s="77"/>
      <c r="Y3932" s="77"/>
      <c r="Z3932" s="77"/>
      <c r="AA3932" s="77" t="s">
        <v>10055</v>
      </c>
      <c r="AB3932" s="77" t="s">
        <v>10130</v>
      </c>
      <c r="AC3932" s="82" t="s">
        <v>10146</v>
      </c>
      <c r="AD3932" s="77" t="s">
        <v>10184</v>
      </c>
      <c r="AE3932" s="80" t="str">
        <f>HYPERLINK("https://twitter.com/bianobk1bianobk/status/1683663699024678913")</f>
        <v>https://twitter.com/bianobk1bianobk/status/1683663699024678913</v>
      </c>
      <c r="AF3932" s="79">
        <v>45132.09815972222</v>
      </c>
      <c r="AG3932" s="85">
        <v>45132</v>
      </c>
      <c r="AH3932" s="82" t="s">
        <v>13909</v>
      </c>
      <c r="AI3932" s="77" t="b">
        <v>0</v>
      </c>
      <c r="AJ3932" s="77"/>
      <c r="AK3932" s="77"/>
      <c r="AL3932" s="77"/>
      <c r="AM3932" s="77"/>
      <c r="AN3932" s="77"/>
      <c r="AO3932" s="77"/>
      <c r="AP3932" s="77"/>
      <c r="AQ3932" s="77" t="s">
        <v>16698</v>
      </c>
      <c r="AR3932" s="77"/>
      <c r="AS3932" s="77"/>
      <c r="AT3932" s="77"/>
      <c r="AU3932" s="77"/>
      <c r="AV3932" s="80" t="str">
        <f>HYPERLINK("https://pbs.twimg.com/media/F12Sl3wXwAAjRBP.jpg")</f>
        <v>https://pbs.twimg.com/media/F12Sl3wXwAAjRBP.jpg</v>
      </c>
      <c r="AW3932" s="82" t="s">
        <v>20696</v>
      </c>
      <c r="AX3932" s="82" t="s">
        <v>20696</v>
      </c>
      <c r="AY3932" s="77"/>
      <c r="AZ3932" s="82" t="s">
        <v>20971</v>
      </c>
      <c r="BA3932" s="82" t="s">
        <v>20971</v>
      </c>
      <c r="BB3932" s="82" t="s">
        <v>20971</v>
      </c>
      <c r="BC3932" s="82" t="s">
        <v>20696</v>
      </c>
      <c r="BD3932" s="82" t="s">
        <v>21749</v>
      </c>
      <c r="BE3932" s="77"/>
      <c r="BF3932" s="77"/>
      <c r="BG3932" s="77"/>
      <c r="BH3932" s="77"/>
      <c r="BI3932" s="77"/>
    </row>
    <row r="3933" spans="1:61" x14ac:dyDescent="0.25">
      <c r="A3933" s="62" t="s">
        <v>1202</v>
      </c>
      <c r="B3933" s="62" t="s">
        <v>1202</v>
      </c>
      <c r="C3933" s="63"/>
      <c r="D3933" s="64"/>
      <c r="E3933" s="65"/>
      <c r="F3933" s="66"/>
      <c r="G3933" s="63"/>
      <c r="H3933" s="67"/>
      <c r="I3933" s="68"/>
      <c r="J3933" s="68"/>
      <c r="K3933" s="32"/>
      <c r="L3933" s="75">
        <v>3933</v>
      </c>
      <c r="M3933" s="75"/>
      <c r="N3933" s="70"/>
      <c r="O3933" s="77" t="s">
        <v>179</v>
      </c>
      <c r="P3933" s="79">
        <v>45132.09611111111</v>
      </c>
      <c r="Q3933" s="77" t="s">
        <v>5137</v>
      </c>
      <c r="R3933" s="77">
        <v>0</v>
      </c>
      <c r="S3933" s="77">
        <v>0</v>
      </c>
      <c r="T3933" s="77">
        <v>0</v>
      </c>
      <c r="U3933" s="77">
        <v>0</v>
      </c>
      <c r="V3933" s="77">
        <v>37</v>
      </c>
      <c r="W3933" s="82" t="s">
        <v>7123</v>
      </c>
      <c r="X3933" s="77"/>
      <c r="Y3933" s="77"/>
      <c r="Z3933" s="77"/>
      <c r="AA3933" s="77" t="s">
        <v>10056</v>
      </c>
      <c r="AB3933" s="77" t="s">
        <v>10130</v>
      </c>
      <c r="AC3933" s="82" t="s">
        <v>10146</v>
      </c>
      <c r="AD3933" s="77" t="s">
        <v>10184</v>
      </c>
      <c r="AE3933" s="80" t="str">
        <f>HYPERLINK("https://twitter.com/bianobk1bianobk/status/1683662955240382467")</f>
        <v>https://twitter.com/bianobk1bianobk/status/1683662955240382467</v>
      </c>
      <c r="AF3933" s="79">
        <v>45132.09611111111</v>
      </c>
      <c r="AG3933" s="85">
        <v>45132</v>
      </c>
      <c r="AH3933" s="82" t="s">
        <v>13910</v>
      </c>
      <c r="AI3933" s="77" t="b">
        <v>0</v>
      </c>
      <c r="AJ3933" s="77"/>
      <c r="AK3933" s="77"/>
      <c r="AL3933" s="77"/>
      <c r="AM3933" s="77"/>
      <c r="AN3933" s="77"/>
      <c r="AO3933" s="77"/>
      <c r="AP3933" s="77"/>
      <c r="AQ3933" s="77" t="s">
        <v>16699</v>
      </c>
      <c r="AR3933" s="77"/>
      <c r="AS3933" s="77"/>
      <c r="AT3933" s="77"/>
      <c r="AU3933" s="77"/>
      <c r="AV3933" s="80" t="str">
        <f>HYPERLINK("https://pbs.twimg.com/media/F12SQ98XoAAPbnK.jpg")</f>
        <v>https://pbs.twimg.com/media/F12SQ98XoAAPbnK.jpg</v>
      </c>
      <c r="AW3933" s="82" t="s">
        <v>20697</v>
      </c>
      <c r="AX3933" s="82" t="s">
        <v>20697</v>
      </c>
      <c r="AY3933" s="77"/>
      <c r="AZ3933" s="82" t="s">
        <v>20971</v>
      </c>
      <c r="BA3933" s="82" t="s">
        <v>20971</v>
      </c>
      <c r="BB3933" s="82" t="s">
        <v>20971</v>
      </c>
      <c r="BC3933" s="82" t="s">
        <v>20697</v>
      </c>
      <c r="BD3933" s="82" t="s">
        <v>21749</v>
      </c>
      <c r="BE3933" s="77"/>
      <c r="BF3933" s="77"/>
      <c r="BG3933" s="77"/>
      <c r="BH3933" s="77"/>
      <c r="BI3933" s="77"/>
    </row>
    <row r="3934" spans="1:61" x14ac:dyDescent="0.25">
      <c r="A3934" s="62" t="s">
        <v>1202</v>
      </c>
      <c r="B3934" s="62" t="s">
        <v>1202</v>
      </c>
      <c r="C3934" s="63"/>
      <c r="D3934" s="64"/>
      <c r="E3934" s="65"/>
      <c r="F3934" s="66"/>
      <c r="G3934" s="63"/>
      <c r="H3934" s="67"/>
      <c r="I3934" s="68"/>
      <c r="J3934" s="68"/>
      <c r="K3934" s="32"/>
      <c r="L3934" s="75">
        <v>3934</v>
      </c>
      <c r="M3934" s="75"/>
      <c r="N3934" s="70"/>
      <c r="O3934" s="77" t="s">
        <v>179</v>
      </c>
      <c r="P3934" s="79">
        <v>45132.094699074078</v>
      </c>
      <c r="Q3934" s="77" t="s">
        <v>5138</v>
      </c>
      <c r="R3934" s="77">
        <v>0</v>
      </c>
      <c r="S3934" s="77">
        <v>0</v>
      </c>
      <c r="T3934" s="77">
        <v>0</v>
      </c>
      <c r="U3934" s="77">
        <v>0</v>
      </c>
      <c r="V3934" s="77">
        <v>20</v>
      </c>
      <c r="W3934" s="82" t="s">
        <v>7124</v>
      </c>
      <c r="X3934" s="77"/>
      <c r="Y3934" s="77"/>
      <c r="Z3934" s="77"/>
      <c r="AA3934" s="77" t="s">
        <v>10057</v>
      </c>
      <c r="AB3934" s="77" t="s">
        <v>10130</v>
      </c>
      <c r="AC3934" s="82" t="s">
        <v>10146</v>
      </c>
      <c r="AD3934" s="77" t="s">
        <v>10184</v>
      </c>
      <c r="AE3934" s="80" t="str">
        <f>HYPERLINK("https://twitter.com/bianobk1bianobk/status/1683662443438919682")</f>
        <v>https://twitter.com/bianobk1bianobk/status/1683662443438919682</v>
      </c>
      <c r="AF3934" s="79">
        <v>45132.094699074078</v>
      </c>
      <c r="AG3934" s="85">
        <v>45132</v>
      </c>
      <c r="AH3934" s="82" t="s">
        <v>13911</v>
      </c>
      <c r="AI3934" s="77" t="b">
        <v>0</v>
      </c>
      <c r="AJ3934" s="77"/>
      <c r="AK3934" s="77"/>
      <c r="AL3934" s="77"/>
      <c r="AM3934" s="77"/>
      <c r="AN3934" s="77"/>
      <c r="AO3934" s="77"/>
      <c r="AP3934" s="77"/>
      <c r="AQ3934" s="77" t="s">
        <v>16700</v>
      </c>
      <c r="AR3934" s="77"/>
      <c r="AS3934" s="77"/>
      <c r="AT3934" s="77"/>
      <c r="AU3934" s="77"/>
      <c r="AV3934" s="80" t="str">
        <f>HYPERLINK("https://pbs.twimg.com/media/F12R3GhXsAAWeM5.jpg")</f>
        <v>https://pbs.twimg.com/media/F12R3GhXsAAWeM5.jpg</v>
      </c>
      <c r="AW3934" s="82" t="s">
        <v>20698</v>
      </c>
      <c r="AX3934" s="82" t="s">
        <v>20698</v>
      </c>
      <c r="AY3934" s="77"/>
      <c r="AZ3934" s="82" t="s">
        <v>20971</v>
      </c>
      <c r="BA3934" s="82" t="s">
        <v>20971</v>
      </c>
      <c r="BB3934" s="82" t="s">
        <v>20971</v>
      </c>
      <c r="BC3934" s="82" t="s">
        <v>20698</v>
      </c>
      <c r="BD3934" s="82" t="s">
        <v>21749</v>
      </c>
      <c r="BE3934" s="77"/>
      <c r="BF3934" s="77"/>
      <c r="BG3934" s="77"/>
      <c r="BH3934" s="77"/>
      <c r="BI3934" s="77"/>
    </row>
    <row r="3935" spans="1:61" x14ac:dyDescent="0.25">
      <c r="A3935" s="62" t="s">
        <v>1202</v>
      </c>
      <c r="B3935" s="62" t="s">
        <v>1202</v>
      </c>
      <c r="C3935" s="63"/>
      <c r="D3935" s="64"/>
      <c r="E3935" s="65"/>
      <c r="F3935" s="66"/>
      <c r="G3935" s="63"/>
      <c r="H3935" s="67"/>
      <c r="I3935" s="68"/>
      <c r="J3935" s="68"/>
      <c r="K3935" s="32"/>
      <c r="L3935" s="75">
        <v>3935</v>
      </c>
      <c r="M3935" s="75"/>
      <c r="N3935" s="70"/>
      <c r="O3935" s="77" t="s">
        <v>179</v>
      </c>
      <c r="P3935" s="79">
        <v>45132.093807870369</v>
      </c>
      <c r="Q3935" s="77" t="s">
        <v>5139</v>
      </c>
      <c r="R3935" s="77">
        <v>0</v>
      </c>
      <c r="S3935" s="77">
        <v>0</v>
      </c>
      <c r="T3935" s="77">
        <v>0</v>
      </c>
      <c r="U3935" s="77">
        <v>0</v>
      </c>
      <c r="V3935" s="77">
        <v>17</v>
      </c>
      <c r="W3935" s="82" t="s">
        <v>7125</v>
      </c>
      <c r="X3935" s="77"/>
      <c r="Y3935" s="77"/>
      <c r="Z3935" s="77"/>
      <c r="AA3935" s="77" t="s">
        <v>10058</v>
      </c>
      <c r="AB3935" s="77" t="s">
        <v>10130</v>
      </c>
      <c r="AC3935" s="82" t="s">
        <v>10146</v>
      </c>
      <c r="AD3935" s="77" t="s">
        <v>10184</v>
      </c>
      <c r="AE3935" s="80" t="str">
        <f>HYPERLINK("https://twitter.com/bianobk1bianobk/status/1683662121689554949")</f>
        <v>https://twitter.com/bianobk1bianobk/status/1683662121689554949</v>
      </c>
      <c r="AF3935" s="79">
        <v>45132.093807870369</v>
      </c>
      <c r="AG3935" s="85">
        <v>45132</v>
      </c>
      <c r="AH3935" s="82" t="s">
        <v>13912</v>
      </c>
      <c r="AI3935" s="77" t="b">
        <v>0</v>
      </c>
      <c r="AJ3935" s="77"/>
      <c r="AK3935" s="77"/>
      <c r="AL3935" s="77"/>
      <c r="AM3935" s="77"/>
      <c r="AN3935" s="77"/>
      <c r="AO3935" s="77"/>
      <c r="AP3935" s="77"/>
      <c r="AQ3935" s="77" t="s">
        <v>16701</v>
      </c>
      <c r="AR3935" s="77"/>
      <c r="AS3935" s="77"/>
      <c r="AT3935" s="77"/>
      <c r="AU3935" s="77"/>
      <c r="AV3935" s="80" t="str">
        <f>HYPERLINK("https://pbs.twimg.com/media/F12RfzCXwAARK0V.jpg")</f>
        <v>https://pbs.twimg.com/media/F12RfzCXwAARK0V.jpg</v>
      </c>
      <c r="AW3935" s="82" t="s">
        <v>20699</v>
      </c>
      <c r="AX3935" s="82" t="s">
        <v>20699</v>
      </c>
      <c r="AY3935" s="77"/>
      <c r="AZ3935" s="82" t="s">
        <v>20971</v>
      </c>
      <c r="BA3935" s="82" t="s">
        <v>20971</v>
      </c>
      <c r="BB3935" s="82" t="s">
        <v>20971</v>
      </c>
      <c r="BC3935" s="82" t="s">
        <v>20699</v>
      </c>
      <c r="BD3935" s="82" t="s">
        <v>21749</v>
      </c>
      <c r="BE3935" s="77"/>
      <c r="BF3935" s="77"/>
      <c r="BG3935" s="77"/>
      <c r="BH3935" s="77"/>
      <c r="BI3935" s="77"/>
    </row>
    <row r="3936" spans="1:61" x14ac:dyDescent="0.25">
      <c r="A3936" s="62" t="s">
        <v>1202</v>
      </c>
      <c r="B3936" s="62" t="s">
        <v>1202</v>
      </c>
      <c r="C3936" s="63"/>
      <c r="D3936" s="64"/>
      <c r="E3936" s="65"/>
      <c r="F3936" s="66"/>
      <c r="G3936" s="63"/>
      <c r="H3936" s="67"/>
      <c r="I3936" s="68"/>
      <c r="J3936" s="68"/>
      <c r="K3936" s="32"/>
      <c r="L3936" s="75">
        <v>3936</v>
      </c>
      <c r="M3936" s="75"/>
      <c r="N3936" s="70"/>
      <c r="O3936" s="77" t="s">
        <v>179</v>
      </c>
      <c r="P3936" s="79">
        <v>45132.092812499999</v>
      </c>
      <c r="Q3936" s="77" t="s">
        <v>5140</v>
      </c>
      <c r="R3936" s="77">
        <v>0</v>
      </c>
      <c r="S3936" s="77">
        <v>0</v>
      </c>
      <c r="T3936" s="77">
        <v>0</v>
      </c>
      <c r="U3936" s="77">
        <v>0</v>
      </c>
      <c r="V3936" s="77">
        <v>28</v>
      </c>
      <c r="W3936" s="82" t="s">
        <v>7126</v>
      </c>
      <c r="X3936" s="77"/>
      <c r="Y3936" s="77"/>
      <c r="Z3936" s="77"/>
      <c r="AA3936" s="77" t="s">
        <v>10059</v>
      </c>
      <c r="AB3936" s="77" t="s">
        <v>10130</v>
      </c>
      <c r="AC3936" s="82" t="s">
        <v>10146</v>
      </c>
      <c r="AD3936" s="77" t="s">
        <v>10184</v>
      </c>
      <c r="AE3936" s="80" t="str">
        <f>HYPERLINK("https://twitter.com/bianobk1bianobk/status/1683661760656470016")</f>
        <v>https://twitter.com/bianobk1bianobk/status/1683661760656470016</v>
      </c>
      <c r="AF3936" s="79">
        <v>45132.092812499999</v>
      </c>
      <c r="AG3936" s="85">
        <v>45132</v>
      </c>
      <c r="AH3936" s="82" t="s">
        <v>13913</v>
      </c>
      <c r="AI3936" s="77" t="b">
        <v>0</v>
      </c>
      <c r="AJ3936" s="77"/>
      <c r="AK3936" s="77"/>
      <c r="AL3936" s="77"/>
      <c r="AM3936" s="77"/>
      <c r="AN3936" s="77"/>
      <c r="AO3936" s="77"/>
      <c r="AP3936" s="77"/>
      <c r="AQ3936" s="77" t="s">
        <v>16702</v>
      </c>
      <c r="AR3936" s="77"/>
      <c r="AS3936" s="77"/>
      <c r="AT3936" s="77"/>
      <c r="AU3936" s="77"/>
      <c r="AV3936" s="80" t="str">
        <f>HYPERLINK("https://pbs.twimg.com/media/F12Qz6kWcAIjcp0.jpg")</f>
        <v>https://pbs.twimg.com/media/F12Qz6kWcAIjcp0.jpg</v>
      </c>
      <c r="AW3936" s="82" t="s">
        <v>20700</v>
      </c>
      <c r="AX3936" s="82" t="s">
        <v>20700</v>
      </c>
      <c r="AY3936" s="77"/>
      <c r="AZ3936" s="82" t="s">
        <v>20971</v>
      </c>
      <c r="BA3936" s="82" t="s">
        <v>20971</v>
      </c>
      <c r="BB3936" s="82" t="s">
        <v>20971</v>
      </c>
      <c r="BC3936" s="82" t="s">
        <v>20700</v>
      </c>
      <c r="BD3936" s="82" t="s">
        <v>21749</v>
      </c>
      <c r="BE3936" s="77"/>
      <c r="BF3936" s="77"/>
      <c r="BG3936" s="77"/>
      <c r="BH3936" s="77"/>
      <c r="BI3936" s="77"/>
    </row>
    <row r="3937" spans="1:61" x14ac:dyDescent="0.25">
      <c r="A3937" s="62" t="s">
        <v>1202</v>
      </c>
      <c r="B3937" s="62" t="s">
        <v>1202</v>
      </c>
      <c r="C3937" s="63"/>
      <c r="D3937" s="64"/>
      <c r="E3937" s="65"/>
      <c r="F3937" s="66"/>
      <c r="G3937" s="63"/>
      <c r="H3937" s="67"/>
      <c r="I3937" s="68"/>
      <c r="J3937" s="68"/>
      <c r="K3937" s="32"/>
      <c r="L3937" s="75">
        <v>3937</v>
      </c>
      <c r="M3937" s="75"/>
      <c r="N3937" s="70"/>
      <c r="O3937" s="77" t="s">
        <v>179</v>
      </c>
      <c r="P3937" s="79">
        <v>45132.090717592589</v>
      </c>
      <c r="Q3937" s="77" t="s">
        <v>5141</v>
      </c>
      <c r="R3937" s="77">
        <v>0</v>
      </c>
      <c r="S3937" s="77">
        <v>0</v>
      </c>
      <c r="T3937" s="77">
        <v>0</v>
      </c>
      <c r="U3937" s="77">
        <v>0</v>
      </c>
      <c r="V3937" s="77">
        <v>12</v>
      </c>
      <c r="W3937" s="82" t="s">
        <v>7127</v>
      </c>
      <c r="X3937" s="77"/>
      <c r="Y3937" s="77"/>
      <c r="Z3937" s="77"/>
      <c r="AA3937" s="77" t="s">
        <v>10060</v>
      </c>
      <c r="AB3937" s="77" t="s">
        <v>10130</v>
      </c>
      <c r="AC3937" s="82" t="s">
        <v>10146</v>
      </c>
      <c r="AD3937" s="77" t="s">
        <v>10184</v>
      </c>
      <c r="AE3937" s="80" t="str">
        <f>HYPERLINK("https://twitter.com/bianobk1bianobk/status/1683661003559514114")</f>
        <v>https://twitter.com/bianobk1bianobk/status/1683661003559514114</v>
      </c>
      <c r="AF3937" s="79">
        <v>45132.090717592589</v>
      </c>
      <c r="AG3937" s="85">
        <v>45132</v>
      </c>
      <c r="AH3937" s="82" t="s">
        <v>13914</v>
      </c>
      <c r="AI3937" s="77" t="b">
        <v>0</v>
      </c>
      <c r="AJ3937" s="77"/>
      <c r="AK3937" s="77"/>
      <c r="AL3937" s="77"/>
      <c r="AM3937" s="77"/>
      <c r="AN3937" s="77"/>
      <c r="AO3937" s="77"/>
      <c r="AP3937" s="77"/>
      <c r="AQ3937" s="77" t="s">
        <v>16703</v>
      </c>
      <c r="AR3937" s="77"/>
      <c r="AS3937" s="77"/>
      <c r="AT3937" s="77"/>
      <c r="AU3937" s="77"/>
      <c r="AV3937" s="80" t="str">
        <f>HYPERLINK("https://pbs.twimg.com/media/F12QggeWYAMqOQI.jpg")</f>
        <v>https://pbs.twimg.com/media/F12QggeWYAMqOQI.jpg</v>
      </c>
      <c r="AW3937" s="82" t="s">
        <v>20701</v>
      </c>
      <c r="AX3937" s="82" t="s">
        <v>20701</v>
      </c>
      <c r="AY3937" s="77"/>
      <c r="AZ3937" s="82" t="s">
        <v>20971</v>
      </c>
      <c r="BA3937" s="82" t="s">
        <v>20971</v>
      </c>
      <c r="BB3937" s="82" t="s">
        <v>20971</v>
      </c>
      <c r="BC3937" s="82" t="s">
        <v>20701</v>
      </c>
      <c r="BD3937" s="82" t="s">
        <v>21749</v>
      </c>
      <c r="BE3937" s="77"/>
      <c r="BF3937" s="77"/>
      <c r="BG3937" s="77"/>
      <c r="BH3937" s="77"/>
      <c r="BI3937" s="77"/>
    </row>
    <row r="3938" spans="1:61" x14ac:dyDescent="0.25">
      <c r="A3938" s="62" t="s">
        <v>1202</v>
      </c>
      <c r="B3938" s="62" t="s">
        <v>1202</v>
      </c>
      <c r="C3938" s="63"/>
      <c r="D3938" s="64"/>
      <c r="E3938" s="65"/>
      <c r="F3938" s="66"/>
      <c r="G3938" s="63"/>
      <c r="H3938" s="67"/>
      <c r="I3938" s="68"/>
      <c r="J3938" s="68"/>
      <c r="K3938" s="32"/>
      <c r="L3938" s="75">
        <v>3938</v>
      </c>
      <c r="M3938" s="75"/>
      <c r="N3938" s="70"/>
      <c r="O3938" s="77" t="s">
        <v>179</v>
      </c>
      <c r="P3938" s="79">
        <v>45132.08494212963</v>
      </c>
      <c r="Q3938" s="77" t="s">
        <v>5142</v>
      </c>
      <c r="R3938" s="77">
        <v>0</v>
      </c>
      <c r="S3938" s="77">
        <v>0</v>
      </c>
      <c r="T3938" s="77">
        <v>0</v>
      </c>
      <c r="U3938" s="77">
        <v>0</v>
      </c>
      <c r="V3938" s="77">
        <v>35</v>
      </c>
      <c r="W3938" s="82" t="s">
        <v>7128</v>
      </c>
      <c r="X3938" s="77"/>
      <c r="Y3938" s="77"/>
      <c r="Z3938" s="77"/>
      <c r="AA3938" s="77" t="s">
        <v>10061</v>
      </c>
      <c r="AB3938" s="77" t="s">
        <v>10130</v>
      </c>
      <c r="AC3938" s="82" t="s">
        <v>10146</v>
      </c>
      <c r="AD3938" s="77" t="s">
        <v>10184</v>
      </c>
      <c r="AE3938" s="80" t="str">
        <f>HYPERLINK("https://twitter.com/bianobk1bianobk/status/1683658908533919746")</f>
        <v>https://twitter.com/bianobk1bianobk/status/1683658908533919746</v>
      </c>
      <c r="AF3938" s="79">
        <v>45132.08494212963</v>
      </c>
      <c r="AG3938" s="85">
        <v>45132</v>
      </c>
      <c r="AH3938" s="82" t="s">
        <v>13915</v>
      </c>
      <c r="AI3938" s="77" t="b">
        <v>0</v>
      </c>
      <c r="AJ3938" s="77"/>
      <c r="AK3938" s="77"/>
      <c r="AL3938" s="77"/>
      <c r="AM3938" s="77"/>
      <c r="AN3938" s="77"/>
      <c r="AO3938" s="77"/>
      <c r="AP3938" s="77"/>
      <c r="AQ3938" s="77" t="s">
        <v>16704</v>
      </c>
      <c r="AR3938" s="77"/>
      <c r="AS3938" s="77"/>
      <c r="AT3938" s="77"/>
      <c r="AU3938" s="77"/>
      <c r="AV3938" s="80" t="str">
        <f>HYPERLINK("https://pbs.twimg.com/media/F12Opw-XwAEfjVJ.jpg")</f>
        <v>https://pbs.twimg.com/media/F12Opw-XwAEfjVJ.jpg</v>
      </c>
      <c r="AW3938" s="82" t="s">
        <v>20702</v>
      </c>
      <c r="AX3938" s="82" t="s">
        <v>20702</v>
      </c>
      <c r="AY3938" s="77"/>
      <c r="AZ3938" s="82" t="s">
        <v>20971</v>
      </c>
      <c r="BA3938" s="82" t="s">
        <v>20971</v>
      </c>
      <c r="BB3938" s="82" t="s">
        <v>20971</v>
      </c>
      <c r="BC3938" s="82" t="s">
        <v>20702</v>
      </c>
      <c r="BD3938" s="82" t="s">
        <v>21749</v>
      </c>
      <c r="BE3938" s="77"/>
      <c r="BF3938" s="77"/>
      <c r="BG3938" s="77"/>
      <c r="BH3938" s="77"/>
      <c r="BI3938" s="77"/>
    </row>
    <row r="3939" spans="1:61" x14ac:dyDescent="0.25">
      <c r="A3939" s="62" t="s">
        <v>1202</v>
      </c>
      <c r="B3939" s="62" t="s">
        <v>1202</v>
      </c>
      <c r="C3939" s="63"/>
      <c r="D3939" s="64"/>
      <c r="E3939" s="65"/>
      <c r="F3939" s="66"/>
      <c r="G3939" s="63"/>
      <c r="H3939" s="67"/>
      <c r="I3939" s="68"/>
      <c r="J3939" s="68"/>
      <c r="K3939" s="32"/>
      <c r="L3939" s="75">
        <v>3939</v>
      </c>
      <c r="M3939" s="75"/>
      <c r="N3939" s="70"/>
      <c r="O3939" s="77" t="s">
        <v>179</v>
      </c>
      <c r="P3939" s="79">
        <v>45132.084131944444</v>
      </c>
      <c r="Q3939" s="77" t="s">
        <v>5143</v>
      </c>
      <c r="R3939" s="77">
        <v>0</v>
      </c>
      <c r="S3939" s="77">
        <v>0</v>
      </c>
      <c r="T3939" s="77">
        <v>0</v>
      </c>
      <c r="U3939" s="77">
        <v>0</v>
      </c>
      <c r="V3939" s="77">
        <v>27</v>
      </c>
      <c r="W3939" s="82" t="s">
        <v>7129</v>
      </c>
      <c r="X3939" s="77"/>
      <c r="Y3939" s="77"/>
      <c r="Z3939" s="77"/>
      <c r="AA3939" s="77" t="s">
        <v>10062</v>
      </c>
      <c r="AB3939" s="77" t="s">
        <v>10130</v>
      </c>
      <c r="AC3939" s="82" t="s">
        <v>10146</v>
      </c>
      <c r="AD3939" s="77" t="s">
        <v>10184</v>
      </c>
      <c r="AE3939" s="80" t="str">
        <f>HYPERLINK("https://twitter.com/bianobk1bianobk/status/1683658617558388737")</f>
        <v>https://twitter.com/bianobk1bianobk/status/1683658617558388737</v>
      </c>
      <c r="AF3939" s="79">
        <v>45132.084131944444</v>
      </c>
      <c r="AG3939" s="85">
        <v>45132</v>
      </c>
      <c r="AH3939" s="82" t="s">
        <v>13916</v>
      </c>
      <c r="AI3939" s="77" t="b">
        <v>0</v>
      </c>
      <c r="AJ3939" s="77"/>
      <c r="AK3939" s="77"/>
      <c r="AL3939" s="77"/>
      <c r="AM3939" s="77"/>
      <c r="AN3939" s="77"/>
      <c r="AO3939" s="77"/>
      <c r="AP3939" s="77"/>
      <c r="AQ3939" s="77" t="s">
        <v>16705</v>
      </c>
      <c r="AR3939" s="77"/>
      <c r="AS3939" s="77"/>
      <c r="AT3939" s="77"/>
      <c r="AU3939" s="77"/>
      <c r="AV3939" s="80" t="str">
        <f>HYPERLINK("https://pbs.twimg.com/media/F12OSNsWcAIvaYk.jpg")</f>
        <v>https://pbs.twimg.com/media/F12OSNsWcAIvaYk.jpg</v>
      </c>
      <c r="AW3939" s="82" t="s">
        <v>20703</v>
      </c>
      <c r="AX3939" s="82" t="s">
        <v>20703</v>
      </c>
      <c r="AY3939" s="77"/>
      <c r="AZ3939" s="82" t="s">
        <v>20971</v>
      </c>
      <c r="BA3939" s="82" t="s">
        <v>20971</v>
      </c>
      <c r="BB3939" s="82" t="s">
        <v>20971</v>
      </c>
      <c r="BC3939" s="82" t="s">
        <v>20703</v>
      </c>
      <c r="BD3939" s="82" t="s">
        <v>21749</v>
      </c>
      <c r="BE3939" s="77"/>
      <c r="BF3939" s="77"/>
      <c r="BG3939" s="77"/>
      <c r="BH3939" s="77"/>
      <c r="BI3939" s="77"/>
    </row>
    <row r="3940" spans="1:61" x14ac:dyDescent="0.25">
      <c r="A3940" s="62" t="s">
        <v>1202</v>
      </c>
      <c r="B3940" s="62" t="s">
        <v>1202</v>
      </c>
      <c r="C3940" s="63"/>
      <c r="D3940" s="64"/>
      <c r="E3940" s="65"/>
      <c r="F3940" s="66"/>
      <c r="G3940" s="63"/>
      <c r="H3940" s="67"/>
      <c r="I3940" s="68"/>
      <c r="J3940" s="68"/>
      <c r="K3940" s="32"/>
      <c r="L3940" s="75">
        <v>3940</v>
      </c>
      <c r="M3940" s="75"/>
      <c r="N3940" s="70"/>
      <c r="O3940" s="77" t="s">
        <v>179</v>
      </c>
      <c r="P3940" s="79">
        <v>45132.082789351851</v>
      </c>
      <c r="Q3940" s="77" t="s">
        <v>5144</v>
      </c>
      <c r="R3940" s="77">
        <v>0</v>
      </c>
      <c r="S3940" s="77">
        <v>0</v>
      </c>
      <c r="T3940" s="77">
        <v>0</v>
      </c>
      <c r="U3940" s="77">
        <v>0</v>
      </c>
      <c r="V3940" s="77">
        <v>20</v>
      </c>
      <c r="W3940" s="82" t="s">
        <v>7130</v>
      </c>
      <c r="X3940" s="77"/>
      <c r="Y3940" s="77"/>
      <c r="Z3940" s="77"/>
      <c r="AA3940" s="77" t="s">
        <v>10063</v>
      </c>
      <c r="AB3940" s="77" t="s">
        <v>10130</v>
      </c>
      <c r="AC3940" s="82" t="s">
        <v>10146</v>
      </c>
      <c r="AD3940" s="77" t="s">
        <v>10184</v>
      </c>
      <c r="AE3940" s="80" t="str">
        <f>HYPERLINK("https://twitter.com/bianobk1bianobk/status/1683658128309485569")</f>
        <v>https://twitter.com/bianobk1bianobk/status/1683658128309485569</v>
      </c>
      <c r="AF3940" s="79">
        <v>45132.082789351851</v>
      </c>
      <c r="AG3940" s="85">
        <v>45132</v>
      </c>
      <c r="AH3940" s="82" t="s">
        <v>13917</v>
      </c>
      <c r="AI3940" s="77" t="b">
        <v>0</v>
      </c>
      <c r="AJ3940" s="77"/>
      <c r="AK3940" s="77"/>
      <c r="AL3940" s="77"/>
      <c r="AM3940" s="77"/>
      <c r="AN3940" s="77"/>
      <c r="AO3940" s="77"/>
      <c r="AP3940" s="77"/>
      <c r="AQ3940" s="77" t="s">
        <v>16706</v>
      </c>
      <c r="AR3940" s="77"/>
      <c r="AS3940" s="77"/>
      <c r="AT3940" s="77"/>
      <c r="AU3940" s="77"/>
      <c r="AV3940" s="80" t="str">
        <f>HYPERLINK("https://pbs.twimg.com/media/F12N12uWIAAURnm.jpg")</f>
        <v>https://pbs.twimg.com/media/F12N12uWIAAURnm.jpg</v>
      </c>
      <c r="AW3940" s="82" t="s">
        <v>20704</v>
      </c>
      <c r="AX3940" s="82" t="s">
        <v>20704</v>
      </c>
      <c r="AY3940" s="77"/>
      <c r="AZ3940" s="82" t="s">
        <v>20971</v>
      </c>
      <c r="BA3940" s="82" t="s">
        <v>20971</v>
      </c>
      <c r="BB3940" s="82" t="s">
        <v>20971</v>
      </c>
      <c r="BC3940" s="82" t="s">
        <v>20704</v>
      </c>
      <c r="BD3940" s="82" t="s">
        <v>21749</v>
      </c>
      <c r="BE3940" s="77"/>
      <c r="BF3940" s="77"/>
      <c r="BG3940" s="77"/>
      <c r="BH3940" s="77"/>
      <c r="BI3940" s="77"/>
    </row>
    <row r="3941" spans="1:61" x14ac:dyDescent="0.25">
      <c r="A3941" s="62" t="s">
        <v>1202</v>
      </c>
      <c r="B3941" s="62" t="s">
        <v>1202</v>
      </c>
      <c r="C3941" s="63"/>
      <c r="D3941" s="64"/>
      <c r="E3941" s="65"/>
      <c r="F3941" s="66"/>
      <c r="G3941" s="63"/>
      <c r="H3941" s="67"/>
      <c r="I3941" s="68"/>
      <c r="J3941" s="68"/>
      <c r="K3941" s="32"/>
      <c r="L3941" s="75">
        <v>3941</v>
      </c>
      <c r="M3941" s="75"/>
      <c r="N3941" s="70"/>
      <c r="O3941" s="77" t="s">
        <v>179</v>
      </c>
      <c r="P3941" s="79">
        <v>45132.081666666665</v>
      </c>
      <c r="Q3941" s="77" t="s">
        <v>5145</v>
      </c>
      <c r="R3941" s="77">
        <v>0</v>
      </c>
      <c r="S3941" s="77">
        <v>0</v>
      </c>
      <c r="T3941" s="77">
        <v>0</v>
      </c>
      <c r="U3941" s="77">
        <v>0</v>
      </c>
      <c r="V3941" s="77">
        <v>13</v>
      </c>
      <c r="W3941" s="82" t="s">
        <v>7131</v>
      </c>
      <c r="X3941" s="77"/>
      <c r="Y3941" s="77"/>
      <c r="Z3941" s="77"/>
      <c r="AA3941" s="77" t="s">
        <v>10064</v>
      </c>
      <c r="AB3941" s="77" t="s">
        <v>10130</v>
      </c>
      <c r="AC3941" s="82" t="s">
        <v>10146</v>
      </c>
      <c r="AD3941" s="77" t="s">
        <v>10184</v>
      </c>
      <c r="AE3941" s="80" t="str">
        <f>HYPERLINK("https://twitter.com/bianobk1bianobk/status/1683657720983965701")</f>
        <v>https://twitter.com/bianobk1bianobk/status/1683657720983965701</v>
      </c>
      <c r="AF3941" s="79">
        <v>45132.081666666665</v>
      </c>
      <c r="AG3941" s="85">
        <v>45132</v>
      </c>
      <c r="AH3941" s="82" t="s">
        <v>13918</v>
      </c>
      <c r="AI3941" s="77" t="b">
        <v>0</v>
      </c>
      <c r="AJ3941" s="77"/>
      <c r="AK3941" s="77"/>
      <c r="AL3941" s="77"/>
      <c r="AM3941" s="77"/>
      <c r="AN3941" s="77"/>
      <c r="AO3941" s="77"/>
      <c r="AP3941" s="77"/>
      <c r="AQ3941" s="77" t="s">
        <v>16707</v>
      </c>
      <c r="AR3941" s="77"/>
      <c r="AS3941" s="77"/>
      <c r="AT3941" s="77"/>
      <c r="AU3941" s="77"/>
      <c r="AV3941" s="80" t="str">
        <f>HYPERLINK("https://pbs.twimg.com/media/F12Ne-cXgAI_6Nw.jpg")</f>
        <v>https://pbs.twimg.com/media/F12Ne-cXgAI_6Nw.jpg</v>
      </c>
      <c r="AW3941" s="82" t="s">
        <v>20705</v>
      </c>
      <c r="AX3941" s="82" t="s">
        <v>20705</v>
      </c>
      <c r="AY3941" s="77"/>
      <c r="AZ3941" s="82" t="s">
        <v>20971</v>
      </c>
      <c r="BA3941" s="82" t="s">
        <v>20971</v>
      </c>
      <c r="BB3941" s="82" t="s">
        <v>20971</v>
      </c>
      <c r="BC3941" s="82" t="s">
        <v>20705</v>
      </c>
      <c r="BD3941" s="82" t="s">
        <v>21749</v>
      </c>
      <c r="BE3941" s="77"/>
      <c r="BF3941" s="77"/>
      <c r="BG3941" s="77"/>
      <c r="BH3941" s="77"/>
      <c r="BI3941" s="77"/>
    </row>
    <row r="3942" spans="1:61" x14ac:dyDescent="0.25">
      <c r="A3942" s="62" t="s">
        <v>1202</v>
      </c>
      <c r="B3942" s="62" t="s">
        <v>1202</v>
      </c>
      <c r="C3942" s="63"/>
      <c r="D3942" s="64"/>
      <c r="E3942" s="65"/>
      <c r="F3942" s="66"/>
      <c r="G3942" s="63"/>
      <c r="H3942" s="67"/>
      <c r="I3942" s="68"/>
      <c r="J3942" s="68"/>
      <c r="K3942" s="32"/>
      <c r="L3942" s="75">
        <v>3942</v>
      </c>
      <c r="M3942" s="75"/>
      <c r="N3942" s="70"/>
      <c r="O3942" s="77" t="s">
        <v>179</v>
      </c>
      <c r="P3942" s="79">
        <v>45132.080567129633</v>
      </c>
      <c r="Q3942" s="77" t="s">
        <v>5146</v>
      </c>
      <c r="R3942" s="77">
        <v>0</v>
      </c>
      <c r="S3942" s="77">
        <v>0</v>
      </c>
      <c r="T3942" s="77">
        <v>0</v>
      </c>
      <c r="U3942" s="77">
        <v>0</v>
      </c>
      <c r="V3942" s="77">
        <v>21</v>
      </c>
      <c r="W3942" s="82" t="s">
        <v>7132</v>
      </c>
      <c r="X3942" s="77"/>
      <c r="Y3942" s="77"/>
      <c r="Z3942" s="77"/>
      <c r="AA3942" s="77" t="s">
        <v>10065</v>
      </c>
      <c r="AB3942" s="77" t="s">
        <v>10130</v>
      </c>
      <c r="AC3942" s="82" t="s">
        <v>10146</v>
      </c>
      <c r="AD3942" s="77" t="s">
        <v>10184</v>
      </c>
      <c r="AE3942" s="80" t="str">
        <f>HYPERLINK("https://twitter.com/bianobk1bianobk/status/1683657324039114752")</f>
        <v>https://twitter.com/bianobk1bianobk/status/1683657324039114752</v>
      </c>
      <c r="AF3942" s="79">
        <v>45132.080567129633</v>
      </c>
      <c r="AG3942" s="85">
        <v>45132</v>
      </c>
      <c r="AH3942" s="82" t="s">
        <v>13919</v>
      </c>
      <c r="AI3942" s="77" t="b">
        <v>0</v>
      </c>
      <c r="AJ3942" s="77"/>
      <c r="AK3942" s="77"/>
      <c r="AL3942" s="77"/>
      <c r="AM3942" s="77"/>
      <c r="AN3942" s="77"/>
      <c r="AO3942" s="77"/>
      <c r="AP3942" s="77"/>
      <c r="AQ3942" s="77" t="s">
        <v>16708</v>
      </c>
      <c r="AR3942" s="77"/>
      <c r="AS3942" s="77"/>
      <c r="AT3942" s="77"/>
      <c r="AU3942" s="77"/>
      <c r="AV3942" s="80" t="str">
        <f>HYPERLINK("https://pbs.twimg.com/media/F12NAcTX0AIUDmQ.jpg")</f>
        <v>https://pbs.twimg.com/media/F12NAcTX0AIUDmQ.jpg</v>
      </c>
      <c r="AW3942" s="82" t="s">
        <v>20706</v>
      </c>
      <c r="AX3942" s="82" t="s">
        <v>20706</v>
      </c>
      <c r="AY3942" s="77"/>
      <c r="AZ3942" s="82" t="s">
        <v>20971</v>
      </c>
      <c r="BA3942" s="82" t="s">
        <v>20971</v>
      </c>
      <c r="BB3942" s="82" t="s">
        <v>20971</v>
      </c>
      <c r="BC3942" s="82" t="s">
        <v>20706</v>
      </c>
      <c r="BD3942" s="82" t="s">
        <v>21749</v>
      </c>
      <c r="BE3942" s="77"/>
      <c r="BF3942" s="77"/>
      <c r="BG3942" s="77"/>
      <c r="BH3942" s="77"/>
      <c r="BI3942" s="77"/>
    </row>
    <row r="3943" spans="1:61" x14ac:dyDescent="0.25">
      <c r="A3943" s="62" t="s">
        <v>1202</v>
      </c>
      <c r="B3943" s="62" t="s">
        <v>1202</v>
      </c>
      <c r="C3943" s="63"/>
      <c r="D3943" s="64"/>
      <c r="E3943" s="65"/>
      <c r="F3943" s="66"/>
      <c r="G3943" s="63"/>
      <c r="H3943" s="67"/>
      <c r="I3943" s="68"/>
      <c r="J3943" s="68"/>
      <c r="K3943" s="32"/>
      <c r="L3943" s="75">
        <v>3943</v>
      </c>
      <c r="M3943" s="75"/>
      <c r="N3943" s="70"/>
      <c r="O3943" s="77" t="s">
        <v>179</v>
      </c>
      <c r="P3943" s="79">
        <v>45132.078912037039</v>
      </c>
      <c r="Q3943" s="77" t="s">
        <v>5147</v>
      </c>
      <c r="R3943" s="77">
        <v>0</v>
      </c>
      <c r="S3943" s="77">
        <v>0</v>
      </c>
      <c r="T3943" s="77">
        <v>0</v>
      </c>
      <c r="U3943" s="77">
        <v>0</v>
      </c>
      <c r="V3943" s="77">
        <v>22</v>
      </c>
      <c r="W3943" s="82" t="s">
        <v>7133</v>
      </c>
      <c r="X3943" s="77"/>
      <c r="Y3943" s="77"/>
      <c r="Z3943" s="77"/>
      <c r="AA3943" s="77" t="s">
        <v>10066</v>
      </c>
      <c r="AB3943" s="77" t="s">
        <v>10130</v>
      </c>
      <c r="AC3943" s="82" t="s">
        <v>10146</v>
      </c>
      <c r="AD3943" s="77" t="s">
        <v>10184</v>
      </c>
      <c r="AE3943" s="80" t="str">
        <f>HYPERLINK("https://twitter.com/bianobk1bianobk/status/1683656723775606784")</f>
        <v>https://twitter.com/bianobk1bianobk/status/1683656723775606784</v>
      </c>
      <c r="AF3943" s="79">
        <v>45132.078912037039</v>
      </c>
      <c r="AG3943" s="85">
        <v>45132</v>
      </c>
      <c r="AH3943" s="82" t="s">
        <v>13920</v>
      </c>
      <c r="AI3943" s="77" t="b">
        <v>0</v>
      </c>
      <c r="AJ3943" s="77"/>
      <c r="AK3943" s="77"/>
      <c r="AL3943" s="77"/>
      <c r="AM3943" s="77"/>
      <c r="AN3943" s="77"/>
      <c r="AO3943" s="77"/>
      <c r="AP3943" s="77"/>
      <c r="AQ3943" s="77" t="s">
        <v>16709</v>
      </c>
      <c r="AR3943" s="77"/>
      <c r="AS3943" s="77"/>
      <c r="AT3943" s="77"/>
      <c r="AU3943" s="77"/>
      <c r="AV3943" s="80" t="str">
        <f>HYPERLINK("https://pbs.twimg.com/media/F12MqijWEAQGG-_.jpg")</f>
        <v>https://pbs.twimg.com/media/F12MqijWEAQGG-_.jpg</v>
      </c>
      <c r="AW3943" s="82" t="s">
        <v>20707</v>
      </c>
      <c r="AX3943" s="82" t="s">
        <v>20707</v>
      </c>
      <c r="AY3943" s="77"/>
      <c r="AZ3943" s="82" t="s">
        <v>20971</v>
      </c>
      <c r="BA3943" s="82" t="s">
        <v>20971</v>
      </c>
      <c r="BB3943" s="82" t="s">
        <v>20971</v>
      </c>
      <c r="BC3943" s="82" t="s">
        <v>20707</v>
      </c>
      <c r="BD3943" s="82" t="s">
        <v>21749</v>
      </c>
      <c r="BE3943" s="77"/>
      <c r="BF3943" s="77"/>
      <c r="BG3943" s="77"/>
      <c r="BH3943" s="77"/>
      <c r="BI3943" s="77"/>
    </row>
    <row r="3944" spans="1:61" x14ac:dyDescent="0.25">
      <c r="A3944" s="62" t="s">
        <v>1202</v>
      </c>
      <c r="B3944" s="62" t="s">
        <v>1202</v>
      </c>
      <c r="C3944" s="63"/>
      <c r="D3944" s="64"/>
      <c r="E3944" s="65"/>
      <c r="F3944" s="66"/>
      <c r="G3944" s="63"/>
      <c r="H3944" s="67"/>
      <c r="I3944" s="68"/>
      <c r="J3944" s="68"/>
      <c r="K3944" s="32"/>
      <c r="L3944" s="75">
        <v>3944</v>
      </c>
      <c r="M3944" s="75"/>
      <c r="N3944" s="70"/>
      <c r="O3944" s="77" t="s">
        <v>179</v>
      </c>
      <c r="P3944" s="79">
        <v>45132.077210648145</v>
      </c>
      <c r="Q3944" s="77" t="s">
        <v>5148</v>
      </c>
      <c r="R3944" s="77">
        <v>0</v>
      </c>
      <c r="S3944" s="77">
        <v>0</v>
      </c>
      <c r="T3944" s="77">
        <v>0</v>
      </c>
      <c r="U3944" s="77">
        <v>0</v>
      </c>
      <c r="V3944" s="77">
        <v>17</v>
      </c>
      <c r="W3944" s="82" t="s">
        <v>7134</v>
      </c>
      <c r="X3944" s="77"/>
      <c r="Y3944" s="77"/>
      <c r="Z3944" s="77"/>
      <c r="AA3944" s="77" t="s">
        <v>10067</v>
      </c>
      <c r="AB3944" s="77" t="s">
        <v>10130</v>
      </c>
      <c r="AC3944" s="82" t="s">
        <v>10146</v>
      </c>
      <c r="AD3944" s="77" t="s">
        <v>10184</v>
      </c>
      <c r="AE3944" s="80" t="str">
        <f>HYPERLINK("https://twitter.com/bianobk1bianobk/status/1683656108374720515")</f>
        <v>https://twitter.com/bianobk1bianobk/status/1683656108374720515</v>
      </c>
      <c r="AF3944" s="79">
        <v>45132.077210648145</v>
      </c>
      <c r="AG3944" s="85">
        <v>45132</v>
      </c>
      <c r="AH3944" s="82" t="s">
        <v>13921</v>
      </c>
      <c r="AI3944" s="77" t="b">
        <v>0</v>
      </c>
      <c r="AJ3944" s="77"/>
      <c r="AK3944" s="77"/>
      <c r="AL3944" s="77"/>
      <c r="AM3944" s="77"/>
      <c r="AN3944" s="77"/>
      <c r="AO3944" s="77"/>
      <c r="AP3944" s="77"/>
      <c r="AQ3944" s="77" t="s">
        <v>16710</v>
      </c>
      <c r="AR3944" s="77"/>
      <c r="AS3944" s="77"/>
      <c r="AT3944" s="77"/>
      <c r="AU3944" s="77"/>
      <c r="AV3944" s="80" t="str">
        <f>HYPERLINK("https://pbs.twimg.com/media/F12L9ekXoAE4j2P.jpg")</f>
        <v>https://pbs.twimg.com/media/F12L9ekXoAE4j2P.jpg</v>
      </c>
      <c r="AW3944" s="82" t="s">
        <v>20708</v>
      </c>
      <c r="AX3944" s="82" t="s">
        <v>20708</v>
      </c>
      <c r="AY3944" s="77"/>
      <c r="AZ3944" s="82" t="s">
        <v>20971</v>
      </c>
      <c r="BA3944" s="82" t="s">
        <v>20971</v>
      </c>
      <c r="BB3944" s="82" t="s">
        <v>20971</v>
      </c>
      <c r="BC3944" s="82" t="s">
        <v>20708</v>
      </c>
      <c r="BD3944" s="82" t="s">
        <v>21749</v>
      </c>
      <c r="BE3944" s="77"/>
      <c r="BF3944" s="77"/>
      <c r="BG3944" s="77"/>
      <c r="BH3944" s="77"/>
      <c r="BI3944" s="77"/>
    </row>
    <row r="3945" spans="1:61" x14ac:dyDescent="0.25">
      <c r="A3945" s="62" t="s">
        <v>1202</v>
      </c>
      <c r="B3945" s="62" t="s">
        <v>1202</v>
      </c>
      <c r="C3945" s="63"/>
      <c r="D3945" s="64"/>
      <c r="E3945" s="65"/>
      <c r="F3945" s="66"/>
      <c r="G3945" s="63"/>
      <c r="H3945" s="67"/>
      <c r="I3945" s="68"/>
      <c r="J3945" s="68"/>
      <c r="K3945" s="32"/>
      <c r="L3945" s="75">
        <v>3945</v>
      </c>
      <c r="M3945" s="75"/>
      <c r="N3945" s="70"/>
      <c r="O3945" s="77" t="s">
        <v>179</v>
      </c>
      <c r="P3945" s="79">
        <v>45130.132870370369</v>
      </c>
      <c r="Q3945" s="77" t="s">
        <v>5149</v>
      </c>
      <c r="R3945" s="77">
        <v>0</v>
      </c>
      <c r="S3945" s="77">
        <v>0</v>
      </c>
      <c r="T3945" s="77">
        <v>0</v>
      </c>
      <c r="U3945" s="77">
        <v>0</v>
      </c>
      <c r="V3945" s="77">
        <v>12</v>
      </c>
      <c r="W3945" s="82" t="s">
        <v>7135</v>
      </c>
      <c r="X3945" s="80" t="str">
        <f>HYPERLINK("https://pay.kiwify.com.br/1eKuUje")</f>
        <v>https://pay.kiwify.com.br/1eKuUje</v>
      </c>
      <c r="Y3945" s="77" t="s">
        <v>7252</v>
      </c>
      <c r="Z3945" s="77"/>
      <c r="AA3945" s="77" t="s">
        <v>10068</v>
      </c>
      <c r="AB3945" s="77" t="s">
        <v>10130</v>
      </c>
      <c r="AC3945" s="82" t="s">
        <v>10146</v>
      </c>
      <c r="AD3945" s="77" t="s">
        <v>10184</v>
      </c>
      <c r="AE3945" s="80" t="str">
        <f>HYPERLINK("https://twitter.com/bianobk1bianobk/status/1682951503823376384")</f>
        <v>https://twitter.com/bianobk1bianobk/status/1682951503823376384</v>
      </c>
      <c r="AF3945" s="79">
        <v>45130.132870370369</v>
      </c>
      <c r="AG3945" s="85">
        <v>45130</v>
      </c>
      <c r="AH3945" s="82" t="s">
        <v>13922</v>
      </c>
      <c r="AI3945" s="77" t="b">
        <v>0</v>
      </c>
      <c r="AJ3945" s="77"/>
      <c r="AK3945" s="77"/>
      <c r="AL3945" s="77"/>
      <c r="AM3945" s="77"/>
      <c r="AN3945" s="77"/>
      <c r="AO3945" s="77"/>
      <c r="AP3945" s="77"/>
      <c r="AQ3945" s="77" t="s">
        <v>16711</v>
      </c>
      <c r="AR3945" s="77"/>
      <c r="AS3945" s="77"/>
      <c r="AT3945" s="77"/>
      <c r="AU3945" s="77"/>
      <c r="AV3945" s="80" t="str">
        <f>HYPERLINK("https://pbs.twimg.com/media/F1sLJ3tXgAA0IVw.jpg")</f>
        <v>https://pbs.twimg.com/media/F1sLJ3tXgAA0IVw.jpg</v>
      </c>
      <c r="AW3945" s="82" t="s">
        <v>20709</v>
      </c>
      <c r="AX3945" s="82" t="s">
        <v>20709</v>
      </c>
      <c r="AY3945" s="77"/>
      <c r="AZ3945" s="82" t="s">
        <v>20971</v>
      </c>
      <c r="BA3945" s="82" t="s">
        <v>20971</v>
      </c>
      <c r="BB3945" s="82" t="s">
        <v>20971</v>
      </c>
      <c r="BC3945" s="82" t="s">
        <v>20709</v>
      </c>
      <c r="BD3945" s="82" t="s">
        <v>21749</v>
      </c>
      <c r="BE3945" s="77"/>
      <c r="BF3945" s="77"/>
      <c r="BG3945" s="77"/>
      <c r="BH3945" s="77"/>
      <c r="BI3945" s="77"/>
    </row>
    <row r="3946" spans="1:61" x14ac:dyDescent="0.25">
      <c r="A3946" s="62" t="s">
        <v>1202</v>
      </c>
      <c r="B3946" s="62" t="s">
        <v>1202</v>
      </c>
      <c r="C3946" s="63"/>
      <c r="D3946" s="64"/>
      <c r="E3946" s="65"/>
      <c r="F3946" s="66"/>
      <c r="G3946" s="63"/>
      <c r="H3946" s="67"/>
      <c r="I3946" s="68"/>
      <c r="J3946" s="68"/>
      <c r="K3946" s="32"/>
      <c r="L3946" s="75">
        <v>3946</v>
      </c>
      <c r="M3946" s="75"/>
      <c r="N3946" s="70"/>
      <c r="O3946" s="77" t="s">
        <v>179</v>
      </c>
      <c r="P3946" s="79">
        <v>45130.131689814814</v>
      </c>
      <c r="Q3946" s="77" t="s">
        <v>5150</v>
      </c>
      <c r="R3946" s="77">
        <v>0</v>
      </c>
      <c r="S3946" s="77">
        <v>0</v>
      </c>
      <c r="T3946" s="77">
        <v>0</v>
      </c>
      <c r="U3946" s="77">
        <v>0</v>
      </c>
      <c r="V3946" s="77">
        <v>15</v>
      </c>
      <c r="W3946" s="82" t="s">
        <v>7136</v>
      </c>
      <c r="X3946" s="80" t="str">
        <f>HYPERLINK("https://pay.kiwify.com.br/1eKuUje")</f>
        <v>https://pay.kiwify.com.br/1eKuUje</v>
      </c>
      <c r="Y3946" s="77" t="s">
        <v>7252</v>
      </c>
      <c r="Z3946" s="77"/>
      <c r="AA3946" s="77" t="s">
        <v>10069</v>
      </c>
      <c r="AB3946" s="77" t="s">
        <v>10130</v>
      </c>
      <c r="AC3946" s="82" t="s">
        <v>10146</v>
      </c>
      <c r="AD3946" s="77" t="s">
        <v>10184</v>
      </c>
      <c r="AE3946" s="80" t="str">
        <f>HYPERLINK("https://twitter.com/bianobk1bianobk/status/1682951074930638848")</f>
        <v>https://twitter.com/bianobk1bianobk/status/1682951074930638848</v>
      </c>
      <c r="AF3946" s="79">
        <v>45130.131689814814</v>
      </c>
      <c r="AG3946" s="85">
        <v>45130</v>
      </c>
      <c r="AH3946" s="82" t="s">
        <v>13923</v>
      </c>
      <c r="AI3946" s="77" t="b">
        <v>0</v>
      </c>
      <c r="AJ3946" s="77"/>
      <c r="AK3946" s="77"/>
      <c r="AL3946" s="77"/>
      <c r="AM3946" s="77"/>
      <c r="AN3946" s="77"/>
      <c r="AO3946" s="77"/>
      <c r="AP3946" s="77"/>
      <c r="AQ3946" s="77" t="s">
        <v>16712</v>
      </c>
      <c r="AR3946" s="77"/>
      <c r="AS3946" s="77"/>
      <c r="AT3946" s="77"/>
      <c r="AU3946" s="77"/>
      <c r="AV3946" s="80" t="str">
        <f>HYPERLINK("https://pbs.twimg.com/media/F1sK2xXXgAA9XMd.jpg")</f>
        <v>https://pbs.twimg.com/media/F1sK2xXXgAA9XMd.jpg</v>
      </c>
      <c r="AW3946" s="82" t="s">
        <v>20710</v>
      </c>
      <c r="AX3946" s="82" t="s">
        <v>20710</v>
      </c>
      <c r="AY3946" s="77"/>
      <c r="AZ3946" s="82" t="s">
        <v>20971</v>
      </c>
      <c r="BA3946" s="82" t="s">
        <v>20971</v>
      </c>
      <c r="BB3946" s="82" t="s">
        <v>20971</v>
      </c>
      <c r="BC3946" s="82" t="s">
        <v>20710</v>
      </c>
      <c r="BD3946" s="82" t="s">
        <v>21749</v>
      </c>
      <c r="BE3946" s="77"/>
      <c r="BF3946" s="77"/>
      <c r="BG3946" s="77"/>
      <c r="BH3946" s="77"/>
      <c r="BI3946" s="77"/>
    </row>
    <row r="3947" spans="1:61" x14ac:dyDescent="0.25">
      <c r="A3947" s="62" t="s">
        <v>1202</v>
      </c>
      <c r="B3947" s="62" t="s">
        <v>1202</v>
      </c>
      <c r="C3947" s="63"/>
      <c r="D3947" s="64"/>
      <c r="E3947" s="65"/>
      <c r="F3947" s="66"/>
      <c r="G3947" s="63"/>
      <c r="H3947" s="67"/>
      <c r="I3947" s="68"/>
      <c r="J3947" s="68"/>
      <c r="K3947" s="32"/>
      <c r="L3947" s="75">
        <v>3947</v>
      </c>
      <c r="M3947" s="75"/>
      <c r="N3947" s="70"/>
      <c r="O3947" s="77" t="s">
        <v>179</v>
      </c>
      <c r="P3947" s="79">
        <v>45130.130798611113</v>
      </c>
      <c r="Q3947" s="77" t="s">
        <v>5151</v>
      </c>
      <c r="R3947" s="77">
        <v>0</v>
      </c>
      <c r="S3947" s="77">
        <v>0</v>
      </c>
      <c r="T3947" s="77">
        <v>0</v>
      </c>
      <c r="U3947" s="77">
        <v>0</v>
      </c>
      <c r="V3947" s="77">
        <v>17</v>
      </c>
      <c r="W3947" s="82" t="s">
        <v>7137</v>
      </c>
      <c r="X3947" s="80" t="str">
        <f>HYPERLINK("https://pay.kiwify.com.br/1eKuUje")</f>
        <v>https://pay.kiwify.com.br/1eKuUje</v>
      </c>
      <c r="Y3947" s="77" t="s">
        <v>7252</v>
      </c>
      <c r="Z3947" s="77"/>
      <c r="AA3947" s="77" t="s">
        <v>10070</v>
      </c>
      <c r="AB3947" s="77" t="s">
        <v>10130</v>
      </c>
      <c r="AC3947" s="82" t="s">
        <v>10146</v>
      </c>
      <c r="AD3947" s="77" t="s">
        <v>10184</v>
      </c>
      <c r="AE3947" s="80" t="str">
        <f>HYPERLINK("https://twitter.com/bianobk1bianobk/status/1682950751084064768")</f>
        <v>https://twitter.com/bianobk1bianobk/status/1682950751084064768</v>
      </c>
      <c r="AF3947" s="79">
        <v>45130.130798611113</v>
      </c>
      <c r="AG3947" s="85">
        <v>45130</v>
      </c>
      <c r="AH3947" s="82" t="s">
        <v>13924</v>
      </c>
      <c r="AI3947" s="77" t="b">
        <v>0</v>
      </c>
      <c r="AJ3947" s="77"/>
      <c r="AK3947" s="77"/>
      <c r="AL3947" s="77"/>
      <c r="AM3947" s="77"/>
      <c r="AN3947" s="77"/>
      <c r="AO3947" s="77"/>
      <c r="AP3947" s="77"/>
      <c r="AQ3947" s="77" t="s">
        <v>16713</v>
      </c>
      <c r="AR3947" s="77"/>
      <c r="AS3947" s="77"/>
      <c r="AT3947" s="77"/>
      <c r="AU3947" s="77"/>
      <c r="AV3947" s="80" t="str">
        <f>HYPERLINK("https://pbs.twimg.com/media/F1sKgWqXgAAfZ6P.png")</f>
        <v>https://pbs.twimg.com/media/F1sKgWqXgAAfZ6P.png</v>
      </c>
      <c r="AW3947" s="82" t="s">
        <v>20711</v>
      </c>
      <c r="AX3947" s="82" t="s">
        <v>20711</v>
      </c>
      <c r="AY3947" s="77"/>
      <c r="AZ3947" s="82" t="s">
        <v>20971</v>
      </c>
      <c r="BA3947" s="82" t="s">
        <v>20971</v>
      </c>
      <c r="BB3947" s="82" t="s">
        <v>20971</v>
      </c>
      <c r="BC3947" s="82" t="s">
        <v>20711</v>
      </c>
      <c r="BD3947" s="82" t="s">
        <v>21749</v>
      </c>
      <c r="BE3947" s="77"/>
      <c r="BF3947" s="77"/>
      <c r="BG3947" s="77"/>
      <c r="BH3947" s="77"/>
      <c r="BI3947" s="77"/>
    </row>
    <row r="3948" spans="1:61" x14ac:dyDescent="0.25">
      <c r="A3948" s="62" t="s">
        <v>1203</v>
      </c>
      <c r="B3948" s="62" t="s">
        <v>1203</v>
      </c>
      <c r="C3948" s="63"/>
      <c r="D3948" s="64"/>
      <c r="E3948" s="65"/>
      <c r="F3948" s="66"/>
      <c r="G3948" s="63"/>
      <c r="H3948" s="67"/>
      <c r="I3948" s="68"/>
      <c r="J3948" s="68"/>
      <c r="K3948" s="32"/>
      <c r="L3948" s="75">
        <v>3948</v>
      </c>
      <c r="M3948" s="75"/>
      <c r="N3948" s="70"/>
      <c r="O3948" s="77" t="s">
        <v>179</v>
      </c>
      <c r="P3948" s="79">
        <v>45069.840925925928</v>
      </c>
      <c r="Q3948" s="77" t="s">
        <v>5152</v>
      </c>
      <c r="R3948" s="77">
        <v>0</v>
      </c>
      <c r="S3948" s="77">
        <v>0</v>
      </c>
      <c r="T3948" s="77">
        <v>2</v>
      </c>
      <c r="U3948" s="77">
        <v>0</v>
      </c>
      <c r="V3948" s="77">
        <v>287</v>
      </c>
      <c r="W3948" s="82" t="s">
        <v>7138</v>
      </c>
      <c r="X3948" s="80" t="str">
        <f>HYPERLINK("https://www.binance.com/pt-BR/activity/referral-entry/CPA?ref=CPA_005JRJ5GCO")</f>
        <v>https://www.binance.com/pt-BR/activity/referral-entry/CPA?ref=CPA_005JRJ5GCO</v>
      </c>
      <c r="Y3948" s="77" t="s">
        <v>7328</v>
      </c>
      <c r="Z3948" s="77"/>
      <c r="AA3948" s="77" t="s">
        <v>10071</v>
      </c>
      <c r="AB3948" s="77" t="s">
        <v>10130</v>
      </c>
      <c r="AC3948" s="82" t="s">
        <v>10144</v>
      </c>
      <c r="AD3948" s="77" t="s">
        <v>10184</v>
      </c>
      <c r="AE3948" s="80" t="str">
        <f>HYPERLINK("https://twitter.com/jamilyec/status/1661102433152450560")</f>
        <v>https://twitter.com/jamilyec/status/1661102433152450560</v>
      </c>
      <c r="AF3948" s="79">
        <v>45069.840925925928</v>
      </c>
      <c r="AG3948" s="85">
        <v>45069</v>
      </c>
      <c r="AH3948" s="82" t="s">
        <v>13925</v>
      </c>
      <c r="AI3948" s="77" t="b">
        <v>0</v>
      </c>
      <c r="AJ3948" s="77"/>
      <c r="AK3948" s="77"/>
      <c r="AL3948" s="77"/>
      <c r="AM3948" s="77"/>
      <c r="AN3948" s="77"/>
      <c r="AO3948" s="77"/>
      <c r="AP3948" s="77"/>
      <c r="AQ3948" s="77" t="s">
        <v>16714</v>
      </c>
      <c r="AR3948" s="77"/>
      <c r="AS3948" s="77"/>
      <c r="AT3948" s="77"/>
      <c r="AU3948" s="77"/>
      <c r="AV3948" s="80" t="str">
        <f>HYPERLINK("https://pbs.twimg.com/media/Fw1r2ILXoAEWtRl.jpg")</f>
        <v>https://pbs.twimg.com/media/Fw1r2ILXoAEWtRl.jpg</v>
      </c>
      <c r="AW3948" s="82" t="s">
        <v>20712</v>
      </c>
      <c r="AX3948" s="82" t="s">
        <v>20712</v>
      </c>
      <c r="AY3948" s="77"/>
      <c r="AZ3948" s="82" t="s">
        <v>20971</v>
      </c>
      <c r="BA3948" s="82" t="s">
        <v>20971</v>
      </c>
      <c r="BB3948" s="82" t="s">
        <v>20971</v>
      </c>
      <c r="BC3948" s="82" t="s">
        <v>20712</v>
      </c>
      <c r="BD3948" s="77">
        <v>725111628</v>
      </c>
      <c r="BE3948" s="77"/>
      <c r="BF3948" s="77"/>
      <c r="BG3948" s="77"/>
      <c r="BH3948" s="77"/>
      <c r="BI3948" s="77"/>
    </row>
    <row r="3949" spans="1:61" x14ac:dyDescent="0.25">
      <c r="A3949" s="62" t="s">
        <v>1204</v>
      </c>
      <c r="B3949" s="62" t="s">
        <v>1204</v>
      </c>
      <c r="C3949" s="63"/>
      <c r="D3949" s="64"/>
      <c r="E3949" s="65"/>
      <c r="F3949" s="66"/>
      <c r="G3949" s="63"/>
      <c r="H3949" s="67"/>
      <c r="I3949" s="68"/>
      <c r="J3949" s="68"/>
      <c r="K3949" s="32"/>
      <c r="L3949" s="75">
        <v>3949</v>
      </c>
      <c r="M3949" s="75"/>
      <c r="N3949" s="70"/>
      <c r="O3949" s="77" t="s">
        <v>179</v>
      </c>
      <c r="P3949" s="79">
        <v>45166.833344907405</v>
      </c>
      <c r="Q3949" s="77" t="s">
        <v>5153</v>
      </c>
      <c r="R3949" s="77">
        <v>0</v>
      </c>
      <c r="S3949" s="77">
        <v>0</v>
      </c>
      <c r="T3949" s="77">
        <v>1</v>
      </c>
      <c r="U3949" s="77">
        <v>0</v>
      </c>
      <c r="V3949" s="77">
        <v>48</v>
      </c>
      <c r="W3949" s="82" t="s">
        <v>7139</v>
      </c>
      <c r="X3949" s="77"/>
      <c r="Y3949" s="77"/>
      <c r="Z3949" s="77"/>
      <c r="AA3949" s="77" t="s">
        <v>10072</v>
      </c>
      <c r="AB3949" s="77" t="s">
        <v>10130</v>
      </c>
      <c r="AC3949" s="82" t="s">
        <v>10146</v>
      </c>
      <c r="AD3949" s="77" t="s">
        <v>10184</v>
      </c>
      <c r="AE3949" s="80" t="str">
        <f>HYPERLINK("https://twitter.com/csdinheiro/status/1696251306732560838")</f>
        <v>https://twitter.com/csdinheiro/status/1696251306732560838</v>
      </c>
      <c r="AF3949" s="79">
        <v>45166.833344907405</v>
      </c>
      <c r="AG3949" s="85">
        <v>45166</v>
      </c>
      <c r="AH3949" s="82" t="s">
        <v>13926</v>
      </c>
      <c r="AI3949" s="77" t="b">
        <v>0</v>
      </c>
      <c r="AJ3949" s="77"/>
      <c r="AK3949" s="77"/>
      <c r="AL3949" s="77"/>
      <c r="AM3949" s="77"/>
      <c r="AN3949" s="77"/>
      <c r="AO3949" s="77"/>
      <c r="AP3949" s="77"/>
      <c r="AQ3949" s="77" t="s">
        <v>16715</v>
      </c>
      <c r="AR3949" s="77"/>
      <c r="AS3949" s="77"/>
      <c r="AT3949" s="77"/>
      <c r="AU3949" s="77"/>
      <c r="AV3949" s="80" t="str">
        <f>HYPERLINK("https://pbs.twimg.com/media/F4lKH2eWcAAHDtb.jpg")</f>
        <v>https://pbs.twimg.com/media/F4lKH2eWcAAHDtb.jpg</v>
      </c>
      <c r="AW3949" s="82" t="s">
        <v>20713</v>
      </c>
      <c r="AX3949" s="82" t="s">
        <v>20713</v>
      </c>
      <c r="AY3949" s="77"/>
      <c r="AZ3949" s="82" t="s">
        <v>20971</v>
      </c>
      <c r="BA3949" s="82" t="s">
        <v>20971</v>
      </c>
      <c r="BB3949" s="82" t="s">
        <v>20971</v>
      </c>
      <c r="BC3949" s="82" t="s">
        <v>20713</v>
      </c>
      <c r="BD3949" s="82" t="s">
        <v>21750</v>
      </c>
      <c r="BE3949" s="77"/>
      <c r="BF3949" s="77"/>
      <c r="BG3949" s="77"/>
      <c r="BH3949" s="77"/>
      <c r="BI3949" s="77"/>
    </row>
    <row r="3950" spans="1:61" x14ac:dyDescent="0.25">
      <c r="A3950" s="62" t="s">
        <v>1204</v>
      </c>
      <c r="B3950" s="62" t="s">
        <v>1204</v>
      </c>
      <c r="C3950" s="63"/>
      <c r="D3950" s="64"/>
      <c r="E3950" s="65"/>
      <c r="F3950" s="66"/>
      <c r="G3950" s="63"/>
      <c r="H3950" s="67"/>
      <c r="I3950" s="68"/>
      <c r="J3950" s="68"/>
      <c r="K3950" s="32"/>
      <c r="L3950" s="75">
        <v>3950</v>
      </c>
      <c r="M3950" s="75"/>
      <c r="N3950" s="70"/>
      <c r="O3950" s="77" t="s">
        <v>179</v>
      </c>
      <c r="P3950" s="79">
        <v>45167.833333333336</v>
      </c>
      <c r="Q3950" s="77" t="s">
        <v>5154</v>
      </c>
      <c r="R3950" s="77">
        <v>0</v>
      </c>
      <c r="S3950" s="77">
        <v>0</v>
      </c>
      <c r="T3950" s="77">
        <v>0</v>
      </c>
      <c r="U3950" s="77">
        <v>0</v>
      </c>
      <c r="V3950" s="77">
        <v>24</v>
      </c>
      <c r="W3950" s="82" t="s">
        <v>7140</v>
      </c>
      <c r="X3950" s="77"/>
      <c r="Y3950" s="77"/>
      <c r="Z3950" s="77"/>
      <c r="AA3950" s="77" t="s">
        <v>10073</v>
      </c>
      <c r="AB3950" s="77" t="s">
        <v>10130</v>
      </c>
      <c r="AC3950" s="82" t="s">
        <v>10146</v>
      </c>
      <c r="AD3950" s="77" t="s">
        <v>10184</v>
      </c>
      <c r="AE3950" s="80" t="str">
        <f>HYPERLINK("https://twitter.com/csdinheiro/status/1696613694426452266")</f>
        <v>https://twitter.com/csdinheiro/status/1696613694426452266</v>
      </c>
      <c r="AF3950" s="79">
        <v>45167.833333333336</v>
      </c>
      <c r="AG3950" s="85">
        <v>45167</v>
      </c>
      <c r="AH3950" s="82" t="s">
        <v>12896</v>
      </c>
      <c r="AI3950" s="77" t="b">
        <v>0</v>
      </c>
      <c r="AJ3950" s="77"/>
      <c r="AK3950" s="77"/>
      <c r="AL3950" s="77"/>
      <c r="AM3950" s="77"/>
      <c r="AN3950" s="77"/>
      <c r="AO3950" s="77"/>
      <c r="AP3950" s="77"/>
      <c r="AQ3950" s="77" t="s">
        <v>16716</v>
      </c>
      <c r="AR3950" s="77"/>
      <c r="AS3950" s="77"/>
      <c r="AT3950" s="77"/>
      <c r="AU3950" s="77"/>
      <c r="AV3950" s="80" t="str">
        <f>HYPERLINK("https://pbs.twimg.com/media/F4lKmtHW8AA0oJi.jpg")</f>
        <v>https://pbs.twimg.com/media/F4lKmtHW8AA0oJi.jpg</v>
      </c>
      <c r="AW3950" s="82" t="s">
        <v>20714</v>
      </c>
      <c r="AX3950" s="82" t="s">
        <v>20714</v>
      </c>
      <c r="AY3950" s="77"/>
      <c r="AZ3950" s="82" t="s">
        <v>20971</v>
      </c>
      <c r="BA3950" s="82" t="s">
        <v>20971</v>
      </c>
      <c r="BB3950" s="82" t="s">
        <v>20971</v>
      </c>
      <c r="BC3950" s="82" t="s">
        <v>20714</v>
      </c>
      <c r="BD3950" s="82" t="s">
        <v>21750</v>
      </c>
      <c r="BE3950" s="77"/>
      <c r="BF3950" s="77"/>
      <c r="BG3950" s="77"/>
      <c r="BH3950" s="77"/>
      <c r="BI3950" s="77"/>
    </row>
    <row r="3951" spans="1:61" x14ac:dyDescent="0.25">
      <c r="A3951" s="62" t="s">
        <v>1204</v>
      </c>
      <c r="B3951" s="62" t="s">
        <v>1204</v>
      </c>
      <c r="C3951" s="63"/>
      <c r="D3951" s="64"/>
      <c r="E3951" s="65"/>
      <c r="F3951" s="66"/>
      <c r="G3951" s="63"/>
      <c r="H3951" s="67"/>
      <c r="I3951" s="68"/>
      <c r="J3951" s="68"/>
      <c r="K3951" s="32"/>
      <c r="L3951" s="75">
        <v>3951</v>
      </c>
      <c r="M3951" s="75"/>
      <c r="N3951" s="70"/>
      <c r="O3951" s="77" t="s">
        <v>179</v>
      </c>
      <c r="P3951" s="79">
        <v>45172.833344907405</v>
      </c>
      <c r="Q3951" s="77" t="s">
        <v>5155</v>
      </c>
      <c r="R3951" s="77">
        <v>0</v>
      </c>
      <c r="S3951" s="77">
        <v>0</v>
      </c>
      <c r="T3951" s="77">
        <v>0</v>
      </c>
      <c r="U3951" s="77">
        <v>0</v>
      </c>
      <c r="V3951" s="77">
        <v>13</v>
      </c>
      <c r="W3951" s="82" t="s">
        <v>7141</v>
      </c>
      <c r="X3951" s="77"/>
      <c r="Y3951" s="77"/>
      <c r="Z3951" s="77"/>
      <c r="AA3951" s="77" t="s">
        <v>10074</v>
      </c>
      <c r="AB3951" s="77" t="s">
        <v>10130</v>
      </c>
      <c r="AC3951" s="82" t="s">
        <v>10146</v>
      </c>
      <c r="AD3951" s="77" t="s">
        <v>10184</v>
      </c>
      <c r="AE3951" s="80" t="str">
        <f>HYPERLINK("https://twitter.com/csdinheiro/status/1698425634786050393")</f>
        <v>https://twitter.com/csdinheiro/status/1698425634786050393</v>
      </c>
      <c r="AF3951" s="79">
        <v>45172.833344907405</v>
      </c>
      <c r="AG3951" s="85">
        <v>45172</v>
      </c>
      <c r="AH3951" s="82" t="s">
        <v>13926</v>
      </c>
      <c r="AI3951" s="77" t="b">
        <v>0</v>
      </c>
      <c r="AJ3951" s="77"/>
      <c r="AK3951" s="77"/>
      <c r="AL3951" s="77"/>
      <c r="AM3951" s="77"/>
      <c r="AN3951" s="77"/>
      <c r="AO3951" s="77"/>
      <c r="AP3951" s="77"/>
      <c r="AQ3951" s="77" t="s">
        <v>16717</v>
      </c>
      <c r="AR3951" s="77"/>
      <c r="AS3951" s="77"/>
      <c r="AT3951" s="77"/>
      <c r="AU3951" s="77"/>
      <c r="AV3951" s="80" t="str">
        <f>HYPERLINK("https://pbs.twimg.com/media/F4lNFJnWEAABoXs.jpg")</f>
        <v>https://pbs.twimg.com/media/F4lNFJnWEAABoXs.jpg</v>
      </c>
      <c r="AW3951" s="82" t="s">
        <v>20715</v>
      </c>
      <c r="AX3951" s="82" t="s">
        <v>20715</v>
      </c>
      <c r="AY3951" s="77"/>
      <c r="AZ3951" s="82" t="s">
        <v>20971</v>
      </c>
      <c r="BA3951" s="82" t="s">
        <v>20971</v>
      </c>
      <c r="BB3951" s="82" t="s">
        <v>20971</v>
      </c>
      <c r="BC3951" s="82" t="s">
        <v>20715</v>
      </c>
      <c r="BD3951" s="82" t="s">
        <v>21750</v>
      </c>
      <c r="BE3951" s="77"/>
      <c r="BF3951" s="77"/>
      <c r="BG3951" s="77"/>
      <c r="BH3951" s="77"/>
      <c r="BI3951" s="77"/>
    </row>
    <row r="3952" spans="1:61" x14ac:dyDescent="0.25">
      <c r="A3952" s="62" t="s">
        <v>1204</v>
      </c>
      <c r="B3952" s="62" t="s">
        <v>1204</v>
      </c>
      <c r="C3952" s="63"/>
      <c r="D3952" s="64"/>
      <c r="E3952" s="65"/>
      <c r="F3952" s="66"/>
      <c r="G3952" s="63"/>
      <c r="H3952" s="67"/>
      <c r="I3952" s="68"/>
      <c r="J3952" s="68"/>
      <c r="K3952" s="32"/>
      <c r="L3952" s="75">
        <v>3952</v>
      </c>
      <c r="M3952" s="75"/>
      <c r="N3952" s="70"/>
      <c r="O3952" s="77" t="s">
        <v>179</v>
      </c>
      <c r="P3952" s="79">
        <v>45171.833333333336</v>
      </c>
      <c r="Q3952" s="77" t="s">
        <v>5156</v>
      </c>
      <c r="R3952" s="77">
        <v>0</v>
      </c>
      <c r="S3952" s="77">
        <v>0</v>
      </c>
      <c r="T3952" s="77">
        <v>0</v>
      </c>
      <c r="U3952" s="77">
        <v>0</v>
      </c>
      <c r="V3952" s="77">
        <v>17</v>
      </c>
      <c r="W3952" s="82" t="s">
        <v>7142</v>
      </c>
      <c r="X3952" s="77"/>
      <c r="Y3952" s="77"/>
      <c r="Z3952" s="77"/>
      <c r="AA3952" s="77" t="s">
        <v>10075</v>
      </c>
      <c r="AB3952" s="77" t="s">
        <v>10130</v>
      </c>
      <c r="AC3952" s="82" t="s">
        <v>10146</v>
      </c>
      <c r="AD3952" s="77" t="s">
        <v>10184</v>
      </c>
      <c r="AE3952" s="80" t="str">
        <f>HYPERLINK("https://twitter.com/csdinheiro/status/1698063242613182937")</f>
        <v>https://twitter.com/csdinheiro/status/1698063242613182937</v>
      </c>
      <c r="AF3952" s="79">
        <v>45171.833333333336</v>
      </c>
      <c r="AG3952" s="85">
        <v>45171</v>
      </c>
      <c r="AH3952" s="82" t="s">
        <v>12896</v>
      </c>
      <c r="AI3952" s="77" t="b">
        <v>0</v>
      </c>
      <c r="AJ3952" s="77"/>
      <c r="AK3952" s="77"/>
      <c r="AL3952" s="77"/>
      <c r="AM3952" s="77"/>
      <c r="AN3952" s="77"/>
      <c r="AO3952" s="77"/>
      <c r="AP3952" s="77"/>
      <c r="AQ3952" s="77" t="s">
        <v>16718</v>
      </c>
      <c r="AR3952" s="77"/>
      <c r="AS3952" s="77"/>
      <c r="AT3952" s="77"/>
      <c r="AU3952" s="77"/>
      <c r="AV3952" s="80" t="str">
        <f>HYPERLINK("https://pbs.twimg.com/media/F4lMn7vXQAAYbxt.jpg")</f>
        <v>https://pbs.twimg.com/media/F4lMn7vXQAAYbxt.jpg</v>
      </c>
      <c r="AW3952" s="82" t="s">
        <v>20716</v>
      </c>
      <c r="AX3952" s="82" t="s">
        <v>20716</v>
      </c>
      <c r="AY3952" s="77"/>
      <c r="AZ3952" s="82" t="s">
        <v>20971</v>
      </c>
      <c r="BA3952" s="82" t="s">
        <v>20971</v>
      </c>
      <c r="BB3952" s="82" t="s">
        <v>20971</v>
      </c>
      <c r="BC3952" s="82" t="s">
        <v>20716</v>
      </c>
      <c r="BD3952" s="82" t="s">
        <v>21750</v>
      </c>
      <c r="BE3952" s="77"/>
      <c r="BF3952" s="77"/>
      <c r="BG3952" s="77"/>
      <c r="BH3952" s="77"/>
      <c r="BI3952" s="77"/>
    </row>
    <row r="3953" spans="1:61" x14ac:dyDescent="0.25">
      <c r="A3953" s="62" t="s">
        <v>1204</v>
      </c>
      <c r="B3953" s="62" t="s">
        <v>1204</v>
      </c>
      <c r="C3953" s="63"/>
      <c r="D3953" s="64"/>
      <c r="E3953" s="65"/>
      <c r="F3953" s="66"/>
      <c r="G3953" s="63"/>
      <c r="H3953" s="67"/>
      <c r="I3953" s="68"/>
      <c r="J3953" s="68"/>
      <c r="K3953" s="32"/>
      <c r="L3953" s="75">
        <v>3953</v>
      </c>
      <c r="M3953" s="75"/>
      <c r="N3953" s="70"/>
      <c r="O3953" s="77" t="s">
        <v>179</v>
      </c>
      <c r="P3953" s="79">
        <v>45168.625011574077</v>
      </c>
      <c r="Q3953" s="77" t="s">
        <v>5157</v>
      </c>
      <c r="R3953" s="77">
        <v>0</v>
      </c>
      <c r="S3953" s="77">
        <v>0</v>
      </c>
      <c r="T3953" s="77">
        <v>0</v>
      </c>
      <c r="U3953" s="77">
        <v>0</v>
      </c>
      <c r="V3953" s="77">
        <v>19</v>
      </c>
      <c r="W3953" s="82" t="s">
        <v>7143</v>
      </c>
      <c r="X3953" s="77"/>
      <c r="Y3953" s="77"/>
      <c r="Z3953" s="77"/>
      <c r="AA3953" s="77" t="s">
        <v>10076</v>
      </c>
      <c r="AB3953" s="77" t="s">
        <v>10130</v>
      </c>
      <c r="AC3953" s="82" t="s">
        <v>10146</v>
      </c>
      <c r="AD3953" s="77" t="s">
        <v>10184</v>
      </c>
      <c r="AE3953" s="80" t="str">
        <f>HYPERLINK("https://twitter.com/csdinheiro/status/1696900588058059141")</f>
        <v>https://twitter.com/csdinheiro/status/1696900588058059141</v>
      </c>
      <c r="AF3953" s="79">
        <v>45168.625011574077</v>
      </c>
      <c r="AG3953" s="85">
        <v>45168</v>
      </c>
      <c r="AH3953" s="82" t="s">
        <v>12051</v>
      </c>
      <c r="AI3953" s="77" t="b">
        <v>0</v>
      </c>
      <c r="AJ3953" s="77"/>
      <c r="AK3953" s="77"/>
      <c r="AL3953" s="77"/>
      <c r="AM3953" s="77"/>
      <c r="AN3953" s="77"/>
      <c r="AO3953" s="77"/>
      <c r="AP3953" s="77"/>
      <c r="AQ3953" s="77" t="s">
        <v>16719</v>
      </c>
      <c r="AR3953" s="77"/>
      <c r="AS3953" s="77"/>
      <c r="AT3953" s="77"/>
      <c r="AU3953" s="77"/>
      <c r="AV3953" s="80" t="str">
        <f>HYPERLINK("https://pbs.twimg.com/media/F4lK1GXXwAAF7Gg.jpg")</f>
        <v>https://pbs.twimg.com/media/F4lK1GXXwAAF7Gg.jpg</v>
      </c>
      <c r="AW3953" s="82" t="s">
        <v>20717</v>
      </c>
      <c r="AX3953" s="82" t="s">
        <v>20717</v>
      </c>
      <c r="AY3953" s="77"/>
      <c r="AZ3953" s="82" t="s">
        <v>20971</v>
      </c>
      <c r="BA3953" s="82" t="s">
        <v>20971</v>
      </c>
      <c r="BB3953" s="82" t="s">
        <v>20971</v>
      </c>
      <c r="BC3953" s="82" t="s">
        <v>20717</v>
      </c>
      <c r="BD3953" s="82" t="s">
        <v>21750</v>
      </c>
      <c r="BE3953" s="77"/>
      <c r="BF3953" s="77"/>
      <c r="BG3953" s="77"/>
      <c r="BH3953" s="77"/>
      <c r="BI3953" s="77"/>
    </row>
    <row r="3954" spans="1:61" x14ac:dyDescent="0.25">
      <c r="A3954" s="62" t="s">
        <v>1205</v>
      </c>
      <c r="B3954" s="62" t="s">
        <v>1205</v>
      </c>
      <c r="C3954" s="63"/>
      <c r="D3954" s="64"/>
      <c r="E3954" s="65"/>
      <c r="F3954" s="66"/>
      <c r="G3954" s="63"/>
      <c r="H3954" s="67"/>
      <c r="I3954" s="68"/>
      <c r="J3954" s="68"/>
      <c r="K3954" s="32"/>
      <c r="L3954" s="75">
        <v>3954</v>
      </c>
      <c r="M3954" s="75"/>
      <c r="N3954" s="70"/>
      <c r="O3954" s="77" t="s">
        <v>179</v>
      </c>
      <c r="P3954" s="79">
        <v>45041.520057870373</v>
      </c>
      <c r="Q3954" s="77" t="s">
        <v>5158</v>
      </c>
      <c r="R3954" s="77">
        <v>0</v>
      </c>
      <c r="S3954" s="77">
        <v>0</v>
      </c>
      <c r="T3954" s="77">
        <v>0</v>
      </c>
      <c r="U3954" s="77">
        <v>0</v>
      </c>
      <c r="V3954" s="77">
        <v>47</v>
      </c>
      <c r="W3954" s="82" t="s">
        <v>7144</v>
      </c>
      <c r="X3954" s="80" t="str">
        <f>HYPERLINK("https://caesegatos.com.br/faculdade-qualittas-lanca-programa-para-alunos-que-precisam-de-uma-renda-extra/")</f>
        <v>https://caesegatos.com.br/faculdade-qualittas-lanca-programa-para-alunos-que-precisam-de-uma-renda-extra/</v>
      </c>
      <c r="Y3954" s="77" t="s">
        <v>7252</v>
      </c>
      <c r="Z3954" s="77"/>
      <c r="AA3954" s="77"/>
      <c r="AB3954" s="77"/>
      <c r="AC3954" s="82" t="s">
        <v>10146</v>
      </c>
      <c r="AD3954" s="77" t="s">
        <v>10184</v>
      </c>
      <c r="AE3954" s="80" t="str">
        <f>HYPERLINK("https://twitter.com/caesgatos/status/1650839295819644930")</f>
        <v>https://twitter.com/caesgatos/status/1650839295819644930</v>
      </c>
      <c r="AF3954" s="79">
        <v>45041.520057870373</v>
      </c>
      <c r="AG3954" s="85">
        <v>45041</v>
      </c>
      <c r="AH3954" s="82" t="s">
        <v>13927</v>
      </c>
      <c r="AI3954" s="77" t="b">
        <v>0</v>
      </c>
      <c r="AJ3954" s="77"/>
      <c r="AK3954" s="77"/>
      <c r="AL3954" s="77"/>
      <c r="AM3954" s="77"/>
      <c r="AN3954" s="77"/>
      <c r="AO3954" s="77"/>
      <c r="AP3954" s="77"/>
      <c r="AQ3954" s="77"/>
      <c r="AR3954" s="77"/>
      <c r="AS3954" s="77"/>
      <c r="AT3954" s="77"/>
      <c r="AU3954" s="77"/>
      <c r="AV3954" s="80" t="str">
        <f>HYPERLINK("https://pbs.twimg.com/profile_images/1601188173614387200/Fz1EeOb__normal.jpg")</f>
        <v>https://pbs.twimg.com/profile_images/1601188173614387200/Fz1EeOb__normal.jpg</v>
      </c>
      <c r="AW3954" s="82" t="s">
        <v>20718</v>
      </c>
      <c r="AX3954" s="82" t="s">
        <v>20718</v>
      </c>
      <c r="AY3954" s="77"/>
      <c r="AZ3954" s="82" t="s">
        <v>20971</v>
      </c>
      <c r="BA3954" s="82" t="s">
        <v>20971</v>
      </c>
      <c r="BB3954" s="82" t="s">
        <v>20971</v>
      </c>
      <c r="BC3954" s="82" t="s">
        <v>20718</v>
      </c>
      <c r="BD3954" s="77">
        <v>74146257</v>
      </c>
      <c r="BE3954" s="77"/>
      <c r="BF3954" s="77"/>
      <c r="BG3954" s="77"/>
      <c r="BH3954" s="77"/>
      <c r="BI3954" s="77"/>
    </row>
    <row r="3955" spans="1:61" x14ac:dyDescent="0.25">
      <c r="A3955" s="62" t="s">
        <v>1206</v>
      </c>
      <c r="B3955" s="62" t="s">
        <v>1206</v>
      </c>
      <c r="C3955" s="63"/>
      <c r="D3955" s="64"/>
      <c r="E3955" s="65"/>
      <c r="F3955" s="66"/>
      <c r="G3955" s="63"/>
      <c r="H3955" s="67"/>
      <c r="I3955" s="68"/>
      <c r="J3955" s="68"/>
      <c r="K3955" s="32"/>
      <c r="L3955" s="75">
        <v>3955</v>
      </c>
      <c r="M3955" s="75"/>
      <c r="N3955" s="70"/>
      <c r="O3955" s="77" t="s">
        <v>179</v>
      </c>
      <c r="P3955" s="79">
        <v>45015.788414351853</v>
      </c>
      <c r="Q3955" s="77" t="s">
        <v>5159</v>
      </c>
      <c r="R3955" s="77">
        <v>0</v>
      </c>
      <c r="S3955" s="77">
        <v>0</v>
      </c>
      <c r="T3955" s="77">
        <v>0</v>
      </c>
      <c r="U3955" s="77">
        <v>0</v>
      </c>
      <c r="V3955" s="77">
        <v>124</v>
      </c>
      <c r="W3955" s="82" t="s">
        <v>7145</v>
      </c>
      <c r="X3955" s="77" t="s">
        <v>7238</v>
      </c>
      <c r="Y3955" s="77" t="s">
        <v>7494</v>
      </c>
      <c r="Z3955" s="77"/>
      <c r="AA3955" s="77"/>
      <c r="AB3955" s="77"/>
      <c r="AC3955" s="82" t="s">
        <v>10146</v>
      </c>
      <c r="AD3955" s="77" t="s">
        <v>10184</v>
      </c>
      <c r="AE3955" s="80" t="str">
        <f>HYPERLINK("https://twitter.com/marcusv12385740/status/1641514460027183126")</f>
        <v>https://twitter.com/marcusv12385740/status/1641514460027183126</v>
      </c>
      <c r="AF3955" s="79">
        <v>45015.788414351853</v>
      </c>
      <c r="AG3955" s="85">
        <v>45015</v>
      </c>
      <c r="AH3955" s="82" t="s">
        <v>13928</v>
      </c>
      <c r="AI3955" s="77" t="b">
        <v>0</v>
      </c>
      <c r="AJ3955" s="77"/>
      <c r="AK3955" s="77"/>
      <c r="AL3955" s="77"/>
      <c r="AM3955" s="77"/>
      <c r="AN3955" s="77"/>
      <c r="AO3955" s="77"/>
      <c r="AP3955" s="77"/>
      <c r="AQ3955" s="77"/>
      <c r="AR3955" s="77"/>
      <c r="AS3955" s="77"/>
      <c r="AT3955" s="77"/>
      <c r="AU3955" s="77"/>
      <c r="AV3955" s="80" t="str">
        <f>HYPERLINK("https://pbs.twimg.com/profile_images/1641166615973711876/ouhdEppn_normal.jpg")</f>
        <v>https://pbs.twimg.com/profile_images/1641166615973711876/ouhdEppn_normal.jpg</v>
      </c>
      <c r="AW3955" s="82" t="s">
        <v>20719</v>
      </c>
      <c r="AX3955" s="82" t="s">
        <v>20719</v>
      </c>
      <c r="AY3955" s="77"/>
      <c r="AZ3955" s="82" t="s">
        <v>20971</v>
      </c>
      <c r="BA3955" s="82" t="s">
        <v>20971</v>
      </c>
      <c r="BB3955" s="82" t="s">
        <v>20971</v>
      </c>
      <c r="BC3955" s="82" t="s">
        <v>20719</v>
      </c>
      <c r="BD3955" s="82" t="s">
        <v>21751</v>
      </c>
      <c r="BE3955" s="77"/>
      <c r="BF3955" s="77"/>
      <c r="BG3955" s="77"/>
      <c r="BH3955" s="77"/>
      <c r="BI3955" s="77"/>
    </row>
    <row r="3956" spans="1:61" x14ac:dyDescent="0.25">
      <c r="A3956" s="62" t="s">
        <v>1206</v>
      </c>
      <c r="B3956" s="62" t="s">
        <v>1206</v>
      </c>
      <c r="C3956" s="63"/>
      <c r="D3956" s="64"/>
      <c r="E3956" s="65"/>
      <c r="F3956" s="66"/>
      <c r="G3956" s="63"/>
      <c r="H3956" s="67"/>
      <c r="I3956" s="68"/>
      <c r="J3956" s="68"/>
      <c r="K3956" s="32"/>
      <c r="L3956" s="75">
        <v>3956</v>
      </c>
      <c r="M3956" s="75"/>
      <c r="N3956" s="70"/>
      <c r="O3956" s="77" t="s">
        <v>179</v>
      </c>
      <c r="P3956" s="79">
        <v>45015.60015046296</v>
      </c>
      <c r="Q3956" s="77" t="s">
        <v>5160</v>
      </c>
      <c r="R3956" s="77">
        <v>0</v>
      </c>
      <c r="S3956" s="77">
        <v>0</v>
      </c>
      <c r="T3956" s="77">
        <v>0</v>
      </c>
      <c r="U3956" s="77">
        <v>0</v>
      </c>
      <c r="V3956" s="77">
        <v>48</v>
      </c>
      <c r="W3956" s="82" t="s">
        <v>7146</v>
      </c>
      <c r="X3956" s="80" t="str">
        <f>HYPERLINK("https://beacons.ai/insightinbound/")</f>
        <v>https://beacons.ai/insightinbound/</v>
      </c>
      <c r="Y3956" s="77" t="s">
        <v>7495</v>
      </c>
      <c r="Z3956" s="77"/>
      <c r="AA3956" s="77"/>
      <c r="AB3956" s="77"/>
      <c r="AC3956" s="82" t="s">
        <v>10146</v>
      </c>
      <c r="AD3956" s="77" t="s">
        <v>10184</v>
      </c>
      <c r="AE3956" s="80" t="str">
        <f>HYPERLINK("https://twitter.com/marcusv12385740/status/1641446235361116162")</f>
        <v>https://twitter.com/marcusv12385740/status/1641446235361116162</v>
      </c>
      <c r="AF3956" s="79">
        <v>45015.60015046296</v>
      </c>
      <c r="AG3956" s="85">
        <v>45015</v>
      </c>
      <c r="AH3956" s="82" t="s">
        <v>13929</v>
      </c>
      <c r="AI3956" s="77" t="b">
        <v>0</v>
      </c>
      <c r="AJ3956" s="77"/>
      <c r="AK3956" s="77"/>
      <c r="AL3956" s="77"/>
      <c r="AM3956" s="77"/>
      <c r="AN3956" s="77"/>
      <c r="AO3956" s="77"/>
      <c r="AP3956" s="77"/>
      <c r="AQ3956" s="77"/>
      <c r="AR3956" s="77"/>
      <c r="AS3956" s="77"/>
      <c r="AT3956" s="77"/>
      <c r="AU3956" s="77"/>
      <c r="AV3956" s="80" t="str">
        <f>HYPERLINK("https://pbs.twimg.com/profile_images/1641166615973711876/ouhdEppn_normal.jpg")</f>
        <v>https://pbs.twimg.com/profile_images/1641166615973711876/ouhdEppn_normal.jpg</v>
      </c>
      <c r="AW3956" s="82" t="s">
        <v>20720</v>
      </c>
      <c r="AX3956" s="82" t="s">
        <v>20720</v>
      </c>
      <c r="AY3956" s="77"/>
      <c r="AZ3956" s="82" t="s">
        <v>20971</v>
      </c>
      <c r="BA3956" s="82" t="s">
        <v>20971</v>
      </c>
      <c r="BB3956" s="82" t="s">
        <v>20971</v>
      </c>
      <c r="BC3956" s="82" t="s">
        <v>20720</v>
      </c>
      <c r="BD3956" s="82" t="s">
        <v>21751</v>
      </c>
      <c r="BE3956" s="77"/>
      <c r="BF3956" s="77"/>
      <c r="BG3956" s="77"/>
      <c r="BH3956" s="77"/>
      <c r="BI3956" s="77"/>
    </row>
    <row r="3957" spans="1:61" x14ac:dyDescent="0.25">
      <c r="A3957" s="62" t="s">
        <v>1207</v>
      </c>
      <c r="B3957" s="62" t="s">
        <v>1207</v>
      </c>
      <c r="C3957" s="63"/>
      <c r="D3957" s="64"/>
      <c r="E3957" s="65"/>
      <c r="F3957" s="66"/>
      <c r="G3957" s="63"/>
      <c r="H3957" s="67"/>
      <c r="I3957" s="68"/>
      <c r="J3957" s="68"/>
      <c r="K3957" s="32"/>
      <c r="L3957" s="75">
        <v>3957</v>
      </c>
      <c r="M3957" s="75"/>
      <c r="N3957" s="70"/>
      <c r="O3957" s="77" t="s">
        <v>179</v>
      </c>
      <c r="P3957" s="79">
        <v>45124.64166666667</v>
      </c>
      <c r="Q3957" s="77" t="s">
        <v>5161</v>
      </c>
      <c r="R3957" s="77">
        <v>0</v>
      </c>
      <c r="S3957" s="77">
        <v>0</v>
      </c>
      <c r="T3957" s="77">
        <v>0</v>
      </c>
      <c r="U3957" s="77">
        <v>0</v>
      </c>
      <c r="V3957" s="77">
        <v>20</v>
      </c>
      <c r="W3957" s="82" t="s">
        <v>7147</v>
      </c>
      <c r="X3957" s="80" t="str">
        <f>HYPERLINK("https://www.instagram.com/reel/CuzZ94XvMI5/?igshid=MTc4MmM1YmI2Ng==")</f>
        <v>https://www.instagram.com/reel/CuzZ94XvMI5/?igshid=MTc4MmM1YmI2Ng==</v>
      </c>
      <c r="Y3957" s="77" t="s">
        <v>7250</v>
      </c>
      <c r="Z3957" s="77"/>
      <c r="AA3957" s="77" t="s">
        <v>10077</v>
      </c>
      <c r="AB3957" s="77" t="s">
        <v>10129</v>
      </c>
      <c r="AC3957" s="82" t="s">
        <v>10144</v>
      </c>
      <c r="AD3957" s="77" t="s">
        <v>10184</v>
      </c>
      <c r="AE3957" s="80" t="str">
        <f>HYPERLINK("https://twitter.com/edutiipster/status/1680961555968425984")</f>
        <v>https://twitter.com/edutiipster/status/1680961555968425984</v>
      </c>
      <c r="AF3957" s="79">
        <v>45124.64166666667</v>
      </c>
      <c r="AG3957" s="85">
        <v>45124</v>
      </c>
      <c r="AH3957" s="82" t="s">
        <v>13930</v>
      </c>
      <c r="AI3957" s="77" t="b">
        <v>0</v>
      </c>
      <c r="AJ3957" s="77"/>
      <c r="AK3957" s="77"/>
      <c r="AL3957" s="77"/>
      <c r="AM3957" s="77"/>
      <c r="AN3957" s="77"/>
      <c r="AO3957" s="77"/>
      <c r="AP3957" s="77"/>
      <c r="AQ3957" s="77" t="s">
        <v>16720</v>
      </c>
      <c r="AR3957" s="77">
        <v>23698</v>
      </c>
      <c r="AS3957" s="77"/>
      <c r="AT3957" s="77"/>
      <c r="AU3957" s="77"/>
      <c r="AV3957" s="80" t="str">
        <f>HYPERLINK("https://pbs.twimg.com/ext_tw_video_thumb/1680961524221853696/pu/img/9koeLM50Jhi3xLXp.jpg")</f>
        <v>https://pbs.twimg.com/ext_tw_video_thumb/1680961524221853696/pu/img/9koeLM50Jhi3xLXp.jpg</v>
      </c>
      <c r="AW3957" s="82" t="s">
        <v>20721</v>
      </c>
      <c r="AX3957" s="82" t="s">
        <v>20721</v>
      </c>
      <c r="AY3957" s="77"/>
      <c r="AZ3957" s="82" t="s">
        <v>20971</v>
      </c>
      <c r="BA3957" s="82" t="s">
        <v>20971</v>
      </c>
      <c r="BB3957" s="82" t="s">
        <v>20971</v>
      </c>
      <c r="BC3957" s="82" t="s">
        <v>20721</v>
      </c>
      <c r="BD3957" s="82" t="s">
        <v>21752</v>
      </c>
      <c r="BE3957" s="77"/>
      <c r="BF3957" s="77"/>
      <c r="BG3957" s="77"/>
      <c r="BH3957" s="77"/>
      <c r="BI3957" s="77"/>
    </row>
    <row r="3958" spans="1:61" x14ac:dyDescent="0.25">
      <c r="A3958" s="62" t="s">
        <v>1208</v>
      </c>
      <c r="B3958" s="62" t="s">
        <v>1208</v>
      </c>
      <c r="C3958" s="63"/>
      <c r="D3958" s="64"/>
      <c r="E3958" s="65"/>
      <c r="F3958" s="66"/>
      <c r="G3958" s="63"/>
      <c r="H3958" s="67"/>
      <c r="I3958" s="68"/>
      <c r="J3958" s="68"/>
      <c r="K3958" s="32"/>
      <c r="L3958" s="75">
        <v>3958</v>
      </c>
      <c r="M3958" s="75"/>
      <c r="N3958" s="70"/>
      <c r="O3958" s="77" t="s">
        <v>179</v>
      </c>
      <c r="P3958" s="79">
        <v>45029.833969907406</v>
      </c>
      <c r="Q3958" s="77" t="s">
        <v>5162</v>
      </c>
      <c r="R3958" s="77">
        <v>0</v>
      </c>
      <c r="S3958" s="77">
        <v>1</v>
      </c>
      <c r="T3958" s="77">
        <v>0</v>
      </c>
      <c r="U3958" s="77">
        <v>0</v>
      </c>
      <c r="V3958" s="77">
        <v>280</v>
      </c>
      <c r="W3958" s="82" t="s">
        <v>7148</v>
      </c>
      <c r="X3958" s="77"/>
      <c r="Y3958" s="77"/>
      <c r="Z3958" s="77"/>
      <c r="AA3958" s="77" t="s">
        <v>10078</v>
      </c>
      <c r="AB3958" s="77" t="s">
        <v>10131</v>
      </c>
      <c r="AC3958" s="82" t="s">
        <v>10145</v>
      </c>
      <c r="AD3958" s="77" t="s">
        <v>10184</v>
      </c>
      <c r="AE3958" s="80" t="str">
        <f>HYPERLINK("https://twitter.com/mthsoa/status/1646604395759521792")</f>
        <v>https://twitter.com/mthsoa/status/1646604395759521792</v>
      </c>
      <c r="AF3958" s="79">
        <v>45029.833969907406</v>
      </c>
      <c r="AG3958" s="85">
        <v>45029</v>
      </c>
      <c r="AH3958" s="82" t="s">
        <v>13931</v>
      </c>
      <c r="AI3958" s="77" t="b">
        <v>0</v>
      </c>
      <c r="AJ3958" s="77"/>
      <c r="AK3958" s="77"/>
      <c r="AL3958" s="77"/>
      <c r="AM3958" s="77"/>
      <c r="AN3958" s="77"/>
      <c r="AO3958" s="77"/>
      <c r="AP3958" s="77"/>
      <c r="AQ3958" s="77" t="s">
        <v>16721</v>
      </c>
      <c r="AR3958" s="77"/>
      <c r="AS3958" s="77"/>
      <c r="AT3958" s="77"/>
      <c r="AU3958" s="77"/>
      <c r="AV3958" s="80" t="str">
        <f>HYPERLINK("https://pbs.twimg.com/media/Ftnp9qXX0BcsJYB.jpg")</f>
        <v>https://pbs.twimg.com/media/Ftnp9qXX0BcsJYB.jpg</v>
      </c>
      <c r="AW3958" s="82" t="s">
        <v>20722</v>
      </c>
      <c r="AX3958" s="82" t="s">
        <v>20722</v>
      </c>
      <c r="AY3958" s="77"/>
      <c r="AZ3958" s="82" t="s">
        <v>20971</v>
      </c>
      <c r="BA3958" s="82" t="s">
        <v>20971</v>
      </c>
      <c r="BB3958" s="82" t="s">
        <v>20971</v>
      </c>
      <c r="BC3958" s="82" t="s">
        <v>20722</v>
      </c>
      <c r="BD3958" s="82" t="s">
        <v>21753</v>
      </c>
      <c r="BE3958" s="77"/>
      <c r="BF3958" s="77"/>
      <c r="BG3958" s="77"/>
      <c r="BH3958" s="77"/>
      <c r="BI3958" s="77"/>
    </row>
    <row r="3959" spans="1:61" x14ac:dyDescent="0.25">
      <c r="A3959" s="62" t="s">
        <v>1208</v>
      </c>
      <c r="B3959" s="62" t="s">
        <v>1208</v>
      </c>
      <c r="C3959" s="63"/>
      <c r="D3959" s="64"/>
      <c r="E3959" s="65"/>
      <c r="F3959" s="66"/>
      <c r="G3959" s="63"/>
      <c r="H3959" s="67"/>
      <c r="I3959" s="68"/>
      <c r="J3959" s="68"/>
      <c r="K3959" s="32"/>
      <c r="L3959" s="75">
        <v>3959</v>
      </c>
      <c r="M3959" s="75"/>
      <c r="N3959" s="70"/>
      <c r="O3959" s="77" t="s">
        <v>179</v>
      </c>
      <c r="P3959" s="79">
        <v>45031.211574074077</v>
      </c>
      <c r="Q3959" s="77" t="s">
        <v>5163</v>
      </c>
      <c r="R3959" s="77">
        <v>1</v>
      </c>
      <c r="S3959" s="77">
        <v>1</v>
      </c>
      <c r="T3959" s="77">
        <v>0</v>
      </c>
      <c r="U3959" s="77">
        <v>0</v>
      </c>
      <c r="V3959" s="77">
        <v>462</v>
      </c>
      <c r="W3959" s="82" t="s">
        <v>7149</v>
      </c>
      <c r="X3959" s="77"/>
      <c r="Y3959" s="77"/>
      <c r="Z3959" s="77"/>
      <c r="AA3959" s="77" t="s">
        <v>10079</v>
      </c>
      <c r="AB3959" s="77" t="s">
        <v>10130</v>
      </c>
      <c r="AC3959" s="82" t="s">
        <v>10145</v>
      </c>
      <c r="AD3959" s="77" t="s">
        <v>10184</v>
      </c>
      <c r="AE3959" s="80" t="str">
        <f>HYPERLINK("https://twitter.com/mthsoa/status/1647103623451508738")</f>
        <v>https://twitter.com/mthsoa/status/1647103623451508738</v>
      </c>
      <c r="AF3959" s="79">
        <v>45031.211574074077</v>
      </c>
      <c r="AG3959" s="85">
        <v>45031</v>
      </c>
      <c r="AH3959" s="82" t="s">
        <v>13932</v>
      </c>
      <c r="AI3959" s="77" t="b">
        <v>0</v>
      </c>
      <c r="AJ3959" s="77"/>
      <c r="AK3959" s="77"/>
      <c r="AL3959" s="77"/>
      <c r="AM3959" s="77"/>
      <c r="AN3959" s="77"/>
      <c r="AO3959" s="77"/>
      <c r="AP3959" s="77"/>
      <c r="AQ3959" s="77" t="s">
        <v>16722</v>
      </c>
      <c r="AR3959" s="77"/>
      <c r="AS3959" s="77"/>
      <c r="AT3959" s="77"/>
      <c r="AU3959" s="77"/>
      <c r="AV3959" s="80" t="str">
        <f>HYPERLINK("https://pbs.twimg.com/media/FtuwA0EWYAA9bcI.jpg")</f>
        <v>https://pbs.twimg.com/media/FtuwA0EWYAA9bcI.jpg</v>
      </c>
      <c r="AW3959" s="82" t="s">
        <v>20723</v>
      </c>
      <c r="AX3959" s="82" t="s">
        <v>20723</v>
      </c>
      <c r="AY3959" s="77"/>
      <c r="AZ3959" s="82" t="s">
        <v>20971</v>
      </c>
      <c r="BA3959" s="82" t="s">
        <v>20971</v>
      </c>
      <c r="BB3959" s="82" t="s">
        <v>20971</v>
      </c>
      <c r="BC3959" s="82" t="s">
        <v>20723</v>
      </c>
      <c r="BD3959" s="82" t="s">
        <v>21753</v>
      </c>
      <c r="BE3959" s="77"/>
      <c r="BF3959" s="77"/>
      <c r="BG3959" s="77"/>
      <c r="BH3959" s="77"/>
      <c r="BI3959" s="77"/>
    </row>
    <row r="3960" spans="1:61" x14ac:dyDescent="0.25">
      <c r="A3960" s="62" t="s">
        <v>1209</v>
      </c>
      <c r="B3960" s="62" t="s">
        <v>1209</v>
      </c>
      <c r="C3960" s="63"/>
      <c r="D3960" s="64"/>
      <c r="E3960" s="65"/>
      <c r="F3960" s="66"/>
      <c r="G3960" s="63"/>
      <c r="H3960" s="67"/>
      <c r="I3960" s="68"/>
      <c r="J3960" s="68"/>
      <c r="K3960" s="32"/>
      <c r="L3960" s="75">
        <v>3960</v>
      </c>
      <c r="M3960" s="75"/>
      <c r="N3960" s="70"/>
      <c r="O3960" s="77" t="s">
        <v>179</v>
      </c>
      <c r="P3960" s="79">
        <v>44991.125914351855</v>
      </c>
      <c r="Q3960" s="77" t="s">
        <v>5164</v>
      </c>
      <c r="R3960" s="77">
        <v>0</v>
      </c>
      <c r="S3960" s="77">
        <v>0</v>
      </c>
      <c r="T3960" s="77">
        <v>0</v>
      </c>
      <c r="U3960" s="77">
        <v>0</v>
      </c>
      <c r="V3960" s="77">
        <v>33</v>
      </c>
      <c r="W3960" s="82" t="s">
        <v>7150</v>
      </c>
      <c r="X3960" s="80" t="str">
        <f>HYPERLINK("https://edzz.la/YXGMN?a=76652270")</f>
        <v>https://edzz.la/YXGMN?a=76652270</v>
      </c>
      <c r="Y3960" s="77" t="s">
        <v>7271</v>
      </c>
      <c r="Z3960" s="77"/>
      <c r="AA3960" s="77"/>
      <c r="AB3960" s="77"/>
      <c r="AC3960" s="82" t="s">
        <v>10145</v>
      </c>
      <c r="AD3960" s="77" t="s">
        <v>10184</v>
      </c>
      <c r="AE3960" s="80" t="str">
        <f>HYPERLINK("https://twitter.com/naybh/status/1632577068377538565")</f>
        <v>https://twitter.com/naybh/status/1632577068377538565</v>
      </c>
      <c r="AF3960" s="79">
        <v>44991.125914351855</v>
      </c>
      <c r="AG3960" s="85">
        <v>44991</v>
      </c>
      <c r="AH3960" s="82" t="s">
        <v>13933</v>
      </c>
      <c r="AI3960" s="77" t="b">
        <v>0</v>
      </c>
      <c r="AJ3960" s="77"/>
      <c r="AK3960" s="77"/>
      <c r="AL3960" s="77"/>
      <c r="AM3960" s="77"/>
      <c r="AN3960" s="77"/>
      <c r="AO3960" s="77"/>
      <c r="AP3960" s="77"/>
      <c r="AQ3960" s="77"/>
      <c r="AR3960" s="77"/>
      <c r="AS3960" s="77"/>
      <c r="AT3960" s="77"/>
      <c r="AU3960" s="77"/>
      <c r="AV3960" s="80" t="str">
        <f>HYPERLINK("https://pbs.twimg.com/profile_images/1261774738675949570/0SbBrcXK_normal.jpg")</f>
        <v>https://pbs.twimg.com/profile_images/1261774738675949570/0SbBrcXK_normal.jpg</v>
      </c>
      <c r="AW3960" s="82" t="s">
        <v>20724</v>
      </c>
      <c r="AX3960" s="82" t="s">
        <v>20724</v>
      </c>
      <c r="AY3960" s="77"/>
      <c r="AZ3960" s="82" t="s">
        <v>20971</v>
      </c>
      <c r="BA3960" s="82" t="s">
        <v>20971</v>
      </c>
      <c r="BB3960" s="82" t="s">
        <v>20971</v>
      </c>
      <c r="BC3960" s="82" t="s">
        <v>20724</v>
      </c>
      <c r="BD3960" s="77">
        <v>1278795146</v>
      </c>
      <c r="BE3960" s="77"/>
      <c r="BF3960" s="77"/>
      <c r="BG3960" s="77"/>
      <c r="BH3960" s="77"/>
      <c r="BI3960" s="77"/>
    </row>
    <row r="3961" spans="1:61" x14ac:dyDescent="0.25">
      <c r="A3961" s="62" t="s">
        <v>1210</v>
      </c>
      <c r="B3961" s="62" t="s">
        <v>1210</v>
      </c>
      <c r="C3961" s="63"/>
      <c r="D3961" s="64"/>
      <c r="E3961" s="65"/>
      <c r="F3961" s="66"/>
      <c r="G3961" s="63"/>
      <c r="H3961" s="67"/>
      <c r="I3961" s="68"/>
      <c r="J3961" s="68"/>
      <c r="K3961" s="32"/>
      <c r="L3961" s="75">
        <v>3961</v>
      </c>
      <c r="M3961" s="75"/>
      <c r="N3961" s="70"/>
      <c r="O3961" s="77" t="s">
        <v>179</v>
      </c>
      <c r="P3961" s="79">
        <v>45182.061979166669</v>
      </c>
      <c r="Q3961" s="77" t="s">
        <v>5165</v>
      </c>
      <c r="R3961" s="77">
        <v>1</v>
      </c>
      <c r="S3961" s="77">
        <v>1</v>
      </c>
      <c r="T3961" s="77">
        <v>0</v>
      </c>
      <c r="U3961" s="77">
        <v>0</v>
      </c>
      <c r="V3961" s="77">
        <v>24</v>
      </c>
      <c r="W3961" s="82" t="s">
        <v>7151</v>
      </c>
      <c r="X3961" s="80" t="str">
        <f>HYPERLINK("https://youtu.be/b4z7csl4_5U?si=Exs4KiwP7BZoM1Kz")</f>
        <v>https://youtu.be/b4z7csl4_5U?si=Exs4KiwP7BZoM1Kz</v>
      </c>
      <c r="Y3961" s="77" t="s">
        <v>7248</v>
      </c>
      <c r="Z3961" s="77"/>
      <c r="AA3961" s="77"/>
      <c r="AB3961" s="77"/>
      <c r="AC3961" s="82" t="s">
        <v>10146</v>
      </c>
      <c r="AD3961" s="77" t="s">
        <v>10184</v>
      </c>
      <c r="AE3961" s="80" t="str">
        <f>HYPERLINK("https://twitter.com/simpatiasgaucha/status/1701769980830716186")</f>
        <v>https://twitter.com/simpatiasgaucha/status/1701769980830716186</v>
      </c>
      <c r="AF3961" s="79">
        <v>45182.061979166669</v>
      </c>
      <c r="AG3961" s="85">
        <v>45182</v>
      </c>
      <c r="AH3961" s="82" t="s">
        <v>13934</v>
      </c>
      <c r="AI3961" s="77" t="b">
        <v>0</v>
      </c>
      <c r="AJ3961" s="77"/>
      <c r="AK3961" s="77"/>
      <c r="AL3961" s="77"/>
      <c r="AM3961" s="77"/>
      <c r="AN3961" s="77"/>
      <c r="AO3961" s="77"/>
      <c r="AP3961" s="77"/>
      <c r="AQ3961" s="77"/>
      <c r="AR3961" s="77"/>
      <c r="AS3961" s="77"/>
      <c r="AT3961" s="77"/>
      <c r="AU3961" s="77"/>
      <c r="AV3961" s="80" t="str">
        <f>HYPERLINK("https://pbs.twimg.com/profile_images/1698511627052589056/4e9UvbRI_normal.png")</f>
        <v>https://pbs.twimg.com/profile_images/1698511627052589056/4e9UvbRI_normal.png</v>
      </c>
      <c r="AW3961" s="82" t="s">
        <v>20725</v>
      </c>
      <c r="AX3961" s="82" t="s">
        <v>20725</v>
      </c>
      <c r="AY3961" s="77"/>
      <c r="AZ3961" s="82" t="s">
        <v>20971</v>
      </c>
      <c r="BA3961" s="82" t="s">
        <v>20971</v>
      </c>
      <c r="BB3961" s="82" t="s">
        <v>20971</v>
      </c>
      <c r="BC3961" s="82" t="s">
        <v>20725</v>
      </c>
      <c r="BD3961" s="82" t="s">
        <v>21754</v>
      </c>
      <c r="BE3961" s="77"/>
      <c r="BF3961" s="77"/>
      <c r="BG3961" s="77"/>
      <c r="BH3961" s="77"/>
      <c r="BI3961" s="77"/>
    </row>
    <row r="3962" spans="1:61" x14ac:dyDescent="0.25">
      <c r="A3962" s="62" t="s">
        <v>1211</v>
      </c>
      <c r="B3962" s="62" t="s">
        <v>1241</v>
      </c>
      <c r="C3962" s="63"/>
      <c r="D3962" s="64"/>
      <c r="E3962" s="65"/>
      <c r="F3962" s="66"/>
      <c r="G3962" s="63"/>
      <c r="H3962" s="67"/>
      <c r="I3962" s="68"/>
      <c r="J3962" s="68"/>
      <c r="K3962" s="32"/>
      <c r="L3962" s="75">
        <v>3962</v>
      </c>
      <c r="M3962" s="75"/>
      <c r="N3962" s="70"/>
      <c r="O3962" s="77" t="s">
        <v>1285</v>
      </c>
      <c r="P3962" s="79">
        <v>45115.890925925924</v>
      </c>
      <c r="Q3962" s="77" t="s">
        <v>5166</v>
      </c>
      <c r="R3962" s="77">
        <v>0</v>
      </c>
      <c r="S3962" s="77">
        <v>0</v>
      </c>
      <c r="T3962" s="77">
        <v>0</v>
      </c>
      <c r="U3962" s="77">
        <v>0</v>
      </c>
      <c r="V3962" s="77">
        <v>6</v>
      </c>
      <c r="W3962" s="82" t="s">
        <v>7152</v>
      </c>
      <c r="X3962" s="80" t="str">
        <f>HYPERLINK("https://youtu.be/MuFPQh4laVY")</f>
        <v>https://youtu.be/MuFPQh4laVY</v>
      </c>
      <c r="Y3962" s="77" t="s">
        <v>7248</v>
      </c>
      <c r="Z3962" s="77" t="s">
        <v>1241</v>
      </c>
      <c r="AA3962" s="77"/>
      <c r="AB3962" s="77"/>
      <c r="AC3962" s="82" t="s">
        <v>10146</v>
      </c>
      <c r="AD3962" s="77" t="s">
        <v>10184</v>
      </c>
      <c r="AE3962" s="80" t="str">
        <f>HYPERLINK("https://twitter.com/negocproflucrat/status/1677790394522693634")</f>
        <v>https://twitter.com/negocproflucrat/status/1677790394522693634</v>
      </c>
      <c r="AF3962" s="79">
        <v>45115.890925925924</v>
      </c>
      <c r="AG3962" s="85">
        <v>45115</v>
      </c>
      <c r="AH3962" s="82" t="s">
        <v>13935</v>
      </c>
      <c r="AI3962" s="77" t="b">
        <v>0</v>
      </c>
      <c r="AJ3962" s="77"/>
      <c r="AK3962" s="77"/>
      <c r="AL3962" s="77"/>
      <c r="AM3962" s="77"/>
      <c r="AN3962" s="77"/>
      <c r="AO3962" s="77"/>
      <c r="AP3962" s="77"/>
      <c r="AQ3962" s="77"/>
      <c r="AR3962" s="77"/>
      <c r="AS3962" s="77"/>
      <c r="AT3962" s="77"/>
      <c r="AU3962" s="77"/>
      <c r="AV3962" s="80" t="str">
        <f>HYPERLINK("https://pbs.twimg.com/profile_images/1671575104055123969/n_1z7u4O_normal.jpg")</f>
        <v>https://pbs.twimg.com/profile_images/1671575104055123969/n_1z7u4O_normal.jpg</v>
      </c>
      <c r="AW3962" s="82" t="s">
        <v>20726</v>
      </c>
      <c r="AX3962" s="82" t="s">
        <v>20726</v>
      </c>
      <c r="AY3962" s="77"/>
      <c r="AZ3962" s="82" t="s">
        <v>20971</v>
      </c>
      <c r="BA3962" s="82" t="s">
        <v>20971</v>
      </c>
      <c r="BB3962" s="82" t="s">
        <v>20971</v>
      </c>
      <c r="BC3962" s="82" t="s">
        <v>20726</v>
      </c>
      <c r="BD3962" s="82" t="s">
        <v>21755</v>
      </c>
      <c r="BE3962" s="77"/>
      <c r="BF3962" s="77"/>
      <c r="BG3962" s="77"/>
      <c r="BH3962" s="77"/>
      <c r="BI3962" s="77"/>
    </row>
    <row r="3963" spans="1:61" x14ac:dyDescent="0.25">
      <c r="A3963" s="62" t="s">
        <v>1211</v>
      </c>
      <c r="B3963" s="62" t="s">
        <v>1241</v>
      </c>
      <c r="C3963" s="63"/>
      <c r="D3963" s="64"/>
      <c r="E3963" s="65"/>
      <c r="F3963" s="66"/>
      <c r="G3963" s="63"/>
      <c r="H3963" s="67"/>
      <c r="I3963" s="68"/>
      <c r="J3963" s="68"/>
      <c r="K3963" s="32"/>
      <c r="L3963" s="75">
        <v>3963</v>
      </c>
      <c r="M3963" s="75"/>
      <c r="N3963" s="70"/>
      <c r="O3963" s="77" t="s">
        <v>1285</v>
      </c>
      <c r="P3963" s="79">
        <v>45124.886620370373</v>
      </c>
      <c r="Q3963" s="77" t="s">
        <v>5167</v>
      </c>
      <c r="R3963" s="77">
        <v>0</v>
      </c>
      <c r="S3963" s="77">
        <v>0</v>
      </c>
      <c r="T3963" s="77">
        <v>0</v>
      </c>
      <c r="U3963" s="77">
        <v>0</v>
      </c>
      <c r="V3963" s="77">
        <v>7</v>
      </c>
      <c r="W3963" s="82" t="s">
        <v>7153</v>
      </c>
      <c r="X3963" s="80" t="str">
        <f>HYPERLINK("https://youtu.be/d-kjZzrygIk")</f>
        <v>https://youtu.be/d-kjZzrygIk</v>
      </c>
      <c r="Y3963" s="77" t="s">
        <v>7248</v>
      </c>
      <c r="Z3963" s="77" t="s">
        <v>1241</v>
      </c>
      <c r="AA3963" s="77"/>
      <c r="AB3963" s="77"/>
      <c r="AC3963" s="82" t="s">
        <v>10146</v>
      </c>
      <c r="AD3963" s="77" t="s">
        <v>10184</v>
      </c>
      <c r="AE3963" s="80" t="str">
        <f>HYPERLINK("https://twitter.com/negocproflucrat/status/1681050323408879616")</f>
        <v>https://twitter.com/negocproflucrat/status/1681050323408879616</v>
      </c>
      <c r="AF3963" s="79">
        <v>45124.886620370373</v>
      </c>
      <c r="AG3963" s="85">
        <v>45124</v>
      </c>
      <c r="AH3963" s="82" t="s">
        <v>13936</v>
      </c>
      <c r="AI3963" s="77" t="b">
        <v>0</v>
      </c>
      <c r="AJ3963" s="77"/>
      <c r="AK3963" s="77"/>
      <c r="AL3963" s="77"/>
      <c r="AM3963" s="77"/>
      <c r="AN3963" s="77"/>
      <c r="AO3963" s="77"/>
      <c r="AP3963" s="77"/>
      <c r="AQ3963" s="77"/>
      <c r="AR3963" s="77"/>
      <c r="AS3963" s="77"/>
      <c r="AT3963" s="77"/>
      <c r="AU3963" s="77"/>
      <c r="AV3963" s="80" t="str">
        <f>HYPERLINK("https://pbs.twimg.com/profile_images/1671575104055123969/n_1z7u4O_normal.jpg")</f>
        <v>https://pbs.twimg.com/profile_images/1671575104055123969/n_1z7u4O_normal.jpg</v>
      </c>
      <c r="AW3963" s="82" t="s">
        <v>20727</v>
      </c>
      <c r="AX3963" s="82" t="s">
        <v>20727</v>
      </c>
      <c r="AY3963" s="77"/>
      <c r="AZ3963" s="82" t="s">
        <v>20971</v>
      </c>
      <c r="BA3963" s="82" t="s">
        <v>20971</v>
      </c>
      <c r="BB3963" s="82" t="s">
        <v>20971</v>
      </c>
      <c r="BC3963" s="82" t="s">
        <v>20727</v>
      </c>
      <c r="BD3963" s="82" t="s">
        <v>21755</v>
      </c>
      <c r="BE3963" s="77"/>
      <c r="BF3963" s="77"/>
      <c r="BG3963" s="77"/>
      <c r="BH3963" s="77"/>
      <c r="BI3963" s="77"/>
    </row>
    <row r="3964" spans="1:61" x14ac:dyDescent="0.25">
      <c r="A3964" s="62" t="s">
        <v>1212</v>
      </c>
      <c r="B3964" s="62" t="s">
        <v>1212</v>
      </c>
      <c r="C3964" s="63"/>
      <c r="D3964" s="64"/>
      <c r="E3964" s="65"/>
      <c r="F3964" s="66"/>
      <c r="G3964" s="63"/>
      <c r="H3964" s="67"/>
      <c r="I3964" s="68"/>
      <c r="J3964" s="68"/>
      <c r="K3964" s="32"/>
      <c r="L3964" s="75">
        <v>3964</v>
      </c>
      <c r="M3964" s="75"/>
      <c r="N3964" s="70"/>
      <c r="O3964" s="77" t="s">
        <v>179</v>
      </c>
      <c r="P3964" s="79">
        <v>45093.77820601852</v>
      </c>
      <c r="Q3964" s="77" t="s">
        <v>5168</v>
      </c>
      <c r="R3964" s="77">
        <v>0</v>
      </c>
      <c r="S3964" s="77">
        <v>1</v>
      </c>
      <c r="T3964" s="77">
        <v>0</v>
      </c>
      <c r="U3964" s="77">
        <v>0</v>
      </c>
      <c r="V3964" s="77">
        <v>26</v>
      </c>
      <c r="W3964" s="82" t="s">
        <v>7154</v>
      </c>
      <c r="X3964" s="80" t="str">
        <f>HYPERLINK("https://karl.adv.br/insencao-de-imposto-de-rendatendinite-lesao-por-esforco-repetitivo/")</f>
        <v>https://karl.adv.br/insencao-de-imposto-de-rendatendinite-lesao-por-esforco-repetitivo/</v>
      </c>
      <c r="Y3964" s="77" t="s">
        <v>7496</v>
      </c>
      <c r="Z3964" s="77"/>
      <c r="AA3964" s="77" t="s">
        <v>10080</v>
      </c>
      <c r="AB3964" s="77" t="s">
        <v>10130</v>
      </c>
      <c r="AC3964" s="82" t="s">
        <v>10146</v>
      </c>
      <c r="AD3964" s="77" t="s">
        <v>10184</v>
      </c>
      <c r="AE3964" s="80" t="str">
        <f>HYPERLINK("https://twitter.com/karladvogados/status/1669777010858622995")</f>
        <v>https://twitter.com/karladvogados/status/1669777010858622995</v>
      </c>
      <c r="AF3964" s="79">
        <v>45093.77820601852</v>
      </c>
      <c r="AG3964" s="85">
        <v>45093</v>
      </c>
      <c r="AH3964" s="82" t="s">
        <v>13443</v>
      </c>
      <c r="AI3964" s="77" t="b">
        <v>0</v>
      </c>
      <c r="AJ3964" s="77"/>
      <c r="AK3964" s="77"/>
      <c r="AL3964" s="77"/>
      <c r="AM3964" s="77"/>
      <c r="AN3964" s="77"/>
      <c r="AO3964" s="77"/>
      <c r="AP3964" s="77"/>
      <c r="AQ3964" s="77" t="s">
        <v>16723</v>
      </c>
      <c r="AR3964" s="77"/>
      <c r="AS3964" s="77"/>
      <c r="AT3964" s="77"/>
      <c r="AU3964" s="77"/>
      <c r="AV3964" s="80" t="str">
        <f>HYPERLINK("https://pbs.twimg.com/media/Fyw9CdpXgBIobEt.jpg")</f>
        <v>https://pbs.twimg.com/media/Fyw9CdpXgBIobEt.jpg</v>
      </c>
      <c r="AW3964" s="82" t="s">
        <v>20728</v>
      </c>
      <c r="AX3964" s="82" t="s">
        <v>20728</v>
      </c>
      <c r="AY3964" s="77"/>
      <c r="AZ3964" s="82" t="s">
        <v>20971</v>
      </c>
      <c r="BA3964" s="82" t="s">
        <v>20971</v>
      </c>
      <c r="BB3964" s="82" t="s">
        <v>20971</v>
      </c>
      <c r="BC3964" s="82" t="s">
        <v>20728</v>
      </c>
      <c r="BD3964" s="82" t="s">
        <v>21756</v>
      </c>
      <c r="BE3964" s="77"/>
      <c r="BF3964" s="77"/>
      <c r="BG3964" s="77"/>
      <c r="BH3964" s="77"/>
      <c r="BI3964" s="77"/>
    </row>
    <row r="3965" spans="1:61" x14ac:dyDescent="0.25">
      <c r="A3965" s="62" t="s">
        <v>1213</v>
      </c>
      <c r="B3965" s="62" t="s">
        <v>1213</v>
      </c>
      <c r="C3965" s="63"/>
      <c r="D3965" s="64"/>
      <c r="E3965" s="65"/>
      <c r="F3965" s="66"/>
      <c r="G3965" s="63"/>
      <c r="H3965" s="67"/>
      <c r="I3965" s="68"/>
      <c r="J3965" s="68"/>
      <c r="K3965" s="32"/>
      <c r="L3965" s="75">
        <v>3965</v>
      </c>
      <c r="M3965" s="75"/>
      <c r="N3965" s="70"/>
      <c r="O3965" s="77" t="s">
        <v>179</v>
      </c>
      <c r="P3965" s="79">
        <v>45088.718865740739</v>
      </c>
      <c r="Q3965" s="77" t="s">
        <v>5169</v>
      </c>
      <c r="R3965" s="77">
        <v>0</v>
      </c>
      <c r="S3965" s="77">
        <v>0</v>
      </c>
      <c r="T3965" s="77">
        <v>0</v>
      </c>
      <c r="U3965" s="77">
        <v>0</v>
      </c>
      <c r="V3965" s="77">
        <v>120</v>
      </c>
      <c r="W3965" s="82" t="s">
        <v>7155</v>
      </c>
      <c r="X3965" s="77"/>
      <c r="Y3965" s="77"/>
      <c r="Z3965" s="77"/>
      <c r="AA3965" s="77" t="s">
        <v>10081</v>
      </c>
      <c r="AB3965" s="77" t="s">
        <v>10130</v>
      </c>
      <c r="AC3965" s="82" t="s">
        <v>10144</v>
      </c>
      <c r="AD3965" s="77" t="s">
        <v>10184</v>
      </c>
      <c r="AE3965" s="80" t="str">
        <f>HYPERLINK("https://twitter.com/estantevirtuall/status/1667943570387369988")</f>
        <v>https://twitter.com/estantevirtuall/status/1667943570387369988</v>
      </c>
      <c r="AF3965" s="79">
        <v>45088.718865740739</v>
      </c>
      <c r="AG3965" s="85">
        <v>45088</v>
      </c>
      <c r="AH3965" s="82" t="s">
        <v>13937</v>
      </c>
      <c r="AI3965" s="77" t="b">
        <v>0</v>
      </c>
      <c r="AJ3965" s="77" t="s">
        <v>13998</v>
      </c>
      <c r="AK3965" s="77" t="s">
        <v>14033</v>
      </c>
      <c r="AL3965" s="77" t="s">
        <v>14035</v>
      </c>
      <c r="AM3965" s="77" t="s">
        <v>14040</v>
      </c>
      <c r="AN3965" s="77" t="s">
        <v>14077</v>
      </c>
      <c r="AO3965" s="77" t="s">
        <v>14115</v>
      </c>
      <c r="AP3965" s="77" t="s">
        <v>14149</v>
      </c>
      <c r="AQ3965" s="77" t="s">
        <v>16724</v>
      </c>
      <c r="AR3965" s="77"/>
      <c r="AS3965" s="77"/>
      <c r="AT3965" s="77"/>
      <c r="AU3965" s="77"/>
      <c r="AV3965" s="80" t="str">
        <f>HYPERLINK("https://pbs.twimg.com/media/FyW51GNWAAIWL0H.jpg")</f>
        <v>https://pbs.twimg.com/media/FyW51GNWAAIWL0H.jpg</v>
      </c>
      <c r="AW3965" s="82" t="s">
        <v>20729</v>
      </c>
      <c r="AX3965" s="82" t="s">
        <v>20729</v>
      </c>
      <c r="AY3965" s="77"/>
      <c r="AZ3965" s="82" t="s">
        <v>20971</v>
      </c>
      <c r="BA3965" s="82" t="s">
        <v>20971</v>
      </c>
      <c r="BB3965" s="82" t="s">
        <v>20971</v>
      </c>
      <c r="BC3965" s="82" t="s">
        <v>20729</v>
      </c>
      <c r="BD3965" s="82" t="s">
        <v>21757</v>
      </c>
      <c r="BE3965" s="77"/>
      <c r="BF3965" s="77"/>
      <c r="BG3965" s="77"/>
      <c r="BH3965" s="77"/>
      <c r="BI3965" s="77"/>
    </row>
    <row r="3966" spans="1:61" x14ac:dyDescent="0.25">
      <c r="A3966" s="62" t="s">
        <v>1214</v>
      </c>
      <c r="B3966" s="62" t="s">
        <v>1241</v>
      </c>
      <c r="C3966" s="63"/>
      <c r="D3966" s="64"/>
      <c r="E3966" s="65"/>
      <c r="F3966" s="66"/>
      <c r="G3966" s="63"/>
      <c r="H3966" s="67"/>
      <c r="I3966" s="68"/>
      <c r="J3966" s="68"/>
      <c r="K3966" s="32"/>
      <c r="L3966" s="75">
        <v>3966</v>
      </c>
      <c r="M3966" s="75"/>
      <c r="N3966" s="70"/>
      <c r="O3966" s="77" t="s">
        <v>1285</v>
      </c>
      <c r="P3966" s="79">
        <v>45006.729884259257</v>
      </c>
      <c r="Q3966" s="77" t="s">
        <v>5170</v>
      </c>
      <c r="R3966" s="77">
        <v>0</v>
      </c>
      <c r="S3966" s="77">
        <v>1</v>
      </c>
      <c r="T3966" s="77">
        <v>0</v>
      </c>
      <c r="U3966" s="77">
        <v>0</v>
      </c>
      <c r="V3966" s="77">
        <v>24</v>
      </c>
      <c r="W3966" s="82" t="s">
        <v>7156</v>
      </c>
      <c r="X3966" s="80" t="str">
        <f>HYPERLINK("https://youtu.be/Ls5axZUDbhA")</f>
        <v>https://youtu.be/Ls5axZUDbhA</v>
      </c>
      <c r="Y3966" s="77" t="s">
        <v>7248</v>
      </c>
      <c r="Z3966" s="77" t="s">
        <v>1241</v>
      </c>
      <c r="AA3966" s="77"/>
      <c r="AB3966" s="77"/>
      <c r="AC3966" s="82" t="s">
        <v>10146</v>
      </c>
      <c r="AD3966" s="77" t="s">
        <v>10184</v>
      </c>
      <c r="AE3966" s="80" t="str">
        <f>HYPERLINK("https://twitter.com/qgdatecnologia2/status/1638231758494638085")</f>
        <v>https://twitter.com/qgdatecnologia2/status/1638231758494638085</v>
      </c>
      <c r="AF3966" s="79">
        <v>45006.729884259257</v>
      </c>
      <c r="AG3966" s="85">
        <v>45006</v>
      </c>
      <c r="AH3966" s="82" t="s">
        <v>13938</v>
      </c>
      <c r="AI3966" s="77" t="b">
        <v>0</v>
      </c>
      <c r="AJ3966" s="77"/>
      <c r="AK3966" s="77"/>
      <c r="AL3966" s="77"/>
      <c r="AM3966" s="77"/>
      <c r="AN3966" s="77"/>
      <c r="AO3966" s="77"/>
      <c r="AP3966" s="77"/>
      <c r="AQ3966" s="77"/>
      <c r="AR3966" s="77"/>
      <c r="AS3966" s="77"/>
      <c r="AT3966" s="77"/>
      <c r="AU3966" s="77"/>
      <c r="AV3966" s="80" t="str">
        <f>HYPERLINK("https://pbs.twimg.com/profile_images/1601283143478251521/EJIEQuKP_normal.jpg")</f>
        <v>https://pbs.twimg.com/profile_images/1601283143478251521/EJIEQuKP_normal.jpg</v>
      </c>
      <c r="AW3966" s="82" t="s">
        <v>20730</v>
      </c>
      <c r="AX3966" s="82" t="s">
        <v>20730</v>
      </c>
      <c r="AY3966" s="77"/>
      <c r="AZ3966" s="82" t="s">
        <v>20971</v>
      </c>
      <c r="BA3966" s="82" t="s">
        <v>20971</v>
      </c>
      <c r="BB3966" s="82" t="s">
        <v>20971</v>
      </c>
      <c r="BC3966" s="82" t="s">
        <v>20730</v>
      </c>
      <c r="BD3966" s="77">
        <v>2673648450</v>
      </c>
      <c r="BE3966" s="77"/>
      <c r="BF3966" s="77"/>
      <c r="BG3966" s="77"/>
      <c r="BH3966" s="77"/>
      <c r="BI3966" s="77"/>
    </row>
    <row r="3967" spans="1:61" x14ac:dyDescent="0.25">
      <c r="A3967" s="62" t="s">
        <v>1214</v>
      </c>
      <c r="B3967" s="62" t="s">
        <v>1241</v>
      </c>
      <c r="C3967" s="63"/>
      <c r="D3967" s="64"/>
      <c r="E3967" s="65"/>
      <c r="F3967" s="66"/>
      <c r="G3967" s="63"/>
      <c r="H3967" s="67"/>
      <c r="I3967" s="68"/>
      <c r="J3967" s="68"/>
      <c r="K3967" s="32"/>
      <c r="L3967" s="75">
        <v>3967</v>
      </c>
      <c r="M3967" s="75"/>
      <c r="N3967" s="70"/>
      <c r="O3967" s="77" t="s">
        <v>1285</v>
      </c>
      <c r="P3967" s="79">
        <v>45005.610520833332</v>
      </c>
      <c r="Q3967" s="77" t="s">
        <v>5171</v>
      </c>
      <c r="R3967" s="77">
        <v>0</v>
      </c>
      <c r="S3967" s="77">
        <v>1</v>
      </c>
      <c r="T3967" s="77">
        <v>0</v>
      </c>
      <c r="U3967" s="77">
        <v>0</v>
      </c>
      <c r="V3967" s="77">
        <v>38</v>
      </c>
      <c r="W3967" s="82" t="s">
        <v>7157</v>
      </c>
      <c r="X3967" s="80" t="str">
        <f>HYPERLINK("https://youtu.be/xGh7K4UYeDY")</f>
        <v>https://youtu.be/xGh7K4UYeDY</v>
      </c>
      <c r="Y3967" s="77" t="s">
        <v>7248</v>
      </c>
      <c r="Z3967" s="77" t="s">
        <v>1241</v>
      </c>
      <c r="AA3967" s="77"/>
      <c r="AB3967" s="77"/>
      <c r="AC3967" s="82" t="s">
        <v>10146</v>
      </c>
      <c r="AD3967" s="77" t="s">
        <v>10184</v>
      </c>
      <c r="AE3967" s="80" t="str">
        <f>HYPERLINK("https://twitter.com/qgdatecnologia2/status/1637826113387864067")</f>
        <v>https://twitter.com/qgdatecnologia2/status/1637826113387864067</v>
      </c>
      <c r="AF3967" s="79">
        <v>45005.610520833332</v>
      </c>
      <c r="AG3967" s="85">
        <v>45005</v>
      </c>
      <c r="AH3967" s="82" t="s">
        <v>10510</v>
      </c>
      <c r="AI3967" s="77" t="b">
        <v>0</v>
      </c>
      <c r="AJ3967" s="77"/>
      <c r="AK3967" s="77"/>
      <c r="AL3967" s="77"/>
      <c r="AM3967" s="77"/>
      <c r="AN3967" s="77"/>
      <c r="AO3967" s="77"/>
      <c r="AP3967" s="77"/>
      <c r="AQ3967" s="77"/>
      <c r="AR3967" s="77"/>
      <c r="AS3967" s="77"/>
      <c r="AT3967" s="77"/>
      <c r="AU3967" s="77"/>
      <c r="AV3967" s="80" t="str">
        <f>HYPERLINK("https://pbs.twimg.com/profile_images/1601283143478251521/EJIEQuKP_normal.jpg")</f>
        <v>https://pbs.twimg.com/profile_images/1601283143478251521/EJIEQuKP_normal.jpg</v>
      </c>
      <c r="AW3967" s="82" t="s">
        <v>20731</v>
      </c>
      <c r="AX3967" s="82" t="s">
        <v>20731</v>
      </c>
      <c r="AY3967" s="77"/>
      <c r="AZ3967" s="82" t="s">
        <v>20971</v>
      </c>
      <c r="BA3967" s="82" t="s">
        <v>20971</v>
      </c>
      <c r="BB3967" s="82" t="s">
        <v>20971</v>
      </c>
      <c r="BC3967" s="82" t="s">
        <v>20731</v>
      </c>
      <c r="BD3967" s="77">
        <v>2673648450</v>
      </c>
      <c r="BE3967" s="77"/>
      <c r="BF3967" s="77"/>
      <c r="BG3967" s="77"/>
      <c r="BH3967" s="77"/>
      <c r="BI3967" s="77"/>
    </row>
    <row r="3968" spans="1:61" x14ac:dyDescent="0.25">
      <c r="A3968" s="62" t="s">
        <v>1215</v>
      </c>
      <c r="B3968" s="62" t="s">
        <v>1215</v>
      </c>
      <c r="C3968" s="63"/>
      <c r="D3968" s="64"/>
      <c r="E3968" s="65"/>
      <c r="F3968" s="66"/>
      <c r="G3968" s="63"/>
      <c r="H3968" s="67"/>
      <c r="I3968" s="68"/>
      <c r="J3968" s="68"/>
      <c r="K3968" s="32"/>
      <c r="L3968" s="75">
        <v>3968</v>
      </c>
      <c r="M3968" s="75"/>
      <c r="N3968" s="70"/>
      <c r="O3968" s="77" t="s">
        <v>179</v>
      </c>
      <c r="P3968" s="79">
        <v>44986.792951388888</v>
      </c>
      <c r="Q3968" s="77" t="s">
        <v>5172</v>
      </c>
      <c r="R3968" s="77">
        <v>0</v>
      </c>
      <c r="S3968" s="77">
        <v>1</v>
      </c>
      <c r="T3968" s="77">
        <v>2</v>
      </c>
      <c r="U3968" s="77">
        <v>0</v>
      </c>
      <c r="V3968" s="77">
        <v>270</v>
      </c>
      <c r="W3968" s="82" t="s">
        <v>7158</v>
      </c>
      <c r="X3968" s="77"/>
      <c r="Y3968" s="77"/>
      <c r="Z3968" s="77"/>
      <c r="AA3968" s="77" t="s">
        <v>10082</v>
      </c>
      <c r="AB3968" s="77" t="s">
        <v>10130</v>
      </c>
      <c r="AC3968" s="82" t="s">
        <v>10145</v>
      </c>
      <c r="AD3968" s="77" t="s">
        <v>10184</v>
      </c>
      <c r="AE3968" s="80" t="str">
        <f>HYPERLINK("https://twitter.com/ozieljonatas/status/1631006853600628751")</f>
        <v>https://twitter.com/ozieljonatas/status/1631006853600628751</v>
      </c>
      <c r="AF3968" s="79">
        <v>44986.792951388888</v>
      </c>
      <c r="AG3968" s="85">
        <v>44986</v>
      </c>
      <c r="AH3968" s="82" t="s">
        <v>13939</v>
      </c>
      <c r="AI3968" s="77" t="b">
        <v>0</v>
      </c>
      <c r="AJ3968" s="77"/>
      <c r="AK3968" s="77"/>
      <c r="AL3968" s="77"/>
      <c r="AM3968" s="77"/>
      <c r="AN3968" s="77"/>
      <c r="AO3968" s="77"/>
      <c r="AP3968" s="77"/>
      <c r="AQ3968" s="77" t="s">
        <v>16725</v>
      </c>
      <c r="AR3968" s="77"/>
      <c r="AS3968" s="77"/>
      <c r="AT3968" s="77"/>
      <c r="AU3968" s="77"/>
      <c r="AV3968" s="80" t="str">
        <f>HYPERLINK("https://pbs.twimg.com/media/FqKAFgZX0Akm0xR.jpg")</f>
        <v>https://pbs.twimg.com/media/FqKAFgZX0Akm0xR.jpg</v>
      </c>
      <c r="AW3968" s="82" t="s">
        <v>20732</v>
      </c>
      <c r="AX3968" s="82" t="s">
        <v>20732</v>
      </c>
      <c r="AY3968" s="77"/>
      <c r="AZ3968" s="82" t="s">
        <v>20971</v>
      </c>
      <c r="BA3968" s="82" t="s">
        <v>20971</v>
      </c>
      <c r="BB3968" s="82" t="s">
        <v>20971</v>
      </c>
      <c r="BC3968" s="82" t="s">
        <v>20732</v>
      </c>
      <c r="BD3968" s="82" t="s">
        <v>21758</v>
      </c>
      <c r="BE3968" s="77"/>
      <c r="BF3968" s="77"/>
      <c r="BG3968" s="77"/>
      <c r="BH3968" s="77"/>
      <c r="BI3968" s="77"/>
    </row>
    <row r="3969" spans="1:61" x14ac:dyDescent="0.25">
      <c r="A3969" s="62" t="s">
        <v>1215</v>
      </c>
      <c r="B3969" s="62" t="s">
        <v>1215</v>
      </c>
      <c r="C3969" s="63"/>
      <c r="D3969" s="64"/>
      <c r="E3969" s="65"/>
      <c r="F3969" s="66"/>
      <c r="G3969" s="63"/>
      <c r="H3969" s="67"/>
      <c r="I3969" s="68"/>
      <c r="J3969" s="68"/>
      <c r="K3969" s="32"/>
      <c r="L3969" s="75">
        <v>3969</v>
      </c>
      <c r="M3969" s="75"/>
      <c r="N3969" s="70"/>
      <c r="O3969" s="77" t="s">
        <v>179</v>
      </c>
      <c r="P3969" s="79">
        <v>44996.253194444442</v>
      </c>
      <c r="Q3969" s="77" t="s">
        <v>5173</v>
      </c>
      <c r="R3969" s="77">
        <v>0</v>
      </c>
      <c r="S3969" s="77">
        <v>0</v>
      </c>
      <c r="T3969" s="77">
        <v>1</v>
      </c>
      <c r="U3969" s="77">
        <v>0</v>
      </c>
      <c r="V3969" s="77">
        <v>761</v>
      </c>
      <c r="W3969" s="82" t="s">
        <v>7159</v>
      </c>
      <c r="X3969" s="77"/>
      <c r="Y3969" s="77"/>
      <c r="Z3969" s="77"/>
      <c r="AA3969" s="77" t="s">
        <v>10083</v>
      </c>
      <c r="AB3969" s="77" t="s">
        <v>10143</v>
      </c>
      <c r="AC3969" s="82" t="s">
        <v>10145</v>
      </c>
      <c r="AD3969" s="77" t="s">
        <v>10184</v>
      </c>
      <c r="AE3969" s="80" t="str">
        <f>HYPERLINK("https://twitter.com/ozieljonatas/status/1634435132638609408")</f>
        <v>https://twitter.com/ozieljonatas/status/1634435132638609408</v>
      </c>
      <c r="AF3969" s="79">
        <v>44996.253194444442</v>
      </c>
      <c r="AG3969" s="85">
        <v>44996</v>
      </c>
      <c r="AH3969" s="82" t="s">
        <v>13940</v>
      </c>
      <c r="AI3969" s="77" t="b">
        <v>0</v>
      </c>
      <c r="AJ3969" s="77" t="s">
        <v>14000</v>
      </c>
      <c r="AK3969" s="77" t="s">
        <v>14033</v>
      </c>
      <c r="AL3969" s="77" t="s">
        <v>14035</v>
      </c>
      <c r="AM3969" s="77" t="s">
        <v>14042</v>
      </c>
      <c r="AN3969" s="77" t="s">
        <v>14079</v>
      </c>
      <c r="AO3969" s="77" t="s">
        <v>14117</v>
      </c>
      <c r="AP3969" s="77" t="s">
        <v>14149</v>
      </c>
      <c r="AQ3969" s="77" t="s">
        <v>16726</v>
      </c>
      <c r="AR3969" s="77" t="s">
        <v>16776</v>
      </c>
      <c r="AS3969" s="77"/>
      <c r="AT3969" s="77"/>
      <c r="AU3969" s="77"/>
      <c r="AV3969" s="80" t="str">
        <f>HYPERLINK("https://pbs.twimg.com/ext_tw_video_thumb/1634434969547206657/pu/img/YmLtiJcvyVLu1wpd.jpg")</f>
        <v>https://pbs.twimg.com/ext_tw_video_thumb/1634434969547206657/pu/img/YmLtiJcvyVLu1wpd.jpg</v>
      </c>
      <c r="AW3969" s="82" t="s">
        <v>20733</v>
      </c>
      <c r="AX3969" s="82" t="s">
        <v>20733</v>
      </c>
      <c r="AY3969" s="77"/>
      <c r="AZ3969" s="82" t="s">
        <v>20971</v>
      </c>
      <c r="BA3969" s="82" t="s">
        <v>20971</v>
      </c>
      <c r="BB3969" s="82" t="s">
        <v>20971</v>
      </c>
      <c r="BC3969" s="82" t="s">
        <v>20733</v>
      </c>
      <c r="BD3969" s="82" t="s">
        <v>21758</v>
      </c>
      <c r="BE3969" s="77"/>
      <c r="BF3969" s="77"/>
      <c r="BG3969" s="77"/>
      <c r="BH3969" s="77"/>
      <c r="BI3969" s="77"/>
    </row>
    <row r="3970" spans="1:61" x14ac:dyDescent="0.25">
      <c r="A3970" s="62" t="s">
        <v>1216</v>
      </c>
      <c r="B3970" s="62" t="s">
        <v>1216</v>
      </c>
      <c r="C3970" s="63"/>
      <c r="D3970" s="64"/>
      <c r="E3970" s="65"/>
      <c r="F3970" s="66"/>
      <c r="G3970" s="63"/>
      <c r="H3970" s="67"/>
      <c r="I3970" s="68"/>
      <c r="J3970" s="68"/>
      <c r="K3970" s="32"/>
      <c r="L3970" s="75">
        <v>3970</v>
      </c>
      <c r="M3970" s="75"/>
      <c r="N3970" s="70"/>
      <c r="O3970" s="77" t="s">
        <v>179</v>
      </c>
      <c r="P3970" s="79">
        <v>44963.17759259259</v>
      </c>
      <c r="Q3970" s="77" t="s">
        <v>5174</v>
      </c>
      <c r="R3970" s="77">
        <v>0</v>
      </c>
      <c r="S3970" s="77">
        <v>0</v>
      </c>
      <c r="T3970" s="77">
        <v>0</v>
      </c>
      <c r="U3970" s="77">
        <v>0</v>
      </c>
      <c r="V3970" s="77">
        <v>901</v>
      </c>
      <c r="W3970" s="82" t="s">
        <v>7160</v>
      </c>
      <c r="X3970" s="77"/>
      <c r="Y3970" s="77"/>
      <c r="Z3970" s="77"/>
      <c r="AA3970" s="77" t="s">
        <v>10084</v>
      </c>
      <c r="AB3970" s="77" t="s">
        <v>10130</v>
      </c>
      <c r="AC3970" s="82" t="s">
        <v>10144</v>
      </c>
      <c r="AD3970" s="77" t="s">
        <v>10184</v>
      </c>
      <c r="AE3970" s="80" t="str">
        <f>HYPERLINK("https://twitter.com/linzp09/status/1622448936538591233")</f>
        <v>https://twitter.com/linzp09/status/1622448936538591233</v>
      </c>
      <c r="AF3970" s="79">
        <v>44963.17759259259</v>
      </c>
      <c r="AG3970" s="85">
        <v>44963</v>
      </c>
      <c r="AH3970" s="82" t="s">
        <v>13941</v>
      </c>
      <c r="AI3970" s="77" t="b">
        <v>0</v>
      </c>
      <c r="AJ3970" s="77"/>
      <c r="AK3970" s="77"/>
      <c r="AL3970" s="77"/>
      <c r="AM3970" s="77"/>
      <c r="AN3970" s="77"/>
      <c r="AO3970" s="77"/>
      <c r="AP3970" s="77"/>
      <c r="AQ3970" s="77" t="s">
        <v>16727</v>
      </c>
      <c r="AR3970" s="77"/>
      <c r="AS3970" s="77"/>
      <c r="AT3970" s="77"/>
      <c r="AU3970" s="77"/>
      <c r="AV3970" s="80" t="str">
        <f>HYPERLINK("https://pbs.twimg.com/media/FoQYtYNWYAI0KJG.jpg")</f>
        <v>https://pbs.twimg.com/media/FoQYtYNWYAI0KJG.jpg</v>
      </c>
      <c r="AW3970" s="82" t="s">
        <v>20734</v>
      </c>
      <c r="AX3970" s="82" t="s">
        <v>20734</v>
      </c>
      <c r="AY3970" s="77"/>
      <c r="AZ3970" s="82" t="s">
        <v>20971</v>
      </c>
      <c r="BA3970" s="82" t="s">
        <v>20971</v>
      </c>
      <c r="BB3970" s="82" t="s">
        <v>20971</v>
      </c>
      <c r="BC3970" s="82" t="s">
        <v>20734</v>
      </c>
      <c r="BD3970" s="82" t="s">
        <v>21759</v>
      </c>
      <c r="BE3970" s="77"/>
      <c r="BF3970" s="77"/>
      <c r="BG3970" s="77"/>
      <c r="BH3970" s="77"/>
      <c r="BI3970" s="77"/>
    </row>
    <row r="3971" spans="1:61" x14ac:dyDescent="0.25">
      <c r="A3971" s="62" t="s">
        <v>1216</v>
      </c>
      <c r="B3971" s="62" t="s">
        <v>1216</v>
      </c>
      <c r="C3971" s="63"/>
      <c r="D3971" s="64"/>
      <c r="E3971" s="65"/>
      <c r="F3971" s="66"/>
      <c r="G3971" s="63"/>
      <c r="H3971" s="67"/>
      <c r="I3971" s="68"/>
      <c r="J3971" s="68"/>
      <c r="K3971" s="32"/>
      <c r="L3971" s="75">
        <v>3971</v>
      </c>
      <c r="M3971" s="75"/>
      <c r="N3971" s="70"/>
      <c r="O3971" s="77" t="s">
        <v>179</v>
      </c>
      <c r="P3971" s="79">
        <v>44981.888298611113</v>
      </c>
      <c r="Q3971" s="77" t="s">
        <v>5175</v>
      </c>
      <c r="R3971" s="77">
        <v>0</v>
      </c>
      <c r="S3971" s="77">
        <v>1</v>
      </c>
      <c r="T3971" s="77">
        <v>0</v>
      </c>
      <c r="U3971" s="77">
        <v>0</v>
      </c>
      <c r="V3971" s="77">
        <v>1095</v>
      </c>
      <c r="W3971" s="82" t="s">
        <v>7161</v>
      </c>
      <c r="X3971" s="80" t="str">
        <f>HYPERLINK("http://game.lobo888.cc/?code=lpnrxv")</f>
        <v>http://game.lobo888.cc/?code=lpnrxv</v>
      </c>
      <c r="Y3971" s="77" t="s">
        <v>7497</v>
      </c>
      <c r="Z3971" s="77"/>
      <c r="AA3971" s="77" t="s">
        <v>10085</v>
      </c>
      <c r="AB3971" s="77" t="s">
        <v>10129</v>
      </c>
      <c r="AC3971" s="82" t="s">
        <v>10144</v>
      </c>
      <c r="AD3971" s="77" t="s">
        <v>10184</v>
      </c>
      <c r="AE3971" s="80" t="str">
        <f>HYPERLINK("https://twitter.com/linzp09/status/1629229468647665664")</f>
        <v>https://twitter.com/linzp09/status/1629229468647665664</v>
      </c>
      <c r="AF3971" s="79">
        <v>44981.888298611113</v>
      </c>
      <c r="AG3971" s="85">
        <v>44981</v>
      </c>
      <c r="AH3971" s="82" t="s">
        <v>13942</v>
      </c>
      <c r="AI3971" s="77" t="b">
        <v>0</v>
      </c>
      <c r="AJ3971" s="77"/>
      <c r="AK3971" s="77"/>
      <c r="AL3971" s="77"/>
      <c r="AM3971" s="77"/>
      <c r="AN3971" s="77"/>
      <c r="AO3971" s="77"/>
      <c r="AP3971" s="77"/>
      <c r="AQ3971" s="77" t="s">
        <v>16728</v>
      </c>
      <c r="AR3971" s="77">
        <v>31299</v>
      </c>
      <c r="AS3971" s="77"/>
      <c r="AT3971" s="77"/>
      <c r="AU3971" s="77"/>
      <c r="AV3971" s="80" t="str">
        <f>HYPERLINK("https://pbs.twimg.com/ext_tw_video_thumb/1629229429334462465/pu/img/k94ojVZqSjVw7ddA.jpg")</f>
        <v>https://pbs.twimg.com/ext_tw_video_thumb/1629229429334462465/pu/img/k94ojVZqSjVw7ddA.jpg</v>
      </c>
      <c r="AW3971" s="82" t="s">
        <v>20735</v>
      </c>
      <c r="AX3971" s="82" t="s">
        <v>20735</v>
      </c>
      <c r="AY3971" s="77"/>
      <c r="AZ3971" s="82" t="s">
        <v>20971</v>
      </c>
      <c r="BA3971" s="82" t="s">
        <v>20971</v>
      </c>
      <c r="BB3971" s="82" t="s">
        <v>20971</v>
      </c>
      <c r="BC3971" s="82" t="s">
        <v>20735</v>
      </c>
      <c r="BD3971" s="82" t="s">
        <v>21759</v>
      </c>
      <c r="BE3971" s="77"/>
      <c r="BF3971" s="77"/>
      <c r="BG3971" s="77"/>
      <c r="BH3971" s="77"/>
      <c r="BI3971" s="77"/>
    </row>
    <row r="3972" spans="1:61" x14ac:dyDescent="0.25">
      <c r="A3972" s="62" t="s">
        <v>1217</v>
      </c>
      <c r="B3972" s="62" t="s">
        <v>1217</v>
      </c>
      <c r="C3972" s="63"/>
      <c r="D3972" s="64"/>
      <c r="E3972" s="65"/>
      <c r="F3972" s="66"/>
      <c r="G3972" s="63"/>
      <c r="H3972" s="67"/>
      <c r="I3972" s="68"/>
      <c r="J3972" s="68"/>
      <c r="K3972" s="32"/>
      <c r="L3972" s="75">
        <v>3972</v>
      </c>
      <c r="M3972" s="75"/>
      <c r="N3972" s="70"/>
      <c r="O3972" s="77" t="s">
        <v>179</v>
      </c>
      <c r="P3972" s="79">
        <v>45188.694444444445</v>
      </c>
      <c r="Q3972" s="77" t="s">
        <v>5176</v>
      </c>
      <c r="R3972" s="77">
        <v>3</v>
      </c>
      <c r="S3972" s="77">
        <v>47</v>
      </c>
      <c r="T3972" s="77">
        <v>3</v>
      </c>
      <c r="U3972" s="77">
        <v>1</v>
      </c>
      <c r="V3972" s="77">
        <v>7955</v>
      </c>
      <c r="W3972" s="82" t="s">
        <v>7162</v>
      </c>
      <c r="X3972" s="77"/>
      <c r="Y3972" s="77"/>
      <c r="Z3972" s="77"/>
      <c r="AA3972" s="77" t="s">
        <v>10086</v>
      </c>
      <c r="AB3972" s="77" t="s">
        <v>10129</v>
      </c>
      <c r="AC3972" s="82" t="s">
        <v>10146</v>
      </c>
      <c r="AD3972" s="77" t="s">
        <v>10184</v>
      </c>
      <c r="AE3972" s="80" t="str">
        <f>HYPERLINK("https://twitter.com/programapanico/status/1704173504671912074")</f>
        <v>https://twitter.com/programapanico/status/1704173504671912074</v>
      </c>
      <c r="AF3972" s="79">
        <v>45188.694444444445</v>
      </c>
      <c r="AG3972" s="85">
        <v>45188</v>
      </c>
      <c r="AH3972" s="82" t="s">
        <v>13943</v>
      </c>
      <c r="AI3972" s="77" t="b">
        <v>0</v>
      </c>
      <c r="AJ3972" s="77"/>
      <c r="AK3972" s="77"/>
      <c r="AL3972" s="77"/>
      <c r="AM3972" s="77"/>
      <c r="AN3972" s="77"/>
      <c r="AO3972" s="77"/>
      <c r="AP3972" s="77"/>
      <c r="AQ3972" s="77" t="s">
        <v>16729</v>
      </c>
      <c r="AR3972" s="77">
        <v>93240</v>
      </c>
      <c r="AS3972" s="77"/>
      <c r="AT3972" s="77"/>
      <c r="AU3972" s="77"/>
      <c r="AV3972" s="80" t="str">
        <f>HYPERLINK("https://pbs.twimg.com/ext_tw_video_thumb/1704157611086528512/pu/img/zai4IgeBttZN2azY.jpg")</f>
        <v>https://pbs.twimg.com/ext_tw_video_thumb/1704157611086528512/pu/img/zai4IgeBttZN2azY.jpg</v>
      </c>
      <c r="AW3972" s="82" t="s">
        <v>20736</v>
      </c>
      <c r="AX3972" s="82" t="s">
        <v>20736</v>
      </c>
      <c r="AY3972" s="77"/>
      <c r="AZ3972" s="82" t="s">
        <v>20971</v>
      </c>
      <c r="BA3972" s="82" t="s">
        <v>20971</v>
      </c>
      <c r="BB3972" s="82" t="s">
        <v>20971</v>
      </c>
      <c r="BC3972" s="82" t="s">
        <v>20736</v>
      </c>
      <c r="BD3972" s="77">
        <v>35765232</v>
      </c>
      <c r="BE3972" s="77"/>
      <c r="BF3972" s="77"/>
      <c r="BG3972" s="77"/>
      <c r="BH3972" s="77"/>
      <c r="BI3972" s="77"/>
    </row>
    <row r="3973" spans="1:61" x14ac:dyDescent="0.25">
      <c r="A3973" s="62" t="s">
        <v>1218</v>
      </c>
      <c r="B3973" s="62" t="s">
        <v>1217</v>
      </c>
      <c r="C3973" s="63"/>
      <c r="D3973" s="64"/>
      <c r="E3973" s="65"/>
      <c r="F3973" s="66"/>
      <c r="G3973" s="63"/>
      <c r="H3973" s="67"/>
      <c r="I3973" s="68"/>
      <c r="J3973" s="68"/>
      <c r="K3973" s="32"/>
      <c r="L3973" s="75">
        <v>3973</v>
      </c>
      <c r="M3973" s="75"/>
      <c r="N3973" s="70"/>
      <c r="O3973" s="77" t="s">
        <v>1287</v>
      </c>
      <c r="P3973" s="79">
        <v>45189.553078703706</v>
      </c>
      <c r="Q3973" s="77" t="s">
        <v>2431</v>
      </c>
      <c r="R3973" s="77">
        <v>3</v>
      </c>
      <c r="S3973" s="77">
        <v>0</v>
      </c>
      <c r="T3973" s="77">
        <v>0</v>
      </c>
      <c r="U3973" s="77">
        <v>0</v>
      </c>
      <c r="V3973" s="77"/>
      <c r="W3973" s="82" t="s">
        <v>5601</v>
      </c>
      <c r="X3973" s="77"/>
      <c r="Y3973" s="77"/>
      <c r="Z3973" s="77" t="s">
        <v>1217</v>
      </c>
      <c r="AA3973" s="77"/>
      <c r="AB3973" s="77"/>
      <c r="AC3973" s="82" t="s">
        <v>10146</v>
      </c>
      <c r="AD3973" s="77" t="s">
        <v>10184</v>
      </c>
      <c r="AE3973" s="80" t="str">
        <f>HYPERLINK("https://twitter.com/panico_jp/status/1704484664352600127")</f>
        <v>https://twitter.com/panico_jp/status/1704484664352600127</v>
      </c>
      <c r="AF3973" s="79">
        <v>45189.553078703706</v>
      </c>
      <c r="AG3973" s="85">
        <v>45189</v>
      </c>
      <c r="AH3973" s="82" t="s">
        <v>13944</v>
      </c>
      <c r="AI3973" s="77"/>
      <c r="AJ3973" s="77"/>
      <c r="AK3973" s="77"/>
      <c r="AL3973" s="77"/>
      <c r="AM3973" s="77"/>
      <c r="AN3973" s="77"/>
      <c r="AO3973" s="77"/>
      <c r="AP3973" s="77"/>
      <c r="AQ3973" s="77"/>
      <c r="AR3973" s="77"/>
      <c r="AS3973" s="77"/>
      <c r="AT3973" s="77"/>
      <c r="AU3973" s="77"/>
      <c r="AV3973" s="80" t="str">
        <f>HYPERLINK("https://pbs.twimg.com/profile_images/1640019919831019520/4yP7OLG8_normal.jpg")</f>
        <v>https://pbs.twimg.com/profile_images/1640019919831019520/4yP7OLG8_normal.jpg</v>
      </c>
      <c r="AW3973" s="82" t="s">
        <v>20737</v>
      </c>
      <c r="AX3973" s="82" t="s">
        <v>20737</v>
      </c>
      <c r="AY3973" s="77"/>
      <c r="AZ3973" s="82" t="s">
        <v>20971</v>
      </c>
      <c r="BA3973" s="82" t="s">
        <v>20971</v>
      </c>
      <c r="BB3973" s="82" t="s">
        <v>20736</v>
      </c>
      <c r="BC3973" s="82" t="s">
        <v>20736</v>
      </c>
      <c r="BD3973" s="82" t="s">
        <v>21760</v>
      </c>
      <c r="BE3973" s="77"/>
      <c r="BF3973" s="77"/>
      <c r="BG3973" s="77"/>
      <c r="BH3973" s="77"/>
      <c r="BI3973" s="77"/>
    </row>
    <row r="3974" spans="1:61" x14ac:dyDescent="0.25">
      <c r="A3974" s="62" t="s">
        <v>1219</v>
      </c>
      <c r="B3974" s="62" t="s">
        <v>1219</v>
      </c>
      <c r="C3974" s="63"/>
      <c r="D3974" s="64"/>
      <c r="E3974" s="65"/>
      <c r="F3974" s="66"/>
      <c r="G3974" s="63"/>
      <c r="H3974" s="67"/>
      <c r="I3974" s="68"/>
      <c r="J3974" s="68"/>
      <c r="K3974" s="32"/>
      <c r="L3974" s="75">
        <v>3974</v>
      </c>
      <c r="M3974" s="75"/>
      <c r="N3974" s="70"/>
      <c r="O3974" s="77" t="s">
        <v>179</v>
      </c>
      <c r="P3974" s="79">
        <v>44985.807025462964</v>
      </c>
      <c r="Q3974" s="77" t="s">
        <v>5177</v>
      </c>
      <c r="R3974" s="77">
        <v>0</v>
      </c>
      <c r="S3974" s="77">
        <v>0</v>
      </c>
      <c r="T3974" s="77">
        <v>0</v>
      </c>
      <c r="U3974" s="77">
        <v>0</v>
      </c>
      <c r="V3974" s="77">
        <v>14</v>
      </c>
      <c r="W3974" s="82" t="s">
        <v>5236</v>
      </c>
      <c r="X3974" s="80" t="str">
        <f>HYPERLINK("https://go.hotmart.com/B77468619P")</f>
        <v>https://go.hotmart.com/B77468619P</v>
      </c>
      <c r="Y3974" s="77" t="s">
        <v>7251</v>
      </c>
      <c r="Z3974" s="77"/>
      <c r="AA3974" s="77" t="s">
        <v>10087</v>
      </c>
      <c r="AB3974" s="77" t="s">
        <v>10130</v>
      </c>
      <c r="AC3974" s="82" t="s">
        <v>10181</v>
      </c>
      <c r="AD3974" s="77" t="s">
        <v>10184</v>
      </c>
      <c r="AE3974" s="80" t="str">
        <f>HYPERLINK("https://twitter.com/chatgpt_brasil/status/1630649565798866945")</f>
        <v>https://twitter.com/chatgpt_brasil/status/1630649565798866945</v>
      </c>
      <c r="AF3974" s="79">
        <v>44985.807025462964</v>
      </c>
      <c r="AG3974" s="85">
        <v>44985</v>
      </c>
      <c r="AH3974" s="82" t="s">
        <v>13945</v>
      </c>
      <c r="AI3974" s="77" t="b">
        <v>0</v>
      </c>
      <c r="AJ3974" s="77"/>
      <c r="AK3974" s="77"/>
      <c r="AL3974" s="77"/>
      <c r="AM3974" s="77"/>
      <c r="AN3974" s="77"/>
      <c r="AO3974" s="77"/>
      <c r="AP3974" s="77"/>
      <c r="AQ3974" s="77" t="s">
        <v>16730</v>
      </c>
      <c r="AR3974" s="77"/>
      <c r="AS3974" s="77"/>
      <c r="AT3974" s="77"/>
      <c r="AU3974" s="77"/>
      <c r="AV3974" s="80" t="str">
        <f>HYPERLINK("https://pbs.twimg.com/media/FqE7GwzWIAcOczb.jpg")</f>
        <v>https://pbs.twimg.com/media/FqE7GwzWIAcOczb.jpg</v>
      </c>
      <c r="AW3974" s="82" t="s">
        <v>20738</v>
      </c>
      <c r="AX3974" s="82" t="s">
        <v>20738</v>
      </c>
      <c r="AY3974" s="77"/>
      <c r="AZ3974" s="82" t="s">
        <v>20971</v>
      </c>
      <c r="BA3974" s="82" t="s">
        <v>20971</v>
      </c>
      <c r="BB3974" s="82" t="s">
        <v>20971</v>
      </c>
      <c r="BC3974" s="82" t="s">
        <v>20738</v>
      </c>
      <c r="BD3974" s="82" t="s">
        <v>21761</v>
      </c>
      <c r="BE3974" s="77"/>
      <c r="BF3974" s="77"/>
      <c r="BG3974" s="77"/>
      <c r="BH3974" s="77"/>
      <c r="BI3974" s="77"/>
    </row>
    <row r="3975" spans="1:61" x14ac:dyDescent="0.25">
      <c r="A3975" s="62" t="s">
        <v>1219</v>
      </c>
      <c r="B3975" s="62" t="s">
        <v>1219</v>
      </c>
      <c r="C3975" s="63"/>
      <c r="D3975" s="64"/>
      <c r="E3975" s="65"/>
      <c r="F3975" s="66"/>
      <c r="G3975" s="63"/>
      <c r="H3975" s="67"/>
      <c r="I3975" s="68"/>
      <c r="J3975" s="68"/>
      <c r="K3975" s="32"/>
      <c r="L3975" s="75">
        <v>3975</v>
      </c>
      <c r="M3975" s="75"/>
      <c r="N3975" s="70"/>
      <c r="O3975" s="77" t="s">
        <v>179</v>
      </c>
      <c r="P3975" s="79">
        <v>44984.383796296293</v>
      </c>
      <c r="Q3975" s="77" t="s">
        <v>5178</v>
      </c>
      <c r="R3975" s="77">
        <v>0</v>
      </c>
      <c r="S3975" s="77">
        <v>0</v>
      </c>
      <c r="T3975" s="77">
        <v>0</v>
      </c>
      <c r="U3975" s="77">
        <v>0</v>
      </c>
      <c r="V3975" s="77">
        <v>8</v>
      </c>
      <c r="W3975" s="82" t="s">
        <v>5236</v>
      </c>
      <c r="X3975" s="80" t="str">
        <f>HYPERLINK("https://go.hotmart.com/B77468619P")</f>
        <v>https://go.hotmart.com/B77468619P</v>
      </c>
      <c r="Y3975" s="77" t="s">
        <v>7251</v>
      </c>
      <c r="Z3975" s="77"/>
      <c r="AA3975" s="77" t="s">
        <v>10088</v>
      </c>
      <c r="AB3975" s="77" t="s">
        <v>10130</v>
      </c>
      <c r="AC3975" s="82" t="s">
        <v>10181</v>
      </c>
      <c r="AD3975" s="77" t="s">
        <v>10184</v>
      </c>
      <c r="AE3975" s="80" t="str">
        <f>HYPERLINK("https://twitter.com/chatgpt_brasil/status/1630133807788576768")</f>
        <v>https://twitter.com/chatgpt_brasil/status/1630133807788576768</v>
      </c>
      <c r="AF3975" s="79">
        <v>44984.383796296293</v>
      </c>
      <c r="AG3975" s="85">
        <v>44984</v>
      </c>
      <c r="AH3975" s="82" t="s">
        <v>13946</v>
      </c>
      <c r="AI3975" s="77" t="b">
        <v>0</v>
      </c>
      <c r="AJ3975" s="77"/>
      <c r="AK3975" s="77"/>
      <c r="AL3975" s="77"/>
      <c r="AM3975" s="77"/>
      <c r="AN3975" s="77"/>
      <c r="AO3975" s="77"/>
      <c r="AP3975" s="77"/>
      <c r="AQ3975" s="77" t="s">
        <v>16731</v>
      </c>
      <c r="AR3975" s="77"/>
      <c r="AS3975" s="77"/>
      <c r="AT3975" s="77"/>
      <c r="AU3975" s="77"/>
      <c r="AV3975" s="80" t="str">
        <f>HYPERLINK("https://pbs.twimg.com/media/Fp9mBlIXgAAaQeC.jpg")</f>
        <v>https://pbs.twimg.com/media/Fp9mBlIXgAAaQeC.jpg</v>
      </c>
      <c r="AW3975" s="82" t="s">
        <v>20739</v>
      </c>
      <c r="AX3975" s="82" t="s">
        <v>20739</v>
      </c>
      <c r="AY3975" s="77"/>
      <c r="AZ3975" s="82" t="s">
        <v>20971</v>
      </c>
      <c r="BA3975" s="82" t="s">
        <v>20971</v>
      </c>
      <c r="BB3975" s="82" t="s">
        <v>20971</v>
      </c>
      <c r="BC3975" s="82" t="s">
        <v>20739</v>
      </c>
      <c r="BD3975" s="82" t="s">
        <v>21761</v>
      </c>
      <c r="BE3975" s="77"/>
      <c r="BF3975" s="77"/>
      <c r="BG3975" s="77"/>
      <c r="BH3975" s="77"/>
      <c r="BI3975" s="77"/>
    </row>
    <row r="3976" spans="1:61" x14ac:dyDescent="0.25">
      <c r="A3976" s="62" t="s">
        <v>1219</v>
      </c>
      <c r="B3976" s="62" t="s">
        <v>1219</v>
      </c>
      <c r="C3976" s="63"/>
      <c r="D3976" s="64"/>
      <c r="E3976" s="65"/>
      <c r="F3976" s="66"/>
      <c r="G3976" s="63"/>
      <c r="H3976" s="67"/>
      <c r="I3976" s="68"/>
      <c r="J3976" s="68"/>
      <c r="K3976" s="32"/>
      <c r="L3976" s="75">
        <v>3976</v>
      </c>
      <c r="M3976" s="75"/>
      <c r="N3976" s="70"/>
      <c r="O3976" s="77" t="s">
        <v>179</v>
      </c>
      <c r="P3976" s="79">
        <v>44982.957048611112</v>
      </c>
      <c r="Q3976" s="77" t="s">
        <v>5179</v>
      </c>
      <c r="R3976" s="77">
        <v>0</v>
      </c>
      <c r="S3976" s="77">
        <v>0</v>
      </c>
      <c r="T3976" s="77">
        <v>0</v>
      </c>
      <c r="U3976" s="77">
        <v>0</v>
      </c>
      <c r="V3976" s="77">
        <v>6</v>
      </c>
      <c r="W3976" s="82" t="s">
        <v>5236</v>
      </c>
      <c r="X3976" s="80" t="str">
        <f>HYPERLINK("https://go.hotmart.com/B77468619P")</f>
        <v>https://go.hotmart.com/B77468619P</v>
      </c>
      <c r="Y3976" s="77" t="s">
        <v>7251</v>
      </c>
      <c r="Z3976" s="77"/>
      <c r="AA3976" s="77" t="s">
        <v>10089</v>
      </c>
      <c r="AB3976" s="77" t="s">
        <v>10130</v>
      </c>
      <c r="AC3976" s="82" t="s">
        <v>10181</v>
      </c>
      <c r="AD3976" s="77" t="s">
        <v>10184</v>
      </c>
      <c r="AE3976" s="80" t="str">
        <f>HYPERLINK("https://twitter.com/chatgpt_brasil/status/1629616770028847105")</f>
        <v>https://twitter.com/chatgpt_brasil/status/1629616770028847105</v>
      </c>
      <c r="AF3976" s="79">
        <v>44982.957048611112</v>
      </c>
      <c r="AG3976" s="85">
        <v>44982</v>
      </c>
      <c r="AH3976" s="82" t="s">
        <v>13947</v>
      </c>
      <c r="AI3976" s="77" t="b">
        <v>0</v>
      </c>
      <c r="AJ3976" s="77"/>
      <c r="AK3976" s="77"/>
      <c r="AL3976" s="77"/>
      <c r="AM3976" s="77"/>
      <c r="AN3976" s="77"/>
      <c r="AO3976" s="77"/>
      <c r="AP3976" s="77"/>
      <c r="AQ3976" s="77" t="s">
        <v>16732</v>
      </c>
      <c r="AR3976" s="77"/>
      <c r="AS3976" s="77"/>
      <c r="AT3976" s="77"/>
      <c r="AU3976" s="77"/>
      <c r="AV3976" s="80" t="str">
        <f>HYPERLINK("https://pbs.twimg.com/media/Fp2PxnPX0AAViOh.jpg")</f>
        <v>https://pbs.twimg.com/media/Fp2PxnPX0AAViOh.jpg</v>
      </c>
      <c r="AW3976" s="82" t="s">
        <v>20740</v>
      </c>
      <c r="AX3976" s="82" t="s">
        <v>20740</v>
      </c>
      <c r="AY3976" s="77"/>
      <c r="AZ3976" s="82" t="s">
        <v>20971</v>
      </c>
      <c r="BA3976" s="82" t="s">
        <v>20971</v>
      </c>
      <c r="BB3976" s="82" t="s">
        <v>20971</v>
      </c>
      <c r="BC3976" s="82" t="s">
        <v>20740</v>
      </c>
      <c r="BD3976" s="82" t="s">
        <v>21761</v>
      </c>
      <c r="BE3976" s="77"/>
      <c r="BF3976" s="77"/>
      <c r="BG3976" s="77"/>
      <c r="BH3976" s="77"/>
      <c r="BI3976" s="77"/>
    </row>
    <row r="3977" spans="1:61" x14ac:dyDescent="0.25">
      <c r="A3977" s="62" t="s">
        <v>1219</v>
      </c>
      <c r="B3977" s="62" t="s">
        <v>1219</v>
      </c>
      <c r="C3977" s="63"/>
      <c r="D3977" s="64"/>
      <c r="E3977" s="65"/>
      <c r="F3977" s="66"/>
      <c r="G3977" s="63"/>
      <c r="H3977" s="67"/>
      <c r="I3977" s="68"/>
      <c r="J3977" s="68"/>
      <c r="K3977" s="32"/>
      <c r="L3977" s="75">
        <v>3977</v>
      </c>
      <c r="M3977" s="75"/>
      <c r="N3977" s="70"/>
      <c r="O3977" s="77" t="s">
        <v>179</v>
      </c>
      <c r="P3977" s="79">
        <v>44980.108738425923</v>
      </c>
      <c r="Q3977" s="77" t="s">
        <v>5180</v>
      </c>
      <c r="R3977" s="77">
        <v>0</v>
      </c>
      <c r="S3977" s="77">
        <v>0</v>
      </c>
      <c r="T3977" s="77">
        <v>0</v>
      </c>
      <c r="U3977" s="77">
        <v>0</v>
      </c>
      <c r="V3977" s="77">
        <v>9</v>
      </c>
      <c r="W3977" s="82" t="s">
        <v>5236</v>
      </c>
      <c r="X3977" s="80" t="str">
        <f>HYPERLINK("https://go.hotmart.com/B77468619P")</f>
        <v>https://go.hotmart.com/B77468619P</v>
      </c>
      <c r="Y3977" s="77" t="s">
        <v>7251</v>
      </c>
      <c r="Z3977" s="77"/>
      <c r="AA3977" s="77" t="s">
        <v>10090</v>
      </c>
      <c r="AB3977" s="77" t="s">
        <v>10130</v>
      </c>
      <c r="AC3977" s="82" t="s">
        <v>10181</v>
      </c>
      <c r="AD3977" s="77" t="s">
        <v>10184</v>
      </c>
      <c r="AE3977" s="80" t="str">
        <f>HYPERLINK("https://twitter.com/chatgpt_brasil/status/1628584576858685441")</f>
        <v>https://twitter.com/chatgpt_brasil/status/1628584576858685441</v>
      </c>
      <c r="AF3977" s="79">
        <v>44980.108738425923</v>
      </c>
      <c r="AG3977" s="85">
        <v>44980</v>
      </c>
      <c r="AH3977" s="82" t="s">
        <v>13948</v>
      </c>
      <c r="AI3977" s="77" t="b">
        <v>0</v>
      </c>
      <c r="AJ3977" s="77"/>
      <c r="AK3977" s="77"/>
      <c r="AL3977" s="77"/>
      <c r="AM3977" s="77"/>
      <c r="AN3977" s="77"/>
      <c r="AO3977" s="77"/>
      <c r="AP3977" s="77"/>
      <c r="AQ3977" s="77" t="s">
        <v>16733</v>
      </c>
      <c r="AR3977" s="77"/>
      <c r="AS3977" s="77"/>
      <c r="AT3977" s="77"/>
      <c r="AU3977" s="77"/>
      <c r="AV3977" s="80" t="str">
        <f>HYPERLINK("https://pbs.twimg.com/media/FpnlButXwAEX-C3.jpg")</f>
        <v>https://pbs.twimg.com/media/FpnlButXwAEX-C3.jpg</v>
      </c>
      <c r="AW3977" s="82" t="s">
        <v>20741</v>
      </c>
      <c r="AX3977" s="82" t="s">
        <v>20741</v>
      </c>
      <c r="AY3977" s="77"/>
      <c r="AZ3977" s="82" t="s">
        <v>20971</v>
      </c>
      <c r="BA3977" s="82" t="s">
        <v>20971</v>
      </c>
      <c r="BB3977" s="82" t="s">
        <v>20971</v>
      </c>
      <c r="BC3977" s="82" t="s">
        <v>20741</v>
      </c>
      <c r="BD3977" s="82" t="s">
        <v>21761</v>
      </c>
      <c r="BE3977" s="77"/>
      <c r="BF3977" s="77"/>
      <c r="BG3977" s="77"/>
      <c r="BH3977" s="77"/>
      <c r="BI3977" s="77"/>
    </row>
    <row r="3978" spans="1:61" x14ac:dyDescent="0.25">
      <c r="A3978" s="62" t="s">
        <v>1219</v>
      </c>
      <c r="B3978" s="62" t="s">
        <v>1219</v>
      </c>
      <c r="C3978" s="63"/>
      <c r="D3978" s="64"/>
      <c r="E3978" s="65"/>
      <c r="F3978" s="66"/>
      <c r="G3978" s="63"/>
      <c r="H3978" s="67"/>
      <c r="I3978" s="68"/>
      <c r="J3978" s="68"/>
      <c r="K3978" s="32"/>
      <c r="L3978" s="75">
        <v>3978</v>
      </c>
      <c r="M3978" s="75"/>
      <c r="N3978" s="70"/>
      <c r="O3978" s="77" t="s">
        <v>179</v>
      </c>
      <c r="P3978" s="79">
        <v>44978.685416666667</v>
      </c>
      <c r="Q3978" s="77" t="s">
        <v>5181</v>
      </c>
      <c r="R3978" s="77">
        <v>0</v>
      </c>
      <c r="S3978" s="77">
        <v>0</v>
      </c>
      <c r="T3978" s="77">
        <v>0</v>
      </c>
      <c r="U3978" s="77">
        <v>0</v>
      </c>
      <c r="V3978" s="77">
        <v>10</v>
      </c>
      <c r="W3978" s="82" t="s">
        <v>5236</v>
      </c>
      <c r="X3978" s="80" t="str">
        <f>HYPERLINK("https://go.hotmart.com/B77468619P")</f>
        <v>https://go.hotmart.com/B77468619P</v>
      </c>
      <c r="Y3978" s="77" t="s">
        <v>7251</v>
      </c>
      <c r="Z3978" s="77"/>
      <c r="AA3978" s="77" t="s">
        <v>10091</v>
      </c>
      <c r="AB3978" s="77" t="s">
        <v>10130</v>
      </c>
      <c r="AC3978" s="82" t="s">
        <v>10181</v>
      </c>
      <c r="AD3978" s="77" t="s">
        <v>10184</v>
      </c>
      <c r="AE3978" s="80" t="str">
        <f>HYPERLINK("https://twitter.com/chatgpt_brasil/status/1628068781971984385")</f>
        <v>https://twitter.com/chatgpt_brasil/status/1628068781971984385</v>
      </c>
      <c r="AF3978" s="79">
        <v>44978.685416666667</v>
      </c>
      <c r="AG3978" s="85">
        <v>44978</v>
      </c>
      <c r="AH3978" s="82" t="s">
        <v>13949</v>
      </c>
      <c r="AI3978" s="77" t="b">
        <v>0</v>
      </c>
      <c r="AJ3978" s="77"/>
      <c r="AK3978" s="77"/>
      <c r="AL3978" s="77"/>
      <c r="AM3978" s="77"/>
      <c r="AN3978" s="77"/>
      <c r="AO3978" s="77"/>
      <c r="AP3978" s="77"/>
      <c r="AQ3978" s="77" t="s">
        <v>16734</v>
      </c>
      <c r="AR3978" s="77"/>
      <c r="AS3978" s="77"/>
      <c r="AT3978" s="77"/>
      <c r="AU3978" s="77"/>
      <c r="AV3978" s="80" t="str">
        <f>HYPERLINK("https://pbs.twimg.com/media/FpgP6gGXwAIDmDF.jpg")</f>
        <v>https://pbs.twimg.com/media/FpgP6gGXwAIDmDF.jpg</v>
      </c>
      <c r="AW3978" s="82" t="s">
        <v>20742</v>
      </c>
      <c r="AX3978" s="82" t="s">
        <v>20742</v>
      </c>
      <c r="AY3978" s="77"/>
      <c r="AZ3978" s="82" t="s">
        <v>20971</v>
      </c>
      <c r="BA3978" s="82" t="s">
        <v>20971</v>
      </c>
      <c r="BB3978" s="82" t="s">
        <v>20971</v>
      </c>
      <c r="BC3978" s="82" t="s">
        <v>20742</v>
      </c>
      <c r="BD3978" s="82" t="s">
        <v>21761</v>
      </c>
      <c r="BE3978" s="77"/>
      <c r="BF3978" s="77"/>
      <c r="BG3978" s="77"/>
      <c r="BH3978" s="77"/>
      <c r="BI3978" s="77"/>
    </row>
    <row r="3979" spans="1:61" x14ac:dyDescent="0.25">
      <c r="A3979" s="62" t="s">
        <v>1219</v>
      </c>
      <c r="B3979" s="62" t="s">
        <v>1219</v>
      </c>
      <c r="C3979" s="63"/>
      <c r="D3979" s="64"/>
      <c r="E3979" s="65"/>
      <c r="F3979" s="66"/>
      <c r="G3979" s="63"/>
      <c r="H3979" s="67"/>
      <c r="I3979" s="68"/>
      <c r="J3979" s="68"/>
      <c r="K3979" s="32"/>
      <c r="L3979" s="75">
        <v>3979</v>
      </c>
      <c r="M3979" s="75"/>
      <c r="N3979" s="70"/>
      <c r="O3979" s="77" t="s">
        <v>179</v>
      </c>
      <c r="P3979" s="79">
        <v>45024.606747685182</v>
      </c>
      <c r="Q3979" s="77" t="s">
        <v>5182</v>
      </c>
      <c r="R3979" s="77">
        <v>0</v>
      </c>
      <c r="S3979" s="77">
        <v>0</v>
      </c>
      <c r="T3979" s="77">
        <v>1</v>
      </c>
      <c r="U3979" s="77">
        <v>0</v>
      </c>
      <c r="V3979" s="77">
        <v>31</v>
      </c>
      <c r="W3979" s="82" t="s">
        <v>5236</v>
      </c>
      <c r="X3979" s="80" t="str">
        <f>HYPERLINK("https://go.hotmart.com/B77468619P")</f>
        <v>https://go.hotmart.com/B77468619P</v>
      </c>
      <c r="Y3979" s="77" t="s">
        <v>7251</v>
      </c>
      <c r="Z3979" s="77"/>
      <c r="AA3979" s="77" t="s">
        <v>10092</v>
      </c>
      <c r="AB3979" s="77" t="s">
        <v>10130</v>
      </c>
      <c r="AC3979" s="82" t="s">
        <v>10181</v>
      </c>
      <c r="AD3979" s="77" t="s">
        <v>10184</v>
      </c>
      <c r="AE3979" s="80" t="str">
        <f>HYPERLINK("https://twitter.com/chatgpt_brasil/status/1644710115017211904")</f>
        <v>https://twitter.com/chatgpt_brasil/status/1644710115017211904</v>
      </c>
      <c r="AF3979" s="79">
        <v>45024.606747685182</v>
      </c>
      <c r="AG3979" s="85">
        <v>45024</v>
      </c>
      <c r="AH3979" s="82" t="s">
        <v>13950</v>
      </c>
      <c r="AI3979" s="77" t="b">
        <v>0</v>
      </c>
      <c r="AJ3979" s="77"/>
      <c r="AK3979" s="77"/>
      <c r="AL3979" s="77"/>
      <c r="AM3979" s="77"/>
      <c r="AN3979" s="77"/>
      <c r="AO3979" s="77"/>
      <c r="AP3979" s="77"/>
      <c r="AQ3979" s="77" t="s">
        <v>16735</v>
      </c>
      <c r="AR3979" s="77"/>
      <c r="AS3979" s="77"/>
      <c r="AT3979" s="77"/>
      <c r="AU3979" s="77"/>
      <c r="AV3979" s="80" t="str">
        <f>HYPERLINK("https://pbs.twimg.com/media/FtMvGiWWAAUM7ap.jpg")</f>
        <v>https://pbs.twimg.com/media/FtMvGiWWAAUM7ap.jpg</v>
      </c>
      <c r="AW3979" s="82" t="s">
        <v>20743</v>
      </c>
      <c r="AX3979" s="82" t="s">
        <v>20743</v>
      </c>
      <c r="AY3979" s="77"/>
      <c r="AZ3979" s="82" t="s">
        <v>20971</v>
      </c>
      <c r="BA3979" s="82" t="s">
        <v>20971</v>
      </c>
      <c r="BB3979" s="82" t="s">
        <v>20971</v>
      </c>
      <c r="BC3979" s="82" t="s">
        <v>20743</v>
      </c>
      <c r="BD3979" s="82" t="s">
        <v>21761</v>
      </c>
      <c r="BE3979" s="77"/>
      <c r="BF3979" s="77"/>
      <c r="BG3979" s="77"/>
      <c r="BH3979" s="77"/>
      <c r="BI3979" s="77"/>
    </row>
    <row r="3980" spans="1:61" x14ac:dyDescent="0.25">
      <c r="A3980" s="62" t="s">
        <v>1219</v>
      </c>
      <c r="B3980" s="62" t="s">
        <v>1219</v>
      </c>
      <c r="C3980" s="63"/>
      <c r="D3980" s="64"/>
      <c r="E3980" s="65"/>
      <c r="F3980" s="66"/>
      <c r="G3980" s="63"/>
      <c r="H3980" s="67"/>
      <c r="I3980" s="68"/>
      <c r="J3980" s="68"/>
      <c r="K3980" s="32"/>
      <c r="L3980" s="75">
        <v>3980</v>
      </c>
      <c r="M3980" s="75"/>
      <c r="N3980" s="70"/>
      <c r="O3980" s="77" t="s">
        <v>179</v>
      </c>
      <c r="P3980" s="79">
        <v>44967.251122685186</v>
      </c>
      <c r="Q3980" s="77" t="s">
        <v>5183</v>
      </c>
      <c r="R3980" s="77">
        <v>0</v>
      </c>
      <c r="S3980" s="77">
        <v>0</v>
      </c>
      <c r="T3980" s="77">
        <v>0</v>
      </c>
      <c r="U3980" s="77">
        <v>0</v>
      </c>
      <c r="V3980" s="77">
        <v>6</v>
      </c>
      <c r="W3980" s="82" t="s">
        <v>5236</v>
      </c>
      <c r="X3980" s="80" t="str">
        <f>HYPERLINK("https://go.hotmart.com/B77468619P")</f>
        <v>https://go.hotmart.com/B77468619P</v>
      </c>
      <c r="Y3980" s="77" t="s">
        <v>7251</v>
      </c>
      <c r="Z3980" s="77"/>
      <c r="AA3980" s="77" t="s">
        <v>10093</v>
      </c>
      <c r="AB3980" s="77" t="s">
        <v>10130</v>
      </c>
      <c r="AC3980" s="82" t="s">
        <v>10181</v>
      </c>
      <c r="AD3980" s="77" t="s">
        <v>10184</v>
      </c>
      <c r="AE3980" s="80" t="str">
        <f>HYPERLINK("https://twitter.com/chatgpt_brasil/status/1623925134636761090")</f>
        <v>https://twitter.com/chatgpt_brasil/status/1623925134636761090</v>
      </c>
      <c r="AF3980" s="79">
        <v>44967.251122685186</v>
      </c>
      <c r="AG3980" s="85">
        <v>44967</v>
      </c>
      <c r="AH3980" s="82" t="s">
        <v>13951</v>
      </c>
      <c r="AI3980" s="77" t="b">
        <v>0</v>
      </c>
      <c r="AJ3980" s="77"/>
      <c r="AK3980" s="77"/>
      <c r="AL3980" s="77"/>
      <c r="AM3980" s="77"/>
      <c r="AN3980" s="77"/>
      <c r="AO3980" s="77"/>
      <c r="AP3980" s="77"/>
      <c r="AQ3980" s="77" t="s">
        <v>16736</v>
      </c>
      <c r="AR3980" s="77"/>
      <c r="AS3980" s="77"/>
      <c r="AT3980" s="77"/>
      <c r="AU3980" s="77"/>
      <c r="AV3980" s="80" t="str">
        <f>HYPERLINK("https://pbs.twimg.com/media/FolXRYnXsAA35Hy.jpg")</f>
        <v>https://pbs.twimg.com/media/FolXRYnXsAA35Hy.jpg</v>
      </c>
      <c r="AW3980" s="82" t="s">
        <v>20744</v>
      </c>
      <c r="AX3980" s="82" t="s">
        <v>20744</v>
      </c>
      <c r="AY3980" s="77"/>
      <c r="AZ3980" s="82" t="s">
        <v>20971</v>
      </c>
      <c r="BA3980" s="82" t="s">
        <v>20971</v>
      </c>
      <c r="BB3980" s="82" t="s">
        <v>20971</v>
      </c>
      <c r="BC3980" s="82" t="s">
        <v>20744</v>
      </c>
      <c r="BD3980" s="82" t="s">
        <v>21761</v>
      </c>
      <c r="BE3980" s="77"/>
      <c r="BF3980" s="77"/>
      <c r="BG3980" s="77"/>
      <c r="BH3980" s="77"/>
      <c r="BI3980" s="77"/>
    </row>
    <row r="3981" spans="1:61" x14ac:dyDescent="0.25">
      <c r="A3981" s="62" t="s">
        <v>1219</v>
      </c>
      <c r="B3981" s="62" t="s">
        <v>1219</v>
      </c>
      <c r="C3981" s="63"/>
      <c r="D3981" s="64"/>
      <c r="E3981" s="65"/>
      <c r="F3981" s="66"/>
      <c r="G3981" s="63"/>
      <c r="H3981" s="67"/>
      <c r="I3981" s="68"/>
      <c r="J3981" s="68"/>
      <c r="K3981" s="32"/>
      <c r="L3981" s="75">
        <v>3981</v>
      </c>
      <c r="M3981" s="75"/>
      <c r="N3981" s="70"/>
      <c r="O3981" s="77" t="s">
        <v>179</v>
      </c>
      <c r="P3981" s="79">
        <v>45028.870613425926</v>
      </c>
      <c r="Q3981" s="77" t="s">
        <v>5184</v>
      </c>
      <c r="R3981" s="77">
        <v>0</v>
      </c>
      <c r="S3981" s="77">
        <v>0</v>
      </c>
      <c r="T3981" s="77">
        <v>0</v>
      </c>
      <c r="U3981" s="77">
        <v>0</v>
      </c>
      <c r="V3981" s="77">
        <v>8</v>
      </c>
      <c r="W3981" s="82" t="s">
        <v>5236</v>
      </c>
      <c r="X3981" s="80" t="str">
        <f>HYPERLINK("https://go.hotmart.com/B77468619P")</f>
        <v>https://go.hotmart.com/B77468619P</v>
      </c>
      <c r="Y3981" s="77" t="s">
        <v>7251</v>
      </c>
      <c r="Z3981" s="77"/>
      <c r="AA3981" s="77" t="s">
        <v>10094</v>
      </c>
      <c r="AB3981" s="77" t="s">
        <v>10130</v>
      </c>
      <c r="AC3981" s="82" t="s">
        <v>10181</v>
      </c>
      <c r="AD3981" s="77" t="s">
        <v>10184</v>
      </c>
      <c r="AE3981" s="80" t="str">
        <f>HYPERLINK("https://twitter.com/chatgpt_brasil/status/1646255288373198851")</f>
        <v>https://twitter.com/chatgpt_brasil/status/1646255288373198851</v>
      </c>
      <c r="AF3981" s="79">
        <v>45028.870613425926</v>
      </c>
      <c r="AG3981" s="85">
        <v>45028</v>
      </c>
      <c r="AH3981" s="82" t="s">
        <v>13952</v>
      </c>
      <c r="AI3981" s="77" t="b">
        <v>0</v>
      </c>
      <c r="AJ3981" s="77"/>
      <c r="AK3981" s="77"/>
      <c r="AL3981" s="77"/>
      <c r="AM3981" s="77"/>
      <c r="AN3981" s="77"/>
      <c r="AO3981" s="77"/>
      <c r="AP3981" s="77"/>
      <c r="AQ3981" s="77" t="s">
        <v>16737</v>
      </c>
      <c r="AR3981" s="77"/>
      <c r="AS3981" s="77"/>
      <c r="AT3981" s="77"/>
      <c r="AU3981" s="77"/>
      <c r="AV3981" s="80" t="str">
        <f>HYPERLINK("https://pbs.twimg.com/media/Ftisbb3WcAAoH7u.jpg")</f>
        <v>https://pbs.twimg.com/media/Ftisbb3WcAAoH7u.jpg</v>
      </c>
      <c r="AW3981" s="82" t="s">
        <v>20745</v>
      </c>
      <c r="AX3981" s="82" t="s">
        <v>20745</v>
      </c>
      <c r="AY3981" s="77"/>
      <c r="AZ3981" s="82" t="s">
        <v>20971</v>
      </c>
      <c r="BA3981" s="82" t="s">
        <v>20971</v>
      </c>
      <c r="BB3981" s="82" t="s">
        <v>20971</v>
      </c>
      <c r="BC3981" s="82" t="s">
        <v>20745</v>
      </c>
      <c r="BD3981" s="82" t="s">
        <v>21761</v>
      </c>
      <c r="BE3981" s="77"/>
      <c r="BF3981" s="77"/>
      <c r="BG3981" s="77"/>
      <c r="BH3981" s="77"/>
      <c r="BI3981" s="77"/>
    </row>
    <row r="3982" spans="1:61" x14ac:dyDescent="0.25">
      <c r="A3982" s="62" t="s">
        <v>1219</v>
      </c>
      <c r="B3982" s="62" t="s">
        <v>1219</v>
      </c>
      <c r="C3982" s="63"/>
      <c r="D3982" s="64"/>
      <c r="E3982" s="65"/>
      <c r="F3982" s="66"/>
      <c r="G3982" s="63"/>
      <c r="H3982" s="67"/>
      <c r="I3982" s="68"/>
      <c r="J3982" s="68"/>
      <c r="K3982" s="32"/>
      <c r="L3982" s="75">
        <v>3982</v>
      </c>
      <c r="M3982" s="75"/>
      <c r="N3982" s="70"/>
      <c r="O3982" s="77" t="s">
        <v>179</v>
      </c>
      <c r="P3982" s="79">
        <v>44972.188437500001</v>
      </c>
      <c r="Q3982" s="77" t="s">
        <v>5185</v>
      </c>
      <c r="R3982" s="77">
        <v>0</v>
      </c>
      <c r="S3982" s="77">
        <v>0</v>
      </c>
      <c r="T3982" s="77">
        <v>0</v>
      </c>
      <c r="U3982" s="77">
        <v>0</v>
      </c>
      <c r="V3982" s="77">
        <v>7</v>
      </c>
      <c r="W3982" s="82" t="s">
        <v>5236</v>
      </c>
      <c r="X3982" s="80" t="str">
        <f>HYPERLINK("https://go.hotmart.com/B77468619P")</f>
        <v>https://go.hotmart.com/B77468619P</v>
      </c>
      <c r="Y3982" s="77" t="s">
        <v>7251</v>
      </c>
      <c r="Z3982" s="77"/>
      <c r="AA3982" s="77" t="s">
        <v>10095</v>
      </c>
      <c r="AB3982" s="77" t="s">
        <v>10130</v>
      </c>
      <c r="AC3982" s="82" t="s">
        <v>10181</v>
      </c>
      <c r="AD3982" s="77" t="s">
        <v>10184</v>
      </c>
      <c r="AE3982" s="80" t="str">
        <f>HYPERLINK("https://twitter.com/chatgpt_brasil/status/1625714358192902144")</f>
        <v>https://twitter.com/chatgpt_brasil/status/1625714358192902144</v>
      </c>
      <c r="AF3982" s="79">
        <v>44972.188437500001</v>
      </c>
      <c r="AG3982" s="85">
        <v>44972</v>
      </c>
      <c r="AH3982" s="82" t="s">
        <v>13953</v>
      </c>
      <c r="AI3982" s="77" t="b">
        <v>0</v>
      </c>
      <c r="AJ3982" s="77"/>
      <c r="AK3982" s="77"/>
      <c r="AL3982" s="77"/>
      <c r="AM3982" s="77"/>
      <c r="AN3982" s="77"/>
      <c r="AO3982" s="77"/>
      <c r="AP3982" s="77"/>
      <c r="AQ3982" s="77" t="s">
        <v>16738</v>
      </c>
      <c r="AR3982" s="77"/>
      <c r="AS3982" s="77"/>
      <c r="AT3982" s="77"/>
      <c r="AU3982" s="77"/>
      <c r="AV3982" s="80" t="str">
        <f>HYPERLINK("https://pbs.twimg.com/media/Fo-ylFIXsAIEuNQ.jpg")</f>
        <v>https://pbs.twimg.com/media/Fo-ylFIXsAIEuNQ.jpg</v>
      </c>
      <c r="AW3982" s="82" t="s">
        <v>20746</v>
      </c>
      <c r="AX3982" s="82" t="s">
        <v>20746</v>
      </c>
      <c r="AY3982" s="77"/>
      <c r="AZ3982" s="82" t="s">
        <v>20971</v>
      </c>
      <c r="BA3982" s="82" t="s">
        <v>20971</v>
      </c>
      <c r="BB3982" s="82" t="s">
        <v>20971</v>
      </c>
      <c r="BC3982" s="82" t="s">
        <v>20746</v>
      </c>
      <c r="BD3982" s="82" t="s">
        <v>21761</v>
      </c>
      <c r="BE3982" s="77"/>
      <c r="BF3982" s="77"/>
      <c r="BG3982" s="77"/>
      <c r="BH3982" s="77"/>
      <c r="BI3982" s="77"/>
    </row>
    <row r="3983" spans="1:61" x14ac:dyDescent="0.25">
      <c r="A3983" s="62" t="s">
        <v>1219</v>
      </c>
      <c r="B3983" s="62" t="s">
        <v>1219</v>
      </c>
      <c r="C3983" s="63"/>
      <c r="D3983" s="64"/>
      <c r="E3983" s="65"/>
      <c r="F3983" s="66"/>
      <c r="G3983" s="63"/>
      <c r="H3983" s="67"/>
      <c r="I3983" s="68"/>
      <c r="J3983" s="68"/>
      <c r="K3983" s="32"/>
      <c r="L3983" s="75">
        <v>3983</v>
      </c>
      <c r="M3983" s="75"/>
      <c r="N3983" s="70"/>
      <c r="O3983" s="77" t="s">
        <v>179</v>
      </c>
      <c r="P3983" s="79">
        <v>44969.508715277778</v>
      </c>
      <c r="Q3983" s="77" t="s">
        <v>5186</v>
      </c>
      <c r="R3983" s="77">
        <v>0</v>
      </c>
      <c r="S3983" s="77">
        <v>0</v>
      </c>
      <c r="T3983" s="77">
        <v>0</v>
      </c>
      <c r="U3983" s="77">
        <v>0</v>
      </c>
      <c r="V3983" s="77">
        <v>10</v>
      </c>
      <c r="W3983" s="82" t="s">
        <v>5236</v>
      </c>
      <c r="X3983" s="80" t="str">
        <f>HYPERLINK("https://go.hotmart.com/B77468619P")</f>
        <v>https://go.hotmart.com/B77468619P</v>
      </c>
      <c r="Y3983" s="77" t="s">
        <v>7251</v>
      </c>
      <c r="Z3983" s="77"/>
      <c r="AA3983" s="77" t="s">
        <v>10096</v>
      </c>
      <c r="AB3983" s="77" t="s">
        <v>10130</v>
      </c>
      <c r="AC3983" s="82" t="s">
        <v>10181</v>
      </c>
      <c r="AD3983" s="77" t="s">
        <v>10184</v>
      </c>
      <c r="AE3983" s="80" t="str">
        <f>HYPERLINK("https://twitter.com/chatgpt_brasil/status/1624743255572111360")</f>
        <v>https://twitter.com/chatgpt_brasil/status/1624743255572111360</v>
      </c>
      <c r="AF3983" s="79">
        <v>44969.508715277778</v>
      </c>
      <c r="AG3983" s="85">
        <v>44969</v>
      </c>
      <c r="AH3983" s="82" t="s">
        <v>13954</v>
      </c>
      <c r="AI3983" s="77" t="b">
        <v>0</v>
      </c>
      <c r="AJ3983" s="77"/>
      <c r="AK3983" s="77"/>
      <c r="AL3983" s="77"/>
      <c r="AM3983" s="77"/>
      <c r="AN3983" s="77"/>
      <c r="AO3983" s="77"/>
      <c r="AP3983" s="77"/>
      <c r="AQ3983" s="77" t="s">
        <v>16739</v>
      </c>
      <c r="AR3983" s="77"/>
      <c r="AS3983" s="77"/>
      <c r="AT3983" s="77"/>
      <c r="AU3983" s="77"/>
      <c r="AV3983" s="80" t="str">
        <f>HYPERLINK("https://pbs.twimg.com/media/Fow_V3WXwAIOpEX.jpg")</f>
        <v>https://pbs.twimg.com/media/Fow_V3WXwAIOpEX.jpg</v>
      </c>
      <c r="AW3983" s="82" t="s">
        <v>20747</v>
      </c>
      <c r="AX3983" s="82" t="s">
        <v>20747</v>
      </c>
      <c r="AY3983" s="77"/>
      <c r="AZ3983" s="82" t="s">
        <v>20971</v>
      </c>
      <c r="BA3983" s="82" t="s">
        <v>20971</v>
      </c>
      <c r="BB3983" s="82" t="s">
        <v>20971</v>
      </c>
      <c r="BC3983" s="82" t="s">
        <v>20747</v>
      </c>
      <c r="BD3983" s="82" t="s">
        <v>21761</v>
      </c>
      <c r="BE3983" s="77"/>
      <c r="BF3983" s="77"/>
      <c r="BG3983" s="77"/>
      <c r="BH3983" s="77"/>
      <c r="BI3983" s="77"/>
    </row>
    <row r="3984" spans="1:61" x14ac:dyDescent="0.25">
      <c r="A3984" s="62" t="s">
        <v>1219</v>
      </c>
      <c r="B3984" s="62" t="s">
        <v>1219</v>
      </c>
      <c r="C3984" s="63"/>
      <c r="D3984" s="64"/>
      <c r="E3984" s="65"/>
      <c r="F3984" s="66"/>
      <c r="G3984" s="63"/>
      <c r="H3984" s="67"/>
      <c r="I3984" s="68"/>
      <c r="J3984" s="68"/>
      <c r="K3984" s="32"/>
      <c r="L3984" s="75">
        <v>3984</v>
      </c>
      <c r="M3984" s="75"/>
      <c r="N3984" s="70"/>
      <c r="O3984" s="77" t="s">
        <v>179</v>
      </c>
      <c r="P3984" s="79">
        <v>45011.452881944446</v>
      </c>
      <c r="Q3984" s="77" t="s">
        <v>5187</v>
      </c>
      <c r="R3984" s="77">
        <v>0</v>
      </c>
      <c r="S3984" s="77">
        <v>0</v>
      </c>
      <c r="T3984" s="77">
        <v>0</v>
      </c>
      <c r="U3984" s="77">
        <v>0</v>
      </c>
      <c r="V3984" s="77">
        <v>2</v>
      </c>
      <c r="W3984" s="82" t="s">
        <v>5236</v>
      </c>
      <c r="X3984" s="80" t="str">
        <f>HYPERLINK("https://go.hotmart.com/B77468619P")</f>
        <v>https://go.hotmart.com/B77468619P</v>
      </c>
      <c r="Y3984" s="77" t="s">
        <v>7251</v>
      </c>
      <c r="Z3984" s="77"/>
      <c r="AA3984" s="77" t="s">
        <v>10097</v>
      </c>
      <c r="AB3984" s="77" t="s">
        <v>10130</v>
      </c>
      <c r="AC3984" s="82" t="s">
        <v>10181</v>
      </c>
      <c r="AD3984" s="77" t="s">
        <v>10184</v>
      </c>
      <c r="AE3984" s="80" t="str">
        <f>HYPERLINK("https://twitter.com/chatgpt_brasil/status/1639943315947757568")</f>
        <v>https://twitter.com/chatgpt_brasil/status/1639943315947757568</v>
      </c>
      <c r="AF3984" s="79">
        <v>45011.452881944446</v>
      </c>
      <c r="AG3984" s="85">
        <v>45011</v>
      </c>
      <c r="AH3984" s="82" t="s">
        <v>13955</v>
      </c>
      <c r="AI3984" s="77" t="b">
        <v>0</v>
      </c>
      <c r="AJ3984" s="77"/>
      <c r="AK3984" s="77"/>
      <c r="AL3984" s="77"/>
      <c r="AM3984" s="77"/>
      <c r="AN3984" s="77"/>
      <c r="AO3984" s="77"/>
      <c r="AP3984" s="77"/>
      <c r="AQ3984" s="77" t="s">
        <v>16740</v>
      </c>
      <c r="AR3984" s="77"/>
      <c r="AS3984" s="77"/>
      <c r="AT3984" s="77"/>
      <c r="AU3984" s="77"/>
      <c r="AV3984" s="80" t="str">
        <f>HYPERLINK("https://pbs.twimg.com/media/FsI_ujVXgAIzHIq.jpg")</f>
        <v>https://pbs.twimg.com/media/FsI_ujVXgAIzHIq.jpg</v>
      </c>
      <c r="AW3984" s="82" t="s">
        <v>20748</v>
      </c>
      <c r="AX3984" s="82" t="s">
        <v>20748</v>
      </c>
      <c r="AY3984" s="77"/>
      <c r="AZ3984" s="82" t="s">
        <v>20971</v>
      </c>
      <c r="BA3984" s="82" t="s">
        <v>20971</v>
      </c>
      <c r="BB3984" s="82" t="s">
        <v>20971</v>
      </c>
      <c r="BC3984" s="82" t="s">
        <v>20748</v>
      </c>
      <c r="BD3984" s="82" t="s">
        <v>21761</v>
      </c>
      <c r="BE3984" s="77"/>
      <c r="BF3984" s="77"/>
      <c r="BG3984" s="77"/>
      <c r="BH3984" s="77"/>
      <c r="BI3984" s="77"/>
    </row>
    <row r="3985" spans="1:61" x14ac:dyDescent="0.25">
      <c r="A3985" s="62" t="s">
        <v>1219</v>
      </c>
      <c r="B3985" s="62" t="s">
        <v>1219</v>
      </c>
      <c r="C3985" s="63"/>
      <c r="D3985" s="64"/>
      <c r="E3985" s="65"/>
      <c r="F3985" s="66"/>
      <c r="G3985" s="63"/>
      <c r="H3985" s="67"/>
      <c r="I3985" s="68"/>
      <c r="J3985" s="68"/>
      <c r="K3985" s="32"/>
      <c r="L3985" s="75">
        <v>3985</v>
      </c>
      <c r="M3985" s="75"/>
      <c r="N3985" s="70"/>
      <c r="O3985" s="77" t="s">
        <v>179</v>
      </c>
      <c r="P3985" s="79">
        <v>44977.26158564815</v>
      </c>
      <c r="Q3985" s="77" t="s">
        <v>5188</v>
      </c>
      <c r="R3985" s="77">
        <v>0</v>
      </c>
      <c r="S3985" s="77">
        <v>0</v>
      </c>
      <c r="T3985" s="77">
        <v>0</v>
      </c>
      <c r="U3985" s="77">
        <v>0</v>
      </c>
      <c r="V3985" s="77">
        <v>5</v>
      </c>
      <c r="W3985" s="82" t="s">
        <v>5236</v>
      </c>
      <c r="X3985" s="80" t="str">
        <f>HYPERLINK("https://go.hotmart.com/B77468619P")</f>
        <v>https://go.hotmart.com/B77468619P</v>
      </c>
      <c r="Y3985" s="77" t="s">
        <v>7251</v>
      </c>
      <c r="Z3985" s="77"/>
      <c r="AA3985" s="77" t="s">
        <v>10098</v>
      </c>
      <c r="AB3985" s="77" t="s">
        <v>10130</v>
      </c>
      <c r="AC3985" s="82" t="s">
        <v>10181</v>
      </c>
      <c r="AD3985" s="77" t="s">
        <v>10184</v>
      </c>
      <c r="AE3985" s="80" t="str">
        <f>HYPERLINK("https://twitter.com/chatgpt_brasil/status/1627552801579585536")</f>
        <v>https://twitter.com/chatgpt_brasil/status/1627552801579585536</v>
      </c>
      <c r="AF3985" s="79">
        <v>44977.26158564815</v>
      </c>
      <c r="AG3985" s="85">
        <v>44977</v>
      </c>
      <c r="AH3985" s="82" t="s">
        <v>13956</v>
      </c>
      <c r="AI3985" s="77" t="b">
        <v>0</v>
      </c>
      <c r="AJ3985" s="77"/>
      <c r="AK3985" s="77"/>
      <c r="AL3985" s="77"/>
      <c r="AM3985" s="77"/>
      <c r="AN3985" s="77"/>
      <c r="AO3985" s="77"/>
      <c r="AP3985" s="77"/>
      <c r="AQ3985" s="77" t="s">
        <v>16741</v>
      </c>
      <c r="AR3985" s="77"/>
      <c r="AS3985" s="77"/>
      <c r="AT3985" s="77"/>
      <c r="AU3985" s="77"/>
      <c r="AV3985" s="80" t="str">
        <f>HYPERLINK("https://pbs.twimg.com/media/FpY6nFzXoAIoD8p.jpg")</f>
        <v>https://pbs.twimg.com/media/FpY6nFzXoAIoD8p.jpg</v>
      </c>
      <c r="AW3985" s="82" t="s">
        <v>20749</v>
      </c>
      <c r="AX3985" s="82" t="s">
        <v>20749</v>
      </c>
      <c r="AY3985" s="77"/>
      <c r="AZ3985" s="82" t="s">
        <v>20971</v>
      </c>
      <c r="BA3985" s="82" t="s">
        <v>20971</v>
      </c>
      <c r="BB3985" s="82" t="s">
        <v>20971</v>
      </c>
      <c r="BC3985" s="82" t="s">
        <v>20749</v>
      </c>
      <c r="BD3985" s="82" t="s">
        <v>21761</v>
      </c>
      <c r="BE3985" s="77"/>
      <c r="BF3985" s="77"/>
      <c r="BG3985" s="77"/>
      <c r="BH3985" s="77"/>
      <c r="BI3985" s="77"/>
    </row>
    <row r="3986" spans="1:61" x14ac:dyDescent="0.25">
      <c r="A3986" s="62" t="s">
        <v>1219</v>
      </c>
      <c r="B3986" s="62" t="s">
        <v>1219</v>
      </c>
      <c r="C3986" s="63"/>
      <c r="D3986" s="64"/>
      <c r="E3986" s="65"/>
      <c r="F3986" s="66"/>
      <c r="G3986" s="63"/>
      <c r="H3986" s="67"/>
      <c r="I3986" s="68"/>
      <c r="J3986" s="68"/>
      <c r="K3986" s="32"/>
      <c r="L3986" s="75">
        <v>3986</v>
      </c>
      <c r="M3986" s="75"/>
      <c r="N3986" s="70"/>
      <c r="O3986" s="77" t="s">
        <v>179</v>
      </c>
      <c r="P3986" s="79">
        <v>45015.716493055559</v>
      </c>
      <c r="Q3986" s="77" t="s">
        <v>5189</v>
      </c>
      <c r="R3986" s="77">
        <v>0</v>
      </c>
      <c r="S3986" s="77">
        <v>0</v>
      </c>
      <c r="T3986" s="77">
        <v>0</v>
      </c>
      <c r="U3986" s="77">
        <v>0</v>
      </c>
      <c r="V3986" s="77">
        <v>4</v>
      </c>
      <c r="W3986" s="82" t="s">
        <v>5236</v>
      </c>
      <c r="X3986" s="80" t="str">
        <f>HYPERLINK("https://go.hotmart.com/B77468619P")</f>
        <v>https://go.hotmart.com/B77468619P</v>
      </c>
      <c r="Y3986" s="77" t="s">
        <v>7251</v>
      </c>
      <c r="Z3986" s="77"/>
      <c r="AA3986" s="77" t="s">
        <v>10099</v>
      </c>
      <c r="AB3986" s="77" t="s">
        <v>10130</v>
      </c>
      <c r="AC3986" s="82" t="s">
        <v>10181</v>
      </c>
      <c r="AD3986" s="77" t="s">
        <v>10184</v>
      </c>
      <c r="AE3986" s="80" t="str">
        <f>HYPERLINK("https://twitter.com/chatgpt_brasil/status/1641488394860605444")</f>
        <v>https://twitter.com/chatgpt_brasil/status/1641488394860605444</v>
      </c>
      <c r="AF3986" s="79">
        <v>45015.716493055559</v>
      </c>
      <c r="AG3986" s="85">
        <v>45015</v>
      </c>
      <c r="AH3986" s="82" t="s">
        <v>13957</v>
      </c>
      <c r="AI3986" s="77" t="b">
        <v>0</v>
      </c>
      <c r="AJ3986" s="77"/>
      <c r="AK3986" s="77"/>
      <c r="AL3986" s="77"/>
      <c r="AM3986" s="77"/>
      <c r="AN3986" s="77"/>
      <c r="AO3986" s="77"/>
      <c r="AP3986" s="77"/>
      <c r="AQ3986" s="77" t="s">
        <v>16742</v>
      </c>
      <c r="AR3986" s="77"/>
      <c r="AS3986" s="77"/>
      <c r="AT3986" s="77"/>
      <c r="AU3986" s="77"/>
      <c r="AV3986" s="80" t="str">
        <f>HYPERLINK("https://pbs.twimg.com/media/Fse89MCXsAQErAP.jpg")</f>
        <v>https://pbs.twimg.com/media/Fse89MCXsAQErAP.jpg</v>
      </c>
      <c r="AW3986" s="82" t="s">
        <v>20750</v>
      </c>
      <c r="AX3986" s="82" t="s">
        <v>20750</v>
      </c>
      <c r="AY3986" s="77"/>
      <c r="AZ3986" s="82" t="s">
        <v>20971</v>
      </c>
      <c r="BA3986" s="82" t="s">
        <v>20971</v>
      </c>
      <c r="BB3986" s="82" t="s">
        <v>20971</v>
      </c>
      <c r="BC3986" s="82" t="s">
        <v>20750</v>
      </c>
      <c r="BD3986" s="82" t="s">
        <v>21761</v>
      </c>
      <c r="BE3986" s="77"/>
      <c r="BF3986" s="77"/>
      <c r="BG3986" s="77"/>
      <c r="BH3986" s="77"/>
      <c r="BI3986" s="77"/>
    </row>
    <row r="3987" spans="1:61" x14ac:dyDescent="0.25">
      <c r="A3987" s="62" t="s">
        <v>1219</v>
      </c>
      <c r="B3987" s="62" t="s">
        <v>1219</v>
      </c>
      <c r="C3987" s="63"/>
      <c r="D3987" s="64"/>
      <c r="E3987" s="65"/>
      <c r="F3987" s="66"/>
      <c r="G3987" s="63"/>
      <c r="H3987" s="67"/>
      <c r="I3987" s="68"/>
      <c r="J3987" s="68"/>
      <c r="K3987" s="32"/>
      <c r="L3987" s="75">
        <v>3987</v>
      </c>
      <c r="M3987" s="75"/>
      <c r="N3987" s="70"/>
      <c r="O3987" s="77" t="s">
        <v>179</v>
      </c>
      <c r="P3987" s="79">
        <v>44988.693032407406</v>
      </c>
      <c r="Q3987" s="77" t="s">
        <v>5190</v>
      </c>
      <c r="R3987" s="77">
        <v>0</v>
      </c>
      <c r="S3987" s="77">
        <v>0</v>
      </c>
      <c r="T3987" s="77">
        <v>0</v>
      </c>
      <c r="U3987" s="77">
        <v>0</v>
      </c>
      <c r="V3987" s="77">
        <v>9</v>
      </c>
      <c r="W3987" s="82" t="s">
        <v>5236</v>
      </c>
      <c r="X3987" s="80" t="str">
        <f>HYPERLINK("https://go.hotmart.com/B77468619P")</f>
        <v>https://go.hotmart.com/B77468619P</v>
      </c>
      <c r="Y3987" s="77" t="s">
        <v>7251</v>
      </c>
      <c r="Z3987" s="77"/>
      <c r="AA3987" s="77" t="s">
        <v>10100</v>
      </c>
      <c r="AB3987" s="77" t="s">
        <v>10130</v>
      </c>
      <c r="AC3987" s="82" t="s">
        <v>10181</v>
      </c>
      <c r="AD3987" s="77" t="s">
        <v>10184</v>
      </c>
      <c r="AE3987" s="80" t="str">
        <f>HYPERLINK("https://twitter.com/chatgpt_brasil/status/1631695421872406551")</f>
        <v>https://twitter.com/chatgpt_brasil/status/1631695421872406551</v>
      </c>
      <c r="AF3987" s="79">
        <v>44988.693032407406</v>
      </c>
      <c r="AG3987" s="85">
        <v>44988</v>
      </c>
      <c r="AH3987" s="82" t="s">
        <v>13958</v>
      </c>
      <c r="AI3987" s="77" t="b">
        <v>0</v>
      </c>
      <c r="AJ3987" s="77"/>
      <c r="AK3987" s="77"/>
      <c r="AL3987" s="77"/>
      <c r="AM3987" s="77"/>
      <c r="AN3987" s="77"/>
      <c r="AO3987" s="77"/>
      <c r="AP3987" s="77"/>
      <c r="AQ3987" s="77" t="s">
        <v>16743</v>
      </c>
      <c r="AR3987" s="77"/>
      <c r="AS3987" s="77"/>
      <c r="AT3987" s="77"/>
      <c r="AU3987" s="77"/>
      <c r="AV3987" s="80" t="str">
        <f>HYPERLINK("https://pbs.twimg.com/media/FqTyTfPWABMfrAc.jpg")</f>
        <v>https://pbs.twimg.com/media/FqTyTfPWABMfrAc.jpg</v>
      </c>
      <c r="AW3987" s="82" t="s">
        <v>20751</v>
      </c>
      <c r="AX3987" s="82" t="s">
        <v>20751</v>
      </c>
      <c r="AY3987" s="77"/>
      <c r="AZ3987" s="82" t="s">
        <v>20971</v>
      </c>
      <c r="BA3987" s="82" t="s">
        <v>20971</v>
      </c>
      <c r="BB3987" s="82" t="s">
        <v>20971</v>
      </c>
      <c r="BC3987" s="82" t="s">
        <v>20751</v>
      </c>
      <c r="BD3987" s="82" t="s">
        <v>21761</v>
      </c>
      <c r="BE3987" s="77"/>
      <c r="BF3987" s="77"/>
      <c r="BG3987" s="77"/>
      <c r="BH3987" s="77"/>
      <c r="BI3987" s="77"/>
    </row>
    <row r="3988" spans="1:61" x14ac:dyDescent="0.25">
      <c r="A3988" s="62" t="s">
        <v>1219</v>
      </c>
      <c r="B3988" s="62" t="s">
        <v>1219</v>
      </c>
      <c r="C3988" s="63"/>
      <c r="D3988" s="64"/>
      <c r="E3988" s="65"/>
      <c r="F3988" s="66"/>
      <c r="G3988" s="63"/>
      <c r="H3988" s="67"/>
      <c r="I3988" s="68"/>
      <c r="J3988" s="68"/>
      <c r="K3988" s="32"/>
      <c r="L3988" s="75">
        <v>3988</v>
      </c>
      <c r="M3988" s="75"/>
      <c r="N3988" s="70"/>
      <c r="O3988" s="77" t="s">
        <v>179</v>
      </c>
      <c r="P3988" s="79">
        <v>44987.269583333335</v>
      </c>
      <c r="Q3988" s="77" t="s">
        <v>5191</v>
      </c>
      <c r="R3988" s="77">
        <v>0</v>
      </c>
      <c r="S3988" s="77">
        <v>0</v>
      </c>
      <c r="T3988" s="77">
        <v>0</v>
      </c>
      <c r="U3988" s="77">
        <v>0</v>
      </c>
      <c r="V3988" s="77">
        <v>4</v>
      </c>
      <c r="W3988" s="82" t="s">
        <v>5236</v>
      </c>
      <c r="X3988" s="80" t="str">
        <f>HYPERLINK("https://go.hotmart.com/B77468619P")</f>
        <v>https://go.hotmart.com/B77468619P</v>
      </c>
      <c r="Y3988" s="77" t="s">
        <v>7251</v>
      </c>
      <c r="Z3988" s="77"/>
      <c r="AA3988" s="77" t="s">
        <v>10101</v>
      </c>
      <c r="AB3988" s="77" t="s">
        <v>10130</v>
      </c>
      <c r="AC3988" s="82" t="s">
        <v>10181</v>
      </c>
      <c r="AD3988" s="77" t="s">
        <v>10184</v>
      </c>
      <c r="AE3988" s="80" t="str">
        <f>HYPERLINK("https://twitter.com/chatgpt_brasil/status/1631179579913121793")</f>
        <v>https://twitter.com/chatgpt_brasil/status/1631179579913121793</v>
      </c>
      <c r="AF3988" s="79">
        <v>44987.269583333335</v>
      </c>
      <c r="AG3988" s="85">
        <v>44987</v>
      </c>
      <c r="AH3988" s="82" t="s">
        <v>13959</v>
      </c>
      <c r="AI3988" s="77" t="b">
        <v>0</v>
      </c>
      <c r="AJ3988" s="77"/>
      <c r="AK3988" s="77"/>
      <c r="AL3988" s="77"/>
      <c r="AM3988" s="77"/>
      <c r="AN3988" s="77"/>
      <c r="AO3988" s="77"/>
      <c r="AP3988" s="77"/>
      <c r="AQ3988" s="77" t="s">
        <v>16744</v>
      </c>
      <c r="AR3988" s="77"/>
      <c r="AS3988" s="77"/>
      <c r="AT3988" s="77"/>
      <c r="AU3988" s="77"/>
      <c r="AV3988" s="80" t="str">
        <f>HYPERLINK("https://pbs.twimg.com/media/FqMdJp1WwAEu5Ud.jpg")</f>
        <v>https://pbs.twimg.com/media/FqMdJp1WwAEu5Ud.jpg</v>
      </c>
      <c r="AW3988" s="82" t="s">
        <v>20752</v>
      </c>
      <c r="AX3988" s="82" t="s">
        <v>20752</v>
      </c>
      <c r="AY3988" s="77"/>
      <c r="AZ3988" s="82" t="s">
        <v>20971</v>
      </c>
      <c r="BA3988" s="82" t="s">
        <v>20971</v>
      </c>
      <c r="BB3988" s="82" t="s">
        <v>20971</v>
      </c>
      <c r="BC3988" s="82" t="s">
        <v>20752</v>
      </c>
      <c r="BD3988" s="82" t="s">
        <v>21761</v>
      </c>
      <c r="BE3988" s="77"/>
      <c r="BF3988" s="77"/>
      <c r="BG3988" s="77"/>
      <c r="BH3988" s="77"/>
      <c r="BI3988" s="77"/>
    </row>
    <row r="3989" spans="1:61" x14ac:dyDescent="0.25">
      <c r="A3989" s="62" t="s">
        <v>1219</v>
      </c>
      <c r="B3989" s="62" t="s">
        <v>1219</v>
      </c>
      <c r="C3989" s="63"/>
      <c r="D3989" s="64"/>
      <c r="E3989" s="65"/>
      <c r="F3989" s="66"/>
      <c r="G3989" s="63"/>
      <c r="H3989" s="67"/>
      <c r="I3989" s="68"/>
      <c r="J3989" s="68"/>
      <c r="K3989" s="32"/>
      <c r="L3989" s="75">
        <v>3989</v>
      </c>
      <c r="M3989" s="75"/>
      <c r="N3989" s="70"/>
      <c r="O3989" s="77" t="s">
        <v>179</v>
      </c>
      <c r="P3989" s="79">
        <v>45033.131261574075</v>
      </c>
      <c r="Q3989" s="77" t="s">
        <v>5192</v>
      </c>
      <c r="R3989" s="77">
        <v>0</v>
      </c>
      <c r="S3989" s="77">
        <v>0</v>
      </c>
      <c r="T3989" s="77">
        <v>0</v>
      </c>
      <c r="U3989" s="77">
        <v>0</v>
      </c>
      <c r="V3989" s="77">
        <v>8</v>
      </c>
      <c r="W3989" s="82" t="s">
        <v>5236</v>
      </c>
      <c r="X3989" s="80" t="str">
        <f>HYPERLINK("https://go.hotmart.com/B77468619P")</f>
        <v>https://go.hotmart.com/B77468619P</v>
      </c>
      <c r="Y3989" s="77" t="s">
        <v>7251</v>
      </c>
      <c r="Z3989" s="77"/>
      <c r="AA3989" s="77" t="s">
        <v>10102</v>
      </c>
      <c r="AB3989" s="77" t="s">
        <v>10130</v>
      </c>
      <c r="AC3989" s="82" t="s">
        <v>10181</v>
      </c>
      <c r="AD3989" s="77" t="s">
        <v>10184</v>
      </c>
      <c r="AE3989" s="80" t="str">
        <f>HYPERLINK("https://twitter.com/chatgpt_brasil/status/1647799294177554433")</f>
        <v>https://twitter.com/chatgpt_brasil/status/1647799294177554433</v>
      </c>
      <c r="AF3989" s="79">
        <v>45033.131261574075</v>
      </c>
      <c r="AG3989" s="85">
        <v>45033</v>
      </c>
      <c r="AH3989" s="82" t="s">
        <v>13960</v>
      </c>
      <c r="AI3989" s="77" t="b">
        <v>0</v>
      </c>
      <c r="AJ3989" s="77"/>
      <c r="AK3989" s="77"/>
      <c r="AL3989" s="77"/>
      <c r="AM3989" s="77"/>
      <c r="AN3989" s="77"/>
      <c r="AO3989" s="77"/>
      <c r="AP3989" s="77"/>
      <c r="AQ3989" s="77" t="s">
        <v>16745</v>
      </c>
      <c r="AR3989" s="77"/>
      <c r="AS3989" s="77"/>
      <c r="AT3989" s="77"/>
      <c r="AU3989" s="77"/>
      <c r="AV3989" s="80" t="str">
        <f>HYPERLINK("https://pbs.twimg.com/media/Ft4osLPWcAULqsG.jpg")</f>
        <v>https://pbs.twimg.com/media/Ft4osLPWcAULqsG.jpg</v>
      </c>
      <c r="AW3989" s="82" t="s">
        <v>20753</v>
      </c>
      <c r="AX3989" s="82" t="s">
        <v>20753</v>
      </c>
      <c r="AY3989" s="77"/>
      <c r="AZ3989" s="82" t="s">
        <v>20971</v>
      </c>
      <c r="BA3989" s="82" t="s">
        <v>20971</v>
      </c>
      <c r="BB3989" s="82" t="s">
        <v>20971</v>
      </c>
      <c r="BC3989" s="82" t="s">
        <v>20753</v>
      </c>
      <c r="BD3989" s="82" t="s">
        <v>21761</v>
      </c>
      <c r="BE3989" s="77"/>
      <c r="BF3989" s="77"/>
      <c r="BG3989" s="77"/>
      <c r="BH3989" s="77"/>
      <c r="BI3989" s="77"/>
    </row>
    <row r="3990" spans="1:61" x14ac:dyDescent="0.25">
      <c r="A3990" s="62" t="s">
        <v>1219</v>
      </c>
      <c r="B3990" s="62" t="s">
        <v>1219</v>
      </c>
      <c r="C3990" s="63"/>
      <c r="D3990" s="64"/>
      <c r="E3990" s="65"/>
      <c r="F3990" s="66"/>
      <c r="G3990" s="63"/>
      <c r="H3990" s="67"/>
      <c r="I3990" s="68"/>
      <c r="J3990" s="68"/>
      <c r="K3990" s="32"/>
      <c r="L3990" s="75">
        <v>3990</v>
      </c>
      <c r="M3990" s="75"/>
      <c r="N3990" s="70"/>
      <c r="O3990" s="77" t="s">
        <v>179</v>
      </c>
      <c r="P3990" s="79">
        <v>45049.699004629627</v>
      </c>
      <c r="Q3990" s="77" t="s">
        <v>5193</v>
      </c>
      <c r="R3990" s="77">
        <v>0</v>
      </c>
      <c r="S3990" s="77">
        <v>1</v>
      </c>
      <c r="T3990" s="77">
        <v>0</v>
      </c>
      <c r="U3990" s="77">
        <v>0</v>
      </c>
      <c r="V3990" s="77">
        <v>15</v>
      </c>
      <c r="W3990" s="82" t="s">
        <v>5236</v>
      </c>
      <c r="X3990" s="80" t="str">
        <f>HYPERLINK("https://go.hotmart.com/B77468619P")</f>
        <v>https://go.hotmart.com/B77468619P</v>
      </c>
      <c r="Y3990" s="77" t="s">
        <v>7251</v>
      </c>
      <c r="Z3990" s="77"/>
      <c r="AA3990" s="77" t="s">
        <v>10103</v>
      </c>
      <c r="AB3990" s="77" t="s">
        <v>10130</v>
      </c>
      <c r="AC3990" s="82" t="s">
        <v>10181</v>
      </c>
      <c r="AD3990" s="77" t="s">
        <v>10184</v>
      </c>
      <c r="AE3990" s="80" t="str">
        <f>HYPERLINK("https://twitter.com/chatgpt_brasil/status/1653803246580903943")</f>
        <v>https://twitter.com/chatgpt_brasil/status/1653803246580903943</v>
      </c>
      <c r="AF3990" s="79">
        <v>45049.699004629627</v>
      </c>
      <c r="AG3990" s="85">
        <v>45049</v>
      </c>
      <c r="AH3990" s="82" t="s">
        <v>13961</v>
      </c>
      <c r="AI3990" s="77" t="b">
        <v>0</v>
      </c>
      <c r="AJ3990" s="77"/>
      <c r="AK3990" s="77"/>
      <c r="AL3990" s="77"/>
      <c r="AM3990" s="77"/>
      <c r="AN3990" s="77"/>
      <c r="AO3990" s="77"/>
      <c r="AP3990" s="77"/>
      <c r="AQ3990" s="77" t="s">
        <v>16746</v>
      </c>
      <c r="AR3990" s="77"/>
      <c r="AS3990" s="77"/>
      <c r="AT3990" s="77"/>
      <c r="AU3990" s="77"/>
      <c r="AV3990" s="80" t="str">
        <f>HYPERLINK("https://pbs.twimg.com/media/FvN9QwZXsAAYisJ.jpg")</f>
        <v>https://pbs.twimg.com/media/FvN9QwZXsAAYisJ.jpg</v>
      </c>
      <c r="AW3990" s="82" t="s">
        <v>20754</v>
      </c>
      <c r="AX3990" s="82" t="s">
        <v>20754</v>
      </c>
      <c r="AY3990" s="77"/>
      <c r="AZ3990" s="82" t="s">
        <v>20971</v>
      </c>
      <c r="BA3990" s="82" t="s">
        <v>20971</v>
      </c>
      <c r="BB3990" s="82" t="s">
        <v>20971</v>
      </c>
      <c r="BC3990" s="82" t="s">
        <v>20754</v>
      </c>
      <c r="BD3990" s="82" t="s">
        <v>21761</v>
      </c>
      <c r="BE3990" s="77"/>
      <c r="BF3990" s="77"/>
      <c r="BG3990" s="77"/>
      <c r="BH3990" s="77"/>
      <c r="BI3990" s="77"/>
    </row>
    <row r="3991" spans="1:61" x14ac:dyDescent="0.25">
      <c r="A3991" s="62" t="s">
        <v>1219</v>
      </c>
      <c r="B3991" s="62" t="s">
        <v>1219</v>
      </c>
      <c r="C3991" s="63"/>
      <c r="D3991" s="64"/>
      <c r="E3991" s="65"/>
      <c r="F3991" s="66"/>
      <c r="G3991" s="63"/>
      <c r="H3991" s="67"/>
      <c r="I3991" s="68"/>
      <c r="J3991" s="68"/>
      <c r="K3991" s="32"/>
      <c r="L3991" s="75">
        <v>3991</v>
      </c>
      <c r="M3991" s="75"/>
      <c r="N3991" s="70"/>
      <c r="O3991" s="77" t="s">
        <v>179</v>
      </c>
      <c r="P3991" s="79">
        <v>45019.975162037037</v>
      </c>
      <c r="Q3991" s="77" t="s">
        <v>5194</v>
      </c>
      <c r="R3991" s="77">
        <v>0</v>
      </c>
      <c r="S3991" s="77">
        <v>0</v>
      </c>
      <c r="T3991" s="77">
        <v>0</v>
      </c>
      <c r="U3991" s="77">
        <v>0</v>
      </c>
      <c r="V3991" s="77">
        <v>4</v>
      </c>
      <c r="W3991" s="82" t="s">
        <v>5236</v>
      </c>
      <c r="X3991" s="80" t="str">
        <f>HYPERLINK("https://go.hotmart.com/B77468619P")</f>
        <v>https://go.hotmart.com/B77468619P</v>
      </c>
      <c r="Y3991" s="77" t="s">
        <v>7251</v>
      </c>
      <c r="Z3991" s="77"/>
      <c r="AA3991" s="77" t="s">
        <v>10104</v>
      </c>
      <c r="AB3991" s="77" t="s">
        <v>10130</v>
      </c>
      <c r="AC3991" s="82" t="s">
        <v>10181</v>
      </c>
      <c r="AD3991" s="77" t="s">
        <v>10184</v>
      </c>
      <c r="AE3991" s="80" t="str">
        <f>HYPERLINK("https://twitter.com/chatgpt_brasil/status/1643031687297736704")</f>
        <v>https://twitter.com/chatgpt_brasil/status/1643031687297736704</v>
      </c>
      <c r="AF3991" s="79">
        <v>45019.975162037037</v>
      </c>
      <c r="AG3991" s="85">
        <v>45019</v>
      </c>
      <c r="AH3991" s="82" t="s">
        <v>13962</v>
      </c>
      <c r="AI3991" s="77" t="b">
        <v>0</v>
      </c>
      <c r="AJ3991" s="77"/>
      <c r="AK3991" s="77"/>
      <c r="AL3991" s="77"/>
      <c r="AM3991" s="77"/>
      <c r="AN3991" s="77"/>
      <c r="AO3991" s="77"/>
      <c r="AP3991" s="77"/>
      <c r="AQ3991" s="77" t="s">
        <v>16747</v>
      </c>
      <c r="AR3991" s="77"/>
      <c r="AS3991" s="77"/>
      <c r="AT3991" s="77"/>
      <c r="AU3991" s="77"/>
      <c r="AV3991" s="80" t="str">
        <f>HYPERLINK("https://pbs.twimg.com/media/Fs04lK0WYAImG8N.jpg")</f>
        <v>https://pbs.twimg.com/media/Fs04lK0WYAImG8N.jpg</v>
      </c>
      <c r="AW3991" s="82" t="s">
        <v>20755</v>
      </c>
      <c r="AX3991" s="82" t="s">
        <v>20755</v>
      </c>
      <c r="AY3991" s="77"/>
      <c r="AZ3991" s="82" t="s">
        <v>20971</v>
      </c>
      <c r="BA3991" s="82" t="s">
        <v>20971</v>
      </c>
      <c r="BB3991" s="82" t="s">
        <v>20971</v>
      </c>
      <c r="BC3991" s="82" t="s">
        <v>20755</v>
      </c>
      <c r="BD3991" s="82" t="s">
        <v>21761</v>
      </c>
      <c r="BE3991" s="77"/>
      <c r="BF3991" s="77"/>
      <c r="BG3991" s="77"/>
      <c r="BH3991" s="77"/>
      <c r="BI3991" s="77"/>
    </row>
    <row r="3992" spans="1:61" x14ac:dyDescent="0.25">
      <c r="A3992" s="62" t="s">
        <v>1219</v>
      </c>
      <c r="B3992" s="62" t="s">
        <v>1219</v>
      </c>
      <c r="C3992" s="63"/>
      <c r="D3992" s="64"/>
      <c r="E3992" s="65"/>
      <c r="F3992" s="66"/>
      <c r="G3992" s="63"/>
      <c r="H3992" s="67"/>
      <c r="I3992" s="68"/>
      <c r="J3992" s="68"/>
      <c r="K3992" s="32"/>
      <c r="L3992" s="75">
        <v>3992</v>
      </c>
      <c r="M3992" s="75"/>
      <c r="N3992" s="70"/>
      <c r="O3992" s="77" t="s">
        <v>179</v>
      </c>
      <c r="P3992" s="79">
        <v>44963.596388888887</v>
      </c>
      <c r="Q3992" s="77" t="s">
        <v>5195</v>
      </c>
      <c r="R3992" s="77">
        <v>0</v>
      </c>
      <c r="S3992" s="77">
        <v>0</v>
      </c>
      <c r="T3992" s="77">
        <v>0</v>
      </c>
      <c r="U3992" s="77">
        <v>0</v>
      </c>
      <c r="V3992" s="77">
        <v>6</v>
      </c>
      <c r="W3992" s="82" t="s">
        <v>5236</v>
      </c>
      <c r="X3992" s="80" t="str">
        <f>HYPERLINK("https://go.hotmart.com/B77468619P")</f>
        <v>https://go.hotmart.com/B77468619P</v>
      </c>
      <c r="Y3992" s="77" t="s">
        <v>7251</v>
      </c>
      <c r="Z3992" s="77"/>
      <c r="AA3992" s="77" t="s">
        <v>10105</v>
      </c>
      <c r="AB3992" s="77" t="s">
        <v>10130</v>
      </c>
      <c r="AC3992" s="82" t="s">
        <v>10181</v>
      </c>
      <c r="AD3992" s="77" t="s">
        <v>10184</v>
      </c>
      <c r="AE3992" s="80" t="str">
        <f>HYPERLINK("https://twitter.com/chatgpt_brasil/status/1622600700231315456")</f>
        <v>https://twitter.com/chatgpt_brasil/status/1622600700231315456</v>
      </c>
      <c r="AF3992" s="79">
        <v>44963.596388888887</v>
      </c>
      <c r="AG3992" s="85">
        <v>44963</v>
      </c>
      <c r="AH3992" s="82" t="s">
        <v>13963</v>
      </c>
      <c r="AI3992" s="77" t="b">
        <v>0</v>
      </c>
      <c r="AJ3992" s="77"/>
      <c r="AK3992" s="77"/>
      <c r="AL3992" s="77"/>
      <c r="AM3992" s="77"/>
      <c r="AN3992" s="77"/>
      <c r="AO3992" s="77"/>
      <c r="AP3992" s="77"/>
      <c r="AQ3992" s="77" t="s">
        <v>16748</v>
      </c>
      <c r="AR3992" s="77"/>
      <c r="AS3992" s="77"/>
      <c r="AT3992" s="77"/>
      <c r="AU3992" s="77"/>
      <c r="AV3992" s="80" t="str">
        <f>HYPERLINK("https://pbs.twimg.com/media/FoSimrfWYAEIKEB.jpg")</f>
        <v>https://pbs.twimg.com/media/FoSimrfWYAEIKEB.jpg</v>
      </c>
      <c r="AW3992" s="82" t="s">
        <v>20756</v>
      </c>
      <c r="AX3992" s="82" t="s">
        <v>20756</v>
      </c>
      <c r="AY3992" s="77"/>
      <c r="AZ3992" s="82" t="s">
        <v>20971</v>
      </c>
      <c r="BA3992" s="82" t="s">
        <v>20971</v>
      </c>
      <c r="BB3992" s="82" t="s">
        <v>20971</v>
      </c>
      <c r="BC3992" s="82" t="s">
        <v>20756</v>
      </c>
      <c r="BD3992" s="82" t="s">
        <v>21761</v>
      </c>
      <c r="BE3992" s="77"/>
      <c r="BF3992" s="77"/>
      <c r="BG3992" s="77"/>
      <c r="BH3992" s="77"/>
      <c r="BI3992" s="77"/>
    </row>
    <row r="3993" spans="1:61" x14ac:dyDescent="0.25">
      <c r="A3993" s="62" t="s">
        <v>1219</v>
      </c>
      <c r="B3993" s="62" t="s">
        <v>1219</v>
      </c>
      <c r="C3993" s="63"/>
      <c r="D3993" s="64"/>
      <c r="E3993" s="65"/>
      <c r="F3993" s="66"/>
      <c r="G3993" s="63"/>
      <c r="H3993" s="67"/>
      <c r="I3993" s="68"/>
      <c r="J3993" s="68"/>
      <c r="K3993" s="32"/>
      <c r="L3993" s="75">
        <v>3993</v>
      </c>
      <c r="M3993" s="75"/>
      <c r="N3993" s="70"/>
      <c r="O3993" s="77" t="s">
        <v>179</v>
      </c>
      <c r="P3993" s="79">
        <v>44963.094525462962</v>
      </c>
      <c r="Q3993" s="77" t="s">
        <v>5196</v>
      </c>
      <c r="R3993" s="77">
        <v>0</v>
      </c>
      <c r="S3993" s="77">
        <v>0</v>
      </c>
      <c r="T3993" s="77">
        <v>0</v>
      </c>
      <c r="U3993" s="77">
        <v>0</v>
      </c>
      <c r="V3993" s="77">
        <v>8</v>
      </c>
      <c r="W3993" s="82" t="s">
        <v>5236</v>
      </c>
      <c r="X3993" s="80" t="str">
        <f>HYPERLINK("https://go.hotmart.com/B77468619P")</f>
        <v>https://go.hotmart.com/B77468619P</v>
      </c>
      <c r="Y3993" s="77" t="s">
        <v>7251</v>
      </c>
      <c r="Z3993" s="77"/>
      <c r="AA3993" s="77" t="s">
        <v>10106</v>
      </c>
      <c r="AB3993" s="77" t="s">
        <v>10130</v>
      </c>
      <c r="AC3993" s="82" t="s">
        <v>10181</v>
      </c>
      <c r="AD3993" s="77" t="s">
        <v>10184</v>
      </c>
      <c r="AE3993" s="80" t="str">
        <f>HYPERLINK("https://twitter.com/chatgpt_brasil/status/1622418834664706048")</f>
        <v>https://twitter.com/chatgpt_brasil/status/1622418834664706048</v>
      </c>
      <c r="AF3993" s="79">
        <v>44963.094525462962</v>
      </c>
      <c r="AG3993" s="85">
        <v>44963</v>
      </c>
      <c r="AH3993" s="82" t="s">
        <v>13964</v>
      </c>
      <c r="AI3993" s="77" t="b">
        <v>0</v>
      </c>
      <c r="AJ3993" s="77"/>
      <c r="AK3993" s="77"/>
      <c r="AL3993" s="77"/>
      <c r="AM3993" s="77"/>
      <c r="AN3993" s="77"/>
      <c r="AO3993" s="77"/>
      <c r="AP3993" s="77"/>
      <c r="AQ3993" s="77" t="s">
        <v>16749</v>
      </c>
      <c r="AR3993" s="77"/>
      <c r="AS3993" s="77"/>
      <c r="AT3993" s="77"/>
      <c r="AU3993" s="77"/>
      <c r="AV3993" s="80" t="str">
        <f>HYPERLINK("https://pbs.twimg.com/media/FoP9UQ2XwAEpmzY.jpg")</f>
        <v>https://pbs.twimg.com/media/FoP9UQ2XwAEpmzY.jpg</v>
      </c>
      <c r="AW3993" s="82" t="s">
        <v>20757</v>
      </c>
      <c r="AX3993" s="82" t="s">
        <v>20757</v>
      </c>
      <c r="AY3993" s="77"/>
      <c r="AZ3993" s="82" t="s">
        <v>20971</v>
      </c>
      <c r="BA3993" s="82" t="s">
        <v>20971</v>
      </c>
      <c r="BB3993" s="82" t="s">
        <v>20971</v>
      </c>
      <c r="BC3993" s="82" t="s">
        <v>20757</v>
      </c>
      <c r="BD3993" s="82" t="s">
        <v>21761</v>
      </c>
      <c r="BE3993" s="77"/>
      <c r="BF3993" s="77"/>
      <c r="BG3993" s="77"/>
      <c r="BH3993" s="77"/>
      <c r="BI3993" s="77"/>
    </row>
    <row r="3994" spans="1:61" x14ac:dyDescent="0.25">
      <c r="A3994" s="62" t="s">
        <v>1219</v>
      </c>
      <c r="B3994" s="62" t="s">
        <v>1219</v>
      </c>
      <c r="C3994" s="63"/>
      <c r="D3994" s="64"/>
      <c r="E3994" s="65"/>
      <c r="F3994" s="66"/>
      <c r="G3994" s="63"/>
      <c r="H3994" s="67"/>
      <c r="I3994" s="68"/>
      <c r="J3994" s="68"/>
      <c r="K3994" s="32"/>
      <c r="L3994" s="75">
        <v>3994</v>
      </c>
      <c r="M3994" s="75"/>
      <c r="N3994" s="70"/>
      <c r="O3994" s="77" t="s">
        <v>179</v>
      </c>
      <c r="P3994" s="79">
        <v>44962.338634259257</v>
      </c>
      <c r="Q3994" s="77" t="s">
        <v>5197</v>
      </c>
      <c r="R3994" s="77">
        <v>0</v>
      </c>
      <c r="S3994" s="77">
        <v>0</v>
      </c>
      <c r="T3994" s="77">
        <v>0</v>
      </c>
      <c r="U3994" s="77">
        <v>0</v>
      </c>
      <c r="V3994" s="77">
        <v>2</v>
      </c>
      <c r="W3994" s="82" t="s">
        <v>5236</v>
      </c>
      <c r="X3994" s="80" t="str">
        <f>HYPERLINK("https://go.hotmart.com/B77468619P")</f>
        <v>https://go.hotmart.com/B77468619P</v>
      </c>
      <c r="Y3994" s="77" t="s">
        <v>7251</v>
      </c>
      <c r="Z3994" s="77"/>
      <c r="AA3994" s="77" t="s">
        <v>10107</v>
      </c>
      <c r="AB3994" s="77" t="s">
        <v>10130</v>
      </c>
      <c r="AC3994" s="82" t="s">
        <v>10181</v>
      </c>
      <c r="AD3994" s="77" t="s">
        <v>10184</v>
      </c>
      <c r="AE3994" s="80" t="str">
        <f>HYPERLINK("https://twitter.com/chatgpt_brasil/status/1622144905056292865")</f>
        <v>https://twitter.com/chatgpt_brasil/status/1622144905056292865</v>
      </c>
      <c r="AF3994" s="79">
        <v>44962.338634259257</v>
      </c>
      <c r="AG3994" s="85">
        <v>44962</v>
      </c>
      <c r="AH3994" s="82" t="s">
        <v>13965</v>
      </c>
      <c r="AI3994" s="77" t="b">
        <v>0</v>
      </c>
      <c r="AJ3994" s="77"/>
      <c r="AK3994" s="77"/>
      <c r="AL3994" s="77"/>
      <c r="AM3994" s="77"/>
      <c r="AN3994" s="77"/>
      <c r="AO3994" s="77"/>
      <c r="AP3994" s="77"/>
      <c r="AQ3994" s="77" t="s">
        <v>16750</v>
      </c>
      <c r="AR3994" s="77"/>
      <c r="AS3994" s="77"/>
      <c r="AT3994" s="77"/>
      <c r="AU3994" s="77"/>
      <c r="AV3994" s="80" t="str">
        <f>HYPERLINK("https://pbs.twimg.com/media/FoMEH72WQAI0fEJ.jpg")</f>
        <v>https://pbs.twimg.com/media/FoMEH72WQAI0fEJ.jpg</v>
      </c>
      <c r="AW3994" s="82" t="s">
        <v>20758</v>
      </c>
      <c r="AX3994" s="82" t="s">
        <v>20758</v>
      </c>
      <c r="AY3994" s="77"/>
      <c r="AZ3994" s="82" t="s">
        <v>20971</v>
      </c>
      <c r="BA3994" s="82" t="s">
        <v>20971</v>
      </c>
      <c r="BB3994" s="82" t="s">
        <v>20971</v>
      </c>
      <c r="BC3994" s="82" t="s">
        <v>20758</v>
      </c>
      <c r="BD3994" s="82" t="s">
        <v>21761</v>
      </c>
      <c r="BE3994" s="77"/>
      <c r="BF3994" s="77"/>
      <c r="BG3994" s="77"/>
      <c r="BH3994" s="77"/>
      <c r="BI3994" s="77"/>
    </row>
    <row r="3995" spans="1:61" x14ac:dyDescent="0.25">
      <c r="A3995" s="62" t="s">
        <v>1219</v>
      </c>
      <c r="B3995" s="62" t="s">
        <v>1219</v>
      </c>
      <c r="C3995" s="63"/>
      <c r="D3995" s="64"/>
      <c r="E3995" s="65"/>
      <c r="F3995" s="66"/>
      <c r="G3995" s="63"/>
      <c r="H3995" s="67"/>
      <c r="I3995" s="68"/>
      <c r="J3995" s="68"/>
      <c r="K3995" s="32"/>
      <c r="L3995" s="75">
        <v>3995</v>
      </c>
      <c r="M3995" s="75"/>
      <c r="N3995" s="70"/>
      <c r="O3995" s="77" t="s">
        <v>179</v>
      </c>
      <c r="P3995" s="79">
        <v>45049.448587962965</v>
      </c>
      <c r="Q3995" s="77" t="s">
        <v>5198</v>
      </c>
      <c r="R3995" s="77">
        <v>0</v>
      </c>
      <c r="S3995" s="77">
        <v>0</v>
      </c>
      <c r="T3995" s="77">
        <v>0</v>
      </c>
      <c r="U3995" s="77">
        <v>0</v>
      </c>
      <c r="V3995" s="77">
        <v>22</v>
      </c>
      <c r="W3995" s="82" t="s">
        <v>5236</v>
      </c>
      <c r="X3995" s="80" t="str">
        <f>HYPERLINK("https://go.hotmart.com/B77468619P")</f>
        <v>https://go.hotmart.com/B77468619P</v>
      </c>
      <c r="Y3995" s="77" t="s">
        <v>7251</v>
      </c>
      <c r="Z3995" s="77"/>
      <c r="AA3995" s="77" t="s">
        <v>10108</v>
      </c>
      <c r="AB3995" s="77" t="s">
        <v>10130</v>
      </c>
      <c r="AC3995" s="82" t="s">
        <v>10181</v>
      </c>
      <c r="AD3995" s="77" t="s">
        <v>10184</v>
      </c>
      <c r="AE3995" s="80" t="str">
        <f>HYPERLINK("https://twitter.com/chatgpt_brasil/status/1653712497201774592")</f>
        <v>https://twitter.com/chatgpt_brasil/status/1653712497201774592</v>
      </c>
      <c r="AF3995" s="79">
        <v>45049.448587962965</v>
      </c>
      <c r="AG3995" s="85">
        <v>45049</v>
      </c>
      <c r="AH3995" s="82" t="s">
        <v>13966</v>
      </c>
      <c r="AI3995" s="77" t="b">
        <v>0</v>
      </c>
      <c r="AJ3995" s="77"/>
      <c r="AK3995" s="77"/>
      <c r="AL3995" s="77"/>
      <c r="AM3995" s="77"/>
      <c r="AN3995" s="77"/>
      <c r="AO3995" s="77"/>
      <c r="AP3995" s="77"/>
      <c r="AQ3995" s="77" t="s">
        <v>16751</v>
      </c>
      <c r="AR3995" s="77"/>
      <c r="AS3995" s="77"/>
      <c r="AT3995" s="77"/>
      <c r="AU3995" s="77"/>
      <c r="AV3995" s="80" t="str">
        <f>HYPERLINK("https://pbs.twimg.com/media/FvMqsmXX0AAN1gN.jpg")</f>
        <v>https://pbs.twimg.com/media/FvMqsmXX0AAN1gN.jpg</v>
      </c>
      <c r="AW3995" s="82" t="s">
        <v>20759</v>
      </c>
      <c r="AX3995" s="82" t="s">
        <v>20759</v>
      </c>
      <c r="AY3995" s="77"/>
      <c r="AZ3995" s="82" t="s">
        <v>20971</v>
      </c>
      <c r="BA3995" s="82" t="s">
        <v>20971</v>
      </c>
      <c r="BB3995" s="82" t="s">
        <v>20971</v>
      </c>
      <c r="BC3995" s="82" t="s">
        <v>20759</v>
      </c>
      <c r="BD3995" s="82" t="s">
        <v>21761</v>
      </c>
      <c r="BE3995" s="77"/>
      <c r="BF3995" s="77"/>
      <c r="BG3995" s="77"/>
      <c r="BH3995" s="77"/>
      <c r="BI3995" s="77"/>
    </row>
    <row r="3996" spans="1:61" x14ac:dyDescent="0.25">
      <c r="A3996" s="62" t="s">
        <v>1219</v>
      </c>
      <c r="B3996" s="62" t="s">
        <v>1219</v>
      </c>
      <c r="C3996" s="63"/>
      <c r="D3996" s="64"/>
      <c r="E3996" s="65"/>
      <c r="F3996" s="66"/>
      <c r="G3996" s="63"/>
      <c r="H3996" s="67"/>
      <c r="I3996" s="68"/>
      <c r="J3996" s="68"/>
      <c r="K3996" s="32"/>
      <c r="L3996" s="75">
        <v>3996</v>
      </c>
      <c r="M3996" s="75"/>
      <c r="N3996" s="70"/>
      <c r="O3996" s="77" t="s">
        <v>179</v>
      </c>
      <c r="P3996" s="79">
        <v>44966.573182870372</v>
      </c>
      <c r="Q3996" s="77" t="s">
        <v>5199</v>
      </c>
      <c r="R3996" s="77">
        <v>0</v>
      </c>
      <c r="S3996" s="77">
        <v>0</v>
      </c>
      <c r="T3996" s="77">
        <v>0</v>
      </c>
      <c r="U3996" s="77">
        <v>0</v>
      </c>
      <c r="V3996" s="77">
        <v>7</v>
      </c>
      <c r="W3996" s="82" t="s">
        <v>5236</v>
      </c>
      <c r="X3996" s="80" t="str">
        <f>HYPERLINK("https://go.hotmart.com/B77468619P")</f>
        <v>https://go.hotmart.com/B77468619P</v>
      </c>
      <c r="Y3996" s="77" t="s">
        <v>7251</v>
      </c>
      <c r="Z3996" s="77"/>
      <c r="AA3996" s="77" t="s">
        <v>10109</v>
      </c>
      <c r="AB3996" s="77" t="s">
        <v>10130</v>
      </c>
      <c r="AC3996" s="82" t="s">
        <v>10181</v>
      </c>
      <c r="AD3996" s="77" t="s">
        <v>10184</v>
      </c>
      <c r="AE3996" s="80" t="str">
        <f>HYPERLINK("https://twitter.com/chatgpt_brasil/status/1623679455922200579")</f>
        <v>https://twitter.com/chatgpt_brasil/status/1623679455922200579</v>
      </c>
      <c r="AF3996" s="79">
        <v>44966.573182870372</v>
      </c>
      <c r="AG3996" s="85">
        <v>44966</v>
      </c>
      <c r="AH3996" s="82" t="s">
        <v>13967</v>
      </c>
      <c r="AI3996" s="77" t="b">
        <v>0</v>
      </c>
      <c r="AJ3996" s="77"/>
      <c r="AK3996" s="77"/>
      <c r="AL3996" s="77"/>
      <c r="AM3996" s="77"/>
      <c r="AN3996" s="77"/>
      <c r="AO3996" s="77"/>
      <c r="AP3996" s="77"/>
      <c r="AQ3996" s="77" t="s">
        <v>16752</v>
      </c>
      <c r="AR3996" s="77"/>
      <c r="AS3996" s="77"/>
      <c r="AT3996" s="77"/>
      <c r="AU3996" s="77"/>
      <c r="AV3996" s="80" t="str">
        <f>HYPERLINK("https://pbs.twimg.com/media/Foh32HtXgAoBkzI.jpg")</f>
        <v>https://pbs.twimg.com/media/Foh32HtXgAoBkzI.jpg</v>
      </c>
      <c r="AW3996" s="82" t="s">
        <v>20760</v>
      </c>
      <c r="AX3996" s="82" t="s">
        <v>20760</v>
      </c>
      <c r="AY3996" s="77"/>
      <c r="AZ3996" s="82" t="s">
        <v>20971</v>
      </c>
      <c r="BA3996" s="82" t="s">
        <v>20971</v>
      </c>
      <c r="BB3996" s="82" t="s">
        <v>20971</v>
      </c>
      <c r="BC3996" s="82" t="s">
        <v>20760</v>
      </c>
      <c r="BD3996" s="82" t="s">
        <v>21761</v>
      </c>
      <c r="BE3996" s="77"/>
      <c r="BF3996" s="77"/>
      <c r="BG3996" s="77"/>
      <c r="BH3996" s="77"/>
      <c r="BI3996" s="77"/>
    </row>
    <row r="3997" spans="1:61" x14ac:dyDescent="0.25">
      <c r="A3997" s="62" t="s">
        <v>1219</v>
      </c>
      <c r="B3997" s="62" t="s">
        <v>1219</v>
      </c>
      <c r="C3997" s="63"/>
      <c r="D3997" s="64"/>
      <c r="E3997" s="65"/>
      <c r="F3997" s="66"/>
      <c r="G3997" s="63"/>
      <c r="H3997" s="67"/>
      <c r="I3997" s="68"/>
      <c r="J3997" s="68"/>
      <c r="K3997" s="32"/>
      <c r="L3997" s="75">
        <v>3997</v>
      </c>
      <c r="M3997" s="75"/>
      <c r="N3997" s="70"/>
      <c r="O3997" s="77" t="s">
        <v>179</v>
      </c>
      <c r="P3997" s="79">
        <v>44965.898472222223</v>
      </c>
      <c r="Q3997" s="77" t="s">
        <v>5200</v>
      </c>
      <c r="R3997" s="77">
        <v>0</v>
      </c>
      <c r="S3997" s="77">
        <v>0</v>
      </c>
      <c r="T3997" s="77">
        <v>0</v>
      </c>
      <c r="U3997" s="77">
        <v>0</v>
      </c>
      <c r="V3997" s="77">
        <v>8</v>
      </c>
      <c r="W3997" s="82" t="s">
        <v>5236</v>
      </c>
      <c r="X3997" s="80" t="str">
        <f>HYPERLINK("https://go.hotmart.com/B77468619P")</f>
        <v>https://go.hotmart.com/B77468619P</v>
      </c>
      <c r="Y3997" s="77" t="s">
        <v>7251</v>
      </c>
      <c r="Z3997" s="77"/>
      <c r="AA3997" s="77" t="s">
        <v>10110</v>
      </c>
      <c r="AB3997" s="77" t="s">
        <v>10130</v>
      </c>
      <c r="AC3997" s="82" t="s">
        <v>10181</v>
      </c>
      <c r="AD3997" s="77" t="s">
        <v>10184</v>
      </c>
      <c r="AE3997" s="80" t="str">
        <f>HYPERLINK("https://twitter.com/chatgpt_brasil/status/1623434949155074049")</f>
        <v>https://twitter.com/chatgpt_brasil/status/1623434949155074049</v>
      </c>
      <c r="AF3997" s="79">
        <v>44965.898472222223</v>
      </c>
      <c r="AG3997" s="85">
        <v>44965</v>
      </c>
      <c r="AH3997" s="82" t="s">
        <v>13968</v>
      </c>
      <c r="AI3997" s="77" t="b">
        <v>0</v>
      </c>
      <c r="AJ3997" s="77"/>
      <c r="AK3997" s="77"/>
      <c r="AL3997" s="77"/>
      <c r="AM3997" s="77"/>
      <c r="AN3997" s="77"/>
      <c r="AO3997" s="77"/>
      <c r="AP3997" s="77"/>
      <c r="AQ3997" s="77" t="s">
        <v>16753</v>
      </c>
      <c r="AR3997" s="77"/>
      <c r="AS3997" s="77"/>
      <c r="AT3997" s="77"/>
      <c r="AU3997" s="77"/>
      <c r="AV3997" s="80" t="str">
        <f>HYPERLINK("https://pbs.twimg.com/media/FoeZbqdXsAAu2ZL.jpg")</f>
        <v>https://pbs.twimg.com/media/FoeZbqdXsAAu2ZL.jpg</v>
      </c>
      <c r="AW3997" s="82" t="s">
        <v>20761</v>
      </c>
      <c r="AX3997" s="82" t="s">
        <v>20761</v>
      </c>
      <c r="AY3997" s="77"/>
      <c r="AZ3997" s="82" t="s">
        <v>20971</v>
      </c>
      <c r="BA3997" s="82" t="s">
        <v>20971</v>
      </c>
      <c r="BB3997" s="82" t="s">
        <v>20971</v>
      </c>
      <c r="BC3997" s="82" t="s">
        <v>20761</v>
      </c>
      <c r="BD3997" s="82" t="s">
        <v>21761</v>
      </c>
      <c r="BE3997" s="77"/>
      <c r="BF3997" s="77"/>
      <c r="BG3997" s="77"/>
      <c r="BH3997" s="77"/>
      <c r="BI3997" s="77"/>
    </row>
    <row r="3998" spans="1:61" x14ac:dyDescent="0.25">
      <c r="A3998" s="62" t="s">
        <v>1220</v>
      </c>
      <c r="B3998" s="62" t="s">
        <v>1283</v>
      </c>
      <c r="C3998" s="63"/>
      <c r="D3998" s="64"/>
      <c r="E3998" s="65"/>
      <c r="F3998" s="66"/>
      <c r="G3998" s="63"/>
      <c r="H3998" s="67"/>
      <c r="I3998" s="68"/>
      <c r="J3998" s="68"/>
      <c r="K3998" s="32"/>
      <c r="L3998" s="75">
        <v>3998</v>
      </c>
      <c r="M3998" s="75"/>
      <c r="N3998" s="70"/>
      <c r="O3998" s="77" t="s">
        <v>1285</v>
      </c>
      <c r="P3998" s="79">
        <v>45093.993738425925</v>
      </c>
      <c r="Q3998" s="77" t="s">
        <v>5201</v>
      </c>
      <c r="R3998" s="77">
        <v>0</v>
      </c>
      <c r="S3998" s="77">
        <v>0</v>
      </c>
      <c r="T3998" s="77">
        <v>0</v>
      </c>
      <c r="U3998" s="77">
        <v>0</v>
      </c>
      <c r="V3998" s="77">
        <v>27</v>
      </c>
      <c r="W3998" s="82" t="s">
        <v>7163</v>
      </c>
      <c r="X3998" s="77"/>
      <c r="Y3998" s="77"/>
      <c r="Z3998" s="77" t="s">
        <v>1283</v>
      </c>
      <c r="AA3998" s="77" t="s">
        <v>10111</v>
      </c>
      <c r="AB3998" s="77" t="s">
        <v>10130</v>
      </c>
      <c r="AC3998" s="82" t="s">
        <v>10146</v>
      </c>
      <c r="AD3998" s="77" t="s">
        <v>10184</v>
      </c>
      <c r="AE3998" s="80" t="str">
        <f>HYPERLINK("https://twitter.com/midimashup/status/1669855118135631872")</f>
        <v>https://twitter.com/midimashup/status/1669855118135631872</v>
      </c>
      <c r="AF3998" s="79">
        <v>45093.993738425925</v>
      </c>
      <c r="AG3998" s="85">
        <v>45093</v>
      </c>
      <c r="AH3998" s="82" t="s">
        <v>13969</v>
      </c>
      <c r="AI3998" s="77" t="b">
        <v>0</v>
      </c>
      <c r="AJ3998" s="77"/>
      <c r="AK3998" s="77"/>
      <c r="AL3998" s="77"/>
      <c r="AM3998" s="77"/>
      <c r="AN3998" s="77"/>
      <c r="AO3998" s="77"/>
      <c r="AP3998" s="77"/>
      <c r="AQ3998" s="77" t="s">
        <v>16754</v>
      </c>
      <c r="AR3998" s="77"/>
      <c r="AS3998" s="77"/>
      <c r="AT3998" s="77"/>
      <c r="AU3998" s="77"/>
      <c r="AV3998" s="80" t="str">
        <f>HYPERLINK("https://pbs.twimg.com/media/FyyDZRUWcAI_p_d.png")</f>
        <v>https://pbs.twimg.com/media/FyyDZRUWcAI_p_d.png</v>
      </c>
      <c r="AW3998" s="82" t="s">
        <v>20762</v>
      </c>
      <c r="AX3998" s="82" t="s">
        <v>20762</v>
      </c>
      <c r="AY3998" s="77"/>
      <c r="AZ3998" s="82" t="s">
        <v>20971</v>
      </c>
      <c r="BA3998" s="82" t="s">
        <v>20971</v>
      </c>
      <c r="BB3998" s="82" t="s">
        <v>20971</v>
      </c>
      <c r="BC3998" s="82" t="s">
        <v>20762</v>
      </c>
      <c r="BD3998" s="77">
        <v>3234532213</v>
      </c>
      <c r="BE3998" s="77"/>
      <c r="BF3998" s="77"/>
      <c r="BG3998" s="77"/>
      <c r="BH3998" s="77"/>
      <c r="BI3998" s="77"/>
    </row>
    <row r="3999" spans="1:61" x14ac:dyDescent="0.25">
      <c r="A3999" s="62" t="s">
        <v>1220</v>
      </c>
      <c r="B3999" s="62" t="s">
        <v>1220</v>
      </c>
      <c r="C3999" s="63"/>
      <c r="D3999" s="64"/>
      <c r="E3999" s="65"/>
      <c r="F3999" s="66"/>
      <c r="G3999" s="63"/>
      <c r="H3999" s="67"/>
      <c r="I3999" s="68"/>
      <c r="J3999" s="68"/>
      <c r="K3999" s="32"/>
      <c r="L3999" s="75">
        <v>3999</v>
      </c>
      <c r="M3999" s="75"/>
      <c r="N3999" s="70"/>
      <c r="O3999" s="77" t="s">
        <v>179</v>
      </c>
      <c r="P3999" s="79">
        <v>45060.634930555556</v>
      </c>
      <c r="Q3999" s="77" t="s">
        <v>5202</v>
      </c>
      <c r="R3999" s="77">
        <v>0</v>
      </c>
      <c r="S3999" s="77">
        <v>1</v>
      </c>
      <c r="T3999" s="77">
        <v>1</v>
      </c>
      <c r="U3999" s="77">
        <v>0</v>
      </c>
      <c r="V3999" s="77">
        <v>274</v>
      </c>
      <c r="W3999" s="82" t="s">
        <v>7164</v>
      </c>
      <c r="X3999" s="77"/>
      <c r="Y3999" s="77"/>
      <c r="Z3999" s="77"/>
      <c r="AA3999" s="77" t="s">
        <v>10112</v>
      </c>
      <c r="AB3999" s="77" t="s">
        <v>10128</v>
      </c>
      <c r="AC3999" s="82" t="s">
        <v>10146</v>
      </c>
      <c r="AD3999" s="77" t="s">
        <v>10184</v>
      </c>
      <c r="AE3999" s="80" t="str">
        <f>HYPERLINK("https://twitter.com/midimashup/status/1657766290042372096")</f>
        <v>https://twitter.com/midimashup/status/1657766290042372096</v>
      </c>
      <c r="AF3999" s="79">
        <v>45060.634930555556</v>
      </c>
      <c r="AG3999" s="85">
        <v>45060</v>
      </c>
      <c r="AH3999" s="82" t="s">
        <v>12167</v>
      </c>
      <c r="AI3999" s="77" t="b">
        <v>0</v>
      </c>
      <c r="AJ3999" s="77"/>
      <c r="AK3999" s="77"/>
      <c r="AL3999" s="77"/>
      <c r="AM3999" s="77"/>
      <c r="AN3999" s="77"/>
      <c r="AO3999" s="77"/>
      <c r="AP3999" s="77"/>
      <c r="AQ3999" s="77" t="s">
        <v>16755</v>
      </c>
      <c r="AR3999" s="77"/>
      <c r="AS3999" s="77"/>
      <c r="AT3999" s="77"/>
      <c r="AU3999" s="77"/>
      <c r="AV3999" s="80" t="str">
        <f>HYPERLINK("https://pbs.twimg.com/media/FwGRSmAWAAEW7FR.jpg")</f>
        <v>https://pbs.twimg.com/media/FwGRSmAWAAEW7FR.jpg</v>
      </c>
      <c r="AW3999" s="82" t="s">
        <v>20763</v>
      </c>
      <c r="AX3999" s="82" t="s">
        <v>20763</v>
      </c>
      <c r="AY3999" s="77"/>
      <c r="AZ3999" s="82" t="s">
        <v>20971</v>
      </c>
      <c r="BA3999" s="82" t="s">
        <v>20971</v>
      </c>
      <c r="BB3999" s="82" t="s">
        <v>20971</v>
      </c>
      <c r="BC3999" s="82" t="s">
        <v>20763</v>
      </c>
      <c r="BD3999" s="77">
        <v>3234532213</v>
      </c>
      <c r="BE3999" s="77"/>
      <c r="BF3999" s="77"/>
      <c r="BG3999" s="77"/>
      <c r="BH3999" s="77"/>
      <c r="BI3999" s="77"/>
    </row>
    <row r="4000" spans="1:61" x14ac:dyDescent="0.25">
      <c r="A4000" s="62" t="s">
        <v>1221</v>
      </c>
      <c r="B4000" s="62" t="s">
        <v>1221</v>
      </c>
      <c r="C4000" s="63"/>
      <c r="D4000" s="64"/>
      <c r="E4000" s="65"/>
      <c r="F4000" s="66"/>
      <c r="G4000" s="63"/>
      <c r="H4000" s="67"/>
      <c r="I4000" s="68"/>
      <c r="J4000" s="68"/>
      <c r="K4000" s="32"/>
      <c r="L4000" s="75">
        <v>4000</v>
      </c>
      <c r="M4000" s="75"/>
      <c r="N4000" s="70"/>
      <c r="O4000" s="77" t="s">
        <v>179</v>
      </c>
      <c r="P4000" s="79">
        <v>45053.818819444445</v>
      </c>
      <c r="Q4000" s="77" t="s">
        <v>5203</v>
      </c>
      <c r="R4000" s="77">
        <v>0</v>
      </c>
      <c r="S4000" s="77">
        <v>0</v>
      </c>
      <c r="T4000" s="77">
        <v>0</v>
      </c>
      <c r="U4000" s="77">
        <v>0</v>
      </c>
      <c r="V4000" s="77">
        <v>45</v>
      </c>
      <c r="W4000" s="82" t="s">
        <v>7165</v>
      </c>
      <c r="X4000" s="80" t="str">
        <f>HYPERLINK("https://pay.kiwify.com.br/OS2mCpf")</f>
        <v>https://pay.kiwify.com.br/OS2mCpf</v>
      </c>
      <c r="Y4000" s="77" t="s">
        <v>7252</v>
      </c>
      <c r="Z4000" s="77"/>
      <c r="AA4000" s="77"/>
      <c r="AB4000" s="77"/>
      <c r="AC4000" s="82" t="s">
        <v>10144</v>
      </c>
      <c r="AD4000" s="77" t="s">
        <v>10184</v>
      </c>
      <c r="AE4000" s="80" t="str">
        <f>HYPERLINK("https://twitter.com/stive_oficial/status/1655296214911401987")</f>
        <v>https://twitter.com/stive_oficial/status/1655296214911401987</v>
      </c>
      <c r="AF4000" s="79">
        <v>45053.818819444445</v>
      </c>
      <c r="AG4000" s="85">
        <v>45053</v>
      </c>
      <c r="AH4000" s="82" t="s">
        <v>13970</v>
      </c>
      <c r="AI4000" s="77" t="b">
        <v>0</v>
      </c>
      <c r="AJ4000" s="77"/>
      <c r="AK4000" s="77"/>
      <c r="AL4000" s="77"/>
      <c r="AM4000" s="77"/>
      <c r="AN4000" s="77"/>
      <c r="AO4000" s="77"/>
      <c r="AP4000" s="77"/>
      <c r="AQ4000" s="77"/>
      <c r="AR4000" s="77"/>
      <c r="AS4000" s="77"/>
      <c r="AT4000" s="77"/>
      <c r="AU4000" s="77"/>
      <c r="AV4000" s="80" t="str">
        <f>HYPERLINK("https://pbs.twimg.com/profile_images/765045699377524736/e3Np0C5D_normal.jpg")</f>
        <v>https://pbs.twimg.com/profile_images/765045699377524736/e3Np0C5D_normal.jpg</v>
      </c>
      <c r="AW4000" s="82" t="s">
        <v>20764</v>
      </c>
      <c r="AX4000" s="82" t="s">
        <v>20764</v>
      </c>
      <c r="AY4000" s="77"/>
      <c r="AZ4000" s="82" t="s">
        <v>20971</v>
      </c>
      <c r="BA4000" s="82" t="s">
        <v>20971</v>
      </c>
      <c r="BB4000" s="82" t="s">
        <v>20971</v>
      </c>
      <c r="BC4000" s="82" t="s">
        <v>20764</v>
      </c>
      <c r="BD4000" s="77">
        <v>172906872</v>
      </c>
      <c r="BE4000" s="77"/>
      <c r="BF4000" s="77"/>
      <c r="BG4000" s="77"/>
      <c r="BH4000" s="77"/>
      <c r="BI4000" s="77"/>
    </row>
    <row r="4001" spans="1:61" x14ac:dyDescent="0.25">
      <c r="A4001" s="62" t="s">
        <v>1221</v>
      </c>
      <c r="B4001" s="62" t="s">
        <v>1221</v>
      </c>
      <c r="C4001" s="63"/>
      <c r="D4001" s="64"/>
      <c r="E4001" s="65"/>
      <c r="F4001" s="66"/>
      <c r="G4001" s="63"/>
      <c r="H4001" s="67"/>
      <c r="I4001" s="68"/>
      <c r="J4001" s="68"/>
      <c r="K4001" s="32"/>
      <c r="L4001" s="75">
        <v>4001</v>
      </c>
      <c r="M4001" s="75"/>
      <c r="N4001" s="70"/>
      <c r="O4001" s="77" t="s">
        <v>179</v>
      </c>
      <c r="P4001" s="79">
        <v>45108.6643287037</v>
      </c>
      <c r="Q4001" s="77" t="s">
        <v>5204</v>
      </c>
      <c r="R4001" s="77">
        <v>0</v>
      </c>
      <c r="S4001" s="77">
        <v>1</v>
      </c>
      <c r="T4001" s="77">
        <v>0</v>
      </c>
      <c r="U4001" s="77">
        <v>0</v>
      </c>
      <c r="V4001" s="77">
        <v>54</v>
      </c>
      <c r="W4001" s="82" t="s">
        <v>7166</v>
      </c>
      <c r="X4001" s="80" t="str">
        <f>HYPERLINK("http://Www.opulosogatoreal.com.br")</f>
        <v>http://Www.opulosogatoreal.com.br</v>
      </c>
      <c r="Y4001" s="77" t="s">
        <v>7252</v>
      </c>
      <c r="Z4001" s="77"/>
      <c r="AA4001" s="77" t="s">
        <v>10113</v>
      </c>
      <c r="AB4001" s="77" t="s">
        <v>10130</v>
      </c>
      <c r="AC4001" s="82" t="s">
        <v>10144</v>
      </c>
      <c r="AD4001" s="77" t="s">
        <v>10184</v>
      </c>
      <c r="AE4001" s="80" t="str">
        <f>HYPERLINK("https://twitter.com/stive_oficial/status/1675171562939465729")</f>
        <v>https://twitter.com/stive_oficial/status/1675171562939465729</v>
      </c>
      <c r="AF4001" s="79">
        <v>45108.6643287037</v>
      </c>
      <c r="AG4001" s="85">
        <v>45108</v>
      </c>
      <c r="AH4001" s="82" t="s">
        <v>13971</v>
      </c>
      <c r="AI4001" s="77" t="b">
        <v>0</v>
      </c>
      <c r="AJ4001" s="77"/>
      <c r="AK4001" s="77"/>
      <c r="AL4001" s="77"/>
      <c r="AM4001" s="77"/>
      <c r="AN4001" s="77"/>
      <c r="AO4001" s="77"/>
      <c r="AP4001" s="77"/>
      <c r="AQ4001" s="77" t="s">
        <v>16756</v>
      </c>
      <c r="AR4001" s="77"/>
      <c r="AS4001" s="77"/>
      <c r="AT4001" s="77"/>
      <c r="AU4001" s="77"/>
      <c r="AV4001" s="80" t="str">
        <f>HYPERLINK("https://pbs.twimg.com/media/Fz9npYIWYAE4ql-.jpg")</f>
        <v>https://pbs.twimg.com/media/Fz9npYIWYAE4ql-.jpg</v>
      </c>
      <c r="AW4001" s="82" t="s">
        <v>20765</v>
      </c>
      <c r="AX4001" s="82" t="s">
        <v>20765</v>
      </c>
      <c r="AY4001" s="77"/>
      <c r="AZ4001" s="82" t="s">
        <v>20971</v>
      </c>
      <c r="BA4001" s="82" t="s">
        <v>20971</v>
      </c>
      <c r="BB4001" s="82" t="s">
        <v>20971</v>
      </c>
      <c r="BC4001" s="82" t="s">
        <v>20765</v>
      </c>
      <c r="BD4001" s="77">
        <v>172906872</v>
      </c>
      <c r="BE4001" s="77"/>
      <c r="BF4001" s="77"/>
      <c r="BG4001" s="77"/>
      <c r="BH4001" s="77"/>
      <c r="BI4001" s="77"/>
    </row>
    <row r="4002" spans="1:61" x14ac:dyDescent="0.25">
      <c r="A4002" s="62" t="s">
        <v>1222</v>
      </c>
      <c r="B4002" s="62" t="s">
        <v>1222</v>
      </c>
      <c r="C4002" s="63"/>
      <c r="D4002" s="64"/>
      <c r="E4002" s="65"/>
      <c r="F4002" s="66"/>
      <c r="G4002" s="63"/>
      <c r="H4002" s="67"/>
      <c r="I4002" s="68"/>
      <c r="J4002" s="68"/>
      <c r="K4002" s="32"/>
      <c r="L4002" s="75">
        <v>4002</v>
      </c>
      <c r="M4002" s="75"/>
      <c r="N4002" s="70"/>
      <c r="O4002" s="77" t="s">
        <v>179</v>
      </c>
      <c r="P4002" s="79">
        <v>45002.925162037034</v>
      </c>
      <c r="Q4002" s="77" t="s">
        <v>5205</v>
      </c>
      <c r="R4002" s="77">
        <v>0</v>
      </c>
      <c r="S4002" s="77">
        <v>0</v>
      </c>
      <c r="T4002" s="77">
        <v>0</v>
      </c>
      <c r="U4002" s="77">
        <v>0</v>
      </c>
      <c r="V4002" s="77">
        <v>19</v>
      </c>
      <c r="W4002" s="82" t="s">
        <v>7167</v>
      </c>
      <c r="X4002" s="80" t="str">
        <f>HYPERLINK("https://buff.ly/3lnZ5xa")</f>
        <v>https://buff.ly/3lnZ5xa</v>
      </c>
      <c r="Y4002" s="77" t="s">
        <v>7311</v>
      </c>
      <c r="Z4002" s="77"/>
      <c r="AA4002" s="77"/>
      <c r="AB4002" s="77"/>
      <c r="AC4002" s="82" t="s">
        <v>10156</v>
      </c>
      <c r="AD4002" s="77" t="s">
        <v>10184</v>
      </c>
      <c r="AE4002" s="80" t="str">
        <f>HYPERLINK("https://twitter.com/oespacodigital/status/1636852971383259137")</f>
        <v>https://twitter.com/oespacodigital/status/1636852971383259137</v>
      </c>
      <c r="AF4002" s="79">
        <v>45002.925162037034</v>
      </c>
      <c r="AG4002" s="85">
        <v>45002</v>
      </c>
      <c r="AH4002" s="82" t="s">
        <v>13972</v>
      </c>
      <c r="AI4002" s="77" t="b">
        <v>0</v>
      </c>
      <c r="AJ4002" s="77"/>
      <c r="AK4002" s="77"/>
      <c r="AL4002" s="77"/>
      <c r="AM4002" s="77"/>
      <c r="AN4002" s="77"/>
      <c r="AO4002" s="77"/>
      <c r="AP4002" s="77"/>
      <c r="AQ4002" s="77"/>
      <c r="AR4002" s="77"/>
      <c r="AS4002" s="77"/>
      <c r="AT4002" s="77"/>
      <c r="AU4002" s="77"/>
      <c r="AV4002" s="80" t="str">
        <f>HYPERLINK("https://pbs.twimg.com/profile_images/1631778470417117187/BLSD9aL3_normal.jpg")</f>
        <v>https://pbs.twimg.com/profile_images/1631778470417117187/BLSD9aL3_normal.jpg</v>
      </c>
      <c r="AW4002" s="82" t="s">
        <v>20766</v>
      </c>
      <c r="AX4002" s="82" t="s">
        <v>20766</v>
      </c>
      <c r="AY4002" s="77"/>
      <c r="AZ4002" s="82" t="s">
        <v>20971</v>
      </c>
      <c r="BA4002" s="82" t="s">
        <v>20971</v>
      </c>
      <c r="BB4002" s="82" t="s">
        <v>20971</v>
      </c>
      <c r="BC4002" s="82" t="s">
        <v>20766</v>
      </c>
      <c r="BD4002" s="82" t="s">
        <v>21762</v>
      </c>
      <c r="BE4002" s="77"/>
      <c r="BF4002" s="77"/>
      <c r="BG4002" s="77"/>
      <c r="BH4002" s="77"/>
      <c r="BI4002" s="77"/>
    </row>
    <row r="4003" spans="1:61" x14ac:dyDescent="0.25">
      <c r="A4003" s="62" t="s">
        <v>1223</v>
      </c>
      <c r="B4003" s="62" t="s">
        <v>1223</v>
      </c>
      <c r="C4003" s="63"/>
      <c r="D4003" s="64"/>
      <c r="E4003" s="65"/>
      <c r="F4003" s="66"/>
      <c r="G4003" s="63"/>
      <c r="H4003" s="67"/>
      <c r="I4003" s="68"/>
      <c r="J4003" s="68"/>
      <c r="K4003" s="32"/>
      <c r="L4003" s="75">
        <v>4003</v>
      </c>
      <c r="M4003" s="75"/>
      <c r="N4003" s="70"/>
      <c r="O4003" s="77" t="s">
        <v>179</v>
      </c>
      <c r="P4003" s="79">
        <v>45175.70989583333</v>
      </c>
      <c r="Q4003" s="77" t="s">
        <v>5206</v>
      </c>
      <c r="R4003" s="77">
        <v>0</v>
      </c>
      <c r="S4003" s="77">
        <v>0</v>
      </c>
      <c r="T4003" s="77">
        <v>0</v>
      </c>
      <c r="U4003" s="77">
        <v>0</v>
      </c>
      <c r="V4003" s="77">
        <v>15</v>
      </c>
      <c r="W4003" s="82" t="s">
        <v>7168</v>
      </c>
      <c r="X4003" s="80" t="str">
        <f>HYPERLINK("https://kiwify.app/oNFJIKG?afid=ySdw0yxB")</f>
        <v>https://kiwify.app/oNFJIKG?afid=ySdw0yxB</v>
      </c>
      <c r="Y4003" s="77" t="s">
        <v>7269</v>
      </c>
      <c r="Z4003" s="77"/>
      <c r="AA4003" s="77"/>
      <c r="AB4003" s="77"/>
      <c r="AC4003" s="82" t="s">
        <v>10144</v>
      </c>
      <c r="AD4003" s="77" t="s">
        <v>10184</v>
      </c>
      <c r="AE4003" s="80" t="str">
        <f>HYPERLINK("https://twitter.com/ofertasdomes/status/1699468062955586031")</f>
        <v>https://twitter.com/ofertasdomes/status/1699468062955586031</v>
      </c>
      <c r="AF4003" s="79">
        <v>45175.70989583333</v>
      </c>
      <c r="AG4003" s="85">
        <v>45175</v>
      </c>
      <c r="AH4003" s="82" t="s">
        <v>13973</v>
      </c>
      <c r="AI4003" s="77" t="b">
        <v>0</v>
      </c>
      <c r="AJ4003" s="77"/>
      <c r="AK4003" s="77"/>
      <c r="AL4003" s="77"/>
      <c r="AM4003" s="77"/>
      <c r="AN4003" s="77"/>
      <c r="AO4003" s="77"/>
      <c r="AP4003" s="77"/>
      <c r="AQ4003" s="77"/>
      <c r="AR4003" s="77"/>
      <c r="AS4003" s="77"/>
      <c r="AT4003" s="77"/>
      <c r="AU4003" s="77"/>
      <c r="AV4003" s="80" t="str">
        <f>HYPERLINK("https://pbs.twimg.com/profile_images/1699438657092952066/xUJaHiqn_normal.jpg")</f>
        <v>https://pbs.twimg.com/profile_images/1699438657092952066/xUJaHiqn_normal.jpg</v>
      </c>
      <c r="AW4003" s="82" t="s">
        <v>20767</v>
      </c>
      <c r="AX4003" s="82" t="s">
        <v>20767</v>
      </c>
      <c r="AY4003" s="77"/>
      <c r="AZ4003" s="82" t="s">
        <v>20971</v>
      </c>
      <c r="BA4003" s="82" t="s">
        <v>20971</v>
      </c>
      <c r="BB4003" s="82" t="s">
        <v>20971</v>
      </c>
      <c r="BC4003" s="82" t="s">
        <v>20767</v>
      </c>
      <c r="BD4003" s="82" t="s">
        <v>21763</v>
      </c>
      <c r="BE4003" s="77"/>
      <c r="BF4003" s="77"/>
      <c r="BG4003" s="77"/>
      <c r="BH4003" s="77"/>
      <c r="BI4003" s="77"/>
    </row>
    <row r="4004" spans="1:61" x14ac:dyDescent="0.25">
      <c r="A4004" s="62" t="s">
        <v>1224</v>
      </c>
      <c r="B4004" s="62" t="s">
        <v>1224</v>
      </c>
      <c r="C4004" s="63"/>
      <c r="D4004" s="64"/>
      <c r="E4004" s="65"/>
      <c r="F4004" s="66"/>
      <c r="G4004" s="63"/>
      <c r="H4004" s="67"/>
      <c r="I4004" s="68"/>
      <c r="J4004" s="68"/>
      <c r="K4004" s="32"/>
      <c r="L4004" s="75">
        <v>4004</v>
      </c>
      <c r="M4004" s="75"/>
      <c r="N4004" s="70"/>
      <c r="O4004" s="77" t="s">
        <v>179</v>
      </c>
      <c r="P4004" s="79">
        <v>45062.939375000002</v>
      </c>
      <c r="Q4004" s="77" t="s">
        <v>5207</v>
      </c>
      <c r="R4004" s="77">
        <v>0</v>
      </c>
      <c r="S4004" s="77">
        <v>1</v>
      </c>
      <c r="T4004" s="77">
        <v>0</v>
      </c>
      <c r="U4004" s="77">
        <v>0</v>
      </c>
      <c r="V4004" s="77">
        <v>64</v>
      </c>
      <c r="W4004" s="82" t="s">
        <v>7169</v>
      </c>
      <c r="X4004" s="77"/>
      <c r="Y4004" s="77"/>
      <c r="Z4004" s="77"/>
      <c r="AA4004" s="77" t="s">
        <v>10114</v>
      </c>
      <c r="AB4004" s="77" t="s">
        <v>10129</v>
      </c>
      <c r="AC4004" s="82" t="s">
        <v>10144</v>
      </c>
      <c r="AD4004" s="77" t="s">
        <v>10184</v>
      </c>
      <c r="AE4004" s="80" t="str">
        <f>HYPERLINK("https://twitter.com/willamysousa15/status/1658601395505844224")</f>
        <v>https://twitter.com/willamysousa15/status/1658601395505844224</v>
      </c>
      <c r="AF4004" s="79">
        <v>45062.939375000002</v>
      </c>
      <c r="AG4004" s="85">
        <v>45062</v>
      </c>
      <c r="AH4004" s="82" t="s">
        <v>13974</v>
      </c>
      <c r="AI4004" s="77" t="b">
        <v>0</v>
      </c>
      <c r="AJ4004" s="77"/>
      <c r="AK4004" s="77"/>
      <c r="AL4004" s="77"/>
      <c r="AM4004" s="77"/>
      <c r="AN4004" s="77"/>
      <c r="AO4004" s="77"/>
      <c r="AP4004" s="77"/>
      <c r="AQ4004" s="77" t="s">
        <v>16757</v>
      </c>
      <c r="AR4004" s="77">
        <v>58250</v>
      </c>
      <c r="AS4004" s="77"/>
      <c r="AT4004" s="77"/>
      <c r="AU4004" s="77"/>
      <c r="AV4004" s="80" t="str">
        <f>HYPERLINK("https://pbs.twimg.com/ext_tw_video_thumb/1658601295308005376/pu/img/4BiedyPUczrOQrRo.jpg")</f>
        <v>https://pbs.twimg.com/ext_tw_video_thumb/1658601295308005376/pu/img/4BiedyPUczrOQrRo.jpg</v>
      </c>
      <c r="AW4004" s="82" t="s">
        <v>20768</v>
      </c>
      <c r="AX4004" s="82" t="s">
        <v>20768</v>
      </c>
      <c r="AY4004" s="77"/>
      <c r="AZ4004" s="82" t="s">
        <v>20971</v>
      </c>
      <c r="BA4004" s="82" t="s">
        <v>20971</v>
      </c>
      <c r="BB4004" s="82" t="s">
        <v>20971</v>
      </c>
      <c r="BC4004" s="82" t="s">
        <v>20768</v>
      </c>
      <c r="BD4004" s="82" t="s">
        <v>21764</v>
      </c>
      <c r="BE4004" s="77"/>
      <c r="BF4004" s="77"/>
      <c r="BG4004" s="77"/>
      <c r="BH4004" s="77"/>
      <c r="BI4004" s="77"/>
    </row>
    <row r="4005" spans="1:61" x14ac:dyDescent="0.25">
      <c r="A4005" s="62" t="s">
        <v>1225</v>
      </c>
      <c r="B4005" s="62" t="s">
        <v>1225</v>
      </c>
      <c r="C4005" s="63"/>
      <c r="D4005" s="64"/>
      <c r="E4005" s="65"/>
      <c r="F4005" s="66"/>
      <c r="G4005" s="63"/>
      <c r="H4005" s="67"/>
      <c r="I4005" s="68"/>
      <c r="J4005" s="68"/>
      <c r="K4005" s="32"/>
      <c r="L4005" s="75">
        <v>4005</v>
      </c>
      <c r="M4005" s="75"/>
      <c r="N4005" s="70"/>
      <c r="O4005" s="77" t="s">
        <v>179</v>
      </c>
      <c r="P4005" s="79">
        <v>44964.625960648147</v>
      </c>
      <c r="Q4005" s="77" t="s">
        <v>5208</v>
      </c>
      <c r="R4005" s="77">
        <v>0</v>
      </c>
      <c r="S4005" s="77">
        <v>0</v>
      </c>
      <c r="T4005" s="77">
        <v>0</v>
      </c>
      <c r="U4005" s="77">
        <v>0</v>
      </c>
      <c r="V4005" s="77">
        <v>15</v>
      </c>
      <c r="W4005" s="82" t="s">
        <v>7170</v>
      </c>
      <c r="X4005" s="80" t="str">
        <f>HYPERLINK("https://youtu.be/TWoiseCLuaM")</f>
        <v>https://youtu.be/TWoiseCLuaM</v>
      </c>
      <c r="Y4005" s="77" t="s">
        <v>7248</v>
      </c>
      <c r="Z4005" s="77"/>
      <c r="AA4005" s="77"/>
      <c r="AB4005" s="77"/>
      <c r="AC4005" s="82" t="s">
        <v>10146</v>
      </c>
      <c r="AD4005" s="77" t="s">
        <v>10184</v>
      </c>
      <c r="AE4005" s="80" t="str">
        <f>HYPERLINK("https://twitter.com/emoneybrasil/status/1622973806040973314")</f>
        <v>https://twitter.com/emoneybrasil/status/1622973806040973314</v>
      </c>
      <c r="AF4005" s="79">
        <v>44964.625960648147</v>
      </c>
      <c r="AG4005" s="85">
        <v>44964</v>
      </c>
      <c r="AH4005" s="82" t="s">
        <v>13975</v>
      </c>
      <c r="AI4005" s="77" t="b">
        <v>0</v>
      </c>
      <c r="AJ4005" s="77"/>
      <c r="AK4005" s="77"/>
      <c r="AL4005" s="77"/>
      <c r="AM4005" s="77"/>
      <c r="AN4005" s="77"/>
      <c r="AO4005" s="77"/>
      <c r="AP4005" s="77"/>
      <c r="AQ4005" s="77"/>
      <c r="AR4005" s="77"/>
      <c r="AS4005" s="77"/>
      <c r="AT4005" s="77"/>
      <c r="AU4005" s="77"/>
      <c r="AV4005" s="80" t="str">
        <f>HYPERLINK("https://pbs.twimg.com/profile_images/1507084958590029825/A0zYOuAD_normal.jpg")</f>
        <v>https://pbs.twimg.com/profile_images/1507084958590029825/A0zYOuAD_normal.jpg</v>
      </c>
      <c r="AW4005" s="82" t="s">
        <v>20769</v>
      </c>
      <c r="AX4005" s="82" t="s">
        <v>20769</v>
      </c>
      <c r="AY4005" s="77"/>
      <c r="AZ4005" s="82" t="s">
        <v>20971</v>
      </c>
      <c r="BA4005" s="82" t="s">
        <v>20971</v>
      </c>
      <c r="BB4005" s="82" t="s">
        <v>20971</v>
      </c>
      <c r="BC4005" s="82" t="s">
        <v>20769</v>
      </c>
      <c r="BD4005" s="82" t="s">
        <v>21765</v>
      </c>
      <c r="BE4005" s="77"/>
      <c r="BF4005" s="77"/>
      <c r="BG4005" s="77"/>
      <c r="BH4005" s="77"/>
      <c r="BI4005" s="77"/>
    </row>
    <row r="4006" spans="1:61" x14ac:dyDescent="0.25">
      <c r="A4006" s="62" t="s">
        <v>1226</v>
      </c>
      <c r="B4006" s="62" t="s">
        <v>1226</v>
      </c>
      <c r="C4006" s="63"/>
      <c r="D4006" s="64"/>
      <c r="E4006" s="65"/>
      <c r="F4006" s="66"/>
      <c r="G4006" s="63"/>
      <c r="H4006" s="67"/>
      <c r="I4006" s="68"/>
      <c r="J4006" s="68"/>
      <c r="K4006" s="32"/>
      <c r="L4006" s="75">
        <v>4006</v>
      </c>
      <c r="M4006" s="75"/>
      <c r="N4006" s="70"/>
      <c r="O4006" s="77" t="s">
        <v>179</v>
      </c>
      <c r="P4006" s="79">
        <v>45074.913472222222</v>
      </c>
      <c r="Q4006" s="77" t="s">
        <v>5209</v>
      </c>
      <c r="R4006" s="77">
        <v>0</v>
      </c>
      <c r="S4006" s="77">
        <v>0</v>
      </c>
      <c r="T4006" s="77">
        <v>1</v>
      </c>
      <c r="U4006" s="77">
        <v>0</v>
      </c>
      <c r="V4006" s="77">
        <v>112</v>
      </c>
      <c r="W4006" s="82" t="s">
        <v>5581</v>
      </c>
      <c r="X4006" s="80" t="str">
        <f>HYPERLINK("https://go.hotmart.com/K78878798M")</f>
        <v>https://go.hotmart.com/K78878798M</v>
      </c>
      <c r="Y4006" s="77" t="s">
        <v>7251</v>
      </c>
      <c r="Z4006" s="77"/>
      <c r="AA4006" s="77" t="s">
        <v>10115</v>
      </c>
      <c r="AB4006" s="77" t="s">
        <v>10129</v>
      </c>
      <c r="AC4006" s="82" t="s">
        <v>10144</v>
      </c>
      <c r="AD4006" s="77" t="s">
        <v>10184</v>
      </c>
      <c r="AE4006" s="80" t="str">
        <f>HYPERLINK("https://twitter.com/offer36836/status/1662940661492883460")</f>
        <v>https://twitter.com/offer36836/status/1662940661492883460</v>
      </c>
      <c r="AF4006" s="79">
        <v>45074.913472222222</v>
      </c>
      <c r="AG4006" s="85">
        <v>45074</v>
      </c>
      <c r="AH4006" s="82" t="s">
        <v>13976</v>
      </c>
      <c r="AI4006" s="77" t="b">
        <v>0</v>
      </c>
      <c r="AJ4006" s="77"/>
      <c r="AK4006" s="77"/>
      <c r="AL4006" s="77"/>
      <c r="AM4006" s="77"/>
      <c r="AN4006" s="77"/>
      <c r="AO4006" s="77"/>
      <c r="AP4006" s="77"/>
      <c r="AQ4006" s="77" t="s">
        <v>16758</v>
      </c>
      <c r="AR4006" s="77">
        <v>44906</v>
      </c>
      <c r="AS4006" s="77"/>
      <c r="AT4006" s="77"/>
      <c r="AU4006" s="77"/>
      <c r="AV4006" s="80" t="str">
        <f>HYPERLINK("https://pbs.twimg.com/ext_tw_video_thumb/1662940520006533121/pu/img/RLjNJTu4SITXqeEI.jpg")</f>
        <v>https://pbs.twimg.com/ext_tw_video_thumb/1662940520006533121/pu/img/RLjNJTu4SITXqeEI.jpg</v>
      </c>
      <c r="AW4006" s="82" t="s">
        <v>20770</v>
      </c>
      <c r="AX4006" s="82" t="s">
        <v>20770</v>
      </c>
      <c r="AY4006" s="77"/>
      <c r="AZ4006" s="82" t="s">
        <v>20971</v>
      </c>
      <c r="BA4006" s="82" t="s">
        <v>20971</v>
      </c>
      <c r="BB4006" s="82" t="s">
        <v>20971</v>
      </c>
      <c r="BC4006" s="82" t="s">
        <v>20770</v>
      </c>
      <c r="BD4006" s="82" t="s">
        <v>21766</v>
      </c>
      <c r="BE4006" s="77"/>
      <c r="BF4006" s="77"/>
      <c r="BG4006" s="77"/>
      <c r="BH4006" s="77"/>
      <c r="BI4006" s="77"/>
    </row>
    <row r="4007" spans="1:61" x14ac:dyDescent="0.25">
      <c r="A4007" s="62" t="s">
        <v>1227</v>
      </c>
      <c r="B4007" s="62" t="s">
        <v>1227</v>
      </c>
      <c r="C4007" s="63"/>
      <c r="D4007" s="64"/>
      <c r="E4007" s="65"/>
      <c r="F4007" s="66"/>
      <c r="G4007" s="63"/>
      <c r="H4007" s="67"/>
      <c r="I4007" s="68"/>
      <c r="J4007" s="68"/>
      <c r="K4007" s="32"/>
      <c r="L4007" s="75">
        <v>4007</v>
      </c>
      <c r="M4007" s="75"/>
      <c r="N4007" s="70"/>
      <c r="O4007" s="77" t="s">
        <v>179</v>
      </c>
      <c r="P4007" s="79">
        <v>45033.632303240738</v>
      </c>
      <c r="Q4007" s="77" t="s">
        <v>5210</v>
      </c>
      <c r="R4007" s="77">
        <v>0</v>
      </c>
      <c r="S4007" s="77">
        <v>0</v>
      </c>
      <c r="T4007" s="77">
        <v>0</v>
      </c>
      <c r="U4007" s="77">
        <v>0</v>
      </c>
      <c r="V4007" s="77"/>
      <c r="W4007" s="82" t="s">
        <v>5236</v>
      </c>
      <c r="X4007" s="80" t="str">
        <f>HYPERLINK("https://go.hotmart.com/B77468619P")</f>
        <v>https://go.hotmart.com/B77468619P</v>
      </c>
      <c r="Y4007" s="77" t="s">
        <v>7251</v>
      </c>
      <c r="Z4007" s="77"/>
      <c r="AA4007" s="77" t="s">
        <v>10116</v>
      </c>
      <c r="AB4007" s="77" t="s">
        <v>10130</v>
      </c>
      <c r="AC4007" s="82" t="s">
        <v>10182</v>
      </c>
      <c r="AD4007" s="77" t="s">
        <v>10184</v>
      </c>
      <c r="AE4007" s="80" t="str">
        <f>HYPERLINK("https://twitter.com/vida_low_carb/status/1647980866868584450")</f>
        <v>https://twitter.com/vida_low_carb/status/1647980866868584450</v>
      </c>
      <c r="AF4007" s="79">
        <v>45033.632303240738</v>
      </c>
      <c r="AG4007" s="85">
        <v>45033</v>
      </c>
      <c r="AH4007" s="82" t="s">
        <v>13977</v>
      </c>
      <c r="AI4007" s="77" t="b">
        <v>0</v>
      </c>
      <c r="AJ4007" s="77"/>
      <c r="AK4007" s="77"/>
      <c r="AL4007" s="77"/>
      <c r="AM4007" s="77"/>
      <c r="AN4007" s="77"/>
      <c r="AO4007" s="77"/>
      <c r="AP4007" s="77"/>
      <c r="AQ4007" s="77" t="s">
        <v>16759</v>
      </c>
      <c r="AR4007" s="77"/>
      <c r="AS4007" s="77"/>
      <c r="AT4007" s="77"/>
      <c r="AU4007" s="77"/>
      <c r="AV4007" s="80" t="str">
        <f>HYPERLINK("https://pbs.twimg.com/media/Ft7N2cdX0AMhU9i.jpg")</f>
        <v>https://pbs.twimg.com/media/Ft7N2cdX0AMhU9i.jpg</v>
      </c>
      <c r="AW4007" s="82" t="s">
        <v>20771</v>
      </c>
      <c r="AX4007" s="82" t="s">
        <v>20771</v>
      </c>
      <c r="AY4007" s="77"/>
      <c r="AZ4007" s="82" t="s">
        <v>20971</v>
      </c>
      <c r="BA4007" s="82" t="s">
        <v>20971</v>
      </c>
      <c r="BB4007" s="82" t="s">
        <v>20971</v>
      </c>
      <c r="BC4007" s="82" t="s">
        <v>20771</v>
      </c>
      <c r="BD4007" s="82" t="s">
        <v>21767</v>
      </c>
      <c r="BE4007" s="77"/>
      <c r="BF4007" s="77"/>
      <c r="BG4007" s="77"/>
      <c r="BH4007" s="77"/>
      <c r="BI4007" s="77"/>
    </row>
    <row r="4008" spans="1:61" x14ac:dyDescent="0.25">
      <c r="A4008" s="62" t="s">
        <v>1228</v>
      </c>
      <c r="B4008" s="62" t="s">
        <v>1228</v>
      </c>
      <c r="C4008" s="63"/>
      <c r="D4008" s="64"/>
      <c r="E4008" s="65"/>
      <c r="F4008" s="66"/>
      <c r="G4008" s="63"/>
      <c r="H4008" s="67"/>
      <c r="I4008" s="68"/>
      <c r="J4008" s="68"/>
      <c r="K4008" s="32"/>
      <c r="L4008" s="75">
        <v>4008</v>
      </c>
      <c r="M4008" s="75"/>
      <c r="N4008" s="70"/>
      <c r="O4008" s="77" t="s">
        <v>179</v>
      </c>
      <c r="P4008" s="79">
        <v>45074.578969907408</v>
      </c>
      <c r="Q4008" s="77" t="s">
        <v>5211</v>
      </c>
      <c r="R4008" s="77">
        <v>0</v>
      </c>
      <c r="S4008" s="77">
        <v>0</v>
      </c>
      <c r="T4008" s="77">
        <v>0</v>
      </c>
      <c r="U4008" s="77">
        <v>0</v>
      </c>
      <c r="V4008" s="77">
        <v>98</v>
      </c>
      <c r="W4008" s="82" t="s">
        <v>7171</v>
      </c>
      <c r="X4008" s="80" t="str">
        <f>HYPERLINK("https://96594324.ifishmaster.xyz/invite_3.html?id=96594324")</f>
        <v>https://96594324.ifishmaster.xyz/invite_3.html?id=96594324</v>
      </c>
      <c r="Y4008" s="77" t="s">
        <v>7498</v>
      </c>
      <c r="Z4008" s="77"/>
      <c r="AA4008" s="77" t="s">
        <v>10117</v>
      </c>
      <c r="AB4008" s="77" t="s">
        <v>10136</v>
      </c>
      <c r="AC4008" s="82" t="s">
        <v>10144</v>
      </c>
      <c r="AD4008" s="77" t="s">
        <v>10184</v>
      </c>
      <c r="AE4008" s="80" t="str">
        <f>HYPERLINK("https://twitter.com/dangerkillerxd/status/1662819443611762690")</f>
        <v>https://twitter.com/dangerkillerxd/status/1662819443611762690</v>
      </c>
      <c r="AF4008" s="79">
        <v>45074.578969907408</v>
      </c>
      <c r="AG4008" s="85">
        <v>45074</v>
      </c>
      <c r="AH4008" s="82" t="s">
        <v>13978</v>
      </c>
      <c r="AI4008" s="77" t="b">
        <v>0</v>
      </c>
      <c r="AJ4008" s="77"/>
      <c r="AK4008" s="77"/>
      <c r="AL4008" s="77"/>
      <c r="AM4008" s="77"/>
      <c r="AN4008" s="77"/>
      <c r="AO4008" s="77"/>
      <c r="AP4008" s="77"/>
      <c r="AQ4008" s="77" t="s">
        <v>16760</v>
      </c>
      <c r="AR4008" s="77">
        <v>140032</v>
      </c>
      <c r="AS4008" s="77"/>
      <c r="AT4008" s="77"/>
      <c r="AU4008" s="77"/>
      <c r="AV4008" s="80" t="str">
        <f>HYPERLINK("https://pbs.twimg.com/ext_tw_video_thumb/1662819271406149632/pu/img/ERthNmWCfYA_Z2vL.jpg")</f>
        <v>https://pbs.twimg.com/ext_tw_video_thumb/1662819271406149632/pu/img/ERthNmWCfYA_Z2vL.jpg</v>
      </c>
      <c r="AW4008" s="82" t="s">
        <v>20772</v>
      </c>
      <c r="AX4008" s="82" t="s">
        <v>20772</v>
      </c>
      <c r="AY4008" s="77"/>
      <c r="AZ4008" s="82" t="s">
        <v>20971</v>
      </c>
      <c r="BA4008" s="82" t="s">
        <v>20971</v>
      </c>
      <c r="BB4008" s="82" t="s">
        <v>20971</v>
      </c>
      <c r="BC4008" s="82" t="s">
        <v>20772</v>
      </c>
      <c r="BD4008" s="82" t="s">
        <v>21768</v>
      </c>
      <c r="BE4008" s="77"/>
      <c r="BF4008" s="77"/>
      <c r="BG4008" s="77"/>
      <c r="BH4008" s="77"/>
      <c r="BI4008" s="77"/>
    </row>
    <row r="4009" spans="1:61" x14ac:dyDescent="0.25">
      <c r="A4009" s="62" t="s">
        <v>1229</v>
      </c>
      <c r="B4009" s="62" t="s">
        <v>1229</v>
      </c>
      <c r="C4009" s="63"/>
      <c r="D4009" s="64"/>
      <c r="E4009" s="65"/>
      <c r="F4009" s="66"/>
      <c r="G4009" s="63"/>
      <c r="H4009" s="67"/>
      <c r="I4009" s="68"/>
      <c r="J4009" s="68"/>
      <c r="K4009" s="32"/>
      <c r="L4009" s="75">
        <v>4009</v>
      </c>
      <c r="M4009" s="75"/>
      <c r="N4009" s="70"/>
      <c r="O4009" s="77" t="s">
        <v>179</v>
      </c>
      <c r="P4009" s="79">
        <v>44972.66064814815</v>
      </c>
      <c r="Q4009" s="77" t="s">
        <v>5212</v>
      </c>
      <c r="R4009" s="77">
        <v>0</v>
      </c>
      <c r="S4009" s="77">
        <v>0</v>
      </c>
      <c r="T4009" s="77">
        <v>0</v>
      </c>
      <c r="U4009" s="77">
        <v>0</v>
      </c>
      <c r="V4009" s="77">
        <v>241</v>
      </c>
      <c r="W4009" s="82" t="s">
        <v>5236</v>
      </c>
      <c r="X4009" s="80" t="str">
        <f>HYPERLINK("https://wa.me/message/67U2HZ73RJAYO1")</f>
        <v>https://wa.me/message/67U2HZ73RJAYO1</v>
      </c>
      <c r="Y4009" s="77" t="s">
        <v>7279</v>
      </c>
      <c r="Z4009" s="77"/>
      <c r="AA4009" s="77" t="s">
        <v>10118</v>
      </c>
      <c r="AB4009" s="77" t="s">
        <v>10130</v>
      </c>
      <c r="AC4009" s="82" t="s">
        <v>10145</v>
      </c>
      <c r="AD4009" s="77" t="s">
        <v>10184</v>
      </c>
      <c r="AE4009" s="80" t="str">
        <f>HYPERLINK("https://twitter.com/camgirllivu/status/1625885481325019140")</f>
        <v>https://twitter.com/camgirllivu/status/1625885481325019140</v>
      </c>
      <c r="AF4009" s="79">
        <v>44972.66064814815</v>
      </c>
      <c r="AG4009" s="85">
        <v>44972</v>
      </c>
      <c r="AH4009" s="82" t="s">
        <v>13979</v>
      </c>
      <c r="AI4009" s="77" t="b">
        <v>0</v>
      </c>
      <c r="AJ4009" s="77"/>
      <c r="AK4009" s="77"/>
      <c r="AL4009" s="77"/>
      <c r="AM4009" s="77"/>
      <c r="AN4009" s="77"/>
      <c r="AO4009" s="77"/>
      <c r="AP4009" s="77"/>
      <c r="AQ4009" s="77" t="s">
        <v>16761</v>
      </c>
      <c r="AR4009" s="77"/>
      <c r="AS4009" s="77"/>
      <c r="AT4009" s="77"/>
      <c r="AU4009" s="77"/>
      <c r="AV4009" s="80" t="str">
        <f>HYPERLINK("https://pbs.twimg.com/media/FpBOOgPXwAAjYek.jpg")</f>
        <v>https://pbs.twimg.com/media/FpBOOgPXwAAjYek.jpg</v>
      </c>
      <c r="AW4009" s="82" t="s">
        <v>20773</v>
      </c>
      <c r="AX4009" s="82" t="s">
        <v>20773</v>
      </c>
      <c r="AY4009" s="77"/>
      <c r="AZ4009" s="82" t="s">
        <v>20971</v>
      </c>
      <c r="BA4009" s="82" t="s">
        <v>20971</v>
      </c>
      <c r="BB4009" s="82" t="s">
        <v>20971</v>
      </c>
      <c r="BC4009" s="82" t="s">
        <v>20773</v>
      </c>
      <c r="BD4009" s="82" t="s">
        <v>21769</v>
      </c>
      <c r="BE4009" s="77"/>
      <c r="BF4009" s="77"/>
      <c r="BG4009" s="77"/>
      <c r="BH4009" s="77"/>
      <c r="BI4009" s="77"/>
    </row>
    <row r="4010" spans="1:61" x14ac:dyDescent="0.25">
      <c r="A4010" s="62" t="s">
        <v>1229</v>
      </c>
      <c r="B4010" s="62" t="s">
        <v>1229</v>
      </c>
      <c r="C4010" s="63"/>
      <c r="D4010" s="64"/>
      <c r="E4010" s="65"/>
      <c r="F4010" s="66"/>
      <c r="G4010" s="63"/>
      <c r="H4010" s="67"/>
      <c r="I4010" s="68"/>
      <c r="J4010" s="68"/>
      <c r="K4010" s="32"/>
      <c r="L4010" s="75">
        <v>4010</v>
      </c>
      <c r="M4010" s="75"/>
      <c r="N4010" s="70"/>
      <c r="O4010" s="77" t="s">
        <v>179</v>
      </c>
      <c r="P4010" s="79">
        <v>45042.722384259258</v>
      </c>
      <c r="Q4010" s="77" t="s">
        <v>5213</v>
      </c>
      <c r="R4010" s="77">
        <v>0</v>
      </c>
      <c r="S4010" s="77">
        <v>0</v>
      </c>
      <c r="T4010" s="77">
        <v>2</v>
      </c>
      <c r="U4010" s="77">
        <v>1</v>
      </c>
      <c r="V4010" s="77">
        <v>4537</v>
      </c>
      <c r="W4010" s="82" t="s">
        <v>7172</v>
      </c>
      <c r="X4010" s="77"/>
      <c r="Y4010" s="77"/>
      <c r="Z4010" s="77"/>
      <c r="AA4010" s="77" t="s">
        <v>10119</v>
      </c>
      <c r="AB4010" s="77" t="s">
        <v>10129</v>
      </c>
      <c r="AC4010" s="82" t="s">
        <v>10145</v>
      </c>
      <c r="AD4010" s="77" t="s">
        <v>10184</v>
      </c>
      <c r="AE4010" s="80" t="str">
        <f>HYPERLINK("https://twitter.com/camgirllivu/status/1651275003432779784")</f>
        <v>https://twitter.com/camgirllivu/status/1651275003432779784</v>
      </c>
      <c r="AF4010" s="79">
        <v>45042.722384259258</v>
      </c>
      <c r="AG4010" s="85">
        <v>45042</v>
      </c>
      <c r="AH4010" s="82" t="s">
        <v>13980</v>
      </c>
      <c r="AI4010" s="77" t="b">
        <v>0</v>
      </c>
      <c r="AJ4010" s="77"/>
      <c r="AK4010" s="77"/>
      <c r="AL4010" s="77"/>
      <c r="AM4010" s="77"/>
      <c r="AN4010" s="77"/>
      <c r="AO4010" s="77"/>
      <c r="AP4010" s="77"/>
      <c r="AQ4010" s="77" t="s">
        <v>16762</v>
      </c>
      <c r="AR4010" s="77">
        <v>8000</v>
      </c>
      <c r="AS4010" s="77"/>
      <c r="AT4010" s="77"/>
      <c r="AU4010" s="77"/>
      <c r="AV4010" s="80" t="str">
        <f>HYPERLINK("https://pbs.twimg.com/ext_tw_video_thumb/1651274971035975719/pu/img/VFf8NhAxo_bxp4RP.jpg")</f>
        <v>https://pbs.twimg.com/ext_tw_video_thumb/1651274971035975719/pu/img/VFf8NhAxo_bxp4RP.jpg</v>
      </c>
      <c r="AW4010" s="82" t="s">
        <v>20774</v>
      </c>
      <c r="AX4010" s="82" t="s">
        <v>20774</v>
      </c>
      <c r="AY4010" s="77"/>
      <c r="AZ4010" s="82" t="s">
        <v>20971</v>
      </c>
      <c r="BA4010" s="82" t="s">
        <v>20971</v>
      </c>
      <c r="BB4010" s="82" t="s">
        <v>20971</v>
      </c>
      <c r="BC4010" s="82" t="s">
        <v>20774</v>
      </c>
      <c r="BD4010" s="82" t="s">
        <v>21769</v>
      </c>
      <c r="BE4010" s="77"/>
      <c r="BF4010" s="77"/>
      <c r="BG4010" s="77"/>
      <c r="BH4010" s="77"/>
      <c r="BI4010" s="77"/>
    </row>
    <row r="4011" spans="1:61" x14ac:dyDescent="0.25">
      <c r="A4011" s="62" t="s">
        <v>1230</v>
      </c>
      <c r="B4011" s="62" t="s">
        <v>1230</v>
      </c>
      <c r="C4011" s="63"/>
      <c r="D4011" s="64"/>
      <c r="E4011" s="65"/>
      <c r="F4011" s="66"/>
      <c r="G4011" s="63"/>
      <c r="H4011" s="67"/>
      <c r="I4011" s="68"/>
      <c r="J4011" s="68"/>
      <c r="K4011" s="32"/>
      <c r="L4011" s="75">
        <v>4011</v>
      </c>
      <c r="M4011" s="75"/>
      <c r="N4011" s="70"/>
      <c r="O4011" s="77" t="s">
        <v>179</v>
      </c>
      <c r="P4011" s="79">
        <v>44957.972534722219</v>
      </c>
      <c r="Q4011" s="77" t="s">
        <v>5214</v>
      </c>
      <c r="R4011" s="77">
        <v>0</v>
      </c>
      <c r="S4011" s="77">
        <v>0</v>
      </c>
      <c r="T4011" s="77">
        <v>0</v>
      </c>
      <c r="U4011" s="77">
        <v>0</v>
      </c>
      <c r="V4011" s="77">
        <v>15</v>
      </c>
      <c r="W4011" s="82" t="s">
        <v>7173</v>
      </c>
      <c r="X4011" s="80" t="str">
        <f>HYPERLINK("https://game.brlwin.com/?code=ztgfjy")</f>
        <v>https://game.brlwin.com/?code=ztgfjy</v>
      </c>
      <c r="Y4011" s="77" t="s">
        <v>7304</v>
      </c>
      <c r="Z4011" s="77"/>
      <c r="AA4011" s="77"/>
      <c r="AB4011" s="77"/>
      <c r="AC4011" s="82" t="s">
        <v>10145</v>
      </c>
      <c r="AD4011" s="77" t="s">
        <v>10184</v>
      </c>
      <c r="AE4011" s="80" t="str">
        <f>HYPERLINK("https://twitter.com/bbarbaraasantos/status/1620562683593658368")</f>
        <v>https://twitter.com/bbarbaraasantos/status/1620562683593658368</v>
      </c>
      <c r="AF4011" s="79">
        <v>44957.972534722219</v>
      </c>
      <c r="AG4011" s="85">
        <v>44957</v>
      </c>
      <c r="AH4011" s="82" t="s">
        <v>13981</v>
      </c>
      <c r="AI4011" s="77" t="b">
        <v>0</v>
      </c>
      <c r="AJ4011" s="77"/>
      <c r="AK4011" s="77"/>
      <c r="AL4011" s="77"/>
      <c r="AM4011" s="77"/>
      <c r="AN4011" s="77"/>
      <c r="AO4011" s="77"/>
      <c r="AP4011" s="77"/>
      <c r="AQ4011" s="77"/>
      <c r="AR4011" s="77"/>
      <c r="AS4011" s="77"/>
      <c r="AT4011" s="77"/>
      <c r="AU4011" s="77"/>
      <c r="AV4011" s="80" t="str">
        <f>HYPERLINK("https://pbs.twimg.com/profile_images/1686518960668225536/Qg3Udekc_normal.jpg")</f>
        <v>https://pbs.twimg.com/profile_images/1686518960668225536/Qg3Udekc_normal.jpg</v>
      </c>
      <c r="AW4011" s="82" t="s">
        <v>20775</v>
      </c>
      <c r="AX4011" s="82" t="s">
        <v>20775</v>
      </c>
      <c r="AY4011" s="77"/>
      <c r="AZ4011" s="82" t="s">
        <v>20971</v>
      </c>
      <c r="BA4011" s="82" t="s">
        <v>20971</v>
      </c>
      <c r="BB4011" s="82" t="s">
        <v>20971</v>
      </c>
      <c r="BC4011" s="82" t="s">
        <v>20775</v>
      </c>
      <c r="BD4011" s="82" t="s">
        <v>21770</v>
      </c>
      <c r="BE4011" s="77"/>
      <c r="BF4011" s="77"/>
      <c r="BG4011" s="77"/>
      <c r="BH4011" s="77"/>
      <c r="BI4011" s="77"/>
    </row>
    <row r="4012" spans="1:61" x14ac:dyDescent="0.25">
      <c r="A4012" s="62" t="s">
        <v>1231</v>
      </c>
      <c r="B4012" s="62" t="s">
        <v>1231</v>
      </c>
      <c r="C4012" s="63"/>
      <c r="D4012" s="64"/>
      <c r="E4012" s="65"/>
      <c r="F4012" s="66"/>
      <c r="G4012" s="63"/>
      <c r="H4012" s="67"/>
      <c r="I4012" s="68"/>
      <c r="J4012" s="68"/>
      <c r="K4012" s="32"/>
      <c r="L4012" s="75">
        <v>4012</v>
      </c>
      <c r="M4012" s="75"/>
      <c r="N4012" s="70"/>
      <c r="O4012" s="77" t="s">
        <v>179</v>
      </c>
      <c r="P4012" s="79">
        <v>45043.553680555553</v>
      </c>
      <c r="Q4012" s="77" t="s">
        <v>5215</v>
      </c>
      <c r="R4012" s="77">
        <v>0</v>
      </c>
      <c r="S4012" s="77">
        <v>0</v>
      </c>
      <c r="T4012" s="77">
        <v>0</v>
      </c>
      <c r="U4012" s="77">
        <v>0</v>
      </c>
      <c r="V4012" s="77">
        <v>30</v>
      </c>
      <c r="W4012" s="82" t="s">
        <v>7174</v>
      </c>
      <c r="X4012" s="80" t="str">
        <f>HYPERLINK("https://pinkfire.com.br/como-criar-um-ebook-e-ganhar-dinheiro/")</f>
        <v>https://pinkfire.com.br/como-criar-um-ebook-e-ganhar-dinheiro/</v>
      </c>
      <c r="Y4012" s="77" t="s">
        <v>7252</v>
      </c>
      <c r="Z4012" s="77"/>
      <c r="AA4012" s="77"/>
      <c r="AB4012" s="77"/>
      <c r="AC4012" s="82" t="s">
        <v>10146</v>
      </c>
      <c r="AD4012" s="77" t="s">
        <v>10184</v>
      </c>
      <c r="AE4012" s="80" t="str">
        <f>HYPERLINK("https://twitter.com/pinkfirebr/status/1651576255735627777")</f>
        <v>https://twitter.com/pinkfirebr/status/1651576255735627777</v>
      </c>
      <c r="AF4012" s="79">
        <v>45043.553680555553</v>
      </c>
      <c r="AG4012" s="85">
        <v>45043</v>
      </c>
      <c r="AH4012" s="82" t="s">
        <v>13982</v>
      </c>
      <c r="AI4012" s="77" t="b">
        <v>0</v>
      </c>
      <c r="AJ4012" s="77"/>
      <c r="AK4012" s="77"/>
      <c r="AL4012" s="77"/>
      <c r="AM4012" s="77"/>
      <c r="AN4012" s="77"/>
      <c r="AO4012" s="77"/>
      <c r="AP4012" s="77"/>
      <c r="AQ4012" s="77"/>
      <c r="AR4012" s="77"/>
      <c r="AS4012" s="77"/>
      <c r="AT4012" s="77"/>
      <c r="AU4012" s="77"/>
      <c r="AV4012" s="80" t="str">
        <f>HYPERLINK("https://pbs.twimg.com/profile_images/1442858031692255232/Scyzd8pN_normal.jpg")</f>
        <v>https://pbs.twimg.com/profile_images/1442858031692255232/Scyzd8pN_normal.jpg</v>
      </c>
      <c r="AW4012" s="82" t="s">
        <v>20776</v>
      </c>
      <c r="AX4012" s="82" t="s">
        <v>20776</v>
      </c>
      <c r="AY4012" s="77"/>
      <c r="AZ4012" s="82" t="s">
        <v>20971</v>
      </c>
      <c r="BA4012" s="82" t="s">
        <v>20971</v>
      </c>
      <c r="BB4012" s="82" t="s">
        <v>20971</v>
      </c>
      <c r="BC4012" s="82" t="s">
        <v>20776</v>
      </c>
      <c r="BD4012" s="77">
        <v>51877675</v>
      </c>
      <c r="BE4012" s="77"/>
      <c r="BF4012" s="77"/>
      <c r="BG4012" s="77"/>
      <c r="BH4012" s="77"/>
      <c r="BI4012" s="77"/>
    </row>
    <row r="4013" spans="1:61" x14ac:dyDescent="0.25">
      <c r="A4013" s="62" t="s">
        <v>1231</v>
      </c>
      <c r="B4013" s="62" t="s">
        <v>1231</v>
      </c>
      <c r="C4013" s="63"/>
      <c r="D4013" s="64"/>
      <c r="E4013" s="65"/>
      <c r="F4013" s="66"/>
      <c r="G4013" s="63"/>
      <c r="H4013" s="67"/>
      <c r="I4013" s="68"/>
      <c r="J4013" s="68"/>
      <c r="K4013" s="32"/>
      <c r="L4013" s="75">
        <v>4013</v>
      </c>
      <c r="M4013" s="75"/>
      <c r="N4013" s="70"/>
      <c r="O4013" s="77" t="s">
        <v>179</v>
      </c>
      <c r="P4013" s="79">
        <v>45175.59584490741</v>
      </c>
      <c r="Q4013" s="77" t="s">
        <v>5216</v>
      </c>
      <c r="R4013" s="77">
        <v>0</v>
      </c>
      <c r="S4013" s="77">
        <v>0</v>
      </c>
      <c r="T4013" s="77">
        <v>0</v>
      </c>
      <c r="U4013" s="77">
        <v>0</v>
      </c>
      <c r="V4013" s="77">
        <v>22</v>
      </c>
      <c r="W4013" s="82" t="s">
        <v>5236</v>
      </c>
      <c r="X4013" s="80" t="str">
        <f>HYPERLINK("https://pinkfire.com.br/google-opinion-rewards/")</f>
        <v>https://pinkfire.com.br/google-opinion-rewards/</v>
      </c>
      <c r="Y4013" s="77" t="s">
        <v>7252</v>
      </c>
      <c r="Z4013" s="77"/>
      <c r="AA4013" s="77"/>
      <c r="AB4013" s="77"/>
      <c r="AC4013" s="82" t="s">
        <v>10146</v>
      </c>
      <c r="AD4013" s="77" t="s">
        <v>10184</v>
      </c>
      <c r="AE4013" s="80" t="str">
        <f>HYPERLINK("https://twitter.com/pinkfirebr/status/1699426731768037702")</f>
        <v>https://twitter.com/pinkfirebr/status/1699426731768037702</v>
      </c>
      <c r="AF4013" s="79">
        <v>45175.59584490741</v>
      </c>
      <c r="AG4013" s="85">
        <v>45175</v>
      </c>
      <c r="AH4013" s="82" t="s">
        <v>13983</v>
      </c>
      <c r="AI4013" s="77" t="b">
        <v>0</v>
      </c>
      <c r="AJ4013" s="77"/>
      <c r="AK4013" s="77"/>
      <c r="AL4013" s="77"/>
      <c r="AM4013" s="77"/>
      <c r="AN4013" s="77"/>
      <c r="AO4013" s="77"/>
      <c r="AP4013" s="77"/>
      <c r="AQ4013" s="77"/>
      <c r="AR4013" s="77"/>
      <c r="AS4013" s="77"/>
      <c r="AT4013" s="77"/>
      <c r="AU4013" s="77"/>
      <c r="AV4013" s="80" t="str">
        <f>HYPERLINK("https://pbs.twimg.com/profile_images/1442858031692255232/Scyzd8pN_normal.jpg")</f>
        <v>https://pbs.twimg.com/profile_images/1442858031692255232/Scyzd8pN_normal.jpg</v>
      </c>
      <c r="AW4013" s="82" t="s">
        <v>20777</v>
      </c>
      <c r="AX4013" s="82" t="s">
        <v>20777</v>
      </c>
      <c r="AY4013" s="77"/>
      <c r="AZ4013" s="82" t="s">
        <v>20971</v>
      </c>
      <c r="BA4013" s="82" t="s">
        <v>20971</v>
      </c>
      <c r="BB4013" s="82" t="s">
        <v>20971</v>
      </c>
      <c r="BC4013" s="82" t="s">
        <v>20777</v>
      </c>
      <c r="BD4013" s="77">
        <v>51877675</v>
      </c>
      <c r="BE4013" s="77"/>
      <c r="BF4013" s="77"/>
      <c r="BG4013" s="77"/>
      <c r="BH4013" s="77"/>
      <c r="BI4013" s="77"/>
    </row>
    <row r="4014" spans="1:61" x14ac:dyDescent="0.25">
      <c r="A4014" s="62" t="s">
        <v>1232</v>
      </c>
      <c r="B4014" s="62" t="s">
        <v>1232</v>
      </c>
      <c r="C4014" s="63"/>
      <c r="D4014" s="64"/>
      <c r="E4014" s="65"/>
      <c r="F4014" s="66"/>
      <c r="G4014" s="63"/>
      <c r="H4014" s="67"/>
      <c r="I4014" s="68"/>
      <c r="J4014" s="68"/>
      <c r="K4014" s="32"/>
      <c r="L4014" s="75">
        <v>4014</v>
      </c>
      <c r="M4014" s="75"/>
      <c r="N4014" s="70"/>
      <c r="O4014" s="77" t="s">
        <v>179</v>
      </c>
      <c r="P4014" s="79">
        <v>45152.547534722224</v>
      </c>
      <c r="Q4014" s="77" t="s">
        <v>5217</v>
      </c>
      <c r="R4014" s="77">
        <v>0</v>
      </c>
      <c r="S4014" s="77">
        <v>1</v>
      </c>
      <c r="T4014" s="77">
        <v>1</v>
      </c>
      <c r="U4014" s="77">
        <v>0</v>
      </c>
      <c r="V4014" s="77">
        <v>35</v>
      </c>
      <c r="W4014" s="82" t="s">
        <v>7175</v>
      </c>
      <c r="X4014" s="77"/>
      <c r="Y4014" s="77"/>
      <c r="Z4014" s="77"/>
      <c r="AA4014" s="77" t="s">
        <v>10120</v>
      </c>
      <c r="AB4014" s="77" t="s">
        <v>10133</v>
      </c>
      <c r="AC4014" s="82" t="s">
        <v>10146</v>
      </c>
      <c r="AD4014" s="77" t="s">
        <v>10184</v>
      </c>
      <c r="AE4014" s="80" t="str">
        <f>HYPERLINK("https://twitter.com/acerto_negocie/status/1691074304698413060")</f>
        <v>https://twitter.com/acerto_negocie/status/1691074304698413060</v>
      </c>
      <c r="AF4014" s="79">
        <v>45152.547534722224</v>
      </c>
      <c r="AG4014" s="85">
        <v>45152</v>
      </c>
      <c r="AH4014" s="82" t="s">
        <v>13984</v>
      </c>
      <c r="AI4014" s="77" t="b">
        <v>0</v>
      </c>
      <c r="AJ4014" s="77"/>
      <c r="AK4014" s="77"/>
      <c r="AL4014" s="77"/>
      <c r="AM4014" s="77"/>
      <c r="AN4014" s="77"/>
      <c r="AO4014" s="77"/>
      <c r="AP4014" s="77"/>
      <c r="AQ4014" s="77" t="s">
        <v>16763</v>
      </c>
      <c r="AR4014" s="77"/>
      <c r="AS4014" s="77"/>
      <c r="AT4014" s="77"/>
      <c r="AU4014" s="77"/>
      <c r="AV4014" s="80" t="str">
        <f>HYPERLINK("https://pbs.twimg.com/tweet_video_thumb/F3fnHSHWwAA_RHp.jpg")</f>
        <v>https://pbs.twimg.com/tweet_video_thumb/F3fnHSHWwAA_RHp.jpg</v>
      </c>
      <c r="AW4014" s="82" t="s">
        <v>20778</v>
      </c>
      <c r="AX4014" s="82" t="s">
        <v>20778</v>
      </c>
      <c r="AY4014" s="77"/>
      <c r="AZ4014" s="82" t="s">
        <v>20971</v>
      </c>
      <c r="BA4014" s="82" t="s">
        <v>20971</v>
      </c>
      <c r="BB4014" s="82" t="s">
        <v>20971</v>
      </c>
      <c r="BC4014" s="82" t="s">
        <v>20778</v>
      </c>
      <c r="BD4014" s="82" t="s">
        <v>21771</v>
      </c>
      <c r="BE4014" s="77"/>
      <c r="BF4014" s="77"/>
      <c r="BG4014" s="77"/>
      <c r="BH4014" s="77"/>
      <c r="BI4014" s="77"/>
    </row>
    <row r="4015" spans="1:61" x14ac:dyDescent="0.25">
      <c r="A4015" s="62" t="s">
        <v>1233</v>
      </c>
      <c r="B4015" s="62" t="s">
        <v>1233</v>
      </c>
      <c r="C4015" s="63"/>
      <c r="D4015" s="64"/>
      <c r="E4015" s="65"/>
      <c r="F4015" s="66"/>
      <c r="G4015" s="63"/>
      <c r="H4015" s="67"/>
      <c r="I4015" s="68"/>
      <c r="J4015" s="68"/>
      <c r="K4015" s="32"/>
      <c r="L4015" s="75">
        <v>4015</v>
      </c>
      <c r="M4015" s="75"/>
      <c r="N4015" s="70"/>
      <c r="O4015" s="77" t="s">
        <v>179</v>
      </c>
      <c r="P4015" s="79">
        <v>45110.887870370374</v>
      </c>
      <c r="Q4015" s="77" t="s">
        <v>5218</v>
      </c>
      <c r="R4015" s="77">
        <v>0</v>
      </c>
      <c r="S4015" s="77">
        <v>0</v>
      </c>
      <c r="T4015" s="77">
        <v>0</v>
      </c>
      <c r="U4015" s="77">
        <v>0</v>
      </c>
      <c r="V4015" s="77">
        <v>561</v>
      </c>
      <c r="W4015" s="82" t="s">
        <v>7176</v>
      </c>
      <c r="X4015" s="77"/>
      <c r="Y4015" s="77"/>
      <c r="Z4015" s="77"/>
      <c r="AA4015" s="77" t="s">
        <v>10121</v>
      </c>
      <c r="AB4015" s="77" t="s">
        <v>10129</v>
      </c>
      <c r="AC4015" s="82" t="s">
        <v>10145</v>
      </c>
      <c r="AD4015" s="77" t="s">
        <v>10184</v>
      </c>
      <c r="AE4015" s="80" t="str">
        <f>HYPERLINK("https://twitter.com/eugenionunes/status/1675977347571372045")</f>
        <v>https://twitter.com/eugenionunes/status/1675977347571372045</v>
      </c>
      <c r="AF4015" s="79">
        <v>45110.887870370374</v>
      </c>
      <c r="AG4015" s="85">
        <v>45110</v>
      </c>
      <c r="AH4015" s="82" t="s">
        <v>13985</v>
      </c>
      <c r="AI4015" s="77" t="b">
        <v>0</v>
      </c>
      <c r="AJ4015" s="77"/>
      <c r="AK4015" s="77"/>
      <c r="AL4015" s="77"/>
      <c r="AM4015" s="77"/>
      <c r="AN4015" s="77"/>
      <c r="AO4015" s="77"/>
      <c r="AP4015" s="77"/>
      <c r="AQ4015" s="77" t="s">
        <v>16764</v>
      </c>
      <c r="AR4015" s="77">
        <v>58700</v>
      </c>
      <c r="AS4015" s="77"/>
      <c r="AT4015" s="77"/>
      <c r="AU4015" s="77"/>
      <c r="AV4015" s="80" t="str">
        <f>HYPERLINK("https://pbs.twimg.com/ext_tw_video_thumb/1675977186065494016/pu/img/Z3TKs9hjL7JYVu2K.jpg")</f>
        <v>https://pbs.twimg.com/ext_tw_video_thumb/1675977186065494016/pu/img/Z3TKs9hjL7JYVu2K.jpg</v>
      </c>
      <c r="AW4015" s="82" t="s">
        <v>20779</v>
      </c>
      <c r="AX4015" s="82" t="s">
        <v>20779</v>
      </c>
      <c r="AY4015" s="77"/>
      <c r="AZ4015" s="82" t="s">
        <v>20971</v>
      </c>
      <c r="BA4015" s="82" t="s">
        <v>20971</v>
      </c>
      <c r="BB4015" s="82" t="s">
        <v>20971</v>
      </c>
      <c r="BC4015" s="82" t="s">
        <v>20779</v>
      </c>
      <c r="BD4015" s="77">
        <v>78406686</v>
      </c>
      <c r="BE4015" s="77"/>
      <c r="BF4015" s="77"/>
      <c r="BG4015" s="77"/>
      <c r="BH4015" s="77"/>
      <c r="BI4015" s="77"/>
    </row>
    <row r="4016" spans="1:61" x14ac:dyDescent="0.25">
      <c r="A4016" s="62" t="s">
        <v>1234</v>
      </c>
      <c r="B4016" s="62" t="s">
        <v>1234</v>
      </c>
      <c r="C4016" s="63"/>
      <c r="D4016" s="64"/>
      <c r="E4016" s="65"/>
      <c r="F4016" s="66"/>
      <c r="G4016" s="63"/>
      <c r="H4016" s="67"/>
      <c r="I4016" s="68"/>
      <c r="J4016" s="68"/>
      <c r="K4016" s="32"/>
      <c r="L4016" s="75">
        <v>4016</v>
      </c>
      <c r="M4016" s="75"/>
      <c r="N4016" s="70"/>
      <c r="O4016" s="77" t="s">
        <v>179</v>
      </c>
      <c r="P4016" s="79">
        <v>44984.559166666666</v>
      </c>
      <c r="Q4016" s="77" t="s">
        <v>5219</v>
      </c>
      <c r="R4016" s="77">
        <v>0</v>
      </c>
      <c r="S4016" s="77">
        <v>0</v>
      </c>
      <c r="T4016" s="77">
        <v>0</v>
      </c>
      <c r="U4016" s="77">
        <v>0</v>
      </c>
      <c r="V4016" s="77">
        <v>31</v>
      </c>
      <c r="W4016" s="82" t="s">
        <v>7177</v>
      </c>
      <c r="X4016" s="77"/>
      <c r="Y4016" s="77"/>
      <c r="Z4016" s="77"/>
      <c r="AA4016" s="77" t="s">
        <v>10122</v>
      </c>
      <c r="AB4016" s="77" t="s">
        <v>10130</v>
      </c>
      <c r="AC4016" s="82" t="s">
        <v>10146</v>
      </c>
      <c r="AD4016" s="77" t="s">
        <v>10184</v>
      </c>
      <c r="AE4016" s="80" t="str">
        <f>HYPERLINK("https://twitter.com/limpetasa/status/1630197356367839233")</f>
        <v>https://twitter.com/limpetasa/status/1630197356367839233</v>
      </c>
      <c r="AF4016" s="79">
        <v>44984.559166666666</v>
      </c>
      <c r="AG4016" s="85">
        <v>44984</v>
      </c>
      <c r="AH4016" s="82" t="s">
        <v>13986</v>
      </c>
      <c r="AI4016" s="77" t="b">
        <v>0</v>
      </c>
      <c r="AJ4016" s="77"/>
      <c r="AK4016" s="77"/>
      <c r="AL4016" s="77"/>
      <c r="AM4016" s="77"/>
      <c r="AN4016" s="77"/>
      <c r="AO4016" s="77"/>
      <c r="AP4016" s="77"/>
      <c r="AQ4016" s="77" t="s">
        <v>16765</v>
      </c>
      <c r="AR4016" s="77"/>
      <c r="AS4016" s="77"/>
      <c r="AT4016" s="77"/>
      <c r="AU4016" s="77"/>
      <c r="AV4016" s="80" t="str">
        <f>HYPERLINK("https://pbs.twimg.com/media/Fp-foj2XoAABpcJ.jpg")</f>
        <v>https://pbs.twimg.com/media/Fp-foj2XoAABpcJ.jpg</v>
      </c>
      <c r="AW4016" s="82" t="s">
        <v>20780</v>
      </c>
      <c r="AX4016" s="82" t="s">
        <v>20780</v>
      </c>
      <c r="AY4016" s="77"/>
      <c r="AZ4016" s="82" t="s">
        <v>20971</v>
      </c>
      <c r="BA4016" s="82" t="s">
        <v>20971</v>
      </c>
      <c r="BB4016" s="82" t="s">
        <v>20971</v>
      </c>
      <c r="BC4016" s="82" t="s">
        <v>20780</v>
      </c>
      <c r="BD4016" s="82" t="s">
        <v>21772</v>
      </c>
      <c r="BE4016" s="77"/>
      <c r="BF4016" s="77"/>
      <c r="BG4016" s="77"/>
      <c r="BH4016" s="77"/>
      <c r="BI4016" s="77"/>
    </row>
    <row r="4017" spans="1:61" x14ac:dyDescent="0.25">
      <c r="A4017" s="62" t="s">
        <v>1235</v>
      </c>
      <c r="B4017" s="62" t="s">
        <v>1235</v>
      </c>
      <c r="C4017" s="63"/>
      <c r="D4017" s="64"/>
      <c r="E4017" s="65"/>
      <c r="F4017" s="66"/>
      <c r="G4017" s="63"/>
      <c r="H4017" s="67"/>
      <c r="I4017" s="68"/>
      <c r="J4017" s="68"/>
      <c r="K4017" s="32"/>
      <c r="L4017" s="75">
        <v>4017</v>
      </c>
      <c r="M4017" s="75"/>
      <c r="N4017" s="70"/>
      <c r="O4017" s="77" t="s">
        <v>179</v>
      </c>
      <c r="P4017" s="79">
        <v>44966.577233796299</v>
      </c>
      <c r="Q4017" s="77" t="s">
        <v>5220</v>
      </c>
      <c r="R4017" s="77">
        <v>0</v>
      </c>
      <c r="S4017" s="77">
        <v>0</v>
      </c>
      <c r="T4017" s="77">
        <v>0</v>
      </c>
      <c r="U4017" s="77">
        <v>0</v>
      </c>
      <c r="V4017" s="77">
        <v>1</v>
      </c>
      <c r="W4017" s="82" t="s">
        <v>7178</v>
      </c>
      <c r="X4017" s="80" t="str">
        <f>HYPERLINK("https://deixaqueeuteconto.com.br/deu-prisao-ex-secretario-de-saude-e-preso-em-operacao-e-mais-de-r-1-milhao-e-bloqueado/")</f>
        <v>https://deixaqueeuteconto.com.br/deu-prisao-ex-secretario-de-saude-e-preso-em-operacao-e-mais-de-r-1-milhao-e-bloqueado/</v>
      </c>
      <c r="Y4017" s="77" t="s">
        <v>7252</v>
      </c>
      <c r="Z4017" s="77"/>
      <c r="AA4017" s="77" t="s">
        <v>10123</v>
      </c>
      <c r="AB4017" s="77" t="s">
        <v>10130</v>
      </c>
      <c r="AC4017" s="82" t="s">
        <v>10144</v>
      </c>
      <c r="AD4017" s="77" t="s">
        <v>10184</v>
      </c>
      <c r="AE4017" s="80" t="str">
        <f>HYPERLINK("https://twitter.com/deixaqueeuteco1/status/1623680923194490884")</f>
        <v>https://twitter.com/deixaqueeuteco1/status/1623680923194490884</v>
      </c>
      <c r="AF4017" s="79">
        <v>44966.577233796299</v>
      </c>
      <c r="AG4017" s="85">
        <v>44966</v>
      </c>
      <c r="AH4017" s="82" t="s">
        <v>13987</v>
      </c>
      <c r="AI4017" s="77" t="b">
        <v>0</v>
      </c>
      <c r="AJ4017" s="77"/>
      <c r="AK4017" s="77"/>
      <c r="AL4017" s="77"/>
      <c r="AM4017" s="77"/>
      <c r="AN4017" s="77"/>
      <c r="AO4017" s="77"/>
      <c r="AP4017" s="77"/>
      <c r="AQ4017" s="77" t="s">
        <v>16766</v>
      </c>
      <c r="AR4017" s="77"/>
      <c r="AS4017" s="77"/>
      <c r="AT4017" s="77"/>
      <c r="AU4017" s="77"/>
      <c r="AV4017" s="80" t="str">
        <f>HYPERLINK("https://pbs.twimg.com/media/Foh5MbsXgAMK43R.jpg")</f>
        <v>https://pbs.twimg.com/media/Foh5MbsXgAMK43R.jpg</v>
      </c>
      <c r="AW4017" s="82" t="s">
        <v>20781</v>
      </c>
      <c r="AX4017" s="82" t="s">
        <v>20781</v>
      </c>
      <c r="AY4017" s="77"/>
      <c r="AZ4017" s="82" t="s">
        <v>20971</v>
      </c>
      <c r="BA4017" s="82" t="s">
        <v>20971</v>
      </c>
      <c r="BB4017" s="82" t="s">
        <v>20971</v>
      </c>
      <c r="BC4017" s="82" t="s">
        <v>20781</v>
      </c>
      <c r="BD4017" s="82" t="s">
        <v>21773</v>
      </c>
      <c r="BE4017" s="77"/>
      <c r="BF4017" s="77"/>
      <c r="BG4017" s="77"/>
      <c r="BH4017" s="77"/>
      <c r="BI4017" s="77"/>
    </row>
    <row r="4018" spans="1:61" x14ac:dyDescent="0.25">
      <c r="A4018" s="62" t="s">
        <v>1236</v>
      </c>
      <c r="B4018" s="62" t="s">
        <v>1236</v>
      </c>
      <c r="C4018" s="63"/>
      <c r="D4018" s="64"/>
      <c r="E4018" s="65"/>
      <c r="F4018" s="66"/>
      <c r="G4018" s="63"/>
      <c r="H4018" s="67"/>
      <c r="I4018" s="68"/>
      <c r="J4018" s="68"/>
      <c r="K4018" s="32"/>
      <c r="L4018" s="75">
        <v>4018</v>
      </c>
      <c r="M4018" s="75"/>
      <c r="N4018" s="70"/>
      <c r="O4018" s="77" t="s">
        <v>179</v>
      </c>
      <c r="P4018" s="79">
        <v>45020.773344907408</v>
      </c>
      <c r="Q4018" s="77" t="s">
        <v>5221</v>
      </c>
      <c r="R4018" s="77">
        <v>0</v>
      </c>
      <c r="S4018" s="77">
        <v>0</v>
      </c>
      <c r="T4018" s="77">
        <v>0</v>
      </c>
      <c r="U4018" s="77">
        <v>0</v>
      </c>
      <c r="V4018" s="77">
        <v>11</v>
      </c>
      <c r="W4018" s="82" t="s">
        <v>7179</v>
      </c>
      <c r="X4018" s="80" t="str">
        <f>HYPERLINK("https://financeone.com.br/renda-extra-pascoa/")</f>
        <v>https://financeone.com.br/renda-extra-pascoa/</v>
      </c>
      <c r="Y4018" s="77" t="s">
        <v>7252</v>
      </c>
      <c r="Z4018" s="77"/>
      <c r="AA4018" s="77"/>
      <c r="AB4018" s="77"/>
      <c r="AC4018" s="82" t="s">
        <v>10146</v>
      </c>
      <c r="AD4018" s="77" t="s">
        <v>10184</v>
      </c>
      <c r="AE4018" s="80" t="str">
        <f>HYPERLINK("https://twitter.com/financeone_br/status/1643320936345616385")</f>
        <v>https://twitter.com/financeone_br/status/1643320936345616385</v>
      </c>
      <c r="AF4018" s="79">
        <v>45020.773344907408</v>
      </c>
      <c r="AG4018" s="85">
        <v>45020</v>
      </c>
      <c r="AH4018" s="82" t="s">
        <v>13988</v>
      </c>
      <c r="AI4018" s="77" t="b">
        <v>0</v>
      </c>
      <c r="AJ4018" s="77"/>
      <c r="AK4018" s="77"/>
      <c r="AL4018" s="77"/>
      <c r="AM4018" s="77"/>
      <c r="AN4018" s="77"/>
      <c r="AO4018" s="77"/>
      <c r="AP4018" s="77"/>
      <c r="AQ4018" s="77"/>
      <c r="AR4018" s="77"/>
      <c r="AS4018" s="77"/>
      <c r="AT4018" s="77"/>
      <c r="AU4018" s="77"/>
      <c r="AV4018" s="80" t="str">
        <f>HYPERLINK("https://pbs.twimg.com/profile_images/1503380751831773191/zcG729SG_normal.jpg")</f>
        <v>https://pbs.twimg.com/profile_images/1503380751831773191/zcG729SG_normal.jpg</v>
      </c>
      <c r="AW4018" s="82" t="s">
        <v>20782</v>
      </c>
      <c r="AX4018" s="82" t="s">
        <v>20782</v>
      </c>
      <c r="AY4018" s="77"/>
      <c r="AZ4018" s="82" t="s">
        <v>20971</v>
      </c>
      <c r="BA4018" s="82" t="s">
        <v>20971</v>
      </c>
      <c r="BB4018" s="82" t="s">
        <v>20971</v>
      </c>
      <c r="BC4018" s="82" t="s">
        <v>20782</v>
      </c>
      <c r="BD4018" s="82" t="s">
        <v>21774</v>
      </c>
      <c r="BE4018" s="77"/>
      <c r="BF4018" s="77"/>
      <c r="BG4018" s="77"/>
      <c r="BH4018" s="77"/>
      <c r="BI4018" s="77"/>
    </row>
    <row r="4019" spans="1:61" x14ac:dyDescent="0.25">
      <c r="A4019" s="62" t="s">
        <v>1237</v>
      </c>
      <c r="B4019" s="62" t="s">
        <v>1237</v>
      </c>
      <c r="C4019" s="63"/>
      <c r="D4019" s="64"/>
      <c r="E4019" s="65"/>
      <c r="F4019" s="66"/>
      <c r="G4019" s="63"/>
      <c r="H4019" s="67"/>
      <c r="I4019" s="68"/>
      <c r="J4019" s="68"/>
      <c r="K4019" s="32"/>
      <c r="L4019" s="75">
        <v>4019</v>
      </c>
      <c r="M4019" s="75"/>
      <c r="N4019" s="70"/>
      <c r="O4019" s="77" t="s">
        <v>179</v>
      </c>
      <c r="P4019" s="79">
        <v>45150.106458333335</v>
      </c>
      <c r="Q4019" s="77" t="s">
        <v>5222</v>
      </c>
      <c r="R4019" s="77">
        <v>0</v>
      </c>
      <c r="S4019" s="77">
        <v>0</v>
      </c>
      <c r="T4019" s="77">
        <v>1</v>
      </c>
      <c r="U4019" s="77">
        <v>0</v>
      </c>
      <c r="V4019" s="77">
        <v>268</v>
      </c>
      <c r="W4019" s="82" t="s">
        <v>7180</v>
      </c>
      <c r="X4019" s="80" t="str">
        <f>HYPERLINK("https://bit.ly/RobosGratis")</f>
        <v>https://bit.ly/RobosGratis</v>
      </c>
      <c r="Y4019" s="77" t="s">
        <v>7268</v>
      </c>
      <c r="Z4019" s="77"/>
      <c r="AA4019" s="77" t="s">
        <v>10124</v>
      </c>
      <c r="AB4019" s="77" t="s">
        <v>10129</v>
      </c>
      <c r="AC4019" s="82" t="s">
        <v>10146</v>
      </c>
      <c r="AD4019" s="77" t="s">
        <v>10184</v>
      </c>
      <c r="AE4019" s="80" t="str">
        <f>HYPERLINK("https://twitter.com/foconasapostas/status/1690189687820890112")</f>
        <v>https://twitter.com/foconasapostas/status/1690189687820890112</v>
      </c>
      <c r="AF4019" s="79">
        <v>45150.106458333335</v>
      </c>
      <c r="AG4019" s="85">
        <v>45150</v>
      </c>
      <c r="AH4019" s="82" t="s">
        <v>13989</v>
      </c>
      <c r="AI4019" s="77" t="b">
        <v>0</v>
      </c>
      <c r="AJ4019" s="77"/>
      <c r="AK4019" s="77"/>
      <c r="AL4019" s="77"/>
      <c r="AM4019" s="77"/>
      <c r="AN4019" s="77"/>
      <c r="AO4019" s="77"/>
      <c r="AP4019" s="77"/>
      <c r="AQ4019" s="77" t="s">
        <v>16767</v>
      </c>
      <c r="AR4019" s="77">
        <v>30533</v>
      </c>
      <c r="AS4019" s="77"/>
      <c r="AT4019" s="77"/>
      <c r="AU4019" s="77"/>
      <c r="AV4019" s="80" t="str">
        <f>HYPERLINK("https://pbs.twimg.com/ext_tw_video_thumb/1690189081274159104/pu/img/s6Byase6G1iqUpbf.jpg")</f>
        <v>https://pbs.twimg.com/ext_tw_video_thumb/1690189081274159104/pu/img/s6Byase6G1iqUpbf.jpg</v>
      </c>
      <c r="AW4019" s="82" t="s">
        <v>20783</v>
      </c>
      <c r="AX4019" s="82" t="s">
        <v>20783</v>
      </c>
      <c r="AY4019" s="77"/>
      <c r="AZ4019" s="82" t="s">
        <v>20971</v>
      </c>
      <c r="BA4019" s="82" t="s">
        <v>20971</v>
      </c>
      <c r="BB4019" s="82" t="s">
        <v>20971</v>
      </c>
      <c r="BC4019" s="82" t="s">
        <v>20783</v>
      </c>
      <c r="BD4019" s="82" t="s">
        <v>21775</v>
      </c>
      <c r="BE4019" s="77"/>
      <c r="BF4019" s="77"/>
      <c r="BG4019" s="77"/>
      <c r="BH4019" s="77"/>
      <c r="BI4019" s="77"/>
    </row>
    <row r="4020" spans="1:61" x14ac:dyDescent="0.25">
      <c r="A4020" s="62" t="s">
        <v>1237</v>
      </c>
      <c r="B4020" s="62" t="s">
        <v>1237</v>
      </c>
      <c r="C4020" s="63"/>
      <c r="D4020" s="64"/>
      <c r="E4020" s="65"/>
      <c r="F4020" s="66"/>
      <c r="G4020" s="63"/>
      <c r="H4020" s="67"/>
      <c r="I4020" s="68"/>
      <c r="J4020" s="68"/>
      <c r="K4020" s="32"/>
      <c r="L4020" s="75">
        <v>4020</v>
      </c>
      <c r="M4020" s="75"/>
      <c r="N4020" s="70"/>
      <c r="O4020" s="77" t="s">
        <v>179</v>
      </c>
      <c r="P4020" s="79">
        <v>45163.404340277775</v>
      </c>
      <c r="Q4020" s="77" t="s">
        <v>5223</v>
      </c>
      <c r="R4020" s="77">
        <v>0</v>
      </c>
      <c r="S4020" s="77">
        <v>0</v>
      </c>
      <c r="T4020" s="77">
        <v>0</v>
      </c>
      <c r="U4020" s="77">
        <v>0</v>
      </c>
      <c r="V4020" s="77">
        <v>529</v>
      </c>
      <c r="W4020" s="82" t="s">
        <v>7181</v>
      </c>
      <c r="X4020" s="80" t="str">
        <f>HYPERLINK("https://bit.ly/RobosGratis")</f>
        <v>https://bit.ly/RobosGratis</v>
      </c>
      <c r="Y4020" s="77" t="s">
        <v>7268</v>
      </c>
      <c r="Z4020" s="77"/>
      <c r="AA4020" s="77" t="s">
        <v>10125</v>
      </c>
      <c r="AB4020" s="77" t="s">
        <v>10129</v>
      </c>
      <c r="AC4020" s="82" t="s">
        <v>10146</v>
      </c>
      <c r="AD4020" s="77" t="s">
        <v>10184</v>
      </c>
      <c r="AE4020" s="80" t="str">
        <f>HYPERLINK("https://twitter.com/foconasapostas/status/1695008678699581903")</f>
        <v>https://twitter.com/foconasapostas/status/1695008678699581903</v>
      </c>
      <c r="AF4020" s="79">
        <v>45163.404340277775</v>
      </c>
      <c r="AG4020" s="85">
        <v>45163</v>
      </c>
      <c r="AH4020" s="82" t="s">
        <v>13990</v>
      </c>
      <c r="AI4020" s="77" t="b">
        <v>0</v>
      </c>
      <c r="AJ4020" s="77"/>
      <c r="AK4020" s="77"/>
      <c r="AL4020" s="77"/>
      <c r="AM4020" s="77"/>
      <c r="AN4020" s="77"/>
      <c r="AO4020" s="77"/>
      <c r="AP4020" s="77"/>
      <c r="AQ4020" s="77" t="s">
        <v>16768</v>
      </c>
      <c r="AR4020" s="77">
        <v>74721</v>
      </c>
      <c r="AS4020" s="77"/>
      <c r="AT4020" s="77"/>
      <c r="AU4020" s="77"/>
      <c r="AV4020" s="80" t="str">
        <f>HYPERLINK("https://pbs.twimg.com/ext_tw_video_thumb/1695008495840403456/pu/img/mN2sFdR6Ckn8ddxN.jpg")</f>
        <v>https://pbs.twimg.com/ext_tw_video_thumb/1695008495840403456/pu/img/mN2sFdR6Ckn8ddxN.jpg</v>
      </c>
      <c r="AW4020" s="82" t="s">
        <v>20784</v>
      </c>
      <c r="AX4020" s="82" t="s">
        <v>20784</v>
      </c>
      <c r="AY4020" s="77"/>
      <c r="AZ4020" s="82" t="s">
        <v>20971</v>
      </c>
      <c r="BA4020" s="82" t="s">
        <v>20971</v>
      </c>
      <c r="BB4020" s="82" t="s">
        <v>20971</v>
      </c>
      <c r="BC4020" s="82" t="s">
        <v>20784</v>
      </c>
      <c r="BD4020" s="82" t="s">
        <v>21775</v>
      </c>
      <c r="BE4020" s="77"/>
      <c r="BF4020" s="77"/>
      <c r="BG4020" s="77"/>
      <c r="BH4020" s="77"/>
      <c r="BI4020" s="77"/>
    </row>
    <row r="4021" spans="1:61" x14ac:dyDescent="0.25">
      <c r="A4021" s="62" t="s">
        <v>1237</v>
      </c>
      <c r="B4021" s="62" t="s">
        <v>1237</v>
      </c>
      <c r="C4021" s="63"/>
      <c r="D4021" s="64"/>
      <c r="E4021" s="65"/>
      <c r="F4021" s="66"/>
      <c r="G4021" s="63"/>
      <c r="H4021" s="67"/>
      <c r="I4021" s="68"/>
      <c r="J4021" s="68"/>
      <c r="K4021" s="32"/>
      <c r="L4021" s="75">
        <v>4021</v>
      </c>
      <c r="M4021" s="75"/>
      <c r="N4021" s="70"/>
      <c r="O4021" s="77" t="s">
        <v>179</v>
      </c>
      <c r="P4021" s="79">
        <v>45167.74428240741</v>
      </c>
      <c r="Q4021" s="77" t="s">
        <v>5224</v>
      </c>
      <c r="R4021" s="77">
        <v>0</v>
      </c>
      <c r="S4021" s="77">
        <v>0</v>
      </c>
      <c r="T4021" s="77">
        <v>0</v>
      </c>
      <c r="U4021" s="77">
        <v>0</v>
      </c>
      <c r="V4021" s="77">
        <v>323</v>
      </c>
      <c r="W4021" s="82" t="s">
        <v>7182</v>
      </c>
      <c r="X4021" s="80" t="str">
        <f>HYPERLINK("https://bit.ly/RobosGratis")</f>
        <v>https://bit.ly/RobosGratis</v>
      </c>
      <c r="Y4021" s="77" t="s">
        <v>7268</v>
      </c>
      <c r="Z4021" s="77"/>
      <c r="AA4021" s="77" t="s">
        <v>10126</v>
      </c>
      <c r="AB4021" s="77" t="s">
        <v>10129</v>
      </c>
      <c r="AC4021" s="82" t="s">
        <v>10146</v>
      </c>
      <c r="AD4021" s="77" t="s">
        <v>10184</v>
      </c>
      <c r="AE4021" s="80" t="str">
        <f>HYPERLINK("https://twitter.com/foconasapostas/status/1696581423308624262")</f>
        <v>https://twitter.com/foconasapostas/status/1696581423308624262</v>
      </c>
      <c r="AF4021" s="79">
        <v>45167.74428240741</v>
      </c>
      <c r="AG4021" s="85">
        <v>45167</v>
      </c>
      <c r="AH4021" s="82" t="s">
        <v>13991</v>
      </c>
      <c r="AI4021" s="77" t="b">
        <v>0</v>
      </c>
      <c r="AJ4021" s="77"/>
      <c r="AK4021" s="77"/>
      <c r="AL4021" s="77"/>
      <c r="AM4021" s="77"/>
      <c r="AN4021" s="77"/>
      <c r="AO4021" s="77"/>
      <c r="AP4021" s="77"/>
      <c r="AQ4021" s="77" t="s">
        <v>16769</v>
      </c>
      <c r="AR4021" s="77">
        <v>42566</v>
      </c>
      <c r="AS4021" s="77"/>
      <c r="AT4021" s="77"/>
      <c r="AU4021" s="77"/>
      <c r="AV4021" s="80" t="str">
        <f>HYPERLINK("https://pbs.twimg.com/ext_tw_video_thumb/1696580837804797952/pu/img/18viz9NSYxIe0ZAr.jpg")</f>
        <v>https://pbs.twimg.com/ext_tw_video_thumb/1696580837804797952/pu/img/18viz9NSYxIe0ZAr.jpg</v>
      </c>
      <c r="AW4021" s="82" t="s">
        <v>20785</v>
      </c>
      <c r="AX4021" s="82" t="s">
        <v>20785</v>
      </c>
      <c r="AY4021" s="77"/>
      <c r="AZ4021" s="82" t="s">
        <v>20971</v>
      </c>
      <c r="BA4021" s="82" t="s">
        <v>20971</v>
      </c>
      <c r="BB4021" s="82" t="s">
        <v>20971</v>
      </c>
      <c r="BC4021" s="82" t="s">
        <v>20785</v>
      </c>
      <c r="BD4021" s="82" t="s">
        <v>21775</v>
      </c>
      <c r="BE4021" s="77"/>
      <c r="BF4021" s="77"/>
      <c r="BG4021" s="77"/>
      <c r="BH4021" s="77"/>
      <c r="BI4021" s="77"/>
    </row>
    <row r="4022" spans="1:61" x14ac:dyDescent="0.25">
      <c r="A4022" s="62" t="s">
        <v>1238</v>
      </c>
      <c r="B4022" s="62" t="s">
        <v>1238</v>
      </c>
      <c r="C4022" s="63"/>
      <c r="D4022" s="64"/>
      <c r="E4022" s="65"/>
      <c r="F4022" s="66"/>
      <c r="G4022" s="63"/>
      <c r="H4022" s="67"/>
      <c r="I4022" s="68"/>
      <c r="J4022" s="68"/>
      <c r="K4022" s="32"/>
      <c r="L4022" s="75">
        <v>4022</v>
      </c>
      <c r="M4022" s="75"/>
      <c r="N4022" s="70"/>
      <c r="O4022" s="77" t="s">
        <v>179</v>
      </c>
      <c r="P4022" s="79">
        <v>45108.000590277778</v>
      </c>
      <c r="Q4022" s="77" t="s">
        <v>5225</v>
      </c>
      <c r="R4022" s="77">
        <v>0</v>
      </c>
      <c r="S4022" s="77">
        <v>0</v>
      </c>
      <c r="T4022" s="77">
        <v>0</v>
      </c>
      <c r="U4022" s="77">
        <v>0</v>
      </c>
      <c r="V4022" s="77">
        <v>18</v>
      </c>
      <c r="W4022" s="82" t="s">
        <v>5335</v>
      </c>
      <c r="X4022" s="80" t="str">
        <f>HYPERLINK("https://produto.mercadolivre.com.br/MLB-3747641924-pack-canva-editavel-de-1000-templates-packs-diversos-_JM")</f>
        <v>https://produto.mercadolivre.com.br/MLB-3747641924-pack-canva-editavel-de-1000-templates-packs-diversos-_JM</v>
      </c>
      <c r="Y4022" s="77" t="s">
        <v>7252</v>
      </c>
      <c r="Z4022" s="77"/>
      <c r="AA4022" s="77"/>
      <c r="AB4022" s="77"/>
      <c r="AC4022" s="82" t="s">
        <v>10144</v>
      </c>
      <c r="AD4022" s="77" t="s">
        <v>10184</v>
      </c>
      <c r="AE4022" s="80" t="str">
        <f>HYPERLINK("https://twitter.com/jaquecostareal/status/1674931032825425920")</f>
        <v>https://twitter.com/jaquecostareal/status/1674931032825425920</v>
      </c>
      <c r="AF4022" s="79">
        <v>45108.000590277778</v>
      </c>
      <c r="AG4022" s="85">
        <v>45108</v>
      </c>
      <c r="AH4022" s="82" t="s">
        <v>13992</v>
      </c>
      <c r="AI4022" s="77" t="b">
        <v>0</v>
      </c>
      <c r="AJ4022" s="77"/>
      <c r="AK4022" s="77"/>
      <c r="AL4022" s="77"/>
      <c r="AM4022" s="77"/>
      <c r="AN4022" s="77"/>
      <c r="AO4022" s="77"/>
      <c r="AP4022" s="77"/>
      <c r="AQ4022" s="77"/>
      <c r="AR4022" s="77"/>
      <c r="AS4022" s="77"/>
      <c r="AT4022" s="77"/>
      <c r="AU4022" s="77"/>
      <c r="AV4022" s="80" t="str">
        <f>HYPERLINK("https://pbs.twimg.com/profile_images/1166710841196077056/wGMcOcbN_normal.jpg")</f>
        <v>https://pbs.twimg.com/profile_images/1166710841196077056/wGMcOcbN_normal.jpg</v>
      </c>
      <c r="AW4022" s="82" t="s">
        <v>20786</v>
      </c>
      <c r="AX4022" s="82" t="s">
        <v>20786</v>
      </c>
      <c r="AY4022" s="77"/>
      <c r="AZ4022" s="82" t="s">
        <v>20971</v>
      </c>
      <c r="BA4022" s="82" t="s">
        <v>20971</v>
      </c>
      <c r="BB4022" s="82" t="s">
        <v>20971</v>
      </c>
      <c r="BC4022" s="82" t="s">
        <v>20786</v>
      </c>
      <c r="BD4022" s="77">
        <v>2464895096</v>
      </c>
      <c r="BE4022" s="77"/>
      <c r="BF4022" s="77"/>
      <c r="BG4022" s="77"/>
      <c r="BH4022" s="77"/>
      <c r="BI4022" s="77"/>
    </row>
    <row r="4023" spans="1:61" x14ac:dyDescent="0.25">
      <c r="A4023" s="62" t="s">
        <v>1239</v>
      </c>
      <c r="B4023" s="62" t="s">
        <v>1239</v>
      </c>
      <c r="C4023" s="63"/>
      <c r="D4023" s="64"/>
      <c r="E4023" s="65"/>
      <c r="F4023" s="66"/>
      <c r="G4023" s="63"/>
      <c r="H4023" s="67"/>
      <c r="I4023" s="68"/>
      <c r="J4023" s="68"/>
      <c r="K4023" s="32"/>
      <c r="L4023" s="75">
        <v>4023</v>
      </c>
      <c r="M4023" s="75"/>
      <c r="N4023" s="70"/>
      <c r="O4023" s="77" t="s">
        <v>1284</v>
      </c>
      <c r="P4023" s="79">
        <v>45138.71230324074</v>
      </c>
      <c r="Q4023" s="77" t="s">
        <v>5226</v>
      </c>
      <c r="R4023" s="77">
        <v>0</v>
      </c>
      <c r="S4023" s="77">
        <v>0</v>
      </c>
      <c r="T4023" s="77">
        <v>0</v>
      </c>
      <c r="U4023" s="77">
        <v>0</v>
      </c>
      <c r="V4023" s="77">
        <v>4</v>
      </c>
      <c r="W4023" s="82" t="s">
        <v>7183</v>
      </c>
      <c r="X4023" s="77"/>
      <c r="Y4023" s="77"/>
      <c r="Z4023" s="77"/>
      <c r="AA4023" s="77"/>
      <c r="AB4023" s="77"/>
      <c r="AC4023" s="82" t="s">
        <v>10144</v>
      </c>
      <c r="AD4023" s="77" t="s">
        <v>10183</v>
      </c>
      <c r="AE4023" s="80" t="str">
        <f>HYPERLINK("https://twitter.com/lealbeatrizz/status/1686060583982972940")</f>
        <v>https://twitter.com/lealbeatrizz/status/1686060583982972940</v>
      </c>
      <c r="AF4023" s="79">
        <v>45138.71230324074</v>
      </c>
      <c r="AG4023" s="85">
        <v>45138</v>
      </c>
      <c r="AH4023" s="82" t="s">
        <v>13993</v>
      </c>
      <c r="AI4023" s="77"/>
      <c r="AJ4023" s="77"/>
      <c r="AK4023" s="77"/>
      <c r="AL4023" s="77"/>
      <c r="AM4023" s="77"/>
      <c r="AN4023" s="77"/>
      <c r="AO4023" s="77"/>
      <c r="AP4023" s="77"/>
      <c r="AQ4023" s="77"/>
      <c r="AR4023" s="77"/>
      <c r="AS4023" s="77"/>
      <c r="AT4023" s="77"/>
      <c r="AU4023" s="77"/>
      <c r="AV4023" s="80" t="str">
        <f>HYPERLINK("https://pbs.twimg.com/profile_images/1648835171230031874/A4_tx3AE_normal.jpg")</f>
        <v>https://pbs.twimg.com/profile_images/1648835171230031874/A4_tx3AE_normal.jpg</v>
      </c>
      <c r="AW4023" s="82" t="s">
        <v>20787</v>
      </c>
      <c r="AX4023" s="82" t="s">
        <v>20898</v>
      </c>
      <c r="AY4023" s="82" t="s">
        <v>20970</v>
      </c>
      <c r="AZ4023" s="82" t="s">
        <v>21011</v>
      </c>
      <c r="BA4023" s="82" t="s">
        <v>20971</v>
      </c>
      <c r="BB4023" s="82" t="s">
        <v>20971</v>
      </c>
      <c r="BC4023" s="82" t="s">
        <v>21011</v>
      </c>
      <c r="BD4023" s="82" t="s">
        <v>20970</v>
      </c>
      <c r="BE4023" s="77"/>
      <c r="BF4023" s="77"/>
      <c r="BG4023" s="77"/>
      <c r="BH4023" s="77"/>
      <c r="BI4023" s="77"/>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4023" xr:uid="{00000000-0002-0000-0000-000000000000}"/>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4023" xr:uid="{00000000-0002-0000-0000-000001000000}"/>
    <dataValidation allowBlank="1" showErrorMessage="1" sqref="N2:N4023" xr:uid="{00000000-0002-0000-0000-000002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4023" xr:uid="{00000000-0002-0000-0000-000003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4023" xr:uid="{00000000-0002-0000-0000-000004000000}"/>
    <dataValidation allowBlank="1" showInputMessage="1" promptTitle="Edge Color" prompt="To select an optional edge color, right-click and select Select Color on the right-click menu." sqref="C3:C4023" xr:uid="{00000000-0002-0000-0000-000005000000}"/>
    <dataValidation allowBlank="1" showInputMessage="1" errorTitle="Invalid Edge Width" error="The optional edge width must be a whole number between 1 and 10." promptTitle="Edge Width" prompt="Enter an optional edge width between 1 and 10." sqref="D3:D4023" xr:uid="{00000000-0002-0000-0000-000006000000}"/>
    <dataValidation allowBlank="1" showInputMessage="1" errorTitle="Invalid Edge Opacity" error="The optional edge opacity must be a whole number between 0 and 10." promptTitle="Edge Opacity" prompt="Enter an optional edge opacity between 0 (transparent) and 100 (opaque)." sqref="F3:F4023" xr:uid="{00000000-0002-0000-0000-000007000000}"/>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4023" xr:uid="{00000000-0002-0000-0000-000008000000}">
      <formula1>ValidEdgeVisibilities</formula1>
    </dataValidation>
    <dataValidation allowBlank="1" showInputMessage="1" showErrorMessage="1" promptTitle="Vertex 1 Name" prompt="Enter the name of the edge's first vertex." sqref="A3:A4023" xr:uid="{00000000-0002-0000-0000-000009000000}"/>
    <dataValidation allowBlank="1" showInputMessage="1" showErrorMessage="1" promptTitle="Vertex 2 Name" prompt="Enter the name of the edge's second vertex." sqref="B3:B4023" xr:uid="{00000000-0002-0000-0000-00000A000000}"/>
    <dataValidation allowBlank="1" showInputMessage="1" showErrorMessage="1" errorTitle="Invalid Edge Visibility" error="You have entered an unrecognized edge visibility.  Try selecting from the drop-down list instead." promptTitle="Edge Label" prompt="Enter an optional edge label." sqref="H3:H4023" xr:uid="{00000000-0002-0000-0000-00000B000000}"/>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4023" xr:uid="{00000000-0002-0000-0000-00000C000000}">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4023" xr:uid="{00000000-0002-0000-0000-00000D000000}"/>
  </dataValidations>
  <pageMargins left="0.7" right="0.7" top="0.75" bottom="0.75" header="0.3" footer="0.3"/>
  <pageSetup orientation="portrait" verticalDpi="0"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P1062"/>
  <sheetViews>
    <sheetView workbookViewId="0">
      <pane xSplit="1" ySplit="2" topLeftCell="B3" activePane="bottomRight" state="frozen"/>
      <selection pane="topRight" activeCell="B1" sqref="B1"/>
      <selection pane="bottomLeft" activeCell="A3" sqref="A3"/>
      <selection pane="bottomRight" activeCell="A3" sqref="A3"/>
    </sheetView>
  </sheetViews>
  <sheetFormatPr defaultRowHeight="15" x14ac:dyDescent="0.25"/>
  <cols>
    <col min="1" max="1" width="9.140625" style="1"/>
    <col min="2" max="2" width="7.85546875" customWidth="1"/>
    <col min="3" max="3" width="8.5703125" customWidth="1"/>
    <col min="4" max="4" width="6.7109375" customWidth="1"/>
    <col min="5" max="5" width="9.85546875" customWidth="1"/>
    <col min="6" max="6" width="7.7109375" customWidth="1"/>
    <col min="7" max="7" width="11" customWidth="1"/>
    <col min="8" max="8" width="8.5703125" customWidth="1"/>
    <col min="9" max="9" width="9.7109375" customWidth="1"/>
    <col min="10" max="10" width="10.5703125" customWidth="1"/>
    <col min="11" max="11" width="9.140625" customWidth="1"/>
    <col min="12" max="12" width="9.140625" hidden="1" customWidth="1"/>
    <col min="13" max="14" width="4.28515625" hidden="1" customWidth="1"/>
    <col min="15" max="15" width="10.28515625" hidden="1" customWidth="1"/>
    <col min="16" max="16" width="6.42578125" hidden="1" customWidth="1"/>
    <col min="17" max="17" width="8.28515625" hidden="1" customWidth="1"/>
    <col min="18" max="18" width="9.5703125" hidden="1" customWidth="1"/>
    <col min="19" max="19" width="9.28515625" hidden="1" customWidth="1"/>
    <col min="20" max="20" width="9.5703125" hidden="1" customWidth="1"/>
    <col min="21" max="23" width="14.28515625" hidden="1" customWidth="1"/>
    <col min="24" max="24" width="11.85546875" hidden="1" customWidth="1"/>
    <col min="25" max="25" width="14.42578125" hidden="1" customWidth="1"/>
    <col min="26" max="26" width="18.28515625" hidden="1" customWidth="1"/>
    <col min="27" max="27" width="5" hidden="1" customWidth="1"/>
    <col min="28" max="28" width="16" hidden="1" customWidth="1"/>
    <col min="29" max="29" width="16" style="5" bestFit="1" customWidth="1"/>
    <col min="30" max="30" width="8.5703125" style="2" bestFit="1" customWidth="1"/>
    <col min="31" max="31" width="9.5703125" bestFit="1" customWidth="1"/>
    <col min="32" max="32" width="12" bestFit="1" customWidth="1"/>
    <col min="33" max="33" width="11.5703125" bestFit="1" customWidth="1"/>
    <col min="34" max="34" width="9.7109375" bestFit="1" customWidth="1"/>
    <col min="35" max="35" width="9" bestFit="1" customWidth="1"/>
    <col min="36" max="36" width="13" bestFit="1" customWidth="1"/>
    <col min="37" max="37" width="14.5703125" bestFit="1" customWidth="1"/>
    <col min="38" max="38" width="10.5703125" bestFit="1" customWidth="1"/>
    <col min="39" max="39" width="16.5703125" bestFit="1" customWidth="1"/>
    <col min="40" max="40" width="10.7109375" bestFit="1" customWidth="1"/>
    <col min="41" max="41" width="13.42578125" bestFit="1" customWidth="1"/>
    <col min="42" max="42" width="10.85546875" bestFit="1" customWidth="1"/>
    <col min="43" max="43" width="17.140625" bestFit="1" customWidth="1"/>
    <col min="44" max="44" width="14.7109375" bestFit="1" customWidth="1"/>
    <col min="45" max="45" width="15.5703125" bestFit="1" customWidth="1"/>
    <col min="46" max="46" width="23.28515625" bestFit="1" customWidth="1"/>
    <col min="47" max="47" width="21" bestFit="1" customWidth="1"/>
    <col min="48" max="48" width="11.140625" bestFit="1" customWidth="1"/>
    <col min="49" max="49" width="6.5703125" bestFit="1" customWidth="1"/>
    <col min="50" max="50" width="10.5703125" bestFit="1" customWidth="1"/>
    <col min="51" max="51" width="14.140625" bestFit="1" customWidth="1"/>
    <col min="52" max="52" width="12" bestFit="1" customWidth="1"/>
    <col min="53" max="53" width="10" bestFit="1" customWidth="1"/>
    <col min="54" max="54" width="13" bestFit="1" customWidth="1"/>
    <col min="55" max="55" width="10.28515625" bestFit="1" customWidth="1"/>
    <col min="56" max="56" width="16.85546875" bestFit="1" customWidth="1"/>
    <col min="57" max="58" width="14" bestFit="1" customWidth="1"/>
    <col min="59" max="59" width="11.42578125" bestFit="1" customWidth="1"/>
    <col min="60" max="60" width="13.28515625" bestFit="1" customWidth="1"/>
    <col min="61" max="61" width="19.7109375" bestFit="1" customWidth="1"/>
    <col min="62" max="62" width="12.5703125" bestFit="1" customWidth="1"/>
    <col min="63" max="63" width="11.7109375" bestFit="1" customWidth="1"/>
    <col min="64" max="64" width="11.5703125" bestFit="1" customWidth="1"/>
    <col min="65" max="65" width="15.140625" bestFit="1" customWidth="1"/>
    <col min="66" max="67" width="16.140625" bestFit="1" customWidth="1"/>
  </cols>
  <sheetData>
    <row r="1" spans="1:68" x14ac:dyDescent="0.25">
      <c r="B1" s="22" t="s">
        <v>39</v>
      </c>
      <c r="C1" s="15"/>
      <c r="D1" s="15"/>
      <c r="E1" s="15"/>
      <c r="F1" s="15"/>
      <c r="G1" s="15"/>
      <c r="H1" s="24" t="s">
        <v>43</v>
      </c>
      <c r="I1" s="23"/>
      <c r="J1" s="23"/>
      <c r="K1" s="23"/>
      <c r="L1" s="26" t="s">
        <v>44</v>
      </c>
      <c r="M1" s="25"/>
      <c r="N1" s="25"/>
      <c r="O1" s="25"/>
      <c r="P1" s="25"/>
      <c r="Q1" s="25"/>
      <c r="R1" s="21" t="s">
        <v>42</v>
      </c>
      <c r="S1" s="18"/>
      <c r="T1" s="19"/>
      <c r="U1" s="20"/>
      <c r="V1" s="18"/>
      <c r="W1" s="18"/>
      <c r="X1" s="18"/>
      <c r="Y1" s="18"/>
      <c r="Z1" s="18"/>
      <c r="AA1" s="27" t="s">
        <v>40</v>
      </c>
      <c r="AB1" s="17"/>
      <c r="AC1" s="28" t="s">
        <v>41</v>
      </c>
      <c r="AD1"/>
    </row>
    <row r="2" spans="1:68" ht="30" customHeight="1" x14ac:dyDescent="0.25">
      <c r="A2" s="10" t="s">
        <v>5</v>
      </c>
      <c r="B2" s="7" t="s">
        <v>2</v>
      </c>
      <c r="C2" s="7" t="s">
        <v>8</v>
      </c>
      <c r="D2" s="8" t="s">
        <v>45</v>
      </c>
      <c r="E2" s="9" t="s">
        <v>4</v>
      </c>
      <c r="F2" s="7" t="s">
        <v>48</v>
      </c>
      <c r="G2" s="7" t="s">
        <v>11</v>
      </c>
      <c r="H2" s="7" t="s">
        <v>46</v>
      </c>
      <c r="I2" s="7" t="s">
        <v>47</v>
      </c>
      <c r="J2" s="7" t="s">
        <v>77</v>
      </c>
      <c r="K2" s="7" t="s">
        <v>10</v>
      </c>
      <c r="L2" s="7" t="s">
        <v>27</v>
      </c>
      <c r="M2" s="7" t="s">
        <v>15</v>
      </c>
      <c r="N2" s="7" t="s">
        <v>16</v>
      </c>
      <c r="O2" s="7" t="s">
        <v>13</v>
      </c>
      <c r="P2" s="7" t="s">
        <v>28</v>
      </c>
      <c r="Q2" s="7" t="s">
        <v>29</v>
      </c>
      <c r="R2" s="7" t="s">
        <v>31</v>
      </c>
      <c r="S2" s="7" t="s">
        <v>32</v>
      </c>
      <c r="T2" s="7" t="s">
        <v>33</v>
      </c>
      <c r="U2" s="7" t="s">
        <v>34</v>
      </c>
      <c r="V2" s="7" t="s">
        <v>35</v>
      </c>
      <c r="W2" s="7" t="s">
        <v>36</v>
      </c>
      <c r="X2" s="7" t="s">
        <v>137</v>
      </c>
      <c r="Y2" s="7" t="s">
        <v>37</v>
      </c>
      <c r="Z2" s="7" t="s">
        <v>170</v>
      </c>
      <c r="AA2" s="10" t="s">
        <v>12</v>
      </c>
      <c r="AB2" s="10" t="s">
        <v>38</v>
      </c>
      <c r="AC2" s="7" t="s">
        <v>26</v>
      </c>
      <c r="AD2" s="7" t="s">
        <v>21780</v>
      </c>
      <c r="AE2" s="7" t="s">
        <v>21781</v>
      </c>
      <c r="AF2" s="7" t="s">
        <v>21782</v>
      </c>
      <c r="AG2" s="7" t="s">
        <v>21783</v>
      </c>
      <c r="AH2" s="7" t="s">
        <v>21784</v>
      </c>
      <c r="AI2" s="7" t="s">
        <v>21785</v>
      </c>
      <c r="AJ2" s="7" t="s">
        <v>21786</v>
      </c>
      <c r="AK2" s="7" t="s">
        <v>21787</v>
      </c>
      <c r="AL2" s="7" t="s">
        <v>21788</v>
      </c>
      <c r="AM2" s="7" t="s">
        <v>21789</v>
      </c>
      <c r="AN2" s="7" t="s">
        <v>21790</v>
      </c>
      <c r="AO2" s="7" t="s">
        <v>21791</v>
      </c>
      <c r="AP2" s="7" t="s">
        <v>21792</v>
      </c>
      <c r="AQ2" s="7" t="s">
        <v>21793</v>
      </c>
      <c r="AR2" s="7" t="s">
        <v>21794</v>
      </c>
      <c r="AS2" s="7" t="s">
        <v>21795</v>
      </c>
      <c r="AT2" s="7" t="s">
        <v>21796</v>
      </c>
      <c r="AU2" s="7" t="s">
        <v>21797</v>
      </c>
      <c r="AV2" s="7" t="s">
        <v>21798</v>
      </c>
      <c r="AW2" s="7" t="s">
        <v>21799</v>
      </c>
      <c r="AX2" s="7" t="s">
        <v>21800</v>
      </c>
      <c r="AY2" s="7" t="s">
        <v>21801</v>
      </c>
      <c r="AZ2" s="7" t="s">
        <v>21802</v>
      </c>
      <c r="BA2" s="7" t="s">
        <v>21803</v>
      </c>
      <c r="BB2" s="7" t="s">
        <v>21804</v>
      </c>
      <c r="BC2" s="7" t="s">
        <v>21805</v>
      </c>
      <c r="BD2" s="7" t="s">
        <v>21806</v>
      </c>
      <c r="BE2" s="7" t="s">
        <v>21807</v>
      </c>
      <c r="BF2" s="7" t="s">
        <v>21808</v>
      </c>
      <c r="BG2" s="7" t="s">
        <v>197</v>
      </c>
      <c r="BH2" s="7" t="s">
        <v>21809</v>
      </c>
      <c r="BI2" s="7" t="s">
        <v>21810</v>
      </c>
      <c r="BJ2" s="7" t="s">
        <v>21811</v>
      </c>
      <c r="BK2" s="7" t="s">
        <v>21812</v>
      </c>
      <c r="BL2" s="7" t="s">
        <v>21813</v>
      </c>
      <c r="BM2" s="7" t="s">
        <v>21814</v>
      </c>
      <c r="BN2" s="7" t="s">
        <v>21815</v>
      </c>
      <c r="BO2" s="7" t="s">
        <v>21816</v>
      </c>
    </row>
    <row r="3" spans="1:68" ht="15" customHeight="1" x14ac:dyDescent="0.25">
      <c r="A3" s="62" t="s">
        <v>224</v>
      </c>
      <c r="B3" s="63"/>
      <c r="C3" s="63"/>
      <c r="D3" s="64"/>
      <c r="E3" s="66"/>
      <c r="F3" s="102" t="str">
        <f>HYPERLINK("https://pbs.twimg.com/profile_images/1697638188322291712/2w3pBPUK_normal.jpg")</f>
        <v>https://pbs.twimg.com/profile_images/1697638188322291712/2w3pBPUK_normal.jpg</v>
      </c>
      <c r="G3" s="63"/>
      <c r="H3" s="67"/>
      <c r="I3" s="68"/>
      <c r="J3" s="68"/>
      <c r="K3" s="67" t="s">
        <v>25997</v>
      </c>
      <c r="L3" s="71"/>
      <c r="M3" s="72"/>
      <c r="N3" s="72"/>
      <c r="O3" s="73"/>
      <c r="P3" s="74"/>
      <c r="Q3" s="74"/>
      <c r="R3" s="46"/>
      <c r="S3" s="46"/>
      <c r="T3" s="46"/>
      <c r="U3" s="46"/>
      <c r="V3" s="47"/>
      <c r="W3" s="47"/>
      <c r="X3" s="48"/>
      <c r="Y3" s="47"/>
      <c r="Z3" s="47"/>
      <c r="AA3" s="69">
        <v>3</v>
      </c>
      <c r="AB3" s="69"/>
      <c r="AC3" s="70"/>
      <c r="AD3" s="76" t="s">
        <v>22852</v>
      </c>
      <c r="AE3" s="81" t="s">
        <v>23077</v>
      </c>
      <c r="AF3" s="76">
        <v>37</v>
      </c>
      <c r="AG3" s="76">
        <v>521</v>
      </c>
      <c r="AH3" s="76">
        <v>229</v>
      </c>
      <c r="AI3" s="76">
        <v>0</v>
      </c>
      <c r="AJ3" s="76">
        <v>416</v>
      </c>
      <c r="AK3" s="76">
        <v>5</v>
      </c>
      <c r="AL3" s="76" t="b">
        <v>0</v>
      </c>
      <c r="AM3" s="78">
        <v>40747.674710648149</v>
      </c>
      <c r="AN3" s="76"/>
      <c r="AO3" s="76" t="s">
        <v>24252</v>
      </c>
      <c r="AP3" s="83" t="str">
        <f>HYPERLINK("https://t.co/YVJAWs4soe")</f>
        <v>https://t.co/YVJAWs4soe</v>
      </c>
      <c r="AQ3" s="83" t="str">
        <f>HYPERLINK("https://mercadocriptoetoken.blogspot.com")</f>
        <v>https://mercadocriptoetoken.blogspot.com</v>
      </c>
      <c r="AR3" s="76" t="s">
        <v>24829</v>
      </c>
      <c r="AS3" s="76"/>
      <c r="AT3" s="76"/>
      <c r="AU3" s="76"/>
      <c r="AV3" s="76"/>
      <c r="AW3" s="83" t="str">
        <f>HYPERLINK("https://t.co/YVJAWs4soe")</f>
        <v>https://t.co/YVJAWs4soe</v>
      </c>
      <c r="AX3" s="76" t="b">
        <v>0</v>
      </c>
      <c r="AY3" s="76"/>
      <c r="AZ3" s="76"/>
      <c r="BA3" s="76" t="b">
        <v>0</v>
      </c>
      <c r="BB3" s="76" t="b">
        <v>1</v>
      </c>
      <c r="BC3" s="76" t="b">
        <v>1</v>
      </c>
      <c r="BD3" s="76" t="b">
        <v>0</v>
      </c>
      <c r="BE3" s="76" t="b">
        <v>0</v>
      </c>
      <c r="BF3" s="76" t="b">
        <v>0</v>
      </c>
      <c r="BG3" s="76" t="b">
        <v>0</v>
      </c>
      <c r="BH3" s="83" t="str">
        <f>HYPERLINK("https://pbs.twimg.com/profile_banners/340976757/1693583479")</f>
        <v>https://pbs.twimg.com/profile_banners/340976757/1693583479</v>
      </c>
      <c r="BI3" s="76"/>
      <c r="BJ3" s="76" t="s">
        <v>24935</v>
      </c>
      <c r="BK3" s="76" t="b">
        <v>0</v>
      </c>
      <c r="BL3" s="76"/>
      <c r="BM3" s="76" t="s">
        <v>66</v>
      </c>
      <c r="BN3" s="76" t="s">
        <v>24937</v>
      </c>
      <c r="BO3" s="83" t="str">
        <f>HYPERLINK("https://twitter.com/rafaeltradercwb")</f>
        <v>https://twitter.com/rafaeltradercwb</v>
      </c>
    </row>
    <row r="4" spans="1:68" x14ac:dyDescent="0.25">
      <c r="A4" s="62" t="s">
        <v>225</v>
      </c>
      <c r="B4" s="63"/>
      <c r="C4" s="63"/>
      <c r="D4" s="64"/>
      <c r="E4" s="66"/>
      <c r="F4" s="102" t="str">
        <f>HYPERLINK("https://pbs.twimg.com/profile_images/1610778476197339136/P6pScgo6_normal.jpg")</f>
        <v>https://pbs.twimg.com/profile_images/1610778476197339136/P6pScgo6_normal.jpg</v>
      </c>
      <c r="G4" s="63"/>
      <c r="H4" s="67"/>
      <c r="I4" s="68"/>
      <c r="J4" s="68"/>
      <c r="K4" s="67" t="s">
        <v>24938</v>
      </c>
      <c r="L4" s="71"/>
      <c r="M4" s="72"/>
      <c r="N4" s="72"/>
      <c r="O4" s="73"/>
      <c r="P4" s="74"/>
      <c r="Q4" s="74"/>
      <c r="R4" s="86"/>
      <c r="S4" s="86"/>
      <c r="T4" s="86"/>
      <c r="U4" s="86"/>
      <c r="V4" s="48"/>
      <c r="W4" s="48"/>
      <c r="X4" s="48"/>
      <c r="Y4" s="48"/>
      <c r="Z4" s="47"/>
      <c r="AA4" s="69">
        <v>4</v>
      </c>
      <c r="AB4" s="69"/>
      <c r="AC4" s="70"/>
      <c r="AD4" s="76" t="s">
        <v>21817</v>
      </c>
      <c r="AE4" s="81" t="s">
        <v>22853</v>
      </c>
      <c r="AF4" s="76">
        <v>28</v>
      </c>
      <c r="AG4" s="76">
        <v>81</v>
      </c>
      <c r="AH4" s="76">
        <v>2835</v>
      </c>
      <c r="AI4" s="76">
        <v>0</v>
      </c>
      <c r="AJ4" s="76">
        <v>3350</v>
      </c>
      <c r="AK4" s="76">
        <v>134</v>
      </c>
      <c r="AL4" s="76" t="b">
        <v>0</v>
      </c>
      <c r="AM4" s="78">
        <v>40743.520833333336</v>
      </c>
      <c r="AN4" s="76" t="s">
        <v>23078</v>
      </c>
      <c r="AO4" s="76" t="s">
        <v>23344</v>
      </c>
      <c r="AP4" s="83" t="str">
        <f>HYPERLINK("https://t.co/aXjyDCttpX")</f>
        <v>https://t.co/aXjyDCttpX</v>
      </c>
      <c r="AQ4" s="83" t="str">
        <f>HYPERLINK("https://onerpm.link/377794329074")</f>
        <v>https://onerpm.link/377794329074</v>
      </c>
      <c r="AR4" s="76" t="s">
        <v>24253</v>
      </c>
      <c r="AS4" s="76"/>
      <c r="AT4" s="76"/>
      <c r="AU4" s="76"/>
      <c r="AV4" s="76">
        <v>1.6591137734440801E+18</v>
      </c>
      <c r="AW4" s="83" t="str">
        <f>HYPERLINK("https://t.co/aXjyDCttpX")</f>
        <v>https://t.co/aXjyDCttpX</v>
      </c>
      <c r="AX4" s="76" t="b">
        <v>0</v>
      </c>
      <c r="AY4" s="76"/>
      <c r="AZ4" s="76"/>
      <c r="BA4" s="76" t="b">
        <v>0</v>
      </c>
      <c r="BB4" s="76" t="b">
        <v>1</v>
      </c>
      <c r="BC4" s="76" t="b">
        <v>0</v>
      </c>
      <c r="BD4" s="76" t="b">
        <v>0</v>
      </c>
      <c r="BE4" s="76" t="b">
        <v>0</v>
      </c>
      <c r="BF4" s="76" t="b">
        <v>0</v>
      </c>
      <c r="BG4" s="76" t="b">
        <v>0</v>
      </c>
      <c r="BH4" s="83" t="str">
        <f>HYPERLINK("https://pbs.twimg.com/profile_banners/338331247/1672874490")</f>
        <v>https://pbs.twimg.com/profile_banners/338331247/1672874490</v>
      </c>
      <c r="BI4" s="76"/>
      <c r="BJ4" s="76" t="s">
        <v>24935</v>
      </c>
      <c r="BK4" s="76" t="b">
        <v>0</v>
      </c>
      <c r="BL4" s="76"/>
      <c r="BM4" s="76" t="s">
        <v>66</v>
      </c>
      <c r="BN4" s="76" t="s">
        <v>24937</v>
      </c>
      <c r="BO4" s="83" t="str">
        <f>HYPERLINK("https://twitter.com/adm_santos")</f>
        <v>https://twitter.com/adm_santos</v>
      </c>
      <c r="BP4" s="2"/>
    </row>
    <row r="5" spans="1:68" x14ac:dyDescent="0.25">
      <c r="A5" s="62" t="s">
        <v>226</v>
      </c>
      <c r="B5" s="63"/>
      <c r="C5" s="63"/>
      <c r="D5" s="64"/>
      <c r="E5" s="66"/>
      <c r="F5" s="102" t="str">
        <f>HYPERLINK("https://pbs.twimg.com/profile_images/1689993266710695937/zBWfKbTk_normal.jpg")</f>
        <v>https://pbs.twimg.com/profile_images/1689993266710695937/zBWfKbTk_normal.jpg</v>
      </c>
      <c r="G5" s="63"/>
      <c r="H5" s="67"/>
      <c r="I5" s="68"/>
      <c r="J5" s="68"/>
      <c r="K5" s="67" t="s">
        <v>24939</v>
      </c>
      <c r="L5" s="71"/>
      <c r="M5" s="72"/>
      <c r="N5" s="72"/>
      <c r="O5" s="73"/>
      <c r="P5" s="74"/>
      <c r="Q5" s="74"/>
      <c r="R5" s="86"/>
      <c r="S5" s="86"/>
      <c r="T5" s="86"/>
      <c r="U5" s="86"/>
      <c r="V5" s="48"/>
      <c r="W5" s="48"/>
      <c r="X5" s="48"/>
      <c r="Y5" s="48"/>
      <c r="Z5" s="47"/>
      <c r="AA5" s="69">
        <v>5</v>
      </c>
      <c r="AB5" s="69"/>
      <c r="AC5" s="70"/>
      <c r="AD5" s="76" t="s">
        <v>21818</v>
      </c>
      <c r="AE5" s="81" t="s">
        <v>21013</v>
      </c>
      <c r="AF5" s="76">
        <v>0</v>
      </c>
      <c r="AG5" s="76">
        <v>5</v>
      </c>
      <c r="AH5" s="76">
        <v>28</v>
      </c>
      <c r="AI5" s="76">
        <v>0</v>
      </c>
      <c r="AJ5" s="76">
        <v>3</v>
      </c>
      <c r="AK5" s="76">
        <v>7</v>
      </c>
      <c r="AL5" s="76" t="b">
        <v>0</v>
      </c>
      <c r="AM5" s="78">
        <v>45105.76766203704</v>
      </c>
      <c r="AN5" s="76"/>
      <c r="AO5" s="76" t="s">
        <v>23345</v>
      </c>
      <c r="AP5" s="83" t="str">
        <f>HYPERLINK("https://t.co/aOSixgZQgh")</f>
        <v>https://t.co/aOSixgZQgh</v>
      </c>
      <c r="AQ5" s="83" t="str">
        <f>HYPERLINK("https://sun.eduzz.com/cg6obga4")</f>
        <v>https://sun.eduzz.com/cg6obga4</v>
      </c>
      <c r="AR5" s="76" t="s">
        <v>24254</v>
      </c>
      <c r="AS5" s="76"/>
      <c r="AT5" s="76"/>
      <c r="AU5" s="76"/>
      <c r="AV5" s="76"/>
      <c r="AW5" s="83" t="str">
        <f>HYPERLINK("https://t.co/aOSixgZQgh")</f>
        <v>https://t.co/aOSixgZQgh</v>
      </c>
      <c r="AX5" s="76" t="b">
        <v>0</v>
      </c>
      <c r="AY5" s="76"/>
      <c r="AZ5" s="76"/>
      <c r="BA5" s="76" t="b">
        <v>0</v>
      </c>
      <c r="BB5" s="76" t="b">
        <v>1</v>
      </c>
      <c r="BC5" s="76" t="b">
        <v>1</v>
      </c>
      <c r="BD5" s="76" t="b">
        <v>0</v>
      </c>
      <c r="BE5" s="76" t="b">
        <v>0</v>
      </c>
      <c r="BF5" s="76" t="b">
        <v>0</v>
      </c>
      <c r="BG5" s="76" t="b">
        <v>0</v>
      </c>
      <c r="BH5" s="83" t="str">
        <f>HYPERLINK("https://pbs.twimg.com/profile_banners/1674121795115405317/1691760737")</f>
        <v>https://pbs.twimg.com/profile_banners/1674121795115405317/1691760737</v>
      </c>
      <c r="BI5" s="76"/>
      <c r="BJ5" s="76" t="s">
        <v>24935</v>
      </c>
      <c r="BK5" s="76" t="b">
        <v>0</v>
      </c>
      <c r="BL5" s="76"/>
      <c r="BM5" s="76" t="s">
        <v>66</v>
      </c>
      <c r="BN5" s="76" t="s">
        <v>24937</v>
      </c>
      <c r="BO5" s="83" t="str">
        <f>HYPERLINK("https://twitter.com/daiy_ofiicial")</f>
        <v>https://twitter.com/daiy_ofiicial</v>
      </c>
      <c r="BP5" s="2"/>
    </row>
    <row r="6" spans="1:68" x14ac:dyDescent="0.25">
      <c r="A6" s="62" t="s">
        <v>227</v>
      </c>
      <c r="B6" s="63"/>
      <c r="C6" s="63"/>
      <c r="D6" s="64"/>
      <c r="E6" s="66"/>
      <c r="F6" s="102" t="str">
        <f>HYPERLINK("https://abs.twimg.com/sticky/default_profile_images/default_profile_normal.png")</f>
        <v>https://abs.twimg.com/sticky/default_profile_images/default_profile_normal.png</v>
      </c>
      <c r="G6" s="63"/>
      <c r="H6" s="67"/>
      <c r="I6" s="68"/>
      <c r="J6" s="68"/>
      <c r="K6" s="67" t="s">
        <v>24940</v>
      </c>
      <c r="L6" s="71"/>
      <c r="M6" s="72"/>
      <c r="N6" s="72"/>
      <c r="O6" s="73"/>
      <c r="P6" s="74"/>
      <c r="Q6" s="74"/>
      <c r="R6" s="86"/>
      <c r="S6" s="86"/>
      <c r="T6" s="86"/>
      <c r="U6" s="86"/>
      <c r="V6" s="48"/>
      <c r="W6" s="48"/>
      <c r="X6" s="48"/>
      <c r="Y6" s="48"/>
      <c r="Z6" s="47"/>
      <c r="AA6" s="69">
        <v>6</v>
      </c>
      <c r="AB6" s="69"/>
      <c r="AC6" s="70"/>
      <c r="AD6" s="76" t="s">
        <v>21819</v>
      </c>
      <c r="AE6" s="81" t="s">
        <v>21014</v>
      </c>
      <c r="AF6" s="76">
        <v>1</v>
      </c>
      <c r="AG6" s="76">
        <v>13</v>
      </c>
      <c r="AH6" s="76">
        <v>25</v>
      </c>
      <c r="AI6" s="76">
        <v>0</v>
      </c>
      <c r="AJ6" s="76">
        <v>3</v>
      </c>
      <c r="AK6" s="76">
        <v>4</v>
      </c>
      <c r="AL6" s="76" t="b">
        <v>0</v>
      </c>
      <c r="AM6" s="78">
        <v>44288.507037037038</v>
      </c>
      <c r="AN6" s="76"/>
      <c r="AO6" s="76"/>
      <c r="AP6" s="76"/>
      <c r="AQ6" s="76"/>
      <c r="AR6" s="76"/>
      <c r="AS6" s="76"/>
      <c r="AT6" s="76"/>
      <c r="AU6" s="76"/>
      <c r="AV6" s="76"/>
      <c r="AW6" s="76"/>
      <c r="AX6" s="76" t="b">
        <v>0</v>
      </c>
      <c r="AY6" s="76"/>
      <c r="AZ6" s="76"/>
      <c r="BA6" s="76" t="b">
        <v>0</v>
      </c>
      <c r="BB6" s="76" t="b">
        <v>1</v>
      </c>
      <c r="BC6" s="76" t="b">
        <v>1</v>
      </c>
      <c r="BD6" s="76" t="b">
        <v>1</v>
      </c>
      <c r="BE6" s="76" t="b">
        <v>0</v>
      </c>
      <c r="BF6" s="76" t="b">
        <v>0</v>
      </c>
      <c r="BG6" s="76" t="b">
        <v>0</v>
      </c>
      <c r="BH6" s="76"/>
      <c r="BI6" s="76"/>
      <c r="BJ6" s="76" t="s">
        <v>24935</v>
      </c>
      <c r="BK6" s="76" t="b">
        <v>0</v>
      </c>
      <c r="BL6" s="76"/>
      <c r="BM6" s="76" t="s">
        <v>66</v>
      </c>
      <c r="BN6" s="76" t="s">
        <v>24937</v>
      </c>
      <c r="BO6" s="83" t="str">
        <f>HYPERLINK("https://twitter.com/djiani11")</f>
        <v>https://twitter.com/djiani11</v>
      </c>
      <c r="BP6" s="2"/>
    </row>
    <row r="7" spans="1:68" x14ac:dyDescent="0.25">
      <c r="A7" s="62" t="s">
        <v>228</v>
      </c>
      <c r="B7" s="63"/>
      <c r="C7" s="63"/>
      <c r="D7" s="64"/>
      <c r="E7" s="66"/>
      <c r="F7" s="102" t="str">
        <f>HYPERLINK("https://pbs.twimg.com/profile_images/1694313706518155264/Ie5upl1L_normal.jpg")</f>
        <v>https://pbs.twimg.com/profile_images/1694313706518155264/Ie5upl1L_normal.jpg</v>
      </c>
      <c r="G7" s="63"/>
      <c r="H7" s="67"/>
      <c r="I7" s="68"/>
      <c r="J7" s="68"/>
      <c r="K7" s="67" t="s">
        <v>24941</v>
      </c>
      <c r="L7" s="71"/>
      <c r="M7" s="72"/>
      <c r="N7" s="72"/>
      <c r="O7" s="73"/>
      <c r="P7" s="74"/>
      <c r="Q7" s="74"/>
      <c r="R7" s="86"/>
      <c r="S7" s="86"/>
      <c r="T7" s="86"/>
      <c r="U7" s="86"/>
      <c r="V7" s="48"/>
      <c r="W7" s="48"/>
      <c r="X7" s="48"/>
      <c r="Y7" s="48"/>
      <c r="Z7" s="47"/>
      <c r="AA7" s="69">
        <v>7</v>
      </c>
      <c r="AB7" s="69"/>
      <c r="AC7" s="70"/>
      <c r="AD7" s="76" t="s">
        <v>21820</v>
      </c>
      <c r="AE7" s="81" t="s">
        <v>21015</v>
      </c>
      <c r="AF7" s="76">
        <v>0</v>
      </c>
      <c r="AG7" s="76">
        <v>4</v>
      </c>
      <c r="AH7" s="76">
        <v>12</v>
      </c>
      <c r="AI7" s="76">
        <v>0</v>
      </c>
      <c r="AJ7" s="76">
        <v>17</v>
      </c>
      <c r="AK7" s="76">
        <v>6</v>
      </c>
      <c r="AL7" s="76" t="b">
        <v>0</v>
      </c>
      <c r="AM7" s="78">
        <v>45050.762453703705</v>
      </c>
      <c r="AN7" s="76"/>
      <c r="AO7" s="76" t="s">
        <v>23346</v>
      </c>
      <c r="AP7" s="83" t="str">
        <f>HYPERLINK("https://t.co/VGNM6aPlvG")</f>
        <v>https://t.co/VGNM6aPlvG</v>
      </c>
      <c r="AQ7" s="83" t="str">
        <f>HYPERLINK("https://i3d.me/0yVS3A")</f>
        <v>https://i3d.me/0yVS3A</v>
      </c>
      <c r="AR7" s="76" t="s">
        <v>24255</v>
      </c>
      <c r="AS7" s="76"/>
      <c r="AT7" s="76"/>
      <c r="AU7" s="76"/>
      <c r="AV7" s="76"/>
      <c r="AW7" s="83" t="str">
        <f>HYPERLINK("https://t.co/VGNM6aPlvG")</f>
        <v>https://t.co/VGNM6aPlvG</v>
      </c>
      <c r="AX7" s="76" t="b">
        <v>0</v>
      </c>
      <c r="AY7" s="76"/>
      <c r="AZ7" s="76"/>
      <c r="BA7" s="76" t="b">
        <v>1</v>
      </c>
      <c r="BB7" s="76" t="b">
        <v>0</v>
      </c>
      <c r="BC7" s="76" t="b">
        <v>1</v>
      </c>
      <c r="BD7" s="76" t="b">
        <v>0</v>
      </c>
      <c r="BE7" s="76" t="b">
        <v>0</v>
      </c>
      <c r="BF7" s="76" t="b">
        <v>0</v>
      </c>
      <c r="BG7" s="76" t="b">
        <v>0</v>
      </c>
      <c r="BH7" s="76"/>
      <c r="BI7" s="76"/>
      <c r="BJ7" s="76" t="s">
        <v>24935</v>
      </c>
      <c r="BK7" s="76" t="b">
        <v>0</v>
      </c>
      <c r="BL7" s="76"/>
      <c r="BM7" s="76" t="s">
        <v>66</v>
      </c>
      <c r="BN7" s="76" t="s">
        <v>24937</v>
      </c>
      <c r="BO7" s="83" t="str">
        <f>HYPERLINK("https://twitter.com/awkangelo")</f>
        <v>https://twitter.com/awkangelo</v>
      </c>
      <c r="BP7" s="2"/>
    </row>
    <row r="8" spans="1:68" x14ac:dyDescent="0.25">
      <c r="A8" s="62" t="s">
        <v>229</v>
      </c>
      <c r="B8" s="63"/>
      <c r="C8" s="63"/>
      <c r="D8" s="64"/>
      <c r="E8" s="66"/>
      <c r="F8" s="102" t="str">
        <f>HYPERLINK("https://pbs.twimg.com/profile_images/1581842806829637632/yUm31OiA_normal.jpg")</f>
        <v>https://pbs.twimg.com/profile_images/1581842806829637632/yUm31OiA_normal.jpg</v>
      </c>
      <c r="G8" s="63"/>
      <c r="H8" s="67"/>
      <c r="I8" s="68"/>
      <c r="J8" s="68"/>
      <c r="K8" s="67" t="s">
        <v>24942</v>
      </c>
      <c r="L8" s="71"/>
      <c r="M8" s="72"/>
      <c r="N8" s="72"/>
      <c r="O8" s="73"/>
      <c r="P8" s="74"/>
      <c r="Q8" s="74"/>
      <c r="R8" s="86"/>
      <c r="S8" s="86"/>
      <c r="T8" s="86"/>
      <c r="U8" s="86"/>
      <c r="V8" s="48"/>
      <c r="W8" s="48"/>
      <c r="X8" s="48"/>
      <c r="Y8" s="48"/>
      <c r="Z8" s="47"/>
      <c r="AA8" s="69">
        <v>8</v>
      </c>
      <c r="AB8" s="69"/>
      <c r="AC8" s="70"/>
      <c r="AD8" s="76" t="s">
        <v>21821</v>
      </c>
      <c r="AE8" s="81" t="s">
        <v>22854</v>
      </c>
      <c r="AF8" s="76">
        <v>134</v>
      </c>
      <c r="AG8" s="76">
        <v>541</v>
      </c>
      <c r="AH8" s="76">
        <v>2406</v>
      </c>
      <c r="AI8" s="76">
        <v>0</v>
      </c>
      <c r="AJ8" s="76">
        <v>605</v>
      </c>
      <c r="AK8" s="76">
        <v>72</v>
      </c>
      <c r="AL8" s="76" t="b">
        <v>0</v>
      </c>
      <c r="AM8" s="78">
        <v>40446.587094907409</v>
      </c>
      <c r="AN8" s="76"/>
      <c r="AO8" s="76" t="s">
        <v>23347</v>
      </c>
      <c r="AP8" s="76"/>
      <c r="AQ8" s="76"/>
      <c r="AR8" s="76"/>
      <c r="AS8" s="76"/>
      <c r="AT8" s="76"/>
      <c r="AU8" s="76"/>
      <c r="AV8" s="76">
        <v>1.58687591427261E+18</v>
      </c>
      <c r="AW8" s="76"/>
      <c r="AX8" s="76" t="b">
        <v>0</v>
      </c>
      <c r="AY8" s="76"/>
      <c r="AZ8" s="76"/>
      <c r="BA8" s="76" t="b">
        <v>0</v>
      </c>
      <c r="BB8" s="76" t="b">
        <v>1</v>
      </c>
      <c r="BC8" s="76" t="b">
        <v>0</v>
      </c>
      <c r="BD8" s="76" t="b">
        <v>0</v>
      </c>
      <c r="BE8" s="76" t="b">
        <v>1</v>
      </c>
      <c r="BF8" s="76" t="b">
        <v>0</v>
      </c>
      <c r="BG8" s="76" t="b">
        <v>0</v>
      </c>
      <c r="BH8" s="83" t="str">
        <f>HYPERLINK("https://pbs.twimg.com/profile_banners/194984295/1549358181")</f>
        <v>https://pbs.twimg.com/profile_banners/194984295/1549358181</v>
      </c>
      <c r="BI8" s="76"/>
      <c r="BJ8" s="76" t="s">
        <v>24935</v>
      </c>
      <c r="BK8" s="76" t="b">
        <v>0</v>
      </c>
      <c r="BL8" s="76"/>
      <c r="BM8" s="76" t="s">
        <v>66</v>
      </c>
      <c r="BN8" s="76" t="s">
        <v>24937</v>
      </c>
      <c r="BO8" s="83" t="str">
        <f>HYPERLINK("https://twitter.com/cochichou1")</f>
        <v>https://twitter.com/cochichou1</v>
      </c>
      <c r="BP8" s="2"/>
    </row>
    <row r="9" spans="1:68" x14ac:dyDescent="0.25">
      <c r="A9" s="62" t="s">
        <v>230</v>
      </c>
      <c r="B9" s="63"/>
      <c r="C9" s="63"/>
      <c r="D9" s="64"/>
      <c r="E9" s="66"/>
      <c r="F9" s="102" t="str">
        <f>HYPERLINK("https://pbs.twimg.com/profile_images/1637190435083898884/D73mFSUo_normal.jpg")</f>
        <v>https://pbs.twimg.com/profile_images/1637190435083898884/D73mFSUo_normal.jpg</v>
      </c>
      <c r="G9" s="63"/>
      <c r="H9" s="67"/>
      <c r="I9" s="68"/>
      <c r="J9" s="68"/>
      <c r="K9" s="67" t="s">
        <v>24943</v>
      </c>
      <c r="L9" s="71"/>
      <c r="M9" s="72"/>
      <c r="N9" s="72"/>
      <c r="O9" s="73"/>
      <c r="P9" s="74"/>
      <c r="Q9" s="74"/>
      <c r="R9" s="86"/>
      <c r="S9" s="86"/>
      <c r="T9" s="86"/>
      <c r="U9" s="86"/>
      <c r="V9" s="48"/>
      <c r="W9" s="48"/>
      <c r="X9" s="48"/>
      <c r="Y9" s="48"/>
      <c r="Z9" s="47"/>
      <c r="AA9" s="69">
        <v>9</v>
      </c>
      <c r="AB9" s="69"/>
      <c r="AC9" s="70"/>
      <c r="AD9" s="76" t="s">
        <v>21822</v>
      </c>
      <c r="AE9" s="81" t="s">
        <v>22855</v>
      </c>
      <c r="AF9" s="76">
        <v>733</v>
      </c>
      <c r="AG9" s="76">
        <v>2652</v>
      </c>
      <c r="AH9" s="76">
        <v>9795</v>
      </c>
      <c r="AI9" s="76">
        <v>0</v>
      </c>
      <c r="AJ9" s="76">
        <v>5226</v>
      </c>
      <c r="AK9" s="76">
        <v>432</v>
      </c>
      <c r="AL9" s="76" t="b">
        <v>0</v>
      </c>
      <c r="AM9" s="78">
        <v>40429.664131944446</v>
      </c>
      <c r="AN9" s="76" t="s">
        <v>14033</v>
      </c>
      <c r="AO9" s="76" t="s">
        <v>23348</v>
      </c>
      <c r="AP9" s="76"/>
      <c r="AQ9" s="76"/>
      <c r="AR9" s="76"/>
      <c r="AS9" s="76"/>
      <c r="AT9" s="76"/>
      <c r="AU9" s="76"/>
      <c r="AV9" s="76"/>
      <c r="AW9" s="76"/>
      <c r="AX9" s="76" t="b">
        <v>0</v>
      </c>
      <c r="AY9" s="76"/>
      <c r="AZ9" s="76"/>
      <c r="BA9" s="76" t="b">
        <v>0</v>
      </c>
      <c r="BB9" s="76" t="b">
        <v>1</v>
      </c>
      <c r="BC9" s="76" t="b">
        <v>0</v>
      </c>
      <c r="BD9" s="76" t="b">
        <v>0</v>
      </c>
      <c r="BE9" s="76" t="b">
        <v>1</v>
      </c>
      <c r="BF9" s="76" t="b">
        <v>0</v>
      </c>
      <c r="BG9" s="76" t="b">
        <v>0</v>
      </c>
      <c r="BH9" s="83" t="str">
        <f>HYPERLINK("https://pbs.twimg.com/profile_banners/188377796/1581380712")</f>
        <v>https://pbs.twimg.com/profile_banners/188377796/1581380712</v>
      </c>
      <c r="BI9" s="76"/>
      <c r="BJ9" s="76" t="s">
        <v>24935</v>
      </c>
      <c r="BK9" s="76" t="b">
        <v>0</v>
      </c>
      <c r="BL9" s="76"/>
      <c r="BM9" s="76" t="s">
        <v>66</v>
      </c>
      <c r="BN9" s="76" t="s">
        <v>24937</v>
      </c>
      <c r="BO9" s="83" t="str">
        <f>HYPERLINK("https://twitter.com/lmichelleduarte")</f>
        <v>https://twitter.com/lmichelleduarte</v>
      </c>
      <c r="BP9" s="2"/>
    </row>
    <row r="10" spans="1:68" x14ac:dyDescent="0.25">
      <c r="A10" s="62" t="s">
        <v>231</v>
      </c>
      <c r="B10" s="63"/>
      <c r="C10" s="63"/>
      <c r="D10" s="64"/>
      <c r="E10" s="66"/>
      <c r="F10" s="102" t="str">
        <f>HYPERLINK("https://pbs.twimg.com/profile_images/1498585810316181504/Q-noc7Ef_normal.jpg")</f>
        <v>https://pbs.twimg.com/profile_images/1498585810316181504/Q-noc7Ef_normal.jpg</v>
      </c>
      <c r="G10" s="63"/>
      <c r="H10" s="67"/>
      <c r="I10" s="68"/>
      <c r="J10" s="68"/>
      <c r="K10" s="67" t="s">
        <v>24944</v>
      </c>
      <c r="L10" s="71"/>
      <c r="M10" s="72"/>
      <c r="N10" s="72"/>
      <c r="O10" s="73"/>
      <c r="P10" s="74"/>
      <c r="Q10" s="74"/>
      <c r="R10" s="86"/>
      <c r="S10" s="86"/>
      <c r="T10" s="86"/>
      <c r="U10" s="86"/>
      <c r="V10" s="48"/>
      <c r="W10" s="48"/>
      <c r="X10" s="48"/>
      <c r="Y10" s="48"/>
      <c r="Z10" s="47"/>
      <c r="AA10" s="69">
        <v>10</v>
      </c>
      <c r="AB10" s="69"/>
      <c r="AC10" s="70"/>
      <c r="AD10" s="76" t="s">
        <v>21823</v>
      </c>
      <c r="AE10" s="81" t="s">
        <v>21016</v>
      </c>
      <c r="AF10" s="76">
        <v>40</v>
      </c>
      <c r="AG10" s="76">
        <v>23</v>
      </c>
      <c r="AH10" s="76">
        <v>1060</v>
      </c>
      <c r="AI10" s="76">
        <v>0</v>
      </c>
      <c r="AJ10" s="76">
        <v>278</v>
      </c>
      <c r="AK10" s="76">
        <v>555</v>
      </c>
      <c r="AL10" s="76" t="b">
        <v>0</v>
      </c>
      <c r="AM10" s="78">
        <v>44549.012256944443</v>
      </c>
      <c r="AN10" s="76"/>
      <c r="AO10" s="83" t="str">
        <f>HYPERLINK("https://t.co/U8QIuHbden")</f>
        <v>https://t.co/U8QIuHbden</v>
      </c>
      <c r="AP10" s="83" t="str">
        <f>HYPERLINK("https://t.co/PGdoFsrZjK")</f>
        <v>https://t.co/PGdoFsrZjK</v>
      </c>
      <c r="AQ10" s="83" t="str">
        <f>HYPERLINK("https://bit.ly/3zJVoGh")</f>
        <v>https://bit.ly/3zJVoGh</v>
      </c>
      <c r="AR10" s="76" t="s">
        <v>24256</v>
      </c>
      <c r="AS10" s="83" t="str">
        <f>HYPERLINK("https://t.co/U8QIuHbden")</f>
        <v>https://t.co/U8QIuHbden</v>
      </c>
      <c r="AT10" s="83" t="str">
        <f>HYPERLINK("http://instagram.com/acoesimportam/")</f>
        <v>http://instagram.com/acoesimportam/</v>
      </c>
      <c r="AU10" s="76" t="s">
        <v>24852</v>
      </c>
      <c r="AV10" s="76"/>
      <c r="AW10" s="83" t="str">
        <f>HYPERLINK("https://t.co/PGdoFsrZjK")</f>
        <v>https://t.co/PGdoFsrZjK</v>
      </c>
      <c r="AX10" s="76" t="b">
        <v>0</v>
      </c>
      <c r="AY10" s="76"/>
      <c r="AZ10" s="76"/>
      <c r="BA10" s="76" t="b">
        <v>0</v>
      </c>
      <c r="BB10" s="76" t="b">
        <v>1</v>
      </c>
      <c r="BC10" s="76" t="b">
        <v>1</v>
      </c>
      <c r="BD10" s="76" t="b">
        <v>0</v>
      </c>
      <c r="BE10" s="76" t="b">
        <v>0</v>
      </c>
      <c r="BF10" s="76" t="b">
        <v>0</v>
      </c>
      <c r="BG10" s="76" t="b">
        <v>0</v>
      </c>
      <c r="BH10" s="83" t="str">
        <f>HYPERLINK("https://pbs.twimg.com/profile_banners/1472360234798784513/1639873404")</f>
        <v>https://pbs.twimg.com/profile_banners/1472360234798784513/1639873404</v>
      </c>
      <c r="BI10" s="76"/>
      <c r="BJ10" s="76" t="s">
        <v>24935</v>
      </c>
      <c r="BK10" s="76" t="b">
        <v>0</v>
      </c>
      <c r="BL10" s="76"/>
      <c r="BM10" s="76" t="s">
        <v>66</v>
      </c>
      <c r="BN10" s="76" t="s">
        <v>24937</v>
      </c>
      <c r="BO10" s="83" t="str">
        <f>HYPERLINK("https://twitter.com/acoesimportam")</f>
        <v>https://twitter.com/acoesimportam</v>
      </c>
      <c r="BP10" s="2"/>
    </row>
    <row r="11" spans="1:68" x14ac:dyDescent="0.25">
      <c r="A11" s="62" t="s">
        <v>232</v>
      </c>
      <c r="B11" s="63"/>
      <c r="C11" s="63"/>
      <c r="D11" s="64"/>
      <c r="E11" s="66"/>
      <c r="F11" s="102" t="str">
        <f>HYPERLINK("https://pbs.twimg.com/profile_images/1643796060794413058/DRE5RCf6_normal.jpg")</f>
        <v>https://pbs.twimg.com/profile_images/1643796060794413058/DRE5RCf6_normal.jpg</v>
      </c>
      <c r="G11" s="63"/>
      <c r="H11" s="67"/>
      <c r="I11" s="68"/>
      <c r="J11" s="68"/>
      <c r="K11" s="67" t="s">
        <v>24945</v>
      </c>
      <c r="L11" s="71"/>
      <c r="M11" s="72"/>
      <c r="N11" s="72"/>
      <c r="O11" s="73"/>
      <c r="P11" s="74"/>
      <c r="Q11" s="74"/>
      <c r="R11" s="86"/>
      <c r="S11" s="86"/>
      <c r="T11" s="86"/>
      <c r="U11" s="86"/>
      <c r="V11" s="48"/>
      <c r="W11" s="48"/>
      <c r="X11" s="48"/>
      <c r="Y11" s="48"/>
      <c r="Z11" s="47"/>
      <c r="AA11" s="69">
        <v>11</v>
      </c>
      <c r="AB11" s="69"/>
      <c r="AC11" s="70"/>
      <c r="AD11" s="76" t="s">
        <v>21824</v>
      </c>
      <c r="AE11" s="81" t="s">
        <v>21017</v>
      </c>
      <c r="AF11" s="76">
        <v>0</v>
      </c>
      <c r="AG11" s="76">
        <v>1</v>
      </c>
      <c r="AH11" s="76">
        <v>9</v>
      </c>
      <c r="AI11" s="76">
        <v>0</v>
      </c>
      <c r="AJ11" s="76">
        <v>9</v>
      </c>
      <c r="AK11" s="76">
        <v>1</v>
      </c>
      <c r="AL11" s="76" t="b">
        <v>0</v>
      </c>
      <c r="AM11" s="78">
        <v>45022.080046296294</v>
      </c>
      <c r="AN11" s="76"/>
      <c r="AO11" s="76" t="s">
        <v>23349</v>
      </c>
      <c r="AP11" s="83" t="str">
        <f>HYPERLINK("https://t.co/qu6HyN01Y6")</f>
        <v>https://t.co/qu6HyN01Y6</v>
      </c>
      <c r="AQ11" s="83" t="str">
        <f>HYPERLINK("https://mulhercomrendapropria.com.br/freelancer67")</f>
        <v>https://mulhercomrendapropria.com.br/freelancer67</v>
      </c>
      <c r="AR11" s="76" t="s">
        <v>24257</v>
      </c>
      <c r="AS11" s="76"/>
      <c r="AT11" s="76"/>
      <c r="AU11" s="76"/>
      <c r="AV11" s="76"/>
      <c r="AW11" s="83" t="str">
        <f>HYPERLINK("https://t.co/qu6HyN01Y6")</f>
        <v>https://t.co/qu6HyN01Y6</v>
      </c>
      <c r="AX11" s="76" t="b">
        <v>0</v>
      </c>
      <c r="AY11" s="76"/>
      <c r="AZ11" s="76"/>
      <c r="BA11" s="76" t="b">
        <v>0</v>
      </c>
      <c r="BB11" s="76" t="b">
        <v>1</v>
      </c>
      <c r="BC11" s="76" t="b">
        <v>1</v>
      </c>
      <c r="BD11" s="76" t="b">
        <v>0</v>
      </c>
      <c r="BE11" s="76" t="b">
        <v>0</v>
      </c>
      <c r="BF11" s="76" t="b">
        <v>0</v>
      </c>
      <c r="BG11" s="76" t="b">
        <v>0</v>
      </c>
      <c r="BH11" s="76"/>
      <c r="BI11" s="76"/>
      <c r="BJ11" s="76" t="s">
        <v>24935</v>
      </c>
      <c r="BK11" s="76" t="b">
        <v>0</v>
      </c>
      <c r="BL11" s="76"/>
      <c r="BM11" s="76" t="s">
        <v>66</v>
      </c>
      <c r="BN11" s="76" t="s">
        <v>24937</v>
      </c>
      <c r="BO11" s="83" t="str">
        <f>HYPERLINK("https://twitter.com/rendasemvender")</f>
        <v>https://twitter.com/rendasemvender</v>
      </c>
      <c r="BP11" s="2"/>
    </row>
    <row r="12" spans="1:68" x14ac:dyDescent="0.25">
      <c r="A12" s="62" t="s">
        <v>233</v>
      </c>
      <c r="B12" s="63"/>
      <c r="C12" s="63"/>
      <c r="D12" s="64"/>
      <c r="E12" s="66"/>
      <c r="F12" s="102" t="str">
        <f>HYPERLINK("https://pbs.twimg.com/profile_images/1657912021130657792/UOCKFKOa_normal.jpg")</f>
        <v>https://pbs.twimg.com/profile_images/1657912021130657792/UOCKFKOa_normal.jpg</v>
      </c>
      <c r="G12" s="63"/>
      <c r="H12" s="67"/>
      <c r="I12" s="68"/>
      <c r="J12" s="68"/>
      <c r="K12" s="67" t="s">
        <v>24946</v>
      </c>
      <c r="L12" s="71"/>
      <c r="M12" s="72"/>
      <c r="N12" s="72"/>
      <c r="O12" s="73"/>
      <c r="P12" s="74"/>
      <c r="Q12" s="74"/>
      <c r="R12" s="86"/>
      <c r="S12" s="86"/>
      <c r="T12" s="86"/>
      <c r="U12" s="86"/>
      <c r="V12" s="48"/>
      <c r="W12" s="48"/>
      <c r="X12" s="48"/>
      <c r="Y12" s="48"/>
      <c r="Z12" s="47"/>
      <c r="AA12" s="69">
        <v>12</v>
      </c>
      <c r="AB12" s="69"/>
      <c r="AC12" s="70"/>
      <c r="AD12" s="76" t="s">
        <v>21825</v>
      </c>
      <c r="AE12" s="81" t="s">
        <v>21018</v>
      </c>
      <c r="AF12" s="76">
        <v>0</v>
      </c>
      <c r="AG12" s="76">
        <v>1</v>
      </c>
      <c r="AH12" s="76">
        <v>8</v>
      </c>
      <c r="AI12" s="76">
        <v>0</v>
      </c>
      <c r="AJ12" s="76">
        <v>11</v>
      </c>
      <c r="AK12" s="76">
        <v>8</v>
      </c>
      <c r="AL12" s="76" t="b">
        <v>0</v>
      </c>
      <c r="AM12" s="78">
        <v>45061.036527777775</v>
      </c>
      <c r="AN12" s="76"/>
      <c r="AO12" s="76" t="s">
        <v>23350</v>
      </c>
      <c r="AP12" s="76"/>
      <c r="AQ12" s="76"/>
      <c r="AR12" s="76"/>
      <c r="AS12" s="76"/>
      <c r="AT12" s="76"/>
      <c r="AU12" s="76"/>
      <c r="AV12" s="76"/>
      <c r="AW12" s="76"/>
      <c r="AX12" s="76" t="b">
        <v>0</v>
      </c>
      <c r="AY12" s="76"/>
      <c r="AZ12" s="76"/>
      <c r="BA12" s="76" t="b">
        <v>0</v>
      </c>
      <c r="BB12" s="76" t="b">
        <v>1</v>
      </c>
      <c r="BC12" s="76" t="b">
        <v>1</v>
      </c>
      <c r="BD12" s="76" t="b">
        <v>0</v>
      </c>
      <c r="BE12" s="76" t="b">
        <v>0</v>
      </c>
      <c r="BF12" s="76" t="b">
        <v>0</v>
      </c>
      <c r="BG12" s="76" t="b">
        <v>0</v>
      </c>
      <c r="BH12" s="76"/>
      <c r="BI12" s="76"/>
      <c r="BJ12" s="76" t="s">
        <v>24935</v>
      </c>
      <c r="BK12" s="76" t="b">
        <v>0</v>
      </c>
      <c r="BL12" s="76"/>
      <c r="BM12" s="76" t="s">
        <v>66</v>
      </c>
      <c r="BN12" s="76" t="s">
        <v>24937</v>
      </c>
      <c r="BO12" s="83" t="str">
        <f>HYPERLINK("https://twitter.com/ganharajud61276")</f>
        <v>https://twitter.com/ganharajud61276</v>
      </c>
      <c r="BP12" s="2"/>
    </row>
    <row r="13" spans="1:68" x14ac:dyDescent="0.25">
      <c r="A13" s="62" t="s">
        <v>234</v>
      </c>
      <c r="B13" s="63"/>
      <c r="C13" s="63"/>
      <c r="D13" s="64"/>
      <c r="E13" s="66"/>
      <c r="F13" s="102" t="str">
        <f>HYPERLINK("https://pbs.twimg.com/profile_images/1646922576575225862/19ECH_bb_normal.jpg")</f>
        <v>https://pbs.twimg.com/profile_images/1646922576575225862/19ECH_bb_normal.jpg</v>
      </c>
      <c r="G13" s="63"/>
      <c r="H13" s="67"/>
      <c r="I13" s="68"/>
      <c r="J13" s="68"/>
      <c r="K13" s="67" t="s">
        <v>24947</v>
      </c>
      <c r="L13" s="71"/>
      <c r="M13" s="72"/>
      <c r="N13" s="72"/>
      <c r="O13" s="73"/>
      <c r="P13" s="74"/>
      <c r="Q13" s="74"/>
      <c r="R13" s="86"/>
      <c r="S13" s="86"/>
      <c r="T13" s="86"/>
      <c r="U13" s="86"/>
      <c r="V13" s="48"/>
      <c r="W13" s="48"/>
      <c r="X13" s="48"/>
      <c r="Y13" s="48"/>
      <c r="Z13" s="47"/>
      <c r="AA13" s="69">
        <v>13</v>
      </c>
      <c r="AB13" s="69"/>
      <c r="AC13" s="70"/>
      <c r="AD13" s="76" t="s">
        <v>21826</v>
      </c>
      <c r="AE13" s="81" t="s">
        <v>21019</v>
      </c>
      <c r="AF13" s="76">
        <v>0</v>
      </c>
      <c r="AG13" s="76">
        <v>1</v>
      </c>
      <c r="AH13" s="76">
        <v>3</v>
      </c>
      <c r="AI13" s="76">
        <v>0</v>
      </c>
      <c r="AJ13" s="76">
        <v>0</v>
      </c>
      <c r="AK13" s="76">
        <v>1</v>
      </c>
      <c r="AL13" s="76" t="b">
        <v>0</v>
      </c>
      <c r="AM13" s="78">
        <v>45030.23096064815</v>
      </c>
      <c r="AN13" s="76"/>
      <c r="AO13" s="76" t="s">
        <v>23351</v>
      </c>
      <c r="AP13" s="76"/>
      <c r="AQ13" s="76"/>
      <c r="AR13" s="76"/>
      <c r="AS13" s="76"/>
      <c r="AT13" s="76"/>
      <c r="AU13" s="76"/>
      <c r="AV13" s="76">
        <v>1.6538228809650701E+18</v>
      </c>
      <c r="AW13" s="76"/>
      <c r="AX13" s="76" t="b">
        <v>0</v>
      </c>
      <c r="AY13" s="76"/>
      <c r="AZ13" s="76"/>
      <c r="BA13" s="76" t="b">
        <v>0</v>
      </c>
      <c r="BB13" s="76" t="b">
        <v>1</v>
      </c>
      <c r="BC13" s="76" t="b">
        <v>1</v>
      </c>
      <c r="BD13" s="76" t="b">
        <v>0</v>
      </c>
      <c r="BE13" s="76" t="b">
        <v>0</v>
      </c>
      <c r="BF13" s="76" t="b">
        <v>0</v>
      </c>
      <c r="BG13" s="76" t="b">
        <v>0</v>
      </c>
      <c r="BH13" s="76"/>
      <c r="BI13" s="76"/>
      <c r="BJ13" s="76" t="s">
        <v>24935</v>
      </c>
      <c r="BK13" s="76" t="b">
        <v>0</v>
      </c>
      <c r="BL13" s="76"/>
      <c r="BM13" s="76" t="s">
        <v>66</v>
      </c>
      <c r="BN13" s="76" t="s">
        <v>24937</v>
      </c>
      <c r="BO13" s="83" t="str">
        <f>HYPERLINK("https://twitter.com/matheus_sais")</f>
        <v>https://twitter.com/matheus_sais</v>
      </c>
      <c r="BP13" s="2"/>
    </row>
    <row r="14" spans="1:68" x14ac:dyDescent="0.25">
      <c r="A14" s="62" t="s">
        <v>235</v>
      </c>
      <c r="B14" s="63"/>
      <c r="C14" s="63"/>
      <c r="D14" s="64"/>
      <c r="E14" s="66"/>
      <c r="F14" s="102" t="str">
        <f>HYPERLINK("https://pbs.twimg.com/profile_images/1625114986157572096/aIPug0G0_normal.jpg")</f>
        <v>https://pbs.twimg.com/profile_images/1625114986157572096/aIPug0G0_normal.jpg</v>
      </c>
      <c r="G14" s="63"/>
      <c r="H14" s="67"/>
      <c r="I14" s="68"/>
      <c r="J14" s="68"/>
      <c r="K14" s="67" t="s">
        <v>24948</v>
      </c>
      <c r="L14" s="71"/>
      <c r="M14" s="72"/>
      <c r="N14" s="72"/>
      <c r="O14" s="73"/>
      <c r="P14" s="74"/>
      <c r="Q14" s="74"/>
      <c r="R14" s="86"/>
      <c r="S14" s="86"/>
      <c r="T14" s="86"/>
      <c r="U14" s="86"/>
      <c r="V14" s="48"/>
      <c r="W14" s="48"/>
      <c r="X14" s="48"/>
      <c r="Y14" s="48"/>
      <c r="Z14" s="47"/>
      <c r="AA14" s="69">
        <v>14</v>
      </c>
      <c r="AB14" s="69"/>
      <c r="AC14" s="70"/>
      <c r="AD14" s="76" t="s">
        <v>21827</v>
      </c>
      <c r="AE14" s="81" t="s">
        <v>21020</v>
      </c>
      <c r="AF14" s="76">
        <v>0</v>
      </c>
      <c r="AG14" s="76">
        <v>37</v>
      </c>
      <c r="AH14" s="76">
        <v>1</v>
      </c>
      <c r="AI14" s="76">
        <v>0</v>
      </c>
      <c r="AJ14" s="76">
        <v>0</v>
      </c>
      <c r="AK14" s="76">
        <v>1</v>
      </c>
      <c r="AL14" s="76" t="b">
        <v>0</v>
      </c>
      <c r="AM14" s="78">
        <v>44970.532500000001</v>
      </c>
      <c r="AN14" s="76"/>
      <c r="AO14" s="76"/>
      <c r="AP14" s="76"/>
      <c r="AQ14" s="76"/>
      <c r="AR14" s="76"/>
      <c r="AS14" s="76"/>
      <c r="AT14" s="76"/>
      <c r="AU14" s="76"/>
      <c r="AV14" s="76"/>
      <c r="AW14" s="76"/>
      <c r="AX14" s="76" t="b">
        <v>0</v>
      </c>
      <c r="AY14" s="76"/>
      <c r="AZ14" s="76"/>
      <c r="BA14" s="76" t="b">
        <v>0</v>
      </c>
      <c r="BB14" s="76" t="b">
        <v>1</v>
      </c>
      <c r="BC14" s="76" t="b">
        <v>1</v>
      </c>
      <c r="BD14" s="76" t="b">
        <v>0</v>
      </c>
      <c r="BE14" s="76" t="b">
        <v>0</v>
      </c>
      <c r="BF14" s="76" t="b">
        <v>0</v>
      </c>
      <c r="BG14" s="76" t="b">
        <v>0</v>
      </c>
      <c r="BH14" s="76"/>
      <c r="BI14" s="76"/>
      <c r="BJ14" s="76" t="s">
        <v>24935</v>
      </c>
      <c r="BK14" s="76" t="b">
        <v>0</v>
      </c>
      <c r="BL14" s="76"/>
      <c r="BM14" s="76" t="s">
        <v>66</v>
      </c>
      <c r="BN14" s="76" t="s">
        <v>24937</v>
      </c>
      <c r="BO14" s="83" t="str">
        <f>HYPERLINK("https://twitter.com/leidicorteze")</f>
        <v>https://twitter.com/leidicorteze</v>
      </c>
      <c r="BP14" s="2"/>
    </row>
    <row r="15" spans="1:68" x14ac:dyDescent="0.25">
      <c r="A15" s="62" t="s">
        <v>236</v>
      </c>
      <c r="B15" s="63"/>
      <c r="C15" s="63"/>
      <c r="D15" s="64"/>
      <c r="E15" s="66"/>
      <c r="F15" s="102" t="str">
        <f>HYPERLINK("https://pbs.twimg.com/profile_images/1629593910690414594/GlUHORuR_normal.jpg")</f>
        <v>https://pbs.twimg.com/profile_images/1629593910690414594/GlUHORuR_normal.jpg</v>
      </c>
      <c r="G15" s="63"/>
      <c r="H15" s="67"/>
      <c r="I15" s="68"/>
      <c r="J15" s="68"/>
      <c r="K15" s="67" t="s">
        <v>24949</v>
      </c>
      <c r="L15" s="71"/>
      <c r="M15" s="72"/>
      <c r="N15" s="72"/>
      <c r="O15" s="73"/>
      <c r="P15" s="74"/>
      <c r="Q15" s="74"/>
      <c r="R15" s="86"/>
      <c r="S15" s="86"/>
      <c r="T15" s="86"/>
      <c r="U15" s="86"/>
      <c r="V15" s="48"/>
      <c r="W15" s="48"/>
      <c r="X15" s="48"/>
      <c r="Y15" s="48"/>
      <c r="Z15" s="47"/>
      <c r="AA15" s="69">
        <v>15</v>
      </c>
      <c r="AB15" s="69"/>
      <c r="AC15" s="70"/>
      <c r="AD15" s="76" t="s">
        <v>21828</v>
      </c>
      <c r="AE15" s="81" t="s">
        <v>21021</v>
      </c>
      <c r="AF15" s="76">
        <v>59</v>
      </c>
      <c r="AG15" s="76">
        <v>318</v>
      </c>
      <c r="AH15" s="76">
        <v>154</v>
      </c>
      <c r="AI15" s="76">
        <v>0</v>
      </c>
      <c r="AJ15" s="76">
        <v>226</v>
      </c>
      <c r="AK15" s="76">
        <v>144</v>
      </c>
      <c r="AL15" s="76" t="b">
        <v>0</v>
      </c>
      <c r="AM15" s="78">
        <v>44800.432719907411</v>
      </c>
      <c r="AN15" s="76" t="s">
        <v>14033</v>
      </c>
      <c r="AO15" s="76" t="s">
        <v>23352</v>
      </c>
      <c r="AP15" s="76"/>
      <c r="AQ15" s="76"/>
      <c r="AR15" s="76"/>
      <c r="AS15" s="83" t="str">
        <f>HYPERLINK("https://t.co/45lLMcsqPS")</f>
        <v>https://t.co/45lLMcsqPS</v>
      </c>
      <c r="AT15" s="83" t="str">
        <f>HYPERLINK("https://youtube.com/@jcmotoristauber")</f>
        <v>https://youtube.com/@jcmotoristauber</v>
      </c>
      <c r="AU15" s="76" t="s">
        <v>24853</v>
      </c>
      <c r="AV15" s="76"/>
      <c r="AW15" s="76"/>
      <c r="AX15" s="76" t="b">
        <v>0</v>
      </c>
      <c r="AY15" s="76"/>
      <c r="AZ15" s="76"/>
      <c r="BA15" s="76" t="b">
        <v>0</v>
      </c>
      <c r="BB15" s="76" t="b">
        <v>1</v>
      </c>
      <c r="BC15" s="76" t="b">
        <v>1</v>
      </c>
      <c r="BD15" s="76" t="b">
        <v>0</v>
      </c>
      <c r="BE15" s="76" t="b">
        <v>0</v>
      </c>
      <c r="BF15" s="76" t="b">
        <v>0</v>
      </c>
      <c r="BG15" s="76" t="b">
        <v>0</v>
      </c>
      <c r="BH15" s="76"/>
      <c r="BI15" s="76"/>
      <c r="BJ15" s="76" t="s">
        <v>24935</v>
      </c>
      <c r="BK15" s="76" t="b">
        <v>0</v>
      </c>
      <c r="BL15" s="76"/>
      <c r="BM15" s="76" t="s">
        <v>66</v>
      </c>
      <c r="BN15" s="76" t="s">
        <v>24937</v>
      </c>
      <c r="BO15" s="83" t="str">
        <f>HYPERLINK("https://twitter.com/jcmotoristauber")</f>
        <v>https://twitter.com/jcmotoristauber</v>
      </c>
      <c r="BP15" s="2"/>
    </row>
    <row r="16" spans="1:68" x14ac:dyDescent="0.25">
      <c r="A16" s="62" t="s">
        <v>237</v>
      </c>
      <c r="B16" s="63"/>
      <c r="C16" s="63"/>
      <c r="D16" s="64"/>
      <c r="E16" s="66"/>
      <c r="F16" s="102" t="str">
        <f>HYPERLINK("https://pbs.twimg.com/profile_images/1678201062497370113/Oca2wigb_normal.jpg")</f>
        <v>https://pbs.twimg.com/profile_images/1678201062497370113/Oca2wigb_normal.jpg</v>
      </c>
      <c r="G16" s="63"/>
      <c r="H16" s="67"/>
      <c r="I16" s="68"/>
      <c r="J16" s="68"/>
      <c r="K16" s="67" t="s">
        <v>24950</v>
      </c>
      <c r="L16" s="71"/>
      <c r="M16" s="72"/>
      <c r="N16" s="72"/>
      <c r="O16" s="73"/>
      <c r="P16" s="74"/>
      <c r="Q16" s="74"/>
      <c r="R16" s="86"/>
      <c r="S16" s="86"/>
      <c r="T16" s="86"/>
      <c r="U16" s="86"/>
      <c r="V16" s="48"/>
      <c r="W16" s="48"/>
      <c r="X16" s="48"/>
      <c r="Y16" s="48"/>
      <c r="Z16" s="47"/>
      <c r="AA16" s="69">
        <v>16</v>
      </c>
      <c r="AB16" s="69"/>
      <c r="AC16" s="70"/>
      <c r="AD16" s="76" t="s">
        <v>21829</v>
      </c>
      <c r="AE16" s="81" t="s">
        <v>21022</v>
      </c>
      <c r="AF16" s="76">
        <v>1</v>
      </c>
      <c r="AG16" s="76">
        <v>1</v>
      </c>
      <c r="AH16" s="76">
        <v>1</v>
      </c>
      <c r="AI16" s="76">
        <v>0</v>
      </c>
      <c r="AJ16" s="76">
        <v>0</v>
      </c>
      <c r="AK16" s="76">
        <v>1</v>
      </c>
      <c r="AL16" s="76" t="b">
        <v>0</v>
      </c>
      <c r="AM16" s="78">
        <v>45117.022233796299</v>
      </c>
      <c r="AN16" s="76"/>
      <c r="AO16" s="76" t="s">
        <v>23353</v>
      </c>
      <c r="AP16" s="83" t="str">
        <f>HYPERLINK("https://t.co/5BZrpk8wCX")</f>
        <v>https://t.co/5BZrpk8wCX</v>
      </c>
      <c r="AQ16" s="83" t="str">
        <f>HYPERLINK("https://contate.me/undefined")</f>
        <v>https://contate.me/undefined</v>
      </c>
      <c r="AR16" s="76" t="s">
        <v>24258</v>
      </c>
      <c r="AS16" s="76"/>
      <c r="AT16" s="76"/>
      <c r="AU16" s="76"/>
      <c r="AV16" s="76"/>
      <c r="AW16" s="83" t="str">
        <f>HYPERLINK("https://t.co/5BZrpk8wCX")</f>
        <v>https://t.co/5BZrpk8wCX</v>
      </c>
      <c r="AX16" s="76" t="b">
        <v>0</v>
      </c>
      <c r="AY16" s="76"/>
      <c r="AZ16" s="76"/>
      <c r="BA16" s="76" t="b">
        <v>0</v>
      </c>
      <c r="BB16" s="76" t="b">
        <v>1</v>
      </c>
      <c r="BC16" s="76" t="b">
        <v>1</v>
      </c>
      <c r="BD16" s="76" t="b">
        <v>0</v>
      </c>
      <c r="BE16" s="76" t="b">
        <v>0</v>
      </c>
      <c r="BF16" s="76" t="b">
        <v>0</v>
      </c>
      <c r="BG16" s="76" t="b">
        <v>0</v>
      </c>
      <c r="BH16" s="76"/>
      <c r="BI16" s="76"/>
      <c r="BJ16" s="76" t="s">
        <v>24935</v>
      </c>
      <c r="BK16" s="76" t="b">
        <v>0</v>
      </c>
      <c r="BL16" s="76"/>
      <c r="BM16" s="76" t="s">
        <v>66</v>
      </c>
      <c r="BN16" s="76" t="s">
        <v>24937</v>
      </c>
      <c r="BO16" s="83" t="str">
        <f>HYPERLINK("https://twitter.com/digitalboost_67")</f>
        <v>https://twitter.com/digitalboost_67</v>
      </c>
      <c r="BP16" s="2"/>
    </row>
    <row r="17" spans="1:68" x14ac:dyDescent="0.25">
      <c r="A17" s="62" t="s">
        <v>238</v>
      </c>
      <c r="B17" s="63"/>
      <c r="C17" s="63"/>
      <c r="D17" s="64"/>
      <c r="E17" s="66"/>
      <c r="F17" s="102" t="str">
        <f>HYPERLINK("https://pbs.twimg.com/profile_images/1545162479306772481/L4DOBnkU_normal.jpg")</f>
        <v>https://pbs.twimg.com/profile_images/1545162479306772481/L4DOBnkU_normal.jpg</v>
      </c>
      <c r="G17" s="63"/>
      <c r="H17" s="67"/>
      <c r="I17" s="68"/>
      <c r="J17" s="68"/>
      <c r="K17" s="67" t="s">
        <v>24951</v>
      </c>
      <c r="L17" s="71"/>
      <c r="M17" s="72"/>
      <c r="N17" s="72"/>
      <c r="O17" s="73"/>
      <c r="P17" s="74"/>
      <c r="Q17" s="74"/>
      <c r="R17" s="86"/>
      <c r="S17" s="86"/>
      <c r="T17" s="86"/>
      <c r="U17" s="86"/>
      <c r="V17" s="48"/>
      <c r="W17" s="48"/>
      <c r="X17" s="48"/>
      <c r="Y17" s="48"/>
      <c r="Z17" s="47"/>
      <c r="AA17" s="69">
        <v>17</v>
      </c>
      <c r="AB17" s="69"/>
      <c r="AC17" s="70"/>
      <c r="AD17" s="76" t="s">
        <v>21830</v>
      </c>
      <c r="AE17" s="81" t="s">
        <v>21023</v>
      </c>
      <c r="AF17" s="76">
        <v>2</v>
      </c>
      <c r="AG17" s="76">
        <v>21</v>
      </c>
      <c r="AH17" s="76">
        <v>22</v>
      </c>
      <c r="AI17" s="76">
        <v>0</v>
      </c>
      <c r="AJ17" s="76">
        <v>15</v>
      </c>
      <c r="AK17" s="76">
        <v>3</v>
      </c>
      <c r="AL17" s="76" t="b">
        <v>0</v>
      </c>
      <c r="AM17" s="78">
        <v>44749.907337962963</v>
      </c>
      <c r="AN17" s="76"/>
      <c r="AO17" s="76" t="s">
        <v>23354</v>
      </c>
      <c r="AP17" s="83" t="str">
        <f>HYPERLINK("https://t.co/UbBqdR4DhB")</f>
        <v>https://t.co/UbBqdR4DhB</v>
      </c>
      <c r="AQ17" s="83" t="str">
        <f>HYPERLINK("https://apenasnegocioss.wixsite.com/apenasnegocios")</f>
        <v>https://apenasnegocioss.wixsite.com/apenasnegocios</v>
      </c>
      <c r="AR17" s="76" t="s">
        <v>24259</v>
      </c>
      <c r="AS17" s="76"/>
      <c r="AT17" s="76"/>
      <c r="AU17" s="76"/>
      <c r="AV17" s="76"/>
      <c r="AW17" s="83" t="str">
        <f>HYPERLINK("https://t.co/UbBqdR4DhB")</f>
        <v>https://t.co/UbBqdR4DhB</v>
      </c>
      <c r="AX17" s="76" t="b">
        <v>0</v>
      </c>
      <c r="AY17" s="76"/>
      <c r="AZ17" s="76"/>
      <c r="BA17" s="76" t="b">
        <v>0</v>
      </c>
      <c r="BB17" s="76" t="b">
        <v>1</v>
      </c>
      <c r="BC17" s="76" t="b">
        <v>1</v>
      </c>
      <c r="BD17" s="76" t="b">
        <v>0</v>
      </c>
      <c r="BE17" s="76" t="b">
        <v>0</v>
      </c>
      <c r="BF17" s="76" t="b">
        <v>0</v>
      </c>
      <c r="BG17" s="76" t="b">
        <v>0</v>
      </c>
      <c r="BH17" s="83" t="str">
        <f>HYPERLINK("https://pbs.twimg.com/profile_banners/1545161972802621440/1687486548")</f>
        <v>https://pbs.twimg.com/profile_banners/1545161972802621440/1687486548</v>
      </c>
      <c r="BI17" s="76"/>
      <c r="BJ17" s="76" t="s">
        <v>24935</v>
      </c>
      <c r="BK17" s="76" t="b">
        <v>0</v>
      </c>
      <c r="BL17" s="76"/>
      <c r="BM17" s="76" t="s">
        <v>66</v>
      </c>
      <c r="BN17" s="76" t="s">
        <v>24937</v>
      </c>
      <c r="BO17" s="83" t="str">
        <f>HYPERLINK("https://twitter.com/apenasnegocioss")</f>
        <v>https://twitter.com/apenasnegocioss</v>
      </c>
      <c r="BP17" s="2"/>
    </row>
    <row r="18" spans="1:68" x14ac:dyDescent="0.25">
      <c r="A18" s="62" t="s">
        <v>239</v>
      </c>
      <c r="B18" s="63"/>
      <c r="C18" s="63"/>
      <c r="D18" s="64"/>
      <c r="E18" s="66"/>
      <c r="F18" s="102" t="str">
        <f>HYPERLINK("https://pbs.twimg.com/profile_images/1624093163534135305/6tUatP76_normal.jpg")</f>
        <v>https://pbs.twimg.com/profile_images/1624093163534135305/6tUatP76_normal.jpg</v>
      </c>
      <c r="G18" s="63"/>
      <c r="H18" s="67"/>
      <c r="I18" s="68"/>
      <c r="J18" s="68"/>
      <c r="K18" s="67" t="s">
        <v>24952</v>
      </c>
      <c r="L18" s="71"/>
      <c r="M18" s="72"/>
      <c r="N18" s="72"/>
      <c r="O18" s="73"/>
      <c r="P18" s="74"/>
      <c r="Q18" s="74"/>
      <c r="R18" s="86"/>
      <c r="S18" s="86"/>
      <c r="T18" s="86"/>
      <c r="U18" s="86"/>
      <c r="V18" s="48"/>
      <c r="W18" s="48"/>
      <c r="X18" s="48"/>
      <c r="Y18" s="48"/>
      <c r="Z18" s="47"/>
      <c r="AA18" s="69">
        <v>18</v>
      </c>
      <c r="AB18" s="69"/>
      <c r="AC18" s="70"/>
      <c r="AD18" s="76" t="s">
        <v>21831</v>
      </c>
      <c r="AE18" s="81" t="s">
        <v>21024</v>
      </c>
      <c r="AF18" s="76">
        <v>45</v>
      </c>
      <c r="AG18" s="76">
        <v>4</v>
      </c>
      <c r="AH18" s="76">
        <v>211</v>
      </c>
      <c r="AI18" s="76">
        <v>1</v>
      </c>
      <c r="AJ18" s="76">
        <v>7</v>
      </c>
      <c r="AK18" s="76">
        <v>133</v>
      </c>
      <c r="AL18" s="76" t="b">
        <v>0</v>
      </c>
      <c r="AM18" s="78">
        <v>44306.980219907404</v>
      </c>
      <c r="AN18" s="76"/>
      <c r="AO18" s="76" t="s">
        <v>23355</v>
      </c>
      <c r="AP18" s="83" t="str">
        <f>HYPERLINK("https://t.co/R3W85rNTAF")</f>
        <v>https://t.co/R3W85rNTAF</v>
      </c>
      <c r="AQ18" s="83" t="str">
        <f>HYPERLINK("http://wa.me/5516991080949")</f>
        <v>http://wa.me/5516991080949</v>
      </c>
      <c r="AR18" s="76" t="s">
        <v>24260</v>
      </c>
      <c r="AS18" s="76"/>
      <c r="AT18" s="76"/>
      <c r="AU18" s="76"/>
      <c r="AV18" s="76"/>
      <c r="AW18" s="83" t="str">
        <f>HYPERLINK("https://t.co/R3W85rNTAF")</f>
        <v>https://t.co/R3W85rNTAF</v>
      </c>
      <c r="AX18" s="76" t="b">
        <v>0</v>
      </c>
      <c r="AY18" s="76"/>
      <c r="AZ18" s="76"/>
      <c r="BA18" s="76" t="b">
        <v>0</v>
      </c>
      <c r="BB18" s="76" t="b">
        <v>1</v>
      </c>
      <c r="BC18" s="76" t="b">
        <v>1</v>
      </c>
      <c r="BD18" s="76" t="b">
        <v>0</v>
      </c>
      <c r="BE18" s="76" t="b">
        <v>0</v>
      </c>
      <c r="BF18" s="76" t="b">
        <v>0</v>
      </c>
      <c r="BG18" s="76" t="b">
        <v>0</v>
      </c>
      <c r="BH18" s="83" t="str">
        <f>HYPERLINK("https://pbs.twimg.com/profile_banners/1384650893522575360/1676253626")</f>
        <v>https://pbs.twimg.com/profile_banners/1384650893522575360/1676253626</v>
      </c>
      <c r="BI18" s="76"/>
      <c r="BJ18" s="76" t="s">
        <v>24935</v>
      </c>
      <c r="BK18" s="76" t="b">
        <v>0</v>
      </c>
      <c r="BL18" s="76"/>
      <c r="BM18" s="76" t="s">
        <v>66</v>
      </c>
      <c r="BN18" s="76" t="s">
        <v>24937</v>
      </c>
      <c r="BO18" s="83" t="str">
        <f>HYPERLINK("https://twitter.com/studidiamond")</f>
        <v>https://twitter.com/studidiamond</v>
      </c>
      <c r="BP18" s="2"/>
    </row>
    <row r="19" spans="1:68" x14ac:dyDescent="0.25">
      <c r="A19" s="62" t="s">
        <v>240</v>
      </c>
      <c r="B19" s="63"/>
      <c r="C19" s="63"/>
      <c r="D19" s="64"/>
      <c r="E19" s="66"/>
      <c r="F19" s="102" t="str">
        <f>HYPERLINK("https://pbs.twimg.com/profile_images/1398677078074134530/yQOS3lLr_normal.jpg")</f>
        <v>https://pbs.twimg.com/profile_images/1398677078074134530/yQOS3lLr_normal.jpg</v>
      </c>
      <c r="G19" s="63"/>
      <c r="H19" s="67"/>
      <c r="I19" s="68"/>
      <c r="J19" s="68"/>
      <c r="K19" s="67" t="s">
        <v>24953</v>
      </c>
      <c r="L19" s="71"/>
      <c r="M19" s="72"/>
      <c r="N19" s="72"/>
      <c r="O19" s="73"/>
      <c r="P19" s="74"/>
      <c r="Q19" s="74"/>
      <c r="R19" s="86"/>
      <c r="S19" s="86"/>
      <c r="T19" s="86"/>
      <c r="U19" s="86"/>
      <c r="V19" s="48"/>
      <c r="W19" s="48"/>
      <c r="X19" s="48"/>
      <c r="Y19" s="48"/>
      <c r="Z19" s="47"/>
      <c r="AA19" s="69">
        <v>19</v>
      </c>
      <c r="AB19" s="69"/>
      <c r="AC19" s="70"/>
      <c r="AD19" s="76" t="s">
        <v>21832</v>
      </c>
      <c r="AE19" s="81" t="s">
        <v>21025</v>
      </c>
      <c r="AF19" s="76">
        <v>141</v>
      </c>
      <c r="AG19" s="76">
        <v>506</v>
      </c>
      <c r="AH19" s="76">
        <v>1517</v>
      </c>
      <c r="AI19" s="76">
        <v>3</v>
      </c>
      <c r="AJ19" s="76">
        <v>1968</v>
      </c>
      <c r="AK19" s="76">
        <v>150</v>
      </c>
      <c r="AL19" s="76" t="b">
        <v>0</v>
      </c>
      <c r="AM19" s="78">
        <v>43123.779699074075</v>
      </c>
      <c r="AN19" s="76"/>
      <c r="AO19" s="76" t="s">
        <v>23356</v>
      </c>
      <c r="AP19" s="76"/>
      <c r="AQ19" s="76"/>
      <c r="AR19" s="76"/>
      <c r="AS19" s="76"/>
      <c r="AT19" s="76"/>
      <c r="AU19" s="76"/>
      <c r="AV19" s="76"/>
      <c r="AW19" s="76"/>
      <c r="AX19" s="76" t="b">
        <v>0</v>
      </c>
      <c r="AY19" s="76"/>
      <c r="AZ19" s="76"/>
      <c r="BA19" s="76" t="b">
        <v>0</v>
      </c>
      <c r="BB19" s="76" t="b">
        <v>1</v>
      </c>
      <c r="BC19" s="76" t="b">
        <v>0</v>
      </c>
      <c r="BD19" s="76" t="b">
        <v>0</v>
      </c>
      <c r="BE19" s="76" t="b">
        <v>0</v>
      </c>
      <c r="BF19" s="76" t="b">
        <v>0</v>
      </c>
      <c r="BG19" s="76" t="b">
        <v>0</v>
      </c>
      <c r="BH19" s="83" t="str">
        <f>HYPERLINK("https://pbs.twimg.com/profile_banners/955873456738000896/1622305579")</f>
        <v>https://pbs.twimg.com/profile_banners/955873456738000896/1622305579</v>
      </c>
      <c r="BI19" s="76"/>
      <c r="BJ19" s="76" t="s">
        <v>24935</v>
      </c>
      <c r="BK19" s="76" t="b">
        <v>0</v>
      </c>
      <c r="BL19" s="76"/>
      <c r="BM19" s="76" t="s">
        <v>66</v>
      </c>
      <c r="BN19" s="76" t="s">
        <v>24937</v>
      </c>
      <c r="BO19" s="83" t="str">
        <f>HYPERLINK("https://twitter.com/bitcoinecashbr")</f>
        <v>https://twitter.com/bitcoinecashbr</v>
      </c>
      <c r="BP19" s="2"/>
    </row>
    <row r="20" spans="1:68" x14ac:dyDescent="0.25">
      <c r="A20" s="62" t="s">
        <v>241</v>
      </c>
      <c r="B20" s="63"/>
      <c r="C20" s="63"/>
      <c r="D20" s="64"/>
      <c r="E20" s="66"/>
      <c r="F20" s="102" t="str">
        <f>HYPERLINK("https://pbs.twimg.com/profile_images/1591960381341290496/zmGqie5c_normal.jpg")</f>
        <v>https://pbs.twimg.com/profile_images/1591960381341290496/zmGqie5c_normal.jpg</v>
      </c>
      <c r="G20" s="63"/>
      <c r="H20" s="67"/>
      <c r="I20" s="68"/>
      <c r="J20" s="68"/>
      <c r="K20" s="67" t="s">
        <v>24954</v>
      </c>
      <c r="L20" s="71"/>
      <c r="M20" s="72"/>
      <c r="N20" s="72"/>
      <c r="O20" s="73"/>
      <c r="P20" s="74"/>
      <c r="Q20" s="74"/>
      <c r="R20" s="86"/>
      <c r="S20" s="86"/>
      <c r="T20" s="86"/>
      <c r="U20" s="86"/>
      <c r="V20" s="48"/>
      <c r="W20" s="48"/>
      <c r="X20" s="48"/>
      <c r="Y20" s="48"/>
      <c r="Z20" s="47"/>
      <c r="AA20" s="69">
        <v>20</v>
      </c>
      <c r="AB20" s="69"/>
      <c r="AC20" s="70"/>
      <c r="AD20" s="76" t="s">
        <v>21833</v>
      </c>
      <c r="AE20" s="81" t="s">
        <v>22856</v>
      </c>
      <c r="AF20" s="76">
        <v>450</v>
      </c>
      <c r="AG20" s="76">
        <v>672</v>
      </c>
      <c r="AH20" s="76">
        <v>12774</v>
      </c>
      <c r="AI20" s="76">
        <v>0</v>
      </c>
      <c r="AJ20" s="76">
        <v>21069</v>
      </c>
      <c r="AK20" s="76">
        <v>2467</v>
      </c>
      <c r="AL20" s="76" t="b">
        <v>0</v>
      </c>
      <c r="AM20" s="78">
        <v>40248.777048611111</v>
      </c>
      <c r="AN20" s="76" t="s">
        <v>14037</v>
      </c>
      <c r="AO20" s="76" t="s">
        <v>23357</v>
      </c>
      <c r="AP20" s="83" t="str">
        <f>HYPERLINK("https://t.co/f06CVR14rz")</f>
        <v>https://t.co/f06CVR14rz</v>
      </c>
      <c r="AQ20" s="83" t="str">
        <f>HYPERLINK("http://licitamundo.srv.br")</f>
        <v>http://licitamundo.srv.br</v>
      </c>
      <c r="AR20" s="76" t="s">
        <v>24261</v>
      </c>
      <c r="AS20" s="76"/>
      <c r="AT20" s="76"/>
      <c r="AU20" s="76"/>
      <c r="AV20" s="76"/>
      <c r="AW20" s="83" t="str">
        <f>HYPERLINK("https://t.co/f06CVR14rz")</f>
        <v>https://t.co/f06CVR14rz</v>
      </c>
      <c r="AX20" s="76" t="b">
        <v>0</v>
      </c>
      <c r="AY20" s="76"/>
      <c r="AZ20" s="76"/>
      <c r="BA20" s="76" t="b">
        <v>0</v>
      </c>
      <c r="BB20" s="76" t="b">
        <v>0</v>
      </c>
      <c r="BC20" s="76" t="b">
        <v>0</v>
      </c>
      <c r="BD20" s="76" t="b">
        <v>0</v>
      </c>
      <c r="BE20" s="76" t="b">
        <v>1</v>
      </c>
      <c r="BF20" s="76" t="b">
        <v>0</v>
      </c>
      <c r="BG20" s="76" t="b">
        <v>0</v>
      </c>
      <c r="BH20" s="83" t="str">
        <f>HYPERLINK("https://pbs.twimg.com/profile_banners/122140410/1658465503")</f>
        <v>https://pbs.twimg.com/profile_banners/122140410/1658465503</v>
      </c>
      <c r="BI20" s="76"/>
      <c r="BJ20" s="76" t="s">
        <v>24935</v>
      </c>
      <c r="BK20" s="76" t="b">
        <v>0</v>
      </c>
      <c r="BL20" s="76"/>
      <c r="BM20" s="76" t="s">
        <v>66</v>
      </c>
      <c r="BN20" s="76" t="s">
        <v>24937</v>
      </c>
      <c r="BO20" s="83" t="str">
        <f>HYPERLINK("https://twitter.com/eduaraujoadv")</f>
        <v>https://twitter.com/eduaraujoadv</v>
      </c>
      <c r="BP20" s="2"/>
    </row>
    <row r="21" spans="1:68" x14ac:dyDescent="0.25">
      <c r="A21" s="62" t="s">
        <v>1240</v>
      </c>
      <c r="B21" s="63"/>
      <c r="C21" s="63"/>
      <c r="D21" s="64"/>
      <c r="E21" s="66"/>
      <c r="F21" s="102" t="str">
        <f>HYPERLINK("https://pbs.twimg.com/profile_images/1649911179895005185/noFnIitN_normal.jpg")</f>
        <v>https://pbs.twimg.com/profile_images/1649911179895005185/noFnIitN_normal.jpg</v>
      </c>
      <c r="G21" s="63"/>
      <c r="H21" s="67"/>
      <c r="I21" s="68"/>
      <c r="J21" s="68"/>
      <c r="K21" s="67" t="s">
        <v>24955</v>
      </c>
      <c r="L21" s="71"/>
      <c r="M21" s="72"/>
      <c r="N21" s="72"/>
      <c r="O21" s="73"/>
      <c r="P21" s="74"/>
      <c r="Q21" s="74"/>
      <c r="R21" s="86"/>
      <c r="S21" s="86"/>
      <c r="T21" s="86"/>
      <c r="U21" s="86"/>
      <c r="V21" s="48"/>
      <c r="W21" s="48"/>
      <c r="X21" s="48"/>
      <c r="Y21" s="48"/>
      <c r="Z21" s="47"/>
      <c r="AA21" s="69">
        <v>21</v>
      </c>
      <c r="AB21" s="69"/>
      <c r="AC21" s="70"/>
      <c r="AD21" s="76" t="s">
        <v>21834</v>
      </c>
      <c r="AE21" s="81" t="s">
        <v>20899</v>
      </c>
      <c r="AF21" s="76">
        <v>16590316</v>
      </c>
      <c r="AG21" s="76">
        <v>946</v>
      </c>
      <c r="AH21" s="76">
        <v>4619</v>
      </c>
      <c r="AI21" s="76">
        <v>17097</v>
      </c>
      <c r="AJ21" s="76">
        <v>10009</v>
      </c>
      <c r="AK21" s="76">
        <v>1221</v>
      </c>
      <c r="AL21" s="76" t="b">
        <v>0</v>
      </c>
      <c r="AM21" s="78">
        <v>39519.01221064815</v>
      </c>
      <c r="AN21" s="76" t="s">
        <v>14116</v>
      </c>
      <c r="AO21" s="76" t="s">
        <v>23358</v>
      </c>
      <c r="AP21" s="76"/>
      <c r="AQ21" s="76"/>
      <c r="AR21" s="76"/>
      <c r="AS21" s="76"/>
      <c r="AT21" s="76"/>
      <c r="AU21" s="76"/>
      <c r="AV21" s="76">
        <v>1.7056108478153999E+18</v>
      </c>
      <c r="AW21" s="76"/>
      <c r="AX21" s="76" t="b">
        <v>1</v>
      </c>
      <c r="AY21" s="76"/>
      <c r="AZ21" s="76"/>
      <c r="BA21" s="76" t="b">
        <v>1</v>
      </c>
      <c r="BB21" s="76" t="b">
        <v>0</v>
      </c>
      <c r="BC21" s="76" t="b">
        <v>0</v>
      </c>
      <c r="BD21" s="76" t="b">
        <v>0</v>
      </c>
      <c r="BE21" s="76" t="b">
        <v>1</v>
      </c>
      <c r="BF21" s="76" t="b">
        <v>0</v>
      </c>
      <c r="BG21" s="76" t="b">
        <v>0</v>
      </c>
      <c r="BH21" s="83" t="str">
        <f>HYPERLINK("https://pbs.twimg.com/profile_banners/14128609/1677086292")</f>
        <v>https://pbs.twimg.com/profile_banners/14128609/1677086292</v>
      </c>
      <c r="BI21" s="76"/>
      <c r="BJ21" s="76" t="s">
        <v>24936</v>
      </c>
      <c r="BK21" s="76" t="b">
        <v>0</v>
      </c>
      <c r="BL21" s="76"/>
      <c r="BM21" s="76" t="s">
        <v>65</v>
      </c>
      <c r="BN21" s="76" t="s">
        <v>24937</v>
      </c>
      <c r="BO21" s="83" t="str">
        <f>HYPERLINK("https://twitter.com/felipeneto")</f>
        <v>https://twitter.com/felipeneto</v>
      </c>
      <c r="BP21" s="2"/>
    </row>
    <row r="22" spans="1:68" x14ac:dyDescent="0.25">
      <c r="A22" s="62" t="s">
        <v>242</v>
      </c>
      <c r="B22" s="63"/>
      <c r="C22" s="63"/>
      <c r="D22" s="64"/>
      <c r="E22" s="66"/>
      <c r="F22" s="102" t="str">
        <f>HYPERLINK("https://pbs.twimg.com/profile_images/1649150439605039104/ws2NLiGq_normal.jpg")</f>
        <v>https://pbs.twimg.com/profile_images/1649150439605039104/ws2NLiGq_normal.jpg</v>
      </c>
      <c r="G22" s="63"/>
      <c r="H22" s="67"/>
      <c r="I22" s="68"/>
      <c r="J22" s="68"/>
      <c r="K22" s="67" t="s">
        <v>24956</v>
      </c>
      <c r="L22" s="71"/>
      <c r="M22" s="72"/>
      <c r="N22" s="72"/>
      <c r="O22" s="73"/>
      <c r="P22" s="74"/>
      <c r="Q22" s="74"/>
      <c r="R22" s="86"/>
      <c r="S22" s="86"/>
      <c r="T22" s="86"/>
      <c r="U22" s="86"/>
      <c r="V22" s="48"/>
      <c r="W22" s="48"/>
      <c r="X22" s="48"/>
      <c r="Y22" s="48"/>
      <c r="Z22" s="47"/>
      <c r="AA22" s="69">
        <v>22</v>
      </c>
      <c r="AB22" s="69"/>
      <c r="AC22" s="70"/>
      <c r="AD22" s="76" t="s">
        <v>21835</v>
      </c>
      <c r="AE22" s="81" t="s">
        <v>22857</v>
      </c>
      <c r="AF22" s="76">
        <v>897404</v>
      </c>
      <c r="AG22" s="76">
        <v>235</v>
      </c>
      <c r="AH22" s="76">
        <v>105171</v>
      </c>
      <c r="AI22" s="76">
        <v>3573</v>
      </c>
      <c r="AJ22" s="76">
        <v>2406</v>
      </c>
      <c r="AK22" s="76">
        <v>15216</v>
      </c>
      <c r="AL22" s="76" t="b">
        <v>0</v>
      </c>
      <c r="AM22" s="78">
        <v>39542.869571759256</v>
      </c>
      <c r="AN22" s="76" t="s">
        <v>14040</v>
      </c>
      <c r="AO22" s="76" t="s">
        <v>23359</v>
      </c>
      <c r="AP22" s="83" t="str">
        <f>HYPERLINK("https://t.co/eiC8weRIjl")</f>
        <v>https://t.co/eiC8weRIjl</v>
      </c>
      <c r="AQ22" s="83" t="str">
        <f>HYPERLINK("http://www.tvcultura.com.br")</f>
        <v>http://www.tvcultura.com.br</v>
      </c>
      <c r="AR22" s="76" t="s">
        <v>24262</v>
      </c>
      <c r="AS22" s="76"/>
      <c r="AT22" s="76"/>
      <c r="AU22" s="76"/>
      <c r="AV22" s="76">
        <v>1.7071241335725701E+18</v>
      </c>
      <c r="AW22" s="83" t="str">
        <f>HYPERLINK("https://t.co/eiC8weRIjl")</f>
        <v>https://t.co/eiC8weRIjl</v>
      </c>
      <c r="AX22" s="76" t="b">
        <v>1</v>
      </c>
      <c r="AY22" s="76"/>
      <c r="AZ22" s="76"/>
      <c r="BA22" s="76" t="b">
        <v>0</v>
      </c>
      <c r="BB22" s="76" t="b">
        <v>1</v>
      </c>
      <c r="BC22" s="76" t="b">
        <v>0</v>
      </c>
      <c r="BD22" s="76" t="b">
        <v>0</v>
      </c>
      <c r="BE22" s="76" t="b">
        <v>1</v>
      </c>
      <c r="BF22" s="76" t="b">
        <v>0</v>
      </c>
      <c r="BG22" s="76" t="b">
        <v>0</v>
      </c>
      <c r="BH22" s="83" t="str">
        <f>HYPERLINK("https://pbs.twimg.com/profile_banners/14306125/1682003310")</f>
        <v>https://pbs.twimg.com/profile_banners/14306125/1682003310</v>
      </c>
      <c r="BI22" s="76"/>
      <c r="BJ22" s="76" t="s">
        <v>24935</v>
      </c>
      <c r="BK22" s="76" t="b">
        <v>0</v>
      </c>
      <c r="BL22" s="76"/>
      <c r="BM22" s="76" t="s">
        <v>66</v>
      </c>
      <c r="BN22" s="76" t="s">
        <v>24937</v>
      </c>
      <c r="BO22" s="83" t="str">
        <f>HYPERLINK("https://twitter.com/tvcultura")</f>
        <v>https://twitter.com/tvcultura</v>
      </c>
      <c r="BP22" s="2"/>
    </row>
    <row r="23" spans="1:68" x14ac:dyDescent="0.25">
      <c r="A23" s="62" t="s">
        <v>243</v>
      </c>
      <c r="B23" s="63"/>
      <c r="C23" s="63"/>
      <c r="D23" s="64"/>
      <c r="E23" s="66"/>
      <c r="F23" s="102" t="str">
        <f>HYPERLINK("https://pbs.twimg.com/profile_images/1618978012300562435/a2HHjZv4_normal.jpg")</f>
        <v>https://pbs.twimg.com/profile_images/1618978012300562435/a2HHjZv4_normal.jpg</v>
      </c>
      <c r="G23" s="63"/>
      <c r="H23" s="67"/>
      <c r="I23" s="68"/>
      <c r="J23" s="68"/>
      <c r="K23" s="67" t="s">
        <v>24957</v>
      </c>
      <c r="L23" s="71"/>
      <c r="M23" s="72"/>
      <c r="N23" s="72"/>
      <c r="O23" s="73"/>
      <c r="P23" s="74"/>
      <c r="Q23" s="74"/>
      <c r="R23" s="86"/>
      <c r="S23" s="86"/>
      <c r="T23" s="86"/>
      <c r="U23" s="86"/>
      <c r="V23" s="48"/>
      <c r="W23" s="48"/>
      <c r="X23" s="48"/>
      <c r="Y23" s="48"/>
      <c r="Z23" s="47"/>
      <c r="AA23" s="69">
        <v>23</v>
      </c>
      <c r="AB23" s="69"/>
      <c r="AC23" s="70"/>
      <c r="AD23" s="76" t="s">
        <v>21836</v>
      </c>
      <c r="AE23" s="81" t="s">
        <v>21026</v>
      </c>
      <c r="AF23" s="76">
        <v>1</v>
      </c>
      <c r="AG23" s="76">
        <v>9</v>
      </c>
      <c r="AH23" s="76">
        <v>107</v>
      </c>
      <c r="AI23" s="76">
        <v>0</v>
      </c>
      <c r="AJ23" s="76">
        <v>111</v>
      </c>
      <c r="AK23" s="76">
        <v>50</v>
      </c>
      <c r="AL23" s="76" t="b">
        <v>0</v>
      </c>
      <c r="AM23" s="78">
        <v>44335.538414351853</v>
      </c>
      <c r="AN23" s="76" t="s">
        <v>23079</v>
      </c>
      <c r="AO23" s="76" t="s">
        <v>23360</v>
      </c>
      <c r="AP23" s="83" t="str">
        <f>HYPERLINK("https://t.co/olhdYXjg7P")</f>
        <v>https://t.co/olhdYXjg7P</v>
      </c>
      <c r="AQ23" s="83" t="str">
        <f>HYPERLINK("http://danielguidotti.com")</f>
        <v>http://danielguidotti.com</v>
      </c>
      <c r="AR23" s="76" t="s">
        <v>24263</v>
      </c>
      <c r="AS23" s="76"/>
      <c r="AT23" s="76"/>
      <c r="AU23" s="76"/>
      <c r="AV23" s="76">
        <v>1.3968963567242399E+18</v>
      </c>
      <c r="AW23" s="83" t="str">
        <f>HYPERLINK("https://t.co/olhdYXjg7P")</f>
        <v>https://t.co/olhdYXjg7P</v>
      </c>
      <c r="AX23" s="76" t="b">
        <v>0</v>
      </c>
      <c r="AY23" s="76"/>
      <c r="AZ23" s="76"/>
      <c r="BA23" s="76" t="b">
        <v>0</v>
      </c>
      <c r="BB23" s="76" t="b">
        <v>1</v>
      </c>
      <c r="BC23" s="76" t="b">
        <v>1</v>
      </c>
      <c r="BD23" s="76" t="b">
        <v>0</v>
      </c>
      <c r="BE23" s="76" t="b">
        <v>0</v>
      </c>
      <c r="BF23" s="76" t="b">
        <v>0</v>
      </c>
      <c r="BG23" s="76" t="b">
        <v>0</v>
      </c>
      <c r="BH23" s="76"/>
      <c r="BI23" s="76"/>
      <c r="BJ23" s="76" t="s">
        <v>24935</v>
      </c>
      <c r="BK23" s="76" t="b">
        <v>0</v>
      </c>
      <c r="BL23" s="76"/>
      <c r="BM23" s="76" t="s">
        <v>66</v>
      </c>
      <c r="BN23" s="76" t="s">
        <v>24937</v>
      </c>
      <c r="BO23" s="83" t="str">
        <f>HYPERLINK("https://twitter.com/guidottisilva")</f>
        <v>https://twitter.com/guidottisilva</v>
      </c>
      <c r="BP23" s="2"/>
    </row>
    <row r="24" spans="1:68" x14ac:dyDescent="0.25">
      <c r="A24" s="62" t="s">
        <v>1241</v>
      </c>
      <c r="B24" s="63"/>
      <c r="C24" s="63"/>
      <c r="D24" s="64"/>
      <c r="E24" s="66"/>
      <c r="F24" s="102" t="str">
        <f>HYPERLINK("https://pbs.twimg.com/profile_images/1427292844612595720/RC1YSvuT_normal.jpg")</f>
        <v>https://pbs.twimg.com/profile_images/1427292844612595720/RC1YSvuT_normal.jpg</v>
      </c>
      <c r="G24" s="63"/>
      <c r="H24" s="67"/>
      <c r="I24" s="68"/>
      <c r="J24" s="68"/>
      <c r="K24" s="67" t="s">
        <v>24958</v>
      </c>
      <c r="L24" s="71"/>
      <c r="M24" s="72"/>
      <c r="N24" s="72"/>
      <c r="O24" s="73"/>
      <c r="P24" s="74"/>
      <c r="Q24" s="74"/>
      <c r="R24" s="86"/>
      <c r="S24" s="86"/>
      <c r="T24" s="86"/>
      <c r="U24" s="86"/>
      <c r="V24" s="48"/>
      <c r="W24" s="48"/>
      <c r="X24" s="48"/>
      <c r="Y24" s="48"/>
      <c r="Z24" s="47"/>
      <c r="AA24" s="69">
        <v>24</v>
      </c>
      <c r="AB24" s="69"/>
      <c r="AC24" s="70"/>
      <c r="AD24" s="76" t="s">
        <v>21837</v>
      </c>
      <c r="AE24" s="81" t="s">
        <v>22858</v>
      </c>
      <c r="AF24" s="76">
        <v>79306707</v>
      </c>
      <c r="AG24" s="76">
        <v>1179</v>
      </c>
      <c r="AH24" s="76">
        <v>56599</v>
      </c>
      <c r="AI24" s="76">
        <v>79877</v>
      </c>
      <c r="AJ24" s="76">
        <v>6177</v>
      </c>
      <c r="AK24" s="76">
        <v>15682</v>
      </c>
      <c r="AL24" s="76" t="b">
        <v>0</v>
      </c>
      <c r="AM24" s="78">
        <v>39399.905393518522</v>
      </c>
      <c r="AN24" s="76" t="s">
        <v>23080</v>
      </c>
      <c r="AO24" s="76" t="s">
        <v>23361</v>
      </c>
      <c r="AP24" s="83" t="str">
        <f>HYPERLINK("https://t.co/bUisN3Y1A6")</f>
        <v>https://t.co/bUisN3Y1A6</v>
      </c>
      <c r="AQ24" s="83" t="str">
        <f>HYPERLINK("http://youtube.com")</f>
        <v>http://youtube.com</v>
      </c>
      <c r="AR24" s="76" t="s">
        <v>7303</v>
      </c>
      <c r="AS24" s="76"/>
      <c r="AT24" s="76"/>
      <c r="AU24" s="76"/>
      <c r="AV24" s="76"/>
      <c r="AW24" s="83" t="str">
        <f>HYPERLINK("https://t.co/bUisN3Y1A6")</f>
        <v>https://t.co/bUisN3Y1A6</v>
      </c>
      <c r="AX24" s="76" t="b">
        <v>1</v>
      </c>
      <c r="AY24" s="76"/>
      <c r="AZ24" s="76"/>
      <c r="BA24" s="76" t="b">
        <v>0</v>
      </c>
      <c r="BB24" s="76" t="b">
        <v>1</v>
      </c>
      <c r="BC24" s="76" t="b">
        <v>0</v>
      </c>
      <c r="BD24" s="76" t="b">
        <v>0</v>
      </c>
      <c r="BE24" s="76" t="b">
        <v>1</v>
      </c>
      <c r="BF24" s="76" t="b">
        <v>0</v>
      </c>
      <c r="BG24" s="76" t="b">
        <v>0</v>
      </c>
      <c r="BH24" s="83" t="str">
        <f>HYPERLINK("https://pbs.twimg.com/profile_banners/10228272/1694793799")</f>
        <v>https://pbs.twimg.com/profile_banners/10228272/1694793799</v>
      </c>
      <c r="BI24" s="76"/>
      <c r="BJ24" s="76" t="s">
        <v>24936</v>
      </c>
      <c r="BK24" s="76" t="b">
        <v>0</v>
      </c>
      <c r="BL24" s="76"/>
      <c r="BM24" s="76" t="s">
        <v>65</v>
      </c>
      <c r="BN24" s="76" t="s">
        <v>24937</v>
      </c>
      <c r="BO24" s="83" t="str">
        <f>HYPERLINK("https://twitter.com/youtube")</f>
        <v>https://twitter.com/youtube</v>
      </c>
      <c r="BP24" s="2"/>
    </row>
    <row r="25" spans="1:68" x14ac:dyDescent="0.25">
      <c r="A25" s="62" t="s">
        <v>244</v>
      </c>
      <c r="B25" s="63"/>
      <c r="C25" s="63"/>
      <c r="D25" s="64"/>
      <c r="E25" s="66"/>
      <c r="F25" s="102" t="str">
        <f>HYPERLINK("https://pbs.twimg.com/profile_images/766478328949858304/BIUPVIIF_normal.jpg")</f>
        <v>https://pbs.twimg.com/profile_images/766478328949858304/BIUPVIIF_normal.jpg</v>
      </c>
      <c r="G25" s="63"/>
      <c r="H25" s="67"/>
      <c r="I25" s="68"/>
      <c r="J25" s="68"/>
      <c r="K25" s="67" t="s">
        <v>24959</v>
      </c>
      <c r="L25" s="71"/>
      <c r="M25" s="72"/>
      <c r="N25" s="72"/>
      <c r="O25" s="73"/>
      <c r="P25" s="74"/>
      <c r="Q25" s="74"/>
      <c r="R25" s="86"/>
      <c r="S25" s="86"/>
      <c r="T25" s="86"/>
      <c r="U25" s="86"/>
      <c r="V25" s="48"/>
      <c r="W25" s="48"/>
      <c r="X25" s="48"/>
      <c r="Y25" s="48"/>
      <c r="Z25" s="47"/>
      <c r="AA25" s="69">
        <v>25</v>
      </c>
      <c r="AB25" s="69"/>
      <c r="AC25" s="70"/>
      <c r="AD25" s="76" t="s">
        <v>21838</v>
      </c>
      <c r="AE25" s="81" t="s">
        <v>21027</v>
      </c>
      <c r="AF25" s="76">
        <v>152</v>
      </c>
      <c r="AG25" s="76">
        <v>187</v>
      </c>
      <c r="AH25" s="76">
        <v>595</v>
      </c>
      <c r="AI25" s="76">
        <v>0</v>
      </c>
      <c r="AJ25" s="76">
        <v>157</v>
      </c>
      <c r="AK25" s="76">
        <v>490</v>
      </c>
      <c r="AL25" s="76" t="b">
        <v>0</v>
      </c>
      <c r="AM25" s="78">
        <v>42601.14303240741</v>
      </c>
      <c r="AN25" s="76" t="s">
        <v>14033</v>
      </c>
      <c r="AO25" s="76" t="s">
        <v>23362</v>
      </c>
      <c r="AP25" s="83" t="str">
        <f>HYPERLINK("https://t.co/pL0OuvfCsi")</f>
        <v>https://t.co/pL0OuvfCsi</v>
      </c>
      <c r="AQ25" s="83" t="str">
        <f>HYPERLINK("http://leilaodescomplicado.com.br/")</f>
        <v>http://leilaodescomplicado.com.br/</v>
      </c>
      <c r="AR25" s="76" t="s">
        <v>24264</v>
      </c>
      <c r="AS25" s="76"/>
      <c r="AT25" s="76"/>
      <c r="AU25" s="76"/>
      <c r="AV25" s="76"/>
      <c r="AW25" s="83" t="str">
        <f>HYPERLINK("https://t.co/pL0OuvfCsi")</f>
        <v>https://t.co/pL0OuvfCsi</v>
      </c>
      <c r="AX25" s="76" t="b">
        <v>0</v>
      </c>
      <c r="AY25" s="76"/>
      <c r="AZ25" s="76"/>
      <c r="BA25" s="76" t="b">
        <v>0</v>
      </c>
      <c r="BB25" s="76" t="b">
        <v>1</v>
      </c>
      <c r="BC25" s="76" t="b">
        <v>1</v>
      </c>
      <c r="BD25" s="76" t="b">
        <v>0</v>
      </c>
      <c r="BE25" s="76" t="b">
        <v>0</v>
      </c>
      <c r="BF25" s="76" t="b">
        <v>0</v>
      </c>
      <c r="BG25" s="76" t="b">
        <v>0</v>
      </c>
      <c r="BH25" s="83" t="str">
        <f>HYPERLINK("https://pbs.twimg.com/profile_banners/766476272365109248/1471577717")</f>
        <v>https://pbs.twimg.com/profile_banners/766476272365109248/1471577717</v>
      </c>
      <c r="BI25" s="76"/>
      <c r="BJ25" s="76" t="s">
        <v>24935</v>
      </c>
      <c r="BK25" s="76" t="b">
        <v>0</v>
      </c>
      <c r="BL25" s="76"/>
      <c r="BM25" s="76" t="s">
        <v>66</v>
      </c>
      <c r="BN25" s="76" t="s">
        <v>24937</v>
      </c>
      <c r="BO25" s="83" t="str">
        <f>HYPERLINK("https://twitter.com/leilaodescompli")</f>
        <v>https://twitter.com/leilaodescompli</v>
      </c>
      <c r="BP25" s="2"/>
    </row>
    <row r="26" spans="1:68" x14ac:dyDescent="0.25">
      <c r="A26" s="62" t="s">
        <v>245</v>
      </c>
      <c r="B26" s="63"/>
      <c r="C26" s="63"/>
      <c r="D26" s="64"/>
      <c r="E26" s="66"/>
      <c r="F26" s="102" t="str">
        <f>HYPERLINK("https://pbs.twimg.com/profile_images/1679565581433929731/WJcZfqCJ_normal.jpg")</f>
        <v>https://pbs.twimg.com/profile_images/1679565581433929731/WJcZfqCJ_normal.jpg</v>
      </c>
      <c r="G26" s="63"/>
      <c r="H26" s="67"/>
      <c r="I26" s="68"/>
      <c r="J26" s="68"/>
      <c r="K26" s="67" t="s">
        <v>24960</v>
      </c>
      <c r="L26" s="71"/>
      <c r="M26" s="72"/>
      <c r="N26" s="72"/>
      <c r="O26" s="73"/>
      <c r="P26" s="74"/>
      <c r="Q26" s="74"/>
      <c r="R26" s="86"/>
      <c r="S26" s="86"/>
      <c r="T26" s="86"/>
      <c r="U26" s="86"/>
      <c r="V26" s="48"/>
      <c r="W26" s="48"/>
      <c r="X26" s="48"/>
      <c r="Y26" s="48"/>
      <c r="Z26" s="47"/>
      <c r="AA26" s="69">
        <v>26</v>
      </c>
      <c r="AB26" s="69"/>
      <c r="AC26" s="70"/>
      <c r="AD26" s="76" t="s">
        <v>21839</v>
      </c>
      <c r="AE26" s="81" t="s">
        <v>22859</v>
      </c>
      <c r="AF26" s="76">
        <v>267</v>
      </c>
      <c r="AG26" s="76">
        <v>879</v>
      </c>
      <c r="AH26" s="76">
        <v>1346</v>
      </c>
      <c r="AI26" s="76">
        <v>0</v>
      </c>
      <c r="AJ26" s="76">
        <v>227</v>
      </c>
      <c r="AK26" s="76">
        <v>268</v>
      </c>
      <c r="AL26" s="76" t="b">
        <v>0</v>
      </c>
      <c r="AM26" s="78">
        <v>40363.648379629631</v>
      </c>
      <c r="AN26" s="76" t="s">
        <v>23081</v>
      </c>
      <c r="AO26" s="76" t="s">
        <v>23363</v>
      </c>
      <c r="AP26" s="76"/>
      <c r="AQ26" s="76"/>
      <c r="AR26" s="76"/>
      <c r="AS26" s="83" t="str">
        <f>HYPERLINK("https://t.co/ukuSulNMCe")</f>
        <v>https://t.co/ukuSulNMCe</v>
      </c>
      <c r="AT26" s="83" t="str">
        <f>HYPERLINK("https://instagram.com/achadomultimarcas?igshid=ZWQyN2ExYTkwZQ==")</f>
        <v>https://instagram.com/achadomultimarcas?igshid=ZWQyN2ExYTkwZQ==</v>
      </c>
      <c r="AU26" s="76" t="s">
        <v>24854</v>
      </c>
      <c r="AV26" s="76"/>
      <c r="AW26" s="76"/>
      <c r="AX26" s="76" t="b">
        <v>0</v>
      </c>
      <c r="AY26" s="76"/>
      <c r="AZ26" s="76"/>
      <c r="BA26" s="76" t="b">
        <v>0</v>
      </c>
      <c r="BB26" s="76" t="b">
        <v>1</v>
      </c>
      <c r="BC26" s="76" t="b">
        <v>0</v>
      </c>
      <c r="BD26" s="76" t="b">
        <v>0</v>
      </c>
      <c r="BE26" s="76" t="b">
        <v>0</v>
      </c>
      <c r="BF26" s="76" t="b">
        <v>0</v>
      </c>
      <c r="BG26" s="76" t="b">
        <v>0</v>
      </c>
      <c r="BH26" s="83" t="str">
        <f>HYPERLINK("https://pbs.twimg.com/profile_banners/162750228/1687904772")</f>
        <v>https://pbs.twimg.com/profile_banners/162750228/1687904772</v>
      </c>
      <c r="BI26" s="76"/>
      <c r="BJ26" s="76" t="s">
        <v>24935</v>
      </c>
      <c r="BK26" s="76" t="b">
        <v>0</v>
      </c>
      <c r="BL26" s="76"/>
      <c r="BM26" s="76" t="s">
        <v>66</v>
      </c>
      <c r="BN26" s="76" t="s">
        <v>24937</v>
      </c>
      <c r="BO26" s="83" t="str">
        <f>HYPERLINK("https://twitter.com/fadadry")</f>
        <v>https://twitter.com/fadadry</v>
      </c>
      <c r="BP26" s="2"/>
    </row>
    <row r="27" spans="1:68" x14ac:dyDescent="0.25">
      <c r="A27" s="62" t="s">
        <v>246</v>
      </c>
      <c r="B27" s="63"/>
      <c r="C27" s="63"/>
      <c r="D27" s="64"/>
      <c r="E27" s="66"/>
      <c r="F27" s="102" t="str">
        <f>HYPERLINK("https://pbs.twimg.com/profile_images/1597551763812454401/C0nDpfGY_normal.jpg")</f>
        <v>https://pbs.twimg.com/profile_images/1597551763812454401/C0nDpfGY_normal.jpg</v>
      </c>
      <c r="G27" s="63"/>
      <c r="H27" s="67"/>
      <c r="I27" s="68"/>
      <c r="J27" s="68"/>
      <c r="K27" s="67" t="s">
        <v>24961</v>
      </c>
      <c r="L27" s="71"/>
      <c r="M27" s="72"/>
      <c r="N27" s="72"/>
      <c r="O27" s="73"/>
      <c r="P27" s="74"/>
      <c r="Q27" s="74"/>
      <c r="R27" s="86"/>
      <c r="S27" s="86"/>
      <c r="T27" s="86"/>
      <c r="U27" s="86"/>
      <c r="V27" s="48"/>
      <c r="W27" s="48"/>
      <c r="X27" s="48"/>
      <c r="Y27" s="48"/>
      <c r="Z27" s="47"/>
      <c r="AA27" s="69">
        <v>27</v>
      </c>
      <c r="AB27" s="69"/>
      <c r="AC27" s="70"/>
      <c r="AD27" s="76" t="s">
        <v>21840</v>
      </c>
      <c r="AE27" s="81" t="s">
        <v>22860</v>
      </c>
      <c r="AF27" s="76">
        <v>125</v>
      </c>
      <c r="AG27" s="76">
        <v>78</v>
      </c>
      <c r="AH27" s="76">
        <v>469</v>
      </c>
      <c r="AI27" s="76">
        <v>1</v>
      </c>
      <c r="AJ27" s="76">
        <v>242</v>
      </c>
      <c r="AK27" s="76">
        <v>377</v>
      </c>
      <c r="AL27" s="76" t="b">
        <v>0</v>
      </c>
      <c r="AM27" s="78">
        <v>42295.693483796298</v>
      </c>
      <c r="AN27" s="76"/>
      <c r="AO27" s="76" t="s">
        <v>23364</v>
      </c>
      <c r="AP27" s="83" t="str">
        <f>HYPERLINK("https://t.co/NCUlNVbHub")</f>
        <v>https://t.co/NCUlNVbHub</v>
      </c>
      <c r="AQ27" s="83" t="str">
        <f>HYPERLINK("https://www.d2ccursosdigitais.com")</f>
        <v>https://www.d2ccursosdigitais.com</v>
      </c>
      <c r="AR27" s="76" t="s">
        <v>24265</v>
      </c>
      <c r="AS27" s="76"/>
      <c r="AT27" s="76"/>
      <c r="AU27" s="76"/>
      <c r="AV27" s="76"/>
      <c r="AW27" s="83" t="str">
        <f>HYPERLINK("https://t.co/NCUlNVbHub")</f>
        <v>https://t.co/NCUlNVbHub</v>
      </c>
      <c r="AX27" s="76" t="b">
        <v>0</v>
      </c>
      <c r="AY27" s="76"/>
      <c r="AZ27" s="76"/>
      <c r="BA27" s="76" t="b">
        <v>0</v>
      </c>
      <c r="BB27" s="76" t="b">
        <v>1</v>
      </c>
      <c r="BC27" s="76" t="b">
        <v>1</v>
      </c>
      <c r="BD27" s="76" t="b">
        <v>0</v>
      </c>
      <c r="BE27" s="76" t="b">
        <v>0</v>
      </c>
      <c r="BF27" s="76" t="b">
        <v>0</v>
      </c>
      <c r="BG27" s="76" t="b">
        <v>0</v>
      </c>
      <c r="BH27" s="83" t="str">
        <f>HYPERLINK("https://pbs.twimg.com/profile_banners/3988319356/1670191396")</f>
        <v>https://pbs.twimg.com/profile_banners/3988319356/1670191396</v>
      </c>
      <c r="BI27" s="76"/>
      <c r="BJ27" s="76" t="s">
        <v>24935</v>
      </c>
      <c r="BK27" s="76" t="b">
        <v>0</v>
      </c>
      <c r="BL27" s="76"/>
      <c r="BM27" s="76" t="s">
        <v>66</v>
      </c>
      <c r="BN27" s="76" t="s">
        <v>24937</v>
      </c>
      <c r="BO27" s="83" t="str">
        <f>HYPERLINK("https://twitter.com/daniellecardon5")</f>
        <v>https://twitter.com/daniellecardon5</v>
      </c>
      <c r="BP27" s="2"/>
    </row>
    <row r="28" spans="1:68" x14ac:dyDescent="0.25">
      <c r="A28" s="62" t="s">
        <v>247</v>
      </c>
      <c r="B28" s="63"/>
      <c r="C28" s="63"/>
      <c r="D28" s="64"/>
      <c r="E28" s="66"/>
      <c r="F28" s="102" t="str">
        <f>HYPERLINK("https://pbs.twimg.com/profile_images/1507601553036824579/Fq8edRZ3_normal.jpg")</f>
        <v>https://pbs.twimg.com/profile_images/1507601553036824579/Fq8edRZ3_normal.jpg</v>
      </c>
      <c r="G28" s="63"/>
      <c r="H28" s="67"/>
      <c r="I28" s="68"/>
      <c r="J28" s="68"/>
      <c r="K28" s="67" t="s">
        <v>24962</v>
      </c>
      <c r="L28" s="71"/>
      <c r="M28" s="72"/>
      <c r="N28" s="72"/>
      <c r="O28" s="73"/>
      <c r="P28" s="74"/>
      <c r="Q28" s="74"/>
      <c r="R28" s="86"/>
      <c r="S28" s="86"/>
      <c r="T28" s="86"/>
      <c r="U28" s="86"/>
      <c r="V28" s="48"/>
      <c r="W28" s="48"/>
      <c r="X28" s="48"/>
      <c r="Y28" s="48"/>
      <c r="Z28" s="47"/>
      <c r="AA28" s="69">
        <v>28</v>
      </c>
      <c r="AB28" s="69"/>
      <c r="AC28" s="70"/>
      <c r="AD28" s="76" t="s">
        <v>21841</v>
      </c>
      <c r="AE28" s="81" t="s">
        <v>22861</v>
      </c>
      <c r="AF28" s="76">
        <v>297</v>
      </c>
      <c r="AG28" s="76">
        <v>1077</v>
      </c>
      <c r="AH28" s="76">
        <v>21038</v>
      </c>
      <c r="AI28" s="76">
        <v>5</v>
      </c>
      <c r="AJ28" s="76">
        <v>2041</v>
      </c>
      <c r="AK28" s="76">
        <v>498</v>
      </c>
      <c r="AL28" s="76" t="b">
        <v>0</v>
      </c>
      <c r="AM28" s="78">
        <v>39992.722037037034</v>
      </c>
      <c r="AN28" s="76" t="s">
        <v>14033</v>
      </c>
      <c r="AO28" s="76" t="s">
        <v>23365</v>
      </c>
      <c r="AP28" s="83" t="str">
        <f>HYPERLINK("https://t.co/G5nJK8lUsc")</f>
        <v>https://t.co/G5nJK8lUsc</v>
      </c>
      <c r="AQ28" s="83" t="str">
        <f>HYPERLINK("https://instagram.com/eu.tessy")</f>
        <v>https://instagram.com/eu.tessy</v>
      </c>
      <c r="AR28" s="76" t="s">
        <v>24266</v>
      </c>
      <c r="AS28" s="76"/>
      <c r="AT28" s="76"/>
      <c r="AU28" s="76"/>
      <c r="AV28" s="76">
        <v>9.6926667344541594E+17</v>
      </c>
      <c r="AW28" s="83" t="str">
        <f>HYPERLINK("https://t.co/G5nJK8lUsc")</f>
        <v>https://t.co/G5nJK8lUsc</v>
      </c>
      <c r="AX28" s="76" t="b">
        <v>0</v>
      </c>
      <c r="AY28" s="76"/>
      <c r="AZ28" s="76"/>
      <c r="BA28" s="76" t="b">
        <v>1</v>
      </c>
      <c r="BB28" s="76" t="b">
        <v>0</v>
      </c>
      <c r="BC28" s="76" t="b">
        <v>0</v>
      </c>
      <c r="BD28" s="76" t="b">
        <v>0</v>
      </c>
      <c r="BE28" s="76" t="b">
        <v>0</v>
      </c>
      <c r="BF28" s="76" t="b">
        <v>0</v>
      </c>
      <c r="BG28" s="76" t="b">
        <v>0</v>
      </c>
      <c r="BH28" s="83" t="str">
        <f>HYPERLINK("https://pbs.twimg.com/profile_banners/51782868/1517374712")</f>
        <v>https://pbs.twimg.com/profile_banners/51782868/1517374712</v>
      </c>
      <c r="BI28" s="76"/>
      <c r="BJ28" s="76" t="s">
        <v>24935</v>
      </c>
      <c r="BK28" s="76" t="b">
        <v>0</v>
      </c>
      <c r="BL28" s="76"/>
      <c r="BM28" s="76" t="s">
        <v>66</v>
      </c>
      <c r="BN28" s="76" t="s">
        <v>24937</v>
      </c>
      <c r="BO28" s="83" t="str">
        <f>HYPERLINK("https://twitter.com/tessymartins")</f>
        <v>https://twitter.com/tessymartins</v>
      </c>
      <c r="BP28" s="2"/>
    </row>
    <row r="29" spans="1:68" x14ac:dyDescent="0.25">
      <c r="A29" s="62" t="s">
        <v>248</v>
      </c>
      <c r="B29" s="63"/>
      <c r="C29" s="63"/>
      <c r="D29" s="64"/>
      <c r="E29" s="66"/>
      <c r="F29" s="102" t="str">
        <f>HYPERLINK("https://pbs.twimg.com/profile_images/3241414045/50d53aa8935535e12699edc272b4a1a4_normal.jpeg")</f>
        <v>https://pbs.twimg.com/profile_images/3241414045/50d53aa8935535e12699edc272b4a1a4_normal.jpeg</v>
      </c>
      <c r="G29" s="63"/>
      <c r="H29" s="67"/>
      <c r="I29" s="68"/>
      <c r="J29" s="68"/>
      <c r="K29" s="67" t="s">
        <v>24963</v>
      </c>
      <c r="L29" s="71"/>
      <c r="M29" s="72"/>
      <c r="N29" s="72"/>
      <c r="O29" s="73"/>
      <c r="P29" s="74"/>
      <c r="Q29" s="74"/>
      <c r="R29" s="86"/>
      <c r="S29" s="86"/>
      <c r="T29" s="86"/>
      <c r="U29" s="86"/>
      <c r="V29" s="48"/>
      <c r="W29" s="48"/>
      <c r="X29" s="48"/>
      <c r="Y29" s="48"/>
      <c r="Z29" s="47"/>
      <c r="AA29" s="69">
        <v>29</v>
      </c>
      <c r="AB29" s="69"/>
      <c r="AC29" s="70"/>
      <c r="AD29" s="76" t="s">
        <v>21842</v>
      </c>
      <c r="AE29" s="81" t="s">
        <v>22862</v>
      </c>
      <c r="AF29" s="76">
        <v>10</v>
      </c>
      <c r="AG29" s="76">
        <v>481</v>
      </c>
      <c r="AH29" s="76">
        <v>2068</v>
      </c>
      <c r="AI29" s="76">
        <v>0</v>
      </c>
      <c r="AJ29" s="76">
        <v>588</v>
      </c>
      <c r="AK29" s="76">
        <v>183</v>
      </c>
      <c r="AL29" s="76" t="b">
        <v>0</v>
      </c>
      <c r="AM29" s="78">
        <v>40697.538923611108</v>
      </c>
      <c r="AN29" s="76" t="s">
        <v>23082</v>
      </c>
      <c r="AO29" s="76" t="s">
        <v>23366</v>
      </c>
      <c r="AP29" s="83" t="str">
        <f>HYPERLINK("https://t.co/nW60xXzeXk")</f>
        <v>https://t.co/nW60xXzeXk</v>
      </c>
      <c r="AQ29" s="83" t="str">
        <f>HYPERLINK("https://www.youtube.com/@anjodoasfalto13")</f>
        <v>https://www.youtube.com/@anjodoasfalto13</v>
      </c>
      <c r="AR29" s="76" t="s">
        <v>24267</v>
      </c>
      <c r="AS29" s="76"/>
      <c r="AT29" s="76"/>
      <c r="AU29" s="76"/>
      <c r="AV29" s="76">
        <v>1.49282927678528E+18</v>
      </c>
      <c r="AW29" s="83" t="str">
        <f>HYPERLINK("https://t.co/nW60xXzeXk")</f>
        <v>https://t.co/nW60xXzeXk</v>
      </c>
      <c r="AX29" s="76" t="b">
        <v>0</v>
      </c>
      <c r="AY29" s="76"/>
      <c r="AZ29" s="76"/>
      <c r="BA29" s="76" t="b">
        <v>0</v>
      </c>
      <c r="BB29" s="76" t="b">
        <v>1</v>
      </c>
      <c r="BC29" s="76" t="b">
        <v>1</v>
      </c>
      <c r="BD29" s="76" t="b">
        <v>0</v>
      </c>
      <c r="BE29" s="76" t="b">
        <v>1</v>
      </c>
      <c r="BF29" s="76" t="b">
        <v>0</v>
      </c>
      <c r="BG29" s="76" t="b">
        <v>0</v>
      </c>
      <c r="BH29" s="83" t="str">
        <f>HYPERLINK("https://pbs.twimg.com/profile_banners/310253188/1578844124")</f>
        <v>https://pbs.twimg.com/profile_banners/310253188/1578844124</v>
      </c>
      <c r="BI29" s="76"/>
      <c r="BJ29" s="76" t="s">
        <v>24935</v>
      </c>
      <c r="BK29" s="76" t="b">
        <v>0</v>
      </c>
      <c r="BL29" s="76"/>
      <c r="BM29" s="76" t="s">
        <v>66</v>
      </c>
      <c r="BN29" s="76" t="s">
        <v>24937</v>
      </c>
      <c r="BO29" s="83" t="str">
        <f>HYPERLINK("https://twitter.com/edycdf")</f>
        <v>https://twitter.com/edycdf</v>
      </c>
      <c r="BP29" s="2"/>
    </row>
    <row r="30" spans="1:68" x14ac:dyDescent="0.25">
      <c r="A30" s="62" t="s">
        <v>249</v>
      </c>
      <c r="B30" s="63"/>
      <c r="C30" s="63"/>
      <c r="D30" s="64"/>
      <c r="E30" s="66"/>
      <c r="F30" s="102" t="str">
        <f>HYPERLINK("https://pbs.twimg.com/profile_images/1668605265086754818/SgAc2s45_normal.png")</f>
        <v>https://pbs.twimg.com/profile_images/1668605265086754818/SgAc2s45_normal.png</v>
      </c>
      <c r="G30" s="63"/>
      <c r="H30" s="67"/>
      <c r="I30" s="68"/>
      <c r="J30" s="68"/>
      <c r="K30" s="67" t="s">
        <v>24964</v>
      </c>
      <c r="L30" s="71"/>
      <c r="M30" s="72"/>
      <c r="N30" s="72"/>
      <c r="O30" s="73"/>
      <c r="P30" s="74"/>
      <c r="Q30" s="74"/>
      <c r="R30" s="86"/>
      <c r="S30" s="86"/>
      <c r="T30" s="86"/>
      <c r="U30" s="86"/>
      <c r="V30" s="48"/>
      <c r="W30" s="48"/>
      <c r="X30" s="48"/>
      <c r="Y30" s="48"/>
      <c r="Z30" s="47"/>
      <c r="AA30" s="69">
        <v>30</v>
      </c>
      <c r="AB30" s="69"/>
      <c r="AC30" s="70"/>
      <c r="AD30" s="76" t="s">
        <v>21843</v>
      </c>
      <c r="AE30" s="81" t="s">
        <v>21028</v>
      </c>
      <c r="AF30" s="76">
        <v>52</v>
      </c>
      <c r="AG30" s="76">
        <v>11</v>
      </c>
      <c r="AH30" s="76">
        <v>1959</v>
      </c>
      <c r="AI30" s="76">
        <v>0</v>
      </c>
      <c r="AJ30" s="76">
        <v>1554</v>
      </c>
      <c r="AK30" s="76">
        <v>366</v>
      </c>
      <c r="AL30" s="76" t="b">
        <v>0</v>
      </c>
      <c r="AM30" s="78">
        <v>45090.544791666667</v>
      </c>
      <c r="AN30" s="76"/>
      <c r="AO30" s="76" t="s">
        <v>23367</v>
      </c>
      <c r="AP30" s="83" t="str">
        <f>HYPERLINK("https://t.co/FD64TMzEa0")</f>
        <v>https://t.co/FD64TMzEa0</v>
      </c>
      <c r="AQ30" s="83" t="str">
        <f>HYPERLINK("https://pay.greenn.com.br/redirect/31950/?a_id=303788")</f>
        <v>https://pay.greenn.com.br/redirect/31950/?a_id=303788</v>
      </c>
      <c r="AR30" s="76" t="s">
        <v>24268</v>
      </c>
      <c r="AS30" s="76"/>
      <c r="AT30" s="76"/>
      <c r="AU30" s="76"/>
      <c r="AV30" s="76"/>
      <c r="AW30" s="83" t="str">
        <f>HYPERLINK("https://t.co/FD64TMzEa0")</f>
        <v>https://t.co/FD64TMzEa0</v>
      </c>
      <c r="AX30" s="76" t="b">
        <v>0</v>
      </c>
      <c r="AY30" s="76"/>
      <c r="AZ30" s="76"/>
      <c r="BA30" s="76" t="b">
        <v>0</v>
      </c>
      <c r="BB30" s="76" t="b">
        <v>1</v>
      </c>
      <c r="BC30" s="76" t="b">
        <v>1</v>
      </c>
      <c r="BD30" s="76" t="b">
        <v>0</v>
      </c>
      <c r="BE30" s="76" t="b">
        <v>0</v>
      </c>
      <c r="BF30" s="76" t="b">
        <v>0</v>
      </c>
      <c r="BG30" s="76" t="b">
        <v>0</v>
      </c>
      <c r="BH30" s="83" t="str">
        <f>HYPERLINK("https://pbs.twimg.com/profile_banners/1668605117170417665/1686662345")</f>
        <v>https://pbs.twimg.com/profile_banners/1668605117170417665/1686662345</v>
      </c>
      <c r="BI30" s="76"/>
      <c r="BJ30" s="76" t="s">
        <v>24935</v>
      </c>
      <c r="BK30" s="76" t="b">
        <v>0</v>
      </c>
      <c r="BL30" s="76"/>
      <c r="BM30" s="76" t="s">
        <v>66</v>
      </c>
      <c r="BN30" s="76" t="s">
        <v>24937</v>
      </c>
      <c r="BO30" s="83" t="str">
        <f>HYPERLINK("https://twitter.com/raiamsabetudo")</f>
        <v>https://twitter.com/raiamsabetudo</v>
      </c>
      <c r="BP30" s="2"/>
    </row>
    <row r="31" spans="1:68" x14ac:dyDescent="0.25">
      <c r="A31" s="62" t="s">
        <v>250</v>
      </c>
      <c r="B31" s="63"/>
      <c r="C31" s="63"/>
      <c r="D31" s="64"/>
      <c r="E31" s="66"/>
      <c r="F31" s="102" t="str">
        <f>HYPERLINK("https://pbs.twimg.com/profile_images/1585974736777101313/eqqbwdcI_normal.jpg")</f>
        <v>https://pbs.twimg.com/profile_images/1585974736777101313/eqqbwdcI_normal.jpg</v>
      </c>
      <c r="G31" s="63"/>
      <c r="H31" s="67"/>
      <c r="I31" s="68"/>
      <c r="J31" s="68"/>
      <c r="K31" s="67" t="s">
        <v>24965</v>
      </c>
      <c r="L31" s="71"/>
      <c r="M31" s="72"/>
      <c r="N31" s="72"/>
      <c r="O31" s="73"/>
      <c r="P31" s="74"/>
      <c r="Q31" s="74"/>
      <c r="R31" s="86"/>
      <c r="S31" s="86"/>
      <c r="T31" s="86"/>
      <c r="U31" s="86"/>
      <c r="V31" s="48"/>
      <c r="W31" s="48"/>
      <c r="X31" s="48"/>
      <c r="Y31" s="48"/>
      <c r="Z31" s="47"/>
      <c r="AA31" s="69">
        <v>31</v>
      </c>
      <c r="AB31" s="69"/>
      <c r="AC31" s="70"/>
      <c r="AD31" s="76" t="s">
        <v>21844</v>
      </c>
      <c r="AE31" s="81" t="s">
        <v>21029</v>
      </c>
      <c r="AF31" s="76">
        <v>3</v>
      </c>
      <c r="AG31" s="76">
        <v>7</v>
      </c>
      <c r="AH31" s="76">
        <v>62</v>
      </c>
      <c r="AI31" s="76">
        <v>0</v>
      </c>
      <c r="AJ31" s="76">
        <v>51</v>
      </c>
      <c r="AK31" s="76">
        <v>11</v>
      </c>
      <c r="AL31" s="76" t="b">
        <v>0</v>
      </c>
      <c r="AM31" s="78">
        <v>44862.527974537035</v>
      </c>
      <c r="AN31" s="76"/>
      <c r="AO31" s="76" t="s">
        <v>23368</v>
      </c>
      <c r="AP31" s="83" t="str">
        <f>HYPERLINK("https://t.co/CSy06qVD0r")</f>
        <v>https://t.co/CSy06qVD0r</v>
      </c>
      <c r="AQ31" s="83" t="str">
        <f>HYPERLINK("https://edzz.la/R2NSL?a=19182049")</f>
        <v>https://edzz.la/R2NSL?a=19182049</v>
      </c>
      <c r="AR31" s="76" t="s">
        <v>24269</v>
      </c>
      <c r="AS31" s="76"/>
      <c r="AT31" s="76"/>
      <c r="AU31" s="76"/>
      <c r="AV31" s="76"/>
      <c r="AW31" s="83" t="str">
        <f>HYPERLINK("https://t.co/CSy06qVD0r")</f>
        <v>https://t.co/CSy06qVD0r</v>
      </c>
      <c r="AX31" s="76" t="b">
        <v>0</v>
      </c>
      <c r="AY31" s="76"/>
      <c r="AZ31" s="76"/>
      <c r="BA31" s="76" t="b">
        <v>0</v>
      </c>
      <c r="BB31" s="76" t="b">
        <v>1</v>
      </c>
      <c r="BC31" s="76" t="b">
        <v>1</v>
      </c>
      <c r="BD31" s="76" t="b">
        <v>0</v>
      </c>
      <c r="BE31" s="76" t="b">
        <v>0</v>
      </c>
      <c r="BF31" s="76" t="b">
        <v>0</v>
      </c>
      <c r="BG31" s="76" t="b">
        <v>0</v>
      </c>
      <c r="BH31" s="76"/>
      <c r="BI31" s="76"/>
      <c r="BJ31" s="76" t="s">
        <v>24935</v>
      </c>
      <c r="BK31" s="76" t="b">
        <v>0</v>
      </c>
      <c r="BL31" s="76"/>
      <c r="BM31" s="76" t="s">
        <v>66</v>
      </c>
      <c r="BN31" s="76" t="s">
        <v>24937</v>
      </c>
      <c r="BO31" s="83" t="str">
        <f>HYPERLINK("https://twitter.com/pamela_val01")</f>
        <v>https://twitter.com/pamela_val01</v>
      </c>
      <c r="BP31" s="2"/>
    </row>
    <row r="32" spans="1:68" x14ac:dyDescent="0.25">
      <c r="A32" s="62" t="s">
        <v>251</v>
      </c>
      <c r="B32" s="63"/>
      <c r="C32" s="63"/>
      <c r="D32" s="64"/>
      <c r="E32" s="66"/>
      <c r="F32" s="102" t="str">
        <f>HYPERLINK("https://pbs.twimg.com/profile_images/1579313407823675394/RKfjtibm_normal.jpg")</f>
        <v>https://pbs.twimg.com/profile_images/1579313407823675394/RKfjtibm_normal.jpg</v>
      </c>
      <c r="G32" s="63"/>
      <c r="H32" s="67"/>
      <c r="I32" s="68"/>
      <c r="J32" s="68"/>
      <c r="K32" s="67" t="s">
        <v>24966</v>
      </c>
      <c r="L32" s="71"/>
      <c r="M32" s="72"/>
      <c r="N32" s="72"/>
      <c r="O32" s="73"/>
      <c r="P32" s="74"/>
      <c r="Q32" s="74"/>
      <c r="R32" s="86"/>
      <c r="S32" s="86"/>
      <c r="T32" s="86"/>
      <c r="U32" s="86"/>
      <c r="V32" s="48"/>
      <c r="W32" s="48"/>
      <c r="X32" s="48"/>
      <c r="Y32" s="48"/>
      <c r="Z32" s="47"/>
      <c r="AA32" s="69">
        <v>32</v>
      </c>
      <c r="AB32" s="69"/>
      <c r="AC32" s="70"/>
      <c r="AD32" s="76" t="s">
        <v>21845</v>
      </c>
      <c r="AE32" s="81" t="s">
        <v>21030</v>
      </c>
      <c r="AF32" s="76">
        <v>107</v>
      </c>
      <c r="AG32" s="76">
        <v>351</v>
      </c>
      <c r="AH32" s="76">
        <v>1095</v>
      </c>
      <c r="AI32" s="76">
        <v>0</v>
      </c>
      <c r="AJ32" s="76">
        <v>124</v>
      </c>
      <c r="AK32" s="76">
        <v>4</v>
      </c>
      <c r="AL32" s="76" t="b">
        <v>0</v>
      </c>
      <c r="AM32" s="78">
        <v>43158.829768518517</v>
      </c>
      <c r="AN32" s="76"/>
      <c r="AO32" s="76" t="s">
        <v>23369</v>
      </c>
      <c r="AP32" s="76"/>
      <c r="AQ32" s="76"/>
      <c r="AR32" s="76"/>
      <c r="AS32" s="76"/>
      <c r="AT32" s="76"/>
      <c r="AU32" s="76"/>
      <c r="AV32" s="76">
        <v>1.5166336961236301E+18</v>
      </c>
      <c r="AW32" s="76"/>
      <c r="AX32" s="76" t="b">
        <v>0</v>
      </c>
      <c r="AY32" s="76"/>
      <c r="AZ32" s="76"/>
      <c r="BA32" s="76" t="b">
        <v>0</v>
      </c>
      <c r="BB32" s="76" t="b">
        <v>1</v>
      </c>
      <c r="BC32" s="76" t="b">
        <v>1</v>
      </c>
      <c r="BD32" s="76" t="b">
        <v>0</v>
      </c>
      <c r="BE32" s="76" t="b">
        <v>0</v>
      </c>
      <c r="BF32" s="76" t="b">
        <v>0</v>
      </c>
      <c r="BG32" s="76" t="b">
        <v>0</v>
      </c>
      <c r="BH32" s="76"/>
      <c r="BI32" s="76"/>
      <c r="BJ32" s="76" t="s">
        <v>24935</v>
      </c>
      <c r="BK32" s="76" t="b">
        <v>0</v>
      </c>
      <c r="BL32" s="76"/>
      <c r="BM32" s="76" t="s">
        <v>66</v>
      </c>
      <c r="BN32" s="76" t="s">
        <v>24937</v>
      </c>
      <c r="BO32" s="83" t="str">
        <f>HYPERLINK("https://twitter.com/criptomonof")</f>
        <v>https://twitter.com/criptomonof</v>
      </c>
      <c r="BP32" s="2"/>
    </row>
    <row r="33" spans="1:68" x14ac:dyDescent="0.25">
      <c r="A33" s="62" t="s">
        <v>252</v>
      </c>
      <c r="B33" s="63"/>
      <c r="C33" s="63"/>
      <c r="D33" s="64"/>
      <c r="E33" s="66"/>
      <c r="F33" s="102" t="str">
        <f>HYPERLINK("https://pbs.twimg.com/profile_images/1703099417606144000/aHLV8A3I_normal.jpg")</f>
        <v>https://pbs.twimg.com/profile_images/1703099417606144000/aHLV8A3I_normal.jpg</v>
      </c>
      <c r="G33" s="63"/>
      <c r="H33" s="67"/>
      <c r="I33" s="68"/>
      <c r="J33" s="68"/>
      <c r="K33" s="67" t="s">
        <v>24967</v>
      </c>
      <c r="L33" s="71"/>
      <c r="M33" s="72"/>
      <c r="N33" s="72"/>
      <c r="O33" s="73"/>
      <c r="P33" s="74"/>
      <c r="Q33" s="74"/>
      <c r="R33" s="86"/>
      <c r="S33" s="86"/>
      <c r="T33" s="86"/>
      <c r="U33" s="86"/>
      <c r="V33" s="48"/>
      <c r="W33" s="48"/>
      <c r="X33" s="48"/>
      <c r="Y33" s="48"/>
      <c r="Z33" s="47"/>
      <c r="AA33" s="69">
        <v>33</v>
      </c>
      <c r="AB33" s="69"/>
      <c r="AC33" s="70"/>
      <c r="AD33" s="76" t="s">
        <v>21846</v>
      </c>
      <c r="AE33" s="81" t="s">
        <v>21031</v>
      </c>
      <c r="AF33" s="76">
        <v>62</v>
      </c>
      <c r="AG33" s="76">
        <v>242</v>
      </c>
      <c r="AH33" s="76">
        <v>1830</v>
      </c>
      <c r="AI33" s="76">
        <v>0</v>
      </c>
      <c r="AJ33" s="76">
        <v>6105</v>
      </c>
      <c r="AK33" s="76">
        <v>189</v>
      </c>
      <c r="AL33" s="76" t="b">
        <v>0</v>
      </c>
      <c r="AM33" s="78">
        <v>44853.993495370371</v>
      </c>
      <c r="AN33" s="76"/>
      <c r="AO33" s="76" t="s">
        <v>23370</v>
      </c>
      <c r="AP33" s="76"/>
      <c r="AQ33" s="76"/>
      <c r="AR33" s="76"/>
      <c r="AS33" s="76"/>
      <c r="AT33" s="76"/>
      <c r="AU33" s="76"/>
      <c r="AV33" s="76">
        <v>1.69011205482317E+18</v>
      </c>
      <c r="AW33" s="76"/>
      <c r="AX33" s="76" t="b">
        <v>0</v>
      </c>
      <c r="AY33" s="76"/>
      <c r="AZ33" s="76"/>
      <c r="BA33" s="76" t="b">
        <v>0</v>
      </c>
      <c r="BB33" s="76" t="b">
        <v>0</v>
      </c>
      <c r="BC33" s="76" t="b">
        <v>1</v>
      </c>
      <c r="BD33" s="76" t="b">
        <v>0</v>
      </c>
      <c r="BE33" s="76" t="b">
        <v>0</v>
      </c>
      <c r="BF33" s="76" t="b">
        <v>0</v>
      </c>
      <c r="BG33" s="76" t="b">
        <v>0</v>
      </c>
      <c r="BH33" s="83" t="str">
        <f>HYPERLINK("https://pbs.twimg.com/profile_banners/1582881859054501890/1691690202")</f>
        <v>https://pbs.twimg.com/profile_banners/1582881859054501890/1691690202</v>
      </c>
      <c r="BI33" s="76"/>
      <c r="BJ33" s="76" t="s">
        <v>24935</v>
      </c>
      <c r="BK33" s="76" t="b">
        <v>0</v>
      </c>
      <c r="BL33" s="76"/>
      <c r="BM33" s="76" t="s">
        <v>66</v>
      </c>
      <c r="BN33" s="76" t="s">
        <v>24937</v>
      </c>
      <c r="BO33" s="83" t="str">
        <f>HYPERLINK("https://twitter.com/vanessacunha381")</f>
        <v>https://twitter.com/vanessacunha381</v>
      </c>
      <c r="BP33" s="2"/>
    </row>
    <row r="34" spans="1:68" x14ac:dyDescent="0.25">
      <c r="A34" s="62" t="s">
        <v>253</v>
      </c>
      <c r="B34" s="63"/>
      <c r="C34" s="63"/>
      <c r="D34" s="64"/>
      <c r="E34" s="66"/>
      <c r="F34" s="102" t="str">
        <f>HYPERLINK("https://pbs.twimg.com/profile_images/1691263408480354304/EYRsTpHE_normal.jpg")</f>
        <v>https://pbs.twimg.com/profile_images/1691263408480354304/EYRsTpHE_normal.jpg</v>
      </c>
      <c r="G34" s="63"/>
      <c r="H34" s="67"/>
      <c r="I34" s="68"/>
      <c r="J34" s="68"/>
      <c r="K34" s="67" t="s">
        <v>24968</v>
      </c>
      <c r="L34" s="71"/>
      <c r="M34" s="72"/>
      <c r="N34" s="72"/>
      <c r="O34" s="73"/>
      <c r="P34" s="74"/>
      <c r="Q34" s="74"/>
      <c r="R34" s="86"/>
      <c r="S34" s="86"/>
      <c r="T34" s="86"/>
      <c r="U34" s="86"/>
      <c r="V34" s="48"/>
      <c r="W34" s="48"/>
      <c r="X34" s="48"/>
      <c r="Y34" s="48"/>
      <c r="Z34" s="47"/>
      <c r="AA34" s="69">
        <v>34</v>
      </c>
      <c r="AB34" s="69"/>
      <c r="AC34" s="70"/>
      <c r="AD34" s="76" t="s">
        <v>21847</v>
      </c>
      <c r="AE34" s="81" t="s">
        <v>21032</v>
      </c>
      <c r="AF34" s="76">
        <v>11</v>
      </c>
      <c r="AG34" s="76">
        <v>266</v>
      </c>
      <c r="AH34" s="76">
        <v>162</v>
      </c>
      <c r="AI34" s="76">
        <v>0</v>
      </c>
      <c r="AJ34" s="76">
        <v>773</v>
      </c>
      <c r="AK34" s="76">
        <v>29</v>
      </c>
      <c r="AL34" s="76" t="b">
        <v>0</v>
      </c>
      <c r="AM34" s="78">
        <v>43996.760104166664</v>
      </c>
      <c r="AN34" s="76" t="s">
        <v>23083</v>
      </c>
      <c r="AO34" s="76" t="s">
        <v>23371</v>
      </c>
      <c r="AP34" s="76"/>
      <c r="AQ34" s="76"/>
      <c r="AR34" s="76"/>
      <c r="AS34" s="76"/>
      <c r="AT34" s="76"/>
      <c r="AU34" s="76"/>
      <c r="AV34" s="76"/>
      <c r="AW34" s="76"/>
      <c r="AX34" s="76" t="b">
        <v>0</v>
      </c>
      <c r="AY34" s="76"/>
      <c r="AZ34" s="76"/>
      <c r="BA34" s="76" t="b">
        <v>0</v>
      </c>
      <c r="BB34" s="76" t="b">
        <v>1</v>
      </c>
      <c r="BC34" s="76" t="b">
        <v>1</v>
      </c>
      <c r="BD34" s="76" t="b">
        <v>0</v>
      </c>
      <c r="BE34" s="76" t="b">
        <v>1</v>
      </c>
      <c r="BF34" s="76" t="b">
        <v>0</v>
      </c>
      <c r="BG34" s="76" t="b">
        <v>0</v>
      </c>
      <c r="BH34" s="83" t="str">
        <f>HYPERLINK("https://pbs.twimg.com/profile_banners/1272230770166423566/1692063719")</f>
        <v>https://pbs.twimg.com/profile_banners/1272230770166423566/1692063719</v>
      </c>
      <c r="BI34" s="76"/>
      <c r="BJ34" s="76" t="s">
        <v>24935</v>
      </c>
      <c r="BK34" s="76" t="b">
        <v>0</v>
      </c>
      <c r="BL34" s="76"/>
      <c r="BM34" s="76" t="s">
        <v>66</v>
      </c>
      <c r="BN34" s="76" t="s">
        <v>24937</v>
      </c>
      <c r="BO34" s="83" t="str">
        <f>HYPERLINK("https://twitter.com/zannynhamaria")</f>
        <v>https://twitter.com/zannynhamaria</v>
      </c>
      <c r="BP34" s="2"/>
    </row>
    <row r="35" spans="1:68" x14ac:dyDescent="0.25">
      <c r="A35" s="62" t="s">
        <v>254</v>
      </c>
      <c r="B35" s="63"/>
      <c r="C35" s="63"/>
      <c r="D35" s="64"/>
      <c r="E35" s="66"/>
      <c r="F35" s="102" t="str">
        <f>HYPERLINK("https://pbs.twimg.com/profile_images/1596356979840122882/gQEYbic5_normal.jpg")</f>
        <v>https://pbs.twimg.com/profile_images/1596356979840122882/gQEYbic5_normal.jpg</v>
      </c>
      <c r="G35" s="63"/>
      <c r="H35" s="67"/>
      <c r="I35" s="68"/>
      <c r="J35" s="68"/>
      <c r="K35" s="67" t="s">
        <v>24969</v>
      </c>
      <c r="L35" s="71"/>
      <c r="M35" s="72"/>
      <c r="N35" s="72"/>
      <c r="O35" s="73"/>
      <c r="P35" s="74"/>
      <c r="Q35" s="74"/>
      <c r="R35" s="86"/>
      <c r="S35" s="86"/>
      <c r="T35" s="86"/>
      <c r="U35" s="86"/>
      <c r="V35" s="48"/>
      <c r="W35" s="48"/>
      <c r="X35" s="48"/>
      <c r="Y35" s="48"/>
      <c r="Z35" s="47"/>
      <c r="AA35" s="69">
        <v>35</v>
      </c>
      <c r="AB35" s="69"/>
      <c r="AC35" s="70"/>
      <c r="AD35" s="76" t="s">
        <v>21848</v>
      </c>
      <c r="AE35" s="81" t="s">
        <v>21033</v>
      </c>
      <c r="AF35" s="76">
        <v>4</v>
      </c>
      <c r="AG35" s="76">
        <v>26</v>
      </c>
      <c r="AH35" s="76">
        <v>37</v>
      </c>
      <c r="AI35" s="76">
        <v>0</v>
      </c>
      <c r="AJ35" s="76">
        <v>140</v>
      </c>
      <c r="AK35" s="76">
        <v>5</v>
      </c>
      <c r="AL35" s="76" t="b">
        <v>0</v>
      </c>
      <c r="AM35" s="78">
        <v>44563.837233796294</v>
      </c>
      <c r="AN35" s="76" t="s">
        <v>23084</v>
      </c>
      <c r="AO35" s="76" t="s">
        <v>23372</v>
      </c>
      <c r="AP35" s="76"/>
      <c r="AQ35" s="76"/>
      <c r="AR35" s="76"/>
      <c r="AS35" s="76"/>
      <c r="AT35" s="76"/>
      <c r="AU35" s="76"/>
      <c r="AV35" s="76"/>
      <c r="AW35" s="76"/>
      <c r="AX35" s="76" t="b">
        <v>0</v>
      </c>
      <c r="AY35" s="76"/>
      <c r="AZ35" s="76"/>
      <c r="BA35" s="76" t="b">
        <v>0</v>
      </c>
      <c r="BB35" s="76" t="b">
        <v>1</v>
      </c>
      <c r="BC35" s="76" t="b">
        <v>1</v>
      </c>
      <c r="BD35" s="76" t="b">
        <v>0</v>
      </c>
      <c r="BE35" s="76" t="b">
        <v>0</v>
      </c>
      <c r="BF35" s="76" t="b">
        <v>0</v>
      </c>
      <c r="BG35" s="76" t="b">
        <v>0</v>
      </c>
      <c r="BH35" s="83" t="str">
        <f>HYPERLINK("https://pbs.twimg.com/profile_banners/1477732773020508161/1641524880")</f>
        <v>https://pbs.twimg.com/profile_banners/1477732773020508161/1641524880</v>
      </c>
      <c r="BI35" s="76"/>
      <c r="BJ35" s="76" t="s">
        <v>24935</v>
      </c>
      <c r="BK35" s="76" t="b">
        <v>0</v>
      </c>
      <c r="BL35" s="76"/>
      <c r="BM35" s="76" t="s">
        <v>66</v>
      </c>
      <c r="BN35" s="76" t="s">
        <v>24937</v>
      </c>
      <c r="BO35" s="83" t="str">
        <f>HYPERLINK("https://twitter.com/vvgualberto")</f>
        <v>https://twitter.com/vvgualberto</v>
      </c>
      <c r="BP35" s="2"/>
    </row>
    <row r="36" spans="1:68" x14ac:dyDescent="0.25">
      <c r="A36" s="62" t="s">
        <v>255</v>
      </c>
      <c r="B36" s="63"/>
      <c r="C36" s="63"/>
      <c r="D36" s="64"/>
      <c r="E36" s="66"/>
      <c r="F36" s="102" t="str">
        <f>HYPERLINK("https://pbs.twimg.com/profile_images/1673199042984046593/rCZpI216_normal.jpg")</f>
        <v>https://pbs.twimg.com/profile_images/1673199042984046593/rCZpI216_normal.jpg</v>
      </c>
      <c r="G36" s="63"/>
      <c r="H36" s="67"/>
      <c r="I36" s="68"/>
      <c r="J36" s="68"/>
      <c r="K36" s="67" t="s">
        <v>24970</v>
      </c>
      <c r="L36" s="71"/>
      <c r="M36" s="72"/>
      <c r="N36" s="72"/>
      <c r="O36" s="73"/>
      <c r="P36" s="74"/>
      <c r="Q36" s="74"/>
      <c r="R36" s="86"/>
      <c r="S36" s="86"/>
      <c r="T36" s="86"/>
      <c r="U36" s="86"/>
      <c r="V36" s="48"/>
      <c r="W36" s="48"/>
      <c r="X36" s="48"/>
      <c r="Y36" s="48"/>
      <c r="Z36" s="47"/>
      <c r="AA36" s="69">
        <v>36</v>
      </c>
      <c r="AB36" s="69"/>
      <c r="AC36" s="70"/>
      <c r="AD36" s="76" t="s">
        <v>21849</v>
      </c>
      <c r="AE36" s="81" t="s">
        <v>21034</v>
      </c>
      <c r="AF36" s="76">
        <v>0</v>
      </c>
      <c r="AG36" s="76">
        <v>1</v>
      </c>
      <c r="AH36" s="76">
        <v>3</v>
      </c>
      <c r="AI36" s="76">
        <v>0</v>
      </c>
      <c r="AJ36" s="76">
        <v>9</v>
      </c>
      <c r="AK36" s="76">
        <v>2</v>
      </c>
      <c r="AL36" s="76" t="b">
        <v>0</v>
      </c>
      <c r="AM36" s="78">
        <v>45103.219768518517</v>
      </c>
      <c r="AN36" s="76"/>
      <c r="AO36" s="76" t="s">
        <v>23373</v>
      </c>
      <c r="AP36" s="83" t="str">
        <f>HYPERLINK("https://t.co/6S9xF10FdG")</f>
        <v>https://t.co/6S9xF10FdG</v>
      </c>
      <c r="AQ36" s="83" t="str">
        <f>HYPERLINK("https://poplottery.com/#/register?r_code=QvY3N722539")</f>
        <v>https://poplottery.com/#/register?r_code=QvY3N722539</v>
      </c>
      <c r="AR36" s="76" t="s">
        <v>24270</v>
      </c>
      <c r="AS36" s="76"/>
      <c r="AT36" s="76"/>
      <c r="AU36" s="76"/>
      <c r="AV36" s="76"/>
      <c r="AW36" s="83" t="str">
        <f>HYPERLINK("https://t.co/6S9xF10FdG")</f>
        <v>https://t.co/6S9xF10FdG</v>
      </c>
      <c r="AX36" s="76" t="b">
        <v>0</v>
      </c>
      <c r="AY36" s="76"/>
      <c r="AZ36" s="76"/>
      <c r="BA36" s="76" t="b">
        <v>0</v>
      </c>
      <c r="BB36" s="76" t="b">
        <v>1</v>
      </c>
      <c r="BC36" s="76" t="b">
        <v>1</v>
      </c>
      <c r="BD36" s="76" t="b">
        <v>0</v>
      </c>
      <c r="BE36" s="76" t="b">
        <v>0</v>
      </c>
      <c r="BF36" s="76" t="b">
        <v>0</v>
      </c>
      <c r="BG36" s="76" t="b">
        <v>0</v>
      </c>
      <c r="BH36" s="76"/>
      <c r="BI36" s="76"/>
      <c r="BJ36" s="76" t="s">
        <v>24935</v>
      </c>
      <c r="BK36" s="76" t="b">
        <v>0</v>
      </c>
      <c r="BL36" s="76"/>
      <c r="BM36" s="76" t="s">
        <v>66</v>
      </c>
      <c r="BN36" s="76" t="s">
        <v>24937</v>
      </c>
      <c r="BO36" s="83" t="str">
        <f>HYPERLINK("https://twitter.com/rendaextraslots")</f>
        <v>https://twitter.com/rendaextraslots</v>
      </c>
      <c r="BP36" s="2"/>
    </row>
    <row r="37" spans="1:68" x14ac:dyDescent="0.25">
      <c r="A37" s="62" t="s">
        <v>256</v>
      </c>
      <c r="B37" s="63"/>
      <c r="C37" s="63"/>
      <c r="D37" s="64"/>
      <c r="E37" s="66"/>
      <c r="F37" s="102" t="str">
        <f>HYPERLINK("https://pbs.twimg.com/profile_images/1675348039257423872/-R9ibeyk_normal.png")</f>
        <v>https://pbs.twimg.com/profile_images/1675348039257423872/-R9ibeyk_normal.png</v>
      </c>
      <c r="G37" s="63"/>
      <c r="H37" s="67"/>
      <c r="I37" s="68"/>
      <c r="J37" s="68"/>
      <c r="K37" s="67" t="s">
        <v>24971</v>
      </c>
      <c r="L37" s="71"/>
      <c r="M37" s="72"/>
      <c r="N37" s="72"/>
      <c r="O37" s="73"/>
      <c r="P37" s="74"/>
      <c r="Q37" s="74"/>
      <c r="R37" s="86"/>
      <c r="S37" s="86"/>
      <c r="T37" s="86"/>
      <c r="U37" s="86"/>
      <c r="V37" s="48"/>
      <c r="W37" s="48"/>
      <c r="X37" s="48"/>
      <c r="Y37" s="48"/>
      <c r="Z37" s="47"/>
      <c r="AA37" s="69">
        <v>37</v>
      </c>
      <c r="AB37" s="69"/>
      <c r="AC37" s="70"/>
      <c r="AD37" s="76" t="s">
        <v>21850</v>
      </c>
      <c r="AE37" s="81" t="s">
        <v>21035</v>
      </c>
      <c r="AF37" s="76">
        <v>0</v>
      </c>
      <c r="AG37" s="76">
        <v>6</v>
      </c>
      <c r="AH37" s="76">
        <v>3</v>
      </c>
      <c r="AI37" s="76">
        <v>0</v>
      </c>
      <c r="AJ37" s="76">
        <v>1</v>
      </c>
      <c r="AK37" s="76">
        <v>2</v>
      </c>
      <c r="AL37" s="76" t="b">
        <v>0</v>
      </c>
      <c r="AM37" s="78">
        <v>45109.151307870372</v>
      </c>
      <c r="AN37" s="76" t="s">
        <v>14044</v>
      </c>
      <c r="AO37" s="76" t="s">
        <v>23374</v>
      </c>
      <c r="AP37" s="83" t="str">
        <f>HYPERLINK("https://t.co/Pi8r5prM9O")</f>
        <v>https://t.co/Pi8r5prM9O</v>
      </c>
      <c r="AQ37" s="83" t="str">
        <f>HYPERLINK("https://edzz.la/CS4TC?a=53994590")</f>
        <v>https://edzz.la/CS4TC?a=53994590</v>
      </c>
      <c r="AR37" s="76" t="s">
        <v>24271</v>
      </c>
      <c r="AS37" s="76"/>
      <c r="AT37" s="76"/>
      <c r="AU37" s="76"/>
      <c r="AV37" s="76"/>
      <c r="AW37" s="83" t="str">
        <f>HYPERLINK("https://t.co/Pi8r5prM9O")</f>
        <v>https://t.co/Pi8r5prM9O</v>
      </c>
      <c r="AX37" s="76" t="b">
        <v>0</v>
      </c>
      <c r="AY37" s="76"/>
      <c r="AZ37" s="76"/>
      <c r="BA37" s="76" t="b">
        <v>0</v>
      </c>
      <c r="BB37" s="76" t="b">
        <v>1</v>
      </c>
      <c r="BC37" s="76" t="b">
        <v>1</v>
      </c>
      <c r="BD37" s="76" t="b">
        <v>0</v>
      </c>
      <c r="BE37" s="76" t="b">
        <v>0</v>
      </c>
      <c r="BF37" s="76" t="b">
        <v>0</v>
      </c>
      <c r="BG37" s="76" t="b">
        <v>0</v>
      </c>
      <c r="BH37" s="83" t="str">
        <f>HYPERLINK("https://pbs.twimg.com/profile_banners/1675347348589871104/1688484017")</f>
        <v>https://pbs.twimg.com/profile_banners/1675347348589871104/1688484017</v>
      </c>
      <c r="BI37" s="76"/>
      <c r="BJ37" s="76" t="s">
        <v>24935</v>
      </c>
      <c r="BK37" s="76" t="b">
        <v>0</v>
      </c>
      <c r="BL37" s="76"/>
      <c r="BM37" s="76" t="s">
        <v>66</v>
      </c>
      <c r="BN37" s="76" t="s">
        <v>24937</v>
      </c>
      <c r="BO37" s="83" t="str">
        <f>HYPERLINK("https://twitter.com/wesleybezerr12")</f>
        <v>https://twitter.com/wesleybezerr12</v>
      </c>
      <c r="BP37" s="2"/>
    </row>
    <row r="38" spans="1:68" x14ac:dyDescent="0.25">
      <c r="A38" s="62" t="s">
        <v>257</v>
      </c>
      <c r="B38" s="63"/>
      <c r="C38" s="63"/>
      <c r="D38" s="64"/>
      <c r="E38" s="66"/>
      <c r="F38" s="102" t="str">
        <f>HYPERLINK("https://pbs.twimg.com/profile_images/1589782559583600640/-BtjNMar_normal.jpg")</f>
        <v>https://pbs.twimg.com/profile_images/1589782559583600640/-BtjNMar_normal.jpg</v>
      </c>
      <c r="G38" s="63"/>
      <c r="H38" s="67"/>
      <c r="I38" s="68"/>
      <c r="J38" s="68"/>
      <c r="K38" s="67" t="s">
        <v>24972</v>
      </c>
      <c r="L38" s="71"/>
      <c r="M38" s="72"/>
      <c r="N38" s="72"/>
      <c r="O38" s="73"/>
      <c r="P38" s="74"/>
      <c r="Q38" s="74"/>
      <c r="R38" s="86"/>
      <c r="S38" s="86"/>
      <c r="T38" s="86"/>
      <c r="U38" s="86"/>
      <c r="V38" s="48"/>
      <c r="W38" s="48"/>
      <c r="X38" s="48"/>
      <c r="Y38" s="48"/>
      <c r="Z38" s="47"/>
      <c r="AA38" s="69">
        <v>38</v>
      </c>
      <c r="AB38" s="69"/>
      <c r="AC38" s="70"/>
      <c r="AD38" s="76" t="s">
        <v>21851</v>
      </c>
      <c r="AE38" s="81" t="s">
        <v>21036</v>
      </c>
      <c r="AF38" s="76">
        <v>1</v>
      </c>
      <c r="AG38" s="76">
        <v>44</v>
      </c>
      <c r="AH38" s="76">
        <v>295</v>
      </c>
      <c r="AI38" s="76">
        <v>0</v>
      </c>
      <c r="AJ38" s="76">
        <v>121</v>
      </c>
      <c r="AK38" s="76">
        <v>23</v>
      </c>
      <c r="AL38" s="76" t="b">
        <v>0</v>
      </c>
      <c r="AM38" s="78">
        <v>44864.909178240741</v>
      </c>
      <c r="AN38" s="76"/>
      <c r="AO38" s="76" t="s">
        <v>23375</v>
      </c>
      <c r="AP38" s="76"/>
      <c r="AQ38" s="76"/>
      <c r="AR38" s="76"/>
      <c r="AS38" s="76"/>
      <c r="AT38" s="76"/>
      <c r="AU38" s="76"/>
      <c r="AV38" s="76"/>
      <c r="AW38" s="76"/>
      <c r="AX38" s="76" t="b">
        <v>0</v>
      </c>
      <c r="AY38" s="76"/>
      <c r="AZ38" s="76"/>
      <c r="BA38" s="76" t="b">
        <v>0</v>
      </c>
      <c r="BB38" s="76" t="b">
        <v>1</v>
      </c>
      <c r="BC38" s="76" t="b">
        <v>1</v>
      </c>
      <c r="BD38" s="76" t="b">
        <v>0</v>
      </c>
      <c r="BE38" s="76" t="b">
        <v>1</v>
      </c>
      <c r="BF38" s="76" t="b">
        <v>0</v>
      </c>
      <c r="BG38" s="76" t="b">
        <v>0</v>
      </c>
      <c r="BH38" s="83" t="str">
        <f>HYPERLINK("https://pbs.twimg.com/profile_banners/1586837574877863939/1667408751")</f>
        <v>https://pbs.twimg.com/profile_banners/1586837574877863939/1667408751</v>
      </c>
      <c r="BI38" s="76"/>
      <c r="BJ38" s="76" t="s">
        <v>24935</v>
      </c>
      <c r="BK38" s="76" t="b">
        <v>0</v>
      </c>
      <c r="BL38" s="76"/>
      <c r="BM38" s="76" t="s">
        <v>66</v>
      </c>
      <c r="BN38" s="76" t="s">
        <v>24937</v>
      </c>
      <c r="BO38" s="83" t="str">
        <f>HYPERLINK("https://twitter.com/vldmrhz")</f>
        <v>https://twitter.com/vldmrhz</v>
      </c>
      <c r="BP38" s="2"/>
    </row>
    <row r="39" spans="1:68" x14ac:dyDescent="0.25">
      <c r="A39" s="62" t="s">
        <v>258</v>
      </c>
      <c r="B39" s="63"/>
      <c r="C39" s="63"/>
      <c r="D39" s="64"/>
      <c r="E39" s="66"/>
      <c r="F39" s="102" t="str">
        <f>HYPERLINK("https://pbs.twimg.com/profile_images/1609184437819809792/DFM9-XJw_normal.jpg")</f>
        <v>https://pbs.twimg.com/profile_images/1609184437819809792/DFM9-XJw_normal.jpg</v>
      </c>
      <c r="G39" s="63"/>
      <c r="H39" s="67"/>
      <c r="I39" s="68"/>
      <c r="J39" s="68"/>
      <c r="K39" s="67" t="s">
        <v>24973</v>
      </c>
      <c r="L39" s="71"/>
      <c r="M39" s="72"/>
      <c r="N39" s="72"/>
      <c r="O39" s="73"/>
      <c r="P39" s="74"/>
      <c r="Q39" s="74"/>
      <c r="R39" s="86"/>
      <c r="S39" s="86"/>
      <c r="T39" s="86"/>
      <c r="U39" s="86"/>
      <c r="V39" s="48"/>
      <c r="W39" s="48"/>
      <c r="X39" s="48"/>
      <c r="Y39" s="48"/>
      <c r="Z39" s="47"/>
      <c r="AA39" s="69">
        <v>39</v>
      </c>
      <c r="AB39" s="69"/>
      <c r="AC39" s="70"/>
      <c r="AD39" s="76" t="s">
        <v>21852</v>
      </c>
      <c r="AE39" s="81" t="s">
        <v>21037</v>
      </c>
      <c r="AF39" s="76">
        <v>86</v>
      </c>
      <c r="AG39" s="76">
        <v>415</v>
      </c>
      <c r="AH39" s="76">
        <v>96</v>
      </c>
      <c r="AI39" s="76">
        <v>0</v>
      </c>
      <c r="AJ39" s="76">
        <v>594</v>
      </c>
      <c r="AK39" s="76">
        <v>79</v>
      </c>
      <c r="AL39" s="76" t="b">
        <v>0</v>
      </c>
      <c r="AM39" s="78">
        <v>44926.507152777776</v>
      </c>
      <c r="AN39" s="76"/>
      <c r="AO39" s="76" t="s">
        <v>23376</v>
      </c>
      <c r="AP39" s="76"/>
      <c r="AQ39" s="76"/>
      <c r="AR39" s="76"/>
      <c r="AS39" s="76"/>
      <c r="AT39" s="76"/>
      <c r="AU39" s="76"/>
      <c r="AV39" s="76">
        <v>1.6939800625491999E+18</v>
      </c>
      <c r="AW39" s="76"/>
      <c r="AX39" s="76" t="b">
        <v>0</v>
      </c>
      <c r="AY39" s="76"/>
      <c r="AZ39" s="76"/>
      <c r="BA39" s="76" t="b">
        <v>0</v>
      </c>
      <c r="BB39" s="76" t="b">
        <v>1</v>
      </c>
      <c r="BC39" s="76" t="b">
        <v>1</v>
      </c>
      <c r="BD39" s="76" t="b">
        <v>0</v>
      </c>
      <c r="BE39" s="76" t="b">
        <v>0</v>
      </c>
      <c r="BF39" s="76" t="b">
        <v>0</v>
      </c>
      <c r="BG39" s="76" t="b">
        <v>0</v>
      </c>
      <c r="BH39" s="83" t="str">
        <f>HYPERLINK("https://pbs.twimg.com/profile_banners/1609159709059170305/1672493784")</f>
        <v>https://pbs.twimg.com/profile_banners/1609159709059170305/1672493784</v>
      </c>
      <c r="BI39" s="76"/>
      <c r="BJ39" s="76" t="s">
        <v>24935</v>
      </c>
      <c r="BK39" s="76" t="b">
        <v>0</v>
      </c>
      <c r="BL39" s="76"/>
      <c r="BM39" s="76" t="s">
        <v>66</v>
      </c>
      <c r="BN39" s="76" t="s">
        <v>24937</v>
      </c>
      <c r="BO39" s="83" t="str">
        <f>HYPERLINK("https://twitter.com/domuusaurea")</f>
        <v>https://twitter.com/domuusaurea</v>
      </c>
      <c r="BP39" s="2"/>
    </row>
    <row r="40" spans="1:68" x14ac:dyDescent="0.25">
      <c r="A40" s="62" t="s">
        <v>259</v>
      </c>
      <c r="B40" s="63"/>
      <c r="C40" s="63"/>
      <c r="D40" s="64"/>
      <c r="E40" s="66"/>
      <c r="F40" s="102" t="str">
        <f>HYPERLINK("https://pbs.twimg.com/profile_images/1686779493703184385/mxkaJR3f_normal.jpg")</f>
        <v>https://pbs.twimg.com/profile_images/1686779493703184385/mxkaJR3f_normal.jpg</v>
      </c>
      <c r="G40" s="63"/>
      <c r="H40" s="67"/>
      <c r="I40" s="68"/>
      <c r="J40" s="68"/>
      <c r="K40" s="67" t="s">
        <v>24974</v>
      </c>
      <c r="L40" s="71"/>
      <c r="M40" s="72"/>
      <c r="N40" s="72"/>
      <c r="O40" s="73"/>
      <c r="P40" s="74"/>
      <c r="Q40" s="74"/>
      <c r="R40" s="86"/>
      <c r="S40" s="86"/>
      <c r="T40" s="86"/>
      <c r="U40" s="86"/>
      <c r="V40" s="48"/>
      <c r="W40" s="48"/>
      <c r="X40" s="48"/>
      <c r="Y40" s="48"/>
      <c r="Z40" s="47"/>
      <c r="AA40" s="69">
        <v>40</v>
      </c>
      <c r="AB40" s="69"/>
      <c r="AC40" s="70"/>
      <c r="AD40" s="76" t="s">
        <v>21853</v>
      </c>
      <c r="AE40" s="81" t="s">
        <v>20900</v>
      </c>
      <c r="AF40" s="76">
        <v>64</v>
      </c>
      <c r="AG40" s="76">
        <v>112</v>
      </c>
      <c r="AH40" s="76">
        <v>349</v>
      </c>
      <c r="AI40" s="76">
        <v>0</v>
      </c>
      <c r="AJ40" s="76">
        <v>101</v>
      </c>
      <c r="AK40" s="76">
        <v>127</v>
      </c>
      <c r="AL40" s="76" t="b">
        <v>0</v>
      </c>
      <c r="AM40" s="78">
        <v>44503.935543981483</v>
      </c>
      <c r="AN40" s="76" t="s">
        <v>23085</v>
      </c>
      <c r="AO40" s="76" t="s">
        <v>23377</v>
      </c>
      <c r="AP40" s="83" t="str">
        <f>HYPERLINK("https://t.co/JhZpMvZMU3")</f>
        <v>https://t.co/JhZpMvZMU3</v>
      </c>
      <c r="AQ40" s="83" t="str">
        <f>HYPERLINK("https://linktr.ee/onetaptips")</f>
        <v>https://linktr.ee/onetaptips</v>
      </c>
      <c r="AR40" s="76" t="s">
        <v>24272</v>
      </c>
      <c r="AS40" s="76"/>
      <c r="AT40" s="76"/>
      <c r="AU40" s="76"/>
      <c r="AV40" s="76"/>
      <c r="AW40" s="83" t="str">
        <f>HYPERLINK("https://t.co/JhZpMvZMU3")</f>
        <v>https://t.co/JhZpMvZMU3</v>
      </c>
      <c r="AX40" s="76" t="b">
        <v>0</v>
      </c>
      <c r="AY40" s="76"/>
      <c r="AZ40" s="76"/>
      <c r="BA40" s="76" t="b">
        <v>1</v>
      </c>
      <c r="BB40" s="76" t="b">
        <v>1</v>
      </c>
      <c r="BC40" s="76" t="b">
        <v>1</v>
      </c>
      <c r="BD40" s="76" t="b">
        <v>0</v>
      </c>
      <c r="BE40" s="76" t="b">
        <v>0</v>
      </c>
      <c r="BF40" s="76" t="b">
        <v>0</v>
      </c>
      <c r="BG40" s="76" t="b">
        <v>0</v>
      </c>
      <c r="BH40" s="83" t="str">
        <f>HYPERLINK("https://pbs.twimg.com/profile_banners/1456024969524256773/1690994556")</f>
        <v>https://pbs.twimg.com/profile_banners/1456024969524256773/1690994556</v>
      </c>
      <c r="BI40" s="76"/>
      <c r="BJ40" s="76" t="s">
        <v>24935</v>
      </c>
      <c r="BK40" s="76" t="b">
        <v>0</v>
      </c>
      <c r="BL40" s="76"/>
      <c r="BM40" s="76" t="s">
        <v>66</v>
      </c>
      <c r="BN40" s="76" t="s">
        <v>24937</v>
      </c>
      <c r="BO40" s="83" t="str">
        <f>HYPERLINK("https://twitter.com/onetaptips")</f>
        <v>https://twitter.com/onetaptips</v>
      </c>
      <c r="BP40" s="2"/>
    </row>
    <row r="41" spans="1:68" x14ac:dyDescent="0.25">
      <c r="A41" s="62" t="s">
        <v>260</v>
      </c>
      <c r="B41" s="63"/>
      <c r="C41" s="63"/>
      <c r="D41" s="64"/>
      <c r="E41" s="66"/>
      <c r="F41" s="102" t="str">
        <f>HYPERLINK("https://pbs.twimg.com/profile_images/1517250663050362881/w7_uE3hP_normal.jpg")</f>
        <v>https://pbs.twimg.com/profile_images/1517250663050362881/w7_uE3hP_normal.jpg</v>
      </c>
      <c r="G41" s="63"/>
      <c r="H41" s="67"/>
      <c r="I41" s="68"/>
      <c r="J41" s="68"/>
      <c r="K41" s="67" t="s">
        <v>24975</v>
      </c>
      <c r="L41" s="71"/>
      <c r="M41" s="72"/>
      <c r="N41" s="72"/>
      <c r="O41" s="73"/>
      <c r="P41" s="74"/>
      <c r="Q41" s="74"/>
      <c r="R41" s="86"/>
      <c r="S41" s="86"/>
      <c r="T41" s="86"/>
      <c r="U41" s="86"/>
      <c r="V41" s="48"/>
      <c r="W41" s="48"/>
      <c r="X41" s="48"/>
      <c r="Y41" s="48"/>
      <c r="Z41" s="47"/>
      <c r="AA41" s="69">
        <v>41</v>
      </c>
      <c r="AB41" s="69"/>
      <c r="AC41" s="70"/>
      <c r="AD41" s="76" t="s">
        <v>21854</v>
      </c>
      <c r="AE41" s="81" t="s">
        <v>21038</v>
      </c>
      <c r="AF41" s="76">
        <v>1366</v>
      </c>
      <c r="AG41" s="76">
        <v>3881</v>
      </c>
      <c r="AH41" s="76">
        <v>89817</v>
      </c>
      <c r="AI41" s="76">
        <v>1</v>
      </c>
      <c r="AJ41" s="76">
        <v>47824</v>
      </c>
      <c r="AK41" s="76">
        <v>2954</v>
      </c>
      <c r="AL41" s="76" t="b">
        <v>0</v>
      </c>
      <c r="AM41" s="78">
        <v>44672.885451388887</v>
      </c>
      <c r="AN41" s="76"/>
      <c r="AO41" s="76" t="s">
        <v>23378</v>
      </c>
      <c r="AP41" s="83" t="str">
        <f>HYPERLINK("https://t.co/LqgIIug8bi")</f>
        <v>https://t.co/LqgIIug8bi</v>
      </c>
      <c r="AQ41" s="83" t="str">
        <f>HYPERLINK("https://ntnc.com.br/1357adbd-d8cb-4b4c-8cfa-2265d46b1e14")</f>
        <v>https://ntnc.com.br/1357adbd-d8cb-4b4c-8cfa-2265d46b1e14</v>
      </c>
      <c r="AR41" s="76" t="s">
        <v>24273</v>
      </c>
      <c r="AS41" s="76"/>
      <c r="AT41" s="76"/>
      <c r="AU41" s="76"/>
      <c r="AV41" s="76"/>
      <c r="AW41" s="83" t="str">
        <f>HYPERLINK("https://t.co/LqgIIug8bi")</f>
        <v>https://t.co/LqgIIug8bi</v>
      </c>
      <c r="AX41" s="76" t="b">
        <v>0</v>
      </c>
      <c r="AY41" s="76"/>
      <c r="AZ41" s="76"/>
      <c r="BA41" s="76" t="b">
        <v>0</v>
      </c>
      <c r="BB41" s="76" t="b">
        <v>1</v>
      </c>
      <c r="BC41" s="76" t="b">
        <v>1</v>
      </c>
      <c r="BD41" s="76" t="b">
        <v>0</v>
      </c>
      <c r="BE41" s="76" t="b">
        <v>0</v>
      </c>
      <c r="BF41" s="76" t="b">
        <v>0</v>
      </c>
      <c r="BG41" s="76" t="b">
        <v>0</v>
      </c>
      <c r="BH41" s="83" t="str">
        <f>HYPERLINK("https://pbs.twimg.com/profile_banners/1517250511296151554/1650575955")</f>
        <v>https://pbs.twimg.com/profile_banners/1517250511296151554/1650575955</v>
      </c>
      <c r="BI41" s="76"/>
      <c r="BJ41" s="76" t="s">
        <v>24935</v>
      </c>
      <c r="BK41" s="76" t="b">
        <v>0</v>
      </c>
      <c r="BL41" s="76"/>
      <c r="BM41" s="76" t="s">
        <v>66</v>
      </c>
      <c r="BN41" s="76" t="s">
        <v>24937</v>
      </c>
      <c r="BO41" s="83" t="str">
        <f>HYPERLINK("https://twitter.com/apercristao")</f>
        <v>https://twitter.com/apercristao</v>
      </c>
      <c r="BP41" s="2"/>
    </row>
    <row r="42" spans="1:68" x14ac:dyDescent="0.25">
      <c r="A42" s="62" t="s">
        <v>261</v>
      </c>
      <c r="B42" s="63"/>
      <c r="C42" s="63"/>
      <c r="D42" s="64"/>
      <c r="E42" s="66"/>
      <c r="F42" s="102" t="str">
        <f>HYPERLINK("https://pbs.twimg.com/profile_images/1628823879027159040/bMa-r5cH_normal.png")</f>
        <v>https://pbs.twimg.com/profile_images/1628823879027159040/bMa-r5cH_normal.png</v>
      </c>
      <c r="G42" s="63"/>
      <c r="H42" s="67"/>
      <c r="I42" s="68"/>
      <c r="J42" s="68"/>
      <c r="K42" s="67" t="s">
        <v>24976</v>
      </c>
      <c r="L42" s="71"/>
      <c r="M42" s="72"/>
      <c r="N42" s="72"/>
      <c r="O42" s="73"/>
      <c r="P42" s="74"/>
      <c r="Q42" s="74"/>
      <c r="R42" s="86"/>
      <c r="S42" s="86"/>
      <c r="T42" s="86"/>
      <c r="U42" s="86"/>
      <c r="V42" s="48"/>
      <c r="W42" s="48"/>
      <c r="X42" s="48"/>
      <c r="Y42" s="48"/>
      <c r="Z42" s="47"/>
      <c r="AA42" s="69">
        <v>42</v>
      </c>
      <c r="AB42" s="69"/>
      <c r="AC42" s="70"/>
      <c r="AD42" s="76" t="s">
        <v>21855</v>
      </c>
      <c r="AE42" s="81" t="s">
        <v>21039</v>
      </c>
      <c r="AF42" s="76">
        <v>0</v>
      </c>
      <c r="AG42" s="76">
        <v>2</v>
      </c>
      <c r="AH42" s="76">
        <v>3</v>
      </c>
      <c r="AI42" s="76">
        <v>0</v>
      </c>
      <c r="AJ42" s="76">
        <v>1</v>
      </c>
      <c r="AK42" s="76">
        <v>0</v>
      </c>
      <c r="AL42" s="76" t="b">
        <v>0</v>
      </c>
      <c r="AM42" s="78">
        <v>44824.014849537038</v>
      </c>
      <c r="AN42" s="76"/>
      <c r="AO42" s="76" t="s">
        <v>23379</v>
      </c>
      <c r="AP42" s="83" t="str">
        <f>HYPERLINK("https://t.co/z36PvqvdTd")</f>
        <v>https://t.co/z36PvqvdTd</v>
      </c>
      <c r="AQ42" s="83" t="str">
        <f>HYPERLINK("https://ideiaspararendaextrahoje.blogspot.com/")</f>
        <v>https://ideiaspararendaextrahoje.blogspot.com/</v>
      </c>
      <c r="AR42" s="76" t="s">
        <v>24274</v>
      </c>
      <c r="AS42" s="76"/>
      <c r="AT42" s="76"/>
      <c r="AU42" s="76"/>
      <c r="AV42" s="76"/>
      <c r="AW42" s="83" t="str">
        <f>HYPERLINK("https://t.co/z36PvqvdTd")</f>
        <v>https://t.co/z36PvqvdTd</v>
      </c>
      <c r="AX42" s="76" t="b">
        <v>0</v>
      </c>
      <c r="AY42" s="76"/>
      <c r="AZ42" s="76"/>
      <c r="BA42" s="76" t="b">
        <v>0</v>
      </c>
      <c r="BB42" s="76" t="b">
        <v>1</v>
      </c>
      <c r="BC42" s="76" t="b">
        <v>1</v>
      </c>
      <c r="BD42" s="76" t="b">
        <v>0</v>
      </c>
      <c r="BE42" s="76" t="b">
        <v>0</v>
      </c>
      <c r="BF42" s="76" t="b">
        <v>0</v>
      </c>
      <c r="BG42" s="76" t="b">
        <v>0</v>
      </c>
      <c r="BH42" s="83" t="str">
        <f>HYPERLINK("https://pbs.twimg.com/profile_banners/1572017954472005634/1677177090")</f>
        <v>https://pbs.twimg.com/profile_banners/1572017954472005634/1677177090</v>
      </c>
      <c r="BI42" s="76"/>
      <c r="BJ42" s="76" t="s">
        <v>24935</v>
      </c>
      <c r="BK42" s="76" t="b">
        <v>0</v>
      </c>
      <c r="BL42" s="76"/>
      <c r="BM42" s="76" t="s">
        <v>66</v>
      </c>
      <c r="BN42" s="76" t="s">
        <v>24937</v>
      </c>
      <c r="BO42" s="83" t="str">
        <f>HYPERLINK("https://twitter.com/anderso62493250")</f>
        <v>https://twitter.com/anderso62493250</v>
      </c>
      <c r="BP42" s="2"/>
    </row>
    <row r="43" spans="1:68" x14ac:dyDescent="0.25">
      <c r="A43" s="62" t="s">
        <v>262</v>
      </c>
      <c r="B43" s="63"/>
      <c r="C43" s="63"/>
      <c r="D43" s="64"/>
      <c r="E43" s="66"/>
      <c r="F43" s="102" t="str">
        <f>HYPERLINK("https://pbs.twimg.com/profile_images/1614838395879964673/1aeYMg7f_normal.jpg")</f>
        <v>https://pbs.twimg.com/profile_images/1614838395879964673/1aeYMg7f_normal.jpg</v>
      </c>
      <c r="G43" s="63"/>
      <c r="H43" s="67"/>
      <c r="I43" s="68"/>
      <c r="J43" s="68"/>
      <c r="K43" s="67" t="s">
        <v>24977</v>
      </c>
      <c r="L43" s="71"/>
      <c r="M43" s="72"/>
      <c r="N43" s="72"/>
      <c r="O43" s="73"/>
      <c r="P43" s="74"/>
      <c r="Q43" s="74"/>
      <c r="R43" s="86"/>
      <c r="S43" s="86"/>
      <c r="T43" s="86"/>
      <c r="U43" s="86"/>
      <c r="V43" s="48"/>
      <c r="W43" s="48"/>
      <c r="X43" s="48"/>
      <c r="Y43" s="48"/>
      <c r="Z43" s="47"/>
      <c r="AA43" s="69">
        <v>43</v>
      </c>
      <c r="AB43" s="69"/>
      <c r="AC43" s="70"/>
      <c r="AD43" s="76" t="s">
        <v>21856</v>
      </c>
      <c r="AE43" s="81" t="s">
        <v>22863</v>
      </c>
      <c r="AF43" s="76">
        <v>44</v>
      </c>
      <c r="AG43" s="76">
        <v>310</v>
      </c>
      <c r="AH43" s="76">
        <v>810</v>
      </c>
      <c r="AI43" s="76">
        <v>0</v>
      </c>
      <c r="AJ43" s="76">
        <v>3105</v>
      </c>
      <c r="AK43" s="76">
        <v>32</v>
      </c>
      <c r="AL43" s="76" t="b">
        <v>0</v>
      </c>
      <c r="AM43" s="78">
        <v>42097.188402777778</v>
      </c>
      <c r="AN43" s="76" t="s">
        <v>14040</v>
      </c>
      <c r="AO43" s="76" t="s">
        <v>23380</v>
      </c>
      <c r="AP43" s="83" t="str">
        <f>HYPERLINK("https://t.co/26kksRosmS")</f>
        <v>https://t.co/26kksRosmS</v>
      </c>
      <c r="AQ43" s="83" t="str">
        <f>HYPERLINK("https://bit.ly/claytonmoraes")</f>
        <v>https://bit.ly/claytonmoraes</v>
      </c>
      <c r="AR43" s="76" t="s">
        <v>24275</v>
      </c>
      <c r="AS43" s="76"/>
      <c r="AT43" s="76"/>
      <c r="AU43" s="76"/>
      <c r="AV43" s="76"/>
      <c r="AW43" s="83" t="str">
        <f>HYPERLINK("https://t.co/26kksRosmS")</f>
        <v>https://t.co/26kksRosmS</v>
      </c>
      <c r="AX43" s="76" t="b">
        <v>0</v>
      </c>
      <c r="AY43" s="76"/>
      <c r="AZ43" s="76"/>
      <c r="BA43" s="76" t="b">
        <v>1</v>
      </c>
      <c r="BB43" s="76" t="b">
        <v>1</v>
      </c>
      <c r="BC43" s="76" t="b">
        <v>1</v>
      </c>
      <c r="BD43" s="76" t="b">
        <v>0</v>
      </c>
      <c r="BE43" s="76" t="b">
        <v>1</v>
      </c>
      <c r="BF43" s="76" t="b">
        <v>0</v>
      </c>
      <c r="BG43" s="76" t="b">
        <v>1</v>
      </c>
      <c r="BH43" s="83" t="str">
        <f>HYPERLINK("https://pbs.twimg.com/profile_banners/3134132822/1681150964")</f>
        <v>https://pbs.twimg.com/profile_banners/3134132822/1681150964</v>
      </c>
      <c r="BI43" s="76"/>
      <c r="BJ43" s="76" t="s">
        <v>24935</v>
      </c>
      <c r="BK43" s="76" t="b">
        <v>0</v>
      </c>
      <c r="BL43" s="76"/>
      <c r="BM43" s="76" t="s">
        <v>66</v>
      </c>
      <c r="BN43" s="76" t="s">
        <v>24937</v>
      </c>
      <c r="BO43" s="83" t="str">
        <f>HYPERLINK("https://twitter.com/claytonmoraes__")</f>
        <v>https://twitter.com/claytonmoraes__</v>
      </c>
      <c r="BP43" s="2"/>
    </row>
    <row r="44" spans="1:68" x14ac:dyDescent="0.25">
      <c r="A44" s="62" t="s">
        <v>263</v>
      </c>
      <c r="B44" s="63"/>
      <c r="C44" s="63"/>
      <c r="D44" s="64"/>
      <c r="E44" s="66"/>
      <c r="F44" s="102" t="str">
        <f>HYPERLINK("https://pbs.twimg.com/profile_images/1598632985544327168/L0DdBREP_normal.jpg")</f>
        <v>https://pbs.twimg.com/profile_images/1598632985544327168/L0DdBREP_normal.jpg</v>
      </c>
      <c r="G44" s="63"/>
      <c r="H44" s="67"/>
      <c r="I44" s="68"/>
      <c r="J44" s="68"/>
      <c r="K44" s="67" t="s">
        <v>24978</v>
      </c>
      <c r="L44" s="71"/>
      <c r="M44" s="72"/>
      <c r="N44" s="72"/>
      <c r="O44" s="73"/>
      <c r="P44" s="74"/>
      <c r="Q44" s="74"/>
      <c r="R44" s="86"/>
      <c r="S44" s="86"/>
      <c r="T44" s="86"/>
      <c r="U44" s="86"/>
      <c r="V44" s="48"/>
      <c r="W44" s="48"/>
      <c r="X44" s="48"/>
      <c r="Y44" s="48"/>
      <c r="Z44" s="47"/>
      <c r="AA44" s="69">
        <v>44</v>
      </c>
      <c r="AB44" s="69"/>
      <c r="AC44" s="70"/>
      <c r="AD44" s="76" t="s">
        <v>21857</v>
      </c>
      <c r="AE44" s="81" t="s">
        <v>22864</v>
      </c>
      <c r="AF44" s="76">
        <v>4</v>
      </c>
      <c r="AG44" s="76">
        <v>78</v>
      </c>
      <c r="AH44" s="76">
        <v>53</v>
      </c>
      <c r="AI44" s="76">
        <v>0</v>
      </c>
      <c r="AJ44" s="76">
        <v>219</v>
      </c>
      <c r="AK44" s="76">
        <v>3</v>
      </c>
      <c r="AL44" s="76" t="b">
        <v>0</v>
      </c>
      <c r="AM44" s="78">
        <v>42142.492025462961</v>
      </c>
      <c r="AN44" s="76" t="s">
        <v>23086</v>
      </c>
      <c r="AO44" s="76" t="s">
        <v>23381</v>
      </c>
      <c r="AP44" s="76"/>
      <c r="AQ44" s="76"/>
      <c r="AR44" s="76"/>
      <c r="AS44" s="76"/>
      <c r="AT44" s="76"/>
      <c r="AU44" s="76"/>
      <c r="AV44" s="76"/>
      <c r="AW44" s="76"/>
      <c r="AX44" s="76" t="b">
        <v>0</v>
      </c>
      <c r="AY44" s="76"/>
      <c r="AZ44" s="76"/>
      <c r="BA44" s="76" t="b">
        <v>0</v>
      </c>
      <c r="BB44" s="76" t="b">
        <v>1</v>
      </c>
      <c r="BC44" s="76" t="b">
        <v>1</v>
      </c>
      <c r="BD44" s="76" t="b">
        <v>0</v>
      </c>
      <c r="BE44" s="76" t="b">
        <v>0</v>
      </c>
      <c r="BF44" s="76" t="b">
        <v>0</v>
      </c>
      <c r="BG44" s="76" t="b">
        <v>0</v>
      </c>
      <c r="BH44" s="83" t="str">
        <f>HYPERLINK("https://pbs.twimg.com/profile_banners/3288329542/1674224166")</f>
        <v>https://pbs.twimg.com/profile_banners/3288329542/1674224166</v>
      </c>
      <c r="BI44" s="76"/>
      <c r="BJ44" s="76" t="s">
        <v>24935</v>
      </c>
      <c r="BK44" s="76" t="b">
        <v>0</v>
      </c>
      <c r="BL44" s="76"/>
      <c r="BM44" s="76" t="s">
        <v>66</v>
      </c>
      <c r="BN44" s="76" t="s">
        <v>24937</v>
      </c>
      <c r="BO44" s="83" t="str">
        <f>HYPERLINK("https://twitter.com/avena_bruno")</f>
        <v>https://twitter.com/avena_bruno</v>
      </c>
      <c r="BP44" s="2"/>
    </row>
    <row r="45" spans="1:68" x14ac:dyDescent="0.25">
      <c r="A45" s="62" t="s">
        <v>264</v>
      </c>
      <c r="B45" s="63"/>
      <c r="C45" s="63"/>
      <c r="D45" s="64"/>
      <c r="E45" s="66"/>
      <c r="F45" s="102" t="str">
        <f>HYPERLINK("https://pbs.twimg.com/profile_images/1685945772238397441/MTh5_k3F_normal.jpg")</f>
        <v>https://pbs.twimg.com/profile_images/1685945772238397441/MTh5_k3F_normal.jpg</v>
      </c>
      <c r="G45" s="63"/>
      <c r="H45" s="67"/>
      <c r="I45" s="68"/>
      <c r="J45" s="68"/>
      <c r="K45" s="67" t="s">
        <v>24979</v>
      </c>
      <c r="L45" s="71"/>
      <c r="M45" s="72"/>
      <c r="N45" s="72"/>
      <c r="O45" s="73"/>
      <c r="P45" s="74"/>
      <c r="Q45" s="74"/>
      <c r="R45" s="86"/>
      <c r="S45" s="86"/>
      <c r="T45" s="86"/>
      <c r="U45" s="86"/>
      <c r="V45" s="48"/>
      <c r="W45" s="48"/>
      <c r="X45" s="48"/>
      <c r="Y45" s="48"/>
      <c r="Z45" s="47"/>
      <c r="AA45" s="69">
        <v>45</v>
      </c>
      <c r="AB45" s="69"/>
      <c r="AC45" s="70"/>
      <c r="AD45" s="76" t="s">
        <v>21858</v>
      </c>
      <c r="AE45" s="81" t="s">
        <v>21040</v>
      </c>
      <c r="AF45" s="76">
        <v>3</v>
      </c>
      <c r="AG45" s="76">
        <v>3</v>
      </c>
      <c r="AH45" s="76">
        <v>20</v>
      </c>
      <c r="AI45" s="76">
        <v>0</v>
      </c>
      <c r="AJ45" s="76">
        <v>0</v>
      </c>
      <c r="AK45" s="76">
        <v>10</v>
      </c>
      <c r="AL45" s="76" t="b">
        <v>0</v>
      </c>
      <c r="AM45" s="78">
        <v>45138.392291666663</v>
      </c>
      <c r="AN45" s="76"/>
      <c r="AO45" s="76" t="s">
        <v>23382</v>
      </c>
      <c r="AP45" s="76"/>
      <c r="AQ45" s="76"/>
      <c r="AR45" s="76"/>
      <c r="AS45" s="76"/>
      <c r="AT45" s="76"/>
      <c r="AU45" s="76"/>
      <c r="AV45" s="76"/>
      <c r="AW45" s="76"/>
      <c r="AX45" s="76" t="b">
        <v>0</v>
      </c>
      <c r="AY45" s="76"/>
      <c r="AZ45" s="76"/>
      <c r="BA45" s="76" t="b">
        <v>0</v>
      </c>
      <c r="BB45" s="76" t="b">
        <v>1</v>
      </c>
      <c r="BC45" s="76" t="b">
        <v>1</v>
      </c>
      <c r="BD45" s="76" t="b">
        <v>0</v>
      </c>
      <c r="BE45" s="76" t="b">
        <v>0</v>
      </c>
      <c r="BF45" s="76" t="b">
        <v>0</v>
      </c>
      <c r="BG45" s="76" t="b">
        <v>0</v>
      </c>
      <c r="BH45" s="76"/>
      <c r="BI45" s="76"/>
      <c r="BJ45" s="76" t="s">
        <v>24935</v>
      </c>
      <c r="BK45" s="76" t="b">
        <v>0</v>
      </c>
      <c r="BL45" s="76"/>
      <c r="BM45" s="76" t="s">
        <v>66</v>
      </c>
      <c r="BN45" s="76" t="s">
        <v>24937</v>
      </c>
      <c r="BO45" s="83" t="str">
        <f>HYPERLINK("https://twitter.com/le0nardo_sousa")</f>
        <v>https://twitter.com/le0nardo_sousa</v>
      </c>
      <c r="BP45" s="2"/>
    </row>
    <row r="46" spans="1:68" x14ac:dyDescent="0.25">
      <c r="A46" s="62" t="s">
        <v>265</v>
      </c>
      <c r="B46" s="63"/>
      <c r="C46" s="63"/>
      <c r="D46" s="64"/>
      <c r="E46" s="66"/>
      <c r="F46" s="102" t="str">
        <f>HYPERLINK("https://pbs.twimg.com/profile_images/1590404217457491968/XYvrHkSZ_normal.jpg")</f>
        <v>https://pbs.twimg.com/profile_images/1590404217457491968/XYvrHkSZ_normal.jpg</v>
      </c>
      <c r="G46" s="63"/>
      <c r="H46" s="67"/>
      <c r="I46" s="68"/>
      <c r="J46" s="68"/>
      <c r="K46" s="67" t="s">
        <v>24980</v>
      </c>
      <c r="L46" s="71"/>
      <c r="M46" s="72"/>
      <c r="N46" s="72"/>
      <c r="O46" s="73"/>
      <c r="P46" s="74"/>
      <c r="Q46" s="74"/>
      <c r="R46" s="86"/>
      <c r="S46" s="86"/>
      <c r="T46" s="86"/>
      <c r="U46" s="86"/>
      <c r="V46" s="48"/>
      <c r="W46" s="48"/>
      <c r="X46" s="48"/>
      <c r="Y46" s="48"/>
      <c r="Z46" s="47"/>
      <c r="AA46" s="69">
        <v>46</v>
      </c>
      <c r="AB46" s="69"/>
      <c r="AC46" s="70"/>
      <c r="AD46" s="76" t="s">
        <v>21859</v>
      </c>
      <c r="AE46" s="81" t="s">
        <v>21041</v>
      </c>
      <c r="AF46" s="76">
        <v>6</v>
      </c>
      <c r="AG46" s="76">
        <v>11</v>
      </c>
      <c r="AH46" s="76">
        <v>12</v>
      </c>
      <c r="AI46" s="76">
        <v>0</v>
      </c>
      <c r="AJ46" s="76">
        <v>5</v>
      </c>
      <c r="AK46" s="76">
        <v>9</v>
      </c>
      <c r="AL46" s="76" t="b">
        <v>0</v>
      </c>
      <c r="AM46" s="78">
        <v>44624.894988425927</v>
      </c>
      <c r="AN46" s="76"/>
      <c r="AO46" s="76"/>
      <c r="AP46" s="76"/>
      <c r="AQ46" s="76"/>
      <c r="AR46" s="76"/>
      <c r="AS46" s="76"/>
      <c r="AT46" s="76"/>
      <c r="AU46" s="76"/>
      <c r="AV46" s="76"/>
      <c r="AW46" s="76"/>
      <c r="AX46" s="76" t="b">
        <v>0</v>
      </c>
      <c r="AY46" s="76"/>
      <c r="AZ46" s="76"/>
      <c r="BA46" s="76" t="b">
        <v>0</v>
      </c>
      <c r="BB46" s="76" t="b">
        <v>1</v>
      </c>
      <c r="BC46" s="76" t="b">
        <v>1</v>
      </c>
      <c r="BD46" s="76" t="b">
        <v>0</v>
      </c>
      <c r="BE46" s="76" t="b">
        <v>0</v>
      </c>
      <c r="BF46" s="76" t="b">
        <v>0</v>
      </c>
      <c r="BG46" s="76" t="b">
        <v>0</v>
      </c>
      <c r="BH46" s="76"/>
      <c r="BI46" s="76"/>
      <c r="BJ46" s="76" t="s">
        <v>24935</v>
      </c>
      <c r="BK46" s="76" t="b">
        <v>0</v>
      </c>
      <c r="BL46" s="76"/>
      <c r="BM46" s="76" t="s">
        <v>66</v>
      </c>
      <c r="BN46" s="76" t="s">
        <v>24937</v>
      </c>
      <c r="BO46" s="83" t="str">
        <f>HYPERLINK("https://twitter.com/amandavi80")</f>
        <v>https://twitter.com/amandavi80</v>
      </c>
      <c r="BP46" s="2"/>
    </row>
    <row r="47" spans="1:68" x14ac:dyDescent="0.25">
      <c r="A47" s="62" t="s">
        <v>266</v>
      </c>
      <c r="B47" s="63"/>
      <c r="C47" s="63"/>
      <c r="D47" s="64"/>
      <c r="E47" s="66"/>
      <c r="F47" s="102" t="str">
        <f>HYPERLINK("https://pbs.twimg.com/profile_images/1648998347061993473/CD_CJamc_normal.jpg")</f>
        <v>https://pbs.twimg.com/profile_images/1648998347061993473/CD_CJamc_normal.jpg</v>
      </c>
      <c r="G47" s="63"/>
      <c r="H47" s="67"/>
      <c r="I47" s="68"/>
      <c r="J47" s="68"/>
      <c r="K47" s="67" t="s">
        <v>24981</v>
      </c>
      <c r="L47" s="71"/>
      <c r="M47" s="72"/>
      <c r="N47" s="72"/>
      <c r="O47" s="73"/>
      <c r="P47" s="74"/>
      <c r="Q47" s="74"/>
      <c r="R47" s="86"/>
      <c r="S47" s="86"/>
      <c r="T47" s="86"/>
      <c r="U47" s="86"/>
      <c r="V47" s="48"/>
      <c r="W47" s="48"/>
      <c r="X47" s="48"/>
      <c r="Y47" s="48"/>
      <c r="Z47" s="47"/>
      <c r="AA47" s="69">
        <v>47</v>
      </c>
      <c r="AB47" s="69"/>
      <c r="AC47" s="70"/>
      <c r="AD47" s="76" t="s">
        <v>21860</v>
      </c>
      <c r="AE47" s="81" t="s">
        <v>21042</v>
      </c>
      <c r="AF47" s="76">
        <v>66</v>
      </c>
      <c r="AG47" s="76">
        <v>334</v>
      </c>
      <c r="AH47" s="76">
        <v>323</v>
      </c>
      <c r="AI47" s="76">
        <v>1</v>
      </c>
      <c r="AJ47" s="76">
        <v>215</v>
      </c>
      <c r="AK47" s="76">
        <v>306</v>
      </c>
      <c r="AL47" s="76" t="b">
        <v>0</v>
      </c>
      <c r="AM47" s="78">
        <v>45036.437881944446</v>
      </c>
      <c r="AN47" s="76" t="s">
        <v>23087</v>
      </c>
      <c r="AO47" s="76" t="s">
        <v>23383</v>
      </c>
      <c r="AP47" s="76"/>
      <c r="AQ47" s="76"/>
      <c r="AR47" s="76"/>
      <c r="AS47" s="76"/>
      <c r="AT47" s="76"/>
      <c r="AU47" s="76"/>
      <c r="AV47" s="76"/>
      <c r="AW47" s="76"/>
      <c r="AX47" s="76" t="b">
        <v>0</v>
      </c>
      <c r="AY47" s="76"/>
      <c r="AZ47" s="76"/>
      <c r="BA47" s="76" t="b">
        <v>0</v>
      </c>
      <c r="BB47" s="76" t="b">
        <v>1</v>
      </c>
      <c r="BC47" s="76" t="b">
        <v>1</v>
      </c>
      <c r="BD47" s="76" t="b">
        <v>0</v>
      </c>
      <c r="BE47" s="76" t="b">
        <v>0</v>
      </c>
      <c r="BF47" s="76" t="b">
        <v>0</v>
      </c>
      <c r="BG47" s="76" t="b">
        <v>0</v>
      </c>
      <c r="BH47" s="83" t="str">
        <f>HYPERLINK("https://pbs.twimg.com/profile_banners/1648997534868578305/1681986842")</f>
        <v>https://pbs.twimg.com/profile_banners/1648997534868578305/1681986842</v>
      </c>
      <c r="BI47" s="76"/>
      <c r="BJ47" s="76" t="s">
        <v>24935</v>
      </c>
      <c r="BK47" s="76" t="b">
        <v>0</v>
      </c>
      <c r="BL47" s="76"/>
      <c r="BM47" s="76" t="s">
        <v>66</v>
      </c>
      <c r="BN47" s="76" t="s">
        <v>24937</v>
      </c>
      <c r="BO47" s="83" t="str">
        <f>HYPERLINK("https://twitter.com/lisabnelson7885")</f>
        <v>https://twitter.com/lisabnelson7885</v>
      </c>
      <c r="BP47" s="2"/>
    </row>
    <row r="48" spans="1:68" x14ac:dyDescent="0.25">
      <c r="A48" s="62" t="s">
        <v>267</v>
      </c>
      <c r="B48" s="63"/>
      <c r="C48" s="63"/>
      <c r="D48" s="64"/>
      <c r="E48" s="66"/>
      <c r="F48" s="102" t="str">
        <f>HYPERLINK("https://pbs.twimg.com/profile_images/1666743427545935872/7peNa100_normal.jpg")</f>
        <v>https://pbs.twimg.com/profile_images/1666743427545935872/7peNa100_normal.jpg</v>
      </c>
      <c r="G48" s="63"/>
      <c r="H48" s="67"/>
      <c r="I48" s="68"/>
      <c r="J48" s="68"/>
      <c r="K48" s="67" t="s">
        <v>24982</v>
      </c>
      <c r="L48" s="71"/>
      <c r="M48" s="72"/>
      <c r="N48" s="72"/>
      <c r="O48" s="73"/>
      <c r="P48" s="74"/>
      <c r="Q48" s="74"/>
      <c r="R48" s="86"/>
      <c r="S48" s="86"/>
      <c r="T48" s="86"/>
      <c r="U48" s="86"/>
      <c r="V48" s="48"/>
      <c r="W48" s="48"/>
      <c r="X48" s="48"/>
      <c r="Y48" s="48"/>
      <c r="Z48" s="47"/>
      <c r="AA48" s="69">
        <v>48</v>
      </c>
      <c r="AB48" s="69"/>
      <c r="AC48" s="70"/>
      <c r="AD48" s="76" t="s">
        <v>21861</v>
      </c>
      <c r="AE48" s="81" t="s">
        <v>21043</v>
      </c>
      <c r="AF48" s="76">
        <v>18</v>
      </c>
      <c r="AG48" s="76">
        <v>95</v>
      </c>
      <c r="AH48" s="76">
        <v>51</v>
      </c>
      <c r="AI48" s="76">
        <v>0</v>
      </c>
      <c r="AJ48" s="76">
        <v>24</v>
      </c>
      <c r="AK48" s="76">
        <v>30</v>
      </c>
      <c r="AL48" s="76" t="b">
        <v>0</v>
      </c>
      <c r="AM48" s="78">
        <v>45085.403009259258</v>
      </c>
      <c r="AN48" s="76"/>
      <c r="AO48" s="76" t="s">
        <v>23384</v>
      </c>
      <c r="AP48" s="83" t="str">
        <f>HYPERLINK("https://t.co/mEVFMEPhtY")</f>
        <v>https://t.co/mEVFMEPhtY</v>
      </c>
      <c r="AQ48" s="83" t="str">
        <f>HYPERLINK("https://www.01sotem1.com/register/4Tk7zsRoFh5")</f>
        <v>https://www.01sotem1.com/register/4Tk7zsRoFh5</v>
      </c>
      <c r="AR48" s="76" t="s">
        <v>24276</v>
      </c>
      <c r="AS48" s="76"/>
      <c r="AT48" s="76"/>
      <c r="AU48" s="76"/>
      <c r="AV48" s="76"/>
      <c r="AW48" s="83" t="str">
        <f>HYPERLINK("https://t.co/mEVFMEPhtY")</f>
        <v>https://t.co/mEVFMEPhtY</v>
      </c>
      <c r="AX48" s="76" t="b">
        <v>0</v>
      </c>
      <c r="AY48" s="76"/>
      <c r="AZ48" s="76"/>
      <c r="BA48" s="76" t="b">
        <v>0</v>
      </c>
      <c r="BB48" s="76" t="b">
        <v>1</v>
      </c>
      <c r="BC48" s="76" t="b">
        <v>1</v>
      </c>
      <c r="BD48" s="76" t="b">
        <v>0</v>
      </c>
      <c r="BE48" s="76" t="b">
        <v>0</v>
      </c>
      <c r="BF48" s="76" t="b">
        <v>0</v>
      </c>
      <c r="BG48" s="76" t="b">
        <v>0</v>
      </c>
      <c r="BH48" s="83" t="str">
        <f>HYPERLINK("https://pbs.twimg.com/profile_banners/1666741850479243266/1686217710")</f>
        <v>https://pbs.twimg.com/profile_banners/1666741850479243266/1686217710</v>
      </c>
      <c r="BI48" s="76"/>
      <c r="BJ48" s="76" t="s">
        <v>24935</v>
      </c>
      <c r="BK48" s="76" t="b">
        <v>0</v>
      </c>
      <c r="BL48" s="76"/>
      <c r="BM48" s="76" t="s">
        <v>66</v>
      </c>
      <c r="BN48" s="76" t="s">
        <v>24937</v>
      </c>
      <c r="BO48" s="83" t="str">
        <f>HYPERLINK("https://twitter.com/slotsbrasil")</f>
        <v>https://twitter.com/slotsbrasil</v>
      </c>
      <c r="BP48" s="2"/>
    </row>
    <row r="49" spans="1:68" x14ac:dyDescent="0.25">
      <c r="A49" s="62" t="s">
        <v>268</v>
      </c>
      <c r="B49" s="63"/>
      <c r="C49" s="63"/>
      <c r="D49" s="64"/>
      <c r="E49" s="66"/>
      <c r="F49" s="102" t="str">
        <f>HYPERLINK("https://pbs.twimg.com/profile_images/1252236819430858752/dmbqfTZ2_normal.jpg")</f>
        <v>https://pbs.twimg.com/profile_images/1252236819430858752/dmbqfTZ2_normal.jpg</v>
      </c>
      <c r="G49" s="63"/>
      <c r="H49" s="67"/>
      <c r="I49" s="68"/>
      <c r="J49" s="68"/>
      <c r="K49" s="67" t="s">
        <v>24983</v>
      </c>
      <c r="L49" s="71"/>
      <c r="M49" s="72"/>
      <c r="N49" s="72"/>
      <c r="O49" s="73"/>
      <c r="P49" s="74"/>
      <c r="Q49" s="74"/>
      <c r="R49" s="86"/>
      <c r="S49" s="86"/>
      <c r="T49" s="86"/>
      <c r="U49" s="86"/>
      <c r="V49" s="48"/>
      <c r="W49" s="48"/>
      <c r="X49" s="48"/>
      <c r="Y49" s="48"/>
      <c r="Z49" s="47"/>
      <c r="AA49" s="69">
        <v>49</v>
      </c>
      <c r="AB49" s="69"/>
      <c r="AC49" s="70"/>
      <c r="AD49" s="76" t="s">
        <v>21862</v>
      </c>
      <c r="AE49" s="81" t="s">
        <v>22865</v>
      </c>
      <c r="AF49" s="76">
        <v>37</v>
      </c>
      <c r="AG49" s="76">
        <v>4</v>
      </c>
      <c r="AH49" s="76">
        <v>1115</v>
      </c>
      <c r="AI49" s="76">
        <v>0</v>
      </c>
      <c r="AJ49" s="76">
        <v>137</v>
      </c>
      <c r="AK49" s="76">
        <v>5</v>
      </c>
      <c r="AL49" s="76" t="b">
        <v>0</v>
      </c>
      <c r="AM49" s="78">
        <v>40892.896481481483</v>
      </c>
      <c r="AN49" s="76" t="s">
        <v>23088</v>
      </c>
      <c r="AO49" s="76"/>
      <c r="AP49" s="76"/>
      <c r="AQ49" s="76"/>
      <c r="AR49" s="76"/>
      <c r="AS49" s="76"/>
      <c r="AT49" s="76"/>
      <c r="AU49" s="76"/>
      <c r="AV49" s="76"/>
      <c r="AW49" s="76"/>
      <c r="AX49" s="76" t="b">
        <v>0</v>
      </c>
      <c r="AY49" s="76"/>
      <c r="AZ49" s="76"/>
      <c r="BA49" s="76" t="b">
        <v>0</v>
      </c>
      <c r="BB49" s="76" t="b">
        <v>1</v>
      </c>
      <c r="BC49" s="76" t="b">
        <v>0</v>
      </c>
      <c r="BD49" s="76" t="b">
        <v>0</v>
      </c>
      <c r="BE49" s="76" t="b">
        <v>1</v>
      </c>
      <c r="BF49" s="76" t="b">
        <v>0</v>
      </c>
      <c r="BG49" s="76" t="b">
        <v>0</v>
      </c>
      <c r="BH49" s="83" t="str">
        <f>HYPERLINK("https://pbs.twimg.com/profile_banners/437814095/1591239794")</f>
        <v>https://pbs.twimg.com/profile_banners/437814095/1591239794</v>
      </c>
      <c r="BI49" s="76"/>
      <c r="BJ49" s="76" t="s">
        <v>24935</v>
      </c>
      <c r="BK49" s="76" t="b">
        <v>0</v>
      </c>
      <c r="BL49" s="76"/>
      <c r="BM49" s="76" t="s">
        <v>66</v>
      </c>
      <c r="BN49" s="76" t="s">
        <v>24937</v>
      </c>
      <c r="BO49" s="83" t="str">
        <f>HYPERLINK("https://twitter.com/gabicvieiras")</f>
        <v>https://twitter.com/gabicvieiras</v>
      </c>
      <c r="BP49" s="2"/>
    </row>
    <row r="50" spans="1:68" x14ac:dyDescent="0.25">
      <c r="A50" s="62" t="s">
        <v>269</v>
      </c>
      <c r="B50" s="63"/>
      <c r="C50" s="63"/>
      <c r="D50" s="64"/>
      <c r="E50" s="66"/>
      <c r="F50" s="102" t="str">
        <f>HYPERLINK("https://pbs.twimg.com/profile_images/1603530971671822341/MJhOQYWE_normal.jpg")</f>
        <v>https://pbs.twimg.com/profile_images/1603530971671822341/MJhOQYWE_normal.jpg</v>
      </c>
      <c r="G50" s="63"/>
      <c r="H50" s="67"/>
      <c r="I50" s="68"/>
      <c r="J50" s="68"/>
      <c r="K50" s="67" t="s">
        <v>24984</v>
      </c>
      <c r="L50" s="71"/>
      <c r="M50" s="72"/>
      <c r="N50" s="72"/>
      <c r="O50" s="73"/>
      <c r="P50" s="74"/>
      <c r="Q50" s="74"/>
      <c r="R50" s="86"/>
      <c r="S50" s="86"/>
      <c r="T50" s="86"/>
      <c r="U50" s="86"/>
      <c r="V50" s="48"/>
      <c r="W50" s="48"/>
      <c r="X50" s="48"/>
      <c r="Y50" s="48"/>
      <c r="Z50" s="47"/>
      <c r="AA50" s="69">
        <v>50</v>
      </c>
      <c r="AB50" s="69"/>
      <c r="AC50" s="70"/>
      <c r="AD50" s="76" t="s">
        <v>21863</v>
      </c>
      <c r="AE50" s="81" t="s">
        <v>21044</v>
      </c>
      <c r="AF50" s="76">
        <v>290</v>
      </c>
      <c r="AG50" s="76">
        <v>122</v>
      </c>
      <c r="AH50" s="76">
        <v>57</v>
      </c>
      <c r="AI50" s="76">
        <v>0</v>
      </c>
      <c r="AJ50" s="76">
        <v>76</v>
      </c>
      <c r="AK50" s="76">
        <v>54</v>
      </c>
      <c r="AL50" s="76" t="b">
        <v>0</v>
      </c>
      <c r="AM50" s="78">
        <v>44849.065601851849</v>
      </c>
      <c r="AN50" s="76" t="s">
        <v>23089</v>
      </c>
      <c r="AO50" s="76" t="s">
        <v>23385</v>
      </c>
      <c r="AP50" s="83" t="str">
        <f>HYPERLINK("https://t.co/2dBCz49yNJ")</f>
        <v>https://t.co/2dBCz49yNJ</v>
      </c>
      <c r="AQ50" s="83" t="str">
        <f>HYPERLINK("http://topbets.live")</f>
        <v>http://topbets.live</v>
      </c>
      <c r="AR50" s="76" t="s">
        <v>7266</v>
      </c>
      <c r="AS50" s="76"/>
      <c r="AT50" s="76"/>
      <c r="AU50" s="76"/>
      <c r="AV50" s="76">
        <v>1.6027013024836301E+18</v>
      </c>
      <c r="AW50" s="83" t="str">
        <f>HYPERLINK("https://t.co/2dBCz49yNJ")</f>
        <v>https://t.co/2dBCz49yNJ</v>
      </c>
      <c r="AX50" s="76" t="b">
        <v>0</v>
      </c>
      <c r="AY50" s="76"/>
      <c r="AZ50" s="76"/>
      <c r="BA50" s="76" t="b">
        <v>0</v>
      </c>
      <c r="BB50" s="76" t="b">
        <v>1</v>
      </c>
      <c r="BC50" s="76" t="b">
        <v>1</v>
      </c>
      <c r="BD50" s="76" t="b">
        <v>0</v>
      </c>
      <c r="BE50" s="76" t="b">
        <v>1</v>
      </c>
      <c r="BF50" s="76" t="b">
        <v>0</v>
      </c>
      <c r="BG50" s="76" t="b">
        <v>0</v>
      </c>
      <c r="BH50" s="83" t="str">
        <f>HYPERLINK("https://pbs.twimg.com/profile_banners/1581095985161375745/1667592375")</f>
        <v>https://pbs.twimg.com/profile_banners/1581095985161375745/1667592375</v>
      </c>
      <c r="BI50" s="76"/>
      <c r="BJ50" s="76" t="s">
        <v>24935</v>
      </c>
      <c r="BK50" s="76" t="b">
        <v>0</v>
      </c>
      <c r="BL50" s="76"/>
      <c r="BM50" s="76" t="s">
        <v>66</v>
      </c>
      <c r="BN50" s="76" t="s">
        <v>24937</v>
      </c>
      <c r="BO50" s="83" t="str">
        <f>HYPERLINK("https://twitter.com/topbets_live")</f>
        <v>https://twitter.com/topbets_live</v>
      </c>
      <c r="BP50" s="2"/>
    </row>
    <row r="51" spans="1:68" x14ac:dyDescent="0.25">
      <c r="A51" s="62" t="s">
        <v>270</v>
      </c>
      <c r="B51" s="63"/>
      <c r="C51" s="63"/>
      <c r="D51" s="64"/>
      <c r="E51" s="66"/>
      <c r="F51" s="102" t="str">
        <f>HYPERLINK("https://pbs.twimg.com/profile_images/1607427913225314310/ui3_JGCw_normal.jpg")</f>
        <v>https://pbs.twimg.com/profile_images/1607427913225314310/ui3_JGCw_normal.jpg</v>
      </c>
      <c r="G51" s="63"/>
      <c r="H51" s="67"/>
      <c r="I51" s="68"/>
      <c r="J51" s="68"/>
      <c r="K51" s="67" t="s">
        <v>24985</v>
      </c>
      <c r="L51" s="71"/>
      <c r="M51" s="72"/>
      <c r="N51" s="72"/>
      <c r="O51" s="73"/>
      <c r="P51" s="74"/>
      <c r="Q51" s="74"/>
      <c r="R51" s="86"/>
      <c r="S51" s="86"/>
      <c r="T51" s="86"/>
      <c r="U51" s="86"/>
      <c r="V51" s="48"/>
      <c r="W51" s="48"/>
      <c r="X51" s="48"/>
      <c r="Y51" s="48"/>
      <c r="Z51" s="47"/>
      <c r="AA51" s="69">
        <v>51</v>
      </c>
      <c r="AB51" s="69"/>
      <c r="AC51" s="70"/>
      <c r="AD51" s="76" t="s">
        <v>21864</v>
      </c>
      <c r="AE51" s="81" t="s">
        <v>21045</v>
      </c>
      <c r="AF51" s="76">
        <v>5</v>
      </c>
      <c r="AG51" s="76">
        <v>15</v>
      </c>
      <c r="AH51" s="76">
        <v>121</v>
      </c>
      <c r="AI51" s="76">
        <v>0</v>
      </c>
      <c r="AJ51" s="76">
        <v>48</v>
      </c>
      <c r="AK51" s="76">
        <v>11</v>
      </c>
      <c r="AL51" s="76" t="b">
        <v>0</v>
      </c>
      <c r="AM51" s="78">
        <v>44921.727233796293</v>
      </c>
      <c r="AN51" s="76"/>
      <c r="AO51" s="76" t="s">
        <v>23386</v>
      </c>
      <c r="AP51" s="76"/>
      <c r="AQ51" s="76"/>
      <c r="AR51" s="76"/>
      <c r="AS51" s="76"/>
      <c r="AT51" s="76"/>
      <c r="AU51" s="76"/>
      <c r="AV51" s="76">
        <v>1.63112309293106E+18</v>
      </c>
      <c r="AW51" s="76"/>
      <c r="AX51" s="76" t="b">
        <v>0</v>
      </c>
      <c r="AY51" s="76"/>
      <c r="AZ51" s="76"/>
      <c r="BA51" s="76" t="b">
        <v>0</v>
      </c>
      <c r="BB51" s="76" t="b">
        <v>1</v>
      </c>
      <c r="BC51" s="76" t="b">
        <v>1</v>
      </c>
      <c r="BD51" s="76" t="b">
        <v>0</v>
      </c>
      <c r="BE51" s="76" t="b">
        <v>0</v>
      </c>
      <c r="BF51" s="76" t="b">
        <v>0</v>
      </c>
      <c r="BG51" s="76" t="b">
        <v>0</v>
      </c>
      <c r="BH51" s="76"/>
      <c r="BI51" s="76"/>
      <c r="BJ51" s="76" t="s">
        <v>24935</v>
      </c>
      <c r="BK51" s="76" t="b">
        <v>0</v>
      </c>
      <c r="BL51" s="76"/>
      <c r="BM51" s="76" t="s">
        <v>66</v>
      </c>
      <c r="BN51" s="76" t="s">
        <v>24937</v>
      </c>
      <c r="BO51" s="83" t="str">
        <f>HYPERLINK("https://twitter.com/claricecvargas")</f>
        <v>https://twitter.com/claricecvargas</v>
      </c>
      <c r="BP51" s="2"/>
    </row>
    <row r="52" spans="1:68" x14ac:dyDescent="0.25">
      <c r="A52" s="62" t="s">
        <v>271</v>
      </c>
      <c r="B52" s="63"/>
      <c r="C52" s="63"/>
      <c r="D52" s="64"/>
      <c r="E52" s="66"/>
      <c r="F52" s="102" t="str">
        <f>HYPERLINK("https://pbs.twimg.com/profile_images/1656324123889467396/OYGAwlHH_normal.jpg")</f>
        <v>https://pbs.twimg.com/profile_images/1656324123889467396/OYGAwlHH_normal.jpg</v>
      </c>
      <c r="G52" s="63"/>
      <c r="H52" s="67"/>
      <c r="I52" s="68"/>
      <c r="J52" s="68"/>
      <c r="K52" s="67" t="s">
        <v>24986</v>
      </c>
      <c r="L52" s="71"/>
      <c r="M52" s="72"/>
      <c r="N52" s="72"/>
      <c r="O52" s="73"/>
      <c r="P52" s="74"/>
      <c r="Q52" s="74"/>
      <c r="R52" s="86"/>
      <c r="S52" s="86"/>
      <c r="T52" s="86"/>
      <c r="U52" s="86"/>
      <c r="V52" s="48"/>
      <c r="W52" s="48"/>
      <c r="X52" s="48"/>
      <c r="Y52" s="48"/>
      <c r="Z52" s="47"/>
      <c r="AA52" s="69">
        <v>52</v>
      </c>
      <c r="AB52" s="69"/>
      <c r="AC52" s="70"/>
      <c r="AD52" s="76" t="s">
        <v>21865</v>
      </c>
      <c r="AE52" s="81" t="s">
        <v>21046</v>
      </c>
      <c r="AF52" s="76">
        <v>0</v>
      </c>
      <c r="AG52" s="76">
        <v>5</v>
      </c>
      <c r="AH52" s="76">
        <v>5</v>
      </c>
      <c r="AI52" s="76">
        <v>0</v>
      </c>
      <c r="AJ52" s="76">
        <v>0</v>
      </c>
      <c r="AK52" s="76">
        <v>5</v>
      </c>
      <c r="AL52" s="76" t="b">
        <v>0</v>
      </c>
      <c r="AM52" s="78">
        <v>45056.652986111112</v>
      </c>
      <c r="AN52" s="76"/>
      <c r="AO52" s="76" t="s">
        <v>23387</v>
      </c>
      <c r="AP52" s="76"/>
      <c r="AQ52" s="76"/>
      <c r="AR52" s="76"/>
      <c r="AS52" s="76"/>
      <c r="AT52" s="76"/>
      <c r="AU52" s="76"/>
      <c r="AV52" s="76"/>
      <c r="AW52" s="76"/>
      <c r="AX52" s="76" t="b">
        <v>0</v>
      </c>
      <c r="AY52" s="76"/>
      <c r="AZ52" s="76"/>
      <c r="BA52" s="76" t="b">
        <v>0</v>
      </c>
      <c r="BB52" s="76" t="b">
        <v>1</v>
      </c>
      <c r="BC52" s="76" t="b">
        <v>1</v>
      </c>
      <c r="BD52" s="76" t="b">
        <v>0</v>
      </c>
      <c r="BE52" s="76" t="b">
        <v>0</v>
      </c>
      <c r="BF52" s="76" t="b">
        <v>0</v>
      </c>
      <c r="BG52" s="76" t="b">
        <v>0</v>
      </c>
      <c r="BH52" s="76"/>
      <c r="BI52" s="76"/>
      <c r="BJ52" s="76" t="s">
        <v>24935</v>
      </c>
      <c r="BK52" s="76" t="b">
        <v>0</v>
      </c>
      <c r="BL52" s="76"/>
      <c r="BM52" s="76" t="s">
        <v>66</v>
      </c>
      <c r="BN52" s="76" t="s">
        <v>24937</v>
      </c>
      <c r="BO52" s="83" t="str">
        <f>HYPERLINK("https://twitter.com/af_liberdade")</f>
        <v>https://twitter.com/af_liberdade</v>
      </c>
      <c r="BP52" s="2"/>
    </row>
    <row r="53" spans="1:68" x14ac:dyDescent="0.25">
      <c r="A53" s="62" t="s">
        <v>272</v>
      </c>
      <c r="B53" s="63"/>
      <c r="C53" s="63"/>
      <c r="D53" s="64"/>
      <c r="E53" s="66"/>
      <c r="F53" s="102" t="str">
        <f>HYPERLINK("https://pbs.twimg.com/profile_images/1666150034084069380/31wtwq8e_normal.jpg")</f>
        <v>https://pbs.twimg.com/profile_images/1666150034084069380/31wtwq8e_normal.jpg</v>
      </c>
      <c r="G53" s="63"/>
      <c r="H53" s="67"/>
      <c r="I53" s="68"/>
      <c r="J53" s="68"/>
      <c r="K53" s="67" t="s">
        <v>24987</v>
      </c>
      <c r="L53" s="71"/>
      <c r="M53" s="72"/>
      <c r="N53" s="72"/>
      <c r="O53" s="73"/>
      <c r="P53" s="74"/>
      <c r="Q53" s="74"/>
      <c r="R53" s="86"/>
      <c r="S53" s="86"/>
      <c r="T53" s="86"/>
      <c r="U53" s="86"/>
      <c r="V53" s="48"/>
      <c r="W53" s="48"/>
      <c r="X53" s="48"/>
      <c r="Y53" s="48"/>
      <c r="Z53" s="47"/>
      <c r="AA53" s="69">
        <v>53</v>
      </c>
      <c r="AB53" s="69"/>
      <c r="AC53" s="70"/>
      <c r="AD53" s="76" t="s">
        <v>21866</v>
      </c>
      <c r="AE53" s="81" t="s">
        <v>21047</v>
      </c>
      <c r="AF53" s="76">
        <v>2</v>
      </c>
      <c r="AG53" s="76">
        <v>6</v>
      </c>
      <c r="AH53" s="76">
        <v>38</v>
      </c>
      <c r="AI53" s="76">
        <v>0</v>
      </c>
      <c r="AJ53" s="76">
        <v>4</v>
      </c>
      <c r="AK53" s="76">
        <v>12</v>
      </c>
      <c r="AL53" s="76" t="b">
        <v>0</v>
      </c>
      <c r="AM53" s="78">
        <v>44846.792708333334</v>
      </c>
      <c r="AN53" s="76" t="s">
        <v>23090</v>
      </c>
      <c r="AO53" s="76" t="s">
        <v>23388</v>
      </c>
      <c r="AP53" s="83" t="str">
        <f>HYPERLINK("https://t.co/F54sGo7Rv6")</f>
        <v>https://t.co/F54sGo7Rv6</v>
      </c>
      <c r="AQ53" s="83" t="str">
        <f>HYPERLINK("https://sun.eduzz.com/723654?a=10771391")</f>
        <v>https://sun.eduzz.com/723654?a=10771391</v>
      </c>
      <c r="AR53" s="76" t="s">
        <v>24277</v>
      </c>
      <c r="AS53" s="76"/>
      <c r="AT53" s="76"/>
      <c r="AU53" s="76"/>
      <c r="AV53" s="76"/>
      <c r="AW53" s="83" t="str">
        <f>HYPERLINK("https://t.co/F54sGo7Rv6")</f>
        <v>https://t.co/F54sGo7Rv6</v>
      </c>
      <c r="AX53" s="76" t="b">
        <v>0</v>
      </c>
      <c r="AY53" s="76"/>
      <c r="AZ53" s="76"/>
      <c r="BA53" s="76" t="b">
        <v>0</v>
      </c>
      <c r="BB53" s="76" t="b">
        <v>1</v>
      </c>
      <c r="BC53" s="76" t="b">
        <v>1</v>
      </c>
      <c r="BD53" s="76" t="b">
        <v>0</v>
      </c>
      <c r="BE53" s="76" t="b">
        <v>0</v>
      </c>
      <c r="BF53" s="76" t="b">
        <v>0</v>
      </c>
      <c r="BG53" s="76" t="b">
        <v>0</v>
      </c>
      <c r="BH53" s="83" t="str">
        <f>HYPERLINK("https://pbs.twimg.com/profile_banners/1580272390067654674/1686076098")</f>
        <v>https://pbs.twimg.com/profile_banners/1580272390067654674/1686076098</v>
      </c>
      <c r="BI53" s="76"/>
      <c r="BJ53" s="76" t="s">
        <v>24935</v>
      </c>
      <c r="BK53" s="76" t="b">
        <v>0</v>
      </c>
      <c r="BL53" s="76"/>
      <c r="BM53" s="76" t="s">
        <v>66</v>
      </c>
      <c r="BN53" s="76" t="s">
        <v>24937</v>
      </c>
      <c r="BO53" s="83" t="str">
        <f>HYPERLINK("https://twitter.com/luciane00547445")</f>
        <v>https://twitter.com/luciane00547445</v>
      </c>
      <c r="BP53" s="2"/>
    </row>
    <row r="54" spans="1:68" x14ac:dyDescent="0.25">
      <c r="A54" s="62" t="s">
        <v>273</v>
      </c>
      <c r="B54" s="63"/>
      <c r="C54" s="63"/>
      <c r="D54" s="64"/>
      <c r="E54" s="66"/>
      <c r="F54" s="102" t="str">
        <f>HYPERLINK("https://pbs.twimg.com/profile_images/1469253316655955969/oNOn_j5n_normal.jpg")</f>
        <v>https://pbs.twimg.com/profile_images/1469253316655955969/oNOn_j5n_normal.jpg</v>
      </c>
      <c r="G54" s="63"/>
      <c r="H54" s="67"/>
      <c r="I54" s="68"/>
      <c r="J54" s="68"/>
      <c r="K54" s="67" t="s">
        <v>24988</v>
      </c>
      <c r="L54" s="71"/>
      <c r="M54" s="72"/>
      <c r="N54" s="72"/>
      <c r="O54" s="73"/>
      <c r="P54" s="74"/>
      <c r="Q54" s="74"/>
      <c r="R54" s="86"/>
      <c r="S54" s="86"/>
      <c r="T54" s="86"/>
      <c r="U54" s="86"/>
      <c r="V54" s="48"/>
      <c r="W54" s="48"/>
      <c r="X54" s="48"/>
      <c r="Y54" s="48"/>
      <c r="Z54" s="47"/>
      <c r="AA54" s="69">
        <v>54</v>
      </c>
      <c r="AB54" s="69"/>
      <c r="AC54" s="70"/>
      <c r="AD54" s="76" t="s">
        <v>21867</v>
      </c>
      <c r="AE54" s="81" t="s">
        <v>21048</v>
      </c>
      <c r="AF54" s="76">
        <v>6</v>
      </c>
      <c r="AG54" s="76">
        <v>0</v>
      </c>
      <c r="AH54" s="76">
        <v>1146</v>
      </c>
      <c r="AI54" s="76">
        <v>0</v>
      </c>
      <c r="AJ54" s="76">
        <v>1046</v>
      </c>
      <c r="AK54" s="76">
        <v>53</v>
      </c>
      <c r="AL54" s="76" t="b">
        <v>0</v>
      </c>
      <c r="AM54" s="78">
        <v>44259.459756944445</v>
      </c>
      <c r="AN54" s="76" t="s">
        <v>14033</v>
      </c>
      <c r="AO54" s="76" t="s">
        <v>23389</v>
      </c>
      <c r="AP54" s="83" t="str">
        <f>HYPERLINK("https://t.co/uc1kqePeDs")</f>
        <v>https://t.co/uc1kqePeDs</v>
      </c>
      <c r="AQ54" s="83" t="str">
        <f>HYPERLINK("https://evelindasdicas.blogspot.com")</f>
        <v>https://evelindasdicas.blogspot.com</v>
      </c>
      <c r="AR54" s="76" t="s">
        <v>24278</v>
      </c>
      <c r="AS54" s="76"/>
      <c r="AT54" s="76"/>
      <c r="AU54" s="76"/>
      <c r="AV54" s="76"/>
      <c r="AW54" s="83" t="str">
        <f>HYPERLINK("https://t.co/uc1kqePeDs")</f>
        <v>https://t.co/uc1kqePeDs</v>
      </c>
      <c r="AX54" s="76" t="b">
        <v>0</v>
      </c>
      <c r="AY54" s="76"/>
      <c r="AZ54" s="76"/>
      <c r="BA54" s="76" t="b">
        <v>0</v>
      </c>
      <c r="BB54" s="76" t="b">
        <v>1</v>
      </c>
      <c r="BC54" s="76" t="b">
        <v>1</v>
      </c>
      <c r="BD54" s="76" t="b">
        <v>0</v>
      </c>
      <c r="BE54" s="76" t="b">
        <v>0</v>
      </c>
      <c r="BF54" s="76" t="b">
        <v>0</v>
      </c>
      <c r="BG54" s="76" t="b">
        <v>0</v>
      </c>
      <c r="BH54" s="76"/>
      <c r="BI54" s="76"/>
      <c r="BJ54" s="76" t="s">
        <v>24935</v>
      </c>
      <c r="BK54" s="76" t="b">
        <v>0</v>
      </c>
      <c r="BL54" s="76"/>
      <c r="BM54" s="76" t="s">
        <v>66</v>
      </c>
      <c r="BN54" s="76" t="s">
        <v>24937</v>
      </c>
      <c r="BO54" s="83" t="str">
        <f>HYPERLINK("https://twitter.com/evelinsoares_")</f>
        <v>https://twitter.com/evelinsoares_</v>
      </c>
      <c r="BP54" s="2"/>
    </row>
    <row r="55" spans="1:68" x14ac:dyDescent="0.25">
      <c r="A55" s="62" t="s">
        <v>274</v>
      </c>
      <c r="B55" s="63"/>
      <c r="C55" s="63"/>
      <c r="D55" s="64"/>
      <c r="E55" s="66"/>
      <c r="F55" s="102" t="str">
        <f>HYPERLINK("https://pbs.twimg.com/profile_images/1640087122148315137/349F4XZl_normal.jpg")</f>
        <v>https://pbs.twimg.com/profile_images/1640087122148315137/349F4XZl_normal.jpg</v>
      </c>
      <c r="G55" s="63"/>
      <c r="H55" s="67"/>
      <c r="I55" s="68"/>
      <c r="J55" s="68"/>
      <c r="K55" s="67" t="s">
        <v>24989</v>
      </c>
      <c r="L55" s="71"/>
      <c r="M55" s="72"/>
      <c r="N55" s="72"/>
      <c r="O55" s="73"/>
      <c r="P55" s="74"/>
      <c r="Q55" s="74"/>
      <c r="R55" s="86"/>
      <c r="S55" s="86"/>
      <c r="T55" s="86"/>
      <c r="U55" s="86"/>
      <c r="V55" s="48"/>
      <c r="W55" s="48"/>
      <c r="X55" s="48"/>
      <c r="Y55" s="48"/>
      <c r="Z55" s="47"/>
      <c r="AA55" s="69">
        <v>55</v>
      </c>
      <c r="AB55" s="69"/>
      <c r="AC55" s="70"/>
      <c r="AD55" s="76" t="s">
        <v>21868</v>
      </c>
      <c r="AE55" s="81" t="s">
        <v>21049</v>
      </c>
      <c r="AF55" s="76">
        <v>13</v>
      </c>
      <c r="AG55" s="76">
        <v>30</v>
      </c>
      <c r="AH55" s="76">
        <v>365</v>
      </c>
      <c r="AI55" s="76">
        <v>0</v>
      </c>
      <c r="AJ55" s="76">
        <v>137</v>
      </c>
      <c r="AK55" s="76">
        <v>79</v>
      </c>
      <c r="AL55" s="76" t="b">
        <v>0</v>
      </c>
      <c r="AM55" s="78">
        <v>43943.999861111108</v>
      </c>
      <c r="AN55" s="76" t="s">
        <v>14033</v>
      </c>
      <c r="AO55" s="76" t="s">
        <v>23390</v>
      </c>
      <c r="AP55" s="83" t="str">
        <f>HYPERLINK("https://t.co/fLKxs5QEhm")</f>
        <v>https://t.co/fLKxs5QEhm</v>
      </c>
      <c r="AQ55" s="83" t="str">
        <f>HYPERLINK("https://bit.ly/28-ferramentas-para-vender-ebooks")</f>
        <v>https://bit.ly/28-ferramentas-para-vender-ebooks</v>
      </c>
      <c r="AR55" s="76" t="s">
        <v>24279</v>
      </c>
      <c r="AS55" s="76"/>
      <c r="AT55" s="76"/>
      <c r="AU55" s="76"/>
      <c r="AV55" s="76">
        <v>1.6748290993432599E+18</v>
      </c>
      <c r="AW55" s="83" t="str">
        <f>HYPERLINK("https://t.co/fLKxs5QEhm")</f>
        <v>https://t.co/fLKxs5QEhm</v>
      </c>
      <c r="AX55" s="76" t="b">
        <v>0</v>
      </c>
      <c r="AY55" s="76"/>
      <c r="AZ55" s="76"/>
      <c r="BA55" s="76" t="b">
        <v>0</v>
      </c>
      <c r="BB55" s="76" t="b">
        <v>1</v>
      </c>
      <c r="BC55" s="76" t="b">
        <v>1</v>
      </c>
      <c r="BD55" s="76" t="b">
        <v>0</v>
      </c>
      <c r="BE55" s="76" t="b">
        <v>1</v>
      </c>
      <c r="BF55" s="76" t="b">
        <v>0</v>
      </c>
      <c r="BG55" s="76" t="b">
        <v>0</v>
      </c>
      <c r="BH55" s="83" t="str">
        <f>HYPERLINK("https://pbs.twimg.com/profile_banners/1253111254941683713/1671153513")</f>
        <v>https://pbs.twimg.com/profile_banners/1253111254941683713/1671153513</v>
      </c>
      <c r="BI55" s="76"/>
      <c r="BJ55" s="76" t="s">
        <v>24935</v>
      </c>
      <c r="BK55" s="76" t="b">
        <v>0</v>
      </c>
      <c r="BL55" s="76"/>
      <c r="BM55" s="76" t="s">
        <v>66</v>
      </c>
      <c r="BN55" s="76" t="s">
        <v>24937</v>
      </c>
      <c r="BO55" s="83" t="str">
        <f>HYPERLINK("https://twitter.com/paratudoumhack")</f>
        <v>https://twitter.com/paratudoumhack</v>
      </c>
      <c r="BP55" s="2"/>
    </row>
    <row r="56" spans="1:68" x14ac:dyDescent="0.25">
      <c r="A56" s="62" t="s">
        <v>275</v>
      </c>
      <c r="B56" s="63"/>
      <c r="C56" s="63"/>
      <c r="D56" s="64"/>
      <c r="E56" s="66"/>
      <c r="F56" s="102" t="str">
        <f>HYPERLINK("https://pbs.twimg.com/profile_images/1207742176098234368/FXlB5owL_normal.jpg")</f>
        <v>https://pbs.twimg.com/profile_images/1207742176098234368/FXlB5owL_normal.jpg</v>
      </c>
      <c r="G56" s="63"/>
      <c r="H56" s="67"/>
      <c r="I56" s="68"/>
      <c r="J56" s="68"/>
      <c r="K56" s="67" t="s">
        <v>24990</v>
      </c>
      <c r="L56" s="71"/>
      <c r="M56" s="72"/>
      <c r="N56" s="72"/>
      <c r="O56" s="73"/>
      <c r="P56" s="74"/>
      <c r="Q56" s="74"/>
      <c r="R56" s="86"/>
      <c r="S56" s="86"/>
      <c r="T56" s="86"/>
      <c r="U56" s="86"/>
      <c r="V56" s="48"/>
      <c r="W56" s="48"/>
      <c r="X56" s="48"/>
      <c r="Y56" s="48"/>
      <c r="Z56" s="47"/>
      <c r="AA56" s="69">
        <v>56</v>
      </c>
      <c r="AB56" s="69"/>
      <c r="AC56" s="70"/>
      <c r="AD56" s="76" t="s">
        <v>21869</v>
      </c>
      <c r="AE56" s="81" t="s">
        <v>22866</v>
      </c>
      <c r="AF56" s="76">
        <v>6473</v>
      </c>
      <c r="AG56" s="76">
        <v>383</v>
      </c>
      <c r="AH56" s="76">
        <v>8306</v>
      </c>
      <c r="AI56" s="76">
        <v>98</v>
      </c>
      <c r="AJ56" s="76">
        <v>1075</v>
      </c>
      <c r="AK56" s="76">
        <v>911</v>
      </c>
      <c r="AL56" s="76" t="b">
        <v>0</v>
      </c>
      <c r="AM56" s="78">
        <v>40074.081817129627</v>
      </c>
      <c r="AN56" s="76" t="s">
        <v>23091</v>
      </c>
      <c r="AO56" s="76" t="s">
        <v>23391</v>
      </c>
      <c r="AP56" s="83" t="str">
        <f>HYPERLINK("https://t.co/sgm8n2uOTt")</f>
        <v>https://t.co/sgm8n2uOTt</v>
      </c>
      <c r="AQ56" s="83" t="str">
        <f>HYPERLINK("http://www.academiadodinheiro.com.br")</f>
        <v>http://www.academiadodinheiro.com.br</v>
      </c>
      <c r="AR56" s="76" t="s">
        <v>24280</v>
      </c>
      <c r="AS56" s="76"/>
      <c r="AT56" s="76"/>
      <c r="AU56" s="76"/>
      <c r="AV56" s="76"/>
      <c r="AW56" s="83" t="str">
        <f>HYPERLINK("https://t.co/sgm8n2uOTt")</f>
        <v>https://t.co/sgm8n2uOTt</v>
      </c>
      <c r="AX56" s="76" t="b">
        <v>0</v>
      </c>
      <c r="AY56" s="76"/>
      <c r="AZ56" s="76"/>
      <c r="BA56" s="76" t="b">
        <v>0</v>
      </c>
      <c r="BB56" s="76" t="b">
        <v>1</v>
      </c>
      <c r="BC56" s="76" t="b">
        <v>0</v>
      </c>
      <c r="BD56" s="76" t="b">
        <v>0</v>
      </c>
      <c r="BE56" s="76" t="b">
        <v>1</v>
      </c>
      <c r="BF56" s="76" t="b">
        <v>0</v>
      </c>
      <c r="BG56" s="76" t="b">
        <v>0</v>
      </c>
      <c r="BH56" s="83" t="str">
        <f>HYPERLINK("https://pbs.twimg.com/profile_banners/75173434/1576783149")</f>
        <v>https://pbs.twimg.com/profile_banners/75173434/1576783149</v>
      </c>
      <c r="BI56" s="76"/>
      <c r="BJ56" s="76" t="s">
        <v>24935</v>
      </c>
      <c r="BK56" s="76" t="b">
        <v>0</v>
      </c>
      <c r="BL56" s="76"/>
      <c r="BM56" s="76" t="s">
        <v>66</v>
      </c>
      <c r="BN56" s="76" t="s">
        <v>24937</v>
      </c>
      <c r="BO56" s="83" t="str">
        <f>HYPERLINK("https://twitter.com/calilecalil")</f>
        <v>https://twitter.com/calilecalil</v>
      </c>
      <c r="BP56" s="2"/>
    </row>
    <row r="57" spans="1:68" x14ac:dyDescent="0.25">
      <c r="A57" s="62" t="s">
        <v>276</v>
      </c>
      <c r="B57" s="63"/>
      <c r="C57" s="63"/>
      <c r="D57" s="64"/>
      <c r="E57" s="66"/>
      <c r="F57" s="102" t="str">
        <f>HYPERLINK("https://pbs.twimg.com/profile_images/1494041847605436422/wwDoOlP9_normal.jpg")</f>
        <v>https://pbs.twimg.com/profile_images/1494041847605436422/wwDoOlP9_normal.jpg</v>
      </c>
      <c r="G57" s="63"/>
      <c r="H57" s="67"/>
      <c r="I57" s="68"/>
      <c r="J57" s="68"/>
      <c r="K57" s="67" t="s">
        <v>24991</v>
      </c>
      <c r="L57" s="71"/>
      <c r="M57" s="72"/>
      <c r="N57" s="72"/>
      <c r="O57" s="73"/>
      <c r="P57" s="74"/>
      <c r="Q57" s="74"/>
      <c r="R57" s="86"/>
      <c r="S57" s="86"/>
      <c r="T57" s="86"/>
      <c r="U57" s="86"/>
      <c r="V57" s="48"/>
      <c r="W57" s="48"/>
      <c r="X57" s="48"/>
      <c r="Y57" s="48"/>
      <c r="Z57" s="47"/>
      <c r="AA57" s="69">
        <v>57</v>
      </c>
      <c r="AB57" s="69"/>
      <c r="AC57" s="70"/>
      <c r="AD57" s="76" t="s">
        <v>21870</v>
      </c>
      <c r="AE57" s="81" t="s">
        <v>22867</v>
      </c>
      <c r="AF57" s="76">
        <v>384</v>
      </c>
      <c r="AG57" s="76">
        <v>48</v>
      </c>
      <c r="AH57" s="76">
        <v>28875</v>
      </c>
      <c r="AI57" s="76">
        <v>4</v>
      </c>
      <c r="AJ57" s="76">
        <v>22872</v>
      </c>
      <c r="AK57" s="76">
        <v>4626</v>
      </c>
      <c r="AL57" s="76" t="b">
        <v>0</v>
      </c>
      <c r="AM57" s="78">
        <v>39927.640405092592</v>
      </c>
      <c r="AN57" s="76"/>
      <c r="AO57" s="76" t="s">
        <v>23392</v>
      </c>
      <c r="AP57" s="76"/>
      <c r="AQ57" s="76"/>
      <c r="AR57" s="76"/>
      <c r="AS57" s="76"/>
      <c r="AT57" s="76"/>
      <c r="AU57" s="76"/>
      <c r="AV57" s="76"/>
      <c r="AW57" s="76"/>
      <c r="AX57" s="76" t="b">
        <v>0</v>
      </c>
      <c r="AY57" s="76"/>
      <c r="AZ57" s="76"/>
      <c r="BA57" s="76" t="b">
        <v>0</v>
      </c>
      <c r="BB57" s="76" t="b">
        <v>0</v>
      </c>
      <c r="BC57" s="76" t="b">
        <v>0</v>
      </c>
      <c r="BD57" s="76" t="b">
        <v>0</v>
      </c>
      <c r="BE57" s="76" t="b">
        <v>1</v>
      </c>
      <c r="BF57" s="76" t="b">
        <v>0</v>
      </c>
      <c r="BG57" s="76" t="b">
        <v>0</v>
      </c>
      <c r="BH57" s="83" t="str">
        <f>HYPERLINK("https://pbs.twimg.com/profile_banners/34952004/1630959571")</f>
        <v>https://pbs.twimg.com/profile_banners/34952004/1630959571</v>
      </c>
      <c r="BI57" s="76"/>
      <c r="BJ57" s="76" t="s">
        <v>24935</v>
      </c>
      <c r="BK57" s="76" t="b">
        <v>0</v>
      </c>
      <c r="BL57" s="76"/>
      <c r="BM57" s="76" t="s">
        <v>66</v>
      </c>
      <c r="BN57" s="76" t="s">
        <v>24937</v>
      </c>
      <c r="BO57" s="83" t="str">
        <f>HYPERLINK("https://twitter.com/tudoeraldo")</f>
        <v>https://twitter.com/tudoeraldo</v>
      </c>
      <c r="BP57" s="2"/>
    </row>
    <row r="58" spans="1:68" x14ac:dyDescent="0.25">
      <c r="A58" s="62" t="s">
        <v>410</v>
      </c>
      <c r="B58" s="63"/>
      <c r="C58" s="63"/>
      <c r="D58" s="64"/>
      <c r="E58" s="66"/>
      <c r="F58" s="102" t="str">
        <f>HYPERLINK("https://pbs.twimg.com/profile_images/1304238091033600001/cerF8IXJ_normal.jpg")</f>
        <v>https://pbs.twimg.com/profile_images/1304238091033600001/cerF8IXJ_normal.jpg</v>
      </c>
      <c r="G58" s="63"/>
      <c r="H58" s="67"/>
      <c r="I58" s="68"/>
      <c r="J58" s="68"/>
      <c r="K58" s="67" t="s">
        <v>24992</v>
      </c>
      <c r="L58" s="71"/>
      <c r="M58" s="72"/>
      <c r="N58" s="72"/>
      <c r="O58" s="73"/>
      <c r="P58" s="74"/>
      <c r="Q58" s="74"/>
      <c r="R58" s="86"/>
      <c r="S58" s="86"/>
      <c r="T58" s="86"/>
      <c r="U58" s="86"/>
      <c r="V58" s="48"/>
      <c r="W58" s="48"/>
      <c r="X58" s="48"/>
      <c r="Y58" s="48"/>
      <c r="Z58" s="47"/>
      <c r="AA58" s="69">
        <v>58</v>
      </c>
      <c r="AB58" s="69"/>
      <c r="AC58" s="70"/>
      <c r="AD58" s="76" t="s">
        <v>21871</v>
      </c>
      <c r="AE58" s="81" t="s">
        <v>22868</v>
      </c>
      <c r="AF58" s="76">
        <v>353777</v>
      </c>
      <c r="AG58" s="76">
        <v>1041</v>
      </c>
      <c r="AH58" s="76">
        <v>3430</v>
      </c>
      <c r="AI58" s="76">
        <v>517</v>
      </c>
      <c r="AJ58" s="76">
        <v>16120</v>
      </c>
      <c r="AK58" s="76">
        <v>263</v>
      </c>
      <c r="AL58" s="76" t="b">
        <v>0</v>
      </c>
      <c r="AM58" s="78">
        <v>39925.012835648151</v>
      </c>
      <c r="AN58" s="76" t="s">
        <v>23092</v>
      </c>
      <c r="AO58" s="76" t="s">
        <v>23393</v>
      </c>
      <c r="AP58" s="83" t="str">
        <f>HYPERLINK("https://t.co/O91dOa76mI")</f>
        <v>https://t.co/O91dOa76mI</v>
      </c>
      <c r="AQ58" s="83" t="str">
        <f>HYPERLINK("http://www.instagram.com/victorsarro")</f>
        <v>http://www.instagram.com/victorsarro</v>
      </c>
      <c r="AR58" s="76" t="s">
        <v>24281</v>
      </c>
      <c r="AS58" s="76"/>
      <c r="AT58" s="76"/>
      <c r="AU58" s="76"/>
      <c r="AV58" s="76"/>
      <c r="AW58" s="83" t="str">
        <f>HYPERLINK("https://t.co/O91dOa76mI")</f>
        <v>https://t.co/O91dOa76mI</v>
      </c>
      <c r="AX58" s="76" t="b">
        <v>0</v>
      </c>
      <c r="AY58" s="76"/>
      <c r="AZ58" s="76"/>
      <c r="BA58" s="76" t="b">
        <v>1</v>
      </c>
      <c r="BB58" s="76" t="b">
        <v>0</v>
      </c>
      <c r="BC58" s="76" t="b">
        <v>0</v>
      </c>
      <c r="BD58" s="76" t="b">
        <v>0</v>
      </c>
      <c r="BE58" s="76" t="b">
        <v>1</v>
      </c>
      <c r="BF58" s="76" t="b">
        <v>0</v>
      </c>
      <c r="BG58" s="76" t="b">
        <v>0</v>
      </c>
      <c r="BH58" s="83" t="str">
        <f>HYPERLINK("https://pbs.twimg.com/profile_banners/34105736/1599789568")</f>
        <v>https://pbs.twimg.com/profile_banners/34105736/1599789568</v>
      </c>
      <c r="BI58" s="76"/>
      <c r="BJ58" s="76" t="s">
        <v>24935</v>
      </c>
      <c r="BK58" s="76" t="b">
        <v>0</v>
      </c>
      <c r="BL58" s="76"/>
      <c r="BM58" s="76" t="s">
        <v>66</v>
      </c>
      <c r="BN58" s="76" t="s">
        <v>24937</v>
      </c>
      <c r="BO58" s="83" t="str">
        <f>HYPERLINK("https://twitter.com/victorsarro")</f>
        <v>https://twitter.com/victorsarro</v>
      </c>
      <c r="BP58" s="2"/>
    </row>
    <row r="59" spans="1:68" x14ac:dyDescent="0.25">
      <c r="A59" s="62" t="s">
        <v>277</v>
      </c>
      <c r="B59" s="63"/>
      <c r="C59" s="63"/>
      <c r="D59" s="64"/>
      <c r="E59" s="66"/>
      <c r="F59" s="102" t="str">
        <f>HYPERLINK("https://pbs.twimg.com/profile_images/1700645323666767872/CVtfvntd_normal.jpg")</f>
        <v>https://pbs.twimg.com/profile_images/1700645323666767872/CVtfvntd_normal.jpg</v>
      </c>
      <c r="G59" s="63"/>
      <c r="H59" s="67"/>
      <c r="I59" s="68"/>
      <c r="J59" s="68"/>
      <c r="K59" s="67" t="s">
        <v>24993</v>
      </c>
      <c r="L59" s="71"/>
      <c r="M59" s="72"/>
      <c r="N59" s="72"/>
      <c r="O59" s="73"/>
      <c r="P59" s="74"/>
      <c r="Q59" s="74"/>
      <c r="R59" s="86"/>
      <c r="S59" s="86"/>
      <c r="T59" s="86"/>
      <c r="U59" s="86"/>
      <c r="V59" s="48"/>
      <c r="W59" s="48"/>
      <c r="X59" s="48"/>
      <c r="Y59" s="48"/>
      <c r="Z59" s="47"/>
      <c r="AA59" s="69">
        <v>59</v>
      </c>
      <c r="AB59" s="69"/>
      <c r="AC59" s="70"/>
      <c r="AD59" s="76" t="s">
        <v>21872</v>
      </c>
      <c r="AE59" s="81" t="s">
        <v>22869</v>
      </c>
      <c r="AF59" s="76">
        <v>698</v>
      </c>
      <c r="AG59" s="76">
        <v>520</v>
      </c>
      <c r="AH59" s="76">
        <v>3620</v>
      </c>
      <c r="AI59" s="76">
        <v>3</v>
      </c>
      <c r="AJ59" s="76">
        <v>281</v>
      </c>
      <c r="AK59" s="76">
        <v>456</v>
      </c>
      <c r="AL59" s="76" t="b">
        <v>0</v>
      </c>
      <c r="AM59" s="78">
        <v>40653.881145833337</v>
      </c>
      <c r="AN59" s="76"/>
      <c r="AO59" s="76" t="s">
        <v>23394</v>
      </c>
      <c r="AP59" s="83" t="str">
        <f>HYPERLINK("https://t.co/HvFr9822J5")</f>
        <v>https://t.co/HvFr9822J5</v>
      </c>
      <c r="AQ59" s="83" t="str">
        <f>HYPERLINK("https://bit.ly/meu-grupo-PORNO-XXX")</f>
        <v>https://bit.ly/meu-grupo-PORNO-XXX</v>
      </c>
      <c r="AR59" s="76" t="s">
        <v>24282</v>
      </c>
      <c r="AS59" s="76"/>
      <c r="AT59" s="76"/>
      <c r="AU59" s="76"/>
      <c r="AV59" s="76">
        <v>1.7057449108280599E+18</v>
      </c>
      <c r="AW59" s="83" t="str">
        <f>HYPERLINK("https://t.co/HvFr9822J5")</f>
        <v>https://t.co/HvFr9822J5</v>
      </c>
      <c r="AX59" s="76" t="b">
        <v>0</v>
      </c>
      <c r="AY59" s="76"/>
      <c r="AZ59" s="76"/>
      <c r="BA59" s="76" t="b">
        <v>0</v>
      </c>
      <c r="BB59" s="76" t="b">
        <v>1</v>
      </c>
      <c r="BC59" s="76" t="b">
        <v>0</v>
      </c>
      <c r="BD59" s="76" t="b">
        <v>0</v>
      </c>
      <c r="BE59" s="76" t="b">
        <v>1</v>
      </c>
      <c r="BF59" s="76" t="b">
        <v>0</v>
      </c>
      <c r="BG59" s="76" t="b">
        <v>1</v>
      </c>
      <c r="BH59" s="76"/>
      <c r="BI59" s="76" t="s">
        <v>24934</v>
      </c>
      <c r="BJ59" s="76" t="s">
        <v>24935</v>
      </c>
      <c r="BK59" s="76" t="b">
        <v>0</v>
      </c>
      <c r="BL59" s="76"/>
      <c r="BM59" s="76" t="s">
        <v>66</v>
      </c>
      <c r="BN59" s="76" t="s">
        <v>24937</v>
      </c>
      <c r="BO59" s="83" t="str">
        <f>HYPERLINK("https://twitter.com/vemnemim0600")</f>
        <v>https://twitter.com/vemnemim0600</v>
      </c>
      <c r="BP59" s="2"/>
    </row>
    <row r="60" spans="1:68" x14ac:dyDescent="0.25">
      <c r="A60" s="62" t="s">
        <v>278</v>
      </c>
      <c r="B60" s="63"/>
      <c r="C60" s="63"/>
      <c r="D60" s="64"/>
      <c r="E60" s="66"/>
      <c r="F60" s="102" t="str">
        <f>HYPERLINK("https://pbs.twimg.com/profile_images/1658817624401223694/0w4MNPgN_normal.jpg")</f>
        <v>https://pbs.twimg.com/profile_images/1658817624401223694/0w4MNPgN_normal.jpg</v>
      </c>
      <c r="G60" s="63"/>
      <c r="H60" s="67"/>
      <c r="I60" s="68"/>
      <c r="J60" s="68"/>
      <c r="K60" s="67" t="s">
        <v>24994</v>
      </c>
      <c r="L60" s="71"/>
      <c r="M60" s="72"/>
      <c r="N60" s="72"/>
      <c r="O60" s="73"/>
      <c r="P60" s="74"/>
      <c r="Q60" s="74"/>
      <c r="R60" s="86"/>
      <c r="S60" s="86"/>
      <c r="T60" s="86"/>
      <c r="U60" s="86"/>
      <c r="V60" s="48"/>
      <c r="W60" s="48"/>
      <c r="X60" s="48"/>
      <c r="Y60" s="48"/>
      <c r="Z60" s="47"/>
      <c r="AA60" s="69">
        <v>60</v>
      </c>
      <c r="AB60" s="69"/>
      <c r="AC60" s="70"/>
      <c r="AD60" s="76" t="s">
        <v>21873</v>
      </c>
      <c r="AE60" s="81" t="s">
        <v>21050</v>
      </c>
      <c r="AF60" s="76">
        <v>25</v>
      </c>
      <c r="AG60" s="76">
        <v>452</v>
      </c>
      <c r="AH60" s="76">
        <v>23</v>
      </c>
      <c r="AI60" s="76">
        <v>0</v>
      </c>
      <c r="AJ60" s="76">
        <v>63</v>
      </c>
      <c r="AK60" s="76">
        <v>8</v>
      </c>
      <c r="AL60" s="76" t="b">
        <v>0</v>
      </c>
      <c r="AM60" s="78">
        <v>44860.930879629632</v>
      </c>
      <c r="AN60" s="76" t="s">
        <v>23093</v>
      </c>
      <c r="AO60" s="76" t="s">
        <v>23395</v>
      </c>
      <c r="AP60" s="76"/>
      <c r="AQ60" s="76"/>
      <c r="AR60" s="76"/>
      <c r="AS60" s="76"/>
      <c r="AT60" s="76"/>
      <c r="AU60" s="76"/>
      <c r="AV60" s="76"/>
      <c r="AW60" s="76"/>
      <c r="AX60" s="76" t="b">
        <v>0</v>
      </c>
      <c r="AY60" s="76"/>
      <c r="AZ60" s="76"/>
      <c r="BA60" s="76" t="b">
        <v>0</v>
      </c>
      <c r="BB60" s="76" t="b">
        <v>1</v>
      </c>
      <c r="BC60" s="76" t="b">
        <v>1</v>
      </c>
      <c r="BD60" s="76" t="b">
        <v>0</v>
      </c>
      <c r="BE60" s="76" t="b">
        <v>1</v>
      </c>
      <c r="BF60" s="76" t="b">
        <v>0</v>
      </c>
      <c r="BG60" s="76" t="b">
        <v>0</v>
      </c>
      <c r="BH60" s="83" t="str">
        <f>HYPERLINK("https://pbs.twimg.com/profile_banners/1585395699629400065/1684354982")</f>
        <v>https://pbs.twimg.com/profile_banners/1585395699629400065/1684354982</v>
      </c>
      <c r="BI60" s="76"/>
      <c r="BJ60" s="76" t="s">
        <v>24935</v>
      </c>
      <c r="BK60" s="76" t="b">
        <v>0</v>
      </c>
      <c r="BL60" s="76"/>
      <c r="BM60" s="76" t="s">
        <v>66</v>
      </c>
      <c r="BN60" s="76" t="s">
        <v>24937</v>
      </c>
      <c r="BO60" s="83" t="str">
        <f>HYPERLINK("https://twitter.com/mluh69452")</f>
        <v>https://twitter.com/mluh69452</v>
      </c>
      <c r="BP60" s="2"/>
    </row>
    <row r="61" spans="1:68" x14ac:dyDescent="0.25">
      <c r="A61" s="62" t="s">
        <v>279</v>
      </c>
      <c r="B61" s="63"/>
      <c r="C61" s="63"/>
      <c r="D61" s="64"/>
      <c r="E61" s="66"/>
      <c r="F61" s="102" t="str">
        <f>HYPERLINK("https://pbs.twimg.com/profile_images/1646995964773670914/yDIRDXlJ_normal.jpg")</f>
        <v>https://pbs.twimg.com/profile_images/1646995964773670914/yDIRDXlJ_normal.jpg</v>
      </c>
      <c r="G61" s="63"/>
      <c r="H61" s="67"/>
      <c r="I61" s="68"/>
      <c r="J61" s="68"/>
      <c r="K61" s="67" t="s">
        <v>24995</v>
      </c>
      <c r="L61" s="71"/>
      <c r="M61" s="72"/>
      <c r="N61" s="72"/>
      <c r="O61" s="73"/>
      <c r="P61" s="74"/>
      <c r="Q61" s="74"/>
      <c r="R61" s="86"/>
      <c r="S61" s="86"/>
      <c r="T61" s="86"/>
      <c r="U61" s="86"/>
      <c r="V61" s="48"/>
      <c r="W61" s="48"/>
      <c r="X61" s="48"/>
      <c r="Y61" s="48"/>
      <c r="Z61" s="47"/>
      <c r="AA61" s="69">
        <v>61</v>
      </c>
      <c r="AB61" s="69"/>
      <c r="AC61" s="70"/>
      <c r="AD61" s="76" t="s">
        <v>21874</v>
      </c>
      <c r="AE61" s="81" t="s">
        <v>21051</v>
      </c>
      <c r="AF61" s="76">
        <v>2</v>
      </c>
      <c r="AG61" s="76">
        <v>64</v>
      </c>
      <c r="AH61" s="76">
        <v>30</v>
      </c>
      <c r="AI61" s="76">
        <v>1</v>
      </c>
      <c r="AJ61" s="76">
        <v>123</v>
      </c>
      <c r="AK61" s="76">
        <v>18</v>
      </c>
      <c r="AL61" s="76" t="b">
        <v>0</v>
      </c>
      <c r="AM61" s="78">
        <v>44555.938750000001</v>
      </c>
      <c r="AN61" s="76"/>
      <c r="AO61" s="76" t="s">
        <v>23396</v>
      </c>
      <c r="AP61" s="83" t="str">
        <f>HYPERLINK("https://t.co/h80jdGxLF6")</f>
        <v>https://t.co/h80jdGxLF6</v>
      </c>
      <c r="AQ61" s="83" t="str">
        <f>HYPERLINK("https://digiwave.shop/")</f>
        <v>https://digiwave.shop/</v>
      </c>
      <c r="AR61" s="76" t="s">
        <v>24283</v>
      </c>
      <c r="AS61" s="76"/>
      <c r="AT61" s="76"/>
      <c r="AU61" s="76"/>
      <c r="AV61" s="76"/>
      <c r="AW61" s="83" t="str">
        <f>HYPERLINK("https://t.co/h80jdGxLF6")</f>
        <v>https://t.co/h80jdGxLF6</v>
      </c>
      <c r="AX61" s="76" t="b">
        <v>0</v>
      </c>
      <c r="AY61" s="76"/>
      <c r="AZ61" s="76"/>
      <c r="BA61" s="76" t="b">
        <v>0</v>
      </c>
      <c r="BB61" s="76" t="b">
        <v>1</v>
      </c>
      <c r="BC61" s="76" t="b">
        <v>1</v>
      </c>
      <c r="BD61" s="76" t="b">
        <v>0</v>
      </c>
      <c r="BE61" s="76" t="b">
        <v>0</v>
      </c>
      <c r="BF61" s="76" t="b">
        <v>0</v>
      </c>
      <c r="BG61" s="76" t="b">
        <v>0</v>
      </c>
      <c r="BH61" s="83" t="str">
        <f>HYPERLINK("https://pbs.twimg.com/profile_banners/1474870415650611201/1681509414")</f>
        <v>https://pbs.twimg.com/profile_banners/1474870415650611201/1681509414</v>
      </c>
      <c r="BI61" s="76"/>
      <c r="BJ61" s="76" t="s">
        <v>24935</v>
      </c>
      <c r="BK61" s="76" t="b">
        <v>0</v>
      </c>
      <c r="BL61" s="76"/>
      <c r="BM61" s="76" t="s">
        <v>66</v>
      </c>
      <c r="BN61" s="76" t="s">
        <v>24937</v>
      </c>
      <c r="BO61" s="83" t="str">
        <f>HYPERLINK("https://twitter.com/allandennis18")</f>
        <v>https://twitter.com/allandennis18</v>
      </c>
      <c r="BP61" s="2"/>
    </row>
    <row r="62" spans="1:68" x14ac:dyDescent="0.25">
      <c r="A62" s="62" t="s">
        <v>280</v>
      </c>
      <c r="B62" s="63"/>
      <c r="C62" s="63"/>
      <c r="D62" s="64"/>
      <c r="E62" s="66"/>
      <c r="F62" s="102" t="str">
        <f>HYPERLINK("https://pbs.twimg.com/profile_images/1146122928758673410/K0Cc6E4o_normal.png")</f>
        <v>https://pbs.twimg.com/profile_images/1146122928758673410/K0Cc6E4o_normal.png</v>
      </c>
      <c r="G62" s="63"/>
      <c r="H62" s="67"/>
      <c r="I62" s="68"/>
      <c r="J62" s="68"/>
      <c r="K62" s="67" t="s">
        <v>24996</v>
      </c>
      <c r="L62" s="71"/>
      <c r="M62" s="72"/>
      <c r="N62" s="72"/>
      <c r="O62" s="73"/>
      <c r="P62" s="74"/>
      <c r="Q62" s="74"/>
      <c r="R62" s="86"/>
      <c r="S62" s="86"/>
      <c r="T62" s="86"/>
      <c r="U62" s="86"/>
      <c r="V62" s="48"/>
      <c r="W62" s="48"/>
      <c r="X62" s="48"/>
      <c r="Y62" s="48"/>
      <c r="Z62" s="47"/>
      <c r="AA62" s="69">
        <v>62</v>
      </c>
      <c r="AB62" s="69"/>
      <c r="AC62" s="70"/>
      <c r="AD62" s="76" t="s">
        <v>21875</v>
      </c>
      <c r="AE62" s="81" t="s">
        <v>21052</v>
      </c>
      <c r="AF62" s="76">
        <v>39</v>
      </c>
      <c r="AG62" s="76">
        <v>83</v>
      </c>
      <c r="AH62" s="76">
        <v>130</v>
      </c>
      <c r="AI62" s="76">
        <v>1</v>
      </c>
      <c r="AJ62" s="76">
        <v>240</v>
      </c>
      <c r="AK62" s="76">
        <v>52</v>
      </c>
      <c r="AL62" s="76" t="b">
        <v>0</v>
      </c>
      <c r="AM62" s="78">
        <v>43139.578414351854</v>
      </c>
      <c r="AN62" s="76" t="s">
        <v>14115</v>
      </c>
      <c r="AO62" s="76" t="s">
        <v>23397</v>
      </c>
      <c r="AP62" s="83" t="str">
        <f>HYPERLINK("https://t.co/2U97ejCof9")</f>
        <v>https://t.co/2U97ejCof9</v>
      </c>
      <c r="AQ62" s="83" t="str">
        <f>HYPERLINK("https://www.youtube.com/@OVINNYINVEST")</f>
        <v>https://www.youtube.com/@OVINNYINVEST</v>
      </c>
      <c r="AR62" s="76" t="s">
        <v>24284</v>
      </c>
      <c r="AS62" s="83" t="str">
        <f>HYPERLINK("https://t.co/3N9puikSTf")</f>
        <v>https://t.co/3N9puikSTf</v>
      </c>
      <c r="AT62" s="83" t="str">
        <f>HYPERLINK("http://youtube.com/@OVINNYINVEST")</f>
        <v>http://youtube.com/@OVINNYINVEST</v>
      </c>
      <c r="AU62" s="76" t="s">
        <v>24284</v>
      </c>
      <c r="AV62" s="76"/>
      <c r="AW62" s="83" t="str">
        <f>HYPERLINK("https://t.co/2U97ejCof9")</f>
        <v>https://t.co/2U97ejCof9</v>
      </c>
      <c r="AX62" s="76" t="b">
        <v>0</v>
      </c>
      <c r="AY62" s="76"/>
      <c r="AZ62" s="76"/>
      <c r="BA62" s="76" t="b">
        <v>0</v>
      </c>
      <c r="BB62" s="76" t="b">
        <v>1</v>
      </c>
      <c r="BC62" s="76" t="b">
        <v>1</v>
      </c>
      <c r="BD62" s="76" t="b">
        <v>0</v>
      </c>
      <c r="BE62" s="76" t="b">
        <v>1</v>
      </c>
      <c r="BF62" s="76" t="b">
        <v>0</v>
      </c>
      <c r="BG62" s="76" t="b">
        <v>0</v>
      </c>
      <c r="BH62" s="76"/>
      <c r="BI62" s="76"/>
      <c r="BJ62" s="76" t="s">
        <v>24935</v>
      </c>
      <c r="BK62" s="76" t="b">
        <v>0</v>
      </c>
      <c r="BL62" s="76"/>
      <c r="BM62" s="76" t="s">
        <v>66</v>
      </c>
      <c r="BN62" s="76" t="s">
        <v>24937</v>
      </c>
      <c r="BO62" s="83" t="str">
        <f>HYPERLINK("https://twitter.com/vsmolina3")</f>
        <v>https://twitter.com/vsmolina3</v>
      </c>
      <c r="BP62" s="2"/>
    </row>
    <row r="63" spans="1:68" x14ac:dyDescent="0.25">
      <c r="A63" s="62" t="s">
        <v>281</v>
      </c>
      <c r="B63" s="63"/>
      <c r="C63" s="63"/>
      <c r="D63" s="64"/>
      <c r="E63" s="66"/>
      <c r="F63" s="102" t="str">
        <f>HYPERLINK("https://pbs.twimg.com/profile_images/1689197482134142976/-euuuNoH_normal.jpg")</f>
        <v>https://pbs.twimg.com/profile_images/1689197482134142976/-euuuNoH_normal.jpg</v>
      </c>
      <c r="G63" s="63"/>
      <c r="H63" s="67"/>
      <c r="I63" s="68"/>
      <c r="J63" s="68"/>
      <c r="K63" s="67" t="s">
        <v>24997</v>
      </c>
      <c r="L63" s="71"/>
      <c r="M63" s="72"/>
      <c r="N63" s="72"/>
      <c r="O63" s="73"/>
      <c r="P63" s="74"/>
      <c r="Q63" s="74"/>
      <c r="R63" s="86"/>
      <c r="S63" s="86"/>
      <c r="T63" s="86"/>
      <c r="U63" s="86"/>
      <c r="V63" s="48"/>
      <c r="W63" s="48"/>
      <c r="X63" s="48"/>
      <c r="Y63" s="48"/>
      <c r="Z63" s="47"/>
      <c r="AA63" s="69">
        <v>63</v>
      </c>
      <c r="AB63" s="69"/>
      <c r="AC63" s="70"/>
      <c r="AD63" s="76" t="s">
        <v>21876</v>
      </c>
      <c r="AE63" s="81" t="s">
        <v>21053</v>
      </c>
      <c r="AF63" s="76">
        <v>0</v>
      </c>
      <c r="AG63" s="76">
        <v>1</v>
      </c>
      <c r="AH63" s="76">
        <v>31</v>
      </c>
      <c r="AI63" s="76">
        <v>0</v>
      </c>
      <c r="AJ63" s="76">
        <v>0</v>
      </c>
      <c r="AK63" s="76">
        <v>7</v>
      </c>
      <c r="AL63" s="76" t="b">
        <v>0</v>
      </c>
      <c r="AM63" s="78">
        <v>45141.403067129628</v>
      </c>
      <c r="AN63" s="76"/>
      <c r="AO63" s="76" t="s">
        <v>23398</v>
      </c>
      <c r="AP63" s="76"/>
      <c r="AQ63" s="76"/>
      <c r="AR63" s="76"/>
      <c r="AS63" s="76"/>
      <c r="AT63" s="76"/>
      <c r="AU63" s="76"/>
      <c r="AV63" s="76"/>
      <c r="AW63" s="76"/>
      <c r="AX63" s="76" t="b">
        <v>0</v>
      </c>
      <c r="AY63" s="76"/>
      <c r="AZ63" s="76"/>
      <c r="BA63" s="76" t="b">
        <v>0</v>
      </c>
      <c r="BB63" s="76" t="b">
        <v>1</v>
      </c>
      <c r="BC63" s="76" t="b">
        <v>1</v>
      </c>
      <c r="BD63" s="76" t="b">
        <v>0</v>
      </c>
      <c r="BE63" s="76" t="b">
        <v>0</v>
      </c>
      <c r="BF63" s="76" t="b">
        <v>0</v>
      </c>
      <c r="BG63" s="76" t="b">
        <v>0</v>
      </c>
      <c r="BH63" s="83" t="str">
        <f>HYPERLINK("https://pbs.twimg.com/profile_banners/1687035647616253952/1691571058")</f>
        <v>https://pbs.twimg.com/profile_banners/1687035647616253952/1691571058</v>
      </c>
      <c r="BI63" s="76"/>
      <c r="BJ63" s="76" t="s">
        <v>24935</v>
      </c>
      <c r="BK63" s="76" t="b">
        <v>0</v>
      </c>
      <c r="BL63" s="76"/>
      <c r="BM63" s="76" t="s">
        <v>66</v>
      </c>
      <c r="BN63" s="76" t="s">
        <v>24937</v>
      </c>
      <c r="BO63" s="83" t="str">
        <f>HYPERLINK("https://twitter.com/insightsratao")</f>
        <v>https://twitter.com/insightsratao</v>
      </c>
      <c r="BP63" s="2"/>
    </row>
    <row r="64" spans="1:68" x14ac:dyDescent="0.25">
      <c r="A64" s="62" t="s">
        <v>282</v>
      </c>
      <c r="B64" s="63"/>
      <c r="C64" s="63"/>
      <c r="D64" s="64"/>
      <c r="E64" s="66"/>
      <c r="F64" s="102" t="str">
        <f>HYPERLINK("https://pbs.twimg.com/profile_images/1683941702120120323/cWlGhDgm_normal.jpg")</f>
        <v>https://pbs.twimg.com/profile_images/1683941702120120323/cWlGhDgm_normal.jpg</v>
      </c>
      <c r="G64" s="63"/>
      <c r="H64" s="67"/>
      <c r="I64" s="68"/>
      <c r="J64" s="68"/>
      <c r="K64" s="67" t="s">
        <v>24998</v>
      </c>
      <c r="L64" s="71"/>
      <c r="M64" s="72"/>
      <c r="N64" s="72"/>
      <c r="O64" s="73"/>
      <c r="P64" s="74"/>
      <c r="Q64" s="74"/>
      <c r="R64" s="86"/>
      <c r="S64" s="86"/>
      <c r="T64" s="86"/>
      <c r="U64" s="86"/>
      <c r="V64" s="48"/>
      <c r="W64" s="48"/>
      <c r="X64" s="48"/>
      <c r="Y64" s="48"/>
      <c r="Z64" s="47"/>
      <c r="AA64" s="69">
        <v>64</v>
      </c>
      <c r="AB64" s="69"/>
      <c r="AC64" s="70"/>
      <c r="AD64" s="76" t="s">
        <v>21877</v>
      </c>
      <c r="AE64" s="81" t="s">
        <v>21054</v>
      </c>
      <c r="AF64" s="76">
        <v>0</v>
      </c>
      <c r="AG64" s="76">
        <v>6</v>
      </c>
      <c r="AH64" s="76">
        <v>5</v>
      </c>
      <c r="AI64" s="76">
        <v>0</v>
      </c>
      <c r="AJ64" s="76">
        <v>1</v>
      </c>
      <c r="AK64" s="76">
        <v>5</v>
      </c>
      <c r="AL64" s="76" t="b">
        <v>0</v>
      </c>
      <c r="AM64" s="78">
        <v>45132.694618055553</v>
      </c>
      <c r="AN64" s="76"/>
      <c r="AO64" s="76"/>
      <c r="AP64" s="76"/>
      <c r="AQ64" s="76"/>
      <c r="AR64" s="76"/>
      <c r="AS64" s="76"/>
      <c r="AT64" s="76"/>
      <c r="AU64" s="76"/>
      <c r="AV64" s="76"/>
      <c r="AW64" s="76"/>
      <c r="AX64" s="76" t="b">
        <v>0</v>
      </c>
      <c r="AY64" s="76"/>
      <c r="AZ64" s="76"/>
      <c r="BA64" s="76" t="b">
        <v>0</v>
      </c>
      <c r="BB64" s="76" t="b">
        <v>1</v>
      </c>
      <c r="BC64" s="76" t="b">
        <v>1</v>
      </c>
      <c r="BD64" s="76" t="b">
        <v>0</v>
      </c>
      <c r="BE64" s="76" t="b">
        <v>0</v>
      </c>
      <c r="BF64" s="76" t="b">
        <v>0</v>
      </c>
      <c r="BG64" s="76" t="b">
        <v>0</v>
      </c>
      <c r="BH64" s="83" t="str">
        <f>HYPERLINK("https://pbs.twimg.com/profile_banners/1683879811377135617/1690303389")</f>
        <v>https://pbs.twimg.com/profile_banners/1683879811377135617/1690303389</v>
      </c>
      <c r="BI64" s="76"/>
      <c r="BJ64" s="76" t="s">
        <v>24935</v>
      </c>
      <c r="BK64" s="76" t="b">
        <v>0</v>
      </c>
      <c r="BL64" s="76"/>
      <c r="BM64" s="76" t="s">
        <v>66</v>
      </c>
      <c r="BN64" s="76" t="s">
        <v>24937</v>
      </c>
      <c r="BO64" s="83" t="str">
        <f>HYPERLINK("https://twitter.com/milcoisas__")</f>
        <v>https://twitter.com/milcoisas__</v>
      </c>
      <c r="BP64" s="2"/>
    </row>
    <row r="65" spans="1:68" x14ac:dyDescent="0.25">
      <c r="A65" s="62" t="s">
        <v>283</v>
      </c>
      <c r="B65" s="63"/>
      <c r="C65" s="63"/>
      <c r="D65" s="64"/>
      <c r="E65" s="66"/>
      <c r="F65" s="102" t="str">
        <f>HYPERLINK("https://pbs.twimg.com/profile_images/1672908469458948096/mGWj86nr_normal.jpg")</f>
        <v>https://pbs.twimg.com/profile_images/1672908469458948096/mGWj86nr_normal.jpg</v>
      </c>
      <c r="G65" s="63"/>
      <c r="H65" s="67"/>
      <c r="I65" s="68"/>
      <c r="J65" s="68"/>
      <c r="K65" s="67" t="s">
        <v>24999</v>
      </c>
      <c r="L65" s="71"/>
      <c r="M65" s="72"/>
      <c r="N65" s="72"/>
      <c r="O65" s="73"/>
      <c r="P65" s="74"/>
      <c r="Q65" s="74"/>
      <c r="R65" s="86"/>
      <c r="S65" s="86"/>
      <c r="T65" s="86"/>
      <c r="U65" s="86"/>
      <c r="V65" s="48"/>
      <c r="W65" s="48"/>
      <c r="X65" s="48"/>
      <c r="Y65" s="48"/>
      <c r="Z65" s="47"/>
      <c r="AA65" s="69">
        <v>65</v>
      </c>
      <c r="AB65" s="69"/>
      <c r="AC65" s="70"/>
      <c r="AD65" s="76" t="s">
        <v>21878</v>
      </c>
      <c r="AE65" s="81" t="s">
        <v>21055</v>
      </c>
      <c r="AF65" s="76">
        <v>0</v>
      </c>
      <c r="AG65" s="76">
        <v>8</v>
      </c>
      <c r="AH65" s="76">
        <v>20</v>
      </c>
      <c r="AI65" s="76">
        <v>0</v>
      </c>
      <c r="AJ65" s="76">
        <v>1</v>
      </c>
      <c r="AK65" s="76">
        <v>2</v>
      </c>
      <c r="AL65" s="76" t="b">
        <v>0</v>
      </c>
      <c r="AM65" s="78">
        <v>45102.419131944444</v>
      </c>
      <c r="AN65" s="76"/>
      <c r="AO65" s="76" t="s">
        <v>23399</v>
      </c>
      <c r="AP65" s="83" t="str">
        <f>HYPERLINK("https://t.co/BM86YjDI6B")</f>
        <v>https://t.co/BM86YjDI6B</v>
      </c>
      <c r="AQ65" s="83" t="str">
        <f>HYPERLINK("https://instagram.com/purplemkt_?igshid=MzNlNGNkZWQ4Mg==")</f>
        <v>https://instagram.com/purplemkt_?igshid=MzNlNGNkZWQ4Mg==</v>
      </c>
      <c r="AR65" s="76" t="s">
        <v>24285</v>
      </c>
      <c r="AS65" s="76"/>
      <c r="AT65" s="76"/>
      <c r="AU65" s="76"/>
      <c r="AV65" s="76"/>
      <c r="AW65" s="83" t="str">
        <f>HYPERLINK("https://t.co/BM86YjDI6B")</f>
        <v>https://t.co/BM86YjDI6B</v>
      </c>
      <c r="AX65" s="76" t="b">
        <v>0</v>
      </c>
      <c r="AY65" s="76"/>
      <c r="AZ65" s="76"/>
      <c r="BA65" s="76" t="b">
        <v>0</v>
      </c>
      <c r="BB65" s="76" t="b">
        <v>1</v>
      </c>
      <c r="BC65" s="76" t="b">
        <v>1</v>
      </c>
      <c r="BD65" s="76" t="b">
        <v>0</v>
      </c>
      <c r="BE65" s="76" t="b">
        <v>0</v>
      </c>
      <c r="BF65" s="76" t="b">
        <v>0</v>
      </c>
      <c r="BG65" s="76" t="b">
        <v>0</v>
      </c>
      <c r="BH65" s="83" t="str">
        <f>HYPERLINK("https://pbs.twimg.com/profile_banners/1672908328068870150/1687687957")</f>
        <v>https://pbs.twimg.com/profile_banners/1672908328068870150/1687687957</v>
      </c>
      <c r="BI65" s="76"/>
      <c r="BJ65" s="76" t="s">
        <v>24935</v>
      </c>
      <c r="BK65" s="76" t="b">
        <v>0</v>
      </c>
      <c r="BL65" s="76"/>
      <c r="BM65" s="76" t="s">
        <v>66</v>
      </c>
      <c r="BN65" s="76" t="s">
        <v>24937</v>
      </c>
      <c r="BO65" s="83" t="str">
        <f>HYPERLINK("https://twitter.com/purple_mkt")</f>
        <v>https://twitter.com/purple_mkt</v>
      </c>
      <c r="BP65" s="2"/>
    </row>
    <row r="66" spans="1:68" x14ac:dyDescent="0.25">
      <c r="A66" s="62" t="s">
        <v>284</v>
      </c>
      <c r="B66" s="63"/>
      <c r="C66" s="63"/>
      <c r="D66" s="64"/>
      <c r="E66" s="66"/>
      <c r="F66" s="102" t="str">
        <f>HYPERLINK("https://pbs.twimg.com/profile_images/1698755662107312128/hxkisNLu_normal.jpg")</f>
        <v>https://pbs.twimg.com/profile_images/1698755662107312128/hxkisNLu_normal.jpg</v>
      </c>
      <c r="G66" s="63"/>
      <c r="H66" s="67"/>
      <c r="I66" s="68"/>
      <c r="J66" s="68"/>
      <c r="K66" s="67" t="s">
        <v>25000</v>
      </c>
      <c r="L66" s="71"/>
      <c r="M66" s="72"/>
      <c r="N66" s="72"/>
      <c r="O66" s="73"/>
      <c r="P66" s="74"/>
      <c r="Q66" s="74"/>
      <c r="R66" s="86"/>
      <c r="S66" s="86"/>
      <c r="T66" s="86"/>
      <c r="U66" s="86"/>
      <c r="V66" s="48"/>
      <c r="W66" s="48"/>
      <c r="X66" s="48"/>
      <c r="Y66" s="48"/>
      <c r="Z66" s="47"/>
      <c r="AA66" s="69">
        <v>66</v>
      </c>
      <c r="AB66" s="69"/>
      <c r="AC66" s="70"/>
      <c r="AD66" s="76" t="s">
        <v>21879</v>
      </c>
      <c r="AE66" s="81" t="s">
        <v>21056</v>
      </c>
      <c r="AF66" s="76">
        <v>0</v>
      </c>
      <c r="AG66" s="76">
        <v>2</v>
      </c>
      <c r="AH66" s="76">
        <v>22</v>
      </c>
      <c r="AI66" s="76">
        <v>0</v>
      </c>
      <c r="AJ66" s="76">
        <v>9</v>
      </c>
      <c r="AK66" s="76">
        <v>1</v>
      </c>
      <c r="AL66" s="76" t="b">
        <v>0</v>
      </c>
      <c r="AM66" s="78">
        <v>42760.659050925926</v>
      </c>
      <c r="AN66" s="76"/>
      <c r="AO66" s="76" t="s">
        <v>23400</v>
      </c>
      <c r="AP66" s="83" t="str">
        <f>HYPERLINK("https://t.co/M8YFTvVmXU")</f>
        <v>https://t.co/M8YFTvVmXU</v>
      </c>
      <c r="AQ66" s="83" t="str">
        <f>HYPERLINK("https://kiwify.app/RhyT3pG?afid=lQNgo8Fy")</f>
        <v>https://kiwify.app/RhyT3pG?afid=lQNgo8Fy</v>
      </c>
      <c r="AR66" s="76" t="s">
        <v>24286</v>
      </c>
      <c r="AS66" s="76"/>
      <c r="AT66" s="76"/>
      <c r="AU66" s="76"/>
      <c r="AV66" s="76"/>
      <c r="AW66" s="83" t="str">
        <f>HYPERLINK("https://t.co/M8YFTvVmXU")</f>
        <v>https://t.co/M8YFTvVmXU</v>
      </c>
      <c r="AX66" s="76" t="b">
        <v>0</v>
      </c>
      <c r="AY66" s="76"/>
      <c r="AZ66" s="76"/>
      <c r="BA66" s="76" t="b">
        <v>0</v>
      </c>
      <c r="BB66" s="76" t="b">
        <v>1</v>
      </c>
      <c r="BC66" s="76" t="b">
        <v>1</v>
      </c>
      <c r="BD66" s="76" t="b">
        <v>0</v>
      </c>
      <c r="BE66" s="76" t="b">
        <v>0</v>
      </c>
      <c r="BF66" s="76" t="b">
        <v>0</v>
      </c>
      <c r="BG66" s="76" t="b">
        <v>0</v>
      </c>
      <c r="BH66" s="83" t="str">
        <f>HYPERLINK("https://pbs.twimg.com/profile_banners/824282942042152960/1693849910")</f>
        <v>https://pbs.twimg.com/profile_banners/824282942042152960/1693849910</v>
      </c>
      <c r="BI66" s="76"/>
      <c r="BJ66" s="76" t="s">
        <v>24935</v>
      </c>
      <c r="BK66" s="76" t="b">
        <v>0</v>
      </c>
      <c r="BL66" s="76"/>
      <c r="BM66" s="76" t="s">
        <v>66</v>
      </c>
      <c r="BN66" s="76" t="s">
        <v>24937</v>
      </c>
      <c r="BO66" s="83" t="str">
        <f>HYPERLINK("https://twitter.com/mj_empreendedor")</f>
        <v>https://twitter.com/mj_empreendedor</v>
      </c>
      <c r="BP66" s="2"/>
    </row>
    <row r="67" spans="1:68" x14ac:dyDescent="0.25">
      <c r="A67" s="62" t="s">
        <v>285</v>
      </c>
      <c r="B67" s="63"/>
      <c r="C67" s="63"/>
      <c r="D67" s="64"/>
      <c r="E67" s="66"/>
      <c r="F67" s="102" t="str">
        <f>HYPERLINK("https://pbs.twimg.com/profile_images/1652664132179484672/J5jA3Vh3_normal.jpg")</f>
        <v>https://pbs.twimg.com/profile_images/1652664132179484672/J5jA3Vh3_normal.jpg</v>
      </c>
      <c r="G67" s="63"/>
      <c r="H67" s="67"/>
      <c r="I67" s="68"/>
      <c r="J67" s="68"/>
      <c r="K67" s="67" t="s">
        <v>25001</v>
      </c>
      <c r="L67" s="71"/>
      <c r="M67" s="72"/>
      <c r="N67" s="72"/>
      <c r="O67" s="73"/>
      <c r="P67" s="74"/>
      <c r="Q67" s="74"/>
      <c r="R67" s="86"/>
      <c r="S67" s="86"/>
      <c r="T67" s="86"/>
      <c r="U67" s="86"/>
      <c r="V67" s="48"/>
      <c r="W67" s="48"/>
      <c r="X67" s="48"/>
      <c r="Y67" s="48"/>
      <c r="Z67" s="47"/>
      <c r="AA67" s="69">
        <v>67</v>
      </c>
      <c r="AB67" s="69"/>
      <c r="AC67" s="70"/>
      <c r="AD67" s="76" t="s">
        <v>21880</v>
      </c>
      <c r="AE67" s="81" t="s">
        <v>22870</v>
      </c>
      <c r="AF67" s="76">
        <v>2495</v>
      </c>
      <c r="AG67" s="76">
        <v>754</v>
      </c>
      <c r="AH67" s="76">
        <v>2218</v>
      </c>
      <c r="AI67" s="76">
        <v>3</v>
      </c>
      <c r="AJ67" s="76">
        <v>445</v>
      </c>
      <c r="AK67" s="76">
        <v>694</v>
      </c>
      <c r="AL67" s="76" t="b">
        <v>0</v>
      </c>
      <c r="AM67" s="78">
        <v>40533.676712962966</v>
      </c>
      <c r="AN67" s="76" t="s">
        <v>14033</v>
      </c>
      <c r="AO67" s="76" t="s">
        <v>23401</v>
      </c>
      <c r="AP67" s="83" t="str">
        <f>HYPERLINK("https://t.co/87vwOlbXUD")</f>
        <v>https://t.co/87vwOlbXUD</v>
      </c>
      <c r="AQ67" s="83" t="str">
        <f>HYPERLINK("https://www.metodotop.store")</f>
        <v>https://www.metodotop.store</v>
      </c>
      <c r="AR67" s="76" t="s">
        <v>7270</v>
      </c>
      <c r="AS67" s="76"/>
      <c r="AT67" s="76"/>
      <c r="AU67" s="76"/>
      <c r="AV67" s="76">
        <v>1.6765828861981E+18</v>
      </c>
      <c r="AW67" s="83" t="str">
        <f>HYPERLINK("https://t.co/87vwOlbXUD")</f>
        <v>https://t.co/87vwOlbXUD</v>
      </c>
      <c r="AX67" s="76" t="b">
        <v>0</v>
      </c>
      <c r="AY67" s="76"/>
      <c r="AZ67" s="76"/>
      <c r="BA67" s="76" t="b">
        <v>0</v>
      </c>
      <c r="BB67" s="76" t="b">
        <v>1</v>
      </c>
      <c r="BC67" s="76" t="b">
        <v>0</v>
      </c>
      <c r="BD67" s="76" t="b">
        <v>0</v>
      </c>
      <c r="BE67" s="76" t="b">
        <v>0</v>
      </c>
      <c r="BF67" s="76" t="b">
        <v>0</v>
      </c>
      <c r="BG67" s="76" t="b">
        <v>0</v>
      </c>
      <c r="BH67" s="83" t="str">
        <f>HYPERLINK("https://pbs.twimg.com/profile_banners/229130000/1682120702")</f>
        <v>https://pbs.twimg.com/profile_banners/229130000/1682120702</v>
      </c>
      <c r="BI67" s="76"/>
      <c r="BJ67" s="76" t="s">
        <v>24936</v>
      </c>
      <c r="BK67" s="76" t="b">
        <v>0</v>
      </c>
      <c r="BL67" s="76"/>
      <c r="BM67" s="76" t="s">
        <v>66</v>
      </c>
      <c r="BN67" s="76" t="s">
        <v>24937</v>
      </c>
      <c r="BO67" s="83" t="str">
        <f>HYPERLINK("https://twitter.com/dionatanwill")</f>
        <v>https://twitter.com/dionatanwill</v>
      </c>
      <c r="BP67" s="2"/>
    </row>
    <row r="68" spans="1:68" x14ac:dyDescent="0.25">
      <c r="A68" s="62" t="s">
        <v>286</v>
      </c>
      <c r="B68" s="63"/>
      <c r="C68" s="63"/>
      <c r="D68" s="64"/>
      <c r="E68" s="66"/>
      <c r="F68" s="102" t="str">
        <f>HYPERLINK("https://pbs.twimg.com/profile_images/1398086344535068673/hyCorW6j_normal.jpg")</f>
        <v>https://pbs.twimg.com/profile_images/1398086344535068673/hyCorW6j_normal.jpg</v>
      </c>
      <c r="G68" s="63"/>
      <c r="H68" s="67"/>
      <c r="I68" s="68"/>
      <c r="J68" s="68"/>
      <c r="K68" s="67" t="s">
        <v>25002</v>
      </c>
      <c r="L68" s="71"/>
      <c r="M68" s="72"/>
      <c r="N68" s="72"/>
      <c r="O68" s="73"/>
      <c r="P68" s="74"/>
      <c r="Q68" s="74"/>
      <c r="R68" s="86"/>
      <c r="S68" s="86"/>
      <c r="T68" s="86"/>
      <c r="U68" s="86"/>
      <c r="V68" s="48"/>
      <c r="W68" s="48"/>
      <c r="X68" s="48"/>
      <c r="Y68" s="48"/>
      <c r="Z68" s="47"/>
      <c r="AA68" s="69">
        <v>68</v>
      </c>
      <c r="AB68" s="69"/>
      <c r="AC68" s="70"/>
      <c r="AD68" s="76" t="s">
        <v>21881</v>
      </c>
      <c r="AE68" s="81" t="s">
        <v>22871</v>
      </c>
      <c r="AF68" s="76">
        <v>1716</v>
      </c>
      <c r="AG68" s="76">
        <v>102</v>
      </c>
      <c r="AH68" s="76">
        <v>12868</v>
      </c>
      <c r="AI68" s="76">
        <v>3</v>
      </c>
      <c r="AJ68" s="76">
        <v>7241</v>
      </c>
      <c r="AK68" s="76">
        <v>1585</v>
      </c>
      <c r="AL68" s="76" t="b">
        <v>0</v>
      </c>
      <c r="AM68" s="78">
        <v>41629.94153935185</v>
      </c>
      <c r="AN68" s="76"/>
      <c r="AO68" s="76" t="s">
        <v>23402</v>
      </c>
      <c r="AP68" s="83" t="str">
        <f>HYPERLINK("https://t.co/pp4S3EDqLz")</f>
        <v>https://t.co/pp4S3EDqLz</v>
      </c>
      <c r="AQ68" s="83" t="str">
        <f>HYPERLINK("https://instabio.cc/fabiosantana")</f>
        <v>https://instabio.cc/fabiosantana</v>
      </c>
      <c r="AR68" s="76" t="s">
        <v>24287</v>
      </c>
      <c r="AS68" s="76"/>
      <c r="AT68" s="76"/>
      <c r="AU68" s="76"/>
      <c r="AV68" s="76">
        <v>1.6947924823561001E+18</v>
      </c>
      <c r="AW68" s="83" t="str">
        <f>HYPERLINK("https://t.co/pp4S3EDqLz")</f>
        <v>https://t.co/pp4S3EDqLz</v>
      </c>
      <c r="AX68" s="76" t="b">
        <v>0</v>
      </c>
      <c r="AY68" s="76"/>
      <c r="AZ68" s="76"/>
      <c r="BA68" s="76" t="b">
        <v>1</v>
      </c>
      <c r="BB68" s="76" t="b">
        <v>1</v>
      </c>
      <c r="BC68" s="76" t="b">
        <v>0</v>
      </c>
      <c r="BD68" s="76" t="b">
        <v>0</v>
      </c>
      <c r="BE68" s="76" t="b">
        <v>0</v>
      </c>
      <c r="BF68" s="76" t="b">
        <v>0</v>
      </c>
      <c r="BG68" s="76" t="b">
        <v>0</v>
      </c>
      <c r="BH68" s="83" t="str">
        <f>HYPERLINK("https://pbs.twimg.com/profile_banners/2257002404/1633547021")</f>
        <v>https://pbs.twimg.com/profile_banners/2257002404/1633547021</v>
      </c>
      <c r="BI68" s="76"/>
      <c r="BJ68" s="76" t="s">
        <v>24935</v>
      </c>
      <c r="BK68" s="76" t="b">
        <v>0</v>
      </c>
      <c r="BL68" s="76"/>
      <c r="BM68" s="76" t="s">
        <v>66</v>
      </c>
      <c r="BN68" s="76" t="s">
        <v>24937</v>
      </c>
      <c r="BO68" s="83" t="str">
        <f>HYPERLINK("https://twitter.com/fabiosantanacs")</f>
        <v>https://twitter.com/fabiosantanacs</v>
      </c>
      <c r="BP68" s="2"/>
    </row>
    <row r="69" spans="1:68" x14ac:dyDescent="0.25">
      <c r="A69" s="62" t="s">
        <v>287</v>
      </c>
      <c r="B69" s="63"/>
      <c r="C69" s="63"/>
      <c r="D69" s="64"/>
      <c r="E69" s="66"/>
      <c r="F69" s="102" t="str">
        <f>HYPERLINK("https://pbs.twimg.com/profile_images/1700037490587963392/uSWaJ3M1_normal.jpg")</f>
        <v>https://pbs.twimg.com/profile_images/1700037490587963392/uSWaJ3M1_normal.jpg</v>
      </c>
      <c r="G69" s="63"/>
      <c r="H69" s="67"/>
      <c r="I69" s="68"/>
      <c r="J69" s="68"/>
      <c r="K69" s="67" t="s">
        <v>25003</v>
      </c>
      <c r="L69" s="71"/>
      <c r="M69" s="72"/>
      <c r="N69" s="72"/>
      <c r="O69" s="73"/>
      <c r="P69" s="74"/>
      <c r="Q69" s="74"/>
      <c r="R69" s="86"/>
      <c r="S69" s="86"/>
      <c r="T69" s="86"/>
      <c r="U69" s="86"/>
      <c r="V69" s="48"/>
      <c r="W69" s="48"/>
      <c r="X69" s="48"/>
      <c r="Y69" s="48"/>
      <c r="Z69" s="47"/>
      <c r="AA69" s="69">
        <v>69</v>
      </c>
      <c r="AB69" s="69"/>
      <c r="AC69" s="70"/>
      <c r="AD69" s="76" t="s">
        <v>21882</v>
      </c>
      <c r="AE69" s="81" t="s">
        <v>21057</v>
      </c>
      <c r="AF69" s="76">
        <v>1</v>
      </c>
      <c r="AG69" s="76">
        <v>1</v>
      </c>
      <c r="AH69" s="76">
        <v>22</v>
      </c>
      <c r="AI69" s="76">
        <v>0</v>
      </c>
      <c r="AJ69" s="76">
        <v>0</v>
      </c>
      <c r="AK69" s="76">
        <v>18</v>
      </c>
      <c r="AL69" s="76" t="b">
        <v>0</v>
      </c>
      <c r="AM69" s="78">
        <v>45166.229085648149</v>
      </c>
      <c r="AN69" s="76"/>
      <c r="AO69" s="76" t="s">
        <v>23403</v>
      </c>
      <c r="AP69" s="76"/>
      <c r="AQ69" s="76"/>
      <c r="AR69" s="76"/>
      <c r="AS69" s="76"/>
      <c r="AT69" s="76"/>
      <c r="AU69" s="76"/>
      <c r="AV69" s="76"/>
      <c r="AW69" s="76"/>
      <c r="AX69" s="76" t="b">
        <v>0</v>
      </c>
      <c r="AY69" s="76"/>
      <c r="AZ69" s="76"/>
      <c r="BA69" s="76" t="b">
        <v>0</v>
      </c>
      <c r="BB69" s="76" t="b">
        <v>1</v>
      </c>
      <c r="BC69" s="76" t="b">
        <v>1</v>
      </c>
      <c r="BD69" s="76" t="b">
        <v>0</v>
      </c>
      <c r="BE69" s="76" t="b">
        <v>0</v>
      </c>
      <c r="BF69" s="76" t="b">
        <v>0</v>
      </c>
      <c r="BG69" s="76" t="b">
        <v>0</v>
      </c>
      <c r="BH69" s="76"/>
      <c r="BI69" s="76"/>
      <c r="BJ69" s="76" t="s">
        <v>24935</v>
      </c>
      <c r="BK69" s="76" t="b">
        <v>0</v>
      </c>
      <c r="BL69" s="76"/>
      <c r="BM69" s="76" t="s">
        <v>66</v>
      </c>
      <c r="BN69" s="76" t="s">
        <v>24937</v>
      </c>
      <c r="BO69" s="83" t="str">
        <f>HYPERLINK("https://twitter.com/jzdverystress")</f>
        <v>https://twitter.com/jzdverystress</v>
      </c>
      <c r="BP69" s="2"/>
    </row>
    <row r="70" spans="1:68" x14ac:dyDescent="0.25">
      <c r="A70" s="62" t="s">
        <v>288</v>
      </c>
      <c r="B70" s="63"/>
      <c r="C70" s="63"/>
      <c r="D70" s="64"/>
      <c r="E70" s="66"/>
      <c r="F70" s="102" t="str">
        <f>HYPERLINK("https://pbs.twimg.com/profile_images/1666553887803822082/UmQSTjTl_normal.jpg")</f>
        <v>https://pbs.twimg.com/profile_images/1666553887803822082/UmQSTjTl_normal.jpg</v>
      </c>
      <c r="G70" s="63"/>
      <c r="H70" s="67"/>
      <c r="I70" s="68"/>
      <c r="J70" s="68"/>
      <c r="K70" s="67" t="s">
        <v>25004</v>
      </c>
      <c r="L70" s="71"/>
      <c r="M70" s="72"/>
      <c r="N70" s="72"/>
      <c r="O70" s="73"/>
      <c r="P70" s="74"/>
      <c r="Q70" s="74"/>
      <c r="R70" s="86"/>
      <c r="S70" s="86"/>
      <c r="T70" s="86"/>
      <c r="U70" s="86"/>
      <c r="V70" s="48"/>
      <c r="W70" s="48"/>
      <c r="X70" s="48"/>
      <c r="Y70" s="48"/>
      <c r="Z70" s="47"/>
      <c r="AA70" s="69">
        <v>70</v>
      </c>
      <c r="AB70" s="69"/>
      <c r="AC70" s="70"/>
      <c r="AD70" s="76" t="s">
        <v>21883</v>
      </c>
      <c r="AE70" s="81" t="s">
        <v>21058</v>
      </c>
      <c r="AF70" s="76">
        <v>0</v>
      </c>
      <c r="AG70" s="76">
        <v>5</v>
      </c>
      <c r="AH70" s="76">
        <v>4</v>
      </c>
      <c r="AI70" s="76">
        <v>0</v>
      </c>
      <c r="AJ70" s="76">
        <v>4</v>
      </c>
      <c r="AK70" s="76">
        <v>2</v>
      </c>
      <c r="AL70" s="76" t="b">
        <v>0</v>
      </c>
      <c r="AM70" s="78">
        <v>43701.149155092593</v>
      </c>
      <c r="AN70" s="76"/>
      <c r="AO70" s="76" t="s">
        <v>23404</v>
      </c>
      <c r="AP70" s="76"/>
      <c r="AQ70" s="76"/>
      <c r="AR70" s="76"/>
      <c r="AS70" s="76"/>
      <c r="AT70" s="76"/>
      <c r="AU70" s="76"/>
      <c r="AV70" s="76"/>
      <c r="AW70" s="76"/>
      <c r="AX70" s="76" t="b">
        <v>0</v>
      </c>
      <c r="AY70" s="76"/>
      <c r="AZ70" s="76"/>
      <c r="BA70" s="76" t="b">
        <v>0</v>
      </c>
      <c r="BB70" s="76" t="b">
        <v>1</v>
      </c>
      <c r="BC70" s="76" t="b">
        <v>1</v>
      </c>
      <c r="BD70" s="76" t="b">
        <v>0</v>
      </c>
      <c r="BE70" s="76" t="b">
        <v>0</v>
      </c>
      <c r="BF70" s="76" t="b">
        <v>0</v>
      </c>
      <c r="BG70" s="76" t="b">
        <v>0</v>
      </c>
      <c r="BH70" s="76"/>
      <c r="BI70" s="76"/>
      <c r="BJ70" s="76" t="s">
        <v>24935</v>
      </c>
      <c r="BK70" s="76" t="b">
        <v>0</v>
      </c>
      <c r="BL70" s="76"/>
      <c r="BM70" s="76" t="s">
        <v>66</v>
      </c>
      <c r="BN70" s="76" t="s">
        <v>24937</v>
      </c>
      <c r="BO70" s="83" t="str">
        <f>HYPERLINK("https://twitter.com/siilvaa_09")</f>
        <v>https://twitter.com/siilvaa_09</v>
      </c>
      <c r="BP70" s="2"/>
    </row>
    <row r="71" spans="1:68" x14ac:dyDescent="0.25">
      <c r="A71" s="62" t="s">
        <v>289</v>
      </c>
      <c r="B71" s="63"/>
      <c r="C71" s="63"/>
      <c r="D71" s="64"/>
      <c r="E71" s="66"/>
      <c r="F71" s="102" t="str">
        <f>HYPERLINK("https://pbs.twimg.com/profile_images/1628109360260841472/cqxrZ3JU_normal.jpg")</f>
        <v>https://pbs.twimg.com/profile_images/1628109360260841472/cqxrZ3JU_normal.jpg</v>
      </c>
      <c r="G71" s="63"/>
      <c r="H71" s="67"/>
      <c r="I71" s="68"/>
      <c r="J71" s="68"/>
      <c r="K71" s="67" t="s">
        <v>25005</v>
      </c>
      <c r="L71" s="71"/>
      <c r="M71" s="72"/>
      <c r="N71" s="72"/>
      <c r="O71" s="73"/>
      <c r="P71" s="74"/>
      <c r="Q71" s="74"/>
      <c r="R71" s="86"/>
      <c r="S71" s="86"/>
      <c r="T71" s="86"/>
      <c r="U71" s="86"/>
      <c r="V71" s="48"/>
      <c r="W71" s="48"/>
      <c r="X71" s="48"/>
      <c r="Y71" s="48"/>
      <c r="Z71" s="47"/>
      <c r="AA71" s="69">
        <v>71</v>
      </c>
      <c r="AB71" s="69"/>
      <c r="AC71" s="70"/>
      <c r="AD71" s="76" t="s">
        <v>21884</v>
      </c>
      <c r="AE71" s="81" t="s">
        <v>20901</v>
      </c>
      <c r="AF71" s="76">
        <v>0</v>
      </c>
      <c r="AG71" s="76">
        <v>4</v>
      </c>
      <c r="AH71" s="76">
        <v>11</v>
      </c>
      <c r="AI71" s="76">
        <v>1</v>
      </c>
      <c r="AJ71" s="76">
        <v>3</v>
      </c>
      <c r="AK71" s="76">
        <v>4</v>
      </c>
      <c r="AL71" s="76" t="b">
        <v>0</v>
      </c>
      <c r="AM71" s="78">
        <v>44775.43922453704</v>
      </c>
      <c r="AN71" s="76" t="s">
        <v>14033</v>
      </c>
      <c r="AO71" s="76" t="s">
        <v>23405</v>
      </c>
      <c r="AP71" s="83" t="str">
        <f>HYPERLINK("https://t.co/61bU9ICcmu")</f>
        <v>https://t.co/61bU9ICcmu</v>
      </c>
      <c r="AQ71" s="83" t="str">
        <f>HYPERLINK("https://pay.kiwify.com.br/RJxS6LU")</f>
        <v>https://pay.kiwify.com.br/RJxS6LU</v>
      </c>
      <c r="AR71" s="76" t="s">
        <v>24288</v>
      </c>
      <c r="AS71" s="76"/>
      <c r="AT71" s="76"/>
      <c r="AU71" s="76"/>
      <c r="AV71" s="76"/>
      <c r="AW71" s="83" t="str">
        <f>HYPERLINK("https://t.co/61bU9ICcmu")</f>
        <v>https://t.co/61bU9ICcmu</v>
      </c>
      <c r="AX71" s="76" t="b">
        <v>0</v>
      </c>
      <c r="AY71" s="76"/>
      <c r="AZ71" s="76"/>
      <c r="BA71" s="76" t="b">
        <v>0</v>
      </c>
      <c r="BB71" s="76" t="b">
        <v>1</v>
      </c>
      <c r="BC71" s="76" t="b">
        <v>1</v>
      </c>
      <c r="BD71" s="76" t="b">
        <v>0</v>
      </c>
      <c r="BE71" s="76" t="b">
        <v>0</v>
      </c>
      <c r="BF71" s="76" t="b">
        <v>0</v>
      </c>
      <c r="BG71" s="76" t="b">
        <v>0</v>
      </c>
      <c r="BH71" s="83" t="str">
        <f>HYPERLINK("https://pbs.twimg.com/profile_banners/1554414788662403074/1692842308")</f>
        <v>https://pbs.twimg.com/profile_banners/1554414788662403074/1692842308</v>
      </c>
      <c r="BI71" s="76"/>
      <c r="BJ71" s="76" t="s">
        <v>24935</v>
      </c>
      <c r="BK71" s="76" t="b">
        <v>0</v>
      </c>
      <c r="BL71" s="76"/>
      <c r="BM71" s="76" t="s">
        <v>66</v>
      </c>
      <c r="BN71" s="76" t="s">
        <v>24937</v>
      </c>
      <c r="BO71" s="83" t="str">
        <f>HYPERLINK("https://twitter.com/elianmateuss_")</f>
        <v>https://twitter.com/elianmateuss_</v>
      </c>
      <c r="BP71" s="2"/>
    </row>
    <row r="72" spans="1:68" x14ac:dyDescent="0.25">
      <c r="A72" s="62" t="s">
        <v>290</v>
      </c>
      <c r="B72" s="63"/>
      <c r="C72" s="63"/>
      <c r="D72" s="64"/>
      <c r="E72" s="66"/>
      <c r="F72" s="102" t="str">
        <f>HYPERLINK("https://pbs.twimg.com/profile_images/1504992930423099395/kNBxd6pX_normal.jpg")</f>
        <v>https://pbs.twimg.com/profile_images/1504992930423099395/kNBxd6pX_normal.jpg</v>
      </c>
      <c r="G72" s="63"/>
      <c r="H72" s="67"/>
      <c r="I72" s="68"/>
      <c r="J72" s="68"/>
      <c r="K72" s="67" t="s">
        <v>25006</v>
      </c>
      <c r="L72" s="71"/>
      <c r="M72" s="72"/>
      <c r="N72" s="72"/>
      <c r="O72" s="73"/>
      <c r="P72" s="74"/>
      <c r="Q72" s="74"/>
      <c r="R72" s="86"/>
      <c r="S72" s="86"/>
      <c r="T72" s="86"/>
      <c r="U72" s="86"/>
      <c r="V72" s="48"/>
      <c r="W72" s="48"/>
      <c r="X72" s="48"/>
      <c r="Y72" s="48"/>
      <c r="Z72" s="47"/>
      <c r="AA72" s="69">
        <v>72</v>
      </c>
      <c r="AB72" s="69"/>
      <c r="AC72" s="70"/>
      <c r="AD72" s="76" t="s">
        <v>21885</v>
      </c>
      <c r="AE72" s="81" t="s">
        <v>22872</v>
      </c>
      <c r="AF72" s="76">
        <v>332</v>
      </c>
      <c r="AG72" s="76">
        <v>860</v>
      </c>
      <c r="AH72" s="76">
        <v>3635</v>
      </c>
      <c r="AI72" s="76">
        <v>1</v>
      </c>
      <c r="AJ72" s="76">
        <v>979</v>
      </c>
      <c r="AK72" s="76">
        <v>177</v>
      </c>
      <c r="AL72" s="76" t="b">
        <v>0</v>
      </c>
      <c r="AM72" s="78">
        <v>40191.672268518516</v>
      </c>
      <c r="AN72" s="76" t="s">
        <v>23094</v>
      </c>
      <c r="AO72" s="76" t="s">
        <v>23406</v>
      </c>
      <c r="AP72" s="76"/>
      <c r="AQ72" s="76"/>
      <c r="AR72" s="76"/>
      <c r="AS72" s="76"/>
      <c r="AT72" s="76"/>
      <c r="AU72" s="76"/>
      <c r="AV72" s="76">
        <v>1.5678505218300301E+18</v>
      </c>
      <c r="AW72" s="76"/>
      <c r="AX72" s="76" t="b">
        <v>0</v>
      </c>
      <c r="AY72" s="76"/>
      <c r="AZ72" s="76"/>
      <c r="BA72" s="76" t="b">
        <v>1</v>
      </c>
      <c r="BB72" s="76" t="b">
        <v>1</v>
      </c>
      <c r="BC72" s="76" t="b">
        <v>0</v>
      </c>
      <c r="BD72" s="76" t="b">
        <v>0</v>
      </c>
      <c r="BE72" s="76" t="b">
        <v>1</v>
      </c>
      <c r="BF72" s="76" t="b">
        <v>0</v>
      </c>
      <c r="BG72" s="76" t="b">
        <v>0</v>
      </c>
      <c r="BH72" s="83" t="str">
        <f>HYPERLINK("https://pbs.twimg.com/profile_banners/104526523/1545921288")</f>
        <v>https://pbs.twimg.com/profile_banners/104526523/1545921288</v>
      </c>
      <c r="BI72" s="76"/>
      <c r="BJ72" s="76" t="s">
        <v>24935</v>
      </c>
      <c r="BK72" s="76" t="b">
        <v>0</v>
      </c>
      <c r="BL72" s="76"/>
      <c r="BM72" s="76" t="s">
        <v>66</v>
      </c>
      <c r="BN72" s="76" t="s">
        <v>24937</v>
      </c>
      <c r="BO72" s="83" t="str">
        <f>HYPERLINK("https://twitter.com/tonpecoraro")</f>
        <v>https://twitter.com/tonpecoraro</v>
      </c>
      <c r="BP72" s="2"/>
    </row>
    <row r="73" spans="1:68" x14ac:dyDescent="0.25">
      <c r="A73" s="62" t="s">
        <v>291</v>
      </c>
      <c r="B73" s="63"/>
      <c r="C73" s="63"/>
      <c r="D73" s="64"/>
      <c r="E73" s="66"/>
      <c r="F73" s="102" t="str">
        <f>HYPERLINK("https://pbs.twimg.com/profile_images/1618704448913645585/SRa-pW4s_normal.jpg")</f>
        <v>https://pbs.twimg.com/profile_images/1618704448913645585/SRa-pW4s_normal.jpg</v>
      </c>
      <c r="G73" s="63"/>
      <c r="H73" s="67"/>
      <c r="I73" s="68"/>
      <c r="J73" s="68"/>
      <c r="K73" s="67" t="s">
        <v>25007</v>
      </c>
      <c r="L73" s="71"/>
      <c r="M73" s="72"/>
      <c r="N73" s="72"/>
      <c r="O73" s="73"/>
      <c r="P73" s="74"/>
      <c r="Q73" s="74"/>
      <c r="R73" s="86"/>
      <c r="S73" s="86"/>
      <c r="T73" s="86"/>
      <c r="U73" s="86"/>
      <c r="V73" s="48"/>
      <c r="W73" s="48"/>
      <c r="X73" s="48"/>
      <c r="Y73" s="48"/>
      <c r="Z73" s="47"/>
      <c r="AA73" s="69">
        <v>73</v>
      </c>
      <c r="AB73" s="69"/>
      <c r="AC73" s="70"/>
      <c r="AD73" s="76" t="s">
        <v>21886</v>
      </c>
      <c r="AE73" s="81" t="s">
        <v>22873</v>
      </c>
      <c r="AF73" s="76">
        <v>14784</v>
      </c>
      <c r="AG73" s="76">
        <v>270</v>
      </c>
      <c r="AH73" s="76">
        <v>47161</v>
      </c>
      <c r="AI73" s="76">
        <v>44</v>
      </c>
      <c r="AJ73" s="76">
        <v>143</v>
      </c>
      <c r="AK73" s="76">
        <v>14410</v>
      </c>
      <c r="AL73" s="76" t="b">
        <v>0</v>
      </c>
      <c r="AM73" s="78">
        <v>40489.528587962966</v>
      </c>
      <c r="AN73" s="76" t="s">
        <v>14033</v>
      </c>
      <c r="AO73" s="83" t="str">
        <f>HYPERLINK("https://t.co/qlnZ5UsZ7Y")</f>
        <v>https://t.co/qlnZ5UsZ7Y</v>
      </c>
      <c r="AP73" s="83" t="str">
        <f>HYPERLINK("https://t.co/3JGflcEKcN")</f>
        <v>https://t.co/3JGflcEKcN</v>
      </c>
      <c r="AQ73" s="83" t="str">
        <f>HYPERLINK("http://www.jornalcontabil.com.br")</f>
        <v>http://www.jornalcontabil.com.br</v>
      </c>
      <c r="AR73" s="76" t="s">
        <v>24289</v>
      </c>
      <c r="AS73" s="83" t="str">
        <f>HYPERLINK("https://t.co/qlnZ5UsZ7Y")</f>
        <v>https://t.co/qlnZ5UsZ7Y</v>
      </c>
      <c r="AT73" s="83" t="str">
        <f>HYPERLINK("http://jornalcontabil.com.br")</f>
        <v>http://jornalcontabil.com.br</v>
      </c>
      <c r="AU73" s="76" t="s">
        <v>24289</v>
      </c>
      <c r="AV73" s="76"/>
      <c r="AW73" s="83" t="str">
        <f>HYPERLINK("https://t.co/3JGflcEKcN")</f>
        <v>https://t.co/3JGflcEKcN</v>
      </c>
      <c r="AX73" s="76" t="b">
        <v>0</v>
      </c>
      <c r="AY73" s="76"/>
      <c r="AZ73" s="76"/>
      <c r="BA73" s="76" t="b">
        <v>0</v>
      </c>
      <c r="BB73" s="76" t="b">
        <v>1</v>
      </c>
      <c r="BC73" s="76" t="b">
        <v>0</v>
      </c>
      <c r="BD73" s="76" t="b">
        <v>0</v>
      </c>
      <c r="BE73" s="76" t="b">
        <v>1</v>
      </c>
      <c r="BF73" s="76" t="b">
        <v>0</v>
      </c>
      <c r="BG73" s="76" t="b">
        <v>0</v>
      </c>
      <c r="BH73" s="83" t="str">
        <f>HYPERLINK("https://pbs.twimg.com/profile_banners/212916157/1666613705")</f>
        <v>https://pbs.twimg.com/profile_banners/212916157/1666613705</v>
      </c>
      <c r="BI73" s="76"/>
      <c r="BJ73" s="76" t="s">
        <v>24935</v>
      </c>
      <c r="BK73" s="76" t="b">
        <v>0</v>
      </c>
      <c r="BL73" s="76"/>
      <c r="BM73" s="76" t="s">
        <v>66</v>
      </c>
      <c r="BN73" s="76" t="s">
        <v>24937</v>
      </c>
      <c r="BO73" s="83" t="str">
        <f>HYPERLINK("https://twitter.com/jornalcontabil_")</f>
        <v>https://twitter.com/jornalcontabil_</v>
      </c>
      <c r="BP73" s="2"/>
    </row>
    <row r="74" spans="1:68" x14ac:dyDescent="0.25">
      <c r="A74" s="62" t="s">
        <v>292</v>
      </c>
      <c r="B74" s="63"/>
      <c r="C74" s="63"/>
      <c r="D74" s="64"/>
      <c r="E74" s="66"/>
      <c r="F74" s="102" t="str">
        <f>HYPERLINK("https://pbs.twimg.com/profile_images/1675278321117016064/HYBCfWAz_normal.jpg")</f>
        <v>https://pbs.twimg.com/profile_images/1675278321117016064/HYBCfWAz_normal.jpg</v>
      </c>
      <c r="G74" s="63"/>
      <c r="H74" s="67"/>
      <c r="I74" s="68"/>
      <c r="J74" s="68"/>
      <c r="K74" s="67" t="s">
        <v>25008</v>
      </c>
      <c r="L74" s="71"/>
      <c r="M74" s="72"/>
      <c r="N74" s="72"/>
      <c r="O74" s="73"/>
      <c r="P74" s="74"/>
      <c r="Q74" s="74"/>
      <c r="R74" s="86"/>
      <c r="S74" s="86"/>
      <c r="T74" s="86"/>
      <c r="U74" s="86"/>
      <c r="V74" s="48"/>
      <c r="W74" s="48"/>
      <c r="X74" s="48"/>
      <c r="Y74" s="48"/>
      <c r="Z74" s="47"/>
      <c r="AA74" s="69">
        <v>74</v>
      </c>
      <c r="AB74" s="69"/>
      <c r="AC74" s="70"/>
      <c r="AD74" s="76" t="s">
        <v>21887</v>
      </c>
      <c r="AE74" s="81" t="s">
        <v>21059</v>
      </c>
      <c r="AF74" s="76">
        <v>2</v>
      </c>
      <c r="AG74" s="76">
        <v>17</v>
      </c>
      <c r="AH74" s="76">
        <v>17</v>
      </c>
      <c r="AI74" s="76">
        <v>0</v>
      </c>
      <c r="AJ74" s="76">
        <v>4</v>
      </c>
      <c r="AK74" s="76">
        <v>3</v>
      </c>
      <c r="AL74" s="76" t="b">
        <v>0</v>
      </c>
      <c r="AM74" s="78">
        <v>45093.671712962961</v>
      </c>
      <c r="AN74" s="76" t="s">
        <v>23095</v>
      </c>
      <c r="AO74" s="76" t="s">
        <v>23407</v>
      </c>
      <c r="AP74" s="83" t="str">
        <f>HYPERLINK("https://t.co/KpQ4elZ2XN")</f>
        <v>https://t.co/KpQ4elZ2XN</v>
      </c>
      <c r="AQ74" s="83" t="str">
        <f>HYPERLINK("https://linktr.ee/juniorsocialmedia1")</f>
        <v>https://linktr.ee/juniorsocialmedia1</v>
      </c>
      <c r="AR74" s="76" t="s">
        <v>24290</v>
      </c>
      <c r="AS74" s="76"/>
      <c r="AT74" s="76"/>
      <c r="AU74" s="76"/>
      <c r="AV74" s="76"/>
      <c r="AW74" s="83" t="str">
        <f>HYPERLINK("https://t.co/KpQ4elZ2XN")</f>
        <v>https://t.co/KpQ4elZ2XN</v>
      </c>
      <c r="AX74" s="76" t="b">
        <v>0</v>
      </c>
      <c r="AY74" s="76"/>
      <c r="AZ74" s="76"/>
      <c r="BA74" s="76" t="b">
        <v>0</v>
      </c>
      <c r="BB74" s="76" t="b">
        <v>1</v>
      </c>
      <c r="BC74" s="76" t="b">
        <v>1</v>
      </c>
      <c r="BD74" s="76" t="b">
        <v>0</v>
      </c>
      <c r="BE74" s="76" t="b">
        <v>0</v>
      </c>
      <c r="BF74" s="76" t="b">
        <v>0</v>
      </c>
      <c r="BG74" s="76" t="b">
        <v>0</v>
      </c>
      <c r="BH74" s="83" t="str">
        <f>HYPERLINK("https://pbs.twimg.com/profile_banners/1669738326109159425/1688252155")</f>
        <v>https://pbs.twimg.com/profile_banners/1669738326109159425/1688252155</v>
      </c>
      <c r="BI74" s="76"/>
      <c r="BJ74" s="76" t="s">
        <v>24935</v>
      </c>
      <c r="BK74" s="76" t="b">
        <v>0</v>
      </c>
      <c r="BL74" s="76"/>
      <c r="BM74" s="76" t="s">
        <v>66</v>
      </c>
      <c r="BN74" s="76" t="s">
        <v>24937</v>
      </c>
      <c r="BO74" s="83" t="str">
        <f>HYPERLINK("https://twitter.com/jroliveirasm")</f>
        <v>https://twitter.com/jroliveirasm</v>
      </c>
      <c r="BP74" s="2"/>
    </row>
    <row r="75" spans="1:68" x14ac:dyDescent="0.25">
      <c r="A75" s="62" t="s">
        <v>293</v>
      </c>
      <c r="B75" s="63"/>
      <c r="C75" s="63"/>
      <c r="D75" s="64"/>
      <c r="E75" s="66"/>
      <c r="F75" s="102" t="str">
        <f>HYPERLINK("https://pbs.twimg.com/profile_images/1539571600353288197/2lq50kWz_normal.jpg")</f>
        <v>https://pbs.twimg.com/profile_images/1539571600353288197/2lq50kWz_normal.jpg</v>
      </c>
      <c r="G75" s="63"/>
      <c r="H75" s="67"/>
      <c r="I75" s="68"/>
      <c r="J75" s="68"/>
      <c r="K75" s="67" t="s">
        <v>25009</v>
      </c>
      <c r="L75" s="71"/>
      <c r="M75" s="72"/>
      <c r="N75" s="72"/>
      <c r="O75" s="73"/>
      <c r="P75" s="74"/>
      <c r="Q75" s="74"/>
      <c r="R75" s="86"/>
      <c r="S75" s="86"/>
      <c r="T75" s="86"/>
      <c r="U75" s="86"/>
      <c r="V75" s="48"/>
      <c r="W75" s="48"/>
      <c r="X75" s="48"/>
      <c r="Y75" s="48"/>
      <c r="Z75" s="47"/>
      <c r="AA75" s="69">
        <v>75</v>
      </c>
      <c r="AB75" s="69"/>
      <c r="AC75" s="70"/>
      <c r="AD75" s="76" t="s">
        <v>21888</v>
      </c>
      <c r="AE75" s="81" t="s">
        <v>21060</v>
      </c>
      <c r="AF75" s="76">
        <v>2</v>
      </c>
      <c r="AG75" s="76">
        <v>46</v>
      </c>
      <c r="AH75" s="76">
        <v>13</v>
      </c>
      <c r="AI75" s="76">
        <v>0</v>
      </c>
      <c r="AJ75" s="76">
        <v>11</v>
      </c>
      <c r="AK75" s="76">
        <v>9</v>
      </c>
      <c r="AL75" s="76" t="b">
        <v>0</v>
      </c>
      <c r="AM75" s="78">
        <v>44734.479710648149</v>
      </c>
      <c r="AN75" s="76"/>
      <c r="AO75" s="76"/>
      <c r="AP75" s="76"/>
      <c r="AQ75" s="76"/>
      <c r="AR75" s="76"/>
      <c r="AS75" s="76"/>
      <c r="AT75" s="76"/>
      <c r="AU75" s="76"/>
      <c r="AV75" s="76">
        <v>1.6560037360350999E+18</v>
      </c>
      <c r="AW75" s="76"/>
      <c r="AX75" s="76" t="b">
        <v>0</v>
      </c>
      <c r="AY75" s="76"/>
      <c r="AZ75" s="76"/>
      <c r="BA75" s="76" t="b">
        <v>0</v>
      </c>
      <c r="BB75" s="76" t="b">
        <v>1</v>
      </c>
      <c r="BC75" s="76" t="b">
        <v>1</v>
      </c>
      <c r="BD75" s="76" t="b">
        <v>0</v>
      </c>
      <c r="BE75" s="76" t="b">
        <v>0</v>
      </c>
      <c r="BF75" s="76" t="b">
        <v>0</v>
      </c>
      <c r="BG75" s="76" t="b">
        <v>0</v>
      </c>
      <c r="BH75" s="83" t="str">
        <f>HYPERLINK("https://pbs.twimg.com/profile_banners/1539571527275905024/1676477868")</f>
        <v>https://pbs.twimg.com/profile_banners/1539571527275905024/1676477868</v>
      </c>
      <c r="BI75" s="76"/>
      <c r="BJ75" s="76" t="s">
        <v>24935</v>
      </c>
      <c r="BK75" s="76" t="b">
        <v>0</v>
      </c>
      <c r="BL75" s="76"/>
      <c r="BM75" s="76" t="s">
        <v>66</v>
      </c>
      <c r="BN75" s="76" t="s">
        <v>24937</v>
      </c>
      <c r="BO75" s="83" t="str">
        <f>HYPERLINK("https://twitter.com/fernaandfranca")</f>
        <v>https://twitter.com/fernaandfranca</v>
      </c>
      <c r="BP75" s="2"/>
    </row>
    <row r="76" spans="1:68" x14ac:dyDescent="0.25">
      <c r="A76" s="62" t="s">
        <v>294</v>
      </c>
      <c r="B76" s="63"/>
      <c r="C76" s="63"/>
      <c r="D76" s="64"/>
      <c r="E76" s="66"/>
      <c r="F76" s="102" t="str">
        <f>HYPERLINK("https://pbs.twimg.com/profile_images/1677679152789352448/G_47asC9_normal.jpg")</f>
        <v>https://pbs.twimg.com/profile_images/1677679152789352448/G_47asC9_normal.jpg</v>
      </c>
      <c r="G76" s="63"/>
      <c r="H76" s="67"/>
      <c r="I76" s="68"/>
      <c r="J76" s="68"/>
      <c r="K76" s="67" t="s">
        <v>25010</v>
      </c>
      <c r="L76" s="71"/>
      <c r="M76" s="72"/>
      <c r="N76" s="72"/>
      <c r="O76" s="73"/>
      <c r="P76" s="74"/>
      <c r="Q76" s="74"/>
      <c r="R76" s="86"/>
      <c r="S76" s="86"/>
      <c r="T76" s="86"/>
      <c r="U76" s="86"/>
      <c r="V76" s="48"/>
      <c r="W76" s="48"/>
      <c r="X76" s="48"/>
      <c r="Y76" s="48"/>
      <c r="Z76" s="47"/>
      <c r="AA76" s="69">
        <v>76</v>
      </c>
      <c r="AB76" s="69"/>
      <c r="AC76" s="70"/>
      <c r="AD76" s="76" t="s">
        <v>21889</v>
      </c>
      <c r="AE76" s="81" t="s">
        <v>21061</v>
      </c>
      <c r="AF76" s="76">
        <v>1042</v>
      </c>
      <c r="AG76" s="76">
        <v>1339</v>
      </c>
      <c r="AH76" s="76">
        <v>2140</v>
      </c>
      <c r="AI76" s="76">
        <v>0</v>
      </c>
      <c r="AJ76" s="76">
        <v>6777</v>
      </c>
      <c r="AK76" s="76">
        <v>513</v>
      </c>
      <c r="AL76" s="76" t="b">
        <v>0</v>
      </c>
      <c r="AM76" s="78">
        <v>44422.809629629628</v>
      </c>
      <c r="AN76" s="76" t="s">
        <v>14033</v>
      </c>
      <c r="AO76" s="76" t="s">
        <v>23408</v>
      </c>
      <c r="AP76" s="76"/>
      <c r="AQ76" s="76"/>
      <c r="AR76" s="76"/>
      <c r="AS76" s="76"/>
      <c r="AT76" s="76"/>
      <c r="AU76" s="76"/>
      <c r="AV76" s="76">
        <v>1.70245225724819E+18</v>
      </c>
      <c r="AW76" s="76"/>
      <c r="AX76" s="76" t="b">
        <v>0</v>
      </c>
      <c r="AY76" s="76"/>
      <c r="AZ76" s="76"/>
      <c r="BA76" s="76" t="b">
        <v>0</v>
      </c>
      <c r="BB76" s="76" t="b">
        <v>1</v>
      </c>
      <c r="BC76" s="76" t="b">
        <v>1</v>
      </c>
      <c r="BD76" s="76" t="b">
        <v>0</v>
      </c>
      <c r="BE76" s="76" t="b">
        <v>0</v>
      </c>
      <c r="BF76" s="76" t="b">
        <v>0</v>
      </c>
      <c r="BG76" s="76" t="b">
        <v>0</v>
      </c>
      <c r="BH76" s="83" t="str">
        <f>HYPERLINK("https://pbs.twimg.com/profile_banners/1426626062298066946/1688766153")</f>
        <v>https://pbs.twimg.com/profile_banners/1426626062298066946/1688766153</v>
      </c>
      <c r="BI76" s="76"/>
      <c r="BJ76" s="76" t="s">
        <v>24935</v>
      </c>
      <c r="BK76" s="76" t="b">
        <v>0</v>
      </c>
      <c r="BL76" s="76"/>
      <c r="BM76" s="76" t="s">
        <v>66</v>
      </c>
      <c r="BN76" s="76" t="s">
        <v>24937</v>
      </c>
      <c r="BO76" s="83" t="str">
        <f>HYPERLINK("https://twitter.com/applucrando")</f>
        <v>https://twitter.com/applucrando</v>
      </c>
      <c r="BP76" s="2"/>
    </row>
    <row r="77" spans="1:68" x14ac:dyDescent="0.25">
      <c r="A77" s="62" t="s">
        <v>295</v>
      </c>
      <c r="B77" s="63"/>
      <c r="C77" s="63"/>
      <c r="D77" s="64"/>
      <c r="E77" s="66"/>
      <c r="F77" s="102" t="str">
        <f>HYPERLINK("https://pbs.twimg.com/profile_images/1567696820033277953/6fSm5gzY_normal.jpg")</f>
        <v>https://pbs.twimg.com/profile_images/1567696820033277953/6fSm5gzY_normal.jpg</v>
      </c>
      <c r="G77" s="63"/>
      <c r="H77" s="67"/>
      <c r="I77" s="68"/>
      <c r="J77" s="68"/>
      <c r="K77" s="67" t="s">
        <v>25011</v>
      </c>
      <c r="L77" s="71"/>
      <c r="M77" s="72"/>
      <c r="N77" s="72"/>
      <c r="O77" s="73"/>
      <c r="P77" s="74"/>
      <c r="Q77" s="74"/>
      <c r="R77" s="86"/>
      <c r="S77" s="86"/>
      <c r="T77" s="86"/>
      <c r="U77" s="86"/>
      <c r="V77" s="48"/>
      <c r="W77" s="48"/>
      <c r="X77" s="48"/>
      <c r="Y77" s="48"/>
      <c r="Z77" s="47"/>
      <c r="AA77" s="69">
        <v>77</v>
      </c>
      <c r="AB77" s="69"/>
      <c r="AC77" s="70"/>
      <c r="AD77" s="76" t="s">
        <v>21890</v>
      </c>
      <c r="AE77" s="81" t="s">
        <v>22874</v>
      </c>
      <c r="AF77" s="76">
        <v>266</v>
      </c>
      <c r="AG77" s="76">
        <v>1870</v>
      </c>
      <c r="AH77" s="76">
        <v>5486</v>
      </c>
      <c r="AI77" s="76">
        <v>4</v>
      </c>
      <c r="AJ77" s="76">
        <v>2729</v>
      </c>
      <c r="AK77" s="76">
        <v>502</v>
      </c>
      <c r="AL77" s="76" t="b">
        <v>0</v>
      </c>
      <c r="AM77" s="78">
        <v>40721.636759259258</v>
      </c>
      <c r="AN77" s="76" t="s">
        <v>14033</v>
      </c>
      <c r="AO77" s="76" t="s">
        <v>23409</v>
      </c>
      <c r="AP77" s="76"/>
      <c r="AQ77" s="76"/>
      <c r="AR77" s="76"/>
      <c r="AS77" s="76"/>
      <c r="AT77" s="76"/>
      <c r="AU77" s="76"/>
      <c r="AV77" s="76">
        <v>1.47252928573074E+18</v>
      </c>
      <c r="AW77" s="76"/>
      <c r="AX77" s="76" t="b">
        <v>0</v>
      </c>
      <c r="AY77" s="76"/>
      <c r="AZ77" s="76"/>
      <c r="BA77" s="76" t="b">
        <v>0</v>
      </c>
      <c r="BB77" s="76" t="b">
        <v>0</v>
      </c>
      <c r="BC77" s="76" t="b">
        <v>1</v>
      </c>
      <c r="BD77" s="76" t="b">
        <v>0</v>
      </c>
      <c r="BE77" s="76" t="b">
        <v>1</v>
      </c>
      <c r="BF77" s="76" t="b">
        <v>0</v>
      </c>
      <c r="BG77" s="76" t="b">
        <v>0</v>
      </c>
      <c r="BH77" s="83" t="str">
        <f>HYPERLINK("https://pbs.twimg.com/profile_banners/324990991/1639937469")</f>
        <v>https://pbs.twimg.com/profile_banners/324990991/1639937469</v>
      </c>
      <c r="BI77" s="76"/>
      <c r="BJ77" s="76" t="s">
        <v>24935</v>
      </c>
      <c r="BK77" s="76" t="b">
        <v>0</v>
      </c>
      <c r="BL77" s="76"/>
      <c r="BM77" s="76" t="s">
        <v>66</v>
      </c>
      <c r="BN77" s="76" t="s">
        <v>24937</v>
      </c>
      <c r="BO77" s="83" t="str">
        <f>HYPERLINK("https://twitter.com/sidyromero")</f>
        <v>https://twitter.com/sidyromero</v>
      </c>
      <c r="BP77" s="2"/>
    </row>
    <row r="78" spans="1:68" x14ac:dyDescent="0.25">
      <c r="A78" s="62" t="s">
        <v>296</v>
      </c>
      <c r="B78" s="63"/>
      <c r="C78" s="63"/>
      <c r="D78" s="64"/>
      <c r="E78" s="66"/>
      <c r="F78" s="102" t="str">
        <f>HYPERLINK("https://pbs.twimg.com/profile_images/1704113047550205952/whQFkaHr_normal.jpg")</f>
        <v>https://pbs.twimg.com/profile_images/1704113047550205952/whQFkaHr_normal.jpg</v>
      </c>
      <c r="G78" s="63"/>
      <c r="H78" s="67"/>
      <c r="I78" s="68"/>
      <c r="J78" s="68"/>
      <c r="K78" s="67" t="s">
        <v>25012</v>
      </c>
      <c r="L78" s="71"/>
      <c r="M78" s="72"/>
      <c r="N78" s="72"/>
      <c r="O78" s="73"/>
      <c r="P78" s="74"/>
      <c r="Q78" s="74"/>
      <c r="R78" s="86"/>
      <c r="S78" s="86"/>
      <c r="T78" s="86"/>
      <c r="U78" s="86"/>
      <c r="V78" s="48"/>
      <c r="W78" s="48"/>
      <c r="X78" s="48"/>
      <c r="Y78" s="48"/>
      <c r="Z78" s="47"/>
      <c r="AA78" s="69">
        <v>78</v>
      </c>
      <c r="AB78" s="69"/>
      <c r="AC78" s="70"/>
      <c r="AD78" s="76" t="s">
        <v>21891</v>
      </c>
      <c r="AE78" s="81" t="s">
        <v>21062</v>
      </c>
      <c r="AF78" s="76">
        <v>1</v>
      </c>
      <c r="AG78" s="76">
        <v>9</v>
      </c>
      <c r="AH78" s="76">
        <v>277</v>
      </c>
      <c r="AI78" s="76">
        <v>0</v>
      </c>
      <c r="AJ78" s="76">
        <v>1</v>
      </c>
      <c r="AK78" s="76">
        <v>179</v>
      </c>
      <c r="AL78" s="76" t="b">
        <v>0</v>
      </c>
      <c r="AM78" s="78">
        <v>44996.947685185187</v>
      </c>
      <c r="AN78" s="76"/>
      <c r="AO78" s="76"/>
      <c r="AP78" s="76"/>
      <c r="AQ78" s="76"/>
      <c r="AR78" s="76"/>
      <c r="AS78" s="76"/>
      <c r="AT78" s="76"/>
      <c r="AU78" s="76"/>
      <c r="AV78" s="76"/>
      <c r="AW78" s="76"/>
      <c r="AX78" s="76" t="b">
        <v>0</v>
      </c>
      <c r="AY78" s="76"/>
      <c r="AZ78" s="76"/>
      <c r="BA78" s="76" t="b">
        <v>0</v>
      </c>
      <c r="BB78" s="76" t="b">
        <v>1</v>
      </c>
      <c r="BC78" s="76" t="b">
        <v>1</v>
      </c>
      <c r="BD78" s="76" t="b">
        <v>0</v>
      </c>
      <c r="BE78" s="76" t="b">
        <v>0</v>
      </c>
      <c r="BF78" s="76" t="b">
        <v>0</v>
      </c>
      <c r="BG78" s="76" t="b">
        <v>0</v>
      </c>
      <c r="BH78" s="76"/>
      <c r="BI78" s="76"/>
      <c r="BJ78" s="76" t="s">
        <v>24935</v>
      </c>
      <c r="BK78" s="76" t="b">
        <v>0</v>
      </c>
      <c r="BL78" s="76"/>
      <c r="BM78" s="76" t="s">
        <v>66</v>
      </c>
      <c r="BN78" s="76" t="s">
        <v>24937</v>
      </c>
      <c r="BO78" s="83" t="str">
        <f>HYPERLINK("https://twitter.com/elisetepetriw")</f>
        <v>https://twitter.com/elisetepetriw</v>
      </c>
      <c r="BP78" s="2"/>
    </row>
    <row r="79" spans="1:68" x14ac:dyDescent="0.25">
      <c r="A79" s="62" t="s">
        <v>297</v>
      </c>
      <c r="B79" s="63"/>
      <c r="C79" s="63"/>
      <c r="D79" s="64"/>
      <c r="E79" s="66"/>
      <c r="F79" s="102" t="str">
        <f>HYPERLINK("https://pbs.twimg.com/profile_images/1595952681557835776/9fkxNPYz_normal.jpg")</f>
        <v>https://pbs.twimg.com/profile_images/1595952681557835776/9fkxNPYz_normal.jpg</v>
      </c>
      <c r="G79" s="63"/>
      <c r="H79" s="67"/>
      <c r="I79" s="68"/>
      <c r="J79" s="68"/>
      <c r="K79" s="67" t="s">
        <v>25013</v>
      </c>
      <c r="L79" s="71"/>
      <c r="M79" s="72"/>
      <c r="N79" s="72"/>
      <c r="O79" s="73"/>
      <c r="P79" s="74"/>
      <c r="Q79" s="74"/>
      <c r="R79" s="86"/>
      <c r="S79" s="86"/>
      <c r="T79" s="86"/>
      <c r="U79" s="86"/>
      <c r="V79" s="48"/>
      <c r="W79" s="48"/>
      <c r="X79" s="48"/>
      <c r="Y79" s="48"/>
      <c r="Z79" s="47"/>
      <c r="AA79" s="69">
        <v>79</v>
      </c>
      <c r="AB79" s="69"/>
      <c r="AC79" s="70"/>
      <c r="AD79" s="76" t="s">
        <v>21892</v>
      </c>
      <c r="AE79" s="81" t="s">
        <v>20902</v>
      </c>
      <c r="AF79" s="76">
        <v>5</v>
      </c>
      <c r="AG79" s="76">
        <v>32</v>
      </c>
      <c r="AH79" s="76">
        <v>77</v>
      </c>
      <c r="AI79" s="76">
        <v>0</v>
      </c>
      <c r="AJ79" s="76">
        <v>33</v>
      </c>
      <c r="AK79" s="76">
        <v>31</v>
      </c>
      <c r="AL79" s="76" t="b">
        <v>0</v>
      </c>
      <c r="AM79" s="78">
        <v>44575.975555555553</v>
      </c>
      <c r="AN79" s="76" t="s">
        <v>23096</v>
      </c>
      <c r="AO79" s="76" t="s">
        <v>23410</v>
      </c>
      <c r="AP79" s="76"/>
      <c r="AQ79" s="76"/>
      <c r="AR79" s="76"/>
      <c r="AS79" s="76"/>
      <c r="AT79" s="76"/>
      <c r="AU79" s="76"/>
      <c r="AV79" s="76"/>
      <c r="AW79" s="76"/>
      <c r="AX79" s="76" t="b">
        <v>0</v>
      </c>
      <c r="AY79" s="76"/>
      <c r="AZ79" s="76"/>
      <c r="BA79" s="76" t="b">
        <v>0</v>
      </c>
      <c r="BB79" s="76" t="b">
        <v>1</v>
      </c>
      <c r="BC79" s="76" t="b">
        <v>1</v>
      </c>
      <c r="BD79" s="76" t="b">
        <v>0</v>
      </c>
      <c r="BE79" s="76" t="b">
        <v>0</v>
      </c>
      <c r="BF79" s="76" t="b">
        <v>0</v>
      </c>
      <c r="BG79" s="76" t="b">
        <v>0</v>
      </c>
      <c r="BH79" s="83" t="str">
        <f>HYPERLINK("https://pbs.twimg.com/profile_banners/1482131437931352064/1642890543")</f>
        <v>https://pbs.twimg.com/profile_banners/1482131437931352064/1642890543</v>
      </c>
      <c r="BI79" s="76"/>
      <c r="BJ79" s="76" t="s">
        <v>24935</v>
      </c>
      <c r="BK79" s="76" t="b">
        <v>0</v>
      </c>
      <c r="BL79" s="76"/>
      <c r="BM79" s="76" t="s">
        <v>66</v>
      </c>
      <c r="BN79" s="76" t="s">
        <v>24937</v>
      </c>
      <c r="BO79" s="83" t="str">
        <f>HYPERLINK("https://twitter.com/simeiaveloso")</f>
        <v>https://twitter.com/simeiaveloso</v>
      </c>
      <c r="BP79" s="2"/>
    </row>
    <row r="80" spans="1:68" x14ac:dyDescent="0.25">
      <c r="A80" s="62" t="s">
        <v>298</v>
      </c>
      <c r="B80" s="63"/>
      <c r="C80" s="63"/>
      <c r="D80" s="64"/>
      <c r="E80" s="66"/>
      <c r="F80" s="102" t="str">
        <f>HYPERLINK("https://pbs.twimg.com/profile_images/1697834745936154624/DtUJF5ki_normal.jpg")</f>
        <v>https://pbs.twimg.com/profile_images/1697834745936154624/DtUJF5ki_normal.jpg</v>
      </c>
      <c r="G80" s="63"/>
      <c r="H80" s="67"/>
      <c r="I80" s="68"/>
      <c r="J80" s="68"/>
      <c r="K80" s="67" t="s">
        <v>25014</v>
      </c>
      <c r="L80" s="71"/>
      <c r="M80" s="72"/>
      <c r="N80" s="72"/>
      <c r="O80" s="73"/>
      <c r="P80" s="74"/>
      <c r="Q80" s="74"/>
      <c r="R80" s="86"/>
      <c r="S80" s="86"/>
      <c r="T80" s="86"/>
      <c r="U80" s="86"/>
      <c r="V80" s="48"/>
      <c r="W80" s="48"/>
      <c r="X80" s="48"/>
      <c r="Y80" s="48"/>
      <c r="Z80" s="47"/>
      <c r="AA80" s="69">
        <v>80</v>
      </c>
      <c r="AB80" s="69"/>
      <c r="AC80" s="70"/>
      <c r="AD80" s="76" t="s">
        <v>21893</v>
      </c>
      <c r="AE80" s="81" t="s">
        <v>21063</v>
      </c>
      <c r="AF80" s="76">
        <v>4</v>
      </c>
      <c r="AG80" s="76">
        <v>51</v>
      </c>
      <c r="AH80" s="76">
        <v>191</v>
      </c>
      <c r="AI80" s="76">
        <v>0</v>
      </c>
      <c r="AJ80" s="76">
        <v>88</v>
      </c>
      <c r="AK80" s="76">
        <v>25</v>
      </c>
      <c r="AL80" s="76" t="b">
        <v>0</v>
      </c>
      <c r="AM80" s="78">
        <v>44775.095081018517</v>
      </c>
      <c r="AN80" s="76"/>
      <c r="AO80" s="76" t="s">
        <v>23411</v>
      </c>
      <c r="AP80" s="76"/>
      <c r="AQ80" s="76"/>
      <c r="AR80" s="76"/>
      <c r="AS80" s="76"/>
      <c r="AT80" s="76"/>
      <c r="AU80" s="76"/>
      <c r="AV80" s="76"/>
      <c r="AW80" s="76"/>
      <c r="AX80" s="76" t="b">
        <v>0</v>
      </c>
      <c r="AY80" s="76"/>
      <c r="AZ80" s="76"/>
      <c r="BA80" s="76" t="b">
        <v>0</v>
      </c>
      <c r="BB80" s="76" t="b">
        <v>1</v>
      </c>
      <c r="BC80" s="76" t="b">
        <v>1</v>
      </c>
      <c r="BD80" s="76" t="b">
        <v>0</v>
      </c>
      <c r="BE80" s="76" t="b">
        <v>0</v>
      </c>
      <c r="BF80" s="76" t="b">
        <v>0</v>
      </c>
      <c r="BG80" s="76" t="b">
        <v>0</v>
      </c>
      <c r="BH80" s="83" t="str">
        <f>HYPERLINK("https://pbs.twimg.com/profile_banners/1554289942469251073/1693630333")</f>
        <v>https://pbs.twimg.com/profile_banners/1554289942469251073/1693630333</v>
      </c>
      <c r="BI80" s="76"/>
      <c r="BJ80" s="76" t="s">
        <v>24935</v>
      </c>
      <c r="BK80" s="76" t="b">
        <v>0</v>
      </c>
      <c r="BL80" s="76"/>
      <c r="BM80" s="76" t="s">
        <v>66</v>
      </c>
      <c r="BN80" s="76" t="s">
        <v>24937</v>
      </c>
      <c r="BO80" s="83" t="str">
        <f>HYPERLINK("https://twitter.com/wann4cryexe")</f>
        <v>https://twitter.com/wann4cryexe</v>
      </c>
      <c r="BP80" s="2"/>
    </row>
    <row r="81" spans="1:68" x14ac:dyDescent="0.25">
      <c r="A81" s="62" t="s">
        <v>299</v>
      </c>
      <c r="B81" s="63"/>
      <c r="C81" s="63"/>
      <c r="D81" s="64"/>
      <c r="E81" s="66"/>
      <c r="F81" s="102" t="str">
        <f>HYPERLINK("https://pbs.twimg.com/profile_images/1588887514357587968/F_hZwx8v_normal.jpg")</f>
        <v>https://pbs.twimg.com/profile_images/1588887514357587968/F_hZwx8v_normal.jpg</v>
      </c>
      <c r="G81" s="63"/>
      <c r="H81" s="67"/>
      <c r="I81" s="68"/>
      <c r="J81" s="68"/>
      <c r="K81" s="67" t="s">
        <v>25015</v>
      </c>
      <c r="L81" s="71"/>
      <c r="M81" s="72"/>
      <c r="N81" s="72"/>
      <c r="O81" s="73"/>
      <c r="P81" s="74"/>
      <c r="Q81" s="74"/>
      <c r="R81" s="86"/>
      <c r="S81" s="86"/>
      <c r="T81" s="86"/>
      <c r="U81" s="86"/>
      <c r="V81" s="48"/>
      <c r="W81" s="48"/>
      <c r="X81" s="48"/>
      <c r="Y81" s="48"/>
      <c r="Z81" s="47"/>
      <c r="AA81" s="69">
        <v>81</v>
      </c>
      <c r="AB81" s="69"/>
      <c r="AC81" s="70"/>
      <c r="AD81" s="76" t="s">
        <v>21894</v>
      </c>
      <c r="AE81" s="81" t="s">
        <v>21064</v>
      </c>
      <c r="AF81" s="76">
        <v>64</v>
      </c>
      <c r="AG81" s="76">
        <v>271</v>
      </c>
      <c r="AH81" s="76">
        <v>122</v>
      </c>
      <c r="AI81" s="76">
        <v>3</v>
      </c>
      <c r="AJ81" s="76">
        <v>10</v>
      </c>
      <c r="AK81" s="76">
        <v>45</v>
      </c>
      <c r="AL81" s="76" t="b">
        <v>0</v>
      </c>
      <c r="AM81" s="78">
        <v>44859.887094907404</v>
      </c>
      <c r="AN81" s="76" t="s">
        <v>23097</v>
      </c>
      <c r="AO81" s="76" t="s">
        <v>23412</v>
      </c>
      <c r="AP81" s="76"/>
      <c r="AQ81" s="76"/>
      <c r="AR81" s="76"/>
      <c r="AS81" s="76"/>
      <c r="AT81" s="76"/>
      <c r="AU81" s="76"/>
      <c r="AV81" s="76"/>
      <c r="AW81" s="76"/>
      <c r="AX81" s="76" t="b">
        <v>0</v>
      </c>
      <c r="AY81" s="76"/>
      <c r="AZ81" s="76"/>
      <c r="BA81" s="76" t="b">
        <v>0</v>
      </c>
      <c r="BB81" s="76" t="b">
        <v>1</v>
      </c>
      <c r="BC81" s="76" t="b">
        <v>1</v>
      </c>
      <c r="BD81" s="76" t="b">
        <v>0</v>
      </c>
      <c r="BE81" s="76" t="b">
        <v>0</v>
      </c>
      <c r="BF81" s="76" t="b">
        <v>0</v>
      </c>
      <c r="BG81" s="76" t="b">
        <v>0</v>
      </c>
      <c r="BH81" s="83" t="str">
        <f>HYPERLINK("https://pbs.twimg.com/profile_banners/1585017675901706263/1667655290")</f>
        <v>https://pbs.twimg.com/profile_banners/1585017675901706263/1667655290</v>
      </c>
      <c r="BI81" s="76"/>
      <c r="BJ81" s="76" t="s">
        <v>24935</v>
      </c>
      <c r="BK81" s="76" t="b">
        <v>0</v>
      </c>
      <c r="BL81" s="76"/>
      <c r="BM81" s="76" t="s">
        <v>66</v>
      </c>
      <c r="BN81" s="76" t="s">
        <v>24937</v>
      </c>
      <c r="BO81" s="83" t="str">
        <f>HYPERLINK("https://twitter.com/geckocripto")</f>
        <v>https://twitter.com/geckocripto</v>
      </c>
      <c r="BP81" s="2"/>
    </row>
    <row r="82" spans="1:68" x14ac:dyDescent="0.25">
      <c r="A82" s="62" t="s">
        <v>300</v>
      </c>
      <c r="B82" s="63"/>
      <c r="C82" s="63"/>
      <c r="D82" s="64"/>
      <c r="E82" s="66"/>
      <c r="F82" s="102" t="str">
        <f>HYPERLINK("https://pbs.twimg.com/profile_images/1646555585876197379/vkUsrRC9_normal.jpg")</f>
        <v>https://pbs.twimg.com/profile_images/1646555585876197379/vkUsrRC9_normal.jpg</v>
      </c>
      <c r="G82" s="63"/>
      <c r="H82" s="67"/>
      <c r="I82" s="68"/>
      <c r="J82" s="68"/>
      <c r="K82" s="67" t="s">
        <v>25016</v>
      </c>
      <c r="L82" s="71"/>
      <c r="M82" s="72"/>
      <c r="N82" s="72"/>
      <c r="O82" s="73"/>
      <c r="P82" s="74"/>
      <c r="Q82" s="74"/>
      <c r="R82" s="86"/>
      <c r="S82" s="86"/>
      <c r="T82" s="86"/>
      <c r="U82" s="86"/>
      <c r="V82" s="48"/>
      <c r="W82" s="48"/>
      <c r="X82" s="48"/>
      <c r="Y82" s="48"/>
      <c r="Z82" s="47"/>
      <c r="AA82" s="69">
        <v>82</v>
      </c>
      <c r="AB82" s="69"/>
      <c r="AC82" s="70"/>
      <c r="AD82" s="76" t="s">
        <v>21895</v>
      </c>
      <c r="AE82" s="81" t="s">
        <v>22875</v>
      </c>
      <c r="AF82" s="76">
        <v>560</v>
      </c>
      <c r="AG82" s="76">
        <v>1098</v>
      </c>
      <c r="AH82" s="76">
        <v>4562</v>
      </c>
      <c r="AI82" s="76">
        <v>0</v>
      </c>
      <c r="AJ82" s="76">
        <v>3643</v>
      </c>
      <c r="AK82" s="76">
        <v>32</v>
      </c>
      <c r="AL82" s="76" t="b">
        <v>0</v>
      </c>
      <c r="AM82" s="78">
        <v>41351.698831018519</v>
      </c>
      <c r="AN82" s="76" t="s">
        <v>23098</v>
      </c>
      <c r="AO82" s="76" t="s">
        <v>23413</v>
      </c>
      <c r="AP82" s="83" t="str">
        <f>HYPERLINK("https://t.co/wUXegcRyZ7")</f>
        <v>https://t.co/wUXegcRyZ7</v>
      </c>
      <c r="AQ82" s="83" t="str">
        <f>HYPERLINK("https://bio.site/KarinaDuarte")</f>
        <v>https://bio.site/KarinaDuarte</v>
      </c>
      <c r="AR82" s="76" t="s">
        <v>24291</v>
      </c>
      <c r="AS82" s="76"/>
      <c r="AT82" s="76"/>
      <c r="AU82" s="76"/>
      <c r="AV82" s="76">
        <v>1.3924937932581801E+18</v>
      </c>
      <c r="AW82" s="83" t="str">
        <f>HYPERLINK("https://t.co/wUXegcRyZ7")</f>
        <v>https://t.co/wUXegcRyZ7</v>
      </c>
      <c r="AX82" s="76" t="b">
        <v>0</v>
      </c>
      <c r="AY82" s="76"/>
      <c r="AZ82" s="76"/>
      <c r="BA82" s="76" t="b">
        <v>0</v>
      </c>
      <c r="BB82" s="76" t="b">
        <v>1</v>
      </c>
      <c r="BC82" s="76" t="b">
        <v>1</v>
      </c>
      <c r="BD82" s="76" t="b">
        <v>0</v>
      </c>
      <c r="BE82" s="76" t="b">
        <v>0</v>
      </c>
      <c r="BF82" s="76" t="b">
        <v>0</v>
      </c>
      <c r="BG82" s="76" t="b">
        <v>0</v>
      </c>
      <c r="BH82" s="83" t="str">
        <f>HYPERLINK("https://pbs.twimg.com/profile_banners/1278226568/1681272328")</f>
        <v>https://pbs.twimg.com/profile_banners/1278226568/1681272328</v>
      </c>
      <c r="BI82" s="76"/>
      <c r="BJ82" s="76" t="s">
        <v>24935</v>
      </c>
      <c r="BK82" s="76" t="b">
        <v>0</v>
      </c>
      <c r="BL82" s="76"/>
      <c r="BM82" s="76" t="s">
        <v>66</v>
      </c>
      <c r="BN82" s="76" t="s">
        <v>24937</v>
      </c>
      <c r="BO82" s="83" t="str">
        <f>HYPERLINK("https://twitter.com/karina_duarte17")</f>
        <v>https://twitter.com/karina_duarte17</v>
      </c>
      <c r="BP82" s="2"/>
    </row>
    <row r="83" spans="1:68" x14ac:dyDescent="0.25">
      <c r="A83" s="62" t="s">
        <v>301</v>
      </c>
      <c r="B83" s="63"/>
      <c r="C83" s="63"/>
      <c r="D83" s="64"/>
      <c r="E83" s="66"/>
      <c r="F83" s="102" t="str">
        <f>HYPERLINK("https://pbs.twimg.com/profile_images/1318844735600152576/NttSoSIZ_normal.jpg")</f>
        <v>https://pbs.twimg.com/profile_images/1318844735600152576/NttSoSIZ_normal.jpg</v>
      </c>
      <c r="G83" s="63"/>
      <c r="H83" s="67"/>
      <c r="I83" s="68"/>
      <c r="J83" s="68"/>
      <c r="K83" s="67" t="s">
        <v>25017</v>
      </c>
      <c r="L83" s="71"/>
      <c r="M83" s="72"/>
      <c r="N83" s="72"/>
      <c r="O83" s="73"/>
      <c r="P83" s="74"/>
      <c r="Q83" s="74"/>
      <c r="R83" s="86"/>
      <c r="S83" s="86"/>
      <c r="T83" s="86"/>
      <c r="U83" s="86"/>
      <c r="V83" s="48"/>
      <c r="W83" s="48"/>
      <c r="X83" s="48"/>
      <c r="Y83" s="48"/>
      <c r="Z83" s="47"/>
      <c r="AA83" s="69">
        <v>83</v>
      </c>
      <c r="AB83" s="69"/>
      <c r="AC83" s="70"/>
      <c r="AD83" s="76" t="s">
        <v>21896</v>
      </c>
      <c r="AE83" s="81" t="s">
        <v>22876</v>
      </c>
      <c r="AF83" s="76">
        <v>444</v>
      </c>
      <c r="AG83" s="76">
        <v>50</v>
      </c>
      <c r="AH83" s="76">
        <v>115</v>
      </c>
      <c r="AI83" s="76">
        <v>0</v>
      </c>
      <c r="AJ83" s="76">
        <v>142</v>
      </c>
      <c r="AK83" s="76">
        <v>28</v>
      </c>
      <c r="AL83" s="76" t="b">
        <v>0</v>
      </c>
      <c r="AM83" s="78">
        <v>40962.054039351853</v>
      </c>
      <c r="AN83" s="76" t="s">
        <v>14046</v>
      </c>
      <c r="AO83" s="76" t="s">
        <v>23414</v>
      </c>
      <c r="AP83" s="83" t="str">
        <f>HYPERLINK("https://t.co/Hp3YX7xi6W")</f>
        <v>https://t.co/Hp3YX7xi6W</v>
      </c>
      <c r="AQ83" s="83" t="str">
        <f>HYPERLINK("https://meucartao.link/eliasbarouh")</f>
        <v>https://meucartao.link/eliasbarouh</v>
      </c>
      <c r="AR83" s="76" t="s">
        <v>24292</v>
      </c>
      <c r="AS83" s="76"/>
      <c r="AT83" s="76"/>
      <c r="AU83" s="76"/>
      <c r="AV83" s="76"/>
      <c r="AW83" s="83" t="str">
        <f>HYPERLINK("https://t.co/Hp3YX7xi6W")</f>
        <v>https://t.co/Hp3YX7xi6W</v>
      </c>
      <c r="AX83" s="76" t="b">
        <v>0</v>
      </c>
      <c r="AY83" s="76"/>
      <c r="AZ83" s="76"/>
      <c r="BA83" s="76" t="b">
        <v>0</v>
      </c>
      <c r="BB83" s="76" t="b">
        <v>1</v>
      </c>
      <c r="BC83" s="76" t="b">
        <v>1</v>
      </c>
      <c r="BD83" s="76" t="b">
        <v>0</v>
      </c>
      <c r="BE83" s="76" t="b">
        <v>1</v>
      </c>
      <c r="BF83" s="76" t="b">
        <v>0</v>
      </c>
      <c r="BG83" s="76" t="b">
        <v>0</v>
      </c>
      <c r="BH83" s="83" t="str">
        <f>HYPERLINK("https://pbs.twimg.com/profile_banners/500325326/1646104033")</f>
        <v>https://pbs.twimg.com/profile_banners/500325326/1646104033</v>
      </c>
      <c r="BI83" s="76"/>
      <c r="BJ83" s="76" t="s">
        <v>24935</v>
      </c>
      <c r="BK83" s="76" t="b">
        <v>0</v>
      </c>
      <c r="BL83" s="76"/>
      <c r="BM83" s="76" t="s">
        <v>66</v>
      </c>
      <c r="BN83" s="76" t="s">
        <v>24937</v>
      </c>
      <c r="BO83" s="83" t="str">
        <f>HYPERLINK("https://twitter.com/eliasbarouh")</f>
        <v>https://twitter.com/eliasbarouh</v>
      </c>
      <c r="BP83" s="2"/>
    </row>
    <row r="84" spans="1:68" x14ac:dyDescent="0.25">
      <c r="A84" s="62" t="s">
        <v>302</v>
      </c>
      <c r="B84" s="63"/>
      <c r="C84" s="63"/>
      <c r="D84" s="64"/>
      <c r="E84" s="66"/>
      <c r="F84" s="102" t="str">
        <f>HYPERLINK("https://pbs.twimg.com/profile_images/1635686534325186590/saFyS61l_normal.png")</f>
        <v>https://pbs.twimg.com/profile_images/1635686534325186590/saFyS61l_normal.png</v>
      </c>
      <c r="G84" s="63"/>
      <c r="H84" s="67"/>
      <c r="I84" s="68"/>
      <c r="J84" s="68"/>
      <c r="K84" s="67" t="s">
        <v>25018</v>
      </c>
      <c r="L84" s="71"/>
      <c r="M84" s="72"/>
      <c r="N84" s="72"/>
      <c r="O84" s="73"/>
      <c r="P84" s="74"/>
      <c r="Q84" s="74"/>
      <c r="R84" s="86"/>
      <c r="S84" s="86"/>
      <c r="T84" s="86"/>
      <c r="U84" s="86"/>
      <c r="V84" s="48"/>
      <c r="W84" s="48"/>
      <c r="X84" s="48"/>
      <c r="Y84" s="48"/>
      <c r="Z84" s="47"/>
      <c r="AA84" s="69">
        <v>84</v>
      </c>
      <c r="AB84" s="69"/>
      <c r="AC84" s="70"/>
      <c r="AD84" s="76" t="s">
        <v>21897</v>
      </c>
      <c r="AE84" s="81" t="s">
        <v>21065</v>
      </c>
      <c r="AF84" s="76">
        <v>1</v>
      </c>
      <c r="AG84" s="76">
        <v>5</v>
      </c>
      <c r="AH84" s="76">
        <v>10</v>
      </c>
      <c r="AI84" s="76">
        <v>0</v>
      </c>
      <c r="AJ84" s="76">
        <v>0</v>
      </c>
      <c r="AK84" s="76">
        <v>5</v>
      </c>
      <c r="AL84" s="76" t="b">
        <v>0</v>
      </c>
      <c r="AM84" s="78">
        <v>44999.706400462965</v>
      </c>
      <c r="AN84" s="76"/>
      <c r="AO84" s="76"/>
      <c r="AP84" s="76"/>
      <c r="AQ84" s="76"/>
      <c r="AR84" s="76"/>
      <c r="AS84" s="76"/>
      <c r="AT84" s="76"/>
      <c r="AU84" s="76"/>
      <c r="AV84" s="76"/>
      <c r="AW84" s="76"/>
      <c r="AX84" s="76" t="b">
        <v>0</v>
      </c>
      <c r="AY84" s="76"/>
      <c r="AZ84" s="76"/>
      <c r="BA84" s="76" t="b">
        <v>0</v>
      </c>
      <c r="BB84" s="76" t="b">
        <v>1</v>
      </c>
      <c r="BC84" s="76" t="b">
        <v>1</v>
      </c>
      <c r="BD84" s="76" t="b">
        <v>0</v>
      </c>
      <c r="BE84" s="76" t="b">
        <v>0</v>
      </c>
      <c r="BF84" s="76" t="b">
        <v>0</v>
      </c>
      <c r="BG84" s="76" t="b">
        <v>0</v>
      </c>
      <c r="BH84" s="76"/>
      <c r="BI84" s="76"/>
      <c r="BJ84" s="76" t="s">
        <v>24935</v>
      </c>
      <c r="BK84" s="76" t="b">
        <v>0</v>
      </c>
      <c r="BL84" s="76"/>
      <c r="BM84" s="76" t="s">
        <v>66</v>
      </c>
      <c r="BN84" s="76" t="s">
        <v>24937</v>
      </c>
      <c r="BO84" s="83" t="str">
        <f>HYPERLINK("https://twitter.com/maikeffagundes")</f>
        <v>https://twitter.com/maikeffagundes</v>
      </c>
      <c r="BP84" s="2"/>
    </row>
    <row r="85" spans="1:68" x14ac:dyDescent="0.25">
      <c r="A85" s="62" t="s">
        <v>303</v>
      </c>
      <c r="B85" s="63"/>
      <c r="C85" s="63"/>
      <c r="D85" s="64"/>
      <c r="E85" s="66"/>
      <c r="F85" s="102" t="str">
        <f>HYPERLINK("https://pbs.twimg.com/profile_images/1697094473824530432/O8RVervp_normal.jpg")</f>
        <v>https://pbs.twimg.com/profile_images/1697094473824530432/O8RVervp_normal.jpg</v>
      </c>
      <c r="G85" s="63"/>
      <c r="H85" s="67"/>
      <c r="I85" s="68"/>
      <c r="J85" s="68"/>
      <c r="K85" s="67" t="s">
        <v>25019</v>
      </c>
      <c r="L85" s="71"/>
      <c r="M85" s="72"/>
      <c r="N85" s="72"/>
      <c r="O85" s="73"/>
      <c r="P85" s="74"/>
      <c r="Q85" s="74"/>
      <c r="R85" s="86"/>
      <c r="S85" s="86"/>
      <c r="T85" s="86"/>
      <c r="U85" s="86"/>
      <c r="V85" s="48"/>
      <c r="W85" s="48"/>
      <c r="X85" s="48"/>
      <c r="Y85" s="48"/>
      <c r="Z85" s="47"/>
      <c r="AA85" s="69">
        <v>85</v>
      </c>
      <c r="AB85" s="69"/>
      <c r="AC85" s="70"/>
      <c r="AD85" s="76" t="s">
        <v>21898</v>
      </c>
      <c r="AE85" s="81" t="s">
        <v>21066</v>
      </c>
      <c r="AF85" s="76">
        <v>0</v>
      </c>
      <c r="AG85" s="76">
        <v>22</v>
      </c>
      <c r="AH85" s="76">
        <v>52</v>
      </c>
      <c r="AI85" s="76">
        <v>0</v>
      </c>
      <c r="AJ85" s="76">
        <v>13</v>
      </c>
      <c r="AK85" s="76">
        <v>25</v>
      </c>
      <c r="AL85" s="76" t="b">
        <v>0</v>
      </c>
      <c r="AM85" s="78">
        <v>45169.158784722225</v>
      </c>
      <c r="AN85" s="76" t="s">
        <v>23099</v>
      </c>
      <c r="AO85" s="76" t="s">
        <v>23415</v>
      </c>
      <c r="AP85" s="76"/>
      <c r="AQ85" s="76"/>
      <c r="AR85" s="76"/>
      <c r="AS85" s="76"/>
      <c r="AT85" s="76"/>
      <c r="AU85" s="76"/>
      <c r="AV85" s="76"/>
      <c r="AW85" s="76"/>
      <c r="AX85" s="76" t="b">
        <v>0</v>
      </c>
      <c r="AY85" s="76"/>
      <c r="AZ85" s="76"/>
      <c r="BA85" s="76" t="b">
        <v>0</v>
      </c>
      <c r="BB85" s="76" t="b">
        <v>1</v>
      </c>
      <c r="BC85" s="76" t="b">
        <v>1</v>
      </c>
      <c r="BD85" s="76" t="b">
        <v>0</v>
      </c>
      <c r="BE85" s="76" t="b">
        <v>0</v>
      </c>
      <c r="BF85" s="76" t="b">
        <v>0</v>
      </c>
      <c r="BG85" s="76" t="b">
        <v>0</v>
      </c>
      <c r="BH85" s="83" t="str">
        <f>HYPERLINK("https://pbs.twimg.com/profile_banners/1697093969623027712/1693453906")</f>
        <v>https://pbs.twimg.com/profile_banners/1697093969623027712/1693453906</v>
      </c>
      <c r="BI85" s="76"/>
      <c r="BJ85" s="76" t="s">
        <v>24935</v>
      </c>
      <c r="BK85" s="76" t="b">
        <v>0</v>
      </c>
      <c r="BL85" s="76"/>
      <c r="BM85" s="76" t="s">
        <v>66</v>
      </c>
      <c r="BN85" s="76" t="s">
        <v>24937</v>
      </c>
      <c r="BO85" s="83" t="str">
        <f>HYPERLINK("https://twitter.com/empreended0r_")</f>
        <v>https://twitter.com/empreended0r_</v>
      </c>
      <c r="BP85" s="2"/>
    </row>
    <row r="86" spans="1:68" x14ac:dyDescent="0.25">
      <c r="A86" s="62" t="s">
        <v>304</v>
      </c>
      <c r="B86" s="63"/>
      <c r="C86" s="63"/>
      <c r="D86" s="64"/>
      <c r="E86" s="66"/>
      <c r="F86" s="102" t="str">
        <f>HYPERLINK("https://pbs.twimg.com/profile_images/1623572952724668420/iOYD-MMd_normal.jpg")</f>
        <v>https://pbs.twimg.com/profile_images/1623572952724668420/iOYD-MMd_normal.jpg</v>
      </c>
      <c r="G86" s="63"/>
      <c r="H86" s="67"/>
      <c r="I86" s="68"/>
      <c r="J86" s="68"/>
      <c r="K86" s="67" t="s">
        <v>25020</v>
      </c>
      <c r="L86" s="71"/>
      <c r="M86" s="72"/>
      <c r="N86" s="72"/>
      <c r="O86" s="73"/>
      <c r="P86" s="74"/>
      <c r="Q86" s="74"/>
      <c r="R86" s="86"/>
      <c r="S86" s="86"/>
      <c r="T86" s="86"/>
      <c r="U86" s="86"/>
      <c r="V86" s="48"/>
      <c r="W86" s="48"/>
      <c r="X86" s="48"/>
      <c r="Y86" s="48"/>
      <c r="Z86" s="47"/>
      <c r="AA86" s="69">
        <v>86</v>
      </c>
      <c r="AB86" s="69"/>
      <c r="AC86" s="70"/>
      <c r="AD86" s="76" t="s">
        <v>21899</v>
      </c>
      <c r="AE86" s="81" t="s">
        <v>21067</v>
      </c>
      <c r="AF86" s="76">
        <v>7</v>
      </c>
      <c r="AG86" s="76">
        <v>6</v>
      </c>
      <c r="AH86" s="76">
        <v>422</v>
      </c>
      <c r="AI86" s="76">
        <v>0</v>
      </c>
      <c r="AJ86" s="76">
        <v>43</v>
      </c>
      <c r="AK86" s="76">
        <v>13</v>
      </c>
      <c r="AL86" s="76" t="b">
        <v>0</v>
      </c>
      <c r="AM86" s="78">
        <v>44966.265289351853</v>
      </c>
      <c r="AN86" s="76" t="s">
        <v>23100</v>
      </c>
      <c r="AO86" s="76" t="s">
        <v>23416</v>
      </c>
      <c r="AP86" s="83" t="str">
        <f>HYPERLINK("https://t.co/cWDh0AvQqL")</f>
        <v>https://t.co/cWDh0AvQqL</v>
      </c>
      <c r="AQ86" s="83" t="str">
        <f>HYPERLINK("https://www.tiktok.com/@italolifestyleyt?_t=8e14WHQ1CxK&amp;_r=1")</f>
        <v>https://www.tiktok.com/@italolifestyleyt?_t=8e14WHQ1CxK&amp;_r=1</v>
      </c>
      <c r="AR86" s="76" t="s">
        <v>24293</v>
      </c>
      <c r="AS86" s="76"/>
      <c r="AT86" s="76"/>
      <c r="AU86" s="76"/>
      <c r="AV86" s="76">
        <v>1.68746504393841E+18</v>
      </c>
      <c r="AW86" s="83" t="str">
        <f>HYPERLINK("https://t.co/cWDh0AvQqL")</f>
        <v>https://t.co/cWDh0AvQqL</v>
      </c>
      <c r="AX86" s="76" t="b">
        <v>0</v>
      </c>
      <c r="AY86" s="76"/>
      <c r="AZ86" s="76"/>
      <c r="BA86" s="76" t="b">
        <v>0</v>
      </c>
      <c r="BB86" s="76" t="b">
        <v>1</v>
      </c>
      <c r="BC86" s="76" t="b">
        <v>1</v>
      </c>
      <c r="BD86" s="76" t="b">
        <v>0</v>
      </c>
      <c r="BE86" s="76" t="b">
        <v>0</v>
      </c>
      <c r="BF86" s="76" t="b">
        <v>0</v>
      </c>
      <c r="BG86" s="76" t="b">
        <v>0</v>
      </c>
      <c r="BH86" s="83" t="str">
        <f>HYPERLINK("https://pbs.twimg.com/profile_banners/1623567638587736064/1675925067")</f>
        <v>https://pbs.twimg.com/profile_banners/1623567638587736064/1675925067</v>
      </c>
      <c r="BI86" s="76"/>
      <c r="BJ86" s="76" t="s">
        <v>24935</v>
      </c>
      <c r="BK86" s="76" t="b">
        <v>0</v>
      </c>
      <c r="BL86" s="76"/>
      <c r="BM86" s="76" t="s">
        <v>66</v>
      </c>
      <c r="BN86" s="76" t="s">
        <v>24937</v>
      </c>
      <c r="BO86" s="83" t="str">
        <f>HYPERLINK("https://twitter.com/thebaron___")</f>
        <v>https://twitter.com/thebaron___</v>
      </c>
      <c r="BP86" s="2"/>
    </row>
    <row r="87" spans="1:68" x14ac:dyDescent="0.25">
      <c r="A87" s="62" t="s">
        <v>305</v>
      </c>
      <c r="B87" s="63"/>
      <c r="C87" s="63"/>
      <c r="D87" s="64"/>
      <c r="E87" s="66"/>
      <c r="F87" s="102" t="str">
        <f>HYPERLINK("https://pbs.twimg.com/profile_images/1683623506594914304/kJmlMAdz_normal.jpg")</f>
        <v>https://pbs.twimg.com/profile_images/1683623506594914304/kJmlMAdz_normal.jpg</v>
      </c>
      <c r="G87" s="63"/>
      <c r="H87" s="67"/>
      <c r="I87" s="68"/>
      <c r="J87" s="68"/>
      <c r="K87" s="67" t="s">
        <v>25021</v>
      </c>
      <c r="L87" s="71"/>
      <c r="M87" s="72"/>
      <c r="N87" s="72"/>
      <c r="O87" s="73"/>
      <c r="P87" s="74"/>
      <c r="Q87" s="74"/>
      <c r="R87" s="86"/>
      <c r="S87" s="86"/>
      <c r="T87" s="86"/>
      <c r="U87" s="86"/>
      <c r="V87" s="48"/>
      <c r="W87" s="48"/>
      <c r="X87" s="48"/>
      <c r="Y87" s="48"/>
      <c r="Z87" s="47"/>
      <c r="AA87" s="69">
        <v>87</v>
      </c>
      <c r="AB87" s="69"/>
      <c r="AC87" s="70"/>
      <c r="AD87" s="76" t="s">
        <v>21900</v>
      </c>
      <c r="AE87" s="81" t="s">
        <v>21068</v>
      </c>
      <c r="AF87" s="76">
        <v>0</v>
      </c>
      <c r="AG87" s="76">
        <v>2</v>
      </c>
      <c r="AH87" s="76">
        <v>4</v>
      </c>
      <c r="AI87" s="76">
        <v>0</v>
      </c>
      <c r="AJ87" s="76">
        <v>1</v>
      </c>
      <c r="AK87" s="76">
        <v>3</v>
      </c>
      <c r="AL87" s="76" t="b">
        <v>0</v>
      </c>
      <c r="AM87" s="78">
        <v>45131.023877314816</v>
      </c>
      <c r="AN87" s="76"/>
      <c r="AO87" s="76" t="s">
        <v>23417</v>
      </c>
      <c r="AP87" s="76"/>
      <c r="AQ87" s="76"/>
      <c r="AR87" s="76"/>
      <c r="AS87" s="76"/>
      <c r="AT87" s="76"/>
      <c r="AU87" s="76"/>
      <c r="AV87" s="76"/>
      <c r="AW87" s="76"/>
      <c r="AX87" s="76" t="b">
        <v>0</v>
      </c>
      <c r="AY87" s="76"/>
      <c r="AZ87" s="76"/>
      <c r="BA87" s="76" t="b">
        <v>0</v>
      </c>
      <c r="BB87" s="76" t="b">
        <v>1</v>
      </c>
      <c r="BC87" s="76" t="b">
        <v>1</v>
      </c>
      <c r="BD87" s="76" t="b">
        <v>0</v>
      </c>
      <c r="BE87" s="76" t="b">
        <v>0</v>
      </c>
      <c r="BF87" s="76" t="b">
        <v>0</v>
      </c>
      <c r="BG87" s="76" t="b">
        <v>0</v>
      </c>
      <c r="BH87" s="76"/>
      <c r="BI87" s="76"/>
      <c r="BJ87" s="76" t="s">
        <v>24935</v>
      </c>
      <c r="BK87" s="76" t="b">
        <v>0</v>
      </c>
      <c r="BL87" s="76"/>
      <c r="BM87" s="76" t="s">
        <v>66</v>
      </c>
      <c r="BN87" s="76" t="s">
        <v>24937</v>
      </c>
      <c r="BO87" s="83" t="str">
        <f>HYPERLINK("https://twitter.com/jftips10")</f>
        <v>https://twitter.com/jftips10</v>
      </c>
      <c r="BP87" s="2"/>
    </row>
    <row r="88" spans="1:68" x14ac:dyDescent="0.25">
      <c r="A88" s="62" t="s">
        <v>306</v>
      </c>
      <c r="B88" s="63"/>
      <c r="C88" s="63"/>
      <c r="D88" s="64"/>
      <c r="E88" s="66"/>
      <c r="F88" s="102" t="str">
        <f>HYPERLINK("https://pbs.twimg.com/profile_images/1612220534338584579/0lgaGrpH_normal.jpg")</f>
        <v>https://pbs.twimg.com/profile_images/1612220534338584579/0lgaGrpH_normal.jpg</v>
      </c>
      <c r="G88" s="63"/>
      <c r="H88" s="67"/>
      <c r="I88" s="68"/>
      <c r="J88" s="68"/>
      <c r="K88" s="67" t="s">
        <v>25022</v>
      </c>
      <c r="L88" s="71"/>
      <c r="M88" s="72"/>
      <c r="N88" s="72"/>
      <c r="O88" s="73"/>
      <c r="P88" s="74"/>
      <c r="Q88" s="74"/>
      <c r="R88" s="86"/>
      <c r="S88" s="86"/>
      <c r="T88" s="86"/>
      <c r="U88" s="86"/>
      <c r="V88" s="48"/>
      <c r="W88" s="48"/>
      <c r="X88" s="48"/>
      <c r="Y88" s="48"/>
      <c r="Z88" s="47"/>
      <c r="AA88" s="69">
        <v>88</v>
      </c>
      <c r="AB88" s="69"/>
      <c r="AC88" s="70"/>
      <c r="AD88" s="76" t="s">
        <v>21901</v>
      </c>
      <c r="AE88" s="81" t="s">
        <v>21069</v>
      </c>
      <c r="AF88" s="76">
        <v>14</v>
      </c>
      <c r="AG88" s="76">
        <v>74</v>
      </c>
      <c r="AH88" s="76">
        <v>841</v>
      </c>
      <c r="AI88" s="76">
        <v>0</v>
      </c>
      <c r="AJ88" s="76">
        <v>199</v>
      </c>
      <c r="AK88" s="76">
        <v>384</v>
      </c>
      <c r="AL88" s="76" t="b">
        <v>0</v>
      </c>
      <c r="AM88" s="78">
        <v>43912.121747685182</v>
      </c>
      <c r="AN88" s="76"/>
      <c r="AO88" s="76" t="s">
        <v>23418</v>
      </c>
      <c r="AP88" s="83" t="str">
        <f>HYPERLINK("https://t.co/YANBKCYO8D")</f>
        <v>https://t.co/YANBKCYO8D</v>
      </c>
      <c r="AQ88" s="83" t="str">
        <f>HYPERLINK("https://www.linkedin.com/in/wesleyccosta/")</f>
        <v>https://www.linkedin.com/in/wesleyccosta/</v>
      </c>
      <c r="AR88" s="76" t="s">
        <v>24294</v>
      </c>
      <c r="AS88" s="76"/>
      <c r="AT88" s="76"/>
      <c r="AU88" s="76"/>
      <c r="AV88" s="76">
        <v>1.4813318070354701E+18</v>
      </c>
      <c r="AW88" s="83" t="str">
        <f>HYPERLINK("https://t.co/YANBKCYO8D")</f>
        <v>https://t.co/YANBKCYO8D</v>
      </c>
      <c r="AX88" s="76" t="b">
        <v>0</v>
      </c>
      <c r="AY88" s="76"/>
      <c r="AZ88" s="76"/>
      <c r="BA88" s="76" t="b">
        <v>0</v>
      </c>
      <c r="BB88" s="76" t="b">
        <v>1</v>
      </c>
      <c r="BC88" s="76" t="b">
        <v>1</v>
      </c>
      <c r="BD88" s="76" t="b">
        <v>0</v>
      </c>
      <c r="BE88" s="76" t="b">
        <v>1</v>
      </c>
      <c r="BF88" s="76" t="b">
        <v>0</v>
      </c>
      <c r="BG88" s="76" t="b">
        <v>0</v>
      </c>
      <c r="BH88" s="83" t="str">
        <f>HYPERLINK("https://pbs.twimg.com/profile_banners/1241558980993875968/1643140153")</f>
        <v>https://pbs.twimg.com/profile_banners/1241558980993875968/1643140153</v>
      </c>
      <c r="BI88" s="76"/>
      <c r="BJ88" s="76" t="s">
        <v>24935</v>
      </c>
      <c r="BK88" s="76" t="b">
        <v>0</v>
      </c>
      <c r="BL88" s="76"/>
      <c r="BM88" s="76" t="s">
        <v>66</v>
      </c>
      <c r="BN88" s="76" t="s">
        <v>24937</v>
      </c>
      <c r="BO88" s="83" t="str">
        <f>HYPERLINK("https://twitter.com/wesleycosta1972")</f>
        <v>https://twitter.com/wesleycosta1972</v>
      </c>
      <c r="BP88" s="2"/>
    </row>
    <row r="89" spans="1:68" x14ac:dyDescent="0.25">
      <c r="A89" s="62" t="s">
        <v>307</v>
      </c>
      <c r="B89" s="63"/>
      <c r="C89" s="63"/>
      <c r="D89" s="64"/>
      <c r="E89" s="66"/>
      <c r="F89" s="102" t="str">
        <f>HYPERLINK("https://pbs.twimg.com/profile_images/1621564381359112192/VJW5U2Jd_normal.jpg")</f>
        <v>https://pbs.twimg.com/profile_images/1621564381359112192/VJW5U2Jd_normal.jpg</v>
      </c>
      <c r="G89" s="63"/>
      <c r="H89" s="67"/>
      <c r="I89" s="68"/>
      <c r="J89" s="68"/>
      <c r="K89" s="67" t="s">
        <v>25023</v>
      </c>
      <c r="L89" s="71"/>
      <c r="M89" s="72"/>
      <c r="N89" s="72"/>
      <c r="O89" s="73"/>
      <c r="P89" s="74"/>
      <c r="Q89" s="74"/>
      <c r="R89" s="86"/>
      <c r="S89" s="86"/>
      <c r="T89" s="86"/>
      <c r="U89" s="86"/>
      <c r="V89" s="48"/>
      <c r="W89" s="48"/>
      <c r="X89" s="48"/>
      <c r="Y89" s="48"/>
      <c r="Z89" s="47"/>
      <c r="AA89" s="69">
        <v>89</v>
      </c>
      <c r="AB89" s="69"/>
      <c r="AC89" s="70"/>
      <c r="AD89" s="76" t="s">
        <v>21902</v>
      </c>
      <c r="AE89" s="81" t="s">
        <v>21070</v>
      </c>
      <c r="AF89" s="76">
        <v>1</v>
      </c>
      <c r="AG89" s="76">
        <v>8</v>
      </c>
      <c r="AH89" s="76">
        <v>5</v>
      </c>
      <c r="AI89" s="76">
        <v>0</v>
      </c>
      <c r="AJ89" s="76">
        <v>2</v>
      </c>
      <c r="AK89" s="76">
        <v>2</v>
      </c>
      <c r="AL89" s="76" t="b">
        <v>0</v>
      </c>
      <c r="AM89" s="78">
        <v>44960.693344907406</v>
      </c>
      <c r="AN89" s="76"/>
      <c r="AO89" s="76" t="s">
        <v>23419</v>
      </c>
      <c r="AP89" s="83" t="str">
        <f>HYPERLINK("https://t.co/Jiydw72HaK")</f>
        <v>https://t.co/Jiydw72HaK</v>
      </c>
      <c r="AQ89" s="83" t="str">
        <f>HYPERLINK("https://bio.site/Suelenmaiira")</f>
        <v>https://bio.site/Suelenmaiira</v>
      </c>
      <c r="AR89" s="76" t="s">
        <v>24295</v>
      </c>
      <c r="AS89" s="76"/>
      <c r="AT89" s="76"/>
      <c r="AU89" s="76"/>
      <c r="AV89" s="76"/>
      <c r="AW89" s="83" t="str">
        <f>HYPERLINK("https://t.co/Jiydw72HaK")</f>
        <v>https://t.co/Jiydw72HaK</v>
      </c>
      <c r="AX89" s="76" t="b">
        <v>0</v>
      </c>
      <c r="AY89" s="76"/>
      <c r="AZ89" s="76"/>
      <c r="BA89" s="76" t="b">
        <v>0</v>
      </c>
      <c r="BB89" s="76" t="b">
        <v>1</v>
      </c>
      <c r="BC89" s="76" t="b">
        <v>1</v>
      </c>
      <c r="BD89" s="76" t="b">
        <v>0</v>
      </c>
      <c r="BE89" s="76" t="b">
        <v>0</v>
      </c>
      <c r="BF89" s="76" t="b">
        <v>0</v>
      </c>
      <c r="BG89" s="76" t="b">
        <v>0</v>
      </c>
      <c r="BH89" s="83" t="str">
        <f>HYPERLINK("https://pbs.twimg.com/profile_banners/1621548517905907712/1675446051")</f>
        <v>https://pbs.twimg.com/profile_banners/1621548517905907712/1675446051</v>
      </c>
      <c r="BI89" s="76"/>
      <c r="BJ89" s="76" t="s">
        <v>24935</v>
      </c>
      <c r="BK89" s="76" t="b">
        <v>0</v>
      </c>
      <c r="BL89" s="76"/>
      <c r="BM89" s="76" t="s">
        <v>66</v>
      </c>
      <c r="BN89" s="76" t="s">
        <v>24937</v>
      </c>
      <c r="BO89" s="83" t="str">
        <f>HYPERLINK("https://twitter.com/suelenmaededois")</f>
        <v>https://twitter.com/suelenmaededois</v>
      </c>
      <c r="BP89" s="2"/>
    </row>
    <row r="90" spans="1:68" x14ac:dyDescent="0.25">
      <c r="A90" s="62" t="s">
        <v>308</v>
      </c>
      <c r="B90" s="63"/>
      <c r="C90" s="63"/>
      <c r="D90" s="64"/>
      <c r="E90" s="66"/>
      <c r="F90" s="102" t="str">
        <f>HYPERLINK("https://pbs.twimg.com/profile_images/1031386629502640129/bOvQT27J_normal.jpg")</f>
        <v>https://pbs.twimg.com/profile_images/1031386629502640129/bOvQT27J_normal.jpg</v>
      </c>
      <c r="G90" s="63"/>
      <c r="H90" s="67"/>
      <c r="I90" s="68"/>
      <c r="J90" s="68"/>
      <c r="K90" s="67" t="s">
        <v>25024</v>
      </c>
      <c r="L90" s="71"/>
      <c r="M90" s="72"/>
      <c r="N90" s="72"/>
      <c r="O90" s="73"/>
      <c r="P90" s="74"/>
      <c r="Q90" s="74"/>
      <c r="R90" s="86"/>
      <c r="S90" s="86"/>
      <c r="T90" s="86"/>
      <c r="U90" s="86"/>
      <c r="V90" s="48"/>
      <c r="W90" s="48"/>
      <c r="X90" s="48"/>
      <c r="Y90" s="48"/>
      <c r="Z90" s="47"/>
      <c r="AA90" s="69">
        <v>90</v>
      </c>
      <c r="AB90" s="69"/>
      <c r="AC90" s="70"/>
      <c r="AD90" s="76" t="s">
        <v>21903</v>
      </c>
      <c r="AE90" s="81" t="s">
        <v>21071</v>
      </c>
      <c r="AF90" s="76">
        <v>53</v>
      </c>
      <c r="AG90" s="76">
        <v>137</v>
      </c>
      <c r="AH90" s="76">
        <v>243</v>
      </c>
      <c r="AI90" s="76">
        <v>0</v>
      </c>
      <c r="AJ90" s="76">
        <v>27</v>
      </c>
      <c r="AK90" s="76">
        <v>178</v>
      </c>
      <c r="AL90" s="76" t="b">
        <v>0</v>
      </c>
      <c r="AM90" s="78">
        <v>43332.149340277778</v>
      </c>
      <c r="AN90" s="76"/>
      <c r="AO90" s="76" t="s">
        <v>23420</v>
      </c>
      <c r="AP90" s="83" t="str">
        <f>HYPERLINK("https://t.co/zldPh5dlLm")</f>
        <v>https://t.co/zldPh5dlLm</v>
      </c>
      <c r="AQ90" s="83" t="str">
        <f>HYPERLINK("http://bit.ly/canalvamosprosperarnaweb")</f>
        <v>http://bit.ly/canalvamosprosperarnaweb</v>
      </c>
      <c r="AR90" s="76" t="s">
        <v>24296</v>
      </c>
      <c r="AS90" s="76"/>
      <c r="AT90" s="76"/>
      <c r="AU90" s="76"/>
      <c r="AV90" s="76">
        <v>1.6976925121130701E+18</v>
      </c>
      <c r="AW90" s="83" t="str">
        <f>HYPERLINK("https://t.co/zldPh5dlLm")</f>
        <v>https://t.co/zldPh5dlLm</v>
      </c>
      <c r="AX90" s="76" t="b">
        <v>0</v>
      </c>
      <c r="AY90" s="76"/>
      <c r="AZ90" s="76"/>
      <c r="BA90" s="76" t="b">
        <v>0</v>
      </c>
      <c r="BB90" s="76" t="b">
        <v>1</v>
      </c>
      <c r="BC90" s="76" t="b">
        <v>1</v>
      </c>
      <c r="BD90" s="76" t="b">
        <v>0</v>
      </c>
      <c r="BE90" s="76" t="b">
        <v>0</v>
      </c>
      <c r="BF90" s="76" t="b">
        <v>0</v>
      </c>
      <c r="BG90" s="76" t="b">
        <v>0</v>
      </c>
      <c r="BH90" s="83" t="str">
        <f>HYPERLINK("https://pbs.twimg.com/profile_banners/1031384087045582848/1600645350")</f>
        <v>https://pbs.twimg.com/profile_banners/1031384087045582848/1600645350</v>
      </c>
      <c r="BI90" s="76"/>
      <c r="BJ90" s="76" t="s">
        <v>24935</v>
      </c>
      <c r="BK90" s="76" t="b">
        <v>0</v>
      </c>
      <c r="BL90" s="76"/>
      <c r="BM90" s="76" t="s">
        <v>66</v>
      </c>
      <c r="BN90" s="76" t="s">
        <v>24937</v>
      </c>
      <c r="BO90" s="83" t="str">
        <f>HYPERLINK("https://twitter.com/vamosweb")</f>
        <v>https://twitter.com/vamosweb</v>
      </c>
      <c r="BP90" s="2"/>
    </row>
    <row r="91" spans="1:68" x14ac:dyDescent="0.25">
      <c r="A91" s="62" t="s">
        <v>309</v>
      </c>
      <c r="B91" s="63"/>
      <c r="C91" s="63"/>
      <c r="D91" s="64"/>
      <c r="E91" s="66"/>
      <c r="F91" s="102" t="str">
        <f>HYPERLINK("https://pbs.twimg.com/profile_images/1300240772449611776/KMERz9-A_normal.jpg")</f>
        <v>https://pbs.twimg.com/profile_images/1300240772449611776/KMERz9-A_normal.jpg</v>
      </c>
      <c r="G91" s="63"/>
      <c r="H91" s="67"/>
      <c r="I91" s="68"/>
      <c r="J91" s="68"/>
      <c r="K91" s="67" t="s">
        <v>25025</v>
      </c>
      <c r="L91" s="71"/>
      <c r="M91" s="72"/>
      <c r="N91" s="72"/>
      <c r="O91" s="73"/>
      <c r="P91" s="74"/>
      <c r="Q91" s="74"/>
      <c r="R91" s="86"/>
      <c r="S91" s="86"/>
      <c r="T91" s="86"/>
      <c r="U91" s="86"/>
      <c r="V91" s="48"/>
      <c r="W91" s="48"/>
      <c r="X91" s="48"/>
      <c r="Y91" s="48"/>
      <c r="Z91" s="47"/>
      <c r="AA91" s="69">
        <v>91</v>
      </c>
      <c r="AB91" s="69"/>
      <c r="AC91" s="70"/>
      <c r="AD91" s="76" t="s">
        <v>21904</v>
      </c>
      <c r="AE91" s="81" t="s">
        <v>21072</v>
      </c>
      <c r="AF91" s="76">
        <v>12</v>
      </c>
      <c r="AG91" s="76">
        <v>28</v>
      </c>
      <c r="AH91" s="76">
        <v>11</v>
      </c>
      <c r="AI91" s="76">
        <v>0</v>
      </c>
      <c r="AJ91" s="76">
        <v>0</v>
      </c>
      <c r="AK91" s="76">
        <v>9</v>
      </c>
      <c r="AL91" s="76" t="b">
        <v>0</v>
      </c>
      <c r="AM91" s="78">
        <v>43939.004490740743</v>
      </c>
      <c r="AN91" s="76" t="s">
        <v>23101</v>
      </c>
      <c r="AO91" s="76" t="s">
        <v>23421</v>
      </c>
      <c r="AP91" s="83" t="str">
        <f>HYPERLINK("https://t.co/LL5ON8PeZR")</f>
        <v>https://t.co/LL5ON8PeZR</v>
      </c>
      <c r="AQ91" s="83" t="str">
        <f>HYPERLINK("https://angra2reis.com.br")</f>
        <v>https://angra2reis.com.br</v>
      </c>
      <c r="AR91" s="76" t="s">
        <v>21904</v>
      </c>
      <c r="AS91" s="76"/>
      <c r="AT91" s="76"/>
      <c r="AU91" s="76"/>
      <c r="AV91" s="76"/>
      <c r="AW91" s="83" t="str">
        <f>HYPERLINK("https://t.co/LL5ON8PeZR")</f>
        <v>https://t.co/LL5ON8PeZR</v>
      </c>
      <c r="AX91" s="76" t="b">
        <v>0</v>
      </c>
      <c r="AY91" s="76"/>
      <c r="AZ91" s="76"/>
      <c r="BA91" s="76" t="b">
        <v>0</v>
      </c>
      <c r="BB91" s="76" t="b">
        <v>1</v>
      </c>
      <c r="BC91" s="76" t="b">
        <v>1</v>
      </c>
      <c r="BD91" s="76" t="b">
        <v>0</v>
      </c>
      <c r="BE91" s="76" t="b">
        <v>0</v>
      </c>
      <c r="BF91" s="76" t="b">
        <v>0</v>
      </c>
      <c r="BG91" s="76" t="b">
        <v>0</v>
      </c>
      <c r="BH91" s="83" t="str">
        <f>HYPERLINK("https://pbs.twimg.com/profile_banners/1251300953749442561/1587251971")</f>
        <v>https://pbs.twimg.com/profile_banners/1251300953749442561/1587251971</v>
      </c>
      <c r="BI91" s="76"/>
      <c r="BJ91" s="76" t="s">
        <v>24935</v>
      </c>
      <c r="BK91" s="76" t="b">
        <v>0</v>
      </c>
      <c r="BL91" s="76"/>
      <c r="BM91" s="76" t="s">
        <v>66</v>
      </c>
      <c r="BN91" s="76" t="s">
        <v>24937</v>
      </c>
      <c r="BO91" s="83" t="str">
        <f>HYPERLINK("https://twitter.com/angra2reiscombr")</f>
        <v>https://twitter.com/angra2reiscombr</v>
      </c>
      <c r="BP91" s="2"/>
    </row>
    <row r="92" spans="1:68" x14ac:dyDescent="0.25">
      <c r="A92" s="62" t="s">
        <v>310</v>
      </c>
      <c r="B92" s="63"/>
      <c r="C92" s="63"/>
      <c r="D92" s="64"/>
      <c r="E92" s="66"/>
      <c r="F92" s="102" t="str">
        <f>HYPERLINK("https://pbs.twimg.com/profile_images/1388278417058115587/u-sRgaqa_normal.jpg")</f>
        <v>https://pbs.twimg.com/profile_images/1388278417058115587/u-sRgaqa_normal.jpg</v>
      </c>
      <c r="G92" s="63"/>
      <c r="H92" s="67"/>
      <c r="I92" s="68"/>
      <c r="J92" s="68"/>
      <c r="K92" s="67" t="s">
        <v>25026</v>
      </c>
      <c r="L92" s="71"/>
      <c r="M92" s="72"/>
      <c r="N92" s="72"/>
      <c r="O92" s="73"/>
      <c r="P92" s="74"/>
      <c r="Q92" s="74"/>
      <c r="R92" s="86"/>
      <c r="S92" s="86"/>
      <c r="T92" s="86"/>
      <c r="U92" s="86"/>
      <c r="V92" s="48"/>
      <c r="W92" s="48"/>
      <c r="X92" s="48"/>
      <c r="Y92" s="48"/>
      <c r="Z92" s="47"/>
      <c r="AA92" s="69">
        <v>92</v>
      </c>
      <c r="AB92" s="69"/>
      <c r="AC92" s="70"/>
      <c r="AD92" s="76" t="s">
        <v>21905</v>
      </c>
      <c r="AE92" s="81" t="s">
        <v>21073</v>
      </c>
      <c r="AF92" s="76">
        <v>25</v>
      </c>
      <c r="AG92" s="76">
        <v>76</v>
      </c>
      <c r="AH92" s="76">
        <v>1609</v>
      </c>
      <c r="AI92" s="76">
        <v>0</v>
      </c>
      <c r="AJ92" s="76">
        <v>7711</v>
      </c>
      <c r="AK92" s="76">
        <v>17</v>
      </c>
      <c r="AL92" s="76" t="b">
        <v>0</v>
      </c>
      <c r="AM92" s="78">
        <v>44278.114664351851</v>
      </c>
      <c r="AN92" s="76" t="s">
        <v>23102</v>
      </c>
      <c r="AO92" s="76" t="s">
        <v>23422</v>
      </c>
      <c r="AP92" s="76"/>
      <c r="AQ92" s="76"/>
      <c r="AR92" s="76"/>
      <c r="AS92" s="76"/>
      <c r="AT92" s="76"/>
      <c r="AU92" s="76"/>
      <c r="AV92" s="76"/>
      <c r="AW92" s="76"/>
      <c r="AX92" s="76" t="b">
        <v>0</v>
      </c>
      <c r="AY92" s="76"/>
      <c r="AZ92" s="76"/>
      <c r="BA92" s="76" t="b">
        <v>0</v>
      </c>
      <c r="BB92" s="76" t="b">
        <v>1</v>
      </c>
      <c r="BC92" s="76" t="b">
        <v>1</v>
      </c>
      <c r="BD92" s="76" t="b">
        <v>0</v>
      </c>
      <c r="BE92" s="76" t="b">
        <v>1</v>
      </c>
      <c r="BF92" s="76" t="b">
        <v>0</v>
      </c>
      <c r="BG92" s="76" t="b">
        <v>0</v>
      </c>
      <c r="BH92" s="83" t="str">
        <f>HYPERLINK("https://pbs.twimg.com/profile_banners/1374190389511475207/1623862929")</f>
        <v>https://pbs.twimg.com/profile_banners/1374190389511475207/1623862929</v>
      </c>
      <c r="BI92" s="76"/>
      <c r="BJ92" s="76" t="s">
        <v>24935</v>
      </c>
      <c r="BK92" s="76" t="b">
        <v>0</v>
      </c>
      <c r="BL92" s="76"/>
      <c r="BM92" s="76" t="s">
        <v>66</v>
      </c>
      <c r="BN92" s="76" t="s">
        <v>24937</v>
      </c>
      <c r="BO92" s="83" t="str">
        <f>HYPERLINK("https://twitter.com/jonasfershut")</f>
        <v>https://twitter.com/jonasfershut</v>
      </c>
      <c r="BP92" s="2"/>
    </row>
    <row r="93" spans="1:68" x14ac:dyDescent="0.25">
      <c r="A93" s="62" t="s">
        <v>311</v>
      </c>
      <c r="B93" s="63"/>
      <c r="C93" s="63"/>
      <c r="D93" s="64"/>
      <c r="E93" s="66"/>
      <c r="F93" s="102" t="str">
        <f>HYPERLINK("https://pbs.twimg.com/profile_images/1280622992003944448/nxPE2aJC_normal.jpg")</f>
        <v>https://pbs.twimg.com/profile_images/1280622992003944448/nxPE2aJC_normal.jpg</v>
      </c>
      <c r="G93" s="63"/>
      <c r="H93" s="67"/>
      <c r="I93" s="68"/>
      <c r="J93" s="68"/>
      <c r="K93" s="67" t="s">
        <v>25027</v>
      </c>
      <c r="L93" s="71"/>
      <c r="M93" s="72"/>
      <c r="N93" s="72"/>
      <c r="O93" s="73"/>
      <c r="P93" s="74"/>
      <c r="Q93" s="74"/>
      <c r="R93" s="86"/>
      <c r="S93" s="86"/>
      <c r="T93" s="86"/>
      <c r="U93" s="86"/>
      <c r="V93" s="48"/>
      <c r="W93" s="48"/>
      <c r="X93" s="48"/>
      <c r="Y93" s="48"/>
      <c r="Z93" s="47"/>
      <c r="AA93" s="69">
        <v>93</v>
      </c>
      <c r="AB93" s="69"/>
      <c r="AC93" s="70"/>
      <c r="AD93" s="76" t="s">
        <v>21906</v>
      </c>
      <c r="AE93" s="81" t="s">
        <v>21074</v>
      </c>
      <c r="AF93" s="76">
        <v>1</v>
      </c>
      <c r="AG93" s="76">
        <v>0</v>
      </c>
      <c r="AH93" s="76">
        <v>54</v>
      </c>
      <c r="AI93" s="76">
        <v>0</v>
      </c>
      <c r="AJ93" s="76">
        <v>2</v>
      </c>
      <c r="AK93" s="76">
        <v>53</v>
      </c>
      <c r="AL93" s="76" t="b">
        <v>0</v>
      </c>
      <c r="AM93" s="78">
        <v>44019.916539351849</v>
      </c>
      <c r="AN93" s="76" t="s">
        <v>23103</v>
      </c>
      <c r="AO93" s="76" t="s">
        <v>23423</v>
      </c>
      <c r="AP93" s="83" t="str">
        <f>HYPERLINK("https://t.co/9SER1dNXjJ")</f>
        <v>https://t.co/9SER1dNXjJ</v>
      </c>
      <c r="AQ93" s="83" t="str">
        <f>HYPERLINK("http://www.esquece.com.br")</f>
        <v>http://www.esquece.com.br</v>
      </c>
      <c r="AR93" s="76" t="s">
        <v>21906</v>
      </c>
      <c r="AS93" s="76"/>
      <c r="AT93" s="76"/>
      <c r="AU93" s="76"/>
      <c r="AV93" s="76"/>
      <c r="AW93" s="83" t="str">
        <f>HYPERLINK("https://t.co/9SER1dNXjJ")</f>
        <v>https://t.co/9SER1dNXjJ</v>
      </c>
      <c r="AX93" s="76" t="b">
        <v>0</v>
      </c>
      <c r="AY93" s="76"/>
      <c r="AZ93" s="76"/>
      <c r="BA93" s="76" t="b">
        <v>0</v>
      </c>
      <c r="BB93" s="76" t="b">
        <v>1</v>
      </c>
      <c r="BC93" s="76" t="b">
        <v>1</v>
      </c>
      <c r="BD93" s="76" t="b">
        <v>0</v>
      </c>
      <c r="BE93" s="76" t="b">
        <v>0</v>
      </c>
      <c r="BF93" s="76" t="b">
        <v>0</v>
      </c>
      <c r="BG93" s="76" t="b">
        <v>0</v>
      </c>
      <c r="BH93" s="83" t="str">
        <f>HYPERLINK("https://pbs.twimg.com/profile_banners/1280622536733143040/1594159355")</f>
        <v>https://pbs.twimg.com/profile_banners/1280622536733143040/1594159355</v>
      </c>
      <c r="BI93" s="76"/>
      <c r="BJ93" s="76" t="s">
        <v>24935</v>
      </c>
      <c r="BK93" s="76" t="b">
        <v>0</v>
      </c>
      <c r="BL93" s="76"/>
      <c r="BM93" s="76" t="s">
        <v>66</v>
      </c>
      <c r="BN93" s="76" t="s">
        <v>24937</v>
      </c>
      <c r="BO93" s="83" t="str">
        <f>HYPERLINK("https://twitter.com/esquecebr")</f>
        <v>https://twitter.com/esquecebr</v>
      </c>
      <c r="BP93" s="2"/>
    </row>
    <row r="94" spans="1:68" x14ac:dyDescent="0.25">
      <c r="A94" s="62" t="s">
        <v>312</v>
      </c>
      <c r="B94" s="63"/>
      <c r="C94" s="63"/>
      <c r="D94" s="64"/>
      <c r="E94" s="66"/>
      <c r="F94" s="102" t="str">
        <f>HYPERLINK("https://pbs.twimg.com/profile_images/1702370960723111936/qFUSzHsj_normal.jpg")</f>
        <v>https://pbs.twimg.com/profile_images/1702370960723111936/qFUSzHsj_normal.jpg</v>
      </c>
      <c r="G94" s="63"/>
      <c r="H94" s="67"/>
      <c r="I94" s="68"/>
      <c r="J94" s="68"/>
      <c r="K94" s="67" t="s">
        <v>25028</v>
      </c>
      <c r="L94" s="71"/>
      <c r="M94" s="72"/>
      <c r="N94" s="72"/>
      <c r="O94" s="73"/>
      <c r="P94" s="74"/>
      <c r="Q94" s="74"/>
      <c r="R94" s="86"/>
      <c r="S94" s="86"/>
      <c r="T94" s="86"/>
      <c r="U94" s="86"/>
      <c r="V94" s="48"/>
      <c r="W94" s="48"/>
      <c r="X94" s="48"/>
      <c r="Y94" s="48"/>
      <c r="Z94" s="47"/>
      <c r="AA94" s="69">
        <v>94</v>
      </c>
      <c r="AB94" s="69"/>
      <c r="AC94" s="70"/>
      <c r="AD94" s="76" t="s">
        <v>21907</v>
      </c>
      <c r="AE94" s="81" t="s">
        <v>21075</v>
      </c>
      <c r="AF94" s="76">
        <v>1</v>
      </c>
      <c r="AG94" s="76">
        <v>47</v>
      </c>
      <c r="AH94" s="76">
        <v>22</v>
      </c>
      <c r="AI94" s="76">
        <v>0</v>
      </c>
      <c r="AJ94" s="76">
        <v>40</v>
      </c>
      <c r="AK94" s="76">
        <v>14</v>
      </c>
      <c r="AL94" s="76" t="b">
        <v>0</v>
      </c>
      <c r="AM94" s="78">
        <v>45183.720358796294</v>
      </c>
      <c r="AN94" s="76" t="s">
        <v>14033</v>
      </c>
      <c r="AO94" s="76" t="s">
        <v>23424</v>
      </c>
      <c r="AP94" s="83" t="str">
        <f>HYPERLINK("https://t.co/3Z7638NigK")</f>
        <v>https://t.co/3Z7638NigK</v>
      </c>
      <c r="AQ94" s="83" t="str">
        <f>HYPERLINK("https://kiwify.app/lr51rOj?afid=myNQtbJw")</f>
        <v>https://kiwify.app/lr51rOj?afid=myNQtbJw</v>
      </c>
      <c r="AR94" s="76" t="s">
        <v>24297</v>
      </c>
      <c r="AS94" s="83" t="str">
        <f>HYPERLINK("https://t.co/nRL6hD5AXG")</f>
        <v>https://t.co/nRL6hD5AXG</v>
      </c>
      <c r="AT94" s="83" t="str">
        <f>HYPERLINK("http://instagram.com/rendaourodamina")</f>
        <v>http://instagram.com/rendaourodamina</v>
      </c>
      <c r="AU94" s="76" t="s">
        <v>24855</v>
      </c>
      <c r="AV94" s="76"/>
      <c r="AW94" s="83" t="str">
        <f>HYPERLINK("https://t.co/3Z7638NigK")</f>
        <v>https://t.co/3Z7638NigK</v>
      </c>
      <c r="AX94" s="76" t="b">
        <v>0</v>
      </c>
      <c r="AY94" s="76"/>
      <c r="AZ94" s="76"/>
      <c r="BA94" s="76" t="b">
        <v>0</v>
      </c>
      <c r="BB94" s="76" t="b">
        <v>1</v>
      </c>
      <c r="BC94" s="76" t="b">
        <v>1</v>
      </c>
      <c r="BD94" s="76" t="b">
        <v>0</v>
      </c>
      <c r="BE94" s="76" t="b">
        <v>0</v>
      </c>
      <c r="BF94" s="76" t="b">
        <v>0</v>
      </c>
      <c r="BG94" s="76" t="b">
        <v>0</v>
      </c>
      <c r="BH94" s="83" t="str">
        <f>HYPERLINK("https://pbs.twimg.com/profile_banners/1702370643721719808/1694717612")</f>
        <v>https://pbs.twimg.com/profile_banners/1702370643721719808/1694717612</v>
      </c>
      <c r="BI94" s="76"/>
      <c r="BJ94" s="76" t="s">
        <v>24935</v>
      </c>
      <c r="BK94" s="76" t="b">
        <v>0</v>
      </c>
      <c r="BL94" s="76"/>
      <c r="BM94" s="76" t="s">
        <v>66</v>
      </c>
      <c r="BN94" s="76" t="s">
        <v>24937</v>
      </c>
      <c r="BO94" s="83" t="str">
        <f>HYPERLINK("https://twitter.com/an80968quaresma")</f>
        <v>https://twitter.com/an80968quaresma</v>
      </c>
      <c r="BP94" s="2"/>
    </row>
    <row r="95" spans="1:68" x14ac:dyDescent="0.25">
      <c r="A95" s="62" t="s">
        <v>313</v>
      </c>
      <c r="B95" s="63"/>
      <c r="C95" s="63"/>
      <c r="D95" s="64"/>
      <c r="E95" s="66"/>
      <c r="F95" s="102" t="str">
        <f>HYPERLINK("https://pbs.twimg.com/profile_images/1628789682120138752/GdrIu3LC_normal.jpg")</f>
        <v>https://pbs.twimg.com/profile_images/1628789682120138752/GdrIu3LC_normal.jpg</v>
      </c>
      <c r="G95" s="63"/>
      <c r="H95" s="67"/>
      <c r="I95" s="68"/>
      <c r="J95" s="68"/>
      <c r="K95" s="67" t="s">
        <v>25029</v>
      </c>
      <c r="L95" s="71"/>
      <c r="M95" s="72"/>
      <c r="N95" s="72"/>
      <c r="O95" s="73"/>
      <c r="P95" s="74"/>
      <c r="Q95" s="74"/>
      <c r="R95" s="86"/>
      <c r="S95" s="86"/>
      <c r="T95" s="86"/>
      <c r="U95" s="86"/>
      <c r="V95" s="48"/>
      <c r="W95" s="48"/>
      <c r="X95" s="48"/>
      <c r="Y95" s="48"/>
      <c r="Z95" s="47"/>
      <c r="AA95" s="69">
        <v>95</v>
      </c>
      <c r="AB95" s="69"/>
      <c r="AC95" s="70"/>
      <c r="AD95" s="76" t="s">
        <v>21908</v>
      </c>
      <c r="AE95" s="81" t="s">
        <v>20903</v>
      </c>
      <c r="AF95" s="76">
        <v>3939</v>
      </c>
      <c r="AG95" s="76">
        <v>4762</v>
      </c>
      <c r="AH95" s="76">
        <v>3190</v>
      </c>
      <c r="AI95" s="76">
        <v>6</v>
      </c>
      <c r="AJ95" s="76">
        <v>2111</v>
      </c>
      <c r="AK95" s="76">
        <v>542</v>
      </c>
      <c r="AL95" s="76" t="b">
        <v>0</v>
      </c>
      <c r="AM95" s="78">
        <v>43400.834699074076</v>
      </c>
      <c r="AN95" s="76" t="s">
        <v>23104</v>
      </c>
      <c r="AO95" s="76" t="s">
        <v>23425</v>
      </c>
      <c r="AP95" s="76"/>
      <c r="AQ95" s="76"/>
      <c r="AR95" s="76"/>
      <c r="AS95" s="76"/>
      <c r="AT95" s="76"/>
      <c r="AU95" s="76"/>
      <c r="AV95" s="76">
        <v>1.12946945866017E+18</v>
      </c>
      <c r="AW95" s="76"/>
      <c r="AX95" s="76" t="b">
        <v>0</v>
      </c>
      <c r="AY95" s="76"/>
      <c r="AZ95" s="76"/>
      <c r="BA95" s="76" t="b">
        <v>0</v>
      </c>
      <c r="BB95" s="76" t="b">
        <v>1</v>
      </c>
      <c r="BC95" s="76" t="b">
        <v>0</v>
      </c>
      <c r="BD95" s="76" t="b">
        <v>0</v>
      </c>
      <c r="BE95" s="76" t="b">
        <v>1</v>
      </c>
      <c r="BF95" s="76" t="b">
        <v>0</v>
      </c>
      <c r="BG95" s="76" t="b">
        <v>0</v>
      </c>
      <c r="BH95" s="83" t="str">
        <f>HYPERLINK("https://pbs.twimg.com/profile_banners/1056274830163619841/1690467707")</f>
        <v>https://pbs.twimg.com/profile_banners/1056274830163619841/1690467707</v>
      </c>
      <c r="BI95" s="76"/>
      <c r="BJ95" s="76" t="s">
        <v>24935</v>
      </c>
      <c r="BK95" s="76" t="b">
        <v>0</v>
      </c>
      <c r="BL95" s="76"/>
      <c r="BM95" s="76" t="s">
        <v>66</v>
      </c>
      <c r="BN95" s="76" t="s">
        <v>24937</v>
      </c>
      <c r="BO95" s="83" t="str">
        <f>HYPERLINK("https://twitter.com/confrariacurios")</f>
        <v>https://twitter.com/confrariacurios</v>
      </c>
      <c r="BP95" s="2"/>
    </row>
    <row r="96" spans="1:68" x14ac:dyDescent="0.25">
      <c r="A96" s="62" t="s">
        <v>314</v>
      </c>
      <c r="B96" s="63"/>
      <c r="C96" s="63"/>
      <c r="D96" s="64"/>
      <c r="E96" s="66"/>
      <c r="F96" s="102" t="str">
        <f>HYPERLINK("https://pbs.twimg.com/profile_images/1599968473505038339/Tlfu66HJ_normal.jpg")</f>
        <v>https://pbs.twimg.com/profile_images/1599968473505038339/Tlfu66HJ_normal.jpg</v>
      </c>
      <c r="G96" s="63"/>
      <c r="H96" s="67"/>
      <c r="I96" s="68"/>
      <c r="J96" s="68"/>
      <c r="K96" s="67" t="s">
        <v>25030</v>
      </c>
      <c r="L96" s="71"/>
      <c r="M96" s="72"/>
      <c r="N96" s="72"/>
      <c r="O96" s="73"/>
      <c r="P96" s="74"/>
      <c r="Q96" s="74"/>
      <c r="R96" s="86"/>
      <c r="S96" s="86"/>
      <c r="T96" s="86"/>
      <c r="U96" s="86"/>
      <c r="V96" s="48"/>
      <c r="W96" s="48"/>
      <c r="X96" s="48"/>
      <c r="Y96" s="48"/>
      <c r="Z96" s="47"/>
      <c r="AA96" s="69">
        <v>96</v>
      </c>
      <c r="AB96" s="69"/>
      <c r="AC96" s="70"/>
      <c r="AD96" s="76" t="s">
        <v>21909</v>
      </c>
      <c r="AE96" s="81" t="s">
        <v>21076</v>
      </c>
      <c r="AF96" s="76">
        <v>593</v>
      </c>
      <c r="AG96" s="76">
        <v>1091</v>
      </c>
      <c r="AH96" s="76">
        <v>131</v>
      </c>
      <c r="AI96" s="76">
        <v>2</v>
      </c>
      <c r="AJ96" s="76">
        <v>1</v>
      </c>
      <c r="AK96" s="76">
        <v>2</v>
      </c>
      <c r="AL96" s="76" t="b">
        <v>0</v>
      </c>
      <c r="AM96" s="78">
        <v>44555.124872685185</v>
      </c>
      <c r="AN96" s="76" t="s">
        <v>23105</v>
      </c>
      <c r="AO96" s="76" t="s">
        <v>23426</v>
      </c>
      <c r="AP96" s="83" t="str">
        <f>HYPERLINK("https://t.co/GbtTj7bWRQ")</f>
        <v>https://t.co/GbtTj7bWRQ</v>
      </c>
      <c r="AQ96" s="83" t="str">
        <f>HYPERLINK("https://www.khanh.com.br")</f>
        <v>https://www.khanh.com.br</v>
      </c>
      <c r="AR96" s="76" t="s">
        <v>24298</v>
      </c>
      <c r="AS96" s="76"/>
      <c r="AT96" s="76"/>
      <c r="AU96" s="76"/>
      <c r="AV96" s="76"/>
      <c r="AW96" s="83" t="str">
        <f>HYPERLINK("https://t.co/GbtTj7bWRQ")</f>
        <v>https://t.co/GbtTj7bWRQ</v>
      </c>
      <c r="AX96" s="76" t="b">
        <v>0</v>
      </c>
      <c r="AY96" s="76"/>
      <c r="AZ96" s="76"/>
      <c r="BA96" s="76" t="b">
        <v>0</v>
      </c>
      <c r="BB96" s="76" t="b">
        <v>1</v>
      </c>
      <c r="BC96" s="76" t="b">
        <v>1</v>
      </c>
      <c r="BD96" s="76" t="b">
        <v>0</v>
      </c>
      <c r="BE96" s="76" t="b">
        <v>0</v>
      </c>
      <c r="BF96" s="76" t="b">
        <v>0</v>
      </c>
      <c r="BG96" s="76" t="b">
        <v>0</v>
      </c>
      <c r="BH96" s="76"/>
      <c r="BI96" s="76"/>
      <c r="BJ96" s="76" t="s">
        <v>24935</v>
      </c>
      <c r="BK96" s="76" t="b">
        <v>0</v>
      </c>
      <c r="BL96" s="76"/>
      <c r="BM96" s="76" t="s">
        <v>66</v>
      </c>
      <c r="BN96" s="76" t="s">
        <v>24937</v>
      </c>
      <c r="BO96" s="83" t="str">
        <f>HYPERLINK("https://twitter.com/giovaniaandre")</f>
        <v>https://twitter.com/giovaniaandre</v>
      </c>
      <c r="BP96" s="2"/>
    </row>
    <row r="97" spans="1:68" x14ac:dyDescent="0.25">
      <c r="A97" s="62" t="s">
        <v>315</v>
      </c>
      <c r="B97" s="63"/>
      <c r="C97" s="63"/>
      <c r="D97" s="64"/>
      <c r="E97" s="66"/>
      <c r="F97" s="102" t="str">
        <f>HYPERLINK("https://pbs.twimg.com/profile_images/1588699273964683269/pwOIZhdu_normal.jpg")</f>
        <v>https://pbs.twimg.com/profile_images/1588699273964683269/pwOIZhdu_normal.jpg</v>
      </c>
      <c r="G97" s="63"/>
      <c r="H97" s="67"/>
      <c r="I97" s="68"/>
      <c r="J97" s="68"/>
      <c r="K97" s="67" t="s">
        <v>25031</v>
      </c>
      <c r="L97" s="71"/>
      <c r="M97" s="72"/>
      <c r="N97" s="72"/>
      <c r="O97" s="73"/>
      <c r="P97" s="74"/>
      <c r="Q97" s="74"/>
      <c r="R97" s="86"/>
      <c r="S97" s="86"/>
      <c r="T97" s="86"/>
      <c r="U97" s="86"/>
      <c r="V97" s="48"/>
      <c r="W97" s="48"/>
      <c r="X97" s="48"/>
      <c r="Y97" s="48"/>
      <c r="Z97" s="47"/>
      <c r="AA97" s="69">
        <v>97</v>
      </c>
      <c r="AB97" s="69"/>
      <c r="AC97" s="70"/>
      <c r="AD97" s="76" t="s">
        <v>21910</v>
      </c>
      <c r="AE97" s="81" t="s">
        <v>21077</v>
      </c>
      <c r="AF97" s="76">
        <v>2</v>
      </c>
      <c r="AG97" s="76">
        <v>33</v>
      </c>
      <c r="AH97" s="76">
        <v>189</v>
      </c>
      <c r="AI97" s="76">
        <v>1</v>
      </c>
      <c r="AJ97" s="76">
        <v>18</v>
      </c>
      <c r="AK97" s="76">
        <v>15</v>
      </c>
      <c r="AL97" s="76" t="b">
        <v>0</v>
      </c>
      <c r="AM97" s="78">
        <v>44870.046261574076</v>
      </c>
      <c r="AN97" s="76" t="s">
        <v>14040</v>
      </c>
      <c r="AO97" s="76" t="s">
        <v>23427</v>
      </c>
      <c r="AP97" s="83" t="str">
        <f>HYPERLINK("https://t.co/evpJhiCUsh")</f>
        <v>https://t.co/evpJhiCUsh</v>
      </c>
      <c r="AQ97" s="83" t="str">
        <f>HYPERLINK("https://instagram.com/emerson.matos78")</f>
        <v>https://instagram.com/emerson.matos78</v>
      </c>
      <c r="AR97" s="76" t="s">
        <v>24299</v>
      </c>
      <c r="AS97" s="76"/>
      <c r="AT97" s="76"/>
      <c r="AU97" s="76"/>
      <c r="AV97" s="76">
        <v>1.6604091657752599E+18</v>
      </c>
      <c r="AW97" s="83" t="str">
        <f>HYPERLINK("https://t.co/evpJhiCUsh")</f>
        <v>https://t.co/evpJhiCUsh</v>
      </c>
      <c r="AX97" s="76" t="b">
        <v>0</v>
      </c>
      <c r="AY97" s="76"/>
      <c r="AZ97" s="76"/>
      <c r="BA97" s="76" t="b">
        <v>0</v>
      </c>
      <c r="BB97" s="76" t="b">
        <v>1</v>
      </c>
      <c r="BC97" s="76" t="b">
        <v>1</v>
      </c>
      <c r="BD97" s="76" t="b">
        <v>0</v>
      </c>
      <c r="BE97" s="76" t="b">
        <v>1</v>
      </c>
      <c r="BF97" s="76" t="b">
        <v>0</v>
      </c>
      <c r="BG97" s="76" t="b">
        <v>0</v>
      </c>
      <c r="BH97" s="83" t="str">
        <f>HYPERLINK("https://pbs.twimg.com/profile_banners/1588699178925965312/1667611649")</f>
        <v>https://pbs.twimg.com/profile_banners/1588699178925965312/1667611649</v>
      </c>
      <c r="BI97" s="76"/>
      <c r="BJ97" s="76" t="s">
        <v>24935</v>
      </c>
      <c r="BK97" s="76" t="b">
        <v>0</v>
      </c>
      <c r="BL97" s="76"/>
      <c r="BM97" s="76" t="s">
        <v>66</v>
      </c>
      <c r="BN97" s="76" t="s">
        <v>24937</v>
      </c>
      <c r="BO97" s="83" t="str">
        <f>HYPERLINK("https://twitter.com/emerson51318371")</f>
        <v>https://twitter.com/emerson51318371</v>
      </c>
      <c r="BP97" s="2"/>
    </row>
    <row r="98" spans="1:68" x14ac:dyDescent="0.25">
      <c r="A98" s="62" t="s">
        <v>316</v>
      </c>
      <c r="B98" s="63"/>
      <c r="C98" s="63"/>
      <c r="D98" s="64"/>
      <c r="E98" s="66"/>
      <c r="F98" s="102" t="str">
        <f>HYPERLINK("https://pbs.twimg.com/profile_images/1674122196942241792/dDPR7JkU_normal.jpg")</f>
        <v>https://pbs.twimg.com/profile_images/1674122196942241792/dDPR7JkU_normal.jpg</v>
      </c>
      <c r="G98" s="63"/>
      <c r="H98" s="67"/>
      <c r="I98" s="68"/>
      <c r="J98" s="68"/>
      <c r="K98" s="67" t="s">
        <v>25032</v>
      </c>
      <c r="L98" s="71"/>
      <c r="M98" s="72"/>
      <c r="N98" s="72"/>
      <c r="O98" s="73"/>
      <c r="P98" s="74"/>
      <c r="Q98" s="74"/>
      <c r="R98" s="86"/>
      <c r="S98" s="86"/>
      <c r="T98" s="86"/>
      <c r="U98" s="86"/>
      <c r="V98" s="48"/>
      <c r="W98" s="48"/>
      <c r="X98" s="48"/>
      <c r="Y98" s="48"/>
      <c r="Z98" s="47"/>
      <c r="AA98" s="69">
        <v>98</v>
      </c>
      <c r="AB98" s="69"/>
      <c r="AC98" s="70"/>
      <c r="AD98" s="76" t="s">
        <v>21911</v>
      </c>
      <c r="AE98" s="81" t="s">
        <v>21078</v>
      </c>
      <c r="AF98" s="76">
        <v>1</v>
      </c>
      <c r="AG98" s="76">
        <v>1</v>
      </c>
      <c r="AH98" s="76">
        <v>3</v>
      </c>
      <c r="AI98" s="76">
        <v>0</v>
      </c>
      <c r="AJ98" s="76">
        <v>0</v>
      </c>
      <c r="AK98" s="76">
        <v>3</v>
      </c>
      <c r="AL98" s="76" t="b">
        <v>0</v>
      </c>
      <c r="AM98" s="78">
        <v>45105.70721064815</v>
      </c>
      <c r="AN98" s="76"/>
      <c r="AO98" s="76"/>
      <c r="AP98" s="76"/>
      <c r="AQ98" s="76"/>
      <c r="AR98" s="76"/>
      <c r="AS98" s="76"/>
      <c r="AT98" s="76"/>
      <c r="AU98" s="76"/>
      <c r="AV98" s="76"/>
      <c r="AW98" s="76"/>
      <c r="AX98" s="76" t="b">
        <v>0</v>
      </c>
      <c r="AY98" s="76"/>
      <c r="AZ98" s="76"/>
      <c r="BA98" s="76" t="b">
        <v>0</v>
      </c>
      <c r="BB98" s="76" t="b">
        <v>1</v>
      </c>
      <c r="BC98" s="76" t="b">
        <v>1</v>
      </c>
      <c r="BD98" s="76" t="b">
        <v>0</v>
      </c>
      <c r="BE98" s="76" t="b">
        <v>0</v>
      </c>
      <c r="BF98" s="76" t="b">
        <v>0</v>
      </c>
      <c r="BG98" s="76" t="b">
        <v>0</v>
      </c>
      <c r="BH98" s="76"/>
      <c r="BI98" s="76"/>
      <c r="BJ98" s="76" t="s">
        <v>24935</v>
      </c>
      <c r="BK98" s="76" t="b">
        <v>0</v>
      </c>
      <c r="BL98" s="76"/>
      <c r="BM98" s="76" t="s">
        <v>66</v>
      </c>
      <c r="BN98" s="76" t="s">
        <v>24937</v>
      </c>
      <c r="BO98" s="83" t="str">
        <f>HYPERLINK("https://twitter.com/packs_plr_grati")</f>
        <v>https://twitter.com/packs_plr_grati</v>
      </c>
      <c r="BP98" s="2"/>
    </row>
    <row r="99" spans="1:68" x14ac:dyDescent="0.25">
      <c r="A99" s="62" t="s">
        <v>317</v>
      </c>
      <c r="B99" s="63"/>
      <c r="C99" s="63"/>
      <c r="D99" s="64"/>
      <c r="E99" s="66"/>
      <c r="F99" s="102" t="str">
        <f>HYPERLINK("https://pbs.twimg.com/profile_images/1436801088062111744/z1jkHIHG_normal.jpg")</f>
        <v>https://pbs.twimg.com/profile_images/1436801088062111744/z1jkHIHG_normal.jpg</v>
      </c>
      <c r="G99" s="63"/>
      <c r="H99" s="67"/>
      <c r="I99" s="68"/>
      <c r="J99" s="68"/>
      <c r="K99" s="67" t="s">
        <v>25033</v>
      </c>
      <c r="L99" s="71"/>
      <c r="M99" s="72"/>
      <c r="N99" s="72"/>
      <c r="O99" s="73"/>
      <c r="P99" s="74"/>
      <c r="Q99" s="74"/>
      <c r="R99" s="86"/>
      <c r="S99" s="86"/>
      <c r="T99" s="86"/>
      <c r="U99" s="86"/>
      <c r="V99" s="48"/>
      <c r="W99" s="48"/>
      <c r="X99" s="48"/>
      <c r="Y99" s="48"/>
      <c r="Z99" s="47"/>
      <c r="AA99" s="69">
        <v>99</v>
      </c>
      <c r="AB99" s="69"/>
      <c r="AC99" s="70"/>
      <c r="AD99" s="76" t="s">
        <v>21912</v>
      </c>
      <c r="AE99" s="81" t="s">
        <v>21079</v>
      </c>
      <c r="AF99" s="76">
        <v>7</v>
      </c>
      <c r="AG99" s="76">
        <v>47</v>
      </c>
      <c r="AH99" s="76">
        <v>11</v>
      </c>
      <c r="AI99" s="76">
        <v>0</v>
      </c>
      <c r="AJ99" s="76">
        <v>136</v>
      </c>
      <c r="AK99" s="76">
        <v>1</v>
      </c>
      <c r="AL99" s="76" t="b">
        <v>0</v>
      </c>
      <c r="AM99" s="78">
        <v>44450.881805555553</v>
      </c>
      <c r="AN99" s="76"/>
      <c r="AO99" s="76" t="s">
        <v>23428</v>
      </c>
      <c r="AP99" s="76"/>
      <c r="AQ99" s="76"/>
      <c r="AR99" s="76"/>
      <c r="AS99" s="76"/>
      <c r="AT99" s="76"/>
      <c r="AU99" s="76"/>
      <c r="AV99" s="76">
        <v>1.62584472405661E+18</v>
      </c>
      <c r="AW99" s="76"/>
      <c r="AX99" s="76" t="b">
        <v>0</v>
      </c>
      <c r="AY99" s="76"/>
      <c r="AZ99" s="76"/>
      <c r="BA99" s="76" t="b">
        <v>0</v>
      </c>
      <c r="BB99" s="76" t="b">
        <v>1</v>
      </c>
      <c r="BC99" s="76" t="b">
        <v>1</v>
      </c>
      <c r="BD99" s="76" t="b">
        <v>0</v>
      </c>
      <c r="BE99" s="76" t="b">
        <v>0</v>
      </c>
      <c r="BF99" s="76" t="b">
        <v>0</v>
      </c>
      <c r="BG99" s="76" t="b">
        <v>0</v>
      </c>
      <c r="BH99" s="83" t="str">
        <f>HYPERLINK("https://pbs.twimg.com/profile_banners/1436798928608022531/1676466286")</f>
        <v>https://pbs.twimg.com/profile_banners/1436798928608022531/1676466286</v>
      </c>
      <c r="BI99" s="76"/>
      <c r="BJ99" s="76" t="s">
        <v>24935</v>
      </c>
      <c r="BK99" s="76" t="b">
        <v>0</v>
      </c>
      <c r="BL99" s="76"/>
      <c r="BM99" s="76" t="s">
        <v>66</v>
      </c>
      <c r="BN99" s="76" t="s">
        <v>24937</v>
      </c>
      <c r="BO99" s="83" t="str">
        <f>HYPERLINK("https://twitter.com/cz_nogueira")</f>
        <v>https://twitter.com/cz_nogueira</v>
      </c>
      <c r="BP99" s="2"/>
    </row>
    <row r="100" spans="1:68" x14ac:dyDescent="0.25">
      <c r="A100" s="62" t="s">
        <v>318</v>
      </c>
      <c r="B100" s="63"/>
      <c r="C100" s="63"/>
      <c r="D100" s="64"/>
      <c r="E100" s="66"/>
      <c r="F100" s="102" t="str">
        <f>HYPERLINK("https://pbs.twimg.com/profile_images/1625942828651057163/MhYD8-Yq_normal.jpg")</f>
        <v>https://pbs.twimg.com/profile_images/1625942828651057163/MhYD8-Yq_normal.jpg</v>
      </c>
      <c r="G100" s="63"/>
      <c r="H100" s="67"/>
      <c r="I100" s="68"/>
      <c r="J100" s="68"/>
      <c r="K100" s="67" t="s">
        <v>25034</v>
      </c>
      <c r="L100" s="71"/>
      <c r="M100" s="72"/>
      <c r="N100" s="72"/>
      <c r="O100" s="73"/>
      <c r="P100" s="74"/>
      <c r="Q100" s="74"/>
      <c r="R100" s="86"/>
      <c r="S100" s="86"/>
      <c r="T100" s="86"/>
      <c r="U100" s="86"/>
      <c r="V100" s="48"/>
      <c r="W100" s="48"/>
      <c r="X100" s="48"/>
      <c r="Y100" s="48"/>
      <c r="Z100" s="47"/>
      <c r="AA100" s="69">
        <v>100</v>
      </c>
      <c r="AB100" s="69"/>
      <c r="AC100" s="70"/>
      <c r="AD100" s="76" t="s">
        <v>21913</v>
      </c>
      <c r="AE100" s="81" t="s">
        <v>22877</v>
      </c>
      <c r="AF100" s="76">
        <v>160</v>
      </c>
      <c r="AG100" s="76">
        <v>205</v>
      </c>
      <c r="AH100" s="76">
        <v>1161</v>
      </c>
      <c r="AI100" s="76">
        <v>5</v>
      </c>
      <c r="AJ100" s="76">
        <v>690</v>
      </c>
      <c r="AK100" s="76">
        <v>32</v>
      </c>
      <c r="AL100" s="76" t="b">
        <v>0</v>
      </c>
      <c r="AM100" s="78">
        <v>40111.630995370368</v>
      </c>
      <c r="AN100" s="76" t="s">
        <v>14033</v>
      </c>
      <c r="AO100" s="76" t="s">
        <v>23429</v>
      </c>
      <c r="AP100" s="76"/>
      <c r="AQ100" s="76"/>
      <c r="AR100" s="76"/>
      <c r="AS100" s="76"/>
      <c r="AT100" s="76"/>
      <c r="AU100" s="76"/>
      <c r="AV100" s="76"/>
      <c r="AW100" s="76"/>
      <c r="AX100" s="76" t="b">
        <v>0</v>
      </c>
      <c r="AY100" s="76"/>
      <c r="AZ100" s="76"/>
      <c r="BA100" s="76" t="b">
        <v>0</v>
      </c>
      <c r="BB100" s="76" t="b">
        <v>1</v>
      </c>
      <c r="BC100" s="76" t="b">
        <v>0</v>
      </c>
      <c r="BD100" s="76" t="b">
        <v>0</v>
      </c>
      <c r="BE100" s="76" t="b">
        <v>0</v>
      </c>
      <c r="BF100" s="76" t="b">
        <v>0</v>
      </c>
      <c r="BG100" s="76" t="b">
        <v>0</v>
      </c>
      <c r="BH100" s="83" t="str">
        <f>HYPERLINK("https://pbs.twimg.com/profile_banners/85097900/1675470914")</f>
        <v>https://pbs.twimg.com/profile_banners/85097900/1675470914</v>
      </c>
      <c r="BI100" s="76"/>
      <c r="BJ100" s="76" t="s">
        <v>24935</v>
      </c>
      <c r="BK100" s="76" t="b">
        <v>0</v>
      </c>
      <c r="BL100" s="76"/>
      <c r="BM100" s="76" t="s">
        <v>66</v>
      </c>
      <c r="BN100" s="76" t="s">
        <v>24937</v>
      </c>
      <c r="BO100" s="83" t="str">
        <f>HYPERLINK("https://twitter.com/danniolliveira_")</f>
        <v>https://twitter.com/danniolliveira_</v>
      </c>
      <c r="BP100" s="2"/>
    </row>
    <row r="101" spans="1:68" x14ac:dyDescent="0.25">
      <c r="A101" s="62" t="s">
        <v>319</v>
      </c>
      <c r="B101" s="63"/>
      <c r="C101" s="63"/>
      <c r="D101" s="64"/>
      <c r="E101" s="66"/>
      <c r="F101" s="102" t="str">
        <f>HYPERLINK("https://pbs.twimg.com/profile_images/1532101218226651144/X778Q7qn_normal.jpg")</f>
        <v>https://pbs.twimg.com/profile_images/1532101218226651144/X778Q7qn_normal.jpg</v>
      </c>
      <c r="G101" s="63"/>
      <c r="H101" s="67"/>
      <c r="I101" s="68"/>
      <c r="J101" s="68"/>
      <c r="K101" s="67" t="s">
        <v>25035</v>
      </c>
      <c r="L101" s="71"/>
      <c r="M101" s="72"/>
      <c r="N101" s="72"/>
      <c r="O101" s="73"/>
      <c r="P101" s="74"/>
      <c r="Q101" s="74"/>
      <c r="R101" s="86"/>
      <c r="S101" s="86"/>
      <c r="T101" s="86"/>
      <c r="U101" s="86"/>
      <c r="V101" s="48"/>
      <c r="W101" s="48"/>
      <c r="X101" s="48"/>
      <c r="Y101" s="48"/>
      <c r="Z101" s="47"/>
      <c r="AA101" s="69">
        <v>101</v>
      </c>
      <c r="AB101" s="69"/>
      <c r="AC101" s="70"/>
      <c r="AD101" s="76" t="s">
        <v>21914</v>
      </c>
      <c r="AE101" s="81" t="s">
        <v>21080</v>
      </c>
      <c r="AF101" s="76">
        <v>87</v>
      </c>
      <c r="AG101" s="76">
        <v>163</v>
      </c>
      <c r="AH101" s="76">
        <v>740</v>
      </c>
      <c r="AI101" s="76">
        <v>1</v>
      </c>
      <c r="AJ101" s="76">
        <v>1747</v>
      </c>
      <c r="AK101" s="76">
        <v>16</v>
      </c>
      <c r="AL101" s="76" t="b">
        <v>0</v>
      </c>
      <c r="AM101" s="78">
        <v>44682.681793981479</v>
      </c>
      <c r="AN101" s="76"/>
      <c r="AO101" s="76"/>
      <c r="AP101" s="76"/>
      <c r="AQ101" s="76"/>
      <c r="AR101" s="76"/>
      <c r="AS101" s="76"/>
      <c r="AT101" s="76"/>
      <c r="AU101" s="76"/>
      <c r="AV101" s="76"/>
      <c r="AW101" s="76"/>
      <c r="AX101" s="76" t="b">
        <v>0</v>
      </c>
      <c r="AY101" s="76"/>
      <c r="AZ101" s="76"/>
      <c r="BA101" s="76" t="b">
        <v>0</v>
      </c>
      <c r="BB101" s="76" t="b">
        <v>1</v>
      </c>
      <c r="BC101" s="76" t="b">
        <v>1</v>
      </c>
      <c r="BD101" s="76" t="b">
        <v>0</v>
      </c>
      <c r="BE101" s="76" t="b">
        <v>1</v>
      </c>
      <c r="BF101" s="76" t="b">
        <v>0</v>
      </c>
      <c r="BG101" s="76" t="b">
        <v>0</v>
      </c>
      <c r="BH101" s="76"/>
      <c r="BI101" s="76"/>
      <c r="BJ101" s="76" t="s">
        <v>24935</v>
      </c>
      <c r="BK101" s="76" t="b">
        <v>0</v>
      </c>
      <c r="BL101" s="76"/>
      <c r="BM101" s="76" t="s">
        <v>66</v>
      </c>
      <c r="BN101" s="76" t="s">
        <v>24937</v>
      </c>
      <c r="BO101" s="83" t="str">
        <f>HYPERLINK("https://twitter.com/maria_alves_72")</f>
        <v>https://twitter.com/maria_alves_72</v>
      </c>
      <c r="BP101" s="2"/>
    </row>
    <row r="102" spans="1:68" x14ac:dyDescent="0.25">
      <c r="A102" s="62" t="s">
        <v>320</v>
      </c>
      <c r="B102" s="63"/>
      <c r="C102" s="63"/>
      <c r="D102" s="64"/>
      <c r="E102" s="66"/>
      <c r="F102" s="102" t="str">
        <f>HYPERLINK("https://pbs.twimg.com/profile_images/1678802412365029376/1_g59R6l_normal.jpg")</f>
        <v>https://pbs.twimg.com/profile_images/1678802412365029376/1_g59R6l_normal.jpg</v>
      </c>
      <c r="G102" s="63"/>
      <c r="H102" s="67"/>
      <c r="I102" s="68"/>
      <c r="J102" s="68"/>
      <c r="K102" s="67" t="s">
        <v>25036</v>
      </c>
      <c r="L102" s="71"/>
      <c r="M102" s="72"/>
      <c r="N102" s="72"/>
      <c r="O102" s="73"/>
      <c r="P102" s="74"/>
      <c r="Q102" s="74"/>
      <c r="R102" s="86"/>
      <c r="S102" s="86"/>
      <c r="T102" s="86"/>
      <c r="U102" s="86"/>
      <c r="V102" s="48"/>
      <c r="W102" s="48"/>
      <c r="X102" s="48"/>
      <c r="Y102" s="48"/>
      <c r="Z102" s="47"/>
      <c r="AA102" s="69">
        <v>102</v>
      </c>
      <c r="AB102" s="69"/>
      <c r="AC102" s="70"/>
      <c r="AD102" s="76" t="s">
        <v>21915</v>
      </c>
      <c r="AE102" s="81" t="s">
        <v>22878</v>
      </c>
      <c r="AF102" s="76">
        <v>119</v>
      </c>
      <c r="AG102" s="76">
        <v>0</v>
      </c>
      <c r="AH102" s="76">
        <v>811</v>
      </c>
      <c r="AI102" s="76">
        <v>3</v>
      </c>
      <c r="AJ102" s="76">
        <v>37</v>
      </c>
      <c r="AK102" s="76">
        <v>5</v>
      </c>
      <c r="AL102" s="76" t="b">
        <v>0</v>
      </c>
      <c r="AM102" s="78">
        <v>40014.785127314812</v>
      </c>
      <c r="AN102" s="76" t="s">
        <v>23106</v>
      </c>
      <c r="AO102" s="76" t="s">
        <v>23430</v>
      </c>
      <c r="AP102" s="76"/>
      <c r="AQ102" s="76"/>
      <c r="AR102" s="76"/>
      <c r="AS102" s="76"/>
      <c r="AT102" s="76"/>
      <c r="AU102" s="76"/>
      <c r="AV102" s="76"/>
      <c r="AW102" s="76"/>
      <c r="AX102" s="76" t="b">
        <v>0</v>
      </c>
      <c r="AY102" s="76"/>
      <c r="AZ102" s="76"/>
      <c r="BA102" s="76" t="b">
        <v>1</v>
      </c>
      <c r="BB102" s="76" t="b">
        <v>1</v>
      </c>
      <c r="BC102" s="76" t="b">
        <v>0</v>
      </c>
      <c r="BD102" s="76" t="b">
        <v>0</v>
      </c>
      <c r="BE102" s="76" t="b">
        <v>0</v>
      </c>
      <c r="BF102" s="76" t="b">
        <v>0</v>
      </c>
      <c r="BG102" s="76" t="b">
        <v>0</v>
      </c>
      <c r="BH102" s="76"/>
      <c r="BI102" s="76"/>
      <c r="BJ102" s="76" t="s">
        <v>24935</v>
      </c>
      <c r="BK102" s="76" t="b">
        <v>0</v>
      </c>
      <c r="BL102" s="76"/>
      <c r="BM102" s="76" t="s">
        <v>66</v>
      </c>
      <c r="BN102" s="76" t="s">
        <v>24937</v>
      </c>
      <c r="BO102" s="83" t="str">
        <f>HYPERLINK("https://twitter.com/nethinhoba")</f>
        <v>https://twitter.com/nethinhoba</v>
      </c>
      <c r="BP102" s="2"/>
    </row>
    <row r="103" spans="1:68" x14ac:dyDescent="0.25">
      <c r="A103" s="62" t="s">
        <v>321</v>
      </c>
      <c r="B103" s="63"/>
      <c r="C103" s="63"/>
      <c r="D103" s="64"/>
      <c r="E103" s="66"/>
      <c r="F103" s="102" t="str">
        <f>HYPERLINK("https://pbs.twimg.com/profile_images/1704179991984971776/B7jG0r6J_normal.jpg")</f>
        <v>https://pbs.twimg.com/profile_images/1704179991984971776/B7jG0r6J_normal.jpg</v>
      </c>
      <c r="G103" s="63"/>
      <c r="H103" s="67"/>
      <c r="I103" s="68"/>
      <c r="J103" s="68"/>
      <c r="K103" s="67" t="s">
        <v>25037</v>
      </c>
      <c r="L103" s="71"/>
      <c r="M103" s="72"/>
      <c r="N103" s="72"/>
      <c r="O103" s="73"/>
      <c r="P103" s="74"/>
      <c r="Q103" s="74"/>
      <c r="R103" s="86"/>
      <c r="S103" s="86"/>
      <c r="T103" s="86"/>
      <c r="U103" s="86"/>
      <c r="V103" s="48"/>
      <c r="W103" s="48"/>
      <c r="X103" s="48"/>
      <c r="Y103" s="48"/>
      <c r="Z103" s="47"/>
      <c r="AA103" s="69">
        <v>103</v>
      </c>
      <c r="AB103" s="69"/>
      <c r="AC103" s="70"/>
      <c r="AD103" s="76" t="s">
        <v>21916</v>
      </c>
      <c r="AE103" s="81" t="s">
        <v>21081</v>
      </c>
      <c r="AF103" s="76">
        <v>0</v>
      </c>
      <c r="AG103" s="76">
        <v>0</v>
      </c>
      <c r="AH103" s="76">
        <v>4</v>
      </c>
      <c r="AI103" s="76">
        <v>0</v>
      </c>
      <c r="AJ103" s="76">
        <v>0</v>
      </c>
      <c r="AK103" s="76">
        <v>3</v>
      </c>
      <c r="AL103" s="76" t="b">
        <v>0</v>
      </c>
      <c r="AM103" s="78">
        <v>45185.587777777779</v>
      </c>
      <c r="AN103" s="76"/>
      <c r="AO103" s="76" t="s">
        <v>23431</v>
      </c>
      <c r="AP103" s="83" t="str">
        <f>HYPERLINK("https://t.co/ulRmMrhyRm")</f>
        <v>https://t.co/ulRmMrhyRm</v>
      </c>
      <c r="AQ103" s="83" t="str">
        <f>HYPERLINK("http://sempreganha.com")</f>
        <v>http://sempreganha.com</v>
      </c>
      <c r="AR103" s="76" t="s">
        <v>24300</v>
      </c>
      <c r="AS103" s="83" t="str">
        <f>HYPERLINK("https://t.co/Wr8Xvk6reX")</f>
        <v>https://t.co/Wr8Xvk6reX</v>
      </c>
      <c r="AT103" s="83" t="str">
        <f>HYPERLINK("http://api.whatsapp.com/send?phone=541")</f>
        <v>http://api.whatsapp.com/send?phone=541</v>
      </c>
      <c r="AU103" s="76" t="s">
        <v>24856</v>
      </c>
      <c r="AV103" s="76"/>
      <c r="AW103" s="83" t="str">
        <f>HYPERLINK("https://t.co/ulRmMrhyRm")</f>
        <v>https://t.co/ulRmMrhyRm</v>
      </c>
      <c r="AX103" s="76" t="b">
        <v>0</v>
      </c>
      <c r="AY103" s="76"/>
      <c r="AZ103" s="76"/>
      <c r="BA103" s="76" t="b">
        <v>0</v>
      </c>
      <c r="BB103" s="76" t="b">
        <v>1</v>
      </c>
      <c r="BC103" s="76" t="b">
        <v>1</v>
      </c>
      <c r="BD103" s="76" t="b">
        <v>0</v>
      </c>
      <c r="BE103" s="76" t="b">
        <v>0</v>
      </c>
      <c r="BF103" s="76" t="b">
        <v>0</v>
      </c>
      <c r="BG103" s="76" t="b">
        <v>0</v>
      </c>
      <c r="BH103" s="83" t="str">
        <f>HYPERLINK("https://pbs.twimg.com/profile_banners/1703047642563973121/1694873625")</f>
        <v>https://pbs.twimg.com/profile_banners/1703047642563973121/1694873625</v>
      </c>
      <c r="BI103" s="76"/>
      <c r="BJ103" s="76" t="s">
        <v>24935</v>
      </c>
      <c r="BK103" s="76" t="b">
        <v>0</v>
      </c>
      <c r="BL103" s="76"/>
      <c r="BM103" s="76" t="s">
        <v>66</v>
      </c>
      <c r="BN103" s="76" t="s">
        <v>24937</v>
      </c>
      <c r="BO103" s="83" t="str">
        <f>HYPERLINK("https://twitter.com/sempreganha1")</f>
        <v>https://twitter.com/sempreganha1</v>
      </c>
      <c r="BP103" s="2"/>
    </row>
    <row r="104" spans="1:68" x14ac:dyDescent="0.25">
      <c r="A104" s="62" t="s">
        <v>322</v>
      </c>
      <c r="B104" s="63"/>
      <c r="C104" s="63"/>
      <c r="D104" s="64"/>
      <c r="E104" s="66"/>
      <c r="F104" s="102" t="str">
        <f>HYPERLINK("https://pbs.twimg.com/profile_images/1699860949203587072/uS8yxVrk_normal.jpg")</f>
        <v>https://pbs.twimg.com/profile_images/1699860949203587072/uS8yxVrk_normal.jpg</v>
      </c>
      <c r="G104" s="63"/>
      <c r="H104" s="67"/>
      <c r="I104" s="68"/>
      <c r="J104" s="68"/>
      <c r="K104" s="67" t="s">
        <v>25038</v>
      </c>
      <c r="L104" s="71"/>
      <c r="M104" s="72"/>
      <c r="N104" s="72"/>
      <c r="O104" s="73"/>
      <c r="P104" s="74"/>
      <c r="Q104" s="74"/>
      <c r="R104" s="86"/>
      <c r="S104" s="86"/>
      <c r="T104" s="86"/>
      <c r="U104" s="86"/>
      <c r="V104" s="48"/>
      <c r="W104" s="48"/>
      <c r="X104" s="48"/>
      <c r="Y104" s="48"/>
      <c r="Z104" s="47"/>
      <c r="AA104" s="69">
        <v>104</v>
      </c>
      <c r="AB104" s="69"/>
      <c r="AC104" s="70"/>
      <c r="AD104" s="76" t="s">
        <v>21917</v>
      </c>
      <c r="AE104" s="81" t="s">
        <v>22879</v>
      </c>
      <c r="AF104" s="76">
        <v>14</v>
      </c>
      <c r="AG104" s="76">
        <v>32</v>
      </c>
      <c r="AH104" s="76">
        <v>115</v>
      </c>
      <c r="AI104" s="76">
        <v>1</v>
      </c>
      <c r="AJ104" s="76">
        <v>180</v>
      </c>
      <c r="AK104" s="76">
        <v>56</v>
      </c>
      <c r="AL104" s="76" t="b">
        <v>0</v>
      </c>
      <c r="AM104" s="78">
        <v>39939.169687499998</v>
      </c>
      <c r="AN104" s="76" t="s">
        <v>14033</v>
      </c>
      <c r="AO104" s="76" t="s">
        <v>23432</v>
      </c>
      <c r="AP104" s="76"/>
      <c r="AQ104" s="76"/>
      <c r="AR104" s="76"/>
      <c r="AS104" s="76"/>
      <c r="AT104" s="76"/>
      <c r="AU104" s="76"/>
      <c r="AV104" s="76"/>
      <c r="AW104" s="76"/>
      <c r="AX104" s="76" t="b">
        <v>0</v>
      </c>
      <c r="AY104" s="76"/>
      <c r="AZ104" s="76"/>
      <c r="BA104" s="76" t="b">
        <v>1</v>
      </c>
      <c r="BB104" s="76" t="b">
        <v>0</v>
      </c>
      <c r="BC104" s="76" t="b">
        <v>0</v>
      </c>
      <c r="BD104" s="76" t="b">
        <v>0</v>
      </c>
      <c r="BE104" s="76" t="b">
        <v>1</v>
      </c>
      <c r="BF104" s="76" t="b">
        <v>0</v>
      </c>
      <c r="BG104" s="76" t="b">
        <v>0</v>
      </c>
      <c r="BH104" s="83" t="str">
        <f>HYPERLINK("https://pbs.twimg.com/profile_banners/38109688/1645827891")</f>
        <v>https://pbs.twimg.com/profile_banners/38109688/1645827891</v>
      </c>
      <c r="BI104" s="76"/>
      <c r="BJ104" s="76" t="s">
        <v>24935</v>
      </c>
      <c r="BK104" s="76" t="b">
        <v>0</v>
      </c>
      <c r="BL104" s="76"/>
      <c r="BM104" s="76" t="s">
        <v>66</v>
      </c>
      <c r="BN104" s="76" t="s">
        <v>24937</v>
      </c>
      <c r="BO104" s="83" t="str">
        <f>HYPERLINK("https://twitter.com/camillaraem")</f>
        <v>https://twitter.com/camillaraem</v>
      </c>
      <c r="BP104" s="2"/>
    </row>
    <row r="105" spans="1:68" x14ac:dyDescent="0.25">
      <c r="A105" s="62" t="s">
        <v>323</v>
      </c>
      <c r="B105" s="63"/>
      <c r="C105" s="63"/>
      <c r="D105" s="64"/>
      <c r="E105" s="66"/>
      <c r="F105" s="102" t="str">
        <f>HYPERLINK("https://pbs.twimg.com/profile_images/1597429041149231104/x7YRJ5Jv_normal.jpg")</f>
        <v>https://pbs.twimg.com/profile_images/1597429041149231104/x7YRJ5Jv_normal.jpg</v>
      </c>
      <c r="G105" s="63"/>
      <c r="H105" s="67"/>
      <c r="I105" s="68"/>
      <c r="J105" s="68"/>
      <c r="K105" s="67" t="s">
        <v>25039</v>
      </c>
      <c r="L105" s="71"/>
      <c r="M105" s="72"/>
      <c r="N105" s="72"/>
      <c r="O105" s="73"/>
      <c r="P105" s="74"/>
      <c r="Q105" s="74"/>
      <c r="R105" s="86"/>
      <c r="S105" s="86"/>
      <c r="T105" s="86"/>
      <c r="U105" s="86"/>
      <c r="V105" s="48"/>
      <c r="W105" s="48"/>
      <c r="X105" s="48"/>
      <c r="Y105" s="48"/>
      <c r="Z105" s="47"/>
      <c r="AA105" s="69">
        <v>105</v>
      </c>
      <c r="AB105" s="69"/>
      <c r="AC105" s="70"/>
      <c r="AD105" s="76" t="s">
        <v>21918</v>
      </c>
      <c r="AE105" s="81" t="s">
        <v>21082</v>
      </c>
      <c r="AF105" s="76">
        <v>14</v>
      </c>
      <c r="AG105" s="76">
        <v>6</v>
      </c>
      <c r="AH105" s="76">
        <v>67</v>
      </c>
      <c r="AI105" s="76">
        <v>0</v>
      </c>
      <c r="AJ105" s="76">
        <v>734</v>
      </c>
      <c r="AK105" s="76">
        <v>15</v>
      </c>
      <c r="AL105" s="76" t="b">
        <v>0</v>
      </c>
      <c r="AM105" s="78">
        <v>44485.869131944448</v>
      </c>
      <c r="AN105" s="76" t="s">
        <v>14041</v>
      </c>
      <c r="AO105" s="76" t="s">
        <v>23433</v>
      </c>
      <c r="AP105" s="83" t="str">
        <f>HYPERLINK("https://t.co/YIu3jCLLzJ")</f>
        <v>https://t.co/YIu3jCLLzJ</v>
      </c>
      <c r="AQ105" s="83" t="str">
        <f>HYPERLINK("https://hotm.art/aprenda-python-em-uma-semana")</f>
        <v>https://hotm.art/aprenda-python-em-uma-semana</v>
      </c>
      <c r="AR105" s="76" t="s">
        <v>24301</v>
      </c>
      <c r="AS105" s="76"/>
      <c r="AT105" s="76"/>
      <c r="AU105" s="76"/>
      <c r="AV105" s="76">
        <v>1.5006335020980201E+18</v>
      </c>
      <c r="AW105" s="83" t="str">
        <f>HYPERLINK("https://t.co/YIu3jCLLzJ")</f>
        <v>https://t.co/YIu3jCLLzJ</v>
      </c>
      <c r="AX105" s="76" t="b">
        <v>0</v>
      </c>
      <c r="AY105" s="76"/>
      <c r="AZ105" s="76"/>
      <c r="BA105" s="76" t="b">
        <v>1</v>
      </c>
      <c r="BB105" s="76" t="b">
        <v>1</v>
      </c>
      <c r="BC105" s="76" t="b">
        <v>1</v>
      </c>
      <c r="BD105" s="76" t="b">
        <v>0</v>
      </c>
      <c r="BE105" s="76" t="b">
        <v>1</v>
      </c>
      <c r="BF105" s="76" t="b">
        <v>0</v>
      </c>
      <c r="BG105" s="76" t="b">
        <v>0</v>
      </c>
      <c r="BH105" s="83" t="str">
        <f>HYPERLINK("https://pbs.twimg.com/profile_banners/1449478063234981890/1655870432")</f>
        <v>https://pbs.twimg.com/profile_banners/1449478063234981890/1655870432</v>
      </c>
      <c r="BI105" s="76"/>
      <c r="BJ105" s="76" t="s">
        <v>24935</v>
      </c>
      <c r="BK105" s="76" t="b">
        <v>0</v>
      </c>
      <c r="BL105" s="76"/>
      <c r="BM105" s="76" t="s">
        <v>66</v>
      </c>
      <c r="BN105" s="76" t="s">
        <v>24937</v>
      </c>
      <c r="BO105" s="83" t="str">
        <f>HYPERLINK("https://twitter.com/manropy")</f>
        <v>https://twitter.com/manropy</v>
      </c>
      <c r="BP105" s="2"/>
    </row>
    <row r="106" spans="1:68" x14ac:dyDescent="0.25">
      <c r="A106" s="62" t="s">
        <v>324</v>
      </c>
      <c r="B106" s="63"/>
      <c r="C106" s="63"/>
      <c r="D106" s="64"/>
      <c r="E106" s="66"/>
      <c r="F106" s="102" t="str">
        <f>HYPERLINK("https://pbs.twimg.com/profile_images/1685072300872175618/FN-0Y5uj_normal.jpg")</f>
        <v>https://pbs.twimg.com/profile_images/1685072300872175618/FN-0Y5uj_normal.jpg</v>
      </c>
      <c r="G106" s="63"/>
      <c r="H106" s="67"/>
      <c r="I106" s="68"/>
      <c r="J106" s="68"/>
      <c r="K106" s="67" t="s">
        <v>25040</v>
      </c>
      <c r="L106" s="71"/>
      <c r="M106" s="72"/>
      <c r="N106" s="72"/>
      <c r="O106" s="73"/>
      <c r="P106" s="74"/>
      <c r="Q106" s="74"/>
      <c r="R106" s="86"/>
      <c r="S106" s="86"/>
      <c r="T106" s="86"/>
      <c r="U106" s="86"/>
      <c r="V106" s="48"/>
      <c r="W106" s="48"/>
      <c r="X106" s="48"/>
      <c r="Y106" s="48"/>
      <c r="Z106" s="47"/>
      <c r="AA106" s="69">
        <v>106</v>
      </c>
      <c r="AB106" s="69"/>
      <c r="AC106" s="70"/>
      <c r="AD106" s="76" t="s">
        <v>21919</v>
      </c>
      <c r="AE106" s="81" t="s">
        <v>21083</v>
      </c>
      <c r="AF106" s="76">
        <v>8</v>
      </c>
      <c r="AG106" s="76">
        <v>15</v>
      </c>
      <c r="AH106" s="76">
        <v>91</v>
      </c>
      <c r="AI106" s="76">
        <v>0</v>
      </c>
      <c r="AJ106" s="76">
        <v>25</v>
      </c>
      <c r="AK106" s="76">
        <v>7</v>
      </c>
      <c r="AL106" s="76" t="b">
        <v>0</v>
      </c>
      <c r="AM106" s="78">
        <v>45114.967222222222</v>
      </c>
      <c r="AN106" s="76"/>
      <c r="AO106" s="76" t="s">
        <v>23434</v>
      </c>
      <c r="AP106" s="83" t="str">
        <f>HYPERLINK("https://t.co/QRCzLJp6Yi")</f>
        <v>https://t.co/QRCzLJp6Yi</v>
      </c>
      <c r="AQ106" s="83" t="str">
        <f>HYPERLINK("http://bio.site/comecee_aqui")</f>
        <v>http://bio.site/comecee_aqui</v>
      </c>
      <c r="AR106" s="76" t="s">
        <v>24302</v>
      </c>
      <c r="AS106" s="76"/>
      <c r="AT106" s="76"/>
      <c r="AU106" s="76"/>
      <c r="AV106" s="76">
        <v>1.6795705400784799E+18</v>
      </c>
      <c r="AW106" s="83" t="str">
        <f>HYPERLINK("https://t.co/QRCzLJp6Yi")</f>
        <v>https://t.co/QRCzLJp6Yi</v>
      </c>
      <c r="AX106" s="76" t="b">
        <v>0</v>
      </c>
      <c r="AY106" s="76"/>
      <c r="AZ106" s="76"/>
      <c r="BA106" s="76" t="b">
        <v>0</v>
      </c>
      <c r="BB106" s="76" t="b">
        <v>1</v>
      </c>
      <c r="BC106" s="76" t="b">
        <v>1</v>
      </c>
      <c r="BD106" s="76" t="b">
        <v>0</v>
      </c>
      <c r="BE106" s="76" t="b">
        <v>0</v>
      </c>
      <c r="BF106" s="76" t="b">
        <v>0</v>
      </c>
      <c r="BG106" s="76" t="b">
        <v>0</v>
      </c>
      <c r="BH106" s="83" t="str">
        <f>HYPERLINK("https://pbs.twimg.com/profile_banners/1677455602660909056/1690587517")</f>
        <v>https://pbs.twimg.com/profile_banners/1677455602660909056/1690587517</v>
      </c>
      <c r="BI106" s="76"/>
      <c r="BJ106" s="76" t="s">
        <v>24935</v>
      </c>
      <c r="BK106" s="76" t="b">
        <v>0</v>
      </c>
      <c r="BL106" s="76"/>
      <c r="BM106" s="76" t="s">
        <v>66</v>
      </c>
      <c r="BN106" s="76" t="s">
        <v>24937</v>
      </c>
      <c r="BO106" s="83" t="str">
        <f>HYPERLINK("https://twitter.com/_gusta_mkt")</f>
        <v>https://twitter.com/_gusta_mkt</v>
      </c>
      <c r="BP106" s="2"/>
    </row>
    <row r="107" spans="1:68" x14ac:dyDescent="0.25">
      <c r="A107" s="62" t="s">
        <v>325</v>
      </c>
      <c r="B107" s="63"/>
      <c r="C107" s="63"/>
      <c r="D107" s="64"/>
      <c r="E107" s="66"/>
      <c r="F107" s="102" t="str">
        <f>HYPERLINK("https://pbs.twimg.com/profile_images/1617840577336250369/ilnuig0f_normal.jpg")</f>
        <v>https://pbs.twimg.com/profile_images/1617840577336250369/ilnuig0f_normal.jpg</v>
      </c>
      <c r="G107" s="63"/>
      <c r="H107" s="67"/>
      <c r="I107" s="68"/>
      <c r="J107" s="68"/>
      <c r="K107" s="67" t="s">
        <v>25041</v>
      </c>
      <c r="L107" s="71"/>
      <c r="M107" s="72"/>
      <c r="N107" s="72"/>
      <c r="O107" s="73"/>
      <c r="P107" s="74"/>
      <c r="Q107" s="74"/>
      <c r="R107" s="86"/>
      <c r="S107" s="86"/>
      <c r="T107" s="86"/>
      <c r="U107" s="86"/>
      <c r="V107" s="48"/>
      <c r="W107" s="48"/>
      <c r="X107" s="48"/>
      <c r="Y107" s="48"/>
      <c r="Z107" s="47"/>
      <c r="AA107" s="69">
        <v>107</v>
      </c>
      <c r="AB107" s="69"/>
      <c r="AC107" s="70"/>
      <c r="AD107" s="76" t="s">
        <v>21920</v>
      </c>
      <c r="AE107" s="81" t="s">
        <v>22880</v>
      </c>
      <c r="AF107" s="76">
        <v>93</v>
      </c>
      <c r="AG107" s="76">
        <v>77</v>
      </c>
      <c r="AH107" s="76">
        <v>4544</v>
      </c>
      <c r="AI107" s="76">
        <v>0</v>
      </c>
      <c r="AJ107" s="76">
        <v>5529</v>
      </c>
      <c r="AK107" s="76">
        <v>651</v>
      </c>
      <c r="AL107" s="76" t="b">
        <v>0</v>
      </c>
      <c r="AM107" s="78">
        <v>42378.054143518515</v>
      </c>
      <c r="AN107" s="76" t="s">
        <v>23107</v>
      </c>
      <c r="AO107" s="76" t="s">
        <v>23435</v>
      </c>
      <c r="AP107" s="83" t="str">
        <f>HYPERLINK("https://t.co/RrbisHcFSG")</f>
        <v>https://t.co/RrbisHcFSG</v>
      </c>
      <c r="AQ107" s="83" t="str">
        <f>HYPERLINK("https://youtu.be/2lKx6YnGuyk")</f>
        <v>https://youtu.be/2lKx6YnGuyk</v>
      </c>
      <c r="AR107" s="76" t="s">
        <v>24303</v>
      </c>
      <c r="AS107" s="76"/>
      <c r="AT107" s="76"/>
      <c r="AU107" s="76"/>
      <c r="AV107" s="76">
        <v>1.27445035039373E+18</v>
      </c>
      <c r="AW107" s="83" t="str">
        <f>HYPERLINK("https://t.co/RrbisHcFSG")</f>
        <v>https://t.co/RrbisHcFSG</v>
      </c>
      <c r="AX107" s="76" t="b">
        <v>0</v>
      </c>
      <c r="AY107" s="76"/>
      <c r="AZ107" s="76"/>
      <c r="BA107" s="76" t="b">
        <v>1</v>
      </c>
      <c r="BB107" s="76" t="b">
        <v>1</v>
      </c>
      <c r="BC107" s="76" t="b">
        <v>1</v>
      </c>
      <c r="BD107" s="76" t="b">
        <v>0</v>
      </c>
      <c r="BE107" s="76" t="b">
        <v>1</v>
      </c>
      <c r="BF107" s="76" t="b">
        <v>0</v>
      </c>
      <c r="BG107" s="76" t="b">
        <v>0</v>
      </c>
      <c r="BH107" s="83" t="str">
        <f>HYPERLINK("https://pbs.twimg.com/profile_banners/4749764542/1672005435")</f>
        <v>https://pbs.twimg.com/profile_banners/4749764542/1672005435</v>
      </c>
      <c r="BI107" s="76"/>
      <c r="BJ107" s="76" t="s">
        <v>24935</v>
      </c>
      <c r="BK107" s="76" t="b">
        <v>0</v>
      </c>
      <c r="BL107" s="76"/>
      <c r="BM107" s="76" t="s">
        <v>66</v>
      </c>
      <c r="BN107" s="76" t="s">
        <v>24937</v>
      </c>
      <c r="BO107" s="83" t="str">
        <f>HYPERLINK("https://twitter.com/franciscoplay11")</f>
        <v>https://twitter.com/franciscoplay11</v>
      </c>
      <c r="BP107" s="2"/>
    </row>
    <row r="108" spans="1:68" x14ac:dyDescent="0.25">
      <c r="A108" s="62" t="s">
        <v>326</v>
      </c>
      <c r="B108" s="63"/>
      <c r="C108" s="63"/>
      <c r="D108" s="64"/>
      <c r="E108" s="66"/>
      <c r="F108" s="102" t="str">
        <f>HYPERLINK("https://pbs.twimg.com/profile_images/1673803650710351872/ng5eOAfK_normal.jpg")</f>
        <v>https://pbs.twimg.com/profile_images/1673803650710351872/ng5eOAfK_normal.jpg</v>
      </c>
      <c r="G108" s="63"/>
      <c r="H108" s="67"/>
      <c r="I108" s="68"/>
      <c r="J108" s="68"/>
      <c r="K108" s="67" t="s">
        <v>25042</v>
      </c>
      <c r="L108" s="71"/>
      <c r="M108" s="72"/>
      <c r="N108" s="72"/>
      <c r="O108" s="73"/>
      <c r="P108" s="74"/>
      <c r="Q108" s="74"/>
      <c r="R108" s="86"/>
      <c r="S108" s="86"/>
      <c r="T108" s="86"/>
      <c r="U108" s="86"/>
      <c r="V108" s="48"/>
      <c r="W108" s="48"/>
      <c r="X108" s="48"/>
      <c r="Y108" s="48"/>
      <c r="Z108" s="47"/>
      <c r="AA108" s="69">
        <v>108</v>
      </c>
      <c r="AB108" s="69"/>
      <c r="AC108" s="70"/>
      <c r="AD108" s="76" t="s">
        <v>21921</v>
      </c>
      <c r="AE108" s="81" t="s">
        <v>21084</v>
      </c>
      <c r="AF108" s="76">
        <v>0</v>
      </c>
      <c r="AG108" s="76">
        <v>29</v>
      </c>
      <c r="AH108" s="76">
        <v>3</v>
      </c>
      <c r="AI108" s="76">
        <v>0</v>
      </c>
      <c r="AJ108" s="76">
        <v>40</v>
      </c>
      <c r="AK108" s="76">
        <v>3</v>
      </c>
      <c r="AL108" s="76" t="b">
        <v>0</v>
      </c>
      <c r="AM108" s="78">
        <v>45073.518263888887</v>
      </c>
      <c r="AN108" s="76"/>
      <c r="AO108" s="76" t="s">
        <v>23436</v>
      </c>
      <c r="AP108" s="76"/>
      <c r="AQ108" s="76"/>
      <c r="AR108" s="76"/>
      <c r="AS108" s="76"/>
      <c r="AT108" s="76"/>
      <c r="AU108" s="76"/>
      <c r="AV108" s="76">
        <v>1.6738057338994501E+18</v>
      </c>
      <c r="AW108" s="76"/>
      <c r="AX108" s="76" t="b">
        <v>0</v>
      </c>
      <c r="AY108" s="76"/>
      <c r="AZ108" s="76"/>
      <c r="BA108" s="76" t="b">
        <v>0</v>
      </c>
      <c r="BB108" s="76" t="b">
        <v>1</v>
      </c>
      <c r="BC108" s="76" t="b">
        <v>1</v>
      </c>
      <c r="BD108" s="76" t="b">
        <v>0</v>
      </c>
      <c r="BE108" s="76" t="b">
        <v>0</v>
      </c>
      <c r="BF108" s="76" t="b">
        <v>0</v>
      </c>
      <c r="BG108" s="76" t="b">
        <v>0</v>
      </c>
      <c r="BH108" s="83" t="str">
        <f>HYPERLINK("https://pbs.twimg.com/profile_banners/1662435019111948290/1685194181")</f>
        <v>https://pbs.twimg.com/profile_banners/1662435019111948290/1685194181</v>
      </c>
      <c r="BI108" s="76"/>
      <c r="BJ108" s="76" t="s">
        <v>24935</v>
      </c>
      <c r="BK108" s="76" t="b">
        <v>0</v>
      </c>
      <c r="BL108" s="76"/>
      <c r="BM108" s="76" t="s">
        <v>66</v>
      </c>
      <c r="BN108" s="76" t="s">
        <v>24937</v>
      </c>
      <c r="BO108" s="83" t="str">
        <f>HYPERLINK("https://twitter.com/dayane_mk_")</f>
        <v>https://twitter.com/dayane_mk_</v>
      </c>
      <c r="BP108" s="2"/>
    </row>
    <row r="109" spans="1:68" x14ac:dyDescent="0.25">
      <c r="A109" s="62" t="s">
        <v>1242</v>
      </c>
      <c r="B109" s="63"/>
      <c r="C109" s="63"/>
      <c r="D109" s="64"/>
      <c r="E109" s="66"/>
      <c r="F109" s="102" t="str">
        <f>HYPERLINK("https://pbs.twimg.com/profile_images/1555273591356260357/sGsEFEHH_normal.jpg")</f>
        <v>https://pbs.twimg.com/profile_images/1555273591356260357/sGsEFEHH_normal.jpg</v>
      </c>
      <c r="G109" s="63"/>
      <c r="H109" s="67"/>
      <c r="I109" s="68"/>
      <c r="J109" s="68"/>
      <c r="K109" s="67" t="s">
        <v>25043</v>
      </c>
      <c r="L109" s="71"/>
      <c r="M109" s="72"/>
      <c r="N109" s="72"/>
      <c r="O109" s="73"/>
      <c r="P109" s="74"/>
      <c r="Q109" s="74"/>
      <c r="R109" s="86"/>
      <c r="S109" s="86"/>
      <c r="T109" s="86"/>
      <c r="U109" s="86"/>
      <c r="V109" s="48"/>
      <c r="W109" s="48"/>
      <c r="X109" s="48"/>
      <c r="Y109" s="48"/>
      <c r="Z109" s="47"/>
      <c r="AA109" s="69">
        <v>109</v>
      </c>
      <c r="AB109" s="69"/>
      <c r="AC109" s="70"/>
      <c r="AD109" s="76" t="s">
        <v>21922</v>
      </c>
      <c r="AE109" s="81" t="s">
        <v>20904</v>
      </c>
      <c r="AF109" s="76">
        <v>88</v>
      </c>
      <c r="AG109" s="76">
        <v>146</v>
      </c>
      <c r="AH109" s="76">
        <v>1035</v>
      </c>
      <c r="AI109" s="76">
        <v>0</v>
      </c>
      <c r="AJ109" s="76">
        <v>1877</v>
      </c>
      <c r="AK109" s="76">
        <v>45</v>
      </c>
      <c r="AL109" s="76" t="b">
        <v>0</v>
      </c>
      <c r="AM109" s="78">
        <v>43188.514386574076</v>
      </c>
      <c r="AN109" s="76" t="s">
        <v>14069</v>
      </c>
      <c r="AO109" s="76" t="s">
        <v>23437</v>
      </c>
      <c r="AP109" s="76"/>
      <c r="AQ109" s="76"/>
      <c r="AR109" s="76"/>
      <c r="AS109" s="76"/>
      <c r="AT109" s="76"/>
      <c r="AU109" s="76"/>
      <c r="AV109" s="76"/>
      <c r="AW109" s="76"/>
      <c r="AX109" s="76" t="b">
        <v>0</v>
      </c>
      <c r="AY109" s="76"/>
      <c r="AZ109" s="76"/>
      <c r="BA109" s="76" t="b">
        <v>0</v>
      </c>
      <c r="BB109" s="76" t="b">
        <v>1</v>
      </c>
      <c r="BC109" s="76" t="b">
        <v>1</v>
      </c>
      <c r="BD109" s="76" t="b">
        <v>0</v>
      </c>
      <c r="BE109" s="76" t="b">
        <v>1</v>
      </c>
      <c r="BF109" s="76" t="b">
        <v>0</v>
      </c>
      <c r="BG109" s="76" t="b">
        <v>0</v>
      </c>
      <c r="BH109" s="76"/>
      <c r="BI109" s="76"/>
      <c r="BJ109" s="76" t="s">
        <v>24935</v>
      </c>
      <c r="BK109" s="76" t="b">
        <v>0</v>
      </c>
      <c r="BL109" s="76"/>
      <c r="BM109" s="76" t="s">
        <v>65</v>
      </c>
      <c r="BN109" s="76" t="s">
        <v>24937</v>
      </c>
      <c r="BO109" s="83" t="str">
        <f>HYPERLINK("https://twitter.com/naanda0li")</f>
        <v>https://twitter.com/naanda0li</v>
      </c>
      <c r="BP109" s="2"/>
    </row>
    <row r="110" spans="1:68" x14ac:dyDescent="0.25">
      <c r="A110" s="62" t="s">
        <v>327</v>
      </c>
      <c r="B110" s="63"/>
      <c r="C110" s="63"/>
      <c r="D110" s="64"/>
      <c r="E110" s="66"/>
      <c r="F110" s="102" t="str">
        <f>HYPERLINK("https://pbs.twimg.com/profile_images/1641984658203181057/7aXUIiNY_normal.jpg")</f>
        <v>https://pbs.twimg.com/profile_images/1641984658203181057/7aXUIiNY_normal.jpg</v>
      </c>
      <c r="G110" s="63"/>
      <c r="H110" s="67"/>
      <c r="I110" s="68"/>
      <c r="J110" s="68"/>
      <c r="K110" s="67" t="s">
        <v>25044</v>
      </c>
      <c r="L110" s="71"/>
      <c r="M110" s="72"/>
      <c r="N110" s="72"/>
      <c r="O110" s="73"/>
      <c r="P110" s="74"/>
      <c r="Q110" s="74"/>
      <c r="R110" s="86"/>
      <c r="S110" s="86"/>
      <c r="T110" s="86"/>
      <c r="U110" s="86"/>
      <c r="V110" s="48"/>
      <c r="W110" s="48"/>
      <c r="X110" s="48"/>
      <c r="Y110" s="48"/>
      <c r="Z110" s="47"/>
      <c r="AA110" s="69">
        <v>110</v>
      </c>
      <c r="AB110" s="69"/>
      <c r="AC110" s="70"/>
      <c r="AD110" s="76" t="s">
        <v>21923</v>
      </c>
      <c r="AE110" s="81" t="s">
        <v>21085</v>
      </c>
      <c r="AF110" s="76">
        <v>1</v>
      </c>
      <c r="AG110" s="76">
        <v>7</v>
      </c>
      <c r="AH110" s="76">
        <v>7</v>
      </c>
      <c r="AI110" s="76">
        <v>0</v>
      </c>
      <c r="AJ110" s="76">
        <v>1</v>
      </c>
      <c r="AK110" s="76">
        <v>6</v>
      </c>
      <c r="AL110" s="76" t="b">
        <v>0</v>
      </c>
      <c r="AM110" s="78">
        <v>45017.078611111108</v>
      </c>
      <c r="AN110" s="76"/>
      <c r="AO110" s="76" t="s">
        <v>23438</v>
      </c>
      <c r="AP110" s="83" t="str">
        <f>HYPERLINK("https://t.co/NQQs43gDVQ")</f>
        <v>https://t.co/NQQs43gDVQ</v>
      </c>
      <c r="AQ110" s="83" t="str">
        <f>HYPERLINK("https://go.hotmart.com/I81435256D")</f>
        <v>https://go.hotmart.com/I81435256D</v>
      </c>
      <c r="AR110" s="76" t="s">
        <v>24304</v>
      </c>
      <c r="AS110" s="76"/>
      <c r="AT110" s="76"/>
      <c r="AU110" s="76"/>
      <c r="AV110" s="76"/>
      <c r="AW110" s="83" t="str">
        <f>HYPERLINK("https://t.co/NQQs43gDVQ")</f>
        <v>https://t.co/NQQs43gDVQ</v>
      </c>
      <c r="AX110" s="76" t="b">
        <v>0</v>
      </c>
      <c r="AY110" s="76"/>
      <c r="AZ110" s="76"/>
      <c r="BA110" s="76" t="b">
        <v>0</v>
      </c>
      <c r="BB110" s="76" t="b">
        <v>1</v>
      </c>
      <c r="BC110" s="76" t="b">
        <v>1</v>
      </c>
      <c r="BD110" s="76" t="b">
        <v>0</v>
      </c>
      <c r="BE110" s="76" t="b">
        <v>0</v>
      </c>
      <c r="BF110" s="76" t="b">
        <v>0</v>
      </c>
      <c r="BG110" s="76" t="b">
        <v>0</v>
      </c>
      <c r="BH110" s="76"/>
      <c r="BI110" s="76"/>
      <c r="BJ110" s="76" t="s">
        <v>24935</v>
      </c>
      <c r="BK110" s="76" t="b">
        <v>0</v>
      </c>
      <c r="BL110" s="76"/>
      <c r="BM110" s="76" t="s">
        <v>66</v>
      </c>
      <c r="BN110" s="76" t="s">
        <v>24937</v>
      </c>
      <c r="BO110" s="83" t="str">
        <f>HYPERLINK("https://twitter.com/mocadocroche")</f>
        <v>https://twitter.com/mocadocroche</v>
      </c>
      <c r="BP110" s="2"/>
    </row>
    <row r="111" spans="1:68" x14ac:dyDescent="0.25">
      <c r="A111" s="62" t="s">
        <v>328</v>
      </c>
      <c r="B111" s="63"/>
      <c r="C111" s="63"/>
      <c r="D111" s="64"/>
      <c r="E111" s="66"/>
      <c r="F111" s="102" t="str">
        <f>HYPERLINK("https://pbs.twimg.com/profile_images/1661201425983053825/j8NuN9bF_normal.jpg")</f>
        <v>https://pbs.twimg.com/profile_images/1661201425983053825/j8NuN9bF_normal.jpg</v>
      </c>
      <c r="G111" s="63"/>
      <c r="H111" s="67"/>
      <c r="I111" s="68"/>
      <c r="J111" s="68"/>
      <c r="K111" s="67" t="s">
        <v>25045</v>
      </c>
      <c r="L111" s="71"/>
      <c r="M111" s="72"/>
      <c r="N111" s="72"/>
      <c r="O111" s="73"/>
      <c r="P111" s="74"/>
      <c r="Q111" s="74"/>
      <c r="R111" s="86"/>
      <c r="S111" s="86"/>
      <c r="T111" s="86"/>
      <c r="U111" s="86"/>
      <c r="V111" s="48"/>
      <c r="W111" s="48"/>
      <c r="X111" s="48"/>
      <c r="Y111" s="48"/>
      <c r="Z111" s="47"/>
      <c r="AA111" s="69">
        <v>111</v>
      </c>
      <c r="AB111" s="69"/>
      <c r="AC111" s="70"/>
      <c r="AD111" s="76" t="s">
        <v>21924</v>
      </c>
      <c r="AE111" s="81" t="s">
        <v>21086</v>
      </c>
      <c r="AF111" s="76">
        <v>1</v>
      </c>
      <c r="AG111" s="76">
        <v>8</v>
      </c>
      <c r="AH111" s="76">
        <v>18</v>
      </c>
      <c r="AI111" s="76">
        <v>0</v>
      </c>
      <c r="AJ111" s="76">
        <v>53</v>
      </c>
      <c r="AK111" s="76">
        <v>2</v>
      </c>
      <c r="AL111" s="76" t="b">
        <v>0</v>
      </c>
      <c r="AM111" s="78">
        <v>45070.112835648149</v>
      </c>
      <c r="AN111" s="76"/>
      <c r="AO111" s="76" t="s">
        <v>23439</v>
      </c>
      <c r="AP111" s="83" t="str">
        <f>HYPERLINK("https://t.co/4z8VuRnb21")</f>
        <v>https://t.co/4z8VuRnb21</v>
      </c>
      <c r="AQ111" s="83" t="str">
        <f>HYPERLINK("https://msha.ke/robomilionariowebsite")</f>
        <v>https://msha.ke/robomilionariowebsite</v>
      </c>
      <c r="AR111" s="76" t="s">
        <v>24305</v>
      </c>
      <c r="AS111" s="76"/>
      <c r="AT111" s="76"/>
      <c r="AU111" s="76"/>
      <c r="AV111" s="76"/>
      <c r="AW111" s="83" t="str">
        <f>HYPERLINK("https://t.co/4z8VuRnb21")</f>
        <v>https://t.co/4z8VuRnb21</v>
      </c>
      <c r="AX111" s="76" t="b">
        <v>0</v>
      </c>
      <c r="AY111" s="76"/>
      <c r="AZ111" s="76"/>
      <c r="BA111" s="76" t="b">
        <v>0</v>
      </c>
      <c r="BB111" s="76" t="b">
        <v>1</v>
      </c>
      <c r="BC111" s="76" t="b">
        <v>1</v>
      </c>
      <c r="BD111" s="76" t="b">
        <v>0</v>
      </c>
      <c r="BE111" s="76" t="b">
        <v>0</v>
      </c>
      <c r="BF111" s="76" t="b">
        <v>0</v>
      </c>
      <c r="BG111" s="76" t="b">
        <v>0</v>
      </c>
      <c r="BH111" s="83" t="str">
        <f>HYPERLINK("https://pbs.twimg.com/profile_banners/1661200807667159044/1686968945")</f>
        <v>https://pbs.twimg.com/profile_banners/1661200807667159044/1686968945</v>
      </c>
      <c r="BI111" s="76"/>
      <c r="BJ111" s="76" t="s">
        <v>24935</v>
      </c>
      <c r="BK111" s="76" t="b">
        <v>0</v>
      </c>
      <c r="BL111" s="76"/>
      <c r="BM111" s="76" t="s">
        <v>66</v>
      </c>
      <c r="BN111" s="76" t="s">
        <v>24937</v>
      </c>
      <c r="BO111" s="83" t="str">
        <f>HYPERLINK("https://twitter.com/elciogomes41")</f>
        <v>https://twitter.com/elciogomes41</v>
      </c>
      <c r="BP111" s="2"/>
    </row>
    <row r="112" spans="1:68" x14ac:dyDescent="0.25">
      <c r="A112" s="62" t="s">
        <v>329</v>
      </c>
      <c r="B112" s="63"/>
      <c r="C112" s="63"/>
      <c r="D112" s="64"/>
      <c r="E112" s="66"/>
      <c r="F112" s="102" t="str">
        <f>HYPERLINK("https://pbs.twimg.com/profile_images/1438905822176759811/P5HzYMK5_normal.jpg")</f>
        <v>https://pbs.twimg.com/profile_images/1438905822176759811/P5HzYMK5_normal.jpg</v>
      </c>
      <c r="G112" s="63"/>
      <c r="H112" s="67"/>
      <c r="I112" s="68"/>
      <c r="J112" s="68"/>
      <c r="K112" s="67" t="s">
        <v>25046</v>
      </c>
      <c r="L112" s="71"/>
      <c r="M112" s="72"/>
      <c r="N112" s="72"/>
      <c r="O112" s="73"/>
      <c r="P112" s="74"/>
      <c r="Q112" s="74"/>
      <c r="R112" s="86"/>
      <c r="S112" s="86"/>
      <c r="T112" s="86"/>
      <c r="U112" s="86"/>
      <c r="V112" s="48"/>
      <c r="W112" s="48"/>
      <c r="X112" s="48"/>
      <c r="Y112" s="48"/>
      <c r="Z112" s="47"/>
      <c r="AA112" s="69">
        <v>112</v>
      </c>
      <c r="AB112" s="69"/>
      <c r="AC112" s="70"/>
      <c r="AD112" s="76" t="s">
        <v>21925</v>
      </c>
      <c r="AE112" s="81" t="s">
        <v>22881</v>
      </c>
      <c r="AF112" s="76">
        <v>273</v>
      </c>
      <c r="AG112" s="76">
        <v>1641</v>
      </c>
      <c r="AH112" s="76">
        <v>7672</v>
      </c>
      <c r="AI112" s="76">
        <v>1</v>
      </c>
      <c r="AJ112" s="76">
        <v>379</v>
      </c>
      <c r="AK112" s="76">
        <v>704</v>
      </c>
      <c r="AL112" s="76" t="b">
        <v>0</v>
      </c>
      <c r="AM112" s="78">
        <v>40064.91615740741</v>
      </c>
      <c r="AN112" s="76" t="s">
        <v>23108</v>
      </c>
      <c r="AO112" s="76" t="s">
        <v>23440</v>
      </c>
      <c r="AP112" s="83" t="str">
        <f>HYPERLINK("https://t.co/H2fkDlcO6q")</f>
        <v>https://t.co/H2fkDlcO6q</v>
      </c>
      <c r="AQ112" s="83" t="str">
        <f>HYPERLINK("https://www.fronteiralivre.com.br/")</f>
        <v>https://www.fronteiralivre.com.br/</v>
      </c>
      <c r="AR112" s="76" t="s">
        <v>24306</v>
      </c>
      <c r="AS112" s="76"/>
      <c r="AT112" s="76"/>
      <c r="AU112" s="76"/>
      <c r="AV112" s="76"/>
      <c r="AW112" s="83" t="str">
        <f>HYPERLINK("https://t.co/H2fkDlcO6q")</f>
        <v>https://t.co/H2fkDlcO6q</v>
      </c>
      <c r="AX112" s="76" t="b">
        <v>0</v>
      </c>
      <c r="AY112" s="76"/>
      <c r="AZ112" s="76"/>
      <c r="BA112" s="76" t="b">
        <v>0</v>
      </c>
      <c r="BB112" s="76" t="b">
        <v>1</v>
      </c>
      <c r="BC112" s="76" t="b">
        <v>0</v>
      </c>
      <c r="BD112" s="76" t="b">
        <v>0</v>
      </c>
      <c r="BE112" s="76" t="b">
        <v>0</v>
      </c>
      <c r="BF112" s="76" t="b">
        <v>0</v>
      </c>
      <c r="BG112" s="76" t="b">
        <v>0</v>
      </c>
      <c r="BH112" s="83" t="str">
        <f>HYPERLINK("https://pbs.twimg.com/profile_banners/72681608/1648471948")</f>
        <v>https://pbs.twimg.com/profile_banners/72681608/1648471948</v>
      </c>
      <c r="BI112" s="76"/>
      <c r="BJ112" s="76" t="s">
        <v>24935</v>
      </c>
      <c r="BK112" s="76" t="b">
        <v>0</v>
      </c>
      <c r="BL112" s="76"/>
      <c r="BM112" s="76" t="s">
        <v>66</v>
      </c>
      <c r="BN112" s="76" t="s">
        <v>24937</v>
      </c>
      <c r="BO112" s="83" t="str">
        <f>HYPERLINK("https://twitter.com/fronteira_livre")</f>
        <v>https://twitter.com/fronteira_livre</v>
      </c>
      <c r="BP112" s="2"/>
    </row>
    <row r="113" spans="1:68" x14ac:dyDescent="0.25">
      <c r="A113" s="62" t="s">
        <v>330</v>
      </c>
      <c r="B113" s="63"/>
      <c r="C113" s="63"/>
      <c r="D113" s="64"/>
      <c r="E113" s="66"/>
      <c r="F113" s="102" t="str">
        <f>HYPERLINK("https://pbs.twimg.com/profile_images/1706016627936964608/NPcLgkQR_normal.jpg")</f>
        <v>https://pbs.twimg.com/profile_images/1706016627936964608/NPcLgkQR_normal.jpg</v>
      </c>
      <c r="G113" s="63"/>
      <c r="H113" s="67"/>
      <c r="I113" s="68"/>
      <c r="J113" s="68"/>
      <c r="K113" s="67" t="s">
        <v>25047</v>
      </c>
      <c r="L113" s="71"/>
      <c r="M113" s="72"/>
      <c r="N113" s="72"/>
      <c r="O113" s="73"/>
      <c r="P113" s="74"/>
      <c r="Q113" s="74"/>
      <c r="R113" s="86"/>
      <c r="S113" s="86"/>
      <c r="T113" s="86"/>
      <c r="U113" s="86"/>
      <c r="V113" s="48"/>
      <c r="W113" s="48"/>
      <c r="X113" s="48"/>
      <c r="Y113" s="48"/>
      <c r="Z113" s="47"/>
      <c r="AA113" s="69">
        <v>113</v>
      </c>
      <c r="AB113" s="69"/>
      <c r="AC113" s="70"/>
      <c r="AD113" s="76" t="s">
        <v>21926</v>
      </c>
      <c r="AE113" s="81" t="s">
        <v>20905</v>
      </c>
      <c r="AF113" s="76">
        <v>948</v>
      </c>
      <c r="AG113" s="76">
        <v>1402</v>
      </c>
      <c r="AH113" s="76">
        <v>2900</v>
      </c>
      <c r="AI113" s="76">
        <v>1</v>
      </c>
      <c r="AJ113" s="76">
        <v>10953</v>
      </c>
      <c r="AK113" s="76">
        <v>76</v>
      </c>
      <c r="AL113" s="76" t="b">
        <v>0</v>
      </c>
      <c r="AM113" s="78">
        <v>44924.882430555554</v>
      </c>
      <c r="AN113" s="76" t="s">
        <v>23109</v>
      </c>
      <c r="AO113" s="76" t="s">
        <v>23441</v>
      </c>
      <c r="AP113" s="83" t="str">
        <f>HYPERLINK("https://t.co/uww5YKlbKn")</f>
        <v>https://t.co/uww5YKlbKn</v>
      </c>
      <c r="AQ113" s="83" t="str">
        <f>HYPERLINK("https://aviso.bz/?r=eidmanu")</f>
        <v>https://aviso.bz/?r=eidmanu</v>
      </c>
      <c r="AR113" s="76" t="s">
        <v>24307</v>
      </c>
      <c r="AS113" s="76"/>
      <c r="AT113" s="76"/>
      <c r="AU113" s="76"/>
      <c r="AV113" s="76">
        <v>1.7044013960139599E+18</v>
      </c>
      <c r="AW113" s="83" t="str">
        <f>HYPERLINK("https://t.co/uww5YKlbKn")</f>
        <v>https://t.co/uww5YKlbKn</v>
      </c>
      <c r="AX113" s="76" t="b">
        <v>0</v>
      </c>
      <c r="AY113" s="76"/>
      <c r="AZ113" s="76"/>
      <c r="BA113" s="76" t="b">
        <v>0</v>
      </c>
      <c r="BB113" s="76" t="b">
        <v>0</v>
      </c>
      <c r="BC113" s="76" t="b">
        <v>1</v>
      </c>
      <c r="BD113" s="76" t="b">
        <v>0</v>
      </c>
      <c r="BE113" s="76" t="b">
        <v>1</v>
      </c>
      <c r="BF113" s="76" t="b">
        <v>0</v>
      </c>
      <c r="BG113" s="76" t="b">
        <v>0</v>
      </c>
      <c r="BH113" s="83" t="str">
        <f>HYPERLINK("https://pbs.twimg.com/profile_banners/1608571106918539264/1694070883")</f>
        <v>https://pbs.twimg.com/profile_banners/1608571106918539264/1694070883</v>
      </c>
      <c r="BI113" s="76"/>
      <c r="BJ113" s="76" t="s">
        <v>24935</v>
      </c>
      <c r="BK113" s="76" t="b">
        <v>0</v>
      </c>
      <c r="BL113" s="76"/>
      <c r="BM113" s="76" t="s">
        <v>66</v>
      </c>
      <c r="BN113" s="76" t="s">
        <v>24937</v>
      </c>
      <c r="BO113" s="83" t="str">
        <f>HYPERLINK("https://twitter.com/eid_manu")</f>
        <v>https://twitter.com/eid_manu</v>
      </c>
      <c r="BP113" s="2"/>
    </row>
    <row r="114" spans="1:68" x14ac:dyDescent="0.25">
      <c r="A114" s="62" t="s">
        <v>331</v>
      </c>
      <c r="B114" s="63"/>
      <c r="C114" s="63"/>
      <c r="D114" s="64"/>
      <c r="E114" s="66"/>
      <c r="F114" s="102" t="str">
        <f>HYPERLINK("https://pbs.twimg.com/profile_images/1678071770551578625/_qofV7kV_normal.jpg")</f>
        <v>https://pbs.twimg.com/profile_images/1678071770551578625/_qofV7kV_normal.jpg</v>
      </c>
      <c r="G114" s="63"/>
      <c r="H114" s="67"/>
      <c r="I114" s="68"/>
      <c r="J114" s="68"/>
      <c r="K114" s="67" t="s">
        <v>25048</v>
      </c>
      <c r="L114" s="71"/>
      <c r="M114" s="72"/>
      <c r="N114" s="72"/>
      <c r="O114" s="73"/>
      <c r="P114" s="74"/>
      <c r="Q114" s="74"/>
      <c r="R114" s="86"/>
      <c r="S114" s="86"/>
      <c r="T114" s="86"/>
      <c r="U114" s="86"/>
      <c r="V114" s="48"/>
      <c r="W114" s="48"/>
      <c r="X114" s="48"/>
      <c r="Y114" s="48"/>
      <c r="Z114" s="47"/>
      <c r="AA114" s="69">
        <v>114</v>
      </c>
      <c r="AB114" s="69"/>
      <c r="AC114" s="70"/>
      <c r="AD114" s="76" t="s">
        <v>21927</v>
      </c>
      <c r="AE114" s="81" t="s">
        <v>21087</v>
      </c>
      <c r="AF114" s="76">
        <v>10</v>
      </c>
      <c r="AG114" s="76">
        <v>6</v>
      </c>
      <c r="AH114" s="76">
        <v>11</v>
      </c>
      <c r="AI114" s="76">
        <v>0</v>
      </c>
      <c r="AJ114" s="76">
        <v>0</v>
      </c>
      <c r="AK114" s="76">
        <v>11</v>
      </c>
      <c r="AL114" s="76" t="b">
        <v>0</v>
      </c>
      <c r="AM114" s="78">
        <v>45100.708194444444</v>
      </c>
      <c r="AN114" s="76"/>
      <c r="AO114" s="76" t="s">
        <v>23442</v>
      </c>
      <c r="AP114" s="83" t="str">
        <f>HYPERLINK("https://t.co/1DG4kTUqWX")</f>
        <v>https://t.co/1DG4kTUqWX</v>
      </c>
      <c r="AQ114" s="83" t="str">
        <f>HYPERLINK("http://wjbet.com")</f>
        <v>http://wjbet.com</v>
      </c>
      <c r="AR114" s="76" t="s">
        <v>7286</v>
      </c>
      <c r="AS114" s="76"/>
      <c r="AT114" s="76"/>
      <c r="AU114" s="76"/>
      <c r="AV114" s="76"/>
      <c r="AW114" s="83" t="str">
        <f>HYPERLINK("https://t.co/1DG4kTUqWX")</f>
        <v>https://t.co/1DG4kTUqWX</v>
      </c>
      <c r="AX114" s="76" t="b">
        <v>0</v>
      </c>
      <c r="AY114" s="76"/>
      <c r="AZ114" s="76"/>
      <c r="BA114" s="76" t="b">
        <v>0</v>
      </c>
      <c r="BB114" s="76" t="b">
        <v>1</v>
      </c>
      <c r="BC114" s="76" t="b">
        <v>1</v>
      </c>
      <c r="BD114" s="76" t="b">
        <v>0</v>
      </c>
      <c r="BE114" s="76" t="b">
        <v>0</v>
      </c>
      <c r="BF114" s="76" t="b">
        <v>0</v>
      </c>
      <c r="BG114" s="76" t="b">
        <v>0</v>
      </c>
      <c r="BH114" s="83" t="str">
        <f>HYPERLINK("https://pbs.twimg.com/profile_banners/1672288201463963649/1688919990")</f>
        <v>https://pbs.twimg.com/profile_banners/1672288201463963649/1688919990</v>
      </c>
      <c r="BI114" s="76"/>
      <c r="BJ114" s="76" t="s">
        <v>24935</v>
      </c>
      <c r="BK114" s="76" t="b">
        <v>0</v>
      </c>
      <c r="BL114" s="76"/>
      <c r="BM114" s="76" t="s">
        <v>66</v>
      </c>
      <c r="BN114" s="76" t="s">
        <v>24937</v>
      </c>
      <c r="BO114" s="83" t="str">
        <f>HYPERLINK("https://twitter.com/wjbetbr777")</f>
        <v>https://twitter.com/wjbetbr777</v>
      </c>
      <c r="BP114" s="2"/>
    </row>
    <row r="115" spans="1:68" x14ac:dyDescent="0.25">
      <c r="A115" s="62" t="s">
        <v>332</v>
      </c>
      <c r="B115" s="63"/>
      <c r="C115" s="63"/>
      <c r="D115" s="64"/>
      <c r="E115" s="66"/>
      <c r="F115" s="102" t="str">
        <f>HYPERLINK("https://pbs.twimg.com/profile_images/1362847636286537730/awG986IT_normal.jpg")</f>
        <v>https://pbs.twimg.com/profile_images/1362847636286537730/awG986IT_normal.jpg</v>
      </c>
      <c r="G115" s="63"/>
      <c r="H115" s="67"/>
      <c r="I115" s="68"/>
      <c r="J115" s="68"/>
      <c r="K115" s="67" t="s">
        <v>25049</v>
      </c>
      <c r="L115" s="71"/>
      <c r="M115" s="72"/>
      <c r="N115" s="72"/>
      <c r="O115" s="73"/>
      <c r="P115" s="74"/>
      <c r="Q115" s="74"/>
      <c r="R115" s="86"/>
      <c r="S115" s="86"/>
      <c r="T115" s="86"/>
      <c r="U115" s="86"/>
      <c r="V115" s="48"/>
      <c r="W115" s="48"/>
      <c r="X115" s="48"/>
      <c r="Y115" s="48"/>
      <c r="Z115" s="47"/>
      <c r="AA115" s="69">
        <v>115</v>
      </c>
      <c r="AB115" s="69"/>
      <c r="AC115" s="70"/>
      <c r="AD115" s="76" t="s">
        <v>21928</v>
      </c>
      <c r="AE115" s="81" t="s">
        <v>21088</v>
      </c>
      <c r="AF115" s="76">
        <v>2</v>
      </c>
      <c r="AG115" s="76">
        <v>15</v>
      </c>
      <c r="AH115" s="76">
        <v>2887</v>
      </c>
      <c r="AI115" s="76">
        <v>0</v>
      </c>
      <c r="AJ115" s="76">
        <v>4</v>
      </c>
      <c r="AK115" s="76">
        <v>466</v>
      </c>
      <c r="AL115" s="76" t="b">
        <v>0</v>
      </c>
      <c r="AM115" s="78">
        <v>44246.814282407409</v>
      </c>
      <c r="AN115" s="76" t="s">
        <v>23110</v>
      </c>
      <c r="AO115" s="76" t="s">
        <v>23443</v>
      </c>
      <c r="AP115" s="83" t="str">
        <f>HYPERLINK("https://t.co/6p0SGEalyP")</f>
        <v>https://t.co/6p0SGEalyP</v>
      </c>
      <c r="AQ115" s="83" t="str">
        <f>HYPERLINK("https://www.youtube.com/channel/UCFWL1eLmPE1fy1p90t9N9Ag")</f>
        <v>https://www.youtube.com/channel/UCFWL1eLmPE1fy1p90t9N9Ag</v>
      </c>
      <c r="AR115" s="76" t="s">
        <v>24308</v>
      </c>
      <c r="AS115" s="76"/>
      <c r="AT115" s="76"/>
      <c r="AU115" s="76"/>
      <c r="AV115" s="76"/>
      <c r="AW115" s="83" t="str">
        <f>HYPERLINK("https://t.co/6p0SGEalyP")</f>
        <v>https://t.co/6p0SGEalyP</v>
      </c>
      <c r="AX115" s="76" t="b">
        <v>0</v>
      </c>
      <c r="AY115" s="76"/>
      <c r="AZ115" s="76"/>
      <c r="BA115" s="76" t="b">
        <v>0</v>
      </c>
      <c r="BB115" s="76" t="b">
        <v>1</v>
      </c>
      <c r="BC115" s="76" t="b">
        <v>1</v>
      </c>
      <c r="BD115" s="76" t="b">
        <v>0</v>
      </c>
      <c r="BE115" s="76" t="b">
        <v>0</v>
      </c>
      <c r="BF115" s="76" t="b">
        <v>0</v>
      </c>
      <c r="BG115" s="76" t="b">
        <v>0</v>
      </c>
      <c r="BH115" s="83" t="str">
        <f>HYPERLINK("https://pbs.twimg.com/profile_banners/1362847413724192770/1616102890")</f>
        <v>https://pbs.twimg.com/profile_banners/1362847413724192770/1616102890</v>
      </c>
      <c r="BI115" s="76"/>
      <c r="BJ115" s="76" t="s">
        <v>24935</v>
      </c>
      <c r="BK115" s="76" t="b">
        <v>0</v>
      </c>
      <c r="BL115" s="76"/>
      <c r="BM115" s="76" t="s">
        <v>66</v>
      </c>
      <c r="BN115" s="76" t="s">
        <v>24937</v>
      </c>
      <c r="BO115" s="83" t="str">
        <f>HYPERLINK("https://twitter.com/o_unboxing")</f>
        <v>https://twitter.com/o_unboxing</v>
      </c>
      <c r="BP115" s="2"/>
    </row>
    <row r="116" spans="1:68" x14ac:dyDescent="0.25">
      <c r="A116" s="62" t="s">
        <v>333</v>
      </c>
      <c r="B116" s="63"/>
      <c r="C116" s="63"/>
      <c r="D116" s="64"/>
      <c r="E116" s="66"/>
      <c r="F116" s="102" t="str">
        <f>HYPERLINK("https://pbs.twimg.com/profile_images/1651600072566534144/j5Vpd-tH_normal.jpg")</f>
        <v>https://pbs.twimg.com/profile_images/1651600072566534144/j5Vpd-tH_normal.jpg</v>
      </c>
      <c r="G116" s="63"/>
      <c r="H116" s="67"/>
      <c r="I116" s="68"/>
      <c r="J116" s="68"/>
      <c r="K116" s="67" t="s">
        <v>25050</v>
      </c>
      <c r="L116" s="71"/>
      <c r="M116" s="72"/>
      <c r="N116" s="72"/>
      <c r="O116" s="73"/>
      <c r="P116" s="74"/>
      <c r="Q116" s="74"/>
      <c r="R116" s="86"/>
      <c r="S116" s="86"/>
      <c r="T116" s="86"/>
      <c r="U116" s="86"/>
      <c r="V116" s="48"/>
      <c r="W116" s="48"/>
      <c r="X116" s="48"/>
      <c r="Y116" s="48"/>
      <c r="Z116" s="47"/>
      <c r="AA116" s="69">
        <v>116</v>
      </c>
      <c r="AB116" s="69"/>
      <c r="AC116" s="70"/>
      <c r="AD116" s="76" t="s">
        <v>21929</v>
      </c>
      <c r="AE116" s="81" t="s">
        <v>21089</v>
      </c>
      <c r="AF116" s="76">
        <v>2</v>
      </c>
      <c r="AG116" s="76">
        <v>1</v>
      </c>
      <c r="AH116" s="76">
        <v>248</v>
      </c>
      <c r="AI116" s="76">
        <v>0</v>
      </c>
      <c r="AJ116" s="76">
        <v>61</v>
      </c>
      <c r="AK116" s="76">
        <v>174</v>
      </c>
      <c r="AL116" s="76" t="b">
        <v>0</v>
      </c>
      <c r="AM116" s="78">
        <v>45043.613391203704</v>
      </c>
      <c r="AN116" s="76"/>
      <c r="AO116" s="76" t="s">
        <v>23444</v>
      </c>
      <c r="AP116" s="83" t="str">
        <f>HYPERLINK("https://t.co/iBXR7UhEmi")</f>
        <v>https://t.co/iBXR7UhEmi</v>
      </c>
      <c r="AQ116" s="83" t="str">
        <f>HYPERLINK("https://linktr.ee/gruporecuperabrasil_")</f>
        <v>https://linktr.ee/gruporecuperabrasil_</v>
      </c>
      <c r="AR116" s="76" t="s">
        <v>24309</v>
      </c>
      <c r="AS116" s="76"/>
      <c r="AT116" s="76"/>
      <c r="AU116" s="76"/>
      <c r="AV116" s="76"/>
      <c r="AW116" s="83" t="str">
        <f>HYPERLINK("https://t.co/iBXR7UhEmi")</f>
        <v>https://t.co/iBXR7UhEmi</v>
      </c>
      <c r="AX116" s="76" t="b">
        <v>0</v>
      </c>
      <c r="AY116" s="76"/>
      <c r="AZ116" s="76"/>
      <c r="BA116" s="76" t="b">
        <v>0</v>
      </c>
      <c r="BB116" s="76" t="b">
        <v>1</v>
      </c>
      <c r="BC116" s="76" t="b">
        <v>1</v>
      </c>
      <c r="BD116" s="76" t="b">
        <v>0</v>
      </c>
      <c r="BE116" s="76" t="b">
        <v>0</v>
      </c>
      <c r="BF116" s="76" t="b">
        <v>0</v>
      </c>
      <c r="BG116" s="76" t="b">
        <v>0</v>
      </c>
      <c r="BH116" s="83" t="str">
        <f>HYPERLINK("https://pbs.twimg.com/profile_banners/1651597864420749315/1687874179")</f>
        <v>https://pbs.twimg.com/profile_banners/1651597864420749315/1687874179</v>
      </c>
      <c r="BI116" s="76"/>
      <c r="BJ116" s="76" t="s">
        <v>24935</v>
      </c>
      <c r="BK116" s="76" t="b">
        <v>0</v>
      </c>
      <c r="BL116" s="76"/>
      <c r="BM116" s="76" t="s">
        <v>66</v>
      </c>
      <c r="BN116" s="76" t="s">
        <v>24937</v>
      </c>
      <c r="BO116" s="83" t="str">
        <f>HYPERLINK("https://twitter.com/recuperabrasil_")</f>
        <v>https://twitter.com/recuperabrasil_</v>
      </c>
      <c r="BP116" s="2"/>
    </row>
    <row r="117" spans="1:68" x14ac:dyDescent="0.25">
      <c r="A117" s="62" t="s">
        <v>334</v>
      </c>
      <c r="B117" s="63"/>
      <c r="C117" s="63"/>
      <c r="D117" s="64"/>
      <c r="E117" s="66"/>
      <c r="F117" s="102" t="str">
        <f>HYPERLINK("https://pbs.twimg.com/profile_images/1539387160326971393/kDfyAok1_normal.jpg")</f>
        <v>https://pbs.twimg.com/profile_images/1539387160326971393/kDfyAok1_normal.jpg</v>
      </c>
      <c r="G117" s="63"/>
      <c r="H117" s="67"/>
      <c r="I117" s="68"/>
      <c r="J117" s="68"/>
      <c r="K117" s="67" t="s">
        <v>25051</v>
      </c>
      <c r="L117" s="71"/>
      <c r="M117" s="72"/>
      <c r="N117" s="72"/>
      <c r="O117" s="73"/>
      <c r="P117" s="74"/>
      <c r="Q117" s="74"/>
      <c r="R117" s="86"/>
      <c r="S117" s="86"/>
      <c r="T117" s="86"/>
      <c r="U117" s="86"/>
      <c r="V117" s="48"/>
      <c r="W117" s="48"/>
      <c r="X117" s="48"/>
      <c r="Y117" s="48"/>
      <c r="Z117" s="47"/>
      <c r="AA117" s="69">
        <v>117</v>
      </c>
      <c r="AB117" s="69"/>
      <c r="AC117" s="70"/>
      <c r="AD117" s="76" t="s">
        <v>21930</v>
      </c>
      <c r="AE117" s="81" t="s">
        <v>21090</v>
      </c>
      <c r="AF117" s="76">
        <v>2</v>
      </c>
      <c r="AG117" s="76">
        <v>7</v>
      </c>
      <c r="AH117" s="76">
        <v>138</v>
      </c>
      <c r="AI117" s="76">
        <v>0</v>
      </c>
      <c r="AJ117" s="76">
        <v>7</v>
      </c>
      <c r="AK117" s="76">
        <v>108</v>
      </c>
      <c r="AL117" s="76" t="b">
        <v>0</v>
      </c>
      <c r="AM117" s="78">
        <v>44609.204988425925</v>
      </c>
      <c r="AN117" s="76" t="s">
        <v>14040</v>
      </c>
      <c r="AO117" s="76" t="s">
        <v>23445</v>
      </c>
      <c r="AP117" s="83" t="str">
        <f>HYPERLINK("https://t.co/B6fcw4Ly3Y")</f>
        <v>https://t.co/B6fcw4Ly3Y</v>
      </c>
      <c r="AQ117" s="83" t="str">
        <f>HYPERLINK("http://instagram.com/romario.goncalvees/")</f>
        <v>http://instagram.com/romario.goncalvees/</v>
      </c>
      <c r="AR117" s="76" t="s">
        <v>24310</v>
      </c>
      <c r="AS117" s="76"/>
      <c r="AT117" s="76"/>
      <c r="AU117" s="76"/>
      <c r="AV117" s="76"/>
      <c r="AW117" s="83" t="str">
        <f>HYPERLINK("https://t.co/B6fcw4Ly3Y")</f>
        <v>https://t.co/B6fcw4Ly3Y</v>
      </c>
      <c r="AX117" s="76" t="b">
        <v>0</v>
      </c>
      <c r="AY117" s="76"/>
      <c r="AZ117" s="76"/>
      <c r="BA117" s="76" t="b">
        <v>0</v>
      </c>
      <c r="BB117" s="76" t="b">
        <v>1</v>
      </c>
      <c r="BC117" s="76" t="b">
        <v>1</v>
      </c>
      <c r="BD117" s="76" t="b">
        <v>0</v>
      </c>
      <c r="BE117" s="76" t="b">
        <v>0</v>
      </c>
      <c r="BF117" s="76" t="b">
        <v>0</v>
      </c>
      <c r="BG117" s="76" t="b">
        <v>0</v>
      </c>
      <c r="BH117" s="83" t="str">
        <f>HYPERLINK("https://pbs.twimg.com/profile_banners/1494173210744606721/1655854302")</f>
        <v>https://pbs.twimg.com/profile_banners/1494173210744606721/1655854302</v>
      </c>
      <c r="BI117" s="76"/>
      <c r="BJ117" s="76" t="s">
        <v>24935</v>
      </c>
      <c r="BK117" s="76" t="b">
        <v>0</v>
      </c>
      <c r="BL117" s="76"/>
      <c r="BM117" s="76" t="s">
        <v>66</v>
      </c>
      <c r="BN117" s="76" t="s">
        <v>24937</v>
      </c>
      <c r="BO117" s="83" t="str">
        <f>HYPERLINK("https://twitter.com/romario67984003")</f>
        <v>https://twitter.com/romario67984003</v>
      </c>
      <c r="BP117" s="2"/>
    </row>
    <row r="118" spans="1:68" x14ac:dyDescent="0.25">
      <c r="A118" s="62" t="s">
        <v>335</v>
      </c>
      <c r="B118" s="63"/>
      <c r="C118" s="63"/>
      <c r="D118" s="64"/>
      <c r="E118" s="66"/>
      <c r="F118" s="102" t="str">
        <f>HYPERLINK("https://pbs.twimg.com/profile_images/1657485661614620678/FlnkzsX7_normal.jpg")</f>
        <v>https://pbs.twimg.com/profile_images/1657485661614620678/FlnkzsX7_normal.jpg</v>
      </c>
      <c r="G118" s="63"/>
      <c r="H118" s="67"/>
      <c r="I118" s="68"/>
      <c r="J118" s="68"/>
      <c r="K118" s="67" t="s">
        <v>25052</v>
      </c>
      <c r="L118" s="71"/>
      <c r="M118" s="72"/>
      <c r="N118" s="72"/>
      <c r="O118" s="73"/>
      <c r="P118" s="74"/>
      <c r="Q118" s="74"/>
      <c r="R118" s="86"/>
      <c r="S118" s="86"/>
      <c r="T118" s="86"/>
      <c r="U118" s="86"/>
      <c r="V118" s="48"/>
      <c r="W118" s="48"/>
      <c r="X118" s="48"/>
      <c r="Y118" s="48"/>
      <c r="Z118" s="47"/>
      <c r="AA118" s="69">
        <v>118</v>
      </c>
      <c r="AB118" s="69"/>
      <c r="AC118" s="70"/>
      <c r="AD118" s="76" t="s">
        <v>21931</v>
      </c>
      <c r="AE118" s="81" t="s">
        <v>21091</v>
      </c>
      <c r="AF118" s="76">
        <v>9</v>
      </c>
      <c r="AG118" s="76">
        <v>41</v>
      </c>
      <c r="AH118" s="76">
        <v>33</v>
      </c>
      <c r="AI118" s="76">
        <v>0</v>
      </c>
      <c r="AJ118" s="76">
        <v>28</v>
      </c>
      <c r="AK118" s="76">
        <v>23</v>
      </c>
      <c r="AL118" s="76" t="b">
        <v>0</v>
      </c>
      <c r="AM118" s="78">
        <v>45059.860185185185</v>
      </c>
      <c r="AN118" s="76" t="s">
        <v>23111</v>
      </c>
      <c r="AO118" s="76" t="s">
        <v>23446</v>
      </c>
      <c r="AP118" s="76"/>
      <c r="AQ118" s="76"/>
      <c r="AR118" s="76"/>
      <c r="AS118" s="76"/>
      <c r="AT118" s="76"/>
      <c r="AU118" s="76"/>
      <c r="AV118" s="76"/>
      <c r="AW118" s="76"/>
      <c r="AX118" s="76" t="b">
        <v>0</v>
      </c>
      <c r="AY118" s="76"/>
      <c r="AZ118" s="76"/>
      <c r="BA118" s="76" t="b">
        <v>0</v>
      </c>
      <c r="BB118" s="76" t="b">
        <v>1</v>
      </c>
      <c r="BC118" s="76" t="b">
        <v>1</v>
      </c>
      <c r="BD118" s="76" t="b">
        <v>0</v>
      </c>
      <c r="BE118" s="76" t="b">
        <v>0</v>
      </c>
      <c r="BF118" s="76" t="b">
        <v>0</v>
      </c>
      <c r="BG118" s="76" t="b">
        <v>0</v>
      </c>
      <c r="BH118" s="83" t="str">
        <f>HYPERLINK("https://pbs.twimg.com/profile_banners/1657485483264421891/1684013309")</f>
        <v>https://pbs.twimg.com/profile_banners/1657485483264421891/1684013309</v>
      </c>
      <c r="BI118" s="76"/>
      <c r="BJ118" s="76" t="s">
        <v>24935</v>
      </c>
      <c r="BK118" s="76" t="b">
        <v>0</v>
      </c>
      <c r="BL118" s="76"/>
      <c r="BM118" s="76" t="s">
        <v>66</v>
      </c>
      <c r="BN118" s="76" t="s">
        <v>24937</v>
      </c>
      <c r="BO118" s="83" t="str">
        <f>HYPERLINK("https://twitter.com/pl_rendasextras")</f>
        <v>https://twitter.com/pl_rendasextras</v>
      </c>
      <c r="BP118" s="2"/>
    </row>
    <row r="119" spans="1:68" x14ac:dyDescent="0.25">
      <c r="A119" s="62" t="s">
        <v>336</v>
      </c>
      <c r="B119" s="63"/>
      <c r="C119" s="63"/>
      <c r="D119" s="64"/>
      <c r="E119" s="66"/>
      <c r="F119" s="102" t="str">
        <f>HYPERLINK("https://pbs.twimg.com/profile_images/1651323078129905665/FDTm1w4x_normal.jpg")</f>
        <v>https://pbs.twimg.com/profile_images/1651323078129905665/FDTm1w4x_normal.jpg</v>
      </c>
      <c r="G119" s="63"/>
      <c r="H119" s="67"/>
      <c r="I119" s="68"/>
      <c r="J119" s="68"/>
      <c r="K119" s="67" t="s">
        <v>25053</v>
      </c>
      <c r="L119" s="71"/>
      <c r="M119" s="72"/>
      <c r="N119" s="72"/>
      <c r="O119" s="73"/>
      <c r="P119" s="74"/>
      <c r="Q119" s="74"/>
      <c r="R119" s="86"/>
      <c r="S119" s="86"/>
      <c r="T119" s="86"/>
      <c r="U119" s="86"/>
      <c r="V119" s="48"/>
      <c r="W119" s="48"/>
      <c r="X119" s="48"/>
      <c r="Y119" s="48"/>
      <c r="Z119" s="47"/>
      <c r="AA119" s="69">
        <v>119</v>
      </c>
      <c r="AB119" s="69"/>
      <c r="AC119" s="70"/>
      <c r="AD119" s="76" t="s">
        <v>21932</v>
      </c>
      <c r="AE119" s="81" t="s">
        <v>21092</v>
      </c>
      <c r="AF119" s="76">
        <v>0</v>
      </c>
      <c r="AG119" s="76">
        <v>2</v>
      </c>
      <c r="AH119" s="76">
        <v>5</v>
      </c>
      <c r="AI119" s="76">
        <v>0</v>
      </c>
      <c r="AJ119" s="76">
        <v>19</v>
      </c>
      <c r="AK119" s="76">
        <v>5</v>
      </c>
      <c r="AL119" s="76" t="b">
        <v>0</v>
      </c>
      <c r="AM119" s="78">
        <v>44983.991840277777</v>
      </c>
      <c r="AN119" s="76" t="s">
        <v>14040</v>
      </c>
      <c r="AO119" s="76" t="s">
        <v>23447</v>
      </c>
      <c r="AP119" s="76"/>
      <c r="AQ119" s="76"/>
      <c r="AR119" s="76"/>
      <c r="AS119" s="76"/>
      <c r="AT119" s="76"/>
      <c r="AU119" s="76"/>
      <c r="AV119" s="76"/>
      <c r="AW119" s="76"/>
      <c r="AX119" s="76" t="b">
        <v>0</v>
      </c>
      <c r="AY119" s="76"/>
      <c r="AZ119" s="76"/>
      <c r="BA119" s="76" t="b">
        <v>0</v>
      </c>
      <c r="BB119" s="76" t="b">
        <v>1</v>
      </c>
      <c r="BC119" s="76" t="b">
        <v>1</v>
      </c>
      <c r="BD119" s="76" t="b">
        <v>0</v>
      </c>
      <c r="BE119" s="76" t="b">
        <v>0</v>
      </c>
      <c r="BF119" s="76" t="b">
        <v>0</v>
      </c>
      <c r="BG119" s="76" t="b">
        <v>0</v>
      </c>
      <c r="BH119" s="76"/>
      <c r="BI119" s="76"/>
      <c r="BJ119" s="76" t="s">
        <v>24935</v>
      </c>
      <c r="BK119" s="76" t="b">
        <v>0</v>
      </c>
      <c r="BL119" s="76"/>
      <c r="BM119" s="76" t="s">
        <v>66</v>
      </c>
      <c r="BN119" s="76" t="s">
        <v>24937</v>
      </c>
      <c r="BO119" s="83" t="str">
        <f>HYPERLINK("https://twitter.com/eshoerd")</f>
        <v>https://twitter.com/eshoerd</v>
      </c>
      <c r="BP119" s="2"/>
    </row>
    <row r="120" spans="1:68" x14ac:dyDescent="0.25">
      <c r="A120" s="62" t="s">
        <v>337</v>
      </c>
      <c r="B120" s="63"/>
      <c r="C120" s="63"/>
      <c r="D120" s="64"/>
      <c r="E120" s="66"/>
      <c r="F120" s="102" t="str">
        <f>HYPERLINK("https://pbs.twimg.com/profile_images/1619960808745717761/tDUfNXLP_normal.jpg")</f>
        <v>https://pbs.twimg.com/profile_images/1619960808745717761/tDUfNXLP_normal.jpg</v>
      </c>
      <c r="G120" s="63"/>
      <c r="H120" s="67"/>
      <c r="I120" s="68"/>
      <c r="J120" s="68"/>
      <c r="K120" s="67" t="s">
        <v>25054</v>
      </c>
      <c r="L120" s="71"/>
      <c r="M120" s="72"/>
      <c r="N120" s="72"/>
      <c r="O120" s="73"/>
      <c r="P120" s="74"/>
      <c r="Q120" s="74"/>
      <c r="R120" s="86"/>
      <c r="S120" s="86"/>
      <c r="T120" s="86"/>
      <c r="U120" s="86"/>
      <c r="V120" s="48"/>
      <c r="W120" s="48"/>
      <c r="X120" s="48"/>
      <c r="Y120" s="48"/>
      <c r="Z120" s="47"/>
      <c r="AA120" s="69">
        <v>120</v>
      </c>
      <c r="AB120" s="69"/>
      <c r="AC120" s="70"/>
      <c r="AD120" s="76" t="s">
        <v>21933</v>
      </c>
      <c r="AE120" s="81" t="s">
        <v>22882</v>
      </c>
      <c r="AF120" s="76">
        <v>66</v>
      </c>
      <c r="AG120" s="76">
        <v>1285</v>
      </c>
      <c r="AH120" s="76">
        <v>14</v>
      </c>
      <c r="AI120" s="76">
        <v>2</v>
      </c>
      <c r="AJ120" s="76">
        <v>507</v>
      </c>
      <c r="AK120" s="76">
        <v>3</v>
      </c>
      <c r="AL120" s="76" t="b">
        <v>0</v>
      </c>
      <c r="AM120" s="78">
        <v>41108.097905092596</v>
      </c>
      <c r="AN120" s="76" t="s">
        <v>14044</v>
      </c>
      <c r="AO120" s="76" t="s">
        <v>23448</v>
      </c>
      <c r="AP120" s="83" t="str">
        <f>HYPERLINK("https://t.co/NYDDPtWWQc")</f>
        <v>https://t.co/NYDDPtWWQc</v>
      </c>
      <c r="AQ120" s="83" t="str">
        <f>HYPERLINK("https://linktr.ee/DNegao")</f>
        <v>https://linktr.ee/DNegao</v>
      </c>
      <c r="AR120" s="76" t="s">
        <v>24311</v>
      </c>
      <c r="AS120" s="76"/>
      <c r="AT120" s="76"/>
      <c r="AU120" s="76"/>
      <c r="AV120" s="76"/>
      <c r="AW120" s="83" t="str">
        <f>HYPERLINK("https://t.co/NYDDPtWWQc")</f>
        <v>https://t.co/NYDDPtWWQc</v>
      </c>
      <c r="AX120" s="76" t="b">
        <v>0</v>
      </c>
      <c r="AY120" s="76"/>
      <c r="AZ120" s="76"/>
      <c r="BA120" s="76" t="b">
        <v>1</v>
      </c>
      <c r="BB120" s="76" t="b">
        <v>1</v>
      </c>
      <c r="BC120" s="76" t="b">
        <v>1</v>
      </c>
      <c r="BD120" s="76" t="b">
        <v>0</v>
      </c>
      <c r="BE120" s="76" t="b">
        <v>1</v>
      </c>
      <c r="BF120" s="76" t="b">
        <v>0</v>
      </c>
      <c r="BG120" s="76" t="b">
        <v>0</v>
      </c>
      <c r="BH120" s="83" t="str">
        <f>HYPERLINK("https://pbs.twimg.com/profile_banners/702187627/1675063513")</f>
        <v>https://pbs.twimg.com/profile_banners/702187627/1675063513</v>
      </c>
      <c r="BI120" s="76"/>
      <c r="BJ120" s="76" t="s">
        <v>24935</v>
      </c>
      <c r="BK120" s="76" t="b">
        <v>0</v>
      </c>
      <c r="BL120" s="76"/>
      <c r="BM120" s="76" t="s">
        <v>66</v>
      </c>
      <c r="BN120" s="76" t="s">
        <v>24937</v>
      </c>
      <c r="BO120" s="83" t="str">
        <f>HYPERLINK("https://twitter.com/demetriusjoseda")</f>
        <v>https://twitter.com/demetriusjoseda</v>
      </c>
      <c r="BP120" s="2"/>
    </row>
    <row r="121" spans="1:68" x14ac:dyDescent="0.25">
      <c r="A121" s="62" t="s">
        <v>338</v>
      </c>
      <c r="B121" s="63"/>
      <c r="C121" s="63"/>
      <c r="D121" s="64"/>
      <c r="E121" s="66"/>
      <c r="F121" s="102" t="str">
        <f>HYPERLINK("https://pbs.twimg.com/profile_images/1663607098775617556/Hn686QBY_normal.png")</f>
        <v>https://pbs.twimg.com/profile_images/1663607098775617556/Hn686QBY_normal.png</v>
      </c>
      <c r="G121" s="63"/>
      <c r="H121" s="67"/>
      <c r="I121" s="68"/>
      <c r="J121" s="68"/>
      <c r="K121" s="67" t="s">
        <v>25055</v>
      </c>
      <c r="L121" s="71"/>
      <c r="M121" s="72"/>
      <c r="N121" s="72"/>
      <c r="O121" s="73"/>
      <c r="P121" s="74"/>
      <c r="Q121" s="74"/>
      <c r="R121" s="86"/>
      <c r="S121" s="86"/>
      <c r="T121" s="86"/>
      <c r="U121" s="86"/>
      <c r="V121" s="48"/>
      <c r="W121" s="48"/>
      <c r="X121" s="48"/>
      <c r="Y121" s="48"/>
      <c r="Z121" s="47"/>
      <c r="AA121" s="69">
        <v>121</v>
      </c>
      <c r="AB121" s="69"/>
      <c r="AC121" s="70"/>
      <c r="AD121" s="76" t="s">
        <v>21934</v>
      </c>
      <c r="AE121" s="81" t="s">
        <v>21093</v>
      </c>
      <c r="AF121" s="76">
        <v>0</v>
      </c>
      <c r="AG121" s="76">
        <v>7</v>
      </c>
      <c r="AH121" s="76">
        <v>17</v>
      </c>
      <c r="AI121" s="76">
        <v>0</v>
      </c>
      <c r="AJ121" s="76">
        <v>3</v>
      </c>
      <c r="AK121" s="76">
        <v>4</v>
      </c>
      <c r="AL121" s="76" t="b">
        <v>0</v>
      </c>
      <c r="AM121" s="78">
        <v>45076.752488425926</v>
      </c>
      <c r="AN121" s="76"/>
      <c r="AO121" s="76" t="s">
        <v>23449</v>
      </c>
      <c r="AP121" s="76"/>
      <c r="AQ121" s="76"/>
      <c r="AR121" s="76"/>
      <c r="AS121" s="76"/>
      <c r="AT121" s="76"/>
      <c r="AU121" s="76"/>
      <c r="AV121" s="76"/>
      <c r="AW121" s="76"/>
      <c r="AX121" s="76" t="b">
        <v>0</v>
      </c>
      <c r="AY121" s="76"/>
      <c r="AZ121" s="76"/>
      <c r="BA121" s="76" t="b">
        <v>0</v>
      </c>
      <c r="BB121" s="76" t="b">
        <v>1</v>
      </c>
      <c r="BC121" s="76" t="b">
        <v>1</v>
      </c>
      <c r="BD121" s="76" t="b">
        <v>0</v>
      </c>
      <c r="BE121" s="76" t="b">
        <v>0</v>
      </c>
      <c r="BF121" s="76" t="b">
        <v>0</v>
      </c>
      <c r="BG121" s="76" t="b">
        <v>0</v>
      </c>
      <c r="BH121" s="76"/>
      <c r="BI121" s="76"/>
      <c r="BJ121" s="76" t="s">
        <v>24935</v>
      </c>
      <c r="BK121" s="76" t="b">
        <v>0</v>
      </c>
      <c r="BL121" s="76"/>
      <c r="BM121" s="76" t="s">
        <v>66</v>
      </c>
      <c r="BN121" s="76" t="s">
        <v>24937</v>
      </c>
      <c r="BO121" s="83" t="str">
        <f>HYPERLINK("https://twitter.com/danielacar2217")</f>
        <v>https://twitter.com/danielacar2217</v>
      </c>
      <c r="BP121" s="2"/>
    </row>
    <row r="122" spans="1:68" x14ac:dyDescent="0.25">
      <c r="A122" s="62" t="s">
        <v>339</v>
      </c>
      <c r="B122" s="63"/>
      <c r="C122" s="63"/>
      <c r="D122" s="64"/>
      <c r="E122" s="66"/>
      <c r="F122" s="102" t="str">
        <f>HYPERLINK("https://pbs.twimg.com/profile_images/1657446018617683972/VT-QDq_K_normal.jpg")</f>
        <v>https://pbs.twimg.com/profile_images/1657446018617683972/VT-QDq_K_normal.jpg</v>
      </c>
      <c r="G122" s="63"/>
      <c r="H122" s="67"/>
      <c r="I122" s="68"/>
      <c r="J122" s="68"/>
      <c r="K122" s="67" t="s">
        <v>25056</v>
      </c>
      <c r="L122" s="71"/>
      <c r="M122" s="72"/>
      <c r="N122" s="72"/>
      <c r="O122" s="73"/>
      <c r="P122" s="74"/>
      <c r="Q122" s="74"/>
      <c r="R122" s="86"/>
      <c r="S122" s="86"/>
      <c r="T122" s="86"/>
      <c r="U122" s="86"/>
      <c r="V122" s="48"/>
      <c r="W122" s="48"/>
      <c r="X122" s="48"/>
      <c r="Y122" s="48"/>
      <c r="Z122" s="47"/>
      <c r="AA122" s="69">
        <v>122</v>
      </c>
      <c r="AB122" s="69"/>
      <c r="AC122" s="70"/>
      <c r="AD122" s="76" t="s">
        <v>21935</v>
      </c>
      <c r="AE122" s="81" t="s">
        <v>21094</v>
      </c>
      <c r="AF122" s="76">
        <v>85</v>
      </c>
      <c r="AG122" s="76">
        <v>489</v>
      </c>
      <c r="AH122" s="76">
        <v>2498</v>
      </c>
      <c r="AI122" s="76">
        <v>0</v>
      </c>
      <c r="AJ122" s="76">
        <v>1864</v>
      </c>
      <c r="AK122" s="76">
        <v>157</v>
      </c>
      <c r="AL122" s="76" t="b">
        <v>0</v>
      </c>
      <c r="AM122" s="78">
        <v>43922.79928240741</v>
      </c>
      <c r="AN122" s="76" t="s">
        <v>14041</v>
      </c>
      <c r="AO122" s="76"/>
      <c r="AP122" s="76"/>
      <c r="AQ122" s="76"/>
      <c r="AR122" s="76"/>
      <c r="AS122" s="76"/>
      <c r="AT122" s="76"/>
      <c r="AU122" s="76"/>
      <c r="AV122" s="76"/>
      <c r="AW122" s="76"/>
      <c r="AX122" s="76" t="b">
        <v>0</v>
      </c>
      <c r="AY122" s="76"/>
      <c r="AZ122" s="76"/>
      <c r="BA122" s="76" t="b">
        <v>0</v>
      </c>
      <c r="BB122" s="76" t="b">
        <v>1</v>
      </c>
      <c r="BC122" s="76" t="b">
        <v>1</v>
      </c>
      <c r="BD122" s="76" t="b">
        <v>0</v>
      </c>
      <c r="BE122" s="76" t="b">
        <v>0</v>
      </c>
      <c r="BF122" s="76" t="b">
        <v>0</v>
      </c>
      <c r="BG122" s="76" t="b">
        <v>0</v>
      </c>
      <c r="BH122" s="83" t="str">
        <f>HYPERLINK("https://pbs.twimg.com/profile_banners/1245428428972662786/1666701215")</f>
        <v>https://pbs.twimg.com/profile_banners/1245428428972662786/1666701215</v>
      </c>
      <c r="BI122" s="76"/>
      <c r="BJ122" s="76" t="s">
        <v>24935</v>
      </c>
      <c r="BK122" s="76" t="b">
        <v>0</v>
      </c>
      <c r="BL122" s="76"/>
      <c r="BM122" s="76" t="s">
        <v>66</v>
      </c>
      <c r="BN122" s="76" t="s">
        <v>24937</v>
      </c>
      <c r="BO122" s="83" t="str">
        <f>HYPERLINK("https://twitter.com/montssx")</f>
        <v>https://twitter.com/montssx</v>
      </c>
      <c r="BP122" s="2"/>
    </row>
    <row r="123" spans="1:68" x14ac:dyDescent="0.25">
      <c r="A123" s="62" t="s">
        <v>1243</v>
      </c>
      <c r="B123" s="63"/>
      <c r="C123" s="63"/>
      <c r="D123" s="64"/>
      <c r="E123" s="66"/>
      <c r="F123" s="102" t="str">
        <f>HYPERLINK("https://pbs.twimg.com/profile_images/1665904253557243904/QpWVeYPT_normal.jpg")</f>
        <v>https://pbs.twimg.com/profile_images/1665904253557243904/QpWVeYPT_normal.jpg</v>
      </c>
      <c r="G123" s="63"/>
      <c r="H123" s="67"/>
      <c r="I123" s="68"/>
      <c r="J123" s="68"/>
      <c r="K123" s="67" t="s">
        <v>25057</v>
      </c>
      <c r="L123" s="71"/>
      <c r="M123" s="72"/>
      <c r="N123" s="72"/>
      <c r="O123" s="73"/>
      <c r="P123" s="74"/>
      <c r="Q123" s="74"/>
      <c r="R123" s="86"/>
      <c r="S123" s="86"/>
      <c r="T123" s="86"/>
      <c r="U123" s="86"/>
      <c r="V123" s="48"/>
      <c r="W123" s="48"/>
      <c r="X123" s="48"/>
      <c r="Y123" s="48"/>
      <c r="Z123" s="47"/>
      <c r="AA123" s="69">
        <v>123</v>
      </c>
      <c r="AB123" s="69"/>
      <c r="AC123" s="70"/>
      <c r="AD123" s="76" t="s">
        <v>21936</v>
      </c>
      <c r="AE123" s="81" t="s">
        <v>20906</v>
      </c>
      <c r="AF123" s="76">
        <v>18847</v>
      </c>
      <c r="AG123" s="76">
        <v>1177</v>
      </c>
      <c r="AH123" s="76">
        <v>142219</v>
      </c>
      <c r="AI123" s="76">
        <v>110</v>
      </c>
      <c r="AJ123" s="76">
        <v>80766</v>
      </c>
      <c r="AK123" s="76">
        <v>5560</v>
      </c>
      <c r="AL123" s="76" t="b">
        <v>0</v>
      </c>
      <c r="AM123" s="78">
        <v>43928.855694444443</v>
      </c>
      <c r="AN123" s="76"/>
      <c r="AO123" s="76" t="s">
        <v>23450</v>
      </c>
      <c r="AP123" s="83" t="str">
        <f>HYPERLINK("https://t.co/DsJSSJyYIb")</f>
        <v>https://t.co/DsJSSJyYIb</v>
      </c>
      <c r="AQ123" s="83" t="str">
        <f>HYPERLINK("https://instagram.com/marinasara__")</f>
        <v>https://instagram.com/marinasara__</v>
      </c>
      <c r="AR123" s="76" t="s">
        <v>24312</v>
      </c>
      <c r="AS123" s="76"/>
      <c r="AT123" s="76"/>
      <c r="AU123" s="76"/>
      <c r="AV123" s="76">
        <v>1.58396302212478E+18</v>
      </c>
      <c r="AW123" s="83" t="str">
        <f>HYPERLINK("https://t.co/DsJSSJyYIb")</f>
        <v>https://t.co/DsJSSJyYIb</v>
      </c>
      <c r="AX123" s="76" t="b">
        <v>0</v>
      </c>
      <c r="AY123" s="76"/>
      <c r="AZ123" s="76"/>
      <c r="BA123" s="76" t="b">
        <v>1</v>
      </c>
      <c r="BB123" s="76" t="b">
        <v>0</v>
      </c>
      <c r="BC123" s="76" t="b">
        <v>1</v>
      </c>
      <c r="BD123" s="76" t="b">
        <v>0</v>
      </c>
      <c r="BE123" s="76" t="b">
        <v>1</v>
      </c>
      <c r="BF123" s="76" t="b">
        <v>0</v>
      </c>
      <c r="BG123" s="76" t="b">
        <v>0</v>
      </c>
      <c r="BH123" s="83" t="str">
        <f>HYPERLINK("https://pbs.twimg.com/profile_banners/1247623200957173764/1686181254")</f>
        <v>https://pbs.twimg.com/profile_banners/1247623200957173764/1686181254</v>
      </c>
      <c r="BI123" s="76"/>
      <c r="BJ123" s="76" t="s">
        <v>24935</v>
      </c>
      <c r="BK123" s="76" t="b">
        <v>0</v>
      </c>
      <c r="BL123" s="76"/>
      <c r="BM123" s="76" t="s">
        <v>65</v>
      </c>
      <c r="BN123" s="76" t="s">
        <v>24937</v>
      </c>
      <c r="BO123" s="83" t="str">
        <f>HYPERLINK("https://twitter.com/maribissx")</f>
        <v>https://twitter.com/maribissx</v>
      </c>
      <c r="BP123" s="2"/>
    </row>
    <row r="124" spans="1:68" x14ac:dyDescent="0.25">
      <c r="A124" s="62" t="s">
        <v>340</v>
      </c>
      <c r="B124" s="63"/>
      <c r="C124" s="63"/>
      <c r="D124" s="64"/>
      <c r="E124" s="66"/>
      <c r="F124" s="102" t="str">
        <f>HYPERLINK("https://pbs.twimg.com/profile_images/677090726405120000/bUlTwuPW_normal.jpg")</f>
        <v>https://pbs.twimg.com/profile_images/677090726405120000/bUlTwuPW_normal.jpg</v>
      </c>
      <c r="G124" s="63"/>
      <c r="H124" s="67"/>
      <c r="I124" s="68"/>
      <c r="J124" s="68"/>
      <c r="K124" s="67" t="s">
        <v>25058</v>
      </c>
      <c r="L124" s="71"/>
      <c r="M124" s="72"/>
      <c r="N124" s="72"/>
      <c r="O124" s="73"/>
      <c r="P124" s="74"/>
      <c r="Q124" s="74"/>
      <c r="R124" s="86"/>
      <c r="S124" s="86"/>
      <c r="T124" s="86"/>
      <c r="U124" s="86"/>
      <c r="V124" s="48"/>
      <c r="W124" s="48"/>
      <c r="X124" s="48"/>
      <c r="Y124" s="48"/>
      <c r="Z124" s="47"/>
      <c r="AA124" s="69">
        <v>124</v>
      </c>
      <c r="AB124" s="69"/>
      <c r="AC124" s="70"/>
      <c r="AD124" s="76" t="s">
        <v>21937</v>
      </c>
      <c r="AE124" s="81" t="s">
        <v>22883</v>
      </c>
      <c r="AF124" s="76">
        <v>100</v>
      </c>
      <c r="AG124" s="76">
        <v>43</v>
      </c>
      <c r="AH124" s="76">
        <v>1737</v>
      </c>
      <c r="AI124" s="76">
        <v>0</v>
      </c>
      <c r="AJ124" s="76">
        <v>278</v>
      </c>
      <c r="AK124" s="76">
        <v>30</v>
      </c>
      <c r="AL124" s="76" t="b">
        <v>0</v>
      </c>
      <c r="AM124" s="78">
        <v>39346.717361111114</v>
      </c>
      <c r="AN124" s="76" t="s">
        <v>23112</v>
      </c>
      <c r="AO124" s="76" t="s">
        <v>23451</v>
      </c>
      <c r="AP124" s="83" t="str">
        <f>HYPERLINK("https://t.co/Pguet5ETxb")</f>
        <v>https://t.co/Pguet5ETxb</v>
      </c>
      <c r="AQ124" s="83" t="str">
        <f>HYPERLINK("http://www.agenciaventura.com.br")</f>
        <v>http://www.agenciaventura.com.br</v>
      </c>
      <c r="AR124" s="76" t="s">
        <v>24313</v>
      </c>
      <c r="AS124" s="76"/>
      <c r="AT124" s="76"/>
      <c r="AU124" s="76"/>
      <c r="AV124" s="76"/>
      <c r="AW124" s="83" t="str">
        <f>HYPERLINK("https://t.co/Pguet5ETxb")</f>
        <v>https://t.co/Pguet5ETxb</v>
      </c>
      <c r="AX124" s="76" t="b">
        <v>0</v>
      </c>
      <c r="AY124" s="76"/>
      <c r="AZ124" s="76"/>
      <c r="BA124" s="76" t="b">
        <v>0</v>
      </c>
      <c r="BB124" s="76" t="b">
        <v>1</v>
      </c>
      <c r="BC124" s="76" t="b">
        <v>0</v>
      </c>
      <c r="BD124" s="76" t="b">
        <v>0</v>
      </c>
      <c r="BE124" s="76" t="b">
        <v>1</v>
      </c>
      <c r="BF124" s="76" t="b">
        <v>0</v>
      </c>
      <c r="BG124" s="76" t="b">
        <v>0</v>
      </c>
      <c r="BH124" s="76"/>
      <c r="BI124" s="76"/>
      <c r="BJ124" s="76" t="s">
        <v>24935</v>
      </c>
      <c r="BK124" s="76" t="b">
        <v>0</v>
      </c>
      <c r="BL124" s="76"/>
      <c r="BM124" s="76" t="s">
        <v>66</v>
      </c>
      <c r="BN124" s="76" t="s">
        <v>24937</v>
      </c>
      <c r="BO124" s="83" t="str">
        <f>HYPERLINK("https://twitter.com/rodrigoxguima")</f>
        <v>https://twitter.com/rodrigoxguima</v>
      </c>
      <c r="BP124" s="2"/>
    </row>
    <row r="125" spans="1:68" x14ac:dyDescent="0.25">
      <c r="A125" s="62" t="s">
        <v>341</v>
      </c>
      <c r="B125" s="63"/>
      <c r="C125" s="63"/>
      <c r="D125" s="64"/>
      <c r="E125" s="66"/>
      <c r="F125" s="102" t="str">
        <f>HYPERLINK("https://pbs.twimg.com/profile_images/1699877978522423296/XoWVMjXY_normal.jpg")</f>
        <v>https://pbs.twimg.com/profile_images/1699877978522423296/XoWVMjXY_normal.jpg</v>
      </c>
      <c r="G125" s="63"/>
      <c r="H125" s="67"/>
      <c r="I125" s="68"/>
      <c r="J125" s="68"/>
      <c r="K125" s="67" t="s">
        <v>25059</v>
      </c>
      <c r="L125" s="71"/>
      <c r="M125" s="72"/>
      <c r="N125" s="72"/>
      <c r="O125" s="73"/>
      <c r="P125" s="74"/>
      <c r="Q125" s="74"/>
      <c r="R125" s="86"/>
      <c r="S125" s="86"/>
      <c r="T125" s="86"/>
      <c r="U125" s="86"/>
      <c r="V125" s="48"/>
      <c r="W125" s="48"/>
      <c r="X125" s="48"/>
      <c r="Y125" s="48"/>
      <c r="Z125" s="47"/>
      <c r="AA125" s="69">
        <v>125</v>
      </c>
      <c r="AB125" s="69"/>
      <c r="AC125" s="70"/>
      <c r="AD125" s="76" t="s">
        <v>21938</v>
      </c>
      <c r="AE125" s="81" t="s">
        <v>21095</v>
      </c>
      <c r="AF125" s="76">
        <v>0</v>
      </c>
      <c r="AG125" s="76">
        <v>2</v>
      </c>
      <c r="AH125" s="76">
        <v>8</v>
      </c>
      <c r="AI125" s="76">
        <v>0</v>
      </c>
      <c r="AJ125" s="76">
        <v>6</v>
      </c>
      <c r="AK125" s="76">
        <v>8</v>
      </c>
      <c r="AL125" s="76" t="b">
        <v>0</v>
      </c>
      <c r="AM125" s="78">
        <v>45176.838703703703</v>
      </c>
      <c r="AN125" s="76"/>
      <c r="AO125" s="76" t="s">
        <v>23452</v>
      </c>
      <c r="AP125" s="83" t="str">
        <f>HYPERLINK("https://t.co/VRo2KUHdX5")</f>
        <v>https://t.co/VRo2KUHdX5</v>
      </c>
      <c r="AQ125" s="83" t="str">
        <f>HYPERLINK("https://f2tips.com/pronavenda")</f>
        <v>https://f2tips.com/pronavenda</v>
      </c>
      <c r="AR125" s="76" t="s">
        <v>24314</v>
      </c>
      <c r="AS125" s="76"/>
      <c r="AT125" s="76"/>
      <c r="AU125" s="76"/>
      <c r="AV125" s="76"/>
      <c r="AW125" s="83" t="str">
        <f>HYPERLINK("https://t.co/VRo2KUHdX5")</f>
        <v>https://t.co/VRo2KUHdX5</v>
      </c>
      <c r="AX125" s="76" t="b">
        <v>0</v>
      </c>
      <c r="AY125" s="76"/>
      <c r="AZ125" s="76"/>
      <c r="BA125" s="76" t="b">
        <v>0</v>
      </c>
      <c r="BB125" s="76" t="b">
        <v>1</v>
      </c>
      <c r="BC125" s="76" t="b">
        <v>1</v>
      </c>
      <c r="BD125" s="76" t="b">
        <v>0</v>
      </c>
      <c r="BE125" s="76" t="b">
        <v>0</v>
      </c>
      <c r="BF125" s="76" t="b">
        <v>0</v>
      </c>
      <c r="BG125" s="76" t="b">
        <v>0</v>
      </c>
      <c r="BH125" s="83" t="str">
        <f>HYPERLINK("https://pbs.twimg.com/profile_banners/1699877062096334848/1694117467")</f>
        <v>https://pbs.twimg.com/profile_banners/1699877062096334848/1694117467</v>
      </c>
      <c r="BI125" s="76"/>
      <c r="BJ125" s="76" t="s">
        <v>24935</v>
      </c>
      <c r="BK125" s="76" t="b">
        <v>0</v>
      </c>
      <c r="BL125" s="76"/>
      <c r="BM125" s="76" t="s">
        <v>66</v>
      </c>
      <c r="BN125" s="76" t="s">
        <v>24937</v>
      </c>
      <c r="BO125" s="83" t="str">
        <f>HYPERLINK("https://twitter.com/tempodenegocio")</f>
        <v>https://twitter.com/tempodenegocio</v>
      </c>
      <c r="BP125" s="2"/>
    </row>
    <row r="126" spans="1:68" x14ac:dyDescent="0.25">
      <c r="A126" s="62" t="s">
        <v>342</v>
      </c>
      <c r="B126" s="63"/>
      <c r="C126" s="63"/>
      <c r="D126" s="64"/>
      <c r="E126" s="66"/>
      <c r="F126" s="102" t="str">
        <f>HYPERLINK("https://pbs.twimg.com/profile_images/1647640771195990018/2Yrirt0X_normal.jpg")</f>
        <v>https://pbs.twimg.com/profile_images/1647640771195990018/2Yrirt0X_normal.jpg</v>
      </c>
      <c r="G126" s="63"/>
      <c r="H126" s="67"/>
      <c r="I126" s="68"/>
      <c r="J126" s="68"/>
      <c r="K126" s="67" t="s">
        <v>25060</v>
      </c>
      <c r="L126" s="71"/>
      <c r="M126" s="72"/>
      <c r="N126" s="72"/>
      <c r="O126" s="73"/>
      <c r="P126" s="74"/>
      <c r="Q126" s="74"/>
      <c r="R126" s="86"/>
      <c r="S126" s="86"/>
      <c r="T126" s="86"/>
      <c r="U126" s="86"/>
      <c r="V126" s="48"/>
      <c r="W126" s="48"/>
      <c r="X126" s="48"/>
      <c r="Y126" s="48"/>
      <c r="Z126" s="47"/>
      <c r="AA126" s="69">
        <v>126</v>
      </c>
      <c r="AB126" s="69"/>
      <c r="AC126" s="70"/>
      <c r="AD126" s="76" t="s">
        <v>21939</v>
      </c>
      <c r="AE126" s="81" t="s">
        <v>21096</v>
      </c>
      <c r="AF126" s="76">
        <v>0</v>
      </c>
      <c r="AG126" s="76">
        <v>15</v>
      </c>
      <c r="AH126" s="76">
        <v>2</v>
      </c>
      <c r="AI126" s="76">
        <v>0</v>
      </c>
      <c r="AJ126" s="76">
        <v>0</v>
      </c>
      <c r="AK126" s="76">
        <v>1</v>
      </c>
      <c r="AL126" s="76" t="b">
        <v>0</v>
      </c>
      <c r="AM126" s="78">
        <v>45032.693807870368</v>
      </c>
      <c r="AN126" s="76"/>
      <c r="AO126" s="76" t="s">
        <v>23453</v>
      </c>
      <c r="AP126" s="83" t="str">
        <f>HYPERLINK("https://t.co/FgNoVaRNtv")</f>
        <v>https://t.co/FgNoVaRNtv</v>
      </c>
      <c r="AQ126" s="83" t="str">
        <f>HYPERLINK("https://bio.site/anaempreendoraonline")</f>
        <v>https://bio.site/anaempreendoraonline</v>
      </c>
      <c r="AR126" s="76" t="s">
        <v>24315</v>
      </c>
      <c r="AS126" s="76"/>
      <c r="AT126" s="76"/>
      <c r="AU126" s="76"/>
      <c r="AV126" s="76"/>
      <c r="AW126" s="83" t="str">
        <f>HYPERLINK("https://t.co/FgNoVaRNtv")</f>
        <v>https://t.co/FgNoVaRNtv</v>
      </c>
      <c r="AX126" s="76" t="b">
        <v>0</v>
      </c>
      <c r="AY126" s="76"/>
      <c r="AZ126" s="76"/>
      <c r="BA126" s="76" t="b">
        <v>0</v>
      </c>
      <c r="BB126" s="76" t="b">
        <v>1</v>
      </c>
      <c r="BC126" s="76" t="b">
        <v>1</v>
      </c>
      <c r="BD126" s="76" t="b">
        <v>0</v>
      </c>
      <c r="BE126" s="76" t="b">
        <v>0</v>
      </c>
      <c r="BF126" s="76" t="b">
        <v>0</v>
      </c>
      <c r="BG126" s="76" t="b">
        <v>0</v>
      </c>
      <c r="BH126" s="83" t="str">
        <f>HYPERLINK("https://pbs.twimg.com/profile_banners/1647640650026819584/1681663637")</f>
        <v>https://pbs.twimg.com/profile_banners/1647640650026819584/1681663637</v>
      </c>
      <c r="BI126" s="76"/>
      <c r="BJ126" s="76" t="s">
        <v>24935</v>
      </c>
      <c r="BK126" s="76" t="b">
        <v>0</v>
      </c>
      <c r="BL126" s="76"/>
      <c r="BM126" s="76" t="s">
        <v>66</v>
      </c>
      <c r="BN126" s="76" t="s">
        <v>24937</v>
      </c>
      <c r="BO126" s="83" t="str">
        <f>HYPERLINK("https://twitter.com/anaempreen69261")</f>
        <v>https://twitter.com/anaempreen69261</v>
      </c>
      <c r="BP126" s="2"/>
    </row>
    <row r="127" spans="1:68" x14ac:dyDescent="0.25">
      <c r="A127" s="62" t="s">
        <v>343</v>
      </c>
      <c r="B127" s="63"/>
      <c r="C127" s="63"/>
      <c r="D127" s="64"/>
      <c r="E127" s="66"/>
      <c r="F127" s="102" t="str">
        <f>HYPERLINK("https://pbs.twimg.com/profile_images/1632836370493235201/ppRiu7QP_normal.jpg")</f>
        <v>https://pbs.twimg.com/profile_images/1632836370493235201/ppRiu7QP_normal.jpg</v>
      </c>
      <c r="G127" s="63"/>
      <c r="H127" s="67"/>
      <c r="I127" s="68"/>
      <c r="J127" s="68"/>
      <c r="K127" s="67" t="s">
        <v>25061</v>
      </c>
      <c r="L127" s="71"/>
      <c r="M127" s="72"/>
      <c r="N127" s="72"/>
      <c r="O127" s="73"/>
      <c r="P127" s="74"/>
      <c r="Q127" s="74"/>
      <c r="R127" s="86"/>
      <c r="S127" s="86"/>
      <c r="T127" s="86"/>
      <c r="U127" s="86"/>
      <c r="V127" s="48"/>
      <c r="W127" s="48"/>
      <c r="X127" s="48"/>
      <c r="Y127" s="48"/>
      <c r="Z127" s="47"/>
      <c r="AA127" s="69">
        <v>127</v>
      </c>
      <c r="AB127" s="69"/>
      <c r="AC127" s="70"/>
      <c r="AD127" s="76" t="s">
        <v>21940</v>
      </c>
      <c r="AE127" s="81" t="s">
        <v>21097</v>
      </c>
      <c r="AF127" s="76">
        <v>1</v>
      </c>
      <c r="AG127" s="76">
        <v>3</v>
      </c>
      <c r="AH127" s="76">
        <v>107</v>
      </c>
      <c r="AI127" s="76">
        <v>0</v>
      </c>
      <c r="AJ127" s="76">
        <v>6</v>
      </c>
      <c r="AK127" s="76">
        <v>12</v>
      </c>
      <c r="AL127" s="76" t="b">
        <v>0</v>
      </c>
      <c r="AM127" s="78">
        <v>44991.834652777776</v>
      </c>
      <c r="AN127" s="76"/>
      <c r="AO127" s="76" t="s">
        <v>23454</v>
      </c>
      <c r="AP127" s="83" t="str">
        <f>HYPERLINK("https://t.co/jFG1vps0hc")</f>
        <v>https://t.co/jFG1vps0hc</v>
      </c>
      <c r="AQ127" s="83" t="str">
        <f>HYPERLINK("https://linktr.ee/sucessospossiveis")</f>
        <v>https://linktr.ee/sucessospossiveis</v>
      </c>
      <c r="AR127" s="76" t="s">
        <v>24316</v>
      </c>
      <c r="AS127" s="76"/>
      <c r="AT127" s="76"/>
      <c r="AU127" s="76"/>
      <c r="AV127" s="76">
        <v>1.6393761714722199E+18</v>
      </c>
      <c r="AW127" s="83" t="str">
        <f>HYPERLINK("https://t.co/jFG1vps0hc")</f>
        <v>https://t.co/jFG1vps0hc</v>
      </c>
      <c r="AX127" s="76" t="b">
        <v>0</v>
      </c>
      <c r="AY127" s="76"/>
      <c r="AZ127" s="76"/>
      <c r="BA127" s="76" t="b">
        <v>0</v>
      </c>
      <c r="BB127" s="76" t="b">
        <v>1</v>
      </c>
      <c r="BC127" s="76" t="b">
        <v>1</v>
      </c>
      <c r="BD127" s="76" t="b">
        <v>0</v>
      </c>
      <c r="BE127" s="76" t="b">
        <v>0</v>
      </c>
      <c r="BF127" s="76" t="b">
        <v>0</v>
      </c>
      <c r="BG127" s="76" t="b">
        <v>0</v>
      </c>
      <c r="BH127" s="83" t="str">
        <f>HYPERLINK("https://pbs.twimg.com/profile_banners/1632833817596624898/1678133503")</f>
        <v>https://pbs.twimg.com/profile_banners/1632833817596624898/1678133503</v>
      </c>
      <c r="BI127" s="76"/>
      <c r="BJ127" s="76" t="s">
        <v>24935</v>
      </c>
      <c r="BK127" s="76" t="b">
        <v>0</v>
      </c>
      <c r="BL127" s="76"/>
      <c r="BM127" s="76" t="s">
        <v>66</v>
      </c>
      <c r="BN127" s="76" t="s">
        <v>24937</v>
      </c>
      <c r="BO127" s="83" t="str">
        <f>HYPERLINK("https://twitter.com/sucessopossivel")</f>
        <v>https://twitter.com/sucessopossivel</v>
      </c>
      <c r="BP127" s="2"/>
    </row>
    <row r="128" spans="1:68" x14ac:dyDescent="0.25">
      <c r="A128" s="62" t="s">
        <v>344</v>
      </c>
      <c r="B128" s="63"/>
      <c r="C128" s="63"/>
      <c r="D128" s="64"/>
      <c r="E128" s="66"/>
      <c r="F128" s="102" t="str">
        <f>HYPERLINK("https://pbs.twimg.com/profile_images/1441667323585183747/VeYIiaL5_normal.jpg")</f>
        <v>https://pbs.twimg.com/profile_images/1441667323585183747/VeYIiaL5_normal.jpg</v>
      </c>
      <c r="G128" s="63"/>
      <c r="H128" s="67"/>
      <c r="I128" s="68"/>
      <c r="J128" s="68"/>
      <c r="K128" s="67" t="s">
        <v>25062</v>
      </c>
      <c r="L128" s="71"/>
      <c r="M128" s="72"/>
      <c r="N128" s="72"/>
      <c r="O128" s="73"/>
      <c r="P128" s="74"/>
      <c r="Q128" s="74"/>
      <c r="R128" s="86"/>
      <c r="S128" s="86"/>
      <c r="T128" s="86"/>
      <c r="U128" s="86"/>
      <c r="V128" s="48"/>
      <c r="W128" s="48"/>
      <c r="X128" s="48"/>
      <c r="Y128" s="48"/>
      <c r="Z128" s="47"/>
      <c r="AA128" s="69">
        <v>128</v>
      </c>
      <c r="AB128" s="69"/>
      <c r="AC128" s="70"/>
      <c r="AD128" s="76" t="s">
        <v>21941</v>
      </c>
      <c r="AE128" s="81" t="s">
        <v>20907</v>
      </c>
      <c r="AF128" s="76">
        <v>2</v>
      </c>
      <c r="AG128" s="76">
        <v>136</v>
      </c>
      <c r="AH128" s="76">
        <v>30</v>
      </c>
      <c r="AI128" s="76">
        <v>0</v>
      </c>
      <c r="AJ128" s="76">
        <v>12</v>
      </c>
      <c r="AK128" s="76">
        <v>1</v>
      </c>
      <c r="AL128" s="76" t="b">
        <v>0</v>
      </c>
      <c r="AM128" s="78">
        <v>44464.308993055558</v>
      </c>
      <c r="AN128" s="76" t="s">
        <v>14034</v>
      </c>
      <c r="AO128" s="76" t="s">
        <v>23455</v>
      </c>
      <c r="AP128" s="76"/>
      <c r="AQ128" s="76"/>
      <c r="AR128" s="76"/>
      <c r="AS128" s="76"/>
      <c r="AT128" s="76"/>
      <c r="AU128" s="76"/>
      <c r="AV128" s="76"/>
      <c r="AW128" s="76"/>
      <c r="AX128" s="76" t="b">
        <v>0</v>
      </c>
      <c r="AY128" s="76"/>
      <c r="AZ128" s="76"/>
      <c r="BA128" s="76" t="b">
        <v>1</v>
      </c>
      <c r="BB128" s="76" t="b">
        <v>1</v>
      </c>
      <c r="BC128" s="76" t="b">
        <v>1</v>
      </c>
      <c r="BD128" s="76" t="b">
        <v>0</v>
      </c>
      <c r="BE128" s="76" t="b">
        <v>0</v>
      </c>
      <c r="BF128" s="76" t="b">
        <v>0</v>
      </c>
      <c r="BG128" s="76" t="b">
        <v>0</v>
      </c>
      <c r="BH128" s="76"/>
      <c r="BI128" s="76"/>
      <c r="BJ128" s="76" t="s">
        <v>24935</v>
      </c>
      <c r="BK128" s="76" t="b">
        <v>0</v>
      </c>
      <c r="BL128" s="76"/>
      <c r="BM128" s="76" t="s">
        <v>66</v>
      </c>
      <c r="BN128" s="76" t="s">
        <v>24937</v>
      </c>
      <c r="BO128" s="83" t="str">
        <f>HYPERLINK("https://twitter.com/papoproar88")</f>
        <v>https://twitter.com/papoproar88</v>
      </c>
      <c r="BP128" s="2"/>
    </row>
    <row r="129" spans="1:68" x14ac:dyDescent="0.25">
      <c r="A129" s="62" t="s">
        <v>345</v>
      </c>
      <c r="B129" s="63"/>
      <c r="C129" s="63"/>
      <c r="D129" s="64"/>
      <c r="E129" s="66"/>
      <c r="F129" s="102" t="str">
        <f>HYPERLINK("https://pbs.twimg.com/profile_images/1677553090826780672/8Yln4_GL_normal.jpg")</f>
        <v>https://pbs.twimg.com/profile_images/1677553090826780672/8Yln4_GL_normal.jpg</v>
      </c>
      <c r="G129" s="63"/>
      <c r="H129" s="67"/>
      <c r="I129" s="68"/>
      <c r="J129" s="68"/>
      <c r="K129" s="67" t="s">
        <v>25063</v>
      </c>
      <c r="L129" s="71"/>
      <c r="M129" s="72"/>
      <c r="N129" s="72"/>
      <c r="O129" s="73"/>
      <c r="P129" s="74"/>
      <c r="Q129" s="74"/>
      <c r="R129" s="86"/>
      <c r="S129" s="86"/>
      <c r="T129" s="86"/>
      <c r="U129" s="86"/>
      <c r="V129" s="48"/>
      <c r="W129" s="48"/>
      <c r="X129" s="48"/>
      <c r="Y129" s="48"/>
      <c r="Z129" s="47"/>
      <c r="AA129" s="69">
        <v>129</v>
      </c>
      <c r="AB129" s="69"/>
      <c r="AC129" s="70"/>
      <c r="AD129" s="76" t="s">
        <v>21942</v>
      </c>
      <c r="AE129" s="81" t="s">
        <v>21098</v>
      </c>
      <c r="AF129" s="76">
        <v>0</v>
      </c>
      <c r="AG129" s="76">
        <v>1</v>
      </c>
      <c r="AH129" s="76">
        <v>34</v>
      </c>
      <c r="AI129" s="76">
        <v>0</v>
      </c>
      <c r="AJ129" s="76">
        <v>8</v>
      </c>
      <c r="AK129" s="76">
        <v>34</v>
      </c>
      <c r="AL129" s="76" t="b">
        <v>0</v>
      </c>
      <c r="AM129" s="78">
        <v>45115.235671296294</v>
      </c>
      <c r="AN129" s="76"/>
      <c r="AO129" s="76"/>
      <c r="AP129" s="83" t="str">
        <f>HYPERLINK("https://t.co/DIsuXXVfkq")</f>
        <v>https://t.co/DIsuXXVfkq</v>
      </c>
      <c r="AQ129" s="83" t="str">
        <f>HYPERLINK("https://comunidadeoutropatamar.com.br")</f>
        <v>https://comunidadeoutropatamar.com.br</v>
      </c>
      <c r="AR129" s="76" t="s">
        <v>24317</v>
      </c>
      <c r="AS129" s="76"/>
      <c r="AT129" s="76"/>
      <c r="AU129" s="76"/>
      <c r="AV129" s="76"/>
      <c r="AW129" s="83" t="str">
        <f>HYPERLINK("https://t.co/DIsuXXVfkq")</f>
        <v>https://t.co/DIsuXXVfkq</v>
      </c>
      <c r="AX129" s="76" t="b">
        <v>0</v>
      </c>
      <c r="AY129" s="76"/>
      <c r="AZ129" s="76"/>
      <c r="BA129" s="76" t="b">
        <v>0</v>
      </c>
      <c r="BB129" s="76" t="b">
        <v>1</v>
      </c>
      <c r="BC129" s="76" t="b">
        <v>1</v>
      </c>
      <c r="BD129" s="76" t="b">
        <v>0</v>
      </c>
      <c r="BE129" s="76" t="b">
        <v>0</v>
      </c>
      <c r="BF129" s="76" t="b">
        <v>0</v>
      </c>
      <c r="BG129" s="76" t="b">
        <v>0</v>
      </c>
      <c r="BH129" s="83" t="str">
        <f>HYPERLINK("https://pbs.twimg.com/profile_banners/1677552897536532480/1688934425")</f>
        <v>https://pbs.twimg.com/profile_banners/1677552897536532480/1688934425</v>
      </c>
      <c r="BI129" s="76"/>
      <c r="BJ129" s="76" t="s">
        <v>24935</v>
      </c>
      <c r="BK129" s="76" t="b">
        <v>0</v>
      </c>
      <c r="BL129" s="76"/>
      <c r="BM129" s="76" t="s">
        <v>66</v>
      </c>
      <c r="BN129" s="76" t="s">
        <v>24937</v>
      </c>
      <c r="BO129" s="83" t="str">
        <f>HYPERLINK("https://twitter.com/outropatamar200")</f>
        <v>https://twitter.com/outropatamar200</v>
      </c>
      <c r="BP129" s="2"/>
    </row>
    <row r="130" spans="1:68" x14ac:dyDescent="0.25">
      <c r="A130" s="62" t="s">
        <v>346</v>
      </c>
      <c r="B130" s="63"/>
      <c r="C130" s="63"/>
      <c r="D130" s="64"/>
      <c r="E130" s="66"/>
      <c r="F130" s="102" t="str">
        <f>HYPERLINK("https://pbs.twimg.com/profile_images/1623033353866776598/QoMk0Jtk_normal.jpg")</f>
        <v>https://pbs.twimg.com/profile_images/1623033353866776598/QoMk0Jtk_normal.jpg</v>
      </c>
      <c r="G130" s="63"/>
      <c r="H130" s="67"/>
      <c r="I130" s="68"/>
      <c r="J130" s="68"/>
      <c r="K130" s="67" t="s">
        <v>25064</v>
      </c>
      <c r="L130" s="71"/>
      <c r="M130" s="72"/>
      <c r="N130" s="72"/>
      <c r="O130" s="73"/>
      <c r="P130" s="74"/>
      <c r="Q130" s="74"/>
      <c r="R130" s="86"/>
      <c r="S130" s="86"/>
      <c r="T130" s="86"/>
      <c r="U130" s="86"/>
      <c r="V130" s="48"/>
      <c r="W130" s="48"/>
      <c r="X130" s="48"/>
      <c r="Y130" s="48"/>
      <c r="Z130" s="47"/>
      <c r="AA130" s="69">
        <v>130</v>
      </c>
      <c r="AB130" s="69"/>
      <c r="AC130" s="70"/>
      <c r="AD130" s="76" t="s">
        <v>21943</v>
      </c>
      <c r="AE130" s="81" t="s">
        <v>21099</v>
      </c>
      <c r="AF130" s="76">
        <v>18</v>
      </c>
      <c r="AG130" s="76">
        <v>24</v>
      </c>
      <c r="AH130" s="76">
        <v>84</v>
      </c>
      <c r="AI130" s="76">
        <v>1</v>
      </c>
      <c r="AJ130" s="76">
        <v>0</v>
      </c>
      <c r="AK130" s="76">
        <v>72</v>
      </c>
      <c r="AL130" s="76" t="b">
        <v>0</v>
      </c>
      <c r="AM130" s="78">
        <v>44863.950972222221</v>
      </c>
      <c r="AN130" s="76"/>
      <c r="AO130" s="76" t="s">
        <v>23456</v>
      </c>
      <c r="AP130" s="76"/>
      <c r="AQ130" s="76"/>
      <c r="AR130" s="76"/>
      <c r="AS130" s="76"/>
      <c r="AT130" s="76"/>
      <c r="AU130" s="76"/>
      <c r="AV130" s="76"/>
      <c r="AW130" s="76"/>
      <c r="AX130" s="76" t="b">
        <v>0</v>
      </c>
      <c r="AY130" s="76"/>
      <c r="AZ130" s="76"/>
      <c r="BA130" s="76" t="b">
        <v>0</v>
      </c>
      <c r="BB130" s="76" t="b">
        <v>1</v>
      </c>
      <c r="BC130" s="76" t="b">
        <v>1</v>
      </c>
      <c r="BD130" s="76" t="b">
        <v>0</v>
      </c>
      <c r="BE130" s="76" t="b">
        <v>0</v>
      </c>
      <c r="BF130" s="76" t="b">
        <v>0</v>
      </c>
      <c r="BG130" s="76" t="b">
        <v>0</v>
      </c>
      <c r="BH130" s="83" t="str">
        <f>HYPERLINK("https://pbs.twimg.com/profile_banners/1586490366576005120/1667490152")</f>
        <v>https://pbs.twimg.com/profile_banners/1586490366576005120/1667490152</v>
      </c>
      <c r="BI130" s="76"/>
      <c r="BJ130" s="76" t="s">
        <v>24935</v>
      </c>
      <c r="BK130" s="76" t="b">
        <v>0</v>
      </c>
      <c r="BL130" s="76"/>
      <c r="BM130" s="76" t="s">
        <v>66</v>
      </c>
      <c r="BN130" s="76" t="s">
        <v>24937</v>
      </c>
      <c r="BO130" s="83" t="str">
        <f>HYPERLINK("https://twitter.com/seutempoemrenda")</f>
        <v>https://twitter.com/seutempoemrenda</v>
      </c>
      <c r="BP130" s="2"/>
    </row>
    <row r="131" spans="1:68" x14ac:dyDescent="0.25">
      <c r="A131" s="62" t="s">
        <v>347</v>
      </c>
      <c r="B131" s="63"/>
      <c r="C131" s="63"/>
      <c r="D131" s="64"/>
      <c r="E131" s="66"/>
      <c r="F131" s="102" t="str">
        <f>HYPERLINK("https://pbs.twimg.com/profile_images/1664658398649126912/pUmgEACt_normal.jpg")</f>
        <v>https://pbs.twimg.com/profile_images/1664658398649126912/pUmgEACt_normal.jpg</v>
      </c>
      <c r="G131" s="63"/>
      <c r="H131" s="67"/>
      <c r="I131" s="68"/>
      <c r="J131" s="68"/>
      <c r="K131" s="67" t="s">
        <v>25065</v>
      </c>
      <c r="L131" s="71"/>
      <c r="M131" s="72"/>
      <c r="N131" s="72"/>
      <c r="O131" s="73"/>
      <c r="P131" s="74"/>
      <c r="Q131" s="74"/>
      <c r="R131" s="86"/>
      <c r="S131" s="86"/>
      <c r="T131" s="86"/>
      <c r="U131" s="86"/>
      <c r="V131" s="48"/>
      <c r="W131" s="48"/>
      <c r="X131" s="48"/>
      <c r="Y131" s="48"/>
      <c r="Z131" s="47"/>
      <c r="AA131" s="69">
        <v>131</v>
      </c>
      <c r="AB131" s="69"/>
      <c r="AC131" s="70"/>
      <c r="AD131" s="76" t="s">
        <v>21944</v>
      </c>
      <c r="AE131" s="81" t="s">
        <v>21100</v>
      </c>
      <c r="AF131" s="76">
        <v>0</v>
      </c>
      <c r="AG131" s="76">
        <v>6</v>
      </c>
      <c r="AH131" s="76">
        <v>2</v>
      </c>
      <c r="AI131" s="76">
        <v>0</v>
      </c>
      <c r="AJ131" s="76">
        <v>0</v>
      </c>
      <c r="AK131" s="76">
        <v>1</v>
      </c>
      <c r="AL131" s="76" t="b">
        <v>0</v>
      </c>
      <c r="AM131" s="78">
        <v>45067.201550925929</v>
      </c>
      <c r="AN131" s="76" t="s">
        <v>23113</v>
      </c>
      <c r="AO131" s="76" t="s">
        <v>23457</v>
      </c>
      <c r="AP131" s="76"/>
      <c r="AQ131" s="76"/>
      <c r="AR131" s="76"/>
      <c r="AS131" s="76"/>
      <c r="AT131" s="76"/>
      <c r="AU131" s="76"/>
      <c r="AV131" s="76"/>
      <c r="AW131" s="76"/>
      <c r="AX131" s="76" t="b">
        <v>0</v>
      </c>
      <c r="AY131" s="76"/>
      <c r="AZ131" s="76"/>
      <c r="BA131" s="76" t="b">
        <v>0</v>
      </c>
      <c r="BB131" s="76" t="b">
        <v>1</v>
      </c>
      <c r="BC131" s="76" t="b">
        <v>1</v>
      </c>
      <c r="BD131" s="76" t="b">
        <v>0</v>
      </c>
      <c r="BE131" s="76" t="b">
        <v>0</v>
      </c>
      <c r="BF131" s="76" t="b">
        <v>0</v>
      </c>
      <c r="BG131" s="76" t="b">
        <v>0</v>
      </c>
      <c r="BH131" s="83" t="str">
        <f>HYPERLINK("https://pbs.twimg.com/profile_banners/1660145812473802752/1685720476")</f>
        <v>https://pbs.twimg.com/profile_banners/1660145812473802752/1685720476</v>
      </c>
      <c r="BI131" s="76"/>
      <c r="BJ131" s="76" t="s">
        <v>24935</v>
      </c>
      <c r="BK131" s="76" t="b">
        <v>0</v>
      </c>
      <c r="BL131" s="76"/>
      <c r="BM131" s="76" t="s">
        <v>66</v>
      </c>
      <c r="BN131" s="76" t="s">
        <v>24937</v>
      </c>
      <c r="BO131" s="83" t="str">
        <f>HYPERLINK("https://twitter.com/bzslots")</f>
        <v>https://twitter.com/bzslots</v>
      </c>
      <c r="BP131" s="2"/>
    </row>
    <row r="132" spans="1:68" x14ac:dyDescent="0.25">
      <c r="A132" s="62" t="s">
        <v>348</v>
      </c>
      <c r="B132" s="63"/>
      <c r="C132" s="63"/>
      <c r="D132" s="64"/>
      <c r="E132" s="66"/>
      <c r="F132" s="102" t="str">
        <f>HYPERLINK("https://pbs.twimg.com/profile_images/1629669325375250433/spKZKY7J_normal.jpg")</f>
        <v>https://pbs.twimg.com/profile_images/1629669325375250433/spKZKY7J_normal.jpg</v>
      </c>
      <c r="G132" s="63"/>
      <c r="H132" s="67"/>
      <c r="I132" s="68"/>
      <c r="J132" s="68"/>
      <c r="K132" s="67" t="s">
        <v>25066</v>
      </c>
      <c r="L132" s="71"/>
      <c r="M132" s="72"/>
      <c r="N132" s="72"/>
      <c r="O132" s="73"/>
      <c r="P132" s="74"/>
      <c r="Q132" s="74"/>
      <c r="R132" s="86"/>
      <c r="S132" s="86"/>
      <c r="T132" s="86"/>
      <c r="U132" s="86"/>
      <c r="V132" s="48"/>
      <c r="W132" s="48"/>
      <c r="X132" s="48"/>
      <c r="Y132" s="48"/>
      <c r="Z132" s="47"/>
      <c r="AA132" s="69">
        <v>132</v>
      </c>
      <c r="AB132" s="69"/>
      <c r="AC132" s="70"/>
      <c r="AD132" s="76" t="s">
        <v>21945</v>
      </c>
      <c r="AE132" s="81" t="s">
        <v>20908</v>
      </c>
      <c r="AF132" s="76">
        <v>134</v>
      </c>
      <c r="AG132" s="76">
        <v>14</v>
      </c>
      <c r="AH132" s="76">
        <v>1209</v>
      </c>
      <c r="AI132" s="76">
        <v>1</v>
      </c>
      <c r="AJ132" s="76">
        <v>2055</v>
      </c>
      <c r="AK132" s="76">
        <v>29</v>
      </c>
      <c r="AL132" s="76" t="b">
        <v>0</v>
      </c>
      <c r="AM132" s="78">
        <v>42350.818784722222</v>
      </c>
      <c r="AN132" s="76" t="s">
        <v>14040</v>
      </c>
      <c r="AO132" s="76" t="s">
        <v>23458</v>
      </c>
      <c r="AP132" s="76"/>
      <c r="AQ132" s="76"/>
      <c r="AR132" s="76"/>
      <c r="AS132" s="76"/>
      <c r="AT132" s="76"/>
      <c r="AU132" s="76"/>
      <c r="AV132" s="76">
        <v>1.22227811640145E+18</v>
      </c>
      <c r="AW132" s="76"/>
      <c r="AX132" s="76" t="b">
        <v>0</v>
      </c>
      <c r="AY132" s="76"/>
      <c r="AZ132" s="76"/>
      <c r="BA132" s="76" t="b">
        <v>0</v>
      </c>
      <c r="BB132" s="76" t="b">
        <v>1</v>
      </c>
      <c r="BC132" s="76" t="b">
        <v>1</v>
      </c>
      <c r="BD132" s="76" t="b">
        <v>0</v>
      </c>
      <c r="BE132" s="76" t="b">
        <v>0</v>
      </c>
      <c r="BF132" s="76" t="b">
        <v>0</v>
      </c>
      <c r="BG132" s="76" t="b">
        <v>0</v>
      </c>
      <c r="BH132" s="83" t="str">
        <f>HYPERLINK("https://pbs.twimg.com/profile_banners/4462516769/1677378420")</f>
        <v>https://pbs.twimg.com/profile_banners/4462516769/1677378420</v>
      </c>
      <c r="BI132" s="76"/>
      <c r="BJ132" s="76" t="s">
        <v>24935</v>
      </c>
      <c r="BK132" s="76" t="b">
        <v>0</v>
      </c>
      <c r="BL132" s="76"/>
      <c r="BM132" s="76" t="s">
        <v>66</v>
      </c>
      <c r="BN132" s="76" t="s">
        <v>24937</v>
      </c>
      <c r="BO132" s="83" t="str">
        <f>HYPERLINK("https://twitter.com/nicolyboss")</f>
        <v>https://twitter.com/nicolyboss</v>
      </c>
      <c r="BP132" s="2"/>
    </row>
    <row r="133" spans="1:68" x14ac:dyDescent="0.25">
      <c r="A133" s="62" t="s">
        <v>349</v>
      </c>
      <c r="B133" s="63"/>
      <c r="C133" s="63"/>
      <c r="D133" s="64"/>
      <c r="E133" s="66"/>
      <c r="F133" s="102" t="str">
        <f>HYPERLINK("https://pbs.twimg.com/profile_images/1630375309932412928/QhJN1N3o_normal.png")</f>
        <v>https://pbs.twimg.com/profile_images/1630375309932412928/QhJN1N3o_normal.png</v>
      </c>
      <c r="G133" s="63"/>
      <c r="H133" s="67"/>
      <c r="I133" s="68"/>
      <c r="J133" s="68"/>
      <c r="K133" s="67" t="s">
        <v>25067</v>
      </c>
      <c r="L133" s="71"/>
      <c r="M133" s="72"/>
      <c r="N133" s="72"/>
      <c r="O133" s="73"/>
      <c r="P133" s="74"/>
      <c r="Q133" s="74"/>
      <c r="R133" s="86"/>
      <c r="S133" s="86"/>
      <c r="T133" s="86"/>
      <c r="U133" s="86"/>
      <c r="V133" s="48"/>
      <c r="W133" s="48"/>
      <c r="X133" s="48"/>
      <c r="Y133" s="48"/>
      <c r="Z133" s="47"/>
      <c r="AA133" s="69">
        <v>133</v>
      </c>
      <c r="AB133" s="69"/>
      <c r="AC133" s="70"/>
      <c r="AD133" s="76" t="s">
        <v>21946</v>
      </c>
      <c r="AE133" s="81" t="s">
        <v>21101</v>
      </c>
      <c r="AF133" s="76">
        <v>1</v>
      </c>
      <c r="AG133" s="76">
        <v>3</v>
      </c>
      <c r="AH133" s="76">
        <v>10</v>
      </c>
      <c r="AI133" s="76">
        <v>0</v>
      </c>
      <c r="AJ133" s="76">
        <v>0</v>
      </c>
      <c r="AK133" s="76">
        <v>8</v>
      </c>
      <c r="AL133" s="76" t="b">
        <v>0</v>
      </c>
      <c r="AM133" s="78">
        <v>44985.050219907411</v>
      </c>
      <c r="AN133" s="76"/>
      <c r="AO133" s="76"/>
      <c r="AP133" s="76"/>
      <c r="AQ133" s="76"/>
      <c r="AR133" s="76"/>
      <c r="AS133" s="76"/>
      <c r="AT133" s="76"/>
      <c r="AU133" s="76"/>
      <c r="AV133" s="76"/>
      <c r="AW133" s="76"/>
      <c r="AX133" s="76" t="b">
        <v>0</v>
      </c>
      <c r="AY133" s="76"/>
      <c r="AZ133" s="76"/>
      <c r="BA133" s="76" t="b">
        <v>0</v>
      </c>
      <c r="BB133" s="76" t="b">
        <v>1</v>
      </c>
      <c r="BC133" s="76" t="b">
        <v>1</v>
      </c>
      <c r="BD133" s="76" t="b">
        <v>0</v>
      </c>
      <c r="BE133" s="76" t="b">
        <v>0</v>
      </c>
      <c r="BF133" s="76" t="b">
        <v>0</v>
      </c>
      <c r="BG133" s="76" t="b">
        <v>0</v>
      </c>
      <c r="BH133" s="76"/>
      <c r="BI133" s="76"/>
      <c r="BJ133" s="76" t="s">
        <v>24935</v>
      </c>
      <c r="BK133" s="76" t="b">
        <v>0</v>
      </c>
      <c r="BL133" s="76"/>
      <c r="BM133" s="76" t="s">
        <v>66</v>
      </c>
      <c r="BN133" s="76" t="s">
        <v>24937</v>
      </c>
      <c r="BO133" s="83" t="str">
        <f>HYPERLINK("https://twitter.com/jorgestolfihbl")</f>
        <v>https://twitter.com/jorgestolfihbl</v>
      </c>
      <c r="BP133" s="2"/>
    </row>
    <row r="134" spans="1:68" x14ac:dyDescent="0.25">
      <c r="A134" s="62" t="s">
        <v>350</v>
      </c>
      <c r="B134" s="63"/>
      <c r="C134" s="63"/>
      <c r="D134" s="64"/>
      <c r="E134" s="66"/>
      <c r="F134" s="102" t="str">
        <f>HYPERLINK("https://pbs.twimg.com/profile_images/1669730564826443777/2xDzl1F8_normal.jpg")</f>
        <v>https://pbs.twimg.com/profile_images/1669730564826443777/2xDzl1F8_normal.jpg</v>
      </c>
      <c r="G134" s="63"/>
      <c r="H134" s="67"/>
      <c r="I134" s="68"/>
      <c r="J134" s="68"/>
      <c r="K134" s="67" t="s">
        <v>25068</v>
      </c>
      <c r="L134" s="71"/>
      <c r="M134" s="72"/>
      <c r="N134" s="72"/>
      <c r="O134" s="73"/>
      <c r="P134" s="74"/>
      <c r="Q134" s="74"/>
      <c r="R134" s="86"/>
      <c r="S134" s="86"/>
      <c r="T134" s="86"/>
      <c r="U134" s="86"/>
      <c r="V134" s="48"/>
      <c r="W134" s="48"/>
      <c r="X134" s="48"/>
      <c r="Y134" s="48"/>
      <c r="Z134" s="47"/>
      <c r="AA134" s="69">
        <v>134</v>
      </c>
      <c r="AB134" s="69"/>
      <c r="AC134" s="70"/>
      <c r="AD134" s="76" t="s">
        <v>21947</v>
      </c>
      <c r="AE134" s="81" t="s">
        <v>21102</v>
      </c>
      <c r="AF134" s="76">
        <v>2</v>
      </c>
      <c r="AG134" s="76">
        <v>31</v>
      </c>
      <c r="AH134" s="76">
        <v>5</v>
      </c>
      <c r="AI134" s="76">
        <v>0</v>
      </c>
      <c r="AJ134" s="76">
        <v>6</v>
      </c>
      <c r="AK134" s="76">
        <v>1</v>
      </c>
      <c r="AL134" s="76" t="b">
        <v>0</v>
      </c>
      <c r="AM134" s="78">
        <v>45021.057673611111</v>
      </c>
      <c r="AN134" s="76"/>
      <c r="AO134" s="76" t="s">
        <v>23459</v>
      </c>
      <c r="AP134" s="76"/>
      <c r="AQ134" s="76"/>
      <c r="AR134" s="76"/>
      <c r="AS134" s="76"/>
      <c r="AT134" s="76"/>
      <c r="AU134" s="76"/>
      <c r="AV134" s="76">
        <v>1.6434293737336801E+18</v>
      </c>
      <c r="AW134" s="76"/>
      <c r="AX134" s="76" t="b">
        <v>0</v>
      </c>
      <c r="AY134" s="76"/>
      <c r="AZ134" s="76"/>
      <c r="BA134" s="76" t="b">
        <v>0</v>
      </c>
      <c r="BB134" s="76" t="b">
        <v>1</v>
      </c>
      <c r="BC134" s="76" t="b">
        <v>1</v>
      </c>
      <c r="BD134" s="76" t="b">
        <v>0</v>
      </c>
      <c r="BE134" s="76" t="b">
        <v>0</v>
      </c>
      <c r="BF134" s="76" t="b">
        <v>0</v>
      </c>
      <c r="BG134" s="76" t="b">
        <v>0</v>
      </c>
      <c r="BH134" s="76"/>
      <c r="BI134" s="76"/>
      <c r="BJ134" s="76" t="s">
        <v>24935</v>
      </c>
      <c r="BK134" s="76" t="b">
        <v>0</v>
      </c>
      <c r="BL134" s="76"/>
      <c r="BM134" s="76" t="s">
        <v>66</v>
      </c>
      <c r="BN134" s="76" t="s">
        <v>24937</v>
      </c>
      <c r="BO134" s="83" t="str">
        <f>HYPERLINK("https://twitter.com/iamclaraslots")</f>
        <v>https://twitter.com/iamclaraslots</v>
      </c>
      <c r="BP134" s="2"/>
    </row>
    <row r="135" spans="1:68" x14ac:dyDescent="0.25">
      <c r="A135" s="62" t="s">
        <v>351</v>
      </c>
      <c r="B135" s="63"/>
      <c r="C135" s="63"/>
      <c r="D135" s="64"/>
      <c r="E135" s="66"/>
      <c r="F135" s="102" t="str">
        <f>HYPERLINK("https://pbs.twimg.com/profile_images/1494499399006834689/XZ2tgSkn_normal.jpg")</f>
        <v>https://pbs.twimg.com/profile_images/1494499399006834689/XZ2tgSkn_normal.jpg</v>
      </c>
      <c r="G135" s="63"/>
      <c r="H135" s="67"/>
      <c r="I135" s="68"/>
      <c r="J135" s="68"/>
      <c r="K135" s="67" t="s">
        <v>25069</v>
      </c>
      <c r="L135" s="71"/>
      <c r="M135" s="72"/>
      <c r="N135" s="72"/>
      <c r="O135" s="73"/>
      <c r="P135" s="74"/>
      <c r="Q135" s="74"/>
      <c r="R135" s="86"/>
      <c r="S135" s="86"/>
      <c r="T135" s="86"/>
      <c r="U135" s="86"/>
      <c r="V135" s="48"/>
      <c r="W135" s="48"/>
      <c r="X135" s="48"/>
      <c r="Y135" s="48"/>
      <c r="Z135" s="47"/>
      <c r="AA135" s="69">
        <v>135</v>
      </c>
      <c r="AB135" s="69"/>
      <c r="AC135" s="70"/>
      <c r="AD135" s="76" t="s">
        <v>21948</v>
      </c>
      <c r="AE135" s="81" t="s">
        <v>21103</v>
      </c>
      <c r="AF135" s="76">
        <v>46</v>
      </c>
      <c r="AG135" s="76">
        <v>57</v>
      </c>
      <c r="AH135" s="76">
        <v>696</v>
      </c>
      <c r="AI135" s="76">
        <v>0</v>
      </c>
      <c r="AJ135" s="76">
        <v>201</v>
      </c>
      <c r="AK135" s="76">
        <v>268</v>
      </c>
      <c r="AL135" s="76" t="b">
        <v>0</v>
      </c>
      <c r="AM135" s="78">
        <v>44610.103761574072</v>
      </c>
      <c r="AN135" s="76"/>
      <c r="AO135" s="76" t="s">
        <v>23460</v>
      </c>
      <c r="AP135" s="83" t="str">
        <f>HYPERLINK("https://t.co/XeQj1USbkB")</f>
        <v>https://t.co/XeQj1USbkB</v>
      </c>
      <c r="AQ135" s="83" t="str">
        <f>HYPERLINK("https://shope.ee/1VRz4RjJLM?share_channel_code=1")</f>
        <v>https://shope.ee/1VRz4RjJLM?share_channel_code=1</v>
      </c>
      <c r="AR135" s="76" t="s">
        <v>24318</v>
      </c>
      <c r="AS135" s="76"/>
      <c r="AT135" s="76"/>
      <c r="AU135" s="76"/>
      <c r="AV135" s="76"/>
      <c r="AW135" s="83" t="str">
        <f>HYPERLINK("https://t.co/XeQj1USbkB")</f>
        <v>https://t.co/XeQj1USbkB</v>
      </c>
      <c r="AX135" s="76" t="b">
        <v>0</v>
      </c>
      <c r="AY135" s="76"/>
      <c r="AZ135" s="76"/>
      <c r="BA135" s="76" t="b">
        <v>0</v>
      </c>
      <c r="BB135" s="76" t="b">
        <v>1</v>
      </c>
      <c r="BC135" s="76" t="b">
        <v>1</v>
      </c>
      <c r="BD135" s="76" t="b">
        <v>0</v>
      </c>
      <c r="BE135" s="76" t="b">
        <v>1</v>
      </c>
      <c r="BF135" s="76" t="b">
        <v>0</v>
      </c>
      <c r="BG135" s="76" t="b">
        <v>0</v>
      </c>
      <c r="BH135" s="76"/>
      <c r="BI135" s="76"/>
      <c r="BJ135" s="76" t="s">
        <v>24935</v>
      </c>
      <c r="BK135" s="76" t="b">
        <v>0</v>
      </c>
      <c r="BL135" s="76"/>
      <c r="BM135" s="76" t="s">
        <v>66</v>
      </c>
      <c r="BN135" s="76" t="s">
        <v>24937</v>
      </c>
      <c r="BO135" s="83" t="str">
        <f>HYPERLINK("https://twitter.com/mairiju")</f>
        <v>https://twitter.com/mairiju</v>
      </c>
      <c r="BP135" s="2"/>
    </row>
    <row r="136" spans="1:68" x14ac:dyDescent="0.25">
      <c r="A136" s="62" t="s">
        <v>352</v>
      </c>
      <c r="B136" s="63"/>
      <c r="C136" s="63"/>
      <c r="D136" s="64"/>
      <c r="E136" s="66"/>
      <c r="F136" s="102" t="str">
        <f>HYPERLINK("https://pbs.twimg.com/profile_images/1623493467795075072/qk6OKysT_normal.jpg")</f>
        <v>https://pbs.twimg.com/profile_images/1623493467795075072/qk6OKysT_normal.jpg</v>
      </c>
      <c r="G136" s="63"/>
      <c r="H136" s="67"/>
      <c r="I136" s="68"/>
      <c r="J136" s="68"/>
      <c r="K136" s="67" t="s">
        <v>25070</v>
      </c>
      <c r="L136" s="71"/>
      <c r="M136" s="72"/>
      <c r="N136" s="72"/>
      <c r="O136" s="73"/>
      <c r="P136" s="74"/>
      <c r="Q136" s="74"/>
      <c r="R136" s="86"/>
      <c r="S136" s="86"/>
      <c r="T136" s="86"/>
      <c r="U136" s="86"/>
      <c r="V136" s="48"/>
      <c r="W136" s="48"/>
      <c r="X136" s="48"/>
      <c r="Y136" s="48"/>
      <c r="Z136" s="47"/>
      <c r="AA136" s="69">
        <v>136</v>
      </c>
      <c r="AB136" s="69"/>
      <c r="AC136" s="70"/>
      <c r="AD136" s="76" t="s">
        <v>21949</v>
      </c>
      <c r="AE136" s="81" t="s">
        <v>22884</v>
      </c>
      <c r="AF136" s="76">
        <v>24</v>
      </c>
      <c r="AG136" s="76">
        <v>9</v>
      </c>
      <c r="AH136" s="76">
        <v>147</v>
      </c>
      <c r="AI136" s="76">
        <v>0</v>
      </c>
      <c r="AJ136" s="76">
        <v>395</v>
      </c>
      <c r="AK136" s="76">
        <v>10</v>
      </c>
      <c r="AL136" s="76" t="b">
        <v>0</v>
      </c>
      <c r="AM136" s="78">
        <v>41945.705601851849</v>
      </c>
      <c r="AN136" s="76" t="s">
        <v>14033</v>
      </c>
      <c r="AO136" s="76" t="s">
        <v>23461</v>
      </c>
      <c r="AP136" s="76"/>
      <c r="AQ136" s="76"/>
      <c r="AR136" s="76"/>
      <c r="AS136" s="76"/>
      <c r="AT136" s="76"/>
      <c r="AU136" s="76"/>
      <c r="AV136" s="76"/>
      <c r="AW136" s="76"/>
      <c r="AX136" s="76" t="b">
        <v>0</v>
      </c>
      <c r="AY136" s="76"/>
      <c r="AZ136" s="76"/>
      <c r="BA136" s="76" t="b">
        <v>0</v>
      </c>
      <c r="BB136" s="76" t="b">
        <v>0</v>
      </c>
      <c r="BC136" s="76" t="b">
        <v>1</v>
      </c>
      <c r="BD136" s="76" t="b">
        <v>0</v>
      </c>
      <c r="BE136" s="76" t="b">
        <v>1</v>
      </c>
      <c r="BF136" s="76" t="b">
        <v>0</v>
      </c>
      <c r="BG136" s="76" t="b">
        <v>0</v>
      </c>
      <c r="BH136" s="83" t="str">
        <f>HYPERLINK("https://pbs.twimg.com/profile_banners/2857158742/1563812766")</f>
        <v>https://pbs.twimg.com/profile_banners/2857158742/1563812766</v>
      </c>
      <c r="BI136" s="76"/>
      <c r="BJ136" s="76" t="s">
        <v>24935</v>
      </c>
      <c r="BK136" s="76" t="b">
        <v>0</v>
      </c>
      <c r="BL136" s="76"/>
      <c r="BM136" s="76" t="s">
        <v>66</v>
      </c>
      <c r="BN136" s="76" t="s">
        <v>24937</v>
      </c>
      <c r="BO136" s="83" t="str">
        <f>HYPERLINK("https://twitter.com/joh_smoke_weed")</f>
        <v>https://twitter.com/joh_smoke_weed</v>
      </c>
      <c r="BP136" s="2"/>
    </row>
    <row r="137" spans="1:68" x14ac:dyDescent="0.25">
      <c r="A137" s="62" t="s">
        <v>353</v>
      </c>
      <c r="B137" s="63"/>
      <c r="C137" s="63"/>
      <c r="D137" s="64"/>
      <c r="E137" s="66"/>
      <c r="F137" s="102" t="str">
        <f>HYPERLINK("https://pbs.twimg.com/profile_images/1676661752065413127/ia_LU5P7_normal.jpg")</f>
        <v>https://pbs.twimg.com/profile_images/1676661752065413127/ia_LU5P7_normal.jpg</v>
      </c>
      <c r="G137" s="63"/>
      <c r="H137" s="67"/>
      <c r="I137" s="68"/>
      <c r="J137" s="68"/>
      <c r="K137" s="67" t="s">
        <v>25071</v>
      </c>
      <c r="L137" s="71"/>
      <c r="M137" s="72"/>
      <c r="N137" s="72"/>
      <c r="O137" s="73"/>
      <c r="P137" s="74"/>
      <c r="Q137" s="74"/>
      <c r="R137" s="86"/>
      <c r="S137" s="86"/>
      <c r="T137" s="86"/>
      <c r="U137" s="86"/>
      <c r="V137" s="48"/>
      <c r="W137" s="48"/>
      <c r="X137" s="48"/>
      <c r="Y137" s="48"/>
      <c r="Z137" s="47"/>
      <c r="AA137" s="69">
        <v>137</v>
      </c>
      <c r="AB137" s="69"/>
      <c r="AC137" s="70"/>
      <c r="AD137" s="76" t="s">
        <v>21950</v>
      </c>
      <c r="AE137" s="81" t="s">
        <v>21104</v>
      </c>
      <c r="AF137" s="76">
        <v>2</v>
      </c>
      <c r="AG137" s="76">
        <v>1</v>
      </c>
      <c r="AH137" s="76">
        <v>12</v>
      </c>
      <c r="AI137" s="76">
        <v>1</v>
      </c>
      <c r="AJ137" s="76">
        <v>4</v>
      </c>
      <c r="AK137" s="76">
        <v>8</v>
      </c>
      <c r="AL137" s="76" t="b">
        <v>0</v>
      </c>
      <c r="AM137" s="78">
        <v>44992.478668981479</v>
      </c>
      <c r="AN137" s="76"/>
      <c r="AO137" s="76" t="s">
        <v>23462</v>
      </c>
      <c r="AP137" s="76"/>
      <c r="AQ137" s="76"/>
      <c r="AR137" s="76"/>
      <c r="AS137" s="76"/>
      <c r="AT137" s="76"/>
      <c r="AU137" s="76"/>
      <c r="AV137" s="76">
        <v>1.63323481289825E+18</v>
      </c>
      <c r="AW137" s="76"/>
      <c r="AX137" s="76" t="b">
        <v>0</v>
      </c>
      <c r="AY137" s="76"/>
      <c r="AZ137" s="76"/>
      <c r="BA137" s="76" t="b">
        <v>0</v>
      </c>
      <c r="BB137" s="76" t="b">
        <v>1</v>
      </c>
      <c r="BC137" s="76" t="b">
        <v>1</v>
      </c>
      <c r="BD137" s="76" t="b">
        <v>0</v>
      </c>
      <c r="BE137" s="76" t="b">
        <v>0</v>
      </c>
      <c r="BF137" s="76" t="b">
        <v>0</v>
      </c>
      <c r="BG137" s="76" t="b">
        <v>0</v>
      </c>
      <c r="BH137" s="76"/>
      <c r="BI137" s="76"/>
      <c r="BJ137" s="76" t="s">
        <v>24935</v>
      </c>
      <c r="BK137" s="76" t="b">
        <v>0</v>
      </c>
      <c r="BL137" s="76"/>
      <c r="BM137" s="76" t="s">
        <v>66</v>
      </c>
      <c r="BN137" s="76" t="s">
        <v>24937</v>
      </c>
      <c r="BO137" s="83" t="str">
        <f>HYPERLINK("https://twitter.com/mdgtips")</f>
        <v>https://twitter.com/mdgtips</v>
      </c>
      <c r="BP137" s="2"/>
    </row>
    <row r="138" spans="1:68" x14ac:dyDescent="0.25">
      <c r="A138" s="62" t="s">
        <v>354</v>
      </c>
      <c r="B138" s="63"/>
      <c r="C138" s="63"/>
      <c r="D138" s="64"/>
      <c r="E138" s="66"/>
      <c r="F138" s="102" t="str">
        <f>HYPERLINK("https://pbs.twimg.com/profile_images/970483405937930240/T7s1_v-C_normal.jpg")</f>
        <v>https://pbs.twimg.com/profile_images/970483405937930240/T7s1_v-C_normal.jpg</v>
      </c>
      <c r="G138" s="63"/>
      <c r="H138" s="67"/>
      <c r="I138" s="68"/>
      <c r="J138" s="68"/>
      <c r="K138" s="67" t="s">
        <v>25072</v>
      </c>
      <c r="L138" s="71"/>
      <c r="M138" s="72"/>
      <c r="N138" s="72"/>
      <c r="O138" s="73"/>
      <c r="P138" s="74"/>
      <c r="Q138" s="74"/>
      <c r="R138" s="86"/>
      <c r="S138" s="86"/>
      <c r="T138" s="86"/>
      <c r="U138" s="86"/>
      <c r="V138" s="48"/>
      <c r="W138" s="48"/>
      <c r="X138" s="48"/>
      <c r="Y138" s="48"/>
      <c r="Z138" s="47"/>
      <c r="AA138" s="69">
        <v>138</v>
      </c>
      <c r="AB138" s="69"/>
      <c r="AC138" s="70"/>
      <c r="AD138" s="76" t="s">
        <v>21951</v>
      </c>
      <c r="AE138" s="81" t="s">
        <v>22885</v>
      </c>
      <c r="AF138" s="76">
        <v>717</v>
      </c>
      <c r="AG138" s="76">
        <v>78</v>
      </c>
      <c r="AH138" s="76">
        <v>77406</v>
      </c>
      <c r="AI138" s="76">
        <v>0</v>
      </c>
      <c r="AJ138" s="76">
        <v>579</v>
      </c>
      <c r="AK138" s="76">
        <v>294</v>
      </c>
      <c r="AL138" s="76" t="b">
        <v>0</v>
      </c>
      <c r="AM138" s="78">
        <v>39990.122303240743</v>
      </c>
      <c r="AN138" s="76" t="s">
        <v>23114</v>
      </c>
      <c r="AO138" s="76" t="s">
        <v>23463</v>
      </c>
      <c r="AP138" s="83" t="str">
        <f>HYPERLINK("https://t.co/QvyBUImKTq")</f>
        <v>https://t.co/QvyBUImKTq</v>
      </c>
      <c r="AQ138" s="83" t="str">
        <f>HYPERLINK("http://www.expansione.com.br")</f>
        <v>http://www.expansione.com.br</v>
      </c>
      <c r="AR138" s="76" t="s">
        <v>24319</v>
      </c>
      <c r="AS138" s="76"/>
      <c r="AT138" s="76"/>
      <c r="AU138" s="76"/>
      <c r="AV138" s="76"/>
      <c r="AW138" s="83" t="str">
        <f>HYPERLINK("https://t.co/QvyBUImKTq")</f>
        <v>https://t.co/QvyBUImKTq</v>
      </c>
      <c r="AX138" s="76" t="b">
        <v>0</v>
      </c>
      <c r="AY138" s="76"/>
      <c r="AZ138" s="76"/>
      <c r="BA138" s="76" t="b">
        <v>0</v>
      </c>
      <c r="BB138" s="76" t="b">
        <v>1</v>
      </c>
      <c r="BC138" s="76" t="b">
        <v>0</v>
      </c>
      <c r="BD138" s="76" t="b">
        <v>0</v>
      </c>
      <c r="BE138" s="76" t="b">
        <v>1</v>
      </c>
      <c r="BF138" s="76" t="b">
        <v>0</v>
      </c>
      <c r="BG138" s="76" t="b">
        <v>0</v>
      </c>
      <c r="BH138" s="83" t="str">
        <f>HYPERLINK("https://pbs.twimg.com/profile_banners/50893753/1427745212")</f>
        <v>https://pbs.twimg.com/profile_banners/50893753/1427745212</v>
      </c>
      <c r="BI138" s="76"/>
      <c r="BJ138" s="76" t="s">
        <v>24935</v>
      </c>
      <c r="BK138" s="76" t="b">
        <v>0</v>
      </c>
      <c r="BL138" s="76"/>
      <c r="BM138" s="76" t="s">
        <v>66</v>
      </c>
      <c r="BN138" s="76" t="s">
        <v>24937</v>
      </c>
      <c r="BO138" s="83" t="str">
        <f>HYPERLINK("https://twitter.com/khalebbueno")</f>
        <v>https://twitter.com/khalebbueno</v>
      </c>
      <c r="BP138" s="2"/>
    </row>
    <row r="139" spans="1:68" x14ac:dyDescent="0.25">
      <c r="A139" s="62" t="s">
        <v>355</v>
      </c>
      <c r="B139" s="63"/>
      <c r="C139" s="63"/>
      <c r="D139" s="64"/>
      <c r="E139" s="66"/>
      <c r="F139" s="102" t="str">
        <f>HYPERLINK("https://pbs.twimg.com/profile_images/1417170883743989761/sqnaEe-1_normal.jpg")</f>
        <v>https://pbs.twimg.com/profile_images/1417170883743989761/sqnaEe-1_normal.jpg</v>
      </c>
      <c r="G139" s="63"/>
      <c r="H139" s="67"/>
      <c r="I139" s="68"/>
      <c r="J139" s="68"/>
      <c r="K139" s="67" t="s">
        <v>25073</v>
      </c>
      <c r="L139" s="71"/>
      <c r="M139" s="72"/>
      <c r="N139" s="72"/>
      <c r="O139" s="73"/>
      <c r="P139" s="74"/>
      <c r="Q139" s="74"/>
      <c r="R139" s="86"/>
      <c r="S139" s="86"/>
      <c r="T139" s="86"/>
      <c r="U139" s="86"/>
      <c r="V139" s="48"/>
      <c r="W139" s="48"/>
      <c r="X139" s="48"/>
      <c r="Y139" s="48"/>
      <c r="Z139" s="47"/>
      <c r="AA139" s="69">
        <v>139</v>
      </c>
      <c r="AB139" s="69"/>
      <c r="AC139" s="70"/>
      <c r="AD139" s="76" t="s">
        <v>21952</v>
      </c>
      <c r="AE139" s="81" t="s">
        <v>21105</v>
      </c>
      <c r="AF139" s="76">
        <v>2</v>
      </c>
      <c r="AG139" s="76">
        <v>15</v>
      </c>
      <c r="AH139" s="76">
        <v>32</v>
      </c>
      <c r="AI139" s="76">
        <v>0</v>
      </c>
      <c r="AJ139" s="76">
        <v>40</v>
      </c>
      <c r="AK139" s="76">
        <v>32</v>
      </c>
      <c r="AL139" s="76" t="b">
        <v>0</v>
      </c>
      <c r="AM139" s="78">
        <v>44396.717951388891</v>
      </c>
      <c r="AN139" s="76"/>
      <c r="AO139" s="76" t="s">
        <v>23464</v>
      </c>
      <c r="AP139" s="83" t="str">
        <f>HYPERLINK("https://t.co/QWPgweKI1d")</f>
        <v>https://t.co/QWPgweKI1d</v>
      </c>
      <c r="AQ139" s="83" t="str">
        <f>HYPERLINK("https://linktr.ee/atimopay")</f>
        <v>https://linktr.ee/atimopay</v>
      </c>
      <c r="AR139" s="76" t="s">
        <v>24320</v>
      </c>
      <c r="AS139" s="76"/>
      <c r="AT139" s="76"/>
      <c r="AU139" s="76"/>
      <c r="AV139" s="76"/>
      <c r="AW139" s="83" t="str">
        <f>HYPERLINK("https://t.co/QWPgweKI1d")</f>
        <v>https://t.co/QWPgweKI1d</v>
      </c>
      <c r="AX139" s="76" t="b">
        <v>0</v>
      </c>
      <c r="AY139" s="76"/>
      <c r="AZ139" s="76"/>
      <c r="BA139" s="76" t="b">
        <v>0</v>
      </c>
      <c r="BB139" s="76" t="b">
        <v>1</v>
      </c>
      <c r="BC139" s="76" t="b">
        <v>1</v>
      </c>
      <c r="BD139" s="76" t="b">
        <v>0</v>
      </c>
      <c r="BE139" s="76" t="b">
        <v>1</v>
      </c>
      <c r="BF139" s="76" t="b">
        <v>0</v>
      </c>
      <c r="BG139" s="76" t="b">
        <v>0</v>
      </c>
      <c r="BH139" s="83" t="str">
        <f>HYPERLINK("https://pbs.twimg.com/profile_banners/1417170649760550916/1676601700")</f>
        <v>https://pbs.twimg.com/profile_banners/1417170649760550916/1676601700</v>
      </c>
      <c r="BI139" s="76"/>
      <c r="BJ139" s="76" t="s">
        <v>24935</v>
      </c>
      <c r="BK139" s="76" t="b">
        <v>0</v>
      </c>
      <c r="BL139" s="76"/>
      <c r="BM139" s="76" t="s">
        <v>66</v>
      </c>
      <c r="BN139" s="76" t="s">
        <v>24937</v>
      </c>
      <c r="BO139" s="83" t="str">
        <f>HYPERLINK("https://twitter.com/atimopayoficial")</f>
        <v>https://twitter.com/atimopayoficial</v>
      </c>
      <c r="BP139" s="2"/>
    </row>
    <row r="140" spans="1:68" x14ac:dyDescent="0.25">
      <c r="A140" s="62" t="s">
        <v>356</v>
      </c>
      <c r="B140" s="63"/>
      <c r="C140" s="63"/>
      <c r="D140" s="64"/>
      <c r="E140" s="66"/>
      <c r="F140" s="102" t="str">
        <f>HYPERLINK("https://pbs.twimg.com/profile_images/1692003309001830400/PRIe8uqd_normal.jpg")</f>
        <v>https://pbs.twimg.com/profile_images/1692003309001830400/PRIe8uqd_normal.jpg</v>
      </c>
      <c r="G140" s="63"/>
      <c r="H140" s="67"/>
      <c r="I140" s="68"/>
      <c r="J140" s="68"/>
      <c r="K140" s="67" t="s">
        <v>25074</v>
      </c>
      <c r="L140" s="71"/>
      <c r="M140" s="72"/>
      <c r="N140" s="72"/>
      <c r="O140" s="73"/>
      <c r="P140" s="74"/>
      <c r="Q140" s="74"/>
      <c r="R140" s="86"/>
      <c r="S140" s="86"/>
      <c r="T140" s="86"/>
      <c r="U140" s="86"/>
      <c r="V140" s="48"/>
      <c r="W140" s="48"/>
      <c r="X140" s="48"/>
      <c r="Y140" s="48"/>
      <c r="Z140" s="47"/>
      <c r="AA140" s="69">
        <v>140</v>
      </c>
      <c r="AB140" s="69"/>
      <c r="AC140" s="70"/>
      <c r="AD140" s="76" t="s">
        <v>21953</v>
      </c>
      <c r="AE140" s="81" t="s">
        <v>21106</v>
      </c>
      <c r="AF140" s="76">
        <v>191</v>
      </c>
      <c r="AG140" s="76">
        <v>197</v>
      </c>
      <c r="AH140" s="76">
        <v>8085</v>
      </c>
      <c r="AI140" s="76">
        <v>0</v>
      </c>
      <c r="AJ140" s="76">
        <v>10268</v>
      </c>
      <c r="AK140" s="76">
        <v>2123</v>
      </c>
      <c r="AL140" s="76" t="b">
        <v>0</v>
      </c>
      <c r="AM140" s="78">
        <v>44805.550555555557</v>
      </c>
      <c r="AN140" s="76" t="s">
        <v>14033</v>
      </c>
      <c r="AO140" s="76" t="s">
        <v>23465</v>
      </c>
      <c r="AP140" s="83" t="str">
        <f>HYPERLINK("https://t.co/ktU3fSYwCd")</f>
        <v>https://t.co/ktU3fSYwCd</v>
      </c>
      <c r="AQ140" s="83" t="str">
        <f>HYPERLINK("https://beacons.ai/ajsoares")</f>
        <v>https://beacons.ai/ajsoares</v>
      </c>
      <c r="AR140" s="76" t="s">
        <v>24321</v>
      </c>
      <c r="AS140" s="76"/>
      <c r="AT140" s="76"/>
      <c r="AU140" s="76"/>
      <c r="AV140" s="76">
        <v>1.7061330092949299E+18</v>
      </c>
      <c r="AW140" s="83" t="str">
        <f>HYPERLINK("https://t.co/ktU3fSYwCd")</f>
        <v>https://t.co/ktU3fSYwCd</v>
      </c>
      <c r="AX140" s="76" t="b">
        <v>0</v>
      </c>
      <c r="AY140" s="76"/>
      <c r="AZ140" s="76"/>
      <c r="BA140" s="76" t="b">
        <v>0</v>
      </c>
      <c r="BB140" s="76" t="b">
        <v>1</v>
      </c>
      <c r="BC140" s="76" t="b">
        <v>1</v>
      </c>
      <c r="BD140" s="76" t="b">
        <v>0</v>
      </c>
      <c r="BE140" s="76" t="b">
        <v>0</v>
      </c>
      <c r="BF140" s="76" t="b">
        <v>0</v>
      </c>
      <c r="BG140" s="76" t="b">
        <v>0</v>
      </c>
      <c r="BH140" s="83" t="str">
        <f>HYPERLINK("https://pbs.twimg.com/profile_banners/1565326699390279681/1692237851")</f>
        <v>https://pbs.twimg.com/profile_banners/1565326699390279681/1692237851</v>
      </c>
      <c r="BI140" s="76"/>
      <c r="BJ140" s="76" t="s">
        <v>24935</v>
      </c>
      <c r="BK140" s="76" t="b">
        <v>0</v>
      </c>
      <c r="BL140" s="76"/>
      <c r="BM140" s="76" t="s">
        <v>66</v>
      </c>
      <c r="BN140" s="76" t="s">
        <v>24937</v>
      </c>
      <c r="BO140" s="83" t="str">
        <f>HYPERLINK("https://twitter.com/vibescia")</f>
        <v>https://twitter.com/vibescia</v>
      </c>
      <c r="BP140" s="2"/>
    </row>
    <row r="141" spans="1:68" x14ac:dyDescent="0.25">
      <c r="A141" s="62" t="s">
        <v>357</v>
      </c>
      <c r="B141" s="63"/>
      <c r="C141" s="63"/>
      <c r="D141" s="64"/>
      <c r="E141" s="66"/>
      <c r="F141" s="102" t="str">
        <f>HYPERLINK("https://pbs.twimg.com/profile_images/1677497697480187904/OlgwKdZ8_normal.jpg")</f>
        <v>https://pbs.twimg.com/profile_images/1677497697480187904/OlgwKdZ8_normal.jpg</v>
      </c>
      <c r="G141" s="63"/>
      <c r="H141" s="67"/>
      <c r="I141" s="68"/>
      <c r="J141" s="68"/>
      <c r="K141" s="67" t="s">
        <v>25075</v>
      </c>
      <c r="L141" s="71"/>
      <c r="M141" s="72"/>
      <c r="N141" s="72"/>
      <c r="O141" s="73"/>
      <c r="P141" s="74"/>
      <c r="Q141" s="74"/>
      <c r="R141" s="86"/>
      <c r="S141" s="86"/>
      <c r="T141" s="86"/>
      <c r="U141" s="86"/>
      <c r="V141" s="48"/>
      <c r="W141" s="48"/>
      <c r="X141" s="48"/>
      <c r="Y141" s="48"/>
      <c r="Z141" s="47"/>
      <c r="AA141" s="69">
        <v>141</v>
      </c>
      <c r="AB141" s="69"/>
      <c r="AC141" s="70"/>
      <c r="AD141" s="76" t="s">
        <v>21954</v>
      </c>
      <c r="AE141" s="81" t="s">
        <v>21107</v>
      </c>
      <c r="AF141" s="76">
        <v>0</v>
      </c>
      <c r="AG141" s="76">
        <v>1</v>
      </c>
      <c r="AH141" s="76">
        <v>3</v>
      </c>
      <c r="AI141" s="76">
        <v>0</v>
      </c>
      <c r="AJ141" s="76">
        <v>0</v>
      </c>
      <c r="AK141" s="76">
        <v>2</v>
      </c>
      <c r="AL141" s="76" t="b">
        <v>0</v>
      </c>
      <c r="AM141" s="78">
        <v>45115.080393518518</v>
      </c>
      <c r="AN141" s="76"/>
      <c r="AO141" s="76" t="s">
        <v>23466</v>
      </c>
      <c r="AP141" s="83" t="str">
        <f>HYPERLINK("https://t.co/DeHlGX6syd")</f>
        <v>https://t.co/DeHlGX6syd</v>
      </c>
      <c r="AQ141" s="83" t="str">
        <f>HYPERLINK("https://pay.kiwify.com.br/hqtvfgF?afid=mam0ZgMS")</f>
        <v>https://pay.kiwify.com.br/hqtvfgF?afid=mam0ZgMS</v>
      </c>
      <c r="AR141" s="76" t="s">
        <v>24322</v>
      </c>
      <c r="AS141" s="76"/>
      <c r="AT141" s="76"/>
      <c r="AU141" s="76"/>
      <c r="AV141" s="76"/>
      <c r="AW141" s="83" t="str">
        <f>HYPERLINK("https://t.co/DeHlGX6syd")</f>
        <v>https://t.co/DeHlGX6syd</v>
      </c>
      <c r="AX141" s="76" t="b">
        <v>0</v>
      </c>
      <c r="AY141" s="76"/>
      <c r="AZ141" s="76"/>
      <c r="BA141" s="76" t="b">
        <v>0</v>
      </c>
      <c r="BB141" s="76" t="b">
        <v>1</v>
      </c>
      <c r="BC141" s="76" t="b">
        <v>1</v>
      </c>
      <c r="BD141" s="76" t="b">
        <v>0</v>
      </c>
      <c r="BE141" s="76" t="b">
        <v>0</v>
      </c>
      <c r="BF141" s="76" t="b">
        <v>0</v>
      </c>
      <c r="BG141" s="76" t="b">
        <v>0</v>
      </c>
      <c r="BH141" s="76"/>
      <c r="BI141" s="76"/>
      <c r="BJ141" s="76" t="s">
        <v>24935</v>
      </c>
      <c r="BK141" s="76" t="b">
        <v>0</v>
      </c>
      <c r="BL141" s="76"/>
      <c r="BM141" s="76" t="s">
        <v>66</v>
      </c>
      <c r="BN141" s="76" t="s">
        <v>24937</v>
      </c>
      <c r="BO141" s="83" t="str">
        <f>HYPERLINK("https://twitter.com/faturandomilhoe")</f>
        <v>https://twitter.com/faturandomilhoe</v>
      </c>
      <c r="BP141" s="2"/>
    </row>
    <row r="142" spans="1:68" x14ac:dyDescent="0.25">
      <c r="A142" s="62" t="s">
        <v>358</v>
      </c>
      <c r="B142" s="63"/>
      <c r="C142" s="63"/>
      <c r="D142" s="64"/>
      <c r="E142" s="66"/>
      <c r="F142" s="102" t="str">
        <f>HYPERLINK("https://pbs.twimg.com/profile_images/1542855710937124864/f2UF0wO4_normal.jpg")</f>
        <v>https://pbs.twimg.com/profile_images/1542855710937124864/f2UF0wO4_normal.jpg</v>
      </c>
      <c r="G142" s="63"/>
      <c r="H142" s="67"/>
      <c r="I142" s="68"/>
      <c r="J142" s="68"/>
      <c r="K142" s="67" t="s">
        <v>25076</v>
      </c>
      <c r="L142" s="71"/>
      <c r="M142" s="72"/>
      <c r="N142" s="72"/>
      <c r="O142" s="73"/>
      <c r="P142" s="74"/>
      <c r="Q142" s="74"/>
      <c r="R142" s="86"/>
      <c r="S142" s="86"/>
      <c r="T142" s="86"/>
      <c r="U142" s="86"/>
      <c r="V142" s="48"/>
      <c r="W142" s="48"/>
      <c r="X142" s="48"/>
      <c r="Y142" s="48"/>
      <c r="Z142" s="47"/>
      <c r="AA142" s="69">
        <v>142</v>
      </c>
      <c r="AB142" s="69"/>
      <c r="AC142" s="70"/>
      <c r="AD142" s="76" t="s">
        <v>21955</v>
      </c>
      <c r="AE142" s="81" t="s">
        <v>21108</v>
      </c>
      <c r="AF142" s="76">
        <v>126</v>
      </c>
      <c r="AG142" s="76">
        <v>38</v>
      </c>
      <c r="AH142" s="76">
        <v>3889</v>
      </c>
      <c r="AI142" s="76">
        <v>0</v>
      </c>
      <c r="AJ142" s="76">
        <v>5906</v>
      </c>
      <c r="AK142" s="76">
        <v>1765</v>
      </c>
      <c r="AL142" s="76" t="b">
        <v>0</v>
      </c>
      <c r="AM142" s="78">
        <v>43039.870694444442</v>
      </c>
      <c r="AN142" s="76" t="s">
        <v>14041</v>
      </c>
      <c r="AO142" s="76" t="s">
        <v>23467</v>
      </c>
      <c r="AP142" s="83" t="str">
        <f>HYPERLINK("https://t.co/jywHP4AJ4I")</f>
        <v>https://t.co/jywHP4AJ4I</v>
      </c>
      <c r="AQ142" s="83" t="str">
        <f>HYPERLINK("https://youtube.com/@EmanuelSummers_")</f>
        <v>https://youtube.com/@EmanuelSummers_</v>
      </c>
      <c r="AR142" s="76" t="s">
        <v>24323</v>
      </c>
      <c r="AS142" s="76"/>
      <c r="AT142" s="76"/>
      <c r="AU142" s="76"/>
      <c r="AV142" s="76">
        <v>1.08301575972139E+18</v>
      </c>
      <c r="AW142" s="83" t="str">
        <f>HYPERLINK("https://t.co/jywHP4AJ4I")</f>
        <v>https://t.co/jywHP4AJ4I</v>
      </c>
      <c r="AX142" s="76" t="b">
        <v>0</v>
      </c>
      <c r="AY142" s="76"/>
      <c r="AZ142" s="76"/>
      <c r="BA142" s="76" t="b">
        <v>0</v>
      </c>
      <c r="BB142" s="76" t="b">
        <v>1</v>
      </c>
      <c r="BC142" s="76" t="b">
        <v>1</v>
      </c>
      <c r="BD142" s="76" t="b">
        <v>0</v>
      </c>
      <c r="BE142" s="76" t="b">
        <v>0</v>
      </c>
      <c r="BF142" s="76" t="b">
        <v>0</v>
      </c>
      <c r="BG142" s="76" t="b">
        <v>0</v>
      </c>
      <c r="BH142" s="83" t="str">
        <f>HYPERLINK("https://pbs.twimg.com/profile_banners/925465854497738758/1656691427")</f>
        <v>https://pbs.twimg.com/profile_banners/925465854497738758/1656691427</v>
      </c>
      <c r="BI142" s="76"/>
      <c r="BJ142" s="76" t="s">
        <v>24935</v>
      </c>
      <c r="BK142" s="76" t="b">
        <v>0</v>
      </c>
      <c r="BL142" s="76"/>
      <c r="BM142" s="76" t="s">
        <v>66</v>
      </c>
      <c r="BN142" s="76" t="s">
        <v>24937</v>
      </c>
      <c r="BO142" s="83" t="str">
        <f>HYPERLINK("https://twitter.com/emanuelsummers_")</f>
        <v>https://twitter.com/emanuelsummers_</v>
      </c>
      <c r="BP142" s="2"/>
    </row>
    <row r="143" spans="1:68" x14ac:dyDescent="0.25">
      <c r="A143" s="62" t="s">
        <v>359</v>
      </c>
      <c r="B143" s="63"/>
      <c r="C143" s="63"/>
      <c r="D143" s="64"/>
      <c r="E143" s="66"/>
      <c r="F143" s="102" t="str">
        <f>HYPERLINK("https://pbs.twimg.com/profile_images/1655308364300140554/ufpNilB7_normal.jpg")</f>
        <v>https://pbs.twimg.com/profile_images/1655308364300140554/ufpNilB7_normal.jpg</v>
      </c>
      <c r="G143" s="63"/>
      <c r="H143" s="67"/>
      <c r="I143" s="68"/>
      <c r="J143" s="68"/>
      <c r="K143" s="67" t="s">
        <v>25077</v>
      </c>
      <c r="L143" s="71"/>
      <c r="M143" s="72"/>
      <c r="N143" s="72"/>
      <c r="O143" s="73"/>
      <c r="P143" s="74"/>
      <c r="Q143" s="74"/>
      <c r="R143" s="86"/>
      <c r="S143" s="86"/>
      <c r="T143" s="86"/>
      <c r="U143" s="86"/>
      <c r="V143" s="48"/>
      <c r="W143" s="48"/>
      <c r="X143" s="48"/>
      <c r="Y143" s="48"/>
      <c r="Z143" s="47"/>
      <c r="AA143" s="69">
        <v>143</v>
      </c>
      <c r="AB143" s="69"/>
      <c r="AC143" s="70"/>
      <c r="AD143" s="76" t="s">
        <v>21956</v>
      </c>
      <c r="AE143" s="81" t="s">
        <v>21109</v>
      </c>
      <c r="AF143" s="76">
        <v>1</v>
      </c>
      <c r="AG143" s="76">
        <v>7</v>
      </c>
      <c r="AH143" s="76">
        <v>25</v>
      </c>
      <c r="AI143" s="76">
        <v>0</v>
      </c>
      <c r="AJ143" s="76">
        <v>0</v>
      </c>
      <c r="AK143" s="76">
        <v>0</v>
      </c>
      <c r="AL143" s="76" t="b">
        <v>0</v>
      </c>
      <c r="AM143" s="78">
        <v>45053.852222222224</v>
      </c>
      <c r="AN143" s="76" t="s">
        <v>23115</v>
      </c>
      <c r="AO143" s="76" t="s">
        <v>23468</v>
      </c>
      <c r="AP143" s="83" t="str">
        <f>HYPERLINK("https://t.co/9bERlvlxe9")</f>
        <v>https://t.co/9bERlvlxe9</v>
      </c>
      <c r="AQ143" s="83" t="str">
        <f>HYPERLINK("http://www.dtcwb.com.br")</f>
        <v>http://www.dtcwb.com.br</v>
      </c>
      <c r="AR143" s="76" t="s">
        <v>24324</v>
      </c>
      <c r="AS143" s="76"/>
      <c r="AT143" s="76"/>
      <c r="AU143" s="76"/>
      <c r="AV143" s="76"/>
      <c r="AW143" s="83" t="str">
        <f>HYPERLINK("https://t.co/9bERlvlxe9")</f>
        <v>https://t.co/9bERlvlxe9</v>
      </c>
      <c r="AX143" s="76" t="b">
        <v>0</v>
      </c>
      <c r="AY143" s="76"/>
      <c r="AZ143" s="76"/>
      <c r="BA143" s="76" t="b">
        <v>0</v>
      </c>
      <c r="BB143" s="76" t="b">
        <v>1</v>
      </c>
      <c r="BC143" s="76" t="b">
        <v>1</v>
      </c>
      <c r="BD143" s="76" t="b">
        <v>0</v>
      </c>
      <c r="BE143" s="76" t="b">
        <v>0</v>
      </c>
      <c r="BF143" s="76" t="b">
        <v>0</v>
      </c>
      <c r="BG143" s="76" t="b">
        <v>0</v>
      </c>
      <c r="BH143" s="83" t="str">
        <f>HYPERLINK("https://pbs.twimg.com/profile_banners/1655308272117723136/1683495803")</f>
        <v>https://pbs.twimg.com/profile_banners/1655308272117723136/1683495803</v>
      </c>
      <c r="BI143" s="76"/>
      <c r="BJ143" s="76" t="s">
        <v>24935</v>
      </c>
      <c r="BK143" s="76" t="b">
        <v>0</v>
      </c>
      <c r="BL143" s="76"/>
      <c r="BM143" s="76" t="s">
        <v>66</v>
      </c>
      <c r="BN143" s="76" t="s">
        <v>24937</v>
      </c>
      <c r="BO143" s="83" t="str">
        <f>HYPERLINK("https://twitter.com/dtcwbbr")</f>
        <v>https://twitter.com/dtcwbbr</v>
      </c>
      <c r="BP143" s="2"/>
    </row>
    <row r="144" spans="1:68" x14ac:dyDescent="0.25">
      <c r="A144" s="62" t="s">
        <v>360</v>
      </c>
      <c r="B144" s="63"/>
      <c r="C144" s="63"/>
      <c r="D144" s="64"/>
      <c r="E144" s="66"/>
      <c r="F144" s="102" t="str">
        <f>HYPERLINK("https://pbs.twimg.com/profile_images/1704105215543119872/7SnFNYFF_normal.jpg")</f>
        <v>https://pbs.twimg.com/profile_images/1704105215543119872/7SnFNYFF_normal.jpg</v>
      </c>
      <c r="G144" s="63"/>
      <c r="H144" s="67"/>
      <c r="I144" s="68"/>
      <c r="J144" s="68"/>
      <c r="K144" s="67" t="s">
        <v>25078</v>
      </c>
      <c r="L144" s="71"/>
      <c r="M144" s="72"/>
      <c r="N144" s="72"/>
      <c r="O144" s="73"/>
      <c r="P144" s="74"/>
      <c r="Q144" s="74"/>
      <c r="R144" s="86"/>
      <c r="S144" s="86"/>
      <c r="T144" s="86"/>
      <c r="U144" s="86"/>
      <c r="V144" s="48"/>
      <c r="W144" s="48"/>
      <c r="X144" s="48"/>
      <c r="Y144" s="48"/>
      <c r="Z144" s="47"/>
      <c r="AA144" s="69">
        <v>144</v>
      </c>
      <c r="AB144" s="69"/>
      <c r="AC144" s="70"/>
      <c r="AD144" s="76" t="s">
        <v>21957</v>
      </c>
      <c r="AE144" s="81" t="s">
        <v>21110</v>
      </c>
      <c r="AF144" s="76">
        <v>91</v>
      </c>
      <c r="AG144" s="76">
        <v>434</v>
      </c>
      <c r="AH144" s="76">
        <v>4562</v>
      </c>
      <c r="AI144" s="76">
        <v>0</v>
      </c>
      <c r="AJ144" s="76">
        <v>6994</v>
      </c>
      <c r="AK144" s="76">
        <v>317</v>
      </c>
      <c r="AL144" s="76" t="b">
        <v>0</v>
      </c>
      <c r="AM144" s="78">
        <v>44376.666493055556</v>
      </c>
      <c r="AN144" s="76"/>
      <c r="AO144" s="76" t="s">
        <v>23469</v>
      </c>
      <c r="AP144" s="76"/>
      <c r="AQ144" s="76"/>
      <c r="AR144" s="76"/>
      <c r="AS144" s="76"/>
      <c r="AT144" s="76"/>
      <c r="AU144" s="76"/>
      <c r="AV144" s="76">
        <v>1.6432338065502799E+18</v>
      </c>
      <c r="AW144" s="76"/>
      <c r="AX144" s="76" t="b">
        <v>0</v>
      </c>
      <c r="AY144" s="76"/>
      <c r="AZ144" s="76"/>
      <c r="BA144" s="76" t="b">
        <v>1</v>
      </c>
      <c r="BB144" s="76" t="b">
        <v>1</v>
      </c>
      <c r="BC144" s="76" t="b">
        <v>1</v>
      </c>
      <c r="BD144" s="76" t="b">
        <v>0</v>
      </c>
      <c r="BE144" s="76" t="b">
        <v>0</v>
      </c>
      <c r="BF144" s="76" t="b">
        <v>0</v>
      </c>
      <c r="BG144" s="76" t="b">
        <v>0</v>
      </c>
      <c r="BH144" s="83" t="str">
        <f>HYPERLINK("https://pbs.twimg.com/profile_banners/1409904363791859716/1695125318")</f>
        <v>https://pbs.twimg.com/profile_banners/1409904363791859716/1695125318</v>
      </c>
      <c r="BI144" s="76"/>
      <c r="BJ144" s="76" t="s">
        <v>24935</v>
      </c>
      <c r="BK144" s="76" t="b">
        <v>0</v>
      </c>
      <c r="BL144" s="76"/>
      <c r="BM144" s="76" t="s">
        <v>66</v>
      </c>
      <c r="BN144" s="76" t="s">
        <v>24937</v>
      </c>
      <c r="BO144" s="83" t="str">
        <f>HYPERLINK("https://twitter.com/hugocos00279853")</f>
        <v>https://twitter.com/hugocos00279853</v>
      </c>
      <c r="BP144" s="2"/>
    </row>
    <row r="145" spans="1:68" x14ac:dyDescent="0.25">
      <c r="A145" s="62" t="s">
        <v>1244</v>
      </c>
      <c r="B145" s="63"/>
      <c r="C145" s="63"/>
      <c r="D145" s="64"/>
      <c r="E145" s="66"/>
      <c r="F145" s="102" t="str">
        <f>HYPERLINK("https://pbs.twimg.com/profile_images/1396304774618828800/99JFbEsN_normal.jpg")</f>
        <v>https://pbs.twimg.com/profile_images/1396304774618828800/99JFbEsN_normal.jpg</v>
      </c>
      <c r="G145" s="63"/>
      <c r="H145" s="67"/>
      <c r="I145" s="68"/>
      <c r="J145" s="68"/>
      <c r="K145" s="67" t="s">
        <v>25079</v>
      </c>
      <c r="L145" s="71"/>
      <c r="M145" s="72"/>
      <c r="N145" s="72"/>
      <c r="O145" s="73"/>
      <c r="P145" s="74"/>
      <c r="Q145" s="74"/>
      <c r="R145" s="86"/>
      <c r="S145" s="86"/>
      <c r="T145" s="86"/>
      <c r="U145" s="86"/>
      <c r="V145" s="48"/>
      <c r="W145" s="48"/>
      <c r="X145" s="48"/>
      <c r="Y145" s="48"/>
      <c r="Z145" s="47"/>
      <c r="AA145" s="69">
        <v>145</v>
      </c>
      <c r="AB145" s="69"/>
      <c r="AC145" s="70"/>
      <c r="AD145" s="76" t="s">
        <v>21958</v>
      </c>
      <c r="AE145" s="81" t="s">
        <v>22886</v>
      </c>
      <c r="AF145" s="76">
        <v>1109</v>
      </c>
      <c r="AG145" s="76">
        <v>1815</v>
      </c>
      <c r="AH145" s="76">
        <v>444</v>
      </c>
      <c r="AI145" s="76">
        <v>0</v>
      </c>
      <c r="AJ145" s="76">
        <v>903</v>
      </c>
      <c r="AK145" s="76">
        <v>178</v>
      </c>
      <c r="AL145" s="76" t="b">
        <v>0</v>
      </c>
      <c r="AM145" s="78">
        <v>43137.905636574076</v>
      </c>
      <c r="AN145" s="76" t="s">
        <v>14041</v>
      </c>
      <c r="AO145" s="83" t="str">
        <f>HYPERLINK("https://t.co/QyhggUQR8I")</f>
        <v>https://t.co/QyhggUQR8I</v>
      </c>
      <c r="AP145" s="76"/>
      <c r="AQ145" s="76"/>
      <c r="AR145" s="76"/>
      <c r="AS145" s="83" t="str">
        <f>HYPERLINK("https://t.co/QyhggUQR8I")</f>
        <v>https://t.co/QyhggUQR8I</v>
      </c>
      <c r="AT145" s="83" t="str">
        <f>HYPERLINK("https://go.hotmart.com/E45032625U")</f>
        <v>https://go.hotmart.com/E45032625U</v>
      </c>
      <c r="AU145" s="76" t="s">
        <v>24857</v>
      </c>
      <c r="AV145" s="76">
        <v>1.39630315300032E+18</v>
      </c>
      <c r="AW145" s="76"/>
      <c r="AX145" s="76" t="b">
        <v>0</v>
      </c>
      <c r="AY145" s="76"/>
      <c r="AZ145" s="76"/>
      <c r="BA145" s="76" t="b">
        <v>0</v>
      </c>
      <c r="BB145" s="76" t="b">
        <v>1</v>
      </c>
      <c r="BC145" s="76" t="b">
        <v>0</v>
      </c>
      <c r="BD145" s="76" t="b">
        <v>0</v>
      </c>
      <c r="BE145" s="76" t="b">
        <v>0</v>
      </c>
      <c r="BF145" s="76" t="b">
        <v>0</v>
      </c>
      <c r="BG145" s="76" t="b">
        <v>0</v>
      </c>
      <c r="BH145" s="83" t="str">
        <f>HYPERLINK("https://pbs.twimg.com/profile_banners/960992526822989825/1517953699")</f>
        <v>https://pbs.twimg.com/profile_banners/960992526822989825/1517953699</v>
      </c>
      <c r="BI145" s="76"/>
      <c r="BJ145" s="76" t="s">
        <v>24935</v>
      </c>
      <c r="BK145" s="76" t="b">
        <v>0</v>
      </c>
      <c r="BL145" s="76"/>
      <c r="BM145" s="76" t="s">
        <v>65</v>
      </c>
      <c r="BN145" s="76" t="s">
        <v>24937</v>
      </c>
      <c r="BO145" s="83" t="str">
        <f>HYPERLINK("https://twitter.com/rjrealidadedorj")</f>
        <v>https://twitter.com/rjrealidadedorj</v>
      </c>
      <c r="BP145" s="2"/>
    </row>
    <row r="146" spans="1:68" x14ac:dyDescent="0.25">
      <c r="A146" s="62" t="s">
        <v>361</v>
      </c>
      <c r="B146" s="63"/>
      <c r="C146" s="63"/>
      <c r="D146" s="64"/>
      <c r="E146" s="66"/>
      <c r="F146" s="102" t="str">
        <f>HYPERLINK("https://pbs.twimg.com/profile_images/1654507333140074496/6iw35wbF_normal.jpg")</f>
        <v>https://pbs.twimg.com/profile_images/1654507333140074496/6iw35wbF_normal.jpg</v>
      </c>
      <c r="G146" s="63"/>
      <c r="H146" s="67"/>
      <c r="I146" s="68"/>
      <c r="J146" s="68"/>
      <c r="K146" s="67" t="s">
        <v>25080</v>
      </c>
      <c r="L146" s="71"/>
      <c r="M146" s="72"/>
      <c r="N146" s="72"/>
      <c r="O146" s="73"/>
      <c r="P146" s="74"/>
      <c r="Q146" s="74"/>
      <c r="R146" s="86"/>
      <c r="S146" s="86"/>
      <c r="T146" s="86"/>
      <c r="U146" s="86"/>
      <c r="V146" s="48"/>
      <c r="W146" s="48"/>
      <c r="X146" s="48"/>
      <c r="Y146" s="48"/>
      <c r="Z146" s="47"/>
      <c r="AA146" s="69">
        <v>146</v>
      </c>
      <c r="AB146" s="69"/>
      <c r="AC146" s="70"/>
      <c r="AD146" s="76" t="s">
        <v>21959</v>
      </c>
      <c r="AE146" s="81" t="s">
        <v>21111</v>
      </c>
      <c r="AF146" s="76">
        <v>0</v>
      </c>
      <c r="AG146" s="76">
        <v>5</v>
      </c>
      <c r="AH146" s="76">
        <v>7</v>
      </c>
      <c r="AI146" s="76">
        <v>0</v>
      </c>
      <c r="AJ146" s="76">
        <v>0</v>
      </c>
      <c r="AK146" s="76">
        <v>1</v>
      </c>
      <c r="AL146" s="76" t="b">
        <v>0</v>
      </c>
      <c r="AM146" s="78">
        <v>45051.122453703705</v>
      </c>
      <c r="AN146" s="76"/>
      <c r="AO146" s="76"/>
      <c r="AP146" s="76"/>
      <c r="AQ146" s="76"/>
      <c r="AR146" s="76"/>
      <c r="AS146" s="76"/>
      <c r="AT146" s="76"/>
      <c r="AU146" s="76"/>
      <c r="AV146" s="76"/>
      <c r="AW146" s="76"/>
      <c r="AX146" s="76" t="b">
        <v>0</v>
      </c>
      <c r="AY146" s="76"/>
      <c r="AZ146" s="76"/>
      <c r="BA146" s="76" t="b">
        <v>0</v>
      </c>
      <c r="BB146" s="76" t="b">
        <v>1</v>
      </c>
      <c r="BC146" s="76" t="b">
        <v>1</v>
      </c>
      <c r="BD146" s="76" t="b">
        <v>0</v>
      </c>
      <c r="BE146" s="76" t="b">
        <v>0</v>
      </c>
      <c r="BF146" s="76" t="b">
        <v>0</v>
      </c>
      <c r="BG146" s="76" t="b">
        <v>0</v>
      </c>
      <c r="BH146" s="83" t="str">
        <f>HYPERLINK("https://pbs.twimg.com/profile_banners/1654318902376124418/1683300263")</f>
        <v>https://pbs.twimg.com/profile_banners/1654318902376124418/1683300263</v>
      </c>
      <c r="BI146" s="76"/>
      <c r="BJ146" s="76" t="s">
        <v>24935</v>
      </c>
      <c r="BK146" s="76" t="b">
        <v>0</v>
      </c>
      <c r="BL146" s="76"/>
      <c r="BM146" s="76" t="s">
        <v>66</v>
      </c>
      <c r="BN146" s="76" t="s">
        <v>24937</v>
      </c>
      <c r="BO146" s="83" t="str">
        <f>HYPERLINK("https://twitter.com/paulaminadeouro")</f>
        <v>https://twitter.com/paulaminadeouro</v>
      </c>
      <c r="BP146" s="2"/>
    </row>
    <row r="147" spans="1:68" x14ac:dyDescent="0.25">
      <c r="A147" s="62" t="s">
        <v>362</v>
      </c>
      <c r="B147" s="63"/>
      <c r="C147" s="63"/>
      <c r="D147" s="64"/>
      <c r="E147" s="66"/>
      <c r="F147" s="102" t="str">
        <f>HYPERLINK("https://pbs.twimg.com/profile_images/1628838050607374338/mw6mkIRa_normal.png")</f>
        <v>https://pbs.twimg.com/profile_images/1628838050607374338/mw6mkIRa_normal.png</v>
      </c>
      <c r="G147" s="63"/>
      <c r="H147" s="67"/>
      <c r="I147" s="68"/>
      <c r="J147" s="68"/>
      <c r="K147" s="67" t="s">
        <v>25081</v>
      </c>
      <c r="L147" s="71"/>
      <c r="M147" s="72"/>
      <c r="N147" s="72"/>
      <c r="O147" s="73"/>
      <c r="P147" s="74"/>
      <c r="Q147" s="74"/>
      <c r="R147" s="86"/>
      <c r="S147" s="86"/>
      <c r="T147" s="86"/>
      <c r="U147" s="86"/>
      <c r="V147" s="48"/>
      <c r="W147" s="48"/>
      <c r="X147" s="48"/>
      <c r="Y147" s="48"/>
      <c r="Z147" s="47"/>
      <c r="AA147" s="69">
        <v>147</v>
      </c>
      <c r="AB147" s="69"/>
      <c r="AC147" s="70"/>
      <c r="AD147" s="76" t="s">
        <v>21960</v>
      </c>
      <c r="AE147" s="81" t="s">
        <v>21112</v>
      </c>
      <c r="AF147" s="76">
        <v>0</v>
      </c>
      <c r="AG147" s="76">
        <v>4</v>
      </c>
      <c r="AH147" s="76">
        <v>8</v>
      </c>
      <c r="AI147" s="76">
        <v>0</v>
      </c>
      <c r="AJ147" s="76">
        <v>1</v>
      </c>
      <c r="AK147" s="76">
        <v>5</v>
      </c>
      <c r="AL147" s="76" t="b">
        <v>0</v>
      </c>
      <c r="AM147" s="78">
        <v>44980.808182870373</v>
      </c>
      <c r="AN147" s="76"/>
      <c r="AO147" s="76"/>
      <c r="AP147" s="76"/>
      <c r="AQ147" s="76"/>
      <c r="AR147" s="76"/>
      <c r="AS147" s="76"/>
      <c r="AT147" s="76"/>
      <c r="AU147" s="76"/>
      <c r="AV147" s="76"/>
      <c r="AW147" s="76"/>
      <c r="AX147" s="76" t="b">
        <v>0</v>
      </c>
      <c r="AY147" s="76"/>
      <c r="AZ147" s="76"/>
      <c r="BA147" s="76" t="b">
        <v>0</v>
      </c>
      <c r="BB147" s="76" t="b">
        <v>1</v>
      </c>
      <c r="BC147" s="76" t="b">
        <v>1</v>
      </c>
      <c r="BD147" s="76" t="b">
        <v>0</v>
      </c>
      <c r="BE147" s="76" t="b">
        <v>0</v>
      </c>
      <c r="BF147" s="76" t="b">
        <v>0</v>
      </c>
      <c r="BG147" s="76" t="b">
        <v>0</v>
      </c>
      <c r="BH147" s="83" t="str">
        <f>HYPERLINK("https://pbs.twimg.com/profile_banners/1628837923243061251/1678727890")</f>
        <v>https://pbs.twimg.com/profile_banners/1628837923243061251/1678727890</v>
      </c>
      <c r="BI147" s="76"/>
      <c r="BJ147" s="76" t="s">
        <v>24935</v>
      </c>
      <c r="BK147" s="76" t="b">
        <v>0</v>
      </c>
      <c r="BL147" s="76"/>
      <c r="BM147" s="76" t="s">
        <v>66</v>
      </c>
      <c r="BN147" s="76" t="s">
        <v>24937</v>
      </c>
      <c r="BO147" s="83" t="str">
        <f>HYPERLINK("https://twitter.com/milenabucatte")</f>
        <v>https://twitter.com/milenabucatte</v>
      </c>
      <c r="BP147" s="2"/>
    </row>
    <row r="148" spans="1:68" x14ac:dyDescent="0.25">
      <c r="A148" s="62" t="s">
        <v>363</v>
      </c>
      <c r="B148" s="63"/>
      <c r="C148" s="63"/>
      <c r="D148" s="64"/>
      <c r="E148" s="66"/>
      <c r="F148" s="102" t="str">
        <f>HYPERLINK("https://pbs.twimg.com/profile_images/1602770913602191360/ZdN7ic5C_normal.jpg")</f>
        <v>https://pbs.twimg.com/profile_images/1602770913602191360/ZdN7ic5C_normal.jpg</v>
      </c>
      <c r="G148" s="63"/>
      <c r="H148" s="67"/>
      <c r="I148" s="68"/>
      <c r="J148" s="68"/>
      <c r="K148" s="67" t="s">
        <v>25082</v>
      </c>
      <c r="L148" s="71"/>
      <c r="M148" s="72"/>
      <c r="N148" s="72"/>
      <c r="O148" s="73"/>
      <c r="P148" s="74"/>
      <c r="Q148" s="74"/>
      <c r="R148" s="86"/>
      <c r="S148" s="86"/>
      <c r="T148" s="86"/>
      <c r="U148" s="86"/>
      <c r="V148" s="48"/>
      <c r="W148" s="48"/>
      <c r="X148" s="48"/>
      <c r="Y148" s="48"/>
      <c r="Z148" s="47"/>
      <c r="AA148" s="69">
        <v>148</v>
      </c>
      <c r="AB148" s="69"/>
      <c r="AC148" s="70"/>
      <c r="AD148" s="76" t="s">
        <v>21961</v>
      </c>
      <c r="AE148" s="81" t="s">
        <v>21113</v>
      </c>
      <c r="AF148" s="76">
        <v>26</v>
      </c>
      <c r="AG148" s="76">
        <v>386</v>
      </c>
      <c r="AH148" s="76">
        <v>151</v>
      </c>
      <c r="AI148" s="76">
        <v>0</v>
      </c>
      <c r="AJ148" s="76">
        <v>220</v>
      </c>
      <c r="AK148" s="76">
        <v>6</v>
      </c>
      <c r="AL148" s="76" t="b">
        <v>0</v>
      </c>
      <c r="AM148" s="78">
        <v>44908.876261574071</v>
      </c>
      <c r="AN148" s="76" t="s">
        <v>14050</v>
      </c>
      <c r="AO148" s="76" t="s">
        <v>23470</v>
      </c>
      <c r="AP148" s="83" t="str">
        <f>HYPERLINK("https://t.co/yaZbm1ImHg")</f>
        <v>https://t.co/yaZbm1ImHg</v>
      </c>
      <c r="AQ148" s="83" t="str">
        <f>HYPERLINK("https://www.bbcwin.com/?agentid=10779653")</f>
        <v>https://www.bbcwin.com/?agentid=10779653</v>
      </c>
      <c r="AR148" s="76" t="s">
        <v>24325</v>
      </c>
      <c r="AS148" s="76"/>
      <c r="AT148" s="76"/>
      <c r="AU148" s="76"/>
      <c r="AV148" s="76">
        <v>1.6536497480568499E+18</v>
      </c>
      <c r="AW148" s="83" t="str">
        <f>HYPERLINK("https://t.co/yaZbm1ImHg")</f>
        <v>https://t.co/yaZbm1ImHg</v>
      </c>
      <c r="AX148" s="76" t="b">
        <v>0</v>
      </c>
      <c r="AY148" s="76"/>
      <c r="AZ148" s="76"/>
      <c r="BA148" s="76" t="b">
        <v>0</v>
      </c>
      <c r="BB148" s="76" t="b">
        <v>1</v>
      </c>
      <c r="BC148" s="76" t="b">
        <v>1</v>
      </c>
      <c r="BD148" s="76" t="b">
        <v>0</v>
      </c>
      <c r="BE148" s="76" t="b">
        <v>0</v>
      </c>
      <c r="BF148" s="76" t="b">
        <v>0</v>
      </c>
      <c r="BG148" s="76" t="b">
        <v>0</v>
      </c>
      <c r="BH148" s="83" t="str">
        <f>HYPERLINK("https://pbs.twimg.com/profile_banners/1602770720534237184/1683095896")</f>
        <v>https://pbs.twimg.com/profile_banners/1602770720534237184/1683095896</v>
      </c>
      <c r="BI148" s="76"/>
      <c r="BJ148" s="76" t="s">
        <v>24935</v>
      </c>
      <c r="BK148" s="76" t="b">
        <v>0</v>
      </c>
      <c r="BL148" s="76"/>
      <c r="BM148" s="76" t="s">
        <v>66</v>
      </c>
      <c r="BN148" s="76" t="s">
        <v>24937</v>
      </c>
      <c r="BO148" s="83" t="str">
        <f>HYPERLINK("https://twitter.com/brunohenri1989")</f>
        <v>https://twitter.com/brunohenri1989</v>
      </c>
      <c r="BP148" s="2"/>
    </row>
    <row r="149" spans="1:68" x14ac:dyDescent="0.25">
      <c r="A149" s="62" t="s">
        <v>364</v>
      </c>
      <c r="B149" s="63"/>
      <c r="C149" s="63"/>
      <c r="D149" s="64"/>
      <c r="E149" s="66"/>
      <c r="F149" s="102" t="str">
        <f>HYPERLINK("https://pbs.twimg.com/profile_images/1349169776350928897/sT7YYA8T_normal.jpg")</f>
        <v>https://pbs.twimg.com/profile_images/1349169776350928897/sT7YYA8T_normal.jpg</v>
      </c>
      <c r="G149" s="63"/>
      <c r="H149" s="67"/>
      <c r="I149" s="68"/>
      <c r="J149" s="68"/>
      <c r="K149" s="67" t="s">
        <v>25083</v>
      </c>
      <c r="L149" s="71"/>
      <c r="M149" s="72"/>
      <c r="N149" s="72"/>
      <c r="O149" s="73"/>
      <c r="P149" s="74"/>
      <c r="Q149" s="74"/>
      <c r="R149" s="86"/>
      <c r="S149" s="86"/>
      <c r="T149" s="86"/>
      <c r="U149" s="86"/>
      <c r="V149" s="48"/>
      <c r="W149" s="48"/>
      <c r="X149" s="48"/>
      <c r="Y149" s="48"/>
      <c r="Z149" s="47"/>
      <c r="AA149" s="69">
        <v>149</v>
      </c>
      <c r="AB149" s="69"/>
      <c r="AC149" s="70"/>
      <c r="AD149" s="76" t="s">
        <v>21962</v>
      </c>
      <c r="AE149" s="81" t="s">
        <v>22887</v>
      </c>
      <c r="AF149" s="76">
        <v>16</v>
      </c>
      <c r="AG149" s="76">
        <v>124</v>
      </c>
      <c r="AH149" s="76">
        <v>1288</v>
      </c>
      <c r="AI149" s="76">
        <v>0</v>
      </c>
      <c r="AJ149" s="76">
        <v>46</v>
      </c>
      <c r="AK149" s="76">
        <v>925</v>
      </c>
      <c r="AL149" s="76" t="b">
        <v>0</v>
      </c>
      <c r="AM149" s="78">
        <v>40473.717152777775</v>
      </c>
      <c r="AN149" s="76" t="s">
        <v>23116</v>
      </c>
      <c r="AO149" s="76" t="s">
        <v>23471</v>
      </c>
      <c r="AP149" s="83" t="str">
        <f>HYPERLINK("https://t.co/2xP9lLam8Y")</f>
        <v>https://t.co/2xP9lLam8Y</v>
      </c>
      <c r="AQ149" s="83" t="str">
        <f>HYPERLINK("https://tradewebbrasil.com.br/")</f>
        <v>https://tradewebbrasil.com.br/</v>
      </c>
      <c r="AR149" s="76" t="s">
        <v>24326</v>
      </c>
      <c r="AS149" s="83" t="str">
        <f>HYPERLINK("https://t.co/29Lpr25YPo")</f>
        <v>https://t.co/29Lpr25YPo</v>
      </c>
      <c r="AT149" s="83" t="str">
        <f>HYPERLINK("https://tradewebbrasil.com.br")</f>
        <v>https://tradewebbrasil.com.br</v>
      </c>
      <c r="AU149" s="76" t="s">
        <v>24326</v>
      </c>
      <c r="AV149" s="76"/>
      <c r="AW149" s="83" t="str">
        <f>HYPERLINK("https://t.co/2xP9lLam8Y")</f>
        <v>https://t.co/2xP9lLam8Y</v>
      </c>
      <c r="AX149" s="76" t="b">
        <v>0</v>
      </c>
      <c r="AY149" s="76"/>
      <c r="AZ149" s="76"/>
      <c r="BA149" s="76" t="b">
        <v>0</v>
      </c>
      <c r="BB149" s="76" t="b">
        <v>1</v>
      </c>
      <c r="BC149" s="76" t="b">
        <v>1</v>
      </c>
      <c r="BD149" s="76" t="b">
        <v>0</v>
      </c>
      <c r="BE149" s="76" t="b">
        <v>0</v>
      </c>
      <c r="BF149" s="76" t="b">
        <v>0</v>
      </c>
      <c r="BG149" s="76" t="b">
        <v>0</v>
      </c>
      <c r="BH149" s="83" t="str">
        <f>HYPERLINK("https://pbs.twimg.com/profile_banners/206288600/1647567119")</f>
        <v>https://pbs.twimg.com/profile_banners/206288600/1647567119</v>
      </c>
      <c r="BI149" s="76"/>
      <c r="BJ149" s="76" t="s">
        <v>24935</v>
      </c>
      <c r="BK149" s="76" t="b">
        <v>0</v>
      </c>
      <c r="BL149" s="76"/>
      <c r="BM149" s="76" t="s">
        <v>66</v>
      </c>
      <c r="BN149" s="76" t="s">
        <v>24937</v>
      </c>
      <c r="BO149" s="83" t="str">
        <f>HYPERLINK("https://twitter.com/tradewebbrasil")</f>
        <v>https://twitter.com/tradewebbrasil</v>
      </c>
      <c r="BP149" s="2"/>
    </row>
    <row r="150" spans="1:68" x14ac:dyDescent="0.25">
      <c r="A150" s="62" t="s">
        <v>365</v>
      </c>
      <c r="B150" s="63"/>
      <c r="C150" s="63"/>
      <c r="D150" s="64"/>
      <c r="E150" s="66"/>
      <c r="F150" s="102" t="str">
        <f>HYPERLINK("https://pbs.twimg.com/profile_images/1677750050754121733/b2silIh4_normal.jpg")</f>
        <v>https://pbs.twimg.com/profile_images/1677750050754121733/b2silIh4_normal.jpg</v>
      </c>
      <c r="G150" s="63"/>
      <c r="H150" s="67"/>
      <c r="I150" s="68"/>
      <c r="J150" s="68"/>
      <c r="K150" s="67" t="s">
        <v>25084</v>
      </c>
      <c r="L150" s="71"/>
      <c r="M150" s="72"/>
      <c r="N150" s="72"/>
      <c r="O150" s="73"/>
      <c r="P150" s="74"/>
      <c r="Q150" s="74"/>
      <c r="R150" s="86"/>
      <c r="S150" s="86"/>
      <c r="T150" s="86"/>
      <c r="U150" s="86"/>
      <c r="V150" s="48"/>
      <c r="W150" s="48"/>
      <c r="X150" s="48"/>
      <c r="Y150" s="48"/>
      <c r="Z150" s="47"/>
      <c r="AA150" s="69">
        <v>150</v>
      </c>
      <c r="AB150" s="69"/>
      <c r="AC150" s="70"/>
      <c r="AD150" s="76" t="s">
        <v>21963</v>
      </c>
      <c r="AE150" s="81" t="s">
        <v>20909</v>
      </c>
      <c r="AF150" s="76">
        <v>15</v>
      </c>
      <c r="AG150" s="76">
        <v>139</v>
      </c>
      <c r="AH150" s="76">
        <v>98</v>
      </c>
      <c r="AI150" s="76">
        <v>0</v>
      </c>
      <c r="AJ150" s="76">
        <v>6</v>
      </c>
      <c r="AK150" s="76">
        <v>87</v>
      </c>
      <c r="AL150" s="76" t="b">
        <v>0</v>
      </c>
      <c r="AM150" s="78">
        <v>45068.50273148148</v>
      </c>
      <c r="AN150" s="76" t="s">
        <v>14053</v>
      </c>
      <c r="AO150" s="76" t="s">
        <v>23472</v>
      </c>
      <c r="AP150" s="76"/>
      <c r="AQ150" s="76"/>
      <c r="AR150" s="76"/>
      <c r="AS150" s="76"/>
      <c r="AT150" s="76"/>
      <c r="AU150" s="76"/>
      <c r="AV150" s="76"/>
      <c r="AW150" s="76"/>
      <c r="AX150" s="76" t="b">
        <v>0</v>
      </c>
      <c r="AY150" s="76"/>
      <c r="AZ150" s="76"/>
      <c r="BA150" s="76" t="b">
        <v>0</v>
      </c>
      <c r="BB150" s="76" t="b">
        <v>1</v>
      </c>
      <c r="BC150" s="76" t="b">
        <v>1</v>
      </c>
      <c r="BD150" s="76" t="b">
        <v>0</v>
      </c>
      <c r="BE150" s="76" t="b">
        <v>0</v>
      </c>
      <c r="BF150" s="76" t="b">
        <v>0</v>
      </c>
      <c r="BG150" s="76" t="b">
        <v>0</v>
      </c>
      <c r="BH150" s="83" t="str">
        <f>HYPERLINK("https://pbs.twimg.com/profile_banners/1660617440244498432/1688841757")</f>
        <v>https://pbs.twimg.com/profile_banners/1660617440244498432/1688841757</v>
      </c>
      <c r="BI150" s="76"/>
      <c r="BJ150" s="76" t="s">
        <v>24935</v>
      </c>
      <c r="BK150" s="76" t="b">
        <v>0</v>
      </c>
      <c r="BL150" s="76"/>
      <c r="BM150" s="76" t="s">
        <v>66</v>
      </c>
      <c r="BN150" s="76" t="s">
        <v>24937</v>
      </c>
      <c r="BO150" s="83" t="str">
        <f>HYPERLINK("https://twitter.com/natisoares66")</f>
        <v>https://twitter.com/natisoares66</v>
      </c>
      <c r="BP150" s="2"/>
    </row>
    <row r="151" spans="1:68" x14ac:dyDescent="0.25">
      <c r="A151" s="62" t="s">
        <v>366</v>
      </c>
      <c r="B151" s="63"/>
      <c r="C151" s="63"/>
      <c r="D151" s="64"/>
      <c r="E151" s="66"/>
      <c r="F151" s="102" t="str">
        <f>HYPERLINK("https://pbs.twimg.com/profile_images/1661318042926628866/EDek1OwD_normal.jpg")</f>
        <v>https://pbs.twimg.com/profile_images/1661318042926628866/EDek1OwD_normal.jpg</v>
      </c>
      <c r="G151" s="63"/>
      <c r="H151" s="67"/>
      <c r="I151" s="68"/>
      <c r="J151" s="68"/>
      <c r="K151" s="67" t="s">
        <v>25085</v>
      </c>
      <c r="L151" s="71"/>
      <c r="M151" s="72"/>
      <c r="N151" s="72"/>
      <c r="O151" s="73"/>
      <c r="P151" s="74"/>
      <c r="Q151" s="74"/>
      <c r="R151" s="86"/>
      <c r="S151" s="86"/>
      <c r="T151" s="86"/>
      <c r="U151" s="86"/>
      <c r="V151" s="48"/>
      <c r="W151" s="48"/>
      <c r="X151" s="48"/>
      <c r="Y151" s="48"/>
      <c r="Z151" s="47"/>
      <c r="AA151" s="69">
        <v>151</v>
      </c>
      <c r="AB151" s="69"/>
      <c r="AC151" s="70"/>
      <c r="AD151" s="76" t="s">
        <v>21964</v>
      </c>
      <c r="AE151" s="81" t="s">
        <v>21114</v>
      </c>
      <c r="AF151" s="76">
        <v>8</v>
      </c>
      <c r="AG151" s="76">
        <v>15</v>
      </c>
      <c r="AH151" s="76">
        <v>53</v>
      </c>
      <c r="AI151" s="76">
        <v>0</v>
      </c>
      <c r="AJ151" s="76">
        <v>0</v>
      </c>
      <c r="AK151" s="76">
        <v>53</v>
      </c>
      <c r="AL151" s="76" t="b">
        <v>0</v>
      </c>
      <c r="AM151" s="78">
        <v>44978.596574074072</v>
      </c>
      <c r="AN151" s="76"/>
      <c r="AO151" s="76" t="s">
        <v>23473</v>
      </c>
      <c r="AP151" s="83" t="str">
        <f>HYPERLINK("https://t.co/iHvhnCpA0o")</f>
        <v>https://t.co/iHvhnCpA0o</v>
      </c>
      <c r="AQ151" s="83" t="str">
        <f>HYPERLINK("http://www.funnybet.com")</f>
        <v>http://www.funnybet.com</v>
      </c>
      <c r="AR151" s="76" t="s">
        <v>24327</v>
      </c>
      <c r="AS151" s="76"/>
      <c r="AT151" s="76"/>
      <c r="AU151" s="76"/>
      <c r="AV151" s="76"/>
      <c r="AW151" s="83" t="str">
        <f>HYPERLINK("https://t.co/iHvhnCpA0o")</f>
        <v>https://t.co/iHvhnCpA0o</v>
      </c>
      <c r="AX151" s="76" t="b">
        <v>0</v>
      </c>
      <c r="AY151" s="76"/>
      <c r="AZ151" s="76"/>
      <c r="BA151" s="76" t="b">
        <v>0</v>
      </c>
      <c r="BB151" s="76" t="b">
        <v>1</v>
      </c>
      <c r="BC151" s="76" t="b">
        <v>1</v>
      </c>
      <c r="BD151" s="76" t="b">
        <v>0</v>
      </c>
      <c r="BE151" s="76" t="b">
        <v>0</v>
      </c>
      <c r="BF151" s="76" t="b">
        <v>0</v>
      </c>
      <c r="BG151" s="76" t="b">
        <v>0</v>
      </c>
      <c r="BH151" s="83" t="str">
        <f>HYPERLINK("https://pbs.twimg.com/profile_banners/1628036492839862272/1685682075")</f>
        <v>https://pbs.twimg.com/profile_banners/1628036492839862272/1685682075</v>
      </c>
      <c r="BI151" s="76"/>
      <c r="BJ151" s="76" t="s">
        <v>24935</v>
      </c>
      <c r="BK151" s="76" t="b">
        <v>0</v>
      </c>
      <c r="BL151" s="76"/>
      <c r="BM151" s="76" t="s">
        <v>66</v>
      </c>
      <c r="BN151" s="76" t="s">
        <v>24937</v>
      </c>
      <c r="BO151" s="83" t="str">
        <f>HYPERLINK("https://twitter.com/funnybetbrasil")</f>
        <v>https://twitter.com/funnybetbrasil</v>
      </c>
      <c r="BP151" s="2"/>
    </row>
    <row r="152" spans="1:68" x14ac:dyDescent="0.25">
      <c r="A152" s="62" t="s">
        <v>367</v>
      </c>
      <c r="B152" s="63"/>
      <c r="C152" s="63"/>
      <c r="D152" s="64"/>
      <c r="E152" s="66"/>
      <c r="F152" s="102" t="str">
        <f>HYPERLINK("https://abs.twimg.com/sticky/default_profile_images/default_profile_normal.png")</f>
        <v>https://abs.twimg.com/sticky/default_profile_images/default_profile_normal.png</v>
      </c>
      <c r="G152" s="63"/>
      <c r="H152" s="67"/>
      <c r="I152" s="68"/>
      <c r="J152" s="68"/>
      <c r="K152" s="67" t="s">
        <v>25086</v>
      </c>
      <c r="L152" s="71"/>
      <c r="M152" s="72"/>
      <c r="N152" s="72"/>
      <c r="O152" s="73"/>
      <c r="P152" s="74"/>
      <c r="Q152" s="74"/>
      <c r="R152" s="86"/>
      <c r="S152" s="86"/>
      <c r="T152" s="86"/>
      <c r="U152" s="86"/>
      <c r="V152" s="48"/>
      <c r="W152" s="48"/>
      <c r="X152" s="48"/>
      <c r="Y152" s="48"/>
      <c r="Z152" s="47"/>
      <c r="AA152" s="69">
        <v>152</v>
      </c>
      <c r="AB152" s="69"/>
      <c r="AC152" s="70"/>
      <c r="AD152" s="76" t="s">
        <v>21965</v>
      </c>
      <c r="AE152" s="81" t="s">
        <v>21115</v>
      </c>
      <c r="AF152" s="76">
        <v>1</v>
      </c>
      <c r="AG152" s="76">
        <v>10</v>
      </c>
      <c r="AH152" s="76">
        <v>377</v>
      </c>
      <c r="AI152" s="76">
        <v>0</v>
      </c>
      <c r="AJ152" s="76">
        <v>52</v>
      </c>
      <c r="AK152" s="76">
        <v>1</v>
      </c>
      <c r="AL152" s="76" t="b">
        <v>0</v>
      </c>
      <c r="AM152" s="78">
        <v>44249.143645833334</v>
      </c>
      <c r="AN152" s="76"/>
      <c r="AO152" s="76" t="s">
        <v>22087</v>
      </c>
      <c r="AP152" s="76"/>
      <c r="AQ152" s="76"/>
      <c r="AR152" s="76"/>
      <c r="AS152" s="76"/>
      <c r="AT152" s="76"/>
      <c r="AU152" s="76"/>
      <c r="AV152" s="76">
        <v>1.3721427118060401E+18</v>
      </c>
      <c r="AW152" s="76"/>
      <c r="AX152" s="76" t="b">
        <v>0</v>
      </c>
      <c r="AY152" s="76"/>
      <c r="AZ152" s="76"/>
      <c r="BA152" s="76" t="b">
        <v>0</v>
      </c>
      <c r="BB152" s="76" t="b">
        <v>0</v>
      </c>
      <c r="BC152" s="76" t="b">
        <v>1</v>
      </c>
      <c r="BD152" s="76" t="b">
        <v>1</v>
      </c>
      <c r="BE152" s="76" t="b">
        <v>0</v>
      </c>
      <c r="BF152" s="76" t="b">
        <v>0</v>
      </c>
      <c r="BG152" s="76" t="b">
        <v>0</v>
      </c>
      <c r="BH152" s="76"/>
      <c r="BI152" s="76"/>
      <c r="BJ152" s="76" t="s">
        <v>24935</v>
      </c>
      <c r="BK152" s="76" t="b">
        <v>0</v>
      </c>
      <c r="BL152" s="76"/>
      <c r="BM152" s="76" t="s">
        <v>66</v>
      </c>
      <c r="BN152" s="76" t="s">
        <v>24937</v>
      </c>
      <c r="BO152" s="83" t="str">
        <f>HYPERLINK("https://twitter.com/juliettefreer")</f>
        <v>https://twitter.com/juliettefreer</v>
      </c>
      <c r="BP152" s="2"/>
    </row>
    <row r="153" spans="1:68" x14ac:dyDescent="0.25">
      <c r="A153" s="62" t="s">
        <v>368</v>
      </c>
      <c r="B153" s="63"/>
      <c r="C153" s="63"/>
      <c r="D153" s="64"/>
      <c r="E153" s="66"/>
      <c r="F153" s="102" t="str">
        <f>HYPERLINK("https://pbs.twimg.com/profile_images/879694607281516546/csicG1gk_normal.jpg")</f>
        <v>https://pbs.twimg.com/profile_images/879694607281516546/csicG1gk_normal.jpg</v>
      </c>
      <c r="G153" s="63"/>
      <c r="H153" s="67"/>
      <c r="I153" s="68"/>
      <c r="J153" s="68"/>
      <c r="K153" s="67" t="s">
        <v>25087</v>
      </c>
      <c r="L153" s="71"/>
      <c r="M153" s="72"/>
      <c r="N153" s="72"/>
      <c r="O153" s="73"/>
      <c r="P153" s="74"/>
      <c r="Q153" s="74"/>
      <c r="R153" s="86"/>
      <c r="S153" s="86"/>
      <c r="T153" s="86"/>
      <c r="U153" s="86"/>
      <c r="V153" s="48"/>
      <c r="W153" s="48"/>
      <c r="X153" s="48"/>
      <c r="Y153" s="48"/>
      <c r="Z153" s="47"/>
      <c r="AA153" s="69">
        <v>153</v>
      </c>
      <c r="AB153" s="69"/>
      <c r="AC153" s="70"/>
      <c r="AD153" s="76" t="s">
        <v>21966</v>
      </c>
      <c r="AE153" s="81" t="s">
        <v>21116</v>
      </c>
      <c r="AF153" s="76">
        <v>51</v>
      </c>
      <c r="AG153" s="76">
        <v>3</v>
      </c>
      <c r="AH153" s="76">
        <v>1057</v>
      </c>
      <c r="AI153" s="76">
        <v>1</v>
      </c>
      <c r="AJ153" s="76">
        <v>0</v>
      </c>
      <c r="AK153" s="76">
        <v>1</v>
      </c>
      <c r="AL153" s="76" t="b">
        <v>0</v>
      </c>
      <c r="AM153" s="78">
        <v>42913.564398148148</v>
      </c>
      <c r="AN153" s="76"/>
      <c r="AO153" s="76"/>
      <c r="AP153" s="76"/>
      <c r="AQ153" s="76"/>
      <c r="AR153" s="76"/>
      <c r="AS153" s="76"/>
      <c r="AT153" s="76"/>
      <c r="AU153" s="76"/>
      <c r="AV153" s="76"/>
      <c r="AW153" s="76"/>
      <c r="AX153" s="76" t="b">
        <v>0</v>
      </c>
      <c r="AY153" s="76"/>
      <c r="AZ153" s="76"/>
      <c r="BA153" s="76" t="b">
        <v>0</v>
      </c>
      <c r="BB153" s="76" t="b">
        <v>1</v>
      </c>
      <c r="BC153" s="76" t="b">
        <v>1</v>
      </c>
      <c r="BD153" s="76" t="b">
        <v>0</v>
      </c>
      <c r="BE153" s="76" t="b">
        <v>0</v>
      </c>
      <c r="BF153" s="76" t="b">
        <v>0</v>
      </c>
      <c r="BG153" s="76" t="b">
        <v>0</v>
      </c>
      <c r="BH153" s="76"/>
      <c r="BI153" s="76"/>
      <c r="BJ153" s="76" t="s">
        <v>24935</v>
      </c>
      <c r="BK153" s="76" t="b">
        <v>0</v>
      </c>
      <c r="BL153" s="76"/>
      <c r="BM153" s="76" t="s">
        <v>66</v>
      </c>
      <c r="BN153" s="76" t="s">
        <v>24937</v>
      </c>
      <c r="BO153" s="83" t="str">
        <f>HYPERLINK("https://twitter.com/flor_de_lis_dis")</f>
        <v>https://twitter.com/flor_de_lis_dis</v>
      </c>
      <c r="BP153" s="2"/>
    </row>
    <row r="154" spans="1:68" x14ac:dyDescent="0.25">
      <c r="A154" s="62" t="s">
        <v>369</v>
      </c>
      <c r="B154" s="63"/>
      <c r="C154" s="63"/>
      <c r="D154" s="64"/>
      <c r="E154" s="66"/>
      <c r="F154" s="102" t="str">
        <f>HYPERLINK("https://pbs.twimg.com/profile_images/1670267731839516674/SWlz-VYQ_normal.jpg")</f>
        <v>https://pbs.twimg.com/profile_images/1670267731839516674/SWlz-VYQ_normal.jpg</v>
      </c>
      <c r="G154" s="63"/>
      <c r="H154" s="67"/>
      <c r="I154" s="68"/>
      <c r="J154" s="68"/>
      <c r="K154" s="67" t="s">
        <v>25088</v>
      </c>
      <c r="L154" s="71"/>
      <c r="M154" s="72"/>
      <c r="N154" s="72"/>
      <c r="O154" s="73"/>
      <c r="P154" s="74"/>
      <c r="Q154" s="74"/>
      <c r="R154" s="86"/>
      <c r="S154" s="86"/>
      <c r="T154" s="86"/>
      <c r="U154" s="86"/>
      <c r="V154" s="48"/>
      <c r="W154" s="48"/>
      <c r="X154" s="48"/>
      <c r="Y154" s="48"/>
      <c r="Z154" s="47"/>
      <c r="AA154" s="69">
        <v>154</v>
      </c>
      <c r="AB154" s="69"/>
      <c r="AC154" s="70"/>
      <c r="AD154" s="76" t="s">
        <v>21967</v>
      </c>
      <c r="AE154" s="81" t="s">
        <v>21117</v>
      </c>
      <c r="AF154" s="76">
        <v>4</v>
      </c>
      <c r="AG154" s="76">
        <v>24</v>
      </c>
      <c r="AH154" s="76">
        <v>126</v>
      </c>
      <c r="AI154" s="76">
        <v>0</v>
      </c>
      <c r="AJ154" s="76">
        <v>12</v>
      </c>
      <c r="AK154" s="76">
        <v>121</v>
      </c>
      <c r="AL154" s="76" t="b">
        <v>0</v>
      </c>
      <c r="AM154" s="78">
        <v>44992.735509259262</v>
      </c>
      <c r="AN154" s="76" t="s">
        <v>23117</v>
      </c>
      <c r="AO154" s="76" t="s">
        <v>23474</v>
      </c>
      <c r="AP154" s="83" t="str">
        <f>HYPERLINK("https://t.co/XHfzAopJry")</f>
        <v>https://t.co/XHfzAopJry</v>
      </c>
      <c r="AQ154" s="83" t="str">
        <f>HYPERLINK("https://bit.ly/danielaanile")</f>
        <v>https://bit.ly/danielaanile</v>
      </c>
      <c r="AR154" s="76" t="s">
        <v>24328</v>
      </c>
      <c r="AS154" s="76"/>
      <c r="AT154" s="76"/>
      <c r="AU154" s="76"/>
      <c r="AV154" s="76"/>
      <c r="AW154" s="83" t="str">
        <f>HYPERLINK("https://t.co/XHfzAopJry")</f>
        <v>https://t.co/XHfzAopJry</v>
      </c>
      <c r="AX154" s="76" t="b">
        <v>0</v>
      </c>
      <c r="AY154" s="76"/>
      <c r="AZ154" s="76"/>
      <c r="BA154" s="76" t="b">
        <v>0</v>
      </c>
      <c r="BB154" s="76" t="b">
        <v>1</v>
      </c>
      <c r="BC154" s="76" t="b">
        <v>1</v>
      </c>
      <c r="BD154" s="76" t="b">
        <v>0</v>
      </c>
      <c r="BE154" s="76" t="b">
        <v>0</v>
      </c>
      <c r="BF154" s="76" t="b">
        <v>0</v>
      </c>
      <c r="BG154" s="76" t="b">
        <v>0</v>
      </c>
      <c r="BH154" s="83" t="str">
        <f>HYPERLINK("https://pbs.twimg.com/profile_banners/1633160226848272411/1687484743")</f>
        <v>https://pbs.twimg.com/profile_banners/1633160226848272411/1687484743</v>
      </c>
      <c r="BI154" s="76"/>
      <c r="BJ154" s="76" t="s">
        <v>24935</v>
      </c>
      <c r="BK154" s="76" t="b">
        <v>0</v>
      </c>
      <c r="BL154" s="76"/>
      <c r="BM154" s="76" t="s">
        <v>66</v>
      </c>
      <c r="BN154" s="76" t="s">
        <v>24937</v>
      </c>
      <c r="BO154" s="83" t="str">
        <f>HYPERLINK("https://twitter.com/danieleanile_")</f>
        <v>https://twitter.com/danieleanile_</v>
      </c>
      <c r="BP154" s="2"/>
    </row>
    <row r="155" spans="1:68" x14ac:dyDescent="0.25">
      <c r="A155" s="62" t="s">
        <v>370</v>
      </c>
      <c r="B155" s="63"/>
      <c r="C155" s="63"/>
      <c r="D155" s="64"/>
      <c r="E155" s="66"/>
      <c r="F155" s="102" t="str">
        <f>HYPERLINK("https://pbs.twimg.com/profile_images/1679225822295588866/ZtU-cV9q_normal.jpg")</f>
        <v>https://pbs.twimg.com/profile_images/1679225822295588866/ZtU-cV9q_normal.jpg</v>
      </c>
      <c r="G155" s="63"/>
      <c r="H155" s="67"/>
      <c r="I155" s="68"/>
      <c r="J155" s="68"/>
      <c r="K155" s="67" t="s">
        <v>25089</v>
      </c>
      <c r="L155" s="71"/>
      <c r="M155" s="72"/>
      <c r="N155" s="72"/>
      <c r="O155" s="73"/>
      <c r="P155" s="74"/>
      <c r="Q155" s="74"/>
      <c r="R155" s="86"/>
      <c r="S155" s="86"/>
      <c r="T155" s="86"/>
      <c r="U155" s="86"/>
      <c r="V155" s="48"/>
      <c r="W155" s="48"/>
      <c r="X155" s="48"/>
      <c r="Y155" s="48"/>
      <c r="Z155" s="47"/>
      <c r="AA155" s="69">
        <v>155</v>
      </c>
      <c r="AB155" s="69"/>
      <c r="AC155" s="70"/>
      <c r="AD155" s="76" t="s">
        <v>21968</v>
      </c>
      <c r="AE155" s="81" t="s">
        <v>21118</v>
      </c>
      <c r="AF155" s="76">
        <v>520</v>
      </c>
      <c r="AG155" s="76">
        <v>1404</v>
      </c>
      <c r="AH155" s="76">
        <v>5365</v>
      </c>
      <c r="AI155" s="76">
        <v>6</v>
      </c>
      <c r="AJ155" s="76">
        <v>3041</v>
      </c>
      <c r="AK155" s="76">
        <v>283</v>
      </c>
      <c r="AL155" s="76" t="b">
        <v>0</v>
      </c>
      <c r="AM155" s="78">
        <v>43570.779930555553</v>
      </c>
      <c r="AN155" s="76" t="s">
        <v>14116</v>
      </c>
      <c r="AO155" s="76" t="s">
        <v>23475</v>
      </c>
      <c r="AP155" s="76"/>
      <c r="AQ155" s="76"/>
      <c r="AR155" s="76"/>
      <c r="AS155" s="76"/>
      <c r="AT155" s="76"/>
      <c r="AU155" s="76"/>
      <c r="AV155" s="76"/>
      <c r="AW155" s="76"/>
      <c r="AX155" s="76" t="b">
        <v>0</v>
      </c>
      <c r="AY155" s="76"/>
      <c r="AZ155" s="76"/>
      <c r="BA155" s="76" t="b">
        <v>0</v>
      </c>
      <c r="BB155" s="76" t="b">
        <v>1</v>
      </c>
      <c r="BC155" s="76" t="b">
        <v>1</v>
      </c>
      <c r="BD155" s="76" t="b">
        <v>0</v>
      </c>
      <c r="BE155" s="76" t="b">
        <v>1</v>
      </c>
      <c r="BF155" s="76" t="b">
        <v>0</v>
      </c>
      <c r="BG155" s="76" t="b">
        <v>0</v>
      </c>
      <c r="BH155" s="83" t="str">
        <f>HYPERLINK("https://pbs.twimg.com/profile_banners/1117860918665388038/1689193655")</f>
        <v>https://pbs.twimg.com/profile_banners/1117860918665388038/1689193655</v>
      </c>
      <c r="BI155" s="76"/>
      <c r="BJ155" s="76" t="s">
        <v>24935</v>
      </c>
      <c r="BK155" s="76" t="b">
        <v>0</v>
      </c>
      <c r="BL155" s="76"/>
      <c r="BM155" s="76" t="s">
        <v>66</v>
      </c>
      <c r="BN155" s="76" t="s">
        <v>24937</v>
      </c>
      <c r="BO155" s="83" t="str">
        <f>HYPERLINK("https://twitter.com/wilsonsoaresnu1")</f>
        <v>https://twitter.com/wilsonsoaresnu1</v>
      </c>
      <c r="BP155" s="2"/>
    </row>
    <row r="156" spans="1:68" x14ac:dyDescent="0.25">
      <c r="A156" s="62" t="s">
        <v>371</v>
      </c>
      <c r="B156" s="63"/>
      <c r="C156" s="63"/>
      <c r="D156" s="64"/>
      <c r="E156" s="66"/>
      <c r="F156" s="102" t="str">
        <f>HYPERLINK("https://pbs.twimg.com/profile_images/1701564071965806592/aMZQgcYd_normal.jpg")</f>
        <v>https://pbs.twimg.com/profile_images/1701564071965806592/aMZQgcYd_normal.jpg</v>
      </c>
      <c r="G156" s="63"/>
      <c r="H156" s="67"/>
      <c r="I156" s="68"/>
      <c r="J156" s="68"/>
      <c r="K156" s="67" t="s">
        <v>25090</v>
      </c>
      <c r="L156" s="71"/>
      <c r="M156" s="72"/>
      <c r="N156" s="72"/>
      <c r="O156" s="73"/>
      <c r="P156" s="74"/>
      <c r="Q156" s="74"/>
      <c r="R156" s="86"/>
      <c r="S156" s="86"/>
      <c r="T156" s="86"/>
      <c r="U156" s="86"/>
      <c r="V156" s="48"/>
      <c r="W156" s="48"/>
      <c r="X156" s="48"/>
      <c r="Y156" s="48"/>
      <c r="Z156" s="47"/>
      <c r="AA156" s="69">
        <v>156</v>
      </c>
      <c r="AB156" s="69"/>
      <c r="AC156" s="70"/>
      <c r="AD156" s="76" t="s">
        <v>21969</v>
      </c>
      <c r="AE156" s="81" t="s">
        <v>21119</v>
      </c>
      <c r="AF156" s="76">
        <v>22</v>
      </c>
      <c r="AG156" s="76">
        <v>236</v>
      </c>
      <c r="AH156" s="76">
        <v>280</v>
      </c>
      <c r="AI156" s="76">
        <v>0</v>
      </c>
      <c r="AJ156" s="76">
        <v>382</v>
      </c>
      <c r="AK156" s="76">
        <v>104</v>
      </c>
      <c r="AL156" s="76" t="b">
        <v>0</v>
      </c>
      <c r="AM156" s="78">
        <v>43803.879560185182</v>
      </c>
      <c r="AN156" s="76"/>
      <c r="AO156" s="76" t="s">
        <v>23476</v>
      </c>
      <c r="AP156" s="76"/>
      <c r="AQ156" s="76"/>
      <c r="AR156" s="76"/>
      <c r="AS156" s="76"/>
      <c r="AT156" s="76"/>
      <c r="AU156" s="76"/>
      <c r="AV156" s="76">
        <v>1.69696860302575E+18</v>
      </c>
      <c r="AW156" s="76"/>
      <c r="AX156" s="76" t="b">
        <v>0</v>
      </c>
      <c r="AY156" s="76"/>
      <c r="AZ156" s="76"/>
      <c r="BA156" s="76" t="b">
        <v>0</v>
      </c>
      <c r="BB156" s="76" t="b">
        <v>1</v>
      </c>
      <c r="BC156" s="76" t="b">
        <v>1</v>
      </c>
      <c r="BD156" s="76" t="b">
        <v>0</v>
      </c>
      <c r="BE156" s="76" t="b">
        <v>1</v>
      </c>
      <c r="BF156" s="76" t="b">
        <v>0</v>
      </c>
      <c r="BG156" s="76" t="b">
        <v>0</v>
      </c>
      <c r="BH156" s="83" t="str">
        <f>HYPERLINK("https://pbs.twimg.com/profile_banners/1202333318626369536/1693592427")</f>
        <v>https://pbs.twimg.com/profile_banners/1202333318626369536/1693592427</v>
      </c>
      <c r="BI156" s="76"/>
      <c r="BJ156" s="76" t="s">
        <v>24935</v>
      </c>
      <c r="BK156" s="76" t="b">
        <v>0</v>
      </c>
      <c r="BL156" s="76"/>
      <c r="BM156" s="76" t="s">
        <v>66</v>
      </c>
      <c r="BN156" s="76" t="s">
        <v>24937</v>
      </c>
      <c r="BO156" s="83" t="str">
        <f>HYPERLINK("https://twitter.com/maryap44615347")</f>
        <v>https://twitter.com/maryap44615347</v>
      </c>
      <c r="BP156" s="2"/>
    </row>
    <row r="157" spans="1:68" x14ac:dyDescent="0.25">
      <c r="A157" s="62" t="s">
        <v>372</v>
      </c>
      <c r="B157" s="63"/>
      <c r="C157" s="63"/>
      <c r="D157" s="64"/>
      <c r="E157" s="66"/>
      <c r="F157" s="102" t="str">
        <f>HYPERLINK("https://pbs.twimg.com/profile_images/1665669594776780809/oBKSQn5I_normal.jpg")</f>
        <v>https://pbs.twimg.com/profile_images/1665669594776780809/oBKSQn5I_normal.jpg</v>
      </c>
      <c r="G157" s="63"/>
      <c r="H157" s="67"/>
      <c r="I157" s="68"/>
      <c r="J157" s="68"/>
      <c r="K157" s="67" t="s">
        <v>25091</v>
      </c>
      <c r="L157" s="71"/>
      <c r="M157" s="72"/>
      <c r="N157" s="72"/>
      <c r="O157" s="73"/>
      <c r="P157" s="74"/>
      <c r="Q157" s="74"/>
      <c r="R157" s="86"/>
      <c r="S157" s="86"/>
      <c r="T157" s="86"/>
      <c r="U157" s="86"/>
      <c r="V157" s="48"/>
      <c r="W157" s="48"/>
      <c r="X157" s="48"/>
      <c r="Y157" s="48"/>
      <c r="Z157" s="47"/>
      <c r="AA157" s="69">
        <v>157</v>
      </c>
      <c r="AB157" s="69"/>
      <c r="AC157" s="70"/>
      <c r="AD157" s="76" t="s">
        <v>21970</v>
      </c>
      <c r="AE157" s="81" t="s">
        <v>21120</v>
      </c>
      <c r="AF157" s="76">
        <v>10</v>
      </c>
      <c r="AG157" s="76">
        <v>16</v>
      </c>
      <c r="AH157" s="76">
        <v>53</v>
      </c>
      <c r="AI157" s="76">
        <v>0</v>
      </c>
      <c r="AJ157" s="76">
        <v>450</v>
      </c>
      <c r="AK157" s="76">
        <v>1</v>
      </c>
      <c r="AL157" s="76" t="b">
        <v>0</v>
      </c>
      <c r="AM157" s="78">
        <v>44529.591180555559</v>
      </c>
      <c r="AN157" s="76" t="s">
        <v>23118</v>
      </c>
      <c r="AO157" s="76" t="s">
        <v>23477</v>
      </c>
      <c r="AP157" s="83" t="str">
        <f>HYPERLINK("https://t.co/9bLuTyYIZm")</f>
        <v>https://t.co/9bLuTyYIZm</v>
      </c>
      <c r="AQ157" s="83" t="str">
        <f>HYPERLINK("https://www.instagram.com/andrenegociosbr/")</f>
        <v>https://www.instagram.com/andrenegociosbr/</v>
      </c>
      <c r="AR157" s="76" t="s">
        <v>24329</v>
      </c>
      <c r="AS157" s="76"/>
      <c r="AT157" s="76"/>
      <c r="AU157" s="76"/>
      <c r="AV157" s="76"/>
      <c r="AW157" s="83" t="str">
        <f>HYPERLINK("https://t.co/9bLuTyYIZm")</f>
        <v>https://t.co/9bLuTyYIZm</v>
      </c>
      <c r="AX157" s="76" t="b">
        <v>0</v>
      </c>
      <c r="AY157" s="76"/>
      <c r="AZ157" s="76"/>
      <c r="BA157" s="76" t="b">
        <v>0</v>
      </c>
      <c r="BB157" s="76" t="b">
        <v>1</v>
      </c>
      <c r="BC157" s="76" t="b">
        <v>1</v>
      </c>
      <c r="BD157" s="76" t="b">
        <v>0</v>
      </c>
      <c r="BE157" s="76" t="b">
        <v>0</v>
      </c>
      <c r="BF157" s="76" t="b">
        <v>0</v>
      </c>
      <c r="BG157" s="76" t="b">
        <v>0</v>
      </c>
      <c r="BH157" s="83" t="str">
        <f>HYPERLINK("https://pbs.twimg.com/profile_banners/1465322324043964418/1685961678")</f>
        <v>https://pbs.twimg.com/profile_banners/1465322324043964418/1685961678</v>
      </c>
      <c r="BI157" s="76"/>
      <c r="BJ157" s="76" t="s">
        <v>24935</v>
      </c>
      <c r="BK157" s="76" t="b">
        <v>0</v>
      </c>
      <c r="BL157" s="76"/>
      <c r="BM157" s="76" t="s">
        <v>66</v>
      </c>
      <c r="BN157" s="76" t="s">
        <v>24937</v>
      </c>
      <c r="BO157" s="83" t="str">
        <f>HYPERLINK("https://twitter.com/andrenegociosbr")</f>
        <v>https://twitter.com/andrenegociosbr</v>
      </c>
      <c r="BP157" s="2"/>
    </row>
    <row r="158" spans="1:68" x14ac:dyDescent="0.25">
      <c r="A158" s="62" t="s">
        <v>373</v>
      </c>
      <c r="B158" s="63"/>
      <c r="C158" s="63"/>
      <c r="D158" s="64"/>
      <c r="E158" s="66"/>
      <c r="F158" s="102" t="str">
        <f>HYPERLINK("https://pbs.twimg.com/profile_images/1677704554153119744/EuoNUUa2_normal.jpg")</f>
        <v>https://pbs.twimg.com/profile_images/1677704554153119744/EuoNUUa2_normal.jpg</v>
      </c>
      <c r="G158" s="63"/>
      <c r="H158" s="67"/>
      <c r="I158" s="68"/>
      <c r="J158" s="68"/>
      <c r="K158" s="67" t="s">
        <v>25092</v>
      </c>
      <c r="L158" s="71"/>
      <c r="M158" s="72"/>
      <c r="N158" s="72"/>
      <c r="O158" s="73"/>
      <c r="P158" s="74"/>
      <c r="Q158" s="74"/>
      <c r="R158" s="86"/>
      <c r="S158" s="86"/>
      <c r="T158" s="86"/>
      <c r="U158" s="86"/>
      <c r="V158" s="48"/>
      <c r="W158" s="48"/>
      <c r="X158" s="48"/>
      <c r="Y158" s="48"/>
      <c r="Z158" s="47"/>
      <c r="AA158" s="69">
        <v>158</v>
      </c>
      <c r="AB158" s="69"/>
      <c r="AC158" s="70"/>
      <c r="AD158" s="76" t="s">
        <v>21971</v>
      </c>
      <c r="AE158" s="81" t="s">
        <v>22888</v>
      </c>
      <c r="AF158" s="76">
        <v>416</v>
      </c>
      <c r="AG158" s="76">
        <v>102</v>
      </c>
      <c r="AH158" s="76">
        <v>9</v>
      </c>
      <c r="AI158" s="76">
        <v>0</v>
      </c>
      <c r="AJ158" s="76">
        <v>12</v>
      </c>
      <c r="AK158" s="76">
        <v>12</v>
      </c>
      <c r="AL158" s="76" t="b">
        <v>0</v>
      </c>
      <c r="AM158" s="78">
        <v>40042.703333333331</v>
      </c>
      <c r="AN158" s="76" t="s">
        <v>23119</v>
      </c>
      <c r="AO158" s="76" t="s">
        <v>23478</v>
      </c>
      <c r="AP158" s="76"/>
      <c r="AQ158" s="76"/>
      <c r="AR158" s="76"/>
      <c r="AS158" s="76"/>
      <c r="AT158" s="76"/>
      <c r="AU158" s="76"/>
      <c r="AV158" s="76"/>
      <c r="AW158" s="76"/>
      <c r="AX158" s="76" t="b">
        <v>0</v>
      </c>
      <c r="AY158" s="76"/>
      <c r="AZ158" s="76"/>
      <c r="BA158" s="76" t="b">
        <v>0</v>
      </c>
      <c r="BB158" s="76" t="b">
        <v>1</v>
      </c>
      <c r="BC158" s="76" t="b">
        <v>0</v>
      </c>
      <c r="BD158" s="76" t="b">
        <v>0</v>
      </c>
      <c r="BE158" s="76" t="b">
        <v>0</v>
      </c>
      <c r="BF158" s="76" t="b">
        <v>0</v>
      </c>
      <c r="BG158" s="76" t="b">
        <v>0</v>
      </c>
      <c r="BH158" s="83" t="str">
        <f>HYPERLINK("https://pbs.twimg.com/profile_banners/66406376/1694011282")</f>
        <v>https://pbs.twimg.com/profile_banners/66406376/1694011282</v>
      </c>
      <c r="BI158" s="76"/>
      <c r="BJ158" s="76" t="s">
        <v>24935</v>
      </c>
      <c r="BK158" s="76" t="b">
        <v>0</v>
      </c>
      <c r="BL158" s="76"/>
      <c r="BM158" s="76" t="s">
        <v>66</v>
      </c>
      <c r="BN158" s="76" t="s">
        <v>24937</v>
      </c>
      <c r="BO158" s="83" t="str">
        <f>HYPERLINK("https://twitter.com/rickwareoficial")</f>
        <v>https://twitter.com/rickwareoficial</v>
      </c>
      <c r="BP158" s="2"/>
    </row>
    <row r="159" spans="1:68" x14ac:dyDescent="0.25">
      <c r="A159" s="62" t="s">
        <v>374</v>
      </c>
      <c r="B159" s="63"/>
      <c r="C159" s="63"/>
      <c r="D159" s="64"/>
      <c r="E159" s="66"/>
      <c r="F159" s="102" t="str">
        <f>HYPERLINK("https://pbs.twimg.com/profile_images/1651008849002782726/vnb0vQG1_normal.jpg")</f>
        <v>https://pbs.twimg.com/profile_images/1651008849002782726/vnb0vQG1_normal.jpg</v>
      </c>
      <c r="G159" s="63"/>
      <c r="H159" s="67"/>
      <c r="I159" s="68"/>
      <c r="J159" s="68"/>
      <c r="K159" s="67" t="s">
        <v>25093</v>
      </c>
      <c r="L159" s="71"/>
      <c r="M159" s="72"/>
      <c r="N159" s="72"/>
      <c r="O159" s="73"/>
      <c r="P159" s="74"/>
      <c r="Q159" s="74"/>
      <c r="R159" s="86"/>
      <c r="S159" s="86"/>
      <c r="T159" s="86"/>
      <c r="U159" s="86"/>
      <c r="V159" s="48"/>
      <c r="W159" s="48"/>
      <c r="X159" s="48"/>
      <c r="Y159" s="48"/>
      <c r="Z159" s="47"/>
      <c r="AA159" s="69">
        <v>159</v>
      </c>
      <c r="AB159" s="69"/>
      <c r="AC159" s="70"/>
      <c r="AD159" s="76" t="s">
        <v>21972</v>
      </c>
      <c r="AE159" s="81" t="s">
        <v>21121</v>
      </c>
      <c r="AF159" s="76">
        <v>57</v>
      </c>
      <c r="AG159" s="76">
        <v>630</v>
      </c>
      <c r="AH159" s="76">
        <v>22</v>
      </c>
      <c r="AI159" s="76">
        <v>0</v>
      </c>
      <c r="AJ159" s="76">
        <v>153</v>
      </c>
      <c r="AK159" s="76">
        <v>3</v>
      </c>
      <c r="AL159" s="76" t="b">
        <v>0</v>
      </c>
      <c r="AM159" s="78">
        <v>45041.987187500003</v>
      </c>
      <c r="AN159" s="76"/>
      <c r="AO159" s="76"/>
      <c r="AP159" s="76"/>
      <c r="AQ159" s="76"/>
      <c r="AR159" s="76"/>
      <c r="AS159" s="76"/>
      <c r="AT159" s="76"/>
      <c r="AU159" s="76"/>
      <c r="AV159" s="76"/>
      <c r="AW159" s="76"/>
      <c r="AX159" s="76" t="b">
        <v>0</v>
      </c>
      <c r="AY159" s="76"/>
      <c r="AZ159" s="76"/>
      <c r="BA159" s="76" t="b">
        <v>0</v>
      </c>
      <c r="BB159" s="76" t="b">
        <v>1</v>
      </c>
      <c r="BC159" s="76" t="b">
        <v>1</v>
      </c>
      <c r="BD159" s="76" t="b">
        <v>0</v>
      </c>
      <c r="BE159" s="76" t="b">
        <v>0</v>
      </c>
      <c r="BF159" s="76" t="b">
        <v>0</v>
      </c>
      <c r="BG159" s="76" t="b">
        <v>0</v>
      </c>
      <c r="BH159" s="76"/>
      <c r="BI159" s="76"/>
      <c r="BJ159" s="76" t="s">
        <v>24935</v>
      </c>
      <c r="BK159" s="76" t="b">
        <v>0</v>
      </c>
      <c r="BL159" s="76"/>
      <c r="BM159" s="76" t="s">
        <v>66</v>
      </c>
      <c r="BN159" s="76" t="s">
        <v>24937</v>
      </c>
      <c r="BO159" s="83" t="str">
        <f>HYPERLINK("https://twitter.com/ildefon24325870")</f>
        <v>https://twitter.com/ildefon24325870</v>
      </c>
      <c r="BP159" s="2"/>
    </row>
    <row r="160" spans="1:68" x14ac:dyDescent="0.25">
      <c r="A160" s="62" t="s">
        <v>375</v>
      </c>
      <c r="B160" s="63"/>
      <c r="C160" s="63"/>
      <c r="D160" s="64"/>
      <c r="E160" s="66"/>
      <c r="F160" s="102" t="str">
        <f>HYPERLINK("https://pbs.twimg.com/profile_images/1636502594523676675/KFHBgXLB_normal.jpg")</f>
        <v>https://pbs.twimg.com/profile_images/1636502594523676675/KFHBgXLB_normal.jpg</v>
      </c>
      <c r="G160" s="63"/>
      <c r="H160" s="67"/>
      <c r="I160" s="68"/>
      <c r="J160" s="68"/>
      <c r="K160" s="67" t="s">
        <v>25094</v>
      </c>
      <c r="L160" s="71"/>
      <c r="M160" s="72"/>
      <c r="N160" s="72"/>
      <c r="O160" s="73"/>
      <c r="P160" s="74"/>
      <c r="Q160" s="74"/>
      <c r="R160" s="86"/>
      <c r="S160" s="86"/>
      <c r="T160" s="86"/>
      <c r="U160" s="86"/>
      <c r="V160" s="48"/>
      <c r="W160" s="48"/>
      <c r="X160" s="48"/>
      <c r="Y160" s="48"/>
      <c r="Z160" s="47"/>
      <c r="AA160" s="69">
        <v>160</v>
      </c>
      <c r="AB160" s="69"/>
      <c r="AC160" s="70"/>
      <c r="AD160" s="76" t="s">
        <v>21973</v>
      </c>
      <c r="AE160" s="81" t="s">
        <v>21122</v>
      </c>
      <c r="AF160" s="76">
        <v>1</v>
      </c>
      <c r="AG160" s="76">
        <v>18</v>
      </c>
      <c r="AH160" s="76">
        <v>79</v>
      </c>
      <c r="AI160" s="76">
        <v>0</v>
      </c>
      <c r="AJ160" s="76">
        <v>661</v>
      </c>
      <c r="AK160" s="76">
        <v>7</v>
      </c>
      <c r="AL160" s="76" t="b">
        <v>0</v>
      </c>
      <c r="AM160" s="78">
        <v>43481.812407407408</v>
      </c>
      <c r="AN160" s="76"/>
      <c r="AO160" s="76" t="s">
        <v>23479</v>
      </c>
      <c r="AP160" s="76"/>
      <c r="AQ160" s="76"/>
      <c r="AR160" s="76"/>
      <c r="AS160" s="76"/>
      <c r="AT160" s="76"/>
      <c r="AU160" s="76"/>
      <c r="AV160" s="76">
        <v>1.08753386537843E+18</v>
      </c>
      <c r="AW160" s="76"/>
      <c r="AX160" s="76" t="b">
        <v>0</v>
      </c>
      <c r="AY160" s="76"/>
      <c r="AZ160" s="76"/>
      <c r="BA160" s="76" t="b">
        <v>0</v>
      </c>
      <c r="BB160" s="76" t="b">
        <v>1</v>
      </c>
      <c r="BC160" s="76" t="b">
        <v>1</v>
      </c>
      <c r="BD160" s="76" t="b">
        <v>0</v>
      </c>
      <c r="BE160" s="76" t="b">
        <v>1</v>
      </c>
      <c r="BF160" s="76" t="b">
        <v>0</v>
      </c>
      <c r="BG160" s="76" t="b">
        <v>0</v>
      </c>
      <c r="BH160" s="83" t="str">
        <f>HYPERLINK("https://pbs.twimg.com/profile_banners/1085620165440610305/1679007598")</f>
        <v>https://pbs.twimg.com/profile_banners/1085620165440610305/1679007598</v>
      </c>
      <c r="BI160" s="76"/>
      <c r="BJ160" s="76" t="s">
        <v>24935</v>
      </c>
      <c r="BK160" s="76" t="b">
        <v>0</v>
      </c>
      <c r="BL160" s="76"/>
      <c r="BM160" s="76" t="s">
        <v>66</v>
      </c>
      <c r="BN160" s="76" t="s">
        <v>24937</v>
      </c>
      <c r="BO160" s="83" t="str">
        <f>HYPERLINK("https://twitter.com/rafacotton")</f>
        <v>https://twitter.com/rafacotton</v>
      </c>
      <c r="BP160" s="2"/>
    </row>
    <row r="161" spans="1:68" x14ac:dyDescent="0.25">
      <c r="A161" s="62" t="s">
        <v>376</v>
      </c>
      <c r="B161" s="63"/>
      <c r="C161" s="63"/>
      <c r="D161" s="64"/>
      <c r="E161" s="66"/>
      <c r="F161" s="102" t="str">
        <f>HYPERLINK("https://pbs.twimg.com/profile_images/1641847128619208704/XYZBnwhT_normal.jpg")</f>
        <v>https://pbs.twimg.com/profile_images/1641847128619208704/XYZBnwhT_normal.jpg</v>
      </c>
      <c r="G161" s="63"/>
      <c r="H161" s="67"/>
      <c r="I161" s="68"/>
      <c r="J161" s="68"/>
      <c r="K161" s="67" t="s">
        <v>25095</v>
      </c>
      <c r="L161" s="71"/>
      <c r="M161" s="72"/>
      <c r="N161" s="72"/>
      <c r="O161" s="73"/>
      <c r="P161" s="74"/>
      <c r="Q161" s="74"/>
      <c r="R161" s="86"/>
      <c r="S161" s="86"/>
      <c r="T161" s="86"/>
      <c r="U161" s="86"/>
      <c r="V161" s="48"/>
      <c r="W161" s="48"/>
      <c r="X161" s="48"/>
      <c r="Y161" s="48"/>
      <c r="Z161" s="47"/>
      <c r="AA161" s="69">
        <v>161</v>
      </c>
      <c r="AB161" s="69"/>
      <c r="AC161" s="70"/>
      <c r="AD161" s="76" t="s">
        <v>21974</v>
      </c>
      <c r="AE161" s="81" t="s">
        <v>21123</v>
      </c>
      <c r="AF161" s="76">
        <v>0</v>
      </c>
      <c r="AG161" s="76">
        <v>5</v>
      </c>
      <c r="AH161" s="76">
        <v>9</v>
      </c>
      <c r="AI161" s="76">
        <v>0</v>
      </c>
      <c r="AJ161" s="76">
        <v>0</v>
      </c>
      <c r="AK161" s="76">
        <v>3</v>
      </c>
      <c r="AL161" s="76" t="b">
        <v>0</v>
      </c>
      <c r="AM161" s="78">
        <v>45016.706145833334</v>
      </c>
      <c r="AN161" s="76"/>
      <c r="AO161" s="76" t="s">
        <v>23480</v>
      </c>
      <c r="AP161" s="83" t="str">
        <f>HYPERLINK("https://t.co/ONRQxA35B4")</f>
        <v>https://t.co/ONRQxA35B4</v>
      </c>
      <c r="AQ161" s="83" t="str">
        <f>HYPERLINK("https://linktr.ee/Rendaextraemdolar23")</f>
        <v>https://linktr.ee/Rendaextraemdolar23</v>
      </c>
      <c r="AR161" s="76" t="s">
        <v>24330</v>
      </c>
      <c r="AS161" s="76"/>
      <c r="AT161" s="76"/>
      <c r="AU161" s="76"/>
      <c r="AV161" s="76"/>
      <c r="AW161" s="83" t="str">
        <f>HYPERLINK("https://t.co/ONRQxA35B4")</f>
        <v>https://t.co/ONRQxA35B4</v>
      </c>
      <c r="AX161" s="76" t="b">
        <v>0</v>
      </c>
      <c r="AY161" s="76"/>
      <c r="AZ161" s="76"/>
      <c r="BA161" s="76" t="b">
        <v>0</v>
      </c>
      <c r="BB161" s="76" t="b">
        <v>1</v>
      </c>
      <c r="BC161" s="76" t="b">
        <v>1</v>
      </c>
      <c r="BD161" s="76" t="b">
        <v>0</v>
      </c>
      <c r="BE161" s="76" t="b">
        <v>0</v>
      </c>
      <c r="BF161" s="76" t="b">
        <v>0</v>
      </c>
      <c r="BG161" s="76" t="b">
        <v>0</v>
      </c>
      <c r="BH161" s="83" t="str">
        <f>HYPERLINK("https://pbs.twimg.com/profile_banners/1641846990425186304/1680282116")</f>
        <v>https://pbs.twimg.com/profile_banners/1641846990425186304/1680282116</v>
      </c>
      <c r="BI161" s="76"/>
      <c r="BJ161" s="76" t="s">
        <v>24935</v>
      </c>
      <c r="BK161" s="76" t="b">
        <v>0</v>
      </c>
      <c r="BL161" s="76"/>
      <c r="BM161" s="76" t="s">
        <v>66</v>
      </c>
      <c r="BN161" s="76" t="s">
        <v>24937</v>
      </c>
      <c r="BO161" s="83" t="str">
        <f>HYPERLINK("https://twitter.com/rendadolar")</f>
        <v>https://twitter.com/rendadolar</v>
      </c>
      <c r="BP161" s="2"/>
    </row>
    <row r="162" spans="1:68" x14ac:dyDescent="0.25">
      <c r="A162" s="62" t="s">
        <v>377</v>
      </c>
      <c r="B162" s="63"/>
      <c r="C162" s="63"/>
      <c r="D162" s="64"/>
      <c r="E162" s="66"/>
      <c r="F162" s="102" t="str">
        <f>HYPERLINK("https://pbs.twimg.com/profile_images/1627265666586755072/xplavE7D_normal.jpg")</f>
        <v>https://pbs.twimg.com/profile_images/1627265666586755072/xplavE7D_normal.jpg</v>
      </c>
      <c r="G162" s="63"/>
      <c r="H162" s="67"/>
      <c r="I162" s="68"/>
      <c r="J162" s="68"/>
      <c r="K162" s="67" t="s">
        <v>25096</v>
      </c>
      <c r="L162" s="71"/>
      <c r="M162" s="72"/>
      <c r="N162" s="72"/>
      <c r="O162" s="73"/>
      <c r="P162" s="74"/>
      <c r="Q162" s="74"/>
      <c r="R162" s="86"/>
      <c r="S162" s="86"/>
      <c r="T162" s="86"/>
      <c r="U162" s="86"/>
      <c r="V162" s="48"/>
      <c r="W162" s="48"/>
      <c r="X162" s="48"/>
      <c r="Y162" s="48"/>
      <c r="Z162" s="47"/>
      <c r="AA162" s="69">
        <v>162</v>
      </c>
      <c r="AB162" s="69"/>
      <c r="AC162" s="70"/>
      <c r="AD162" s="76" t="s">
        <v>21975</v>
      </c>
      <c r="AE162" s="81" t="s">
        <v>21124</v>
      </c>
      <c r="AF162" s="76">
        <v>0</v>
      </c>
      <c r="AG162" s="76">
        <v>1</v>
      </c>
      <c r="AH162" s="76">
        <v>3</v>
      </c>
      <c r="AI162" s="76">
        <v>0</v>
      </c>
      <c r="AJ162" s="76">
        <v>0</v>
      </c>
      <c r="AK162" s="76">
        <v>3</v>
      </c>
      <c r="AL162" s="76" t="b">
        <v>0</v>
      </c>
      <c r="AM162" s="78">
        <v>44976.465717592589</v>
      </c>
      <c r="AN162" s="76"/>
      <c r="AO162" s="76" t="s">
        <v>23481</v>
      </c>
      <c r="AP162" s="76"/>
      <c r="AQ162" s="76"/>
      <c r="AR162" s="76"/>
      <c r="AS162" s="76"/>
      <c r="AT162" s="76"/>
      <c r="AU162" s="76"/>
      <c r="AV162" s="76"/>
      <c r="AW162" s="76"/>
      <c r="AX162" s="76" t="b">
        <v>0</v>
      </c>
      <c r="AY162" s="76"/>
      <c r="AZ162" s="76"/>
      <c r="BA162" s="76" t="b">
        <v>0</v>
      </c>
      <c r="BB162" s="76" t="b">
        <v>1</v>
      </c>
      <c r="BC162" s="76" t="b">
        <v>1</v>
      </c>
      <c r="BD162" s="76" t="b">
        <v>0</v>
      </c>
      <c r="BE162" s="76" t="b">
        <v>0</v>
      </c>
      <c r="BF162" s="76" t="b">
        <v>0</v>
      </c>
      <c r="BG162" s="76" t="b">
        <v>0</v>
      </c>
      <c r="BH162" s="83" t="str">
        <f>HYPERLINK("https://pbs.twimg.com/profile_banners/1627264310610124802/1676805341")</f>
        <v>https://pbs.twimg.com/profile_banners/1627264310610124802/1676805341</v>
      </c>
      <c r="BI162" s="76"/>
      <c r="BJ162" s="76" t="s">
        <v>24935</v>
      </c>
      <c r="BK162" s="76" t="b">
        <v>0</v>
      </c>
      <c r="BL162" s="76"/>
      <c r="BM162" s="76" t="s">
        <v>66</v>
      </c>
      <c r="BN162" s="76" t="s">
        <v>24937</v>
      </c>
      <c r="BO162" s="83" t="str">
        <f>HYPERLINK("https://twitter.com/nixinmarketing")</f>
        <v>https://twitter.com/nixinmarketing</v>
      </c>
      <c r="BP162" s="2"/>
    </row>
    <row r="163" spans="1:68" x14ac:dyDescent="0.25">
      <c r="A163" s="62" t="s">
        <v>378</v>
      </c>
      <c r="B163" s="63"/>
      <c r="C163" s="63"/>
      <c r="D163" s="64"/>
      <c r="E163" s="66"/>
      <c r="F163" s="102" t="str">
        <f>HYPERLINK("https://pbs.twimg.com/profile_images/1623461840859668481/9bFt_JL6_normal.jpg")</f>
        <v>https://pbs.twimg.com/profile_images/1623461840859668481/9bFt_JL6_normal.jpg</v>
      </c>
      <c r="G163" s="63"/>
      <c r="H163" s="67"/>
      <c r="I163" s="68"/>
      <c r="J163" s="68"/>
      <c r="K163" s="67" t="s">
        <v>25097</v>
      </c>
      <c r="L163" s="71"/>
      <c r="M163" s="72"/>
      <c r="N163" s="72"/>
      <c r="O163" s="73"/>
      <c r="P163" s="74"/>
      <c r="Q163" s="74"/>
      <c r="R163" s="86"/>
      <c r="S163" s="86"/>
      <c r="T163" s="86"/>
      <c r="U163" s="86"/>
      <c r="V163" s="48"/>
      <c r="W163" s="48"/>
      <c r="X163" s="48"/>
      <c r="Y163" s="48"/>
      <c r="Z163" s="47"/>
      <c r="AA163" s="69">
        <v>163</v>
      </c>
      <c r="AB163" s="69"/>
      <c r="AC163" s="70"/>
      <c r="AD163" s="76" t="s">
        <v>21976</v>
      </c>
      <c r="AE163" s="81" t="s">
        <v>21125</v>
      </c>
      <c r="AF163" s="76">
        <v>114</v>
      </c>
      <c r="AG163" s="76">
        <v>174</v>
      </c>
      <c r="AH163" s="76">
        <v>969</v>
      </c>
      <c r="AI163" s="76">
        <v>0</v>
      </c>
      <c r="AJ163" s="76">
        <v>676</v>
      </c>
      <c r="AK163" s="76">
        <v>46</v>
      </c>
      <c r="AL163" s="76" t="b">
        <v>0</v>
      </c>
      <c r="AM163" s="78">
        <v>43509.470335648148</v>
      </c>
      <c r="AN163" s="76" t="s">
        <v>14041</v>
      </c>
      <c r="AO163" s="76" t="s">
        <v>23482</v>
      </c>
      <c r="AP163" s="76"/>
      <c r="AQ163" s="76"/>
      <c r="AR163" s="76"/>
      <c r="AS163" s="76"/>
      <c r="AT163" s="76"/>
      <c r="AU163" s="76"/>
      <c r="AV163" s="76">
        <v>1.64228247523267E+18</v>
      </c>
      <c r="AW163" s="76"/>
      <c r="AX163" s="76" t="b">
        <v>0</v>
      </c>
      <c r="AY163" s="76"/>
      <c r="AZ163" s="76"/>
      <c r="BA163" s="76" t="b">
        <v>1</v>
      </c>
      <c r="BB163" s="76" t="b">
        <v>1</v>
      </c>
      <c r="BC163" s="76" t="b">
        <v>1</v>
      </c>
      <c r="BD163" s="76" t="b">
        <v>0</v>
      </c>
      <c r="BE163" s="76" t="b">
        <v>1</v>
      </c>
      <c r="BF163" s="76" t="b">
        <v>0</v>
      </c>
      <c r="BG163" s="76" t="b">
        <v>0</v>
      </c>
      <c r="BH163" s="83" t="str">
        <f>HYPERLINK("https://pbs.twimg.com/profile_banners/1095643066545958913/1679937483")</f>
        <v>https://pbs.twimg.com/profile_banners/1095643066545958913/1679937483</v>
      </c>
      <c r="BI163" s="76"/>
      <c r="BJ163" s="76" t="s">
        <v>24935</v>
      </c>
      <c r="BK163" s="76" t="b">
        <v>0</v>
      </c>
      <c r="BL163" s="76"/>
      <c r="BM163" s="76" t="s">
        <v>66</v>
      </c>
      <c r="BN163" s="76" t="s">
        <v>24937</v>
      </c>
      <c r="BO163" s="83" t="str">
        <f>HYPERLINK("https://twitter.com/omarcelopassos")</f>
        <v>https://twitter.com/omarcelopassos</v>
      </c>
      <c r="BP163" s="2"/>
    </row>
    <row r="164" spans="1:68" x14ac:dyDescent="0.25">
      <c r="A164" s="62" t="s">
        <v>379</v>
      </c>
      <c r="B164" s="63"/>
      <c r="C164" s="63"/>
      <c r="D164" s="64"/>
      <c r="E164" s="66"/>
      <c r="F164" s="102" t="str">
        <f>HYPERLINK("https://pbs.twimg.com/profile_images/1602029790306992130/f4N00p5U_normal.jpg")</f>
        <v>https://pbs.twimg.com/profile_images/1602029790306992130/f4N00p5U_normal.jpg</v>
      </c>
      <c r="G164" s="63"/>
      <c r="H164" s="67"/>
      <c r="I164" s="68"/>
      <c r="J164" s="68"/>
      <c r="K164" s="67" t="s">
        <v>25098</v>
      </c>
      <c r="L164" s="71"/>
      <c r="M164" s="72"/>
      <c r="N164" s="72"/>
      <c r="O164" s="73"/>
      <c r="P164" s="74"/>
      <c r="Q164" s="74"/>
      <c r="R164" s="86"/>
      <c r="S164" s="86"/>
      <c r="T164" s="86"/>
      <c r="U164" s="86"/>
      <c r="V164" s="48"/>
      <c r="W164" s="48"/>
      <c r="X164" s="48"/>
      <c r="Y164" s="48"/>
      <c r="Z164" s="47"/>
      <c r="AA164" s="69">
        <v>164</v>
      </c>
      <c r="AB164" s="69"/>
      <c r="AC164" s="70"/>
      <c r="AD164" s="76" t="s">
        <v>21977</v>
      </c>
      <c r="AE164" s="81" t="s">
        <v>22889</v>
      </c>
      <c r="AF164" s="76">
        <v>25</v>
      </c>
      <c r="AG164" s="76">
        <v>1626</v>
      </c>
      <c r="AH164" s="76">
        <v>323</v>
      </c>
      <c r="AI164" s="76">
        <v>0</v>
      </c>
      <c r="AJ164" s="76">
        <v>545</v>
      </c>
      <c r="AK164" s="76">
        <v>21</v>
      </c>
      <c r="AL164" s="76" t="b">
        <v>0</v>
      </c>
      <c r="AM164" s="78">
        <v>40171.672453703701</v>
      </c>
      <c r="AN164" s="76" t="s">
        <v>23120</v>
      </c>
      <c r="AO164" s="76" t="s">
        <v>23483</v>
      </c>
      <c r="AP164" s="76"/>
      <c r="AQ164" s="76"/>
      <c r="AR164" s="76"/>
      <c r="AS164" s="76"/>
      <c r="AT164" s="76"/>
      <c r="AU164" s="76"/>
      <c r="AV164" s="76"/>
      <c r="AW164" s="76"/>
      <c r="AX164" s="76" t="b">
        <v>0</v>
      </c>
      <c r="AY164" s="76"/>
      <c r="AZ164" s="76"/>
      <c r="BA164" s="76" t="b">
        <v>0</v>
      </c>
      <c r="BB164" s="76" t="b">
        <v>0</v>
      </c>
      <c r="BC164" s="76" t="b">
        <v>1</v>
      </c>
      <c r="BD164" s="76" t="b">
        <v>0</v>
      </c>
      <c r="BE164" s="76" t="b">
        <v>1</v>
      </c>
      <c r="BF164" s="76" t="b">
        <v>0</v>
      </c>
      <c r="BG164" s="76" t="b">
        <v>0</v>
      </c>
      <c r="BH164" s="83" t="str">
        <f>HYPERLINK("https://pbs.twimg.com/profile_banners/99128672/1670788641")</f>
        <v>https://pbs.twimg.com/profile_banners/99128672/1670788641</v>
      </c>
      <c r="BI164" s="76"/>
      <c r="BJ164" s="76" t="s">
        <v>24935</v>
      </c>
      <c r="BK164" s="76" t="b">
        <v>0</v>
      </c>
      <c r="BL164" s="76"/>
      <c r="BM164" s="76" t="s">
        <v>66</v>
      </c>
      <c r="BN164" s="76" t="s">
        <v>24937</v>
      </c>
      <c r="BO164" s="83" t="str">
        <f>HYPERLINK("https://twitter.com/ionarlinda")</f>
        <v>https://twitter.com/ionarlinda</v>
      </c>
      <c r="BP164" s="2"/>
    </row>
    <row r="165" spans="1:68" x14ac:dyDescent="0.25">
      <c r="A165" s="62" t="s">
        <v>380</v>
      </c>
      <c r="B165" s="63"/>
      <c r="C165" s="63"/>
      <c r="D165" s="64"/>
      <c r="E165" s="66"/>
      <c r="F165" s="102" t="str">
        <f>HYPERLINK("https://pbs.twimg.com/profile_images/1630680807638482945/Ja3yi9UT_normal.jpg")</f>
        <v>https://pbs.twimg.com/profile_images/1630680807638482945/Ja3yi9UT_normal.jpg</v>
      </c>
      <c r="G165" s="63"/>
      <c r="H165" s="67"/>
      <c r="I165" s="68"/>
      <c r="J165" s="68"/>
      <c r="K165" s="67" t="s">
        <v>25099</v>
      </c>
      <c r="L165" s="71"/>
      <c r="M165" s="72"/>
      <c r="N165" s="72"/>
      <c r="O165" s="73"/>
      <c r="P165" s="74"/>
      <c r="Q165" s="74"/>
      <c r="R165" s="86"/>
      <c r="S165" s="86"/>
      <c r="T165" s="86"/>
      <c r="U165" s="86"/>
      <c r="V165" s="48"/>
      <c r="W165" s="48"/>
      <c r="X165" s="48"/>
      <c r="Y165" s="48"/>
      <c r="Z165" s="47"/>
      <c r="AA165" s="69">
        <v>165</v>
      </c>
      <c r="AB165" s="69"/>
      <c r="AC165" s="70"/>
      <c r="AD165" s="76" t="s">
        <v>21978</v>
      </c>
      <c r="AE165" s="81" t="s">
        <v>21126</v>
      </c>
      <c r="AF165" s="76">
        <v>0</v>
      </c>
      <c r="AG165" s="76">
        <v>8</v>
      </c>
      <c r="AH165" s="76">
        <v>6</v>
      </c>
      <c r="AI165" s="76">
        <v>0</v>
      </c>
      <c r="AJ165" s="76">
        <v>0</v>
      </c>
      <c r="AK165" s="76">
        <v>6</v>
      </c>
      <c r="AL165" s="76" t="b">
        <v>0</v>
      </c>
      <c r="AM165" s="78">
        <v>44985.892905092594</v>
      </c>
      <c r="AN165" s="76"/>
      <c r="AO165" s="76" t="s">
        <v>23484</v>
      </c>
      <c r="AP165" s="83" t="str">
        <f>HYPERLINK("https://t.co/qr0ap8Mxss")</f>
        <v>https://t.co/qr0ap8Mxss</v>
      </c>
      <c r="AQ165" s="83" t="str">
        <f>HYPERLINK("https://p.eduzz.com/1807487")</f>
        <v>https://p.eduzz.com/1807487</v>
      </c>
      <c r="AR165" s="76" t="s">
        <v>24331</v>
      </c>
      <c r="AS165" s="76"/>
      <c r="AT165" s="76"/>
      <c r="AU165" s="76"/>
      <c r="AV165" s="76">
        <v>1.63068358512751E+18</v>
      </c>
      <c r="AW165" s="83" t="str">
        <f>HYPERLINK("https://t.co/qr0ap8Mxss")</f>
        <v>https://t.co/qr0ap8Mxss</v>
      </c>
      <c r="AX165" s="76" t="b">
        <v>0</v>
      </c>
      <c r="AY165" s="76"/>
      <c r="AZ165" s="76"/>
      <c r="BA165" s="76" t="b">
        <v>0</v>
      </c>
      <c r="BB165" s="76" t="b">
        <v>1</v>
      </c>
      <c r="BC165" s="76" t="b">
        <v>1</v>
      </c>
      <c r="BD165" s="76" t="b">
        <v>0</v>
      </c>
      <c r="BE165" s="76" t="b">
        <v>0</v>
      </c>
      <c r="BF165" s="76" t="b">
        <v>0</v>
      </c>
      <c r="BG165" s="76" t="b">
        <v>0</v>
      </c>
      <c r="BH165" s="83" t="str">
        <f>HYPERLINK("https://pbs.twimg.com/profile_banners/1630680618945204224/1677620616")</f>
        <v>https://pbs.twimg.com/profile_banners/1630680618945204224/1677620616</v>
      </c>
      <c r="BI165" s="76"/>
      <c r="BJ165" s="76" t="s">
        <v>24935</v>
      </c>
      <c r="BK165" s="76" t="b">
        <v>0</v>
      </c>
      <c r="BL165" s="76"/>
      <c r="BM165" s="76" t="s">
        <v>66</v>
      </c>
      <c r="BN165" s="76" t="s">
        <v>24937</v>
      </c>
      <c r="BO165" s="83" t="str">
        <f>HYPERLINK("https://twitter.com/cons1erika")</f>
        <v>https://twitter.com/cons1erika</v>
      </c>
      <c r="BP165" s="2"/>
    </row>
    <row r="166" spans="1:68" x14ac:dyDescent="0.25">
      <c r="A166" s="62" t="s">
        <v>381</v>
      </c>
      <c r="B166" s="63"/>
      <c r="C166" s="63"/>
      <c r="D166" s="64"/>
      <c r="E166" s="66"/>
      <c r="F166" s="102" t="str">
        <f>HYPERLINK("https://pbs.twimg.com/profile_images/1701201746448568321/BYp3eTEA_normal.jpg")</f>
        <v>https://pbs.twimg.com/profile_images/1701201746448568321/BYp3eTEA_normal.jpg</v>
      </c>
      <c r="G166" s="63"/>
      <c r="H166" s="67"/>
      <c r="I166" s="68"/>
      <c r="J166" s="68"/>
      <c r="K166" s="67" t="s">
        <v>25100</v>
      </c>
      <c r="L166" s="71"/>
      <c r="M166" s="72"/>
      <c r="N166" s="72"/>
      <c r="O166" s="73"/>
      <c r="P166" s="74"/>
      <c r="Q166" s="74"/>
      <c r="R166" s="86"/>
      <c r="S166" s="86"/>
      <c r="T166" s="86"/>
      <c r="U166" s="86"/>
      <c r="V166" s="48"/>
      <c r="W166" s="48"/>
      <c r="X166" s="48"/>
      <c r="Y166" s="48"/>
      <c r="Z166" s="47"/>
      <c r="AA166" s="69">
        <v>166</v>
      </c>
      <c r="AB166" s="69"/>
      <c r="AC166" s="70"/>
      <c r="AD166" s="76" t="s">
        <v>21979</v>
      </c>
      <c r="AE166" s="81" t="s">
        <v>21127</v>
      </c>
      <c r="AF166" s="76">
        <v>130</v>
      </c>
      <c r="AG166" s="76">
        <v>739</v>
      </c>
      <c r="AH166" s="76">
        <v>4173</v>
      </c>
      <c r="AI166" s="76">
        <v>0</v>
      </c>
      <c r="AJ166" s="76">
        <v>4475</v>
      </c>
      <c r="AK166" s="76">
        <v>240</v>
      </c>
      <c r="AL166" s="76" t="b">
        <v>0</v>
      </c>
      <c r="AM166" s="78">
        <v>42988.761712962965</v>
      </c>
      <c r="AN166" s="76" t="s">
        <v>23121</v>
      </c>
      <c r="AO166" s="76" t="s">
        <v>23485</v>
      </c>
      <c r="AP166" s="83" t="str">
        <f>HYPERLINK("https://t.co/7qmnBrGAsm")</f>
        <v>https://t.co/7qmnBrGAsm</v>
      </c>
      <c r="AQ166" s="83" t="str">
        <f>HYPERLINK("http://www.radioarenabr.com")</f>
        <v>http://www.radioarenabr.com</v>
      </c>
      <c r="AR166" s="76" t="s">
        <v>24332</v>
      </c>
      <c r="AS166" s="76"/>
      <c r="AT166" s="76"/>
      <c r="AU166" s="76"/>
      <c r="AV166" s="76">
        <v>1.5701924692114401E+18</v>
      </c>
      <c r="AW166" s="83" t="str">
        <f>HYPERLINK("https://t.co/7qmnBrGAsm")</f>
        <v>https://t.co/7qmnBrGAsm</v>
      </c>
      <c r="AX166" s="76" t="b">
        <v>0</v>
      </c>
      <c r="AY166" s="76"/>
      <c r="AZ166" s="76"/>
      <c r="BA166" s="76" t="b">
        <v>0</v>
      </c>
      <c r="BB166" s="76" t="b">
        <v>1</v>
      </c>
      <c r="BC166" s="76" t="b">
        <v>1</v>
      </c>
      <c r="BD166" s="76" t="b">
        <v>0</v>
      </c>
      <c r="BE166" s="76" t="b">
        <v>0</v>
      </c>
      <c r="BF166" s="76" t="b">
        <v>0</v>
      </c>
      <c r="BG166" s="76" t="b">
        <v>0</v>
      </c>
      <c r="BH166" s="83" t="str">
        <f>HYPERLINK("https://pbs.twimg.com/profile_banners/906944579236220928/1672773738")</f>
        <v>https://pbs.twimg.com/profile_banners/906944579236220928/1672773738</v>
      </c>
      <c r="BI166" s="76"/>
      <c r="BJ166" s="76" t="s">
        <v>24935</v>
      </c>
      <c r="BK166" s="76" t="b">
        <v>0</v>
      </c>
      <c r="BL166" s="76"/>
      <c r="BM166" s="76" t="s">
        <v>66</v>
      </c>
      <c r="BN166" s="76" t="s">
        <v>24937</v>
      </c>
      <c r="BO166" s="83" t="str">
        <f>HYPERLINK("https://twitter.com/ophandrade")</f>
        <v>https://twitter.com/ophandrade</v>
      </c>
      <c r="BP166" s="2"/>
    </row>
    <row r="167" spans="1:68" x14ac:dyDescent="0.25">
      <c r="A167" s="62" t="s">
        <v>382</v>
      </c>
      <c r="B167" s="63"/>
      <c r="C167" s="63"/>
      <c r="D167" s="64"/>
      <c r="E167" s="66"/>
      <c r="F167" s="102" t="str">
        <f>HYPERLINK("https://pbs.twimg.com/profile_images/1683507635058884608/kH-uWWgM_normal.jpg")</f>
        <v>https://pbs.twimg.com/profile_images/1683507635058884608/kH-uWWgM_normal.jpg</v>
      </c>
      <c r="G167" s="63"/>
      <c r="H167" s="67"/>
      <c r="I167" s="68"/>
      <c r="J167" s="68"/>
      <c r="K167" s="67" t="s">
        <v>25101</v>
      </c>
      <c r="L167" s="71"/>
      <c r="M167" s="72"/>
      <c r="N167" s="72"/>
      <c r="O167" s="73"/>
      <c r="P167" s="74"/>
      <c r="Q167" s="74"/>
      <c r="R167" s="86"/>
      <c r="S167" s="86"/>
      <c r="T167" s="86"/>
      <c r="U167" s="86"/>
      <c r="V167" s="48"/>
      <c r="W167" s="48"/>
      <c r="X167" s="48"/>
      <c r="Y167" s="48"/>
      <c r="Z167" s="47"/>
      <c r="AA167" s="69">
        <v>167</v>
      </c>
      <c r="AB167" s="69"/>
      <c r="AC167" s="70"/>
      <c r="AD167" s="76" t="s">
        <v>21980</v>
      </c>
      <c r="AE167" s="81" t="s">
        <v>21128</v>
      </c>
      <c r="AF167" s="76">
        <v>5</v>
      </c>
      <c r="AG167" s="76">
        <v>5</v>
      </c>
      <c r="AH167" s="76">
        <v>75</v>
      </c>
      <c r="AI167" s="76">
        <v>0</v>
      </c>
      <c r="AJ167" s="76">
        <v>7</v>
      </c>
      <c r="AK167" s="76">
        <v>67</v>
      </c>
      <c r="AL167" s="76" t="b">
        <v>0</v>
      </c>
      <c r="AM167" s="78">
        <v>44725.945972222224</v>
      </c>
      <c r="AN167" s="76"/>
      <c r="AO167" s="76" t="s">
        <v>23486</v>
      </c>
      <c r="AP167" s="76"/>
      <c r="AQ167" s="76"/>
      <c r="AR167" s="76"/>
      <c r="AS167" s="76"/>
      <c r="AT167" s="76"/>
      <c r="AU167" s="76"/>
      <c r="AV167" s="76"/>
      <c r="AW167" s="76"/>
      <c r="AX167" s="76" t="b">
        <v>0</v>
      </c>
      <c r="AY167" s="76"/>
      <c r="AZ167" s="76"/>
      <c r="BA167" s="76" t="b">
        <v>0</v>
      </c>
      <c r="BB167" s="76" t="b">
        <v>1</v>
      </c>
      <c r="BC167" s="76" t="b">
        <v>1</v>
      </c>
      <c r="BD167" s="76" t="b">
        <v>0</v>
      </c>
      <c r="BE167" s="76" t="b">
        <v>0</v>
      </c>
      <c r="BF167" s="76" t="b">
        <v>0</v>
      </c>
      <c r="BG167" s="76" t="b">
        <v>0</v>
      </c>
      <c r="BH167" s="76"/>
      <c r="BI167" s="76"/>
      <c r="BJ167" s="76" t="s">
        <v>24935</v>
      </c>
      <c r="BK167" s="76" t="b">
        <v>0</v>
      </c>
      <c r="BL167" s="76"/>
      <c r="BM167" s="76" t="s">
        <v>66</v>
      </c>
      <c r="BN167" s="76" t="s">
        <v>24937</v>
      </c>
      <c r="BO167" s="83" t="str">
        <f>HYPERLINK("https://twitter.com/negralho2")</f>
        <v>https://twitter.com/negralho2</v>
      </c>
      <c r="BP167" s="2"/>
    </row>
    <row r="168" spans="1:68" x14ac:dyDescent="0.25">
      <c r="A168" s="62" t="s">
        <v>383</v>
      </c>
      <c r="B168" s="63"/>
      <c r="C168" s="63"/>
      <c r="D168" s="64"/>
      <c r="E168" s="66"/>
      <c r="F168" s="102" t="str">
        <f>HYPERLINK("https://pbs.twimg.com/profile_images/1572574720574234627/ixSQ9Fca_normal.jpg")</f>
        <v>https://pbs.twimg.com/profile_images/1572574720574234627/ixSQ9Fca_normal.jpg</v>
      </c>
      <c r="G168" s="63"/>
      <c r="H168" s="67"/>
      <c r="I168" s="68"/>
      <c r="J168" s="68"/>
      <c r="K168" s="67" t="s">
        <v>25102</v>
      </c>
      <c r="L168" s="71"/>
      <c r="M168" s="72"/>
      <c r="N168" s="72"/>
      <c r="O168" s="73"/>
      <c r="P168" s="74"/>
      <c r="Q168" s="74"/>
      <c r="R168" s="86"/>
      <c r="S168" s="86"/>
      <c r="T168" s="86"/>
      <c r="U168" s="86"/>
      <c r="V168" s="48"/>
      <c r="W168" s="48"/>
      <c r="X168" s="48"/>
      <c r="Y168" s="48"/>
      <c r="Z168" s="47"/>
      <c r="AA168" s="69">
        <v>168</v>
      </c>
      <c r="AB168" s="69"/>
      <c r="AC168" s="70"/>
      <c r="AD168" s="76" t="s">
        <v>21981</v>
      </c>
      <c r="AE168" s="81" t="s">
        <v>21129</v>
      </c>
      <c r="AF168" s="76">
        <v>3</v>
      </c>
      <c r="AG168" s="76">
        <v>3</v>
      </c>
      <c r="AH168" s="76">
        <v>219</v>
      </c>
      <c r="AI168" s="76">
        <v>0</v>
      </c>
      <c r="AJ168" s="76">
        <v>56</v>
      </c>
      <c r="AK168" s="76">
        <v>53</v>
      </c>
      <c r="AL168" s="76" t="b">
        <v>0</v>
      </c>
      <c r="AM168" s="78">
        <v>44825.54954861111</v>
      </c>
      <c r="AN168" s="76"/>
      <c r="AO168" s="76" t="s">
        <v>23487</v>
      </c>
      <c r="AP168" s="83" t="str">
        <f>HYPERLINK("https://t.co/6IXfRvmbGC")</f>
        <v>https://t.co/6IXfRvmbGC</v>
      </c>
      <c r="AQ168" s="83" t="str">
        <f>HYPERLINK("https://shope.ee/7Uf5pXK5s9")</f>
        <v>https://shope.ee/7Uf5pXK5s9</v>
      </c>
      <c r="AR168" s="76" t="s">
        <v>24333</v>
      </c>
      <c r="AS168" s="76"/>
      <c r="AT168" s="76"/>
      <c r="AU168" s="76"/>
      <c r="AV168" s="76">
        <v>1.6377812638210099E+18</v>
      </c>
      <c r="AW168" s="83" t="str">
        <f>HYPERLINK("https://t.co/6IXfRvmbGC")</f>
        <v>https://t.co/6IXfRvmbGC</v>
      </c>
      <c r="AX168" s="76" t="b">
        <v>0</v>
      </c>
      <c r="AY168" s="76"/>
      <c r="AZ168" s="76"/>
      <c r="BA168" s="76" t="b">
        <v>0</v>
      </c>
      <c r="BB168" s="76" t="b">
        <v>1</v>
      </c>
      <c r="BC168" s="76" t="b">
        <v>1</v>
      </c>
      <c r="BD168" s="76" t="b">
        <v>0</v>
      </c>
      <c r="BE168" s="76" t="b">
        <v>1</v>
      </c>
      <c r="BF168" s="76" t="b">
        <v>0</v>
      </c>
      <c r="BG168" s="76" t="b">
        <v>0</v>
      </c>
      <c r="BH168" s="83" t="str">
        <f>HYPERLINK("https://pbs.twimg.com/profile_banners/1572574140594372608/1663951204")</f>
        <v>https://pbs.twimg.com/profile_banners/1572574140594372608/1663951204</v>
      </c>
      <c r="BI168" s="76"/>
      <c r="BJ168" s="76" t="s">
        <v>24935</v>
      </c>
      <c r="BK168" s="76" t="b">
        <v>0</v>
      </c>
      <c r="BL168" s="76"/>
      <c r="BM168" s="76" t="s">
        <v>66</v>
      </c>
      <c r="BN168" s="76" t="s">
        <v>24937</v>
      </c>
      <c r="BO168" s="83" t="str">
        <f>HYPERLINK("https://twitter.com/edudias007")</f>
        <v>https://twitter.com/edudias007</v>
      </c>
      <c r="BP168" s="2"/>
    </row>
    <row r="169" spans="1:68" x14ac:dyDescent="0.25">
      <c r="A169" s="62" t="s">
        <v>384</v>
      </c>
      <c r="B169" s="63"/>
      <c r="C169" s="63"/>
      <c r="D169" s="64"/>
      <c r="E169" s="66"/>
      <c r="F169" s="102" t="str">
        <f>HYPERLINK("https://pbs.twimg.com/profile_images/1575901848195809281/KAregsAR_normal.jpg")</f>
        <v>https://pbs.twimg.com/profile_images/1575901848195809281/KAregsAR_normal.jpg</v>
      </c>
      <c r="G169" s="63"/>
      <c r="H169" s="67"/>
      <c r="I169" s="68"/>
      <c r="J169" s="68"/>
      <c r="K169" s="67" t="s">
        <v>25103</v>
      </c>
      <c r="L169" s="71"/>
      <c r="M169" s="72"/>
      <c r="N169" s="72"/>
      <c r="O169" s="73"/>
      <c r="P169" s="74"/>
      <c r="Q169" s="74"/>
      <c r="R169" s="86"/>
      <c r="S169" s="86"/>
      <c r="T169" s="86"/>
      <c r="U169" s="86"/>
      <c r="V169" s="48"/>
      <c r="W169" s="48"/>
      <c r="X169" s="48"/>
      <c r="Y169" s="48"/>
      <c r="Z169" s="47"/>
      <c r="AA169" s="69">
        <v>169</v>
      </c>
      <c r="AB169" s="69"/>
      <c r="AC169" s="70"/>
      <c r="AD169" s="76" t="s">
        <v>21982</v>
      </c>
      <c r="AE169" s="81" t="s">
        <v>22890</v>
      </c>
      <c r="AF169" s="76">
        <v>194</v>
      </c>
      <c r="AG169" s="76">
        <v>1834</v>
      </c>
      <c r="AH169" s="76">
        <v>97</v>
      </c>
      <c r="AI169" s="76">
        <v>0</v>
      </c>
      <c r="AJ169" s="76">
        <v>8</v>
      </c>
      <c r="AK169" s="76">
        <v>79</v>
      </c>
      <c r="AL169" s="76" t="b">
        <v>0</v>
      </c>
      <c r="AM169" s="78">
        <v>41692.90929398148</v>
      </c>
      <c r="AN169" s="76" t="s">
        <v>23122</v>
      </c>
      <c r="AO169" s="76" t="s">
        <v>23488</v>
      </c>
      <c r="AP169" s="83" t="str">
        <f>HYPERLINK("https://t.co/reWeWVYift")</f>
        <v>https://t.co/reWeWVYift</v>
      </c>
      <c r="AQ169" s="83" t="str">
        <f>HYPERLINK("https://tiagocamargo.buscamelhores.com.br/")</f>
        <v>https://tiagocamargo.buscamelhores.com.br/</v>
      </c>
      <c r="AR169" s="76" t="s">
        <v>24334</v>
      </c>
      <c r="AS169" s="76"/>
      <c r="AT169" s="76"/>
      <c r="AU169" s="76"/>
      <c r="AV169" s="76">
        <v>1.6326675505919201E+18</v>
      </c>
      <c r="AW169" s="83" t="str">
        <f>HYPERLINK("https://t.co/reWeWVYift")</f>
        <v>https://t.co/reWeWVYift</v>
      </c>
      <c r="AX169" s="76" t="b">
        <v>0</v>
      </c>
      <c r="AY169" s="76"/>
      <c r="AZ169" s="76"/>
      <c r="BA169" s="76" t="b">
        <v>0</v>
      </c>
      <c r="BB169" s="76" t="b">
        <v>1</v>
      </c>
      <c r="BC169" s="76" t="b">
        <v>0</v>
      </c>
      <c r="BD169" s="76" t="b">
        <v>0</v>
      </c>
      <c r="BE169" s="76" t="b">
        <v>0</v>
      </c>
      <c r="BF169" s="76" t="b">
        <v>0</v>
      </c>
      <c r="BG169" s="76" t="b">
        <v>0</v>
      </c>
      <c r="BH169" s="83" t="str">
        <f>HYPERLINK("https://pbs.twimg.com/profile_banners/2356982354/1664559688")</f>
        <v>https://pbs.twimg.com/profile_banners/2356982354/1664559688</v>
      </c>
      <c r="BI169" s="76"/>
      <c r="BJ169" s="76" t="s">
        <v>24935</v>
      </c>
      <c r="BK169" s="76" t="b">
        <v>0</v>
      </c>
      <c r="BL169" s="76"/>
      <c r="BM169" s="76" t="s">
        <v>66</v>
      </c>
      <c r="BN169" s="76" t="s">
        <v>24937</v>
      </c>
      <c r="BO169" s="83" t="str">
        <f>HYPERLINK("https://twitter.com/cantorparafesta")</f>
        <v>https://twitter.com/cantorparafesta</v>
      </c>
      <c r="BP169" s="2"/>
    </row>
    <row r="170" spans="1:68" x14ac:dyDescent="0.25">
      <c r="A170" s="62" t="s">
        <v>385</v>
      </c>
      <c r="B170" s="63"/>
      <c r="C170" s="63"/>
      <c r="D170" s="64"/>
      <c r="E170" s="66"/>
      <c r="F170" s="102" t="str">
        <f>HYPERLINK("https://pbs.twimg.com/profile_images/1613935197732364289/GaEpArku_normal.jpg")</f>
        <v>https://pbs.twimg.com/profile_images/1613935197732364289/GaEpArku_normal.jpg</v>
      </c>
      <c r="G170" s="63"/>
      <c r="H170" s="67"/>
      <c r="I170" s="68"/>
      <c r="J170" s="68"/>
      <c r="K170" s="67" t="s">
        <v>25104</v>
      </c>
      <c r="L170" s="71"/>
      <c r="M170" s="72"/>
      <c r="N170" s="72"/>
      <c r="O170" s="73"/>
      <c r="P170" s="74"/>
      <c r="Q170" s="74"/>
      <c r="R170" s="86"/>
      <c r="S170" s="86"/>
      <c r="T170" s="86"/>
      <c r="U170" s="86"/>
      <c r="V170" s="48"/>
      <c r="W170" s="48"/>
      <c r="X170" s="48"/>
      <c r="Y170" s="48"/>
      <c r="Z170" s="47"/>
      <c r="AA170" s="69">
        <v>170</v>
      </c>
      <c r="AB170" s="69"/>
      <c r="AC170" s="70"/>
      <c r="AD170" s="76" t="s">
        <v>21983</v>
      </c>
      <c r="AE170" s="81" t="s">
        <v>20910</v>
      </c>
      <c r="AF170" s="76">
        <v>14</v>
      </c>
      <c r="AG170" s="76">
        <v>191</v>
      </c>
      <c r="AH170" s="76">
        <v>53</v>
      </c>
      <c r="AI170" s="76">
        <v>0</v>
      </c>
      <c r="AJ170" s="76">
        <v>22</v>
      </c>
      <c r="AK170" s="76">
        <v>18</v>
      </c>
      <c r="AL170" s="76" t="b">
        <v>0</v>
      </c>
      <c r="AM170" s="78">
        <v>44939.682974537034</v>
      </c>
      <c r="AN170" s="76"/>
      <c r="AO170" s="76" t="s">
        <v>23489</v>
      </c>
      <c r="AP170" s="76"/>
      <c r="AQ170" s="76"/>
      <c r="AR170" s="76"/>
      <c r="AS170" s="83" t="str">
        <f>HYPERLINK("https://t.co/GxWhwLyFPQ")</f>
        <v>https://t.co/GxWhwLyFPQ</v>
      </c>
      <c r="AT170" s="83" t="str">
        <f>HYPERLINK("http://go.hotmart.com/L78388156D")</f>
        <v>http://go.hotmart.com/L78388156D</v>
      </c>
      <c r="AU170" s="76" t="s">
        <v>24858</v>
      </c>
      <c r="AV170" s="76"/>
      <c r="AW170" s="76"/>
      <c r="AX170" s="76" t="b">
        <v>0</v>
      </c>
      <c r="AY170" s="76"/>
      <c r="AZ170" s="76"/>
      <c r="BA170" s="76" t="b">
        <v>0</v>
      </c>
      <c r="BB170" s="76" t="b">
        <v>1</v>
      </c>
      <c r="BC170" s="76" t="b">
        <v>1</v>
      </c>
      <c r="BD170" s="76" t="b">
        <v>0</v>
      </c>
      <c r="BE170" s="76" t="b">
        <v>0</v>
      </c>
      <c r="BF170" s="76" t="b">
        <v>0</v>
      </c>
      <c r="BG170" s="76" t="b">
        <v>0</v>
      </c>
      <c r="BH170" s="83" t="str">
        <f>HYPERLINK("https://pbs.twimg.com/profile_banners/1613934719632117763/1673630007")</f>
        <v>https://pbs.twimg.com/profile_banners/1613934719632117763/1673630007</v>
      </c>
      <c r="BI170" s="76"/>
      <c r="BJ170" s="76" t="s">
        <v>24935</v>
      </c>
      <c r="BK170" s="76" t="b">
        <v>0</v>
      </c>
      <c r="BL170" s="76"/>
      <c r="BM170" s="76" t="s">
        <v>66</v>
      </c>
      <c r="BN170" s="76" t="s">
        <v>24937</v>
      </c>
      <c r="BO170" s="83" t="str">
        <f>HYPERLINK("https://twitter.com/mktdigital2023")</f>
        <v>https://twitter.com/mktdigital2023</v>
      </c>
      <c r="BP170" s="2"/>
    </row>
    <row r="171" spans="1:68" x14ac:dyDescent="0.25">
      <c r="A171" s="62" t="s">
        <v>386</v>
      </c>
      <c r="B171" s="63"/>
      <c r="C171" s="63"/>
      <c r="D171" s="64"/>
      <c r="E171" s="66"/>
      <c r="F171" s="102" t="str">
        <f>HYPERLINK("https://pbs.twimg.com/profile_images/1526860222920151040/Oaadf20y_normal.png")</f>
        <v>https://pbs.twimg.com/profile_images/1526860222920151040/Oaadf20y_normal.png</v>
      </c>
      <c r="G171" s="63"/>
      <c r="H171" s="67"/>
      <c r="I171" s="68"/>
      <c r="J171" s="68"/>
      <c r="K171" s="67" t="s">
        <v>25105</v>
      </c>
      <c r="L171" s="71"/>
      <c r="M171" s="72"/>
      <c r="N171" s="72"/>
      <c r="O171" s="73"/>
      <c r="P171" s="74"/>
      <c r="Q171" s="74"/>
      <c r="R171" s="86"/>
      <c r="S171" s="86"/>
      <c r="T171" s="86"/>
      <c r="U171" s="86"/>
      <c r="V171" s="48"/>
      <c r="W171" s="48"/>
      <c r="X171" s="48"/>
      <c r="Y171" s="48"/>
      <c r="Z171" s="47"/>
      <c r="AA171" s="69">
        <v>171</v>
      </c>
      <c r="AB171" s="69"/>
      <c r="AC171" s="70"/>
      <c r="AD171" s="76" t="s">
        <v>21984</v>
      </c>
      <c r="AE171" s="81" t="s">
        <v>21130</v>
      </c>
      <c r="AF171" s="76">
        <v>1952</v>
      </c>
      <c r="AG171" s="76">
        <v>92</v>
      </c>
      <c r="AH171" s="76">
        <v>491</v>
      </c>
      <c r="AI171" s="76">
        <v>1</v>
      </c>
      <c r="AJ171" s="76">
        <v>46</v>
      </c>
      <c r="AK171" s="76">
        <v>406</v>
      </c>
      <c r="AL171" s="76" t="b">
        <v>0</v>
      </c>
      <c r="AM171" s="78">
        <v>44538.049618055556</v>
      </c>
      <c r="AN171" s="76" t="s">
        <v>14033</v>
      </c>
      <c r="AO171" s="76" t="s">
        <v>23490</v>
      </c>
      <c r="AP171" s="83" t="str">
        <f>HYPERLINK("https://t.co/sXWrfu2AJS")</f>
        <v>https://t.co/sXWrfu2AJS</v>
      </c>
      <c r="AQ171" s="83" t="str">
        <f>HYPERLINK("https://www.Smashup23.com/")</f>
        <v>https://www.Smashup23.com/</v>
      </c>
      <c r="AR171" s="76" t="s">
        <v>24335</v>
      </c>
      <c r="AS171" s="83" t="str">
        <f>HYPERLINK("https://t.co/sR7kOeRx3n")</f>
        <v>https://t.co/sR7kOeRx3n</v>
      </c>
      <c r="AT171" s="83" t="str">
        <f>HYPERLINK("http://smashup23.com")</f>
        <v>http://smashup23.com</v>
      </c>
      <c r="AU171" s="76" t="s">
        <v>24859</v>
      </c>
      <c r="AV171" s="76"/>
      <c r="AW171" s="83" t="str">
        <f>HYPERLINK("https://t.co/sXWrfu2AJS")</f>
        <v>https://t.co/sXWrfu2AJS</v>
      </c>
      <c r="AX171" s="76" t="b">
        <v>0</v>
      </c>
      <c r="AY171" s="76"/>
      <c r="AZ171" s="76"/>
      <c r="BA171" s="76" t="b">
        <v>0</v>
      </c>
      <c r="BB171" s="76" t="b">
        <v>1</v>
      </c>
      <c r="BC171" s="76" t="b">
        <v>1</v>
      </c>
      <c r="BD171" s="76" t="b">
        <v>0</v>
      </c>
      <c r="BE171" s="76" t="b">
        <v>0</v>
      </c>
      <c r="BF171" s="76" t="b">
        <v>0</v>
      </c>
      <c r="BG171" s="76" t="b">
        <v>0</v>
      </c>
      <c r="BH171" s="83" t="str">
        <f>HYPERLINK("https://pbs.twimg.com/profile_banners/1468387611064823808/1678778326")</f>
        <v>https://pbs.twimg.com/profile_banners/1468387611064823808/1678778326</v>
      </c>
      <c r="BI171" s="76"/>
      <c r="BJ171" s="76" t="s">
        <v>24935</v>
      </c>
      <c r="BK171" s="76" t="b">
        <v>0</v>
      </c>
      <c r="BL171" s="76"/>
      <c r="BM171" s="76" t="s">
        <v>66</v>
      </c>
      <c r="BN171" s="76" t="s">
        <v>24937</v>
      </c>
      <c r="BO171" s="83" t="str">
        <f>HYPERLINK("https://twitter.com/smashupbrazil")</f>
        <v>https://twitter.com/smashupbrazil</v>
      </c>
      <c r="BP171" s="2"/>
    </row>
    <row r="172" spans="1:68" x14ac:dyDescent="0.25">
      <c r="A172" s="62" t="s">
        <v>387</v>
      </c>
      <c r="B172" s="63"/>
      <c r="C172" s="63"/>
      <c r="D172" s="64"/>
      <c r="E172" s="66"/>
      <c r="F172" s="102" t="str">
        <f>HYPERLINK("https://pbs.twimg.com/profile_images/1658506101166428160/ld5VNOJj_normal.jpg")</f>
        <v>https://pbs.twimg.com/profile_images/1658506101166428160/ld5VNOJj_normal.jpg</v>
      </c>
      <c r="G172" s="63"/>
      <c r="H172" s="67"/>
      <c r="I172" s="68"/>
      <c r="J172" s="68"/>
      <c r="K172" s="67" t="s">
        <v>25106</v>
      </c>
      <c r="L172" s="71"/>
      <c r="M172" s="72"/>
      <c r="N172" s="72"/>
      <c r="O172" s="73"/>
      <c r="P172" s="74"/>
      <c r="Q172" s="74"/>
      <c r="R172" s="86"/>
      <c r="S172" s="86"/>
      <c r="T172" s="86"/>
      <c r="U172" s="86"/>
      <c r="V172" s="48"/>
      <c r="W172" s="48"/>
      <c r="X172" s="48"/>
      <c r="Y172" s="48"/>
      <c r="Z172" s="47"/>
      <c r="AA172" s="69">
        <v>172</v>
      </c>
      <c r="AB172" s="69"/>
      <c r="AC172" s="70"/>
      <c r="AD172" s="76" t="s">
        <v>21985</v>
      </c>
      <c r="AE172" s="81" t="s">
        <v>21131</v>
      </c>
      <c r="AF172" s="76">
        <v>0</v>
      </c>
      <c r="AG172" s="76">
        <v>13</v>
      </c>
      <c r="AH172" s="76">
        <v>36</v>
      </c>
      <c r="AI172" s="76">
        <v>0</v>
      </c>
      <c r="AJ172" s="76">
        <v>9</v>
      </c>
      <c r="AK172" s="76">
        <v>2</v>
      </c>
      <c r="AL172" s="76" t="b">
        <v>0</v>
      </c>
      <c r="AM172" s="78">
        <v>45041.751076388886</v>
      </c>
      <c r="AN172" s="76"/>
      <c r="AO172" s="76" t="s">
        <v>23491</v>
      </c>
      <c r="AP172" s="76"/>
      <c r="AQ172" s="76"/>
      <c r="AR172" s="76"/>
      <c r="AS172" s="76"/>
      <c r="AT172" s="76"/>
      <c r="AU172" s="76"/>
      <c r="AV172" s="76"/>
      <c r="AW172" s="76"/>
      <c r="AX172" s="76" t="b">
        <v>0</v>
      </c>
      <c r="AY172" s="76"/>
      <c r="AZ172" s="76"/>
      <c r="BA172" s="76" t="b">
        <v>0</v>
      </c>
      <c r="BB172" s="76" t="b">
        <v>1</v>
      </c>
      <c r="BC172" s="76" t="b">
        <v>1</v>
      </c>
      <c r="BD172" s="76" t="b">
        <v>0</v>
      </c>
      <c r="BE172" s="76" t="b">
        <v>0</v>
      </c>
      <c r="BF172" s="76" t="b">
        <v>0</v>
      </c>
      <c r="BG172" s="76" t="b">
        <v>0</v>
      </c>
      <c r="BH172" s="83" t="str">
        <f>HYPERLINK("https://pbs.twimg.com/profile_banners/1650922962516582407/1684253855")</f>
        <v>https://pbs.twimg.com/profile_banners/1650922962516582407/1684253855</v>
      </c>
      <c r="BI172" s="76"/>
      <c r="BJ172" s="76" t="s">
        <v>24935</v>
      </c>
      <c r="BK172" s="76" t="b">
        <v>0</v>
      </c>
      <c r="BL172" s="76"/>
      <c r="BM172" s="76" t="s">
        <v>66</v>
      </c>
      <c r="BN172" s="76" t="s">
        <v>24937</v>
      </c>
      <c r="BO172" s="83" t="str">
        <f>HYPERLINK("https://twitter.com/mariaap84148514")</f>
        <v>https://twitter.com/mariaap84148514</v>
      </c>
      <c r="BP172" s="2"/>
    </row>
    <row r="173" spans="1:68" x14ac:dyDescent="0.25">
      <c r="A173" s="62" t="s">
        <v>388</v>
      </c>
      <c r="B173" s="63"/>
      <c r="C173" s="63"/>
      <c r="D173" s="64"/>
      <c r="E173" s="66"/>
      <c r="F173" s="102" t="str">
        <f>HYPERLINK("https://pbs.twimg.com/profile_images/1647965281023655937/QmyqHWpl_normal.jpg")</f>
        <v>https://pbs.twimg.com/profile_images/1647965281023655937/QmyqHWpl_normal.jpg</v>
      </c>
      <c r="G173" s="63"/>
      <c r="H173" s="67"/>
      <c r="I173" s="68"/>
      <c r="J173" s="68"/>
      <c r="K173" s="67" t="s">
        <v>25107</v>
      </c>
      <c r="L173" s="71"/>
      <c r="M173" s="72"/>
      <c r="N173" s="72"/>
      <c r="O173" s="73"/>
      <c r="P173" s="74"/>
      <c r="Q173" s="74"/>
      <c r="R173" s="86"/>
      <c r="S173" s="86"/>
      <c r="T173" s="86"/>
      <c r="U173" s="86"/>
      <c r="V173" s="48"/>
      <c r="W173" s="48"/>
      <c r="X173" s="48"/>
      <c r="Y173" s="48"/>
      <c r="Z173" s="47"/>
      <c r="AA173" s="69">
        <v>173</v>
      </c>
      <c r="AB173" s="69"/>
      <c r="AC173" s="70"/>
      <c r="AD173" s="76" t="s">
        <v>21986</v>
      </c>
      <c r="AE173" s="81" t="s">
        <v>21132</v>
      </c>
      <c r="AF173" s="76">
        <v>335</v>
      </c>
      <c r="AG173" s="76">
        <v>296</v>
      </c>
      <c r="AH173" s="76">
        <v>4968</v>
      </c>
      <c r="AI173" s="76">
        <v>0</v>
      </c>
      <c r="AJ173" s="76">
        <v>28576</v>
      </c>
      <c r="AK173" s="76">
        <v>304</v>
      </c>
      <c r="AL173" s="76" t="b">
        <v>0</v>
      </c>
      <c r="AM173" s="78">
        <v>44673.677476851852</v>
      </c>
      <c r="AN173" s="76" t="s">
        <v>14051</v>
      </c>
      <c r="AO173" s="76"/>
      <c r="AP173" s="76"/>
      <c r="AQ173" s="76"/>
      <c r="AR173" s="76"/>
      <c r="AS173" s="76"/>
      <c r="AT173" s="76"/>
      <c r="AU173" s="76"/>
      <c r="AV173" s="76">
        <v>1.51754044542914E+18</v>
      </c>
      <c r="AW173" s="76"/>
      <c r="AX173" s="76" t="b">
        <v>0</v>
      </c>
      <c r="AY173" s="76"/>
      <c r="AZ173" s="76"/>
      <c r="BA173" s="76" t="b">
        <v>0</v>
      </c>
      <c r="BB173" s="76" t="b">
        <v>1</v>
      </c>
      <c r="BC173" s="76" t="b">
        <v>1</v>
      </c>
      <c r="BD173" s="76" t="b">
        <v>0</v>
      </c>
      <c r="BE173" s="76" t="b">
        <v>1</v>
      </c>
      <c r="BF173" s="76" t="b">
        <v>0</v>
      </c>
      <c r="BG173" s="76" t="b">
        <v>0</v>
      </c>
      <c r="BH173" s="76"/>
      <c r="BI173" s="76"/>
      <c r="BJ173" s="76" t="s">
        <v>24935</v>
      </c>
      <c r="BK173" s="76" t="b">
        <v>0</v>
      </c>
      <c r="BL173" s="76"/>
      <c r="BM173" s="76" t="s">
        <v>66</v>
      </c>
      <c r="BN173" s="76" t="s">
        <v>24937</v>
      </c>
      <c r="BO173" s="83" t="str">
        <f>HYPERLINK("https://twitter.com/fabriciane_20")</f>
        <v>https://twitter.com/fabriciane_20</v>
      </c>
      <c r="BP173" s="2"/>
    </row>
    <row r="174" spans="1:68" x14ac:dyDescent="0.25">
      <c r="A174" s="62" t="s">
        <v>389</v>
      </c>
      <c r="B174" s="63"/>
      <c r="C174" s="63"/>
      <c r="D174" s="64"/>
      <c r="E174" s="66"/>
      <c r="F174" s="102" t="str">
        <f>HYPERLINK("https://pbs.twimg.com/profile_images/1507092770929926149/fltljuC0_normal.jpg")</f>
        <v>https://pbs.twimg.com/profile_images/1507092770929926149/fltljuC0_normal.jpg</v>
      </c>
      <c r="G174" s="63"/>
      <c r="H174" s="67"/>
      <c r="I174" s="68"/>
      <c r="J174" s="68"/>
      <c r="K174" s="67" t="s">
        <v>25108</v>
      </c>
      <c r="L174" s="71"/>
      <c r="M174" s="72"/>
      <c r="N174" s="72"/>
      <c r="O174" s="73"/>
      <c r="P174" s="74"/>
      <c r="Q174" s="74"/>
      <c r="R174" s="86"/>
      <c r="S174" s="86"/>
      <c r="T174" s="86"/>
      <c r="U174" s="86"/>
      <c r="V174" s="48"/>
      <c r="W174" s="48"/>
      <c r="X174" s="48"/>
      <c r="Y174" s="48"/>
      <c r="Z174" s="47"/>
      <c r="AA174" s="69">
        <v>174</v>
      </c>
      <c r="AB174" s="69"/>
      <c r="AC174" s="70"/>
      <c r="AD174" s="76" t="s">
        <v>21987</v>
      </c>
      <c r="AE174" s="81" t="s">
        <v>21133</v>
      </c>
      <c r="AF174" s="76">
        <v>1</v>
      </c>
      <c r="AG174" s="76">
        <v>14</v>
      </c>
      <c r="AH174" s="76">
        <v>13</v>
      </c>
      <c r="AI174" s="76">
        <v>0</v>
      </c>
      <c r="AJ174" s="76">
        <v>10</v>
      </c>
      <c r="AK174" s="76">
        <v>8</v>
      </c>
      <c r="AL174" s="76" t="b">
        <v>0</v>
      </c>
      <c r="AM174" s="78">
        <v>44613.92763888889</v>
      </c>
      <c r="AN174" s="76"/>
      <c r="AO174" s="76" t="s">
        <v>23492</v>
      </c>
      <c r="AP174" s="76"/>
      <c r="AQ174" s="76"/>
      <c r="AR174" s="76"/>
      <c r="AS174" s="76"/>
      <c r="AT174" s="76"/>
      <c r="AU174" s="76"/>
      <c r="AV174" s="76"/>
      <c r="AW174" s="76"/>
      <c r="AX174" s="76" t="b">
        <v>0</v>
      </c>
      <c r="AY174" s="76"/>
      <c r="AZ174" s="76"/>
      <c r="BA174" s="76" t="b">
        <v>0</v>
      </c>
      <c r="BB174" s="76" t="b">
        <v>1</v>
      </c>
      <c r="BC174" s="76" t="b">
        <v>1</v>
      </c>
      <c r="BD174" s="76" t="b">
        <v>0</v>
      </c>
      <c r="BE174" s="76" t="b">
        <v>0</v>
      </c>
      <c r="BF174" s="76" t="b">
        <v>0</v>
      </c>
      <c r="BG174" s="76" t="b">
        <v>0</v>
      </c>
      <c r="BH174" s="83" t="str">
        <f>HYPERLINK("https://pbs.twimg.com/profile_banners/1495884726627966977/1676248641")</f>
        <v>https://pbs.twimg.com/profile_banners/1495884726627966977/1676248641</v>
      </c>
      <c r="BI174" s="76"/>
      <c r="BJ174" s="76" t="s">
        <v>24935</v>
      </c>
      <c r="BK174" s="76" t="b">
        <v>0</v>
      </c>
      <c r="BL174" s="76"/>
      <c r="BM174" s="76" t="s">
        <v>66</v>
      </c>
      <c r="BN174" s="76" t="s">
        <v>24937</v>
      </c>
      <c r="BO174" s="83" t="str">
        <f>HYPERLINK("https://twitter.com/leidimaia_")</f>
        <v>https://twitter.com/leidimaia_</v>
      </c>
      <c r="BP174" s="2"/>
    </row>
    <row r="175" spans="1:68" x14ac:dyDescent="0.25">
      <c r="A175" s="62" t="s">
        <v>390</v>
      </c>
      <c r="B175" s="63"/>
      <c r="C175" s="63"/>
      <c r="D175" s="64"/>
      <c r="E175" s="66"/>
      <c r="F175" s="102" t="str">
        <f>HYPERLINK("https://pbs.twimg.com/profile_images/1654255591567638528/IouWXOEX_normal.jpg")</f>
        <v>https://pbs.twimg.com/profile_images/1654255591567638528/IouWXOEX_normal.jpg</v>
      </c>
      <c r="G175" s="63"/>
      <c r="H175" s="67"/>
      <c r="I175" s="68"/>
      <c r="J175" s="68"/>
      <c r="K175" s="67" t="s">
        <v>25109</v>
      </c>
      <c r="L175" s="71"/>
      <c r="M175" s="72"/>
      <c r="N175" s="72"/>
      <c r="O175" s="73"/>
      <c r="P175" s="74"/>
      <c r="Q175" s="74"/>
      <c r="R175" s="86"/>
      <c r="S175" s="86"/>
      <c r="T175" s="86"/>
      <c r="U175" s="86"/>
      <c r="V175" s="48"/>
      <c r="W175" s="48"/>
      <c r="X175" s="48"/>
      <c r="Y175" s="48"/>
      <c r="Z175" s="47"/>
      <c r="AA175" s="69">
        <v>175</v>
      </c>
      <c r="AB175" s="69"/>
      <c r="AC175" s="70"/>
      <c r="AD175" s="76" t="s">
        <v>21988</v>
      </c>
      <c r="AE175" s="81" t="s">
        <v>21134</v>
      </c>
      <c r="AF175" s="76">
        <v>4</v>
      </c>
      <c r="AG175" s="76">
        <v>116</v>
      </c>
      <c r="AH175" s="76">
        <v>27</v>
      </c>
      <c r="AI175" s="76">
        <v>0</v>
      </c>
      <c r="AJ175" s="76">
        <v>0</v>
      </c>
      <c r="AK175" s="76">
        <v>13</v>
      </c>
      <c r="AL175" s="76" t="b">
        <v>0</v>
      </c>
      <c r="AM175" s="78">
        <v>45020.903854166667</v>
      </c>
      <c r="AN175" s="76" t="s">
        <v>14033</v>
      </c>
      <c r="AO175" s="76" t="s">
        <v>23493</v>
      </c>
      <c r="AP175" s="83" t="str">
        <f>HYPERLINK("https://t.co/GYjprMhHgE")</f>
        <v>https://t.co/GYjprMhHgE</v>
      </c>
      <c r="AQ175" s="83" t="str">
        <f>HYPERLINK("http://www.dicasdeumadministrador.com")</f>
        <v>http://www.dicasdeumadministrador.com</v>
      </c>
      <c r="AR175" s="76" t="s">
        <v>24336</v>
      </c>
      <c r="AS175" s="76"/>
      <c r="AT175" s="76"/>
      <c r="AU175" s="76"/>
      <c r="AV175" s="76"/>
      <c r="AW175" s="83" t="str">
        <f>HYPERLINK("https://t.co/GYjprMhHgE")</f>
        <v>https://t.co/GYjprMhHgE</v>
      </c>
      <c r="AX175" s="76" t="b">
        <v>0</v>
      </c>
      <c r="AY175" s="76"/>
      <c r="AZ175" s="76"/>
      <c r="BA175" s="76" t="b">
        <v>0</v>
      </c>
      <c r="BB175" s="76" t="b">
        <v>1</v>
      </c>
      <c r="BC175" s="76" t="b">
        <v>1</v>
      </c>
      <c r="BD175" s="76" t="b">
        <v>0</v>
      </c>
      <c r="BE175" s="76" t="b">
        <v>0</v>
      </c>
      <c r="BF175" s="76" t="b">
        <v>0</v>
      </c>
      <c r="BG175" s="76" t="b">
        <v>0</v>
      </c>
      <c r="BH175" s="83" t="str">
        <f>HYPERLINK("https://pbs.twimg.com/profile_banners/1643368187625390081/1686082830")</f>
        <v>https://pbs.twimg.com/profile_banners/1643368187625390081/1686082830</v>
      </c>
      <c r="BI175" s="76"/>
      <c r="BJ175" s="76" t="s">
        <v>24935</v>
      </c>
      <c r="BK175" s="76" t="b">
        <v>0</v>
      </c>
      <c r="BL175" s="76"/>
      <c r="BM175" s="76" t="s">
        <v>66</v>
      </c>
      <c r="BN175" s="76" t="s">
        <v>24937</v>
      </c>
      <c r="BO175" s="83" t="str">
        <f>HYPERLINK("https://twitter.com/dicasdeumadm")</f>
        <v>https://twitter.com/dicasdeumadm</v>
      </c>
      <c r="BP175" s="2"/>
    </row>
    <row r="176" spans="1:68" x14ac:dyDescent="0.25">
      <c r="A176" s="62" t="s">
        <v>391</v>
      </c>
      <c r="B176" s="63"/>
      <c r="C176" s="63"/>
      <c r="D176" s="64"/>
      <c r="E176" s="66"/>
      <c r="F176" s="102" t="str">
        <f>HYPERLINK("https://pbs.twimg.com/profile_images/1604149612566220801/UCpxGcQc_normal.jpg")</f>
        <v>https://pbs.twimg.com/profile_images/1604149612566220801/UCpxGcQc_normal.jpg</v>
      </c>
      <c r="G176" s="63"/>
      <c r="H176" s="67"/>
      <c r="I176" s="68"/>
      <c r="J176" s="68"/>
      <c r="K176" s="67" t="s">
        <v>25110</v>
      </c>
      <c r="L176" s="71"/>
      <c r="M176" s="72"/>
      <c r="N176" s="72"/>
      <c r="O176" s="73"/>
      <c r="P176" s="74"/>
      <c r="Q176" s="74"/>
      <c r="R176" s="86"/>
      <c r="S176" s="86"/>
      <c r="T176" s="86"/>
      <c r="U176" s="86"/>
      <c r="V176" s="48"/>
      <c r="W176" s="48"/>
      <c r="X176" s="48"/>
      <c r="Y176" s="48"/>
      <c r="Z176" s="47"/>
      <c r="AA176" s="69">
        <v>176</v>
      </c>
      <c r="AB176" s="69"/>
      <c r="AC176" s="70"/>
      <c r="AD176" s="76" t="s">
        <v>21989</v>
      </c>
      <c r="AE176" s="81" t="s">
        <v>21135</v>
      </c>
      <c r="AF176" s="76">
        <v>0</v>
      </c>
      <c r="AG176" s="76">
        <v>31</v>
      </c>
      <c r="AH176" s="76">
        <v>25</v>
      </c>
      <c r="AI176" s="76">
        <v>0</v>
      </c>
      <c r="AJ176" s="76">
        <v>208</v>
      </c>
      <c r="AK176" s="76">
        <v>0</v>
      </c>
      <c r="AL176" s="76" t="b">
        <v>0</v>
      </c>
      <c r="AM176" s="78">
        <v>44579.89099537037</v>
      </c>
      <c r="AN176" s="76"/>
      <c r="AO176" s="76" t="s">
        <v>23494</v>
      </c>
      <c r="AP176" s="83" t="str">
        <f>HYPERLINK("https://t.co/AiMWIvgL52")</f>
        <v>https://t.co/AiMWIvgL52</v>
      </c>
      <c r="AQ176" s="83" t="str">
        <f>HYPERLINK("https://linkr.bio/beasikeira")</f>
        <v>https://linkr.bio/beasikeira</v>
      </c>
      <c r="AR176" s="76" t="s">
        <v>24337</v>
      </c>
      <c r="AS176" s="76"/>
      <c r="AT176" s="76"/>
      <c r="AU176" s="76"/>
      <c r="AV176" s="76"/>
      <c r="AW176" s="83" t="str">
        <f>HYPERLINK("https://t.co/AiMWIvgL52")</f>
        <v>https://t.co/AiMWIvgL52</v>
      </c>
      <c r="AX176" s="76" t="b">
        <v>0</v>
      </c>
      <c r="AY176" s="76"/>
      <c r="AZ176" s="76"/>
      <c r="BA176" s="76" t="b">
        <v>0</v>
      </c>
      <c r="BB176" s="76" t="b">
        <v>1</v>
      </c>
      <c r="BC176" s="76" t="b">
        <v>1</v>
      </c>
      <c r="BD176" s="76" t="b">
        <v>0</v>
      </c>
      <c r="BE176" s="76" t="b">
        <v>0</v>
      </c>
      <c r="BF176" s="76" t="b">
        <v>0</v>
      </c>
      <c r="BG176" s="76" t="b">
        <v>0</v>
      </c>
      <c r="BH176" s="83" t="str">
        <f>HYPERLINK("https://pbs.twimg.com/profile_banners/1483550417732739076/1669461554")</f>
        <v>https://pbs.twimg.com/profile_banners/1483550417732739076/1669461554</v>
      </c>
      <c r="BI176" s="76"/>
      <c r="BJ176" s="76" t="s">
        <v>24935</v>
      </c>
      <c r="BK176" s="76" t="b">
        <v>0</v>
      </c>
      <c r="BL176" s="76"/>
      <c r="BM176" s="76" t="s">
        <v>66</v>
      </c>
      <c r="BN176" s="76" t="s">
        <v>24937</v>
      </c>
      <c r="BO176" s="83" t="str">
        <f>HYPERLINK("https://twitter.com/beasikeira")</f>
        <v>https://twitter.com/beasikeira</v>
      </c>
      <c r="BP176" s="2"/>
    </row>
    <row r="177" spans="1:68" x14ac:dyDescent="0.25">
      <c r="A177" s="62" t="s">
        <v>392</v>
      </c>
      <c r="B177" s="63"/>
      <c r="C177" s="63"/>
      <c r="D177" s="64"/>
      <c r="E177" s="66"/>
      <c r="F177" s="102" t="str">
        <f>HYPERLINK("https://pbs.twimg.com/profile_images/1583831843895484417/AZN4wb-5_normal.jpg")</f>
        <v>https://pbs.twimg.com/profile_images/1583831843895484417/AZN4wb-5_normal.jpg</v>
      </c>
      <c r="G177" s="63"/>
      <c r="H177" s="67"/>
      <c r="I177" s="68"/>
      <c r="J177" s="68"/>
      <c r="K177" s="67" t="s">
        <v>25111</v>
      </c>
      <c r="L177" s="71"/>
      <c r="M177" s="72"/>
      <c r="N177" s="72"/>
      <c r="O177" s="73"/>
      <c r="P177" s="74"/>
      <c r="Q177" s="74"/>
      <c r="R177" s="86"/>
      <c r="S177" s="86"/>
      <c r="T177" s="86"/>
      <c r="U177" s="86"/>
      <c r="V177" s="48"/>
      <c r="W177" s="48"/>
      <c r="X177" s="48"/>
      <c r="Y177" s="48"/>
      <c r="Z177" s="47"/>
      <c r="AA177" s="69">
        <v>177</v>
      </c>
      <c r="AB177" s="69"/>
      <c r="AC177" s="70"/>
      <c r="AD177" s="76" t="s">
        <v>21990</v>
      </c>
      <c r="AE177" s="81" t="s">
        <v>21136</v>
      </c>
      <c r="AF177" s="76">
        <v>7</v>
      </c>
      <c r="AG177" s="76">
        <v>6</v>
      </c>
      <c r="AH177" s="76">
        <v>414</v>
      </c>
      <c r="AI177" s="76">
        <v>0</v>
      </c>
      <c r="AJ177" s="76">
        <v>56</v>
      </c>
      <c r="AK177" s="76">
        <v>400</v>
      </c>
      <c r="AL177" s="76" t="b">
        <v>0</v>
      </c>
      <c r="AM177" s="78">
        <v>44856.614398148151</v>
      </c>
      <c r="AN177" s="76" t="s">
        <v>14115</v>
      </c>
      <c r="AO177" s="76" t="s">
        <v>23495</v>
      </c>
      <c r="AP177" s="83" t="str">
        <f>HYPERLINK("https://t.co/TXCbLSvrDm")</f>
        <v>https://t.co/TXCbLSvrDm</v>
      </c>
      <c r="AQ177" s="83" t="str">
        <f>HYPERLINK("https://www.youtube.com/channel/UCQBKf_OgvjNU2dJW_nDfA-w")</f>
        <v>https://www.youtube.com/channel/UCQBKf_OgvjNU2dJW_nDfA-w</v>
      </c>
      <c r="AR177" s="76" t="s">
        <v>24338</v>
      </c>
      <c r="AS177" s="76"/>
      <c r="AT177" s="76"/>
      <c r="AU177" s="76"/>
      <c r="AV177" s="76"/>
      <c r="AW177" s="83" t="str">
        <f>HYPERLINK("https://t.co/TXCbLSvrDm")</f>
        <v>https://t.co/TXCbLSvrDm</v>
      </c>
      <c r="AX177" s="76" t="b">
        <v>0</v>
      </c>
      <c r="AY177" s="76"/>
      <c r="AZ177" s="76"/>
      <c r="BA177" s="76" t="b">
        <v>0</v>
      </c>
      <c r="BB177" s="76" t="b">
        <v>1</v>
      </c>
      <c r="BC177" s="76" t="b">
        <v>1</v>
      </c>
      <c r="BD177" s="76" t="b">
        <v>0</v>
      </c>
      <c r="BE177" s="76" t="b">
        <v>0</v>
      </c>
      <c r="BF177" s="76" t="b">
        <v>0</v>
      </c>
      <c r="BG177" s="76" t="b">
        <v>0</v>
      </c>
      <c r="BH177" s="83" t="str">
        <f>HYPERLINK("https://pbs.twimg.com/profile_banners/1583831705101766657/1666534131")</f>
        <v>https://pbs.twimg.com/profile_banners/1583831705101766657/1666534131</v>
      </c>
      <c r="BI177" s="76"/>
      <c r="BJ177" s="76" t="s">
        <v>24935</v>
      </c>
      <c r="BK177" s="76" t="b">
        <v>0</v>
      </c>
      <c r="BL177" s="76"/>
      <c r="BM177" s="76" t="s">
        <v>66</v>
      </c>
      <c r="BN177" s="76" t="s">
        <v>24937</v>
      </c>
      <c r="BO177" s="83" t="str">
        <f>HYPERLINK("https://twitter.com/laerciolobanco")</f>
        <v>https://twitter.com/laerciolobanco</v>
      </c>
      <c r="BP177" s="2"/>
    </row>
    <row r="178" spans="1:68" x14ac:dyDescent="0.25">
      <c r="A178" s="62" t="s">
        <v>393</v>
      </c>
      <c r="B178" s="63"/>
      <c r="C178" s="63"/>
      <c r="D178" s="64"/>
      <c r="E178" s="66"/>
      <c r="F178" s="102" t="str">
        <f>HYPERLINK("https://pbs.twimg.com/profile_images/1669523375968907265/YsNUvMGy_normal.jpg")</f>
        <v>https://pbs.twimg.com/profile_images/1669523375968907265/YsNUvMGy_normal.jpg</v>
      </c>
      <c r="G178" s="63"/>
      <c r="H178" s="67"/>
      <c r="I178" s="68"/>
      <c r="J178" s="68"/>
      <c r="K178" s="67" t="s">
        <v>25112</v>
      </c>
      <c r="L178" s="71"/>
      <c r="M178" s="72"/>
      <c r="N178" s="72"/>
      <c r="O178" s="73"/>
      <c r="P178" s="74"/>
      <c r="Q178" s="74"/>
      <c r="R178" s="86"/>
      <c r="S178" s="86"/>
      <c r="T178" s="86"/>
      <c r="U178" s="86"/>
      <c r="V178" s="48"/>
      <c r="W178" s="48"/>
      <c r="X178" s="48"/>
      <c r="Y178" s="48"/>
      <c r="Z178" s="47"/>
      <c r="AA178" s="69">
        <v>178</v>
      </c>
      <c r="AB178" s="69"/>
      <c r="AC178" s="70"/>
      <c r="AD178" s="76" t="s">
        <v>21991</v>
      </c>
      <c r="AE178" s="81" t="s">
        <v>21137</v>
      </c>
      <c r="AF178" s="76">
        <v>11</v>
      </c>
      <c r="AG178" s="76">
        <v>334</v>
      </c>
      <c r="AH178" s="76">
        <v>4</v>
      </c>
      <c r="AI178" s="76">
        <v>1</v>
      </c>
      <c r="AJ178" s="76">
        <v>0</v>
      </c>
      <c r="AK178" s="76">
        <v>4</v>
      </c>
      <c r="AL178" s="76" t="b">
        <v>0</v>
      </c>
      <c r="AM178" s="78">
        <v>45093.065254629626</v>
      </c>
      <c r="AN178" s="76" t="s">
        <v>23123</v>
      </c>
      <c r="AO178" s="76" t="s">
        <v>23496</v>
      </c>
      <c r="AP178" s="83" t="str">
        <f>HYPERLINK("https://t.co/xwyKKrQZ93")</f>
        <v>https://t.co/xwyKKrQZ93</v>
      </c>
      <c r="AQ178" s="83" t="str">
        <f>HYPERLINK("https://www.instagram.com/mobygoribeiraopreto/")</f>
        <v>https://www.instagram.com/mobygoribeiraopreto/</v>
      </c>
      <c r="AR178" s="76" t="s">
        <v>24339</v>
      </c>
      <c r="AS178" s="76"/>
      <c r="AT178" s="76"/>
      <c r="AU178" s="76"/>
      <c r="AV178" s="76"/>
      <c r="AW178" s="83" t="str">
        <f>HYPERLINK("https://t.co/xwyKKrQZ93")</f>
        <v>https://t.co/xwyKKrQZ93</v>
      </c>
      <c r="AX178" s="76" t="b">
        <v>0</v>
      </c>
      <c r="AY178" s="76"/>
      <c r="AZ178" s="76"/>
      <c r="BA178" s="76" t="b">
        <v>0</v>
      </c>
      <c r="BB178" s="76" t="b">
        <v>1</v>
      </c>
      <c r="BC178" s="76" t="b">
        <v>1</v>
      </c>
      <c r="BD178" s="76" t="b">
        <v>0</v>
      </c>
      <c r="BE178" s="76" t="b">
        <v>0</v>
      </c>
      <c r="BF178" s="76" t="b">
        <v>0</v>
      </c>
      <c r="BG178" s="76" t="b">
        <v>0</v>
      </c>
      <c r="BH178" s="83" t="str">
        <f>HYPERLINK("https://pbs.twimg.com/profile_banners/1669518481933336576/1686880366")</f>
        <v>https://pbs.twimg.com/profile_banners/1669518481933336576/1686880366</v>
      </c>
      <c r="BI178" s="76"/>
      <c r="BJ178" s="76" t="s">
        <v>24935</v>
      </c>
      <c r="BK178" s="76" t="b">
        <v>0</v>
      </c>
      <c r="BL178" s="76"/>
      <c r="BM178" s="76" t="s">
        <v>66</v>
      </c>
      <c r="BN178" s="76" t="s">
        <v>24937</v>
      </c>
      <c r="BO178" s="83" t="str">
        <f>HYPERLINK("https://twitter.com/mobygo_rp")</f>
        <v>https://twitter.com/mobygo_rp</v>
      </c>
      <c r="BP178" s="2"/>
    </row>
    <row r="179" spans="1:68" x14ac:dyDescent="0.25">
      <c r="A179" s="62" t="s">
        <v>394</v>
      </c>
      <c r="B179" s="63"/>
      <c r="C179" s="63"/>
      <c r="D179" s="64"/>
      <c r="E179" s="66"/>
      <c r="F179" s="102" t="str">
        <f>HYPERLINK("https://pbs.twimg.com/profile_images/1632534926460329986/jul1EYpU_normal.jpg")</f>
        <v>https://pbs.twimg.com/profile_images/1632534926460329986/jul1EYpU_normal.jpg</v>
      </c>
      <c r="G179" s="63"/>
      <c r="H179" s="67"/>
      <c r="I179" s="68"/>
      <c r="J179" s="68"/>
      <c r="K179" s="67" t="s">
        <v>25113</v>
      </c>
      <c r="L179" s="71"/>
      <c r="M179" s="72"/>
      <c r="N179" s="72"/>
      <c r="O179" s="73"/>
      <c r="P179" s="74"/>
      <c r="Q179" s="74"/>
      <c r="R179" s="86"/>
      <c r="S179" s="86"/>
      <c r="T179" s="86"/>
      <c r="U179" s="86"/>
      <c r="V179" s="48"/>
      <c r="W179" s="48"/>
      <c r="X179" s="48"/>
      <c r="Y179" s="48"/>
      <c r="Z179" s="47"/>
      <c r="AA179" s="69">
        <v>179</v>
      </c>
      <c r="AB179" s="69"/>
      <c r="AC179" s="70"/>
      <c r="AD179" s="76" t="s">
        <v>21992</v>
      </c>
      <c r="AE179" s="81" t="s">
        <v>20911</v>
      </c>
      <c r="AF179" s="76">
        <v>5</v>
      </c>
      <c r="AG179" s="76">
        <v>15</v>
      </c>
      <c r="AH179" s="76">
        <v>50</v>
      </c>
      <c r="AI179" s="76">
        <v>0</v>
      </c>
      <c r="AJ179" s="76">
        <v>11</v>
      </c>
      <c r="AK179" s="76">
        <v>0</v>
      </c>
      <c r="AL179" s="76" t="b">
        <v>0</v>
      </c>
      <c r="AM179" s="78">
        <v>44064.589930555558</v>
      </c>
      <c r="AN179" s="76"/>
      <c r="AO179" s="76" t="s">
        <v>23497</v>
      </c>
      <c r="AP179" s="83" t="str">
        <f>HYPERLINK("https://t.co/eB48mnuOnu")</f>
        <v>https://t.co/eB48mnuOnu</v>
      </c>
      <c r="AQ179" s="83" t="str">
        <f>HYPERLINK("https://linktr.ee/anadagrana")</f>
        <v>https://linktr.ee/anadagrana</v>
      </c>
      <c r="AR179" s="76" t="s">
        <v>24340</v>
      </c>
      <c r="AS179" s="76"/>
      <c r="AT179" s="76"/>
      <c r="AU179" s="76"/>
      <c r="AV179" s="76"/>
      <c r="AW179" s="83" t="str">
        <f>HYPERLINK("https://t.co/eB48mnuOnu")</f>
        <v>https://t.co/eB48mnuOnu</v>
      </c>
      <c r="AX179" s="76" t="b">
        <v>0</v>
      </c>
      <c r="AY179" s="76"/>
      <c r="AZ179" s="76"/>
      <c r="BA179" s="76" t="b">
        <v>0</v>
      </c>
      <c r="BB179" s="76" t="b">
        <v>1</v>
      </c>
      <c r="BC179" s="76" t="b">
        <v>1</v>
      </c>
      <c r="BD179" s="76" t="b">
        <v>0</v>
      </c>
      <c r="BE179" s="76" t="b">
        <v>0</v>
      </c>
      <c r="BF179" s="76" t="b">
        <v>0</v>
      </c>
      <c r="BG179" s="76" t="b">
        <v>0</v>
      </c>
      <c r="BH179" s="76"/>
      <c r="BI179" s="76"/>
      <c r="BJ179" s="76" t="s">
        <v>24935</v>
      </c>
      <c r="BK179" s="76" t="b">
        <v>0</v>
      </c>
      <c r="BL179" s="76"/>
      <c r="BM179" s="76" t="s">
        <v>66</v>
      </c>
      <c r="BN179" s="76" t="s">
        <v>24937</v>
      </c>
      <c r="BO179" s="83" t="str">
        <f>HYPERLINK("https://twitter.com/anadagrana")</f>
        <v>https://twitter.com/anadagrana</v>
      </c>
      <c r="BP179" s="2"/>
    </row>
    <row r="180" spans="1:68" x14ac:dyDescent="0.25">
      <c r="A180" s="62" t="s">
        <v>395</v>
      </c>
      <c r="B180" s="63"/>
      <c r="C180" s="63"/>
      <c r="D180" s="64"/>
      <c r="E180" s="66"/>
      <c r="F180" s="102" t="str">
        <f>HYPERLINK("https://pbs.twimg.com/profile_images/1608976125752999936/NObcMe5__normal.jpg")</f>
        <v>https://pbs.twimg.com/profile_images/1608976125752999936/NObcMe5__normal.jpg</v>
      </c>
      <c r="G180" s="63"/>
      <c r="H180" s="67"/>
      <c r="I180" s="68"/>
      <c r="J180" s="68"/>
      <c r="K180" s="67" t="s">
        <v>25114</v>
      </c>
      <c r="L180" s="71"/>
      <c r="M180" s="72"/>
      <c r="N180" s="72"/>
      <c r="O180" s="73"/>
      <c r="P180" s="74"/>
      <c r="Q180" s="74"/>
      <c r="R180" s="86"/>
      <c r="S180" s="86"/>
      <c r="T180" s="86"/>
      <c r="U180" s="86"/>
      <c r="V180" s="48"/>
      <c r="W180" s="48"/>
      <c r="X180" s="48"/>
      <c r="Y180" s="48"/>
      <c r="Z180" s="47"/>
      <c r="AA180" s="69">
        <v>180</v>
      </c>
      <c r="AB180" s="69"/>
      <c r="AC180" s="70"/>
      <c r="AD180" s="76" t="s">
        <v>21993</v>
      </c>
      <c r="AE180" s="81" t="s">
        <v>22891</v>
      </c>
      <c r="AF180" s="76">
        <v>34</v>
      </c>
      <c r="AG180" s="76">
        <v>368</v>
      </c>
      <c r="AH180" s="76">
        <v>164</v>
      </c>
      <c r="AI180" s="76">
        <v>0</v>
      </c>
      <c r="AJ180" s="76">
        <v>53</v>
      </c>
      <c r="AK180" s="76">
        <v>42</v>
      </c>
      <c r="AL180" s="76" t="b">
        <v>0</v>
      </c>
      <c r="AM180" s="78">
        <v>40791.631273148145</v>
      </c>
      <c r="AN180" s="76"/>
      <c r="AO180" s="76" t="s">
        <v>23498</v>
      </c>
      <c r="AP180" s="83" t="str">
        <f>HYPERLINK("https://t.co/05C8xmUbVn")</f>
        <v>https://t.co/05C8xmUbVn</v>
      </c>
      <c r="AQ180" s="83" t="str">
        <f>HYPERLINK("http://www.facebook.com/michelelopes")</f>
        <v>http://www.facebook.com/michelelopes</v>
      </c>
      <c r="AR180" s="76" t="s">
        <v>24341</v>
      </c>
      <c r="AS180" s="76"/>
      <c r="AT180" s="76"/>
      <c r="AU180" s="76"/>
      <c r="AV180" s="76"/>
      <c r="AW180" s="83" t="str">
        <f>HYPERLINK("https://t.co/05C8xmUbVn")</f>
        <v>https://t.co/05C8xmUbVn</v>
      </c>
      <c r="AX180" s="76" t="b">
        <v>0</v>
      </c>
      <c r="AY180" s="76"/>
      <c r="AZ180" s="76"/>
      <c r="BA180" s="76" t="b">
        <v>0</v>
      </c>
      <c r="BB180" s="76" t="b">
        <v>0</v>
      </c>
      <c r="BC180" s="76" t="b">
        <v>0</v>
      </c>
      <c r="BD180" s="76" t="b">
        <v>0</v>
      </c>
      <c r="BE180" s="76" t="b">
        <v>0</v>
      </c>
      <c r="BF180" s="76" t="b">
        <v>0</v>
      </c>
      <c r="BG180" s="76" t="b">
        <v>0</v>
      </c>
      <c r="BH180" s="83" t="str">
        <f>HYPERLINK("https://pbs.twimg.com/profile_banners/368384029/1485440777")</f>
        <v>https://pbs.twimg.com/profile_banners/368384029/1485440777</v>
      </c>
      <c r="BI180" s="76"/>
      <c r="BJ180" s="76" t="s">
        <v>24935</v>
      </c>
      <c r="BK180" s="76" t="b">
        <v>0</v>
      </c>
      <c r="BL180" s="76"/>
      <c r="BM180" s="76" t="s">
        <v>66</v>
      </c>
      <c r="BN180" s="76" t="s">
        <v>24937</v>
      </c>
      <c r="BO180" s="83" t="str">
        <f>HYPERLINK("https://twitter.com/mixeusol")</f>
        <v>https://twitter.com/mixeusol</v>
      </c>
      <c r="BP180" s="2"/>
    </row>
    <row r="181" spans="1:68" x14ac:dyDescent="0.25">
      <c r="A181" s="62" t="s">
        <v>396</v>
      </c>
      <c r="B181" s="63"/>
      <c r="C181" s="63"/>
      <c r="D181" s="64"/>
      <c r="E181" s="66"/>
      <c r="F181" s="102" t="str">
        <f>HYPERLINK("https://pbs.twimg.com/profile_images/1663067460520517632/JSQWM-4V_normal.jpg")</f>
        <v>https://pbs.twimg.com/profile_images/1663067460520517632/JSQWM-4V_normal.jpg</v>
      </c>
      <c r="G181" s="63"/>
      <c r="H181" s="67"/>
      <c r="I181" s="68"/>
      <c r="J181" s="68"/>
      <c r="K181" s="67" t="s">
        <v>25115</v>
      </c>
      <c r="L181" s="71"/>
      <c r="M181" s="72"/>
      <c r="N181" s="72"/>
      <c r="O181" s="73"/>
      <c r="P181" s="74"/>
      <c r="Q181" s="74"/>
      <c r="R181" s="86"/>
      <c r="S181" s="86"/>
      <c r="T181" s="86"/>
      <c r="U181" s="86"/>
      <c r="V181" s="48"/>
      <c r="W181" s="48"/>
      <c r="X181" s="48"/>
      <c r="Y181" s="48"/>
      <c r="Z181" s="47"/>
      <c r="AA181" s="69">
        <v>181</v>
      </c>
      <c r="AB181" s="69"/>
      <c r="AC181" s="70"/>
      <c r="AD181" s="76" t="s">
        <v>21994</v>
      </c>
      <c r="AE181" s="81" t="s">
        <v>21138</v>
      </c>
      <c r="AF181" s="76">
        <v>1</v>
      </c>
      <c r="AG181" s="76">
        <v>29</v>
      </c>
      <c r="AH181" s="76">
        <v>69</v>
      </c>
      <c r="AI181" s="76">
        <v>0</v>
      </c>
      <c r="AJ181" s="76">
        <v>2</v>
      </c>
      <c r="AK181" s="76">
        <v>12</v>
      </c>
      <c r="AL181" s="76" t="b">
        <v>0</v>
      </c>
      <c r="AM181" s="78">
        <v>45075.262685185182</v>
      </c>
      <c r="AN181" s="76" t="s">
        <v>23124</v>
      </c>
      <c r="AO181" s="76" t="s">
        <v>23499</v>
      </c>
      <c r="AP181" s="83" t="str">
        <f>HYPERLINK("https://t.co/8OiafZGYbq")</f>
        <v>https://t.co/8OiafZGYbq</v>
      </c>
      <c r="AQ181" s="83" t="str">
        <f>HYPERLINK("https://linktr.ee/lrneves")</f>
        <v>https://linktr.ee/lrneves</v>
      </c>
      <c r="AR181" s="76" t="s">
        <v>24342</v>
      </c>
      <c r="AS181" s="76"/>
      <c r="AT181" s="76"/>
      <c r="AU181" s="76"/>
      <c r="AV181" s="76"/>
      <c r="AW181" s="83" t="str">
        <f>HYPERLINK("https://t.co/8OiafZGYbq")</f>
        <v>https://t.co/8OiafZGYbq</v>
      </c>
      <c r="AX181" s="76" t="b">
        <v>0</v>
      </c>
      <c r="AY181" s="76"/>
      <c r="AZ181" s="76"/>
      <c r="BA181" s="76" t="b">
        <v>0</v>
      </c>
      <c r="BB181" s="76" t="b">
        <v>1</v>
      </c>
      <c r="BC181" s="76" t="b">
        <v>1</v>
      </c>
      <c r="BD181" s="76" t="b">
        <v>0</v>
      </c>
      <c r="BE181" s="76" t="b">
        <v>0</v>
      </c>
      <c r="BF181" s="76" t="b">
        <v>0</v>
      </c>
      <c r="BG181" s="76" t="b">
        <v>0</v>
      </c>
      <c r="BH181" s="83" t="str">
        <f>HYPERLINK("https://pbs.twimg.com/profile_banners/1663067109163671552/1685390133")</f>
        <v>https://pbs.twimg.com/profile_banners/1663067109163671552/1685390133</v>
      </c>
      <c r="BI181" s="76"/>
      <c r="BJ181" s="76" t="s">
        <v>24935</v>
      </c>
      <c r="BK181" s="76" t="b">
        <v>0</v>
      </c>
      <c r="BL181" s="76"/>
      <c r="BM181" s="76" t="s">
        <v>66</v>
      </c>
      <c r="BN181" s="76" t="s">
        <v>24937</v>
      </c>
      <c r="BO181" s="83" t="str">
        <f>HYPERLINK("https://twitter.com/lrnevesofficial")</f>
        <v>https://twitter.com/lrnevesofficial</v>
      </c>
      <c r="BP181" s="2"/>
    </row>
    <row r="182" spans="1:68" x14ac:dyDescent="0.25">
      <c r="A182" s="62" t="s">
        <v>397</v>
      </c>
      <c r="B182" s="63"/>
      <c r="C182" s="63"/>
      <c r="D182" s="64"/>
      <c r="E182" s="66"/>
      <c r="F182" s="102" t="str">
        <f>HYPERLINK("https://pbs.twimg.com/profile_images/1588551655154499584/6uZNb8zC_normal.jpg")</f>
        <v>https://pbs.twimg.com/profile_images/1588551655154499584/6uZNb8zC_normal.jpg</v>
      </c>
      <c r="G182" s="63"/>
      <c r="H182" s="67"/>
      <c r="I182" s="68"/>
      <c r="J182" s="68"/>
      <c r="K182" s="67" t="s">
        <v>25116</v>
      </c>
      <c r="L182" s="71"/>
      <c r="M182" s="72"/>
      <c r="N182" s="72"/>
      <c r="O182" s="73"/>
      <c r="P182" s="74"/>
      <c r="Q182" s="74"/>
      <c r="R182" s="86"/>
      <c r="S182" s="86"/>
      <c r="T182" s="86"/>
      <c r="U182" s="86"/>
      <c r="V182" s="48"/>
      <c r="W182" s="48"/>
      <c r="X182" s="48"/>
      <c r="Y182" s="48"/>
      <c r="Z182" s="47"/>
      <c r="AA182" s="69">
        <v>182</v>
      </c>
      <c r="AB182" s="69"/>
      <c r="AC182" s="70"/>
      <c r="AD182" s="76" t="s">
        <v>21995</v>
      </c>
      <c r="AE182" s="81" t="s">
        <v>21139</v>
      </c>
      <c r="AF182" s="76">
        <v>11</v>
      </c>
      <c r="AG182" s="76">
        <v>59</v>
      </c>
      <c r="AH182" s="76">
        <v>140</v>
      </c>
      <c r="AI182" s="76">
        <v>0</v>
      </c>
      <c r="AJ182" s="76">
        <v>113</v>
      </c>
      <c r="AK182" s="76">
        <v>60</v>
      </c>
      <c r="AL182" s="76" t="b">
        <v>0</v>
      </c>
      <c r="AM182" s="78">
        <v>44869.638564814813</v>
      </c>
      <c r="AN182" s="76"/>
      <c r="AO182" s="76" t="s">
        <v>23500</v>
      </c>
      <c r="AP182" s="83" t="str">
        <f>HYPERLINK("https://t.co/iuDl2K74Tx")</f>
        <v>https://t.co/iuDl2K74Tx</v>
      </c>
      <c r="AQ182" s="83" t="str">
        <f>HYPERLINK("https://www.tema-livre.com")</f>
        <v>https://www.tema-livre.com</v>
      </c>
      <c r="AR182" s="76" t="s">
        <v>24343</v>
      </c>
      <c r="AS182" s="83" t="str">
        <f>HYPERLINK("https://t.co/yTef2kZuZr")</f>
        <v>https://t.co/yTef2kZuZr</v>
      </c>
      <c r="AT182" s="83" t="str">
        <f>HYPERLINK("http://youtube.com/c/CarlosVieira")</f>
        <v>http://youtube.com/c/CarlosVieira</v>
      </c>
      <c r="AU182" s="76" t="s">
        <v>24860</v>
      </c>
      <c r="AV182" s="76"/>
      <c r="AW182" s="83" t="str">
        <f>HYPERLINK("https://t.co/iuDl2K74Tx")</f>
        <v>https://t.co/iuDl2K74Tx</v>
      </c>
      <c r="AX182" s="76" t="b">
        <v>0</v>
      </c>
      <c r="AY182" s="76"/>
      <c r="AZ182" s="76"/>
      <c r="BA182" s="76" t="b">
        <v>0</v>
      </c>
      <c r="BB182" s="76" t="b">
        <v>1</v>
      </c>
      <c r="BC182" s="76" t="b">
        <v>1</v>
      </c>
      <c r="BD182" s="76" t="b">
        <v>0</v>
      </c>
      <c r="BE182" s="76" t="b">
        <v>0</v>
      </c>
      <c r="BF182" s="76" t="b">
        <v>0</v>
      </c>
      <c r="BG182" s="76" t="b">
        <v>0</v>
      </c>
      <c r="BH182" s="76"/>
      <c r="BI182" s="76"/>
      <c r="BJ182" s="76" t="s">
        <v>24935</v>
      </c>
      <c r="BK182" s="76" t="b">
        <v>0</v>
      </c>
      <c r="BL182" s="76"/>
      <c r="BM182" s="76" t="s">
        <v>66</v>
      </c>
      <c r="BN182" s="76" t="s">
        <v>24937</v>
      </c>
      <c r="BO182" s="83" t="str">
        <f>HYPERLINK("https://twitter.com/onlinevieira")</f>
        <v>https://twitter.com/onlinevieira</v>
      </c>
      <c r="BP182" s="2"/>
    </row>
    <row r="183" spans="1:68" x14ac:dyDescent="0.25">
      <c r="A183" s="62" t="s">
        <v>398</v>
      </c>
      <c r="B183" s="63"/>
      <c r="C183" s="63"/>
      <c r="D183" s="64"/>
      <c r="E183" s="66"/>
      <c r="F183" s="102" t="str">
        <f>HYPERLINK("https://pbs.twimg.com/profile_images/1647202495515488257/sUriBDP9_normal.jpg")</f>
        <v>https://pbs.twimg.com/profile_images/1647202495515488257/sUriBDP9_normal.jpg</v>
      </c>
      <c r="G183" s="63"/>
      <c r="H183" s="67"/>
      <c r="I183" s="68"/>
      <c r="J183" s="68"/>
      <c r="K183" s="67" t="s">
        <v>25117</v>
      </c>
      <c r="L183" s="71"/>
      <c r="M183" s="72"/>
      <c r="N183" s="72"/>
      <c r="O183" s="73"/>
      <c r="P183" s="74"/>
      <c r="Q183" s="74"/>
      <c r="R183" s="86"/>
      <c r="S183" s="86"/>
      <c r="T183" s="86"/>
      <c r="U183" s="86"/>
      <c r="V183" s="48"/>
      <c r="W183" s="48"/>
      <c r="X183" s="48"/>
      <c r="Y183" s="48"/>
      <c r="Z183" s="47"/>
      <c r="AA183" s="69">
        <v>183</v>
      </c>
      <c r="AB183" s="69"/>
      <c r="AC183" s="70"/>
      <c r="AD183" s="76" t="s">
        <v>21996</v>
      </c>
      <c r="AE183" s="81" t="s">
        <v>21140</v>
      </c>
      <c r="AF183" s="76">
        <v>0</v>
      </c>
      <c r="AG183" s="76">
        <v>8</v>
      </c>
      <c r="AH183" s="76">
        <v>6</v>
      </c>
      <c r="AI183" s="76">
        <v>0</v>
      </c>
      <c r="AJ183" s="76">
        <v>6</v>
      </c>
      <c r="AK183" s="76">
        <v>6</v>
      </c>
      <c r="AL183" s="76" t="b">
        <v>0</v>
      </c>
      <c r="AM183" s="78">
        <v>45031.479016203702</v>
      </c>
      <c r="AN183" s="76" t="s">
        <v>23125</v>
      </c>
      <c r="AO183" s="76" t="s">
        <v>23501</v>
      </c>
      <c r="AP183" s="83" t="str">
        <f>HYPERLINK("https://t.co/98KFbKErED")</f>
        <v>https://t.co/98KFbKErED</v>
      </c>
      <c r="AQ183" s="83" t="str">
        <f>HYPERLINK("https://www.instagram.com/atal_da_dada?r=nametag")</f>
        <v>https://www.instagram.com/atal_da_dada?r=nametag</v>
      </c>
      <c r="AR183" s="76" t="s">
        <v>24344</v>
      </c>
      <c r="AS183" s="76"/>
      <c r="AT183" s="76"/>
      <c r="AU183" s="76"/>
      <c r="AV183" s="76"/>
      <c r="AW183" s="83" t="str">
        <f>HYPERLINK("https://t.co/98KFbKErED")</f>
        <v>https://t.co/98KFbKErED</v>
      </c>
      <c r="AX183" s="76" t="b">
        <v>0</v>
      </c>
      <c r="AY183" s="76"/>
      <c r="AZ183" s="76"/>
      <c r="BA183" s="76" t="b">
        <v>0</v>
      </c>
      <c r="BB183" s="76" t="b">
        <v>1</v>
      </c>
      <c r="BC183" s="76" t="b">
        <v>1</v>
      </c>
      <c r="BD183" s="76" t="b">
        <v>0</v>
      </c>
      <c r="BE183" s="76" t="b">
        <v>0</v>
      </c>
      <c r="BF183" s="76" t="b">
        <v>0</v>
      </c>
      <c r="BG183" s="76" t="b">
        <v>0</v>
      </c>
      <c r="BH183" s="83" t="str">
        <f>HYPERLINK("https://pbs.twimg.com/profile_banners/1647200278565859329/1683298552")</f>
        <v>https://pbs.twimg.com/profile_banners/1647200278565859329/1683298552</v>
      </c>
      <c r="BI183" s="76"/>
      <c r="BJ183" s="76" t="s">
        <v>24935</v>
      </c>
      <c r="BK183" s="76" t="b">
        <v>0</v>
      </c>
      <c r="BL183" s="76"/>
      <c r="BM183" s="76" t="s">
        <v>66</v>
      </c>
      <c r="BN183" s="76" t="s">
        <v>24937</v>
      </c>
      <c r="BO183" s="83" t="str">
        <f>HYPERLINK("https://twitter.com/rainhadosjogoss")</f>
        <v>https://twitter.com/rainhadosjogoss</v>
      </c>
      <c r="BP183" s="2"/>
    </row>
    <row r="184" spans="1:68" x14ac:dyDescent="0.25">
      <c r="A184" s="62" t="s">
        <v>399</v>
      </c>
      <c r="B184" s="63"/>
      <c r="C184" s="63"/>
      <c r="D184" s="64"/>
      <c r="E184" s="66"/>
      <c r="F184" s="102" t="str">
        <f>HYPERLINK("https://pbs.twimg.com/profile_images/1236992311516594179/CuGbOzcL_normal.jpg")</f>
        <v>https://pbs.twimg.com/profile_images/1236992311516594179/CuGbOzcL_normal.jpg</v>
      </c>
      <c r="G184" s="63"/>
      <c r="H184" s="67"/>
      <c r="I184" s="68"/>
      <c r="J184" s="68"/>
      <c r="K184" s="67" t="s">
        <v>25118</v>
      </c>
      <c r="L184" s="71"/>
      <c r="M184" s="72"/>
      <c r="N184" s="72"/>
      <c r="O184" s="73"/>
      <c r="P184" s="74"/>
      <c r="Q184" s="74"/>
      <c r="R184" s="86"/>
      <c r="S184" s="86"/>
      <c r="T184" s="86"/>
      <c r="U184" s="86"/>
      <c r="V184" s="48"/>
      <c r="W184" s="48"/>
      <c r="X184" s="48"/>
      <c r="Y184" s="48"/>
      <c r="Z184" s="47"/>
      <c r="AA184" s="69">
        <v>184</v>
      </c>
      <c r="AB184" s="69"/>
      <c r="AC184" s="70"/>
      <c r="AD184" s="76" t="s">
        <v>21997</v>
      </c>
      <c r="AE184" s="81" t="s">
        <v>21141</v>
      </c>
      <c r="AF184" s="76">
        <v>93</v>
      </c>
      <c r="AG184" s="76">
        <v>212</v>
      </c>
      <c r="AH184" s="76">
        <v>534</v>
      </c>
      <c r="AI184" s="76">
        <v>0</v>
      </c>
      <c r="AJ184" s="76">
        <v>211</v>
      </c>
      <c r="AK184" s="76">
        <v>135</v>
      </c>
      <c r="AL184" s="76" t="b">
        <v>0</v>
      </c>
      <c r="AM184" s="78">
        <v>43829.57304398148</v>
      </c>
      <c r="AN184" s="76"/>
      <c r="AO184" s="76" t="s">
        <v>23502</v>
      </c>
      <c r="AP184" s="76"/>
      <c r="AQ184" s="76"/>
      <c r="AR184" s="76"/>
      <c r="AS184" s="76"/>
      <c r="AT184" s="76"/>
      <c r="AU184" s="76"/>
      <c r="AV184" s="76">
        <v>1.25077468604207E+18</v>
      </c>
      <c r="AW184" s="76"/>
      <c r="AX184" s="76" t="b">
        <v>0</v>
      </c>
      <c r="AY184" s="76"/>
      <c r="AZ184" s="76"/>
      <c r="BA184" s="76" t="b">
        <v>0</v>
      </c>
      <c r="BB184" s="76" t="b">
        <v>1</v>
      </c>
      <c r="BC184" s="76" t="b">
        <v>1</v>
      </c>
      <c r="BD184" s="76" t="b">
        <v>0</v>
      </c>
      <c r="BE184" s="76" t="b">
        <v>1</v>
      </c>
      <c r="BF184" s="76" t="b">
        <v>0</v>
      </c>
      <c r="BG184" s="76" t="b">
        <v>0</v>
      </c>
      <c r="BH184" s="83" t="str">
        <f>HYPERLINK("https://pbs.twimg.com/profile_banners/1211644363853324288/1577726991")</f>
        <v>https://pbs.twimg.com/profile_banners/1211644363853324288/1577726991</v>
      </c>
      <c r="BI184" s="76"/>
      <c r="BJ184" s="76" t="s">
        <v>24935</v>
      </c>
      <c r="BK184" s="76" t="b">
        <v>0</v>
      </c>
      <c r="BL184" s="76"/>
      <c r="BM184" s="76" t="s">
        <v>66</v>
      </c>
      <c r="BN184" s="76" t="s">
        <v>24937</v>
      </c>
      <c r="BO184" s="83" t="str">
        <f>HYPERLINK("https://twitter.com/victormaceio")</f>
        <v>https://twitter.com/victormaceio</v>
      </c>
      <c r="BP184" s="2"/>
    </row>
    <row r="185" spans="1:68" x14ac:dyDescent="0.25">
      <c r="A185" s="62" t="s">
        <v>400</v>
      </c>
      <c r="B185" s="63"/>
      <c r="C185" s="63"/>
      <c r="D185" s="64"/>
      <c r="E185" s="66"/>
      <c r="F185" s="102" t="str">
        <f>HYPERLINK("https://pbs.twimg.com/profile_images/1701661691451183104/e5AEbwAA_normal.jpg")</f>
        <v>https://pbs.twimg.com/profile_images/1701661691451183104/e5AEbwAA_normal.jpg</v>
      </c>
      <c r="G185" s="63"/>
      <c r="H185" s="67"/>
      <c r="I185" s="68"/>
      <c r="J185" s="68"/>
      <c r="K185" s="67" t="s">
        <v>25119</v>
      </c>
      <c r="L185" s="71"/>
      <c r="M185" s="72"/>
      <c r="N185" s="72"/>
      <c r="O185" s="73"/>
      <c r="P185" s="74"/>
      <c r="Q185" s="74"/>
      <c r="R185" s="86"/>
      <c r="S185" s="86"/>
      <c r="T185" s="86"/>
      <c r="U185" s="86"/>
      <c r="V185" s="48"/>
      <c r="W185" s="48"/>
      <c r="X185" s="48"/>
      <c r="Y185" s="48"/>
      <c r="Z185" s="47"/>
      <c r="AA185" s="69">
        <v>185</v>
      </c>
      <c r="AB185" s="69"/>
      <c r="AC185" s="70"/>
      <c r="AD185" s="76" t="s">
        <v>21998</v>
      </c>
      <c r="AE185" s="81" t="s">
        <v>21142</v>
      </c>
      <c r="AF185" s="76">
        <v>3</v>
      </c>
      <c r="AG185" s="76">
        <v>14</v>
      </c>
      <c r="AH185" s="76">
        <v>9</v>
      </c>
      <c r="AI185" s="76">
        <v>0</v>
      </c>
      <c r="AJ185" s="76">
        <v>16</v>
      </c>
      <c r="AK185" s="76">
        <v>8</v>
      </c>
      <c r="AL185" s="76" t="b">
        <v>0</v>
      </c>
      <c r="AM185" s="78">
        <v>45181.737233796295</v>
      </c>
      <c r="AN185" s="76" t="s">
        <v>14115</v>
      </c>
      <c r="AO185" s="76" t="s">
        <v>23503</v>
      </c>
      <c r="AP185" s="83" t="str">
        <f>HYPERLINK("https://t.co/mdpTdNS6iT")</f>
        <v>https://t.co/mdpTdNS6iT</v>
      </c>
      <c r="AQ185" s="83" t="str">
        <f>HYPERLINK("https://go.hotmart.com/R80265193O")</f>
        <v>https://go.hotmart.com/R80265193O</v>
      </c>
      <c r="AR185" s="76" t="s">
        <v>24345</v>
      </c>
      <c r="AS185" s="76"/>
      <c r="AT185" s="76"/>
      <c r="AU185" s="76"/>
      <c r="AV185" s="76"/>
      <c r="AW185" s="83" t="str">
        <f>HYPERLINK("https://t.co/mdpTdNS6iT")</f>
        <v>https://t.co/mdpTdNS6iT</v>
      </c>
      <c r="AX185" s="76" t="b">
        <v>0</v>
      </c>
      <c r="AY185" s="76"/>
      <c r="AZ185" s="76"/>
      <c r="BA185" s="76" t="b">
        <v>0</v>
      </c>
      <c r="BB185" s="76" t="b">
        <v>1</v>
      </c>
      <c r="BC185" s="76" t="b">
        <v>1</v>
      </c>
      <c r="BD185" s="76" t="b">
        <v>0</v>
      </c>
      <c r="BE185" s="76" t="b">
        <v>0</v>
      </c>
      <c r="BF185" s="76" t="b">
        <v>0</v>
      </c>
      <c r="BG185" s="76" t="b">
        <v>0</v>
      </c>
      <c r="BH185" s="83" t="str">
        <f>HYPERLINK("https://pbs.twimg.com/profile_banners/1701652048998023169/1694542739")</f>
        <v>https://pbs.twimg.com/profile_banners/1701652048998023169/1694542739</v>
      </c>
      <c r="BI185" s="76"/>
      <c r="BJ185" s="76" t="s">
        <v>24935</v>
      </c>
      <c r="BK185" s="76" t="b">
        <v>0</v>
      </c>
      <c r="BL185" s="76"/>
      <c r="BM185" s="76" t="s">
        <v>66</v>
      </c>
      <c r="BN185" s="76" t="s">
        <v>24937</v>
      </c>
      <c r="BO185" s="83" t="str">
        <f>HYPERLINK("https://twitter.com/lucrarcomreceit")</f>
        <v>https://twitter.com/lucrarcomreceit</v>
      </c>
      <c r="BP185" s="2"/>
    </row>
    <row r="186" spans="1:68" x14ac:dyDescent="0.25">
      <c r="A186" s="62" t="s">
        <v>401</v>
      </c>
      <c r="B186" s="63"/>
      <c r="C186" s="63"/>
      <c r="D186" s="64"/>
      <c r="E186" s="66"/>
      <c r="F186" s="102" t="str">
        <f>HYPERLINK("https://pbs.twimg.com/profile_images/1600917560458940422/GtF5mquh_normal.png")</f>
        <v>https://pbs.twimg.com/profile_images/1600917560458940422/GtF5mquh_normal.png</v>
      </c>
      <c r="G186" s="63"/>
      <c r="H186" s="67"/>
      <c r="I186" s="68"/>
      <c r="J186" s="68"/>
      <c r="K186" s="67" t="s">
        <v>25120</v>
      </c>
      <c r="L186" s="71"/>
      <c r="M186" s="72"/>
      <c r="N186" s="72"/>
      <c r="O186" s="73"/>
      <c r="P186" s="74"/>
      <c r="Q186" s="74"/>
      <c r="R186" s="86"/>
      <c r="S186" s="86"/>
      <c r="T186" s="86"/>
      <c r="U186" s="86"/>
      <c r="V186" s="48"/>
      <c r="W186" s="48"/>
      <c r="X186" s="48"/>
      <c r="Y186" s="48"/>
      <c r="Z186" s="47"/>
      <c r="AA186" s="69">
        <v>186</v>
      </c>
      <c r="AB186" s="69"/>
      <c r="AC186" s="70"/>
      <c r="AD186" s="76" t="s">
        <v>21999</v>
      </c>
      <c r="AE186" s="81" t="s">
        <v>21143</v>
      </c>
      <c r="AF186" s="76">
        <v>0</v>
      </c>
      <c r="AG186" s="76">
        <v>9</v>
      </c>
      <c r="AH186" s="76">
        <v>3</v>
      </c>
      <c r="AI186" s="76">
        <v>0</v>
      </c>
      <c r="AJ186" s="76">
        <v>0</v>
      </c>
      <c r="AK186" s="76">
        <v>1</v>
      </c>
      <c r="AL186" s="76" t="b">
        <v>0</v>
      </c>
      <c r="AM186" s="78">
        <v>44903.762314814812</v>
      </c>
      <c r="AN186" s="76"/>
      <c r="AO186" s="76"/>
      <c r="AP186" s="76"/>
      <c r="AQ186" s="76"/>
      <c r="AR186" s="76"/>
      <c r="AS186" s="76"/>
      <c r="AT186" s="76"/>
      <c r="AU186" s="76"/>
      <c r="AV186" s="76"/>
      <c r="AW186" s="76"/>
      <c r="AX186" s="76" t="b">
        <v>0</v>
      </c>
      <c r="AY186" s="76"/>
      <c r="AZ186" s="76"/>
      <c r="BA186" s="76" t="b">
        <v>0</v>
      </c>
      <c r="BB186" s="76" t="b">
        <v>1</v>
      </c>
      <c r="BC186" s="76" t="b">
        <v>1</v>
      </c>
      <c r="BD186" s="76" t="b">
        <v>0</v>
      </c>
      <c r="BE186" s="76" t="b">
        <v>0</v>
      </c>
      <c r="BF186" s="76" t="b">
        <v>0</v>
      </c>
      <c r="BG186" s="76" t="b">
        <v>0</v>
      </c>
      <c r="BH186" s="76"/>
      <c r="BI186" s="76"/>
      <c r="BJ186" s="76" t="s">
        <v>24935</v>
      </c>
      <c r="BK186" s="76" t="b">
        <v>0</v>
      </c>
      <c r="BL186" s="76"/>
      <c r="BM186" s="76" t="s">
        <v>66</v>
      </c>
      <c r="BN186" s="76" t="s">
        <v>24937</v>
      </c>
      <c r="BO186" s="83" t="str">
        <f>HYPERLINK("https://twitter.com/sarita19amt")</f>
        <v>https://twitter.com/sarita19amt</v>
      </c>
      <c r="BP186" s="2"/>
    </row>
    <row r="187" spans="1:68" x14ac:dyDescent="0.25">
      <c r="A187" s="62" t="s">
        <v>402</v>
      </c>
      <c r="B187" s="63"/>
      <c r="C187" s="63"/>
      <c r="D187" s="64"/>
      <c r="E187" s="66"/>
      <c r="F187" s="102" t="str">
        <f>HYPERLINK("https://pbs.twimg.com/profile_images/1643636484824608774/XRPyBV9W_normal.jpg")</f>
        <v>https://pbs.twimg.com/profile_images/1643636484824608774/XRPyBV9W_normal.jpg</v>
      </c>
      <c r="G187" s="63"/>
      <c r="H187" s="67"/>
      <c r="I187" s="68"/>
      <c r="J187" s="68"/>
      <c r="K187" s="67" t="s">
        <v>25121</v>
      </c>
      <c r="L187" s="71"/>
      <c r="M187" s="72"/>
      <c r="N187" s="72"/>
      <c r="O187" s="73"/>
      <c r="P187" s="74"/>
      <c r="Q187" s="74"/>
      <c r="R187" s="86"/>
      <c r="S187" s="86"/>
      <c r="T187" s="86"/>
      <c r="U187" s="86"/>
      <c r="V187" s="48"/>
      <c r="W187" s="48"/>
      <c r="X187" s="48"/>
      <c r="Y187" s="48"/>
      <c r="Z187" s="47"/>
      <c r="AA187" s="69">
        <v>187</v>
      </c>
      <c r="AB187" s="69"/>
      <c r="AC187" s="70"/>
      <c r="AD187" s="76" t="s">
        <v>22000</v>
      </c>
      <c r="AE187" s="81" t="s">
        <v>21144</v>
      </c>
      <c r="AF187" s="76">
        <v>0</v>
      </c>
      <c r="AG187" s="76">
        <v>1</v>
      </c>
      <c r="AH187" s="76">
        <v>9</v>
      </c>
      <c r="AI187" s="76">
        <v>0</v>
      </c>
      <c r="AJ187" s="76">
        <v>0</v>
      </c>
      <c r="AK187" s="76">
        <v>8</v>
      </c>
      <c r="AL187" s="76" t="b">
        <v>0</v>
      </c>
      <c r="AM187" s="78">
        <v>45021.643865740742</v>
      </c>
      <c r="AN187" s="76" t="s">
        <v>14041</v>
      </c>
      <c r="AO187" s="76" t="s">
        <v>23504</v>
      </c>
      <c r="AP187" s="83" t="str">
        <f>HYPERLINK("https://t.co/JFb52TLsY1")</f>
        <v>https://t.co/JFb52TLsY1</v>
      </c>
      <c r="AQ187" s="83" t="str">
        <f>HYPERLINK("https://game.brlwin.com/?code=vzujmv")</f>
        <v>https://game.brlwin.com/?code=vzujmv</v>
      </c>
      <c r="AR187" s="76" t="s">
        <v>24346</v>
      </c>
      <c r="AS187" s="76"/>
      <c r="AT187" s="76"/>
      <c r="AU187" s="76"/>
      <c r="AV187" s="76">
        <v>1.6436396144087401E+18</v>
      </c>
      <c r="AW187" s="83" t="str">
        <f>HYPERLINK("https://t.co/JFb52TLsY1")</f>
        <v>https://t.co/JFb52TLsY1</v>
      </c>
      <c r="AX187" s="76" t="b">
        <v>0</v>
      </c>
      <c r="AY187" s="76"/>
      <c r="AZ187" s="76"/>
      <c r="BA187" s="76" t="b">
        <v>0</v>
      </c>
      <c r="BB187" s="76" t="b">
        <v>1</v>
      </c>
      <c r="BC187" s="76" t="b">
        <v>1</v>
      </c>
      <c r="BD187" s="76" t="b">
        <v>0</v>
      </c>
      <c r="BE187" s="76" t="b">
        <v>0</v>
      </c>
      <c r="BF187" s="76" t="b">
        <v>0</v>
      </c>
      <c r="BG187" s="76" t="b">
        <v>0</v>
      </c>
      <c r="BH187" s="83" t="str">
        <f>HYPERLINK("https://pbs.twimg.com/profile_banners/1643636369267339264/1680708846")</f>
        <v>https://pbs.twimg.com/profile_banners/1643636369267339264/1680708846</v>
      </c>
      <c r="BI187" s="76"/>
      <c r="BJ187" s="76" t="s">
        <v>24935</v>
      </c>
      <c r="BK187" s="76" t="b">
        <v>0</v>
      </c>
      <c r="BL187" s="76"/>
      <c r="BM187" s="76" t="s">
        <v>66</v>
      </c>
      <c r="BN187" s="76" t="s">
        <v>24937</v>
      </c>
      <c r="BO187" s="83" t="str">
        <f>HYPERLINK("https://twitter.com/slotsdalua")</f>
        <v>https://twitter.com/slotsdalua</v>
      </c>
      <c r="BP187" s="2"/>
    </row>
    <row r="188" spans="1:68" x14ac:dyDescent="0.25">
      <c r="A188" s="62" t="s">
        <v>403</v>
      </c>
      <c r="B188" s="63"/>
      <c r="C188" s="63"/>
      <c r="D188" s="64"/>
      <c r="E188" s="66"/>
      <c r="F188" s="102" t="str">
        <f>HYPERLINK("https://pbs.twimg.com/profile_images/1642719924882661378/XOAKn0rm_normal.jpg")</f>
        <v>https://pbs.twimg.com/profile_images/1642719924882661378/XOAKn0rm_normal.jpg</v>
      </c>
      <c r="G188" s="63"/>
      <c r="H188" s="67"/>
      <c r="I188" s="68"/>
      <c r="J188" s="68"/>
      <c r="K188" s="67" t="s">
        <v>25122</v>
      </c>
      <c r="L188" s="71"/>
      <c r="M188" s="72"/>
      <c r="N188" s="72"/>
      <c r="O188" s="73"/>
      <c r="P188" s="74"/>
      <c r="Q188" s="74"/>
      <c r="R188" s="86"/>
      <c r="S188" s="86"/>
      <c r="T188" s="86"/>
      <c r="U188" s="86"/>
      <c r="V188" s="48"/>
      <c r="W188" s="48"/>
      <c r="X188" s="48"/>
      <c r="Y188" s="48"/>
      <c r="Z188" s="47"/>
      <c r="AA188" s="69">
        <v>188</v>
      </c>
      <c r="AB188" s="69"/>
      <c r="AC188" s="70"/>
      <c r="AD188" s="76" t="s">
        <v>22001</v>
      </c>
      <c r="AE188" s="81" t="s">
        <v>21145</v>
      </c>
      <c r="AF188" s="76">
        <v>0</v>
      </c>
      <c r="AG188" s="76">
        <v>32</v>
      </c>
      <c r="AH188" s="76">
        <v>2</v>
      </c>
      <c r="AI188" s="76">
        <v>0</v>
      </c>
      <c r="AJ188" s="76">
        <v>39</v>
      </c>
      <c r="AK188" s="76">
        <v>1</v>
      </c>
      <c r="AL188" s="76" t="b">
        <v>0</v>
      </c>
      <c r="AM188" s="78">
        <v>45000.12222222222</v>
      </c>
      <c r="AN188" s="76"/>
      <c r="AO188" s="76" t="s">
        <v>23505</v>
      </c>
      <c r="AP188" s="76"/>
      <c r="AQ188" s="76"/>
      <c r="AR188" s="76"/>
      <c r="AS188" s="76"/>
      <c r="AT188" s="76"/>
      <c r="AU188" s="76"/>
      <c r="AV188" s="76"/>
      <c r="AW188" s="76"/>
      <c r="AX188" s="76" t="b">
        <v>0</v>
      </c>
      <c r="AY188" s="76"/>
      <c r="AZ188" s="76"/>
      <c r="BA188" s="76" t="b">
        <v>0</v>
      </c>
      <c r="BB188" s="76" t="b">
        <v>1</v>
      </c>
      <c r="BC188" s="76" t="b">
        <v>1</v>
      </c>
      <c r="BD188" s="76" t="b">
        <v>0</v>
      </c>
      <c r="BE188" s="76" t="b">
        <v>0</v>
      </c>
      <c r="BF188" s="76" t="b">
        <v>0</v>
      </c>
      <c r="BG188" s="76" t="b">
        <v>0</v>
      </c>
      <c r="BH188" s="83" t="str">
        <f>HYPERLINK("https://pbs.twimg.com/profile_banners/1635837067174334468/1680489940")</f>
        <v>https://pbs.twimg.com/profile_banners/1635837067174334468/1680489940</v>
      </c>
      <c r="BI188" s="76"/>
      <c r="BJ188" s="76" t="s">
        <v>24935</v>
      </c>
      <c r="BK188" s="76" t="b">
        <v>0</v>
      </c>
      <c r="BL188" s="76"/>
      <c r="BM188" s="76" t="s">
        <v>66</v>
      </c>
      <c r="BN188" s="76" t="s">
        <v>24937</v>
      </c>
      <c r="BO188" s="83" t="str">
        <f>HYPERLINK("https://twitter.com/hebbermasc")</f>
        <v>https://twitter.com/hebbermasc</v>
      </c>
      <c r="BP188" s="2"/>
    </row>
    <row r="189" spans="1:68" x14ac:dyDescent="0.25">
      <c r="A189" s="62" t="s">
        <v>404</v>
      </c>
      <c r="B189" s="63"/>
      <c r="C189" s="63"/>
      <c r="D189" s="64"/>
      <c r="E189" s="66"/>
      <c r="F189" s="102" t="str">
        <f>HYPERLINK("https://pbs.twimg.com/profile_images/1549076227935408129/N6BEug99_normal.jpg")</f>
        <v>https://pbs.twimg.com/profile_images/1549076227935408129/N6BEug99_normal.jpg</v>
      </c>
      <c r="G189" s="63"/>
      <c r="H189" s="67"/>
      <c r="I189" s="68"/>
      <c r="J189" s="68"/>
      <c r="K189" s="67" t="s">
        <v>25123</v>
      </c>
      <c r="L189" s="71"/>
      <c r="M189" s="72"/>
      <c r="N189" s="72"/>
      <c r="O189" s="73"/>
      <c r="P189" s="74"/>
      <c r="Q189" s="74"/>
      <c r="R189" s="86"/>
      <c r="S189" s="86"/>
      <c r="T189" s="86"/>
      <c r="U189" s="86"/>
      <c r="V189" s="48"/>
      <c r="W189" s="48"/>
      <c r="X189" s="48"/>
      <c r="Y189" s="48"/>
      <c r="Z189" s="47"/>
      <c r="AA189" s="69">
        <v>189</v>
      </c>
      <c r="AB189" s="69"/>
      <c r="AC189" s="70"/>
      <c r="AD189" s="76" t="s">
        <v>22002</v>
      </c>
      <c r="AE189" s="81" t="s">
        <v>21146</v>
      </c>
      <c r="AF189" s="76">
        <v>60</v>
      </c>
      <c r="AG189" s="76">
        <v>98</v>
      </c>
      <c r="AH189" s="76">
        <v>733</v>
      </c>
      <c r="AI189" s="76">
        <v>0</v>
      </c>
      <c r="AJ189" s="76">
        <v>74</v>
      </c>
      <c r="AK189" s="76">
        <v>646</v>
      </c>
      <c r="AL189" s="76" t="b">
        <v>0</v>
      </c>
      <c r="AM189" s="78">
        <v>44307.684236111112</v>
      </c>
      <c r="AN189" s="76"/>
      <c r="AO189" s="76" t="s">
        <v>23506</v>
      </c>
      <c r="AP189" s="83" t="str">
        <f>HYPERLINK("https://t.co/v6SYnsw7z5")</f>
        <v>https://t.co/v6SYnsw7z5</v>
      </c>
      <c r="AQ189" s="83" t="str">
        <f>HYPERLINK("https://linktr.ee/tradersaedrashid")</f>
        <v>https://linktr.ee/tradersaedrashid</v>
      </c>
      <c r="AR189" s="76" t="s">
        <v>24347</v>
      </c>
      <c r="AS189" s="76"/>
      <c r="AT189" s="76"/>
      <c r="AU189" s="76"/>
      <c r="AV189" s="76"/>
      <c r="AW189" s="83" t="str">
        <f>HYPERLINK("https://t.co/v6SYnsw7z5")</f>
        <v>https://t.co/v6SYnsw7z5</v>
      </c>
      <c r="AX189" s="76" t="b">
        <v>0</v>
      </c>
      <c r="AY189" s="76"/>
      <c r="AZ189" s="76"/>
      <c r="BA189" s="76" t="b">
        <v>0</v>
      </c>
      <c r="BB189" s="76" t="b">
        <v>1</v>
      </c>
      <c r="BC189" s="76" t="b">
        <v>1</v>
      </c>
      <c r="BD189" s="76" t="b">
        <v>0</v>
      </c>
      <c r="BE189" s="76" t="b">
        <v>0</v>
      </c>
      <c r="BF189" s="76" t="b">
        <v>0</v>
      </c>
      <c r="BG189" s="76" t="b">
        <v>0</v>
      </c>
      <c r="BH189" s="83" t="str">
        <f>HYPERLINK("https://pbs.twimg.com/profile_banners/1384906063372238851/1658494537")</f>
        <v>https://pbs.twimg.com/profile_banners/1384906063372238851/1658494537</v>
      </c>
      <c r="BI189" s="76"/>
      <c r="BJ189" s="76" t="s">
        <v>24935</v>
      </c>
      <c r="BK189" s="76" t="b">
        <v>0</v>
      </c>
      <c r="BL189" s="76"/>
      <c r="BM189" s="76" t="s">
        <v>66</v>
      </c>
      <c r="BN189" s="76" t="s">
        <v>24937</v>
      </c>
      <c r="BO189" s="83" t="str">
        <f>HYPERLINK("https://twitter.com/tradersaed")</f>
        <v>https://twitter.com/tradersaed</v>
      </c>
      <c r="BP189" s="2"/>
    </row>
    <row r="190" spans="1:68" x14ac:dyDescent="0.25">
      <c r="A190" s="62" t="s">
        <v>405</v>
      </c>
      <c r="B190" s="63"/>
      <c r="C190" s="63"/>
      <c r="D190" s="64"/>
      <c r="E190" s="66"/>
      <c r="F190" s="102" t="str">
        <f>HYPERLINK("https://pbs.twimg.com/profile_images/1693798116053377024/cxGXWjJM_normal.png")</f>
        <v>https://pbs.twimg.com/profile_images/1693798116053377024/cxGXWjJM_normal.png</v>
      </c>
      <c r="G190" s="63"/>
      <c r="H190" s="67"/>
      <c r="I190" s="68"/>
      <c r="J190" s="68"/>
      <c r="K190" s="67" t="s">
        <v>25124</v>
      </c>
      <c r="L190" s="71"/>
      <c r="M190" s="72"/>
      <c r="N190" s="72"/>
      <c r="O190" s="73"/>
      <c r="P190" s="74"/>
      <c r="Q190" s="74"/>
      <c r="R190" s="86"/>
      <c r="S190" s="86"/>
      <c r="T190" s="86"/>
      <c r="U190" s="86"/>
      <c r="V190" s="48"/>
      <c r="W190" s="48"/>
      <c r="X190" s="48"/>
      <c r="Y190" s="48"/>
      <c r="Z190" s="47"/>
      <c r="AA190" s="69">
        <v>190</v>
      </c>
      <c r="AB190" s="69"/>
      <c r="AC190" s="70"/>
      <c r="AD190" s="76" t="s">
        <v>22003</v>
      </c>
      <c r="AE190" s="81" t="s">
        <v>21147</v>
      </c>
      <c r="AF190" s="76">
        <v>2</v>
      </c>
      <c r="AG190" s="76">
        <v>84</v>
      </c>
      <c r="AH190" s="76">
        <v>18</v>
      </c>
      <c r="AI190" s="76">
        <v>0</v>
      </c>
      <c r="AJ190" s="76">
        <v>9</v>
      </c>
      <c r="AK190" s="76">
        <v>3</v>
      </c>
      <c r="AL190" s="76" t="b">
        <v>0</v>
      </c>
      <c r="AM190" s="78">
        <v>45160.063819444447</v>
      </c>
      <c r="AN190" s="76"/>
      <c r="AO190" s="76" t="s">
        <v>23507</v>
      </c>
      <c r="AP190" s="83" t="str">
        <f>HYPERLINK("https://t.co/csYqKSaiyE")</f>
        <v>https://t.co/csYqKSaiyE</v>
      </c>
      <c r="AQ190" s="83" t="str">
        <f>HYPERLINK("https://linktr.ee/beyoursco")</f>
        <v>https://linktr.ee/beyoursco</v>
      </c>
      <c r="AR190" s="76" t="s">
        <v>24348</v>
      </c>
      <c r="AS190" s="76"/>
      <c r="AT190" s="76"/>
      <c r="AU190" s="76"/>
      <c r="AV190" s="76"/>
      <c r="AW190" s="83" t="str">
        <f>HYPERLINK("https://t.co/csYqKSaiyE")</f>
        <v>https://t.co/csYqKSaiyE</v>
      </c>
      <c r="AX190" s="76" t="b">
        <v>0</v>
      </c>
      <c r="AY190" s="76"/>
      <c r="AZ190" s="76"/>
      <c r="BA190" s="76" t="b">
        <v>0</v>
      </c>
      <c r="BB190" s="76" t="b">
        <v>1</v>
      </c>
      <c r="BC190" s="76" t="b">
        <v>1</v>
      </c>
      <c r="BD190" s="76" t="b">
        <v>0</v>
      </c>
      <c r="BE190" s="76" t="b">
        <v>0</v>
      </c>
      <c r="BF190" s="76" t="b">
        <v>0</v>
      </c>
      <c r="BG190" s="76" t="b">
        <v>0</v>
      </c>
      <c r="BH190" s="83" t="str">
        <f>HYPERLINK("https://pbs.twimg.com/profile_banners/1693798055047200768/1692669211")</f>
        <v>https://pbs.twimg.com/profile_banners/1693798055047200768/1692669211</v>
      </c>
      <c r="BI190" s="76"/>
      <c r="BJ190" s="76" t="s">
        <v>24935</v>
      </c>
      <c r="BK190" s="76" t="b">
        <v>0</v>
      </c>
      <c r="BL190" s="76"/>
      <c r="BM190" s="76" t="s">
        <v>66</v>
      </c>
      <c r="BN190" s="76" t="s">
        <v>24937</v>
      </c>
      <c r="BO190" s="83" t="str">
        <f>HYPERLINK("https://twitter.com/beyourscompany")</f>
        <v>https://twitter.com/beyourscompany</v>
      </c>
      <c r="BP190" s="2"/>
    </row>
    <row r="191" spans="1:68" x14ac:dyDescent="0.25">
      <c r="A191" s="62" t="s">
        <v>406</v>
      </c>
      <c r="B191" s="63"/>
      <c r="C191" s="63"/>
      <c r="D191" s="64"/>
      <c r="E191" s="66"/>
      <c r="F191" s="102" t="str">
        <f>HYPERLINK("https://pbs.twimg.com/profile_images/1494034729989025798/n7SDYvEe_normal.jpg")</f>
        <v>https://pbs.twimg.com/profile_images/1494034729989025798/n7SDYvEe_normal.jpg</v>
      </c>
      <c r="G191" s="63"/>
      <c r="H191" s="67"/>
      <c r="I191" s="68"/>
      <c r="J191" s="68"/>
      <c r="K191" s="67" t="s">
        <v>25125</v>
      </c>
      <c r="L191" s="71"/>
      <c r="M191" s="72"/>
      <c r="N191" s="72"/>
      <c r="O191" s="73"/>
      <c r="P191" s="74"/>
      <c r="Q191" s="74"/>
      <c r="R191" s="86"/>
      <c r="S191" s="86"/>
      <c r="T191" s="86"/>
      <c r="U191" s="86"/>
      <c r="V191" s="48"/>
      <c r="W191" s="48"/>
      <c r="X191" s="48"/>
      <c r="Y191" s="48"/>
      <c r="Z191" s="47"/>
      <c r="AA191" s="69">
        <v>191</v>
      </c>
      <c r="AB191" s="69"/>
      <c r="AC191" s="70"/>
      <c r="AD191" s="76" t="s">
        <v>22004</v>
      </c>
      <c r="AE191" s="81" t="s">
        <v>22892</v>
      </c>
      <c r="AF191" s="76">
        <v>190</v>
      </c>
      <c r="AG191" s="76">
        <v>1930</v>
      </c>
      <c r="AH191" s="76">
        <v>2302</v>
      </c>
      <c r="AI191" s="76">
        <v>5</v>
      </c>
      <c r="AJ191" s="76">
        <v>1308</v>
      </c>
      <c r="AK191" s="76">
        <v>1039</v>
      </c>
      <c r="AL191" s="76" t="b">
        <v>0</v>
      </c>
      <c r="AM191" s="78">
        <v>41549.038599537038</v>
      </c>
      <c r="AN191" s="76" t="s">
        <v>23126</v>
      </c>
      <c r="AO191" s="76" t="s">
        <v>23508</v>
      </c>
      <c r="AP191" s="83" t="str">
        <f>HYPERLINK("https://t.co/4teZ3TrJXp")</f>
        <v>https://t.co/4teZ3TrJXp</v>
      </c>
      <c r="AQ191" s="83" t="str">
        <f>HYPERLINK("https://canalqb.blogspot.com/")</f>
        <v>https://canalqb.blogspot.com/</v>
      </c>
      <c r="AR191" s="76" t="s">
        <v>24349</v>
      </c>
      <c r="AS191" s="83" t="str">
        <f>HYPERLINK("https://t.co/z013xbwhLC")</f>
        <v>https://t.co/z013xbwhLC</v>
      </c>
      <c r="AT191" s="83" t="str">
        <f>HYPERLINK("http://bit.ly/youQb")</f>
        <v>http://bit.ly/youQb</v>
      </c>
      <c r="AU191" s="76" t="s">
        <v>24861</v>
      </c>
      <c r="AV191" s="76"/>
      <c r="AW191" s="83" t="str">
        <f>HYPERLINK("https://t.co/4teZ3TrJXp")</f>
        <v>https://t.co/4teZ3TrJXp</v>
      </c>
      <c r="AX191" s="76" t="b">
        <v>0</v>
      </c>
      <c r="AY191" s="76"/>
      <c r="AZ191" s="76"/>
      <c r="BA191" s="76" t="b">
        <v>0</v>
      </c>
      <c r="BB191" s="76" t="b">
        <v>1</v>
      </c>
      <c r="BC191" s="76" t="b">
        <v>1</v>
      </c>
      <c r="BD191" s="76" t="b">
        <v>0</v>
      </c>
      <c r="BE191" s="76" t="b">
        <v>0</v>
      </c>
      <c r="BF191" s="76" t="b">
        <v>0</v>
      </c>
      <c r="BG191" s="76" t="b">
        <v>0</v>
      </c>
      <c r="BH191" s="83" t="str">
        <f>HYPERLINK("https://pbs.twimg.com/profile_banners/1925123718/1636375121")</f>
        <v>https://pbs.twimg.com/profile_banners/1925123718/1636375121</v>
      </c>
      <c r="BI191" s="76"/>
      <c r="BJ191" s="76" t="s">
        <v>24935</v>
      </c>
      <c r="BK191" s="76" t="b">
        <v>0</v>
      </c>
      <c r="BL191" s="76"/>
      <c r="BM191" s="76" t="s">
        <v>66</v>
      </c>
      <c r="BN191" s="76" t="s">
        <v>24937</v>
      </c>
      <c r="BO191" s="83" t="str">
        <f>HYPERLINK("https://twitter.com/canalqb")</f>
        <v>https://twitter.com/canalqb</v>
      </c>
      <c r="BP191" s="2"/>
    </row>
    <row r="192" spans="1:68" x14ac:dyDescent="0.25">
      <c r="A192" s="62" t="s">
        <v>407</v>
      </c>
      <c r="B192" s="63"/>
      <c r="C192" s="63"/>
      <c r="D192" s="64"/>
      <c r="E192" s="66"/>
      <c r="F192" s="102" t="str">
        <f>HYPERLINK("https://pbs.twimg.com/profile_images/1409787744973434880/7AUrhIf7_normal.jpg")</f>
        <v>https://pbs.twimg.com/profile_images/1409787744973434880/7AUrhIf7_normal.jpg</v>
      </c>
      <c r="G192" s="63"/>
      <c r="H192" s="67"/>
      <c r="I192" s="68"/>
      <c r="J192" s="68"/>
      <c r="K192" s="67" t="s">
        <v>25126</v>
      </c>
      <c r="L192" s="71"/>
      <c r="M192" s="72"/>
      <c r="N192" s="72"/>
      <c r="O192" s="73"/>
      <c r="P192" s="74"/>
      <c r="Q192" s="74"/>
      <c r="R192" s="86"/>
      <c r="S192" s="86"/>
      <c r="T192" s="86"/>
      <c r="U192" s="86"/>
      <c r="V192" s="48"/>
      <c r="W192" s="48"/>
      <c r="X192" s="48"/>
      <c r="Y192" s="48"/>
      <c r="Z192" s="47"/>
      <c r="AA192" s="69">
        <v>192</v>
      </c>
      <c r="AB192" s="69"/>
      <c r="AC192" s="70"/>
      <c r="AD192" s="76" t="s">
        <v>22005</v>
      </c>
      <c r="AE192" s="81" t="s">
        <v>21148</v>
      </c>
      <c r="AF192" s="76">
        <v>149</v>
      </c>
      <c r="AG192" s="76">
        <v>490</v>
      </c>
      <c r="AH192" s="76">
        <v>32482</v>
      </c>
      <c r="AI192" s="76">
        <v>1</v>
      </c>
      <c r="AJ192" s="76">
        <v>27158</v>
      </c>
      <c r="AK192" s="76">
        <v>6423</v>
      </c>
      <c r="AL192" s="76" t="b">
        <v>0</v>
      </c>
      <c r="AM192" s="78">
        <v>44269.879467592589</v>
      </c>
      <c r="AN192" s="76"/>
      <c r="AO192" s="76" t="s">
        <v>23509</v>
      </c>
      <c r="AP192" s="76"/>
      <c r="AQ192" s="76"/>
      <c r="AR192" s="76"/>
      <c r="AS192" s="76"/>
      <c r="AT192" s="76"/>
      <c r="AU192" s="76"/>
      <c r="AV192" s="76">
        <v>1.4838438005649001E+18</v>
      </c>
      <c r="AW192" s="76"/>
      <c r="AX192" s="76" t="b">
        <v>0</v>
      </c>
      <c r="AY192" s="76"/>
      <c r="AZ192" s="76"/>
      <c r="BA192" s="76" t="b">
        <v>0</v>
      </c>
      <c r="BB192" s="76" t="b">
        <v>1</v>
      </c>
      <c r="BC192" s="76" t="b">
        <v>1</v>
      </c>
      <c r="BD192" s="76" t="b">
        <v>0</v>
      </c>
      <c r="BE192" s="76" t="b">
        <v>1</v>
      </c>
      <c r="BF192" s="76" t="b">
        <v>0</v>
      </c>
      <c r="BG192" s="76" t="b">
        <v>1</v>
      </c>
      <c r="BH192" s="83" t="str">
        <f>HYPERLINK("https://pbs.twimg.com/profile_banners/1371206006387146753/1615876180")</f>
        <v>https://pbs.twimg.com/profile_banners/1371206006387146753/1615876180</v>
      </c>
      <c r="BI192" s="76"/>
      <c r="BJ192" s="76" t="s">
        <v>24935</v>
      </c>
      <c r="BK192" s="76" t="b">
        <v>0</v>
      </c>
      <c r="BL192" s="76"/>
      <c r="BM192" s="76" t="s">
        <v>66</v>
      </c>
      <c r="BN192" s="76" t="s">
        <v>24937</v>
      </c>
      <c r="BO192" s="83" t="str">
        <f>HYPERLINK("https://twitter.com/diogofcastilho1")</f>
        <v>https://twitter.com/diogofcastilho1</v>
      </c>
      <c r="BP192" s="2"/>
    </row>
    <row r="193" spans="1:68" x14ac:dyDescent="0.25">
      <c r="A193" s="62" t="s">
        <v>408</v>
      </c>
      <c r="B193" s="63"/>
      <c r="C193" s="63"/>
      <c r="D193" s="64"/>
      <c r="E193" s="66"/>
      <c r="F193" s="102" t="str">
        <f>HYPERLINK("https://pbs.twimg.com/profile_images/1635270992808255491/pNn0IscL_normal.jpg")</f>
        <v>https://pbs.twimg.com/profile_images/1635270992808255491/pNn0IscL_normal.jpg</v>
      </c>
      <c r="G193" s="63"/>
      <c r="H193" s="67"/>
      <c r="I193" s="68"/>
      <c r="J193" s="68"/>
      <c r="K193" s="67" t="s">
        <v>25127</v>
      </c>
      <c r="L193" s="71"/>
      <c r="M193" s="72"/>
      <c r="N193" s="72"/>
      <c r="O193" s="73"/>
      <c r="P193" s="74"/>
      <c r="Q193" s="74"/>
      <c r="R193" s="86"/>
      <c r="S193" s="86"/>
      <c r="T193" s="86"/>
      <c r="U193" s="86"/>
      <c r="V193" s="48"/>
      <c r="W193" s="48"/>
      <c r="X193" s="48"/>
      <c r="Y193" s="48"/>
      <c r="Z193" s="47"/>
      <c r="AA193" s="69">
        <v>193</v>
      </c>
      <c r="AB193" s="69"/>
      <c r="AC193" s="70"/>
      <c r="AD193" s="76" t="s">
        <v>22006</v>
      </c>
      <c r="AE193" s="81" t="s">
        <v>22893</v>
      </c>
      <c r="AF193" s="76">
        <v>36</v>
      </c>
      <c r="AG193" s="76">
        <v>100</v>
      </c>
      <c r="AH193" s="76">
        <v>814</v>
      </c>
      <c r="AI193" s="76">
        <v>0</v>
      </c>
      <c r="AJ193" s="76">
        <v>711</v>
      </c>
      <c r="AK193" s="76">
        <v>61</v>
      </c>
      <c r="AL193" s="76" t="b">
        <v>0</v>
      </c>
      <c r="AM193" s="78">
        <v>39952.139826388891</v>
      </c>
      <c r="AN193" s="76" t="s">
        <v>23127</v>
      </c>
      <c r="AO193" s="76" t="s">
        <v>23510</v>
      </c>
      <c r="AP193" s="76"/>
      <c r="AQ193" s="76"/>
      <c r="AR193" s="76"/>
      <c r="AS193" s="76"/>
      <c r="AT193" s="76"/>
      <c r="AU193" s="76"/>
      <c r="AV193" s="76"/>
      <c r="AW193" s="76"/>
      <c r="AX193" s="76" t="b">
        <v>0</v>
      </c>
      <c r="AY193" s="76"/>
      <c r="AZ193" s="76"/>
      <c r="BA193" s="76" t="b">
        <v>1</v>
      </c>
      <c r="BB193" s="76" t="b">
        <v>1</v>
      </c>
      <c r="BC193" s="76" t="b">
        <v>0</v>
      </c>
      <c r="BD193" s="76" t="b">
        <v>0</v>
      </c>
      <c r="BE193" s="76" t="b">
        <v>0</v>
      </c>
      <c r="BF193" s="76" t="b">
        <v>0</v>
      </c>
      <c r="BG193" s="76" t="b">
        <v>0</v>
      </c>
      <c r="BH193" s="76"/>
      <c r="BI193" s="76"/>
      <c r="BJ193" s="76" t="s">
        <v>24935</v>
      </c>
      <c r="BK193" s="76" t="b">
        <v>0</v>
      </c>
      <c r="BL193" s="76"/>
      <c r="BM193" s="76" t="s">
        <v>66</v>
      </c>
      <c r="BN193" s="76" t="s">
        <v>24937</v>
      </c>
      <c r="BO193" s="83" t="str">
        <f>HYPERLINK("https://twitter.com/alleph")</f>
        <v>https://twitter.com/alleph</v>
      </c>
      <c r="BP193" s="2"/>
    </row>
    <row r="194" spans="1:68" x14ac:dyDescent="0.25">
      <c r="A194" s="62" t="s">
        <v>409</v>
      </c>
      <c r="B194" s="63"/>
      <c r="C194" s="63"/>
      <c r="D194" s="64"/>
      <c r="E194" s="66"/>
      <c r="F194" s="102" t="str">
        <f>HYPERLINK("https://pbs.twimg.com/profile_images/1558080847139454984/vmv80SmM_normal.jpg")</f>
        <v>https://pbs.twimg.com/profile_images/1558080847139454984/vmv80SmM_normal.jpg</v>
      </c>
      <c r="G194" s="63"/>
      <c r="H194" s="67"/>
      <c r="I194" s="68"/>
      <c r="J194" s="68"/>
      <c r="K194" s="67" t="s">
        <v>25128</v>
      </c>
      <c r="L194" s="71"/>
      <c r="M194" s="72"/>
      <c r="N194" s="72"/>
      <c r="O194" s="73"/>
      <c r="P194" s="74"/>
      <c r="Q194" s="74"/>
      <c r="R194" s="86"/>
      <c r="S194" s="86"/>
      <c r="T194" s="86"/>
      <c r="U194" s="86"/>
      <c r="V194" s="48"/>
      <c r="W194" s="48"/>
      <c r="X194" s="48"/>
      <c r="Y194" s="48"/>
      <c r="Z194" s="47"/>
      <c r="AA194" s="69">
        <v>194</v>
      </c>
      <c r="AB194" s="69"/>
      <c r="AC194" s="70"/>
      <c r="AD194" s="76" t="s">
        <v>409</v>
      </c>
      <c r="AE194" s="81" t="s">
        <v>21149</v>
      </c>
      <c r="AF194" s="76">
        <v>6</v>
      </c>
      <c r="AG194" s="76">
        <v>42</v>
      </c>
      <c r="AH194" s="76">
        <v>78</v>
      </c>
      <c r="AI194" s="76">
        <v>0</v>
      </c>
      <c r="AJ194" s="76">
        <v>27</v>
      </c>
      <c r="AK194" s="76">
        <v>34</v>
      </c>
      <c r="AL194" s="76" t="b">
        <v>0</v>
      </c>
      <c r="AM194" s="78">
        <v>44754.636747685188</v>
      </c>
      <c r="AN194" s="76" t="s">
        <v>14116</v>
      </c>
      <c r="AO194" s="76" t="s">
        <v>23511</v>
      </c>
      <c r="AP194" s="83" t="str">
        <f>HYPERLINK("https://t.co/V9GiLeFJi2")</f>
        <v>https://t.co/V9GiLeFJi2</v>
      </c>
      <c r="AQ194" s="83" t="str">
        <f>HYPERLINK("https://www.financasecia.com.br/")</f>
        <v>https://www.financasecia.com.br/</v>
      </c>
      <c r="AR194" s="76" t="s">
        <v>24350</v>
      </c>
      <c r="AS194" s="83" t="str">
        <f>HYPERLINK("https://t.co/BqZGTotDER")</f>
        <v>https://t.co/BqZGTotDER</v>
      </c>
      <c r="AT194" s="83" t="str">
        <f>HYPERLINK("https://aliancanftbr.my.canva.site/financasecia")</f>
        <v>https://aliancanftbr.my.canva.site/financasecia</v>
      </c>
      <c r="AU194" s="76" t="s">
        <v>24862</v>
      </c>
      <c r="AV194" s="76"/>
      <c r="AW194" s="83" t="str">
        <f>HYPERLINK("https://t.co/V9GiLeFJi2")</f>
        <v>https://t.co/V9GiLeFJi2</v>
      </c>
      <c r="AX194" s="76" t="b">
        <v>0</v>
      </c>
      <c r="AY194" s="76"/>
      <c r="AZ194" s="76"/>
      <c r="BA194" s="76" t="b">
        <v>0</v>
      </c>
      <c r="BB194" s="76" t="b">
        <v>1</v>
      </c>
      <c r="BC194" s="76" t="b">
        <v>1</v>
      </c>
      <c r="BD194" s="76" t="b">
        <v>0</v>
      </c>
      <c r="BE194" s="76" t="b">
        <v>0</v>
      </c>
      <c r="BF194" s="76" t="b">
        <v>0</v>
      </c>
      <c r="BG194" s="76" t="b">
        <v>0</v>
      </c>
      <c r="BH194" s="83" t="str">
        <f>HYPERLINK("https://pbs.twimg.com/profile_banners/1546876165285183488/1657639386")</f>
        <v>https://pbs.twimg.com/profile_banners/1546876165285183488/1657639386</v>
      </c>
      <c r="BI194" s="76"/>
      <c r="BJ194" s="76" t="s">
        <v>24935</v>
      </c>
      <c r="BK194" s="76" t="b">
        <v>0</v>
      </c>
      <c r="BL194" s="76"/>
      <c r="BM194" s="76" t="s">
        <v>66</v>
      </c>
      <c r="BN194" s="76" t="s">
        <v>24937</v>
      </c>
      <c r="BO194" s="83" t="str">
        <f>HYPERLINK("https://twitter.com/financasecia")</f>
        <v>https://twitter.com/financasecia</v>
      </c>
      <c r="BP194" s="2"/>
    </row>
    <row r="195" spans="1:68" x14ac:dyDescent="0.25">
      <c r="A195" s="62" t="s">
        <v>1245</v>
      </c>
      <c r="B195" s="63"/>
      <c r="C195" s="63"/>
      <c r="D195" s="64"/>
      <c r="E195" s="66"/>
      <c r="F195" s="102" t="str">
        <f>HYPERLINK("https://pbs.twimg.com/profile_images/1656150500323074052/LW8fqE3d_normal.jpg")</f>
        <v>https://pbs.twimg.com/profile_images/1656150500323074052/LW8fqE3d_normal.jpg</v>
      </c>
      <c r="G195" s="63"/>
      <c r="H195" s="67"/>
      <c r="I195" s="68"/>
      <c r="J195" s="68"/>
      <c r="K195" s="67" t="s">
        <v>25129</v>
      </c>
      <c r="L195" s="71"/>
      <c r="M195" s="72"/>
      <c r="N195" s="72"/>
      <c r="O195" s="73"/>
      <c r="P195" s="74"/>
      <c r="Q195" s="74"/>
      <c r="R195" s="86"/>
      <c r="S195" s="86"/>
      <c r="T195" s="86"/>
      <c r="U195" s="86"/>
      <c r="V195" s="48"/>
      <c r="W195" s="48"/>
      <c r="X195" s="48"/>
      <c r="Y195" s="48"/>
      <c r="Z195" s="47"/>
      <c r="AA195" s="69">
        <v>195</v>
      </c>
      <c r="AB195" s="69"/>
      <c r="AC195" s="70"/>
      <c r="AD195" s="76" t="s">
        <v>22007</v>
      </c>
      <c r="AE195" s="81" t="s">
        <v>20912</v>
      </c>
      <c r="AF195" s="76">
        <v>2642</v>
      </c>
      <c r="AG195" s="76">
        <v>368</v>
      </c>
      <c r="AH195" s="76">
        <v>44616</v>
      </c>
      <c r="AI195" s="76">
        <v>1</v>
      </c>
      <c r="AJ195" s="76">
        <v>12226</v>
      </c>
      <c r="AK195" s="76">
        <v>6057</v>
      </c>
      <c r="AL195" s="76" t="b">
        <v>0</v>
      </c>
      <c r="AM195" s="78">
        <v>41159.687013888892</v>
      </c>
      <c r="AN195" s="76" t="s">
        <v>23128</v>
      </c>
      <c r="AO195" s="76" t="s">
        <v>23512</v>
      </c>
      <c r="AP195" s="83" t="str">
        <f>HYPERLINK("https://t.co/YcZohqL7NA")</f>
        <v>https://t.co/YcZohqL7NA</v>
      </c>
      <c r="AQ195" s="83" t="str">
        <f>HYPERLINK("http://youtube.com/thiagocomedy")</f>
        <v>http://youtube.com/thiagocomedy</v>
      </c>
      <c r="AR195" s="76" t="s">
        <v>24351</v>
      </c>
      <c r="AS195" s="76"/>
      <c r="AT195" s="76"/>
      <c r="AU195" s="76"/>
      <c r="AV195" s="76">
        <v>1.11027775115038E+18</v>
      </c>
      <c r="AW195" s="83" t="str">
        <f>HYPERLINK("https://t.co/YcZohqL7NA")</f>
        <v>https://t.co/YcZohqL7NA</v>
      </c>
      <c r="AX195" s="76" t="b">
        <v>0</v>
      </c>
      <c r="AY195" s="76"/>
      <c r="AZ195" s="76"/>
      <c r="BA195" s="76" t="b">
        <v>1</v>
      </c>
      <c r="BB195" s="76" t="b">
        <v>0</v>
      </c>
      <c r="BC195" s="76" t="b">
        <v>0</v>
      </c>
      <c r="BD195" s="76" t="b">
        <v>0</v>
      </c>
      <c r="BE195" s="76" t="b">
        <v>1</v>
      </c>
      <c r="BF195" s="76" t="b">
        <v>0</v>
      </c>
      <c r="BG195" s="76" t="b">
        <v>0</v>
      </c>
      <c r="BH195" s="83" t="str">
        <f>HYPERLINK("https://pbs.twimg.com/profile_banners/809187968/1693864340")</f>
        <v>https://pbs.twimg.com/profile_banners/809187968/1693864340</v>
      </c>
      <c r="BI195" s="76"/>
      <c r="BJ195" s="76" t="s">
        <v>24936</v>
      </c>
      <c r="BK195" s="76" t="b">
        <v>0</v>
      </c>
      <c r="BL195" s="76"/>
      <c r="BM195" s="76" t="s">
        <v>65</v>
      </c>
      <c r="BN195" s="76" t="s">
        <v>24937</v>
      </c>
      <c r="BO195" s="83" t="str">
        <f>HYPERLINK("https://twitter.com/comedyzin")</f>
        <v>https://twitter.com/comedyzin</v>
      </c>
      <c r="BP195" s="2"/>
    </row>
    <row r="196" spans="1:68" x14ac:dyDescent="0.25">
      <c r="A196" s="62" t="s">
        <v>411</v>
      </c>
      <c r="B196" s="63"/>
      <c r="C196" s="63"/>
      <c r="D196" s="64"/>
      <c r="E196" s="66"/>
      <c r="F196" s="102" t="str">
        <f>HYPERLINK("https://pbs.twimg.com/profile_images/1245927054387736578/BXyaHePD_normal.jpg")</f>
        <v>https://pbs.twimg.com/profile_images/1245927054387736578/BXyaHePD_normal.jpg</v>
      </c>
      <c r="G196" s="63"/>
      <c r="H196" s="67"/>
      <c r="I196" s="68"/>
      <c r="J196" s="68"/>
      <c r="K196" s="67" t="s">
        <v>25130</v>
      </c>
      <c r="L196" s="71"/>
      <c r="M196" s="72"/>
      <c r="N196" s="72"/>
      <c r="O196" s="73"/>
      <c r="P196" s="74"/>
      <c r="Q196" s="74"/>
      <c r="R196" s="86"/>
      <c r="S196" s="86"/>
      <c r="T196" s="86"/>
      <c r="U196" s="86"/>
      <c r="V196" s="48"/>
      <c r="W196" s="48"/>
      <c r="X196" s="48"/>
      <c r="Y196" s="48"/>
      <c r="Z196" s="47"/>
      <c r="AA196" s="69">
        <v>196</v>
      </c>
      <c r="AB196" s="69"/>
      <c r="AC196" s="70"/>
      <c r="AD196" s="76" t="s">
        <v>22008</v>
      </c>
      <c r="AE196" s="81" t="s">
        <v>21150</v>
      </c>
      <c r="AF196" s="76">
        <v>145</v>
      </c>
      <c r="AG196" s="76">
        <v>622</v>
      </c>
      <c r="AH196" s="76">
        <v>341</v>
      </c>
      <c r="AI196" s="76">
        <v>0</v>
      </c>
      <c r="AJ196" s="76">
        <v>251</v>
      </c>
      <c r="AK196" s="76">
        <v>18</v>
      </c>
      <c r="AL196" s="76" t="b">
        <v>0</v>
      </c>
      <c r="AM196" s="78">
        <v>43924.172013888892</v>
      </c>
      <c r="AN196" s="76" t="s">
        <v>23129</v>
      </c>
      <c r="AO196" s="76" t="s">
        <v>23513</v>
      </c>
      <c r="AP196" s="76"/>
      <c r="AQ196" s="76"/>
      <c r="AR196" s="76"/>
      <c r="AS196" s="76"/>
      <c r="AT196" s="76"/>
      <c r="AU196" s="76"/>
      <c r="AV196" s="76"/>
      <c r="AW196" s="76"/>
      <c r="AX196" s="76" t="b">
        <v>0</v>
      </c>
      <c r="AY196" s="76"/>
      <c r="AZ196" s="76"/>
      <c r="BA196" s="76" t="b">
        <v>0</v>
      </c>
      <c r="BB196" s="76" t="b">
        <v>1</v>
      </c>
      <c r="BC196" s="76" t="b">
        <v>1</v>
      </c>
      <c r="BD196" s="76" t="b">
        <v>0</v>
      </c>
      <c r="BE196" s="76" t="b">
        <v>1</v>
      </c>
      <c r="BF196" s="76" t="b">
        <v>0</v>
      </c>
      <c r="BG196" s="76" t="b">
        <v>1</v>
      </c>
      <c r="BH196" s="83" t="str">
        <f>HYPERLINK("https://pbs.twimg.com/profile_banners/1245925882595692547/1585887198")</f>
        <v>https://pbs.twimg.com/profile_banners/1245925882595692547/1585887198</v>
      </c>
      <c r="BI196" s="76"/>
      <c r="BJ196" s="76" t="s">
        <v>24935</v>
      </c>
      <c r="BK196" s="76" t="b">
        <v>0</v>
      </c>
      <c r="BL196" s="76"/>
      <c r="BM196" s="76" t="s">
        <v>66</v>
      </c>
      <c r="BN196" s="76" t="s">
        <v>24937</v>
      </c>
      <c r="BO196" s="83" t="str">
        <f>HYPERLINK("https://twitter.com/granaextra3")</f>
        <v>https://twitter.com/granaextra3</v>
      </c>
      <c r="BP196" s="2"/>
    </row>
    <row r="197" spans="1:68" x14ac:dyDescent="0.25">
      <c r="A197" s="62" t="s">
        <v>412</v>
      </c>
      <c r="B197" s="63"/>
      <c r="C197" s="63"/>
      <c r="D197" s="64"/>
      <c r="E197" s="66"/>
      <c r="F197" s="102" t="str">
        <f>HYPERLINK("https://pbs.twimg.com/profile_images/1482184993023696899/YwDQOlGE_normal.jpg")</f>
        <v>https://pbs.twimg.com/profile_images/1482184993023696899/YwDQOlGE_normal.jpg</v>
      </c>
      <c r="G197" s="63"/>
      <c r="H197" s="67"/>
      <c r="I197" s="68"/>
      <c r="J197" s="68"/>
      <c r="K197" s="67" t="s">
        <v>25131</v>
      </c>
      <c r="L197" s="71"/>
      <c r="M197" s="72"/>
      <c r="N197" s="72"/>
      <c r="O197" s="73"/>
      <c r="P197" s="74"/>
      <c r="Q197" s="74"/>
      <c r="R197" s="86"/>
      <c r="S197" s="86"/>
      <c r="T197" s="86"/>
      <c r="U197" s="86"/>
      <c r="V197" s="48"/>
      <c r="W197" s="48"/>
      <c r="X197" s="48"/>
      <c r="Y197" s="48"/>
      <c r="Z197" s="47"/>
      <c r="AA197" s="69">
        <v>197</v>
      </c>
      <c r="AB197" s="69"/>
      <c r="AC197" s="70"/>
      <c r="AD197" s="76" t="s">
        <v>22009</v>
      </c>
      <c r="AE197" s="81" t="s">
        <v>21151</v>
      </c>
      <c r="AF197" s="76">
        <v>6</v>
      </c>
      <c r="AG197" s="76">
        <v>47</v>
      </c>
      <c r="AH197" s="76">
        <v>4</v>
      </c>
      <c r="AI197" s="76">
        <v>1</v>
      </c>
      <c r="AJ197" s="76">
        <v>9</v>
      </c>
      <c r="AK197" s="76">
        <v>1</v>
      </c>
      <c r="AL197" s="76" t="b">
        <v>0</v>
      </c>
      <c r="AM197" s="78">
        <v>44576.122627314813</v>
      </c>
      <c r="AN197" s="76"/>
      <c r="AO197" s="76" t="s">
        <v>23514</v>
      </c>
      <c r="AP197" s="76"/>
      <c r="AQ197" s="76"/>
      <c r="AR197" s="76"/>
      <c r="AS197" s="76"/>
      <c r="AT197" s="76"/>
      <c r="AU197" s="76"/>
      <c r="AV197" s="76">
        <v>1.6189944690761001E+18</v>
      </c>
      <c r="AW197" s="76"/>
      <c r="AX197" s="76" t="b">
        <v>0</v>
      </c>
      <c r="AY197" s="76"/>
      <c r="AZ197" s="76"/>
      <c r="BA197" s="76" t="b">
        <v>0</v>
      </c>
      <c r="BB197" s="76" t="b">
        <v>1</v>
      </c>
      <c r="BC197" s="76" t="b">
        <v>1</v>
      </c>
      <c r="BD197" s="76" t="b">
        <v>0</v>
      </c>
      <c r="BE197" s="76" t="b">
        <v>0</v>
      </c>
      <c r="BF197" s="76" t="b">
        <v>0</v>
      </c>
      <c r="BG197" s="76" t="b">
        <v>0</v>
      </c>
      <c r="BH197" s="83" t="str">
        <f>HYPERLINK("https://pbs.twimg.com/profile_banners/1482184547357925383/1642216930")</f>
        <v>https://pbs.twimg.com/profile_banners/1482184547357925383/1642216930</v>
      </c>
      <c r="BI197" s="76"/>
      <c r="BJ197" s="76" t="s">
        <v>24935</v>
      </c>
      <c r="BK197" s="76" t="b">
        <v>0</v>
      </c>
      <c r="BL197" s="76"/>
      <c r="BM197" s="76" t="s">
        <v>66</v>
      </c>
      <c r="BN197" s="76" t="s">
        <v>24937</v>
      </c>
      <c r="BO197" s="83" t="str">
        <f>HYPERLINK("https://twitter.com/5tradewithjr")</f>
        <v>https://twitter.com/5tradewithjr</v>
      </c>
      <c r="BP197" s="2"/>
    </row>
    <row r="198" spans="1:68" x14ac:dyDescent="0.25">
      <c r="A198" s="62" t="s">
        <v>413</v>
      </c>
      <c r="B198" s="63"/>
      <c r="C198" s="63"/>
      <c r="D198" s="64"/>
      <c r="E198" s="66"/>
      <c r="F198" s="102" t="str">
        <f>HYPERLINK("https://pbs.twimg.com/profile_images/1694646150890934272/dUbxaqEO_normal.png")</f>
        <v>https://pbs.twimg.com/profile_images/1694646150890934272/dUbxaqEO_normal.png</v>
      </c>
      <c r="G198" s="63"/>
      <c r="H198" s="67"/>
      <c r="I198" s="68"/>
      <c r="J198" s="68"/>
      <c r="K198" s="67" t="s">
        <v>25132</v>
      </c>
      <c r="L198" s="71"/>
      <c r="M198" s="72"/>
      <c r="N198" s="72"/>
      <c r="O198" s="73"/>
      <c r="P198" s="74"/>
      <c r="Q198" s="74"/>
      <c r="R198" s="86"/>
      <c r="S198" s="86"/>
      <c r="T198" s="86"/>
      <c r="U198" s="86"/>
      <c r="V198" s="48"/>
      <c r="W198" s="48"/>
      <c r="X198" s="48"/>
      <c r="Y198" s="48"/>
      <c r="Z198" s="47"/>
      <c r="AA198" s="69">
        <v>198</v>
      </c>
      <c r="AB198" s="69"/>
      <c r="AC198" s="70"/>
      <c r="AD198" s="76" t="s">
        <v>22010</v>
      </c>
      <c r="AE198" s="81" t="s">
        <v>22894</v>
      </c>
      <c r="AF198" s="76">
        <v>280</v>
      </c>
      <c r="AG198" s="76">
        <v>91</v>
      </c>
      <c r="AH198" s="76">
        <v>5863</v>
      </c>
      <c r="AI198" s="76">
        <v>11</v>
      </c>
      <c r="AJ198" s="76">
        <v>45</v>
      </c>
      <c r="AK198" s="76">
        <v>257</v>
      </c>
      <c r="AL198" s="76" t="b">
        <v>0</v>
      </c>
      <c r="AM198" s="78">
        <v>40228.906701388885</v>
      </c>
      <c r="AN198" s="76" t="s">
        <v>23129</v>
      </c>
      <c r="AO198" s="76" t="s">
        <v>23515</v>
      </c>
      <c r="AP198" s="83" t="str">
        <f>HYPERLINK("https://t.co/SmNkD2B4Ws")</f>
        <v>https://t.co/SmNkD2B4Ws</v>
      </c>
      <c r="AQ198" s="83" t="str">
        <f>HYPERLINK("https://www.youtube.com/channel/UCtciOKyWF3QOUhTCO0dWzxg")</f>
        <v>https://www.youtube.com/channel/UCtciOKyWF3QOUhTCO0dWzxg</v>
      </c>
      <c r="AR198" s="76" t="s">
        <v>24352</v>
      </c>
      <c r="AS198" s="83" t="str">
        <f>HYPERLINK("https://t.co/5rosFKZXPh")</f>
        <v>https://t.co/5rosFKZXPh</v>
      </c>
      <c r="AT198" s="83" t="str">
        <f>HYPERLINK("http://gatosabido.yolasite.com")</f>
        <v>http://gatosabido.yolasite.com</v>
      </c>
      <c r="AU198" s="76" t="s">
        <v>24863</v>
      </c>
      <c r="AV198" s="76"/>
      <c r="AW198" s="83" t="str">
        <f>HYPERLINK("https://t.co/SmNkD2B4Ws")</f>
        <v>https://t.co/SmNkD2B4Ws</v>
      </c>
      <c r="AX198" s="76" t="b">
        <v>0</v>
      </c>
      <c r="AY198" s="76"/>
      <c r="AZ198" s="76"/>
      <c r="BA198" s="76" t="b">
        <v>0</v>
      </c>
      <c r="BB198" s="76" t="b">
        <v>1</v>
      </c>
      <c r="BC198" s="76" t="b">
        <v>0</v>
      </c>
      <c r="BD198" s="76" t="b">
        <v>0</v>
      </c>
      <c r="BE198" s="76" t="b">
        <v>1</v>
      </c>
      <c r="BF198" s="76" t="b">
        <v>0</v>
      </c>
      <c r="BG198" s="76" t="b">
        <v>0</v>
      </c>
      <c r="BH198" s="83" t="str">
        <f>HYPERLINK("https://pbs.twimg.com/profile_banners/115766955/1695839018")</f>
        <v>https://pbs.twimg.com/profile_banners/115766955/1695839018</v>
      </c>
      <c r="BI198" s="76"/>
      <c r="BJ198" s="76" t="s">
        <v>24935</v>
      </c>
      <c r="BK198" s="76" t="b">
        <v>0</v>
      </c>
      <c r="BL198" s="76"/>
      <c r="BM198" s="76" t="s">
        <v>66</v>
      </c>
      <c r="BN198" s="76" t="s">
        <v>24937</v>
      </c>
      <c r="BO198" s="83" t="str">
        <f>HYPERLINK("https://twitter.com/gatosabidotv")</f>
        <v>https://twitter.com/gatosabidotv</v>
      </c>
      <c r="BP198" s="2"/>
    </row>
    <row r="199" spans="1:68" x14ac:dyDescent="0.25">
      <c r="A199" s="62" t="s">
        <v>414</v>
      </c>
      <c r="B199" s="63"/>
      <c r="C199" s="63"/>
      <c r="D199" s="64"/>
      <c r="E199" s="66"/>
      <c r="F199" s="102" t="str">
        <f>HYPERLINK("https://abs.twimg.com/sticky/default_profile_images/default_profile_normal.png")</f>
        <v>https://abs.twimg.com/sticky/default_profile_images/default_profile_normal.png</v>
      </c>
      <c r="G199" s="63"/>
      <c r="H199" s="67"/>
      <c r="I199" s="68"/>
      <c r="J199" s="68"/>
      <c r="K199" s="67" t="s">
        <v>25133</v>
      </c>
      <c r="L199" s="71"/>
      <c r="M199" s="72"/>
      <c r="N199" s="72"/>
      <c r="O199" s="73"/>
      <c r="P199" s="74"/>
      <c r="Q199" s="74"/>
      <c r="R199" s="86"/>
      <c r="S199" s="86"/>
      <c r="T199" s="86"/>
      <c r="U199" s="86"/>
      <c r="V199" s="48"/>
      <c r="W199" s="48"/>
      <c r="X199" s="48"/>
      <c r="Y199" s="48"/>
      <c r="Z199" s="47"/>
      <c r="AA199" s="69">
        <v>199</v>
      </c>
      <c r="AB199" s="69"/>
      <c r="AC199" s="70"/>
      <c r="AD199" s="76" t="s">
        <v>22011</v>
      </c>
      <c r="AE199" s="81" t="s">
        <v>21152</v>
      </c>
      <c r="AF199" s="76">
        <v>1</v>
      </c>
      <c r="AG199" s="76">
        <v>2</v>
      </c>
      <c r="AH199" s="76">
        <v>29</v>
      </c>
      <c r="AI199" s="76">
        <v>0</v>
      </c>
      <c r="AJ199" s="76">
        <v>5</v>
      </c>
      <c r="AK199" s="76">
        <v>4</v>
      </c>
      <c r="AL199" s="76" t="b">
        <v>0</v>
      </c>
      <c r="AM199" s="78">
        <v>44967.107210648152</v>
      </c>
      <c r="AN199" s="76" t="s">
        <v>14033</v>
      </c>
      <c r="AO199" s="76"/>
      <c r="AP199" s="76"/>
      <c r="AQ199" s="76"/>
      <c r="AR199" s="76"/>
      <c r="AS199" s="76"/>
      <c r="AT199" s="76"/>
      <c r="AU199" s="76"/>
      <c r="AV199" s="76"/>
      <c r="AW199" s="76"/>
      <c r="AX199" s="76" t="b">
        <v>0</v>
      </c>
      <c r="AY199" s="76"/>
      <c r="AZ199" s="76"/>
      <c r="BA199" s="76" t="b">
        <v>0</v>
      </c>
      <c r="BB199" s="76" t="b">
        <v>1</v>
      </c>
      <c r="BC199" s="76" t="b">
        <v>1</v>
      </c>
      <c r="BD199" s="76" t="b">
        <v>1</v>
      </c>
      <c r="BE199" s="76" t="b">
        <v>0</v>
      </c>
      <c r="BF199" s="76" t="b">
        <v>0</v>
      </c>
      <c r="BG199" s="76" t="b">
        <v>0</v>
      </c>
      <c r="BH199" s="76"/>
      <c r="BI199" s="76"/>
      <c r="BJ199" s="76" t="s">
        <v>24935</v>
      </c>
      <c r="BK199" s="76" t="b">
        <v>0</v>
      </c>
      <c r="BL199" s="76"/>
      <c r="BM199" s="76" t="s">
        <v>66</v>
      </c>
      <c r="BN199" s="76" t="s">
        <v>24937</v>
      </c>
      <c r="BO199" s="83" t="str">
        <f>HYPERLINK("https://twitter.com/lojavirtualdo0")</f>
        <v>https://twitter.com/lojavirtualdo0</v>
      </c>
      <c r="BP199" s="2"/>
    </row>
    <row r="200" spans="1:68" x14ac:dyDescent="0.25">
      <c r="A200" s="62" t="s">
        <v>415</v>
      </c>
      <c r="B200" s="63"/>
      <c r="C200" s="63"/>
      <c r="D200" s="64"/>
      <c r="E200" s="66"/>
      <c r="F200" s="102" t="str">
        <f>HYPERLINK("https://abs.twimg.com/sticky/default_profile_images/default_profile_normal.png")</f>
        <v>https://abs.twimg.com/sticky/default_profile_images/default_profile_normal.png</v>
      </c>
      <c r="G200" s="63"/>
      <c r="H200" s="67"/>
      <c r="I200" s="68"/>
      <c r="J200" s="68"/>
      <c r="K200" s="67" t="s">
        <v>25134</v>
      </c>
      <c r="L200" s="71"/>
      <c r="M200" s="72"/>
      <c r="N200" s="72"/>
      <c r="O200" s="73"/>
      <c r="P200" s="74"/>
      <c r="Q200" s="74"/>
      <c r="R200" s="86"/>
      <c r="S200" s="86"/>
      <c r="T200" s="86"/>
      <c r="U200" s="86"/>
      <c r="V200" s="48"/>
      <c r="W200" s="48"/>
      <c r="X200" s="48"/>
      <c r="Y200" s="48"/>
      <c r="Z200" s="47"/>
      <c r="AA200" s="69">
        <v>200</v>
      </c>
      <c r="AB200" s="69"/>
      <c r="AC200" s="70"/>
      <c r="AD200" s="76" t="s">
        <v>415</v>
      </c>
      <c r="AE200" s="81" t="s">
        <v>21153</v>
      </c>
      <c r="AF200" s="76">
        <v>0</v>
      </c>
      <c r="AG200" s="76">
        <v>0</v>
      </c>
      <c r="AH200" s="76">
        <v>17</v>
      </c>
      <c r="AI200" s="76">
        <v>0</v>
      </c>
      <c r="AJ200" s="76">
        <v>0</v>
      </c>
      <c r="AK200" s="76">
        <v>8</v>
      </c>
      <c r="AL200" s="76" t="b">
        <v>0</v>
      </c>
      <c r="AM200" s="78">
        <v>45117.654004629629</v>
      </c>
      <c r="AN200" s="76"/>
      <c r="AO200" s="76"/>
      <c r="AP200" s="76"/>
      <c r="AQ200" s="76"/>
      <c r="AR200" s="76"/>
      <c r="AS200" s="76"/>
      <c r="AT200" s="76"/>
      <c r="AU200" s="76"/>
      <c r="AV200" s="76"/>
      <c r="AW200" s="76"/>
      <c r="AX200" s="76" t="b">
        <v>0</v>
      </c>
      <c r="AY200" s="76"/>
      <c r="AZ200" s="76"/>
      <c r="BA200" s="76" t="b">
        <v>0</v>
      </c>
      <c r="BB200" s="76" t="b">
        <v>1</v>
      </c>
      <c r="BC200" s="76" t="b">
        <v>1</v>
      </c>
      <c r="BD200" s="76" t="b">
        <v>1</v>
      </c>
      <c r="BE200" s="76" t="b">
        <v>0</v>
      </c>
      <c r="BF200" s="76" t="b">
        <v>0</v>
      </c>
      <c r="BG200" s="76" t="b">
        <v>0</v>
      </c>
      <c r="BH200" s="76"/>
      <c r="BI200" s="76"/>
      <c r="BJ200" s="76" t="s">
        <v>24935</v>
      </c>
      <c r="BK200" s="76" t="b">
        <v>0</v>
      </c>
      <c r="BL200" s="76"/>
      <c r="BM200" s="76" t="s">
        <v>66</v>
      </c>
      <c r="BN200" s="76" t="s">
        <v>24937</v>
      </c>
      <c r="BO200" s="83" t="str">
        <f>HYPERLINK("https://twitter.com/matteo007z")</f>
        <v>https://twitter.com/matteo007z</v>
      </c>
      <c r="BP200" s="2"/>
    </row>
    <row r="201" spans="1:68" x14ac:dyDescent="0.25">
      <c r="A201" s="62" t="s">
        <v>416</v>
      </c>
      <c r="B201" s="63"/>
      <c r="C201" s="63"/>
      <c r="D201" s="64"/>
      <c r="E201" s="66"/>
      <c r="F201" s="102" t="str">
        <f>HYPERLINK("https://pbs.twimg.com/profile_images/1605292076169678857/GpSma_wV_normal.jpg")</f>
        <v>https://pbs.twimg.com/profile_images/1605292076169678857/GpSma_wV_normal.jpg</v>
      </c>
      <c r="G201" s="63"/>
      <c r="H201" s="67"/>
      <c r="I201" s="68"/>
      <c r="J201" s="68"/>
      <c r="K201" s="67" t="s">
        <v>25135</v>
      </c>
      <c r="L201" s="71"/>
      <c r="M201" s="72"/>
      <c r="N201" s="72"/>
      <c r="O201" s="73"/>
      <c r="P201" s="74"/>
      <c r="Q201" s="74"/>
      <c r="R201" s="86"/>
      <c r="S201" s="86"/>
      <c r="T201" s="86"/>
      <c r="U201" s="86"/>
      <c r="V201" s="48"/>
      <c r="W201" s="48"/>
      <c r="X201" s="48"/>
      <c r="Y201" s="48"/>
      <c r="Z201" s="47"/>
      <c r="AA201" s="69">
        <v>201</v>
      </c>
      <c r="AB201" s="69"/>
      <c r="AC201" s="70"/>
      <c r="AD201" s="76" t="s">
        <v>22012</v>
      </c>
      <c r="AE201" s="81" t="s">
        <v>21154</v>
      </c>
      <c r="AF201" s="76">
        <v>1</v>
      </c>
      <c r="AG201" s="76">
        <v>23</v>
      </c>
      <c r="AH201" s="76">
        <v>94</v>
      </c>
      <c r="AI201" s="76">
        <v>0</v>
      </c>
      <c r="AJ201" s="76">
        <v>89</v>
      </c>
      <c r="AK201" s="76">
        <v>90</v>
      </c>
      <c r="AL201" s="76" t="b">
        <v>0</v>
      </c>
      <c r="AM201" s="78">
        <v>44902.695127314815</v>
      </c>
      <c r="AN201" s="76"/>
      <c r="AO201" s="76" t="s">
        <v>23516</v>
      </c>
      <c r="AP201" s="83" t="str">
        <f>HYPERLINK("https://t.co/rM00LlHX1a")</f>
        <v>https://t.co/rM00LlHX1a</v>
      </c>
      <c r="AQ201" s="83" t="str">
        <f>HYPERLINK("https://www.youtube.com/channel/UCCEDy7ZrTRXiHSqCJHnRCng")</f>
        <v>https://www.youtube.com/channel/UCCEDy7ZrTRXiHSqCJHnRCng</v>
      </c>
      <c r="AR201" s="76" t="s">
        <v>24353</v>
      </c>
      <c r="AS201" s="76"/>
      <c r="AT201" s="76"/>
      <c r="AU201" s="76"/>
      <c r="AV201" s="76"/>
      <c r="AW201" s="83" t="str">
        <f>HYPERLINK("https://t.co/rM00LlHX1a")</f>
        <v>https://t.co/rM00LlHX1a</v>
      </c>
      <c r="AX201" s="76" t="b">
        <v>0</v>
      </c>
      <c r="AY201" s="76"/>
      <c r="AZ201" s="76"/>
      <c r="BA201" s="76" t="b">
        <v>0</v>
      </c>
      <c r="BB201" s="76" t="b">
        <v>1</v>
      </c>
      <c r="BC201" s="76" t="b">
        <v>1</v>
      </c>
      <c r="BD201" s="76" t="b">
        <v>0</v>
      </c>
      <c r="BE201" s="76" t="b">
        <v>1</v>
      </c>
      <c r="BF201" s="76" t="b">
        <v>0</v>
      </c>
      <c r="BG201" s="76" t="b">
        <v>0</v>
      </c>
      <c r="BH201" s="83" t="str">
        <f>HYPERLINK("https://pbs.twimg.com/profile_banners/1600530694412836864/1671566431")</f>
        <v>https://pbs.twimg.com/profile_banners/1600530694412836864/1671566431</v>
      </c>
      <c r="BI201" s="76"/>
      <c r="BJ201" s="76" t="s">
        <v>24935</v>
      </c>
      <c r="BK201" s="76" t="b">
        <v>0</v>
      </c>
      <c r="BL201" s="76"/>
      <c r="BM201" s="76" t="s">
        <v>66</v>
      </c>
      <c r="BN201" s="76" t="s">
        <v>24937</v>
      </c>
      <c r="BO201" s="83" t="str">
        <f>HYPERLINK("https://twitter.com/l_universe020")</f>
        <v>https://twitter.com/l_universe020</v>
      </c>
      <c r="BP201" s="2"/>
    </row>
    <row r="202" spans="1:68" x14ac:dyDescent="0.25">
      <c r="A202" s="62" t="s">
        <v>417</v>
      </c>
      <c r="B202" s="63"/>
      <c r="C202" s="63"/>
      <c r="D202" s="64"/>
      <c r="E202" s="66"/>
      <c r="F202" s="102" t="str">
        <f>HYPERLINK("https://pbs.twimg.com/profile_images/1609890382300471297/1HGHH84K_normal.png")</f>
        <v>https://pbs.twimg.com/profile_images/1609890382300471297/1HGHH84K_normal.png</v>
      </c>
      <c r="G202" s="63"/>
      <c r="H202" s="67"/>
      <c r="I202" s="68"/>
      <c r="J202" s="68"/>
      <c r="K202" s="67" t="s">
        <v>25136</v>
      </c>
      <c r="L202" s="71"/>
      <c r="M202" s="72"/>
      <c r="N202" s="72"/>
      <c r="O202" s="73"/>
      <c r="P202" s="74"/>
      <c r="Q202" s="74"/>
      <c r="R202" s="86"/>
      <c r="S202" s="86"/>
      <c r="T202" s="86"/>
      <c r="U202" s="86"/>
      <c r="V202" s="48"/>
      <c r="W202" s="48"/>
      <c r="X202" s="48"/>
      <c r="Y202" s="48"/>
      <c r="Z202" s="47"/>
      <c r="AA202" s="69">
        <v>202</v>
      </c>
      <c r="AB202" s="69"/>
      <c r="AC202" s="70"/>
      <c r="AD202" s="76" t="s">
        <v>22013</v>
      </c>
      <c r="AE202" s="81" t="s">
        <v>22895</v>
      </c>
      <c r="AF202" s="76">
        <v>149</v>
      </c>
      <c r="AG202" s="76">
        <v>137</v>
      </c>
      <c r="AH202" s="76">
        <v>2288</v>
      </c>
      <c r="AI202" s="76">
        <v>1</v>
      </c>
      <c r="AJ202" s="76">
        <v>6</v>
      </c>
      <c r="AK202" s="76">
        <v>309</v>
      </c>
      <c r="AL202" s="76" t="b">
        <v>0</v>
      </c>
      <c r="AM202" s="78">
        <v>40993.628981481481</v>
      </c>
      <c r="AN202" s="76" t="s">
        <v>14042</v>
      </c>
      <c r="AO202" s="76" t="s">
        <v>23517</v>
      </c>
      <c r="AP202" s="83" t="str">
        <f>HYPERLINK("https://t.co/BdoUz1mriB")</f>
        <v>https://t.co/BdoUz1mriB</v>
      </c>
      <c r="AQ202" s="83" t="str">
        <f>HYPERLINK("https://www.instagram.com/pulsofinanceiro/")</f>
        <v>https://www.instagram.com/pulsofinanceiro/</v>
      </c>
      <c r="AR202" s="76" t="s">
        <v>24354</v>
      </c>
      <c r="AS202" s="76"/>
      <c r="AT202" s="76"/>
      <c r="AU202" s="76"/>
      <c r="AV202" s="76"/>
      <c r="AW202" s="83" t="str">
        <f>HYPERLINK("https://t.co/BdoUz1mriB")</f>
        <v>https://t.co/BdoUz1mriB</v>
      </c>
      <c r="AX202" s="76" t="b">
        <v>0</v>
      </c>
      <c r="AY202" s="76"/>
      <c r="AZ202" s="76"/>
      <c r="BA202" s="76" t="b">
        <v>1</v>
      </c>
      <c r="BB202" s="76" t="b">
        <v>1</v>
      </c>
      <c r="BC202" s="76" t="b">
        <v>0</v>
      </c>
      <c r="BD202" s="76" t="b">
        <v>0</v>
      </c>
      <c r="BE202" s="76" t="b">
        <v>0</v>
      </c>
      <c r="BF202" s="76" t="b">
        <v>0</v>
      </c>
      <c r="BG202" s="76" t="b">
        <v>0</v>
      </c>
      <c r="BH202" s="83" t="str">
        <f>HYPERLINK("https://pbs.twimg.com/profile_banners/536380588/1451739933")</f>
        <v>https://pbs.twimg.com/profile_banners/536380588/1451739933</v>
      </c>
      <c r="BI202" s="76"/>
      <c r="BJ202" s="76" t="s">
        <v>24935</v>
      </c>
      <c r="BK202" s="76" t="b">
        <v>0</v>
      </c>
      <c r="BL202" s="76"/>
      <c r="BM202" s="76" t="s">
        <v>66</v>
      </c>
      <c r="BN202" s="76" t="s">
        <v>24937</v>
      </c>
      <c r="BO202" s="83" t="str">
        <f>HYPERLINK("https://twitter.com/irineubere")</f>
        <v>https://twitter.com/irineubere</v>
      </c>
      <c r="BP202" s="2"/>
    </row>
    <row r="203" spans="1:68" x14ac:dyDescent="0.25">
      <c r="A203" s="62" t="s">
        <v>418</v>
      </c>
      <c r="B203" s="63"/>
      <c r="C203" s="63"/>
      <c r="D203" s="64"/>
      <c r="E203" s="66"/>
      <c r="F203" s="102" t="str">
        <f>HYPERLINK("https://pbs.twimg.com/profile_images/1431648743728852993/tLJ7F5Lu_normal.png")</f>
        <v>https://pbs.twimg.com/profile_images/1431648743728852993/tLJ7F5Lu_normal.png</v>
      </c>
      <c r="G203" s="63"/>
      <c r="H203" s="67"/>
      <c r="I203" s="68"/>
      <c r="J203" s="68"/>
      <c r="K203" s="67" t="s">
        <v>25137</v>
      </c>
      <c r="L203" s="71"/>
      <c r="M203" s="72"/>
      <c r="N203" s="72"/>
      <c r="O203" s="73"/>
      <c r="P203" s="74"/>
      <c r="Q203" s="74"/>
      <c r="R203" s="86"/>
      <c r="S203" s="86"/>
      <c r="T203" s="86"/>
      <c r="U203" s="86"/>
      <c r="V203" s="48"/>
      <c r="W203" s="48"/>
      <c r="X203" s="48"/>
      <c r="Y203" s="48"/>
      <c r="Z203" s="47"/>
      <c r="AA203" s="69">
        <v>203</v>
      </c>
      <c r="AB203" s="69"/>
      <c r="AC203" s="70"/>
      <c r="AD203" s="76" t="s">
        <v>22014</v>
      </c>
      <c r="AE203" s="81" t="s">
        <v>22896</v>
      </c>
      <c r="AF203" s="76">
        <v>4047</v>
      </c>
      <c r="AG203" s="76">
        <v>533</v>
      </c>
      <c r="AH203" s="76">
        <v>12908</v>
      </c>
      <c r="AI203" s="76">
        <v>2</v>
      </c>
      <c r="AJ203" s="76">
        <v>13</v>
      </c>
      <c r="AK203" s="76">
        <v>10</v>
      </c>
      <c r="AL203" s="76" t="b">
        <v>0</v>
      </c>
      <c r="AM203" s="78">
        <v>40950.85597222222</v>
      </c>
      <c r="AN203" s="76" t="s">
        <v>23130</v>
      </c>
      <c r="AO203" s="76" t="s">
        <v>23518</v>
      </c>
      <c r="AP203" s="83" t="str">
        <f>HYPERLINK("https://t.co/R78rSZpGBV")</f>
        <v>https://t.co/R78rSZpGBV</v>
      </c>
      <c r="AQ203" s="83" t="str">
        <f>HYPERLINK("https://www.freeclassificados.com")</f>
        <v>https://www.freeclassificados.com</v>
      </c>
      <c r="AR203" s="76" t="s">
        <v>7308</v>
      </c>
      <c r="AS203" s="76"/>
      <c r="AT203" s="76"/>
      <c r="AU203" s="76"/>
      <c r="AV203" s="76"/>
      <c r="AW203" s="83" t="str">
        <f>HYPERLINK("https://t.co/R78rSZpGBV")</f>
        <v>https://t.co/R78rSZpGBV</v>
      </c>
      <c r="AX203" s="76" t="b">
        <v>0</v>
      </c>
      <c r="AY203" s="76"/>
      <c r="AZ203" s="76"/>
      <c r="BA203" s="76" t="b">
        <v>0</v>
      </c>
      <c r="BB203" s="76" t="b">
        <v>1</v>
      </c>
      <c r="BC203" s="76" t="b">
        <v>0</v>
      </c>
      <c r="BD203" s="76" t="b">
        <v>0</v>
      </c>
      <c r="BE203" s="76" t="b">
        <v>0</v>
      </c>
      <c r="BF203" s="76" t="b">
        <v>0</v>
      </c>
      <c r="BG203" s="76" t="b">
        <v>0</v>
      </c>
      <c r="BH203" s="83" t="str">
        <f>HYPERLINK("https://pbs.twimg.com/profile_banners/489723814/1630167379")</f>
        <v>https://pbs.twimg.com/profile_banners/489723814/1630167379</v>
      </c>
      <c r="BI203" s="76"/>
      <c r="BJ203" s="76" t="s">
        <v>24935</v>
      </c>
      <c r="BK203" s="76" t="b">
        <v>0</v>
      </c>
      <c r="BL203" s="76"/>
      <c r="BM203" s="76" t="s">
        <v>66</v>
      </c>
      <c r="BN203" s="76" t="s">
        <v>24937</v>
      </c>
      <c r="BO203" s="83" t="str">
        <f>HYPERLINK("https://twitter.com/freeclassific")</f>
        <v>https://twitter.com/freeclassific</v>
      </c>
      <c r="BP203" s="2"/>
    </row>
    <row r="204" spans="1:68" x14ac:dyDescent="0.25">
      <c r="A204" s="62" t="s">
        <v>419</v>
      </c>
      <c r="B204" s="63"/>
      <c r="C204" s="63"/>
      <c r="D204" s="64"/>
      <c r="E204" s="66"/>
      <c r="F204" s="102" t="str">
        <f>HYPERLINK("https://pbs.twimg.com/profile_images/1669397565039575062/niTnzvqS_normal.jpg")</f>
        <v>https://pbs.twimg.com/profile_images/1669397565039575062/niTnzvqS_normal.jpg</v>
      </c>
      <c r="G204" s="63"/>
      <c r="H204" s="67"/>
      <c r="I204" s="68"/>
      <c r="J204" s="68"/>
      <c r="K204" s="67" t="s">
        <v>25138</v>
      </c>
      <c r="L204" s="71"/>
      <c r="M204" s="72"/>
      <c r="N204" s="72"/>
      <c r="O204" s="73"/>
      <c r="P204" s="74"/>
      <c r="Q204" s="74"/>
      <c r="R204" s="86"/>
      <c r="S204" s="86"/>
      <c r="T204" s="86"/>
      <c r="U204" s="86"/>
      <c r="V204" s="48"/>
      <c r="W204" s="48"/>
      <c r="X204" s="48"/>
      <c r="Y204" s="48"/>
      <c r="Z204" s="47"/>
      <c r="AA204" s="69">
        <v>204</v>
      </c>
      <c r="AB204" s="69"/>
      <c r="AC204" s="70"/>
      <c r="AD204" s="76" t="s">
        <v>22015</v>
      </c>
      <c r="AE204" s="81" t="s">
        <v>21155</v>
      </c>
      <c r="AF204" s="76">
        <v>285</v>
      </c>
      <c r="AG204" s="76">
        <v>488</v>
      </c>
      <c r="AH204" s="76">
        <v>322</v>
      </c>
      <c r="AI204" s="76">
        <v>0</v>
      </c>
      <c r="AJ204" s="76">
        <v>163</v>
      </c>
      <c r="AK204" s="76">
        <v>56</v>
      </c>
      <c r="AL204" s="76" t="b">
        <v>0</v>
      </c>
      <c r="AM204" s="78">
        <v>44794.003379629627</v>
      </c>
      <c r="AN204" s="76" t="s">
        <v>23131</v>
      </c>
      <c r="AO204" s="76" t="s">
        <v>23519</v>
      </c>
      <c r="AP204" s="83" t="str">
        <f>HYPERLINK("https://t.co/3yS7Wqeh4f")</f>
        <v>https://t.co/3yS7Wqeh4f</v>
      </c>
      <c r="AQ204" s="83" t="str">
        <f>HYPERLINK("https://bit.ly/3Oqs8fu")</f>
        <v>https://bit.ly/3Oqs8fu</v>
      </c>
      <c r="AR204" s="76" t="s">
        <v>24355</v>
      </c>
      <c r="AS204" s="76"/>
      <c r="AT204" s="76"/>
      <c r="AU204" s="76"/>
      <c r="AV204" s="76"/>
      <c r="AW204" s="83" t="str">
        <f>HYPERLINK("https://t.co/3yS7Wqeh4f")</f>
        <v>https://t.co/3yS7Wqeh4f</v>
      </c>
      <c r="AX204" s="76" t="b">
        <v>0</v>
      </c>
      <c r="AY204" s="76"/>
      <c r="AZ204" s="76"/>
      <c r="BA204" s="76" t="b">
        <v>0</v>
      </c>
      <c r="BB204" s="76" t="b">
        <v>1</v>
      </c>
      <c r="BC204" s="76" t="b">
        <v>1</v>
      </c>
      <c r="BD204" s="76" t="b">
        <v>0</v>
      </c>
      <c r="BE204" s="76" t="b">
        <v>0</v>
      </c>
      <c r="BF204" s="76" t="b">
        <v>0</v>
      </c>
      <c r="BG204" s="76" t="b">
        <v>0</v>
      </c>
      <c r="BH204" s="83" t="str">
        <f>HYPERLINK("https://pbs.twimg.com/profile_banners/1561141726580015104/1686850370")</f>
        <v>https://pbs.twimg.com/profile_banners/1561141726580015104/1686850370</v>
      </c>
      <c r="BI204" s="76"/>
      <c r="BJ204" s="76" t="s">
        <v>24935</v>
      </c>
      <c r="BK204" s="76" t="b">
        <v>0</v>
      </c>
      <c r="BL204" s="76"/>
      <c r="BM204" s="76" t="s">
        <v>66</v>
      </c>
      <c r="BN204" s="76" t="s">
        <v>24937</v>
      </c>
      <c r="BO204" s="83" t="str">
        <f>HYPERLINK("https://twitter.com/denis0ncardoso")</f>
        <v>https://twitter.com/denis0ncardoso</v>
      </c>
      <c r="BP204" s="2"/>
    </row>
    <row r="205" spans="1:68" x14ac:dyDescent="0.25">
      <c r="A205" s="62" t="s">
        <v>420</v>
      </c>
      <c r="B205" s="63"/>
      <c r="C205" s="63"/>
      <c r="D205" s="64"/>
      <c r="E205" s="66"/>
      <c r="F205" s="102" t="str">
        <f>HYPERLINK("https://pbs.twimg.com/profile_images/1676297162068488212/iJiTcmo1_normal.jpg")</f>
        <v>https://pbs.twimg.com/profile_images/1676297162068488212/iJiTcmo1_normal.jpg</v>
      </c>
      <c r="G205" s="63"/>
      <c r="H205" s="67"/>
      <c r="I205" s="68"/>
      <c r="J205" s="68"/>
      <c r="K205" s="67" t="s">
        <v>25139</v>
      </c>
      <c r="L205" s="71"/>
      <c r="M205" s="72"/>
      <c r="N205" s="72"/>
      <c r="O205" s="73"/>
      <c r="P205" s="74"/>
      <c r="Q205" s="74"/>
      <c r="R205" s="86"/>
      <c r="S205" s="86"/>
      <c r="T205" s="86"/>
      <c r="U205" s="86"/>
      <c r="V205" s="48"/>
      <c r="W205" s="48"/>
      <c r="X205" s="48"/>
      <c r="Y205" s="48"/>
      <c r="Z205" s="47"/>
      <c r="AA205" s="69">
        <v>205</v>
      </c>
      <c r="AB205" s="69"/>
      <c r="AC205" s="70"/>
      <c r="AD205" s="76" t="s">
        <v>22016</v>
      </c>
      <c r="AE205" s="81" t="s">
        <v>22897</v>
      </c>
      <c r="AF205" s="76">
        <v>204</v>
      </c>
      <c r="AG205" s="76">
        <v>2091</v>
      </c>
      <c r="AH205" s="76">
        <v>1901</v>
      </c>
      <c r="AI205" s="76">
        <v>1</v>
      </c>
      <c r="AJ205" s="76">
        <v>235</v>
      </c>
      <c r="AK205" s="76">
        <v>98</v>
      </c>
      <c r="AL205" s="76" t="b">
        <v>0</v>
      </c>
      <c r="AM205" s="78">
        <v>40035.122557870367</v>
      </c>
      <c r="AN205" s="76" t="s">
        <v>14040</v>
      </c>
      <c r="AO205" s="76" t="s">
        <v>23520</v>
      </c>
      <c r="AP205" s="76"/>
      <c r="AQ205" s="76"/>
      <c r="AR205" s="76"/>
      <c r="AS205" s="76"/>
      <c r="AT205" s="76"/>
      <c r="AU205" s="76"/>
      <c r="AV205" s="76">
        <v>1.2925609054573399E+18</v>
      </c>
      <c r="AW205" s="76"/>
      <c r="AX205" s="76" t="b">
        <v>0</v>
      </c>
      <c r="AY205" s="76"/>
      <c r="AZ205" s="76"/>
      <c r="BA205" s="76" t="b">
        <v>0</v>
      </c>
      <c r="BB205" s="76" t="b">
        <v>1</v>
      </c>
      <c r="BC205" s="76" t="b">
        <v>1</v>
      </c>
      <c r="BD205" s="76" t="b">
        <v>0</v>
      </c>
      <c r="BE205" s="76" t="b">
        <v>1</v>
      </c>
      <c r="BF205" s="76" t="b">
        <v>0</v>
      </c>
      <c r="BG205" s="76" t="b">
        <v>0</v>
      </c>
      <c r="BH205" s="83" t="str">
        <f>HYPERLINK("https://pbs.twimg.com/profile_banners/64321869/1694035325")</f>
        <v>https://pbs.twimg.com/profile_banners/64321869/1694035325</v>
      </c>
      <c r="BI205" s="76"/>
      <c r="BJ205" s="76" t="s">
        <v>24935</v>
      </c>
      <c r="BK205" s="76" t="b">
        <v>0</v>
      </c>
      <c r="BL205" s="76"/>
      <c r="BM205" s="76" t="s">
        <v>66</v>
      </c>
      <c r="BN205" s="76" t="s">
        <v>24937</v>
      </c>
      <c r="BO205" s="83" t="str">
        <f>HYPERLINK("https://twitter.com/advbuda")</f>
        <v>https://twitter.com/advbuda</v>
      </c>
      <c r="BP205" s="2"/>
    </row>
    <row r="206" spans="1:68" x14ac:dyDescent="0.25">
      <c r="A206" s="62" t="s">
        <v>421</v>
      </c>
      <c r="B206" s="63"/>
      <c r="C206" s="63"/>
      <c r="D206" s="64"/>
      <c r="E206" s="66"/>
      <c r="F206" s="102" t="str">
        <f>HYPERLINK("https://pbs.twimg.com/profile_images/1080459004604760065/mrqAHqvD_normal.jpg")</f>
        <v>https://pbs.twimg.com/profile_images/1080459004604760065/mrqAHqvD_normal.jpg</v>
      </c>
      <c r="G206" s="63"/>
      <c r="H206" s="67"/>
      <c r="I206" s="68"/>
      <c r="J206" s="68"/>
      <c r="K206" s="67" t="s">
        <v>25140</v>
      </c>
      <c r="L206" s="71"/>
      <c r="M206" s="72"/>
      <c r="N206" s="72"/>
      <c r="O206" s="73"/>
      <c r="P206" s="74"/>
      <c r="Q206" s="74"/>
      <c r="R206" s="86"/>
      <c r="S206" s="86"/>
      <c r="T206" s="86"/>
      <c r="U206" s="86"/>
      <c r="V206" s="48"/>
      <c r="W206" s="48"/>
      <c r="X206" s="48"/>
      <c r="Y206" s="48"/>
      <c r="Z206" s="47"/>
      <c r="AA206" s="69">
        <v>206</v>
      </c>
      <c r="AB206" s="69"/>
      <c r="AC206" s="70"/>
      <c r="AD206" s="76" t="s">
        <v>22017</v>
      </c>
      <c r="AE206" s="81" t="s">
        <v>22898</v>
      </c>
      <c r="AF206" s="76">
        <v>209</v>
      </c>
      <c r="AG206" s="76">
        <v>729</v>
      </c>
      <c r="AH206" s="76">
        <v>8779</v>
      </c>
      <c r="AI206" s="76">
        <v>3</v>
      </c>
      <c r="AJ206" s="76">
        <v>428</v>
      </c>
      <c r="AK206" s="76">
        <v>213</v>
      </c>
      <c r="AL206" s="76" t="b">
        <v>0</v>
      </c>
      <c r="AM206" s="78">
        <v>39923.105624999997</v>
      </c>
      <c r="AN206" s="76" t="s">
        <v>23132</v>
      </c>
      <c r="AO206" s="76" t="s">
        <v>23521</v>
      </c>
      <c r="AP206" s="83" t="str">
        <f>HYPERLINK("https://t.co/rYvP1mYSAU")</f>
        <v>https://t.co/rYvP1mYSAU</v>
      </c>
      <c r="AQ206" s="83" t="str">
        <f>HYPERLINK("http://www.autonomonaweb.com")</f>
        <v>http://www.autonomonaweb.com</v>
      </c>
      <c r="AR206" s="76" t="s">
        <v>24356</v>
      </c>
      <c r="AS206" s="83" t="str">
        <f>HYPERLINK("https://t.co/CMchNoAhLr")</f>
        <v>https://t.co/CMchNoAhLr</v>
      </c>
      <c r="AT206" s="83" t="str">
        <f>HYPERLINK("http://autonomonaweb.com/instagramlucra")</f>
        <v>http://autonomonaweb.com/instagramlucra</v>
      </c>
      <c r="AU206" s="76" t="s">
        <v>24864</v>
      </c>
      <c r="AV206" s="76">
        <v>1.70267408074946E+18</v>
      </c>
      <c r="AW206" s="83" t="str">
        <f>HYPERLINK("https://t.co/rYvP1mYSAU")</f>
        <v>https://t.co/rYvP1mYSAU</v>
      </c>
      <c r="AX206" s="76" t="b">
        <v>0</v>
      </c>
      <c r="AY206" s="76"/>
      <c r="AZ206" s="76"/>
      <c r="BA206" s="76" t="b">
        <v>0</v>
      </c>
      <c r="BB206" s="76" t="b">
        <v>0</v>
      </c>
      <c r="BC206" s="76" t="b">
        <v>0</v>
      </c>
      <c r="BD206" s="76" t="b">
        <v>0</v>
      </c>
      <c r="BE206" s="76" t="b">
        <v>1</v>
      </c>
      <c r="BF206" s="76" t="b">
        <v>0</v>
      </c>
      <c r="BG206" s="76" t="b">
        <v>0</v>
      </c>
      <c r="BH206" s="83" t="str">
        <f>HYPERLINK("https://pbs.twimg.com/profile_banners/33388780/1642634530")</f>
        <v>https://pbs.twimg.com/profile_banners/33388780/1642634530</v>
      </c>
      <c r="BI206" s="76"/>
      <c r="BJ206" s="76" t="s">
        <v>24935</v>
      </c>
      <c r="BK206" s="76" t="b">
        <v>0</v>
      </c>
      <c r="BL206" s="76"/>
      <c r="BM206" s="76" t="s">
        <v>66</v>
      </c>
      <c r="BN206" s="76" t="s">
        <v>24937</v>
      </c>
      <c r="BO206" s="83" t="str">
        <f>HYPERLINK("https://twitter.com/joaoabn")</f>
        <v>https://twitter.com/joaoabn</v>
      </c>
      <c r="BP206" s="2"/>
    </row>
    <row r="207" spans="1:68" x14ac:dyDescent="0.25">
      <c r="A207" s="62" t="s">
        <v>422</v>
      </c>
      <c r="B207" s="63"/>
      <c r="C207" s="63"/>
      <c r="D207" s="64"/>
      <c r="E207" s="66"/>
      <c r="F207" s="102" t="str">
        <f>HYPERLINK("https://pbs.twimg.com/profile_images/1619154300499804160/Qis608fC_normal.jpg")</f>
        <v>https://pbs.twimg.com/profile_images/1619154300499804160/Qis608fC_normal.jpg</v>
      </c>
      <c r="G207" s="63"/>
      <c r="H207" s="67"/>
      <c r="I207" s="68"/>
      <c r="J207" s="68"/>
      <c r="K207" s="67" t="s">
        <v>25141</v>
      </c>
      <c r="L207" s="71"/>
      <c r="M207" s="72"/>
      <c r="N207" s="72"/>
      <c r="O207" s="73"/>
      <c r="P207" s="74"/>
      <c r="Q207" s="74"/>
      <c r="R207" s="86"/>
      <c r="S207" s="86"/>
      <c r="T207" s="86"/>
      <c r="U207" s="86"/>
      <c r="V207" s="48"/>
      <c r="W207" s="48"/>
      <c r="X207" s="48"/>
      <c r="Y207" s="48"/>
      <c r="Z207" s="47"/>
      <c r="AA207" s="69">
        <v>207</v>
      </c>
      <c r="AB207" s="69"/>
      <c r="AC207" s="70"/>
      <c r="AD207" s="76" t="s">
        <v>22018</v>
      </c>
      <c r="AE207" s="81" t="s">
        <v>21156</v>
      </c>
      <c r="AF207" s="76">
        <v>0</v>
      </c>
      <c r="AG207" s="76">
        <v>0</v>
      </c>
      <c r="AH207" s="76">
        <v>15</v>
      </c>
      <c r="AI207" s="76">
        <v>0</v>
      </c>
      <c r="AJ207" s="76">
        <v>1</v>
      </c>
      <c r="AK207" s="76">
        <v>1</v>
      </c>
      <c r="AL207" s="76" t="b">
        <v>0</v>
      </c>
      <c r="AM207" s="78">
        <v>44737.5859375</v>
      </c>
      <c r="AN207" s="76"/>
      <c r="AO207" s="76" t="s">
        <v>23522</v>
      </c>
      <c r="AP207" s="76"/>
      <c r="AQ207" s="76"/>
      <c r="AR207" s="76"/>
      <c r="AS207" s="83" t="str">
        <f>HYPERLINK("https://t.co/vZJviBcwaw")</f>
        <v>https://t.co/vZJviBcwaw</v>
      </c>
      <c r="AT207" s="83" t="str">
        <f>HYPERLINK("https://go.hotmart.com/Q79405373O")</f>
        <v>https://go.hotmart.com/Q79405373O</v>
      </c>
      <c r="AU207" s="76" t="s">
        <v>24865</v>
      </c>
      <c r="AV207" s="76"/>
      <c r="AW207" s="76"/>
      <c r="AX207" s="76" t="b">
        <v>0</v>
      </c>
      <c r="AY207" s="76"/>
      <c r="AZ207" s="76"/>
      <c r="BA207" s="76" t="b">
        <v>0</v>
      </c>
      <c r="BB207" s="76" t="b">
        <v>1</v>
      </c>
      <c r="BC207" s="76" t="b">
        <v>1</v>
      </c>
      <c r="BD207" s="76" t="b">
        <v>0</v>
      </c>
      <c r="BE207" s="76" t="b">
        <v>0</v>
      </c>
      <c r="BF207" s="76" t="b">
        <v>0</v>
      </c>
      <c r="BG207" s="76" t="b">
        <v>0</v>
      </c>
      <c r="BH207" s="76"/>
      <c r="BI207" s="76"/>
      <c r="BJ207" s="76" t="s">
        <v>24935</v>
      </c>
      <c r="BK207" s="76" t="b">
        <v>0</v>
      </c>
      <c r="BL207" s="76"/>
      <c r="BM207" s="76" t="s">
        <v>66</v>
      </c>
      <c r="BN207" s="76" t="s">
        <v>24937</v>
      </c>
      <c r="BO207" s="83" t="str">
        <f>HYPERLINK("https://twitter.com/daianybr291")</f>
        <v>https://twitter.com/daianybr291</v>
      </c>
      <c r="BP207" s="2"/>
    </row>
    <row r="208" spans="1:68" x14ac:dyDescent="0.25">
      <c r="A208" s="62" t="s">
        <v>423</v>
      </c>
      <c r="B208" s="63"/>
      <c r="C208" s="63"/>
      <c r="D208" s="64"/>
      <c r="E208" s="66"/>
      <c r="F208" s="102" t="str">
        <f>HYPERLINK("https://pbs.twimg.com/profile_images/1637636827141087236/Ior9l54W_normal.jpg")</f>
        <v>https://pbs.twimg.com/profile_images/1637636827141087236/Ior9l54W_normal.jpg</v>
      </c>
      <c r="G208" s="63"/>
      <c r="H208" s="67"/>
      <c r="I208" s="68"/>
      <c r="J208" s="68"/>
      <c r="K208" s="67" t="s">
        <v>25142</v>
      </c>
      <c r="L208" s="71"/>
      <c r="M208" s="72"/>
      <c r="N208" s="72"/>
      <c r="O208" s="73"/>
      <c r="P208" s="74"/>
      <c r="Q208" s="74"/>
      <c r="R208" s="86"/>
      <c r="S208" s="86"/>
      <c r="T208" s="86"/>
      <c r="U208" s="86"/>
      <c r="V208" s="48"/>
      <c r="W208" s="48"/>
      <c r="X208" s="48"/>
      <c r="Y208" s="48"/>
      <c r="Z208" s="47"/>
      <c r="AA208" s="69">
        <v>208</v>
      </c>
      <c r="AB208" s="69"/>
      <c r="AC208" s="70"/>
      <c r="AD208" s="76" t="s">
        <v>22019</v>
      </c>
      <c r="AE208" s="81" t="s">
        <v>21157</v>
      </c>
      <c r="AF208" s="76">
        <v>4</v>
      </c>
      <c r="AG208" s="76">
        <v>7</v>
      </c>
      <c r="AH208" s="76">
        <v>7</v>
      </c>
      <c r="AI208" s="76">
        <v>0</v>
      </c>
      <c r="AJ208" s="76">
        <v>9</v>
      </c>
      <c r="AK208" s="76">
        <v>5</v>
      </c>
      <c r="AL208" s="76" t="b">
        <v>0</v>
      </c>
      <c r="AM208" s="78">
        <v>43986.712476851855</v>
      </c>
      <c r="AN208" s="76" t="s">
        <v>23133</v>
      </c>
      <c r="AO208" s="76" t="s">
        <v>23523</v>
      </c>
      <c r="AP208" s="83" t="str">
        <f>HYPERLINK("https://t.co/3tVIWt8BG1")</f>
        <v>https://t.co/3tVIWt8BG1</v>
      </c>
      <c r="AQ208" s="83" t="str">
        <f>HYPERLINK("https://ev.braip.com/ref?pv=pron5m6g&amp;af=afi50d3z0")</f>
        <v>https://ev.braip.com/ref?pv=pron5m6g&amp;af=afi50d3z0</v>
      </c>
      <c r="AR208" s="76" t="s">
        <v>24357</v>
      </c>
      <c r="AS208" s="76"/>
      <c r="AT208" s="76"/>
      <c r="AU208" s="76"/>
      <c r="AV208" s="76"/>
      <c r="AW208" s="83" t="str">
        <f>HYPERLINK("https://t.co/3tVIWt8BG1")</f>
        <v>https://t.co/3tVIWt8BG1</v>
      </c>
      <c r="AX208" s="76" t="b">
        <v>0</v>
      </c>
      <c r="AY208" s="76"/>
      <c r="AZ208" s="76"/>
      <c r="BA208" s="76" t="b">
        <v>0</v>
      </c>
      <c r="BB208" s="76" t="b">
        <v>1</v>
      </c>
      <c r="BC208" s="76" t="b">
        <v>1</v>
      </c>
      <c r="BD208" s="76" t="b">
        <v>0</v>
      </c>
      <c r="BE208" s="76" t="b">
        <v>0</v>
      </c>
      <c r="BF208" s="76" t="b">
        <v>0</v>
      </c>
      <c r="BG208" s="76" t="b">
        <v>0</v>
      </c>
      <c r="BH208" s="83" t="str">
        <f>HYPERLINK("https://pbs.twimg.com/profile_banners/1268589782227128320/1679113917")</f>
        <v>https://pbs.twimg.com/profile_banners/1268589782227128320/1679113917</v>
      </c>
      <c r="BI208" s="76"/>
      <c r="BJ208" s="76" t="s">
        <v>24935</v>
      </c>
      <c r="BK208" s="76" t="b">
        <v>0</v>
      </c>
      <c r="BL208" s="76"/>
      <c r="BM208" s="76" t="s">
        <v>66</v>
      </c>
      <c r="BN208" s="76" t="s">
        <v>24937</v>
      </c>
      <c r="BO208" s="83" t="str">
        <f>HYPERLINK("https://twitter.com/tv_regi")</f>
        <v>https://twitter.com/tv_regi</v>
      </c>
      <c r="BP208" s="2"/>
    </row>
    <row r="209" spans="1:68" x14ac:dyDescent="0.25">
      <c r="A209" s="62" t="s">
        <v>424</v>
      </c>
      <c r="B209" s="63"/>
      <c r="C209" s="63"/>
      <c r="D209" s="64"/>
      <c r="E209" s="66"/>
      <c r="F209" s="102" t="str">
        <f>HYPERLINK("https://pbs.twimg.com/profile_images/1676283839247687683/1Ajq2XPi_normal.jpg")</f>
        <v>https://pbs.twimg.com/profile_images/1676283839247687683/1Ajq2XPi_normal.jpg</v>
      </c>
      <c r="G209" s="63"/>
      <c r="H209" s="67"/>
      <c r="I209" s="68"/>
      <c r="J209" s="68"/>
      <c r="K209" s="67" t="s">
        <v>25143</v>
      </c>
      <c r="L209" s="71"/>
      <c r="M209" s="72"/>
      <c r="N209" s="72"/>
      <c r="O209" s="73"/>
      <c r="P209" s="74"/>
      <c r="Q209" s="74"/>
      <c r="R209" s="86"/>
      <c r="S209" s="86"/>
      <c r="T209" s="86"/>
      <c r="U209" s="86"/>
      <c r="V209" s="48"/>
      <c r="W209" s="48"/>
      <c r="X209" s="48"/>
      <c r="Y209" s="48"/>
      <c r="Z209" s="47"/>
      <c r="AA209" s="69">
        <v>209</v>
      </c>
      <c r="AB209" s="69"/>
      <c r="AC209" s="70"/>
      <c r="AD209" s="76" t="s">
        <v>22020</v>
      </c>
      <c r="AE209" s="81" t="s">
        <v>21158</v>
      </c>
      <c r="AF209" s="76">
        <v>14</v>
      </c>
      <c r="AG209" s="76">
        <v>12</v>
      </c>
      <c r="AH209" s="76">
        <v>5</v>
      </c>
      <c r="AI209" s="76">
        <v>0</v>
      </c>
      <c r="AJ209" s="76">
        <v>4</v>
      </c>
      <c r="AK209" s="76">
        <v>1</v>
      </c>
      <c r="AL209" s="76" t="b">
        <v>0</v>
      </c>
      <c r="AM209" s="78">
        <v>44212.663923611108</v>
      </c>
      <c r="AN209" s="76" t="s">
        <v>23124</v>
      </c>
      <c r="AO209" s="76" t="s">
        <v>23524</v>
      </c>
      <c r="AP209" s="83" t="str">
        <f>HYPERLINK("https://t.co/Y09SFeKuCU")</f>
        <v>https://t.co/Y09SFeKuCU</v>
      </c>
      <c r="AQ209" s="83" t="str">
        <f>HYPERLINK("https://lh-zuka007.my.canva.site/vendas-plrs")</f>
        <v>https://lh-zuka007.my.canva.site/vendas-plrs</v>
      </c>
      <c r="AR209" s="76" t="s">
        <v>24358</v>
      </c>
      <c r="AS209" s="76"/>
      <c r="AT209" s="76"/>
      <c r="AU209" s="76"/>
      <c r="AV209" s="76"/>
      <c r="AW209" s="83" t="str">
        <f>HYPERLINK("https://t.co/Y09SFeKuCU")</f>
        <v>https://t.co/Y09SFeKuCU</v>
      </c>
      <c r="AX209" s="76" t="b">
        <v>0</v>
      </c>
      <c r="AY209" s="76"/>
      <c r="AZ209" s="76"/>
      <c r="BA209" s="76" t="b">
        <v>0</v>
      </c>
      <c r="BB209" s="76" t="b">
        <v>1</v>
      </c>
      <c r="BC209" s="76" t="b">
        <v>1</v>
      </c>
      <c r="BD209" s="76" t="b">
        <v>0</v>
      </c>
      <c r="BE209" s="76" t="b">
        <v>0</v>
      </c>
      <c r="BF209" s="76" t="b">
        <v>0</v>
      </c>
      <c r="BG209" s="76" t="b">
        <v>0</v>
      </c>
      <c r="BH209" s="83" t="str">
        <f>HYPERLINK("https://pbs.twimg.com/profile_banners/1350471834047836162/1610813038")</f>
        <v>https://pbs.twimg.com/profile_banners/1350471834047836162/1610813038</v>
      </c>
      <c r="BI209" s="76"/>
      <c r="BJ209" s="76" t="s">
        <v>24935</v>
      </c>
      <c r="BK209" s="76" t="b">
        <v>0</v>
      </c>
      <c r="BL209" s="76"/>
      <c r="BM209" s="76" t="s">
        <v>66</v>
      </c>
      <c r="BN209" s="76" t="s">
        <v>24937</v>
      </c>
      <c r="BO209" s="83" t="str">
        <f>HYPERLINK("https://twitter.com/lsh144")</f>
        <v>https://twitter.com/lsh144</v>
      </c>
      <c r="BP209" s="2"/>
    </row>
    <row r="210" spans="1:68" x14ac:dyDescent="0.25">
      <c r="A210" s="62" t="s">
        <v>1246</v>
      </c>
      <c r="B210" s="63"/>
      <c r="C210" s="63"/>
      <c r="D210" s="64"/>
      <c r="E210" s="66"/>
      <c r="F210" s="102" t="str">
        <f>HYPERLINK("https://pbs.twimg.com/profile_images/1612806404292710403/WtsQ-vCX_normal.jpg")</f>
        <v>https://pbs.twimg.com/profile_images/1612806404292710403/WtsQ-vCX_normal.jpg</v>
      </c>
      <c r="G210" s="63"/>
      <c r="H210" s="67"/>
      <c r="I210" s="68"/>
      <c r="J210" s="68"/>
      <c r="K210" s="67" t="s">
        <v>25144</v>
      </c>
      <c r="L210" s="71"/>
      <c r="M210" s="72"/>
      <c r="N210" s="72"/>
      <c r="O210" s="73"/>
      <c r="P210" s="74"/>
      <c r="Q210" s="74"/>
      <c r="R210" s="86"/>
      <c r="S210" s="86"/>
      <c r="T210" s="86"/>
      <c r="U210" s="86"/>
      <c r="V210" s="48"/>
      <c r="W210" s="48"/>
      <c r="X210" s="48"/>
      <c r="Y210" s="48"/>
      <c r="Z210" s="47"/>
      <c r="AA210" s="69">
        <v>210</v>
      </c>
      <c r="AB210" s="69"/>
      <c r="AC210" s="70"/>
      <c r="AD210" s="76" t="s">
        <v>22021</v>
      </c>
      <c r="AE210" s="81" t="s">
        <v>22899</v>
      </c>
      <c r="AF210" s="76">
        <v>35919</v>
      </c>
      <c r="AG210" s="76">
        <v>6</v>
      </c>
      <c r="AH210" s="76">
        <v>6418</v>
      </c>
      <c r="AI210" s="76">
        <v>123</v>
      </c>
      <c r="AJ210" s="76">
        <v>2422</v>
      </c>
      <c r="AK210" s="76">
        <v>1977</v>
      </c>
      <c r="AL210" s="76" t="b">
        <v>0</v>
      </c>
      <c r="AM210" s="78">
        <v>40045.025381944448</v>
      </c>
      <c r="AN210" s="76"/>
      <c r="AO210" s="76" t="s">
        <v>23525</v>
      </c>
      <c r="AP210" s="83" t="str">
        <f>HYPERLINK("https://t.co/y0AV914cCu")</f>
        <v>https://t.co/y0AV914cCu</v>
      </c>
      <c r="AQ210" s="83" t="str">
        <f>HYPERLINK("https://hotm.art/perfil-hotmart")</f>
        <v>https://hotm.art/perfil-hotmart</v>
      </c>
      <c r="AR210" s="76" t="s">
        <v>24359</v>
      </c>
      <c r="AS210" s="76"/>
      <c r="AT210" s="76"/>
      <c r="AU210" s="76"/>
      <c r="AV210" s="76"/>
      <c r="AW210" s="83" t="str">
        <f>HYPERLINK("https://t.co/y0AV914cCu")</f>
        <v>https://t.co/y0AV914cCu</v>
      </c>
      <c r="AX210" s="76" t="b">
        <v>0</v>
      </c>
      <c r="AY210" s="76"/>
      <c r="AZ210" s="76"/>
      <c r="BA210" s="76" t="b">
        <v>1</v>
      </c>
      <c r="BB210" s="76" t="b">
        <v>0</v>
      </c>
      <c r="BC210" s="76" t="b">
        <v>0</v>
      </c>
      <c r="BD210" s="76" t="b">
        <v>0</v>
      </c>
      <c r="BE210" s="76" t="b">
        <v>1</v>
      </c>
      <c r="BF210" s="76" t="b">
        <v>0</v>
      </c>
      <c r="BG210" s="76" t="b">
        <v>0</v>
      </c>
      <c r="BH210" s="83" t="str">
        <f>HYPERLINK("https://pbs.twimg.com/profile_banners/67175071/1695670922")</f>
        <v>https://pbs.twimg.com/profile_banners/67175071/1695670922</v>
      </c>
      <c r="BI210" s="76"/>
      <c r="BJ210" s="76" t="s">
        <v>24935</v>
      </c>
      <c r="BK210" s="76" t="b">
        <v>0</v>
      </c>
      <c r="BL210" s="76"/>
      <c r="BM210" s="76" t="s">
        <v>65</v>
      </c>
      <c r="BN210" s="76" t="s">
        <v>24937</v>
      </c>
      <c r="BO210" s="83" t="str">
        <f>HYPERLINK("https://twitter.com/hotmart")</f>
        <v>https://twitter.com/hotmart</v>
      </c>
      <c r="BP210" s="2"/>
    </row>
    <row r="211" spans="1:68" x14ac:dyDescent="0.25">
      <c r="A211" s="62" t="s">
        <v>425</v>
      </c>
      <c r="B211" s="63"/>
      <c r="C211" s="63"/>
      <c r="D211" s="64"/>
      <c r="E211" s="66"/>
      <c r="F211" s="102" t="str">
        <f>HYPERLINK("https://pbs.twimg.com/profile_images/1679681630141644800/NutBFl-P_normal.jpg")</f>
        <v>https://pbs.twimg.com/profile_images/1679681630141644800/NutBFl-P_normal.jpg</v>
      </c>
      <c r="G211" s="63"/>
      <c r="H211" s="67"/>
      <c r="I211" s="68"/>
      <c r="J211" s="68"/>
      <c r="K211" s="67" t="s">
        <v>25145</v>
      </c>
      <c r="L211" s="71"/>
      <c r="M211" s="72"/>
      <c r="N211" s="72"/>
      <c r="O211" s="73"/>
      <c r="P211" s="74"/>
      <c r="Q211" s="74"/>
      <c r="R211" s="86"/>
      <c r="S211" s="86"/>
      <c r="T211" s="86"/>
      <c r="U211" s="86"/>
      <c r="V211" s="48"/>
      <c r="W211" s="48"/>
      <c r="X211" s="48"/>
      <c r="Y211" s="48"/>
      <c r="Z211" s="47"/>
      <c r="AA211" s="69">
        <v>211</v>
      </c>
      <c r="AB211" s="69"/>
      <c r="AC211" s="70"/>
      <c r="AD211" s="76" t="s">
        <v>22022</v>
      </c>
      <c r="AE211" s="81" t="s">
        <v>21159</v>
      </c>
      <c r="AF211" s="76">
        <v>100</v>
      </c>
      <c r="AG211" s="76">
        <v>17</v>
      </c>
      <c r="AH211" s="76">
        <v>353</v>
      </c>
      <c r="AI211" s="76">
        <v>0</v>
      </c>
      <c r="AJ211" s="76">
        <v>2</v>
      </c>
      <c r="AK211" s="76">
        <v>279</v>
      </c>
      <c r="AL211" s="76" t="b">
        <v>0</v>
      </c>
      <c r="AM211" s="78">
        <v>44594.551631944443</v>
      </c>
      <c r="AN211" s="76"/>
      <c r="AO211" s="76" t="s">
        <v>23526</v>
      </c>
      <c r="AP211" s="76"/>
      <c r="AQ211" s="76"/>
      <c r="AR211" s="76"/>
      <c r="AS211" s="76"/>
      <c r="AT211" s="76"/>
      <c r="AU211" s="76"/>
      <c r="AV211" s="76">
        <v>1.6006118730864901E+18</v>
      </c>
      <c r="AW211" s="76"/>
      <c r="AX211" s="76" t="b">
        <v>0</v>
      </c>
      <c r="AY211" s="76"/>
      <c r="AZ211" s="76"/>
      <c r="BA211" s="76" t="b">
        <v>1</v>
      </c>
      <c r="BB211" s="76" t="b">
        <v>1</v>
      </c>
      <c r="BC211" s="76" t="b">
        <v>1</v>
      </c>
      <c r="BD211" s="76" t="b">
        <v>0</v>
      </c>
      <c r="BE211" s="76" t="b">
        <v>0</v>
      </c>
      <c r="BF211" s="76" t="b">
        <v>0</v>
      </c>
      <c r="BG211" s="76" t="b">
        <v>0</v>
      </c>
      <c r="BH211" s="83" t="str">
        <f>HYPERLINK("https://pbs.twimg.com/profile_banners/1488863208123342851/1689302339")</f>
        <v>https://pbs.twimg.com/profile_banners/1488863208123342851/1689302339</v>
      </c>
      <c r="BI211" s="76"/>
      <c r="BJ211" s="76" t="s">
        <v>24935</v>
      </c>
      <c r="BK211" s="76" t="b">
        <v>0</v>
      </c>
      <c r="BL211" s="76"/>
      <c r="BM211" s="76" t="s">
        <v>66</v>
      </c>
      <c r="BN211" s="76" t="s">
        <v>24937</v>
      </c>
      <c r="BO211" s="83" t="str">
        <f>HYPERLINK("https://twitter.com/greens_bets")</f>
        <v>https://twitter.com/greens_bets</v>
      </c>
      <c r="BP211" s="2"/>
    </row>
    <row r="212" spans="1:68" x14ac:dyDescent="0.25">
      <c r="A212" s="62" t="s">
        <v>426</v>
      </c>
      <c r="B212" s="63"/>
      <c r="C212" s="63"/>
      <c r="D212" s="64"/>
      <c r="E212" s="66"/>
      <c r="F212" s="102" t="str">
        <f>HYPERLINK("https://pbs.twimg.com/profile_images/1622727038900572160/nh3ry7jq_normal.jpg")</f>
        <v>https://pbs.twimg.com/profile_images/1622727038900572160/nh3ry7jq_normal.jpg</v>
      </c>
      <c r="G212" s="63"/>
      <c r="H212" s="67"/>
      <c r="I212" s="68"/>
      <c r="J212" s="68"/>
      <c r="K212" s="67" t="s">
        <v>25146</v>
      </c>
      <c r="L212" s="71"/>
      <c r="M212" s="72"/>
      <c r="N212" s="72"/>
      <c r="O212" s="73"/>
      <c r="P212" s="74"/>
      <c r="Q212" s="74"/>
      <c r="R212" s="86"/>
      <c r="S212" s="86"/>
      <c r="T212" s="86"/>
      <c r="U212" s="86"/>
      <c r="V212" s="48"/>
      <c r="W212" s="48"/>
      <c r="X212" s="48"/>
      <c r="Y212" s="48"/>
      <c r="Z212" s="47"/>
      <c r="AA212" s="69">
        <v>212</v>
      </c>
      <c r="AB212" s="69"/>
      <c r="AC212" s="70"/>
      <c r="AD212" s="76" t="s">
        <v>22023</v>
      </c>
      <c r="AE212" s="81" t="s">
        <v>21160</v>
      </c>
      <c r="AF212" s="76">
        <v>0</v>
      </c>
      <c r="AG212" s="76">
        <v>1</v>
      </c>
      <c r="AH212" s="76">
        <v>2</v>
      </c>
      <c r="AI212" s="76">
        <v>0</v>
      </c>
      <c r="AJ212" s="76">
        <v>1</v>
      </c>
      <c r="AK212" s="76">
        <v>1</v>
      </c>
      <c r="AL212" s="76" t="b">
        <v>0</v>
      </c>
      <c r="AM212" s="78">
        <v>44963.578784722224</v>
      </c>
      <c r="AN212" s="76" t="s">
        <v>14033</v>
      </c>
      <c r="AO212" s="76" t="s">
        <v>23527</v>
      </c>
      <c r="AP212" s="83" t="str">
        <f>HYPERLINK("https://t.co/B5YHa93eS1")</f>
        <v>https://t.co/B5YHa93eS1</v>
      </c>
      <c r="AQ212" s="83" t="str">
        <f>HYPERLINK("https://t.me/+JwAHm00U2uFmMTdh")</f>
        <v>https://t.me/+JwAHm00U2uFmMTdh</v>
      </c>
      <c r="AR212" s="76" t="s">
        <v>24360</v>
      </c>
      <c r="AS212" s="76"/>
      <c r="AT212" s="76"/>
      <c r="AU212" s="76"/>
      <c r="AV212" s="76"/>
      <c r="AW212" s="83" t="str">
        <f>HYPERLINK("https://t.co/B5YHa93eS1")</f>
        <v>https://t.co/B5YHa93eS1</v>
      </c>
      <c r="AX212" s="76" t="b">
        <v>0</v>
      </c>
      <c r="AY212" s="76"/>
      <c r="AZ212" s="76"/>
      <c r="BA212" s="76" t="b">
        <v>0</v>
      </c>
      <c r="BB212" s="76" t="b">
        <v>1</v>
      </c>
      <c r="BC212" s="76" t="b">
        <v>1</v>
      </c>
      <c r="BD212" s="76" t="b">
        <v>0</v>
      </c>
      <c r="BE212" s="76" t="b">
        <v>0</v>
      </c>
      <c r="BF212" s="76" t="b">
        <v>0</v>
      </c>
      <c r="BG212" s="76" t="b">
        <v>0</v>
      </c>
      <c r="BH212" s="83" t="str">
        <f>HYPERLINK("https://pbs.twimg.com/profile_banners/1622594214922952710/1675723248")</f>
        <v>https://pbs.twimg.com/profile_banners/1622594214922952710/1675723248</v>
      </c>
      <c r="BI212" s="76"/>
      <c r="BJ212" s="76" t="s">
        <v>24935</v>
      </c>
      <c r="BK212" s="76" t="b">
        <v>0</v>
      </c>
      <c r="BL212" s="76"/>
      <c r="BM212" s="76" t="s">
        <v>66</v>
      </c>
      <c r="BN212" s="76" t="s">
        <v>24937</v>
      </c>
      <c r="BO212" s="83" t="str">
        <f>HYPERLINK("https://twitter.com/js_treinamentos")</f>
        <v>https://twitter.com/js_treinamentos</v>
      </c>
      <c r="BP212" s="2"/>
    </row>
    <row r="213" spans="1:68" x14ac:dyDescent="0.25">
      <c r="A213" s="62" t="s">
        <v>427</v>
      </c>
      <c r="B213" s="63"/>
      <c r="C213" s="63"/>
      <c r="D213" s="64"/>
      <c r="E213" s="66"/>
      <c r="F213" s="102" t="str">
        <f>HYPERLINK("https://pbs.twimg.com/profile_images/1349881955068866561/RY_Wfkj9_normal.jpg")</f>
        <v>https://pbs.twimg.com/profile_images/1349881955068866561/RY_Wfkj9_normal.jpg</v>
      </c>
      <c r="G213" s="63"/>
      <c r="H213" s="67"/>
      <c r="I213" s="68"/>
      <c r="J213" s="68"/>
      <c r="K213" s="67" t="s">
        <v>25147</v>
      </c>
      <c r="L213" s="71"/>
      <c r="M213" s="72"/>
      <c r="N213" s="72"/>
      <c r="O213" s="73"/>
      <c r="P213" s="74"/>
      <c r="Q213" s="74"/>
      <c r="R213" s="86"/>
      <c r="S213" s="86"/>
      <c r="T213" s="86"/>
      <c r="U213" s="86"/>
      <c r="V213" s="48"/>
      <c r="W213" s="48"/>
      <c r="X213" s="48"/>
      <c r="Y213" s="48"/>
      <c r="Z213" s="47"/>
      <c r="AA213" s="69">
        <v>213</v>
      </c>
      <c r="AB213" s="69"/>
      <c r="AC213" s="70"/>
      <c r="AD213" s="76" t="s">
        <v>22024</v>
      </c>
      <c r="AE213" s="81" t="s">
        <v>21161</v>
      </c>
      <c r="AF213" s="76">
        <v>3</v>
      </c>
      <c r="AG213" s="76">
        <v>1</v>
      </c>
      <c r="AH213" s="76">
        <v>12</v>
      </c>
      <c r="AI213" s="76">
        <v>0</v>
      </c>
      <c r="AJ213" s="76">
        <v>2</v>
      </c>
      <c r="AK213" s="76">
        <v>9</v>
      </c>
      <c r="AL213" s="76" t="b">
        <v>0</v>
      </c>
      <c r="AM213" s="78">
        <v>44211.033842592595</v>
      </c>
      <c r="AN213" s="76" t="s">
        <v>23134</v>
      </c>
      <c r="AO213" s="76" t="s">
        <v>23528</v>
      </c>
      <c r="AP213" s="83" t="str">
        <f>HYPERLINK("https://t.co/Ojd7lKd7Hk")</f>
        <v>https://t.co/Ojd7lKd7Hk</v>
      </c>
      <c r="AQ213" s="83" t="str">
        <f>HYPERLINK("https://paraty.tv.br")</f>
        <v>https://paraty.tv.br</v>
      </c>
      <c r="AR213" s="76" t="s">
        <v>22024</v>
      </c>
      <c r="AS213" s="76"/>
      <c r="AT213" s="76"/>
      <c r="AU213" s="76"/>
      <c r="AV213" s="76"/>
      <c r="AW213" s="83" t="str">
        <f>HYPERLINK("https://t.co/Ojd7lKd7Hk")</f>
        <v>https://t.co/Ojd7lKd7Hk</v>
      </c>
      <c r="AX213" s="76" t="b">
        <v>0</v>
      </c>
      <c r="AY213" s="76"/>
      <c r="AZ213" s="76"/>
      <c r="BA213" s="76" t="b">
        <v>0</v>
      </c>
      <c r="BB213" s="76" t="b">
        <v>1</v>
      </c>
      <c r="BC213" s="76" t="b">
        <v>1</v>
      </c>
      <c r="BD213" s="76" t="b">
        <v>0</v>
      </c>
      <c r="BE213" s="76" t="b">
        <v>0</v>
      </c>
      <c r="BF213" s="76" t="b">
        <v>0</v>
      </c>
      <c r="BG213" s="76" t="b">
        <v>0</v>
      </c>
      <c r="BH213" s="83" t="str">
        <f>HYPERLINK("https://pbs.twimg.com/profile_banners/1349881085140873219/1622158708")</f>
        <v>https://pbs.twimg.com/profile_banners/1349881085140873219/1622158708</v>
      </c>
      <c r="BI213" s="76"/>
      <c r="BJ213" s="76" t="s">
        <v>24935</v>
      </c>
      <c r="BK213" s="76" t="b">
        <v>0</v>
      </c>
      <c r="BL213" s="76"/>
      <c r="BM213" s="76" t="s">
        <v>66</v>
      </c>
      <c r="BN213" s="76" t="s">
        <v>24937</v>
      </c>
      <c r="BO213" s="83" t="str">
        <f>HYPERLINK("https://twitter.com/paratytvbr")</f>
        <v>https://twitter.com/paratytvbr</v>
      </c>
      <c r="BP213" s="2"/>
    </row>
    <row r="214" spans="1:68" x14ac:dyDescent="0.25">
      <c r="A214" s="62" t="s">
        <v>428</v>
      </c>
      <c r="B214" s="63"/>
      <c r="C214" s="63"/>
      <c r="D214" s="64"/>
      <c r="E214" s="66"/>
      <c r="F214" s="102" t="str">
        <f>HYPERLINK("https://pbs.twimg.com/profile_images/1190004176077697024/int15Gbi_normal.jpg")</f>
        <v>https://pbs.twimg.com/profile_images/1190004176077697024/int15Gbi_normal.jpg</v>
      </c>
      <c r="G214" s="63"/>
      <c r="H214" s="67"/>
      <c r="I214" s="68"/>
      <c r="J214" s="68"/>
      <c r="K214" s="67" t="s">
        <v>25148</v>
      </c>
      <c r="L214" s="71"/>
      <c r="M214" s="72"/>
      <c r="N214" s="72"/>
      <c r="O214" s="73"/>
      <c r="P214" s="74"/>
      <c r="Q214" s="74"/>
      <c r="R214" s="86"/>
      <c r="S214" s="86"/>
      <c r="T214" s="86"/>
      <c r="U214" s="86"/>
      <c r="V214" s="48"/>
      <c r="W214" s="48"/>
      <c r="X214" s="48"/>
      <c r="Y214" s="48"/>
      <c r="Z214" s="47"/>
      <c r="AA214" s="69">
        <v>214</v>
      </c>
      <c r="AB214" s="69"/>
      <c r="AC214" s="70"/>
      <c r="AD214" s="76" t="s">
        <v>22025</v>
      </c>
      <c r="AE214" s="81" t="s">
        <v>22900</v>
      </c>
      <c r="AF214" s="76">
        <v>27</v>
      </c>
      <c r="AG214" s="76">
        <v>185</v>
      </c>
      <c r="AH214" s="76">
        <v>164</v>
      </c>
      <c r="AI214" s="76">
        <v>0</v>
      </c>
      <c r="AJ214" s="76">
        <v>1345</v>
      </c>
      <c r="AK214" s="76">
        <v>10</v>
      </c>
      <c r="AL214" s="76" t="b">
        <v>0</v>
      </c>
      <c r="AM214" s="78">
        <v>40238.012349537035</v>
      </c>
      <c r="AN214" s="76"/>
      <c r="AO214" s="76"/>
      <c r="AP214" s="76"/>
      <c r="AQ214" s="76"/>
      <c r="AR214" s="76"/>
      <c r="AS214" s="76"/>
      <c r="AT214" s="76"/>
      <c r="AU214" s="76"/>
      <c r="AV214" s="76"/>
      <c r="AW214" s="76"/>
      <c r="AX214" s="76" t="b">
        <v>0</v>
      </c>
      <c r="AY214" s="76"/>
      <c r="AZ214" s="76"/>
      <c r="BA214" s="76" t="b">
        <v>0</v>
      </c>
      <c r="BB214" s="76" t="b">
        <v>1</v>
      </c>
      <c r="BC214" s="76" t="b">
        <v>0</v>
      </c>
      <c r="BD214" s="76" t="b">
        <v>0</v>
      </c>
      <c r="BE214" s="76" t="b">
        <v>1</v>
      </c>
      <c r="BF214" s="76" t="b">
        <v>0</v>
      </c>
      <c r="BG214" s="76" t="b">
        <v>0</v>
      </c>
      <c r="BH214" s="76"/>
      <c r="BI214" s="76"/>
      <c r="BJ214" s="76" t="s">
        <v>24935</v>
      </c>
      <c r="BK214" s="76" t="b">
        <v>0</v>
      </c>
      <c r="BL214" s="76"/>
      <c r="BM214" s="76" t="s">
        <v>66</v>
      </c>
      <c r="BN214" s="76" t="s">
        <v>24937</v>
      </c>
      <c r="BO214" s="83" t="str">
        <f>HYPERLINK("https://twitter.com/andrecrv7")</f>
        <v>https://twitter.com/andrecrv7</v>
      </c>
      <c r="BP214" s="2"/>
    </row>
    <row r="215" spans="1:68" x14ac:dyDescent="0.25">
      <c r="A215" s="62" t="s">
        <v>1012</v>
      </c>
      <c r="B215" s="63"/>
      <c r="C215" s="63"/>
      <c r="D215" s="64"/>
      <c r="E215" s="66"/>
      <c r="F215" s="102" t="str">
        <f>HYPERLINK("https://pbs.twimg.com/profile_images/1655735927791144961/QJyYVYOL_normal.jpg")</f>
        <v>https://pbs.twimg.com/profile_images/1655735927791144961/QJyYVYOL_normal.jpg</v>
      </c>
      <c r="G215" s="63"/>
      <c r="H215" s="67"/>
      <c r="I215" s="68"/>
      <c r="J215" s="68"/>
      <c r="K215" s="67" t="s">
        <v>25149</v>
      </c>
      <c r="L215" s="71"/>
      <c r="M215" s="72"/>
      <c r="N215" s="72"/>
      <c r="O215" s="73"/>
      <c r="P215" s="74"/>
      <c r="Q215" s="74"/>
      <c r="R215" s="86"/>
      <c r="S215" s="86"/>
      <c r="T215" s="86"/>
      <c r="U215" s="86"/>
      <c r="V215" s="48"/>
      <c r="W215" s="48"/>
      <c r="X215" s="48"/>
      <c r="Y215" s="48"/>
      <c r="Z215" s="47"/>
      <c r="AA215" s="69">
        <v>215</v>
      </c>
      <c r="AB215" s="69"/>
      <c r="AC215" s="70"/>
      <c r="AD215" s="76" t="s">
        <v>22026</v>
      </c>
      <c r="AE215" s="81" t="s">
        <v>21603</v>
      </c>
      <c r="AF215" s="76">
        <v>1192</v>
      </c>
      <c r="AG215" s="76">
        <v>2104</v>
      </c>
      <c r="AH215" s="76">
        <v>5879</v>
      </c>
      <c r="AI215" s="76">
        <v>2</v>
      </c>
      <c r="AJ215" s="76">
        <v>7069</v>
      </c>
      <c r="AK215" s="76">
        <v>278</v>
      </c>
      <c r="AL215" s="76" t="b">
        <v>0</v>
      </c>
      <c r="AM215" s="78">
        <v>44201.766851851855</v>
      </c>
      <c r="AN215" s="76"/>
      <c r="AO215" s="76" t="s">
        <v>23529</v>
      </c>
      <c r="AP215" s="83" t="str">
        <f>HYPERLINK("https://t.co/kQBqQ9p17h")</f>
        <v>https://t.co/kQBqQ9p17h</v>
      </c>
      <c r="AQ215" s="83" t="str">
        <f>HYPERLINK("https://myanimelist.net/profile/Light_sincero")</f>
        <v>https://myanimelist.net/profile/Light_sincero</v>
      </c>
      <c r="AR215" s="76" t="s">
        <v>24361</v>
      </c>
      <c r="AS215" s="76"/>
      <c r="AT215" s="76"/>
      <c r="AU215" s="76"/>
      <c r="AV215" s="76">
        <v>1.5912331388813499E+18</v>
      </c>
      <c r="AW215" s="83" t="str">
        <f>HYPERLINK("https://t.co/kQBqQ9p17h")</f>
        <v>https://t.co/kQBqQ9p17h</v>
      </c>
      <c r="AX215" s="76" t="b">
        <v>0</v>
      </c>
      <c r="AY215" s="76"/>
      <c r="AZ215" s="76"/>
      <c r="BA215" s="76" t="b">
        <v>0</v>
      </c>
      <c r="BB215" s="76" t="b">
        <v>1</v>
      </c>
      <c r="BC215" s="76" t="b">
        <v>1</v>
      </c>
      <c r="BD215" s="76" t="b">
        <v>0</v>
      </c>
      <c r="BE215" s="76" t="b">
        <v>1</v>
      </c>
      <c r="BF215" s="76" t="b">
        <v>0</v>
      </c>
      <c r="BG215" s="76" t="b">
        <v>0</v>
      </c>
      <c r="BH215" s="83" t="str">
        <f>HYPERLINK("https://pbs.twimg.com/profile_banners/1346522882801868800/1682983051")</f>
        <v>https://pbs.twimg.com/profile_banners/1346522882801868800/1682983051</v>
      </c>
      <c r="BI215" s="76"/>
      <c r="BJ215" s="76" t="s">
        <v>24935</v>
      </c>
      <c r="BK215" s="76" t="b">
        <v>0</v>
      </c>
      <c r="BL215" s="76"/>
      <c r="BM215" s="76" t="s">
        <v>66</v>
      </c>
      <c r="BN215" s="76" t="s">
        <v>24937</v>
      </c>
      <c r="BO215" s="83" t="str">
        <f>HYPERLINK("https://twitter.com/lelouch_sincero")</f>
        <v>https://twitter.com/lelouch_sincero</v>
      </c>
      <c r="BP215" s="2"/>
    </row>
    <row r="216" spans="1:68" x14ac:dyDescent="0.25">
      <c r="A216" s="62" t="s">
        <v>429</v>
      </c>
      <c r="B216" s="63"/>
      <c r="C216" s="63"/>
      <c r="D216" s="64"/>
      <c r="E216" s="66"/>
      <c r="F216" s="102" t="str">
        <f>HYPERLINK("https://pbs.twimg.com/profile_images/1638356260843147265/y7PVsW_U_normal.jpg")</f>
        <v>https://pbs.twimg.com/profile_images/1638356260843147265/y7PVsW_U_normal.jpg</v>
      </c>
      <c r="G216" s="63"/>
      <c r="H216" s="67"/>
      <c r="I216" s="68"/>
      <c r="J216" s="68"/>
      <c r="K216" s="67" t="s">
        <v>25150</v>
      </c>
      <c r="L216" s="71"/>
      <c r="M216" s="72"/>
      <c r="N216" s="72"/>
      <c r="O216" s="73"/>
      <c r="P216" s="74"/>
      <c r="Q216" s="74"/>
      <c r="R216" s="86"/>
      <c r="S216" s="86"/>
      <c r="T216" s="86"/>
      <c r="U216" s="86"/>
      <c r="V216" s="48"/>
      <c r="W216" s="48"/>
      <c r="X216" s="48"/>
      <c r="Y216" s="48"/>
      <c r="Z216" s="47"/>
      <c r="AA216" s="69">
        <v>216</v>
      </c>
      <c r="AB216" s="69"/>
      <c r="AC216" s="70"/>
      <c r="AD216" s="76" t="s">
        <v>22027</v>
      </c>
      <c r="AE216" s="81" t="s">
        <v>21162</v>
      </c>
      <c r="AF216" s="76">
        <v>31</v>
      </c>
      <c r="AG216" s="76">
        <v>47</v>
      </c>
      <c r="AH216" s="76">
        <v>1328</v>
      </c>
      <c r="AI216" s="76">
        <v>0</v>
      </c>
      <c r="AJ216" s="76">
        <v>25</v>
      </c>
      <c r="AK216" s="76">
        <v>18</v>
      </c>
      <c r="AL216" s="76" t="b">
        <v>0</v>
      </c>
      <c r="AM216" s="78">
        <v>44565.165312500001</v>
      </c>
      <c r="AN216" s="76" t="s">
        <v>23135</v>
      </c>
      <c r="AO216" s="76" t="s">
        <v>23530</v>
      </c>
      <c r="AP216" s="83" t="str">
        <f>HYPERLINK("https://t.co/NZmrygE4t9")</f>
        <v>https://t.co/NZmrygE4t9</v>
      </c>
      <c r="AQ216" s="83" t="str">
        <f>HYPERLINK("https://go.hotmart.com/Y80397549A")</f>
        <v>https://go.hotmart.com/Y80397549A</v>
      </c>
      <c r="AR216" s="76" t="s">
        <v>24362</v>
      </c>
      <c r="AS216" s="76"/>
      <c r="AT216" s="76"/>
      <c r="AU216" s="76"/>
      <c r="AV216" s="76">
        <v>1.63835691378721E+18</v>
      </c>
      <c r="AW216" s="83" t="str">
        <f>HYPERLINK("https://t.co/NZmrygE4t9")</f>
        <v>https://t.co/NZmrygE4t9</v>
      </c>
      <c r="AX216" s="76" t="b">
        <v>0</v>
      </c>
      <c r="AY216" s="76"/>
      <c r="AZ216" s="76"/>
      <c r="BA216" s="76" t="b">
        <v>0</v>
      </c>
      <c r="BB216" s="76" t="b">
        <v>1</v>
      </c>
      <c r="BC216" s="76" t="b">
        <v>1</v>
      </c>
      <c r="BD216" s="76" t="b">
        <v>0</v>
      </c>
      <c r="BE216" s="76" t="b">
        <v>0</v>
      </c>
      <c r="BF216" s="76" t="b">
        <v>0</v>
      </c>
      <c r="BG216" s="76" t="b">
        <v>0</v>
      </c>
      <c r="BH216" s="83" t="str">
        <f>HYPERLINK("https://pbs.twimg.com/profile_banners/1478214037863374849/1679449557")</f>
        <v>https://pbs.twimg.com/profile_banners/1478214037863374849/1679449557</v>
      </c>
      <c r="BI216" s="76"/>
      <c r="BJ216" s="76" t="s">
        <v>24935</v>
      </c>
      <c r="BK216" s="76" t="b">
        <v>0</v>
      </c>
      <c r="BL216" s="76"/>
      <c r="BM216" s="76" t="s">
        <v>66</v>
      </c>
      <c r="BN216" s="76" t="s">
        <v>24937</v>
      </c>
      <c r="BO216" s="83" t="str">
        <f>HYPERLINK("https://twitter.com/primeiravenda07")</f>
        <v>https://twitter.com/primeiravenda07</v>
      </c>
      <c r="BP216" s="2"/>
    </row>
    <row r="217" spans="1:68" x14ac:dyDescent="0.25">
      <c r="A217" s="62" t="s">
        <v>430</v>
      </c>
      <c r="B217" s="63"/>
      <c r="C217" s="63"/>
      <c r="D217" s="64"/>
      <c r="E217" s="66"/>
      <c r="F217" s="102" t="str">
        <f>HYPERLINK("https://pbs.twimg.com/profile_images/1478939108340862976/KIyQWj4z_normal.jpg")</f>
        <v>https://pbs.twimg.com/profile_images/1478939108340862976/KIyQWj4z_normal.jpg</v>
      </c>
      <c r="G217" s="63"/>
      <c r="H217" s="67"/>
      <c r="I217" s="68"/>
      <c r="J217" s="68"/>
      <c r="K217" s="67" t="s">
        <v>25151</v>
      </c>
      <c r="L217" s="71"/>
      <c r="M217" s="72"/>
      <c r="N217" s="72"/>
      <c r="O217" s="73"/>
      <c r="P217" s="74"/>
      <c r="Q217" s="74"/>
      <c r="R217" s="86"/>
      <c r="S217" s="86"/>
      <c r="T217" s="86"/>
      <c r="U217" s="86"/>
      <c r="V217" s="48"/>
      <c r="W217" s="48"/>
      <c r="X217" s="48"/>
      <c r="Y217" s="48"/>
      <c r="Z217" s="47"/>
      <c r="AA217" s="69">
        <v>217</v>
      </c>
      <c r="AB217" s="69"/>
      <c r="AC217" s="70"/>
      <c r="AD217" s="76" t="s">
        <v>22028</v>
      </c>
      <c r="AE217" s="81" t="s">
        <v>21163</v>
      </c>
      <c r="AF217" s="76">
        <v>39</v>
      </c>
      <c r="AG217" s="76">
        <v>1</v>
      </c>
      <c r="AH217" s="76">
        <v>566</v>
      </c>
      <c r="AI217" s="76">
        <v>0</v>
      </c>
      <c r="AJ217" s="76">
        <v>0</v>
      </c>
      <c r="AK217" s="76">
        <v>566</v>
      </c>
      <c r="AL217" s="76" t="b">
        <v>0</v>
      </c>
      <c r="AM217" s="78">
        <v>44567.16574074074</v>
      </c>
      <c r="AN217" s="76"/>
      <c r="AO217" s="76" t="s">
        <v>23531</v>
      </c>
      <c r="AP217" s="76"/>
      <c r="AQ217" s="76"/>
      <c r="AR217" s="76"/>
      <c r="AS217" s="76"/>
      <c r="AT217" s="76"/>
      <c r="AU217" s="76"/>
      <c r="AV217" s="76"/>
      <c r="AW217" s="76"/>
      <c r="AX217" s="76" t="b">
        <v>0</v>
      </c>
      <c r="AY217" s="76"/>
      <c r="AZ217" s="76"/>
      <c r="BA217" s="76" t="b">
        <v>0</v>
      </c>
      <c r="BB217" s="76" t="b">
        <v>1</v>
      </c>
      <c r="BC217" s="76" t="b">
        <v>1</v>
      </c>
      <c r="BD217" s="76" t="b">
        <v>0</v>
      </c>
      <c r="BE217" s="76" t="b">
        <v>0</v>
      </c>
      <c r="BF217" s="76" t="b">
        <v>0</v>
      </c>
      <c r="BG217" s="76" t="b">
        <v>0</v>
      </c>
      <c r="BH217" s="83" t="str">
        <f>HYPERLINK("https://pbs.twimg.com/profile_banners/1478939001134493701/1641444715")</f>
        <v>https://pbs.twimg.com/profile_banners/1478939001134493701/1641444715</v>
      </c>
      <c r="BI217" s="76"/>
      <c r="BJ217" s="76" t="s">
        <v>24935</v>
      </c>
      <c r="BK217" s="76" t="b">
        <v>0</v>
      </c>
      <c r="BL217" s="76"/>
      <c r="BM217" s="76" t="s">
        <v>66</v>
      </c>
      <c r="BN217" s="76" t="s">
        <v>24937</v>
      </c>
      <c r="BO217" s="83" t="str">
        <f>HYPERLINK("https://twitter.com/elosduvale")</f>
        <v>https://twitter.com/elosduvale</v>
      </c>
      <c r="BP217" s="2"/>
    </row>
    <row r="218" spans="1:68" x14ac:dyDescent="0.25">
      <c r="A218" s="62" t="s">
        <v>431</v>
      </c>
      <c r="B218" s="63"/>
      <c r="C218" s="63"/>
      <c r="D218" s="64"/>
      <c r="E218" s="66"/>
      <c r="F218" s="102" t="str">
        <f>HYPERLINK("https://pbs.twimg.com/profile_images/997221599957868544/97el8HC2_normal.jpg")</f>
        <v>https://pbs.twimg.com/profile_images/997221599957868544/97el8HC2_normal.jpg</v>
      </c>
      <c r="G218" s="63"/>
      <c r="H218" s="67"/>
      <c r="I218" s="68"/>
      <c r="J218" s="68"/>
      <c r="K218" s="67" t="s">
        <v>25152</v>
      </c>
      <c r="L218" s="71"/>
      <c r="M218" s="72"/>
      <c r="N218" s="72"/>
      <c r="O218" s="73"/>
      <c r="P218" s="74"/>
      <c r="Q218" s="74"/>
      <c r="R218" s="86"/>
      <c r="S218" s="86"/>
      <c r="T218" s="86"/>
      <c r="U218" s="86"/>
      <c r="V218" s="48"/>
      <c r="W218" s="48"/>
      <c r="X218" s="48"/>
      <c r="Y218" s="48"/>
      <c r="Z218" s="47"/>
      <c r="AA218" s="69">
        <v>218</v>
      </c>
      <c r="AB218" s="69"/>
      <c r="AC218" s="70"/>
      <c r="AD218" s="76" t="s">
        <v>22029</v>
      </c>
      <c r="AE218" s="81" t="s">
        <v>21164</v>
      </c>
      <c r="AF218" s="76">
        <v>13</v>
      </c>
      <c r="AG218" s="76">
        <v>348</v>
      </c>
      <c r="AH218" s="76">
        <v>662</v>
      </c>
      <c r="AI218" s="76">
        <v>0</v>
      </c>
      <c r="AJ218" s="76">
        <v>367</v>
      </c>
      <c r="AK218" s="76">
        <v>25</v>
      </c>
      <c r="AL218" s="76" t="b">
        <v>0</v>
      </c>
      <c r="AM218" s="78">
        <v>43198.831469907411</v>
      </c>
      <c r="AN218" s="76"/>
      <c r="AO218" s="76" t="s">
        <v>21983</v>
      </c>
      <c r="AP218" s="76"/>
      <c r="AQ218" s="76"/>
      <c r="AR218" s="76"/>
      <c r="AS218" s="76"/>
      <c r="AT218" s="76"/>
      <c r="AU218" s="76"/>
      <c r="AV218" s="76"/>
      <c r="AW218" s="76"/>
      <c r="AX218" s="76" t="b">
        <v>0</v>
      </c>
      <c r="AY218" s="76"/>
      <c r="AZ218" s="76"/>
      <c r="BA218" s="76" t="b">
        <v>0</v>
      </c>
      <c r="BB218" s="76" t="b">
        <v>1</v>
      </c>
      <c r="BC218" s="76" t="b">
        <v>1</v>
      </c>
      <c r="BD218" s="76" t="b">
        <v>0</v>
      </c>
      <c r="BE218" s="76" t="b">
        <v>0</v>
      </c>
      <c r="BF218" s="76" t="b">
        <v>0</v>
      </c>
      <c r="BG218" s="76" t="b">
        <v>0</v>
      </c>
      <c r="BH218" s="83" t="str">
        <f>HYPERLINK("https://pbs.twimg.com/profile_banners/983071310766071809/1526591548")</f>
        <v>https://pbs.twimg.com/profile_banners/983071310766071809/1526591548</v>
      </c>
      <c r="BI218" s="76"/>
      <c r="BJ218" s="76" t="s">
        <v>24935</v>
      </c>
      <c r="BK218" s="76" t="b">
        <v>0</v>
      </c>
      <c r="BL218" s="76"/>
      <c r="BM218" s="76" t="s">
        <v>66</v>
      </c>
      <c r="BN218" s="76" t="s">
        <v>24937</v>
      </c>
      <c r="BO218" s="83" t="str">
        <f>HYPERLINK("https://twitter.com/junior82827720")</f>
        <v>https://twitter.com/junior82827720</v>
      </c>
      <c r="BP218" s="2"/>
    </row>
    <row r="219" spans="1:68" x14ac:dyDescent="0.25">
      <c r="A219" s="62" t="s">
        <v>432</v>
      </c>
      <c r="B219" s="63"/>
      <c r="C219" s="63"/>
      <c r="D219" s="64"/>
      <c r="E219" s="66"/>
      <c r="F219" s="102" t="str">
        <f>HYPERLINK("https://pbs.twimg.com/profile_images/1581998210247188481/2DD1HBdn_normal.jpg")</f>
        <v>https://pbs.twimg.com/profile_images/1581998210247188481/2DD1HBdn_normal.jpg</v>
      </c>
      <c r="G219" s="63"/>
      <c r="H219" s="67"/>
      <c r="I219" s="68"/>
      <c r="J219" s="68"/>
      <c r="K219" s="67" t="s">
        <v>25153</v>
      </c>
      <c r="L219" s="71"/>
      <c r="M219" s="72"/>
      <c r="N219" s="72"/>
      <c r="O219" s="73"/>
      <c r="P219" s="74"/>
      <c r="Q219" s="74"/>
      <c r="R219" s="86"/>
      <c r="S219" s="86"/>
      <c r="T219" s="86"/>
      <c r="U219" s="86"/>
      <c r="V219" s="48"/>
      <c r="W219" s="48"/>
      <c r="X219" s="48"/>
      <c r="Y219" s="48"/>
      <c r="Z219" s="47"/>
      <c r="AA219" s="69">
        <v>219</v>
      </c>
      <c r="AB219" s="69"/>
      <c r="AC219" s="70"/>
      <c r="AD219" s="76" t="s">
        <v>22030</v>
      </c>
      <c r="AE219" s="81" t="s">
        <v>21165</v>
      </c>
      <c r="AF219" s="76">
        <v>14</v>
      </c>
      <c r="AG219" s="76">
        <v>204</v>
      </c>
      <c r="AH219" s="76">
        <v>22</v>
      </c>
      <c r="AI219" s="76">
        <v>0</v>
      </c>
      <c r="AJ219" s="76">
        <v>41</v>
      </c>
      <c r="AK219" s="76">
        <v>19</v>
      </c>
      <c r="AL219" s="76" t="b">
        <v>0</v>
      </c>
      <c r="AM219" s="78">
        <v>44851.553240740737</v>
      </c>
      <c r="AN219" s="76" t="s">
        <v>14052</v>
      </c>
      <c r="AO219" s="76" t="s">
        <v>23532</v>
      </c>
      <c r="AP219" s="83" t="str">
        <f>HYPERLINK("https://t.co/MAMayxLy9l")</f>
        <v>https://t.co/MAMayxLy9l</v>
      </c>
      <c r="AQ219" s="83" t="str">
        <f>HYPERLINK("https://venhaserchefe.com.br/")</f>
        <v>https://venhaserchefe.com.br/</v>
      </c>
      <c r="AR219" s="76" t="s">
        <v>24363</v>
      </c>
      <c r="AS219" s="76"/>
      <c r="AT219" s="76"/>
      <c r="AU219" s="76"/>
      <c r="AV219" s="76"/>
      <c r="AW219" s="83" t="str">
        <f>HYPERLINK("https://t.co/MAMayxLy9l")</f>
        <v>https://t.co/MAMayxLy9l</v>
      </c>
      <c r="AX219" s="76" t="b">
        <v>0</v>
      </c>
      <c r="AY219" s="76"/>
      <c r="AZ219" s="76"/>
      <c r="BA219" s="76" t="b">
        <v>0</v>
      </c>
      <c r="BB219" s="76" t="b">
        <v>1</v>
      </c>
      <c r="BC219" s="76" t="b">
        <v>1</v>
      </c>
      <c r="BD219" s="76" t="b">
        <v>0</v>
      </c>
      <c r="BE219" s="76" t="b">
        <v>0</v>
      </c>
      <c r="BF219" s="76" t="b">
        <v>0</v>
      </c>
      <c r="BG219" s="76" t="b">
        <v>0</v>
      </c>
      <c r="BH219" s="83" t="str">
        <f>HYPERLINK("https://pbs.twimg.com/profile_banners/1581997497412616194/1666013940")</f>
        <v>https://pbs.twimg.com/profile_banners/1581997497412616194/1666013940</v>
      </c>
      <c r="BI219" s="76"/>
      <c r="BJ219" s="76" t="s">
        <v>24935</v>
      </c>
      <c r="BK219" s="76" t="b">
        <v>0</v>
      </c>
      <c r="BL219" s="76"/>
      <c r="BM219" s="76" t="s">
        <v>66</v>
      </c>
      <c r="BN219" s="76" t="s">
        <v>24937</v>
      </c>
      <c r="BO219" s="83" t="str">
        <f>HYPERLINK("https://twitter.com/willcesarpro")</f>
        <v>https://twitter.com/willcesarpro</v>
      </c>
      <c r="BP219" s="2"/>
    </row>
    <row r="220" spans="1:68" x14ac:dyDescent="0.25">
      <c r="A220" s="62" t="s">
        <v>433</v>
      </c>
      <c r="B220" s="63"/>
      <c r="C220" s="63"/>
      <c r="D220" s="64"/>
      <c r="E220" s="66"/>
      <c r="F220" s="102" t="str">
        <f>HYPERLINK("https://pbs.twimg.com/profile_images/1490988427050987521/CE-gL6rL_normal.jpg")</f>
        <v>https://pbs.twimg.com/profile_images/1490988427050987521/CE-gL6rL_normal.jpg</v>
      </c>
      <c r="G220" s="63"/>
      <c r="H220" s="67"/>
      <c r="I220" s="68"/>
      <c r="J220" s="68"/>
      <c r="K220" s="67" t="s">
        <v>25154</v>
      </c>
      <c r="L220" s="71"/>
      <c r="M220" s="72"/>
      <c r="N220" s="72"/>
      <c r="O220" s="73"/>
      <c r="P220" s="74"/>
      <c r="Q220" s="74"/>
      <c r="R220" s="86"/>
      <c r="S220" s="86"/>
      <c r="T220" s="86"/>
      <c r="U220" s="86"/>
      <c r="V220" s="48"/>
      <c r="W220" s="48"/>
      <c r="X220" s="48"/>
      <c r="Y220" s="48"/>
      <c r="Z220" s="47"/>
      <c r="AA220" s="69">
        <v>220</v>
      </c>
      <c r="AB220" s="69"/>
      <c r="AC220" s="70"/>
      <c r="AD220" s="76" t="s">
        <v>22031</v>
      </c>
      <c r="AE220" s="81" t="s">
        <v>22901</v>
      </c>
      <c r="AF220" s="76">
        <v>40</v>
      </c>
      <c r="AG220" s="76">
        <v>169</v>
      </c>
      <c r="AH220" s="76">
        <v>597</v>
      </c>
      <c r="AI220" s="76">
        <v>0</v>
      </c>
      <c r="AJ220" s="76">
        <v>1140</v>
      </c>
      <c r="AK220" s="76">
        <v>52</v>
      </c>
      <c r="AL220" s="76" t="b">
        <v>0</v>
      </c>
      <c r="AM220" s="78">
        <v>40032.943506944444</v>
      </c>
      <c r="AN220" s="76" t="s">
        <v>23081</v>
      </c>
      <c r="AO220" s="76" t="s">
        <v>23533</v>
      </c>
      <c r="AP220" s="76"/>
      <c r="AQ220" s="76"/>
      <c r="AR220" s="76"/>
      <c r="AS220" s="76"/>
      <c r="AT220" s="76"/>
      <c r="AU220" s="76"/>
      <c r="AV220" s="76"/>
      <c r="AW220" s="76"/>
      <c r="AX220" s="76" t="b">
        <v>0</v>
      </c>
      <c r="AY220" s="76"/>
      <c r="AZ220" s="76"/>
      <c r="BA220" s="76" t="b">
        <v>0</v>
      </c>
      <c r="BB220" s="76" t="b">
        <v>1</v>
      </c>
      <c r="BC220" s="76" t="b">
        <v>0</v>
      </c>
      <c r="BD220" s="76" t="b">
        <v>0</v>
      </c>
      <c r="BE220" s="76" t="b">
        <v>1</v>
      </c>
      <c r="BF220" s="76" t="b">
        <v>0</v>
      </c>
      <c r="BG220" s="76" t="b">
        <v>0</v>
      </c>
      <c r="BH220" s="83" t="str">
        <f>HYPERLINK("https://pbs.twimg.com/profile_banners/63844419/1548951908")</f>
        <v>https://pbs.twimg.com/profile_banners/63844419/1548951908</v>
      </c>
      <c r="BI220" s="76"/>
      <c r="BJ220" s="76" t="s">
        <v>24935</v>
      </c>
      <c r="BK220" s="76" t="b">
        <v>0</v>
      </c>
      <c r="BL220" s="76"/>
      <c r="BM220" s="76" t="s">
        <v>66</v>
      </c>
      <c r="BN220" s="76" t="s">
        <v>24937</v>
      </c>
      <c r="BO220" s="83" t="str">
        <f>HYPERLINK("https://twitter.com/jessy_lene")</f>
        <v>https://twitter.com/jessy_lene</v>
      </c>
      <c r="BP220" s="2"/>
    </row>
    <row r="221" spans="1:68" x14ac:dyDescent="0.25">
      <c r="A221" s="62" t="s">
        <v>434</v>
      </c>
      <c r="B221" s="63"/>
      <c r="C221" s="63"/>
      <c r="D221" s="64"/>
      <c r="E221" s="66"/>
      <c r="F221" s="102" t="str">
        <f>HYPERLINK("https://abs.twimg.com/sticky/default_profile_images/default_profile_normal.png")</f>
        <v>https://abs.twimg.com/sticky/default_profile_images/default_profile_normal.png</v>
      </c>
      <c r="G221" s="63"/>
      <c r="H221" s="67"/>
      <c r="I221" s="68"/>
      <c r="J221" s="68"/>
      <c r="K221" s="67" t="s">
        <v>25155</v>
      </c>
      <c r="L221" s="71"/>
      <c r="M221" s="72"/>
      <c r="N221" s="72"/>
      <c r="O221" s="73"/>
      <c r="P221" s="74"/>
      <c r="Q221" s="74"/>
      <c r="R221" s="86"/>
      <c r="S221" s="86"/>
      <c r="T221" s="86"/>
      <c r="U221" s="86"/>
      <c r="V221" s="48"/>
      <c r="W221" s="48"/>
      <c r="X221" s="48"/>
      <c r="Y221" s="48"/>
      <c r="Z221" s="47"/>
      <c r="AA221" s="69">
        <v>221</v>
      </c>
      <c r="AB221" s="69"/>
      <c r="AC221" s="70"/>
      <c r="AD221" s="76" t="s">
        <v>22032</v>
      </c>
      <c r="AE221" s="81" t="s">
        <v>21166</v>
      </c>
      <c r="AF221" s="76">
        <v>0</v>
      </c>
      <c r="AG221" s="76">
        <v>3</v>
      </c>
      <c r="AH221" s="76">
        <v>7</v>
      </c>
      <c r="AI221" s="76">
        <v>0</v>
      </c>
      <c r="AJ221" s="76">
        <v>0</v>
      </c>
      <c r="AK221" s="76">
        <v>1</v>
      </c>
      <c r="AL221" s="76" t="b">
        <v>0</v>
      </c>
      <c r="AM221" s="78">
        <v>45002.533229166664</v>
      </c>
      <c r="AN221" s="76"/>
      <c r="AO221" s="76"/>
      <c r="AP221" s="76"/>
      <c r="AQ221" s="76"/>
      <c r="AR221" s="76"/>
      <c r="AS221" s="76"/>
      <c r="AT221" s="76"/>
      <c r="AU221" s="76"/>
      <c r="AV221" s="76"/>
      <c r="AW221" s="76"/>
      <c r="AX221" s="76" t="b">
        <v>0</v>
      </c>
      <c r="AY221" s="76"/>
      <c r="AZ221" s="76"/>
      <c r="BA221" s="76" t="b">
        <v>0</v>
      </c>
      <c r="BB221" s="76" t="b">
        <v>1</v>
      </c>
      <c r="BC221" s="76" t="b">
        <v>1</v>
      </c>
      <c r="BD221" s="76" t="b">
        <v>1</v>
      </c>
      <c r="BE221" s="76" t="b">
        <v>0</v>
      </c>
      <c r="BF221" s="76" t="b">
        <v>0</v>
      </c>
      <c r="BG221" s="76" t="b">
        <v>0</v>
      </c>
      <c r="BH221" s="76"/>
      <c r="BI221" s="76"/>
      <c r="BJ221" s="76" t="s">
        <v>24935</v>
      </c>
      <c r="BK221" s="76" t="b">
        <v>0</v>
      </c>
      <c r="BL221" s="76"/>
      <c r="BM221" s="76" t="s">
        <v>66</v>
      </c>
      <c r="BN221" s="76" t="s">
        <v>24937</v>
      </c>
      <c r="BO221" s="83" t="str">
        <f>HYPERLINK("https://twitter.com/sabrina74445433")</f>
        <v>https://twitter.com/sabrina74445433</v>
      </c>
      <c r="BP221" s="2"/>
    </row>
    <row r="222" spans="1:68" x14ac:dyDescent="0.25">
      <c r="A222" s="62" t="s">
        <v>435</v>
      </c>
      <c r="B222" s="63"/>
      <c r="C222" s="63"/>
      <c r="D222" s="64"/>
      <c r="E222" s="66"/>
      <c r="F222" s="102" t="str">
        <f>HYPERLINK("https://pbs.twimg.com/profile_images/1652481695642275840/rBi-8opz_normal.jpg")</f>
        <v>https://pbs.twimg.com/profile_images/1652481695642275840/rBi-8opz_normal.jpg</v>
      </c>
      <c r="G222" s="63"/>
      <c r="H222" s="67"/>
      <c r="I222" s="68"/>
      <c r="J222" s="68"/>
      <c r="K222" s="67" t="s">
        <v>25156</v>
      </c>
      <c r="L222" s="71"/>
      <c r="M222" s="72"/>
      <c r="N222" s="72"/>
      <c r="O222" s="73"/>
      <c r="P222" s="74"/>
      <c r="Q222" s="74"/>
      <c r="R222" s="86"/>
      <c r="S222" s="86"/>
      <c r="T222" s="86"/>
      <c r="U222" s="86"/>
      <c r="V222" s="48"/>
      <c r="W222" s="48"/>
      <c r="X222" s="48"/>
      <c r="Y222" s="48"/>
      <c r="Z222" s="47"/>
      <c r="AA222" s="69">
        <v>222</v>
      </c>
      <c r="AB222" s="69"/>
      <c r="AC222" s="70"/>
      <c r="AD222" s="76" t="s">
        <v>22033</v>
      </c>
      <c r="AE222" s="81" t="s">
        <v>21167</v>
      </c>
      <c r="AF222" s="76">
        <v>34</v>
      </c>
      <c r="AG222" s="76">
        <v>98</v>
      </c>
      <c r="AH222" s="76">
        <v>334</v>
      </c>
      <c r="AI222" s="76">
        <v>0</v>
      </c>
      <c r="AJ222" s="76">
        <v>428</v>
      </c>
      <c r="AK222" s="76">
        <v>305</v>
      </c>
      <c r="AL222" s="76" t="b">
        <v>0</v>
      </c>
      <c r="AM222" s="78">
        <v>45035.902314814812</v>
      </c>
      <c r="AN222" s="76" t="s">
        <v>23136</v>
      </c>
      <c r="AO222" s="76" t="s">
        <v>23534</v>
      </c>
      <c r="AP222" s="83" t="str">
        <f>HYPERLINK("https://t.co/RKOmH1JE8P")</f>
        <v>https://t.co/RKOmH1JE8P</v>
      </c>
      <c r="AQ222" s="83" t="str">
        <f>HYPERLINK("https://t.me/Arielyaari44402")</f>
        <v>https://t.me/Arielyaari44402</v>
      </c>
      <c r="AR222" s="76" t="s">
        <v>24364</v>
      </c>
      <c r="AS222" s="76"/>
      <c r="AT222" s="76"/>
      <c r="AU222" s="76"/>
      <c r="AV222" s="76"/>
      <c r="AW222" s="83" t="str">
        <f>HYPERLINK("https://t.co/RKOmH1JE8P")</f>
        <v>https://t.co/RKOmH1JE8P</v>
      </c>
      <c r="AX222" s="76" t="b">
        <v>0</v>
      </c>
      <c r="AY222" s="76"/>
      <c r="AZ222" s="76"/>
      <c r="BA222" s="76" t="b">
        <v>0</v>
      </c>
      <c r="BB222" s="76" t="b">
        <v>1</v>
      </c>
      <c r="BC222" s="76" t="b">
        <v>1</v>
      </c>
      <c r="BD222" s="76" t="b">
        <v>0</v>
      </c>
      <c r="BE222" s="76" t="b">
        <v>0</v>
      </c>
      <c r="BF222" s="76" t="b">
        <v>0</v>
      </c>
      <c r="BG222" s="76" t="b">
        <v>0</v>
      </c>
      <c r="BH222" s="83" t="str">
        <f>HYPERLINK("https://pbs.twimg.com/profile_banners/1648803451613134854/1682817301")</f>
        <v>https://pbs.twimg.com/profile_banners/1648803451613134854/1682817301</v>
      </c>
      <c r="BI222" s="76"/>
      <c r="BJ222" s="76" t="s">
        <v>24935</v>
      </c>
      <c r="BK222" s="76" t="b">
        <v>0</v>
      </c>
      <c r="BL222" s="76"/>
      <c r="BM222" s="76" t="s">
        <v>66</v>
      </c>
      <c r="BN222" s="76" t="s">
        <v>24937</v>
      </c>
      <c r="BO222" s="83" t="str">
        <f>HYPERLINK("https://twitter.com/arielyaari44402")</f>
        <v>https://twitter.com/arielyaari44402</v>
      </c>
      <c r="BP222" s="2"/>
    </row>
    <row r="223" spans="1:68" x14ac:dyDescent="0.25">
      <c r="A223" s="62" t="s">
        <v>436</v>
      </c>
      <c r="B223" s="63"/>
      <c r="C223" s="63"/>
      <c r="D223" s="64"/>
      <c r="E223" s="66"/>
      <c r="F223" s="102" t="str">
        <f>HYPERLINK("https://pbs.twimg.com/profile_images/1647166070715760640/q8_MjaqT_normal.jpg")</f>
        <v>https://pbs.twimg.com/profile_images/1647166070715760640/q8_MjaqT_normal.jpg</v>
      </c>
      <c r="G223" s="63"/>
      <c r="H223" s="67"/>
      <c r="I223" s="68"/>
      <c r="J223" s="68"/>
      <c r="K223" s="67" t="s">
        <v>25157</v>
      </c>
      <c r="L223" s="71"/>
      <c r="M223" s="72"/>
      <c r="N223" s="72"/>
      <c r="O223" s="73"/>
      <c r="P223" s="74"/>
      <c r="Q223" s="74"/>
      <c r="R223" s="86"/>
      <c r="S223" s="86"/>
      <c r="T223" s="86"/>
      <c r="U223" s="86"/>
      <c r="V223" s="48"/>
      <c r="W223" s="48"/>
      <c r="X223" s="48"/>
      <c r="Y223" s="48"/>
      <c r="Z223" s="47"/>
      <c r="AA223" s="69">
        <v>223</v>
      </c>
      <c r="AB223" s="69"/>
      <c r="AC223" s="70"/>
      <c r="AD223" s="76" t="s">
        <v>22034</v>
      </c>
      <c r="AE223" s="81" t="s">
        <v>22902</v>
      </c>
      <c r="AF223" s="76">
        <v>6204</v>
      </c>
      <c r="AG223" s="76">
        <v>6824</v>
      </c>
      <c r="AH223" s="76">
        <v>24102</v>
      </c>
      <c r="AI223" s="76">
        <v>8</v>
      </c>
      <c r="AJ223" s="76">
        <v>132665</v>
      </c>
      <c r="AK223" s="76">
        <v>598</v>
      </c>
      <c r="AL223" s="76" t="b">
        <v>0</v>
      </c>
      <c r="AM223" s="78">
        <v>41444.456435185188</v>
      </c>
      <c r="AN223" s="76" t="s">
        <v>23137</v>
      </c>
      <c r="AO223" s="76" t="s">
        <v>23535</v>
      </c>
      <c r="AP223" s="83" t="str">
        <f>HYPERLINK("https://t.co/IkGIum7zmF")</f>
        <v>https://t.co/IkGIum7zmF</v>
      </c>
      <c r="AQ223" s="83" t="str">
        <f>HYPERLINK("https://linktr.ee/acelsio")</f>
        <v>https://linktr.ee/acelsio</v>
      </c>
      <c r="AR223" s="76" t="s">
        <v>24365</v>
      </c>
      <c r="AS223" s="76"/>
      <c r="AT223" s="76"/>
      <c r="AU223" s="76"/>
      <c r="AV223" s="76">
        <v>1.64361452861616E+18</v>
      </c>
      <c r="AW223" s="83" t="str">
        <f>HYPERLINK("https://t.co/IkGIum7zmF")</f>
        <v>https://t.co/IkGIum7zmF</v>
      </c>
      <c r="AX223" s="76" t="b">
        <v>0</v>
      </c>
      <c r="AY223" s="76"/>
      <c r="AZ223" s="76"/>
      <c r="BA223" s="76" t="b">
        <v>1</v>
      </c>
      <c r="BB223" s="76" t="b">
        <v>1</v>
      </c>
      <c r="BC223" s="76" t="b">
        <v>1</v>
      </c>
      <c r="BD223" s="76" t="b">
        <v>0</v>
      </c>
      <c r="BE223" s="76" t="b">
        <v>1</v>
      </c>
      <c r="BF223" s="76" t="b">
        <v>0</v>
      </c>
      <c r="BG223" s="76" t="b">
        <v>0</v>
      </c>
      <c r="BH223" s="83" t="str">
        <f>HYPERLINK("https://pbs.twimg.com/profile_banners/1530471756/1687028944")</f>
        <v>https://pbs.twimg.com/profile_banners/1530471756/1687028944</v>
      </c>
      <c r="BI223" s="76"/>
      <c r="BJ223" s="76" t="s">
        <v>24935</v>
      </c>
      <c r="BK223" s="76" t="b">
        <v>0</v>
      </c>
      <c r="BL223" s="76"/>
      <c r="BM223" s="76" t="s">
        <v>66</v>
      </c>
      <c r="BN223" s="76" t="s">
        <v>24937</v>
      </c>
      <c r="BO223" s="83" t="str">
        <f>HYPERLINK("https://twitter.com/acelsio")</f>
        <v>https://twitter.com/acelsio</v>
      </c>
      <c r="BP223" s="2"/>
    </row>
    <row r="224" spans="1:68" x14ac:dyDescent="0.25">
      <c r="A224" s="62" t="s">
        <v>437</v>
      </c>
      <c r="B224" s="63"/>
      <c r="C224" s="63"/>
      <c r="D224" s="64"/>
      <c r="E224" s="66"/>
      <c r="F224" s="102" t="str">
        <f>HYPERLINK("https://pbs.twimg.com/profile_images/1622139945883258881/e6jzDoNz_normal.jpg")</f>
        <v>https://pbs.twimg.com/profile_images/1622139945883258881/e6jzDoNz_normal.jpg</v>
      </c>
      <c r="G224" s="63"/>
      <c r="H224" s="67"/>
      <c r="I224" s="68"/>
      <c r="J224" s="68"/>
      <c r="K224" s="67" t="s">
        <v>25158</v>
      </c>
      <c r="L224" s="71"/>
      <c r="M224" s="72"/>
      <c r="N224" s="72"/>
      <c r="O224" s="73"/>
      <c r="P224" s="74"/>
      <c r="Q224" s="74"/>
      <c r="R224" s="86"/>
      <c r="S224" s="86"/>
      <c r="T224" s="86"/>
      <c r="U224" s="86"/>
      <c r="V224" s="48"/>
      <c r="W224" s="48"/>
      <c r="X224" s="48"/>
      <c r="Y224" s="48"/>
      <c r="Z224" s="47"/>
      <c r="AA224" s="69">
        <v>224</v>
      </c>
      <c r="AB224" s="69"/>
      <c r="AC224" s="70"/>
      <c r="AD224" s="76" t="s">
        <v>22035</v>
      </c>
      <c r="AE224" s="81" t="s">
        <v>21168</v>
      </c>
      <c r="AF224" s="76">
        <v>58</v>
      </c>
      <c r="AG224" s="76">
        <v>305</v>
      </c>
      <c r="AH224" s="76">
        <v>1478</v>
      </c>
      <c r="AI224" s="76">
        <v>0</v>
      </c>
      <c r="AJ224" s="76">
        <v>859</v>
      </c>
      <c r="AK224" s="76">
        <v>444</v>
      </c>
      <c r="AL224" s="76" t="b">
        <v>0</v>
      </c>
      <c r="AM224" s="78">
        <v>43928.027592592596</v>
      </c>
      <c r="AN224" s="76"/>
      <c r="AO224" s="76"/>
      <c r="AP224" s="83" t="str">
        <f>HYPERLINK("https://t.co/EVr1uzNaOM")</f>
        <v>https://t.co/EVr1uzNaOM</v>
      </c>
      <c r="AQ224" s="83" t="str">
        <f>HYPERLINK("https://www.oincrivel.com.br")</f>
        <v>https://www.oincrivel.com.br</v>
      </c>
      <c r="AR224" s="76" t="s">
        <v>24366</v>
      </c>
      <c r="AS224" s="76"/>
      <c r="AT224" s="76"/>
      <c r="AU224" s="76"/>
      <c r="AV224" s="76"/>
      <c r="AW224" s="83" t="str">
        <f>HYPERLINK("https://t.co/EVr1uzNaOM")</f>
        <v>https://t.co/EVr1uzNaOM</v>
      </c>
      <c r="AX224" s="76" t="b">
        <v>0</v>
      </c>
      <c r="AY224" s="76"/>
      <c r="AZ224" s="76"/>
      <c r="BA224" s="76" t="b">
        <v>0</v>
      </c>
      <c r="BB224" s="76" t="b">
        <v>1</v>
      </c>
      <c r="BC224" s="76" t="b">
        <v>1</v>
      </c>
      <c r="BD224" s="76" t="b">
        <v>0</v>
      </c>
      <c r="BE224" s="76" t="b">
        <v>0</v>
      </c>
      <c r="BF224" s="76" t="b">
        <v>0</v>
      </c>
      <c r="BG224" s="76" t="b">
        <v>0</v>
      </c>
      <c r="BH224" s="76"/>
      <c r="BI224" s="76"/>
      <c r="BJ224" s="76" t="s">
        <v>24935</v>
      </c>
      <c r="BK224" s="76" t="b">
        <v>0</v>
      </c>
      <c r="BL224" s="76"/>
      <c r="BM224" s="76" t="s">
        <v>66</v>
      </c>
      <c r="BN224" s="76" t="s">
        <v>24937</v>
      </c>
      <c r="BO224" s="83" t="str">
        <f>HYPERLINK("https://twitter.com/oincrivelsite")</f>
        <v>https://twitter.com/oincrivelsite</v>
      </c>
      <c r="BP224" s="2"/>
    </row>
    <row r="225" spans="1:68" x14ac:dyDescent="0.25">
      <c r="A225" s="62" t="s">
        <v>438</v>
      </c>
      <c r="B225" s="63"/>
      <c r="C225" s="63"/>
      <c r="D225" s="64"/>
      <c r="E225" s="66"/>
      <c r="F225" s="102" t="str">
        <f>HYPERLINK("https://pbs.twimg.com/profile_images/1645574803158364160/N3qcpQgS_normal.jpg")</f>
        <v>https://pbs.twimg.com/profile_images/1645574803158364160/N3qcpQgS_normal.jpg</v>
      </c>
      <c r="G225" s="63"/>
      <c r="H225" s="67"/>
      <c r="I225" s="68"/>
      <c r="J225" s="68"/>
      <c r="K225" s="67" t="s">
        <v>25159</v>
      </c>
      <c r="L225" s="71"/>
      <c r="M225" s="72"/>
      <c r="N225" s="72"/>
      <c r="O225" s="73"/>
      <c r="P225" s="74"/>
      <c r="Q225" s="74"/>
      <c r="R225" s="86"/>
      <c r="S225" s="86"/>
      <c r="T225" s="86"/>
      <c r="U225" s="86"/>
      <c r="V225" s="48"/>
      <c r="W225" s="48"/>
      <c r="X225" s="48"/>
      <c r="Y225" s="48"/>
      <c r="Z225" s="47"/>
      <c r="AA225" s="69">
        <v>225</v>
      </c>
      <c r="AB225" s="69"/>
      <c r="AC225" s="70"/>
      <c r="AD225" s="76" t="s">
        <v>22036</v>
      </c>
      <c r="AE225" s="81" t="s">
        <v>21169</v>
      </c>
      <c r="AF225" s="76">
        <v>0</v>
      </c>
      <c r="AG225" s="76">
        <v>0</v>
      </c>
      <c r="AH225" s="76">
        <v>11</v>
      </c>
      <c r="AI225" s="76">
        <v>0</v>
      </c>
      <c r="AJ225" s="76">
        <v>11</v>
      </c>
      <c r="AK225" s="76">
        <v>11</v>
      </c>
      <c r="AL225" s="76" t="b">
        <v>0</v>
      </c>
      <c r="AM225" s="78">
        <v>45026.990393518521</v>
      </c>
      <c r="AN225" s="76"/>
      <c r="AO225" s="76" t="s">
        <v>23536</v>
      </c>
      <c r="AP225" s="83" t="str">
        <f>HYPERLINK("https://t.co/WVfpZhOvzy")</f>
        <v>https://t.co/WVfpZhOvzy</v>
      </c>
      <c r="AQ225" s="83" t="str">
        <f>HYPERLINK("https://bit.ly/3KzCar4")</f>
        <v>https://bit.ly/3KzCar4</v>
      </c>
      <c r="AR225" s="76" t="s">
        <v>24367</v>
      </c>
      <c r="AS225" s="76"/>
      <c r="AT225" s="76"/>
      <c r="AU225" s="76"/>
      <c r="AV225" s="76"/>
      <c r="AW225" s="83" t="str">
        <f>HYPERLINK("https://t.co/WVfpZhOvzy")</f>
        <v>https://t.co/WVfpZhOvzy</v>
      </c>
      <c r="AX225" s="76" t="b">
        <v>0</v>
      </c>
      <c r="AY225" s="76"/>
      <c r="AZ225" s="76"/>
      <c r="BA225" s="76" t="b">
        <v>0</v>
      </c>
      <c r="BB225" s="76" t="b">
        <v>1</v>
      </c>
      <c r="BC225" s="76" t="b">
        <v>1</v>
      </c>
      <c r="BD225" s="76" t="b">
        <v>0</v>
      </c>
      <c r="BE225" s="76" t="b">
        <v>0</v>
      </c>
      <c r="BF225" s="76" t="b">
        <v>0</v>
      </c>
      <c r="BG225" s="76" t="b">
        <v>0</v>
      </c>
      <c r="BH225" s="76"/>
      <c r="BI225" s="76"/>
      <c r="BJ225" s="76" t="s">
        <v>24935</v>
      </c>
      <c r="BK225" s="76" t="b">
        <v>0</v>
      </c>
      <c r="BL225" s="76"/>
      <c r="BM225" s="76" t="s">
        <v>66</v>
      </c>
      <c r="BN225" s="76" t="s">
        <v>24937</v>
      </c>
      <c r="BO225" s="83" t="str">
        <f>HYPERLINK("https://twitter.com/pvendasofc47707")</f>
        <v>https://twitter.com/pvendasofc47707</v>
      </c>
      <c r="BP225" s="2"/>
    </row>
    <row r="226" spans="1:68" x14ac:dyDescent="0.25">
      <c r="A226" s="62" t="s">
        <v>439</v>
      </c>
      <c r="B226" s="63"/>
      <c r="C226" s="63"/>
      <c r="D226" s="64"/>
      <c r="E226" s="66"/>
      <c r="F226" s="102" t="str">
        <f>HYPERLINK("https://pbs.twimg.com/profile_images/1265712468095053831/aUzviYvc_normal.jpg")</f>
        <v>https://pbs.twimg.com/profile_images/1265712468095053831/aUzviYvc_normal.jpg</v>
      </c>
      <c r="G226" s="63"/>
      <c r="H226" s="67"/>
      <c r="I226" s="68"/>
      <c r="J226" s="68"/>
      <c r="K226" s="67" t="s">
        <v>25160</v>
      </c>
      <c r="L226" s="71"/>
      <c r="M226" s="72"/>
      <c r="N226" s="72"/>
      <c r="O226" s="73"/>
      <c r="P226" s="74"/>
      <c r="Q226" s="74"/>
      <c r="R226" s="86"/>
      <c r="S226" s="86"/>
      <c r="T226" s="86"/>
      <c r="U226" s="86"/>
      <c r="V226" s="48"/>
      <c r="W226" s="48"/>
      <c r="X226" s="48"/>
      <c r="Y226" s="48"/>
      <c r="Z226" s="47"/>
      <c r="AA226" s="69">
        <v>226</v>
      </c>
      <c r="AB226" s="69"/>
      <c r="AC226" s="70"/>
      <c r="AD226" s="76" t="s">
        <v>22037</v>
      </c>
      <c r="AE226" s="81" t="s">
        <v>22903</v>
      </c>
      <c r="AF226" s="76">
        <v>215</v>
      </c>
      <c r="AG226" s="76">
        <v>199</v>
      </c>
      <c r="AH226" s="76">
        <v>9644</v>
      </c>
      <c r="AI226" s="76">
        <v>0</v>
      </c>
      <c r="AJ226" s="76">
        <v>228</v>
      </c>
      <c r="AK226" s="76">
        <v>356</v>
      </c>
      <c r="AL226" s="76" t="b">
        <v>0</v>
      </c>
      <c r="AM226" s="78">
        <v>40194.650752314818</v>
      </c>
      <c r="AN226" s="76" t="s">
        <v>14052</v>
      </c>
      <c r="AO226" s="76" t="s">
        <v>23537</v>
      </c>
      <c r="AP226" s="83" t="str">
        <f>HYPERLINK("https://t.co/q3sNfO8BDI")</f>
        <v>https://t.co/q3sNfO8BDI</v>
      </c>
      <c r="AQ226" s="83" t="str">
        <f>HYPERLINK("https://www.truh.xyz/WbCx0UHpMB")</f>
        <v>https://www.truh.xyz/WbCx0UHpMB</v>
      </c>
      <c r="AR226" s="76" t="s">
        <v>24368</v>
      </c>
      <c r="AS226" s="76"/>
      <c r="AT226" s="76"/>
      <c r="AU226" s="76"/>
      <c r="AV226" s="76">
        <v>1.15097796181595E+18</v>
      </c>
      <c r="AW226" s="83" t="str">
        <f>HYPERLINK("https://t.co/q3sNfO8BDI")</f>
        <v>https://t.co/q3sNfO8BDI</v>
      </c>
      <c r="AX226" s="76" t="b">
        <v>0</v>
      </c>
      <c r="AY226" s="76"/>
      <c r="AZ226" s="76"/>
      <c r="BA226" s="76" t="b">
        <v>0</v>
      </c>
      <c r="BB226" s="76" t="b">
        <v>0</v>
      </c>
      <c r="BC226" s="76" t="b">
        <v>0</v>
      </c>
      <c r="BD226" s="76" t="b">
        <v>0</v>
      </c>
      <c r="BE226" s="76" t="b">
        <v>0</v>
      </c>
      <c r="BF226" s="76" t="b">
        <v>0</v>
      </c>
      <c r="BG226" s="76" t="b">
        <v>0</v>
      </c>
      <c r="BH226" s="76"/>
      <c r="BI226" s="76"/>
      <c r="BJ226" s="76" t="s">
        <v>24935</v>
      </c>
      <c r="BK226" s="76" t="b">
        <v>0</v>
      </c>
      <c r="BL226" s="76"/>
      <c r="BM226" s="76" t="s">
        <v>66</v>
      </c>
      <c r="BN226" s="76" t="s">
        <v>24937</v>
      </c>
      <c r="BO226" s="83" t="str">
        <f>HYPERLINK("https://twitter.com/gihsleine")</f>
        <v>https://twitter.com/gihsleine</v>
      </c>
      <c r="BP226" s="2"/>
    </row>
    <row r="227" spans="1:68" x14ac:dyDescent="0.25">
      <c r="A227" s="62" t="s">
        <v>440</v>
      </c>
      <c r="B227" s="63"/>
      <c r="C227" s="63"/>
      <c r="D227" s="64"/>
      <c r="E227" s="66"/>
      <c r="F227" s="102" t="str">
        <f>HYPERLINK("https://pbs.twimg.com/profile_images/1707145120242425857/6DndoYM__normal.jpg")</f>
        <v>https://pbs.twimg.com/profile_images/1707145120242425857/6DndoYM__normal.jpg</v>
      </c>
      <c r="G227" s="63"/>
      <c r="H227" s="67"/>
      <c r="I227" s="68"/>
      <c r="J227" s="68"/>
      <c r="K227" s="67" t="s">
        <v>25161</v>
      </c>
      <c r="L227" s="71"/>
      <c r="M227" s="72"/>
      <c r="N227" s="72"/>
      <c r="O227" s="73"/>
      <c r="P227" s="74"/>
      <c r="Q227" s="74"/>
      <c r="R227" s="86"/>
      <c r="S227" s="86"/>
      <c r="T227" s="86"/>
      <c r="U227" s="86"/>
      <c r="V227" s="48"/>
      <c r="W227" s="48"/>
      <c r="X227" s="48"/>
      <c r="Y227" s="48"/>
      <c r="Z227" s="47"/>
      <c r="AA227" s="69">
        <v>227</v>
      </c>
      <c r="AB227" s="69"/>
      <c r="AC227" s="70"/>
      <c r="AD227" s="76" t="s">
        <v>22038</v>
      </c>
      <c r="AE227" s="81" t="s">
        <v>21170</v>
      </c>
      <c r="AF227" s="76">
        <v>0</v>
      </c>
      <c r="AG227" s="76">
        <v>0</v>
      </c>
      <c r="AH227" s="76">
        <v>2</v>
      </c>
      <c r="AI227" s="76">
        <v>0</v>
      </c>
      <c r="AJ227" s="76">
        <v>0</v>
      </c>
      <c r="AK227" s="76">
        <v>2</v>
      </c>
      <c r="AL227" s="76" t="b">
        <v>0</v>
      </c>
      <c r="AM227" s="78">
        <v>45196.723032407404</v>
      </c>
      <c r="AN227" s="76"/>
      <c r="AO227" s="76"/>
      <c r="AP227" s="76"/>
      <c r="AQ227" s="76"/>
      <c r="AR227" s="76"/>
      <c r="AS227" s="76"/>
      <c r="AT227" s="76"/>
      <c r="AU227" s="76"/>
      <c r="AV227" s="76"/>
      <c r="AW227" s="76"/>
      <c r="AX227" s="76" t="b">
        <v>0</v>
      </c>
      <c r="AY227" s="76"/>
      <c r="AZ227" s="76"/>
      <c r="BA227" s="76" t="b">
        <v>0</v>
      </c>
      <c r="BB227" s="76" t="b">
        <v>1</v>
      </c>
      <c r="BC227" s="76" t="b">
        <v>1</v>
      </c>
      <c r="BD227" s="76" t="b">
        <v>0</v>
      </c>
      <c r="BE227" s="76" t="b">
        <v>0</v>
      </c>
      <c r="BF227" s="76" t="b">
        <v>0</v>
      </c>
      <c r="BG227" s="76" t="b">
        <v>0</v>
      </c>
      <c r="BH227" s="76"/>
      <c r="BI227" s="76"/>
      <c r="BJ227" s="76" t="s">
        <v>24935</v>
      </c>
      <c r="BK227" s="76" t="b">
        <v>0</v>
      </c>
      <c r="BL227" s="76"/>
      <c r="BM227" s="76" t="s">
        <v>66</v>
      </c>
      <c r="BN227" s="76" t="s">
        <v>24937</v>
      </c>
      <c r="BO227" s="83" t="str">
        <f>HYPERLINK("https://twitter.com/ben_dicas")</f>
        <v>https://twitter.com/ben_dicas</v>
      </c>
      <c r="BP227" s="2"/>
    </row>
    <row r="228" spans="1:68" x14ac:dyDescent="0.25">
      <c r="A228" s="62" t="s">
        <v>441</v>
      </c>
      <c r="B228" s="63"/>
      <c r="C228" s="63"/>
      <c r="D228" s="64"/>
      <c r="E228" s="66"/>
      <c r="F228" s="102" t="str">
        <f>HYPERLINK("https://pbs.twimg.com/profile_images/1647943224454000640/-aQGLS0T_normal.jpg")</f>
        <v>https://pbs.twimg.com/profile_images/1647943224454000640/-aQGLS0T_normal.jpg</v>
      </c>
      <c r="G228" s="63"/>
      <c r="H228" s="67"/>
      <c r="I228" s="68"/>
      <c r="J228" s="68"/>
      <c r="K228" s="67" t="s">
        <v>25162</v>
      </c>
      <c r="L228" s="71"/>
      <c r="M228" s="72"/>
      <c r="N228" s="72"/>
      <c r="O228" s="73"/>
      <c r="P228" s="74"/>
      <c r="Q228" s="74"/>
      <c r="R228" s="86"/>
      <c r="S228" s="86"/>
      <c r="T228" s="86"/>
      <c r="U228" s="86"/>
      <c r="V228" s="48"/>
      <c r="W228" s="48"/>
      <c r="X228" s="48"/>
      <c r="Y228" s="48"/>
      <c r="Z228" s="47"/>
      <c r="AA228" s="69">
        <v>228</v>
      </c>
      <c r="AB228" s="69"/>
      <c r="AC228" s="70"/>
      <c r="AD228" s="76" t="s">
        <v>22039</v>
      </c>
      <c r="AE228" s="81" t="s">
        <v>22904</v>
      </c>
      <c r="AF228" s="76">
        <v>4</v>
      </c>
      <c r="AG228" s="76">
        <v>35</v>
      </c>
      <c r="AH228" s="76">
        <v>37</v>
      </c>
      <c r="AI228" s="76">
        <v>0</v>
      </c>
      <c r="AJ228" s="76">
        <v>1</v>
      </c>
      <c r="AK228" s="76">
        <v>27</v>
      </c>
      <c r="AL228" s="76" t="b">
        <v>0</v>
      </c>
      <c r="AM228" s="78">
        <v>41480.622569444444</v>
      </c>
      <c r="AN228" s="76" t="s">
        <v>14116</v>
      </c>
      <c r="AO228" s="76" t="s">
        <v>23538</v>
      </c>
      <c r="AP228" s="83" t="str">
        <f>HYPERLINK("https://t.co/wXcjjPuwNH")</f>
        <v>https://t.co/wXcjjPuwNH</v>
      </c>
      <c r="AQ228" s="83" t="str">
        <f>HYPERLINK("https://bit.ly/robozinhoautomáticoblackbot")</f>
        <v>https://bit.ly/robozinhoautomáticoblackbot</v>
      </c>
      <c r="AR228" s="76" t="s">
        <v>24369</v>
      </c>
      <c r="AS228" s="76"/>
      <c r="AT228" s="76"/>
      <c r="AU228" s="76"/>
      <c r="AV228" s="76"/>
      <c r="AW228" s="83" t="str">
        <f>HYPERLINK("https://t.co/wXcjjPuwNH")</f>
        <v>https://t.co/wXcjjPuwNH</v>
      </c>
      <c r="AX228" s="76" t="b">
        <v>0</v>
      </c>
      <c r="AY228" s="76"/>
      <c r="AZ228" s="76"/>
      <c r="BA228" s="76" t="b">
        <v>0</v>
      </c>
      <c r="BB228" s="76" t="b">
        <v>1</v>
      </c>
      <c r="BC228" s="76" t="b">
        <v>1</v>
      </c>
      <c r="BD228" s="76" t="b">
        <v>0</v>
      </c>
      <c r="BE228" s="76" t="b">
        <v>0</v>
      </c>
      <c r="BF228" s="76" t="b">
        <v>0</v>
      </c>
      <c r="BG228" s="76" t="b">
        <v>0</v>
      </c>
      <c r="BH228" s="83" t="str">
        <f>HYPERLINK("https://pbs.twimg.com/profile_banners/1620587443/1681735284")</f>
        <v>https://pbs.twimg.com/profile_banners/1620587443/1681735284</v>
      </c>
      <c r="BI228" s="76"/>
      <c r="BJ228" s="76" t="s">
        <v>24935</v>
      </c>
      <c r="BK228" s="76" t="b">
        <v>0</v>
      </c>
      <c r="BL228" s="76"/>
      <c r="BM228" s="76" t="s">
        <v>66</v>
      </c>
      <c r="BN228" s="76" t="s">
        <v>24937</v>
      </c>
      <c r="BO228" s="83" t="str">
        <f>HYPERLINK("https://twitter.com/maraduba")</f>
        <v>https://twitter.com/maraduba</v>
      </c>
      <c r="BP228" s="2"/>
    </row>
    <row r="229" spans="1:68" x14ac:dyDescent="0.25">
      <c r="A229" s="62" t="s">
        <v>442</v>
      </c>
      <c r="B229" s="63"/>
      <c r="C229" s="63"/>
      <c r="D229" s="64"/>
      <c r="E229" s="66"/>
      <c r="F229" s="102" t="str">
        <f>HYPERLINK("https://pbs.twimg.com/profile_images/1630735779893788672/X6Gs9CLu_normal.jpg")</f>
        <v>https://pbs.twimg.com/profile_images/1630735779893788672/X6Gs9CLu_normal.jpg</v>
      </c>
      <c r="G229" s="63"/>
      <c r="H229" s="67"/>
      <c r="I229" s="68"/>
      <c r="J229" s="68"/>
      <c r="K229" s="67" t="s">
        <v>25163</v>
      </c>
      <c r="L229" s="71"/>
      <c r="M229" s="72"/>
      <c r="N229" s="72"/>
      <c r="O229" s="73"/>
      <c r="P229" s="74"/>
      <c r="Q229" s="74"/>
      <c r="R229" s="86"/>
      <c r="S229" s="86"/>
      <c r="T229" s="86"/>
      <c r="U229" s="86"/>
      <c r="V229" s="48"/>
      <c r="W229" s="48"/>
      <c r="X229" s="48"/>
      <c r="Y229" s="48"/>
      <c r="Z229" s="47"/>
      <c r="AA229" s="69">
        <v>229</v>
      </c>
      <c r="AB229" s="69"/>
      <c r="AC229" s="70"/>
      <c r="AD229" s="76" t="s">
        <v>22040</v>
      </c>
      <c r="AE229" s="81" t="s">
        <v>21171</v>
      </c>
      <c r="AF229" s="76">
        <v>2</v>
      </c>
      <c r="AG229" s="76">
        <v>1</v>
      </c>
      <c r="AH229" s="76">
        <v>72</v>
      </c>
      <c r="AI229" s="76">
        <v>0</v>
      </c>
      <c r="AJ229" s="76">
        <v>5</v>
      </c>
      <c r="AK229" s="76">
        <v>72</v>
      </c>
      <c r="AL229" s="76" t="b">
        <v>0</v>
      </c>
      <c r="AM229" s="78">
        <v>44985.928784722222</v>
      </c>
      <c r="AN229" s="76"/>
      <c r="AO229" s="76" t="s">
        <v>23539</v>
      </c>
      <c r="AP229" s="83" t="str">
        <f>HYPERLINK("https://t.co/9OJOOuzBG5")</f>
        <v>https://t.co/9OJOOuzBG5</v>
      </c>
      <c r="AQ229" s="83" t="str">
        <f>HYPERLINK("https://instagram.com/maristeladossantosofc?igshid=ZDdkNTZiNTM=")</f>
        <v>https://instagram.com/maristeladossantosofc?igshid=ZDdkNTZiNTM=</v>
      </c>
      <c r="AR229" s="76" t="s">
        <v>24370</v>
      </c>
      <c r="AS229" s="76"/>
      <c r="AT229" s="76"/>
      <c r="AU229" s="76"/>
      <c r="AV229" s="76"/>
      <c r="AW229" s="83" t="str">
        <f>HYPERLINK("https://t.co/9OJOOuzBG5")</f>
        <v>https://t.co/9OJOOuzBG5</v>
      </c>
      <c r="AX229" s="76" t="b">
        <v>0</v>
      </c>
      <c r="AY229" s="76"/>
      <c r="AZ229" s="76"/>
      <c r="BA229" s="76" t="b">
        <v>0</v>
      </c>
      <c r="BB229" s="76" t="b">
        <v>1</v>
      </c>
      <c r="BC229" s="76" t="b">
        <v>1</v>
      </c>
      <c r="BD229" s="76" t="b">
        <v>0</v>
      </c>
      <c r="BE229" s="76" t="b">
        <v>0</v>
      </c>
      <c r="BF229" s="76" t="b">
        <v>0</v>
      </c>
      <c r="BG229" s="76" t="b">
        <v>0</v>
      </c>
      <c r="BH229" s="76"/>
      <c r="BI229" s="76"/>
      <c r="BJ229" s="76" t="s">
        <v>24935</v>
      </c>
      <c r="BK229" s="76" t="b">
        <v>0</v>
      </c>
      <c r="BL229" s="76"/>
      <c r="BM229" s="76" t="s">
        <v>66</v>
      </c>
      <c r="BN229" s="76" t="s">
        <v>24937</v>
      </c>
      <c r="BO229" s="83" t="str">
        <f>HYPERLINK("https://twitter.com/mariste2412891")</f>
        <v>https://twitter.com/mariste2412891</v>
      </c>
      <c r="BP229" s="2"/>
    </row>
    <row r="230" spans="1:68" x14ac:dyDescent="0.25">
      <c r="A230" s="62" t="s">
        <v>443</v>
      </c>
      <c r="B230" s="63"/>
      <c r="C230" s="63"/>
      <c r="D230" s="64"/>
      <c r="E230" s="66"/>
      <c r="F230" s="102" t="str">
        <f>HYPERLINK("https://pbs.twimg.com/profile_images/1179730636644454402/lEcDRpIC_normal.jpg")</f>
        <v>https://pbs.twimg.com/profile_images/1179730636644454402/lEcDRpIC_normal.jpg</v>
      </c>
      <c r="G230" s="63"/>
      <c r="H230" s="67"/>
      <c r="I230" s="68"/>
      <c r="J230" s="68"/>
      <c r="K230" s="67" t="s">
        <v>25164</v>
      </c>
      <c r="L230" s="71"/>
      <c r="M230" s="72"/>
      <c r="N230" s="72"/>
      <c r="O230" s="73"/>
      <c r="P230" s="74"/>
      <c r="Q230" s="74"/>
      <c r="R230" s="86"/>
      <c r="S230" s="86"/>
      <c r="T230" s="86"/>
      <c r="U230" s="86"/>
      <c r="V230" s="48"/>
      <c r="W230" s="48"/>
      <c r="X230" s="48"/>
      <c r="Y230" s="48"/>
      <c r="Z230" s="47"/>
      <c r="AA230" s="69">
        <v>230</v>
      </c>
      <c r="AB230" s="69"/>
      <c r="AC230" s="70"/>
      <c r="AD230" s="76" t="s">
        <v>22041</v>
      </c>
      <c r="AE230" s="81" t="s">
        <v>22905</v>
      </c>
      <c r="AF230" s="76">
        <v>5147483</v>
      </c>
      <c r="AG230" s="76">
        <v>72</v>
      </c>
      <c r="AH230" s="76">
        <v>578854</v>
      </c>
      <c r="AI230" s="76">
        <v>12068</v>
      </c>
      <c r="AJ230" s="76">
        <v>1722</v>
      </c>
      <c r="AK230" s="76">
        <v>206106</v>
      </c>
      <c r="AL230" s="76" t="b">
        <v>0</v>
      </c>
      <c r="AM230" s="78">
        <v>40038.896666666667</v>
      </c>
      <c r="AN230" s="76" t="s">
        <v>14033</v>
      </c>
      <c r="AO230" s="76" t="s">
        <v>23540</v>
      </c>
      <c r="AP230" s="83" t="str">
        <f>HYPERLINK("https://t.co/1rXKSjWJi1")</f>
        <v>https://t.co/1rXKSjWJi1</v>
      </c>
      <c r="AQ230" s="83" t="str">
        <f>HYPERLINK("http://www.r7.com")</f>
        <v>http://www.r7.com</v>
      </c>
      <c r="AR230" s="76" t="s">
        <v>7317</v>
      </c>
      <c r="AS230" s="76"/>
      <c r="AT230" s="76"/>
      <c r="AU230" s="76"/>
      <c r="AV230" s="76"/>
      <c r="AW230" s="83" t="str">
        <f>HYPERLINK("https://t.co/1rXKSjWJi1")</f>
        <v>https://t.co/1rXKSjWJi1</v>
      </c>
      <c r="AX230" s="76" t="b">
        <v>1</v>
      </c>
      <c r="AY230" s="76"/>
      <c r="AZ230" s="76"/>
      <c r="BA230" s="76" t="b">
        <v>0</v>
      </c>
      <c r="BB230" s="76" t="b">
        <v>1</v>
      </c>
      <c r="BC230" s="76" t="b">
        <v>0</v>
      </c>
      <c r="BD230" s="76" t="b">
        <v>0</v>
      </c>
      <c r="BE230" s="76" t="b">
        <v>1</v>
      </c>
      <c r="BF230" s="76" t="b">
        <v>0</v>
      </c>
      <c r="BG230" s="76" t="b">
        <v>0</v>
      </c>
      <c r="BH230" s="83" t="str">
        <f>HYPERLINK("https://pbs.twimg.com/profile_banners/65473559/1695852631")</f>
        <v>https://pbs.twimg.com/profile_banners/65473559/1695852631</v>
      </c>
      <c r="BI230" s="76"/>
      <c r="BJ230" s="76" t="s">
        <v>24936</v>
      </c>
      <c r="BK230" s="76" t="b">
        <v>0</v>
      </c>
      <c r="BL230" s="76"/>
      <c r="BM230" s="76" t="s">
        <v>66</v>
      </c>
      <c r="BN230" s="76" t="s">
        <v>24937</v>
      </c>
      <c r="BO230" s="83" t="str">
        <f>HYPERLINK("https://twitter.com/portalr7")</f>
        <v>https://twitter.com/portalr7</v>
      </c>
      <c r="BP230" s="2"/>
    </row>
    <row r="231" spans="1:68" x14ac:dyDescent="0.25">
      <c r="A231" s="62" t="s">
        <v>444</v>
      </c>
      <c r="B231" s="63"/>
      <c r="C231" s="63"/>
      <c r="D231" s="64"/>
      <c r="E231" s="66"/>
      <c r="F231" s="102" t="str">
        <f>HYPERLINK("https://pbs.twimg.com/profile_images/1622734419902492676/ipxOHAd9_normal.jpg")</f>
        <v>https://pbs.twimg.com/profile_images/1622734419902492676/ipxOHAd9_normal.jpg</v>
      </c>
      <c r="G231" s="63"/>
      <c r="H231" s="67"/>
      <c r="I231" s="68"/>
      <c r="J231" s="68"/>
      <c r="K231" s="67" t="s">
        <v>25165</v>
      </c>
      <c r="L231" s="71"/>
      <c r="M231" s="72"/>
      <c r="N231" s="72"/>
      <c r="O231" s="73"/>
      <c r="P231" s="74"/>
      <c r="Q231" s="74"/>
      <c r="R231" s="86"/>
      <c r="S231" s="86"/>
      <c r="T231" s="86"/>
      <c r="U231" s="86"/>
      <c r="V231" s="48"/>
      <c r="W231" s="48"/>
      <c r="X231" s="48"/>
      <c r="Y231" s="48"/>
      <c r="Z231" s="47"/>
      <c r="AA231" s="69">
        <v>231</v>
      </c>
      <c r="AB231" s="69"/>
      <c r="AC231" s="70"/>
      <c r="AD231" s="76" t="s">
        <v>444</v>
      </c>
      <c r="AE231" s="81" t="s">
        <v>21172</v>
      </c>
      <c r="AF231" s="76">
        <v>0</v>
      </c>
      <c r="AG231" s="76">
        <v>0</v>
      </c>
      <c r="AH231" s="76">
        <v>7</v>
      </c>
      <c r="AI231" s="76">
        <v>0</v>
      </c>
      <c r="AJ231" s="76">
        <v>1</v>
      </c>
      <c r="AK231" s="76">
        <v>1</v>
      </c>
      <c r="AL231" s="76" t="b">
        <v>0</v>
      </c>
      <c r="AM231" s="78">
        <v>44905.872766203705</v>
      </c>
      <c r="AN231" s="76"/>
      <c r="AO231" s="76" t="s">
        <v>23541</v>
      </c>
      <c r="AP231" s="83" t="str">
        <f>HYPERLINK("https://t.co/T63Ldp8ywT")</f>
        <v>https://t.co/T63Ldp8ywT</v>
      </c>
      <c r="AQ231" s="83" t="str">
        <f>HYPERLINK("http://beacons.ai/afiliadomax")</f>
        <v>http://beacons.ai/afiliadomax</v>
      </c>
      <c r="AR231" s="76" t="s">
        <v>24371</v>
      </c>
      <c r="AS231" s="76"/>
      <c r="AT231" s="76"/>
      <c r="AU231" s="76"/>
      <c r="AV231" s="76">
        <v>1.6227330653394099E+18</v>
      </c>
      <c r="AW231" s="83" t="str">
        <f>HYPERLINK("https://t.co/T63Ldp8ywT")</f>
        <v>https://t.co/T63Ldp8ywT</v>
      </c>
      <c r="AX231" s="76" t="b">
        <v>0</v>
      </c>
      <c r="AY231" s="76"/>
      <c r="AZ231" s="76"/>
      <c r="BA231" s="76" t="b">
        <v>0</v>
      </c>
      <c r="BB231" s="76" t="b">
        <v>1</v>
      </c>
      <c r="BC231" s="76" t="b">
        <v>1</v>
      </c>
      <c r="BD231" s="76" t="b">
        <v>0</v>
      </c>
      <c r="BE231" s="76" t="b">
        <v>1</v>
      </c>
      <c r="BF231" s="76" t="b">
        <v>0</v>
      </c>
      <c r="BG231" s="76" t="b">
        <v>0</v>
      </c>
      <c r="BH231" s="83" t="str">
        <f>HYPERLINK("https://pbs.twimg.com/profile_banners/1601682199614562308/1670705960")</f>
        <v>https://pbs.twimg.com/profile_banners/1601682199614562308/1670705960</v>
      </c>
      <c r="BI231" s="76"/>
      <c r="BJ231" s="76" t="s">
        <v>24935</v>
      </c>
      <c r="BK231" s="76" t="b">
        <v>0</v>
      </c>
      <c r="BL231" s="76"/>
      <c r="BM231" s="76" t="s">
        <v>66</v>
      </c>
      <c r="BN231" s="76" t="s">
        <v>24937</v>
      </c>
      <c r="BO231" s="83" t="str">
        <f>HYPERLINK("https://twitter.com/afiliadomax")</f>
        <v>https://twitter.com/afiliadomax</v>
      </c>
      <c r="BP231" s="2"/>
    </row>
    <row r="232" spans="1:68" x14ac:dyDescent="0.25">
      <c r="A232" s="62" t="s">
        <v>445</v>
      </c>
      <c r="B232" s="63"/>
      <c r="C232" s="63"/>
      <c r="D232" s="64"/>
      <c r="E232" s="66"/>
      <c r="F232" s="102" t="str">
        <f>HYPERLINK("https://pbs.twimg.com/profile_images/1703858729890824192/q_z_ImNY_normal.jpg")</f>
        <v>https://pbs.twimg.com/profile_images/1703858729890824192/q_z_ImNY_normal.jpg</v>
      </c>
      <c r="G232" s="63"/>
      <c r="H232" s="67"/>
      <c r="I232" s="68"/>
      <c r="J232" s="68"/>
      <c r="K232" s="67" t="s">
        <v>25166</v>
      </c>
      <c r="L232" s="71"/>
      <c r="M232" s="72"/>
      <c r="N232" s="72"/>
      <c r="O232" s="73"/>
      <c r="P232" s="74"/>
      <c r="Q232" s="74"/>
      <c r="R232" s="86"/>
      <c r="S232" s="86"/>
      <c r="T232" s="86"/>
      <c r="U232" s="86"/>
      <c r="V232" s="48"/>
      <c r="W232" s="48"/>
      <c r="X232" s="48"/>
      <c r="Y232" s="48"/>
      <c r="Z232" s="47"/>
      <c r="AA232" s="69">
        <v>232</v>
      </c>
      <c r="AB232" s="69"/>
      <c r="AC232" s="70"/>
      <c r="AD232" s="76" t="s">
        <v>22042</v>
      </c>
      <c r="AE232" s="81" t="s">
        <v>21173</v>
      </c>
      <c r="AF232" s="76">
        <v>155</v>
      </c>
      <c r="AG232" s="76">
        <v>634</v>
      </c>
      <c r="AH232" s="76">
        <v>6142</v>
      </c>
      <c r="AI232" s="76">
        <v>0</v>
      </c>
      <c r="AJ232" s="76">
        <v>63</v>
      </c>
      <c r="AK232" s="76">
        <v>929</v>
      </c>
      <c r="AL232" s="76" t="b">
        <v>0</v>
      </c>
      <c r="AM232" s="78">
        <v>44789.646134259259</v>
      </c>
      <c r="AN232" s="76" t="s">
        <v>14041</v>
      </c>
      <c r="AO232" s="76" t="s">
        <v>23542</v>
      </c>
      <c r="AP232" s="83" t="str">
        <f>HYPERLINK("https://t.co/paBTZk1m55")</f>
        <v>https://t.co/paBTZk1m55</v>
      </c>
      <c r="AQ232" s="83" t="str">
        <f>HYPERLINK("http://linktr.ee/vivi75ofertas")</f>
        <v>http://linktr.ee/vivi75ofertas</v>
      </c>
      <c r="AR232" s="76" t="s">
        <v>24372</v>
      </c>
      <c r="AS232" s="76"/>
      <c r="AT232" s="76"/>
      <c r="AU232" s="76"/>
      <c r="AV232" s="76">
        <v>1.6842453977058299E+18</v>
      </c>
      <c r="AW232" s="83" t="str">
        <f>HYPERLINK("https://t.co/paBTZk1m55")</f>
        <v>https://t.co/paBTZk1m55</v>
      </c>
      <c r="AX232" s="76" t="b">
        <v>0</v>
      </c>
      <c r="AY232" s="76"/>
      <c r="AZ232" s="76"/>
      <c r="BA232" s="76" t="b">
        <v>0</v>
      </c>
      <c r="BB232" s="76" t="b">
        <v>1</v>
      </c>
      <c r="BC232" s="76" t="b">
        <v>1</v>
      </c>
      <c r="BD232" s="76" t="b">
        <v>0</v>
      </c>
      <c r="BE232" s="76" t="b">
        <v>1</v>
      </c>
      <c r="BF232" s="76" t="b">
        <v>0</v>
      </c>
      <c r="BG232" s="76" t="b">
        <v>0</v>
      </c>
      <c r="BH232" s="83" t="str">
        <f>HYPERLINK("https://pbs.twimg.com/profile_banners/1559563106661158912/1689814538")</f>
        <v>https://pbs.twimg.com/profile_banners/1559563106661158912/1689814538</v>
      </c>
      <c r="BI232" s="76"/>
      <c r="BJ232" s="76" t="s">
        <v>24935</v>
      </c>
      <c r="BK232" s="76" t="b">
        <v>0</v>
      </c>
      <c r="BL232" s="76"/>
      <c r="BM232" s="76" t="s">
        <v>66</v>
      </c>
      <c r="BN232" s="76" t="s">
        <v>24937</v>
      </c>
      <c r="BO232" s="83" t="str">
        <f>HYPERLINK("https://twitter.com/vivi75ofertas")</f>
        <v>https://twitter.com/vivi75ofertas</v>
      </c>
      <c r="BP232" s="2"/>
    </row>
    <row r="233" spans="1:68" x14ac:dyDescent="0.25">
      <c r="A233" s="62" t="s">
        <v>446</v>
      </c>
      <c r="B233" s="63"/>
      <c r="C233" s="63"/>
      <c r="D233" s="64"/>
      <c r="E233" s="66"/>
      <c r="F233" s="102" t="str">
        <f>HYPERLINK("https://pbs.twimg.com/profile_images/1598709979325898754/MZrXIMMx_normal.jpg")</f>
        <v>https://pbs.twimg.com/profile_images/1598709979325898754/MZrXIMMx_normal.jpg</v>
      </c>
      <c r="G233" s="63"/>
      <c r="H233" s="67"/>
      <c r="I233" s="68"/>
      <c r="J233" s="68"/>
      <c r="K233" s="67" t="s">
        <v>25167</v>
      </c>
      <c r="L233" s="71"/>
      <c r="M233" s="72"/>
      <c r="N233" s="72"/>
      <c r="O233" s="73"/>
      <c r="P233" s="74"/>
      <c r="Q233" s="74"/>
      <c r="R233" s="86"/>
      <c r="S233" s="86"/>
      <c r="T233" s="86"/>
      <c r="U233" s="86"/>
      <c r="V233" s="48"/>
      <c r="W233" s="48"/>
      <c r="X233" s="48"/>
      <c r="Y233" s="48"/>
      <c r="Z233" s="47"/>
      <c r="AA233" s="69">
        <v>233</v>
      </c>
      <c r="AB233" s="69"/>
      <c r="AC233" s="70"/>
      <c r="AD233" s="76" t="s">
        <v>22043</v>
      </c>
      <c r="AE233" s="81" t="s">
        <v>21174</v>
      </c>
      <c r="AF233" s="76">
        <v>19</v>
      </c>
      <c r="AG233" s="76">
        <v>49</v>
      </c>
      <c r="AH233" s="76">
        <v>75</v>
      </c>
      <c r="AI233" s="76">
        <v>0</v>
      </c>
      <c r="AJ233" s="76">
        <v>518</v>
      </c>
      <c r="AK233" s="76">
        <v>11</v>
      </c>
      <c r="AL233" s="76" t="b">
        <v>0</v>
      </c>
      <c r="AM233" s="78">
        <v>44380.942314814813</v>
      </c>
      <c r="AN233" s="76" t="s">
        <v>23138</v>
      </c>
      <c r="AO233" s="76" t="s">
        <v>23543</v>
      </c>
      <c r="AP233" s="76"/>
      <c r="AQ233" s="76"/>
      <c r="AR233" s="76"/>
      <c r="AS233" s="76"/>
      <c r="AT233" s="76"/>
      <c r="AU233" s="76"/>
      <c r="AV233" s="76">
        <v>1.4182467515894799E+18</v>
      </c>
      <c r="AW233" s="76"/>
      <c r="AX233" s="76" t="b">
        <v>0</v>
      </c>
      <c r="AY233" s="76"/>
      <c r="AZ233" s="76"/>
      <c r="BA233" s="76" t="b">
        <v>0</v>
      </c>
      <c r="BB233" s="76" t="b">
        <v>1</v>
      </c>
      <c r="BC233" s="76" t="b">
        <v>1</v>
      </c>
      <c r="BD233" s="76" t="b">
        <v>0</v>
      </c>
      <c r="BE233" s="76" t="b">
        <v>0</v>
      </c>
      <c r="BF233" s="76" t="b">
        <v>0</v>
      </c>
      <c r="BG233" s="76" t="b">
        <v>0</v>
      </c>
      <c r="BH233" s="83" t="str">
        <f>HYPERLINK("https://pbs.twimg.com/profile_banners/1411453874788081666/1625352411")</f>
        <v>https://pbs.twimg.com/profile_banners/1411453874788081666/1625352411</v>
      </c>
      <c r="BI233" s="76"/>
      <c r="BJ233" s="76" t="s">
        <v>24935</v>
      </c>
      <c r="BK233" s="76" t="b">
        <v>0</v>
      </c>
      <c r="BL233" s="76"/>
      <c r="BM233" s="76" t="s">
        <v>66</v>
      </c>
      <c r="BN233" s="76" t="s">
        <v>24937</v>
      </c>
      <c r="BO233" s="83" t="str">
        <f>HYPERLINK("https://twitter.com/bialover1d")</f>
        <v>https://twitter.com/bialover1d</v>
      </c>
      <c r="BP233" s="2"/>
    </row>
    <row r="234" spans="1:68" x14ac:dyDescent="0.25">
      <c r="A234" s="62" t="s">
        <v>447</v>
      </c>
      <c r="B234" s="63"/>
      <c r="C234" s="63"/>
      <c r="D234" s="64"/>
      <c r="E234" s="66"/>
      <c r="F234" s="102" t="str">
        <f>HYPERLINK("https://pbs.twimg.com/profile_images/1600173945994575872/hQiJb8Da_normal.jpg")</f>
        <v>https://pbs.twimg.com/profile_images/1600173945994575872/hQiJb8Da_normal.jpg</v>
      </c>
      <c r="G234" s="63"/>
      <c r="H234" s="67"/>
      <c r="I234" s="68"/>
      <c r="J234" s="68"/>
      <c r="K234" s="67" t="s">
        <v>25168</v>
      </c>
      <c r="L234" s="71"/>
      <c r="M234" s="72"/>
      <c r="N234" s="72"/>
      <c r="O234" s="73"/>
      <c r="P234" s="74"/>
      <c r="Q234" s="74"/>
      <c r="R234" s="86"/>
      <c r="S234" s="86"/>
      <c r="T234" s="86"/>
      <c r="U234" s="86"/>
      <c r="V234" s="48"/>
      <c r="W234" s="48"/>
      <c r="X234" s="48"/>
      <c r="Y234" s="48"/>
      <c r="Z234" s="47"/>
      <c r="AA234" s="69">
        <v>234</v>
      </c>
      <c r="AB234" s="69"/>
      <c r="AC234" s="70"/>
      <c r="AD234" s="76" t="s">
        <v>22044</v>
      </c>
      <c r="AE234" s="81" t="s">
        <v>20913</v>
      </c>
      <c r="AF234" s="76">
        <v>8</v>
      </c>
      <c r="AG234" s="76">
        <v>1</v>
      </c>
      <c r="AH234" s="76">
        <v>173</v>
      </c>
      <c r="AI234" s="76">
        <v>0</v>
      </c>
      <c r="AJ234" s="76">
        <v>0</v>
      </c>
      <c r="AK234" s="76">
        <v>87</v>
      </c>
      <c r="AL234" s="76" t="b">
        <v>0</v>
      </c>
      <c r="AM234" s="78">
        <v>44900.538634259261</v>
      </c>
      <c r="AN234" s="76"/>
      <c r="AO234" s="76" t="s">
        <v>23544</v>
      </c>
      <c r="AP234" s="83" t="str">
        <f>HYPERLINK("https://t.co/MUd1bReUU6")</f>
        <v>https://t.co/MUd1bReUU6</v>
      </c>
      <c r="AQ234" s="83" t="str">
        <f>HYPERLINK("http://www.betexpo.com/")</f>
        <v>http://www.betexpo.com/</v>
      </c>
      <c r="AR234" s="76" t="s">
        <v>24373</v>
      </c>
      <c r="AS234" s="76"/>
      <c r="AT234" s="76"/>
      <c r="AU234" s="76"/>
      <c r="AV234" s="76"/>
      <c r="AW234" s="83" t="str">
        <f>HYPERLINK("https://t.co/MUd1bReUU6")</f>
        <v>https://t.co/MUd1bReUU6</v>
      </c>
      <c r="AX234" s="76" t="b">
        <v>0</v>
      </c>
      <c r="AY234" s="76"/>
      <c r="AZ234" s="76"/>
      <c r="BA234" s="76" t="b">
        <v>0</v>
      </c>
      <c r="BB234" s="76" t="b">
        <v>1</v>
      </c>
      <c r="BC234" s="76" t="b">
        <v>1</v>
      </c>
      <c r="BD234" s="76" t="b">
        <v>0</v>
      </c>
      <c r="BE234" s="76" t="b">
        <v>1</v>
      </c>
      <c r="BF234" s="76" t="b">
        <v>0</v>
      </c>
      <c r="BG234" s="76" t="b">
        <v>0</v>
      </c>
      <c r="BH234" s="83" t="str">
        <f>HYPERLINK("https://pbs.twimg.com/profile_banners/1599749274773905416/1690819767")</f>
        <v>https://pbs.twimg.com/profile_banners/1599749274773905416/1690819767</v>
      </c>
      <c r="BI234" s="76"/>
      <c r="BJ234" s="76" t="s">
        <v>24935</v>
      </c>
      <c r="BK234" s="76" t="b">
        <v>0</v>
      </c>
      <c r="BL234" s="76"/>
      <c r="BM234" s="76" t="s">
        <v>66</v>
      </c>
      <c r="BN234" s="76" t="s">
        <v>24937</v>
      </c>
      <c r="BO234" s="83" t="str">
        <f>HYPERLINK("https://twitter.com/betexpooficial")</f>
        <v>https://twitter.com/betexpooficial</v>
      </c>
      <c r="BP234" s="2"/>
    </row>
    <row r="235" spans="1:68" x14ac:dyDescent="0.25">
      <c r="A235" s="62" t="s">
        <v>448</v>
      </c>
      <c r="B235" s="63"/>
      <c r="C235" s="63"/>
      <c r="D235" s="64"/>
      <c r="E235" s="66"/>
      <c r="F235" s="102" t="str">
        <f>HYPERLINK("https://pbs.twimg.com/profile_images/1621437436369805312/TkPozzCa_normal.jpg")</f>
        <v>https://pbs.twimg.com/profile_images/1621437436369805312/TkPozzCa_normal.jpg</v>
      </c>
      <c r="G235" s="63"/>
      <c r="H235" s="67"/>
      <c r="I235" s="68"/>
      <c r="J235" s="68"/>
      <c r="K235" s="67" t="s">
        <v>25169</v>
      </c>
      <c r="L235" s="71"/>
      <c r="M235" s="72"/>
      <c r="N235" s="72"/>
      <c r="O235" s="73"/>
      <c r="P235" s="74"/>
      <c r="Q235" s="74"/>
      <c r="R235" s="86"/>
      <c r="S235" s="86"/>
      <c r="T235" s="86"/>
      <c r="U235" s="86"/>
      <c r="V235" s="48"/>
      <c r="W235" s="48"/>
      <c r="X235" s="48"/>
      <c r="Y235" s="48"/>
      <c r="Z235" s="47"/>
      <c r="AA235" s="69">
        <v>235</v>
      </c>
      <c r="AB235" s="69"/>
      <c r="AC235" s="70"/>
      <c r="AD235" s="76" t="s">
        <v>22045</v>
      </c>
      <c r="AE235" s="81" t="s">
        <v>21175</v>
      </c>
      <c r="AF235" s="76">
        <v>2</v>
      </c>
      <c r="AG235" s="76">
        <v>27</v>
      </c>
      <c r="AH235" s="76">
        <v>2</v>
      </c>
      <c r="AI235" s="76">
        <v>0</v>
      </c>
      <c r="AJ235" s="76">
        <v>2</v>
      </c>
      <c r="AK235" s="76">
        <v>1</v>
      </c>
      <c r="AL235" s="76" t="b">
        <v>0</v>
      </c>
      <c r="AM235" s="78">
        <v>44837.788460648146</v>
      </c>
      <c r="AN235" s="76"/>
      <c r="AO235" s="76" t="s">
        <v>23545</v>
      </c>
      <c r="AP235" s="83" t="str">
        <f>HYPERLINK("https://t.co/oG9bgZZSFq")</f>
        <v>https://t.co/oG9bgZZSFq</v>
      </c>
      <c r="AQ235" s="83" t="str">
        <f>HYPERLINK("http://instagram.com/vivianne_rodriguues")</f>
        <v>http://instagram.com/vivianne_rodriguues</v>
      </c>
      <c r="AR235" s="76" t="s">
        <v>24374</v>
      </c>
      <c r="AS235" s="76"/>
      <c r="AT235" s="76"/>
      <c r="AU235" s="76"/>
      <c r="AV235" s="76"/>
      <c r="AW235" s="83" t="str">
        <f>HYPERLINK("https://t.co/oG9bgZZSFq")</f>
        <v>https://t.co/oG9bgZZSFq</v>
      </c>
      <c r="AX235" s="76" t="b">
        <v>0</v>
      </c>
      <c r="AY235" s="76"/>
      <c r="AZ235" s="76"/>
      <c r="BA235" s="76" t="b">
        <v>0</v>
      </c>
      <c r="BB235" s="76" t="b">
        <v>1</v>
      </c>
      <c r="BC235" s="76" t="b">
        <v>1</v>
      </c>
      <c r="BD235" s="76" t="b">
        <v>0</v>
      </c>
      <c r="BE235" s="76" t="b">
        <v>0</v>
      </c>
      <c r="BF235" s="76" t="b">
        <v>0</v>
      </c>
      <c r="BG235" s="76" t="b">
        <v>0</v>
      </c>
      <c r="BH235" s="83" t="str">
        <f>HYPERLINK("https://pbs.twimg.com/profile_banners/1577009330506825735/1675415785")</f>
        <v>https://pbs.twimg.com/profile_banners/1577009330506825735/1675415785</v>
      </c>
      <c r="BI235" s="76"/>
      <c r="BJ235" s="76" t="s">
        <v>24935</v>
      </c>
      <c r="BK235" s="76" t="b">
        <v>0</v>
      </c>
      <c r="BL235" s="76"/>
      <c r="BM235" s="76" t="s">
        <v>66</v>
      </c>
      <c r="BN235" s="76" t="s">
        <v>24937</v>
      </c>
      <c r="BO235" s="83" t="str">
        <f>HYPERLINK("https://twitter.com/vivianne2121")</f>
        <v>https://twitter.com/vivianne2121</v>
      </c>
      <c r="BP235" s="2"/>
    </row>
    <row r="236" spans="1:68" x14ac:dyDescent="0.25">
      <c r="A236" s="62" t="s">
        <v>449</v>
      </c>
      <c r="B236" s="63"/>
      <c r="C236" s="63"/>
      <c r="D236" s="64"/>
      <c r="E236" s="66"/>
      <c r="F236" s="102" t="str">
        <f>HYPERLINK("https://pbs.twimg.com/profile_images/1405205080710647809/YzUf0CAz_normal.jpg")</f>
        <v>https://pbs.twimg.com/profile_images/1405205080710647809/YzUf0CAz_normal.jpg</v>
      </c>
      <c r="G236" s="63"/>
      <c r="H236" s="67"/>
      <c r="I236" s="68"/>
      <c r="J236" s="68"/>
      <c r="K236" s="67" t="s">
        <v>25170</v>
      </c>
      <c r="L236" s="71"/>
      <c r="M236" s="72"/>
      <c r="N236" s="72"/>
      <c r="O236" s="73"/>
      <c r="P236" s="74"/>
      <c r="Q236" s="74"/>
      <c r="R236" s="86"/>
      <c r="S236" s="86"/>
      <c r="T236" s="86"/>
      <c r="U236" s="86"/>
      <c r="V236" s="48"/>
      <c r="W236" s="48"/>
      <c r="X236" s="48"/>
      <c r="Y236" s="48"/>
      <c r="Z236" s="47"/>
      <c r="AA236" s="69">
        <v>236</v>
      </c>
      <c r="AB236" s="69"/>
      <c r="AC236" s="70"/>
      <c r="AD236" s="76" t="s">
        <v>22046</v>
      </c>
      <c r="AE236" s="81" t="s">
        <v>21176</v>
      </c>
      <c r="AF236" s="76">
        <v>6</v>
      </c>
      <c r="AG236" s="76">
        <v>75</v>
      </c>
      <c r="AH236" s="76">
        <v>650</v>
      </c>
      <c r="AI236" s="76">
        <v>0</v>
      </c>
      <c r="AJ236" s="76">
        <v>1550</v>
      </c>
      <c r="AK236" s="76">
        <v>156</v>
      </c>
      <c r="AL236" s="76" t="b">
        <v>0</v>
      </c>
      <c r="AM236" s="78">
        <v>44363.698194444441</v>
      </c>
      <c r="AN236" s="76"/>
      <c r="AO236" s="76"/>
      <c r="AP236" s="76"/>
      <c r="AQ236" s="76"/>
      <c r="AR236" s="76"/>
      <c r="AS236" s="76"/>
      <c r="AT236" s="76"/>
      <c r="AU236" s="76"/>
      <c r="AV236" s="76"/>
      <c r="AW236" s="76"/>
      <c r="AX236" s="76" t="b">
        <v>0</v>
      </c>
      <c r="AY236" s="76"/>
      <c r="AZ236" s="76"/>
      <c r="BA236" s="76" t="b">
        <v>0</v>
      </c>
      <c r="BB236" s="76" t="b">
        <v>1</v>
      </c>
      <c r="BC236" s="76" t="b">
        <v>1</v>
      </c>
      <c r="BD236" s="76" t="b">
        <v>0</v>
      </c>
      <c r="BE236" s="76" t="b">
        <v>1</v>
      </c>
      <c r="BF236" s="76" t="b">
        <v>0</v>
      </c>
      <c r="BG236" s="76" t="b">
        <v>0</v>
      </c>
      <c r="BH236" s="76"/>
      <c r="BI236" s="76"/>
      <c r="BJ236" s="76" t="s">
        <v>24935</v>
      </c>
      <c r="BK236" s="76" t="b">
        <v>0</v>
      </c>
      <c r="BL236" s="76"/>
      <c r="BM236" s="76" t="s">
        <v>66</v>
      </c>
      <c r="BN236" s="76" t="s">
        <v>24937</v>
      </c>
      <c r="BO236" s="83" t="str">
        <f>HYPERLINK("https://twitter.com/guilher12740356")</f>
        <v>https://twitter.com/guilher12740356</v>
      </c>
      <c r="BP236" s="2"/>
    </row>
    <row r="237" spans="1:68" x14ac:dyDescent="0.25">
      <c r="A237" s="62" t="s">
        <v>450</v>
      </c>
      <c r="B237" s="63"/>
      <c r="C237" s="63"/>
      <c r="D237" s="64"/>
      <c r="E237" s="66"/>
      <c r="F237" s="102" t="str">
        <f>HYPERLINK("https://pbs.twimg.com/profile_images/1599595163222941696/l8M2YcMA_normal.jpg")</f>
        <v>https://pbs.twimg.com/profile_images/1599595163222941696/l8M2YcMA_normal.jpg</v>
      </c>
      <c r="G237" s="63"/>
      <c r="H237" s="67"/>
      <c r="I237" s="68"/>
      <c r="J237" s="68"/>
      <c r="K237" s="67" t="s">
        <v>25171</v>
      </c>
      <c r="L237" s="71"/>
      <c r="M237" s="72"/>
      <c r="N237" s="72"/>
      <c r="O237" s="73"/>
      <c r="P237" s="74"/>
      <c r="Q237" s="74"/>
      <c r="R237" s="86"/>
      <c r="S237" s="86"/>
      <c r="T237" s="86"/>
      <c r="U237" s="86"/>
      <c r="V237" s="48"/>
      <c r="W237" s="48"/>
      <c r="X237" s="48"/>
      <c r="Y237" s="48"/>
      <c r="Z237" s="47"/>
      <c r="AA237" s="69">
        <v>237</v>
      </c>
      <c r="AB237" s="69"/>
      <c r="AC237" s="70"/>
      <c r="AD237" s="76" t="s">
        <v>22047</v>
      </c>
      <c r="AE237" s="81" t="s">
        <v>22906</v>
      </c>
      <c r="AF237" s="76">
        <v>184</v>
      </c>
      <c r="AG237" s="76">
        <v>2410</v>
      </c>
      <c r="AH237" s="76">
        <v>1706</v>
      </c>
      <c r="AI237" s="76">
        <v>2</v>
      </c>
      <c r="AJ237" s="76">
        <v>4317</v>
      </c>
      <c r="AK237" s="76">
        <v>732</v>
      </c>
      <c r="AL237" s="76" t="b">
        <v>0</v>
      </c>
      <c r="AM237" s="78">
        <v>40354.838634259257</v>
      </c>
      <c r="AN237" s="76" t="s">
        <v>14116</v>
      </c>
      <c r="AO237" s="76" t="s">
        <v>23546</v>
      </c>
      <c r="AP237" s="83" t="str">
        <f>HYPERLINK("https://t.co/Riqpd9AAbd")</f>
        <v>https://t.co/Riqpd9AAbd</v>
      </c>
      <c r="AQ237" s="83" t="str">
        <f>HYPERLINK("https://linktr.ee/EmperorHero")</f>
        <v>https://linktr.ee/EmperorHero</v>
      </c>
      <c r="AR237" s="76" t="s">
        <v>24375</v>
      </c>
      <c r="AS237" s="76"/>
      <c r="AT237" s="76"/>
      <c r="AU237" s="76"/>
      <c r="AV237" s="76"/>
      <c r="AW237" s="83" t="str">
        <f>HYPERLINK("https://t.co/Riqpd9AAbd")</f>
        <v>https://t.co/Riqpd9AAbd</v>
      </c>
      <c r="AX237" s="76" t="b">
        <v>0</v>
      </c>
      <c r="AY237" s="76"/>
      <c r="AZ237" s="76"/>
      <c r="BA237" s="76" t="b">
        <v>0</v>
      </c>
      <c r="BB237" s="76" t="b">
        <v>1</v>
      </c>
      <c r="BC237" s="76" t="b">
        <v>0</v>
      </c>
      <c r="BD237" s="76" t="b">
        <v>0</v>
      </c>
      <c r="BE237" s="76" t="b">
        <v>1</v>
      </c>
      <c r="BF237" s="76" t="b">
        <v>0</v>
      </c>
      <c r="BG237" s="76" t="b">
        <v>0</v>
      </c>
      <c r="BH237" s="83" t="str">
        <f>HYPERLINK("https://pbs.twimg.com/profile_banners/159586311/1643128101")</f>
        <v>https://pbs.twimg.com/profile_banners/159586311/1643128101</v>
      </c>
      <c r="BI237" s="76"/>
      <c r="BJ237" s="76" t="s">
        <v>24935</v>
      </c>
      <c r="BK237" s="76" t="b">
        <v>0</v>
      </c>
      <c r="BL237" s="76"/>
      <c r="BM237" s="76" t="s">
        <v>66</v>
      </c>
      <c r="BN237" s="76" t="s">
        <v>24937</v>
      </c>
      <c r="BO237" s="83" t="str">
        <f>HYPERLINK("https://twitter.com/1emperorhero")</f>
        <v>https://twitter.com/1emperorhero</v>
      </c>
      <c r="BP237" s="2"/>
    </row>
    <row r="238" spans="1:68" x14ac:dyDescent="0.25">
      <c r="A238" s="62" t="s">
        <v>451</v>
      </c>
      <c r="B238" s="63"/>
      <c r="C238" s="63"/>
      <c r="D238" s="64"/>
      <c r="E238" s="66"/>
      <c r="F238" s="102" t="str">
        <f>HYPERLINK("https://pbs.twimg.com/profile_images/1580842113381564416/zqt03LLk_normal.jpg")</f>
        <v>https://pbs.twimg.com/profile_images/1580842113381564416/zqt03LLk_normal.jpg</v>
      </c>
      <c r="G238" s="63"/>
      <c r="H238" s="67"/>
      <c r="I238" s="68"/>
      <c r="J238" s="68"/>
      <c r="K238" s="67" t="s">
        <v>25172</v>
      </c>
      <c r="L238" s="71"/>
      <c r="M238" s="72"/>
      <c r="N238" s="72"/>
      <c r="O238" s="73"/>
      <c r="P238" s="74"/>
      <c r="Q238" s="74"/>
      <c r="R238" s="86"/>
      <c r="S238" s="86"/>
      <c r="T238" s="86"/>
      <c r="U238" s="86"/>
      <c r="V238" s="48"/>
      <c r="W238" s="48"/>
      <c r="X238" s="48"/>
      <c r="Y238" s="48"/>
      <c r="Z238" s="47"/>
      <c r="AA238" s="69">
        <v>238</v>
      </c>
      <c r="AB238" s="69"/>
      <c r="AC238" s="70"/>
      <c r="AD238" s="76" t="s">
        <v>22048</v>
      </c>
      <c r="AE238" s="81" t="s">
        <v>21177</v>
      </c>
      <c r="AF238" s="76">
        <v>142</v>
      </c>
      <c r="AG238" s="76">
        <v>135</v>
      </c>
      <c r="AH238" s="76">
        <v>317</v>
      </c>
      <c r="AI238" s="76">
        <v>7</v>
      </c>
      <c r="AJ238" s="76">
        <v>2198</v>
      </c>
      <c r="AK238" s="76">
        <v>79</v>
      </c>
      <c r="AL238" s="76" t="b">
        <v>0</v>
      </c>
      <c r="AM238" s="78">
        <v>44555.537199074075</v>
      </c>
      <c r="AN238" s="76" t="s">
        <v>14034</v>
      </c>
      <c r="AO238" s="76" t="s">
        <v>23547</v>
      </c>
      <c r="AP238" s="83" t="str">
        <f>HYPERLINK("https://t.co/Bs59IulZv7")</f>
        <v>https://t.co/Bs59IulZv7</v>
      </c>
      <c r="AQ238" s="83" t="str">
        <f>HYPERLINK("https://linktr.ee/descentraliza.club")</f>
        <v>https://linktr.ee/descentraliza.club</v>
      </c>
      <c r="AR238" s="76" t="s">
        <v>24376</v>
      </c>
      <c r="AS238" s="76"/>
      <c r="AT238" s="76"/>
      <c r="AU238" s="76"/>
      <c r="AV238" s="76">
        <v>1.4788617027457999E+18</v>
      </c>
      <c r="AW238" s="83" t="str">
        <f>HYPERLINK("https://t.co/Bs59IulZv7")</f>
        <v>https://t.co/Bs59IulZv7</v>
      </c>
      <c r="AX238" s="76" t="b">
        <v>0</v>
      </c>
      <c r="AY238" s="76"/>
      <c r="AZ238" s="76"/>
      <c r="BA238" s="76" t="b">
        <v>0</v>
      </c>
      <c r="BB238" s="76" t="b">
        <v>1</v>
      </c>
      <c r="BC238" s="76" t="b">
        <v>1</v>
      </c>
      <c r="BD238" s="76" t="b">
        <v>0</v>
      </c>
      <c r="BE238" s="76" t="b">
        <v>0</v>
      </c>
      <c r="BF238" s="76" t="b">
        <v>0</v>
      </c>
      <c r="BG238" s="76" t="b">
        <v>0</v>
      </c>
      <c r="BH238" s="83" t="str">
        <f>HYPERLINK("https://pbs.twimg.com/profile_banners/1474724943686479875/1640522703")</f>
        <v>https://pbs.twimg.com/profile_banners/1474724943686479875/1640522703</v>
      </c>
      <c r="BI238" s="76"/>
      <c r="BJ238" s="76" t="s">
        <v>24935</v>
      </c>
      <c r="BK238" s="76" t="b">
        <v>0</v>
      </c>
      <c r="BL238" s="76"/>
      <c r="BM238" s="76" t="s">
        <v>66</v>
      </c>
      <c r="BN238" s="76" t="s">
        <v>24937</v>
      </c>
      <c r="BO238" s="83" t="str">
        <f>HYPERLINK("https://twitter.com/descentralizapt")</f>
        <v>https://twitter.com/descentralizapt</v>
      </c>
      <c r="BP238" s="2"/>
    </row>
    <row r="239" spans="1:68" x14ac:dyDescent="0.25">
      <c r="A239" s="62" t="s">
        <v>452</v>
      </c>
      <c r="B239" s="63"/>
      <c r="C239" s="63"/>
      <c r="D239" s="64"/>
      <c r="E239" s="66"/>
      <c r="F239" s="102" t="str">
        <f>HYPERLINK("https://pbs.twimg.com/profile_images/1588181933523091457/CCUJGWjY_normal.jpg")</f>
        <v>https://pbs.twimg.com/profile_images/1588181933523091457/CCUJGWjY_normal.jpg</v>
      </c>
      <c r="G239" s="63"/>
      <c r="H239" s="67"/>
      <c r="I239" s="68"/>
      <c r="J239" s="68"/>
      <c r="K239" s="67" t="s">
        <v>25173</v>
      </c>
      <c r="L239" s="71"/>
      <c r="M239" s="72"/>
      <c r="N239" s="72"/>
      <c r="O239" s="73"/>
      <c r="P239" s="74"/>
      <c r="Q239" s="74"/>
      <c r="R239" s="86"/>
      <c r="S239" s="86"/>
      <c r="T239" s="86"/>
      <c r="U239" s="86"/>
      <c r="V239" s="48"/>
      <c r="W239" s="48"/>
      <c r="X239" s="48"/>
      <c r="Y239" s="48"/>
      <c r="Z239" s="47"/>
      <c r="AA239" s="69">
        <v>239</v>
      </c>
      <c r="AB239" s="69"/>
      <c r="AC239" s="70"/>
      <c r="AD239" s="76" t="s">
        <v>22049</v>
      </c>
      <c r="AE239" s="81" t="s">
        <v>21178</v>
      </c>
      <c r="AF239" s="76">
        <v>136</v>
      </c>
      <c r="AG239" s="76">
        <v>651</v>
      </c>
      <c r="AH239" s="76">
        <v>5070</v>
      </c>
      <c r="AI239" s="76">
        <v>2</v>
      </c>
      <c r="AJ239" s="76">
        <v>2125</v>
      </c>
      <c r="AK239" s="76">
        <v>395</v>
      </c>
      <c r="AL239" s="76" t="b">
        <v>0</v>
      </c>
      <c r="AM239" s="78">
        <v>44466.016840277778</v>
      </c>
      <c r="AN239" s="76" t="s">
        <v>23124</v>
      </c>
      <c r="AO239" s="76" t="s">
        <v>23548</v>
      </c>
      <c r="AP239" s="76"/>
      <c r="AQ239" s="76"/>
      <c r="AR239" s="76"/>
      <c r="AS239" s="76"/>
      <c r="AT239" s="76"/>
      <c r="AU239" s="76"/>
      <c r="AV239" s="76"/>
      <c r="AW239" s="76"/>
      <c r="AX239" s="76" t="b">
        <v>0</v>
      </c>
      <c r="AY239" s="76"/>
      <c r="AZ239" s="76"/>
      <c r="BA239" s="76" t="b">
        <v>0</v>
      </c>
      <c r="BB239" s="76" t="b">
        <v>1</v>
      </c>
      <c r="BC239" s="76" t="b">
        <v>1</v>
      </c>
      <c r="BD239" s="76" t="b">
        <v>0</v>
      </c>
      <c r="BE239" s="76" t="b">
        <v>0</v>
      </c>
      <c r="BF239" s="76" t="b">
        <v>0</v>
      </c>
      <c r="BG239" s="76" t="b">
        <v>0</v>
      </c>
      <c r="BH239" s="83" t="str">
        <f>HYPERLINK("https://pbs.twimg.com/profile_banners/1442283828349792268/1638577843")</f>
        <v>https://pbs.twimg.com/profile_banners/1442283828349792268/1638577843</v>
      </c>
      <c r="BI239" s="76"/>
      <c r="BJ239" s="76" t="s">
        <v>24935</v>
      </c>
      <c r="BK239" s="76" t="b">
        <v>0</v>
      </c>
      <c r="BL239" s="76"/>
      <c r="BM239" s="76" t="s">
        <v>66</v>
      </c>
      <c r="BN239" s="76" t="s">
        <v>24937</v>
      </c>
      <c r="BO239" s="83" t="str">
        <f>HYPERLINK("https://twitter.com/lourivalmagalh6")</f>
        <v>https://twitter.com/lourivalmagalh6</v>
      </c>
      <c r="BP239" s="2"/>
    </row>
    <row r="240" spans="1:68" x14ac:dyDescent="0.25">
      <c r="A240" s="62" t="s">
        <v>1217</v>
      </c>
      <c r="B240" s="63"/>
      <c r="C240" s="63"/>
      <c r="D240" s="64"/>
      <c r="E240" s="66"/>
      <c r="F240" s="102" t="str">
        <f>HYPERLINK("https://pbs.twimg.com/profile_images/1620416878366842880/hF3un4XC_normal.jpg")</f>
        <v>https://pbs.twimg.com/profile_images/1620416878366842880/hF3un4XC_normal.jpg</v>
      </c>
      <c r="G240" s="63"/>
      <c r="H240" s="67"/>
      <c r="I240" s="68"/>
      <c r="J240" s="68"/>
      <c r="K240" s="67" t="s">
        <v>25174</v>
      </c>
      <c r="L240" s="71"/>
      <c r="M240" s="72"/>
      <c r="N240" s="72"/>
      <c r="O240" s="73"/>
      <c r="P240" s="74"/>
      <c r="Q240" s="74"/>
      <c r="R240" s="86"/>
      <c r="S240" s="86"/>
      <c r="T240" s="86"/>
      <c r="U240" s="86"/>
      <c r="V240" s="48"/>
      <c r="W240" s="48"/>
      <c r="X240" s="48"/>
      <c r="Y240" s="48"/>
      <c r="Z240" s="47"/>
      <c r="AA240" s="69">
        <v>240</v>
      </c>
      <c r="AB240" s="69"/>
      <c r="AC240" s="70"/>
      <c r="AD240" s="76" t="s">
        <v>22050</v>
      </c>
      <c r="AE240" s="81" t="s">
        <v>22907</v>
      </c>
      <c r="AF240" s="76">
        <v>10912939</v>
      </c>
      <c r="AG240" s="76">
        <v>1780</v>
      </c>
      <c r="AH240" s="76">
        <v>67420</v>
      </c>
      <c r="AI240" s="76">
        <v>30174</v>
      </c>
      <c r="AJ240" s="76">
        <v>908</v>
      </c>
      <c r="AK240" s="76">
        <v>11396</v>
      </c>
      <c r="AL240" s="76" t="b">
        <v>0</v>
      </c>
      <c r="AM240" s="78">
        <v>39930.63354166667</v>
      </c>
      <c r="AN240" s="76" t="s">
        <v>14033</v>
      </c>
      <c r="AO240" s="76" t="s">
        <v>23549</v>
      </c>
      <c r="AP240" s="83" t="str">
        <f>HYPERLINK("https://t.co/gpTLnUGoEK")</f>
        <v>https://t.co/gpTLnUGoEK</v>
      </c>
      <c r="AQ240" s="83" t="str">
        <f>HYPERLINK("https://www.youtube.com/PanicoJovemPan")</f>
        <v>https://www.youtube.com/PanicoJovemPan</v>
      </c>
      <c r="AR240" s="76" t="s">
        <v>24377</v>
      </c>
      <c r="AS240" s="76"/>
      <c r="AT240" s="76"/>
      <c r="AU240" s="76"/>
      <c r="AV240" s="76"/>
      <c r="AW240" s="83" t="str">
        <f>HYPERLINK("https://t.co/gpTLnUGoEK")</f>
        <v>https://t.co/gpTLnUGoEK</v>
      </c>
      <c r="AX240" s="76" t="b">
        <v>1</v>
      </c>
      <c r="AY240" s="76"/>
      <c r="AZ240" s="76"/>
      <c r="BA240" s="76" t="b">
        <v>0</v>
      </c>
      <c r="BB240" s="76" t="b">
        <v>1</v>
      </c>
      <c r="BC240" s="76" t="b">
        <v>0</v>
      </c>
      <c r="BD240" s="76" t="b">
        <v>0</v>
      </c>
      <c r="BE240" s="76" t="b">
        <v>1</v>
      </c>
      <c r="BF240" s="76" t="b">
        <v>0</v>
      </c>
      <c r="BG240" s="76" t="b">
        <v>0</v>
      </c>
      <c r="BH240" s="83" t="str">
        <f>HYPERLINK("https://pbs.twimg.com/profile_banners/35765232/1675193152")</f>
        <v>https://pbs.twimg.com/profile_banners/35765232/1675193152</v>
      </c>
      <c r="BI240" s="76"/>
      <c r="BJ240" s="76" t="s">
        <v>24935</v>
      </c>
      <c r="BK240" s="76" t="b">
        <v>0</v>
      </c>
      <c r="BL240" s="76"/>
      <c r="BM240" s="76" t="s">
        <v>66</v>
      </c>
      <c r="BN240" s="76" t="s">
        <v>24937</v>
      </c>
      <c r="BO240" s="83" t="str">
        <f>HYPERLINK("https://twitter.com/programapanico")</f>
        <v>https://twitter.com/programapanico</v>
      </c>
      <c r="BP240" s="2"/>
    </row>
    <row r="241" spans="1:68" x14ac:dyDescent="0.25">
      <c r="A241" s="62" t="s">
        <v>453</v>
      </c>
      <c r="B241" s="63"/>
      <c r="C241" s="63"/>
      <c r="D241" s="64"/>
      <c r="E241" s="66"/>
      <c r="F241" s="102" t="str">
        <f>HYPERLINK("https://pbs.twimg.com/profile_images/1625589587148955660/nCBdjGLr_normal.jpg")</f>
        <v>https://pbs.twimg.com/profile_images/1625589587148955660/nCBdjGLr_normal.jpg</v>
      </c>
      <c r="G241" s="63"/>
      <c r="H241" s="67"/>
      <c r="I241" s="68"/>
      <c r="J241" s="68"/>
      <c r="K241" s="67" t="s">
        <v>25175</v>
      </c>
      <c r="L241" s="71"/>
      <c r="M241" s="72"/>
      <c r="N241" s="72"/>
      <c r="O241" s="73"/>
      <c r="P241" s="74"/>
      <c r="Q241" s="74"/>
      <c r="R241" s="86"/>
      <c r="S241" s="86"/>
      <c r="T241" s="86"/>
      <c r="U241" s="86"/>
      <c r="V241" s="48"/>
      <c r="W241" s="48"/>
      <c r="X241" s="48"/>
      <c r="Y241" s="48"/>
      <c r="Z241" s="47"/>
      <c r="AA241" s="69">
        <v>241</v>
      </c>
      <c r="AB241" s="69"/>
      <c r="AC241" s="70"/>
      <c r="AD241" s="76" t="s">
        <v>453</v>
      </c>
      <c r="AE241" s="81" t="s">
        <v>21179</v>
      </c>
      <c r="AF241" s="76">
        <v>42</v>
      </c>
      <c r="AG241" s="76">
        <v>67</v>
      </c>
      <c r="AH241" s="76">
        <v>140</v>
      </c>
      <c r="AI241" s="76">
        <v>0</v>
      </c>
      <c r="AJ241" s="76">
        <v>42</v>
      </c>
      <c r="AK241" s="76">
        <v>55</v>
      </c>
      <c r="AL241" s="76" t="b">
        <v>0</v>
      </c>
      <c r="AM241" s="78">
        <v>44971.843854166669</v>
      </c>
      <c r="AN241" s="76"/>
      <c r="AO241" s="76" t="s">
        <v>23550</v>
      </c>
      <c r="AP241" s="83" t="str">
        <f>HYPERLINK("https://t.co/E5OJGAXM8u")</f>
        <v>https://t.co/E5OJGAXM8u</v>
      </c>
      <c r="AQ241" s="83" t="str">
        <f>HYPERLINK("https://abrir.link/Criarsempre")</f>
        <v>https://abrir.link/Criarsempre</v>
      </c>
      <c r="AR241" s="76" t="s">
        <v>24378</v>
      </c>
      <c r="AS241" s="76"/>
      <c r="AT241" s="76"/>
      <c r="AU241" s="76"/>
      <c r="AV241" s="76">
        <v>1.6912499543904599E+18</v>
      </c>
      <c r="AW241" s="83" t="str">
        <f>HYPERLINK("https://t.co/E5OJGAXM8u")</f>
        <v>https://t.co/E5OJGAXM8u</v>
      </c>
      <c r="AX241" s="76" t="b">
        <v>0</v>
      </c>
      <c r="AY241" s="76"/>
      <c r="AZ241" s="76"/>
      <c r="BA241" s="76" t="b">
        <v>0</v>
      </c>
      <c r="BB241" s="76" t="b">
        <v>1</v>
      </c>
      <c r="BC241" s="76" t="b">
        <v>1</v>
      </c>
      <c r="BD241" s="76" t="b">
        <v>0</v>
      </c>
      <c r="BE241" s="76" t="b">
        <v>0</v>
      </c>
      <c r="BF241" s="76" t="b">
        <v>0</v>
      </c>
      <c r="BG241" s="76" t="b">
        <v>0</v>
      </c>
      <c r="BH241" s="83" t="str">
        <f>HYPERLINK("https://pbs.twimg.com/profile_banners/1625589331267145728/1676846305")</f>
        <v>https://pbs.twimg.com/profile_banners/1625589331267145728/1676846305</v>
      </c>
      <c r="BI241" s="76"/>
      <c r="BJ241" s="76" t="s">
        <v>24935</v>
      </c>
      <c r="BK241" s="76" t="b">
        <v>0</v>
      </c>
      <c r="BL241" s="76"/>
      <c r="BM241" s="76" t="s">
        <v>66</v>
      </c>
      <c r="BN241" s="76" t="s">
        <v>24937</v>
      </c>
      <c r="BO241" s="83" t="str">
        <f>HYPERLINK("https://twitter.com/comunidadealyra")</f>
        <v>https://twitter.com/comunidadealyra</v>
      </c>
      <c r="BP241" s="2"/>
    </row>
    <row r="242" spans="1:68" x14ac:dyDescent="0.25">
      <c r="A242" s="62" t="s">
        <v>454</v>
      </c>
      <c r="B242" s="63"/>
      <c r="C242" s="63"/>
      <c r="D242" s="64"/>
      <c r="E242" s="66"/>
      <c r="F242" s="102" t="str">
        <f>HYPERLINK("https://pbs.twimg.com/profile_images/1646966811869564942/FclCGHvk_normal.jpg")</f>
        <v>https://pbs.twimg.com/profile_images/1646966811869564942/FclCGHvk_normal.jpg</v>
      </c>
      <c r="G242" s="63"/>
      <c r="H242" s="67"/>
      <c r="I242" s="68"/>
      <c r="J242" s="68"/>
      <c r="K242" s="67" t="s">
        <v>25176</v>
      </c>
      <c r="L242" s="71"/>
      <c r="M242" s="72"/>
      <c r="N242" s="72"/>
      <c r="O242" s="73"/>
      <c r="P242" s="74"/>
      <c r="Q242" s="74"/>
      <c r="R242" s="86"/>
      <c r="S242" s="86"/>
      <c r="T242" s="86"/>
      <c r="U242" s="86"/>
      <c r="V242" s="48"/>
      <c r="W242" s="48"/>
      <c r="X242" s="48"/>
      <c r="Y242" s="48"/>
      <c r="Z242" s="47"/>
      <c r="AA242" s="69">
        <v>242</v>
      </c>
      <c r="AB242" s="69"/>
      <c r="AC242" s="70"/>
      <c r="AD242" s="76" t="s">
        <v>22051</v>
      </c>
      <c r="AE242" s="81" t="s">
        <v>21180</v>
      </c>
      <c r="AF242" s="76">
        <v>312</v>
      </c>
      <c r="AG242" s="76">
        <v>1329</v>
      </c>
      <c r="AH242" s="76">
        <v>351</v>
      </c>
      <c r="AI242" s="76">
        <v>1</v>
      </c>
      <c r="AJ242" s="76">
        <v>327</v>
      </c>
      <c r="AK242" s="76">
        <v>136</v>
      </c>
      <c r="AL242" s="76" t="b">
        <v>0</v>
      </c>
      <c r="AM242" s="78">
        <v>43990.829525462963</v>
      </c>
      <c r="AN242" s="76" t="s">
        <v>14040</v>
      </c>
      <c r="AO242" s="76" t="s">
        <v>23551</v>
      </c>
      <c r="AP242" s="83" t="str">
        <f>HYPERLINK("https://t.co/N6VKJR19xV")</f>
        <v>https://t.co/N6VKJR19xV</v>
      </c>
      <c r="AQ242" s="83" t="str">
        <f>HYPERLINK("https://youtube.com/@PES-GAME")</f>
        <v>https://youtube.com/@PES-GAME</v>
      </c>
      <c r="AR242" s="76" t="s">
        <v>24379</v>
      </c>
      <c r="AS242" s="76"/>
      <c r="AT242" s="76"/>
      <c r="AU242" s="76"/>
      <c r="AV242" s="76"/>
      <c r="AW242" s="83" t="str">
        <f>HYPERLINK("https://t.co/N6VKJR19xV")</f>
        <v>https://t.co/N6VKJR19xV</v>
      </c>
      <c r="AX242" s="76" t="b">
        <v>0</v>
      </c>
      <c r="AY242" s="76"/>
      <c r="AZ242" s="76"/>
      <c r="BA242" s="76" t="b">
        <v>0</v>
      </c>
      <c r="BB242" s="76" t="b">
        <v>1</v>
      </c>
      <c r="BC242" s="76" t="b">
        <v>1</v>
      </c>
      <c r="BD242" s="76" t="b">
        <v>0</v>
      </c>
      <c r="BE242" s="76" t="b">
        <v>0</v>
      </c>
      <c r="BF242" s="76" t="b">
        <v>0</v>
      </c>
      <c r="BG242" s="76" t="b">
        <v>0</v>
      </c>
      <c r="BH242" s="83" t="str">
        <f>HYPERLINK("https://pbs.twimg.com/profile_banners/1270081716552695808/1594985806")</f>
        <v>https://pbs.twimg.com/profile_banners/1270081716552695808/1594985806</v>
      </c>
      <c r="BI242" s="76"/>
      <c r="BJ242" s="76" t="s">
        <v>24935</v>
      </c>
      <c r="BK242" s="76" t="b">
        <v>0</v>
      </c>
      <c r="BL242" s="76"/>
      <c r="BM242" s="76" t="s">
        <v>66</v>
      </c>
      <c r="BN242" s="76" t="s">
        <v>24937</v>
      </c>
      <c r="BO242" s="83" t="str">
        <f>HYPERLINK("https://twitter.com/ronaldo191920")</f>
        <v>https://twitter.com/ronaldo191920</v>
      </c>
      <c r="BP242" s="2"/>
    </row>
    <row r="243" spans="1:68" x14ac:dyDescent="0.25">
      <c r="A243" s="62" t="s">
        <v>455</v>
      </c>
      <c r="B243" s="63"/>
      <c r="C243" s="63"/>
      <c r="D243" s="64"/>
      <c r="E243" s="66"/>
      <c r="F243" s="102" t="str">
        <f>HYPERLINK("https://pbs.twimg.com/profile_images/1676984176199827457/fN91XxRL_normal.png")</f>
        <v>https://pbs.twimg.com/profile_images/1676984176199827457/fN91XxRL_normal.png</v>
      </c>
      <c r="G243" s="63"/>
      <c r="H243" s="67"/>
      <c r="I243" s="68"/>
      <c r="J243" s="68"/>
      <c r="K243" s="67" t="s">
        <v>25177</v>
      </c>
      <c r="L243" s="71"/>
      <c r="M243" s="72"/>
      <c r="N243" s="72"/>
      <c r="O243" s="73"/>
      <c r="P243" s="74"/>
      <c r="Q243" s="74"/>
      <c r="R243" s="86"/>
      <c r="S243" s="86"/>
      <c r="T243" s="86"/>
      <c r="U243" s="86"/>
      <c r="V243" s="48"/>
      <c r="W243" s="48"/>
      <c r="X243" s="48"/>
      <c r="Y243" s="48"/>
      <c r="Z243" s="47"/>
      <c r="AA243" s="69">
        <v>243</v>
      </c>
      <c r="AB243" s="69"/>
      <c r="AC243" s="70"/>
      <c r="AD243" s="76" t="s">
        <v>22052</v>
      </c>
      <c r="AE243" s="81" t="s">
        <v>21181</v>
      </c>
      <c r="AF243" s="76">
        <v>1</v>
      </c>
      <c r="AG243" s="76">
        <v>5</v>
      </c>
      <c r="AH243" s="76">
        <v>17</v>
      </c>
      <c r="AI243" s="76">
        <v>0</v>
      </c>
      <c r="AJ243" s="76">
        <v>12</v>
      </c>
      <c r="AK243" s="76">
        <v>6</v>
      </c>
      <c r="AL243" s="76" t="b">
        <v>0</v>
      </c>
      <c r="AM243" s="78">
        <v>45113.617604166669</v>
      </c>
      <c r="AN243" s="76"/>
      <c r="AO243" s="76" t="s">
        <v>23552</v>
      </c>
      <c r="AP243" s="83" t="str">
        <f>HYPERLINK("https://t.co/UvnjP4PZP6")</f>
        <v>https://t.co/UvnjP4PZP6</v>
      </c>
      <c r="AQ243" s="83" t="str">
        <f>HYPERLINK("https://www.xtudoyoutube.com/")</f>
        <v>https://www.xtudoyoutube.com/</v>
      </c>
      <c r="AR243" s="76" t="s">
        <v>24380</v>
      </c>
      <c r="AS243" s="83" t="str">
        <f>HYPERLINK("https://t.co/rxg4FFrChJ")</f>
        <v>https://t.co/rxg4FFrChJ</v>
      </c>
      <c r="AT243" s="83" t="str">
        <f>HYPERLINK("http://youtube.com/@XTudo")</f>
        <v>http://youtube.com/@XTudo</v>
      </c>
      <c r="AU243" s="76" t="s">
        <v>24866</v>
      </c>
      <c r="AV243" s="76"/>
      <c r="AW243" s="83" t="str">
        <f>HYPERLINK("https://t.co/UvnjP4PZP6")</f>
        <v>https://t.co/UvnjP4PZP6</v>
      </c>
      <c r="AX243" s="76" t="b">
        <v>0</v>
      </c>
      <c r="AY243" s="76"/>
      <c r="AZ243" s="76"/>
      <c r="BA243" s="76" t="b">
        <v>0</v>
      </c>
      <c r="BB243" s="76" t="b">
        <v>1</v>
      </c>
      <c r="BC243" s="76" t="b">
        <v>1</v>
      </c>
      <c r="BD243" s="76" t="b">
        <v>0</v>
      </c>
      <c r="BE243" s="76" t="b">
        <v>0</v>
      </c>
      <c r="BF243" s="76" t="b">
        <v>0</v>
      </c>
      <c r="BG243" s="76" t="b">
        <v>0</v>
      </c>
      <c r="BH243" s="76"/>
      <c r="BI243" s="76"/>
      <c r="BJ243" s="76" t="s">
        <v>24935</v>
      </c>
      <c r="BK243" s="76" t="b">
        <v>0</v>
      </c>
      <c r="BL243" s="76"/>
      <c r="BM243" s="76" t="s">
        <v>66</v>
      </c>
      <c r="BN243" s="76" t="s">
        <v>24937</v>
      </c>
      <c r="BO243" s="83" t="str">
        <f>HYPERLINK("https://twitter.com/xtudooficiaal")</f>
        <v>https://twitter.com/xtudooficiaal</v>
      </c>
      <c r="BP243" s="2"/>
    </row>
    <row r="244" spans="1:68" x14ac:dyDescent="0.25">
      <c r="A244" s="62" t="s">
        <v>456</v>
      </c>
      <c r="B244" s="63"/>
      <c r="C244" s="63"/>
      <c r="D244" s="64"/>
      <c r="E244" s="66"/>
      <c r="F244" s="102" t="str">
        <f>HYPERLINK("https://pbs.twimg.com/profile_images/1477784477422211076/lTLhK21G_normal.png")</f>
        <v>https://pbs.twimg.com/profile_images/1477784477422211076/lTLhK21G_normal.png</v>
      </c>
      <c r="G244" s="63"/>
      <c r="H244" s="67"/>
      <c r="I244" s="68"/>
      <c r="J244" s="68"/>
      <c r="K244" s="67" t="s">
        <v>25178</v>
      </c>
      <c r="L244" s="71"/>
      <c r="M244" s="72"/>
      <c r="N244" s="72"/>
      <c r="O244" s="73"/>
      <c r="P244" s="74"/>
      <c r="Q244" s="74"/>
      <c r="R244" s="86"/>
      <c r="S244" s="86"/>
      <c r="T244" s="86"/>
      <c r="U244" s="86"/>
      <c r="V244" s="48"/>
      <c r="W244" s="48"/>
      <c r="X244" s="48"/>
      <c r="Y244" s="48"/>
      <c r="Z244" s="47"/>
      <c r="AA244" s="69">
        <v>244</v>
      </c>
      <c r="AB244" s="69"/>
      <c r="AC244" s="70"/>
      <c r="AD244" s="76" t="s">
        <v>22053</v>
      </c>
      <c r="AE244" s="81" t="s">
        <v>21182</v>
      </c>
      <c r="AF244" s="76">
        <v>2</v>
      </c>
      <c r="AG244" s="76">
        <v>0</v>
      </c>
      <c r="AH244" s="76">
        <v>92</v>
      </c>
      <c r="AI244" s="76">
        <v>0</v>
      </c>
      <c r="AJ244" s="76">
        <v>0</v>
      </c>
      <c r="AK244" s="76">
        <v>10</v>
      </c>
      <c r="AL244" s="76" t="b">
        <v>0</v>
      </c>
      <c r="AM244" s="78">
        <v>44563.979733796295</v>
      </c>
      <c r="AN244" s="76" t="s">
        <v>14033</v>
      </c>
      <c r="AO244" s="76" t="s">
        <v>23553</v>
      </c>
      <c r="AP244" s="83" t="str">
        <f>HYPERLINK("https://t.co/xHucQU4zI2")</f>
        <v>https://t.co/xHucQU4zI2</v>
      </c>
      <c r="AQ244" s="83" t="str">
        <f>HYPERLINK("https://dicasdomesticas.com/")</f>
        <v>https://dicasdomesticas.com/</v>
      </c>
      <c r="AR244" s="76" t="s">
        <v>7321</v>
      </c>
      <c r="AS244" s="76"/>
      <c r="AT244" s="76"/>
      <c r="AU244" s="76"/>
      <c r="AV244" s="76"/>
      <c r="AW244" s="83" t="str">
        <f>HYPERLINK("https://t.co/xHucQU4zI2")</f>
        <v>https://t.co/xHucQU4zI2</v>
      </c>
      <c r="AX244" s="76" t="b">
        <v>0</v>
      </c>
      <c r="AY244" s="76"/>
      <c r="AZ244" s="76"/>
      <c r="BA244" s="76" t="b">
        <v>0</v>
      </c>
      <c r="BB244" s="76" t="b">
        <v>1</v>
      </c>
      <c r="BC244" s="76" t="b">
        <v>1</v>
      </c>
      <c r="BD244" s="76" t="b">
        <v>0</v>
      </c>
      <c r="BE244" s="76" t="b">
        <v>0</v>
      </c>
      <c r="BF244" s="76" t="b">
        <v>0</v>
      </c>
      <c r="BG244" s="76" t="b">
        <v>0</v>
      </c>
      <c r="BH244" s="83" t="str">
        <f>HYPERLINK("https://pbs.twimg.com/profile_banners/1477784352780169219/1641167042")</f>
        <v>https://pbs.twimg.com/profile_banners/1477784352780169219/1641167042</v>
      </c>
      <c r="BI244" s="76"/>
      <c r="BJ244" s="76" t="s">
        <v>24935</v>
      </c>
      <c r="BK244" s="76" t="b">
        <v>0</v>
      </c>
      <c r="BL244" s="76"/>
      <c r="BM244" s="76" t="s">
        <v>66</v>
      </c>
      <c r="BN244" s="76" t="s">
        <v>24937</v>
      </c>
      <c r="BO244" s="83" t="str">
        <f>HYPERLINK("https://twitter.com/domesticasdicas")</f>
        <v>https://twitter.com/domesticasdicas</v>
      </c>
      <c r="BP244" s="2"/>
    </row>
    <row r="245" spans="1:68" x14ac:dyDescent="0.25">
      <c r="A245" s="62" t="s">
        <v>457</v>
      </c>
      <c r="B245" s="63"/>
      <c r="C245" s="63"/>
      <c r="D245" s="64"/>
      <c r="E245" s="66"/>
      <c r="F245" s="102" t="str">
        <f>HYPERLINK("https://pbs.twimg.com/profile_images/1648040016268914713/NMRuTNtY_normal.jpg")</f>
        <v>https://pbs.twimg.com/profile_images/1648040016268914713/NMRuTNtY_normal.jpg</v>
      </c>
      <c r="G245" s="63"/>
      <c r="H245" s="67"/>
      <c r="I245" s="68"/>
      <c r="J245" s="68"/>
      <c r="K245" s="67" t="s">
        <v>25179</v>
      </c>
      <c r="L245" s="71"/>
      <c r="M245" s="72"/>
      <c r="N245" s="72"/>
      <c r="O245" s="73"/>
      <c r="P245" s="74"/>
      <c r="Q245" s="74"/>
      <c r="R245" s="86"/>
      <c r="S245" s="86"/>
      <c r="T245" s="86"/>
      <c r="U245" s="86"/>
      <c r="V245" s="48"/>
      <c r="W245" s="48"/>
      <c r="X245" s="48"/>
      <c r="Y245" s="48"/>
      <c r="Z245" s="47"/>
      <c r="AA245" s="69">
        <v>245</v>
      </c>
      <c r="AB245" s="69"/>
      <c r="AC245" s="70"/>
      <c r="AD245" s="76" t="s">
        <v>22054</v>
      </c>
      <c r="AE245" s="81" t="s">
        <v>21183</v>
      </c>
      <c r="AF245" s="76">
        <v>2</v>
      </c>
      <c r="AG245" s="76">
        <v>1</v>
      </c>
      <c r="AH245" s="76">
        <v>43</v>
      </c>
      <c r="AI245" s="76">
        <v>0</v>
      </c>
      <c r="AJ245" s="76">
        <v>4</v>
      </c>
      <c r="AK245" s="76">
        <v>0</v>
      </c>
      <c r="AL245" s="76" t="b">
        <v>0</v>
      </c>
      <c r="AM245" s="78">
        <v>45033.795185185183</v>
      </c>
      <c r="AN245" s="76"/>
      <c r="AO245" s="76"/>
      <c r="AP245" s="76"/>
      <c r="AQ245" s="76"/>
      <c r="AR245" s="76"/>
      <c r="AS245" s="76"/>
      <c r="AT245" s="76"/>
      <c r="AU245" s="76"/>
      <c r="AV245" s="76"/>
      <c r="AW245" s="76"/>
      <c r="AX245" s="76" t="b">
        <v>0</v>
      </c>
      <c r="AY245" s="76"/>
      <c r="AZ245" s="76"/>
      <c r="BA245" s="76" t="b">
        <v>0</v>
      </c>
      <c r="BB245" s="76" t="b">
        <v>1</v>
      </c>
      <c r="BC245" s="76" t="b">
        <v>1</v>
      </c>
      <c r="BD245" s="76" t="b">
        <v>0</v>
      </c>
      <c r="BE245" s="76" t="b">
        <v>0</v>
      </c>
      <c r="BF245" s="76" t="b">
        <v>0</v>
      </c>
      <c r="BG245" s="76" t="b">
        <v>0</v>
      </c>
      <c r="BH245" s="83" t="str">
        <f>HYPERLINK("https://pbs.twimg.com/profile_banners/1648039815156232205/1681758536")</f>
        <v>https://pbs.twimg.com/profile_banners/1648039815156232205/1681758536</v>
      </c>
      <c r="BI245" s="76"/>
      <c r="BJ245" s="76" t="s">
        <v>24935</v>
      </c>
      <c r="BK245" s="76" t="b">
        <v>0</v>
      </c>
      <c r="BL245" s="76"/>
      <c r="BM245" s="76" t="s">
        <v>66</v>
      </c>
      <c r="BN245" s="76" t="s">
        <v>24937</v>
      </c>
      <c r="BO245" s="83" t="str">
        <f>HYPERLINK("https://twitter.com/reidosartigos")</f>
        <v>https://twitter.com/reidosartigos</v>
      </c>
      <c r="BP245" s="2"/>
    </row>
    <row r="246" spans="1:68" x14ac:dyDescent="0.25">
      <c r="A246" s="62" t="s">
        <v>458</v>
      </c>
      <c r="B246" s="63"/>
      <c r="C246" s="63"/>
      <c r="D246" s="64"/>
      <c r="E246" s="66"/>
      <c r="F246" s="102" t="str">
        <f>HYPERLINK("https://pbs.twimg.com/profile_images/1697182144110432256/sOpgCW5a_normal.jpg")</f>
        <v>https://pbs.twimg.com/profile_images/1697182144110432256/sOpgCW5a_normal.jpg</v>
      </c>
      <c r="G246" s="63"/>
      <c r="H246" s="67"/>
      <c r="I246" s="68"/>
      <c r="J246" s="68"/>
      <c r="K246" s="67" t="s">
        <v>25180</v>
      </c>
      <c r="L246" s="71"/>
      <c r="M246" s="72"/>
      <c r="N246" s="72"/>
      <c r="O246" s="73"/>
      <c r="P246" s="74"/>
      <c r="Q246" s="74"/>
      <c r="R246" s="86"/>
      <c r="S246" s="86"/>
      <c r="T246" s="86"/>
      <c r="U246" s="86"/>
      <c r="V246" s="48"/>
      <c r="W246" s="48"/>
      <c r="X246" s="48"/>
      <c r="Y246" s="48"/>
      <c r="Z246" s="47"/>
      <c r="AA246" s="69">
        <v>246</v>
      </c>
      <c r="AB246" s="69"/>
      <c r="AC246" s="70"/>
      <c r="AD246" s="76" t="s">
        <v>22055</v>
      </c>
      <c r="AE246" s="81" t="s">
        <v>22908</v>
      </c>
      <c r="AF246" s="76">
        <v>352</v>
      </c>
      <c r="AG246" s="76">
        <v>2271</v>
      </c>
      <c r="AH246" s="76">
        <v>6694</v>
      </c>
      <c r="AI246" s="76">
        <v>7</v>
      </c>
      <c r="AJ246" s="76">
        <v>6118</v>
      </c>
      <c r="AK246" s="76">
        <v>1637</v>
      </c>
      <c r="AL246" s="76" t="b">
        <v>0</v>
      </c>
      <c r="AM246" s="78">
        <v>40437.013749999998</v>
      </c>
      <c r="AN246" s="76" t="s">
        <v>23139</v>
      </c>
      <c r="AO246" s="76" t="s">
        <v>23554</v>
      </c>
      <c r="AP246" s="83" t="str">
        <f>HYPERLINK("https://t.co/VW8oVPqMSX")</f>
        <v>https://t.co/VW8oVPqMSX</v>
      </c>
      <c r="AQ246" s="83" t="str">
        <f>HYPERLINK("https://linktr.ee/wiskton")</f>
        <v>https://linktr.ee/wiskton</v>
      </c>
      <c r="AR246" s="76" t="s">
        <v>24381</v>
      </c>
      <c r="AS246" s="76"/>
      <c r="AT246" s="76"/>
      <c r="AU246" s="76"/>
      <c r="AV246" s="76">
        <v>1.6117939705891999E+18</v>
      </c>
      <c r="AW246" s="83" t="str">
        <f>HYPERLINK("https://t.co/VW8oVPqMSX")</f>
        <v>https://t.co/VW8oVPqMSX</v>
      </c>
      <c r="AX246" s="76" t="b">
        <v>0</v>
      </c>
      <c r="AY246" s="76"/>
      <c r="AZ246" s="76"/>
      <c r="BA246" s="76" t="b">
        <v>0</v>
      </c>
      <c r="BB246" s="76" t="b">
        <v>1</v>
      </c>
      <c r="BC246" s="76" t="b">
        <v>0</v>
      </c>
      <c r="BD246" s="76" t="b">
        <v>0</v>
      </c>
      <c r="BE246" s="76" t="b">
        <v>0</v>
      </c>
      <c r="BF246" s="76" t="b">
        <v>0</v>
      </c>
      <c r="BG246" s="76" t="b">
        <v>0</v>
      </c>
      <c r="BH246" s="83" t="str">
        <f>HYPERLINK("https://pbs.twimg.com/profile_banners/191255810/1667734555")</f>
        <v>https://pbs.twimg.com/profile_banners/191255810/1667734555</v>
      </c>
      <c r="BI246" s="76"/>
      <c r="BJ246" s="76" t="s">
        <v>24935</v>
      </c>
      <c r="BK246" s="76" t="b">
        <v>0</v>
      </c>
      <c r="BL246" s="76"/>
      <c r="BM246" s="76" t="s">
        <v>66</v>
      </c>
      <c r="BN246" s="76" t="s">
        <v>24937</v>
      </c>
      <c r="BO246" s="83" t="str">
        <f>HYPERLINK("https://twitter.com/wiskton")</f>
        <v>https://twitter.com/wiskton</v>
      </c>
      <c r="BP246" s="2"/>
    </row>
    <row r="247" spans="1:68" x14ac:dyDescent="0.25">
      <c r="A247" s="62" t="s">
        <v>459</v>
      </c>
      <c r="B247" s="63"/>
      <c r="C247" s="63"/>
      <c r="D247" s="64"/>
      <c r="E247" s="66"/>
      <c r="F247" s="102" t="str">
        <f>HYPERLINK("https://pbs.twimg.com/profile_images/1680166848711602176/bHmzykhl_normal.jpg")</f>
        <v>https://pbs.twimg.com/profile_images/1680166848711602176/bHmzykhl_normal.jpg</v>
      </c>
      <c r="G247" s="63"/>
      <c r="H247" s="67"/>
      <c r="I247" s="68"/>
      <c r="J247" s="68"/>
      <c r="K247" s="67" t="s">
        <v>25181</v>
      </c>
      <c r="L247" s="71"/>
      <c r="M247" s="72"/>
      <c r="N247" s="72"/>
      <c r="O247" s="73"/>
      <c r="P247" s="74"/>
      <c r="Q247" s="74"/>
      <c r="R247" s="86"/>
      <c r="S247" s="86"/>
      <c r="T247" s="86"/>
      <c r="U247" s="86"/>
      <c r="V247" s="48"/>
      <c r="W247" s="48"/>
      <c r="X247" s="48"/>
      <c r="Y247" s="48"/>
      <c r="Z247" s="47"/>
      <c r="AA247" s="69">
        <v>247</v>
      </c>
      <c r="AB247" s="69"/>
      <c r="AC247" s="70"/>
      <c r="AD247" s="76" t="s">
        <v>22056</v>
      </c>
      <c r="AE247" s="81" t="s">
        <v>21184</v>
      </c>
      <c r="AF247" s="76">
        <v>0</v>
      </c>
      <c r="AG247" s="76">
        <v>27</v>
      </c>
      <c r="AH247" s="76">
        <v>10</v>
      </c>
      <c r="AI247" s="76">
        <v>0</v>
      </c>
      <c r="AJ247" s="76">
        <v>121</v>
      </c>
      <c r="AK247" s="76">
        <v>3</v>
      </c>
      <c r="AL247" s="76" t="b">
        <v>0</v>
      </c>
      <c r="AM247" s="78">
        <v>44868.94027777778</v>
      </c>
      <c r="AN247" s="76"/>
      <c r="AO247" s="76" t="s">
        <v>23555</v>
      </c>
      <c r="AP247" s="83" t="str">
        <f>HYPERLINK("https://t.co/N5cSWODhjm")</f>
        <v>https://t.co/N5cSWODhjm</v>
      </c>
      <c r="AQ247" s="83" t="str">
        <f>HYPERLINK("https://t.me/ruanpalpitesfc")</f>
        <v>https://t.me/ruanpalpitesfc</v>
      </c>
      <c r="AR247" s="76" t="s">
        <v>24382</v>
      </c>
      <c r="AS247" s="76"/>
      <c r="AT247" s="76"/>
      <c r="AU247" s="76"/>
      <c r="AV247" s="76"/>
      <c r="AW247" s="83" t="str">
        <f>HYPERLINK("https://t.co/N5cSWODhjm")</f>
        <v>https://t.co/N5cSWODhjm</v>
      </c>
      <c r="AX247" s="76" t="b">
        <v>0</v>
      </c>
      <c r="AY247" s="76"/>
      <c r="AZ247" s="76"/>
      <c r="BA247" s="76" t="b">
        <v>0</v>
      </c>
      <c r="BB247" s="76" t="b">
        <v>1</v>
      </c>
      <c r="BC247" s="76" t="b">
        <v>1</v>
      </c>
      <c r="BD247" s="76" t="b">
        <v>0</v>
      </c>
      <c r="BE247" s="76" t="b">
        <v>0</v>
      </c>
      <c r="BF247" s="76" t="b">
        <v>0</v>
      </c>
      <c r="BG247" s="76" t="b">
        <v>0</v>
      </c>
      <c r="BH247" s="83" t="str">
        <f>HYPERLINK("https://pbs.twimg.com/profile_banners/1588298391322345473/1689508919")</f>
        <v>https://pbs.twimg.com/profile_banners/1588298391322345473/1689508919</v>
      </c>
      <c r="BI247" s="76"/>
      <c r="BJ247" s="76" t="s">
        <v>24935</v>
      </c>
      <c r="BK247" s="76" t="b">
        <v>0</v>
      </c>
      <c r="BL247" s="76"/>
      <c r="BM247" s="76" t="s">
        <v>66</v>
      </c>
      <c r="BN247" s="76" t="s">
        <v>24937</v>
      </c>
      <c r="BO247" s="83" t="str">
        <f>HYPERLINK("https://twitter.com/listdaminacdm")</f>
        <v>https://twitter.com/listdaminacdm</v>
      </c>
      <c r="BP247" s="2"/>
    </row>
    <row r="248" spans="1:68" x14ac:dyDescent="0.25">
      <c r="A248" s="62" t="s">
        <v>460</v>
      </c>
      <c r="B248" s="63"/>
      <c r="C248" s="63"/>
      <c r="D248" s="64"/>
      <c r="E248" s="66"/>
      <c r="F248" s="102" t="str">
        <f>HYPERLINK("https://pbs.twimg.com/profile_images/1652047282924036108/cn626MBO_normal.jpg")</f>
        <v>https://pbs.twimg.com/profile_images/1652047282924036108/cn626MBO_normal.jpg</v>
      </c>
      <c r="G248" s="63"/>
      <c r="H248" s="67"/>
      <c r="I248" s="68"/>
      <c r="J248" s="68"/>
      <c r="K248" s="67" t="s">
        <v>25182</v>
      </c>
      <c r="L248" s="71"/>
      <c r="M248" s="72"/>
      <c r="N248" s="72"/>
      <c r="O248" s="73"/>
      <c r="P248" s="74"/>
      <c r="Q248" s="74"/>
      <c r="R248" s="86"/>
      <c r="S248" s="86"/>
      <c r="T248" s="86"/>
      <c r="U248" s="86"/>
      <c r="V248" s="48"/>
      <c r="W248" s="48"/>
      <c r="X248" s="48"/>
      <c r="Y248" s="48"/>
      <c r="Z248" s="47"/>
      <c r="AA248" s="69">
        <v>248</v>
      </c>
      <c r="AB248" s="69"/>
      <c r="AC248" s="70"/>
      <c r="AD248" s="76" t="s">
        <v>22057</v>
      </c>
      <c r="AE248" s="81" t="s">
        <v>21185</v>
      </c>
      <c r="AF248" s="76">
        <v>0</v>
      </c>
      <c r="AG248" s="76">
        <v>18</v>
      </c>
      <c r="AH248" s="76">
        <v>48</v>
      </c>
      <c r="AI248" s="76">
        <v>0</v>
      </c>
      <c r="AJ248" s="76">
        <v>0</v>
      </c>
      <c r="AK248" s="76">
        <v>1</v>
      </c>
      <c r="AL248" s="76" t="b">
        <v>0</v>
      </c>
      <c r="AM248" s="78">
        <v>44824.948854166665</v>
      </c>
      <c r="AN248" s="76"/>
      <c r="AO248" s="76" t="s">
        <v>23556</v>
      </c>
      <c r="AP248" s="76"/>
      <c r="AQ248" s="76"/>
      <c r="AR248" s="76"/>
      <c r="AS248" s="76"/>
      <c r="AT248" s="76"/>
      <c r="AU248" s="76"/>
      <c r="AV248" s="76"/>
      <c r="AW248" s="76"/>
      <c r="AX248" s="76" t="b">
        <v>0</v>
      </c>
      <c r="AY248" s="76"/>
      <c r="AZ248" s="76"/>
      <c r="BA248" s="76" t="b">
        <v>0</v>
      </c>
      <c r="BB248" s="76" t="b">
        <v>1</v>
      </c>
      <c r="BC248" s="76" t="b">
        <v>1</v>
      </c>
      <c r="BD248" s="76" t="b">
        <v>0</v>
      </c>
      <c r="BE248" s="76" t="b">
        <v>0</v>
      </c>
      <c r="BF248" s="76" t="b">
        <v>0</v>
      </c>
      <c r="BG248" s="76" t="b">
        <v>0</v>
      </c>
      <c r="BH248" s="83" t="str">
        <f>HYPERLINK("https://pbs.twimg.com/profile_banners/1572356437027835911/1686947871")</f>
        <v>https://pbs.twimg.com/profile_banners/1572356437027835911/1686947871</v>
      </c>
      <c r="BI248" s="76"/>
      <c r="BJ248" s="76" t="s">
        <v>24935</v>
      </c>
      <c r="BK248" s="76" t="b">
        <v>0</v>
      </c>
      <c r="BL248" s="76"/>
      <c r="BM248" s="76" t="s">
        <v>66</v>
      </c>
      <c r="BN248" s="76" t="s">
        <v>24937</v>
      </c>
      <c r="BO248" s="83" t="str">
        <f>HYPERLINK("https://twitter.com/eduardahelenad5")</f>
        <v>https://twitter.com/eduardahelenad5</v>
      </c>
      <c r="BP248" s="2"/>
    </row>
    <row r="249" spans="1:68" x14ac:dyDescent="0.25">
      <c r="A249" s="62" t="s">
        <v>461</v>
      </c>
      <c r="B249" s="63"/>
      <c r="C249" s="63"/>
      <c r="D249" s="64"/>
      <c r="E249" s="66"/>
      <c r="F249" s="102" t="str">
        <f>HYPERLINK("https://pbs.twimg.com/profile_images/1618618373188771840/KYoQGlLm_normal.jpg")</f>
        <v>https://pbs.twimg.com/profile_images/1618618373188771840/KYoQGlLm_normal.jpg</v>
      </c>
      <c r="G249" s="63"/>
      <c r="H249" s="67"/>
      <c r="I249" s="68"/>
      <c r="J249" s="68"/>
      <c r="K249" s="67" t="s">
        <v>25183</v>
      </c>
      <c r="L249" s="71"/>
      <c r="M249" s="72"/>
      <c r="N249" s="72"/>
      <c r="O249" s="73"/>
      <c r="P249" s="74"/>
      <c r="Q249" s="74"/>
      <c r="R249" s="86"/>
      <c r="S249" s="86"/>
      <c r="T249" s="86"/>
      <c r="U249" s="86"/>
      <c r="V249" s="48"/>
      <c r="W249" s="48"/>
      <c r="X249" s="48"/>
      <c r="Y249" s="48"/>
      <c r="Z249" s="47"/>
      <c r="AA249" s="69">
        <v>249</v>
      </c>
      <c r="AB249" s="69"/>
      <c r="AC249" s="70"/>
      <c r="AD249" s="76" t="s">
        <v>22058</v>
      </c>
      <c r="AE249" s="81" t="s">
        <v>21186</v>
      </c>
      <c r="AF249" s="76">
        <v>0</v>
      </c>
      <c r="AG249" s="76">
        <v>6</v>
      </c>
      <c r="AH249" s="76">
        <v>83</v>
      </c>
      <c r="AI249" s="76">
        <v>0</v>
      </c>
      <c r="AJ249" s="76">
        <v>0</v>
      </c>
      <c r="AK249" s="76">
        <v>80</v>
      </c>
      <c r="AL249" s="76" t="b">
        <v>0</v>
      </c>
      <c r="AM249" s="78">
        <v>44886.408356481479</v>
      </c>
      <c r="AN249" s="76" t="s">
        <v>23140</v>
      </c>
      <c r="AO249" s="76" t="s">
        <v>23557</v>
      </c>
      <c r="AP249" s="76"/>
      <c r="AQ249" s="76"/>
      <c r="AR249" s="76"/>
      <c r="AS249" s="76"/>
      <c r="AT249" s="76"/>
      <c r="AU249" s="76"/>
      <c r="AV249" s="76"/>
      <c r="AW249" s="76"/>
      <c r="AX249" s="76" t="b">
        <v>0</v>
      </c>
      <c r="AY249" s="76"/>
      <c r="AZ249" s="76"/>
      <c r="BA249" s="76" t="b">
        <v>0</v>
      </c>
      <c r="BB249" s="76" t="b">
        <v>1</v>
      </c>
      <c r="BC249" s="76" t="b">
        <v>1</v>
      </c>
      <c r="BD249" s="76" t="b">
        <v>0</v>
      </c>
      <c r="BE249" s="76" t="b">
        <v>0</v>
      </c>
      <c r="BF249" s="76" t="b">
        <v>0</v>
      </c>
      <c r="BG249" s="76" t="b">
        <v>0</v>
      </c>
      <c r="BH249" s="76"/>
      <c r="BI249" s="76"/>
      <c r="BJ249" s="76" t="s">
        <v>24935</v>
      </c>
      <c r="BK249" s="76" t="b">
        <v>0</v>
      </c>
      <c r="BL249" s="76"/>
      <c r="BM249" s="76" t="s">
        <v>66</v>
      </c>
      <c r="BN249" s="76" t="s">
        <v>24937</v>
      </c>
      <c r="BO249" s="83" t="str">
        <f>HYPERLINK("https://twitter.com/veravilela04")</f>
        <v>https://twitter.com/veravilela04</v>
      </c>
      <c r="BP249" s="2"/>
    </row>
    <row r="250" spans="1:68" x14ac:dyDescent="0.25">
      <c r="A250" s="62" t="s">
        <v>462</v>
      </c>
      <c r="B250" s="63"/>
      <c r="C250" s="63"/>
      <c r="D250" s="64"/>
      <c r="E250" s="66"/>
      <c r="F250" s="102" t="str">
        <f>HYPERLINK("https://pbs.twimg.com/profile_images/1621177597739548673/Dqfauf7l_normal.jpg")</f>
        <v>https://pbs.twimg.com/profile_images/1621177597739548673/Dqfauf7l_normal.jpg</v>
      </c>
      <c r="G250" s="63"/>
      <c r="H250" s="67"/>
      <c r="I250" s="68"/>
      <c r="J250" s="68"/>
      <c r="K250" s="67" t="s">
        <v>25184</v>
      </c>
      <c r="L250" s="71"/>
      <c r="M250" s="72"/>
      <c r="N250" s="72"/>
      <c r="O250" s="73"/>
      <c r="P250" s="74"/>
      <c r="Q250" s="74"/>
      <c r="R250" s="86"/>
      <c r="S250" s="86"/>
      <c r="T250" s="86"/>
      <c r="U250" s="86"/>
      <c r="V250" s="48"/>
      <c r="W250" s="48"/>
      <c r="X250" s="48"/>
      <c r="Y250" s="48"/>
      <c r="Z250" s="47"/>
      <c r="AA250" s="69">
        <v>250</v>
      </c>
      <c r="AB250" s="69"/>
      <c r="AC250" s="70"/>
      <c r="AD250" s="76" t="s">
        <v>22059</v>
      </c>
      <c r="AE250" s="81" t="s">
        <v>21187</v>
      </c>
      <c r="AF250" s="76">
        <v>93</v>
      </c>
      <c r="AG250" s="76">
        <v>10</v>
      </c>
      <c r="AH250" s="76">
        <v>107</v>
      </c>
      <c r="AI250" s="76">
        <v>0</v>
      </c>
      <c r="AJ250" s="76">
        <v>23</v>
      </c>
      <c r="AK250" s="76">
        <v>69</v>
      </c>
      <c r="AL250" s="76" t="b">
        <v>0</v>
      </c>
      <c r="AM250" s="78">
        <v>44762.939062500001</v>
      </c>
      <c r="AN250" s="76"/>
      <c r="AO250" s="76" t="s">
        <v>23558</v>
      </c>
      <c r="AP250" s="83" t="str">
        <f>HYPERLINK("https://t.co/w5FBRgVZB3")</f>
        <v>https://t.co/w5FBRgVZB3</v>
      </c>
      <c r="AQ250" s="83" t="str">
        <f>HYPERLINK("http://linkme.bio/stakemaster/")</f>
        <v>http://linkme.bio/stakemaster/</v>
      </c>
      <c r="AR250" s="76" t="s">
        <v>24383</v>
      </c>
      <c r="AS250" s="76"/>
      <c r="AT250" s="76"/>
      <c r="AU250" s="76"/>
      <c r="AV250" s="76"/>
      <c r="AW250" s="83" t="str">
        <f>HYPERLINK("https://t.co/w5FBRgVZB3")</f>
        <v>https://t.co/w5FBRgVZB3</v>
      </c>
      <c r="AX250" s="76" t="b">
        <v>0</v>
      </c>
      <c r="AY250" s="76"/>
      <c r="AZ250" s="76"/>
      <c r="BA250" s="76" t="b">
        <v>1</v>
      </c>
      <c r="BB250" s="76" t="b">
        <v>1</v>
      </c>
      <c r="BC250" s="76" t="b">
        <v>1</v>
      </c>
      <c r="BD250" s="76" t="b">
        <v>0</v>
      </c>
      <c r="BE250" s="76" t="b">
        <v>0</v>
      </c>
      <c r="BF250" s="76" t="b">
        <v>0</v>
      </c>
      <c r="BG250" s="76" t="b">
        <v>0</v>
      </c>
      <c r="BH250" s="83" t="str">
        <f>HYPERLINK("https://pbs.twimg.com/profile_banners/1549884858276741123/1660539474")</f>
        <v>https://pbs.twimg.com/profile_banners/1549884858276741123/1660539474</v>
      </c>
      <c r="BI250" s="76"/>
      <c r="BJ250" s="76" t="s">
        <v>24935</v>
      </c>
      <c r="BK250" s="76" t="b">
        <v>0</v>
      </c>
      <c r="BL250" s="76"/>
      <c r="BM250" s="76" t="s">
        <v>66</v>
      </c>
      <c r="BN250" s="76" t="s">
        <v>24937</v>
      </c>
      <c r="BO250" s="83" t="str">
        <f>HYPERLINK("https://twitter.com/stakemasterr")</f>
        <v>https://twitter.com/stakemasterr</v>
      </c>
      <c r="BP250" s="2"/>
    </row>
    <row r="251" spans="1:68" x14ac:dyDescent="0.25">
      <c r="A251" s="62" t="s">
        <v>463</v>
      </c>
      <c r="B251" s="63"/>
      <c r="C251" s="63"/>
      <c r="D251" s="64"/>
      <c r="E251" s="66"/>
      <c r="F251" s="102" t="str">
        <f>HYPERLINK("https://pbs.twimg.com/profile_images/1664581304644431873/GugULGY2_normal.jpg")</f>
        <v>https://pbs.twimg.com/profile_images/1664581304644431873/GugULGY2_normal.jpg</v>
      </c>
      <c r="G251" s="63"/>
      <c r="H251" s="67"/>
      <c r="I251" s="68"/>
      <c r="J251" s="68"/>
      <c r="K251" s="67" t="s">
        <v>25185</v>
      </c>
      <c r="L251" s="71"/>
      <c r="M251" s="72"/>
      <c r="N251" s="72"/>
      <c r="O251" s="73"/>
      <c r="P251" s="74"/>
      <c r="Q251" s="74"/>
      <c r="R251" s="86"/>
      <c r="S251" s="86"/>
      <c r="T251" s="86"/>
      <c r="U251" s="86"/>
      <c r="V251" s="48"/>
      <c r="W251" s="48"/>
      <c r="X251" s="48"/>
      <c r="Y251" s="48"/>
      <c r="Z251" s="47"/>
      <c r="AA251" s="69">
        <v>251</v>
      </c>
      <c r="AB251" s="69"/>
      <c r="AC251" s="70"/>
      <c r="AD251" s="76" t="s">
        <v>22060</v>
      </c>
      <c r="AE251" s="81" t="s">
        <v>21188</v>
      </c>
      <c r="AF251" s="76">
        <v>11</v>
      </c>
      <c r="AG251" s="76">
        <v>14</v>
      </c>
      <c r="AH251" s="76">
        <v>325</v>
      </c>
      <c r="AI251" s="76">
        <v>0</v>
      </c>
      <c r="AJ251" s="76">
        <v>1557</v>
      </c>
      <c r="AK251" s="76">
        <v>21</v>
      </c>
      <c r="AL251" s="76" t="b">
        <v>0</v>
      </c>
      <c r="AM251" s="78">
        <v>44965.124791666669</v>
      </c>
      <c r="AN251" s="76"/>
      <c r="AO251" s="76"/>
      <c r="AP251" s="76"/>
      <c r="AQ251" s="76"/>
      <c r="AR251" s="76"/>
      <c r="AS251" s="76"/>
      <c r="AT251" s="76"/>
      <c r="AU251" s="76"/>
      <c r="AV251" s="76"/>
      <c r="AW251" s="76"/>
      <c r="AX251" s="76" t="b">
        <v>0</v>
      </c>
      <c r="AY251" s="76"/>
      <c r="AZ251" s="76"/>
      <c r="BA251" s="76" t="b">
        <v>0</v>
      </c>
      <c r="BB251" s="76" t="b">
        <v>1</v>
      </c>
      <c r="BC251" s="76" t="b">
        <v>1</v>
      </c>
      <c r="BD251" s="76" t="b">
        <v>0</v>
      </c>
      <c r="BE251" s="76" t="b">
        <v>0</v>
      </c>
      <c r="BF251" s="76" t="b">
        <v>0</v>
      </c>
      <c r="BG251" s="76" t="b">
        <v>0</v>
      </c>
      <c r="BH251" s="83" t="str">
        <f>HYPERLINK("https://pbs.twimg.com/profile_banners/1623154458963202049/1685701613")</f>
        <v>https://pbs.twimg.com/profile_banners/1623154458963202049/1685701613</v>
      </c>
      <c r="BI251" s="76"/>
      <c r="BJ251" s="76" t="s">
        <v>24935</v>
      </c>
      <c r="BK251" s="76" t="b">
        <v>0</v>
      </c>
      <c r="BL251" s="76"/>
      <c r="BM251" s="76" t="s">
        <v>66</v>
      </c>
      <c r="BN251" s="76" t="s">
        <v>24937</v>
      </c>
      <c r="BO251" s="83" t="str">
        <f>HYPERLINK("https://twitter.com/gabsbluez")</f>
        <v>https://twitter.com/gabsbluez</v>
      </c>
      <c r="BP251" s="2"/>
    </row>
    <row r="252" spans="1:68" x14ac:dyDescent="0.25">
      <c r="A252" s="62" t="s">
        <v>464</v>
      </c>
      <c r="B252" s="63"/>
      <c r="C252" s="63"/>
      <c r="D252" s="64"/>
      <c r="E252" s="66"/>
      <c r="F252" s="102" t="str">
        <f>HYPERLINK("https://pbs.twimg.com/profile_images/1612592783801438209/UDRnnc7q_normal.jpg")</f>
        <v>https://pbs.twimg.com/profile_images/1612592783801438209/UDRnnc7q_normal.jpg</v>
      </c>
      <c r="G252" s="63"/>
      <c r="H252" s="67"/>
      <c r="I252" s="68"/>
      <c r="J252" s="68"/>
      <c r="K252" s="67" t="s">
        <v>25186</v>
      </c>
      <c r="L252" s="71"/>
      <c r="M252" s="72"/>
      <c r="N252" s="72"/>
      <c r="O252" s="73"/>
      <c r="P252" s="74"/>
      <c r="Q252" s="74"/>
      <c r="R252" s="86"/>
      <c r="S252" s="86"/>
      <c r="T252" s="86"/>
      <c r="U252" s="86"/>
      <c r="V252" s="48"/>
      <c r="W252" s="48"/>
      <c r="X252" s="48"/>
      <c r="Y252" s="48"/>
      <c r="Z252" s="47"/>
      <c r="AA252" s="69">
        <v>252</v>
      </c>
      <c r="AB252" s="69"/>
      <c r="AC252" s="70"/>
      <c r="AD252" s="76" t="s">
        <v>22061</v>
      </c>
      <c r="AE252" s="81" t="s">
        <v>21189</v>
      </c>
      <c r="AF252" s="76">
        <v>1</v>
      </c>
      <c r="AG252" s="76">
        <v>45</v>
      </c>
      <c r="AH252" s="76">
        <v>16</v>
      </c>
      <c r="AI252" s="76">
        <v>0</v>
      </c>
      <c r="AJ252" s="76">
        <v>0</v>
      </c>
      <c r="AK252" s="76">
        <v>13</v>
      </c>
      <c r="AL252" s="76" t="b">
        <v>0</v>
      </c>
      <c r="AM252" s="78">
        <v>44837.031030092592</v>
      </c>
      <c r="AN252" s="76"/>
      <c r="AO252" s="76" t="s">
        <v>23559</v>
      </c>
      <c r="AP252" s="76"/>
      <c r="AQ252" s="76"/>
      <c r="AR252" s="76"/>
      <c r="AS252" s="83" t="str">
        <f>HYPERLINK("https://t.co/oWcOicKz4f")</f>
        <v>https://t.co/oWcOicKz4f</v>
      </c>
      <c r="AT252" s="83" t="str">
        <f>HYPERLINK("https://hotm.art/Bijuteriasprof")</f>
        <v>https://hotm.art/Bijuteriasprof</v>
      </c>
      <c r="AU252" s="76" t="s">
        <v>24867</v>
      </c>
      <c r="AV252" s="76"/>
      <c r="AW252" s="76"/>
      <c r="AX252" s="76" t="b">
        <v>0</v>
      </c>
      <c r="AY252" s="76"/>
      <c r="AZ252" s="76"/>
      <c r="BA252" s="76" t="b">
        <v>0</v>
      </c>
      <c r="BB252" s="76" t="b">
        <v>1</v>
      </c>
      <c r="BC252" s="76" t="b">
        <v>1</v>
      </c>
      <c r="BD252" s="76" t="b">
        <v>0</v>
      </c>
      <c r="BE252" s="76" t="b">
        <v>0</v>
      </c>
      <c r="BF252" s="76" t="b">
        <v>0</v>
      </c>
      <c r="BG252" s="76" t="b">
        <v>0</v>
      </c>
      <c r="BH252" s="83" t="str">
        <f>HYPERLINK("https://pbs.twimg.com/profile_banners/1576734722121662465/1673307054")</f>
        <v>https://pbs.twimg.com/profile_banners/1576734722121662465/1673307054</v>
      </c>
      <c r="BI252" s="76"/>
      <c r="BJ252" s="76" t="s">
        <v>24935</v>
      </c>
      <c r="BK252" s="76" t="b">
        <v>0</v>
      </c>
      <c r="BL252" s="76"/>
      <c r="BM252" s="76" t="s">
        <v>66</v>
      </c>
      <c r="BN252" s="76" t="s">
        <v>24937</v>
      </c>
      <c r="BO252" s="83" t="str">
        <f>HYPERLINK("https://twitter.com/denilso01603502")</f>
        <v>https://twitter.com/denilso01603502</v>
      </c>
      <c r="BP252" s="2"/>
    </row>
    <row r="253" spans="1:68" x14ac:dyDescent="0.25">
      <c r="A253" s="62" t="s">
        <v>465</v>
      </c>
      <c r="B253" s="63"/>
      <c r="C253" s="63"/>
      <c r="D253" s="64"/>
      <c r="E253" s="66"/>
      <c r="F253" s="102" t="str">
        <f>HYPERLINK("https://pbs.twimg.com/profile_images/1694361269522845696/8NbP3PwJ_normal.jpg")</f>
        <v>https://pbs.twimg.com/profile_images/1694361269522845696/8NbP3PwJ_normal.jpg</v>
      </c>
      <c r="G253" s="63"/>
      <c r="H253" s="67"/>
      <c r="I253" s="68"/>
      <c r="J253" s="68"/>
      <c r="K253" s="67" t="s">
        <v>25187</v>
      </c>
      <c r="L253" s="71"/>
      <c r="M253" s="72"/>
      <c r="N253" s="72"/>
      <c r="O253" s="73"/>
      <c r="P253" s="74"/>
      <c r="Q253" s="74"/>
      <c r="R253" s="86"/>
      <c r="S253" s="86"/>
      <c r="T253" s="86"/>
      <c r="U253" s="86"/>
      <c r="V253" s="48"/>
      <c r="W253" s="48"/>
      <c r="X253" s="48"/>
      <c r="Y253" s="48"/>
      <c r="Z253" s="47"/>
      <c r="AA253" s="69">
        <v>253</v>
      </c>
      <c r="AB253" s="69"/>
      <c r="AC253" s="70"/>
      <c r="AD253" s="76" t="s">
        <v>22062</v>
      </c>
      <c r="AE253" s="81" t="s">
        <v>20914</v>
      </c>
      <c r="AF253" s="76">
        <v>3666</v>
      </c>
      <c r="AG253" s="76">
        <v>3244</v>
      </c>
      <c r="AH253" s="76">
        <v>29680</v>
      </c>
      <c r="AI253" s="76">
        <v>18</v>
      </c>
      <c r="AJ253" s="76">
        <v>57595</v>
      </c>
      <c r="AK253" s="76">
        <v>673</v>
      </c>
      <c r="AL253" s="76" t="b">
        <v>0</v>
      </c>
      <c r="AM253" s="78">
        <v>44174.97</v>
      </c>
      <c r="AN253" s="76" t="s">
        <v>23141</v>
      </c>
      <c r="AO253" s="76" t="s">
        <v>23560</v>
      </c>
      <c r="AP253" s="83" t="str">
        <f>HYPERLINK("https://t.co/FamtgkiYyv")</f>
        <v>https://t.co/FamtgkiYyv</v>
      </c>
      <c r="AQ253" s="83" t="str">
        <f>HYPERLINK("http://marvel.xn--psd/")</f>
        <v>http://marvel.xn--psd/</v>
      </c>
      <c r="AR253" s="76" t="s">
        <v>24384</v>
      </c>
      <c r="AS253" s="76"/>
      <c r="AT253" s="76"/>
      <c r="AU253" s="76"/>
      <c r="AV253" s="76">
        <v>1.69594344070017E+18</v>
      </c>
      <c r="AW253" s="83" t="str">
        <f>HYPERLINK("https://t.co/FamtgkiYyv")</f>
        <v>https://t.co/FamtgkiYyv</v>
      </c>
      <c r="AX253" s="76" t="b">
        <v>0</v>
      </c>
      <c r="AY253" s="76"/>
      <c r="AZ253" s="76"/>
      <c r="BA253" s="76" t="b">
        <v>1</v>
      </c>
      <c r="BB253" s="76" t="b">
        <v>0</v>
      </c>
      <c r="BC253" s="76" t="b">
        <v>1</v>
      </c>
      <c r="BD253" s="76" t="b">
        <v>0</v>
      </c>
      <c r="BE253" s="76" t="b">
        <v>1</v>
      </c>
      <c r="BF253" s="76" t="b">
        <v>0</v>
      </c>
      <c r="BG253" s="76" t="b">
        <v>0</v>
      </c>
      <c r="BH253" s="83" t="str">
        <f>HYPERLINK("https://pbs.twimg.com/profile_banners/1336811936516894722/1692801440")</f>
        <v>https://pbs.twimg.com/profile_banners/1336811936516894722/1692801440</v>
      </c>
      <c r="BI253" s="76"/>
      <c r="BJ253" s="76" t="s">
        <v>24935</v>
      </c>
      <c r="BK253" s="76" t="b">
        <v>0</v>
      </c>
      <c r="BL253" s="76"/>
      <c r="BM253" s="76" t="s">
        <v>66</v>
      </c>
      <c r="BN253" s="76" t="s">
        <v>24937</v>
      </c>
      <c r="BO253" s="83" t="str">
        <f>HYPERLINK("https://twitter.com/70scars")</f>
        <v>https://twitter.com/70scars</v>
      </c>
      <c r="BP253" s="2"/>
    </row>
    <row r="254" spans="1:68" x14ac:dyDescent="0.25">
      <c r="A254" s="62" t="s">
        <v>466</v>
      </c>
      <c r="B254" s="63"/>
      <c r="C254" s="63"/>
      <c r="D254" s="64"/>
      <c r="E254" s="66"/>
      <c r="F254" s="102" t="str">
        <f>HYPERLINK("https://pbs.twimg.com/profile_images/1562082333917839360/7s8uSPc8_normal.jpg")</f>
        <v>https://pbs.twimg.com/profile_images/1562082333917839360/7s8uSPc8_normal.jpg</v>
      </c>
      <c r="G254" s="63"/>
      <c r="H254" s="67"/>
      <c r="I254" s="68"/>
      <c r="J254" s="68"/>
      <c r="K254" s="67" t="s">
        <v>25188</v>
      </c>
      <c r="L254" s="71"/>
      <c r="M254" s="72"/>
      <c r="N254" s="72"/>
      <c r="O254" s="73"/>
      <c r="P254" s="74"/>
      <c r="Q254" s="74"/>
      <c r="R254" s="86"/>
      <c r="S254" s="86"/>
      <c r="T254" s="86"/>
      <c r="U254" s="86"/>
      <c r="V254" s="48"/>
      <c r="W254" s="48"/>
      <c r="X254" s="48"/>
      <c r="Y254" s="48"/>
      <c r="Z254" s="47"/>
      <c r="AA254" s="69">
        <v>254</v>
      </c>
      <c r="AB254" s="69"/>
      <c r="AC254" s="70"/>
      <c r="AD254" s="76" t="s">
        <v>22063</v>
      </c>
      <c r="AE254" s="81" t="s">
        <v>21190</v>
      </c>
      <c r="AF254" s="76">
        <v>71</v>
      </c>
      <c r="AG254" s="76">
        <v>312</v>
      </c>
      <c r="AH254" s="76">
        <v>1071</v>
      </c>
      <c r="AI254" s="76">
        <v>0</v>
      </c>
      <c r="AJ254" s="76">
        <v>889</v>
      </c>
      <c r="AK254" s="76">
        <v>1008</v>
      </c>
      <c r="AL254" s="76" t="b">
        <v>0</v>
      </c>
      <c r="AM254" s="78">
        <v>42624.120659722219</v>
      </c>
      <c r="AN254" s="76" t="s">
        <v>23092</v>
      </c>
      <c r="AO254" s="76" t="s">
        <v>23561</v>
      </c>
      <c r="AP254" s="83" t="str">
        <f>HYPERLINK("https://t.co/tIM62vh12G")</f>
        <v>https://t.co/tIM62vh12G</v>
      </c>
      <c r="AQ254" s="83" t="str">
        <f>HYPERLINK("https://www.youtube.com/channel/UCiFJPxcCl4W9DTvy7KLh0pw")</f>
        <v>https://www.youtube.com/channel/UCiFJPxcCl4W9DTvy7KLh0pw</v>
      </c>
      <c r="AR254" s="76" t="s">
        <v>24385</v>
      </c>
      <c r="AS254" s="76"/>
      <c r="AT254" s="76"/>
      <c r="AU254" s="76"/>
      <c r="AV254" s="76">
        <v>1.6975762242502999E+18</v>
      </c>
      <c r="AW254" s="83" t="str">
        <f>HYPERLINK("https://t.co/tIM62vh12G")</f>
        <v>https://t.co/tIM62vh12G</v>
      </c>
      <c r="AX254" s="76" t="b">
        <v>0</v>
      </c>
      <c r="AY254" s="76"/>
      <c r="AZ254" s="76"/>
      <c r="BA254" s="76" t="b">
        <v>0</v>
      </c>
      <c r="BB254" s="76" t="b">
        <v>1</v>
      </c>
      <c r="BC254" s="76" t="b">
        <v>1</v>
      </c>
      <c r="BD254" s="76" t="b">
        <v>0</v>
      </c>
      <c r="BE254" s="76" t="b">
        <v>0</v>
      </c>
      <c r="BF254" s="76" t="b">
        <v>0</v>
      </c>
      <c r="BG254" s="76" t="b">
        <v>0</v>
      </c>
      <c r="BH254" s="83" t="str">
        <f>HYPERLINK("https://pbs.twimg.com/profile_banners/774803084337872896/1661264426")</f>
        <v>https://pbs.twimg.com/profile_banners/774803084337872896/1661264426</v>
      </c>
      <c r="BI254" s="76"/>
      <c r="BJ254" s="76" t="s">
        <v>24935</v>
      </c>
      <c r="BK254" s="76" t="b">
        <v>0</v>
      </c>
      <c r="BL254" s="76"/>
      <c r="BM254" s="76" t="s">
        <v>66</v>
      </c>
      <c r="BN254" s="76" t="s">
        <v>24937</v>
      </c>
      <c r="BO254" s="83" t="str">
        <f>HYPERLINK("https://twitter.com/rauniramosyt")</f>
        <v>https://twitter.com/rauniramosyt</v>
      </c>
      <c r="BP254" s="2"/>
    </row>
    <row r="255" spans="1:68" x14ac:dyDescent="0.25">
      <c r="A255" s="62" t="s">
        <v>467</v>
      </c>
      <c r="B255" s="63"/>
      <c r="C255" s="63"/>
      <c r="D255" s="64"/>
      <c r="E255" s="66"/>
      <c r="F255" s="102" t="str">
        <f>HYPERLINK("https://pbs.twimg.com/profile_images/1642529282386690050/MNE-Iqdn_normal.jpg")</f>
        <v>https://pbs.twimg.com/profile_images/1642529282386690050/MNE-Iqdn_normal.jpg</v>
      </c>
      <c r="G255" s="63"/>
      <c r="H255" s="67"/>
      <c r="I255" s="68"/>
      <c r="J255" s="68"/>
      <c r="K255" s="67" t="s">
        <v>25189</v>
      </c>
      <c r="L255" s="71"/>
      <c r="M255" s="72"/>
      <c r="N255" s="72"/>
      <c r="O255" s="73"/>
      <c r="P255" s="74"/>
      <c r="Q255" s="74"/>
      <c r="R255" s="86"/>
      <c r="S255" s="86"/>
      <c r="T255" s="86"/>
      <c r="U255" s="86"/>
      <c r="V255" s="48"/>
      <c r="W255" s="48"/>
      <c r="X255" s="48"/>
      <c r="Y255" s="48"/>
      <c r="Z255" s="47"/>
      <c r="AA255" s="69">
        <v>255</v>
      </c>
      <c r="AB255" s="69"/>
      <c r="AC255" s="70"/>
      <c r="AD255" s="76" t="s">
        <v>467</v>
      </c>
      <c r="AE255" s="81" t="s">
        <v>21191</v>
      </c>
      <c r="AF255" s="76">
        <v>2</v>
      </c>
      <c r="AG255" s="76">
        <v>0</v>
      </c>
      <c r="AH255" s="76">
        <v>15</v>
      </c>
      <c r="AI255" s="76">
        <v>0</v>
      </c>
      <c r="AJ255" s="76">
        <v>3</v>
      </c>
      <c r="AK255" s="76">
        <v>12</v>
      </c>
      <c r="AL255" s="76" t="b">
        <v>0</v>
      </c>
      <c r="AM255" s="78">
        <v>45018.588101851848</v>
      </c>
      <c r="AN255" s="76"/>
      <c r="AO255" s="76" t="s">
        <v>23562</v>
      </c>
      <c r="AP255" s="83" t="str">
        <f>HYPERLINK("https://t.co/nVCXS1ehZl")</f>
        <v>https://t.co/nVCXS1ehZl</v>
      </c>
      <c r="AQ255" s="83" t="str">
        <f>HYPERLINK("http://beacons.ai/insightinbound/")</f>
        <v>http://beacons.ai/insightinbound/</v>
      </c>
      <c r="AR255" s="76" t="s">
        <v>24386</v>
      </c>
      <c r="AS255" s="76"/>
      <c r="AT255" s="76"/>
      <c r="AU255" s="76"/>
      <c r="AV255" s="76"/>
      <c r="AW255" s="83" t="str">
        <f>HYPERLINK("https://t.co/nVCXS1ehZl")</f>
        <v>https://t.co/nVCXS1ehZl</v>
      </c>
      <c r="AX255" s="76" t="b">
        <v>0</v>
      </c>
      <c r="AY255" s="76"/>
      <c r="AZ255" s="76"/>
      <c r="BA255" s="76" t="b">
        <v>0</v>
      </c>
      <c r="BB255" s="76" t="b">
        <v>1</v>
      </c>
      <c r="BC255" s="76" t="b">
        <v>1</v>
      </c>
      <c r="BD255" s="76" t="b">
        <v>0</v>
      </c>
      <c r="BE255" s="76" t="b">
        <v>0</v>
      </c>
      <c r="BF255" s="76" t="b">
        <v>0</v>
      </c>
      <c r="BG255" s="76" t="b">
        <v>0</v>
      </c>
      <c r="BH255" s="83" t="str">
        <f>HYPERLINK("https://pbs.twimg.com/profile_banners/1642528980698898434/1680444653")</f>
        <v>https://pbs.twimg.com/profile_banners/1642528980698898434/1680444653</v>
      </c>
      <c r="BI255" s="76"/>
      <c r="BJ255" s="76" t="s">
        <v>24935</v>
      </c>
      <c r="BK255" s="76" t="b">
        <v>0</v>
      </c>
      <c r="BL255" s="76"/>
      <c r="BM255" s="76" t="s">
        <v>66</v>
      </c>
      <c r="BN255" s="76" t="s">
        <v>24937</v>
      </c>
      <c r="BO255" s="83" t="str">
        <f>HYPERLINK("https://twitter.com/insightinbound")</f>
        <v>https://twitter.com/insightinbound</v>
      </c>
      <c r="BP255" s="2"/>
    </row>
    <row r="256" spans="1:68" x14ac:dyDescent="0.25">
      <c r="A256" s="62" t="s">
        <v>468</v>
      </c>
      <c r="B256" s="63"/>
      <c r="C256" s="63"/>
      <c r="D256" s="64"/>
      <c r="E256" s="66"/>
      <c r="F256" s="102" t="str">
        <f>HYPERLINK("https://pbs.twimg.com/profile_images/1683591594405171200/1cODTiZI_normal.jpg")</f>
        <v>https://pbs.twimg.com/profile_images/1683591594405171200/1cODTiZI_normal.jpg</v>
      </c>
      <c r="G256" s="63"/>
      <c r="H256" s="67"/>
      <c r="I256" s="68"/>
      <c r="J256" s="68"/>
      <c r="K256" s="67" t="s">
        <v>25190</v>
      </c>
      <c r="L256" s="71"/>
      <c r="M256" s="72"/>
      <c r="N256" s="72"/>
      <c r="O256" s="73"/>
      <c r="P256" s="74"/>
      <c r="Q256" s="74"/>
      <c r="R256" s="86"/>
      <c r="S256" s="86"/>
      <c r="T256" s="86"/>
      <c r="U256" s="86"/>
      <c r="V256" s="48"/>
      <c r="W256" s="48"/>
      <c r="X256" s="48"/>
      <c r="Y256" s="48"/>
      <c r="Z256" s="47"/>
      <c r="AA256" s="69">
        <v>256</v>
      </c>
      <c r="AB256" s="69"/>
      <c r="AC256" s="70"/>
      <c r="AD256" s="76" t="s">
        <v>22064</v>
      </c>
      <c r="AE256" s="81" t="s">
        <v>21192</v>
      </c>
      <c r="AF256" s="76">
        <v>363</v>
      </c>
      <c r="AG256" s="76">
        <v>5</v>
      </c>
      <c r="AH256" s="76">
        <v>32</v>
      </c>
      <c r="AI256" s="76">
        <v>1</v>
      </c>
      <c r="AJ256" s="76">
        <v>196</v>
      </c>
      <c r="AK256" s="76">
        <v>12</v>
      </c>
      <c r="AL256" s="76" t="b">
        <v>0</v>
      </c>
      <c r="AM256" s="78">
        <v>44979.454016203701</v>
      </c>
      <c r="AN256" s="76" t="s">
        <v>23142</v>
      </c>
      <c r="AO256" s="76" t="s">
        <v>23563</v>
      </c>
      <c r="AP256" s="83" t="str">
        <f>HYPERLINK("https://t.co/pJ685gz4V8")</f>
        <v>https://t.co/pJ685gz4V8</v>
      </c>
      <c r="AQ256" s="83" t="str">
        <f>HYPERLINK("http://www.kubeta.ao")</f>
        <v>http://www.kubeta.ao</v>
      </c>
      <c r="AR256" s="76" t="s">
        <v>24387</v>
      </c>
      <c r="AS256" s="76"/>
      <c r="AT256" s="76"/>
      <c r="AU256" s="76"/>
      <c r="AV256" s="76"/>
      <c r="AW256" s="83" t="str">
        <f>HYPERLINK("https://t.co/pJ685gz4V8")</f>
        <v>https://t.co/pJ685gz4V8</v>
      </c>
      <c r="AX256" s="76" t="b">
        <v>0</v>
      </c>
      <c r="AY256" s="76"/>
      <c r="AZ256" s="76"/>
      <c r="BA256" s="76" t="b">
        <v>0</v>
      </c>
      <c r="BB256" s="76" t="b">
        <v>1</v>
      </c>
      <c r="BC256" s="76" t="b">
        <v>1</v>
      </c>
      <c r="BD256" s="76" t="b">
        <v>0</v>
      </c>
      <c r="BE256" s="76" t="b">
        <v>0</v>
      </c>
      <c r="BF256" s="76" t="b">
        <v>0</v>
      </c>
      <c r="BG256" s="76" t="b">
        <v>0</v>
      </c>
      <c r="BH256" s="83" t="str">
        <f>HYPERLINK("https://pbs.twimg.com/profile_banners/1628347076957306880/1690234493")</f>
        <v>https://pbs.twimg.com/profile_banners/1628347076957306880/1690234493</v>
      </c>
      <c r="BI256" s="76"/>
      <c r="BJ256" s="76" t="s">
        <v>24935</v>
      </c>
      <c r="BK256" s="76" t="b">
        <v>0</v>
      </c>
      <c r="BL256" s="76"/>
      <c r="BM256" s="76" t="s">
        <v>66</v>
      </c>
      <c r="BN256" s="76" t="s">
        <v>24937</v>
      </c>
      <c r="BO256" s="83" t="str">
        <f>HYPERLINK("https://twitter.com/kubeta_cursos")</f>
        <v>https://twitter.com/kubeta_cursos</v>
      </c>
      <c r="BP256" s="2"/>
    </row>
    <row r="257" spans="1:68" x14ac:dyDescent="0.25">
      <c r="A257" s="62" t="s">
        <v>469</v>
      </c>
      <c r="B257" s="63"/>
      <c r="C257" s="63"/>
      <c r="D257" s="64"/>
      <c r="E257" s="66"/>
      <c r="F257" s="102" t="str">
        <f>HYPERLINK("https://pbs.twimg.com/profile_images/1668614879593504774/X9wyFzbD_normal.jpg")</f>
        <v>https://pbs.twimg.com/profile_images/1668614879593504774/X9wyFzbD_normal.jpg</v>
      </c>
      <c r="G257" s="63"/>
      <c r="H257" s="67"/>
      <c r="I257" s="68"/>
      <c r="J257" s="68"/>
      <c r="K257" s="67" t="s">
        <v>25191</v>
      </c>
      <c r="L257" s="71"/>
      <c r="M257" s="72"/>
      <c r="N257" s="72"/>
      <c r="O257" s="73"/>
      <c r="P257" s="74"/>
      <c r="Q257" s="74"/>
      <c r="R257" s="86"/>
      <c r="S257" s="86"/>
      <c r="T257" s="86"/>
      <c r="U257" s="86"/>
      <c r="V257" s="48"/>
      <c r="W257" s="48"/>
      <c r="X257" s="48"/>
      <c r="Y257" s="48"/>
      <c r="Z257" s="47"/>
      <c r="AA257" s="69">
        <v>257</v>
      </c>
      <c r="AB257" s="69"/>
      <c r="AC257" s="70"/>
      <c r="AD257" s="76" t="s">
        <v>22065</v>
      </c>
      <c r="AE257" s="81" t="s">
        <v>22909</v>
      </c>
      <c r="AF257" s="76">
        <v>210</v>
      </c>
      <c r="AG257" s="76">
        <v>704</v>
      </c>
      <c r="AH257" s="76">
        <v>1052</v>
      </c>
      <c r="AI257" s="76">
        <v>6</v>
      </c>
      <c r="AJ257" s="76">
        <v>261</v>
      </c>
      <c r="AK257" s="76">
        <v>311</v>
      </c>
      <c r="AL257" s="76" t="b">
        <v>0</v>
      </c>
      <c r="AM257" s="78">
        <v>39790.45175925926</v>
      </c>
      <c r="AN257" s="76"/>
      <c r="AO257" s="76" t="s">
        <v>23564</v>
      </c>
      <c r="AP257" s="83" t="str">
        <f>HYPERLINK("https://t.co/XsFyipc88n")</f>
        <v>https://t.co/XsFyipc88n</v>
      </c>
      <c r="AQ257" s="83" t="str">
        <f>HYPERLINK("https://linktr.ee/realseguroviagem")</f>
        <v>https://linktr.ee/realseguroviagem</v>
      </c>
      <c r="AR257" s="76" t="s">
        <v>24388</v>
      </c>
      <c r="AS257" s="76"/>
      <c r="AT257" s="76"/>
      <c r="AU257" s="76"/>
      <c r="AV257" s="76">
        <v>1.6139742702494001E+18</v>
      </c>
      <c r="AW257" s="83" t="str">
        <f>HYPERLINK("https://t.co/XsFyipc88n")</f>
        <v>https://t.co/XsFyipc88n</v>
      </c>
      <c r="AX257" s="76" t="b">
        <v>0</v>
      </c>
      <c r="AY257" s="76"/>
      <c r="AZ257" s="76"/>
      <c r="BA257" s="76" t="b">
        <v>1</v>
      </c>
      <c r="BB257" s="76" t="b">
        <v>1</v>
      </c>
      <c r="BC257" s="76" t="b">
        <v>0</v>
      </c>
      <c r="BD257" s="76" t="b">
        <v>0</v>
      </c>
      <c r="BE257" s="76" t="b">
        <v>1</v>
      </c>
      <c r="BF257" s="76" t="b">
        <v>0</v>
      </c>
      <c r="BG257" s="76" t="b">
        <v>0</v>
      </c>
      <c r="BH257" s="83" t="str">
        <f>HYPERLINK("https://pbs.twimg.com/profile_banners/17960494/1693587690")</f>
        <v>https://pbs.twimg.com/profile_banners/17960494/1693587690</v>
      </c>
      <c r="BI257" s="76"/>
      <c r="BJ257" s="76" t="s">
        <v>24935</v>
      </c>
      <c r="BK257" s="76" t="b">
        <v>0</v>
      </c>
      <c r="BL257" s="76"/>
      <c r="BM257" s="76" t="s">
        <v>66</v>
      </c>
      <c r="BN257" s="76" t="s">
        <v>24937</v>
      </c>
      <c r="BO257" s="83" t="str">
        <f>HYPERLINK("https://twitter.com/realsegviagem")</f>
        <v>https://twitter.com/realsegviagem</v>
      </c>
      <c r="BP257" s="2"/>
    </row>
    <row r="258" spans="1:68" x14ac:dyDescent="0.25">
      <c r="A258" s="62" t="s">
        <v>470</v>
      </c>
      <c r="B258" s="63"/>
      <c r="C258" s="63"/>
      <c r="D258" s="64"/>
      <c r="E258" s="66"/>
      <c r="F258" s="102" t="str">
        <f>HYPERLINK("https://pbs.twimg.com/profile_images/1613801489054441472/mQpjwPOi_normal.jpg")</f>
        <v>https://pbs.twimg.com/profile_images/1613801489054441472/mQpjwPOi_normal.jpg</v>
      </c>
      <c r="G258" s="63"/>
      <c r="H258" s="67"/>
      <c r="I258" s="68"/>
      <c r="J258" s="68"/>
      <c r="K258" s="67" t="s">
        <v>25192</v>
      </c>
      <c r="L258" s="71"/>
      <c r="M258" s="72"/>
      <c r="N258" s="72"/>
      <c r="O258" s="73"/>
      <c r="P258" s="74"/>
      <c r="Q258" s="74"/>
      <c r="R258" s="86"/>
      <c r="S258" s="86"/>
      <c r="T258" s="86"/>
      <c r="U258" s="86"/>
      <c r="V258" s="48"/>
      <c r="W258" s="48"/>
      <c r="X258" s="48"/>
      <c r="Y258" s="48"/>
      <c r="Z258" s="47"/>
      <c r="AA258" s="69">
        <v>258</v>
      </c>
      <c r="AB258" s="69"/>
      <c r="AC258" s="70"/>
      <c r="AD258" s="76" t="s">
        <v>22066</v>
      </c>
      <c r="AE258" s="81" t="s">
        <v>21193</v>
      </c>
      <c r="AF258" s="76">
        <v>1</v>
      </c>
      <c r="AG258" s="76">
        <v>30</v>
      </c>
      <c r="AH258" s="76">
        <v>618</v>
      </c>
      <c r="AI258" s="76">
        <v>0</v>
      </c>
      <c r="AJ258" s="76">
        <v>508</v>
      </c>
      <c r="AK258" s="76">
        <v>257</v>
      </c>
      <c r="AL258" s="76" t="b">
        <v>0</v>
      </c>
      <c r="AM258" s="78">
        <v>44939.315057870372</v>
      </c>
      <c r="AN258" s="76" t="s">
        <v>14115</v>
      </c>
      <c r="AO258" s="76" t="s">
        <v>23565</v>
      </c>
      <c r="AP258" s="83" t="str">
        <f>HYPERLINK("https://t.co/42ZF27F0XM")</f>
        <v>https://t.co/42ZF27F0XM</v>
      </c>
      <c r="AQ258" s="83" t="str">
        <f>HYPERLINK("https://shopee.kpages.online")</f>
        <v>https://shopee.kpages.online</v>
      </c>
      <c r="AR258" s="76" t="s">
        <v>24389</v>
      </c>
      <c r="AS258" s="76"/>
      <c r="AT258" s="76"/>
      <c r="AU258" s="76"/>
      <c r="AV258" s="76">
        <v>1.61381439481888E+18</v>
      </c>
      <c r="AW258" s="83" t="str">
        <f>HYPERLINK("https://t.co/42ZF27F0XM")</f>
        <v>https://t.co/42ZF27F0XM</v>
      </c>
      <c r="AX258" s="76" t="b">
        <v>0</v>
      </c>
      <c r="AY258" s="76"/>
      <c r="AZ258" s="76"/>
      <c r="BA258" s="76" t="b">
        <v>1</v>
      </c>
      <c r="BB258" s="76" t="b">
        <v>1</v>
      </c>
      <c r="BC258" s="76" t="b">
        <v>1</v>
      </c>
      <c r="BD258" s="76" t="b">
        <v>0</v>
      </c>
      <c r="BE258" s="76" t="b">
        <v>1</v>
      </c>
      <c r="BF258" s="76" t="b">
        <v>0</v>
      </c>
      <c r="BG258" s="76" t="b">
        <v>0</v>
      </c>
      <c r="BH258" s="83" t="str">
        <f>HYPERLINK("https://pbs.twimg.com/profile_banners/1613801403167694849/1680327419")</f>
        <v>https://pbs.twimg.com/profile_banners/1613801403167694849/1680327419</v>
      </c>
      <c r="BI258" s="76"/>
      <c r="BJ258" s="76" t="s">
        <v>24935</v>
      </c>
      <c r="BK258" s="76" t="b">
        <v>0</v>
      </c>
      <c r="BL258" s="76"/>
      <c r="BM258" s="76" t="s">
        <v>66</v>
      </c>
      <c r="BN258" s="76" t="s">
        <v>24937</v>
      </c>
      <c r="BO258" s="83" t="str">
        <f>HYPERLINK("https://twitter.com/lojafelixcat")</f>
        <v>https://twitter.com/lojafelixcat</v>
      </c>
      <c r="BP258" s="2"/>
    </row>
    <row r="259" spans="1:68" x14ac:dyDescent="0.25">
      <c r="A259" s="62" t="s">
        <v>471</v>
      </c>
      <c r="B259" s="63"/>
      <c r="C259" s="63"/>
      <c r="D259" s="64"/>
      <c r="E259" s="66"/>
      <c r="F259" s="102" t="str">
        <f>HYPERLINK("https://pbs.twimg.com/profile_images/1630565759398166528/vnezNotE_normal.jpg")</f>
        <v>https://pbs.twimg.com/profile_images/1630565759398166528/vnezNotE_normal.jpg</v>
      </c>
      <c r="G259" s="63"/>
      <c r="H259" s="67"/>
      <c r="I259" s="68"/>
      <c r="J259" s="68"/>
      <c r="K259" s="67" t="s">
        <v>25193</v>
      </c>
      <c r="L259" s="71"/>
      <c r="M259" s="72"/>
      <c r="N259" s="72"/>
      <c r="O259" s="73"/>
      <c r="P259" s="74"/>
      <c r="Q259" s="74"/>
      <c r="R259" s="86"/>
      <c r="S259" s="86"/>
      <c r="T259" s="86"/>
      <c r="U259" s="86"/>
      <c r="V259" s="48"/>
      <c r="W259" s="48"/>
      <c r="X259" s="48"/>
      <c r="Y259" s="48"/>
      <c r="Z259" s="47"/>
      <c r="AA259" s="69">
        <v>259</v>
      </c>
      <c r="AB259" s="69"/>
      <c r="AC259" s="70"/>
      <c r="AD259" s="76" t="s">
        <v>22067</v>
      </c>
      <c r="AE259" s="81" t="s">
        <v>21194</v>
      </c>
      <c r="AF259" s="76">
        <v>1</v>
      </c>
      <c r="AG259" s="76">
        <v>124</v>
      </c>
      <c r="AH259" s="76">
        <v>136</v>
      </c>
      <c r="AI259" s="76">
        <v>0</v>
      </c>
      <c r="AJ259" s="76">
        <v>296</v>
      </c>
      <c r="AK259" s="76">
        <v>92</v>
      </c>
      <c r="AL259" s="76" t="b">
        <v>0</v>
      </c>
      <c r="AM259" s="78">
        <v>44822.838356481479</v>
      </c>
      <c r="AN259" s="76"/>
      <c r="AO259" s="76"/>
      <c r="AP259" s="76"/>
      <c r="AQ259" s="76"/>
      <c r="AR259" s="76"/>
      <c r="AS259" s="76"/>
      <c r="AT259" s="76"/>
      <c r="AU259" s="76"/>
      <c r="AV259" s="76">
        <v>1.6206089607002299E+18</v>
      </c>
      <c r="AW259" s="76"/>
      <c r="AX259" s="76" t="b">
        <v>0</v>
      </c>
      <c r="AY259" s="76"/>
      <c r="AZ259" s="76"/>
      <c r="BA259" s="76" t="b">
        <v>0</v>
      </c>
      <c r="BB259" s="76" t="b">
        <v>1</v>
      </c>
      <c r="BC259" s="76" t="b">
        <v>1</v>
      </c>
      <c r="BD259" s="76" t="b">
        <v>0</v>
      </c>
      <c r="BE259" s="76" t="b">
        <v>0</v>
      </c>
      <c r="BF259" s="76" t="b">
        <v>0</v>
      </c>
      <c r="BG259" s="76" t="b">
        <v>0</v>
      </c>
      <c r="BH259" s="83" t="str">
        <f>HYPERLINK("https://pbs.twimg.com/profile_banners/1571591507223740416/1677592264")</f>
        <v>https://pbs.twimg.com/profile_banners/1571591507223740416/1677592264</v>
      </c>
      <c r="BI259" s="76"/>
      <c r="BJ259" s="76" t="s">
        <v>24935</v>
      </c>
      <c r="BK259" s="76" t="b">
        <v>0</v>
      </c>
      <c r="BL259" s="76"/>
      <c r="BM259" s="76" t="s">
        <v>66</v>
      </c>
      <c r="BN259" s="76" t="s">
        <v>24937</v>
      </c>
      <c r="BO259" s="83" t="str">
        <f>HYPERLINK("https://twitter.com/renatoney04")</f>
        <v>https://twitter.com/renatoney04</v>
      </c>
      <c r="BP259" s="2"/>
    </row>
    <row r="260" spans="1:68" x14ac:dyDescent="0.25">
      <c r="A260" s="62" t="s">
        <v>472</v>
      </c>
      <c r="B260" s="63"/>
      <c r="C260" s="63"/>
      <c r="D260" s="64"/>
      <c r="E260" s="66"/>
      <c r="F260" s="102" t="str">
        <f>HYPERLINK("https://pbs.twimg.com/profile_images/1595155453155098633/N28rCeP4_normal.jpg")</f>
        <v>https://pbs.twimg.com/profile_images/1595155453155098633/N28rCeP4_normal.jpg</v>
      </c>
      <c r="G260" s="63"/>
      <c r="H260" s="67"/>
      <c r="I260" s="68"/>
      <c r="J260" s="68"/>
      <c r="K260" s="67" t="s">
        <v>25194</v>
      </c>
      <c r="L260" s="71"/>
      <c r="M260" s="72"/>
      <c r="N260" s="72"/>
      <c r="O260" s="73"/>
      <c r="P260" s="74"/>
      <c r="Q260" s="74"/>
      <c r="R260" s="86"/>
      <c r="S260" s="86"/>
      <c r="T260" s="86"/>
      <c r="U260" s="86"/>
      <c r="V260" s="48"/>
      <c r="W260" s="48"/>
      <c r="X260" s="48"/>
      <c r="Y260" s="48"/>
      <c r="Z260" s="47"/>
      <c r="AA260" s="69">
        <v>260</v>
      </c>
      <c r="AB260" s="69"/>
      <c r="AC260" s="70"/>
      <c r="AD260" s="76" t="s">
        <v>22068</v>
      </c>
      <c r="AE260" s="81" t="s">
        <v>21195</v>
      </c>
      <c r="AF260" s="76">
        <v>24</v>
      </c>
      <c r="AG260" s="76">
        <v>304</v>
      </c>
      <c r="AH260" s="76">
        <v>109</v>
      </c>
      <c r="AI260" s="76">
        <v>0</v>
      </c>
      <c r="AJ260" s="76">
        <v>121</v>
      </c>
      <c r="AK260" s="76">
        <v>36</v>
      </c>
      <c r="AL260" s="76" t="b">
        <v>0</v>
      </c>
      <c r="AM260" s="78">
        <v>44865.82849537037</v>
      </c>
      <c r="AN260" s="76" t="s">
        <v>23143</v>
      </c>
      <c r="AO260" s="76" t="s">
        <v>23566</v>
      </c>
      <c r="AP260" s="83" t="str">
        <f>HYPERLINK("https://t.co/hweArsge8o")</f>
        <v>https://t.co/hweArsge8o</v>
      </c>
      <c r="AQ260" s="83" t="str">
        <f>HYPERLINK("https://redwoodartgroup.com/store/henrique_lallo_jaloto/")</f>
        <v>https://redwoodartgroup.com/store/henrique_lallo_jaloto/</v>
      </c>
      <c r="AR260" s="76" t="s">
        <v>24390</v>
      </c>
      <c r="AS260" s="76"/>
      <c r="AT260" s="76"/>
      <c r="AU260" s="76"/>
      <c r="AV260" s="76"/>
      <c r="AW260" s="83" t="str">
        <f>HYPERLINK("https://t.co/hweArsge8o")</f>
        <v>https://t.co/hweArsge8o</v>
      </c>
      <c r="AX260" s="76" t="b">
        <v>0</v>
      </c>
      <c r="AY260" s="76"/>
      <c r="AZ260" s="76"/>
      <c r="BA260" s="76" t="b">
        <v>0</v>
      </c>
      <c r="BB260" s="76" t="b">
        <v>1</v>
      </c>
      <c r="BC260" s="76" t="b">
        <v>1</v>
      </c>
      <c r="BD260" s="76" t="b">
        <v>0</v>
      </c>
      <c r="BE260" s="76" t="b">
        <v>0</v>
      </c>
      <c r="BF260" s="76" t="b">
        <v>0</v>
      </c>
      <c r="BG260" s="76" t="b">
        <v>0</v>
      </c>
      <c r="BH260" s="83" t="str">
        <f>HYPERLINK("https://pbs.twimg.com/profile_banners/1587170348197462018/1669838634")</f>
        <v>https://pbs.twimg.com/profile_banners/1587170348197462018/1669838634</v>
      </c>
      <c r="BI260" s="76"/>
      <c r="BJ260" s="76" t="s">
        <v>24935</v>
      </c>
      <c r="BK260" s="76" t="b">
        <v>0</v>
      </c>
      <c r="BL260" s="76"/>
      <c r="BM260" s="76" t="s">
        <v>66</v>
      </c>
      <c r="BN260" s="76" t="s">
        <v>24937</v>
      </c>
      <c r="BO260" s="83" t="str">
        <f>HYPERLINK("https://twitter.com/hjaloto")</f>
        <v>https://twitter.com/hjaloto</v>
      </c>
      <c r="BP260" s="2"/>
    </row>
    <row r="261" spans="1:68" x14ac:dyDescent="0.25">
      <c r="A261" s="62" t="s">
        <v>473</v>
      </c>
      <c r="B261" s="63"/>
      <c r="C261" s="63"/>
      <c r="D261" s="64"/>
      <c r="E261" s="66"/>
      <c r="F261" s="102" t="str">
        <f>HYPERLINK("https://pbs.twimg.com/profile_images/1621375813487575041/1ThoIZxH_normal.jpg")</f>
        <v>https://pbs.twimg.com/profile_images/1621375813487575041/1ThoIZxH_normal.jpg</v>
      </c>
      <c r="G261" s="63"/>
      <c r="H261" s="67"/>
      <c r="I261" s="68"/>
      <c r="J261" s="68"/>
      <c r="K261" s="67" t="s">
        <v>25195</v>
      </c>
      <c r="L261" s="71"/>
      <c r="M261" s="72"/>
      <c r="N261" s="72"/>
      <c r="O261" s="73"/>
      <c r="P261" s="74"/>
      <c r="Q261" s="74"/>
      <c r="R261" s="86"/>
      <c r="S261" s="86"/>
      <c r="T261" s="86"/>
      <c r="U261" s="86"/>
      <c r="V261" s="48"/>
      <c r="W261" s="48"/>
      <c r="X261" s="48"/>
      <c r="Y261" s="48"/>
      <c r="Z261" s="47"/>
      <c r="AA261" s="69">
        <v>261</v>
      </c>
      <c r="AB261" s="69"/>
      <c r="AC261" s="70"/>
      <c r="AD261" s="76" t="s">
        <v>22069</v>
      </c>
      <c r="AE261" s="81" t="s">
        <v>21196</v>
      </c>
      <c r="AF261" s="76">
        <v>159</v>
      </c>
      <c r="AG261" s="76">
        <v>781</v>
      </c>
      <c r="AH261" s="76">
        <v>85</v>
      </c>
      <c r="AI261" s="76">
        <v>0</v>
      </c>
      <c r="AJ261" s="76">
        <v>453</v>
      </c>
      <c r="AK261" s="76">
        <v>16</v>
      </c>
      <c r="AL261" s="76" t="b">
        <v>0</v>
      </c>
      <c r="AM261" s="78">
        <v>43787.870416666665</v>
      </c>
      <c r="AN261" s="76"/>
      <c r="AO261" s="76" t="s">
        <v>23567</v>
      </c>
      <c r="AP261" s="83" t="str">
        <f>HYPERLINK("https://t.co/HPQJdTl4WS")</f>
        <v>https://t.co/HPQJdTl4WS</v>
      </c>
      <c r="AQ261" s="83" t="str">
        <f>HYPERLINK("http://instagram.com/adaomkt")</f>
        <v>http://instagram.com/adaomkt</v>
      </c>
      <c r="AR261" s="76" t="s">
        <v>24391</v>
      </c>
      <c r="AS261" s="76"/>
      <c r="AT261" s="76"/>
      <c r="AU261" s="76"/>
      <c r="AV261" s="76">
        <v>1.62261991945087E+18</v>
      </c>
      <c r="AW261" s="83" t="str">
        <f>HYPERLINK("https://t.co/HPQJdTl4WS")</f>
        <v>https://t.co/HPQJdTl4WS</v>
      </c>
      <c r="AX261" s="76" t="b">
        <v>0</v>
      </c>
      <c r="AY261" s="76"/>
      <c r="AZ261" s="76"/>
      <c r="BA261" s="76" t="b">
        <v>0</v>
      </c>
      <c r="BB261" s="76" t="b">
        <v>1</v>
      </c>
      <c r="BC261" s="76" t="b">
        <v>1</v>
      </c>
      <c r="BD261" s="76" t="b">
        <v>0</v>
      </c>
      <c r="BE261" s="76" t="b">
        <v>0</v>
      </c>
      <c r="BF261" s="76" t="b">
        <v>0</v>
      </c>
      <c r="BG261" s="76" t="b">
        <v>0</v>
      </c>
      <c r="BH261" s="83" t="str">
        <f>HYPERLINK("https://pbs.twimg.com/profile_banners/1196531478504595465/1675401094")</f>
        <v>https://pbs.twimg.com/profile_banners/1196531478504595465/1675401094</v>
      </c>
      <c r="BI261" s="76"/>
      <c r="BJ261" s="76" t="s">
        <v>24935</v>
      </c>
      <c r="BK261" s="76" t="b">
        <v>0</v>
      </c>
      <c r="BL261" s="76"/>
      <c r="BM261" s="76" t="s">
        <v>66</v>
      </c>
      <c r="BN261" s="76" t="s">
        <v>24937</v>
      </c>
      <c r="BO261" s="83" t="str">
        <f>HYPERLINK("https://twitter.com/pontes_adao")</f>
        <v>https://twitter.com/pontes_adao</v>
      </c>
      <c r="BP261" s="2"/>
    </row>
    <row r="262" spans="1:68" x14ac:dyDescent="0.25">
      <c r="A262" s="62" t="s">
        <v>474</v>
      </c>
      <c r="B262" s="63"/>
      <c r="C262" s="63"/>
      <c r="D262" s="64"/>
      <c r="E262" s="66"/>
      <c r="F262" s="102" t="str">
        <f>HYPERLINK("https://pbs.twimg.com/profile_images/1256996109337190400/krLYrVpV_normal.jpg")</f>
        <v>https://pbs.twimg.com/profile_images/1256996109337190400/krLYrVpV_normal.jpg</v>
      </c>
      <c r="G262" s="63"/>
      <c r="H262" s="67"/>
      <c r="I262" s="68"/>
      <c r="J262" s="68"/>
      <c r="K262" s="67" t="s">
        <v>25196</v>
      </c>
      <c r="L262" s="71"/>
      <c r="M262" s="72"/>
      <c r="N262" s="72"/>
      <c r="O262" s="73"/>
      <c r="P262" s="74"/>
      <c r="Q262" s="74"/>
      <c r="R262" s="86"/>
      <c r="S262" s="86"/>
      <c r="T262" s="86"/>
      <c r="U262" s="86"/>
      <c r="V262" s="48"/>
      <c r="W262" s="48"/>
      <c r="X262" s="48"/>
      <c r="Y262" s="48"/>
      <c r="Z262" s="47"/>
      <c r="AA262" s="69">
        <v>262</v>
      </c>
      <c r="AB262" s="69"/>
      <c r="AC262" s="70"/>
      <c r="AD262" s="76" t="s">
        <v>22070</v>
      </c>
      <c r="AE262" s="81" t="s">
        <v>21197</v>
      </c>
      <c r="AF262" s="76">
        <v>31</v>
      </c>
      <c r="AG262" s="76">
        <v>12</v>
      </c>
      <c r="AH262" s="76">
        <v>701</v>
      </c>
      <c r="AI262" s="76">
        <v>0</v>
      </c>
      <c r="AJ262" s="76">
        <v>49</v>
      </c>
      <c r="AK262" s="76">
        <v>209</v>
      </c>
      <c r="AL262" s="76" t="b">
        <v>0</v>
      </c>
      <c r="AM262" s="78">
        <v>43954.719675925924</v>
      </c>
      <c r="AN262" s="76" t="s">
        <v>23144</v>
      </c>
      <c r="AO262" s="76" t="s">
        <v>23568</v>
      </c>
      <c r="AP262" s="83" t="str">
        <f>HYPERLINK("https://t.co/8K8lbgWrP7")</f>
        <v>https://t.co/8K8lbgWrP7</v>
      </c>
      <c r="AQ262" s="83" t="str">
        <f>HYPERLINK("http://www.evertonlopes.com.br")</f>
        <v>http://www.evertonlopes.com.br</v>
      </c>
      <c r="AR262" s="76" t="s">
        <v>24392</v>
      </c>
      <c r="AS262" s="76"/>
      <c r="AT262" s="76"/>
      <c r="AU262" s="76"/>
      <c r="AV262" s="76"/>
      <c r="AW262" s="83" t="str">
        <f>HYPERLINK("https://t.co/8K8lbgWrP7")</f>
        <v>https://t.co/8K8lbgWrP7</v>
      </c>
      <c r="AX262" s="76" t="b">
        <v>0</v>
      </c>
      <c r="AY262" s="76"/>
      <c r="AZ262" s="76"/>
      <c r="BA262" s="76" t="b">
        <v>0</v>
      </c>
      <c r="BB262" s="76" t="b">
        <v>1</v>
      </c>
      <c r="BC262" s="76" t="b">
        <v>1</v>
      </c>
      <c r="BD262" s="76" t="b">
        <v>0</v>
      </c>
      <c r="BE262" s="76" t="b">
        <v>0</v>
      </c>
      <c r="BF262" s="76" t="b">
        <v>0</v>
      </c>
      <c r="BG262" s="76" t="b">
        <v>0</v>
      </c>
      <c r="BH262" s="76"/>
      <c r="BI262" s="76"/>
      <c r="BJ262" s="76" t="s">
        <v>24935</v>
      </c>
      <c r="BK262" s="76" t="b">
        <v>0</v>
      </c>
      <c r="BL262" s="76"/>
      <c r="BM262" s="76" t="s">
        <v>66</v>
      </c>
      <c r="BN262" s="76" t="s">
        <v>24937</v>
      </c>
      <c r="BO262" s="83" t="str">
        <f>HYPERLINK("https://twitter.com/lopeseconomista")</f>
        <v>https://twitter.com/lopeseconomista</v>
      </c>
      <c r="BP262" s="2"/>
    </row>
    <row r="263" spans="1:68" x14ac:dyDescent="0.25">
      <c r="A263" s="62" t="s">
        <v>475</v>
      </c>
      <c r="B263" s="63"/>
      <c r="C263" s="63"/>
      <c r="D263" s="64"/>
      <c r="E263" s="66"/>
      <c r="F263" s="102" t="str">
        <f>HYPERLINK("https://pbs.twimg.com/profile_images/1624155172074053634/tfua8i_H_normal.jpg")</f>
        <v>https://pbs.twimg.com/profile_images/1624155172074053634/tfua8i_H_normal.jpg</v>
      </c>
      <c r="G263" s="63"/>
      <c r="H263" s="67"/>
      <c r="I263" s="68"/>
      <c r="J263" s="68"/>
      <c r="K263" s="67" t="s">
        <v>25197</v>
      </c>
      <c r="L263" s="71"/>
      <c r="M263" s="72"/>
      <c r="N263" s="72"/>
      <c r="O263" s="73"/>
      <c r="P263" s="74"/>
      <c r="Q263" s="74"/>
      <c r="R263" s="86"/>
      <c r="S263" s="86"/>
      <c r="T263" s="86"/>
      <c r="U263" s="86"/>
      <c r="V263" s="48"/>
      <c r="W263" s="48"/>
      <c r="X263" s="48"/>
      <c r="Y263" s="48"/>
      <c r="Z263" s="47"/>
      <c r="AA263" s="69">
        <v>263</v>
      </c>
      <c r="AB263" s="69"/>
      <c r="AC263" s="70"/>
      <c r="AD263" s="76" t="s">
        <v>22071</v>
      </c>
      <c r="AE263" s="81" t="s">
        <v>21198</v>
      </c>
      <c r="AF263" s="76">
        <v>0</v>
      </c>
      <c r="AG263" s="76">
        <v>1</v>
      </c>
      <c r="AH263" s="76">
        <v>13</v>
      </c>
      <c r="AI263" s="76">
        <v>0</v>
      </c>
      <c r="AJ263" s="76">
        <v>1</v>
      </c>
      <c r="AK263" s="76">
        <v>6</v>
      </c>
      <c r="AL263" s="76" t="b">
        <v>0</v>
      </c>
      <c r="AM263" s="78">
        <v>44967.765115740738</v>
      </c>
      <c r="AN263" s="76"/>
      <c r="AO263" s="76"/>
      <c r="AP263" s="76"/>
      <c r="AQ263" s="76"/>
      <c r="AR263" s="76"/>
      <c r="AS263" s="76"/>
      <c r="AT263" s="76"/>
      <c r="AU263" s="76"/>
      <c r="AV263" s="76"/>
      <c r="AW263" s="76"/>
      <c r="AX263" s="76" t="b">
        <v>0</v>
      </c>
      <c r="AY263" s="76"/>
      <c r="AZ263" s="76"/>
      <c r="BA263" s="76" t="b">
        <v>0</v>
      </c>
      <c r="BB263" s="76" t="b">
        <v>1</v>
      </c>
      <c r="BC263" s="76" t="b">
        <v>1</v>
      </c>
      <c r="BD263" s="76" t="b">
        <v>0</v>
      </c>
      <c r="BE263" s="76" t="b">
        <v>0</v>
      </c>
      <c r="BF263" s="76" t="b">
        <v>0</v>
      </c>
      <c r="BG263" s="76" t="b">
        <v>0</v>
      </c>
      <c r="BH263" s="76"/>
      <c r="BI263" s="76"/>
      <c r="BJ263" s="76" t="s">
        <v>24935</v>
      </c>
      <c r="BK263" s="76" t="b">
        <v>0</v>
      </c>
      <c r="BL263" s="76"/>
      <c r="BM263" s="76" t="s">
        <v>66</v>
      </c>
      <c r="BN263" s="76" t="s">
        <v>24937</v>
      </c>
      <c r="BO263" s="83" t="str">
        <f>HYPERLINK("https://twitter.com/yutomas64")</f>
        <v>https://twitter.com/yutomas64</v>
      </c>
      <c r="BP263" s="2"/>
    </row>
    <row r="264" spans="1:68" x14ac:dyDescent="0.25">
      <c r="A264" s="62" t="s">
        <v>476</v>
      </c>
      <c r="B264" s="63"/>
      <c r="C264" s="63"/>
      <c r="D264" s="64"/>
      <c r="E264" s="66"/>
      <c r="F264" s="102" t="str">
        <f>HYPERLINK("https://pbs.twimg.com/profile_images/1639287591131312130/n1e12DTn_normal.jpg")</f>
        <v>https://pbs.twimg.com/profile_images/1639287591131312130/n1e12DTn_normal.jpg</v>
      </c>
      <c r="G264" s="63"/>
      <c r="H264" s="67"/>
      <c r="I264" s="68"/>
      <c r="J264" s="68"/>
      <c r="K264" s="67" t="s">
        <v>25198</v>
      </c>
      <c r="L264" s="71"/>
      <c r="M264" s="72"/>
      <c r="N264" s="72"/>
      <c r="O264" s="73"/>
      <c r="P264" s="74"/>
      <c r="Q264" s="74"/>
      <c r="R264" s="86"/>
      <c r="S264" s="86"/>
      <c r="T264" s="86"/>
      <c r="U264" s="86"/>
      <c r="V264" s="48"/>
      <c r="W264" s="48"/>
      <c r="X264" s="48"/>
      <c r="Y264" s="48"/>
      <c r="Z264" s="47"/>
      <c r="AA264" s="69">
        <v>264</v>
      </c>
      <c r="AB264" s="69"/>
      <c r="AC264" s="70"/>
      <c r="AD264" s="76" t="s">
        <v>22072</v>
      </c>
      <c r="AE264" s="81" t="s">
        <v>21199</v>
      </c>
      <c r="AF264" s="76">
        <v>0</v>
      </c>
      <c r="AG264" s="76">
        <v>10</v>
      </c>
      <c r="AH264" s="76">
        <v>20</v>
      </c>
      <c r="AI264" s="76">
        <v>0</v>
      </c>
      <c r="AJ264" s="76">
        <v>0</v>
      </c>
      <c r="AK264" s="76">
        <v>0</v>
      </c>
      <c r="AL264" s="76" t="b">
        <v>0</v>
      </c>
      <c r="AM264" s="78">
        <v>44547.565740740742</v>
      </c>
      <c r="AN264" s="76" t="s">
        <v>23145</v>
      </c>
      <c r="AO264" s="76" t="s">
        <v>23569</v>
      </c>
      <c r="AP264" s="83" t="str">
        <f>HYPERLINK("https://t.co/H8CWFD7j1y")</f>
        <v>https://t.co/H8CWFD7j1y</v>
      </c>
      <c r="AQ264" s="83" t="str">
        <f>HYPERLINK("https://sites.google.com/view/comecenafrentedetodos/in%C3%ADcio")</f>
        <v>https://sites.google.com/view/comecenafrentedetodos/in%C3%ADcio</v>
      </c>
      <c r="AR264" s="76" t="s">
        <v>24393</v>
      </c>
      <c r="AS264" s="83" t="str">
        <f>HYPERLINK("https://t.co/Zxatd5xgEG")</f>
        <v>https://t.co/Zxatd5xgEG</v>
      </c>
      <c r="AT264" s="83" t="str">
        <f>HYPERLINK("http://app.monetizze.com.br/r/ANE22395524")</f>
        <v>http://app.monetizze.com.br/r/ANE22395524</v>
      </c>
      <c r="AU264" s="76" t="s">
        <v>24868</v>
      </c>
      <c r="AV264" s="76"/>
      <c r="AW264" s="83" t="str">
        <f>HYPERLINK("https://t.co/H8CWFD7j1y")</f>
        <v>https://t.co/H8CWFD7j1y</v>
      </c>
      <c r="AX264" s="76" t="b">
        <v>0</v>
      </c>
      <c r="AY264" s="76"/>
      <c r="AZ264" s="76"/>
      <c r="BA264" s="76" t="b">
        <v>0</v>
      </c>
      <c r="BB264" s="76" t="b">
        <v>1</v>
      </c>
      <c r="BC264" s="76" t="b">
        <v>1</v>
      </c>
      <c r="BD264" s="76" t="b">
        <v>0</v>
      </c>
      <c r="BE264" s="76" t="b">
        <v>0</v>
      </c>
      <c r="BF264" s="76" t="b">
        <v>0</v>
      </c>
      <c r="BG264" s="76" t="b">
        <v>0</v>
      </c>
      <c r="BH264" s="83" t="str">
        <f>HYPERLINK("https://pbs.twimg.com/profile_banners/1471836168014684166/1679672568")</f>
        <v>https://pbs.twimg.com/profile_banners/1471836168014684166/1679672568</v>
      </c>
      <c r="BI264" s="76"/>
      <c r="BJ264" s="76" t="s">
        <v>24935</v>
      </c>
      <c r="BK264" s="76" t="b">
        <v>0</v>
      </c>
      <c r="BL264" s="76"/>
      <c r="BM264" s="76" t="s">
        <v>66</v>
      </c>
      <c r="BN264" s="76" t="s">
        <v>24937</v>
      </c>
      <c r="BO264" s="83" t="str">
        <f>HYPERLINK("https://twitter.com/noitepaladino")</f>
        <v>https://twitter.com/noitepaladino</v>
      </c>
      <c r="BP264" s="2"/>
    </row>
    <row r="265" spans="1:68" x14ac:dyDescent="0.25">
      <c r="A265" s="62" t="s">
        <v>477</v>
      </c>
      <c r="B265" s="63"/>
      <c r="C265" s="63"/>
      <c r="D265" s="64"/>
      <c r="E265" s="66"/>
      <c r="F265" s="102" t="str">
        <f>HYPERLINK("https://pbs.twimg.com/profile_images/1649725742589116416/off4VR6D_normal.jpg")</f>
        <v>https://pbs.twimg.com/profile_images/1649725742589116416/off4VR6D_normal.jpg</v>
      </c>
      <c r="G265" s="63"/>
      <c r="H265" s="67"/>
      <c r="I265" s="68"/>
      <c r="J265" s="68"/>
      <c r="K265" s="67" t="s">
        <v>25199</v>
      </c>
      <c r="L265" s="71"/>
      <c r="M265" s="72"/>
      <c r="N265" s="72"/>
      <c r="O265" s="73"/>
      <c r="P265" s="74"/>
      <c r="Q265" s="74"/>
      <c r="R265" s="86"/>
      <c r="S265" s="86"/>
      <c r="T265" s="86"/>
      <c r="U265" s="86"/>
      <c r="V265" s="48"/>
      <c r="W265" s="48"/>
      <c r="X265" s="48"/>
      <c r="Y265" s="48"/>
      <c r="Z265" s="47"/>
      <c r="AA265" s="69">
        <v>265</v>
      </c>
      <c r="AB265" s="69"/>
      <c r="AC265" s="70"/>
      <c r="AD265" s="76" t="s">
        <v>22073</v>
      </c>
      <c r="AE265" s="81" t="s">
        <v>21200</v>
      </c>
      <c r="AF265" s="76">
        <v>5</v>
      </c>
      <c r="AG265" s="76">
        <v>23</v>
      </c>
      <c r="AH265" s="76">
        <v>36</v>
      </c>
      <c r="AI265" s="76">
        <v>0</v>
      </c>
      <c r="AJ265" s="76">
        <v>24</v>
      </c>
      <c r="AK265" s="76">
        <v>15</v>
      </c>
      <c r="AL265" s="76" t="b">
        <v>0</v>
      </c>
      <c r="AM265" s="78">
        <v>45032.963842592595</v>
      </c>
      <c r="AN265" s="76"/>
      <c r="AO265" s="76" t="s">
        <v>23570</v>
      </c>
      <c r="AP265" s="83" t="str">
        <f>HYPERLINK("https://t.co/ocEpiUlfpF")</f>
        <v>https://t.co/ocEpiUlfpF</v>
      </c>
      <c r="AQ265" s="83" t="str">
        <f>HYPERLINK("https://t.me/toplgbt")</f>
        <v>https://t.me/toplgbt</v>
      </c>
      <c r="AR265" s="76" t="s">
        <v>24394</v>
      </c>
      <c r="AS265" s="76"/>
      <c r="AT265" s="76"/>
      <c r="AU265" s="76"/>
      <c r="AV265" s="76">
        <v>1.649727744392E+18</v>
      </c>
      <c r="AW265" s="83" t="str">
        <f>HYPERLINK("https://t.co/ocEpiUlfpF")</f>
        <v>https://t.co/ocEpiUlfpF</v>
      </c>
      <c r="AX265" s="76" t="b">
        <v>0</v>
      </c>
      <c r="AY265" s="76"/>
      <c r="AZ265" s="76"/>
      <c r="BA265" s="76" t="b">
        <v>0</v>
      </c>
      <c r="BB265" s="76" t="b">
        <v>1</v>
      </c>
      <c r="BC265" s="76" t="b">
        <v>1</v>
      </c>
      <c r="BD265" s="76" t="b">
        <v>0</v>
      </c>
      <c r="BE265" s="76" t="b">
        <v>0</v>
      </c>
      <c r="BF265" s="76" t="b">
        <v>0</v>
      </c>
      <c r="BG265" s="76" t="b">
        <v>1</v>
      </c>
      <c r="BH265" s="83" t="str">
        <f>HYPERLINK("https://pbs.twimg.com/profile_banners/1647738455215013888/1682160241")</f>
        <v>https://pbs.twimg.com/profile_banners/1647738455215013888/1682160241</v>
      </c>
      <c r="BI265" s="76"/>
      <c r="BJ265" s="76" t="s">
        <v>24935</v>
      </c>
      <c r="BK265" s="76" t="b">
        <v>0</v>
      </c>
      <c r="BL265" s="76"/>
      <c r="BM265" s="76" t="s">
        <v>66</v>
      </c>
      <c r="BN265" s="76" t="s">
        <v>24937</v>
      </c>
      <c r="BO265" s="83" t="str">
        <f>HYPERLINK("https://twitter.com/topviplgbt")</f>
        <v>https://twitter.com/topviplgbt</v>
      </c>
      <c r="BP265" s="2"/>
    </row>
    <row r="266" spans="1:68" x14ac:dyDescent="0.25">
      <c r="A266" s="62" t="s">
        <v>478</v>
      </c>
      <c r="B266" s="63"/>
      <c r="C266" s="63"/>
      <c r="D266" s="64"/>
      <c r="E266" s="66"/>
      <c r="F266" s="102" t="str">
        <f>HYPERLINK("https://pbs.twimg.com/profile_images/1644449747145576449/KxmUv2mQ_normal.jpg")</f>
        <v>https://pbs.twimg.com/profile_images/1644449747145576449/KxmUv2mQ_normal.jpg</v>
      </c>
      <c r="G266" s="63"/>
      <c r="H266" s="67"/>
      <c r="I266" s="68"/>
      <c r="J266" s="68"/>
      <c r="K266" s="67" t="s">
        <v>25200</v>
      </c>
      <c r="L266" s="71"/>
      <c r="M266" s="72"/>
      <c r="N266" s="72"/>
      <c r="O266" s="73"/>
      <c r="P266" s="74"/>
      <c r="Q266" s="74"/>
      <c r="R266" s="86"/>
      <c r="S266" s="86"/>
      <c r="T266" s="86"/>
      <c r="U266" s="86"/>
      <c r="V266" s="48"/>
      <c r="W266" s="48"/>
      <c r="X266" s="48"/>
      <c r="Y266" s="48"/>
      <c r="Z266" s="47"/>
      <c r="AA266" s="69">
        <v>266</v>
      </c>
      <c r="AB266" s="69"/>
      <c r="AC266" s="70"/>
      <c r="AD266" s="76" t="s">
        <v>22074</v>
      </c>
      <c r="AE266" s="81" t="s">
        <v>21201</v>
      </c>
      <c r="AF266" s="76">
        <v>528</v>
      </c>
      <c r="AG266" s="76">
        <v>2803</v>
      </c>
      <c r="AH266" s="76">
        <v>6316</v>
      </c>
      <c r="AI266" s="76">
        <v>5</v>
      </c>
      <c r="AJ266" s="76">
        <v>758</v>
      </c>
      <c r="AK266" s="76">
        <v>557</v>
      </c>
      <c r="AL266" s="76" t="b">
        <v>0</v>
      </c>
      <c r="AM266" s="78">
        <v>43018.702384259261</v>
      </c>
      <c r="AN266" s="76"/>
      <c r="AO266" s="76" t="s">
        <v>23571</v>
      </c>
      <c r="AP266" s="76"/>
      <c r="AQ266" s="76"/>
      <c r="AR266" s="76"/>
      <c r="AS266" s="76"/>
      <c r="AT266" s="76"/>
      <c r="AU266" s="76"/>
      <c r="AV266" s="76">
        <v>1.37557174507634E+18</v>
      </c>
      <c r="AW266" s="76"/>
      <c r="AX266" s="76" t="b">
        <v>0</v>
      </c>
      <c r="AY266" s="76"/>
      <c r="AZ266" s="76"/>
      <c r="BA266" s="76" t="b">
        <v>0</v>
      </c>
      <c r="BB266" s="76" t="b">
        <v>1</v>
      </c>
      <c r="BC266" s="76" t="b">
        <v>1</v>
      </c>
      <c r="BD266" s="76" t="b">
        <v>0</v>
      </c>
      <c r="BE266" s="76" t="b">
        <v>0</v>
      </c>
      <c r="BF266" s="76" t="b">
        <v>0</v>
      </c>
      <c r="BG266" s="76" t="b">
        <v>0</v>
      </c>
      <c r="BH266" s="76"/>
      <c r="BI266" s="76"/>
      <c r="BJ266" s="76" t="s">
        <v>24935</v>
      </c>
      <c r="BK266" s="76" t="b">
        <v>0</v>
      </c>
      <c r="BL266" s="76"/>
      <c r="BM266" s="76" t="s">
        <v>66</v>
      </c>
      <c r="BN266" s="76" t="s">
        <v>24937</v>
      </c>
      <c r="BO266" s="83" t="str">
        <f>HYPERLINK("https://twitter.com/dodavizao")</f>
        <v>https://twitter.com/dodavizao</v>
      </c>
      <c r="BP266" s="2"/>
    </row>
    <row r="267" spans="1:68" x14ac:dyDescent="0.25">
      <c r="A267" s="62" t="s">
        <v>479</v>
      </c>
      <c r="B267" s="63"/>
      <c r="C267" s="63"/>
      <c r="D267" s="64"/>
      <c r="E267" s="66"/>
      <c r="F267" s="102" t="str">
        <f>HYPERLINK("https://pbs.twimg.com/profile_images/1575557803690917896/CobpPmCr_normal.png")</f>
        <v>https://pbs.twimg.com/profile_images/1575557803690917896/CobpPmCr_normal.png</v>
      </c>
      <c r="G267" s="63"/>
      <c r="H267" s="67"/>
      <c r="I267" s="68"/>
      <c r="J267" s="68"/>
      <c r="K267" s="67" t="s">
        <v>25201</v>
      </c>
      <c r="L267" s="71"/>
      <c r="M267" s="72"/>
      <c r="N267" s="72"/>
      <c r="O267" s="73"/>
      <c r="P267" s="74"/>
      <c r="Q267" s="74"/>
      <c r="R267" s="86"/>
      <c r="S267" s="86"/>
      <c r="T267" s="86"/>
      <c r="U267" s="86"/>
      <c r="V267" s="48"/>
      <c r="W267" s="48"/>
      <c r="X267" s="48"/>
      <c r="Y267" s="48"/>
      <c r="Z267" s="47"/>
      <c r="AA267" s="69">
        <v>267</v>
      </c>
      <c r="AB267" s="69"/>
      <c r="AC267" s="70"/>
      <c r="AD267" s="76" t="s">
        <v>22075</v>
      </c>
      <c r="AE267" s="81" t="s">
        <v>21202</v>
      </c>
      <c r="AF267" s="76">
        <v>819</v>
      </c>
      <c r="AG267" s="76">
        <v>2201</v>
      </c>
      <c r="AH267" s="76">
        <v>421</v>
      </c>
      <c r="AI267" s="76">
        <v>3</v>
      </c>
      <c r="AJ267" s="76">
        <v>932</v>
      </c>
      <c r="AK267" s="76">
        <v>376</v>
      </c>
      <c r="AL267" s="76" t="b">
        <v>0</v>
      </c>
      <c r="AM267" s="78">
        <v>44833.772650462961</v>
      </c>
      <c r="AN267" s="76"/>
      <c r="AO267" s="76" t="s">
        <v>23572</v>
      </c>
      <c r="AP267" s="83" t="str">
        <f>HYPERLINK("https://t.co/2s9cmYeqlA")</f>
        <v>https://t.co/2s9cmYeqlA</v>
      </c>
      <c r="AQ267" s="83" t="str">
        <f>HYPERLINK("https://www.youtube.com/channel/UCzh0HKcmO6qcdqy6Q9HdSkw")</f>
        <v>https://www.youtube.com/channel/UCzh0HKcmO6qcdqy6Q9HdSkw</v>
      </c>
      <c r="AR267" s="76" t="s">
        <v>24395</v>
      </c>
      <c r="AS267" s="83" t="str">
        <f>HYPERLINK("https://t.co/rZunWQziUi")</f>
        <v>https://t.co/rZunWQziUi</v>
      </c>
      <c r="AT267" s="83" t="str">
        <f>HYPERLINK("http://youtube.com/channel/UCzh0H")</f>
        <v>http://youtube.com/channel/UCzh0H</v>
      </c>
      <c r="AU267" s="76" t="s">
        <v>24869</v>
      </c>
      <c r="AV267" s="76">
        <v>1.6863201169029E+18</v>
      </c>
      <c r="AW267" s="83" t="str">
        <f>HYPERLINK("https://t.co/2s9cmYeqlA")</f>
        <v>https://t.co/2s9cmYeqlA</v>
      </c>
      <c r="AX267" s="76" t="b">
        <v>0</v>
      </c>
      <c r="AY267" s="76"/>
      <c r="AZ267" s="76"/>
      <c r="BA267" s="76" t="b">
        <v>0</v>
      </c>
      <c r="BB267" s="76" t="b">
        <v>1</v>
      </c>
      <c r="BC267" s="76" t="b">
        <v>1</v>
      </c>
      <c r="BD267" s="76" t="b">
        <v>0</v>
      </c>
      <c r="BE267" s="76" t="b">
        <v>0</v>
      </c>
      <c r="BF267" s="76" t="b">
        <v>0</v>
      </c>
      <c r="BG267" s="76" t="b">
        <v>0</v>
      </c>
      <c r="BH267" s="83" t="str">
        <f>HYPERLINK("https://pbs.twimg.com/profile_banners/1575554054889111558/1664478416")</f>
        <v>https://pbs.twimg.com/profile_banners/1575554054889111558/1664478416</v>
      </c>
      <c r="BI267" s="76"/>
      <c r="BJ267" s="76" t="s">
        <v>24935</v>
      </c>
      <c r="BK267" s="76" t="b">
        <v>0</v>
      </c>
      <c r="BL267" s="76"/>
      <c r="BM267" s="76" t="s">
        <v>66</v>
      </c>
      <c r="BN267" s="76" t="s">
        <v>24937</v>
      </c>
      <c r="BO267" s="83" t="str">
        <f>HYPERLINK("https://twitter.com/ceufragmentos")</f>
        <v>https://twitter.com/ceufragmentos</v>
      </c>
      <c r="BP267" s="2"/>
    </row>
    <row r="268" spans="1:68" x14ac:dyDescent="0.25">
      <c r="A268" s="62" t="s">
        <v>480</v>
      </c>
      <c r="B268" s="63"/>
      <c r="C268" s="63"/>
      <c r="D268" s="64"/>
      <c r="E268" s="66"/>
      <c r="F268" s="102" t="str">
        <f>HYPERLINK("https://pbs.twimg.com/profile_images/1485276710593564677/1g086V6T_normal.jpg")</f>
        <v>https://pbs.twimg.com/profile_images/1485276710593564677/1g086V6T_normal.jpg</v>
      </c>
      <c r="G268" s="63"/>
      <c r="H268" s="67"/>
      <c r="I268" s="68"/>
      <c r="J268" s="68"/>
      <c r="K268" s="67" t="s">
        <v>25202</v>
      </c>
      <c r="L268" s="71"/>
      <c r="M268" s="72"/>
      <c r="N268" s="72"/>
      <c r="O268" s="73"/>
      <c r="P268" s="74"/>
      <c r="Q268" s="74"/>
      <c r="R268" s="86"/>
      <c r="S268" s="86"/>
      <c r="T268" s="86"/>
      <c r="U268" s="86"/>
      <c r="V268" s="48"/>
      <c r="W268" s="48"/>
      <c r="X268" s="48"/>
      <c r="Y268" s="48"/>
      <c r="Z268" s="47"/>
      <c r="AA268" s="69">
        <v>268</v>
      </c>
      <c r="AB268" s="69"/>
      <c r="AC268" s="70"/>
      <c r="AD268" s="76" t="s">
        <v>22076</v>
      </c>
      <c r="AE268" s="81" t="s">
        <v>21203</v>
      </c>
      <c r="AF268" s="76">
        <v>2656</v>
      </c>
      <c r="AG268" s="76">
        <v>4664</v>
      </c>
      <c r="AH268" s="76">
        <v>51927</v>
      </c>
      <c r="AI268" s="76">
        <v>4</v>
      </c>
      <c r="AJ268" s="76">
        <v>48498</v>
      </c>
      <c r="AK268" s="76">
        <v>3257</v>
      </c>
      <c r="AL268" s="76" t="b">
        <v>0</v>
      </c>
      <c r="AM268" s="78">
        <v>44584.653483796297</v>
      </c>
      <c r="AN268" s="76" t="s">
        <v>23146</v>
      </c>
      <c r="AO268" s="76" t="s">
        <v>23573</v>
      </c>
      <c r="AP268" s="83" t="str">
        <f>HYPERLINK("https://t.co/J81Dh75Fps")</f>
        <v>https://t.co/J81Dh75Fps</v>
      </c>
      <c r="AQ268" s="83" t="str">
        <f>HYPERLINK("https://ntnc.com.br/9c90bed5-8d91-4571-b4b3-c723643c7200")</f>
        <v>https://ntnc.com.br/9c90bed5-8d91-4571-b4b3-c723643c7200</v>
      </c>
      <c r="AR268" s="76" t="s">
        <v>24396</v>
      </c>
      <c r="AS268" s="76"/>
      <c r="AT268" s="76"/>
      <c r="AU268" s="76"/>
      <c r="AV268" s="76"/>
      <c r="AW268" s="83" t="str">
        <f>HYPERLINK("https://t.co/J81Dh75Fps")</f>
        <v>https://t.co/J81Dh75Fps</v>
      </c>
      <c r="AX268" s="76" t="b">
        <v>0</v>
      </c>
      <c r="AY268" s="76"/>
      <c r="AZ268" s="76"/>
      <c r="BA268" s="76" t="b">
        <v>1</v>
      </c>
      <c r="BB268" s="76" t="b">
        <v>1</v>
      </c>
      <c r="BC268" s="76" t="b">
        <v>1</v>
      </c>
      <c r="BD268" s="76" t="b">
        <v>0</v>
      </c>
      <c r="BE268" s="76" t="b">
        <v>0</v>
      </c>
      <c r="BF268" s="76" t="b">
        <v>0</v>
      </c>
      <c r="BG268" s="76" t="b">
        <v>0</v>
      </c>
      <c r="BH268" s="83" t="str">
        <f>HYPERLINK("https://pbs.twimg.com/profile_banners/1485276361849815041/1642952662")</f>
        <v>https://pbs.twimg.com/profile_banners/1485276361849815041/1642952662</v>
      </c>
      <c r="BI268" s="76"/>
      <c r="BJ268" s="76" t="s">
        <v>24935</v>
      </c>
      <c r="BK268" s="76" t="b">
        <v>0</v>
      </c>
      <c r="BL268" s="76"/>
      <c r="BM268" s="76" t="s">
        <v>66</v>
      </c>
      <c r="BN268" s="76" t="s">
        <v>24937</v>
      </c>
      <c r="BO268" s="83" t="str">
        <f>HYPERLINK("https://twitter.com/informa_bc")</f>
        <v>https://twitter.com/informa_bc</v>
      </c>
      <c r="BP268" s="2"/>
    </row>
    <row r="269" spans="1:68" x14ac:dyDescent="0.25">
      <c r="A269" s="62" t="s">
        <v>481</v>
      </c>
      <c r="B269" s="63"/>
      <c r="C269" s="63"/>
      <c r="D269" s="64"/>
      <c r="E269" s="66"/>
      <c r="F269" s="102" t="str">
        <f>HYPERLINK("https://pbs.twimg.com/profile_images/1598086045794541569/p1xnHoN3_normal.jpg")</f>
        <v>https://pbs.twimg.com/profile_images/1598086045794541569/p1xnHoN3_normal.jpg</v>
      </c>
      <c r="G269" s="63"/>
      <c r="H269" s="67"/>
      <c r="I269" s="68"/>
      <c r="J269" s="68"/>
      <c r="K269" s="67" t="s">
        <v>25203</v>
      </c>
      <c r="L269" s="71"/>
      <c r="M269" s="72"/>
      <c r="N269" s="72"/>
      <c r="O269" s="73"/>
      <c r="P269" s="74"/>
      <c r="Q269" s="74"/>
      <c r="R269" s="86"/>
      <c r="S269" s="86"/>
      <c r="T269" s="86"/>
      <c r="U269" s="86"/>
      <c r="V269" s="48"/>
      <c r="W269" s="48"/>
      <c r="X269" s="48"/>
      <c r="Y269" s="48"/>
      <c r="Z269" s="47"/>
      <c r="AA269" s="69">
        <v>269</v>
      </c>
      <c r="AB269" s="69"/>
      <c r="AC269" s="70"/>
      <c r="AD269" s="76" t="s">
        <v>22077</v>
      </c>
      <c r="AE269" s="81" t="s">
        <v>21204</v>
      </c>
      <c r="AF269" s="76">
        <v>15</v>
      </c>
      <c r="AG269" s="76">
        <v>140</v>
      </c>
      <c r="AH269" s="76">
        <v>15</v>
      </c>
      <c r="AI269" s="76">
        <v>0</v>
      </c>
      <c r="AJ269" s="76">
        <v>44</v>
      </c>
      <c r="AK269" s="76">
        <v>13</v>
      </c>
      <c r="AL269" s="76" t="b">
        <v>0</v>
      </c>
      <c r="AM269" s="78">
        <v>44840.735046296293</v>
      </c>
      <c r="AN269" s="76" t="s">
        <v>23147</v>
      </c>
      <c r="AO269" s="76" t="s">
        <v>23574</v>
      </c>
      <c r="AP269" s="83" t="str">
        <f>HYPERLINK("https://t.co/9IgsqkXDUX")</f>
        <v>https://t.co/9IgsqkXDUX</v>
      </c>
      <c r="AQ269" s="83" t="str">
        <f>HYPERLINK("https://www.followconsultoriax.com/consultorafollowjaquelinecunha")</f>
        <v>https://www.followconsultoriax.com/consultorafollowjaquelinecunha</v>
      </c>
      <c r="AR269" s="76" t="s">
        <v>24397</v>
      </c>
      <c r="AS269" s="76"/>
      <c r="AT269" s="76"/>
      <c r="AU269" s="76"/>
      <c r="AV269" s="76"/>
      <c r="AW269" s="83" t="str">
        <f>HYPERLINK("https://t.co/9IgsqkXDUX")</f>
        <v>https://t.co/9IgsqkXDUX</v>
      </c>
      <c r="AX269" s="76" t="b">
        <v>0</v>
      </c>
      <c r="AY269" s="76"/>
      <c r="AZ269" s="76"/>
      <c r="BA269" s="76" t="b">
        <v>0</v>
      </c>
      <c r="BB269" s="76" t="b">
        <v>1</v>
      </c>
      <c r="BC269" s="76" t="b">
        <v>1</v>
      </c>
      <c r="BD269" s="76" t="b">
        <v>0</v>
      </c>
      <c r="BE269" s="76" t="b">
        <v>0</v>
      </c>
      <c r="BF269" s="76" t="b">
        <v>0</v>
      </c>
      <c r="BG269" s="76" t="b">
        <v>0</v>
      </c>
      <c r="BH269" s="83" t="str">
        <f>HYPERLINK("https://pbs.twimg.com/profile_banners/1578077140918181889/1669848378")</f>
        <v>https://pbs.twimg.com/profile_banners/1578077140918181889/1669848378</v>
      </c>
      <c r="BI269" s="76"/>
      <c r="BJ269" s="76" t="s">
        <v>24935</v>
      </c>
      <c r="BK269" s="76" t="b">
        <v>0</v>
      </c>
      <c r="BL269" s="76"/>
      <c r="BM269" s="76" t="s">
        <v>66</v>
      </c>
      <c r="BN269" s="76" t="s">
        <v>24937</v>
      </c>
      <c r="BO269" s="83" t="str">
        <f>HYPERLINK("https://twitter.com/jaquesantosluiz")</f>
        <v>https://twitter.com/jaquesantosluiz</v>
      </c>
      <c r="BP269" s="2"/>
    </row>
    <row r="270" spans="1:68" x14ac:dyDescent="0.25">
      <c r="A270" s="62" t="s">
        <v>482</v>
      </c>
      <c r="B270" s="63"/>
      <c r="C270" s="63"/>
      <c r="D270" s="64"/>
      <c r="E270" s="66"/>
      <c r="F270" s="102" t="str">
        <f>HYPERLINK("https://pbs.twimg.com/profile_images/1648284004204806144/bPhoAUPx_normal.jpg")</f>
        <v>https://pbs.twimg.com/profile_images/1648284004204806144/bPhoAUPx_normal.jpg</v>
      </c>
      <c r="G270" s="63"/>
      <c r="H270" s="67"/>
      <c r="I270" s="68"/>
      <c r="J270" s="68"/>
      <c r="K270" s="67" t="s">
        <v>25204</v>
      </c>
      <c r="L270" s="71"/>
      <c r="M270" s="72"/>
      <c r="N270" s="72"/>
      <c r="O270" s="73"/>
      <c r="P270" s="74"/>
      <c r="Q270" s="74"/>
      <c r="R270" s="86"/>
      <c r="S270" s="86"/>
      <c r="T270" s="86"/>
      <c r="U270" s="86"/>
      <c r="V270" s="48"/>
      <c r="W270" s="48"/>
      <c r="X270" s="48"/>
      <c r="Y270" s="48"/>
      <c r="Z270" s="47"/>
      <c r="AA270" s="69">
        <v>270</v>
      </c>
      <c r="AB270" s="69"/>
      <c r="AC270" s="70"/>
      <c r="AD270" s="76" t="s">
        <v>22078</v>
      </c>
      <c r="AE270" s="81" t="s">
        <v>22910</v>
      </c>
      <c r="AF270" s="76">
        <v>2587</v>
      </c>
      <c r="AG270" s="76">
        <v>97</v>
      </c>
      <c r="AH270" s="76">
        <v>84173</v>
      </c>
      <c r="AI270" s="76">
        <v>11</v>
      </c>
      <c r="AJ270" s="76">
        <v>2095</v>
      </c>
      <c r="AK270" s="76">
        <v>1978</v>
      </c>
      <c r="AL270" s="76" t="b">
        <v>0</v>
      </c>
      <c r="AM270" s="78">
        <v>40740.763159722221</v>
      </c>
      <c r="AN270" s="76" t="s">
        <v>23148</v>
      </c>
      <c r="AO270" s="76" t="s">
        <v>23575</v>
      </c>
      <c r="AP270" s="76"/>
      <c r="AQ270" s="76"/>
      <c r="AR270" s="76"/>
      <c r="AS270" s="76"/>
      <c r="AT270" s="76"/>
      <c r="AU270" s="76"/>
      <c r="AV270" s="76">
        <v>7.6406107075120704E+17</v>
      </c>
      <c r="AW270" s="76"/>
      <c r="AX270" s="76" t="b">
        <v>0</v>
      </c>
      <c r="AY270" s="76"/>
      <c r="AZ270" s="76"/>
      <c r="BA270" s="76" t="b">
        <v>0</v>
      </c>
      <c r="BB270" s="76" t="b">
        <v>0</v>
      </c>
      <c r="BC270" s="76" t="b">
        <v>0</v>
      </c>
      <c r="BD270" s="76" t="b">
        <v>0</v>
      </c>
      <c r="BE270" s="76" t="b">
        <v>1</v>
      </c>
      <c r="BF270" s="76" t="b">
        <v>0</v>
      </c>
      <c r="BG270" s="76" t="b">
        <v>1</v>
      </c>
      <c r="BH270" s="83" t="str">
        <f>HYPERLINK("https://pbs.twimg.com/profile_banners/336676673/1488316623")</f>
        <v>https://pbs.twimg.com/profile_banners/336676673/1488316623</v>
      </c>
      <c r="BI270" s="76"/>
      <c r="BJ270" s="76" t="s">
        <v>24935</v>
      </c>
      <c r="BK270" s="76" t="b">
        <v>0</v>
      </c>
      <c r="BL270" s="76"/>
      <c r="BM270" s="76" t="s">
        <v>66</v>
      </c>
      <c r="BN270" s="76" t="s">
        <v>24937</v>
      </c>
      <c r="BO270" s="83" t="str">
        <f>HYPERLINK("https://twitter.com/pelearrepiada")</f>
        <v>https://twitter.com/pelearrepiada</v>
      </c>
      <c r="BP270" s="2"/>
    </row>
    <row r="271" spans="1:68" x14ac:dyDescent="0.25">
      <c r="A271" s="62" t="s">
        <v>483</v>
      </c>
      <c r="B271" s="63"/>
      <c r="C271" s="63"/>
      <c r="D271" s="64"/>
      <c r="E271" s="66"/>
      <c r="F271" s="102" t="str">
        <f>HYPERLINK("https://pbs.twimg.com/profile_images/1631012820954370066/w-jYR_CZ_normal.jpg")</f>
        <v>https://pbs.twimg.com/profile_images/1631012820954370066/w-jYR_CZ_normal.jpg</v>
      </c>
      <c r="G271" s="63"/>
      <c r="H271" s="67"/>
      <c r="I271" s="68"/>
      <c r="J271" s="68"/>
      <c r="K271" s="67" t="s">
        <v>25205</v>
      </c>
      <c r="L271" s="71"/>
      <c r="M271" s="72"/>
      <c r="N271" s="72"/>
      <c r="O271" s="73"/>
      <c r="P271" s="74"/>
      <c r="Q271" s="74"/>
      <c r="R271" s="86"/>
      <c r="S271" s="86"/>
      <c r="T271" s="86"/>
      <c r="U271" s="86"/>
      <c r="V271" s="48"/>
      <c r="W271" s="48"/>
      <c r="X271" s="48"/>
      <c r="Y271" s="48"/>
      <c r="Z271" s="47"/>
      <c r="AA271" s="69">
        <v>271</v>
      </c>
      <c r="AB271" s="69"/>
      <c r="AC271" s="70"/>
      <c r="AD271" s="76" t="s">
        <v>22079</v>
      </c>
      <c r="AE271" s="81" t="s">
        <v>21205</v>
      </c>
      <c r="AF271" s="76">
        <v>6</v>
      </c>
      <c r="AG271" s="76">
        <v>17</v>
      </c>
      <c r="AH271" s="76">
        <v>133</v>
      </c>
      <c r="AI271" s="76">
        <v>0</v>
      </c>
      <c r="AJ271" s="76">
        <v>12</v>
      </c>
      <c r="AK271" s="76">
        <v>18</v>
      </c>
      <c r="AL271" s="76" t="b">
        <v>0</v>
      </c>
      <c r="AM271" s="78">
        <v>44984.994432870371</v>
      </c>
      <c r="AN271" s="76" t="s">
        <v>23149</v>
      </c>
      <c r="AO271" s="76" t="s">
        <v>23576</v>
      </c>
      <c r="AP271" s="76"/>
      <c r="AQ271" s="76"/>
      <c r="AR271" s="76"/>
      <c r="AS271" s="76"/>
      <c r="AT271" s="76"/>
      <c r="AU271" s="76"/>
      <c r="AV271" s="76"/>
      <c r="AW271" s="76"/>
      <c r="AX271" s="76" t="b">
        <v>0</v>
      </c>
      <c r="AY271" s="76"/>
      <c r="AZ271" s="76"/>
      <c r="BA271" s="76" t="b">
        <v>0</v>
      </c>
      <c r="BB271" s="76" t="b">
        <v>1</v>
      </c>
      <c r="BC271" s="76" t="b">
        <v>1</v>
      </c>
      <c r="BD271" s="76" t="b">
        <v>0</v>
      </c>
      <c r="BE271" s="76" t="b">
        <v>0</v>
      </c>
      <c r="BF271" s="76" t="b">
        <v>0</v>
      </c>
      <c r="BG271" s="76" t="b">
        <v>0</v>
      </c>
      <c r="BH271" s="76"/>
      <c r="BI271" s="76"/>
      <c r="BJ271" s="76" t="s">
        <v>24935</v>
      </c>
      <c r="BK271" s="76" t="b">
        <v>0</v>
      </c>
      <c r="BL271" s="76"/>
      <c r="BM271" s="76" t="s">
        <v>66</v>
      </c>
      <c r="BN271" s="76" t="s">
        <v>24937</v>
      </c>
      <c r="BO271" s="83" t="str">
        <f>HYPERLINK("https://twitter.com/megapromosdalo")</f>
        <v>https://twitter.com/megapromosdalo</v>
      </c>
      <c r="BP271" s="2"/>
    </row>
    <row r="272" spans="1:68" x14ac:dyDescent="0.25">
      <c r="A272" s="62" t="s">
        <v>484</v>
      </c>
      <c r="B272" s="63"/>
      <c r="C272" s="63"/>
      <c r="D272" s="64"/>
      <c r="E272" s="66"/>
      <c r="F272" s="102" t="str">
        <f>HYPERLINK("https://pbs.twimg.com/profile_images/1635232067276374016/zAry-xKU_normal.jpg")</f>
        <v>https://pbs.twimg.com/profile_images/1635232067276374016/zAry-xKU_normal.jpg</v>
      </c>
      <c r="G272" s="63"/>
      <c r="H272" s="67"/>
      <c r="I272" s="68"/>
      <c r="J272" s="68"/>
      <c r="K272" s="67" t="s">
        <v>25206</v>
      </c>
      <c r="L272" s="71"/>
      <c r="M272" s="72"/>
      <c r="N272" s="72"/>
      <c r="O272" s="73"/>
      <c r="P272" s="74"/>
      <c r="Q272" s="74"/>
      <c r="R272" s="86"/>
      <c r="S272" s="86"/>
      <c r="T272" s="86"/>
      <c r="U272" s="86"/>
      <c r="V272" s="48"/>
      <c r="W272" s="48"/>
      <c r="X272" s="48"/>
      <c r="Y272" s="48"/>
      <c r="Z272" s="47"/>
      <c r="AA272" s="69">
        <v>272</v>
      </c>
      <c r="AB272" s="69"/>
      <c r="AC272" s="70"/>
      <c r="AD272" s="76" t="s">
        <v>22080</v>
      </c>
      <c r="AE272" s="81" t="s">
        <v>21206</v>
      </c>
      <c r="AF272" s="76">
        <v>10</v>
      </c>
      <c r="AG272" s="76">
        <v>4</v>
      </c>
      <c r="AH272" s="76">
        <v>38</v>
      </c>
      <c r="AI272" s="76">
        <v>0</v>
      </c>
      <c r="AJ272" s="76">
        <v>2</v>
      </c>
      <c r="AK272" s="76">
        <v>35</v>
      </c>
      <c r="AL272" s="76" t="b">
        <v>0</v>
      </c>
      <c r="AM272" s="78">
        <v>44998.433831018519</v>
      </c>
      <c r="AN272" s="76" t="s">
        <v>14033</v>
      </c>
      <c r="AO272" s="76" t="s">
        <v>23577</v>
      </c>
      <c r="AP272" s="83" t="str">
        <f>HYPERLINK("https://t.co/A9eAp82gQQ")</f>
        <v>https://t.co/A9eAp82gQQ</v>
      </c>
      <c r="AQ272" s="83" t="str">
        <f>HYPERLINK("http://bit.ly/3ZhMxFJ")</f>
        <v>http://bit.ly/3ZhMxFJ</v>
      </c>
      <c r="AR272" s="76" t="s">
        <v>24398</v>
      </c>
      <c r="AS272" s="76"/>
      <c r="AT272" s="76"/>
      <c r="AU272" s="76"/>
      <c r="AV272" s="76"/>
      <c r="AW272" s="83" t="str">
        <f>HYPERLINK("https://t.co/A9eAp82gQQ")</f>
        <v>https://t.co/A9eAp82gQQ</v>
      </c>
      <c r="AX272" s="76" t="b">
        <v>0</v>
      </c>
      <c r="AY272" s="76"/>
      <c r="AZ272" s="76"/>
      <c r="BA272" s="76" t="b">
        <v>0</v>
      </c>
      <c r="BB272" s="76" t="b">
        <v>1</v>
      </c>
      <c r="BC272" s="76" t="b">
        <v>1</v>
      </c>
      <c r="BD272" s="76" t="b">
        <v>0</v>
      </c>
      <c r="BE272" s="76" t="b">
        <v>0</v>
      </c>
      <c r="BF272" s="76" t="b">
        <v>0</v>
      </c>
      <c r="BG272" s="76" t="b">
        <v>0</v>
      </c>
      <c r="BH272" s="76"/>
      <c r="BI272" s="76"/>
      <c r="BJ272" s="76" t="s">
        <v>24935</v>
      </c>
      <c r="BK272" s="76" t="b">
        <v>0</v>
      </c>
      <c r="BL272" s="76"/>
      <c r="BM272" s="76" t="s">
        <v>66</v>
      </c>
      <c r="BN272" s="76" t="s">
        <v>24937</v>
      </c>
      <c r="BO272" s="83" t="str">
        <f>HYPERLINK("https://twitter.com/fortunetigerbot")</f>
        <v>https://twitter.com/fortunetigerbot</v>
      </c>
      <c r="BP272" s="2"/>
    </row>
    <row r="273" spans="1:68" x14ac:dyDescent="0.25">
      <c r="A273" s="62" t="s">
        <v>485</v>
      </c>
      <c r="B273" s="63"/>
      <c r="C273" s="63"/>
      <c r="D273" s="64"/>
      <c r="E273" s="66"/>
      <c r="F273" s="102" t="str">
        <f>HYPERLINK("https://pbs.twimg.com/profile_images/1615177486312120322/HEcNAWGH_normal.jpg")</f>
        <v>https://pbs.twimg.com/profile_images/1615177486312120322/HEcNAWGH_normal.jpg</v>
      </c>
      <c r="G273" s="63"/>
      <c r="H273" s="67"/>
      <c r="I273" s="68"/>
      <c r="J273" s="68"/>
      <c r="K273" s="67" t="s">
        <v>25207</v>
      </c>
      <c r="L273" s="71"/>
      <c r="M273" s="72"/>
      <c r="N273" s="72"/>
      <c r="O273" s="73"/>
      <c r="P273" s="74"/>
      <c r="Q273" s="74"/>
      <c r="R273" s="86"/>
      <c r="S273" s="86"/>
      <c r="T273" s="86"/>
      <c r="U273" s="86"/>
      <c r="V273" s="48"/>
      <c r="W273" s="48"/>
      <c r="X273" s="48"/>
      <c r="Y273" s="48"/>
      <c r="Z273" s="47"/>
      <c r="AA273" s="69">
        <v>273</v>
      </c>
      <c r="AB273" s="69"/>
      <c r="AC273" s="70"/>
      <c r="AD273" s="76" t="s">
        <v>22081</v>
      </c>
      <c r="AE273" s="81" t="s">
        <v>21207</v>
      </c>
      <c r="AF273" s="76">
        <v>26</v>
      </c>
      <c r="AG273" s="76">
        <v>75</v>
      </c>
      <c r="AH273" s="76">
        <v>94</v>
      </c>
      <c r="AI273" s="76">
        <v>0</v>
      </c>
      <c r="AJ273" s="76">
        <v>167</v>
      </c>
      <c r="AK273" s="76">
        <v>49</v>
      </c>
      <c r="AL273" s="76" t="b">
        <v>0</v>
      </c>
      <c r="AM273" s="78">
        <v>44701.688738425924</v>
      </c>
      <c r="AN273" s="76"/>
      <c r="AO273" s="76" t="s">
        <v>23578</v>
      </c>
      <c r="AP273" s="83" t="str">
        <f>HYPERLINK("https://t.co/WEVqWSXpVX")</f>
        <v>https://t.co/WEVqWSXpVX</v>
      </c>
      <c r="AQ273" s="83" t="str">
        <f>HYPERLINK("https://t.me/gabrieltipsespeciaiseuropa")</f>
        <v>https://t.me/gabrieltipsespeciaiseuropa</v>
      </c>
      <c r="AR273" s="76" t="s">
        <v>24399</v>
      </c>
      <c r="AS273" s="76"/>
      <c r="AT273" s="76"/>
      <c r="AU273" s="76"/>
      <c r="AV273" s="76">
        <v>1.59526985182781E+18</v>
      </c>
      <c r="AW273" s="83" t="str">
        <f>HYPERLINK("https://t.co/WEVqWSXpVX")</f>
        <v>https://t.co/WEVqWSXpVX</v>
      </c>
      <c r="AX273" s="76" t="b">
        <v>0</v>
      </c>
      <c r="AY273" s="76"/>
      <c r="AZ273" s="76"/>
      <c r="BA273" s="76" t="b">
        <v>0</v>
      </c>
      <c r="BB273" s="76" t="b">
        <v>1</v>
      </c>
      <c r="BC273" s="76" t="b">
        <v>1</v>
      </c>
      <c r="BD273" s="76" t="b">
        <v>0</v>
      </c>
      <c r="BE273" s="76" t="b">
        <v>0</v>
      </c>
      <c r="BF273" s="76" t="b">
        <v>0</v>
      </c>
      <c r="BG273" s="76" t="b">
        <v>0</v>
      </c>
      <c r="BH273" s="83" t="str">
        <f>HYPERLINK("https://pbs.twimg.com/profile_banners/1527688196905107457/1673923338")</f>
        <v>https://pbs.twimg.com/profile_banners/1527688196905107457/1673923338</v>
      </c>
      <c r="BI273" s="76"/>
      <c r="BJ273" s="76" t="s">
        <v>24935</v>
      </c>
      <c r="BK273" s="76" t="b">
        <v>0</v>
      </c>
      <c r="BL273" s="76"/>
      <c r="BM273" s="76" t="s">
        <v>66</v>
      </c>
      <c r="BN273" s="76" t="s">
        <v>24937</v>
      </c>
      <c r="BO273" s="83" t="str">
        <f>HYPERLINK("https://twitter.com/tipster_gabriel")</f>
        <v>https://twitter.com/tipster_gabriel</v>
      </c>
      <c r="BP273" s="2"/>
    </row>
    <row r="274" spans="1:68" x14ac:dyDescent="0.25">
      <c r="A274" s="62" t="s">
        <v>486</v>
      </c>
      <c r="B274" s="63"/>
      <c r="C274" s="63"/>
      <c r="D274" s="64"/>
      <c r="E274" s="66"/>
      <c r="F274" s="102" t="str">
        <f>HYPERLINK("https://pbs.twimg.com/profile_images/1619537453496340481/UnFjb64f_normal.jpg")</f>
        <v>https://pbs.twimg.com/profile_images/1619537453496340481/UnFjb64f_normal.jpg</v>
      </c>
      <c r="G274" s="63"/>
      <c r="H274" s="67"/>
      <c r="I274" s="68"/>
      <c r="J274" s="68"/>
      <c r="K274" s="67" t="s">
        <v>25208</v>
      </c>
      <c r="L274" s="71"/>
      <c r="M274" s="72"/>
      <c r="N274" s="72"/>
      <c r="O274" s="73"/>
      <c r="P274" s="74"/>
      <c r="Q274" s="74"/>
      <c r="R274" s="86"/>
      <c r="S274" s="86"/>
      <c r="T274" s="86"/>
      <c r="U274" s="86"/>
      <c r="V274" s="48"/>
      <c r="W274" s="48"/>
      <c r="X274" s="48"/>
      <c r="Y274" s="48"/>
      <c r="Z274" s="47"/>
      <c r="AA274" s="69">
        <v>274</v>
      </c>
      <c r="AB274" s="69"/>
      <c r="AC274" s="70"/>
      <c r="AD274" s="76" t="s">
        <v>22082</v>
      </c>
      <c r="AE274" s="81" t="s">
        <v>22911</v>
      </c>
      <c r="AF274" s="76">
        <v>49</v>
      </c>
      <c r="AG274" s="76">
        <v>110</v>
      </c>
      <c r="AH274" s="76">
        <v>150</v>
      </c>
      <c r="AI274" s="76">
        <v>0</v>
      </c>
      <c r="AJ274" s="76">
        <v>10</v>
      </c>
      <c r="AK274" s="76">
        <v>94</v>
      </c>
      <c r="AL274" s="76" t="b">
        <v>0</v>
      </c>
      <c r="AM274" s="78">
        <v>40694.078159722223</v>
      </c>
      <c r="AN274" s="76" t="s">
        <v>14041</v>
      </c>
      <c r="AO274" s="76" t="s">
        <v>23579</v>
      </c>
      <c r="AP274" s="83" t="str">
        <f>HYPERLINK("https://t.co/zq0yNV4Xj7")</f>
        <v>https://t.co/zq0yNV4Xj7</v>
      </c>
      <c r="AQ274" s="83" t="str">
        <f>HYPERLINK("http://diogo86azevedo.blogspot.com")</f>
        <v>http://diogo86azevedo.blogspot.com</v>
      </c>
      <c r="AR274" s="76" t="s">
        <v>24400</v>
      </c>
      <c r="AS274" s="76" t="s">
        <v>24830</v>
      </c>
      <c r="AT274" s="76" t="s">
        <v>24841</v>
      </c>
      <c r="AU274" s="76" t="s">
        <v>24870</v>
      </c>
      <c r="AV274" s="76"/>
      <c r="AW274" s="83" t="str">
        <f>HYPERLINK("https://t.co/zq0yNV4Xj7")</f>
        <v>https://t.co/zq0yNV4Xj7</v>
      </c>
      <c r="AX274" s="76" t="b">
        <v>0</v>
      </c>
      <c r="AY274" s="76"/>
      <c r="AZ274" s="76"/>
      <c r="BA274" s="76" t="b">
        <v>0</v>
      </c>
      <c r="BB274" s="76" t="b">
        <v>1</v>
      </c>
      <c r="BC274" s="76" t="b">
        <v>0</v>
      </c>
      <c r="BD274" s="76" t="b">
        <v>0</v>
      </c>
      <c r="BE274" s="76" t="b">
        <v>0</v>
      </c>
      <c r="BF274" s="76" t="b">
        <v>0</v>
      </c>
      <c r="BG274" s="76" t="b">
        <v>0</v>
      </c>
      <c r="BH274" s="83" t="str">
        <f>HYPERLINK("https://pbs.twimg.com/profile_banners/308231295/1495683498")</f>
        <v>https://pbs.twimg.com/profile_banners/308231295/1495683498</v>
      </c>
      <c r="BI274" s="76"/>
      <c r="BJ274" s="76" t="s">
        <v>24935</v>
      </c>
      <c r="BK274" s="76" t="b">
        <v>0</v>
      </c>
      <c r="BL274" s="76"/>
      <c r="BM274" s="76" t="s">
        <v>66</v>
      </c>
      <c r="BN274" s="76" t="s">
        <v>24937</v>
      </c>
      <c r="BO274" s="83" t="str">
        <f>HYPERLINK("https://twitter.com/diogo86azevedo")</f>
        <v>https://twitter.com/diogo86azevedo</v>
      </c>
      <c r="BP274" s="2"/>
    </row>
    <row r="275" spans="1:68" x14ac:dyDescent="0.25">
      <c r="A275" s="62" t="s">
        <v>487</v>
      </c>
      <c r="B275" s="63"/>
      <c r="C275" s="63"/>
      <c r="D275" s="64"/>
      <c r="E275" s="66"/>
      <c r="F275" s="102" t="str">
        <f>HYPERLINK("https://pbs.twimg.com/profile_images/1677361170779447304/US7WQJfp_normal.jpg")</f>
        <v>https://pbs.twimg.com/profile_images/1677361170779447304/US7WQJfp_normal.jpg</v>
      </c>
      <c r="G275" s="63"/>
      <c r="H275" s="67"/>
      <c r="I275" s="68"/>
      <c r="J275" s="68"/>
      <c r="K275" s="67" t="s">
        <v>25209</v>
      </c>
      <c r="L275" s="71"/>
      <c r="M275" s="72"/>
      <c r="N275" s="72"/>
      <c r="O275" s="73"/>
      <c r="P275" s="74"/>
      <c r="Q275" s="74"/>
      <c r="R275" s="86"/>
      <c r="S275" s="86"/>
      <c r="T275" s="86"/>
      <c r="U275" s="86"/>
      <c r="V275" s="48"/>
      <c r="W275" s="48"/>
      <c r="X275" s="48"/>
      <c r="Y275" s="48"/>
      <c r="Z275" s="47"/>
      <c r="AA275" s="69">
        <v>275</v>
      </c>
      <c r="AB275" s="69"/>
      <c r="AC275" s="70"/>
      <c r="AD275" s="76" t="s">
        <v>22083</v>
      </c>
      <c r="AE275" s="81" t="s">
        <v>21208</v>
      </c>
      <c r="AF275" s="76">
        <v>5</v>
      </c>
      <c r="AG275" s="76">
        <v>0</v>
      </c>
      <c r="AH275" s="76">
        <v>321</v>
      </c>
      <c r="AI275" s="76">
        <v>0</v>
      </c>
      <c r="AJ275" s="76">
        <v>0</v>
      </c>
      <c r="AK275" s="76">
        <v>274</v>
      </c>
      <c r="AL275" s="76" t="b">
        <v>0</v>
      </c>
      <c r="AM275" s="78">
        <v>45009.748391203706</v>
      </c>
      <c r="AN275" s="76" t="s">
        <v>14033</v>
      </c>
      <c r="AO275" s="76" t="s">
        <v>23580</v>
      </c>
      <c r="AP275" s="83" t="str">
        <f>HYPERLINK("https://t.co/62eV9u8peU")</f>
        <v>https://t.co/62eV9u8peU</v>
      </c>
      <c r="AQ275" s="83" t="str">
        <f>HYPERLINK("https://linktr.ee/mercado.digital.online")</f>
        <v>https://linktr.ee/mercado.digital.online</v>
      </c>
      <c r="AR275" s="76" t="s">
        <v>24401</v>
      </c>
      <c r="AS275" s="76"/>
      <c r="AT275" s="76"/>
      <c r="AU275" s="76"/>
      <c r="AV275" s="76">
        <v>1.6771377924914601E+18</v>
      </c>
      <c r="AW275" s="83" t="str">
        <f>HYPERLINK("https://t.co/62eV9u8peU")</f>
        <v>https://t.co/62eV9u8peU</v>
      </c>
      <c r="AX275" s="76" t="b">
        <v>0</v>
      </c>
      <c r="AY275" s="76"/>
      <c r="AZ275" s="76"/>
      <c r="BA275" s="76" t="b">
        <v>1</v>
      </c>
      <c r="BB275" s="76" t="b">
        <v>0</v>
      </c>
      <c r="BC275" s="76" t="b">
        <v>1</v>
      </c>
      <c r="BD275" s="76" t="b">
        <v>0</v>
      </c>
      <c r="BE275" s="76" t="b">
        <v>0</v>
      </c>
      <c r="BF275" s="76" t="b">
        <v>0</v>
      </c>
      <c r="BG275" s="76" t="b">
        <v>0</v>
      </c>
      <c r="BH275" s="83" t="str">
        <f>HYPERLINK("https://pbs.twimg.com/profile_banners/1639325260246810631/1688693505")</f>
        <v>https://pbs.twimg.com/profile_banners/1639325260246810631/1688693505</v>
      </c>
      <c r="BI275" s="76"/>
      <c r="BJ275" s="76" t="s">
        <v>24935</v>
      </c>
      <c r="BK275" s="76" t="b">
        <v>0</v>
      </c>
      <c r="BL275" s="76"/>
      <c r="BM275" s="76" t="s">
        <v>66</v>
      </c>
      <c r="BN275" s="76" t="s">
        <v>24937</v>
      </c>
      <c r="BO275" s="83" t="str">
        <f>HYPERLINK("https://twitter.com/digital_online_")</f>
        <v>https://twitter.com/digital_online_</v>
      </c>
      <c r="BP275" s="2"/>
    </row>
    <row r="276" spans="1:68" x14ac:dyDescent="0.25">
      <c r="A276" s="62" t="s">
        <v>488</v>
      </c>
      <c r="B276" s="63"/>
      <c r="C276" s="63"/>
      <c r="D276" s="64"/>
      <c r="E276" s="66"/>
      <c r="F276" s="102" t="str">
        <f>HYPERLINK("https://pbs.twimg.com/profile_images/1611826572574560256/DIvY7YXI_normal.jpg")</f>
        <v>https://pbs.twimg.com/profile_images/1611826572574560256/DIvY7YXI_normal.jpg</v>
      </c>
      <c r="G276" s="63"/>
      <c r="H276" s="67"/>
      <c r="I276" s="68"/>
      <c r="J276" s="68"/>
      <c r="K276" s="67" t="s">
        <v>25210</v>
      </c>
      <c r="L276" s="71"/>
      <c r="M276" s="72"/>
      <c r="N276" s="72"/>
      <c r="O276" s="73"/>
      <c r="P276" s="74"/>
      <c r="Q276" s="74"/>
      <c r="R276" s="86"/>
      <c r="S276" s="86"/>
      <c r="T276" s="86"/>
      <c r="U276" s="86"/>
      <c r="V276" s="48"/>
      <c r="W276" s="48"/>
      <c r="X276" s="48"/>
      <c r="Y276" s="48"/>
      <c r="Z276" s="47"/>
      <c r="AA276" s="69">
        <v>276</v>
      </c>
      <c r="AB276" s="69"/>
      <c r="AC276" s="70"/>
      <c r="AD276" s="76" t="s">
        <v>22084</v>
      </c>
      <c r="AE276" s="81" t="s">
        <v>22912</v>
      </c>
      <c r="AF276" s="76">
        <v>810</v>
      </c>
      <c r="AG276" s="76">
        <v>61</v>
      </c>
      <c r="AH276" s="76">
        <v>1798</v>
      </c>
      <c r="AI276" s="76">
        <v>0</v>
      </c>
      <c r="AJ276" s="76">
        <v>1445</v>
      </c>
      <c r="AK276" s="76">
        <v>24</v>
      </c>
      <c r="AL276" s="76" t="b">
        <v>0</v>
      </c>
      <c r="AM276" s="78">
        <v>41126.725393518522</v>
      </c>
      <c r="AN276" s="76"/>
      <c r="AO276" s="76"/>
      <c r="AP276" s="76"/>
      <c r="AQ276" s="76"/>
      <c r="AR276" s="76"/>
      <c r="AS276" s="76"/>
      <c r="AT276" s="76"/>
      <c r="AU276" s="76"/>
      <c r="AV276" s="76">
        <v>1.1757520337958001E+18</v>
      </c>
      <c r="AW276" s="76"/>
      <c r="AX276" s="76" t="b">
        <v>0</v>
      </c>
      <c r="AY276" s="76"/>
      <c r="AZ276" s="76"/>
      <c r="BA276" s="76" t="b">
        <v>0</v>
      </c>
      <c r="BB276" s="76" t="b">
        <v>1</v>
      </c>
      <c r="BC276" s="76" t="b">
        <v>0</v>
      </c>
      <c r="BD276" s="76" t="b">
        <v>0</v>
      </c>
      <c r="BE276" s="76" t="b">
        <v>0</v>
      </c>
      <c r="BF276" s="76" t="b">
        <v>0</v>
      </c>
      <c r="BG276" s="76" t="b">
        <v>0</v>
      </c>
      <c r="BH276" s="76"/>
      <c r="BI276" s="76"/>
      <c r="BJ276" s="76" t="s">
        <v>24936</v>
      </c>
      <c r="BK276" s="76" t="b">
        <v>0</v>
      </c>
      <c r="BL276" s="76"/>
      <c r="BM276" s="76" t="s">
        <v>66</v>
      </c>
      <c r="BN276" s="76" t="s">
        <v>24937</v>
      </c>
      <c r="BO276" s="83" t="str">
        <f>HYPERLINK("https://twitter.com/yunre02")</f>
        <v>https://twitter.com/yunre02</v>
      </c>
      <c r="BP276" s="2"/>
    </row>
    <row r="277" spans="1:68" x14ac:dyDescent="0.25">
      <c r="A277" s="62" t="s">
        <v>489</v>
      </c>
      <c r="B277" s="63"/>
      <c r="C277" s="63"/>
      <c r="D277" s="64"/>
      <c r="E277" s="66"/>
      <c r="F277" s="102" t="str">
        <f>HYPERLINK("https://pbs.twimg.com/profile_images/1535654544759263232/Fv3tKd6K_normal.png")</f>
        <v>https://pbs.twimg.com/profile_images/1535654544759263232/Fv3tKd6K_normal.png</v>
      </c>
      <c r="G277" s="63"/>
      <c r="H277" s="67"/>
      <c r="I277" s="68"/>
      <c r="J277" s="68"/>
      <c r="K277" s="67" t="s">
        <v>25211</v>
      </c>
      <c r="L277" s="71"/>
      <c r="M277" s="72"/>
      <c r="N277" s="72"/>
      <c r="O277" s="73"/>
      <c r="P277" s="74"/>
      <c r="Q277" s="74"/>
      <c r="R277" s="86"/>
      <c r="S277" s="86"/>
      <c r="T277" s="86"/>
      <c r="U277" s="86"/>
      <c r="V277" s="48"/>
      <c r="W277" s="48"/>
      <c r="X277" s="48"/>
      <c r="Y277" s="48"/>
      <c r="Z277" s="47"/>
      <c r="AA277" s="69">
        <v>277</v>
      </c>
      <c r="AB277" s="69"/>
      <c r="AC277" s="70"/>
      <c r="AD277" s="76" t="s">
        <v>22085</v>
      </c>
      <c r="AE277" s="81" t="s">
        <v>21209</v>
      </c>
      <c r="AF277" s="76">
        <v>51</v>
      </c>
      <c r="AG277" s="76">
        <v>178</v>
      </c>
      <c r="AH277" s="76">
        <v>1316</v>
      </c>
      <c r="AI277" s="76">
        <v>1</v>
      </c>
      <c r="AJ277" s="76">
        <v>1767</v>
      </c>
      <c r="AK277" s="76">
        <v>127</v>
      </c>
      <c r="AL277" s="76" t="b">
        <v>0</v>
      </c>
      <c r="AM277" s="78">
        <v>44723.670706018522</v>
      </c>
      <c r="AN277" s="76" t="s">
        <v>23150</v>
      </c>
      <c r="AO277" s="76" t="s">
        <v>23581</v>
      </c>
      <c r="AP277" s="83" t="str">
        <f>HYPERLINK("https://t.co/pGz4pNHOD7")</f>
        <v>https://t.co/pGz4pNHOD7</v>
      </c>
      <c r="AQ277" s="83" t="str">
        <f>HYPERLINK("https://www.25dollarstosucceed.com/")</f>
        <v>https://www.25dollarstosucceed.com/</v>
      </c>
      <c r="AR277" s="76" t="s">
        <v>24402</v>
      </c>
      <c r="AS277" s="76"/>
      <c r="AT277" s="76"/>
      <c r="AU277" s="76"/>
      <c r="AV277" s="76">
        <v>1.67847882155566E+18</v>
      </c>
      <c r="AW277" s="83" t="str">
        <f>HYPERLINK("https://t.co/pGz4pNHOD7")</f>
        <v>https://t.co/pGz4pNHOD7</v>
      </c>
      <c r="AX277" s="76" t="b">
        <v>0</v>
      </c>
      <c r="AY277" s="76"/>
      <c r="AZ277" s="76"/>
      <c r="BA277" s="76" t="b">
        <v>0</v>
      </c>
      <c r="BB277" s="76" t="b">
        <v>1</v>
      </c>
      <c r="BC277" s="76" t="b">
        <v>1</v>
      </c>
      <c r="BD277" s="76" t="b">
        <v>0</v>
      </c>
      <c r="BE277" s="76" t="b">
        <v>1</v>
      </c>
      <c r="BF277" s="76" t="b">
        <v>0</v>
      </c>
      <c r="BG277" s="76" t="b">
        <v>0</v>
      </c>
      <c r="BH277" s="83" t="str">
        <f>HYPERLINK("https://pbs.twimg.com/profile_banners/1535654289296826369/1675182938")</f>
        <v>https://pbs.twimg.com/profile_banners/1535654289296826369/1675182938</v>
      </c>
      <c r="BI277" s="76"/>
      <c r="BJ277" s="76" t="s">
        <v>24935</v>
      </c>
      <c r="BK277" s="76" t="b">
        <v>0</v>
      </c>
      <c r="BL277" s="76"/>
      <c r="BM277" s="76" t="s">
        <v>66</v>
      </c>
      <c r="BN277" s="76" t="s">
        <v>24937</v>
      </c>
      <c r="BO277" s="83" t="str">
        <f>HYPERLINK("https://twitter.com/fredyherreraag")</f>
        <v>https://twitter.com/fredyherreraag</v>
      </c>
      <c r="BP277" s="2"/>
    </row>
    <row r="278" spans="1:68" x14ac:dyDescent="0.25">
      <c r="A278" s="62" t="s">
        <v>490</v>
      </c>
      <c r="B278" s="63"/>
      <c r="C278" s="63"/>
      <c r="D278" s="64"/>
      <c r="E278" s="66"/>
      <c r="F278" s="102" t="str">
        <f>HYPERLINK("https://pbs.twimg.com/profile_images/1679153012894322695/c3mNdP6z_normal.jpg")</f>
        <v>https://pbs.twimg.com/profile_images/1679153012894322695/c3mNdP6z_normal.jpg</v>
      </c>
      <c r="G278" s="63"/>
      <c r="H278" s="67"/>
      <c r="I278" s="68"/>
      <c r="J278" s="68"/>
      <c r="K278" s="67" t="s">
        <v>25212</v>
      </c>
      <c r="L278" s="71"/>
      <c r="M278" s="72"/>
      <c r="N278" s="72"/>
      <c r="O278" s="73"/>
      <c r="P278" s="74"/>
      <c r="Q278" s="74"/>
      <c r="R278" s="86"/>
      <c r="S278" s="86"/>
      <c r="T278" s="86"/>
      <c r="U278" s="86"/>
      <c r="V278" s="48"/>
      <c r="W278" s="48"/>
      <c r="X278" s="48"/>
      <c r="Y278" s="48"/>
      <c r="Z278" s="47"/>
      <c r="AA278" s="69">
        <v>278</v>
      </c>
      <c r="AB278" s="69"/>
      <c r="AC278" s="70"/>
      <c r="AD278" s="76" t="s">
        <v>22086</v>
      </c>
      <c r="AE278" s="81" t="s">
        <v>21210</v>
      </c>
      <c r="AF278" s="76">
        <v>18</v>
      </c>
      <c r="AG278" s="76">
        <v>28</v>
      </c>
      <c r="AH278" s="76">
        <v>79</v>
      </c>
      <c r="AI278" s="76">
        <v>0</v>
      </c>
      <c r="AJ278" s="76">
        <v>5</v>
      </c>
      <c r="AK278" s="76">
        <v>11</v>
      </c>
      <c r="AL278" s="76" t="b">
        <v>0</v>
      </c>
      <c r="AM278" s="78">
        <v>45118.486712962964</v>
      </c>
      <c r="AN278" s="76"/>
      <c r="AO278" s="76" t="s">
        <v>23582</v>
      </c>
      <c r="AP278" s="83" t="str">
        <f>HYPERLINK("https://t.co/jIJVdF6zk2")</f>
        <v>https://t.co/jIJVdF6zk2</v>
      </c>
      <c r="AQ278" s="83" t="str">
        <f>HYPERLINK("https://betfun.win/y8fdemxxd")</f>
        <v>https://betfun.win/y8fdemxxd</v>
      </c>
      <c r="AR278" s="76" t="s">
        <v>24403</v>
      </c>
      <c r="AS278" s="76"/>
      <c r="AT278" s="76"/>
      <c r="AU278" s="76"/>
      <c r="AV278" s="76"/>
      <c r="AW278" s="83" t="str">
        <f>HYPERLINK("https://t.co/jIJVdF6zk2")</f>
        <v>https://t.co/jIJVdF6zk2</v>
      </c>
      <c r="AX278" s="76" t="b">
        <v>0</v>
      </c>
      <c r="AY278" s="76"/>
      <c r="AZ278" s="76"/>
      <c r="BA278" s="76" t="b">
        <v>0</v>
      </c>
      <c r="BB278" s="76" t="b">
        <v>1</v>
      </c>
      <c r="BC278" s="76" t="b">
        <v>1</v>
      </c>
      <c r="BD278" s="76" t="b">
        <v>0</v>
      </c>
      <c r="BE278" s="76" t="b">
        <v>0</v>
      </c>
      <c r="BF278" s="76" t="b">
        <v>0</v>
      </c>
      <c r="BG278" s="76" t="b">
        <v>0</v>
      </c>
      <c r="BH278" s="76"/>
      <c r="BI278" s="76"/>
      <c r="BJ278" s="76" t="s">
        <v>24935</v>
      </c>
      <c r="BK278" s="76" t="b">
        <v>0</v>
      </c>
      <c r="BL278" s="76"/>
      <c r="BM278" s="76" t="s">
        <v>66</v>
      </c>
      <c r="BN278" s="76" t="s">
        <v>24937</v>
      </c>
      <c r="BO278" s="83" t="str">
        <f>HYPERLINK("https://twitter.com/eugully")</f>
        <v>https://twitter.com/eugully</v>
      </c>
      <c r="BP278" s="2"/>
    </row>
    <row r="279" spans="1:68" x14ac:dyDescent="0.25">
      <c r="A279" s="62" t="s">
        <v>491</v>
      </c>
      <c r="B279" s="63"/>
      <c r="C279" s="63"/>
      <c r="D279" s="64"/>
      <c r="E279" s="66"/>
      <c r="F279" s="102" t="str">
        <f>HYPERLINK("https://pbs.twimg.com/profile_images/1699732876848222208/xU7YTQBt_normal.jpg")</f>
        <v>https://pbs.twimg.com/profile_images/1699732876848222208/xU7YTQBt_normal.jpg</v>
      </c>
      <c r="G279" s="63"/>
      <c r="H279" s="67"/>
      <c r="I279" s="68"/>
      <c r="J279" s="68"/>
      <c r="K279" s="67" t="s">
        <v>25213</v>
      </c>
      <c r="L279" s="71"/>
      <c r="M279" s="72"/>
      <c r="N279" s="72"/>
      <c r="O279" s="73"/>
      <c r="P279" s="74"/>
      <c r="Q279" s="74"/>
      <c r="R279" s="86"/>
      <c r="S279" s="86"/>
      <c r="T279" s="86"/>
      <c r="U279" s="86"/>
      <c r="V279" s="48"/>
      <c r="W279" s="48"/>
      <c r="X279" s="48"/>
      <c r="Y279" s="48"/>
      <c r="Z279" s="47"/>
      <c r="AA279" s="69">
        <v>279</v>
      </c>
      <c r="AB279" s="69"/>
      <c r="AC279" s="70"/>
      <c r="AD279" s="76" t="s">
        <v>22087</v>
      </c>
      <c r="AE279" s="81" t="s">
        <v>21211</v>
      </c>
      <c r="AF279" s="76">
        <v>24</v>
      </c>
      <c r="AG279" s="76">
        <v>15</v>
      </c>
      <c r="AH279" s="76">
        <v>158</v>
      </c>
      <c r="AI279" s="76">
        <v>0</v>
      </c>
      <c r="AJ279" s="76">
        <v>50</v>
      </c>
      <c r="AK279" s="76">
        <v>9</v>
      </c>
      <c r="AL279" s="76" t="b">
        <v>0</v>
      </c>
      <c r="AM279" s="78">
        <v>44274.908865740741</v>
      </c>
      <c r="AN279" s="76"/>
      <c r="AO279" s="76" t="s">
        <v>23583</v>
      </c>
      <c r="AP279" s="76"/>
      <c r="AQ279" s="76"/>
      <c r="AR279" s="76"/>
      <c r="AS279" s="76"/>
      <c r="AT279" s="76"/>
      <c r="AU279" s="76"/>
      <c r="AV279" s="76"/>
      <c r="AW279" s="76"/>
      <c r="AX279" s="76" t="b">
        <v>0</v>
      </c>
      <c r="AY279" s="76"/>
      <c r="AZ279" s="76"/>
      <c r="BA279" s="76" t="b">
        <v>0</v>
      </c>
      <c r="BB279" s="76" t="b">
        <v>0</v>
      </c>
      <c r="BC279" s="76" t="b">
        <v>1</v>
      </c>
      <c r="BD279" s="76" t="b">
        <v>0</v>
      </c>
      <c r="BE279" s="76" t="b">
        <v>1</v>
      </c>
      <c r="BF279" s="76" t="b">
        <v>0</v>
      </c>
      <c r="BG279" s="76" t="b">
        <v>0</v>
      </c>
      <c r="BH279" s="83" t="str">
        <f>HYPERLINK("https://pbs.twimg.com/profile_banners/1373028666226139140/1694082884")</f>
        <v>https://pbs.twimg.com/profile_banners/1373028666226139140/1694082884</v>
      </c>
      <c r="BI279" s="76"/>
      <c r="BJ279" s="76" t="s">
        <v>24935</v>
      </c>
      <c r="BK279" s="76" t="b">
        <v>0</v>
      </c>
      <c r="BL279" s="76"/>
      <c r="BM279" s="76" t="s">
        <v>66</v>
      </c>
      <c r="BN279" s="76" t="s">
        <v>24937</v>
      </c>
      <c r="BO279" s="83" t="str">
        <f>HYPERLINK("https://twitter.com/simplesopinions")</f>
        <v>https://twitter.com/simplesopinions</v>
      </c>
      <c r="BP279" s="2"/>
    </row>
    <row r="280" spans="1:68" x14ac:dyDescent="0.25">
      <c r="A280" s="62" t="s">
        <v>492</v>
      </c>
      <c r="B280" s="63"/>
      <c r="C280" s="63"/>
      <c r="D280" s="64"/>
      <c r="E280" s="66"/>
      <c r="F280" s="102" t="str">
        <f>HYPERLINK("https://pbs.twimg.com/profile_images/1706397208981962752/cgKe09VH_normal.jpg")</f>
        <v>https://pbs.twimg.com/profile_images/1706397208981962752/cgKe09VH_normal.jpg</v>
      </c>
      <c r="G280" s="63"/>
      <c r="H280" s="67"/>
      <c r="I280" s="68"/>
      <c r="J280" s="68"/>
      <c r="K280" s="67" t="s">
        <v>25214</v>
      </c>
      <c r="L280" s="71"/>
      <c r="M280" s="72"/>
      <c r="N280" s="72"/>
      <c r="O280" s="73"/>
      <c r="P280" s="74"/>
      <c r="Q280" s="74"/>
      <c r="R280" s="86"/>
      <c r="S280" s="86"/>
      <c r="T280" s="86"/>
      <c r="U280" s="86"/>
      <c r="V280" s="48"/>
      <c r="W280" s="48"/>
      <c r="X280" s="48"/>
      <c r="Y280" s="48"/>
      <c r="Z280" s="47"/>
      <c r="AA280" s="69">
        <v>280</v>
      </c>
      <c r="AB280" s="69"/>
      <c r="AC280" s="70"/>
      <c r="AD280" s="76" t="s">
        <v>22088</v>
      </c>
      <c r="AE280" s="81" t="s">
        <v>21212</v>
      </c>
      <c r="AF280" s="76">
        <v>5</v>
      </c>
      <c r="AG280" s="76">
        <v>25</v>
      </c>
      <c r="AH280" s="76">
        <v>5</v>
      </c>
      <c r="AI280" s="76">
        <v>0</v>
      </c>
      <c r="AJ280" s="76">
        <v>28</v>
      </c>
      <c r="AK280" s="76">
        <v>4</v>
      </c>
      <c r="AL280" s="76" t="b">
        <v>0</v>
      </c>
      <c r="AM280" s="78">
        <v>45194.830694444441</v>
      </c>
      <c r="AN280" s="76"/>
      <c r="AO280" s="76" t="s">
        <v>23584</v>
      </c>
      <c r="AP280" s="83" t="str">
        <f>HYPERLINK("https://t.co/KBNOAY26BB")</f>
        <v>https://t.co/KBNOAY26BB</v>
      </c>
      <c r="AQ280" s="83" t="str">
        <f>HYPERLINK("http://linktr.ee/orestesleal")</f>
        <v>http://linktr.ee/orestesleal</v>
      </c>
      <c r="AR280" s="76" t="s">
        <v>24404</v>
      </c>
      <c r="AS280" s="76"/>
      <c r="AT280" s="76"/>
      <c r="AU280" s="76"/>
      <c r="AV280" s="76"/>
      <c r="AW280" s="83" t="str">
        <f>HYPERLINK("https://t.co/KBNOAY26BB")</f>
        <v>https://t.co/KBNOAY26BB</v>
      </c>
      <c r="AX280" s="76" t="b">
        <v>0</v>
      </c>
      <c r="AY280" s="76"/>
      <c r="AZ280" s="76"/>
      <c r="BA280" s="76" t="b">
        <v>0</v>
      </c>
      <c r="BB280" s="76" t="b">
        <v>1</v>
      </c>
      <c r="BC280" s="76" t="b">
        <v>1</v>
      </c>
      <c r="BD280" s="76" t="b">
        <v>0</v>
      </c>
      <c r="BE280" s="76" t="b">
        <v>0</v>
      </c>
      <c r="BF280" s="76" t="b">
        <v>0</v>
      </c>
      <c r="BG280" s="76" t="b">
        <v>0</v>
      </c>
      <c r="BH280" s="83" t="str">
        <f>HYPERLINK("https://pbs.twimg.com/profile_banners/1706396983605235712/1695679495")</f>
        <v>https://pbs.twimg.com/profile_banners/1706396983605235712/1695679495</v>
      </c>
      <c r="BI280" s="76"/>
      <c r="BJ280" s="76" t="s">
        <v>24935</v>
      </c>
      <c r="BK280" s="76" t="b">
        <v>0</v>
      </c>
      <c r="BL280" s="76"/>
      <c r="BM280" s="76" t="s">
        <v>66</v>
      </c>
      <c r="BN280" s="76" t="s">
        <v>24937</v>
      </c>
      <c r="BO280" s="83" t="str">
        <f>HYPERLINK("https://twitter.com/orestesleal1")</f>
        <v>https://twitter.com/orestesleal1</v>
      </c>
      <c r="BP280" s="2"/>
    </row>
    <row r="281" spans="1:68" x14ac:dyDescent="0.25">
      <c r="A281" s="62" t="s">
        <v>493</v>
      </c>
      <c r="B281" s="63"/>
      <c r="C281" s="63"/>
      <c r="D281" s="64"/>
      <c r="E281" s="66"/>
      <c r="F281" s="102" t="str">
        <f>HYPERLINK("https://pbs.twimg.com/profile_images/1638287517374881792/BEDbjWCS_normal.jpg")</f>
        <v>https://pbs.twimg.com/profile_images/1638287517374881792/BEDbjWCS_normal.jpg</v>
      </c>
      <c r="G281" s="63"/>
      <c r="H281" s="67"/>
      <c r="I281" s="68"/>
      <c r="J281" s="68"/>
      <c r="K281" s="67" t="s">
        <v>25215</v>
      </c>
      <c r="L281" s="71"/>
      <c r="M281" s="72"/>
      <c r="N281" s="72"/>
      <c r="O281" s="73"/>
      <c r="P281" s="74"/>
      <c r="Q281" s="74"/>
      <c r="R281" s="86"/>
      <c r="S281" s="86"/>
      <c r="T281" s="86"/>
      <c r="U281" s="86"/>
      <c r="V281" s="48"/>
      <c r="W281" s="48"/>
      <c r="X281" s="48"/>
      <c r="Y281" s="48"/>
      <c r="Z281" s="47"/>
      <c r="AA281" s="69">
        <v>281</v>
      </c>
      <c r="AB281" s="69"/>
      <c r="AC281" s="70"/>
      <c r="AD281" s="76" t="s">
        <v>22089</v>
      </c>
      <c r="AE281" s="81" t="s">
        <v>21213</v>
      </c>
      <c r="AF281" s="76">
        <v>5</v>
      </c>
      <c r="AG281" s="76">
        <v>29</v>
      </c>
      <c r="AH281" s="76">
        <v>17</v>
      </c>
      <c r="AI281" s="76">
        <v>0</v>
      </c>
      <c r="AJ281" s="76">
        <v>138</v>
      </c>
      <c r="AK281" s="76">
        <v>8</v>
      </c>
      <c r="AL281" s="76" t="b">
        <v>0</v>
      </c>
      <c r="AM281" s="78">
        <v>45006.883750000001</v>
      </c>
      <c r="AN281" s="76"/>
      <c r="AO281" s="76" t="s">
        <v>23585</v>
      </c>
      <c r="AP281" s="76"/>
      <c r="AQ281" s="76"/>
      <c r="AR281" s="76"/>
      <c r="AS281" s="76"/>
      <c r="AT281" s="76"/>
      <c r="AU281" s="76"/>
      <c r="AV281" s="76"/>
      <c r="AW281" s="76"/>
      <c r="AX281" s="76" t="b">
        <v>0</v>
      </c>
      <c r="AY281" s="76"/>
      <c r="AZ281" s="76"/>
      <c r="BA281" s="76" t="b">
        <v>0</v>
      </c>
      <c r="BB281" s="76" t="b">
        <v>1</v>
      </c>
      <c r="BC281" s="76" t="b">
        <v>1</v>
      </c>
      <c r="BD281" s="76" t="b">
        <v>0</v>
      </c>
      <c r="BE281" s="76" t="b">
        <v>0</v>
      </c>
      <c r="BF281" s="76" t="b">
        <v>0</v>
      </c>
      <c r="BG281" s="76" t="b">
        <v>0</v>
      </c>
      <c r="BH281" s="76"/>
      <c r="BI281" s="76"/>
      <c r="BJ281" s="76" t="s">
        <v>24935</v>
      </c>
      <c r="BK281" s="76" t="b">
        <v>0</v>
      </c>
      <c r="BL281" s="76"/>
      <c r="BM281" s="76" t="s">
        <v>66</v>
      </c>
      <c r="BN281" s="76" t="s">
        <v>24937</v>
      </c>
      <c r="BO281" s="83" t="str">
        <f>HYPERLINK("https://twitter.com/cassiasantosa")</f>
        <v>https://twitter.com/cassiasantosa</v>
      </c>
      <c r="BP281" s="2"/>
    </row>
    <row r="282" spans="1:68" x14ac:dyDescent="0.25">
      <c r="A282" s="62" t="s">
        <v>494</v>
      </c>
      <c r="B282" s="63"/>
      <c r="C282" s="63"/>
      <c r="D282" s="64"/>
      <c r="E282" s="66"/>
      <c r="F282" s="102" t="str">
        <f>HYPERLINK("https://pbs.twimg.com/profile_images/1658961985508089856/kjpEfMVx_normal.jpg")</f>
        <v>https://pbs.twimg.com/profile_images/1658961985508089856/kjpEfMVx_normal.jpg</v>
      </c>
      <c r="G282" s="63"/>
      <c r="H282" s="67"/>
      <c r="I282" s="68"/>
      <c r="J282" s="68"/>
      <c r="K282" s="67" t="s">
        <v>25216</v>
      </c>
      <c r="L282" s="71"/>
      <c r="M282" s="72"/>
      <c r="N282" s="72"/>
      <c r="O282" s="73"/>
      <c r="P282" s="74"/>
      <c r="Q282" s="74"/>
      <c r="R282" s="86"/>
      <c r="S282" s="86"/>
      <c r="T282" s="86"/>
      <c r="U282" s="86"/>
      <c r="V282" s="48"/>
      <c r="W282" s="48"/>
      <c r="X282" s="48"/>
      <c r="Y282" s="48"/>
      <c r="Z282" s="47"/>
      <c r="AA282" s="69">
        <v>282</v>
      </c>
      <c r="AB282" s="69"/>
      <c r="AC282" s="70"/>
      <c r="AD282" s="76" t="s">
        <v>22090</v>
      </c>
      <c r="AE282" s="81" t="s">
        <v>20915</v>
      </c>
      <c r="AF282" s="76">
        <v>3930</v>
      </c>
      <c r="AG282" s="76">
        <v>3733</v>
      </c>
      <c r="AH282" s="76">
        <v>11969</v>
      </c>
      <c r="AI282" s="76">
        <v>14</v>
      </c>
      <c r="AJ282" s="76">
        <v>26245</v>
      </c>
      <c r="AK282" s="76">
        <v>659</v>
      </c>
      <c r="AL282" s="76" t="b">
        <v>0</v>
      </c>
      <c r="AM282" s="78">
        <v>43716.869097222225</v>
      </c>
      <c r="AN282" s="76" t="s">
        <v>23151</v>
      </c>
      <c r="AO282" s="76" t="s">
        <v>23586</v>
      </c>
      <c r="AP282" s="76"/>
      <c r="AQ282" s="76"/>
      <c r="AR282" s="76"/>
      <c r="AS282" s="76"/>
      <c r="AT282" s="76"/>
      <c r="AU282" s="76"/>
      <c r="AV282" s="76">
        <v>1.64775602876995E+18</v>
      </c>
      <c r="AW282" s="76"/>
      <c r="AX282" s="76" t="b">
        <v>0</v>
      </c>
      <c r="AY282" s="76"/>
      <c r="AZ282" s="76"/>
      <c r="BA282" s="76" t="b">
        <v>0</v>
      </c>
      <c r="BB282" s="76" t="b">
        <v>0</v>
      </c>
      <c r="BC282" s="76" t="b">
        <v>1</v>
      </c>
      <c r="BD282" s="76" t="b">
        <v>0</v>
      </c>
      <c r="BE282" s="76" t="b">
        <v>1</v>
      </c>
      <c r="BF282" s="76" t="b">
        <v>0</v>
      </c>
      <c r="BG282" s="76" t="b">
        <v>0</v>
      </c>
      <c r="BH282" s="83" t="str">
        <f>HYPERLINK("https://pbs.twimg.com/profile_banners/1170801810598191104/1684362333")</f>
        <v>https://pbs.twimg.com/profile_banners/1170801810598191104/1684362333</v>
      </c>
      <c r="BI282" s="76"/>
      <c r="BJ282" s="76" t="s">
        <v>24935</v>
      </c>
      <c r="BK282" s="76" t="b">
        <v>0</v>
      </c>
      <c r="BL282" s="76"/>
      <c r="BM282" s="76" t="s">
        <v>66</v>
      </c>
      <c r="BN282" s="76" t="s">
        <v>24937</v>
      </c>
      <c r="BO282" s="83" t="str">
        <f>HYPERLINK("https://twitter.com/_l4chimolala")</f>
        <v>https://twitter.com/_l4chimolala</v>
      </c>
      <c r="BP282" s="2"/>
    </row>
    <row r="283" spans="1:68" x14ac:dyDescent="0.25">
      <c r="A283" s="62" t="s">
        <v>495</v>
      </c>
      <c r="B283" s="63"/>
      <c r="C283" s="63"/>
      <c r="D283" s="64"/>
      <c r="E283" s="66"/>
      <c r="F283" s="102" t="str">
        <f>HYPERLINK("https://pbs.twimg.com/profile_images/1646503619955507201/QaWSJEX4_normal.jpg")</f>
        <v>https://pbs.twimg.com/profile_images/1646503619955507201/QaWSJEX4_normal.jpg</v>
      </c>
      <c r="G283" s="63"/>
      <c r="H283" s="67"/>
      <c r="I283" s="68"/>
      <c r="J283" s="68"/>
      <c r="K283" s="67" t="s">
        <v>25217</v>
      </c>
      <c r="L283" s="71"/>
      <c r="M283" s="72"/>
      <c r="N283" s="72"/>
      <c r="O283" s="73"/>
      <c r="P283" s="74"/>
      <c r="Q283" s="74"/>
      <c r="R283" s="86"/>
      <c r="S283" s="86"/>
      <c r="T283" s="86"/>
      <c r="U283" s="86"/>
      <c r="V283" s="48"/>
      <c r="W283" s="48"/>
      <c r="X283" s="48"/>
      <c r="Y283" s="48"/>
      <c r="Z283" s="47"/>
      <c r="AA283" s="69">
        <v>283</v>
      </c>
      <c r="AB283" s="69"/>
      <c r="AC283" s="70"/>
      <c r="AD283" s="76" t="s">
        <v>22091</v>
      </c>
      <c r="AE283" s="81" t="s">
        <v>21214</v>
      </c>
      <c r="AF283" s="76">
        <v>5</v>
      </c>
      <c r="AG283" s="76">
        <v>22</v>
      </c>
      <c r="AH283" s="76">
        <v>4</v>
      </c>
      <c r="AI283" s="76">
        <v>0</v>
      </c>
      <c r="AJ283" s="76">
        <v>5</v>
      </c>
      <c r="AK283" s="76">
        <v>2</v>
      </c>
      <c r="AL283" s="76" t="b">
        <v>0</v>
      </c>
      <c r="AM283" s="78">
        <v>45029.555717592593</v>
      </c>
      <c r="AN283" s="76" t="s">
        <v>23152</v>
      </c>
      <c r="AO283" s="76" t="s">
        <v>23587</v>
      </c>
      <c r="AP283" s="83" t="str">
        <f>HYPERLINK("https://t.co/jgNIpKygUb")</f>
        <v>https://t.co/jgNIpKygUb</v>
      </c>
      <c r="AQ283" s="83" t="str">
        <f>HYPERLINK("https://www.flashlite.app/")</f>
        <v>https://www.flashlite.app/</v>
      </c>
      <c r="AR283" s="76" t="s">
        <v>24405</v>
      </c>
      <c r="AS283" s="83" t="str">
        <f>HYPERLINK("https://t.co/jgNIpKygUb")</f>
        <v>https://t.co/jgNIpKygUb</v>
      </c>
      <c r="AT283" s="83" t="str">
        <f>HYPERLINK("https://www.flashlite.app/")</f>
        <v>https://www.flashlite.app/</v>
      </c>
      <c r="AU283" s="76" t="s">
        <v>24405</v>
      </c>
      <c r="AV283" s="76"/>
      <c r="AW283" s="83" t="str">
        <f>HYPERLINK("https://t.co/jgNIpKygUb")</f>
        <v>https://t.co/jgNIpKygUb</v>
      </c>
      <c r="AX283" s="76" t="b">
        <v>0</v>
      </c>
      <c r="AY283" s="76"/>
      <c r="AZ283" s="76"/>
      <c r="BA283" s="76" t="b">
        <v>0</v>
      </c>
      <c r="BB283" s="76" t="b">
        <v>1</v>
      </c>
      <c r="BC283" s="76" t="b">
        <v>1</v>
      </c>
      <c r="BD283" s="76" t="b">
        <v>0</v>
      </c>
      <c r="BE283" s="76" t="b">
        <v>0</v>
      </c>
      <c r="BF283" s="76" t="b">
        <v>0</v>
      </c>
      <c r="BG283" s="76" t="b">
        <v>0</v>
      </c>
      <c r="BH283" s="83" t="str">
        <f>HYPERLINK("https://pbs.twimg.com/profile_banners/1646503465059745792/1681392351")</f>
        <v>https://pbs.twimg.com/profile_banners/1646503465059745792/1681392351</v>
      </c>
      <c r="BI283" s="76"/>
      <c r="BJ283" s="76" t="s">
        <v>24935</v>
      </c>
      <c r="BK283" s="76" t="b">
        <v>0</v>
      </c>
      <c r="BL283" s="76"/>
      <c r="BM283" s="76" t="s">
        <v>66</v>
      </c>
      <c r="BN283" s="76" t="s">
        <v>24937</v>
      </c>
      <c r="BO283" s="83" t="str">
        <f>HYPERLINK("https://twitter.com/flashliteappbr")</f>
        <v>https://twitter.com/flashliteappbr</v>
      </c>
      <c r="BP283" s="2"/>
    </row>
    <row r="284" spans="1:68" x14ac:dyDescent="0.25">
      <c r="A284" s="62" t="s">
        <v>496</v>
      </c>
      <c r="B284" s="63"/>
      <c r="C284" s="63"/>
      <c r="D284" s="64"/>
      <c r="E284" s="66"/>
      <c r="F284" s="102" t="str">
        <f>HYPERLINK("https://pbs.twimg.com/profile_images/1594012987928592385/E4tiHsZw_normal.jpg")</f>
        <v>https://pbs.twimg.com/profile_images/1594012987928592385/E4tiHsZw_normal.jpg</v>
      </c>
      <c r="G284" s="63"/>
      <c r="H284" s="67"/>
      <c r="I284" s="68"/>
      <c r="J284" s="68"/>
      <c r="K284" s="67" t="s">
        <v>25218</v>
      </c>
      <c r="L284" s="71"/>
      <c r="M284" s="72"/>
      <c r="N284" s="72"/>
      <c r="O284" s="73"/>
      <c r="P284" s="74"/>
      <c r="Q284" s="74"/>
      <c r="R284" s="86"/>
      <c r="S284" s="86"/>
      <c r="T284" s="86"/>
      <c r="U284" s="86"/>
      <c r="V284" s="48"/>
      <c r="W284" s="48"/>
      <c r="X284" s="48"/>
      <c r="Y284" s="48"/>
      <c r="Z284" s="47"/>
      <c r="AA284" s="69">
        <v>284</v>
      </c>
      <c r="AB284" s="69"/>
      <c r="AC284" s="70"/>
      <c r="AD284" s="76" t="s">
        <v>22092</v>
      </c>
      <c r="AE284" s="81" t="s">
        <v>21215</v>
      </c>
      <c r="AF284" s="76">
        <v>5</v>
      </c>
      <c r="AG284" s="76">
        <v>8</v>
      </c>
      <c r="AH284" s="76">
        <v>448</v>
      </c>
      <c r="AI284" s="76">
        <v>0</v>
      </c>
      <c r="AJ284" s="76">
        <v>323</v>
      </c>
      <c r="AK284" s="76">
        <v>397</v>
      </c>
      <c r="AL284" s="76" t="b">
        <v>0</v>
      </c>
      <c r="AM284" s="78">
        <v>44884.705266203702</v>
      </c>
      <c r="AN284" s="76" t="s">
        <v>23153</v>
      </c>
      <c r="AO284" s="76" t="s">
        <v>23588</v>
      </c>
      <c r="AP284" s="83" t="str">
        <f>HYPERLINK("https://t.co/DnZk0QRuMJ")</f>
        <v>https://t.co/DnZk0QRuMJ</v>
      </c>
      <c r="AQ284" s="83" t="str">
        <f>HYPERLINK("https://loja.luciluci.com.br/?u=lidermateus")</f>
        <v>https://loja.luciluci.com.br/?u=lidermateus</v>
      </c>
      <c r="AR284" s="76" t="s">
        <v>24406</v>
      </c>
      <c r="AS284" s="76"/>
      <c r="AT284" s="76"/>
      <c r="AU284" s="76"/>
      <c r="AV284" s="76"/>
      <c r="AW284" s="83" t="str">
        <f>HYPERLINK("https://t.co/DnZk0QRuMJ")</f>
        <v>https://t.co/DnZk0QRuMJ</v>
      </c>
      <c r="AX284" s="76" t="b">
        <v>0</v>
      </c>
      <c r="AY284" s="76"/>
      <c r="AZ284" s="76"/>
      <c r="BA284" s="76" t="b">
        <v>0</v>
      </c>
      <c r="BB284" s="76" t="b">
        <v>1</v>
      </c>
      <c r="BC284" s="76" t="b">
        <v>1</v>
      </c>
      <c r="BD284" s="76" t="b">
        <v>0</v>
      </c>
      <c r="BE284" s="76" t="b">
        <v>0</v>
      </c>
      <c r="BF284" s="76" t="b">
        <v>0</v>
      </c>
      <c r="BG284" s="76" t="b">
        <v>0</v>
      </c>
      <c r="BH284" s="83" t="str">
        <f>HYPERLINK("https://pbs.twimg.com/profile_banners/1594011357803839488/1668877336")</f>
        <v>https://pbs.twimg.com/profile_banners/1594011357803839488/1668877336</v>
      </c>
      <c r="BI284" s="76"/>
      <c r="BJ284" s="76" t="s">
        <v>24935</v>
      </c>
      <c r="BK284" s="76" t="b">
        <v>0</v>
      </c>
      <c r="BL284" s="76"/>
      <c r="BM284" s="76" t="s">
        <v>66</v>
      </c>
      <c r="BN284" s="76" t="s">
        <v>24937</v>
      </c>
      <c r="BO284" s="83" t="str">
        <f>HYPERLINK("https://twitter.com/mateusd09524565")</f>
        <v>https://twitter.com/mateusd09524565</v>
      </c>
      <c r="BP284" s="2"/>
    </row>
    <row r="285" spans="1:68" x14ac:dyDescent="0.25">
      <c r="A285" s="62" t="s">
        <v>497</v>
      </c>
      <c r="B285" s="63"/>
      <c r="C285" s="63"/>
      <c r="D285" s="64"/>
      <c r="E285" s="66"/>
      <c r="F285" s="102" t="str">
        <f>HYPERLINK("https://pbs.twimg.com/profile_images/1621330447354437632/FVrBwCLF_normal.jpg")</f>
        <v>https://pbs.twimg.com/profile_images/1621330447354437632/FVrBwCLF_normal.jpg</v>
      </c>
      <c r="G285" s="63"/>
      <c r="H285" s="67"/>
      <c r="I285" s="68"/>
      <c r="J285" s="68"/>
      <c r="K285" s="67" t="s">
        <v>25219</v>
      </c>
      <c r="L285" s="71"/>
      <c r="M285" s="72"/>
      <c r="N285" s="72"/>
      <c r="O285" s="73"/>
      <c r="P285" s="74"/>
      <c r="Q285" s="74"/>
      <c r="R285" s="86"/>
      <c r="S285" s="86"/>
      <c r="T285" s="86"/>
      <c r="U285" s="86"/>
      <c r="V285" s="48"/>
      <c r="W285" s="48"/>
      <c r="X285" s="48"/>
      <c r="Y285" s="48"/>
      <c r="Z285" s="47"/>
      <c r="AA285" s="69">
        <v>285</v>
      </c>
      <c r="AB285" s="69"/>
      <c r="AC285" s="70"/>
      <c r="AD285" s="76" t="s">
        <v>22093</v>
      </c>
      <c r="AE285" s="81" t="s">
        <v>22913</v>
      </c>
      <c r="AF285" s="76">
        <v>488</v>
      </c>
      <c r="AG285" s="76">
        <v>413</v>
      </c>
      <c r="AH285" s="76">
        <v>13257</v>
      </c>
      <c r="AI285" s="76">
        <v>0</v>
      </c>
      <c r="AJ285" s="76">
        <v>9069</v>
      </c>
      <c r="AK285" s="76">
        <v>396</v>
      </c>
      <c r="AL285" s="76" t="b">
        <v>0</v>
      </c>
      <c r="AM285" s="78">
        <v>40749.083020833335</v>
      </c>
      <c r="AN285" s="76" t="s">
        <v>23154</v>
      </c>
      <c r="AO285" s="76"/>
      <c r="AP285" s="76"/>
      <c r="AQ285" s="76"/>
      <c r="AR285" s="76"/>
      <c r="AS285" s="76"/>
      <c r="AT285" s="76"/>
      <c r="AU285" s="76"/>
      <c r="AV285" s="76">
        <v>1.54703280166445E+18</v>
      </c>
      <c r="AW285" s="76"/>
      <c r="AX285" s="76" t="b">
        <v>0</v>
      </c>
      <c r="AY285" s="76"/>
      <c r="AZ285" s="76"/>
      <c r="BA285" s="76" t="b">
        <v>1</v>
      </c>
      <c r="BB285" s="76" t="b">
        <v>0</v>
      </c>
      <c r="BC285" s="76" t="b">
        <v>0</v>
      </c>
      <c r="BD285" s="76" t="b">
        <v>0</v>
      </c>
      <c r="BE285" s="76" t="b">
        <v>1</v>
      </c>
      <c r="BF285" s="76" t="b">
        <v>0</v>
      </c>
      <c r="BG285" s="76" t="b">
        <v>0</v>
      </c>
      <c r="BH285" s="83" t="str">
        <f>HYPERLINK("https://pbs.twimg.com/profile_banners/341845421/1673137745")</f>
        <v>https://pbs.twimg.com/profile_banners/341845421/1673137745</v>
      </c>
      <c r="BI285" s="76"/>
      <c r="BJ285" s="76" t="s">
        <v>24935</v>
      </c>
      <c r="BK285" s="76" t="b">
        <v>0</v>
      </c>
      <c r="BL285" s="76"/>
      <c r="BM285" s="76" t="s">
        <v>66</v>
      </c>
      <c r="BN285" s="76" t="s">
        <v>24937</v>
      </c>
      <c r="BO285" s="83" t="str">
        <f>HYPERLINK("https://twitter.com/shyolvr")</f>
        <v>https://twitter.com/shyolvr</v>
      </c>
      <c r="BP285" s="2"/>
    </row>
    <row r="286" spans="1:68" x14ac:dyDescent="0.25">
      <c r="A286" s="62" t="s">
        <v>498</v>
      </c>
      <c r="B286" s="63"/>
      <c r="C286" s="63"/>
      <c r="D286" s="64"/>
      <c r="E286" s="66"/>
      <c r="F286" s="102" t="str">
        <f>HYPERLINK("https://pbs.twimg.com/profile_images/1541035491105116165/gH_39sE2_normal.jpg")</f>
        <v>https://pbs.twimg.com/profile_images/1541035491105116165/gH_39sE2_normal.jpg</v>
      </c>
      <c r="G286" s="63"/>
      <c r="H286" s="67"/>
      <c r="I286" s="68"/>
      <c r="J286" s="68"/>
      <c r="K286" s="67" t="s">
        <v>25220</v>
      </c>
      <c r="L286" s="71"/>
      <c r="M286" s="72"/>
      <c r="N286" s="72"/>
      <c r="O286" s="73"/>
      <c r="P286" s="74"/>
      <c r="Q286" s="74"/>
      <c r="R286" s="86"/>
      <c r="S286" s="86"/>
      <c r="T286" s="86"/>
      <c r="U286" s="86"/>
      <c r="V286" s="48"/>
      <c r="W286" s="48"/>
      <c r="X286" s="48"/>
      <c r="Y286" s="48"/>
      <c r="Z286" s="47"/>
      <c r="AA286" s="69">
        <v>286</v>
      </c>
      <c r="AB286" s="69"/>
      <c r="AC286" s="70"/>
      <c r="AD286" s="76" t="s">
        <v>22094</v>
      </c>
      <c r="AE286" s="81" t="s">
        <v>22914</v>
      </c>
      <c r="AF286" s="76">
        <v>630</v>
      </c>
      <c r="AG286" s="76">
        <v>876</v>
      </c>
      <c r="AH286" s="76">
        <v>2357</v>
      </c>
      <c r="AI286" s="76">
        <v>20</v>
      </c>
      <c r="AJ286" s="76">
        <v>232</v>
      </c>
      <c r="AK286" s="76">
        <v>225</v>
      </c>
      <c r="AL286" s="76" t="b">
        <v>0</v>
      </c>
      <c r="AM286" s="78">
        <v>40005.814375000002</v>
      </c>
      <c r="AN286" s="76" t="s">
        <v>23155</v>
      </c>
      <c r="AO286" s="76" t="s">
        <v>23589</v>
      </c>
      <c r="AP286" s="83" t="str">
        <f>HYPERLINK("https://t.co/nxuRl9Fjj3")</f>
        <v>https://t.co/nxuRl9Fjj3</v>
      </c>
      <c r="AQ286" s="83" t="str">
        <f>HYPERLINK("http://soundcloud.com/marcio_groove")</f>
        <v>http://soundcloud.com/marcio_groove</v>
      </c>
      <c r="AR286" s="76" t="s">
        <v>24407</v>
      </c>
      <c r="AS286" s="76"/>
      <c r="AT286" s="76"/>
      <c r="AU286" s="76"/>
      <c r="AV286" s="76"/>
      <c r="AW286" s="83" t="str">
        <f>HYPERLINK("https://t.co/nxuRl9Fjj3")</f>
        <v>https://t.co/nxuRl9Fjj3</v>
      </c>
      <c r="AX286" s="76" t="b">
        <v>0</v>
      </c>
      <c r="AY286" s="76"/>
      <c r="AZ286" s="76"/>
      <c r="BA286" s="76" t="b">
        <v>0</v>
      </c>
      <c r="BB286" s="76" t="b">
        <v>1</v>
      </c>
      <c r="BC286" s="76" t="b">
        <v>0</v>
      </c>
      <c r="BD286" s="76" t="b">
        <v>0</v>
      </c>
      <c r="BE286" s="76" t="b">
        <v>0</v>
      </c>
      <c r="BF286" s="76" t="b">
        <v>0</v>
      </c>
      <c r="BG286" s="76" t="b">
        <v>0</v>
      </c>
      <c r="BH286" s="83" t="str">
        <f>HYPERLINK("https://pbs.twimg.com/profile_banners/55908222/1695395395")</f>
        <v>https://pbs.twimg.com/profile_banners/55908222/1695395395</v>
      </c>
      <c r="BI286" s="76"/>
      <c r="BJ286" s="76" t="s">
        <v>24935</v>
      </c>
      <c r="BK286" s="76" t="b">
        <v>0</v>
      </c>
      <c r="BL286" s="76"/>
      <c r="BM286" s="76" t="s">
        <v>66</v>
      </c>
      <c r="BN286" s="76" t="s">
        <v>24937</v>
      </c>
      <c r="BO286" s="83" t="str">
        <f>HYPERLINK("https://twitter.com/marciogroove")</f>
        <v>https://twitter.com/marciogroove</v>
      </c>
      <c r="BP286" s="2"/>
    </row>
    <row r="287" spans="1:68" x14ac:dyDescent="0.25">
      <c r="A287" s="62" t="s">
        <v>499</v>
      </c>
      <c r="B287" s="63"/>
      <c r="C287" s="63"/>
      <c r="D287" s="64"/>
      <c r="E287" s="66"/>
      <c r="F287" s="102" t="str">
        <f>HYPERLINK("https://pbs.twimg.com/profile_images/1659070512352378880/cl41bq0P_normal.jpg")</f>
        <v>https://pbs.twimg.com/profile_images/1659070512352378880/cl41bq0P_normal.jpg</v>
      </c>
      <c r="G287" s="63"/>
      <c r="H287" s="67"/>
      <c r="I287" s="68"/>
      <c r="J287" s="68"/>
      <c r="K287" s="67" t="s">
        <v>25221</v>
      </c>
      <c r="L287" s="71"/>
      <c r="M287" s="72"/>
      <c r="N287" s="72"/>
      <c r="O287" s="73"/>
      <c r="P287" s="74"/>
      <c r="Q287" s="74"/>
      <c r="R287" s="86"/>
      <c r="S287" s="86"/>
      <c r="T287" s="86"/>
      <c r="U287" s="86"/>
      <c r="V287" s="48"/>
      <c r="W287" s="48"/>
      <c r="X287" s="48"/>
      <c r="Y287" s="48"/>
      <c r="Z287" s="47"/>
      <c r="AA287" s="69">
        <v>287</v>
      </c>
      <c r="AB287" s="69"/>
      <c r="AC287" s="70"/>
      <c r="AD287" s="76" t="s">
        <v>22095</v>
      </c>
      <c r="AE287" s="81" t="s">
        <v>21216</v>
      </c>
      <c r="AF287" s="76">
        <v>2</v>
      </c>
      <c r="AG287" s="76">
        <v>5</v>
      </c>
      <c r="AH287" s="76">
        <v>12</v>
      </c>
      <c r="AI287" s="76">
        <v>0</v>
      </c>
      <c r="AJ287" s="76">
        <v>14</v>
      </c>
      <c r="AK287" s="76">
        <v>2</v>
      </c>
      <c r="AL287" s="76" t="b">
        <v>0</v>
      </c>
      <c r="AM287" s="78">
        <v>45064.215254629627</v>
      </c>
      <c r="AN287" s="76"/>
      <c r="AO287" s="76"/>
      <c r="AP287" s="76"/>
      <c r="AQ287" s="76"/>
      <c r="AR287" s="76"/>
      <c r="AS287" s="76"/>
      <c r="AT287" s="76"/>
      <c r="AU287" s="76"/>
      <c r="AV287" s="76"/>
      <c r="AW287" s="76"/>
      <c r="AX287" s="76" t="b">
        <v>0</v>
      </c>
      <c r="AY287" s="76"/>
      <c r="AZ287" s="76"/>
      <c r="BA287" s="76" t="b">
        <v>0</v>
      </c>
      <c r="BB287" s="76" t="b">
        <v>1</v>
      </c>
      <c r="BC287" s="76" t="b">
        <v>1</v>
      </c>
      <c r="BD287" s="76" t="b">
        <v>0</v>
      </c>
      <c r="BE287" s="76" t="b">
        <v>0</v>
      </c>
      <c r="BF287" s="76" t="b">
        <v>0</v>
      </c>
      <c r="BG287" s="76" t="b">
        <v>0</v>
      </c>
      <c r="BH287" s="83" t="str">
        <f>HYPERLINK("https://pbs.twimg.com/profile_banners/1659063714312486912/1684386799")</f>
        <v>https://pbs.twimg.com/profile_banners/1659063714312486912/1684386799</v>
      </c>
      <c r="BI287" s="76"/>
      <c r="BJ287" s="76" t="s">
        <v>24935</v>
      </c>
      <c r="BK287" s="76" t="b">
        <v>0</v>
      </c>
      <c r="BL287" s="76"/>
      <c r="BM287" s="76" t="s">
        <v>66</v>
      </c>
      <c r="BN287" s="76" t="s">
        <v>24937</v>
      </c>
      <c r="BO287" s="83" t="str">
        <f>HYPERLINK("https://twitter.com/dolarizando_")</f>
        <v>https://twitter.com/dolarizando_</v>
      </c>
      <c r="BP287" s="2"/>
    </row>
    <row r="288" spans="1:68" x14ac:dyDescent="0.25">
      <c r="A288" s="62" t="s">
        <v>500</v>
      </c>
      <c r="B288" s="63"/>
      <c r="C288" s="63"/>
      <c r="D288" s="64"/>
      <c r="E288" s="66"/>
      <c r="F288" s="102" t="str">
        <f>HYPERLINK("https://pbs.twimg.com/profile_images/1608885271268921344/TLwgjQYB_normal.jpg")</f>
        <v>https://pbs.twimg.com/profile_images/1608885271268921344/TLwgjQYB_normal.jpg</v>
      </c>
      <c r="G288" s="63"/>
      <c r="H288" s="67"/>
      <c r="I288" s="68"/>
      <c r="J288" s="68"/>
      <c r="K288" s="67" t="s">
        <v>25222</v>
      </c>
      <c r="L288" s="71"/>
      <c r="M288" s="72"/>
      <c r="N288" s="72"/>
      <c r="O288" s="73"/>
      <c r="P288" s="74"/>
      <c r="Q288" s="74"/>
      <c r="R288" s="86"/>
      <c r="S288" s="86"/>
      <c r="T288" s="86"/>
      <c r="U288" s="86"/>
      <c r="V288" s="48"/>
      <c r="W288" s="48"/>
      <c r="X288" s="48"/>
      <c r="Y288" s="48"/>
      <c r="Z288" s="47"/>
      <c r="AA288" s="69">
        <v>288</v>
      </c>
      <c r="AB288" s="69"/>
      <c r="AC288" s="70"/>
      <c r="AD288" s="76" t="s">
        <v>22096</v>
      </c>
      <c r="AE288" s="81" t="s">
        <v>22915</v>
      </c>
      <c r="AF288" s="76">
        <v>654</v>
      </c>
      <c r="AG288" s="76">
        <v>1072</v>
      </c>
      <c r="AH288" s="76">
        <v>13915</v>
      </c>
      <c r="AI288" s="76">
        <v>13</v>
      </c>
      <c r="AJ288" s="76">
        <v>451</v>
      </c>
      <c r="AK288" s="76">
        <v>270</v>
      </c>
      <c r="AL288" s="76" t="b">
        <v>0</v>
      </c>
      <c r="AM288" s="78">
        <v>39782.914050925923</v>
      </c>
      <c r="AN288" s="76" t="s">
        <v>23156</v>
      </c>
      <c r="AO288" s="76" t="s">
        <v>23590</v>
      </c>
      <c r="AP288" s="83" t="str">
        <f>HYPERLINK("https://t.co/wbN7sgfg5y")</f>
        <v>https://t.co/wbN7sgfg5y</v>
      </c>
      <c r="AQ288" s="83" t="str">
        <f>HYPERLINK("https://linkedin.com/in/fellipepinheiro")</f>
        <v>https://linkedin.com/in/fellipepinheiro</v>
      </c>
      <c r="AR288" s="76" t="s">
        <v>24408</v>
      </c>
      <c r="AS288" s="76"/>
      <c r="AT288" s="76"/>
      <c r="AU288" s="76"/>
      <c r="AV288" s="76"/>
      <c r="AW288" s="83" t="str">
        <f>HYPERLINK("https://t.co/wbN7sgfg5y")</f>
        <v>https://t.co/wbN7sgfg5y</v>
      </c>
      <c r="AX288" s="76" t="b">
        <v>0</v>
      </c>
      <c r="AY288" s="76"/>
      <c r="AZ288" s="76"/>
      <c r="BA288" s="76" t="b">
        <v>1</v>
      </c>
      <c r="BB288" s="76" t="b">
        <v>1</v>
      </c>
      <c r="BC288" s="76" t="b">
        <v>0</v>
      </c>
      <c r="BD288" s="76" t="b">
        <v>0</v>
      </c>
      <c r="BE288" s="76" t="b">
        <v>0</v>
      </c>
      <c r="BF288" s="76" t="b">
        <v>0</v>
      </c>
      <c r="BG288" s="76" t="b">
        <v>0</v>
      </c>
      <c r="BH288" s="83" t="str">
        <f>HYPERLINK("https://pbs.twimg.com/profile_banners/17763801/1688569495")</f>
        <v>https://pbs.twimg.com/profile_banners/17763801/1688569495</v>
      </c>
      <c r="BI288" s="76"/>
      <c r="BJ288" s="76" t="s">
        <v>24936</v>
      </c>
      <c r="BK288" s="76" t="b">
        <v>0</v>
      </c>
      <c r="BL288" s="76"/>
      <c r="BM288" s="76" t="s">
        <v>66</v>
      </c>
      <c r="BN288" s="76" t="s">
        <v>24937</v>
      </c>
      <c r="BO288" s="83" t="str">
        <f>HYPERLINK("https://twitter.com/fellipepinheiro")</f>
        <v>https://twitter.com/fellipepinheiro</v>
      </c>
      <c r="BP288" s="2"/>
    </row>
    <row r="289" spans="1:68" x14ac:dyDescent="0.25">
      <c r="A289" s="62" t="s">
        <v>501</v>
      </c>
      <c r="B289" s="63"/>
      <c r="C289" s="63"/>
      <c r="D289" s="64"/>
      <c r="E289" s="66"/>
      <c r="F289" s="102" t="str">
        <f>HYPERLINK("https://pbs.twimg.com/profile_images/1702087760029372416/eXfBC9Lf_normal.jpg")</f>
        <v>https://pbs.twimg.com/profile_images/1702087760029372416/eXfBC9Lf_normal.jpg</v>
      </c>
      <c r="G289" s="63"/>
      <c r="H289" s="67"/>
      <c r="I289" s="68"/>
      <c r="J289" s="68"/>
      <c r="K289" s="67" t="s">
        <v>25223</v>
      </c>
      <c r="L289" s="71"/>
      <c r="M289" s="72"/>
      <c r="N289" s="72"/>
      <c r="O289" s="73"/>
      <c r="P289" s="74"/>
      <c r="Q289" s="74"/>
      <c r="R289" s="86"/>
      <c r="S289" s="86"/>
      <c r="T289" s="86"/>
      <c r="U289" s="86"/>
      <c r="V289" s="48"/>
      <c r="W289" s="48"/>
      <c r="X289" s="48"/>
      <c r="Y289" s="48"/>
      <c r="Z289" s="47"/>
      <c r="AA289" s="69">
        <v>289</v>
      </c>
      <c r="AB289" s="69"/>
      <c r="AC289" s="70"/>
      <c r="AD289" s="76" t="s">
        <v>22097</v>
      </c>
      <c r="AE289" s="81" t="s">
        <v>21217</v>
      </c>
      <c r="AF289" s="76">
        <v>18</v>
      </c>
      <c r="AG289" s="76">
        <v>164</v>
      </c>
      <c r="AH289" s="76">
        <v>992</v>
      </c>
      <c r="AI289" s="76">
        <v>0</v>
      </c>
      <c r="AJ289" s="76">
        <v>10772</v>
      </c>
      <c r="AK289" s="76">
        <v>81</v>
      </c>
      <c r="AL289" s="76" t="b">
        <v>0</v>
      </c>
      <c r="AM289" s="78">
        <v>44102.528726851851</v>
      </c>
      <c r="AN289" s="76" t="s">
        <v>23157</v>
      </c>
      <c r="AO289" s="76" t="s">
        <v>23591</v>
      </c>
      <c r="AP289" s="76"/>
      <c r="AQ289" s="76"/>
      <c r="AR289" s="76"/>
      <c r="AS289" s="76"/>
      <c r="AT289" s="76"/>
      <c r="AU289" s="76"/>
      <c r="AV289" s="76"/>
      <c r="AW289" s="76"/>
      <c r="AX289" s="76" t="b">
        <v>0</v>
      </c>
      <c r="AY289" s="76"/>
      <c r="AZ289" s="76"/>
      <c r="BA289" s="76" t="b">
        <v>0</v>
      </c>
      <c r="BB289" s="76" t="b">
        <v>0</v>
      </c>
      <c r="BC289" s="76" t="b">
        <v>1</v>
      </c>
      <c r="BD289" s="76" t="b">
        <v>0</v>
      </c>
      <c r="BE289" s="76" t="b">
        <v>1</v>
      </c>
      <c r="BF289" s="76" t="b">
        <v>0</v>
      </c>
      <c r="BG289" s="76" t="b">
        <v>0</v>
      </c>
      <c r="BH289" s="83" t="str">
        <f>HYPERLINK("https://pbs.twimg.com/profile_banners/1310560150172901378/1686604472")</f>
        <v>https://pbs.twimg.com/profile_banners/1310560150172901378/1686604472</v>
      </c>
      <c r="BI289" s="76"/>
      <c r="BJ289" s="76" t="s">
        <v>24935</v>
      </c>
      <c r="BK289" s="76" t="b">
        <v>0</v>
      </c>
      <c r="BL289" s="76"/>
      <c r="BM289" s="76" t="s">
        <v>66</v>
      </c>
      <c r="BN289" s="76" t="s">
        <v>24937</v>
      </c>
      <c r="BO289" s="83" t="str">
        <f>HYPERLINK("https://twitter.com/beicadaskkkkj")</f>
        <v>https://twitter.com/beicadaskkkkj</v>
      </c>
      <c r="BP289" s="2"/>
    </row>
    <row r="290" spans="1:68" x14ac:dyDescent="0.25">
      <c r="A290" s="62" t="s">
        <v>1247</v>
      </c>
      <c r="B290" s="63"/>
      <c r="C290" s="63"/>
      <c r="D290" s="64"/>
      <c r="E290" s="66"/>
      <c r="F290" s="102" t="str">
        <f>HYPERLINK("https://pbs.twimg.com/profile_images/1688924859655651328/Db-JSmv5_normal.jpg")</f>
        <v>https://pbs.twimg.com/profile_images/1688924859655651328/Db-JSmv5_normal.jpg</v>
      </c>
      <c r="G290" s="63"/>
      <c r="H290" s="67"/>
      <c r="I290" s="68"/>
      <c r="J290" s="68"/>
      <c r="K290" s="67" t="s">
        <v>25224</v>
      </c>
      <c r="L290" s="71"/>
      <c r="M290" s="72"/>
      <c r="N290" s="72"/>
      <c r="O290" s="73"/>
      <c r="P290" s="74"/>
      <c r="Q290" s="74"/>
      <c r="R290" s="86"/>
      <c r="S290" s="86"/>
      <c r="T290" s="86"/>
      <c r="U290" s="86"/>
      <c r="V290" s="48"/>
      <c r="W290" s="48"/>
      <c r="X290" s="48"/>
      <c r="Y290" s="48"/>
      <c r="Z290" s="47"/>
      <c r="AA290" s="69">
        <v>290</v>
      </c>
      <c r="AB290" s="69"/>
      <c r="AC290" s="70"/>
      <c r="AD290" s="76" t="s">
        <v>22098</v>
      </c>
      <c r="AE290" s="81" t="s">
        <v>20916</v>
      </c>
      <c r="AF290" s="76">
        <v>14437</v>
      </c>
      <c r="AG290" s="76">
        <v>2797</v>
      </c>
      <c r="AH290" s="76">
        <v>222</v>
      </c>
      <c r="AI290" s="76">
        <v>2</v>
      </c>
      <c r="AJ290" s="76">
        <v>757</v>
      </c>
      <c r="AK290" s="76">
        <v>181</v>
      </c>
      <c r="AL290" s="76" t="b">
        <v>0</v>
      </c>
      <c r="AM290" s="78">
        <v>45062.69195601852</v>
      </c>
      <c r="AN290" s="76"/>
      <c r="AO290" s="76" t="s">
        <v>23592</v>
      </c>
      <c r="AP290" s="76"/>
      <c r="AQ290" s="76"/>
      <c r="AR290" s="76"/>
      <c r="AS290" s="76"/>
      <c r="AT290" s="76"/>
      <c r="AU290" s="76"/>
      <c r="AV290" s="76"/>
      <c r="AW290" s="76"/>
      <c r="AX290" s="76" t="b">
        <v>0</v>
      </c>
      <c r="AY290" s="76"/>
      <c r="AZ290" s="76"/>
      <c r="BA290" s="76" t="b">
        <v>1</v>
      </c>
      <c r="BB290" s="76" t="b">
        <v>1</v>
      </c>
      <c r="BC290" s="76" t="b">
        <v>1</v>
      </c>
      <c r="BD290" s="76" t="b">
        <v>0</v>
      </c>
      <c r="BE290" s="76" t="b">
        <v>0</v>
      </c>
      <c r="BF290" s="76" t="b">
        <v>0</v>
      </c>
      <c r="BG290" s="76" t="b">
        <v>0</v>
      </c>
      <c r="BH290" s="76"/>
      <c r="BI290" s="76"/>
      <c r="BJ290" s="76" t="s">
        <v>24935</v>
      </c>
      <c r="BK290" s="76" t="b">
        <v>0</v>
      </c>
      <c r="BL290" s="76"/>
      <c r="BM290" s="76" t="s">
        <v>65</v>
      </c>
      <c r="BN290" s="76" t="s">
        <v>24937</v>
      </c>
      <c r="BO290" s="83" t="str">
        <f>HYPERLINK("https://twitter.com/explicacritica")</f>
        <v>https://twitter.com/explicacritica</v>
      </c>
      <c r="BP290" s="2"/>
    </row>
    <row r="291" spans="1:68" x14ac:dyDescent="0.25">
      <c r="A291" s="62" t="s">
        <v>502</v>
      </c>
      <c r="B291" s="63"/>
      <c r="C291" s="63"/>
      <c r="D291" s="64"/>
      <c r="E291" s="66"/>
      <c r="F291" s="102" t="str">
        <f>HYPERLINK("https://pbs.twimg.com/profile_images/1480001774094360579/dzhISc3R_normal.jpg")</f>
        <v>https://pbs.twimg.com/profile_images/1480001774094360579/dzhISc3R_normal.jpg</v>
      </c>
      <c r="G291" s="63"/>
      <c r="H291" s="67"/>
      <c r="I291" s="68"/>
      <c r="J291" s="68"/>
      <c r="K291" s="67" t="s">
        <v>25225</v>
      </c>
      <c r="L291" s="71"/>
      <c r="M291" s="72"/>
      <c r="N291" s="72"/>
      <c r="O291" s="73"/>
      <c r="P291" s="74"/>
      <c r="Q291" s="74"/>
      <c r="R291" s="86"/>
      <c r="S291" s="86"/>
      <c r="T291" s="86"/>
      <c r="U291" s="86"/>
      <c r="V291" s="48"/>
      <c r="W291" s="48"/>
      <c r="X291" s="48"/>
      <c r="Y291" s="48"/>
      <c r="Z291" s="47"/>
      <c r="AA291" s="69">
        <v>291</v>
      </c>
      <c r="AB291" s="69"/>
      <c r="AC291" s="70"/>
      <c r="AD291" s="76" t="s">
        <v>22099</v>
      </c>
      <c r="AE291" s="81" t="s">
        <v>21218</v>
      </c>
      <c r="AF291" s="76">
        <v>1</v>
      </c>
      <c r="AG291" s="76">
        <v>15</v>
      </c>
      <c r="AH291" s="76">
        <v>572</v>
      </c>
      <c r="AI291" s="76">
        <v>0</v>
      </c>
      <c r="AJ291" s="76">
        <v>199</v>
      </c>
      <c r="AK291" s="76">
        <v>408</v>
      </c>
      <c r="AL291" s="76" t="b">
        <v>0</v>
      </c>
      <c r="AM291" s="78">
        <v>44275.526273148149</v>
      </c>
      <c r="AN291" s="76"/>
      <c r="AO291" s="76" t="s">
        <v>23593</v>
      </c>
      <c r="AP291" s="76"/>
      <c r="AQ291" s="76"/>
      <c r="AR291" s="76"/>
      <c r="AS291" s="76"/>
      <c r="AT291" s="76"/>
      <c r="AU291" s="76"/>
      <c r="AV291" s="76"/>
      <c r="AW291" s="76"/>
      <c r="AX291" s="76" t="b">
        <v>0</v>
      </c>
      <c r="AY291" s="76"/>
      <c r="AZ291" s="76"/>
      <c r="BA291" s="76" t="b">
        <v>0</v>
      </c>
      <c r="BB291" s="76" t="b">
        <v>1</v>
      </c>
      <c r="BC291" s="76" t="b">
        <v>1</v>
      </c>
      <c r="BD291" s="76" t="b">
        <v>0</v>
      </c>
      <c r="BE291" s="76" t="b">
        <v>0</v>
      </c>
      <c r="BF291" s="76" t="b">
        <v>0</v>
      </c>
      <c r="BG291" s="76" t="b">
        <v>0</v>
      </c>
      <c r="BH291" s="83" t="str">
        <f>HYPERLINK("https://pbs.twimg.com/profile_banners/1373252139779301376/1641694895")</f>
        <v>https://pbs.twimg.com/profile_banners/1373252139779301376/1641694895</v>
      </c>
      <c r="BI291" s="76"/>
      <c r="BJ291" s="76" t="s">
        <v>24935</v>
      </c>
      <c r="BK291" s="76" t="b">
        <v>0</v>
      </c>
      <c r="BL291" s="76"/>
      <c r="BM291" s="76" t="s">
        <v>66</v>
      </c>
      <c r="BN291" s="76" t="s">
        <v>24937</v>
      </c>
      <c r="BO291" s="83" t="str">
        <f>HYPERLINK("https://twitter.com/eulima_eu")</f>
        <v>https://twitter.com/eulima_eu</v>
      </c>
      <c r="BP291" s="2"/>
    </row>
    <row r="292" spans="1:68" x14ac:dyDescent="0.25">
      <c r="A292" s="62" t="s">
        <v>503</v>
      </c>
      <c r="B292" s="63"/>
      <c r="C292" s="63"/>
      <c r="D292" s="64"/>
      <c r="E292" s="66"/>
      <c r="F292" s="102" t="str">
        <f>HYPERLINK("https://pbs.twimg.com/profile_images/1642634588278120448/efmUQoAn_normal.jpg")</f>
        <v>https://pbs.twimg.com/profile_images/1642634588278120448/efmUQoAn_normal.jpg</v>
      </c>
      <c r="G292" s="63"/>
      <c r="H292" s="67"/>
      <c r="I292" s="68"/>
      <c r="J292" s="68"/>
      <c r="K292" s="67" t="s">
        <v>25226</v>
      </c>
      <c r="L292" s="71"/>
      <c r="M292" s="72"/>
      <c r="N292" s="72"/>
      <c r="O292" s="73"/>
      <c r="P292" s="74"/>
      <c r="Q292" s="74"/>
      <c r="R292" s="86"/>
      <c r="S292" s="86"/>
      <c r="T292" s="86"/>
      <c r="U292" s="86"/>
      <c r="V292" s="48"/>
      <c r="W292" s="48"/>
      <c r="X292" s="48"/>
      <c r="Y292" s="48"/>
      <c r="Z292" s="47"/>
      <c r="AA292" s="69">
        <v>292</v>
      </c>
      <c r="AB292" s="69"/>
      <c r="AC292" s="70"/>
      <c r="AD292" s="76" t="s">
        <v>22100</v>
      </c>
      <c r="AE292" s="81" t="s">
        <v>21219</v>
      </c>
      <c r="AF292" s="76">
        <v>0</v>
      </c>
      <c r="AG292" s="76">
        <v>4</v>
      </c>
      <c r="AH292" s="76">
        <v>1</v>
      </c>
      <c r="AI292" s="76">
        <v>0</v>
      </c>
      <c r="AJ292" s="76">
        <v>0</v>
      </c>
      <c r="AK292" s="76">
        <v>0</v>
      </c>
      <c r="AL292" s="76" t="b">
        <v>0</v>
      </c>
      <c r="AM292" s="78">
        <v>45018.121932870374</v>
      </c>
      <c r="AN292" s="76"/>
      <c r="AO292" s="76" t="s">
        <v>23594</v>
      </c>
      <c r="AP292" s="83" t="str">
        <f>HYPERLINK("https://t.co/OYaWq3zc9d")</f>
        <v>https://t.co/OYaWq3zc9d</v>
      </c>
      <c r="AQ292" s="83" t="str">
        <f>HYPERLINK("https://bio.site/joven.milion")</f>
        <v>https://bio.site/joven.milion</v>
      </c>
      <c r="AR292" s="76" t="s">
        <v>24409</v>
      </c>
      <c r="AS292" s="76"/>
      <c r="AT292" s="76"/>
      <c r="AU292" s="76"/>
      <c r="AV292" s="76"/>
      <c r="AW292" s="83" t="str">
        <f>HYPERLINK("https://t.co/OYaWq3zc9d")</f>
        <v>https://t.co/OYaWq3zc9d</v>
      </c>
      <c r="AX292" s="76" t="b">
        <v>0</v>
      </c>
      <c r="AY292" s="76"/>
      <c r="AZ292" s="76"/>
      <c r="BA292" s="76" t="b">
        <v>0</v>
      </c>
      <c r="BB292" s="76" t="b">
        <v>1</v>
      </c>
      <c r="BC292" s="76" t="b">
        <v>1</v>
      </c>
      <c r="BD292" s="76" t="b">
        <v>0</v>
      </c>
      <c r="BE292" s="76" t="b">
        <v>0</v>
      </c>
      <c r="BF292" s="76" t="b">
        <v>0</v>
      </c>
      <c r="BG292" s="76" t="b">
        <v>0</v>
      </c>
      <c r="BH292" s="83" t="str">
        <f>HYPERLINK("https://pbs.twimg.com/profile_banners/1642359431986905088/1680469578")</f>
        <v>https://pbs.twimg.com/profile_banners/1642359431986905088/1680469578</v>
      </c>
      <c r="BI292" s="76"/>
      <c r="BJ292" s="76" t="s">
        <v>24935</v>
      </c>
      <c r="BK292" s="76" t="b">
        <v>0</v>
      </c>
      <c r="BL292" s="76"/>
      <c r="BM292" s="76" t="s">
        <v>66</v>
      </c>
      <c r="BN292" s="76" t="s">
        <v>24937</v>
      </c>
      <c r="BO292" s="83" t="str">
        <f>HYPERLINK("https://twitter.com/jovemmilion1")</f>
        <v>https://twitter.com/jovemmilion1</v>
      </c>
      <c r="BP292" s="2"/>
    </row>
    <row r="293" spans="1:68" x14ac:dyDescent="0.25">
      <c r="A293" s="62" t="s">
        <v>1248</v>
      </c>
      <c r="B293" s="63"/>
      <c r="C293" s="63"/>
      <c r="D293" s="64"/>
      <c r="E293" s="66"/>
      <c r="F293" s="102" t="str">
        <f>HYPERLINK("https://pbs.twimg.com/profile_images/1569725862911819778/sPW-4JJM_normal.jpg")</f>
        <v>https://pbs.twimg.com/profile_images/1569725862911819778/sPW-4JJM_normal.jpg</v>
      </c>
      <c r="G293" s="63"/>
      <c r="H293" s="67"/>
      <c r="I293" s="68"/>
      <c r="J293" s="68"/>
      <c r="K293" s="67" t="s">
        <v>25227</v>
      </c>
      <c r="L293" s="71"/>
      <c r="M293" s="72"/>
      <c r="N293" s="72"/>
      <c r="O293" s="73"/>
      <c r="P293" s="74"/>
      <c r="Q293" s="74"/>
      <c r="R293" s="86"/>
      <c r="S293" s="86"/>
      <c r="T293" s="86"/>
      <c r="U293" s="86"/>
      <c r="V293" s="48"/>
      <c r="W293" s="48"/>
      <c r="X293" s="48"/>
      <c r="Y293" s="48"/>
      <c r="Z293" s="47"/>
      <c r="AA293" s="69">
        <v>293</v>
      </c>
      <c r="AB293" s="69"/>
      <c r="AC293" s="70"/>
      <c r="AD293" s="76" t="s">
        <v>1248</v>
      </c>
      <c r="AE293" s="81" t="s">
        <v>22916</v>
      </c>
      <c r="AF293" s="76">
        <v>409</v>
      </c>
      <c r="AG293" s="76">
        <v>582</v>
      </c>
      <c r="AH293" s="76">
        <v>3037</v>
      </c>
      <c r="AI293" s="76">
        <v>1</v>
      </c>
      <c r="AJ293" s="76">
        <v>4290</v>
      </c>
      <c r="AK293" s="76">
        <v>294</v>
      </c>
      <c r="AL293" s="76" t="b">
        <v>0</v>
      </c>
      <c r="AM293" s="78">
        <v>39270.429409722223</v>
      </c>
      <c r="AN293" s="76" t="s">
        <v>23158</v>
      </c>
      <c r="AO293" s="76" t="s">
        <v>23595</v>
      </c>
      <c r="AP293" s="83" t="str">
        <f>HYPERLINK("https://t.co/5nGXgA03QK")</f>
        <v>https://t.co/5nGXgA03QK</v>
      </c>
      <c r="AQ293" s="83" t="str">
        <f>HYPERLINK("http://instagram.com/santiagojoven")</f>
        <v>http://instagram.com/santiagojoven</v>
      </c>
      <c r="AR293" s="76" t="s">
        <v>24410</v>
      </c>
      <c r="AS293" s="76"/>
      <c r="AT293" s="76"/>
      <c r="AU293" s="76"/>
      <c r="AV293" s="76">
        <v>1.2670141819301399E+18</v>
      </c>
      <c r="AW293" s="83" t="str">
        <f>HYPERLINK("https://t.co/5nGXgA03QK")</f>
        <v>https://t.co/5nGXgA03QK</v>
      </c>
      <c r="AX293" s="76" t="b">
        <v>0</v>
      </c>
      <c r="AY293" s="76"/>
      <c r="AZ293" s="76"/>
      <c r="BA293" s="76" t="b">
        <v>1</v>
      </c>
      <c r="BB293" s="76" t="b">
        <v>1</v>
      </c>
      <c r="BC293" s="76" t="b">
        <v>0</v>
      </c>
      <c r="BD293" s="76" t="b">
        <v>0</v>
      </c>
      <c r="BE293" s="76" t="b">
        <v>1</v>
      </c>
      <c r="BF293" s="76" t="b">
        <v>0</v>
      </c>
      <c r="BG293" s="76" t="b">
        <v>0</v>
      </c>
      <c r="BH293" s="83" t="str">
        <f>HYPERLINK("https://pbs.twimg.com/profile_banners/7311122/1586699878")</f>
        <v>https://pbs.twimg.com/profile_banners/7311122/1586699878</v>
      </c>
      <c r="BI293" s="76"/>
      <c r="BJ293" s="76" t="s">
        <v>24935</v>
      </c>
      <c r="BK293" s="76" t="b">
        <v>0</v>
      </c>
      <c r="BL293" s="76"/>
      <c r="BM293" s="76" t="s">
        <v>65</v>
      </c>
      <c r="BN293" s="76" t="s">
        <v>24937</v>
      </c>
      <c r="BO293" s="83" t="str">
        <f>HYPERLINK("https://twitter.com/joven")</f>
        <v>https://twitter.com/joven</v>
      </c>
      <c r="BP293" s="2"/>
    </row>
    <row r="294" spans="1:68" x14ac:dyDescent="0.25">
      <c r="A294" s="62" t="s">
        <v>504</v>
      </c>
      <c r="B294" s="63"/>
      <c r="C294" s="63"/>
      <c r="D294" s="64"/>
      <c r="E294" s="66"/>
      <c r="F294" s="102" t="str">
        <f>HYPERLINK("https://pbs.twimg.com/profile_images/1613153319987412994/pte1z9Uq_normal.jpg")</f>
        <v>https://pbs.twimg.com/profile_images/1613153319987412994/pte1z9Uq_normal.jpg</v>
      </c>
      <c r="G294" s="63"/>
      <c r="H294" s="67"/>
      <c r="I294" s="68"/>
      <c r="J294" s="68"/>
      <c r="K294" s="67" t="s">
        <v>25228</v>
      </c>
      <c r="L294" s="71"/>
      <c r="M294" s="72"/>
      <c r="N294" s="72"/>
      <c r="O294" s="73"/>
      <c r="P294" s="74"/>
      <c r="Q294" s="74"/>
      <c r="R294" s="86"/>
      <c r="S294" s="86"/>
      <c r="T294" s="86"/>
      <c r="U294" s="86"/>
      <c r="V294" s="48"/>
      <c r="W294" s="48"/>
      <c r="X294" s="48"/>
      <c r="Y294" s="48"/>
      <c r="Z294" s="47"/>
      <c r="AA294" s="69">
        <v>294</v>
      </c>
      <c r="AB294" s="69"/>
      <c r="AC294" s="70"/>
      <c r="AD294" s="76" t="s">
        <v>22101</v>
      </c>
      <c r="AE294" s="81" t="s">
        <v>20917</v>
      </c>
      <c r="AF294" s="76">
        <v>351</v>
      </c>
      <c r="AG294" s="76">
        <v>36</v>
      </c>
      <c r="AH294" s="76">
        <v>3292</v>
      </c>
      <c r="AI294" s="76">
        <v>0</v>
      </c>
      <c r="AJ294" s="76">
        <v>1211</v>
      </c>
      <c r="AK294" s="76">
        <v>1787</v>
      </c>
      <c r="AL294" s="76" t="b">
        <v>0</v>
      </c>
      <c r="AM294" s="78">
        <v>41302.553541666668</v>
      </c>
      <c r="AN294" s="76" t="s">
        <v>23159</v>
      </c>
      <c r="AO294" s="76" t="s">
        <v>23596</v>
      </c>
      <c r="AP294" s="83" t="str">
        <f>HYPERLINK("https://t.co/k36OpPQMEn")</f>
        <v>https://t.co/k36OpPQMEn</v>
      </c>
      <c r="AQ294" s="83" t="str">
        <f>HYPERLINK("http://www.catanduva.sp.gov.br")</f>
        <v>http://www.catanduva.sp.gov.br</v>
      </c>
      <c r="AR294" s="76" t="s">
        <v>24411</v>
      </c>
      <c r="AS294" s="76"/>
      <c r="AT294" s="76"/>
      <c r="AU294" s="76"/>
      <c r="AV294" s="76"/>
      <c r="AW294" s="83" t="str">
        <f>HYPERLINK("https://t.co/k36OpPQMEn")</f>
        <v>https://t.co/k36OpPQMEn</v>
      </c>
      <c r="AX294" s="76" t="b">
        <v>0</v>
      </c>
      <c r="AY294" s="76"/>
      <c r="AZ294" s="76"/>
      <c r="BA294" s="76" t="b">
        <v>1</v>
      </c>
      <c r="BB294" s="76" t="b">
        <v>1</v>
      </c>
      <c r="BC294" s="76" t="b">
        <v>0</v>
      </c>
      <c r="BD294" s="76" t="b">
        <v>0</v>
      </c>
      <c r="BE294" s="76" t="b">
        <v>1</v>
      </c>
      <c r="BF294" s="76" t="b">
        <v>0</v>
      </c>
      <c r="BG294" s="76" t="b">
        <v>0</v>
      </c>
      <c r="BH294" s="83" t="str">
        <f>HYPERLINK("https://pbs.twimg.com/profile_banners/1128026436/1694004817")</f>
        <v>https://pbs.twimg.com/profile_banners/1128026436/1694004817</v>
      </c>
      <c r="BI294" s="76"/>
      <c r="BJ294" s="76" t="s">
        <v>24935</v>
      </c>
      <c r="BK294" s="76" t="b">
        <v>0</v>
      </c>
      <c r="BL294" s="76"/>
      <c r="BM294" s="76" t="s">
        <v>66</v>
      </c>
      <c r="BN294" s="76" t="s">
        <v>24937</v>
      </c>
      <c r="BO294" s="83" t="str">
        <f>HYPERLINK("https://twitter.com/prefcatanduva")</f>
        <v>https://twitter.com/prefcatanduva</v>
      </c>
      <c r="BP294" s="2"/>
    </row>
    <row r="295" spans="1:68" x14ac:dyDescent="0.25">
      <c r="A295" s="62" t="s">
        <v>505</v>
      </c>
      <c r="B295" s="63"/>
      <c r="C295" s="63"/>
      <c r="D295" s="64"/>
      <c r="E295" s="66"/>
      <c r="F295" s="102" t="str">
        <f>HYPERLINK("https://pbs.twimg.com/profile_images/1480982281112236032/lVyG9k1j_normal.jpg")</f>
        <v>https://pbs.twimg.com/profile_images/1480982281112236032/lVyG9k1j_normal.jpg</v>
      </c>
      <c r="G295" s="63"/>
      <c r="H295" s="67"/>
      <c r="I295" s="68"/>
      <c r="J295" s="68"/>
      <c r="K295" s="67" t="s">
        <v>25229</v>
      </c>
      <c r="L295" s="71"/>
      <c r="M295" s="72"/>
      <c r="N295" s="72"/>
      <c r="O295" s="73"/>
      <c r="P295" s="74"/>
      <c r="Q295" s="74"/>
      <c r="R295" s="86"/>
      <c r="S295" s="86"/>
      <c r="T295" s="86"/>
      <c r="U295" s="86"/>
      <c r="V295" s="48"/>
      <c r="W295" s="48"/>
      <c r="X295" s="48"/>
      <c r="Y295" s="48"/>
      <c r="Z295" s="47"/>
      <c r="AA295" s="69">
        <v>295</v>
      </c>
      <c r="AB295" s="69"/>
      <c r="AC295" s="70"/>
      <c r="AD295" s="76" t="s">
        <v>22102</v>
      </c>
      <c r="AE295" s="81" t="s">
        <v>22917</v>
      </c>
      <c r="AF295" s="76">
        <v>398</v>
      </c>
      <c r="AG295" s="76">
        <v>83</v>
      </c>
      <c r="AH295" s="76">
        <v>1351</v>
      </c>
      <c r="AI295" s="76">
        <v>10</v>
      </c>
      <c r="AJ295" s="76">
        <v>496</v>
      </c>
      <c r="AK295" s="76">
        <v>208</v>
      </c>
      <c r="AL295" s="76" t="b">
        <v>0</v>
      </c>
      <c r="AM295" s="78">
        <v>40861.109259259261</v>
      </c>
      <c r="AN295" s="76" t="s">
        <v>14033</v>
      </c>
      <c r="AO295" s="76" t="s">
        <v>23597</v>
      </c>
      <c r="AP295" s="83" t="str">
        <f>HYPERLINK("https://t.co/HkRT8nG9xz")</f>
        <v>https://t.co/HkRT8nG9xz</v>
      </c>
      <c r="AQ295" s="83" t="str">
        <f>HYPERLINK("https://www.mateada.com")</f>
        <v>https://www.mateada.com</v>
      </c>
      <c r="AR295" s="76" t="s">
        <v>24412</v>
      </c>
      <c r="AS295" s="76"/>
      <c r="AT295" s="76"/>
      <c r="AU295" s="76"/>
      <c r="AV295" s="76"/>
      <c r="AW295" s="83" t="str">
        <f>HYPERLINK("https://t.co/HkRT8nG9xz")</f>
        <v>https://t.co/HkRT8nG9xz</v>
      </c>
      <c r="AX295" s="76" t="b">
        <v>0</v>
      </c>
      <c r="AY295" s="76"/>
      <c r="AZ295" s="76"/>
      <c r="BA295" s="76" t="b">
        <v>1</v>
      </c>
      <c r="BB295" s="76" t="b">
        <v>1</v>
      </c>
      <c r="BC295" s="76" t="b">
        <v>0</v>
      </c>
      <c r="BD295" s="76" t="b">
        <v>0</v>
      </c>
      <c r="BE295" s="76" t="b">
        <v>0</v>
      </c>
      <c r="BF295" s="76" t="b">
        <v>0</v>
      </c>
      <c r="BG295" s="76" t="b">
        <v>0</v>
      </c>
      <c r="BH295" s="83" t="str">
        <f>HYPERLINK("https://pbs.twimg.com/profile_banners/411943956/1653007970")</f>
        <v>https://pbs.twimg.com/profile_banners/411943956/1653007970</v>
      </c>
      <c r="BI295" s="76"/>
      <c r="BJ295" s="76" t="s">
        <v>24935</v>
      </c>
      <c r="BK295" s="76" t="b">
        <v>0</v>
      </c>
      <c r="BL295" s="76"/>
      <c r="BM295" s="76" t="s">
        <v>66</v>
      </c>
      <c r="BN295" s="76" t="s">
        <v>24937</v>
      </c>
      <c r="BO295" s="83" t="str">
        <f>HYPERLINK("https://twitter.com/mateada_oficial")</f>
        <v>https://twitter.com/mateada_oficial</v>
      </c>
      <c r="BP295" s="2"/>
    </row>
    <row r="296" spans="1:68" x14ac:dyDescent="0.25">
      <c r="A296" s="62" t="s">
        <v>506</v>
      </c>
      <c r="B296" s="63"/>
      <c r="C296" s="63"/>
      <c r="D296" s="64"/>
      <c r="E296" s="66"/>
      <c r="F296" s="102" t="str">
        <f>HYPERLINK("https://pbs.twimg.com/profile_images/1682593813523464193/hR2CsBc5_normal.jpg")</f>
        <v>https://pbs.twimg.com/profile_images/1682593813523464193/hR2CsBc5_normal.jpg</v>
      </c>
      <c r="G296" s="63"/>
      <c r="H296" s="67"/>
      <c r="I296" s="68"/>
      <c r="J296" s="68"/>
      <c r="K296" s="67" t="s">
        <v>25230</v>
      </c>
      <c r="L296" s="71"/>
      <c r="M296" s="72"/>
      <c r="N296" s="72"/>
      <c r="O296" s="73"/>
      <c r="P296" s="74"/>
      <c r="Q296" s="74"/>
      <c r="R296" s="86"/>
      <c r="S296" s="86"/>
      <c r="T296" s="86"/>
      <c r="U296" s="86"/>
      <c r="V296" s="48"/>
      <c r="W296" s="48"/>
      <c r="X296" s="48"/>
      <c r="Y296" s="48"/>
      <c r="Z296" s="47"/>
      <c r="AA296" s="69">
        <v>296</v>
      </c>
      <c r="AB296" s="69"/>
      <c r="AC296" s="70"/>
      <c r="AD296" s="76" t="s">
        <v>22103</v>
      </c>
      <c r="AE296" s="81" t="s">
        <v>20918</v>
      </c>
      <c r="AF296" s="76">
        <v>1762</v>
      </c>
      <c r="AG296" s="76">
        <v>1750</v>
      </c>
      <c r="AH296" s="76">
        <v>51439</v>
      </c>
      <c r="AI296" s="76">
        <v>1</v>
      </c>
      <c r="AJ296" s="76">
        <v>125524</v>
      </c>
      <c r="AK296" s="76">
        <v>1516</v>
      </c>
      <c r="AL296" s="76" t="b">
        <v>0</v>
      </c>
      <c r="AM296" s="78">
        <v>42869.684710648151</v>
      </c>
      <c r="AN296" s="76" t="s">
        <v>14044</v>
      </c>
      <c r="AO296" s="76" t="s">
        <v>23598</v>
      </c>
      <c r="AP296" s="83" t="str">
        <f>HYPERLINK("https://t.co/4L7QRahUHL")</f>
        <v>https://t.co/4L7QRahUHL</v>
      </c>
      <c r="AQ296" s="83" t="str">
        <f>HYPERLINK("https://mycollection.shop/lubambi")</f>
        <v>https://mycollection.shop/lubambi</v>
      </c>
      <c r="AR296" s="76" t="s">
        <v>24413</v>
      </c>
      <c r="AS296" s="76"/>
      <c r="AT296" s="76"/>
      <c r="AU296" s="76"/>
      <c r="AV296" s="76"/>
      <c r="AW296" s="83" t="str">
        <f>HYPERLINK("https://t.co/4L7QRahUHL")</f>
        <v>https://t.co/4L7QRahUHL</v>
      </c>
      <c r="AX296" s="76" t="b">
        <v>0</v>
      </c>
      <c r="AY296" s="76"/>
      <c r="AZ296" s="76"/>
      <c r="BA296" s="76" t="b">
        <v>1</v>
      </c>
      <c r="BB296" s="76" t="b">
        <v>1</v>
      </c>
      <c r="BC296" s="76" t="b">
        <v>0</v>
      </c>
      <c r="BD296" s="76" t="b">
        <v>0</v>
      </c>
      <c r="BE296" s="76" t="b">
        <v>1</v>
      </c>
      <c r="BF296" s="76" t="b">
        <v>0</v>
      </c>
      <c r="BG296" s="76" t="b">
        <v>0</v>
      </c>
      <c r="BH296" s="76"/>
      <c r="BI296" s="76"/>
      <c r="BJ296" s="76" t="s">
        <v>24935</v>
      </c>
      <c r="BK296" s="76" t="b">
        <v>0</v>
      </c>
      <c r="BL296" s="76"/>
      <c r="BM296" s="76" t="s">
        <v>66</v>
      </c>
      <c r="BN296" s="76" t="s">
        <v>24937</v>
      </c>
      <c r="BO296" s="83" t="str">
        <f>HYPERLINK("https://twitter.com/iludidokkkkk")</f>
        <v>https://twitter.com/iludidokkkkk</v>
      </c>
      <c r="BP296" s="2"/>
    </row>
    <row r="297" spans="1:68" x14ac:dyDescent="0.25">
      <c r="A297" s="62" t="s">
        <v>507</v>
      </c>
      <c r="B297" s="63"/>
      <c r="C297" s="63"/>
      <c r="D297" s="64"/>
      <c r="E297" s="66"/>
      <c r="F297" s="102" t="str">
        <f>HYPERLINK("https://pbs.twimg.com/profile_images/1645985550094983168/VPl7FQFM_normal.jpg")</f>
        <v>https://pbs.twimg.com/profile_images/1645985550094983168/VPl7FQFM_normal.jpg</v>
      </c>
      <c r="G297" s="63"/>
      <c r="H297" s="67"/>
      <c r="I297" s="68"/>
      <c r="J297" s="68"/>
      <c r="K297" s="67" t="s">
        <v>25231</v>
      </c>
      <c r="L297" s="71"/>
      <c r="M297" s="72"/>
      <c r="N297" s="72"/>
      <c r="O297" s="73"/>
      <c r="P297" s="74"/>
      <c r="Q297" s="74"/>
      <c r="R297" s="86"/>
      <c r="S297" s="86"/>
      <c r="T297" s="86"/>
      <c r="U297" s="86"/>
      <c r="V297" s="48"/>
      <c r="W297" s="48"/>
      <c r="X297" s="48"/>
      <c r="Y297" s="48"/>
      <c r="Z297" s="47"/>
      <c r="AA297" s="69">
        <v>297</v>
      </c>
      <c r="AB297" s="69"/>
      <c r="AC297" s="70"/>
      <c r="AD297" s="76" t="s">
        <v>22104</v>
      </c>
      <c r="AE297" s="81" t="s">
        <v>21220</v>
      </c>
      <c r="AF297" s="76">
        <v>0</v>
      </c>
      <c r="AG297" s="76">
        <v>1</v>
      </c>
      <c r="AH297" s="76">
        <v>5</v>
      </c>
      <c r="AI297" s="76">
        <v>0</v>
      </c>
      <c r="AJ297" s="76">
        <v>6</v>
      </c>
      <c r="AK297" s="76">
        <v>2</v>
      </c>
      <c r="AL297" s="76" t="b">
        <v>0</v>
      </c>
      <c r="AM297" s="78">
        <v>45028.117638888885</v>
      </c>
      <c r="AN297" s="76"/>
      <c r="AO297" s="76" t="s">
        <v>23599</v>
      </c>
      <c r="AP297" s="83" t="str">
        <f>HYPERLINK("https://t.co/Du99QvTrRC")</f>
        <v>https://t.co/Du99QvTrRC</v>
      </c>
      <c r="AQ297" s="83" t="str">
        <f>HYPERLINK("https://www.luwin.com/?agentid=25835851")</f>
        <v>https://www.luwin.com/?agentid=25835851</v>
      </c>
      <c r="AR297" s="76" t="s">
        <v>24414</v>
      </c>
      <c r="AS297" s="76"/>
      <c r="AT297" s="76"/>
      <c r="AU297" s="76"/>
      <c r="AV297" s="76">
        <v>1.6459838269701299E+18</v>
      </c>
      <c r="AW297" s="83" t="str">
        <f>HYPERLINK("https://t.co/Du99QvTrRC")</f>
        <v>https://t.co/Du99QvTrRC</v>
      </c>
      <c r="AX297" s="76" t="b">
        <v>0</v>
      </c>
      <c r="AY297" s="76"/>
      <c r="AZ297" s="76"/>
      <c r="BA297" s="76" t="b">
        <v>0</v>
      </c>
      <c r="BB297" s="76" t="b">
        <v>1</v>
      </c>
      <c r="BC297" s="76" t="b">
        <v>1</v>
      </c>
      <c r="BD297" s="76" t="b">
        <v>0</v>
      </c>
      <c r="BE297" s="76" t="b">
        <v>0</v>
      </c>
      <c r="BF297" s="76" t="b">
        <v>0</v>
      </c>
      <c r="BG297" s="76" t="b">
        <v>0</v>
      </c>
      <c r="BH297" s="83" t="str">
        <f>HYPERLINK("https://pbs.twimg.com/profile_banners/1645982249702113280/1681268510")</f>
        <v>https://pbs.twimg.com/profile_banners/1645982249702113280/1681268510</v>
      </c>
      <c r="BI297" s="76"/>
      <c r="BJ297" s="76" t="s">
        <v>24935</v>
      </c>
      <c r="BK297" s="76" t="b">
        <v>0</v>
      </c>
      <c r="BL297" s="76"/>
      <c r="BM297" s="76" t="s">
        <v>66</v>
      </c>
      <c r="BN297" s="76" t="s">
        <v>24937</v>
      </c>
      <c r="BO297" s="83" t="str">
        <f>HYPERLINK("https://twitter.com/degmellos")</f>
        <v>https://twitter.com/degmellos</v>
      </c>
      <c r="BP297" s="2"/>
    </row>
    <row r="298" spans="1:68" x14ac:dyDescent="0.25">
      <c r="A298" s="62" t="s">
        <v>508</v>
      </c>
      <c r="B298" s="63"/>
      <c r="C298" s="63"/>
      <c r="D298" s="64"/>
      <c r="E298" s="66"/>
      <c r="F298" s="102" t="str">
        <f>HYPERLINK("https://pbs.twimg.com/profile_images/1631355246/of_normal.jpg")</f>
        <v>https://pbs.twimg.com/profile_images/1631355246/of_normal.jpg</v>
      </c>
      <c r="G298" s="63"/>
      <c r="H298" s="67"/>
      <c r="I298" s="68"/>
      <c r="J298" s="68"/>
      <c r="K298" s="67" t="s">
        <v>25232</v>
      </c>
      <c r="L298" s="71"/>
      <c r="M298" s="72"/>
      <c r="N298" s="72"/>
      <c r="O298" s="73"/>
      <c r="P298" s="74"/>
      <c r="Q298" s="74"/>
      <c r="R298" s="86"/>
      <c r="S298" s="86"/>
      <c r="T298" s="86"/>
      <c r="U298" s="86"/>
      <c r="V298" s="48"/>
      <c r="W298" s="48"/>
      <c r="X298" s="48"/>
      <c r="Y298" s="48"/>
      <c r="Z298" s="47"/>
      <c r="AA298" s="69">
        <v>298</v>
      </c>
      <c r="AB298" s="69"/>
      <c r="AC298" s="70"/>
      <c r="AD298" s="76" t="s">
        <v>22105</v>
      </c>
      <c r="AE298" s="81" t="s">
        <v>22918</v>
      </c>
      <c r="AF298" s="76">
        <v>2882</v>
      </c>
      <c r="AG298" s="76">
        <v>3369</v>
      </c>
      <c r="AH298" s="76">
        <v>107013</v>
      </c>
      <c r="AI298" s="76">
        <v>99</v>
      </c>
      <c r="AJ298" s="76">
        <v>284</v>
      </c>
      <c r="AK298" s="76">
        <v>4728</v>
      </c>
      <c r="AL298" s="76" t="b">
        <v>0</v>
      </c>
      <c r="AM298" s="78">
        <v>40087.571192129632</v>
      </c>
      <c r="AN298" s="76" t="s">
        <v>14033</v>
      </c>
      <c r="AO298" s="76" t="s">
        <v>23600</v>
      </c>
      <c r="AP298" s="83" t="str">
        <f>HYPERLINK("https://t.co/TgoQVDBgOH")</f>
        <v>https://t.co/TgoQVDBgOH</v>
      </c>
      <c r="AQ298" s="83" t="str">
        <f>HYPERLINK("https://www.brabet.com/?agentid=78039598")</f>
        <v>https://www.brabet.com/?agentid=78039598</v>
      </c>
      <c r="AR298" s="76" t="s">
        <v>24415</v>
      </c>
      <c r="AS298" s="76"/>
      <c r="AT298" s="76"/>
      <c r="AU298" s="76"/>
      <c r="AV298" s="76"/>
      <c r="AW298" s="83" t="str">
        <f>HYPERLINK("https://t.co/TgoQVDBgOH")</f>
        <v>https://t.co/TgoQVDBgOH</v>
      </c>
      <c r="AX298" s="76" t="b">
        <v>0</v>
      </c>
      <c r="AY298" s="76"/>
      <c r="AZ298" s="76"/>
      <c r="BA298" s="76" t="b">
        <v>1</v>
      </c>
      <c r="BB298" s="76" t="b">
        <v>1</v>
      </c>
      <c r="BC298" s="76" t="b">
        <v>0</v>
      </c>
      <c r="BD298" s="76" t="b">
        <v>0</v>
      </c>
      <c r="BE298" s="76" t="b">
        <v>0</v>
      </c>
      <c r="BF298" s="76" t="b">
        <v>0</v>
      </c>
      <c r="BG298" s="76" t="b">
        <v>0</v>
      </c>
      <c r="BH298" s="76"/>
      <c r="BI298" s="76"/>
      <c r="BJ298" s="76" t="s">
        <v>24935</v>
      </c>
      <c r="BK298" s="76" t="b">
        <v>0</v>
      </c>
      <c r="BL298" s="76"/>
      <c r="BM298" s="76" t="s">
        <v>66</v>
      </c>
      <c r="BN298" s="76" t="s">
        <v>24937</v>
      </c>
      <c r="BO298" s="83" t="str">
        <f>HYPERLINK("https://twitter.com/rloretti")</f>
        <v>https://twitter.com/rloretti</v>
      </c>
      <c r="BP298" s="2"/>
    </row>
    <row r="299" spans="1:68" x14ac:dyDescent="0.25">
      <c r="A299" s="62" t="s">
        <v>509</v>
      </c>
      <c r="B299" s="63"/>
      <c r="C299" s="63"/>
      <c r="D299" s="64"/>
      <c r="E299" s="66"/>
      <c r="F299" s="102" t="str">
        <f>HYPERLINK("https://abs.twimg.com/sticky/default_profile_images/default_profile_normal.png")</f>
        <v>https://abs.twimg.com/sticky/default_profile_images/default_profile_normal.png</v>
      </c>
      <c r="G299" s="63"/>
      <c r="H299" s="67"/>
      <c r="I299" s="68"/>
      <c r="J299" s="68"/>
      <c r="K299" s="67" t="s">
        <v>25233</v>
      </c>
      <c r="L299" s="71"/>
      <c r="M299" s="72"/>
      <c r="N299" s="72"/>
      <c r="O299" s="73"/>
      <c r="P299" s="74"/>
      <c r="Q299" s="74"/>
      <c r="R299" s="86"/>
      <c r="S299" s="86"/>
      <c r="T299" s="86"/>
      <c r="U299" s="86"/>
      <c r="V299" s="48"/>
      <c r="W299" s="48"/>
      <c r="X299" s="48"/>
      <c r="Y299" s="48"/>
      <c r="Z299" s="47"/>
      <c r="AA299" s="69">
        <v>299</v>
      </c>
      <c r="AB299" s="69"/>
      <c r="AC299" s="70"/>
      <c r="AD299" s="76" t="s">
        <v>22106</v>
      </c>
      <c r="AE299" s="81" t="s">
        <v>21221</v>
      </c>
      <c r="AF299" s="76">
        <v>0</v>
      </c>
      <c r="AG299" s="76">
        <v>4</v>
      </c>
      <c r="AH299" s="76">
        <v>2</v>
      </c>
      <c r="AI299" s="76">
        <v>0</v>
      </c>
      <c r="AJ299" s="76">
        <v>0</v>
      </c>
      <c r="AK299" s="76">
        <v>2</v>
      </c>
      <c r="AL299" s="76" t="b">
        <v>0</v>
      </c>
      <c r="AM299" s="78">
        <v>45000.552314814813</v>
      </c>
      <c r="AN299" s="76"/>
      <c r="AO299" s="76"/>
      <c r="AP299" s="76"/>
      <c r="AQ299" s="76"/>
      <c r="AR299" s="76"/>
      <c r="AS299" s="76"/>
      <c r="AT299" s="76"/>
      <c r="AU299" s="76"/>
      <c r="AV299" s="76"/>
      <c r="AW299" s="76"/>
      <c r="AX299" s="76" t="b">
        <v>0</v>
      </c>
      <c r="AY299" s="76"/>
      <c r="AZ299" s="76"/>
      <c r="BA299" s="76" t="b">
        <v>0</v>
      </c>
      <c r="BB299" s="76" t="b">
        <v>1</v>
      </c>
      <c r="BC299" s="76" t="b">
        <v>1</v>
      </c>
      <c r="BD299" s="76" t="b">
        <v>1</v>
      </c>
      <c r="BE299" s="76" t="b">
        <v>0</v>
      </c>
      <c r="BF299" s="76" t="b">
        <v>0</v>
      </c>
      <c r="BG299" s="76" t="b">
        <v>0</v>
      </c>
      <c r="BH299" s="76"/>
      <c r="BI299" s="76"/>
      <c r="BJ299" s="76" t="s">
        <v>24935</v>
      </c>
      <c r="BK299" s="76" t="b">
        <v>0</v>
      </c>
      <c r="BL299" s="76"/>
      <c r="BM299" s="76" t="s">
        <v>66</v>
      </c>
      <c r="BN299" s="76" t="s">
        <v>24937</v>
      </c>
      <c r="BO299" s="83" t="str">
        <f>HYPERLINK("https://twitter.com/kleber_bsbdf")</f>
        <v>https://twitter.com/kleber_bsbdf</v>
      </c>
      <c r="BP299" s="2"/>
    </row>
    <row r="300" spans="1:68" x14ac:dyDescent="0.25">
      <c r="A300" s="62" t="s">
        <v>510</v>
      </c>
      <c r="B300" s="63"/>
      <c r="C300" s="63"/>
      <c r="D300" s="64"/>
      <c r="E300" s="66"/>
      <c r="F300" s="102" t="str">
        <f>HYPERLINK("https://pbs.twimg.com/profile_images/1650815905377533955/W4wcRtf-_normal.jpg")</f>
        <v>https://pbs.twimg.com/profile_images/1650815905377533955/W4wcRtf-_normal.jpg</v>
      </c>
      <c r="G300" s="63"/>
      <c r="H300" s="67"/>
      <c r="I300" s="68"/>
      <c r="J300" s="68"/>
      <c r="K300" s="67" t="s">
        <v>25234</v>
      </c>
      <c r="L300" s="71"/>
      <c r="M300" s="72"/>
      <c r="N300" s="72"/>
      <c r="O300" s="73"/>
      <c r="P300" s="74"/>
      <c r="Q300" s="74"/>
      <c r="R300" s="86"/>
      <c r="S300" s="86"/>
      <c r="T300" s="86"/>
      <c r="U300" s="86"/>
      <c r="V300" s="48"/>
      <c r="W300" s="48"/>
      <c r="X300" s="48"/>
      <c r="Y300" s="48"/>
      <c r="Z300" s="47"/>
      <c r="AA300" s="69">
        <v>300</v>
      </c>
      <c r="AB300" s="69"/>
      <c r="AC300" s="70"/>
      <c r="AD300" s="76" t="s">
        <v>22107</v>
      </c>
      <c r="AE300" s="81" t="s">
        <v>21222</v>
      </c>
      <c r="AF300" s="76">
        <v>3</v>
      </c>
      <c r="AG300" s="76">
        <v>6</v>
      </c>
      <c r="AH300" s="76">
        <v>3</v>
      </c>
      <c r="AI300" s="76">
        <v>0</v>
      </c>
      <c r="AJ300" s="76">
        <v>2</v>
      </c>
      <c r="AK300" s="76">
        <v>1</v>
      </c>
      <c r="AL300" s="76" t="b">
        <v>0</v>
      </c>
      <c r="AM300" s="78">
        <v>44819.664317129631</v>
      </c>
      <c r="AN300" s="76"/>
      <c r="AO300" s="76"/>
      <c r="AP300" s="76"/>
      <c r="AQ300" s="76"/>
      <c r="AR300" s="76"/>
      <c r="AS300" s="76"/>
      <c r="AT300" s="76"/>
      <c r="AU300" s="76"/>
      <c r="AV300" s="76"/>
      <c r="AW300" s="76"/>
      <c r="AX300" s="76" t="b">
        <v>0</v>
      </c>
      <c r="AY300" s="76"/>
      <c r="AZ300" s="76"/>
      <c r="BA300" s="76" t="b">
        <v>0</v>
      </c>
      <c r="BB300" s="76" t="b">
        <v>1</v>
      </c>
      <c r="BC300" s="76" t="b">
        <v>1</v>
      </c>
      <c r="BD300" s="76" t="b">
        <v>0</v>
      </c>
      <c r="BE300" s="76" t="b">
        <v>1</v>
      </c>
      <c r="BF300" s="76" t="b">
        <v>0</v>
      </c>
      <c r="BG300" s="76" t="b">
        <v>0</v>
      </c>
      <c r="BH300" s="76"/>
      <c r="BI300" s="76"/>
      <c r="BJ300" s="76" t="s">
        <v>24935</v>
      </c>
      <c r="BK300" s="76" t="b">
        <v>0</v>
      </c>
      <c r="BL300" s="76"/>
      <c r="BM300" s="76" t="s">
        <v>66</v>
      </c>
      <c r="BN300" s="76" t="s">
        <v>24937</v>
      </c>
      <c r="BO300" s="83" t="str">
        <f>HYPERLINK("https://twitter.com/juliana72640554")</f>
        <v>https://twitter.com/juliana72640554</v>
      </c>
      <c r="BP300" s="2"/>
    </row>
    <row r="301" spans="1:68" x14ac:dyDescent="0.25">
      <c r="A301" s="62" t="s">
        <v>511</v>
      </c>
      <c r="B301" s="63"/>
      <c r="C301" s="63"/>
      <c r="D301" s="64"/>
      <c r="E301" s="66"/>
      <c r="F301" s="102" t="str">
        <f>HYPERLINK("https://pbs.twimg.com/profile_images/1686797197734510592/z7W8hsqh_normal.jpg")</f>
        <v>https://pbs.twimg.com/profile_images/1686797197734510592/z7W8hsqh_normal.jpg</v>
      </c>
      <c r="G301" s="63"/>
      <c r="H301" s="67"/>
      <c r="I301" s="68"/>
      <c r="J301" s="68"/>
      <c r="K301" s="67" t="s">
        <v>25235</v>
      </c>
      <c r="L301" s="71"/>
      <c r="M301" s="72"/>
      <c r="N301" s="72"/>
      <c r="O301" s="73"/>
      <c r="P301" s="74"/>
      <c r="Q301" s="74"/>
      <c r="R301" s="86"/>
      <c r="S301" s="86"/>
      <c r="T301" s="86"/>
      <c r="U301" s="86"/>
      <c r="V301" s="48"/>
      <c r="W301" s="48"/>
      <c r="X301" s="48"/>
      <c r="Y301" s="48"/>
      <c r="Z301" s="47"/>
      <c r="AA301" s="69">
        <v>301</v>
      </c>
      <c r="AB301" s="69"/>
      <c r="AC301" s="70"/>
      <c r="AD301" s="76" t="s">
        <v>22108</v>
      </c>
      <c r="AE301" s="81" t="s">
        <v>22919</v>
      </c>
      <c r="AF301" s="76">
        <v>6</v>
      </c>
      <c r="AG301" s="76">
        <v>0</v>
      </c>
      <c r="AH301" s="76">
        <v>28</v>
      </c>
      <c r="AI301" s="76">
        <v>0</v>
      </c>
      <c r="AJ301" s="76">
        <v>0</v>
      </c>
      <c r="AK301" s="76">
        <v>11</v>
      </c>
      <c r="AL301" s="76" t="b">
        <v>0</v>
      </c>
      <c r="AM301" s="78">
        <v>40504.628101851849</v>
      </c>
      <c r="AN301" s="76" t="s">
        <v>23160</v>
      </c>
      <c r="AO301" s="76" t="s">
        <v>23601</v>
      </c>
      <c r="AP301" s="83" t="str">
        <f>HYPERLINK("https://t.co/bUTXBEA9Oj")</f>
        <v>https://t.co/bUTXBEA9Oj</v>
      </c>
      <c r="AQ301" s="83" t="str">
        <f>HYPERLINK("https://youtube.com/@EuropamosMelo")</f>
        <v>https://youtube.com/@EuropamosMelo</v>
      </c>
      <c r="AR301" s="76" t="s">
        <v>24416</v>
      </c>
      <c r="AS301" s="76"/>
      <c r="AT301" s="76"/>
      <c r="AU301" s="76"/>
      <c r="AV301" s="76">
        <v>1.6987960288775401E+18</v>
      </c>
      <c r="AW301" s="83" t="str">
        <f>HYPERLINK("https://t.co/bUTXBEA9Oj")</f>
        <v>https://t.co/bUTXBEA9Oj</v>
      </c>
      <c r="AX301" s="76" t="b">
        <v>0</v>
      </c>
      <c r="AY301" s="76"/>
      <c r="AZ301" s="76"/>
      <c r="BA301" s="76" t="b">
        <v>0</v>
      </c>
      <c r="BB301" s="76" t="b">
        <v>1</v>
      </c>
      <c r="BC301" s="76" t="b">
        <v>1</v>
      </c>
      <c r="BD301" s="76" t="b">
        <v>0</v>
      </c>
      <c r="BE301" s="76" t="b">
        <v>1</v>
      </c>
      <c r="BF301" s="76" t="b">
        <v>0</v>
      </c>
      <c r="BG301" s="76" t="b">
        <v>0</v>
      </c>
      <c r="BH301" s="83" t="str">
        <f>HYPERLINK("https://pbs.twimg.com/profile_banners/218511743/1690998837")</f>
        <v>https://pbs.twimg.com/profile_banners/218511743/1690998837</v>
      </c>
      <c r="BI301" s="76"/>
      <c r="BJ301" s="76" t="s">
        <v>24935</v>
      </c>
      <c r="BK301" s="76" t="b">
        <v>0</v>
      </c>
      <c r="BL301" s="76"/>
      <c r="BM301" s="76" t="s">
        <v>66</v>
      </c>
      <c r="BN301" s="76" t="s">
        <v>24937</v>
      </c>
      <c r="BO301" s="83" t="str">
        <f>HYPERLINK("https://twitter.com/eushaman")</f>
        <v>https://twitter.com/eushaman</v>
      </c>
      <c r="BP301" s="2"/>
    </row>
    <row r="302" spans="1:68" x14ac:dyDescent="0.25">
      <c r="A302" s="62" t="s">
        <v>512</v>
      </c>
      <c r="B302" s="63"/>
      <c r="C302" s="63"/>
      <c r="D302" s="64"/>
      <c r="E302" s="66"/>
      <c r="F302" s="102" t="str">
        <f>HYPERLINK("https://pbs.twimg.com/profile_images/1667894643030122496/jqDzWubo_normal.jpg")</f>
        <v>https://pbs.twimg.com/profile_images/1667894643030122496/jqDzWubo_normal.jpg</v>
      </c>
      <c r="G302" s="63"/>
      <c r="H302" s="67"/>
      <c r="I302" s="68"/>
      <c r="J302" s="68"/>
      <c r="K302" s="67" t="s">
        <v>25236</v>
      </c>
      <c r="L302" s="71"/>
      <c r="M302" s="72"/>
      <c r="N302" s="72"/>
      <c r="O302" s="73"/>
      <c r="P302" s="74"/>
      <c r="Q302" s="74"/>
      <c r="R302" s="86"/>
      <c r="S302" s="86"/>
      <c r="T302" s="86"/>
      <c r="U302" s="86"/>
      <c r="V302" s="48"/>
      <c r="W302" s="48"/>
      <c r="X302" s="48"/>
      <c r="Y302" s="48"/>
      <c r="Z302" s="47"/>
      <c r="AA302" s="69">
        <v>302</v>
      </c>
      <c r="AB302" s="69"/>
      <c r="AC302" s="70"/>
      <c r="AD302" s="76" t="s">
        <v>22109</v>
      </c>
      <c r="AE302" s="81" t="s">
        <v>21223</v>
      </c>
      <c r="AF302" s="76">
        <v>3</v>
      </c>
      <c r="AG302" s="76">
        <v>3</v>
      </c>
      <c r="AH302" s="76">
        <v>3</v>
      </c>
      <c r="AI302" s="76">
        <v>0</v>
      </c>
      <c r="AJ302" s="76">
        <v>6</v>
      </c>
      <c r="AK302" s="76">
        <v>2</v>
      </c>
      <c r="AL302" s="76" t="b">
        <v>0</v>
      </c>
      <c r="AM302" s="78">
        <v>44870.683564814812</v>
      </c>
      <c r="AN302" s="76"/>
      <c r="AO302" s="76" t="s">
        <v>23602</v>
      </c>
      <c r="AP302" s="76"/>
      <c r="AQ302" s="76"/>
      <c r="AR302" s="76"/>
      <c r="AS302" s="76"/>
      <c r="AT302" s="76"/>
      <c r="AU302" s="76"/>
      <c r="AV302" s="76">
        <v>1.6693407993672599E+18</v>
      </c>
      <c r="AW302" s="76"/>
      <c r="AX302" s="76" t="b">
        <v>0</v>
      </c>
      <c r="AY302" s="76"/>
      <c r="AZ302" s="76"/>
      <c r="BA302" s="76" t="b">
        <v>1</v>
      </c>
      <c r="BB302" s="76" t="b">
        <v>1</v>
      </c>
      <c r="BC302" s="76" t="b">
        <v>1</v>
      </c>
      <c r="BD302" s="76" t="b">
        <v>0</v>
      </c>
      <c r="BE302" s="76" t="b">
        <v>0</v>
      </c>
      <c r="BF302" s="76" t="b">
        <v>0</v>
      </c>
      <c r="BG302" s="76" t="b">
        <v>0</v>
      </c>
      <c r="BH302" s="83" t="str">
        <f>HYPERLINK("https://pbs.twimg.com/profile_banners/1588930193929945090/1686492045")</f>
        <v>https://pbs.twimg.com/profile_banners/1588930193929945090/1686492045</v>
      </c>
      <c r="BI302" s="76"/>
      <c r="BJ302" s="76" t="s">
        <v>24935</v>
      </c>
      <c r="BK302" s="76" t="b">
        <v>0</v>
      </c>
      <c r="BL302" s="76"/>
      <c r="BM302" s="76" t="s">
        <v>66</v>
      </c>
      <c r="BN302" s="76" t="s">
        <v>24937</v>
      </c>
      <c r="BO302" s="83" t="str">
        <f>HYPERLINK("https://twitter.com/nahildasuprema")</f>
        <v>https://twitter.com/nahildasuprema</v>
      </c>
      <c r="BP302" s="2"/>
    </row>
    <row r="303" spans="1:68" x14ac:dyDescent="0.25">
      <c r="A303" s="62" t="s">
        <v>513</v>
      </c>
      <c r="B303" s="63"/>
      <c r="C303" s="63"/>
      <c r="D303" s="64"/>
      <c r="E303" s="66"/>
      <c r="F303" s="102" t="str">
        <f>HYPERLINK("https://pbs.twimg.com/profile_images/1678908792564482050/oeeWzVHk_normal.jpg")</f>
        <v>https://pbs.twimg.com/profile_images/1678908792564482050/oeeWzVHk_normal.jpg</v>
      </c>
      <c r="G303" s="63"/>
      <c r="H303" s="67"/>
      <c r="I303" s="68"/>
      <c r="J303" s="68"/>
      <c r="K303" s="67" t="s">
        <v>25237</v>
      </c>
      <c r="L303" s="71"/>
      <c r="M303" s="72"/>
      <c r="N303" s="72"/>
      <c r="O303" s="73"/>
      <c r="P303" s="74"/>
      <c r="Q303" s="74"/>
      <c r="R303" s="86"/>
      <c r="S303" s="86"/>
      <c r="T303" s="86"/>
      <c r="U303" s="86"/>
      <c r="V303" s="48"/>
      <c r="W303" s="48"/>
      <c r="X303" s="48"/>
      <c r="Y303" s="48"/>
      <c r="Z303" s="47"/>
      <c r="AA303" s="69">
        <v>303</v>
      </c>
      <c r="AB303" s="69"/>
      <c r="AC303" s="70"/>
      <c r="AD303" s="76" t="s">
        <v>22110</v>
      </c>
      <c r="AE303" s="81" t="s">
        <v>21224</v>
      </c>
      <c r="AF303" s="76">
        <v>4</v>
      </c>
      <c r="AG303" s="76">
        <v>8</v>
      </c>
      <c r="AH303" s="76">
        <v>267</v>
      </c>
      <c r="AI303" s="76">
        <v>0</v>
      </c>
      <c r="AJ303" s="76">
        <v>281</v>
      </c>
      <c r="AK303" s="76">
        <v>190</v>
      </c>
      <c r="AL303" s="76" t="b">
        <v>0</v>
      </c>
      <c r="AM303" s="78">
        <v>45009.553726851853</v>
      </c>
      <c r="AN303" s="76"/>
      <c r="AO303" s="76" t="s">
        <v>23603</v>
      </c>
      <c r="AP303" s="76"/>
      <c r="AQ303" s="76"/>
      <c r="AR303" s="76"/>
      <c r="AS303" s="76"/>
      <c r="AT303" s="76"/>
      <c r="AU303" s="76"/>
      <c r="AV303" s="76"/>
      <c r="AW303" s="76"/>
      <c r="AX303" s="76" t="b">
        <v>0</v>
      </c>
      <c r="AY303" s="76"/>
      <c r="AZ303" s="76"/>
      <c r="BA303" s="76" t="b">
        <v>0</v>
      </c>
      <c r="BB303" s="76" t="b">
        <v>1</v>
      </c>
      <c r="BC303" s="76" t="b">
        <v>1</v>
      </c>
      <c r="BD303" s="76" t="b">
        <v>0</v>
      </c>
      <c r="BE303" s="76" t="b">
        <v>0</v>
      </c>
      <c r="BF303" s="76" t="b">
        <v>0</v>
      </c>
      <c r="BG303" s="76" t="b">
        <v>0</v>
      </c>
      <c r="BH303" s="83" t="str">
        <f>HYPERLINK("https://pbs.twimg.com/profile_banners/1639255040081936388/1681833963")</f>
        <v>https://pbs.twimg.com/profile_banners/1639255040081936388/1681833963</v>
      </c>
      <c r="BI303" s="76"/>
      <c r="BJ303" s="76" t="s">
        <v>24935</v>
      </c>
      <c r="BK303" s="76" t="b">
        <v>0</v>
      </c>
      <c r="BL303" s="76"/>
      <c r="BM303" s="76" t="s">
        <v>66</v>
      </c>
      <c r="BN303" s="76" t="s">
        <v>24937</v>
      </c>
      <c r="BO303" s="83" t="str">
        <f>HYPERLINK("https://twitter.com/juliana17293036")</f>
        <v>https://twitter.com/juliana17293036</v>
      </c>
      <c r="BP303" s="2"/>
    </row>
    <row r="304" spans="1:68" x14ac:dyDescent="0.25">
      <c r="A304" s="62" t="s">
        <v>514</v>
      </c>
      <c r="B304" s="63"/>
      <c r="C304" s="63"/>
      <c r="D304" s="64"/>
      <c r="E304" s="66"/>
      <c r="F304" s="102" t="str">
        <f>HYPERLINK("https://pbs.twimg.com/profile_images/1674837685888856064/xdw55jIY_normal.jpg")</f>
        <v>https://pbs.twimg.com/profile_images/1674837685888856064/xdw55jIY_normal.jpg</v>
      </c>
      <c r="G304" s="63"/>
      <c r="H304" s="67"/>
      <c r="I304" s="68"/>
      <c r="J304" s="68"/>
      <c r="K304" s="67" t="s">
        <v>25238</v>
      </c>
      <c r="L304" s="71"/>
      <c r="M304" s="72"/>
      <c r="N304" s="72"/>
      <c r="O304" s="73"/>
      <c r="P304" s="74"/>
      <c r="Q304" s="74"/>
      <c r="R304" s="86"/>
      <c r="S304" s="86"/>
      <c r="T304" s="86"/>
      <c r="U304" s="86"/>
      <c r="V304" s="48"/>
      <c r="W304" s="48"/>
      <c r="X304" s="48"/>
      <c r="Y304" s="48"/>
      <c r="Z304" s="47"/>
      <c r="AA304" s="69">
        <v>304</v>
      </c>
      <c r="AB304" s="69"/>
      <c r="AC304" s="70"/>
      <c r="AD304" s="76" t="s">
        <v>22111</v>
      </c>
      <c r="AE304" s="81" t="s">
        <v>21225</v>
      </c>
      <c r="AF304" s="76">
        <v>1</v>
      </c>
      <c r="AG304" s="76">
        <v>1</v>
      </c>
      <c r="AH304" s="76">
        <v>55</v>
      </c>
      <c r="AI304" s="76">
        <v>0</v>
      </c>
      <c r="AJ304" s="76">
        <v>6</v>
      </c>
      <c r="AK304" s="76">
        <v>42</v>
      </c>
      <c r="AL304" s="76" t="b">
        <v>0</v>
      </c>
      <c r="AM304" s="78">
        <v>45105.746770833335</v>
      </c>
      <c r="AN304" s="76" t="s">
        <v>14033</v>
      </c>
      <c r="AO304" s="76" t="s">
        <v>23604</v>
      </c>
      <c r="AP304" s="76"/>
      <c r="AQ304" s="76"/>
      <c r="AR304" s="76"/>
      <c r="AS304" s="76"/>
      <c r="AT304" s="76"/>
      <c r="AU304" s="76"/>
      <c r="AV304" s="76"/>
      <c r="AW304" s="76"/>
      <c r="AX304" s="76" t="b">
        <v>0</v>
      </c>
      <c r="AY304" s="76"/>
      <c r="AZ304" s="76"/>
      <c r="BA304" s="76" t="b">
        <v>0</v>
      </c>
      <c r="BB304" s="76" t="b">
        <v>1</v>
      </c>
      <c r="BC304" s="76" t="b">
        <v>1</v>
      </c>
      <c r="BD304" s="76" t="b">
        <v>0</v>
      </c>
      <c r="BE304" s="76" t="b">
        <v>0</v>
      </c>
      <c r="BF304" s="76" t="b">
        <v>0</v>
      </c>
      <c r="BG304" s="76" t="b">
        <v>0</v>
      </c>
      <c r="BH304" s="83" t="str">
        <f>HYPERLINK("https://pbs.twimg.com/profile_banners/1674114090111754264/1688147443")</f>
        <v>https://pbs.twimg.com/profile_banners/1674114090111754264/1688147443</v>
      </c>
      <c r="BI304" s="76"/>
      <c r="BJ304" s="76" t="s">
        <v>24935</v>
      </c>
      <c r="BK304" s="76" t="b">
        <v>0</v>
      </c>
      <c r="BL304" s="76"/>
      <c r="BM304" s="76" t="s">
        <v>66</v>
      </c>
      <c r="BN304" s="76" t="s">
        <v>24937</v>
      </c>
      <c r="BO304" s="83" t="str">
        <f>HYPERLINK("https://twitter.com/buzzbytebr")</f>
        <v>https://twitter.com/buzzbytebr</v>
      </c>
      <c r="BP304" s="2"/>
    </row>
    <row r="305" spans="1:68" x14ac:dyDescent="0.25">
      <c r="A305" s="62" t="s">
        <v>515</v>
      </c>
      <c r="B305" s="63"/>
      <c r="C305" s="63"/>
      <c r="D305" s="64"/>
      <c r="E305" s="66"/>
      <c r="F305" s="102" t="str">
        <f>HYPERLINK("https://pbs.twimg.com/profile_images/1703785083067363328/mc3CNK8J_normal.jpg")</f>
        <v>https://pbs.twimg.com/profile_images/1703785083067363328/mc3CNK8J_normal.jpg</v>
      </c>
      <c r="G305" s="63"/>
      <c r="H305" s="67"/>
      <c r="I305" s="68"/>
      <c r="J305" s="68"/>
      <c r="K305" s="67" t="s">
        <v>25239</v>
      </c>
      <c r="L305" s="71"/>
      <c r="M305" s="72"/>
      <c r="N305" s="72"/>
      <c r="O305" s="73"/>
      <c r="P305" s="74"/>
      <c r="Q305" s="74"/>
      <c r="R305" s="86"/>
      <c r="S305" s="86"/>
      <c r="T305" s="86"/>
      <c r="U305" s="86"/>
      <c r="V305" s="48"/>
      <c r="W305" s="48"/>
      <c r="X305" s="48"/>
      <c r="Y305" s="48"/>
      <c r="Z305" s="47"/>
      <c r="AA305" s="69">
        <v>305</v>
      </c>
      <c r="AB305" s="69"/>
      <c r="AC305" s="70"/>
      <c r="AD305" s="76" t="s">
        <v>22112</v>
      </c>
      <c r="AE305" s="81" t="s">
        <v>22920</v>
      </c>
      <c r="AF305" s="76">
        <v>358</v>
      </c>
      <c r="AG305" s="76">
        <v>494</v>
      </c>
      <c r="AH305" s="76">
        <v>14883</v>
      </c>
      <c r="AI305" s="76">
        <v>1</v>
      </c>
      <c r="AJ305" s="76">
        <v>28205</v>
      </c>
      <c r="AK305" s="76">
        <v>274</v>
      </c>
      <c r="AL305" s="76" t="b">
        <v>0</v>
      </c>
      <c r="AM305" s="78">
        <v>41774.770810185182</v>
      </c>
      <c r="AN305" s="76" t="s">
        <v>23161</v>
      </c>
      <c r="AO305" s="76" t="s">
        <v>23605</v>
      </c>
      <c r="AP305" s="76"/>
      <c r="AQ305" s="76"/>
      <c r="AR305" s="76"/>
      <c r="AS305" s="76"/>
      <c r="AT305" s="76"/>
      <c r="AU305" s="76"/>
      <c r="AV305" s="76">
        <v>1.69655775846674E+18</v>
      </c>
      <c r="AW305" s="76"/>
      <c r="AX305" s="76" t="b">
        <v>0</v>
      </c>
      <c r="AY305" s="76"/>
      <c r="AZ305" s="76"/>
      <c r="BA305" s="76" t="b">
        <v>0</v>
      </c>
      <c r="BB305" s="76" t="b">
        <v>0</v>
      </c>
      <c r="BC305" s="76" t="b">
        <v>1</v>
      </c>
      <c r="BD305" s="76" t="b">
        <v>0</v>
      </c>
      <c r="BE305" s="76" t="b">
        <v>0</v>
      </c>
      <c r="BF305" s="76" t="b">
        <v>0</v>
      </c>
      <c r="BG305" s="76" t="b">
        <v>0</v>
      </c>
      <c r="BH305" s="83" t="str">
        <f>HYPERLINK("https://pbs.twimg.com/profile_banners/2549182475/1694459847")</f>
        <v>https://pbs.twimg.com/profile_banners/2549182475/1694459847</v>
      </c>
      <c r="BI305" s="76"/>
      <c r="BJ305" s="76" t="s">
        <v>24935</v>
      </c>
      <c r="BK305" s="76" t="b">
        <v>0</v>
      </c>
      <c r="BL305" s="76"/>
      <c r="BM305" s="76" t="s">
        <v>66</v>
      </c>
      <c r="BN305" s="76" t="s">
        <v>24937</v>
      </c>
      <c r="BO305" s="83" t="str">
        <f>HYPERLINK("https://twitter.com/thcfreeky")</f>
        <v>https://twitter.com/thcfreeky</v>
      </c>
      <c r="BP305" s="2"/>
    </row>
    <row r="306" spans="1:68" x14ac:dyDescent="0.25">
      <c r="A306" s="62" t="s">
        <v>1249</v>
      </c>
      <c r="B306" s="63"/>
      <c r="C306" s="63"/>
      <c r="D306" s="64"/>
      <c r="E306" s="66"/>
      <c r="F306" s="102" t="str">
        <f>HYPERLINK("https://pbs.twimg.com/profile_images/1705274052309336064/zBJuDAca_normal.jpg")</f>
        <v>https://pbs.twimg.com/profile_images/1705274052309336064/zBJuDAca_normal.jpg</v>
      </c>
      <c r="G306" s="63"/>
      <c r="H306" s="67"/>
      <c r="I306" s="68"/>
      <c r="J306" s="68"/>
      <c r="K306" s="67" t="s">
        <v>25240</v>
      </c>
      <c r="L306" s="71"/>
      <c r="M306" s="72"/>
      <c r="N306" s="72"/>
      <c r="O306" s="73"/>
      <c r="P306" s="74"/>
      <c r="Q306" s="74"/>
      <c r="R306" s="86"/>
      <c r="S306" s="86"/>
      <c r="T306" s="86"/>
      <c r="U306" s="86"/>
      <c r="V306" s="48"/>
      <c r="W306" s="48"/>
      <c r="X306" s="48"/>
      <c r="Y306" s="48"/>
      <c r="Z306" s="47"/>
      <c r="AA306" s="69">
        <v>306</v>
      </c>
      <c r="AB306" s="69"/>
      <c r="AC306" s="70"/>
      <c r="AD306" s="76" t="s">
        <v>22113</v>
      </c>
      <c r="AE306" s="81" t="s">
        <v>20919</v>
      </c>
      <c r="AF306" s="76">
        <v>349</v>
      </c>
      <c r="AG306" s="76">
        <v>387</v>
      </c>
      <c r="AH306" s="76">
        <v>61399</v>
      </c>
      <c r="AI306" s="76">
        <v>5</v>
      </c>
      <c r="AJ306" s="76">
        <v>78715</v>
      </c>
      <c r="AK306" s="76">
        <v>3957</v>
      </c>
      <c r="AL306" s="76" t="b">
        <v>0</v>
      </c>
      <c r="AM306" s="78">
        <v>41414.993287037039</v>
      </c>
      <c r="AN306" s="76" t="s">
        <v>14040</v>
      </c>
      <c r="AO306" s="76" t="s">
        <v>23606</v>
      </c>
      <c r="AP306" s="76"/>
      <c r="AQ306" s="76"/>
      <c r="AR306" s="76"/>
      <c r="AS306" s="76"/>
      <c r="AT306" s="76"/>
      <c r="AU306" s="76"/>
      <c r="AV306" s="76"/>
      <c r="AW306" s="76"/>
      <c r="AX306" s="76" t="b">
        <v>0</v>
      </c>
      <c r="AY306" s="76"/>
      <c r="AZ306" s="76"/>
      <c r="BA306" s="76" t="b">
        <v>0</v>
      </c>
      <c r="BB306" s="76" t="b">
        <v>0</v>
      </c>
      <c r="BC306" s="76" t="b">
        <v>0</v>
      </c>
      <c r="BD306" s="76" t="b">
        <v>0</v>
      </c>
      <c r="BE306" s="76" t="b">
        <v>1</v>
      </c>
      <c r="BF306" s="76" t="b">
        <v>0</v>
      </c>
      <c r="BG306" s="76" t="b">
        <v>0</v>
      </c>
      <c r="BH306" s="83" t="str">
        <f>HYPERLINK("https://pbs.twimg.com/profile_banners/1445022300/1610486259")</f>
        <v>https://pbs.twimg.com/profile_banners/1445022300/1610486259</v>
      </c>
      <c r="BI306" s="76"/>
      <c r="BJ306" s="76" t="s">
        <v>24935</v>
      </c>
      <c r="BK306" s="76" t="b">
        <v>0</v>
      </c>
      <c r="BL306" s="76"/>
      <c r="BM306" s="76" t="s">
        <v>65</v>
      </c>
      <c r="BN306" s="76" t="s">
        <v>24937</v>
      </c>
      <c r="BO306" s="83" t="str">
        <f>HYPERLINK("https://twitter.com/mvmc__")</f>
        <v>https://twitter.com/mvmc__</v>
      </c>
      <c r="BP306" s="2"/>
    </row>
    <row r="307" spans="1:68" x14ac:dyDescent="0.25">
      <c r="A307" s="62" t="s">
        <v>516</v>
      </c>
      <c r="B307" s="63"/>
      <c r="C307" s="63"/>
      <c r="D307" s="64"/>
      <c r="E307" s="66"/>
      <c r="F307" s="102" t="str">
        <f>HYPERLINK("https://pbs.twimg.com/profile_images/1706005595562577920/YGeJZeK4_normal.jpg")</f>
        <v>https://pbs.twimg.com/profile_images/1706005595562577920/YGeJZeK4_normal.jpg</v>
      </c>
      <c r="G307" s="63"/>
      <c r="H307" s="67"/>
      <c r="I307" s="68"/>
      <c r="J307" s="68"/>
      <c r="K307" s="67" t="s">
        <v>25241</v>
      </c>
      <c r="L307" s="71"/>
      <c r="M307" s="72"/>
      <c r="N307" s="72"/>
      <c r="O307" s="73"/>
      <c r="P307" s="74"/>
      <c r="Q307" s="74"/>
      <c r="R307" s="86"/>
      <c r="S307" s="86"/>
      <c r="T307" s="86"/>
      <c r="U307" s="86"/>
      <c r="V307" s="48"/>
      <c r="W307" s="48"/>
      <c r="X307" s="48"/>
      <c r="Y307" s="48"/>
      <c r="Z307" s="47"/>
      <c r="AA307" s="69">
        <v>307</v>
      </c>
      <c r="AB307" s="69"/>
      <c r="AC307" s="70"/>
      <c r="AD307" s="76" t="s">
        <v>22114</v>
      </c>
      <c r="AE307" s="81" t="s">
        <v>21226</v>
      </c>
      <c r="AF307" s="76">
        <v>2</v>
      </c>
      <c r="AG307" s="76">
        <v>72</v>
      </c>
      <c r="AH307" s="76">
        <v>3</v>
      </c>
      <c r="AI307" s="76">
        <v>0</v>
      </c>
      <c r="AJ307" s="76">
        <v>23</v>
      </c>
      <c r="AK307" s="76">
        <v>2</v>
      </c>
      <c r="AL307" s="76" t="b">
        <v>0</v>
      </c>
      <c r="AM307" s="78">
        <v>44299.207048611112</v>
      </c>
      <c r="AN307" s="76"/>
      <c r="AO307" s="76" t="s">
        <v>23607</v>
      </c>
      <c r="AP307" s="83" t="str">
        <f>HYPERLINK("https://t.co/oDSbCjObAR")</f>
        <v>https://t.co/oDSbCjObAR</v>
      </c>
      <c r="AQ307" s="83" t="str">
        <f>HYPERLINK("https://instagram.com/eempreendedor_v1sao")</f>
        <v>https://instagram.com/eempreendedor_v1sao</v>
      </c>
      <c r="AR307" s="76" t="s">
        <v>24417</v>
      </c>
      <c r="AS307" s="76"/>
      <c r="AT307" s="76"/>
      <c r="AU307" s="76"/>
      <c r="AV307" s="76">
        <v>1.53532620135454E+18</v>
      </c>
      <c r="AW307" s="83" t="str">
        <f>HYPERLINK("https://t.co/oDSbCjObAR")</f>
        <v>https://t.co/oDSbCjObAR</v>
      </c>
      <c r="AX307" s="76" t="b">
        <v>0</v>
      </c>
      <c r="AY307" s="76"/>
      <c r="AZ307" s="76"/>
      <c r="BA307" s="76" t="b">
        <v>0</v>
      </c>
      <c r="BB307" s="76" t="b">
        <v>1</v>
      </c>
      <c r="BC307" s="76" t="b">
        <v>1</v>
      </c>
      <c r="BD307" s="76" t="b">
        <v>0</v>
      </c>
      <c r="BE307" s="76" t="b">
        <v>0</v>
      </c>
      <c r="BF307" s="76" t="b">
        <v>0</v>
      </c>
      <c r="BG307" s="76" t="b">
        <v>0</v>
      </c>
      <c r="BH307" s="83" t="str">
        <f>HYPERLINK("https://pbs.twimg.com/profile_banners/1381834003364376578/1695578425")</f>
        <v>https://pbs.twimg.com/profile_banners/1381834003364376578/1695578425</v>
      </c>
      <c r="BI307" s="76"/>
      <c r="BJ307" s="76" t="s">
        <v>24935</v>
      </c>
      <c r="BK307" s="76" t="b">
        <v>0</v>
      </c>
      <c r="BL307" s="76"/>
      <c r="BM307" s="76" t="s">
        <v>66</v>
      </c>
      <c r="BN307" s="76" t="s">
        <v>24937</v>
      </c>
      <c r="BO307" s="83" t="str">
        <f>HYPERLINK("https://twitter.com/sucessostartup")</f>
        <v>https://twitter.com/sucessostartup</v>
      </c>
      <c r="BP307" s="2"/>
    </row>
    <row r="308" spans="1:68" x14ac:dyDescent="0.25">
      <c r="A308" s="62" t="s">
        <v>517</v>
      </c>
      <c r="B308" s="63"/>
      <c r="C308" s="63"/>
      <c r="D308" s="64"/>
      <c r="E308" s="66"/>
      <c r="F308" s="102" t="str">
        <f>HYPERLINK("https://pbs.twimg.com/profile_images/1697414698163916800/TIqOOE9G_normal.jpg")</f>
        <v>https://pbs.twimg.com/profile_images/1697414698163916800/TIqOOE9G_normal.jpg</v>
      </c>
      <c r="G308" s="63"/>
      <c r="H308" s="67"/>
      <c r="I308" s="68"/>
      <c r="J308" s="68"/>
      <c r="K308" s="67" t="s">
        <v>25242</v>
      </c>
      <c r="L308" s="71"/>
      <c r="M308" s="72"/>
      <c r="N308" s="72"/>
      <c r="O308" s="73"/>
      <c r="P308" s="74"/>
      <c r="Q308" s="74"/>
      <c r="R308" s="86"/>
      <c r="S308" s="86"/>
      <c r="T308" s="86"/>
      <c r="U308" s="86"/>
      <c r="V308" s="48"/>
      <c r="W308" s="48"/>
      <c r="X308" s="48"/>
      <c r="Y308" s="48"/>
      <c r="Z308" s="47"/>
      <c r="AA308" s="69">
        <v>308</v>
      </c>
      <c r="AB308" s="69"/>
      <c r="AC308" s="70"/>
      <c r="AD308" s="76" t="s">
        <v>22115</v>
      </c>
      <c r="AE308" s="81" t="s">
        <v>21227</v>
      </c>
      <c r="AF308" s="76">
        <v>1143</v>
      </c>
      <c r="AG308" s="76">
        <v>319</v>
      </c>
      <c r="AH308" s="76">
        <v>9261</v>
      </c>
      <c r="AI308" s="76">
        <v>0</v>
      </c>
      <c r="AJ308" s="76">
        <v>16892</v>
      </c>
      <c r="AK308" s="76">
        <v>45</v>
      </c>
      <c r="AL308" s="76" t="b">
        <v>0</v>
      </c>
      <c r="AM308" s="78">
        <v>43376.789282407408</v>
      </c>
      <c r="AN308" s="76" t="s">
        <v>23162</v>
      </c>
      <c r="AO308" s="76" t="s">
        <v>23608</v>
      </c>
      <c r="AP308" s="83" t="str">
        <f>HYPERLINK("https://t.co/a4iXhiXPXo")</f>
        <v>https://t.co/a4iXhiXPXo</v>
      </c>
      <c r="AQ308" s="83" t="str">
        <f>HYPERLINK("http://linktr.ee/brtvendasoficial")</f>
        <v>http://linktr.ee/brtvendasoficial</v>
      </c>
      <c r="AR308" s="76" t="s">
        <v>24418</v>
      </c>
      <c r="AS308" s="83" t="str">
        <f>HYPERLINK("https://t.co/FcRXkhuuR0")</f>
        <v>https://t.co/FcRXkhuuR0</v>
      </c>
      <c r="AT308" s="83" t="str">
        <f>HYPERLINK("http://www.instagram.com/brtvip.ofc")</f>
        <v>http://www.instagram.com/brtvip.ofc</v>
      </c>
      <c r="AU308" s="76" t="s">
        <v>24871</v>
      </c>
      <c r="AV308" s="76"/>
      <c r="AW308" s="83" t="str">
        <f>HYPERLINK("https://t.co/a4iXhiXPXo")</f>
        <v>https://t.co/a4iXhiXPXo</v>
      </c>
      <c r="AX308" s="76" t="b">
        <v>0</v>
      </c>
      <c r="AY308" s="76"/>
      <c r="AZ308" s="76"/>
      <c r="BA308" s="76" t="b">
        <v>1</v>
      </c>
      <c r="BB308" s="76" t="b">
        <v>0</v>
      </c>
      <c r="BC308" s="76" t="b">
        <v>1</v>
      </c>
      <c r="BD308" s="76" t="b">
        <v>0</v>
      </c>
      <c r="BE308" s="76" t="b">
        <v>1</v>
      </c>
      <c r="BF308" s="76" t="b">
        <v>0</v>
      </c>
      <c r="BG308" s="76" t="b">
        <v>0</v>
      </c>
      <c r="BH308" s="83" t="str">
        <f>HYPERLINK("https://pbs.twimg.com/profile_banners/1047561060226686976/1676761135")</f>
        <v>https://pbs.twimg.com/profile_banners/1047561060226686976/1676761135</v>
      </c>
      <c r="BI308" s="76"/>
      <c r="BJ308" s="76" t="s">
        <v>24935</v>
      </c>
      <c r="BK308" s="76" t="b">
        <v>0</v>
      </c>
      <c r="BL308" s="76"/>
      <c r="BM308" s="76" t="s">
        <v>66</v>
      </c>
      <c r="BN308" s="76" t="s">
        <v>24937</v>
      </c>
      <c r="BO308" s="83" t="str">
        <f>HYPERLINK("https://twitter.com/bartorei")</f>
        <v>https://twitter.com/bartorei</v>
      </c>
      <c r="BP308" s="2"/>
    </row>
    <row r="309" spans="1:68" x14ac:dyDescent="0.25">
      <c r="A309" s="62" t="s">
        <v>518</v>
      </c>
      <c r="B309" s="63"/>
      <c r="C309" s="63"/>
      <c r="D309" s="64"/>
      <c r="E309" s="66"/>
      <c r="F309" s="102" t="str">
        <f>HYPERLINK("https://pbs.twimg.com/profile_images/1671154645237129218/N34VV8BJ_normal.jpg")</f>
        <v>https://pbs.twimg.com/profile_images/1671154645237129218/N34VV8BJ_normal.jpg</v>
      </c>
      <c r="G309" s="63"/>
      <c r="H309" s="67"/>
      <c r="I309" s="68"/>
      <c r="J309" s="68"/>
      <c r="K309" s="67" t="s">
        <v>25243</v>
      </c>
      <c r="L309" s="71"/>
      <c r="M309" s="72"/>
      <c r="N309" s="72"/>
      <c r="O309" s="73"/>
      <c r="P309" s="74"/>
      <c r="Q309" s="74"/>
      <c r="R309" s="86"/>
      <c r="S309" s="86"/>
      <c r="T309" s="86"/>
      <c r="U309" s="86"/>
      <c r="V309" s="48"/>
      <c r="W309" s="48"/>
      <c r="X309" s="48"/>
      <c r="Y309" s="48"/>
      <c r="Z309" s="47"/>
      <c r="AA309" s="69">
        <v>309</v>
      </c>
      <c r="AB309" s="69"/>
      <c r="AC309" s="70"/>
      <c r="AD309" s="76" t="s">
        <v>22116</v>
      </c>
      <c r="AE309" s="81" t="s">
        <v>21228</v>
      </c>
      <c r="AF309" s="76">
        <v>0</v>
      </c>
      <c r="AG309" s="76">
        <v>28</v>
      </c>
      <c r="AH309" s="76">
        <v>91</v>
      </c>
      <c r="AI309" s="76">
        <v>0</v>
      </c>
      <c r="AJ309" s="76">
        <v>52</v>
      </c>
      <c r="AK309" s="76">
        <v>9</v>
      </c>
      <c r="AL309" s="76" t="b">
        <v>0</v>
      </c>
      <c r="AM309" s="78">
        <v>45021.937951388885</v>
      </c>
      <c r="AN309" s="76" t="s">
        <v>14039</v>
      </c>
      <c r="AO309" s="76" t="s">
        <v>23609</v>
      </c>
      <c r="AP309" s="76"/>
      <c r="AQ309" s="76"/>
      <c r="AR309" s="76"/>
      <c r="AS309" s="76"/>
      <c r="AT309" s="76"/>
      <c r="AU309" s="76"/>
      <c r="AV309" s="76"/>
      <c r="AW309" s="76"/>
      <c r="AX309" s="76" t="b">
        <v>0</v>
      </c>
      <c r="AY309" s="76"/>
      <c r="AZ309" s="76"/>
      <c r="BA309" s="76" t="b">
        <v>0</v>
      </c>
      <c r="BB309" s="76" t="b">
        <v>1</v>
      </c>
      <c r="BC309" s="76" t="b">
        <v>1</v>
      </c>
      <c r="BD309" s="76" t="b">
        <v>0</v>
      </c>
      <c r="BE309" s="76" t="b">
        <v>0</v>
      </c>
      <c r="BF309" s="76" t="b">
        <v>0</v>
      </c>
      <c r="BG309" s="76" t="b">
        <v>0</v>
      </c>
      <c r="BH309" s="83" t="str">
        <f>HYPERLINK("https://pbs.twimg.com/profile_banners/1643742903603195904/1687269302")</f>
        <v>https://pbs.twimg.com/profile_banners/1643742903603195904/1687269302</v>
      </c>
      <c r="BI309" s="76"/>
      <c r="BJ309" s="76" t="s">
        <v>24935</v>
      </c>
      <c r="BK309" s="76" t="b">
        <v>0</v>
      </c>
      <c r="BL309" s="76"/>
      <c r="BM309" s="76" t="s">
        <v>66</v>
      </c>
      <c r="BN309" s="76" t="s">
        <v>24937</v>
      </c>
      <c r="BO309" s="83" t="str">
        <f>HYPERLINK("https://twitter.com/silvatiago87295")</f>
        <v>https://twitter.com/silvatiago87295</v>
      </c>
      <c r="BP309" s="2"/>
    </row>
    <row r="310" spans="1:68" x14ac:dyDescent="0.25">
      <c r="A310" s="62" t="s">
        <v>519</v>
      </c>
      <c r="B310" s="63"/>
      <c r="C310" s="63"/>
      <c r="D310" s="64"/>
      <c r="E310" s="66"/>
      <c r="F310" s="102" t="str">
        <f>HYPERLINK("https://pbs.twimg.com/profile_images/1695934414797119488/mY9GiZ7u_normal.jpg")</f>
        <v>https://pbs.twimg.com/profile_images/1695934414797119488/mY9GiZ7u_normal.jpg</v>
      </c>
      <c r="G310" s="63"/>
      <c r="H310" s="67"/>
      <c r="I310" s="68"/>
      <c r="J310" s="68"/>
      <c r="K310" s="67" t="s">
        <v>25244</v>
      </c>
      <c r="L310" s="71"/>
      <c r="M310" s="72"/>
      <c r="N310" s="72"/>
      <c r="O310" s="73"/>
      <c r="P310" s="74"/>
      <c r="Q310" s="74"/>
      <c r="R310" s="86"/>
      <c r="S310" s="86"/>
      <c r="T310" s="86"/>
      <c r="U310" s="86"/>
      <c r="V310" s="48"/>
      <c r="W310" s="48"/>
      <c r="X310" s="48"/>
      <c r="Y310" s="48"/>
      <c r="Z310" s="47"/>
      <c r="AA310" s="69">
        <v>310</v>
      </c>
      <c r="AB310" s="69"/>
      <c r="AC310" s="70"/>
      <c r="AD310" s="76" t="s">
        <v>22117</v>
      </c>
      <c r="AE310" s="81" t="s">
        <v>21229</v>
      </c>
      <c r="AF310" s="76">
        <v>2</v>
      </c>
      <c r="AG310" s="76">
        <v>11</v>
      </c>
      <c r="AH310" s="76">
        <v>10</v>
      </c>
      <c r="AI310" s="76">
        <v>0</v>
      </c>
      <c r="AJ310" s="76">
        <v>13</v>
      </c>
      <c r="AK310" s="76">
        <v>10</v>
      </c>
      <c r="AL310" s="76" t="b">
        <v>0</v>
      </c>
      <c r="AM310" s="78">
        <v>45156.623043981483</v>
      </c>
      <c r="AN310" s="76"/>
      <c r="AO310" s="76" t="s">
        <v>23610</v>
      </c>
      <c r="AP310" s="76"/>
      <c r="AQ310" s="76"/>
      <c r="AR310" s="76"/>
      <c r="AS310" s="76"/>
      <c r="AT310" s="76"/>
      <c r="AU310" s="76"/>
      <c r="AV310" s="76"/>
      <c r="AW310" s="76"/>
      <c r="AX310" s="76" t="b">
        <v>0</v>
      </c>
      <c r="AY310" s="76"/>
      <c r="AZ310" s="76"/>
      <c r="BA310" s="76" t="b">
        <v>0</v>
      </c>
      <c r="BB310" s="76" t="b">
        <v>1</v>
      </c>
      <c r="BC310" s="76" t="b">
        <v>1</v>
      </c>
      <c r="BD310" s="76" t="b">
        <v>0</v>
      </c>
      <c r="BE310" s="76" t="b">
        <v>0</v>
      </c>
      <c r="BF310" s="76" t="b">
        <v>0</v>
      </c>
      <c r="BG310" s="76" t="b">
        <v>0</v>
      </c>
      <c r="BH310" s="76"/>
      <c r="BI310" s="76"/>
      <c r="BJ310" s="76" t="s">
        <v>24935</v>
      </c>
      <c r="BK310" s="76" t="b">
        <v>0</v>
      </c>
      <c r="BL310" s="76"/>
      <c r="BM310" s="76" t="s">
        <v>66</v>
      </c>
      <c r="BN310" s="76" t="s">
        <v>24937</v>
      </c>
      <c r="BO310" s="83" t="str">
        <f>HYPERLINK("https://twitter.com/leticia_pa99972")</f>
        <v>https://twitter.com/leticia_pa99972</v>
      </c>
      <c r="BP310" s="2"/>
    </row>
    <row r="311" spans="1:68" x14ac:dyDescent="0.25">
      <c r="A311" s="62" t="s">
        <v>520</v>
      </c>
      <c r="B311" s="63"/>
      <c r="C311" s="63"/>
      <c r="D311" s="64"/>
      <c r="E311" s="66"/>
      <c r="F311" s="102" t="str">
        <f>HYPERLINK("https://pbs.twimg.com/profile_images/1703547541390839808/asQ7H_kG_normal.jpg")</f>
        <v>https://pbs.twimg.com/profile_images/1703547541390839808/asQ7H_kG_normal.jpg</v>
      </c>
      <c r="G311" s="63"/>
      <c r="H311" s="67"/>
      <c r="I311" s="68"/>
      <c r="J311" s="68"/>
      <c r="K311" s="67" t="s">
        <v>25245</v>
      </c>
      <c r="L311" s="71"/>
      <c r="M311" s="72"/>
      <c r="N311" s="72"/>
      <c r="O311" s="73"/>
      <c r="P311" s="74"/>
      <c r="Q311" s="74"/>
      <c r="R311" s="86"/>
      <c r="S311" s="86"/>
      <c r="T311" s="86"/>
      <c r="U311" s="86"/>
      <c r="V311" s="48"/>
      <c r="W311" s="48"/>
      <c r="X311" s="48"/>
      <c r="Y311" s="48"/>
      <c r="Z311" s="47"/>
      <c r="AA311" s="69">
        <v>311</v>
      </c>
      <c r="AB311" s="69"/>
      <c r="AC311" s="70"/>
      <c r="AD311" s="76" t="s">
        <v>22118</v>
      </c>
      <c r="AE311" s="81" t="s">
        <v>21230</v>
      </c>
      <c r="AF311" s="76">
        <v>2</v>
      </c>
      <c r="AG311" s="76">
        <v>26</v>
      </c>
      <c r="AH311" s="76">
        <v>52</v>
      </c>
      <c r="AI311" s="76">
        <v>0</v>
      </c>
      <c r="AJ311" s="76">
        <v>34</v>
      </c>
      <c r="AK311" s="76">
        <v>19</v>
      </c>
      <c r="AL311" s="76" t="b">
        <v>0</v>
      </c>
      <c r="AM311" s="78">
        <v>45160.771886574075</v>
      </c>
      <c r="AN311" s="76" t="s">
        <v>14040</v>
      </c>
      <c r="AO311" s="76" t="s">
        <v>23611</v>
      </c>
      <c r="AP311" s="83" t="str">
        <f>HYPERLINK("https://t.co/Aj16F52Jcp")</f>
        <v>https://t.co/Aj16F52Jcp</v>
      </c>
      <c r="AQ311" s="83" t="str">
        <f>HYPERLINK("https://instabio.cc/motivadorexpert")</f>
        <v>https://instabio.cc/motivadorexpert</v>
      </c>
      <c r="AR311" s="76" t="s">
        <v>24419</v>
      </c>
      <c r="AS311" s="76"/>
      <c r="AT311" s="76"/>
      <c r="AU311" s="76"/>
      <c r="AV311" s="76">
        <v>1.6950544316439199E+18</v>
      </c>
      <c r="AW311" s="83" t="str">
        <f>HYPERLINK("https://t.co/Aj16F52Jcp")</f>
        <v>https://t.co/Aj16F52Jcp</v>
      </c>
      <c r="AX311" s="76" t="b">
        <v>0</v>
      </c>
      <c r="AY311" s="76"/>
      <c r="AZ311" s="76"/>
      <c r="BA311" s="76" t="b">
        <v>0</v>
      </c>
      <c r="BB311" s="76" t="b">
        <v>1</v>
      </c>
      <c r="BC311" s="76" t="b">
        <v>1</v>
      </c>
      <c r="BD311" s="76" t="b">
        <v>0</v>
      </c>
      <c r="BE311" s="76" t="b">
        <v>0</v>
      </c>
      <c r="BF311" s="76" t="b">
        <v>0</v>
      </c>
      <c r="BG311" s="76" t="b">
        <v>0</v>
      </c>
      <c r="BH311" s="83" t="str">
        <f>HYPERLINK("https://pbs.twimg.com/profile_banners/1694054600116936704/1694992358")</f>
        <v>https://pbs.twimg.com/profile_banners/1694054600116936704/1694992358</v>
      </c>
      <c r="BI311" s="76"/>
      <c r="BJ311" s="76" t="s">
        <v>24935</v>
      </c>
      <c r="BK311" s="76" t="b">
        <v>0</v>
      </c>
      <c r="BL311" s="76"/>
      <c r="BM311" s="76" t="s">
        <v>66</v>
      </c>
      <c r="BN311" s="76" t="s">
        <v>24937</v>
      </c>
      <c r="BO311" s="83" t="str">
        <f>HYPERLINK("https://twitter.com/caiiohenriquetv")</f>
        <v>https://twitter.com/caiiohenriquetv</v>
      </c>
      <c r="BP311" s="2"/>
    </row>
    <row r="312" spans="1:68" x14ac:dyDescent="0.25">
      <c r="A312" s="62" t="s">
        <v>521</v>
      </c>
      <c r="B312" s="63"/>
      <c r="C312" s="63"/>
      <c r="D312" s="64"/>
      <c r="E312" s="66"/>
      <c r="F312" s="102" t="str">
        <f>HYPERLINK("https://pbs.twimg.com/profile_images/1661465880121815041/ND3BB3Ji_normal.jpg")</f>
        <v>https://pbs.twimg.com/profile_images/1661465880121815041/ND3BB3Ji_normal.jpg</v>
      </c>
      <c r="G312" s="63"/>
      <c r="H312" s="67"/>
      <c r="I312" s="68"/>
      <c r="J312" s="68"/>
      <c r="K312" s="67" t="s">
        <v>25246</v>
      </c>
      <c r="L312" s="71"/>
      <c r="M312" s="72"/>
      <c r="N312" s="72"/>
      <c r="O312" s="73"/>
      <c r="P312" s="74"/>
      <c r="Q312" s="74"/>
      <c r="R312" s="86"/>
      <c r="S312" s="86"/>
      <c r="T312" s="86"/>
      <c r="U312" s="86"/>
      <c r="V312" s="48"/>
      <c r="W312" s="48"/>
      <c r="X312" s="48"/>
      <c r="Y312" s="48"/>
      <c r="Z312" s="47"/>
      <c r="AA312" s="69">
        <v>312</v>
      </c>
      <c r="AB312" s="69"/>
      <c r="AC312" s="70"/>
      <c r="AD312" s="76" t="s">
        <v>22119</v>
      </c>
      <c r="AE312" s="81" t="s">
        <v>21231</v>
      </c>
      <c r="AF312" s="76">
        <v>54</v>
      </c>
      <c r="AG312" s="76">
        <v>58</v>
      </c>
      <c r="AH312" s="76">
        <v>86</v>
      </c>
      <c r="AI312" s="76">
        <v>0</v>
      </c>
      <c r="AJ312" s="76">
        <v>300</v>
      </c>
      <c r="AK312" s="76">
        <v>16</v>
      </c>
      <c r="AL312" s="76" t="b">
        <v>0</v>
      </c>
      <c r="AM312" s="78">
        <v>42749.818437499998</v>
      </c>
      <c r="AN312" s="76" t="s">
        <v>23163</v>
      </c>
      <c r="AO312" s="76" t="s">
        <v>23612</v>
      </c>
      <c r="AP312" s="83" t="str">
        <f>HYPERLINK("https://t.co/aHrtFwx2bU")</f>
        <v>https://t.co/aHrtFwx2bU</v>
      </c>
      <c r="AQ312" s="83" t="str">
        <f>HYPERLINK("https://www.instagram.com/carinacmkt/")</f>
        <v>https://www.instagram.com/carinacmkt/</v>
      </c>
      <c r="AR312" s="76" t="s">
        <v>24420</v>
      </c>
      <c r="AS312" s="76"/>
      <c r="AT312" s="76"/>
      <c r="AU312" s="76"/>
      <c r="AV312" s="76"/>
      <c r="AW312" s="83" t="str">
        <f>HYPERLINK("https://t.co/aHrtFwx2bU")</f>
        <v>https://t.co/aHrtFwx2bU</v>
      </c>
      <c r="AX312" s="76" t="b">
        <v>0</v>
      </c>
      <c r="AY312" s="76"/>
      <c r="AZ312" s="76"/>
      <c r="BA312" s="76" t="b">
        <v>0</v>
      </c>
      <c r="BB312" s="76" t="b">
        <v>1</v>
      </c>
      <c r="BC312" s="76" t="b">
        <v>0</v>
      </c>
      <c r="BD312" s="76" t="b">
        <v>0</v>
      </c>
      <c r="BE312" s="76" t="b">
        <v>0</v>
      </c>
      <c r="BF312" s="76" t="b">
        <v>0</v>
      </c>
      <c r="BG312" s="76" t="b">
        <v>0</v>
      </c>
      <c r="BH312" s="83" t="str">
        <f>HYPERLINK("https://pbs.twimg.com/profile_banners/820354436816113665/1684959310")</f>
        <v>https://pbs.twimg.com/profile_banners/820354436816113665/1684959310</v>
      </c>
      <c r="BI312" s="76"/>
      <c r="BJ312" s="76" t="s">
        <v>24935</v>
      </c>
      <c r="BK312" s="76" t="b">
        <v>0</v>
      </c>
      <c r="BL312" s="76"/>
      <c r="BM312" s="76" t="s">
        <v>66</v>
      </c>
      <c r="BN312" s="76" t="s">
        <v>24937</v>
      </c>
      <c r="BO312" s="83" t="str">
        <f>HYPERLINK("https://twitter.com/carinagchagas")</f>
        <v>https://twitter.com/carinagchagas</v>
      </c>
      <c r="BP312" s="2"/>
    </row>
    <row r="313" spans="1:68" x14ac:dyDescent="0.25">
      <c r="A313" s="62" t="s">
        <v>522</v>
      </c>
      <c r="B313" s="63"/>
      <c r="C313" s="63"/>
      <c r="D313" s="64"/>
      <c r="E313" s="66"/>
      <c r="F313" s="102" t="str">
        <f>HYPERLINK("https://pbs.twimg.com/profile_images/1547421418693984257/ay-2i5fR_normal.jpg")</f>
        <v>https://pbs.twimg.com/profile_images/1547421418693984257/ay-2i5fR_normal.jpg</v>
      </c>
      <c r="G313" s="63"/>
      <c r="H313" s="67"/>
      <c r="I313" s="68"/>
      <c r="J313" s="68"/>
      <c r="K313" s="67" t="s">
        <v>25247</v>
      </c>
      <c r="L313" s="71"/>
      <c r="M313" s="72"/>
      <c r="N313" s="72"/>
      <c r="O313" s="73"/>
      <c r="P313" s="74"/>
      <c r="Q313" s="74"/>
      <c r="R313" s="86"/>
      <c r="S313" s="86"/>
      <c r="T313" s="86"/>
      <c r="U313" s="86"/>
      <c r="V313" s="48"/>
      <c r="W313" s="48"/>
      <c r="X313" s="48"/>
      <c r="Y313" s="48"/>
      <c r="Z313" s="47"/>
      <c r="AA313" s="69">
        <v>313</v>
      </c>
      <c r="AB313" s="69"/>
      <c r="AC313" s="70"/>
      <c r="AD313" s="76" t="s">
        <v>22120</v>
      </c>
      <c r="AE313" s="81" t="s">
        <v>21232</v>
      </c>
      <c r="AF313" s="76">
        <v>1795</v>
      </c>
      <c r="AG313" s="76">
        <v>1800</v>
      </c>
      <c r="AH313" s="76">
        <v>5720</v>
      </c>
      <c r="AI313" s="76">
        <v>2</v>
      </c>
      <c r="AJ313" s="76">
        <v>16544</v>
      </c>
      <c r="AK313" s="76">
        <v>320</v>
      </c>
      <c r="AL313" s="76" t="b">
        <v>0</v>
      </c>
      <c r="AM313" s="78">
        <v>42769.040601851855</v>
      </c>
      <c r="AN313" s="76" t="s">
        <v>23164</v>
      </c>
      <c r="AO313" s="76" t="s">
        <v>23613</v>
      </c>
      <c r="AP313" s="83" t="str">
        <f>HYPERLINK("https://t.co/AtiOatGy0l")</f>
        <v>https://t.co/AtiOatGy0l</v>
      </c>
      <c r="AQ313" s="83" t="str">
        <f>HYPERLINK("https://amzn.to/3yQyJXm")</f>
        <v>https://amzn.to/3yQyJXm</v>
      </c>
      <c r="AR313" s="76" t="s">
        <v>24421</v>
      </c>
      <c r="AS313" s="76"/>
      <c r="AT313" s="76"/>
      <c r="AU313" s="76"/>
      <c r="AV313" s="76">
        <v>1.5474262198843599E+18</v>
      </c>
      <c r="AW313" s="83" t="str">
        <f>HYPERLINK("https://t.co/AtiOatGy0l")</f>
        <v>https://t.co/AtiOatGy0l</v>
      </c>
      <c r="AX313" s="76" t="b">
        <v>0</v>
      </c>
      <c r="AY313" s="76"/>
      <c r="AZ313" s="76"/>
      <c r="BA313" s="76" t="b">
        <v>0</v>
      </c>
      <c r="BB313" s="76" t="b">
        <v>1</v>
      </c>
      <c r="BC313" s="76" t="b">
        <v>1</v>
      </c>
      <c r="BD313" s="76" t="b">
        <v>0</v>
      </c>
      <c r="BE313" s="76" t="b">
        <v>1</v>
      </c>
      <c r="BF313" s="76" t="b">
        <v>0</v>
      </c>
      <c r="BG313" s="76" t="b">
        <v>0</v>
      </c>
      <c r="BH313" s="83" t="str">
        <f>HYPERLINK("https://pbs.twimg.com/profile_banners/827320312257769474/1660910516")</f>
        <v>https://pbs.twimg.com/profile_banners/827320312257769474/1660910516</v>
      </c>
      <c r="BI313" s="76"/>
      <c r="BJ313" s="76" t="s">
        <v>24935</v>
      </c>
      <c r="BK313" s="76" t="b">
        <v>0</v>
      </c>
      <c r="BL313" s="76"/>
      <c r="BM313" s="76" t="s">
        <v>66</v>
      </c>
      <c r="BN313" s="76" t="s">
        <v>24937</v>
      </c>
      <c r="BO313" s="83" t="str">
        <f>HYPERLINK("https://twitter.com/paradisebeache2")</f>
        <v>https://twitter.com/paradisebeache2</v>
      </c>
      <c r="BP313" s="2"/>
    </row>
    <row r="314" spans="1:68" x14ac:dyDescent="0.25">
      <c r="A314" s="62" t="s">
        <v>1250</v>
      </c>
      <c r="B314" s="63"/>
      <c r="C314" s="63"/>
      <c r="D314" s="64"/>
      <c r="E314" s="66"/>
      <c r="F314" s="102" t="str">
        <f>HYPERLINK("https://pbs.twimg.com/profile_images/1673673062355443713/0JQxTsII_normal.jpg")</f>
        <v>https://pbs.twimg.com/profile_images/1673673062355443713/0JQxTsII_normal.jpg</v>
      </c>
      <c r="G314" s="63"/>
      <c r="H314" s="67"/>
      <c r="I314" s="68"/>
      <c r="J314" s="68"/>
      <c r="K314" s="67" t="s">
        <v>25248</v>
      </c>
      <c r="L314" s="71"/>
      <c r="M314" s="72"/>
      <c r="N314" s="72"/>
      <c r="O314" s="73"/>
      <c r="P314" s="74"/>
      <c r="Q314" s="74"/>
      <c r="R314" s="86"/>
      <c r="S314" s="86"/>
      <c r="T314" s="86"/>
      <c r="U314" s="86"/>
      <c r="V314" s="48"/>
      <c r="W314" s="48"/>
      <c r="X314" s="48"/>
      <c r="Y314" s="48"/>
      <c r="Z314" s="47"/>
      <c r="AA314" s="69">
        <v>314</v>
      </c>
      <c r="AB314" s="69"/>
      <c r="AC314" s="70"/>
      <c r="AD314" s="76" t="s">
        <v>22121</v>
      </c>
      <c r="AE314" s="81" t="s">
        <v>22921</v>
      </c>
      <c r="AF314" s="76">
        <v>598582</v>
      </c>
      <c r="AG314" s="76">
        <v>16</v>
      </c>
      <c r="AH314" s="76">
        <v>2019</v>
      </c>
      <c r="AI314" s="76">
        <v>239</v>
      </c>
      <c r="AJ314" s="76">
        <v>486</v>
      </c>
      <c r="AK314" s="76">
        <v>811</v>
      </c>
      <c r="AL314" s="76" t="b">
        <v>0</v>
      </c>
      <c r="AM314" s="78">
        <v>43916.976701388892</v>
      </c>
      <c r="AN314" s="76" t="s">
        <v>23165</v>
      </c>
      <c r="AO314" s="76" t="s">
        <v>23614</v>
      </c>
      <c r="AP314" s="83" t="str">
        <f>HYPERLINK("https://t.co/lPErV0HPCt")</f>
        <v>https://t.co/lPErV0HPCt</v>
      </c>
      <c r="AQ314" s="83" t="str">
        <f>HYPERLINK("http://freecash.com/r/twitter")</f>
        <v>http://freecash.com/r/twitter</v>
      </c>
      <c r="AR314" s="76" t="s">
        <v>24422</v>
      </c>
      <c r="AS314" s="76"/>
      <c r="AT314" s="76"/>
      <c r="AU314" s="76"/>
      <c r="AV314" s="76">
        <v>1.6925671556051599E+18</v>
      </c>
      <c r="AW314" s="83" t="str">
        <f>HYPERLINK("https://t.co/lPErV0HPCt")</f>
        <v>https://t.co/lPErV0HPCt</v>
      </c>
      <c r="AX314" s="76" t="b">
        <v>1</v>
      </c>
      <c r="AY314" s="76"/>
      <c r="AZ314" s="76"/>
      <c r="BA314" s="76" t="b">
        <v>1</v>
      </c>
      <c r="BB314" s="76" t="b">
        <v>1</v>
      </c>
      <c r="BC314" s="76" t="b">
        <v>1</v>
      </c>
      <c r="BD314" s="76" t="b">
        <v>0</v>
      </c>
      <c r="BE314" s="76" t="b">
        <v>0</v>
      </c>
      <c r="BF314" s="76" t="b">
        <v>0</v>
      </c>
      <c r="BG314" s="76" t="b">
        <v>0</v>
      </c>
      <c r="BH314" s="83" t="str">
        <f>HYPERLINK("https://pbs.twimg.com/profile_banners/1243318401369608192/1687869729")</f>
        <v>https://pbs.twimg.com/profile_banners/1243318401369608192/1687869729</v>
      </c>
      <c r="BI314" s="76"/>
      <c r="BJ314" s="76" t="s">
        <v>24935</v>
      </c>
      <c r="BK314" s="76" t="b">
        <v>0</v>
      </c>
      <c r="BL314" s="76"/>
      <c r="BM314" s="76" t="s">
        <v>65</v>
      </c>
      <c r="BN314" s="76" t="s">
        <v>24937</v>
      </c>
      <c r="BO314" s="83" t="str">
        <f>HYPERLINK("https://twitter.com/freecashcom")</f>
        <v>https://twitter.com/freecashcom</v>
      </c>
      <c r="BP314" s="2"/>
    </row>
    <row r="315" spans="1:68" x14ac:dyDescent="0.25">
      <c r="A315" s="62" t="s">
        <v>523</v>
      </c>
      <c r="B315" s="63"/>
      <c r="C315" s="63"/>
      <c r="D315" s="64"/>
      <c r="E315" s="66"/>
      <c r="F315" s="102" t="str">
        <f>HYPERLINK("https://pbs.twimg.com/profile_images/1626228498087174145/10tzMY-d_normal.jpg")</f>
        <v>https://pbs.twimg.com/profile_images/1626228498087174145/10tzMY-d_normal.jpg</v>
      </c>
      <c r="G315" s="63"/>
      <c r="H315" s="67"/>
      <c r="I315" s="68"/>
      <c r="J315" s="68"/>
      <c r="K315" s="67" t="s">
        <v>25249</v>
      </c>
      <c r="L315" s="71"/>
      <c r="M315" s="72"/>
      <c r="N315" s="72"/>
      <c r="O315" s="73"/>
      <c r="P315" s="74"/>
      <c r="Q315" s="74"/>
      <c r="R315" s="86"/>
      <c r="S315" s="86"/>
      <c r="T315" s="86"/>
      <c r="U315" s="86"/>
      <c r="V315" s="48"/>
      <c r="W315" s="48"/>
      <c r="X315" s="48"/>
      <c r="Y315" s="48"/>
      <c r="Z315" s="47"/>
      <c r="AA315" s="69">
        <v>315</v>
      </c>
      <c r="AB315" s="69"/>
      <c r="AC315" s="70"/>
      <c r="AD315" s="76" t="s">
        <v>22122</v>
      </c>
      <c r="AE315" s="81" t="s">
        <v>21233</v>
      </c>
      <c r="AF315" s="76">
        <v>0</v>
      </c>
      <c r="AG315" s="76">
        <v>19</v>
      </c>
      <c r="AH315" s="76">
        <v>32</v>
      </c>
      <c r="AI315" s="76">
        <v>0</v>
      </c>
      <c r="AJ315" s="76">
        <v>0</v>
      </c>
      <c r="AK315" s="76">
        <v>25</v>
      </c>
      <c r="AL315" s="76" t="b">
        <v>0</v>
      </c>
      <c r="AM315" s="78">
        <v>44792.362175925926</v>
      </c>
      <c r="AN315" s="76"/>
      <c r="AO315" s="83" t="str">
        <f>HYPERLINK("https://t.co/XBziprpqb0")</f>
        <v>https://t.co/XBziprpqb0</v>
      </c>
      <c r="AP315" s="76"/>
      <c r="AQ315" s="76"/>
      <c r="AR315" s="76"/>
      <c r="AS315" s="83" t="str">
        <f>HYPERLINK("https://t.co/XBziprpqb0")</f>
        <v>https://t.co/XBziprpqb0</v>
      </c>
      <c r="AT315" s="83" t="str">
        <f>HYPERLINK("http://bit.ly/agathacristie2023")</f>
        <v>http://bit.ly/agathacristie2023</v>
      </c>
      <c r="AU315" s="76" t="s">
        <v>24872</v>
      </c>
      <c r="AV315" s="76"/>
      <c r="AW315" s="76"/>
      <c r="AX315" s="76" t="b">
        <v>0</v>
      </c>
      <c r="AY315" s="76"/>
      <c r="AZ315" s="76"/>
      <c r="BA315" s="76" t="b">
        <v>0</v>
      </c>
      <c r="BB315" s="76" t="b">
        <v>1</v>
      </c>
      <c r="BC315" s="76" t="b">
        <v>1</v>
      </c>
      <c r="BD315" s="76" t="b">
        <v>0</v>
      </c>
      <c r="BE315" s="76" t="b">
        <v>0</v>
      </c>
      <c r="BF315" s="76" t="b">
        <v>0</v>
      </c>
      <c r="BG315" s="76" t="b">
        <v>0</v>
      </c>
      <c r="BH315" s="83" t="str">
        <f>HYPERLINK("https://pbs.twimg.com/profile_banners/1560547379773931521/1676558074")</f>
        <v>https://pbs.twimg.com/profile_banners/1560547379773931521/1676558074</v>
      </c>
      <c r="BI315" s="76"/>
      <c r="BJ315" s="76" t="s">
        <v>24935</v>
      </c>
      <c r="BK315" s="76" t="b">
        <v>0</v>
      </c>
      <c r="BL315" s="76"/>
      <c r="BM315" s="76" t="s">
        <v>66</v>
      </c>
      <c r="BN315" s="76" t="s">
        <v>24937</v>
      </c>
      <c r="BO315" s="83" t="str">
        <f>HYPERLINK("https://twitter.com/agathac79501121")</f>
        <v>https://twitter.com/agathac79501121</v>
      </c>
      <c r="BP315" s="2"/>
    </row>
    <row r="316" spans="1:68" x14ac:dyDescent="0.25">
      <c r="A316" s="62" t="s">
        <v>524</v>
      </c>
      <c r="B316" s="63"/>
      <c r="C316" s="63"/>
      <c r="D316" s="64"/>
      <c r="E316" s="66"/>
      <c r="F316" s="102" t="str">
        <f>HYPERLINK("https://pbs.twimg.com/profile_images/1516499065357443082/etwe1WrV_normal.jpg")</f>
        <v>https://pbs.twimg.com/profile_images/1516499065357443082/etwe1WrV_normal.jpg</v>
      </c>
      <c r="G316" s="63"/>
      <c r="H316" s="67"/>
      <c r="I316" s="68"/>
      <c r="J316" s="68"/>
      <c r="K316" s="67" t="s">
        <v>25250</v>
      </c>
      <c r="L316" s="71"/>
      <c r="M316" s="72"/>
      <c r="N316" s="72"/>
      <c r="O316" s="73"/>
      <c r="P316" s="74"/>
      <c r="Q316" s="74"/>
      <c r="R316" s="86"/>
      <c r="S316" s="86"/>
      <c r="T316" s="86"/>
      <c r="U316" s="86"/>
      <c r="V316" s="48"/>
      <c r="W316" s="48"/>
      <c r="X316" s="48"/>
      <c r="Y316" s="48"/>
      <c r="Z316" s="47"/>
      <c r="AA316" s="69">
        <v>316</v>
      </c>
      <c r="AB316" s="69"/>
      <c r="AC316" s="70"/>
      <c r="AD316" s="76" t="s">
        <v>22123</v>
      </c>
      <c r="AE316" s="81" t="s">
        <v>21234</v>
      </c>
      <c r="AF316" s="76">
        <v>4</v>
      </c>
      <c r="AG316" s="76">
        <v>108</v>
      </c>
      <c r="AH316" s="76">
        <v>58</v>
      </c>
      <c r="AI316" s="76">
        <v>0</v>
      </c>
      <c r="AJ316" s="76">
        <v>32</v>
      </c>
      <c r="AK316" s="76">
        <v>31</v>
      </c>
      <c r="AL316" s="76" t="b">
        <v>0</v>
      </c>
      <c r="AM316" s="78">
        <v>44670.805567129632</v>
      </c>
      <c r="AN316" s="76"/>
      <c r="AO316" s="76" t="s">
        <v>23615</v>
      </c>
      <c r="AP316" s="76"/>
      <c r="AQ316" s="76"/>
      <c r="AR316" s="76"/>
      <c r="AS316" s="76"/>
      <c r="AT316" s="76"/>
      <c r="AU316" s="76"/>
      <c r="AV316" s="76"/>
      <c r="AW316" s="76"/>
      <c r="AX316" s="76" t="b">
        <v>0</v>
      </c>
      <c r="AY316" s="76"/>
      <c r="AZ316" s="76"/>
      <c r="BA316" s="76" t="b">
        <v>0</v>
      </c>
      <c r="BB316" s="76" t="b">
        <v>1</v>
      </c>
      <c r="BC316" s="76" t="b">
        <v>1</v>
      </c>
      <c r="BD316" s="76" t="b">
        <v>0</v>
      </c>
      <c r="BE316" s="76" t="b">
        <v>1</v>
      </c>
      <c r="BF316" s="76" t="b">
        <v>0</v>
      </c>
      <c r="BG316" s="76" t="b">
        <v>0</v>
      </c>
      <c r="BH316" s="83" t="str">
        <f>HYPERLINK("https://pbs.twimg.com/profile_banners/1516496742778343432/1650396526")</f>
        <v>https://pbs.twimg.com/profile_banners/1516496742778343432/1650396526</v>
      </c>
      <c r="BI316" s="76"/>
      <c r="BJ316" s="76" t="s">
        <v>24935</v>
      </c>
      <c r="BK316" s="76" t="b">
        <v>0</v>
      </c>
      <c r="BL316" s="76"/>
      <c r="BM316" s="76" t="s">
        <v>66</v>
      </c>
      <c r="BN316" s="76" t="s">
        <v>24937</v>
      </c>
      <c r="BO316" s="83" t="str">
        <f>HYPERLINK("https://twitter.com/flanoticiashoje")</f>
        <v>https://twitter.com/flanoticiashoje</v>
      </c>
      <c r="BP316" s="2"/>
    </row>
    <row r="317" spans="1:68" x14ac:dyDescent="0.25">
      <c r="A317" s="62" t="s">
        <v>525</v>
      </c>
      <c r="B317" s="63"/>
      <c r="C317" s="63"/>
      <c r="D317" s="64"/>
      <c r="E317" s="66"/>
      <c r="F317" s="102" t="str">
        <f>HYPERLINK("https://pbs.twimg.com/profile_images/1641095363732951040/6X7cVueQ_normal.jpg")</f>
        <v>https://pbs.twimg.com/profile_images/1641095363732951040/6X7cVueQ_normal.jpg</v>
      </c>
      <c r="G317" s="63"/>
      <c r="H317" s="67"/>
      <c r="I317" s="68"/>
      <c r="J317" s="68"/>
      <c r="K317" s="67" t="s">
        <v>25251</v>
      </c>
      <c r="L317" s="71"/>
      <c r="M317" s="72"/>
      <c r="N317" s="72"/>
      <c r="O317" s="73"/>
      <c r="P317" s="74"/>
      <c r="Q317" s="74"/>
      <c r="R317" s="86"/>
      <c r="S317" s="86"/>
      <c r="T317" s="86"/>
      <c r="U317" s="86"/>
      <c r="V317" s="48"/>
      <c r="W317" s="48"/>
      <c r="X317" s="48"/>
      <c r="Y317" s="48"/>
      <c r="Z317" s="47"/>
      <c r="AA317" s="69">
        <v>317</v>
      </c>
      <c r="AB317" s="69"/>
      <c r="AC317" s="70"/>
      <c r="AD317" s="76" t="s">
        <v>22124</v>
      </c>
      <c r="AE317" s="81" t="s">
        <v>22922</v>
      </c>
      <c r="AF317" s="76">
        <v>450</v>
      </c>
      <c r="AG317" s="76">
        <v>136</v>
      </c>
      <c r="AH317" s="76">
        <v>1023</v>
      </c>
      <c r="AI317" s="76">
        <v>0</v>
      </c>
      <c r="AJ317" s="76">
        <v>60</v>
      </c>
      <c r="AK317" s="76">
        <v>251</v>
      </c>
      <c r="AL317" s="76" t="b">
        <v>0</v>
      </c>
      <c r="AM317" s="78">
        <v>40394.935983796298</v>
      </c>
      <c r="AN317" s="76"/>
      <c r="AO317" s="76" t="s">
        <v>23616</v>
      </c>
      <c r="AP317" s="83" t="str">
        <f>HYPERLINK("https://t.co/LbYwVQi9LS")</f>
        <v>https://t.co/LbYwVQi9LS</v>
      </c>
      <c r="AQ317" s="83" t="str">
        <f>HYPERLINK("https://www.linknacional.com.br/")</f>
        <v>https://www.linknacional.com.br/</v>
      </c>
      <c r="AR317" s="76" t="s">
        <v>24423</v>
      </c>
      <c r="AS317" s="76"/>
      <c r="AT317" s="76"/>
      <c r="AU317" s="76"/>
      <c r="AV317" s="76"/>
      <c r="AW317" s="83" t="str">
        <f>HYPERLINK("https://t.co/LbYwVQi9LS")</f>
        <v>https://t.co/LbYwVQi9LS</v>
      </c>
      <c r="AX317" s="76" t="b">
        <v>1</v>
      </c>
      <c r="AY317" s="76"/>
      <c r="AZ317" s="76"/>
      <c r="BA317" s="76" t="b">
        <v>1</v>
      </c>
      <c r="BB317" s="76" t="b">
        <v>1</v>
      </c>
      <c r="BC317" s="76" t="b">
        <v>0</v>
      </c>
      <c r="BD317" s="76" t="b">
        <v>0</v>
      </c>
      <c r="BE317" s="76" t="b">
        <v>0</v>
      </c>
      <c r="BF317" s="76" t="b">
        <v>0</v>
      </c>
      <c r="BG317" s="76" t="b">
        <v>0</v>
      </c>
      <c r="BH317" s="83" t="str">
        <f>HYPERLINK("https://pbs.twimg.com/profile_banners/174819496/1680103576")</f>
        <v>https://pbs.twimg.com/profile_banners/174819496/1680103576</v>
      </c>
      <c r="BI317" s="76"/>
      <c r="BJ317" s="76" t="s">
        <v>24935</v>
      </c>
      <c r="BK317" s="76" t="b">
        <v>0</v>
      </c>
      <c r="BL317" s="76"/>
      <c r="BM317" s="76" t="s">
        <v>66</v>
      </c>
      <c r="BN317" s="76" t="s">
        <v>24937</v>
      </c>
      <c r="BO317" s="83" t="str">
        <f>HYPERLINK("https://twitter.com/linknacional")</f>
        <v>https://twitter.com/linknacional</v>
      </c>
      <c r="BP317" s="2"/>
    </row>
    <row r="318" spans="1:68" x14ac:dyDescent="0.25">
      <c r="A318" s="62" t="s">
        <v>526</v>
      </c>
      <c r="B318" s="63"/>
      <c r="C318" s="63"/>
      <c r="D318" s="64"/>
      <c r="E318" s="66"/>
      <c r="F318" s="102" t="str">
        <f>HYPERLINK("https://pbs.twimg.com/profile_images/1679221393223819264/-VUsO2mw_normal.jpg")</f>
        <v>https://pbs.twimg.com/profile_images/1679221393223819264/-VUsO2mw_normal.jpg</v>
      </c>
      <c r="G318" s="63"/>
      <c r="H318" s="67"/>
      <c r="I318" s="68"/>
      <c r="J318" s="68"/>
      <c r="K318" s="67" t="s">
        <v>25252</v>
      </c>
      <c r="L318" s="71"/>
      <c r="M318" s="72"/>
      <c r="N318" s="72"/>
      <c r="O318" s="73"/>
      <c r="P318" s="74"/>
      <c r="Q318" s="74"/>
      <c r="R318" s="86"/>
      <c r="S318" s="86"/>
      <c r="T318" s="86"/>
      <c r="U318" s="86"/>
      <c r="V318" s="48"/>
      <c r="W318" s="48"/>
      <c r="X318" s="48"/>
      <c r="Y318" s="48"/>
      <c r="Z318" s="47"/>
      <c r="AA318" s="69">
        <v>318</v>
      </c>
      <c r="AB318" s="69"/>
      <c r="AC318" s="70"/>
      <c r="AD318" s="76" t="s">
        <v>22125</v>
      </c>
      <c r="AE318" s="81" t="s">
        <v>21235</v>
      </c>
      <c r="AF318" s="76">
        <v>44</v>
      </c>
      <c r="AG318" s="76">
        <v>104</v>
      </c>
      <c r="AH318" s="76">
        <v>139</v>
      </c>
      <c r="AI318" s="76">
        <v>0</v>
      </c>
      <c r="AJ318" s="76">
        <v>0</v>
      </c>
      <c r="AK318" s="76">
        <v>74</v>
      </c>
      <c r="AL318" s="76" t="b">
        <v>0</v>
      </c>
      <c r="AM318" s="78">
        <v>45119.73814814815</v>
      </c>
      <c r="AN318" s="76"/>
      <c r="AO318" s="76" t="s">
        <v>23617</v>
      </c>
      <c r="AP318" s="83" t="str">
        <f>HYPERLINK("https://t.co/7XvT9XkHdu")</f>
        <v>https://t.co/7XvT9XkHdu</v>
      </c>
      <c r="AQ318" s="83" t="str">
        <f>HYPERLINK("https://rzmlucremais.com.br")</f>
        <v>https://rzmlucremais.com.br</v>
      </c>
      <c r="AR318" s="76" t="s">
        <v>24424</v>
      </c>
      <c r="AS318" s="76"/>
      <c r="AT318" s="76"/>
      <c r="AU318" s="76"/>
      <c r="AV318" s="76"/>
      <c r="AW318" s="83" t="str">
        <f>HYPERLINK("https://t.co/7XvT9XkHdu")</f>
        <v>https://t.co/7XvT9XkHdu</v>
      </c>
      <c r="AX318" s="76" t="b">
        <v>0</v>
      </c>
      <c r="AY318" s="76"/>
      <c r="AZ318" s="76"/>
      <c r="BA318" s="76" t="b">
        <v>0</v>
      </c>
      <c r="BB318" s="76" t="b">
        <v>1</v>
      </c>
      <c r="BC318" s="76" t="b">
        <v>1</v>
      </c>
      <c r="BD318" s="76" t="b">
        <v>0</v>
      </c>
      <c r="BE318" s="76" t="b">
        <v>0</v>
      </c>
      <c r="BF318" s="76" t="b">
        <v>0</v>
      </c>
      <c r="BG318" s="76" t="b">
        <v>0</v>
      </c>
      <c r="BH318" s="83" t="str">
        <f>HYPERLINK("https://pbs.twimg.com/profile_banners/1679184528554721290/1689254323")</f>
        <v>https://pbs.twimg.com/profile_banners/1679184528554721290/1689254323</v>
      </c>
      <c r="BI318" s="76"/>
      <c r="BJ318" s="76" t="s">
        <v>24935</v>
      </c>
      <c r="BK318" s="76" t="b">
        <v>0</v>
      </c>
      <c r="BL318" s="76"/>
      <c r="BM318" s="76" t="s">
        <v>66</v>
      </c>
      <c r="BN318" s="76" t="s">
        <v>24937</v>
      </c>
      <c r="BO318" s="83" t="str">
        <f>HYPERLINK("https://twitter.com/talentosrizom")</f>
        <v>https://twitter.com/talentosrizom</v>
      </c>
      <c r="BP318" s="2"/>
    </row>
    <row r="319" spans="1:68" x14ac:dyDescent="0.25">
      <c r="A319" s="62" t="s">
        <v>527</v>
      </c>
      <c r="B319" s="63"/>
      <c r="C319" s="63"/>
      <c r="D319" s="64"/>
      <c r="E319" s="66"/>
      <c r="F319" s="102" t="str">
        <f>HYPERLINK("https://pbs.twimg.com/profile_images/1663682741039161349/PTU76-rk_normal.jpg")</f>
        <v>https://pbs.twimg.com/profile_images/1663682741039161349/PTU76-rk_normal.jpg</v>
      </c>
      <c r="G319" s="63"/>
      <c r="H319" s="67"/>
      <c r="I319" s="68"/>
      <c r="J319" s="68"/>
      <c r="K319" s="67" t="s">
        <v>25253</v>
      </c>
      <c r="L319" s="71"/>
      <c r="M319" s="72"/>
      <c r="N319" s="72"/>
      <c r="O319" s="73"/>
      <c r="P319" s="74"/>
      <c r="Q319" s="74"/>
      <c r="R319" s="86"/>
      <c r="S319" s="86"/>
      <c r="T319" s="86"/>
      <c r="U319" s="86"/>
      <c r="V319" s="48"/>
      <c r="W319" s="48"/>
      <c r="X319" s="48"/>
      <c r="Y319" s="48"/>
      <c r="Z319" s="47"/>
      <c r="AA319" s="69">
        <v>319</v>
      </c>
      <c r="AB319" s="69"/>
      <c r="AC319" s="70"/>
      <c r="AD319" s="76" t="s">
        <v>22126</v>
      </c>
      <c r="AE319" s="81" t="s">
        <v>22923</v>
      </c>
      <c r="AF319" s="76">
        <v>12</v>
      </c>
      <c r="AG319" s="76">
        <v>27</v>
      </c>
      <c r="AH319" s="76">
        <v>511</v>
      </c>
      <c r="AI319" s="76">
        <v>0</v>
      </c>
      <c r="AJ319" s="76">
        <v>171</v>
      </c>
      <c r="AK319" s="76">
        <v>102</v>
      </c>
      <c r="AL319" s="76" t="b">
        <v>0</v>
      </c>
      <c r="AM319" s="78">
        <v>40748.846701388888</v>
      </c>
      <c r="AN319" s="76" t="s">
        <v>14033</v>
      </c>
      <c r="AO319" s="76" t="s">
        <v>23618</v>
      </c>
      <c r="AP319" s="76"/>
      <c r="AQ319" s="76"/>
      <c r="AR319" s="76"/>
      <c r="AS319" s="76"/>
      <c r="AT319" s="76"/>
      <c r="AU319" s="76"/>
      <c r="AV319" s="76"/>
      <c r="AW319" s="76"/>
      <c r="AX319" s="76" t="b">
        <v>0</v>
      </c>
      <c r="AY319" s="76"/>
      <c r="AZ319" s="76"/>
      <c r="BA319" s="76" t="b">
        <v>0</v>
      </c>
      <c r="BB319" s="76" t="b">
        <v>1</v>
      </c>
      <c r="BC319" s="76" t="b">
        <v>0</v>
      </c>
      <c r="BD319" s="76" t="b">
        <v>0</v>
      </c>
      <c r="BE319" s="76" t="b">
        <v>0</v>
      </c>
      <c r="BF319" s="76" t="b">
        <v>0</v>
      </c>
      <c r="BG319" s="76" t="b">
        <v>0</v>
      </c>
      <c r="BH319" s="83" t="str">
        <f>HYPERLINK("https://pbs.twimg.com/profile_banners/341697902/1684365949")</f>
        <v>https://pbs.twimg.com/profile_banners/341697902/1684365949</v>
      </c>
      <c r="BI319" s="76"/>
      <c r="BJ319" s="76" t="s">
        <v>24935</v>
      </c>
      <c r="BK319" s="76" t="b">
        <v>0</v>
      </c>
      <c r="BL319" s="76"/>
      <c r="BM319" s="76" t="s">
        <v>66</v>
      </c>
      <c r="BN319" s="76" t="s">
        <v>24937</v>
      </c>
      <c r="BO319" s="83" t="str">
        <f>HYPERLINK("https://twitter.com/jeff_barrada")</f>
        <v>https://twitter.com/jeff_barrada</v>
      </c>
      <c r="BP319" s="2"/>
    </row>
    <row r="320" spans="1:68" x14ac:dyDescent="0.25">
      <c r="A320" s="62" t="s">
        <v>528</v>
      </c>
      <c r="B320" s="63"/>
      <c r="C320" s="63"/>
      <c r="D320" s="64"/>
      <c r="E320" s="66"/>
      <c r="F320" s="102" t="str">
        <f>HYPERLINK("https://pbs.twimg.com/profile_images/1692387603473895426/icyXU_Hp_normal.jpg")</f>
        <v>https://pbs.twimg.com/profile_images/1692387603473895426/icyXU_Hp_normal.jpg</v>
      </c>
      <c r="G320" s="63"/>
      <c r="H320" s="67"/>
      <c r="I320" s="68"/>
      <c r="J320" s="68"/>
      <c r="K320" s="67" t="s">
        <v>25254</v>
      </c>
      <c r="L320" s="71"/>
      <c r="M320" s="72"/>
      <c r="N320" s="72"/>
      <c r="O320" s="73"/>
      <c r="P320" s="74"/>
      <c r="Q320" s="74"/>
      <c r="R320" s="86"/>
      <c r="S320" s="86"/>
      <c r="T320" s="86"/>
      <c r="U320" s="86"/>
      <c r="V320" s="48"/>
      <c r="W320" s="48"/>
      <c r="X320" s="48"/>
      <c r="Y320" s="48"/>
      <c r="Z320" s="47"/>
      <c r="AA320" s="69">
        <v>320</v>
      </c>
      <c r="AB320" s="69"/>
      <c r="AC320" s="70"/>
      <c r="AD320" s="76" t="s">
        <v>22127</v>
      </c>
      <c r="AE320" s="81" t="s">
        <v>21236</v>
      </c>
      <c r="AF320" s="76">
        <v>0</v>
      </c>
      <c r="AG320" s="76">
        <v>1</v>
      </c>
      <c r="AH320" s="76">
        <v>11</v>
      </c>
      <c r="AI320" s="76">
        <v>0</v>
      </c>
      <c r="AJ320" s="76">
        <v>0</v>
      </c>
      <c r="AK320" s="76">
        <v>9</v>
      </c>
      <c r="AL320" s="76" t="b">
        <v>0</v>
      </c>
      <c r="AM320" s="78">
        <v>44891.382592592592</v>
      </c>
      <c r="AN320" s="76"/>
      <c r="AO320" s="76" t="s">
        <v>23619</v>
      </c>
      <c r="AP320" s="76"/>
      <c r="AQ320" s="76"/>
      <c r="AR320" s="76"/>
      <c r="AS320" s="76"/>
      <c r="AT320" s="76"/>
      <c r="AU320" s="76"/>
      <c r="AV320" s="76"/>
      <c r="AW320" s="76"/>
      <c r="AX320" s="76" t="b">
        <v>0</v>
      </c>
      <c r="AY320" s="76"/>
      <c r="AZ320" s="76"/>
      <c r="BA320" s="76" t="b">
        <v>1</v>
      </c>
      <c r="BB320" s="76" t="b">
        <v>1</v>
      </c>
      <c r="BC320" s="76" t="b">
        <v>1</v>
      </c>
      <c r="BD320" s="76" t="b">
        <v>0</v>
      </c>
      <c r="BE320" s="76" t="b">
        <v>0</v>
      </c>
      <c r="BF320" s="76" t="b">
        <v>0</v>
      </c>
      <c r="BG320" s="76" t="b">
        <v>0</v>
      </c>
      <c r="BH320" s="83" t="str">
        <f>HYPERLINK("https://pbs.twimg.com/profile_banners/1596431186041225218/1692331657")</f>
        <v>https://pbs.twimg.com/profile_banners/1596431186041225218/1692331657</v>
      </c>
      <c r="BI320" s="76"/>
      <c r="BJ320" s="76" t="s">
        <v>24935</v>
      </c>
      <c r="BK320" s="76" t="b">
        <v>0</v>
      </c>
      <c r="BL320" s="76"/>
      <c r="BM320" s="76" t="s">
        <v>66</v>
      </c>
      <c r="BN320" s="76" t="s">
        <v>24937</v>
      </c>
      <c r="BO320" s="83" t="str">
        <f>HYPERLINK("https://twitter.com/marcelo03272356")</f>
        <v>https://twitter.com/marcelo03272356</v>
      </c>
      <c r="BP320" s="2"/>
    </row>
    <row r="321" spans="1:68" x14ac:dyDescent="0.25">
      <c r="A321" s="62" t="s">
        <v>529</v>
      </c>
      <c r="B321" s="63"/>
      <c r="C321" s="63"/>
      <c r="D321" s="64"/>
      <c r="E321" s="66"/>
      <c r="F321" s="102" t="str">
        <f>HYPERLINK("https://pbs.twimg.com/profile_images/1703819289193598976/6QKoUNSd_normal.jpg")</f>
        <v>https://pbs.twimg.com/profile_images/1703819289193598976/6QKoUNSd_normal.jpg</v>
      </c>
      <c r="G321" s="63"/>
      <c r="H321" s="67"/>
      <c r="I321" s="68"/>
      <c r="J321" s="68"/>
      <c r="K321" s="67" t="s">
        <v>25255</v>
      </c>
      <c r="L321" s="71"/>
      <c r="M321" s="72"/>
      <c r="N321" s="72"/>
      <c r="O321" s="73"/>
      <c r="P321" s="74"/>
      <c r="Q321" s="74"/>
      <c r="R321" s="86"/>
      <c r="S321" s="86"/>
      <c r="T321" s="86"/>
      <c r="U321" s="86"/>
      <c r="V321" s="48"/>
      <c r="W321" s="48"/>
      <c r="X321" s="48"/>
      <c r="Y321" s="48"/>
      <c r="Z321" s="47"/>
      <c r="AA321" s="69">
        <v>321</v>
      </c>
      <c r="AB321" s="69"/>
      <c r="AC321" s="70"/>
      <c r="AD321" s="76" t="s">
        <v>22128</v>
      </c>
      <c r="AE321" s="81" t="s">
        <v>22924</v>
      </c>
      <c r="AF321" s="76">
        <v>21</v>
      </c>
      <c r="AG321" s="76">
        <v>364</v>
      </c>
      <c r="AH321" s="76">
        <v>523</v>
      </c>
      <c r="AI321" s="76">
        <v>0</v>
      </c>
      <c r="AJ321" s="76">
        <v>476</v>
      </c>
      <c r="AK321" s="76">
        <v>188</v>
      </c>
      <c r="AL321" s="76" t="b">
        <v>0</v>
      </c>
      <c r="AM321" s="78">
        <v>40939.507025462961</v>
      </c>
      <c r="AN321" s="76" t="s">
        <v>23166</v>
      </c>
      <c r="AO321" s="76"/>
      <c r="AP321" s="83" t="str">
        <f>HYPERLINK("https://t.co/ktsfRDLRkQ")</f>
        <v>https://t.co/ktsfRDLRkQ</v>
      </c>
      <c r="AQ321" s="83" t="str">
        <f>HYPERLINK("http://bit.ly/3FXaXgP")</f>
        <v>http://bit.ly/3FXaXgP</v>
      </c>
      <c r="AR321" s="76" t="s">
        <v>24425</v>
      </c>
      <c r="AS321" s="76"/>
      <c r="AT321" s="76"/>
      <c r="AU321" s="76"/>
      <c r="AV321" s="76">
        <v>1.08553246259438E+18</v>
      </c>
      <c r="AW321" s="83" t="str">
        <f>HYPERLINK("https://t.co/ktsfRDLRkQ")</f>
        <v>https://t.co/ktsfRDLRkQ</v>
      </c>
      <c r="AX321" s="76" t="b">
        <v>0</v>
      </c>
      <c r="AY321" s="76"/>
      <c r="AZ321" s="76"/>
      <c r="BA321" s="76" t="b">
        <v>0</v>
      </c>
      <c r="BB321" s="76" t="b">
        <v>1</v>
      </c>
      <c r="BC321" s="76" t="b">
        <v>1</v>
      </c>
      <c r="BD321" s="76" t="b">
        <v>0</v>
      </c>
      <c r="BE321" s="76" t="b">
        <v>1</v>
      </c>
      <c r="BF321" s="76" t="b">
        <v>0</v>
      </c>
      <c r="BG321" s="76" t="b">
        <v>0</v>
      </c>
      <c r="BH321" s="76"/>
      <c r="BI321" s="76"/>
      <c r="BJ321" s="76" t="s">
        <v>24935</v>
      </c>
      <c r="BK321" s="76" t="b">
        <v>0</v>
      </c>
      <c r="BL321" s="76"/>
      <c r="BM321" s="76" t="s">
        <v>66</v>
      </c>
      <c r="BN321" s="76" t="s">
        <v>24937</v>
      </c>
      <c r="BO321" s="83" t="str">
        <f>HYPERLINK("https://twitter.com/matiasmendes2")</f>
        <v>https://twitter.com/matiasmendes2</v>
      </c>
      <c r="BP321" s="2"/>
    </row>
    <row r="322" spans="1:68" x14ac:dyDescent="0.25">
      <c r="A322" s="62" t="s">
        <v>530</v>
      </c>
      <c r="B322" s="63"/>
      <c r="C322" s="63"/>
      <c r="D322" s="64"/>
      <c r="E322" s="66"/>
      <c r="F322" s="102" t="str">
        <f>HYPERLINK("https://pbs.twimg.com/profile_images/1683993119946072067/mwxjyvn-_normal.jpg")</f>
        <v>https://pbs.twimg.com/profile_images/1683993119946072067/mwxjyvn-_normal.jpg</v>
      </c>
      <c r="G322" s="63"/>
      <c r="H322" s="67"/>
      <c r="I322" s="68"/>
      <c r="J322" s="68"/>
      <c r="K322" s="67" t="s">
        <v>25256</v>
      </c>
      <c r="L322" s="71"/>
      <c r="M322" s="72"/>
      <c r="N322" s="72"/>
      <c r="O322" s="73"/>
      <c r="P322" s="74"/>
      <c r="Q322" s="74"/>
      <c r="R322" s="86"/>
      <c r="S322" s="86"/>
      <c r="T322" s="86"/>
      <c r="U322" s="86"/>
      <c r="V322" s="48"/>
      <c r="W322" s="48"/>
      <c r="X322" s="48"/>
      <c r="Y322" s="48"/>
      <c r="Z322" s="47"/>
      <c r="AA322" s="69">
        <v>322</v>
      </c>
      <c r="AB322" s="69"/>
      <c r="AC322" s="70"/>
      <c r="AD322" s="76" t="s">
        <v>22129</v>
      </c>
      <c r="AE322" s="81" t="s">
        <v>21237</v>
      </c>
      <c r="AF322" s="76">
        <v>767</v>
      </c>
      <c r="AG322" s="76">
        <v>2048</v>
      </c>
      <c r="AH322" s="76">
        <v>2264</v>
      </c>
      <c r="AI322" s="76">
        <v>1</v>
      </c>
      <c r="AJ322" s="76">
        <v>2100</v>
      </c>
      <c r="AK322" s="76">
        <v>247</v>
      </c>
      <c r="AL322" s="76" t="b">
        <v>0</v>
      </c>
      <c r="AM322" s="78">
        <v>44679.800833333335</v>
      </c>
      <c r="AN322" s="76"/>
      <c r="AO322" s="76" t="s">
        <v>23620</v>
      </c>
      <c r="AP322" s="76"/>
      <c r="AQ322" s="76"/>
      <c r="AR322" s="76"/>
      <c r="AS322" s="76"/>
      <c r="AT322" s="76"/>
      <c r="AU322" s="76"/>
      <c r="AV322" s="76">
        <v>1.6765916253703199E+18</v>
      </c>
      <c r="AW322" s="76"/>
      <c r="AX322" s="76" t="b">
        <v>0</v>
      </c>
      <c r="AY322" s="76"/>
      <c r="AZ322" s="76"/>
      <c r="BA322" s="76" t="b">
        <v>0</v>
      </c>
      <c r="BB322" s="76" t="b">
        <v>1</v>
      </c>
      <c r="BC322" s="76" t="b">
        <v>1</v>
      </c>
      <c r="BD322" s="76" t="b">
        <v>0</v>
      </c>
      <c r="BE322" s="76" t="b">
        <v>1</v>
      </c>
      <c r="BF322" s="76" t="b">
        <v>0</v>
      </c>
      <c r="BG322" s="76" t="b">
        <v>0</v>
      </c>
      <c r="BH322" s="83" t="str">
        <f>HYPERLINK("https://pbs.twimg.com/profile_banners/1519756581369491458/1651173515")</f>
        <v>https://pbs.twimg.com/profile_banners/1519756581369491458/1651173515</v>
      </c>
      <c r="BI322" s="76"/>
      <c r="BJ322" s="76" t="s">
        <v>24935</v>
      </c>
      <c r="BK322" s="76" t="b">
        <v>0</v>
      </c>
      <c r="BL322" s="76"/>
      <c r="BM322" s="76" t="s">
        <v>66</v>
      </c>
      <c r="BN322" s="76" t="s">
        <v>24937</v>
      </c>
      <c r="BO322" s="83" t="str">
        <f>HYPERLINK("https://twitter.com/rafaelg91275867")</f>
        <v>https://twitter.com/rafaelg91275867</v>
      </c>
      <c r="BP322" s="2"/>
    </row>
    <row r="323" spans="1:68" x14ac:dyDescent="0.25">
      <c r="A323" s="62" t="s">
        <v>531</v>
      </c>
      <c r="B323" s="63"/>
      <c r="C323" s="63"/>
      <c r="D323" s="64"/>
      <c r="E323" s="66"/>
      <c r="F323" s="102" t="str">
        <f>HYPERLINK("https://pbs.twimg.com/profile_images/1645156125824757761/LGZpa39h_normal.jpg")</f>
        <v>https://pbs.twimg.com/profile_images/1645156125824757761/LGZpa39h_normal.jpg</v>
      </c>
      <c r="G323" s="63"/>
      <c r="H323" s="67"/>
      <c r="I323" s="68"/>
      <c r="J323" s="68"/>
      <c r="K323" s="67" t="s">
        <v>25257</v>
      </c>
      <c r="L323" s="71"/>
      <c r="M323" s="72"/>
      <c r="N323" s="72"/>
      <c r="O323" s="73"/>
      <c r="P323" s="74"/>
      <c r="Q323" s="74"/>
      <c r="R323" s="86"/>
      <c r="S323" s="86"/>
      <c r="T323" s="86"/>
      <c r="U323" s="86"/>
      <c r="V323" s="48"/>
      <c r="W323" s="48"/>
      <c r="X323" s="48"/>
      <c r="Y323" s="48"/>
      <c r="Z323" s="47"/>
      <c r="AA323" s="69">
        <v>323</v>
      </c>
      <c r="AB323" s="69"/>
      <c r="AC323" s="70"/>
      <c r="AD323" s="76" t="s">
        <v>22130</v>
      </c>
      <c r="AE323" s="81" t="s">
        <v>21238</v>
      </c>
      <c r="AF323" s="76">
        <v>0</v>
      </c>
      <c r="AG323" s="76">
        <v>75</v>
      </c>
      <c r="AH323" s="76">
        <v>5</v>
      </c>
      <c r="AI323" s="76">
        <v>0</v>
      </c>
      <c r="AJ323" s="76">
        <v>13</v>
      </c>
      <c r="AK323" s="76">
        <v>3</v>
      </c>
      <c r="AL323" s="76" t="b">
        <v>0</v>
      </c>
      <c r="AM323" s="78">
        <v>45017.986539351848</v>
      </c>
      <c r="AN323" s="76"/>
      <c r="AO323" s="76" t="s">
        <v>23621</v>
      </c>
      <c r="AP323" s="83" t="str">
        <f>HYPERLINK("https://t.co/UlBPisKzaf")</f>
        <v>https://t.co/UlBPisKzaf</v>
      </c>
      <c r="AQ323" s="83" t="str">
        <f>HYPERLINK("http://a4d26c02978300ffe.awsglobalaccelerator.com/api/register/register_view?userID=12978766")</f>
        <v>http://a4d26c02978300ffe.awsglobalaccelerator.com/api/register/register_view?userID=12978766</v>
      </c>
      <c r="AR323" s="76" t="s">
        <v>24426</v>
      </c>
      <c r="AS323" s="76"/>
      <c r="AT323" s="76"/>
      <c r="AU323" s="76"/>
      <c r="AV323" s="76"/>
      <c r="AW323" s="83" t="str">
        <f>HYPERLINK("https://t.co/UlBPisKzaf")</f>
        <v>https://t.co/UlBPisKzaf</v>
      </c>
      <c r="AX323" s="76" t="b">
        <v>0</v>
      </c>
      <c r="AY323" s="76"/>
      <c r="AZ323" s="76"/>
      <c r="BA323" s="76" t="b">
        <v>0</v>
      </c>
      <c r="BB323" s="76" t="b">
        <v>1</v>
      </c>
      <c r="BC323" s="76" t="b">
        <v>1</v>
      </c>
      <c r="BD323" s="76" t="b">
        <v>0</v>
      </c>
      <c r="BE323" s="76" t="b">
        <v>0</v>
      </c>
      <c r="BF323" s="76" t="b">
        <v>0</v>
      </c>
      <c r="BG323" s="76" t="b">
        <v>0</v>
      </c>
      <c r="BH323" s="76"/>
      <c r="BI323" s="76"/>
      <c r="BJ323" s="76" t="s">
        <v>24935</v>
      </c>
      <c r="BK323" s="76" t="b">
        <v>0</v>
      </c>
      <c r="BL323" s="76"/>
      <c r="BM323" s="76" t="s">
        <v>66</v>
      </c>
      <c r="BN323" s="76" t="s">
        <v>24937</v>
      </c>
      <c r="BO323" s="83" t="str">
        <f>HYPERLINK("https://twitter.com/suelenm56533946")</f>
        <v>https://twitter.com/suelenm56533946</v>
      </c>
      <c r="BP323" s="2"/>
    </row>
    <row r="324" spans="1:68" x14ac:dyDescent="0.25">
      <c r="A324" s="62" t="s">
        <v>532</v>
      </c>
      <c r="B324" s="63"/>
      <c r="C324" s="63"/>
      <c r="D324" s="64"/>
      <c r="E324" s="66"/>
      <c r="F324" s="102" t="str">
        <f>HYPERLINK("https://pbs.twimg.com/profile_images/1683670442756669440/G8YJ8gOY_normal.jpg")</f>
        <v>https://pbs.twimg.com/profile_images/1683670442756669440/G8YJ8gOY_normal.jpg</v>
      </c>
      <c r="G324" s="63"/>
      <c r="H324" s="67"/>
      <c r="I324" s="68"/>
      <c r="J324" s="68"/>
      <c r="K324" s="67" t="s">
        <v>25258</v>
      </c>
      <c r="L324" s="71"/>
      <c r="M324" s="72"/>
      <c r="N324" s="72"/>
      <c r="O324" s="73"/>
      <c r="P324" s="74"/>
      <c r="Q324" s="74"/>
      <c r="R324" s="86"/>
      <c r="S324" s="86"/>
      <c r="T324" s="86"/>
      <c r="U324" s="86"/>
      <c r="V324" s="48"/>
      <c r="W324" s="48"/>
      <c r="X324" s="48"/>
      <c r="Y324" s="48"/>
      <c r="Z324" s="47"/>
      <c r="AA324" s="69">
        <v>324</v>
      </c>
      <c r="AB324" s="69"/>
      <c r="AC324" s="70"/>
      <c r="AD324" s="76" t="s">
        <v>22131</v>
      </c>
      <c r="AE324" s="81" t="s">
        <v>21239</v>
      </c>
      <c r="AF324" s="76">
        <v>0</v>
      </c>
      <c r="AG324" s="76">
        <v>19</v>
      </c>
      <c r="AH324" s="76">
        <v>4</v>
      </c>
      <c r="AI324" s="76">
        <v>0</v>
      </c>
      <c r="AJ324" s="76">
        <v>6</v>
      </c>
      <c r="AK324" s="76">
        <v>4</v>
      </c>
      <c r="AL324" s="76" t="b">
        <v>0</v>
      </c>
      <c r="AM324" s="78">
        <v>45132.112060185187</v>
      </c>
      <c r="AN324" s="76"/>
      <c r="AO324" s="76" t="s">
        <v>23622</v>
      </c>
      <c r="AP324" s="83" t="str">
        <f>HYPERLINK("https://t.co/lKIOhzNhvK")</f>
        <v>https://t.co/lKIOhzNhvK</v>
      </c>
      <c r="AQ324" s="83" t="str">
        <f>HYPERLINK("https://wa.link/o6eh3t")</f>
        <v>https://wa.link/o6eh3t</v>
      </c>
      <c r="AR324" s="76" t="s">
        <v>24427</v>
      </c>
      <c r="AS324" s="76"/>
      <c r="AT324" s="76"/>
      <c r="AU324" s="76"/>
      <c r="AV324" s="76"/>
      <c r="AW324" s="83" t="str">
        <f>HYPERLINK("https://t.co/lKIOhzNhvK")</f>
        <v>https://t.co/lKIOhzNhvK</v>
      </c>
      <c r="AX324" s="76" t="b">
        <v>0</v>
      </c>
      <c r="AY324" s="76"/>
      <c r="AZ324" s="76"/>
      <c r="BA324" s="76" t="b">
        <v>0</v>
      </c>
      <c r="BB324" s="76" t="b">
        <v>1</v>
      </c>
      <c r="BC324" s="76" t="b">
        <v>1</v>
      </c>
      <c r="BD324" s="76" t="b">
        <v>0</v>
      </c>
      <c r="BE324" s="76" t="b">
        <v>0</v>
      </c>
      <c r="BF324" s="76" t="b">
        <v>0</v>
      </c>
      <c r="BG324" s="76" t="b">
        <v>0</v>
      </c>
      <c r="BH324" s="83" t="str">
        <f>HYPERLINK("https://pbs.twimg.com/profile_banners/1683668564325048320/1690253561")</f>
        <v>https://pbs.twimg.com/profile_banners/1683668564325048320/1690253561</v>
      </c>
      <c r="BI324" s="76"/>
      <c r="BJ324" s="76" t="s">
        <v>24935</v>
      </c>
      <c r="BK324" s="76" t="b">
        <v>0</v>
      </c>
      <c r="BL324" s="76"/>
      <c r="BM324" s="76" t="s">
        <v>66</v>
      </c>
      <c r="BN324" s="76" t="s">
        <v>24937</v>
      </c>
      <c r="BO324" s="83" t="str">
        <f>HYPERLINK("https://twitter.com/rei_do_money")</f>
        <v>https://twitter.com/rei_do_money</v>
      </c>
      <c r="BP324" s="2"/>
    </row>
    <row r="325" spans="1:68" x14ac:dyDescent="0.25">
      <c r="A325" s="62" t="s">
        <v>533</v>
      </c>
      <c r="B325" s="63"/>
      <c r="C325" s="63"/>
      <c r="D325" s="64"/>
      <c r="E325" s="66"/>
      <c r="F325" s="102" t="str">
        <f>HYPERLINK("https://pbs.twimg.com/profile_images/1671255904015073281/ioFR9VC4_normal.jpg")</f>
        <v>https://pbs.twimg.com/profile_images/1671255904015073281/ioFR9VC4_normal.jpg</v>
      </c>
      <c r="G325" s="63"/>
      <c r="H325" s="67"/>
      <c r="I325" s="68"/>
      <c r="J325" s="68"/>
      <c r="K325" s="67" t="s">
        <v>25259</v>
      </c>
      <c r="L325" s="71"/>
      <c r="M325" s="72"/>
      <c r="N325" s="72"/>
      <c r="O325" s="73"/>
      <c r="P325" s="74"/>
      <c r="Q325" s="74"/>
      <c r="R325" s="86"/>
      <c r="S325" s="86"/>
      <c r="T325" s="86"/>
      <c r="U325" s="86"/>
      <c r="V325" s="48"/>
      <c r="W325" s="48"/>
      <c r="X325" s="48"/>
      <c r="Y325" s="48"/>
      <c r="Z325" s="47"/>
      <c r="AA325" s="69">
        <v>325</v>
      </c>
      <c r="AB325" s="69"/>
      <c r="AC325" s="70"/>
      <c r="AD325" s="76" t="s">
        <v>22132</v>
      </c>
      <c r="AE325" s="81" t="s">
        <v>22925</v>
      </c>
      <c r="AF325" s="76">
        <v>842</v>
      </c>
      <c r="AG325" s="76">
        <v>506</v>
      </c>
      <c r="AH325" s="76">
        <v>13512</v>
      </c>
      <c r="AI325" s="76">
        <v>41</v>
      </c>
      <c r="AJ325" s="76">
        <v>102</v>
      </c>
      <c r="AK325" s="76">
        <v>1640</v>
      </c>
      <c r="AL325" s="76" t="b">
        <v>0</v>
      </c>
      <c r="AM325" s="78">
        <v>40042.953946759262</v>
      </c>
      <c r="AN325" s="76" t="s">
        <v>14040</v>
      </c>
      <c r="AO325" s="76" t="s">
        <v>23623</v>
      </c>
      <c r="AP325" s="83" t="str">
        <f>HYPERLINK("https://t.co/doc8Utm7R0")</f>
        <v>https://t.co/doc8Utm7R0</v>
      </c>
      <c r="AQ325" s="83" t="str">
        <f>HYPERLINK("https://youtube.com/jonathasluzoficial")</f>
        <v>https://youtube.com/jonathasluzoficial</v>
      </c>
      <c r="AR325" s="76" t="s">
        <v>24428</v>
      </c>
      <c r="AS325" s="76" t="s">
        <v>24831</v>
      </c>
      <c r="AT325" s="76" t="s">
        <v>24842</v>
      </c>
      <c r="AU325" s="76" t="s">
        <v>24873</v>
      </c>
      <c r="AV325" s="76">
        <v>1.3345729120876001E+18</v>
      </c>
      <c r="AW325" s="83" t="str">
        <f>HYPERLINK("https://t.co/doc8Utm7R0")</f>
        <v>https://t.co/doc8Utm7R0</v>
      </c>
      <c r="AX325" s="76" t="b">
        <v>0</v>
      </c>
      <c r="AY325" s="76"/>
      <c r="AZ325" s="76"/>
      <c r="BA325" s="76" t="b">
        <v>0</v>
      </c>
      <c r="BB325" s="76" t="b">
        <v>0</v>
      </c>
      <c r="BC325" s="76" t="b">
        <v>0</v>
      </c>
      <c r="BD325" s="76" t="b">
        <v>0</v>
      </c>
      <c r="BE325" s="76" t="b">
        <v>1</v>
      </c>
      <c r="BF325" s="76" t="b">
        <v>0</v>
      </c>
      <c r="BG325" s="76" t="b">
        <v>0</v>
      </c>
      <c r="BH325" s="83" t="str">
        <f>HYPERLINK("https://pbs.twimg.com/profile_banners/66514992/1613521356")</f>
        <v>https://pbs.twimg.com/profile_banners/66514992/1613521356</v>
      </c>
      <c r="BI325" s="76"/>
      <c r="BJ325" s="76" t="s">
        <v>24935</v>
      </c>
      <c r="BK325" s="76" t="b">
        <v>0</v>
      </c>
      <c r="BL325" s="76"/>
      <c r="BM325" s="76" t="s">
        <v>66</v>
      </c>
      <c r="BN325" s="76" t="s">
        <v>24937</v>
      </c>
      <c r="BO325" s="83" t="str">
        <f>HYPERLINK("https://twitter.com/jhonny_luz")</f>
        <v>https://twitter.com/jhonny_luz</v>
      </c>
      <c r="BP325" s="2"/>
    </row>
    <row r="326" spans="1:68" x14ac:dyDescent="0.25">
      <c r="A326" s="62" t="s">
        <v>534</v>
      </c>
      <c r="B326" s="63"/>
      <c r="C326" s="63"/>
      <c r="D326" s="64"/>
      <c r="E326" s="66"/>
      <c r="F326" s="102" t="str">
        <f>HYPERLINK("https://pbs.twimg.com/profile_images/1577823313023361024/by87PUiU_normal.jpg")</f>
        <v>https://pbs.twimg.com/profile_images/1577823313023361024/by87PUiU_normal.jpg</v>
      </c>
      <c r="G326" s="63"/>
      <c r="H326" s="67"/>
      <c r="I326" s="68"/>
      <c r="J326" s="68"/>
      <c r="K326" s="67" t="s">
        <v>25260</v>
      </c>
      <c r="L326" s="71"/>
      <c r="M326" s="72"/>
      <c r="N326" s="72"/>
      <c r="O326" s="73"/>
      <c r="P326" s="74"/>
      <c r="Q326" s="74"/>
      <c r="R326" s="86"/>
      <c r="S326" s="86"/>
      <c r="T326" s="86"/>
      <c r="U326" s="86"/>
      <c r="V326" s="48"/>
      <c r="W326" s="48"/>
      <c r="X326" s="48"/>
      <c r="Y326" s="48"/>
      <c r="Z326" s="47"/>
      <c r="AA326" s="69">
        <v>326</v>
      </c>
      <c r="AB326" s="69"/>
      <c r="AC326" s="70"/>
      <c r="AD326" s="76" t="s">
        <v>22133</v>
      </c>
      <c r="AE326" s="81" t="s">
        <v>22926</v>
      </c>
      <c r="AF326" s="76">
        <v>533</v>
      </c>
      <c r="AG326" s="76">
        <v>5</v>
      </c>
      <c r="AH326" s="76">
        <v>20687</v>
      </c>
      <c r="AI326" s="76">
        <v>9</v>
      </c>
      <c r="AJ326" s="76">
        <v>36</v>
      </c>
      <c r="AK326" s="76">
        <v>453</v>
      </c>
      <c r="AL326" s="76" t="b">
        <v>0</v>
      </c>
      <c r="AM326" s="78">
        <v>40188.301238425927</v>
      </c>
      <c r="AN326" s="76" t="s">
        <v>23167</v>
      </c>
      <c r="AO326" s="76" t="s">
        <v>23624</v>
      </c>
      <c r="AP326" s="83" t="str">
        <f>HYPERLINK("https://t.co/wUb1Ks5tRz")</f>
        <v>https://t.co/wUb1Ks5tRz</v>
      </c>
      <c r="AQ326" s="83" t="str">
        <f>HYPERLINK("http://linktr.ee/agathaleeharper")</f>
        <v>http://linktr.ee/agathaleeharper</v>
      </c>
      <c r="AR326" s="76" t="s">
        <v>24429</v>
      </c>
      <c r="AS326" s="76"/>
      <c r="AT326" s="76"/>
      <c r="AU326" s="76"/>
      <c r="AV326" s="76"/>
      <c r="AW326" s="83" t="str">
        <f>HYPERLINK("https://t.co/wUb1Ks5tRz")</f>
        <v>https://t.co/wUb1Ks5tRz</v>
      </c>
      <c r="AX326" s="76" t="b">
        <v>0</v>
      </c>
      <c r="AY326" s="76"/>
      <c r="AZ326" s="76"/>
      <c r="BA326" s="76" t="b">
        <v>0</v>
      </c>
      <c r="BB326" s="76" t="b">
        <v>1</v>
      </c>
      <c r="BC326" s="76" t="b">
        <v>0</v>
      </c>
      <c r="BD326" s="76" t="b">
        <v>0</v>
      </c>
      <c r="BE326" s="76" t="b">
        <v>0</v>
      </c>
      <c r="BF326" s="76" t="b">
        <v>0</v>
      </c>
      <c r="BG326" s="76" t="b">
        <v>0</v>
      </c>
      <c r="BH326" s="83" t="str">
        <f>HYPERLINK("https://pbs.twimg.com/profile_banners/103507690/1675771837")</f>
        <v>https://pbs.twimg.com/profile_banners/103507690/1675771837</v>
      </c>
      <c r="BI326" s="76"/>
      <c r="BJ326" s="76" t="s">
        <v>24935</v>
      </c>
      <c r="BK326" s="76" t="b">
        <v>0</v>
      </c>
      <c r="BL326" s="76"/>
      <c r="BM326" s="76" t="s">
        <v>66</v>
      </c>
      <c r="BN326" s="76" t="s">
        <v>24937</v>
      </c>
      <c r="BO326" s="83" t="str">
        <f>HYPERLINK("https://twitter.com/agathaleeharper")</f>
        <v>https://twitter.com/agathaleeharper</v>
      </c>
      <c r="BP326" s="2"/>
    </row>
    <row r="327" spans="1:68" x14ac:dyDescent="0.25">
      <c r="A327" s="62" t="s">
        <v>535</v>
      </c>
      <c r="B327" s="63"/>
      <c r="C327" s="63"/>
      <c r="D327" s="64"/>
      <c r="E327" s="66"/>
      <c r="F327" s="102" t="str">
        <f>HYPERLINK("https://pbs.twimg.com/profile_images/1706754884609970176/N6nHzVkC_normal.jpg")</f>
        <v>https://pbs.twimg.com/profile_images/1706754884609970176/N6nHzVkC_normal.jpg</v>
      </c>
      <c r="G327" s="63"/>
      <c r="H327" s="67"/>
      <c r="I327" s="68"/>
      <c r="J327" s="68"/>
      <c r="K327" s="67" t="s">
        <v>25261</v>
      </c>
      <c r="L327" s="71"/>
      <c r="M327" s="72"/>
      <c r="N327" s="72"/>
      <c r="O327" s="73"/>
      <c r="P327" s="74"/>
      <c r="Q327" s="74"/>
      <c r="R327" s="86"/>
      <c r="S327" s="86"/>
      <c r="T327" s="86"/>
      <c r="U327" s="86"/>
      <c r="V327" s="48"/>
      <c r="W327" s="48"/>
      <c r="X327" s="48"/>
      <c r="Y327" s="48"/>
      <c r="Z327" s="47"/>
      <c r="AA327" s="69">
        <v>327</v>
      </c>
      <c r="AB327" s="69"/>
      <c r="AC327" s="70"/>
      <c r="AD327" s="76" t="s">
        <v>22134</v>
      </c>
      <c r="AE327" s="81" t="s">
        <v>21240</v>
      </c>
      <c r="AF327" s="76">
        <v>6</v>
      </c>
      <c r="AG327" s="76">
        <v>45</v>
      </c>
      <c r="AH327" s="76">
        <v>146</v>
      </c>
      <c r="AI327" s="76">
        <v>1</v>
      </c>
      <c r="AJ327" s="76">
        <v>267</v>
      </c>
      <c r="AK327" s="76">
        <v>7</v>
      </c>
      <c r="AL327" s="76" t="b">
        <v>0</v>
      </c>
      <c r="AM327" s="78">
        <v>44909.662164351852</v>
      </c>
      <c r="AN327" s="76"/>
      <c r="AO327" s="76" t="s">
        <v>23625</v>
      </c>
      <c r="AP327" s="76"/>
      <c r="AQ327" s="76"/>
      <c r="AR327" s="76"/>
      <c r="AS327" s="76"/>
      <c r="AT327" s="76"/>
      <c r="AU327" s="76"/>
      <c r="AV327" s="76"/>
      <c r="AW327" s="76"/>
      <c r="AX327" s="76" t="b">
        <v>0</v>
      </c>
      <c r="AY327" s="76"/>
      <c r="AZ327" s="76"/>
      <c r="BA327" s="76" t="b">
        <v>0</v>
      </c>
      <c r="BB327" s="76" t="b">
        <v>1</v>
      </c>
      <c r="BC327" s="76" t="b">
        <v>1</v>
      </c>
      <c r="BD327" s="76" t="b">
        <v>0</v>
      </c>
      <c r="BE327" s="76" t="b">
        <v>0</v>
      </c>
      <c r="BF327" s="76" t="b">
        <v>0</v>
      </c>
      <c r="BG327" s="76" t="b">
        <v>0</v>
      </c>
      <c r="BH327" s="83" t="str">
        <f>HYPERLINK("https://pbs.twimg.com/profile_banners/1603055289628037122/1683638651")</f>
        <v>https://pbs.twimg.com/profile_banners/1603055289628037122/1683638651</v>
      </c>
      <c r="BI327" s="76"/>
      <c r="BJ327" s="76" t="s">
        <v>24935</v>
      </c>
      <c r="BK327" s="76" t="b">
        <v>0</v>
      </c>
      <c r="BL327" s="76"/>
      <c r="BM327" s="76" t="s">
        <v>66</v>
      </c>
      <c r="BN327" s="76" t="s">
        <v>24937</v>
      </c>
      <c r="BO327" s="83" t="str">
        <f>HYPERLINK("https://twitter.com/joseguilhermeft")</f>
        <v>https://twitter.com/joseguilhermeft</v>
      </c>
      <c r="BP327" s="2"/>
    </row>
    <row r="328" spans="1:68" x14ac:dyDescent="0.25">
      <c r="A328" s="62" t="s">
        <v>536</v>
      </c>
      <c r="B328" s="63"/>
      <c r="C328" s="63"/>
      <c r="D328" s="64"/>
      <c r="E328" s="66"/>
      <c r="F328" s="102" t="str">
        <f>HYPERLINK("https://pbs.twimg.com/profile_images/1555610985490272258/dhXe8N1V_normal.jpg")</f>
        <v>https://pbs.twimg.com/profile_images/1555610985490272258/dhXe8N1V_normal.jpg</v>
      </c>
      <c r="G328" s="63"/>
      <c r="H328" s="67"/>
      <c r="I328" s="68"/>
      <c r="J328" s="68"/>
      <c r="K328" s="67" t="s">
        <v>25262</v>
      </c>
      <c r="L328" s="71"/>
      <c r="M328" s="72"/>
      <c r="N328" s="72"/>
      <c r="O328" s="73"/>
      <c r="P328" s="74"/>
      <c r="Q328" s="74"/>
      <c r="R328" s="86"/>
      <c r="S328" s="86"/>
      <c r="T328" s="86"/>
      <c r="U328" s="86"/>
      <c r="V328" s="48"/>
      <c r="W328" s="48"/>
      <c r="X328" s="48"/>
      <c r="Y328" s="48"/>
      <c r="Z328" s="47"/>
      <c r="AA328" s="69">
        <v>328</v>
      </c>
      <c r="AB328" s="69"/>
      <c r="AC328" s="70"/>
      <c r="AD328" s="76" t="s">
        <v>22135</v>
      </c>
      <c r="AE328" s="81" t="s">
        <v>22927</v>
      </c>
      <c r="AF328" s="76">
        <v>1222</v>
      </c>
      <c r="AG328" s="76">
        <v>327</v>
      </c>
      <c r="AH328" s="76">
        <v>16965</v>
      </c>
      <c r="AI328" s="76">
        <v>1</v>
      </c>
      <c r="AJ328" s="76">
        <v>7783</v>
      </c>
      <c r="AK328" s="76">
        <v>552</v>
      </c>
      <c r="AL328" s="76" t="b">
        <v>0</v>
      </c>
      <c r="AM328" s="78">
        <v>40004.660405092596</v>
      </c>
      <c r="AN328" s="76" t="s">
        <v>23168</v>
      </c>
      <c r="AO328" s="76" t="s">
        <v>23626</v>
      </c>
      <c r="AP328" s="83" t="str">
        <f>HYPERLINK("https://t.co/uBhsxRD4bJ")</f>
        <v>https://t.co/uBhsxRD4bJ</v>
      </c>
      <c r="AQ328" s="83" t="str">
        <f>HYPERLINK("https://instabio.cc/CarolinaBouvie")</f>
        <v>https://instabio.cc/CarolinaBouvie</v>
      </c>
      <c r="AR328" s="76" t="s">
        <v>24430</v>
      </c>
      <c r="AS328" s="76"/>
      <c r="AT328" s="76"/>
      <c r="AU328" s="76"/>
      <c r="AV328" s="76">
        <v>1.5401366796416399E+18</v>
      </c>
      <c r="AW328" s="83" t="str">
        <f>HYPERLINK("https://t.co/uBhsxRD4bJ")</f>
        <v>https://t.co/uBhsxRD4bJ</v>
      </c>
      <c r="AX328" s="76" t="b">
        <v>0</v>
      </c>
      <c r="AY328" s="76"/>
      <c r="AZ328" s="76"/>
      <c r="BA328" s="76" t="b">
        <v>1</v>
      </c>
      <c r="BB328" s="76" t="b">
        <v>1</v>
      </c>
      <c r="BC328" s="76" t="b">
        <v>0</v>
      </c>
      <c r="BD328" s="76" t="b">
        <v>0</v>
      </c>
      <c r="BE328" s="76" t="b">
        <v>1</v>
      </c>
      <c r="BF328" s="76" t="b">
        <v>0</v>
      </c>
      <c r="BG328" s="76" t="b">
        <v>0</v>
      </c>
      <c r="BH328" s="83" t="str">
        <f>HYPERLINK("https://pbs.twimg.com/profile_banners/55594905/1592580979")</f>
        <v>https://pbs.twimg.com/profile_banners/55594905/1592580979</v>
      </c>
      <c r="BI328" s="76"/>
      <c r="BJ328" s="76" t="s">
        <v>24935</v>
      </c>
      <c r="BK328" s="76" t="b">
        <v>0</v>
      </c>
      <c r="BL328" s="76"/>
      <c r="BM328" s="76" t="s">
        <v>66</v>
      </c>
      <c r="BN328" s="76" t="s">
        <v>24937</v>
      </c>
      <c r="BO328" s="83" t="str">
        <f>HYPERLINK("https://twitter.com/carolinabouvie")</f>
        <v>https://twitter.com/carolinabouvie</v>
      </c>
      <c r="BP328" s="2"/>
    </row>
    <row r="329" spans="1:68" x14ac:dyDescent="0.25">
      <c r="A329" s="62" t="s">
        <v>537</v>
      </c>
      <c r="B329" s="63"/>
      <c r="C329" s="63"/>
      <c r="D329" s="64"/>
      <c r="E329" s="66"/>
      <c r="F329" s="102" t="str">
        <f>HYPERLINK("https://pbs.twimg.com/profile_images/1581769496670490626/kGTRygGn_normal.jpg")</f>
        <v>https://pbs.twimg.com/profile_images/1581769496670490626/kGTRygGn_normal.jpg</v>
      </c>
      <c r="G329" s="63"/>
      <c r="H329" s="67"/>
      <c r="I329" s="68"/>
      <c r="J329" s="68"/>
      <c r="K329" s="67" t="s">
        <v>25263</v>
      </c>
      <c r="L329" s="71"/>
      <c r="M329" s="72"/>
      <c r="N329" s="72"/>
      <c r="O329" s="73"/>
      <c r="P329" s="74"/>
      <c r="Q329" s="74"/>
      <c r="R329" s="86"/>
      <c r="S329" s="86"/>
      <c r="T329" s="86"/>
      <c r="U329" s="86"/>
      <c r="V329" s="48"/>
      <c r="W329" s="48"/>
      <c r="X329" s="48"/>
      <c r="Y329" s="48"/>
      <c r="Z329" s="47"/>
      <c r="AA329" s="69">
        <v>329</v>
      </c>
      <c r="AB329" s="69"/>
      <c r="AC329" s="70"/>
      <c r="AD329" s="76" t="s">
        <v>22136</v>
      </c>
      <c r="AE329" s="81" t="s">
        <v>21241</v>
      </c>
      <c r="AF329" s="76">
        <v>4</v>
      </c>
      <c r="AG329" s="76">
        <v>8</v>
      </c>
      <c r="AH329" s="76">
        <v>61</v>
      </c>
      <c r="AI329" s="76">
        <v>0</v>
      </c>
      <c r="AJ329" s="76">
        <v>50</v>
      </c>
      <c r="AK329" s="76">
        <v>36</v>
      </c>
      <c r="AL329" s="76" t="b">
        <v>0</v>
      </c>
      <c r="AM329" s="78">
        <v>44850.923414351855</v>
      </c>
      <c r="AN329" s="76" t="s">
        <v>23169</v>
      </c>
      <c r="AO329" s="76" t="s">
        <v>23627</v>
      </c>
      <c r="AP329" s="83" t="str">
        <f>HYPERLINK("https://t.co/ffwTCOW3rR")</f>
        <v>https://t.co/ffwTCOW3rR</v>
      </c>
      <c r="AQ329" s="83" t="str">
        <f>HYPERLINK("https://kwai-video.com/u/@yt100Limits/CsEa9ikv")</f>
        <v>https://kwai-video.com/u/@yt100Limits/CsEa9ikv</v>
      </c>
      <c r="AR329" s="76" t="s">
        <v>24431</v>
      </c>
      <c r="AS329" s="76"/>
      <c r="AT329" s="76"/>
      <c r="AU329" s="76"/>
      <c r="AV329" s="76"/>
      <c r="AW329" s="83" t="str">
        <f>HYPERLINK("https://t.co/ffwTCOW3rR")</f>
        <v>https://t.co/ffwTCOW3rR</v>
      </c>
      <c r="AX329" s="76" t="b">
        <v>0</v>
      </c>
      <c r="AY329" s="76"/>
      <c r="AZ329" s="76"/>
      <c r="BA329" s="76" t="b">
        <v>0</v>
      </c>
      <c r="BB329" s="76" t="b">
        <v>1</v>
      </c>
      <c r="BC329" s="76" t="b">
        <v>1</v>
      </c>
      <c r="BD329" s="76" t="b">
        <v>0</v>
      </c>
      <c r="BE329" s="76" t="b">
        <v>0</v>
      </c>
      <c r="BF329" s="76" t="b">
        <v>0</v>
      </c>
      <c r="BG329" s="76" t="b">
        <v>0</v>
      </c>
      <c r="BH329" s="83" t="str">
        <f>HYPERLINK("https://pbs.twimg.com/profile_banners/1581769337064620032/1665958631")</f>
        <v>https://pbs.twimg.com/profile_banners/1581769337064620032/1665958631</v>
      </c>
      <c r="BI329" s="76"/>
      <c r="BJ329" s="76" t="s">
        <v>24935</v>
      </c>
      <c r="BK329" s="76" t="b">
        <v>0</v>
      </c>
      <c r="BL329" s="76"/>
      <c r="BM329" s="76" t="s">
        <v>66</v>
      </c>
      <c r="BN329" s="76" t="s">
        <v>24937</v>
      </c>
      <c r="BO329" s="83" t="str">
        <f>HYPERLINK("https://twitter.com/yt_100limits")</f>
        <v>https://twitter.com/yt_100limits</v>
      </c>
      <c r="BP329" s="2"/>
    </row>
    <row r="330" spans="1:68" x14ac:dyDescent="0.25">
      <c r="A330" s="62" t="s">
        <v>538</v>
      </c>
      <c r="B330" s="63"/>
      <c r="C330" s="63"/>
      <c r="D330" s="64"/>
      <c r="E330" s="66"/>
      <c r="F330" s="102" t="str">
        <f>HYPERLINK("https://pbs.twimg.com/profile_images/1654737030608302082/mDpL9hKA_normal.png")</f>
        <v>https://pbs.twimg.com/profile_images/1654737030608302082/mDpL9hKA_normal.png</v>
      </c>
      <c r="G330" s="63"/>
      <c r="H330" s="67"/>
      <c r="I330" s="68"/>
      <c r="J330" s="68"/>
      <c r="K330" s="67" t="s">
        <v>25264</v>
      </c>
      <c r="L330" s="71"/>
      <c r="M330" s="72"/>
      <c r="N330" s="72"/>
      <c r="O330" s="73"/>
      <c r="P330" s="74"/>
      <c r="Q330" s="74"/>
      <c r="R330" s="86"/>
      <c r="S330" s="86"/>
      <c r="T330" s="86"/>
      <c r="U330" s="86"/>
      <c r="V330" s="48"/>
      <c r="W330" s="48"/>
      <c r="X330" s="48"/>
      <c r="Y330" s="48"/>
      <c r="Z330" s="47"/>
      <c r="AA330" s="69">
        <v>330</v>
      </c>
      <c r="AB330" s="69"/>
      <c r="AC330" s="70"/>
      <c r="AD330" s="76" t="s">
        <v>22137</v>
      </c>
      <c r="AE330" s="81" t="s">
        <v>21242</v>
      </c>
      <c r="AF330" s="76">
        <v>0</v>
      </c>
      <c r="AG330" s="76">
        <v>2</v>
      </c>
      <c r="AH330" s="76">
        <v>10</v>
      </c>
      <c r="AI330" s="76">
        <v>0</v>
      </c>
      <c r="AJ330" s="76">
        <v>0</v>
      </c>
      <c r="AK330" s="76">
        <v>2</v>
      </c>
      <c r="AL330" s="76" t="b">
        <v>0</v>
      </c>
      <c r="AM330" s="78">
        <v>45052.275752314818</v>
      </c>
      <c r="AN330" s="76"/>
      <c r="AO330" s="76" t="s">
        <v>23628</v>
      </c>
      <c r="AP330" s="83" t="str">
        <f>HYPERLINK("https://t.co/68hJx2FgZN")</f>
        <v>https://t.co/68hJx2FgZN</v>
      </c>
      <c r="AQ330" s="83" t="str">
        <f>HYPERLINK("https://instagram.com/dsb.negociosecarreira?igshid=ZGUzMzM3NWJiOQ==")</f>
        <v>https://instagram.com/dsb.negociosecarreira?igshid=ZGUzMzM3NWJiOQ==</v>
      </c>
      <c r="AR330" s="76" t="s">
        <v>24432</v>
      </c>
      <c r="AS330" s="76"/>
      <c r="AT330" s="76"/>
      <c r="AU330" s="76"/>
      <c r="AV330" s="76">
        <v>1.65474072570623E+18</v>
      </c>
      <c r="AW330" s="83" t="str">
        <f>HYPERLINK("https://t.co/68hJx2FgZN")</f>
        <v>https://t.co/68hJx2FgZN</v>
      </c>
      <c r="AX330" s="76" t="b">
        <v>0</v>
      </c>
      <c r="AY330" s="76"/>
      <c r="AZ330" s="76"/>
      <c r="BA330" s="76" t="b">
        <v>0</v>
      </c>
      <c r="BB330" s="76" t="b">
        <v>1</v>
      </c>
      <c r="BC330" s="76" t="b">
        <v>1</v>
      </c>
      <c r="BD330" s="76" t="b">
        <v>0</v>
      </c>
      <c r="BE330" s="76" t="b">
        <v>0</v>
      </c>
      <c r="BF330" s="76" t="b">
        <v>0</v>
      </c>
      <c r="BG330" s="76" t="b">
        <v>0</v>
      </c>
      <c r="BH330" s="83" t="str">
        <f>HYPERLINK("https://pbs.twimg.com/profile_banners/1654736937280733184/1683355230")</f>
        <v>https://pbs.twimg.com/profile_banners/1654736937280733184/1683355230</v>
      </c>
      <c r="BI330" s="76"/>
      <c r="BJ330" s="76" t="s">
        <v>24935</v>
      </c>
      <c r="BK330" s="76" t="b">
        <v>0</v>
      </c>
      <c r="BL330" s="76"/>
      <c r="BM330" s="76" t="s">
        <v>66</v>
      </c>
      <c r="BN330" s="76" t="s">
        <v>24937</v>
      </c>
      <c r="BO330" s="83" t="str">
        <f>HYPERLINK("https://twitter.com/dsb_negocios")</f>
        <v>https://twitter.com/dsb_negocios</v>
      </c>
      <c r="BP330" s="2"/>
    </row>
    <row r="331" spans="1:68" x14ac:dyDescent="0.25">
      <c r="A331" s="62" t="s">
        <v>539</v>
      </c>
      <c r="B331" s="63"/>
      <c r="C331" s="63"/>
      <c r="D331" s="64"/>
      <c r="E331" s="66"/>
      <c r="F331" s="102" t="str">
        <f>HYPERLINK("https://pbs.twimg.com/profile_images/1636822999515971593/d1RTfW5J_normal.png")</f>
        <v>https://pbs.twimg.com/profile_images/1636822999515971593/d1RTfW5J_normal.png</v>
      </c>
      <c r="G331" s="63"/>
      <c r="H331" s="67"/>
      <c r="I331" s="68"/>
      <c r="J331" s="68"/>
      <c r="K331" s="67" t="s">
        <v>25265</v>
      </c>
      <c r="L331" s="71"/>
      <c r="M331" s="72"/>
      <c r="N331" s="72"/>
      <c r="O331" s="73"/>
      <c r="P331" s="74"/>
      <c r="Q331" s="74"/>
      <c r="R331" s="86"/>
      <c r="S331" s="86"/>
      <c r="T331" s="86"/>
      <c r="U331" s="86"/>
      <c r="V331" s="48"/>
      <c r="W331" s="48"/>
      <c r="X331" s="48"/>
      <c r="Y331" s="48"/>
      <c r="Z331" s="47"/>
      <c r="AA331" s="69">
        <v>331</v>
      </c>
      <c r="AB331" s="69"/>
      <c r="AC331" s="70"/>
      <c r="AD331" s="76" t="s">
        <v>22138</v>
      </c>
      <c r="AE331" s="81" t="s">
        <v>21243</v>
      </c>
      <c r="AF331" s="76">
        <v>2</v>
      </c>
      <c r="AG331" s="76">
        <v>27</v>
      </c>
      <c r="AH331" s="76">
        <v>9</v>
      </c>
      <c r="AI331" s="76">
        <v>0</v>
      </c>
      <c r="AJ331" s="76">
        <v>0</v>
      </c>
      <c r="AK331" s="76">
        <v>6</v>
      </c>
      <c r="AL331" s="76" t="b">
        <v>0</v>
      </c>
      <c r="AM331" s="78">
        <v>44960.809328703705</v>
      </c>
      <c r="AN331" s="76" t="s">
        <v>14033</v>
      </c>
      <c r="AO331" s="76" t="s">
        <v>23629</v>
      </c>
      <c r="AP331" s="76"/>
      <c r="AQ331" s="76"/>
      <c r="AR331" s="76"/>
      <c r="AS331" s="76"/>
      <c r="AT331" s="76"/>
      <c r="AU331" s="76"/>
      <c r="AV331" s="76"/>
      <c r="AW331" s="76"/>
      <c r="AX331" s="76" t="b">
        <v>0</v>
      </c>
      <c r="AY331" s="76"/>
      <c r="AZ331" s="76"/>
      <c r="BA331" s="76" t="b">
        <v>0</v>
      </c>
      <c r="BB331" s="76" t="b">
        <v>1</v>
      </c>
      <c r="BC331" s="76" t="b">
        <v>1</v>
      </c>
      <c r="BD331" s="76" t="b">
        <v>0</v>
      </c>
      <c r="BE331" s="76" t="b">
        <v>0</v>
      </c>
      <c r="BF331" s="76" t="b">
        <v>0</v>
      </c>
      <c r="BG331" s="76" t="b">
        <v>0</v>
      </c>
      <c r="BH331" s="83" t="str">
        <f>HYPERLINK("https://pbs.twimg.com/profile_banners/1621590672443596801/1679328180")</f>
        <v>https://pbs.twimg.com/profile_banners/1621590672443596801/1679328180</v>
      </c>
      <c r="BI331" s="76"/>
      <c r="BJ331" s="76" t="s">
        <v>24935</v>
      </c>
      <c r="BK331" s="76" t="b">
        <v>0</v>
      </c>
      <c r="BL331" s="76"/>
      <c r="BM331" s="76" t="s">
        <v>66</v>
      </c>
      <c r="BN331" s="76" t="s">
        <v>24937</v>
      </c>
      <c r="BO331" s="83" t="str">
        <f>HYPERLINK("https://twitter.com/phygitalasset")</f>
        <v>https://twitter.com/phygitalasset</v>
      </c>
      <c r="BP331" s="2"/>
    </row>
    <row r="332" spans="1:68" x14ac:dyDescent="0.25">
      <c r="A332" s="62" t="s">
        <v>540</v>
      </c>
      <c r="B332" s="63"/>
      <c r="C332" s="63"/>
      <c r="D332" s="64"/>
      <c r="E332" s="66"/>
      <c r="F332" s="102" t="str">
        <f>HYPERLINK("https://pbs.twimg.com/profile_images/1638312398040727555/tdvI8ijp_normal.jpg")</f>
        <v>https://pbs.twimg.com/profile_images/1638312398040727555/tdvI8ijp_normal.jpg</v>
      </c>
      <c r="G332" s="63"/>
      <c r="H332" s="67"/>
      <c r="I332" s="68"/>
      <c r="J332" s="68"/>
      <c r="K332" s="67" t="s">
        <v>25266</v>
      </c>
      <c r="L332" s="71"/>
      <c r="M332" s="72"/>
      <c r="N332" s="72"/>
      <c r="O332" s="73"/>
      <c r="P332" s="74"/>
      <c r="Q332" s="74"/>
      <c r="R332" s="86"/>
      <c r="S332" s="86"/>
      <c r="T332" s="86"/>
      <c r="U332" s="86"/>
      <c r="V332" s="48"/>
      <c r="W332" s="48"/>
      <c r="X332" s="48"/>
      <c r="Y332" s="48"/>
      <c r="Z332" s="47"/>
      <c r="AA332" s="69">
        <v>332</v>
      </c>
      <c r="AB332" s="69"/>
      <c r="AC332" s="70"/>
      <c r="AD332" s="76" t="s">
        <v>22139</v>
      </c>
      <c r="AE332" s="81" t="s">
        <v>22928</v>
      </c>
      <c r="AF332" s="76">
        <v>48183</v>
      </c>
      <c r="AG332" s="76">
        <v>53761</v>
      </c>
      <c r="AH332" s="76">
        <v>199887</v>
      </c>
      <c r="AI332" s="76">
        <v>345</v>
      </c>
      <c r="AJ332" s="76">
        <v>55560</v>
      </c>
      <c r="AK332" s="76">
        <v>21974</v>
      </c>
      <c r="AL332" s="76" t="b">
        <v>0</v>
      </c>
      <c r="AM332" s="78">
        <v>39702.381284722222</v>
      </c>
      <c r="AN332" s="76" t="s">
        <v>23170</v>
      </c>
      <c r="AO332" s="76" t="s">
        <v>23630</v>
      </c>
      <c r="AP332" s="83" t="str">
        <f>HYPERLINK("https://t.co/VcXbp8tYhN")</f>
        <v>https://t.co/VcXbp8tYhN</v>
      </c>
      <c r="AQ332" s="83" t="str">
        <f>HYPERLINK("https://www.tudoonlineagora.com/")</f>
        <v>https://www.tudoonlineagora.com/</v>
      </c>
      <c r="AR332" s="76" t="s">
        <v>24433</v>
      </c>
      <c r="AS332" s="76"/>
      <c r="AT332" s="76"/>
      <c r="AU332" s="76"/>
      <c r="AV332" s="76">
        <v>1.68733618965566E+18</v>
      </c>
      <c r="AW332" s="83" t="str">
        <f>HYPERLINK("https://t.co/VcXbp8tYhN")</f>
        <v>https://t.co/VcXbp8tYhN</v>
      </c>
      <c r="AX332" s="76" t="b">
        <v>0</v>
      </c>
      <c r="AY332" s="76"/>
      <c r="AZ332" s="76"/>
      <c r="BA332" s="76" t="b">
        <v>1</v>
      </c>
      <c r="BB332" s="76" t="b">
        <v>1</v>
      </c>
      <c r="BC332" s="76" t="b">
        <v>0</v>
      </c>
      <c r="BD332" s="76" t="b">
        <v>0</v>
      </c>
      <c r="BE332" s="76" t="b">
        <v>1</v>
      </c>
      <c r="BF332" s="76" t="b">
        <v>0</v>
      </c>
      <c r="BG332" s="76" t="b">
        <v>0</v>
      </c>
      <c r="BH332" s="83" t="str">
        <f>HYPERLINK("https://pbs.twimg.com/profile_banners/16236786/1403261217")</f>
        <v>https://pbs.twimg.com/profile_banners/16236786/1403261217</v>
      </c>
      <c r="BI332" s="76"/>
      <c r="BJ332" s="76" t="s">
        <v>24935</v>
      </c>
      <c r="BK332" s="76" t="b">
        <v>0</v>
      </c>
      <c r="BL332" s="76"/>
      <c r="BM332" s="76" t="s">
        <v>66</v>
      </c>
      <c r="BN332" s="76" t="s">
        <v>24937</v>
      </c>
      <c r="BO332" s="83" t="str">
        <f>HYPERLINK("https://twitter.com/joamot30")</f>
        <v>https://twitter.com/joamot30</v>
      </c>
      <c r="BP332" s="2"/>
    </row>
    <row r="333" spans="1:68" x14ac:dyDescent="0.25">
      <c r="A333" s="62" t="s">
        <v>541</v>
      </c>
      <c r="B333" s="63"/>
      <c r="C333" s="63"/>
      <c r="D333" s="64"/>
      <c r="E333" s="66"/>
      <c r="F333" s="102" t="str">
        <f>HYPERLINK("https://pbs.twimg.com/profile_images/1620517658721394699/kqOyhBY2_normal.jpg")</f>
        <v>https://pbs.twimg.com/profile_images/1620517658721394699/kqOyhBY2_normal.jpg</v>
      </c>
      <c r="G333" s="63"/>
      <c r="H333" s="67"/>
      <c r="I333" s="68"/>
      <c r="J333" s="68"/>
      <c r="K333" s="67" t="s">
        <v>25267</v>
      </c>
      <c r="L333" s="71"/>
      <c r="M333" s="72"/>
      <c r="N333" s="72"/>
      <c r="O333" s="73"/>
      <c r="P333" s="74"/>
      <c r="Q333" s="74"/>
      <c r="R333" s="86"/>
      <c r="S333" s="86"/>
      <c r="T333" s="86"/>
      <c r="U333" s="86"/>
      <c r="V333" s="48"/>
      <c r="W333" s="48"/>
      <c r="X333" s="48"/>
      <c r="Y333" s="48"/>
      <c r="Z333" s="47"/>
      <c r="AA333" s="69">
        <v>333</v>
      </c>
      <c r="AB333" s="69"/>
      <c r="AC333" s="70"/>
      <c r="AD333" s="76" t="s">
        <v>22140</v>
      </c>
      <c r="AE333" s="81" t="s">
        <v>21244</v>
      </c>
      <c r="AF333" s="76">
        <v>0</v>
      </c>
      <c r="AG333" s="76">
        <v>4</v>
      </c>
      <c r="AH333" s="76">
        <v>17</v>
      </c>
      <c r="AI333" s="76">
        <v>0</v>
      </c>
      <c r="AJ333" s="76">
        <v>0</v>
      </c>
      <c r="AK333" s="76">
        <v>0</v>
      </c>
      <c r="AL333" s="76" t="b">
        <v>0</v>
      </c>
      <c r="AM333" s="78">
        <v>44956.686944444446</v>
      </c>
      <c r="AN333" s="76"/>
      <c r="AO333" s="76" t="s">
        <v>23631</v>
      </c>
      <c r="AP333" s="76"/>
      <c r="AQ333" s="76"/>
      <c r="AR333" s="76"/>
      <c r="AS333" s="76"/>
      <c r="AT333" s="76"/>
      <c r="AU333" s="76"/>
      <c r="AV333" s="76"/>
      <c r="AW333" s="76"/>
      <c r="AX333" s="76" t="b">
        <v>0</v>
      </c>
      <c r="AY333" s="76"/>
      <c r="AZ333" s="76"/>
      <c r="BA333" s="76" t="b">
        <v>0</v>
      </c>
      <c r="BB333" s="76" t="b">
        <v>1</v>
      </c>
      <c r="BC333" s="76" t="b">
        <v>1</v>
      </c>
      <c r="BD333" s="76" t="b">
        <v>0</v>
      </c>
      <c r="BE333" s="76" t="b">
        <v>0</v>
      </c>
      <c r="BF333" s="76" t="b">
        <v>0</v>
      </c>
      <c r="BG333" s="76" t="b">
        <v>0</v>
      </c>
      <c r="BH333" s="83" t="str">
        <f>HYPERLINK("https://pbs.twimg.com/profile_banners/1620096611710865413/1675196495")</f>
        <v>https://pbs.twimg.com/profile_banners/1620096611710865413/1675196495</v>
      </c>
      <c r="BI333" s="76"/>
      <c r="BJ333" s="76" t="s">
        <v>24935</v>
      </c>
      <c r="BK333" s="76" t="b">
        <v>0</v>
      </c>
      <c r="BL333" s="76"/>
      <c r="BM333" s="76" t="s">
        <v>66</v>
      </c>
      <c r="BN333" s="76" t="s">
        <v>24937</v>
      </c>
      <c r="BO333" s="83" t="str">
        <f>HYPERLINK("https://twitter.com/vigaraniemanuel")</f>
        <v>https://twitter.com/vigaraniemanuel</v>
      </c>
      <c r="BP333" s="2"/>
    </row>
    <row r="334" spans="1:68" x14ac:dyDescent="0.25">
      <c r="A334" s="62" t="s">
        <v>542</v>
      </c>
      <c r="B334" s="63"/>
      <c r="C334" s="63"/>
      <c r="D334" s="64"/>
      <c r="E334" s="66"/>
      <c r="F334" s="102" t="str">
        <f>HYPERLINK("https://pbs.twimg.com/profile_images/1477309571664334849/orisfYaw_normal.jpg")</f>
        <v>https://pbs.twimg.com/profile_images/1477309571664334849/orisfYaw_normal.jpg</v>
      </c>
      <c r="G334" s="63"/>
      <c r="H334" s="67"/>
      <c r="I334" s="68"/>
      <c r="J334" s="68"/>
      <c r="K334" s="67" t="s">
        <v>25268</v>
      </c>
      <c r="L334" s="71"/>
      <c r="M334" s="72"/>
      <c r="N334" s="72"/>
      <c r="O334" s="73"/>
      <c r="P334" s="74"/>
      <c r="Q334" s="74"/>
      <c r="R334" s="86"/>
      <c r="S334" s="86"/>
      <c r="T334" s="86"/>
      <c r="U334" s="86"/>
      <c r="V334" s="48"/>
      <c r="W334" s="48"/>
      <c r="X334" s="48"/>
      <c r="Y334" s="48"/>
      <c r="Z334" s="47"/>
      <c r="AA334" s="69">
        <v>334</v>
      </c>
      <c r="AB334" s="69"/>
      <c r="AC334" s="70"/>
      <c r="AD334" s="76" t="s">
        <v>22141</v>
      </c>
      <c r="AE334" s="81" t="s">
        <v>21245</v>
      </c>
      <c r="AF334" s="76">
        <v>169</v>
      </c>
      <c r="AG334" s="76">
        <v>371</v>
      </c>
      <c r="AH334" s="76">
        <v>2753</v>
      </c>
      <c r="AI334" s="76">
        <v>4</v>
      </c>
      <c r="AJ334" s="76">
        <v>1382</v>
      </c>
      <c r="AK334" s="76">
        <v>964</v>
      </c>
      <c r="AL334" s="76" t="b">
        <v>0</v>
      </c>
      <c r="AM334" s="78">
        <v>43233.554479166669</v>
      </c>
      <c r="AN334" s="76" t="s">
        <v>23171</v>
      </c>
      <c r="AO334" s="76" t="s">
        <v>23632</v>
      </c>
      <c r="AP334" s="83" t="str">
        <f>HYPERLINK("https://t.co/woEF66fzVe")</f>
        <v>https://t.co/woEF66fzVe</v>
      </c>
      <c r="AQ334" s="83" t="str">
        <f>HYPERLINK("http://amazon.com/author/rogmotta")</f>
        <v>http://amazon.com/author/rogmotta</v>
      </c>
      <c r="AR334" s="76" t="s">
        <v>24434</v>
      </c>
      <c r="AS334" s="76"/>
      <c r="AT334" s="76"/>
      <c r="AU334" s="76"/>
      <c r="AV334" s="76"/>
      <c r="AW334" s="83" t="str">
        <f>HYPERLINK("https://t.co/woEF66fzVe")</f>
        <v>https://t.co/woEF66fzVe</v>
      </c>
      <c r="AX334" s="76" t="b">
        <v>0</v>
      </c>
      <c r="AY334" s="76"/>
      <c r="AZ334" s="76"/>
      <c r="BA334" s="76" t="b">
        <v>0</v>
      </c>
      <c r="BB334" s="76" t="b">
        <v>1</v>
      </c>
      <c r="BC334" s="76" t="b">
        <v>1</v>
      </c>
      <c r="BD334" s="76" t="b">
        <v>0</v>
      </c>
      <c r="BE334" s="76" t="b">
        <v>1</v>
      </c>
      <c r="BF334" s="76" t="b">
        <v>0</v>
      </c>
      <c r="BG334" s="76" t="b">
        <v>0</v>
      </c>
      <c r="BH334" s="83" t="str">
        <f>HYPERLINK("https://pbs.twimg.com/profile_banners/995654504816300032/1641053023")</f>
        <v>https://pbs.twimg.com/profile_banners/995654504816300032/1641053023</v>
      </c>
      <c r="BI334" s="76"/>
      <c r="BJ334" s="76" t="s">
        <v>24935</v>
      </c>
      <c r="BK334" s="76" t="b">
        <v>0</v>
      </c>
      <c r="BL334" s="76"/>
      <c r="BM334" s="76" t="s">
        <v>66</v>
      </c>
      <c r="BN334" s="76" t="s">
        <v>24937</v>
      </c>
      <c r="BO334" s="83" t="str">
        <f>HYPERLINK("https://twitter.com/rogeriomottam")</f>
        <v>https://twitter.com/rogeriomottam</v>
      </c>
      <c r="BP334" s="2"/>
    </row>
    <row r="335" spans="1:68" x14ac:dyDescent="0.25">
      <c r="A335" s="62" t="s">
        <v>1251</v>
      </c>
      <c r="B335" s="63"/>
      <c r="C335" s="63"/>
      <c r="D335" s="64"/>
      <c r="E335" s="66"/>
      <c r="F335" s="102" t="str">
        <f>HYPERLINK("https://pbs.twimg.com/profile_images/1698681834324856832/5qy5GNnM_normal.jpg")</f>
        <v>https://pbs.twimg.com/profile_images/1698681834324856832/5qy5GNnM_normal.jpg</v>
      </c>
      <c r="G335" s="63"/>
      <c r="H335" s="67"/>
      <c r="I335" s="68"/>
      <c r="J335" s="68"/>
      <c r="K335" s="67" t="s">
        <v>25269</v>
      </c>
      <c r="L335" s="71"/>
      <c r="M335" s="72"/>
      <c r="N335" s="72"/>
      <c r="O335" s="73"/>
      <c r="P335" s="74"/>
      <c r="Q335" s="74"/>
      <c r="R335" s="86"/>
      <c r="S335" s="86"/>
      <c r="T335" s="86"/>
      <c r="U335" s="86"/>
      <c r="V335" s="48"/>
      <c r="W335" s="48"/>
      <c r="X335" s="48"/>
      <c r="Y335" s="48"/>
      <c r="Z335" s="47"/>
      <c r="AA335" s="69">
        <v>335</v>
      </c>
      <c r="AB335" s="69"/>
      <c r="AC335" s="70"/>
      <c r="AD335" s="76" t="s">
        <v>22142</v>
      </c>
      <c r="AE335" s="81" t="s">
        <v>22929</v>
      </c>
      <c r="AF335" s="76">
        <v>5721</v>
      </c>
      <c r="AG335" s="76">
        <v>229</v>
      </c>
      <c r="AH335" s="76">
        <v>5889</v>
      </c>
      <c r="AI335" s="76">
        <v>11</v>
      </c>
      <c r="AJ335" s="76">
        <v>2348</v>
      </c>
      <c r="AK335" s="76">
        <v>1547</v>
      </c>
      <c r="AL335" s="76" t="b">
        <v>0</v>
      </c>
      <c r="AM335" s="78">
        <v>44321.694872685184</v>
      </c>
      <c r="AN335" s="76"/>
      <c r="AO335" s="76" t="s">
        <v>23633</v>
      </c>
      <c r="AP335" s="83" t="str">
        <f>HYPERLINK("https://t.co/lyu3hM9twP")</f>
        <v>https://t.co/lyu3hM9twP</v>
      </c>
      <c r="AQ335" s="83" t="str">
        <f>HYPERLINK("http://bit.ly/AFazendaNoKwai")</f>
        <v>http://bit.ly/AFazendaNoKwai</v>
      </c>
      <c r="AR335" s="76" t="s">
        <v>24435</v>
      </c>
      <c r="AS335" s="76"/>
      <c r="AT335" s="76"/>
      <c r="AU335" s="76"/>
      <c r="AV335" s="76"/>
      <c r="AW335" s="83" t="str">
        <f>HYPERLINK("https://t.co/lyu3hM9twP")</f>
        <v>https://t.co/lyu3hM9twP</v>
      </c>
      <c r="AX335" s="76" t="b">
        <v>0</v>
      </c>
      <c r="AY335" s="76"/>
      <c r="AZ335" s="76"/>
      <c r="BA335" s="76" t="b">
        <v>1</v>
      </c>
      <c r="BB335" s="76" t="b">
        <v>1</v>
      </c>
      <c r="BC335" s="76" t="b">
        <v>1</v>
      </c>
      <c r="BD335" s="76" t="b">
        <v>0</v>
      </c>
      <c r="BE335" s="76" t="b">
        <v>1</v>
      </c>
      <c r="BF335" s="76" t="b">
        <v>0</v>
      </c>
      <c r="BG335" s="76" t="b">
        <v>0</v>
      </c>
      <c r="BH335" s="83" t="str">
        <f>HYPERLINK("https://pbs.twimg.com/profile_banners/1389983137707528195/1695147321")</f>
        <v>https://pbs.twimg.com/profile_banners/1389983137707528195/1695147321</v>
      </c>
      <c r="BI335" s="76"/>
      <c r="BJ335" s="76" t="s">
        <v>24935</v>
      </c>
      <c r="BK335" s="76" t="b">
        <v>0</v>
      </c>
      <c r="BL335" s="76"/>
      <c r="BM335" s="76" t="s">
        <v>65</v>
      </c>
      <c r="BN335" s="76" t="s">
        <v>24937</v>
      </c>
      <c r="BO335" s="83" t="str">
        <f>HYPERLINK("https://twitter.com/kwaibrasil")</f>
        <v>https://twitter.com/kwaibrasil</v>
      </c>
      <c r="BP335" s="2"/>
    </row>
    <row r="336" spans="1:68" x14ac:dyDescent="0.25">
      <c r="A336" s="62" t="s">
        <v>543</v>
      </c>
      <c r="B336" s="63"/>
      <c r="C336" s="63"/>
      <c r="D336" s="64"/>
      <c r="E336" s="66"/>
      <c r="F336" s="102" t="str">
        <f>HYPERLINK("https://pbs.twimg.com/profile_images/1638855649600700417/aw0tCDgu_normal.jpg")</f>
        <v>https://pbs.twimg.com/profile_images/1638855649600700417/aw0tCDgu_normal.jpg</v>
      </c>
      <c r="G336" s="63"/>
      <c r="H336" s="67"/>
      <c r="I336" s="68"/>
      <c r="J336" s="68"/>
      <c r="K336" s="67" t="s">
        <v>25270</v>
      </c>
      <c r="L336" s="71"/>
      <c r="M336" s="72"/>
      <c r="N336" s="72"/>
      <c r="O336" s="73"/>
      <c r="P336" s="74"/>
      <c r="Q336" s="74"/>
      <c r="R336" s="86"/>
      <c r="S336" s="86"/>
      <c r="T336" s="86"/>
      <c r="U336" s="86"/>
      <c r="V336" s="48"/>
      <c r="W336" s="48"/>
      <c r="X336" s="48"/>
      <c r="Y336" s="48"/>
      <c r="Z336" s="47"/>
      <c r="AA336" s="69">
        <v>336</v>
      </c>
      <c r="AB336" s="69"/>
      <c r="AC336" s="70"/>
      <c r="AD336" s="76" t="s">
        <v>22143</v>
      </c>
      <c r="AE336" s="81" t="s">
        <v>21246</v>
      </c>
      <c r="AF336" s="76">
        <v>0</v>
      </c>
      <c r="AG336" s="76">
        <v>15</v>
      </c>
      <c r="AH336" s="76">
        <v>18</v>
      </c>
      <c r="AI336" s="76">
        <v>0</v>
      </c>
      <c r="AJ336" s="76">
        <v>27</v>
      </c>
      <c r="AK336" s="76">
        <v>1</v>
      </c>
      <c r="AL336" s="76" t="b">
        <v>0</v>
      </c>
      <c r="AM336" s="78">
        <v>44868.097222222219</v>
      </c>
      <c r="AN336" s="76"/>
      <c r="AO336" s="76" t="s">
        <v>23634</v>
      </c>
      <c r="AP336" s="83" t="str">
        <f>HYPERLINK("https://t.co/RVCCHztAYC")</f>
        <v>https://t.co/RVCCHztAYC</v>
      </c>
      <c r="AQ336" s="83" t="str">
        <f>HYPERLINK("https://go.hotmart.com/C80202610B?ap=f421")</f>
        <v>https://go.hotmart.com/C80202610B?ap=f421</v>
      </c>
      <c r="AR336" s="76" t="s">
        <v>24436</v>
      </c>
      <c r="AS336" s="76"/>
      <c r="AT336" s="76"/>
      <c r="AU336" s="76"/>
      <c r="AV336" s="76"/>
      <c r="AW336" s="83" t="str">
        <f>HYPERLINK("https://t.co/RVCCHztAYC")</f>
        <v>https://t.co/RVCCHztAYC</v>
      </c>
      <c r="AX336" s="76" t="b">
        <v>0</v>
      </c>
      <c r="AY336" s="76"/>
      <c r="AZ336" s="76"/>
      <c r="BA336" s="76" t="b">
        <v>1</v>
      </c>
      <c r="BB336" s="76" t="b">
        <v>1</v>
      </c>
      <c r="BC336" s="76" t="b">
        <v>1</v>
      </c>
      <c r="BD336" s="76" t="b">
        <v>0</v>
      </c>
      <c r="BE336" s="76" t="b">
        <v>1</v>
      </c>
      <c r="BF336" s="76" t="b">
        <v>0</v>
      </c>
      <c r="BG336" s="76" t="b">
        <v>0</v>
      </c>
      <c r="BH336" s="76"/>
      <c r="BI336" s="76"/>
      <c r="BJ336" s="76" t="s">
        <v>24935</v>
      </c>
      <c r="BK336" s="76" t="b">
        <v>0</v>
      </c>
      <c r="BL336" s="76"/>
      <c r="BM336" s="76" t="s">
        <v>66</v>
      </c>
      <c r="BN336" s="76" t="s">
        <v>24937</v>
      </c>
      <c r="BO336" s="83" t="str">
        <f>HYPERLINK("https://twitter.com/edineia_penido")</f>
        <v>https://twitter.com/edineia_penido</v>
      </c>
      <c r="BP336" s="2"/>
    </row>
    <row r="337" spans="1:68" x14ac:dyDescent="0.25">
      <c r="A337" s="62" t="s">
        <v>544</v>
      </c>
      <c r="B337" s="63"/>
      <c r="C337" s="63"/>
      <c r="D337" s="64"/>
      <c r="E337" s="66"/>
      <c r="F337" s="102" t="str">
        <f>HYPERLINK("https://pbs.twimg.com/profile_images/1690232158021988352/BR97Ikr2_normal.png")</f>
        <v>https://pbs.twimg.com/profile_images/1690232158021988352/BR97Ikr2_normal.png</v>
      </c>
      <c r="G337" s="63"/>
      <c r="H337" s="67"/>
      <c r="I337" s="68"/>
      <c r="J337" s="68"/>
      <c r="K337" s="67" t="s">
        <v>25271</v>
      </c>
      <c r="L337" s="71"/>
      <c r="M337" s="72"/>
      <c r="N337" s="72"/>
      <c r="O337" s="73"/>
      <c r="P337" s="74"/>
      <c r="Q337" s="74"/>
      <c r="R337" s="86"/>
      <c r="S337" s="86"/>
      <c r="T337" s="86"/>
      <c r="U337" s="86"/>
      <c r="V337" s="48"/>
      <c r="W337" s="48"/>
      <c r="X337" s="48"/>
      <c r="Y337" s="48"/>
      <c r="Z337" s="47"/>
      <c r="AA337" s="69">
        <v>337</v>
      </c>
      <c r="AB337" s="69"/>
      <c r="AC337" s="70"/>
      <c r="AD337" s="76" t="s">
        <v>22144</v>
      </c>
      <c r="AE337" s="81" t="s">
        <v>21247</v>
      </c>
      <c r="AF337" s="76">
        <v>0</v>
      </c>
      <c r="AG337" s="76">
        <v>26</v>
      </c>
      <c r="AH337" s="76">
        <v>3</v>
      </c>
      <c r="AI337" s="76">
        <v>0</v>
      </c>
      <c r="AJ337" s="76">
        <v>0</v>
      </c>
      <c r="AK337" s="76">
        <v>0</v>
      </c>
      <c r="AL337" s="76" t="b">
        <v>0</v>
      </c>
      <c r="AM337" s="78">
        <v>45150.223645833335</v>
      </c>
      <c r="AN337" s="76"/>
      <c r="AO337" s="76" t="s">
        <v>23635</v>
      </c>
      <c r="AP337" s="76"/>
      <c r="AQ337" s="76"/>
      <c r="AR337" s="76"/>
      <c r="AS337" s="76"/>
      <c r="AT337" s="76"/>
      <c r="AU337" s="76"/>
      <c r="AV337" s="76"/>
      <c r="AW337" s="76"/>
      <c r="AX337" s="76" t="b">
        <v>0</v>
      </c>
      <c r="AY337" s="76"/>
      <c r="AZ337" s="76"/>
      <c r="BA337" s="76" t="b">
        <v>0</v>
      </c>
      <c r="BB337" s="76" t="b">
        <v>1</v>
      </c>
      <c r="BC337" s="76" t="b">
        <v>1</v>
      </c>
      <c r="BD337" s="76" t="b">
        <v>0</v>
      </c>
      <c r="BE337" s="76" t="b">
        <v>0</v>
      </c>
      <c r="BF337" s="76" t="b">
        <v>0</v>
      </c>
      <c r="BG337" s="76" t="b">
        <v>0</v>
      </c>
      <c r="BH337" s="83" t="str">
        <f>HYPERLINK("https://pbs.twimg.com/profile_banners/1690232013666619393/1691854957")</f>
        <v>https://pbs.twimg.com/profile_banners/1690232013666619393/1691854957</v>
      </c>
      <c r="BI337" s="76"/>
      <c r="BJ337" s="76" t="s">
        <v>24935</v>
      </c>
      <c r="BK337" s="76" t="b">
        <v>0</v>
      </c>
      <c r="BL337" s="76"/>
      <c r="BM337" s="76" t="s">
        <v>66</v>
      </c>
      <c r="BN337" s="76" t="s">
        <v>24937</v>
      </c>
      <c r="BO337" s="83" t="str">
        <f>HYPERLINK("https://twitter.com/empre_sabedoria")</f>
        <v>https://twitter.com/empre_sabedoria</v>
      </c>
      <c r="BP337" s="2"/>
    </row>
    <row r="338" spans="1:68" x14ac:dyDescent="0.25">
      <c r="A338" s="62" t="s">
        <v>545</v>
      </c>
      <c r="B338" s="63"/>
      <c r="C338" s="63"/>
      <c r="D338" s="64"/>
      <c r="E338" s="66"/>
      <c r="F338" s="102" t="str">
        <f>HYPERLINK("https://pbs.twimg.com/profile_images/1648794724629708801/NacuFhoI_normal.jpg")</f>
        <v>https://pbs.twimg.com/profile_images/1648794724629708801/NacuFhoI_normal.jpg</v>
      </c>
      <c r="G338" s="63"/>
      <c r="H338" s="67"/>
      <c r="I338" s="68"/>
      <c r="J338" s="68"/>
      <c r="K338" s="67" t="s">
        <v>25272</v>
      </c>
      <c r="L338" s="71"/>
      <c r="M338" s="72"/>
      <c r="N338" s="72"/>
      <c r="O338" s="73"/>
      <c r="P338" s="74"/>
      <c r="Q338" s="74"/>
      <c r="R338" s="86"/>
      <c r="S338" s="86"/>
      <c r="T338" s="86"/>
      <c r="U338" s="86"/>
      <c r="V338" s="48"/>
      <c r="W338" s="48"/>
      <c r="X338" s="48"/>
      <c r="Y338" s="48"/>
      <c r="Z338" s="47"/>
      <c r="AA338" s="69">
        <v>338</v>
      </c>
      <c r="AB338" s="69"/>
      <c r="AC338" s="70"/>
      <c r="AD338" s="76" t="s">
        <v>22145</v>
      </c>
      <c r="AE338" s="81" t="s">
        <v>22930</v>
      </c>
      <c r="AF338" s="76">
        <v>190</v>
      </c>
      <c r="AG338" s="76">
        <v>199</v>
      </c>
      <c r="AH338" s="76">
        <v>37659</v>
      </c>
      <c r="AI338" s="76">
        <v>4</v>
      </c>
      <c r="AJ338" s="76">
        <v>829</v>
      </c>
      <c r="AK338" s="76">
        <v>620</v>
      </c>
      <c r="AL338" s="76" t="b">
        <v>0</v>
      </c>
      <c r="AM338" s="78">
        <v>40055.066192129627</v>
      </c>
      <c r="AN338" s="76" t="s">
        <v>23172</v>
      </c>
      <c r="AO338" s="76" t="s">
        <v>23636</v>
      </c>
      <c r="AP338" s="83" t="str">
        <f>HYPERLINK("https://t.co/ZLgifPJ09V")</f>
        <v>https://t.co/ZLgifPJ09V</v>
      </c>
      <c r="AQ338" s="83" t="str">
        <f>HYPERLINK("https://split.to/rendaextraonline")</f>
        <v>https://split.to/rendaextraonline</v>
      </c>
      <c r="AR338" s="76" t="s">
        <v>24437</v>
      </c>
      <c r="AS338" s="76"/>
      <c r="AT338" s="76"/>
      <c r="AU338" s="76"/>
      <c r="AV338" s="76">
        <v>1.5018690203033001E+18</v>
      </c>
      <c r="AW338" s="83" t="str">
        <f>HYPERLINK("https://t.co/ZLgifPJ09V")</f>
        <v>https://t.co/ZLgifPJ09V</v>
      </c>
      <c r="AX338" s="76" t="b">
        <v>0</v>
      </c>
      <c r="AY338" s="76"/>
      <c r="AZ338" s="76"/>
      <c r="BA338" s="76" t="b">
        <v>0</v>
      </c>
      <c r="BB338" s="76" t="b">
        <v>0</v>
      </c>
      <c r="BC338" s="76" t="b">
        <v>0</v>
      </c>
      <c r="BD338" s="76" t="b">
        <v>0</v>
      </c>
      <c r="BE338" s="76" t="b">
        <v>1</v>
      </c>
      <c r="BF338" s="76" t="b">
        <v>0</v>
      </c>
      <c r="BG338" s="76" t="b">
        <v>0</v>
      </c>
      <c r="BH338" s="83" t="str">
        <f>HYPERLINK("https://pbs.twimg.com/profile_banners/70015712/1449940827")</f>
        <v>https://pbs.twimg.com/profile_banners/70015712/1449940827</v>
      </c>
      <c r="BI338" s="76"/>
      <c r="BJ338" s="76" t="s">
        <v>24935</v>
      </c>
      <c r="BK338" s="76" t="b">
        <v>0</v>
      </c>
      <c r="BL338" s="76"/>
      <c r="BM338" s="76" t="s">
        <v>66</v>
      </c>
      <c r="BN338" s="76" t="s">
        <v>24937</v>
      </c>
      <c r="BO338" s="83" t="str">
        <f>HYPERLINK("https://twitter.com/adadiz")</f>
        <v>https://twitter.com/adadiz</v>
      </c>
      <c r="BP338" s="2"/>
    </row>
    <row r="339" spans="1:68" x14ac:dyDescent="0.25">
      <c r="A339" s="62" t="s">
        <v>546</v>
      </c>
      <c r="B339" s="63"/>
      <c r="C339" s="63"/>
      <c r="D339" s="64"/>
      <c r="E339" s="66"/>
      <c r="F339" s="102" t="str">
        <f>HYPERLINK("https://pbs.twimg.com/profile_images/1610625380322349056/UERUQaTu_normal.jpg")</f>
        <v>https://pbs.twimg.com/profile_images/1610625380322349056/UERUQaTu_normal.jpg</v>
      </c>
      <c r="G339" s="63"/>
      <c r="H339" s="67"/>
      <c r="I339" s="68"/>
      <c r="J339" s="68"/>
      <c r="K339" s="67" t="s">
        <v>25273</v>
      </c>
      <c r="L339" s="71"/>
      <c r="M339" s="72"/>
      <c r="N339" s="72"/>
      <c r="O339" s="73"/>
      <c r="P339" s="74"/>
      <c r="Q339" s="74"/>
      <c r="R339" s="86"/>
      <c r="S339" s="86"/>
      <c r="T339" s="86"/>
      <c r="U339" s="86"/>
      <c r="V339" s="48"/>
      <c r="W339" s="48"/>
      <c r="X339" s="48"/>
      <c r="Y339" s="48"/>
      <c r="Z339" s="47"/>
      <c r="AA339" s="69">
        <v>339</v>
      </c>
      <c r="AB339" s="69"/>
      <c r="AC339" s="70"/>
      <c r="AD339" s="76" t="s">
        <v>22146</v>
      </c>
      <c r="AE339" s="81" t="s">
        <v>21248</v>
      </c>
      <c r="AF339" s="76">
        <v>1</v>
      </c>
      <c r="AG339" s="76">
        <v>22</v>
      </c>
      <c r="AH339" s="76">
        <v>72</v>
      </c>
      <c r="AI339" s="76">
        <v>0</v>
      </c>
      <c r="AJ339" s="76">
        <v>1</v>
      </c>
      <c r="AK339" s="76">
        <v>32</v>
      </c>
      <c r="AL339" s="76" t="b">
        <v>0</v>
      </c>
      <c r="AM339" s="78">
        <v>44930.547743055555</v>
      </c>
      <c r="AN339" s="76" t="s">
        <v>23173</v>
      </c>
      <c r="AO339" s="76" t="s">
        <v>23637</v>
      </c>
      <c r="AP339" s="76"/>
      <c r="AQ339" s="76"/>
      <c r="AR339" s="76"/>
      <c r="AS339" s="76"/>
      <c r="AT339" s="76"/>
      <c r="AU339" s="76"/>
      <c r="AV339" s="76"/>
      <c r="AW339" s="76"/>
      <c r="AX339" s="76" t="b">
        <v>0</v>
      </c>
      <c r="AY339" s="76"/>
      <c r="AZ339" s="76"/>
      <c r="BA339" s="76" t="b">
        <v>0</v>
      </c>
      <c r="BB339" s="76" t="b">
        <v>1</v>
      </c>
      <c r="BC339" s="76" t="b">
        <v>1</v>
      </c>
      <c r="BD339" s="76" t="b">
        <v>0</v>
      </c>
      <c r="BE339" s="76" t="b">
        <v>0</v>
      </c>
      <c r="BF339" s="76" t="b">
        <v>0</v>
      </c>
      <c r="BG339" s="76" t="b">
        <v>0</v>
      </c>
      <c r="BH339" s="76"/>
      <c r="BI339" s="76"/>
      <c r="BJ339" s="76" t="s">
        <v>24935</v>
      </c>
      <c r="BK339" s="76" t="b">
        <v>0</v>
      </c>
      <c r="BL339" s="76"/>
      <c r="BM339" s="76" t="s">
        <v>66</v>
      </c>
      <c r="BN339" s="76" t="s">
        <v>24937</v>
      </c>
      <c r="BO339" s="83" t="str">
        <f>HYPERLINK("https://twitter.com/roseane33499832")</f>
        <v>https://twitter.com/roseane33499832</v>
      </c>
      <c r="BP339" s="2"/>
    </row>
    <row r="340" spans="1:68" x14ac:dyDescent="0.25">
      <c r="A340" s="62" t="s">
        <v>547</v>
      </c>
      <c r="B340" s="63"/>
      <c r="C340" s="63"/>
      <c r="D340" s="64"/>
      <c r="E340" s="66"/>
      <c r="F340" s="102" t="str">
        <f>HYPERLINK("https://pbs.twimg.com/profile_images/1594683198717542402/3RoB-PQL_normal.jpg")</f>
        <v>https://pbs.twimg.com/profile_images/1594683198717542402/3RoB-PQL_normal.jpg</v>
      </c>
      <c r="G340" s="63"/>
      <c r="H340" s="67"/>
      <c r="I340" s="68"/>
      <c r="J340" s="68"/>
      <c r="K340" s="67" t="s">
        <v>25274</v>
      </c>
      <c r="L340" s="71"/>
      <c r="M340" s="72"/>
      <c r="N340" s="72"/>
      <c r="O340" s="73"/>
      <c r="P340" s="74"/>
      <c r="Q340" s="74"/>
      <c r="R340" s="86"/>
      <c r="S340" s="86"/>
      <c r="T340" s="86"/>
      <c r="U340" s="86"/>
      <c r="V340" s="48"/>
      <c r="W340" s="48"/>
      <c r="X340" s="48"/>
      <c r="Y340" s="48"/>
      <c r="Z340" s="47"/>
      <c r="AA340" s="69">
        <v>340</v>
      </c>
      <c r="AB340" s="69"/>
      <c r="AC340" s="70"/>
      <c r="AD340" s="76" t="s">
        <v>22147</v>
      </c>
      <c r="AE340" s="81" t="s">
        <v>21249</v>
      </c>
      <c r="AF340" s="76">
        <v>28</v>
      </c>
      <c r="AG340" s="76">
        <v>162</v>
      </c>
      <c r="AH340" s="76">
        <v>51</v>
      </c>
      <c r="AI340" s="76">
        <v>1</v>
      </c>
      <c r="AJ340" s="76">
        <v>1</v>
      </c>
      <c r="AK340" s="76">
        <v>33</v>
      </c>
      <c r="AL340" s="76" t="b">
        <v>0</v>
      </c>
      <c r="AM340" s="78">
        <v>44886.558391203704</v>
      </c>
      <c r="AN340" s="76" t="s">
        <v>14033</v>
      </c>
      <c r="AO340" s="76" t="s">
        <v>23638</v>
      </c>
      <c r="AP340" s="76"/>
      <c r="AQ340" s="76"/>
      <c r="AR340" s="76"/>
      <c r="AS340" s="76"/>
      <c r="AT340" s="76"/>
      <c r="AU340" s="76"/>
      <c r="AV340" s="76"/>
      <c r="AW340" s="76"/>
      <c r="AX340" s="76" t="b">
        <v>0</v>
      </c>
      <c r="AY340" s="76"/>
      <c r="AZ340" s="76"/>
      <c r="BA340" s="76" t="b">
        <v>0</v>
      </c>
      <c r="BB340" s="76" t="b">
        <v>1</v>
      </c>
      <c r="BC340" s="76" t="b">
        <v>1</v>
      </c>
      <c r="BD340" s="76" t="b">
        <v>0</v>
      </c>
      <c r="BE340" s="76" t="b">
        <v>1</v>
      </c>
      <c r="BF340" s="76" t="b">
        <v>0</v>
      </c>
      <c r="BG340" s="76" t="b">
        <v>0</v>
      </c>
      <c r="BH340" s="83" t="str">
        <f>HYPERLINK("https://pbs.twimg.com/profile_banners/1594682874405560323/1694178943")</f>
        <v>https://pbs.twimg.com/profile_banners/1594682874405560323/1694178943</v>
      </c>
      <c r="BI340" s="76"/>
      <c r="BJ340" s="76" t="s">
        <v>24935</v>
      </c>
      <c r="BK340" s="76" t="b">
        <v>0</v>
      </c>
      <c r="BL340" s="76"/>
      <c r="BM340" s="76" t="s">
        <v>66</v>
      </c>
      <c r="BN340" s="76" t="s">
        <v>24937</v>
      </c>
      <c r="BO340" s="83" t="str">
        <f>HYPERLINK("https://twitter.com/raymarasousa17")</f>
        <v>https://twitter.com/raymarasousa17</v>
      </c>
      <c r="BP340" s="2"/>
    </row>
    <row r="341" spans="1:68" x14ac:dyDescent="0.25">
      <c r="A341" s="62" t="s">
        <v>548</v>
      </c>
      <c r="B341" s="63"/>
      <c r="C341" s="63"/>
      <c r="D341" s="64"/>
      <c r="E341" s="66"/>
      <c r="F341" s="102" t="str">
        <f>HYPERLINK("https://pbs.twimg.com/profile_images/1630621561119031336/spE__tMM_normal.jpg")</f>
        <v>https://pbs.twimg.com/profile_images/1630621561119031336/spE__tMM_normal.jpg</v>
      </c>
      <c r="G341" s="63"/>
      <c r="H341" s="67"/>
      <c r="I341" s="68"/>
      <c r="J341" s="68"/>
      <c r="K341" s="67" t="s">
        <v>25275</v>
      </c>
      <c r="L341" s="71"/>
      <c r="M341" s="72"/>
      <c r="N341" s="72"/>
      <c r="O341" s="73"/>
      <c r="P341" s="74"/>
      <c r="Q341" s="74"/>
      <c r="R341" s="86"/>
      <c r="S341" s="86"/>
      <c r="T341" s="86"/>
      <c r="U341" s="86"/>
      <c r="V341" s="48"/>
      <c r="W341" s="48"/>
      <c r="X341" s="48"/>
      <c r="Y341" s="48"/>
      <c r="Z341" s="47"/>
      <c r="AA341" s="69">
        <v>341</v>
      </c>
      <c r="AB341" s="69"/>
      <c r="AC341" s="70"/>
      <c r="AD341" s="76" t="s">
        <v>22148</v>
      </c>
      <c r="AE341" s="81" t="s">
        <v>21250</v>
      </c>
      <c r="AF341" s="76">
        <v>0</v>
      </c>
      <c r="AG341" s="76">
        <v>5</v>
      </c>
      <c r="AH341" s="76">
        <v>82</v>
      </c>
      <c r="AI341" s="76">
        <v>0</v>
      </c>
      <c r="AJ341" s="76">
        <v>5</v>
      </c>
      <c r="AK341" s="76">
        <v>1</v>
      </c>
      <c r="AL341" s="76" t="b">
        <v>0</v>
      </c>
      <c r="AM341" s="78">
        <v>44985.729745370372</v>
      </c>
      <c r="AN341" s="76"/>
      <c r="AO341" s="76" t="s">
        <v>23639</v>
      </c>
      <c r="AP341" s="76"/>
      <c r="AQ341" s="76"/>
      <c r="AR341" s="76"/>
      <c r="AS341" s="76"/>
      <c r="AT341" s="76"/>
      <c r="AU341" s="76"/>
      <c r="AV341" s="76"/>
      <c r="AW341" s="76"/>
      <c r="AX341" s="76" t="b">
        <v>0</v>
      </c>
      <c r="AY341" s="76"/>
      <c r="AZ341" s="76"/>
      <c r="BA341" s="76" t="b">
        <v>0</v>
      </c>
      <c r="BB341" s="76" t="b">
        <v>1</v>
      </c>
      <c r="BC341" s="76" t="b">
        <v>1</v>
      </c>
      <c r="BD341" s="76" t="b">
        <v>0</v>
      </c>
      <c r="BE341" s="76" t="b">
        <v>0</v>
      </c>
      <c r="BF341" s="76" t="b">
        <v>0</v>
      </c>
      <c r="BG341" s="76" t="b">
        <v>0</v>
      </c>
      <c r="BH341" s="76"/>
      <c r="BI341" s="76"/>
      <c r="BJ341" s="76" t="s">
        <v>24935</v>
      </c>
      <c r="BK341" s="76" t="b">
        <v>0</v>
      </c>
      <c r="BL341" s="76"/>
      <c r="BM341" s="76" t="s">
        <v>66</v>
      </c>
      <c r="BN341" s="76" t="s">
        <v>24937</v>
      </c>
      <c r="BO341" s="83" t="str">
        <f>HYPERLINK("https://twitter.com/alissonrodney02")</f>
        <v>https://twitter.com/alissonrodney02</v>
      </c>
      <c r="BP341" s="2"/>
    </row>
    <row r="342" spans="1:68" x14ac:dyDescent="0.25">
      <c r="A342" s="62" t="s">
        <v>549</v>
      </c>
      <c r="B342" s="63"/>
      <c r="C342" s="63"/>
      <c r="D342" s="64"/>
      <c r="E342" s="66"/>
      <c r="F342" s="102" t="str">
        <f>HYPERLINK("https://pbs.twimg.com/profile_images/1621203960710270994/RoWm4T-n_normal.jpg")</f>
        <v>https://pbs.twimg.com/profile_images/1621203960710270994/RoWm4T-n_normal.jpg</v>
      </c>
      <c r="G342" s="63"/>
      <c r="H342" s="67"/>
      <c r="I342" s="68"/>
      <c r="J342" s="68"/>
      <c r="K342" s="67" t="s">
        <v>25276</v>
      </c>
      <c r="L342" s="71"/>
      <c r="M342" s="72"/>
      <c r="N342" s="72"/>
      <c r="O342" s="73"/>
      <c r="P342" s="74"/>
      <c r="Q342" s="74"/>
      <c r="R342" s="86"/>
      <c r="S342" s="86"/>
      <c r="T342" s="86"/>
      <c r="U342" s="86"/>
      <c r="V342" s="48"/>
      <c r="W342" s="48"/>
      <c r="X342" s="48"/>
      <c r="Y342" s="48"/>
      <c r="Z342" s="47"/>
      <c r="AA342" s="69">
        <v>342</v>
      </c>
      <c r="AB342" s="69"/>
      <c r="AC342" s="70"/>
      <c r="AD342" s="76" t="s">
        <v>22149</v>
      </c>
      <c r="AE342" s="81" t="s">
        <v>21251</v>
      </c>
      <c r="AF342" s="76">
        <v>266</v>
      </c>
      <c r="AG342" s="76">
        <v>10</v>
      </c>
      <c r="AH342" s="76">
        <v>12</v>
      </c>
      <c r="AI342" s="76">
        <v>0</v>
      </c>
      <c r="AJ342" s="76">
        <v>609</v>
      </c>
      <c r="AK342" s="76">
        <v>4</v>
      </c>
      <c r="AL342" s="76" t="b">
        <v>0</v>
      </c>
      <c r="AM342" s="78">
        <v>44396.934502314813</v>
      </c>
      <c r="AN342" s="76"/>
      <c r="AO342" s="76" t="s">
        <v>23640</v>
      </c>
      <c r="AP342" s="76"/>
      <c r="AQ342" s="76"/>
      <c r="AR342" s="76"/>
      <c r="AS342" s="76"/>
      <c r="AT342" s="76"/>
      <c r="AU342" s="76"/>
      <c r="AV342" s="76">
        <v>1.62120493537843E+18</v>
      </c>
      <c r="AW342" s="76"/>
      <c r="AX342" s="76" t="b">
        <v>0</v>
      </c>
      <c r="AY342" s="76"/>
      <c r="AZ342" s="76"/>
      <c r="BA342" s="76" t="b">
        <v>1</v>
      </c>
      <c r="BB342" s="76" t="b">
        <v>1</v>
      </c>
      <c r="BC342" s="76" t="b">
        <v>1</v>
      </c>
      <c r="BD342" s="76" t="b">
        <v>0</v>
      </c>
      <c r="BE342" s="76" t="b">
        <v>1</v>
      </c>
      <c r="BF342" s="76" t="b">
        <v>0</v>
      </c>
      <c r="BG342" s="76" t="b">
        <v>0</v>
      </c>
      <c r="BH342" s="83" t="str">
        <f>HYPERLINK("https://pbs.twimg.com/profile_banners/1417249249843195910/1675360132")</f>
        <v>https://pbs.twimg.com/profile_banners/1417249249843195910/1675360132</v>
      </c>
      <c r="BI342" s="76"/>
      <c r="BJ342" s="76" t="s">
        <v>24935</v>
      </c>
      <c r="BK342" s="76" t="b">
        <v>0</v>
      </c>
      <c r="BL342" s="76"/>
      <c r="BM342" s="76" t="s">
        <v>66</v>
      </c>
      <c r="BN342" s="76" t="s">
        <v>24937</v>
      </c>
      <c r="BO342" s="83" t="str">
        <f>HYPERLINK("https://twitter.com/mypixbr")</f>
        <v>https://twitter.com/mypixbr</v>
      </c>
      <c r="BP342" s="2"/>
    </row>
    <row r="343" spans="1:68" x14ac:dyDescent="0.25">
      <c r="A343" s="62" t="s">
        <v>550</v>
      </c>
      <c r="B343" s="63"/>
      <c r="C343" s="63"/>
      <c r="D343" s="64"/>
      <c r="E343" s="66"/>
      <c r="F343" s="102" t="str">
        <f>HYPERLINK("https://pbs.twimg.com/profile_images/1681827407760596993/gtpFTDHy_normal.jpg")</f>
        <v>https://pbs.twimg.com/profile_images/1681827407760596993/gtpFTDHy_normal.jpg</v>
      </c>
      <c r="G343" s="63"/>
      <c r="H343" s="67"/>
      <c r="I343" s="68"/>
      <c r="J343" s="68"/>
      <c r="K343" s="67" t="s">
        <v>25277</v>
      </c>
      <c r="L343" s="71"/>
      <c r="M343" s="72"/>
      <c r="N343" s="72"/>
      <c r="O343" s="73"/>
      <c r="P343" s="74"/>
      <c r="Q343" s="74"/>
      <c r="R343" s="86"/>
      <c r="S343" s="86"/>
      <c r="T343" s="86"/>
      <c r="U343" s="86"/>
      <c r="V343" s="48"/>
      <c r="W343" s="48"/>
      <c r="X343" s="48"/>
      <c r="Y343" s="48"/>
      <c r="Z343" s="47"/>
      <c r="AA343" s="69">
        <v>343</v>
      </c>
      <c r="AB343" s="69"/>
      <c r="AC343" s="70"/>
      <c r="AD343" s="76" t="s">
        <v>22150</v>
      </c>
      <c r="AE343" s="81" t="s">
        <v>21252</v>
      </c>
      <c r="AF343" s="76">
        <v>0</v>
      </c>
      <c r="AG343" s="76">
        <v>3</v>
      </c>
      <c r="AH343" s="76">
        <v>23</v>
      </c>
      <c r="AI343" s="76">
        <v>0</v>
      </c>
      <c r="AJ343" s="76">
        <v>1</v>
      </c>
      <c r="AK343" s="76">
        <v>4</v>
      </c>
      <c r="AL343" s="76" t="b">
        <v>0</v>
      </c>
      <c r="AM343" s="78">
        <v>45126.761620370373</v>
      </c>
      <c r="AN343" s="76" t="s">
        <v>23174</v>
      </c>
      <c r="AO343" s="76" t="s">
        <v>23641</v>
      </c>
      <c r="AP343" s="76"/>
      <c r="AQ343" s="76"/>
      <c r="AR343" s="76"/>
      <c r="AS343" s="76"/>
      <c r="AT343" s="76"/>
      <c r="AU343" s="76"/>
      <c r="AV343" s="76"/>
      <c r="AW343" s="76"/>
      <c r="AX343" s="76" t="b">
        <v>0</v>
      </c>
      <c r="AY343" s="76"/>
      <c r="AZ343" s="76"/>
      <c r="BA343" s="76" t="b">
        <v>0</v>
      </c>
      <c r="BB343" s="76" t="b">
        <v>1</v>
      </c>
      <c r="BC343" s="76" t="b">
        <v>1</v>
      </c>
      <c r="BD343" s="76" t="b">
        <v>0</v>
      </c>
      <c r="BE343" s="76" t="b">
        <v>0</v>
      </c>
      <c r="BF343" s="76" t="b">
        <v>0</v>
      </c>
      <c r="BG343" s="76" t="b">
        <v>0</v>
      </c>
      <c r="BH343" s="83" t="str">
        <f>HYPERLINK("https://pbs.twimg.com/profile_banners/1681729719144726533/1689813876")</f>
        <v>https://pbs.twimg.com/profile_banners/1681729719144726533/1689813876</v>
      </c>
      <c r="BI343" s="76"/>
      <c r="BJ343" s="76" t="s">
        <v>24935</v>
      </c>
      <c r="BK343" s="76" t="b">
        <v>0</v>
      </c>
      <c r="BL343" s="76"/>
      <c r="BM343" s="76" t="s">
        <v>66</v>
      </c>
      <c r="BN343" s="76" t="s">
        <v>24937</v>
      </c>
      <c r="BO343" s="83" t="str">
        <f>HYPERLINK("https://twitter.com/beatrizvahl")</f>
        <v>https://twitter.com/beatrizvahl</v>
      </c>
      <c r="BP343" s="2"/>
    </row>
    <row r="344" spans="1:68" x14ac:dyDescent="0.25">
      <c r="A344" s="62" t="s">
        <v>551</v>
      </c>
      <c r="B344" s="63"/>
      <c r="C344" s="63"/>
      <c r="D344" s="64"/>
      <c r="E344" s="66"/>
      <c r="F344" s="102" t="str">
        <f>HYPERLINK("https://pbs.twimg.com/profile_images/1705248645250002944/tDPcbF2H_normal.jpg")</f>
        <v>https://pbs.twimg.com/profile_images/1705248645250002944/tDPcbF2H_normal.jpg</v>
      </c>
      <c r="G344" s="63"/>
      <c r="H344" s="67"/>
      <c r="I344" s="68"/>
      <c r="J344" s="68"/>
      <c r="K344" s="67" t="s">
        <v>25278</v>
      </c>
      <c r="L344" s="71"/>
      <c r="M344" s="72"/>
      <c r="N344" s="72"/>
      <c r="O344" s="73"/>
      <c r="P344" s="74"/>
      <c r="Q344" s="74"/>
      <c r="R344" s="86"/>
      <c r="S344" s="86"/>
      <c r="T344" s="86"/>
      <c r="U344" s="86"/>
      <c r="V344" s="48"/>
      <c r="W344" s="48"/>
      <c r="X344" s="48"/>
      <c r="Y344" s="48"/>
      <c r="Z344" s="47"/>
      <c r="AA344" s="69">
        <v>344</v>
      </c>
      <c r="AB344" s="69"/>
      <c r="AC344" s="70"/>
      <c r="AD344" s="76" t="s">
        <v>22151</v>
      </c>
      <c r="AE344" s="81" t="s">
        <v>21253</v>
      </c>
      <c r="AF344" s="76">
        <v>1</v>
      </c>
      <c r="AG344" s="76">
        <v>1</v>
      </c>
      <c r="AH344" s="76">
        <v>22</v>
      </c>
      <c r="AI344" s="76">
        <v>0</v>
      </c>
      <c r="AJ344" s="76">
        <v>0</v>
      </c>
      <c r="AK344" s="76">
        <v>1</v>
      </c>
      <c r="AL344" s="76" t="b">
        <v>0</v>
      </c>
      <c r="AM344" s="78">
        <v>45097.736712962964</v>
      </c>
      <c r="AN344" s="76"/>
      <c r="AO344" s="76"/>
      <c r="AP344" s="76"/>
      <c r="AQ344" s="76"/>
      <c r="AR344" s="76"/>
      <c r="AS344" s="76"/>
      <c r="AT344" s="76"/>
      <c r="AU344" s="76"/>
      <c r="AV344" s="76"/>
      <c r="AW344" s="76"/>
      <c r="AX344" s="76" t="b">
        <v>0</v>
      </c>
      <c r="AY344" s="76"/>
      <c r="AZ344" s="76"/>
      <c r="BA344" s="76" t="b">
        <v>0</v>
      </c>
      <c r="BB344" s="76" t="b">
        <v>1</v>
      </c>
      <c r="BC344" s="76" t="b">
        <v>1</v>
      </c>
      <c r="BD344" s="76" t="b">
        <v>0</v>
      </c>
      <c r="BE344" s="76" t="b">
        <v>0</v>
      </c>
      <c r="BF344" s="76" t="b">
        <v>0</v>
      </c>
      <c r="BG344" s="76" t="b">
        <v>0</v>
      </c>
      <c r="BH344" s="76"/>
      <c r="BI344" s="76"/>
      <c r="BJ344" s="76" t="s">
        <v>24935</v>
      </c>
      <c r="BK344" s="76" t="b">
        <v>0</v>
      </c>
      <c r="BL344" s="76"/>
      <c r="BM344" s="76" t="s">
        <v>66</v>
      </c>
      <c r="BN344" s="76" t="s">
        <v>24937</v>
      </c>
      <c r="BO344" s="83" t="str">
        <f>HYPERLINK("https://twitter.com/shelby_hype_")</f>
        <v>https://twitter.com/shelby_hype_</v>
      </c>
      <c r="BP344" s="2"/>
    </row>
    <row r="345" spans="1:68" x14ac:dyDescent="0.25">
      <c r="A345" s="62" t="s">
        <v>552</v>
      </c>
      <c r="B345" s="63"/>
      <c r="C345" s="63"/>
      <c r="D345" s="64"/>
      <c r="E345" s="66"/>
      <c r="F345" s="102" t="str">
        <f>HYPERLINK("https://pbs.twimg.com/profile_images/1687642100903624704/u2ouAn6o_normal.jpg")</f>
        <v>https://pbs.twimg.com/profile_images/1687642100903624704/u2ouAn6o_normal.jpg</v>
      </c>
      <c r="G345" s="63"/>
      <c r="H345" s="67"/>
      <c r="I345" s="68"/>
      <c r="J345" s="68"/>
      <c r="K345" s="67" t="s">
        <v>25279</v>
      </c>
      <c r="L345" s="71"/>
      <c r="M345" s="72"/>
      <c r="N345" s="72"/>
      <c r="O345" s="73"/>
      <c r="P345" s="74"/>
      <c r="Q345" s="74"/>
      <c r="R345" s="86"/>
      <c r="S345" s="86"/>
      <c r="T345" s="86"/>
      <c r="U345" s="86"/>
      <c r="V345" s="48"/>
      <c r="W345" s="48"/>
      <c r="X345" s="48"/>
      <c r="Y345" s="48"/>
      <c r="Z345" s="47"/>
      <c r="AA345" s="69">
        <v>345</v>
      </c>
      <c r="AB345" s="69"/>
      <c r="AC345" s="70"/>
      <c r="AD345" s="76" t="s">
        <v>22152</v>
      </c>
      <c r="AE345" s="81" t="s">
        <v>21254</v>
      </c>
      <c r="AF345" s="76">
        <v>43</v>
      </c>
      <c r="AG345" s="76">
        <v>126</v>
      </c>
      <c r="AH345" s="76">
        <v>11</v>
      </c>
      <c r="AI345" s="76">
        <v>0</v>
      </c>
      <c r="AJ345" s="76">
        <v>121</v>
      </c>
      <c r="AK345" s="76">
        <v>8</v>
      </c>
      <c r="AL345" s="76" t="b">
        <v>0</v>
      </c>
      <c r="AM345" s="78">
        <v>45068.297291666669</v>
      </c>
      <c r="AN345" s="76" t="s">
        <v>23175</v>
      </c>
      <c r="AO345" s="76" t="s">
        <v>23642</v>
      </c>
      <c r="AP345" s="83" t="str">
        <f>HYPERLINK("https://t.co/Lwg4JFXqqW")</f>
        <v>https://t.co/Lwg4JFXqqW</v>
      </c>
      <c r="AQ345" s="83" t="str">
        <f>HYPERLINK("https://www.linkedin.com/in/alamin-sheikh-87175128b/")</f>
        <v>https://www.linkedin.com/in/alamin-sheikh-87175128b/</v>
      </c>
      <c r="AR345" s="76" t="s">
        <v>24438</v>
      </c>
      <c r="AS345" s="76"/>
      <c r="AT345" s="76"/>
      <c r="AU345" s="76"/>
      <c r="AV345" s="76"/>
      <c r="AW345" s="83" t="str">
        <f>HYPERLINK("https://t.co/Lwg4JFXqqW")</f>
        <v>https://t.co/Lwg4JFXqqW</v>
      </c>
      <c r="AX345" s="76" t="b">
        <v>0</v>
      </c>
      <c r="AY345" s="76"/>
      <c r="AZ345" s="76"/>
      <c r="BA345" s="76" t="b">
        <v>0</v>
      </c>
      <c r="BB345" s="76" t="b">
        <v>1</v>
      </c>
      <c r="BC345" s="76" t="b">
        <v>1</v>
      </c>
      <c r="BD345" s="76" t="b">
        <v>0</v>
      </c>
      <c r="BE345" s="76" t="b">
        <v>0</v>
      </c>
      <c r="BF345" s="76" t="b">
        <v>0</v>
      </c>
      <c r="BG345" s="76" t="b">
        <v>0</v>
      </c>
      <c r="BH345" s="83" t="str">
        <f>HYPERLINK("https://pbs.twimg.com/profile_banners/1660542860582871040/1693830210")</f>
        <v>https://pbs.twimg.com/profile_banners/1660542860582871040/1693830210</v>
      </c>
      <c r="BI345" s="76"/>
      <c r="BJ345" s="76" t="s">
        <v>24935</v>
      </c>
      <c r="BK345" s="76" t="b">
        <v>0</v>
      </c>
      <c r="BL345" s="76"/>
      <c r="BM345" s="76" t="s">
        <v>66</v>
      </c>
      <c r="BN345" s="76" t="s">
        <v>24937</v>
      </c>
      <c r="BO345" s="83" t="str">
        <f>HYPERLINK("https://twitter.com/alamin42213")</f>
        <v>https://twitter.com/alamin42213</v>
      </c>
      <c r="BP345" s="2"/>
    </row>
    <row r="346" spans="1:68" x14ac:dyDescent="0.25">
      <c r="A346" s="62" t="s">
        <v>553</v>
      </c>
      <c r="B346" s="63"/>
      <c r="C346" s="63"/>
      <c r="D346" s="64"/>
      <c r="E346" s="66"/>
      <c r="F346" s="102" t="str">
        <f>HYPERLINK("https://pbs.twimg.com/profile_images/1434822863803060225/BbL-bZUi_normal.jpg")</f>
        <v>https://pbs.twimg.com/profile_images/1434822863803060225/BbL-bZUi_normal.jpg</v>
      </c>
      <c r="G346" s="63"/>
      <c r="H346" s="67"/>
      <c r="I346" s="68"/>
      <c r="J346" s="68"/>
      <c r="K346" s="67" t="s">
        <v>25280</v>
      </c>
      <c r="L346" s="71"/>
      <c r="M346" s="72"/>
      <c r="N346" s="72"/>
      <c r="O346" s="73"/>
      <c r="P346" s="74"/>
      <c r="Q346" s="74"/>
      <c r="R346" s="86"/>
      <c r="S346" s="86"/>
      <c r="T346" s="86"/>
      <c r="U346" s="86"/>
      <c r="V346" s="48"/>
      <c r="W346" s="48"/>
      <c r="X346" s="48"/>
      <c r="Y346" s="48"/>
      <c r="Z346" s="47"/>
      <c r="AA346" s="69">
        <v>346</v>
      </c>
      <c r="AB346" s="69"/>
      <c r="AC346" s="70"/>
      <c r="AD346" s="76" t="s">
        <v>22153</v>
      </c>
      <c r="AE346" s="81" t="s">
        <v>21255</v>
      </c>
      <c r="AF346" s="76">
        <v>0</v>
      </c>
      <c r="AG346" s="76">
        <v>31</v>
      </c>
      <c r="AH346" s="76">
        <v>195</v>
      </c>
      <c r="AI346" s="76">
        <v>0</v>
      </c>
      <c r="AJ346" s="76">
        <v>35</v>
      </c>
      <c r="AK346" s="76">
        <v>22</v>
      </c>
      <c r="AL346" s="76" t="b">
        <v>0</v>
      </c>
      <c r="AM346" s="78">
        <v>44445.427581018521</v>
      </c>
      <c r="AN346" s="76" t="s">
        <v>14033</v>
      </c>
      <c r="AO346" s="76"/>
      <c r="AP346" s="76"/>
      <c r="AQ346" s="76"/>
      <c r="AR346" s="76"/>
      <c r="AS346" s="76"/>
      <c r="AT346" s="76"/>
      <c r="AU346" s="76"/>
      <c r="AV346" s="76"/>
      <c r="AW346" s="76"/>
      <c r="AX346" s="76" t="b">
        <v>0</v>
      </c>
      <c r="AY346" s="76"/>
      <c r="AZ346" s="76"/>
      <c r="BA346" s="76" t="b">
        <v>0</v>
      </c>
      <c r="BB346" s="76" t="b">
        <v>1</v>
      </c>
      <c r="BC346" s="76" t="b">
        <v>1</v>
      </c>
      <c r="BD346" s="76" t="b">
        <v>0</v>
      </c>
      <c r="BE346" s="76" t="b">
        <v>0</v>
      </c>
      <c r="BF346" s="76" t="b">
        <v>0</v>
      </c>
      <c r="BG346" s="76" t="b">
        <v>0</v>
      </c>
      <c r="BH346" s="83" t="str">
        <f>HYPERLINK("https://pbs.twimg.com/profile_banners/1434822505047412742/1661532111")</f>
        <v>https://pbs.twimg.com/profile_banners/1434822505047412742/1661532111</v>
      </c>
      <c r="BI346" s="76"/>
      <c r="BJ346" s="76" t="s">
        <v>24935</v>
      </c>
      <c r="BK346" s="76" t="b">
        <v>0</v>
      </c>
      <c r="BL346" s="76"/>
      <c r="BM346" s="76" t="s">
        <v>66</v>
      </c>
      <c r="BN346" s="76" t="s">
        <v>24937</v>
      </c>
      <c r="BO346" s="83" t="str">
        <f>HYPERLINK("https://twitter.com/val_salmeida")</f>
        <v>https://twitter.com/val_salmeida</v>
      </c>
      <c r="BP346" s="2"/>
    </row>
    <row r="347" spans="1:68" x14ac:dyDescent="0.25">
      <c r="A347" s="62" t="s">
        <v>554</v>
      </c>
      <c r="B347" s="63"/>
      <c r="C347" s="63"/>
      <c r="D347" s="64"/>
      <c r="E347" s="66"/>
      <c r="F347" s="102" t="str">
        <f>HYPERLINK("https://pbs.twimg.com/profile_images/1510239580716507137/t6vITnhN_normal.jpg")</f>
        <v>https://pbs.twimg.com/profile_images/1510239580716507137/t6vITnhN_normal.jpg</v>
      </c>
      <c r="G347" s="63"/>
      <c r="H347" s="67"/>
      <c r="I347" s="68"/>
      <c r="J347" s="68"/>
      <c r="K347" s="67" t="s">
        <v>25281</v>
      </c>
      <c r="L347" s="71"/>
      <c r="M347" s="72"/>
      <c r="N347" s="72"/>
      <c r="O347" s="73"/>
      <c r="P347" s="74"/>
      <c r="Q347" s="74"/>
      <c r="R347" s="86"/>
      <c r="S347" s="86"/>
      <c r="T347" s="86"/>
      <c r="U347" s="86"/>
      <c r="V347" s="48"/>
      <c r="W347" s="48"/>
      <c r="X347" s="48"/>
      <c r="Y347" s="48"/>
      <c r="Z347" s="47"/>
      <c r="AA347" s="69">
        <v>347</v>
      </c>
      <c r="AB347" s="69"/>
      <c r="AC347" s="70"/>
      <c r="AD347" s="76" t="s">
        <v>22154</v>
      </c>
      <c r="AE347" s="81" t="s">
        <v>21256</v>
      </c>
      <c r="AF347" s="76">
        <v>13</v>
      </c>
      <c r="AG347" s="76">
        <v>23</v>
      </c>
      <c r="AH347" s="76">
        <v>751</v>
      </c>
      <c r="AI347" s="76">
        <v>0</v>
      </c>
      <c r="AJ347" s="76">
        <v>1</v>
      </c>
      <c r="AK347" s="76">
        <v>751</v>
      </c>
      <c r="AL347" s="76" t="b">
        <v>0</v>
      </c>
      <c r="AM347" s="78">
        <v>43627.695925925924</v>
      </c>
      <c r="AN347" s="76" t="s">
        <v>23176</v>
      </c>
      <c r="AO347" s="76" t="s">
        <v>23643</v>
      </c>
      <c r="AP347" s="83" t="str">
        <f>HYPERLINK("https://t.co/F4PEEFPMXf")</f>
        <v>https://t.co/F4PEEFPMXf</v>
      </c>
      <c r="AQ347" s="83" t="str">
        <f>HYPERLINK("https://anajuliafolheados.com.br/")</f>
        <v>https://anajuliafolheados.com.br/</v>
      </c>
      <c r="AR347" s="76" t="s">
        <v>24439</v>
      </c>
      <c r="AS347" s="76"/>
      <c r="AT347" s="76"/>
      <c r="AU347" s="76"/>
      <c r="AV347" s="76"/>
      <c r="AW347" s="83" t="str">
        <f>HYPERLINK("https://t.co/F4PEEFPMXf")</f>
        <v>https://t.co/F4PEEFPMXf</v>
      </c>
      <c r="AX347" s="76" t="b">
        <v>0</v>
      </c>
      <c r="AY347" s="76"/>
      <c r="AZ347" s="76"/>
      <c r="BA347" s="76" t="b">
        <v>0</v>
      </c>
      <c r="BB347" s="76" t="b">
        <v>1</v>
      </c>
      <c r="BC347" s="76" t="b">
        <v>1</v>
      </c>
      <c r="BD347" s="76" t="b">
        <v>0</v>
      </c>
      <c r="BE347" s="76" t="b">
        <v>0</v>
      </c>
      <c r="BF347" s="76" t="b">
        <v>0</v>
      </c>
      <c r="BG347" s="76" t="b">
        <v>0</v>
      </c>
      <c r="BH347" s="83" t="str">
        <f>HYPERLINK("https://pbs.twimg.com/profile_banners/1138486581986283523/1648904163")</f>
        <v>https://pbs.twimg.com/profile_banners/1138486581986283523/1648904163</v>
      </c>
      <c r="BI347" s="76"/>
      <c r="BJ347" s="76" t="s">
        <v>24935</v>
      </c>
      <c r="BK347" s="76" t="b">
        <v>0</v>
      </c>
      <c r="BL347" s="76"/>
      <c r="BM347" s="76" t="s">
        <v>66</v>
      </c>
      <c r="BN347" s="76" t="s">
        <v>24937</v>
      </c>
      <c r="BO347" s="83" t="str">
        <f>HYPERLINK("https://twitter.com/folheadosana")</f>
        <v>https://twitter.com/folheadosana</v>
      </c>
      <c r="BP347" s="2"/>
    </row>
    <row r="348" spans="1:68" x14ac:dyDescent="0.25">
      <c r="A348" s="62" t="s">
        <v>555</v>
      </c>
      <c r="B348" s="63"/>
      <c r="C348" s="63"/>
      <c r="D348" s="64"/>
      <c r="E348" s="66"/>
      <c r="F348" s="102" t="str">
        <f>HYPERLINK("https://pbs.twimg.com/profile_images/1615853815223181313/L1xtwwFy_normal.jpg")</f>
        <v>https://pbs.twimg.com/profile_images/1615853815223181313/L1xtwwFy_normal.jpg</v>
      </c>
      <c r="G348" s="63"/>
      <c r="H348" s="67"/>
      <c r="I348" s="68"/>
      <c r="J348" s="68"/>
      <c r="K348" s="67" t="s">
        <v>25282</v>
      </c>
      <c r="L348" s="71"/>
      <c r="M348" s="72"/>
      <c r="N348" s="72"/>
      <c r="O348" s="73"/>
      <c r="P348" s="74"/>
      <c r="Q348" s="74"/>
      <c r="R348" s="86"/>
      <c r="S348" s="86"/>
      <c r="T348" s="86"/>
      <c r="U348" s="86"/>
      <c r="V348" s="48"/>
      <c r="W348" s="48"/>
      <c r="X348" s="48"/>
      <c r="Y348" s="48"/>
      <c r="Z348" s="47"/>
      <c r="AA348" s="69">
        <v>348</v>
      </c>
      <c r="AB348" s="69"/>
      <c r="AC348" s="70"/>
      <c r="AD348" s="76" t="s">
        <v>22155</v>
      </c>
      <c r="AE348" s="81" t="s">
        <v>21257</v>
      </c>
      <c r="AF348" s="76">
        <v>25</v>
      </c>
      <c r="AG348" s="76">
        <v>137</v>
      </c>
      <c r="AH348" s="76">
        <v>232</v>
      </c>
      <c r="AI348" s="76">
        <v>0</v>
      </c>
      <c r="AJ348" s="76">
        <v>325</v>
      </c>
      <c r="AK348" s="76">
        <v>17</v>
      </c>
      <c r="AL348" s="76" t="b">
        <v>0</v>
      </c>
      <c r="AM348" s="78">
        <v>44877.511701388888</v>
      </c>
      <c r="AN348" s="76" t="s">
        <v>14039</v>
      </c>
      <c r="AO348" s="76" t="s">
        <v>23644</v>
      </c>
      <c r="AP348" s="83" t="str">
        <f>HYPERLINK("https://t.co/XTuGgk6Zmz")</f>
        <v>https://t.co/XTuGgk6Zmz</v>
      </c>
      <c r="AQ348" s="83" t="str">
        <f>HYPERLINK("https://go.hotmart.com/L78149203H?ap=7361")</f>
        <v>https://go.hotmart.com/L78149203H?ap=7361</v>
      </c>
      <c r="AR348" s="76" t="s">
        <v>24440</v>
      </c>
      <c r="AS348" s="76"/>
      <c r="AT348" s="76"/>
      <c r="AU348" s="76"/>
      <c r="AV348" s="76"/>
      <c r="AW348" s="83" t="str">
        <f>HYPERLINK("https://t.co/XTuGgk6Zmz")</f>
        <v>https://t.co/XTuGgk6Zmz</v>
      </c>
      <c r="AX348" s="76" t="b">
        <v>0</v>
      </c>
      <c r="AY348" s="76"/>
      <c r="AZ348" s="76"/>
      <c r="BA348" s="76" t="b">
        <v>0</v>
      </c>
      <c r="BB348" s="76" t="b">
        <v>1</v>
      </c>
      <c r="BC348" s="76" t="b">
        <v>1</v>
      </c>
      <c r="BD348" s="76" t="b">
        <v>0</v>
      </c>
      <c r="BE348" s="76" t="b">
        <v>0</v>
      </c>
      <c r="BF348" s="76" t="b">
        <v>0</v>
      </c>
      <c r="BG348" s="76" t="b">
        <v>0</v>
      </c>
      <c r="BH348" s="83" t="str">
        <f>HYPERLINK("https://pbs.twimg.com/profile_banners/1591404463725711361/1674084544")</f>
        <v>https://pbs.twimg.com/profile_banners/1591404463725711361/1674084544</v>
      </c>
      <c r="BI348" s="76"/>
      <c r="BJ348" s="76" t="s">
        <v>24935</v>
      </c>
      <c r="BK348" s="76" t="b">
        <v>0</v>
      </c>
      <c r="BL348" s="76"/>
      <c r="BM348" s="76" t="s">
        <v>66</v>
      </c>
      <c r="BN348" s="76" t="s">
        <v>24937</v>
      </c>
      <c r="BO348" s="83" t="str">
        <f>HYPERLINK("https://twitter.com/poulannaguima22")</f>
        <v>https://twitter.com/poulannaguima22</v>
      </c>
      <c r="BP348" s="2"/>
    </row>
    <row r="349" spans="1:68" x14ac:dyDescent="0.25">
      <c r="A349" s="62" t="s">
        <v>556</v>
      </c>
      <c r="B349" s="63"/>
      <c r="C349" s="63"/>
      <c r="D349" s="64"/>
      <c r="E349" s="66"/>
      <c r="F349" s="102" t="str">
        <f>HYPERLINK("https://pbs.twimg.com/profile_images/1694524536073654272/QP1Fsrbt_normal.jpg")</f>
        <v>https://pbs.twimg.com/profile_images/1694524536073654272/QP1Fsrbt_normal.jpg</v>
      </c>
      <c r="G349" s="63"/>
      <c r="H349" s="67"/>
      <c r="I349" s="68"/>
      <c r="J349" s="68"/>
      <c r="K349" s="67" t="s">
        <v>25283</v>
      </c>
      <c r="L349" s="71"/>
      <c r="M349" s="72"/>
      <c r="N349" s="72"/>
      <c r="O349" s="73"/>
      <c r="P349" s="74"/>
      <c r="Q349" s="74"/>
      <c r="R349" s="86"/>
      <c r="S349" s="86"/>
      <c r="T349" s="86"/>
      <c r="U349" s="86"/>
      <c r="V349" s="48"/>
      <c r="W349" s="48"/>
      <c r="X349" s="48"/>
      <c r="Y349" s="48"/>
      <c r="Z349" s="47"/>
      <c r="AA349" s="69">
        <v>349</v>
      </c>
      <c r="AB349" s="69"/>
      <c r="AC349" s="70"/>
      <c r="AD349" s="76" t="s">
        <v>22156</v>
      </c>
      <c r="AE349" s="81" t="s">
        <v>21258</v>
      </c>
      <c r="AF349" s="76">
        <v>5</v>
      </c>
      <c r="AG349" s="76">
        <v>20</v>
      </c>
      <c r="AH349" s="76">
        <v>36</v>
      </c>
      <c r="AI349" s="76">
        <v>0</v>
      </c>
      <c r="AJ349" s="76">
        <v>1</v>
      </c>
      <c r="AK349" s="76">
        <v>29</v>
      </c>
      <c r="AL349" s="76" t="b">
        <v>0</v>
      </c>
      <c r="AM349" s="78">
        <v>44966.369583333333</v>
      </c>
      <c r="AN349" s="76"/>
      <c r="AO349" s="76" t="s">
        <v>23645</v>
      </c>
      <c r="AP349" s="83" t="str">
        <f>HYPERLINK("https://t.co/1yuEk0N925")</f>
        <v>https://t.co/1yuEk0N925</v>
      </c>
      <c r="AQ349" s="83" t="str">
        <f>HYPERLINK("https://bee-trader.com/")</f>
        <v>https://bee-trader.com/</v>
      </c>
      <c r="AR349" s="76" t="s">
        <v>24441</v>
      </c>
      <c r="AS349" s="76"/>
      <c r="AT349" s="76"/>
      <c r="AU349" s="76"/>
      <c r="AV349" s="76"/>
      <c r="AW349" s="83" t="str">
        <f>HYPERLINK("https://t.co/1yuEk0N925")</f>
        <v>https://t.co/1yuEk0N925</v>
      </c>
      <c r="AX349" s="76" t="b">
        <v>0</v>
      </c>
      <c r="AY349" s="76"/>
      <c r="AZ349" s="76"/>
      <c r="BA349" s="76" t="b">
        <v>0</v>
      </c>
      <c r="BB349" s="76" t="b">
        <v>1</v>
      </c>
      <c r="BC349" s="76" t="b">
        <v>1</v>
      </c>
      <c r="BD349" s="76" t="b">
        <v>0</v>
      </c>
      <c r="BE349" s="76" t="b">
        <v>0</v>
      </c>
      <c r="BF349" s="76" t="b">
        <v>0</v>
      </c>
      <c r="BG349" s="76" t="b">
        <v>0</v>
      </c>
      <c r="BH349" s="83" t="str">
        <f>HYPERLINK("https://pbs.twimg.com/profile_banners/1623605371532152832/1692841109")</f>
        <v>https://pbs.twimg.com/profile_banners/1623605371532152832/1692841109</v>
      </c>
      <c r="BI349" s="76"/>
      <c r="BJ349" s="76" t="s">
        <v>24935</v>
      </c>
      <c r="BK349" s="76" t="b">
        <v>0</v>
      </c>
      <c r="BL349" s="76"/>
      <c r="BM349" s="76" t="s">
        <v>66</v>
      </c>
      <c r="BN349" s="76" t="s">
        <v>24937</v>
      </c>
      <c r="BO349" s="83" t="str">
        <f>HYPERLINK("https://twitter.com/official_gtex")</f>
        <v>https://twitter.com/official_gtex</v>
      </c>
      <c r="BP349" s="2"/>
    </row>
    <row r="350" spans="1:68" x14ac:dyDescent="0.25">
      <c r="A350" s="62" t="s">
        <v>557</v>
      </c>
      <c r="B350" s="63"/>
      <c r="C350" s="63"/>
      <c r="D350" s="64"/>
      <c r="E350" s="66"/>
      <c r="F350" s="102" t="str">
        <f>HYPERLINK("https://pbs.twimg.com/profile_images/1617487653066137601/8zXqbt8Q_normal.jpg")</f>
        <v>https://pbs.twimg.com/profile_images/1617487653066137601/8zXqbt8Q_normal.jpg</v>
      </c>
      <c r="G350" s="63"/>
      <c r="H350" s="67"/>
      <c r="I350" s="68"/>
      <c r="J350" s="68"/>
      <c r="K350" s="67" t="s">
        <v>25284</v>
      </c>
      <c r="L350" s="71"/>
      <c r="M350" s="72"/>
      <c r="N350" s="72"/>
      <c r="O350" s="73"/>
      <c r="P350" s="74"/>
      <c r="Q350" s="74"/>
      <c r="R350" s="86"/>
      <c r="S350" s="86"/>
      <c r="T350" s="86"/>
      <c r="U350" s="86"/>
      <c r="V350" s="48"/>
      <c r="W350" s="48"/>
      <c r="X350" s="48"/>
      <c r="Y350" s="48"/>
      <c r="Z350" s="47"/>
      <c r="AA350" s="69">
        <v>350</v>
      </c>
      <c r="AB350" s="69"/>
      <c r="AC350" s="70"/>
      <c r="AD350" s="76" t="s">
        <v>22157</v>
      </c>
      <c r="AE350" s="81" t="s">
        <v>21259</v>
      </c>
      <c r="AF350" s="76">
        <v>8</v>
      </c>
      <c r="AG350" s="76">
        <v>19</v>
      </c>
      <c r="AH350" s="76">
        <v>921</v>
      </c>
      <c r="AI350" s="76">
        <v>0</v>
      </c>
      <c r="AJ350" s="76">
        <v>73</v>
      </c>
      <c r="AK350" s="76">
        <v>43</v>
      </c>
      <c r="AL350" s="76" t="b">
        <v>0</v>
      </c>
      <c r="AM350" s="78">
        <v>44846.494652777779</v>
      </c>
      <c r="AN350" s="76" t="s">
        <v>14040</v>
      </c>
      <c r="AO350" s="76" t="s">
        <v>23646</v>
      </c>
      <c r="AP350" s="83" t="str">
        <f>HYPERLINK("https://t.co/5OkmspbmEb")</f>
        <v>https://t.co/5OkmspbmEb</v>
      </c>
      <c r="AQ350" s="83" t="str">
        <f>HYPERLINK("https://mycollection.shop/ofertasemjogo")</f>
        <v>https://mycollection.shop/ofertasemjogo</v>
      </c>
      <c r="AR350" s="76" t="s">
        <v>24442</v>
      </c>
      <c r="AS350" s="76"/>
      <c r="AT350" s="76"/>
      <c r="AU350" s="76"/>
      <c r="AV350" s="76"/>
      <c r="AW350" s="83" t="str">
        <f>HYPERLINK("https://t.co/5OkmspbmEb")</f>
        <v>https://t.co/5OkmspbmEb</v>
      </c>
      <c r="AX350" s="76" t="b">
        <v>0</v>
      </c>
      <c r="AY350" s="76"/>
      <c r="AZ350" s="76"/>
      <c r="BA350" s="76" t="b">
        <v>1</v>
      </c>
      <c r="BB350" s="76" t="b">
        <v>1</v>
      </c>
      <c r="BC350" s="76" t="b">
        <v>1</v>
      </c>
      <c r="BD350" s="76" t="b">
        <v>0</v>
      </c>
      <c r="BE350" s="76" t="b">
        <v>0</v>
      </c>
      <c r="BF350" s="76" t="b">
        <v>0</v>
      </c>
      <c r="BG350" s="76" t="b">
        <v>0</v>
      </c>
      <c r="BH350" s="83" t="str">
        <f>HYPERLINK("https://pbs.twimg.com/profile_banners/1580164279336112128/1674474082")</f>
        <v>https://pbs.twimg.com/profile_banners/1580164279336112128/1674474082</v>
      </c>
      <c r="BI350" s="76"/>
      <c r="BJ350" s="76" t="s">
        <v>24935</v>
      </c>
      <c r="BK350" s="76" t="b">
        <v>0</v>
      </c>
      <c r="BL350" s="76"/>
      <c r="BM350" s="76" t="s">
        <v>66</v>
      </c>
      <c r="BN350" s="76" t="s">
        <v>24937</v>
      </c>
      <c r="BO350" s="83" t="str">
        <f>HYPERLINK("https://twitter.com/compras_black")</f>
        <v>https://twitter.com/compras_black</v>
      </c>
      <c r="BP350" s="2"/>
    </row>
    <row r="351" spans="1:68" x14ac:dyDescent="0.25">
      <c r="A351" s="62" t="s">
        <v>558</v>
      </c>
      <c r="B351" s="63"/>
      <c r="C351" s="63"/>
      <c r="D351" s="64"/>
      <c r="E351" s="66"/>
      <c r="F351" s="102" t="str">
        <f>HYPERLINK("https://pbs.twimg.com/profile_images/1546141319076233217/RRV5MAqr_normal.jpg")</f>
        <v>https://pbs.twimg.com/profile_images/1546141319076233217/RRV5MAqr_normal.jpg</v>
      </c>
      <c r="G351" s="63"/>
      <c r="H351" s="67"/>
      <c r="I351" s="68"/>
      <c r="J351" s="68"/>
      <c r="K351" s="67" t="s">
        <v>25285</v>
      </c>
      <c r="L351" s="71"/>
      <c r="M351" s="72"/>
      <c r="N351" s="72"/>
      <c r="O351" s="73"/>
      <c r="P351" s="74"/>
      <c r="Q351" s="74"/>
      <c r="R351" s="86"/>
      <c r="S351" s="86"/>
      <c r="T351" s="86"/>
      <c r="U351" s="86"/>
      <c r="V351" s="48"/>
      <c r="W351" s="48"/>
      <c r="X351" s="48"/>
      <c r="Y351" s="48"/>
      <c r="Z351" s="47"/>
      <c r="AA351" s="69">
        <v>351</v>
      </c>
      <c r="AB351" s="69"/>
      <c r="AC351" s="70"/>
      <c r="AD351" s="76" t="s">
        <v>22158</v>
      </c>
      <c r="AE351" s="81" t="s">
        <v>21260</v>
      </c>
      <c r="AF351" s="76">
        <v>12</v>
      </c>
      <c r="AG351" s="76">
        <v>48</v>
      </c>
      <c r="AH351" s="76">
        <v>39</v>
      </c>
      <c r="AI351" s="76">
        <v>0</v>
      </c>
      <c r="AJ351" s="76">
        <v>0</v>
      </c>
      <c r="AK351" s="76">
        <v>21</v>
      </c>
      <c r="AL351" s="76" t="b">
        <v>0</v>
      </c>
      <c r="AM351" s="78">
        <v>43955.611562500002</v>
      </c>
      <c r="AN351" s="76"/>
      <c r="AO351" s="76" t="s">
        <v>23647</v>
      </c>
      <c r="AP351" s="83" t="str">
        <f>HYPERLINK("https://t.co/g2hltx3rTD")</f>
        <v>https://t.co/g2hltx3rTD</v>
      </c>
      <c r="AQ351" s="83" t="str">
        <f>HYPERLINK("https://www.instagram.com/seushopnaweb/")</f>
        <v>https://www.instagram.com/seushopnaweb/</v>
      </c>
      <c r="AR351" s="76" t="s">
        <v>24443</v>
      </c>
      <c r="AS351" s="83" t="str">
        <f>HYPERLINK("https://t.co/hLzTu0tS4O")</f>
        <v>https://t.co/hLzTu0tS4O</v>
      </c>
      <c r="AT351" s="83" t="str">
        <f>HYPERLINK("http://linktr.ee/acessoasnossas")</f>
        <v>http://linktr.ee/acessoasnossas</v>
      </c>
      <c r="AU351" s="76" t="s">
        <v>24874</v>
      </c>
      <c r="AV351" s="76">
        <v>1.26356339067871E+18</v>
      </c>
      <c r="AW351" s="83" t="str">
        <f>HYPERLINK("https://t.co/g2hltx3rTD")</f>
        <v>https://t.co/g2hltx3rTD</v>
      </c>
      <c r="AX351" s="76" t="b">
        <v>0</v>
      </c>
      <c r="AY351" s="76"/>
      <c r="AZ351" s="76"/>
      <c r="BA351" s="76" t="b">
        <v>0</v>
      </c>
      <c r="BB351" s="76" t="b">
        <v>1</v>
      </c>
      <c r="BC351" s="76" t="b">
        <v>1</v>
      </c>
      <c r="BD351" s="76" t="b">
        <v>0</v>
      </c>
      <c r="BE351" s="76" t="b">
        <v>0</v>
      </c>
      <c r="BF351" s="76" t="b">
        <v>0</v>
      </c>
      <c r="BG351" s="76" t="b">
        <v>0</v>
      </c>
      <c r="BH351" s="83" t="str">
        <f>HYPERLINK("https://pbs.twimg.com/profile_banners/1257319180845498373/1657463792")</f>
        <v>https://pbs.twimg.com/profile_banners/1257319180845498373/1657463792</v>
      </c>
      <c r="BI351" s="76"/>
      <c r="BJ351" s="76" t="s">
        <v>24935</v>
      </c>
      <c r="BK351" s="76" t="b">
        <v>0</v>
      </c>
      <c r="BL351" s="76"/>
      <c r="BM351" s="76" t="s">
        <v>66</v>
      </c>
      <c r="BN351" s="76" t="s">
        <v>24937</v>
      </c>
      <c r="BO351" s="83" t="str">
        <f>HYPERLINK("https://twitter.com/seushopnaweb")</f>
        <v>https://twitter.com/seushopnaweb</v>
      </c>
      <c r="BP351" s="2"/>
    </row>
    <row r="352" spans="1:68" x14ac:dyDescent="0.25">
      <c r="A352" s="62" t="s">
        <v>559</v>
      </c>
      <c r="B352" s="63"/>
      <c r="C352" s="63"/>
      <c r="D352" s="64"/>
      <c r="E352" s="66"/>
      <c r="F352" s="102" t="str">
        <f>HYPERLINK("https://pbs.twimg.com/profile_images/1697968956630257664/3JNFUk3r_normal.jpg")</f>
        <v>https://pbs.twimg.com/profile_images/1697968956630257664/3JNFUk3r_normal.jpg</v>
      </c>
      <c r="G352" s="63"/>
      <c r="H352" s="67"/>
      <c r="I352" s="68"/>
      <c r="J352" s="68"/>
      <c r="K352" s="67" t="s">
        <v>25286</v>
      </c>
      <c r="L352" s="71"/>
      <c r="M352" s="72"/>
      <c r="N352" s="72"/>
      <c r="O352" s="73"/>
      <c r="P352" s="74"/>
      <c r="Q352" s="74"/>
      <c r="R352" s="86"/>
      <c r="S352" s="86"/>
      <c r="T352" s="86"/>
      <c r="U352" s="86"/>
      <c r="V352" s="48"/>
      <c r="W352" s="48"/>
      <c r="X352" s="48"/>
      <c r="Y352" s="48"/>
      <c r="Z352" s="47"/>
      <c r="AA352" s="69">
        <v>352</v>
      </c>
      <c r="AB352" s="69"/>
      <c r="AC352" s="70"/>
      <c r="AD352" s="76" t="s">
        <v>22159</v>
      </c>
      <c r="AE352" s="81" t="s">
        <v>21261</v>
      </c>
      <c r="AF352" s="76">
        <v>3</v>
      </c>
      <c r="AG352" s="76">
        <v>3</v>
      </c>
      <c r="AH352" s="76">
        <v>20</v>
      </c>
      <c r="AI352" s="76">
        <v>0</v>
      </c>
      <c r="AJ352" s="76">
        <v>6</v>
      </c>
      <c r="AK352" s="76">
        <v>3</v>
      </c>
      <c r="AL352" s="76" t="b">
        <v>0</v>
      </c>
      <c r="AM352" s="78">
        <v>45171.571782407409</v>
      </c>
      <c r="AN352" s="76" t="s">
        <v>14041</v>
      </c>
      <c r="AO352" s="76" t="s">
        <v>23648</v>
      </c>
      <c r="AP352" s="76"/>
      <c r="AQ352" s="76"/>
      <c r="AR352" s="76"/>
      <c r="AS352" s="76"/>
      <c r="AT352" s="76"/>
      <c r="AU352" s="76"/>
      <c r="AV352" s="76"/>
      <c r="AW352" s="76"/>
      <c r="AX352" s="76" t="b">
        <v>0</v>
      </c>
      <c r="AY352" s="76"/>
      <c r="AZ352" s="76"/>
      <c r="BA352" s="76" t="b">
        <v>0</v>
      </c>
      <c r="BB352" s="76" t="b">
        <v>1</v>
      </c>
      <c r="BC352" s="76" t="b">
        <v>1</v>
      </c>
      <c r="BD352" s="76" t="b">
        <v>0</v>
      </c>
      <c r="BE352" s="76" t="b">
        <v>0</v>
      </c>
      <c r="BF352" s="76" t="b">
        <v>0</v>
      </c>
      <c r="BG352" s="76" t="b">
        <v>0</v>
      </c>
      <c r="BH352" s="83" t="str">
        <f>HYPERLINK("https://pbs.twimg.com/profile_banners/1697968397160505347/1693662593")</f>
        <v>https://pbs.twimg.com/profile_banners/1697968397160505347/1693662593</v>
      </c>
      <c r="BI352" s="76"/>
      <c r="BJ352" s="76" t="s">
        <v>24935</v>
      </c>
      <c r="BK352" s="76" t="b">
        <v>0</v>
      </c>
      <c r="BL352" s="76"/>
      <c r="BM352" s="76" t="s">
        <v>66</v>
      </c>
      <c r="BN352" s="76" t="s">
        <v>24937</v>
      </c>
      <c r="BO352" s="83" t="str">
        <f>HYPERLINK("https://twitter.com/rendaextra_duda")</f>
        <v>https://twitter.com/rendaextra_duda</v>
      </c>
      <c r="BP352" s="2"/>
    </row>
    <row r="353" spans="1:68" x14ac:dyDescent="0.25">
      <c r="A353" s="62" t="s">
        <v>560</v>
      </c>
      <c r="B353" s="63"/>
      <c r="C353" s="63"/>
      <c r="D353" s="64"/>
      <c r="E353" s="66"/>
      <c r="F353" s="102" t="str">
        <f>HYPERLINK("https://pbs.twimg.com/profile_images/1661487936213250048/01GtLPqA_normal.jpg")</f>
        <v>https://pbs.twimg.com/profile_images/1661487936213250048/01GtLPqA_normal.jpg</v>
      </c>
      <c r="G353" s="63"/>
      <c r="H353" s="67"/>
      <c r="I353" s="68"/>
      <c r="J353" s="68"/>
      <c r="K353" s="67" t="s">
        <v>25287</v>
      </c>
      <c r="L353" s="71"/>
      <c r="M353" s="72"/>
      <c r="N353" s="72"/>
      <c r="O353" s="73"/>
      <c r="P353" s="74"/>
      <c r="Q353" s="74"/>
      <c r="R353" s="86"/>
      <c r="S353" s="86"/>
      <c r="T353" s="86"/>
      <c r="U353" s="86"/>
      <c r="V353" s="48"/>
      <c r="W353" s="48"/>
      <c r="X353" s="48"/>
      <c r="Y353" s="48"/>
      <c r="Z353" s="47"/>
      <c r="AA353" s="69">
        <v>353</v>
      </c>
      <c r="AB353" s="69"/>
      <c r="AC353" s="70"/>
      <c r="AD353" s="76" t="s">
        <v>22160</v>
      </c>
      <c r="AE353" s="81" t="s">
        <v>21262</v>
      </c>
      <c r="AF353" s="76">
        <v>17</v>
      </c>
      <c r="AG353" s="76">
        <v>77</v>
      </c>
      <c r="AH353" s="76">
        <v>169</v>
      </c>
      <c r="AI353" s="76">
        <v>0</v>
      </c>
      <c r="AJ353" s="76">
        <v>1820</v>
      </c>
      <c r="AK353" s="76">
        <v>37</v>
      </c>
      <c r="AL353" s="76" t="b">
        <v>0</v>
      </c>
      <c r="AM353" s="78">
        <v>42681.101273148146</v>
      </c>
      <c r="AN353" s="76" t="s">
        <v>23177</v>
      </c>
      <c r="AO353" s="76" t="s">
        <v>23649</v>
      </c>
      <c r="AP353" s="83" t="str">
        <f>HYPERLINK("https://t.co/MWjFXuglEw")</f>
        <v>https://t.co/MWjFXuglEw</v>
      </c>
      <c r="AQ353" s="83" t="str">
        <f>HYPERLINK("https://api.whatsapp.com/send?phone=5519983245780")</f>
        <v>https://api.whatsapp.com/send?phone=5519983245780</v>
      </c>
      <c r="AR353" s="76" t="s">
        <v>24444</v>
      </c>
      <c r="AS353" s="76"/>
      <c r="AT353" s="76"/>
      <c r="AU353" s="76"/>
      <c r="AV353" s="76"/>
      <c r="AW353" s="83" t="str">
        <f>HYPERLINK("https://t.co/MWjFXuglEw")</f>
        <v>https://t.co/MWjFXuglEw</v>
      </c>
      <c r="AX353" s="76" t="b">
        <v>0</v>
      </c>
      <c r="AY353" s="76"/>
      <c r="AZ353" s="76"/>
      <c r="BA353" s="76" t="b">
        <v>1</v>
      </c>
      <c r="BB353" s="76" t="b">
        <v>0</v>
      </c>
      <c r="BC353" s="76" t="b">
        <v>1</v>
      </c>
      <c r="BD353" s="76" t="b">
        <v>0</v>
      </c>
      <c r="BE353" s="76" t="b">
        <v>1</v>
      </c>
      <c r="BF353" s="76" t="b">
        <v>0</v>
      </c>
      <c r="BG353" s="76" t="b">
        <v>1</v>
      </c>
      <c r="BH353" s="83" t="str">
        <f>HYPERLINK("https://pbs.twimg.com/profile_banners/795452166521634816/1680262941")</f>
        <v>https://pbs.twimg.com/profile_banners/795452166521634816/1680262941</v>
      </c>
      <c r="BI353" s="76"/>
      <c r="BJ353" s="76" t="s">
        <v>24935</v>
      </c>
      <c r="BK353" s="76" t="b">
        <v>0</v>
      </c>
      <c r="BL353" s="76"/>
      <c r="BM353" s="76" t="s">
        <v>66</v>
      </c>
      <c r="BN353" s="76" t="s">
        <v>24937</v>
      </c>
      <c r="BO353" s="83" t="str">
        <f>HYPERLINK("https://twitter.com/cammilatorres91")</f>
        <v>https://twitter.com/cammilatorres91</v>
      </c>
      <c r="BP353" s="2"/>
    </row>
    <row r="354" spans="1:68" x14ac:dyDescent="0.25">
      <c r="A354" s="62" t="s">
        <v>561</v>
      </c>
      <c r="B354" s="63"/>
      <c r="C354" s="63"/>
      <c r="D354" s="64"/>
      <c r="E354" s="66"/>
      <c r="F354" s="102" t="str">
        <f>HYPERLINK("https://pbs.twimg.com/profile_images/1355576785698742284/tvIt6n2x_normal.jpg")</f>
        <v>https://pbs.twimg.com/profile_images/1355576785698742284/tvIt6n2x_normal.jpg</v>
      </c>
      <c r="G354" s="63"/>
      <c r="H354" s="67"/>
      <c r="I354" s="68"/>
      <c r="J354" s="68"/>
      <c r="K354" s="67" t="s">
        <v>25288</v>
      </c>
      <c r="L354" s="71"/>
      <c r="M354" s="72"/>
      <c r="N354" s="72"/>
      <c r="O354" s="73"/>
      <c r="P354" s="74"/>
      <c r="Q354" s="74"/>
      <c r="R354" s="86"/>
      <c r="S354" s="86"/>
      <c r="T354" s="86"/>
      <c r="U354" s="86"/>
      <c r="V354" s="48"/>
      <c r="W354" s="48"/>
      <c r="X354" s="48"/>
      <c r="Y354" s="48"/>
      <c r="Z354" s="47"/>
      <c r="AA354" s="69">
        <v>354</v>
      </c>
      <c r="AB354" s="69"/>
      <c r="AC354" s="70"/>
      <c r="AD354" s="76" t="s">
        <v>22161</v>
      </c>
      <c r="AE354" s="81" t="s">
        <v>21263</v>
      </c>
      <c r="AF354" s="76">
        <v>198</v>
      </c>
      <c r="AG354" s="76">
        <v>155</v>
      </c>
      <c r="AH354" s="76">
        <v>1184</v>
      </c>
      <c r="AI354" s="76">
        <v>3</v>
      </c>
      <c r="AJ354" s="76">
        <v>173</v>
      </c>
      <c r="AK354" s="76">
        <v>407</v>
      </c>
      <c r="AL354" s="76" t="b">
        <v>0</v>
      </c>
      <c r="AM354" s="78">
        <v>42782.892500000002</v>
      </c>
      <c r="AN354" s="76" t="s">
        <v>23178</v>
      </c>
      <c r="AO354" s="76" t="s">
        <v>23650</v>
      </c>
      <c r="AP354" s="83" t="str">
        <f>HYPERLINK("https://t.co/1XiabGbjX8")</f>
        <v>https://t.co/1XiabGbjX8</v>
      </c>
      <c r="AQ354" s="83" t="str">
        <f>HYPERLINK("https://linktr.ee/PapodeMilhao022")</f>
        <v>https://linktr.ee/PapodeMilhao022</v>
      </c>
      <c r="AR354" s="76" t="s">
        <v>24445</v>
      </c>
      <c r="AS354" s="76"/>
      <c r="AT354" s="76"/>
      <c r="AU354" s="76"/>
      <c r="AV354" s="76"/>
      <c r="AW354" s="83" t="str">
        <f>HYPERLINK("https://t.co/1XiabGbjX8")</f>
        <v>https://t.co/1XiabGbjX8</v>
      </c>
      <c r="AX354" s="76" t="b">
        <v>0</v>
      </c>
      <c r="AY354" s="76"/>
      <c r="AZ354" s="76"/>
      <c r="BA354" s="76" t="b">
        <v>0</v>
      </c>
      <c r="BB354" s="76" t="b">
        <v>1</v>
      </c>
      <c r="BC354" s="76" t="b">
        <v>1</v>
      </c>
      <c r="BD354" s="76" t="b">
        <v>0</v>
      </c>
      <c r="BE354" s="76" t="b">
        <v>0</v>
      </c>
      <c r="BF354" s="76" t="b">
        <v>0</v>
      </c>
      <c r="BG354" s="76" t="b">
        <v>0</v>
      </c>
      <c r="BH354" s="83" t="str">
        <f>HYPERLINK("https://pbs.twimg.com/profile_banners/832340075086278656/1612029666")</f>
        <v>https://pbs.twimg.com/profile_banners/832340075086278656/1612029666</v>
      </c>
      <c r="BI354" s="76"/>
      <c r="BJ354" s="76" t="s">
        <v>24935</v>
      </c>
      <c r="BK354" s="76" t="b">
        <v>0</v>
      </c>
      <c r="BL354" s="76"/>
      <c r="BM354" s="76" t="s">
        <v>66</v>
      </c>
      <c r="BN354" s="76" t="s">
        <v>24937</v>
      </c>
      <c r="BO354" s="83" t="str">
        <f>HYPERLINK("https://twitter.com/papodemilhao022")</f>
        <v>https://twitter.com/papodemilhao022</v>
      </c>
      <c r="BP354" s="2"/>
    </row>
    <row r="355" spans="1:68" x14ac:dyDescent="0.25">
      <c r="A355" s="62" t="s">
        <v>562</v>
      </c>
      <c r="B355" s="63"/>
      <c r="C355" s="63"/>
      <c r="D355" s="64"/>
      <c r="E355" s="66"/>
      <c r="F355" s="102" t="str">
        <f>HYPERLINK("https://pbs.twimg.com/profile_images/1391133988056674304/V5y3M3VI_normal.jpg")</f>
        <v>https://pbs.twimg.com/profile_images/1391133988056674304/V5y3M3VI_normal.jpg</v>
      </c>
      <c r="G355" s="63"/>
      <c r="H355" s="67"/>
      <c r="I355" s="68"/>
      <c r="J355" s="68"/>
      <c r="K355" s="67" t="s">
        <v>25289</v>
      </c>
      <c r="L355" s="71"/>
      <c r="M355" s="72"/>
      <c r="N355" s="72"/>
      <c r="O355" s="73"/>
      <c r="P355" s="74"/>
      <c r="Q355" s="74"/>
      <c r="R355" s="86"/>
      <c r="S355" s="86"/>
      <c r="T355" s="86"/>
      <c r="U355" s="86"/>
      <c r="V355" s="48"/>
      <c r="W355" s="48"/>
      <c r="X355" s="48"/>
      <c r="Y355" s="48"/>
      <c r="Z355" s="47"/>
      <c r="AA355" s="69">
        <v>355</v>
      </c>
      <c r="AB355" s="69"/>
      <c r="AC355" s="70"/>
      <c r="AD355" s="76" t="s">
        <v>22162</v>
      </c>
      <c r="AE355" s="81" t="s">
        <v>21264</v>
      </c>
      <c r="AF355" s="76">
        <v>23</v>
      </c>
      <c r="AG355" s="76">
        <v>24</v>
      </c>
      <c r="AH355" s="76">
        <v>285</v>
      </c>
      <c r="AI355" s="76">
        <v>0</v>
      </c>
      <c r="AJ355" s="76">
        <v>3172</v>
      </c>
      <c r="AK355" s="76">
        <v>34</v>
      </c>
      <c r="AL355" s="76" t="b">
        <v>0</v>
      </c>
      <c r="AM355" s="78">
        <v>44053.821840277778</v>
      </c>
      <c r="AN355" s="76" t="s">
        <v>14033</v>
      </c>
      <c r="AO355" s="76" t="s">
        <v>23651</v>
      </c>
      <c r="AP355" s="83" t="str">
        <f>HYPERLINK("https://t.co/OHqge7wm7G")</f>
        <v>https://t.co/OHqge7wm7G</v>
      </c>
      <c r="AQ355" s="83" t="str">
        <f>HYPERLINK("http://www.supermundo.com.br")</f>
        <v>http://www.supermundo.com.br</v>
      </c>
      <c r="AR355" s="76" t="s">
        <v>24446</v>
      </c>
      <c r="AS355" s="76"/>
      <c r="AT355" s="76"/>
      <c r="AU355" s="76"/>
      <c r="AV355" s="76">
        <v>1.38627139873422E+18</v>
      </c>
      <c r="AW355" s="83" t="str">
        <f>HYPERLINK("https://t.co/OHqge7wm7G")</f>
        <v>https://t.co/OHqge7wm7G</v>
      </c>
      <c r="AX355" s="76" t="b">
        <v>0</v>
      </c>
      <c r="AY355" s="76"/>
      <c r="AZ355" s="76"/>
      <c r="BA355" s="76" t="b">
        <v>0</v>
      </c>
      <c r="BB355" s="76" t="b">
        <v>1</v>
      </c>
      <c r="BC355" s="76" t="b">
        <v>1</v>
      </c>
      <c r="BD355" s="76" t="b">
        <v>0</v>
      </c>
      <c r="BE355" s="76" t="b">
        <v>0</v>
      </c>
      <c r="BF355" s="76" t="b">
        <v>0</v>
      </c>
      <c r="BG355" s="76" t="b">
        <v>0</v>
      </c>
      <c r="BH355" s="83" t="str">
        <f>HYPERLINK("https://pbs.twimg.com/profile_banners/1292909366996238336/1597088781")</f>
        <v>https://pbs.twimg.com/profile_banners/1292909366996238336/1597088781</v>
      </c>
      <c r="BI355" s="76"/>
      <c r="BJ355" s="76" t="s">
        <v>24935</v>
      </c>
      <c r="BK355" s="76" t="b">
        <v>0</v>
      </c>
      <c r="BL355" s="76"/>
      <c r="BM355" s="76" t="s">
        <v>66</v>
      </c>
      <c r="BN355" s="76" t="s">
        <v>24937</v>
      </c>
      <c r="BO355" s="83" t="str">
        <f>HYPERLINK("https://twitter.com/supermundo5")</f>
        <v>https://twitter.com/supermundo5</v>
      </c>
      <c r="BP355" s="2"/>
    </row>
    <row r="356" spans="1:68" x14ac:dyDescent="0.25">
      <c r="A356" s="62" t="s">
        <v>563</v>
      </c>
      <c r="B356" s="63"/>
      <c r="C356" s="63"/>
      <c r="D356" s="64"/>
      <c r="E356" s="66"/>
      <c r="F356" s="102" t="str">
        <f>HYPERLINK("https://pbs.twimg.com/profile_images/1593407391000920064/lC0ifLG3_normal.jpg")</f>
        <v>https://pbs.twimg.com/profile_images/1593407391000920064/lC0ifLG3_normal.jpg</v>
      </c>
      <c r="G356" s="63"/>
      <c r="H356" s="67"/>
      <c r="I356" s="68"/>
      <c r="J356" s="68"/>
      <c r="K356" s="67" t="s">
        <v>25290</v>
      </c>
      <c r="L356" s="71"/>
      <c r="M356" s="72"/>
      <c r="N356" s="72"/>
      <c r="O356" s="73"/>
      <c r="P356" s="74"/>
      <c r="Q356" s="74"/>
      <c r="R356" s="86"/>
      <c r="S356" s="86"/>
      <c r="T356" s="86"/>
      <c r="U356" s="86"/>
      <c r="V356" s="48"/>
      <c r="W356" s="48"/>
      <c r="X356" s="48"/>
      <c r="Y356" s="48"/>
      <c r="Z356" s="47"/>
      <c r="AA356" s="69">
        <v>356</v>
      </c>
      <c r="AB356" s="69"/>
      <c r="AC356" s="70"/>
      <c r="AD356" s="76" t="s">
        <v>22163</v>
      </c>
      <c r="AE356" s="81" t="s">
        <v>21265</v>
      </c>
      <c r="AF356" s="76">
        <v>95</v>
      </c>
      <c r="AG356" s="76">
        <v>88</v>
      </c>
      <c r="AH356" s="76">
        <v>3075</v>
      </c>
      <c r="AI356" s="76">
        <v>0</v>
      </c>
      <c r="AJ356" s="76">
        <v>1580</v>
      </c>
      <c r="AK356" s="76">
        <v>1826</v>
      </c>
      <c r="AL356" s="76" t="b">
        <v>0</v>
      </c>
      <c r="AM356" s="78">
        <v>44734.84134259259</v>
      </c>
      <c r="AN356" s="76"/>
      <c r="AO356" s="76" t="s">
        <v>23652</v>
      </c>
      <c r="AP356" s="83" t="str">
        <f>HYPERLINK("https://t.co/M3AY0mkLtz")</f>
        <v>https://t.co/M3AY0mkLtz</v>
      </c>
      <c r="AQ356" s="83" t="str">
        <f>HYPERLINK("https://myfree.link/www.lendasbet.com")</f>
        <v>https://myfree.link/www.lendasbet.com</v>
      </c>
      <c r="AR356" s="76" t="s">
        <v>24447</v>
      </c>
      <c r="AS356" s="76"/>
      <c r="AT356" s="76"/>
      <c r="AU356" s="76"/>
      <c r="AV356" s="76"/>
      <c r="AW356" s="83" t="str">
        <f>HYPERLINK("https://t.co/M3AY0mkLtz")</f>
        <v>https://t.co/M3AY0mkLtz</v>
      </c>
      <c r="AX356" s="76" t="b">
        <v>0</v>
      </c>
      <c r="AY356" s="76"/>
      <c r="AZ356" s="76"/>
      <c r="BA356" s="76" t="b">
        <v>1</v>
      </c>
      <c r="BB356" s="76" t="b">
        <v>1</v>
      </c>
      <c r="BC356" s="76" t="b">
        <v>1</v>
      </c>
      <c r="BD356" s="76" t="b">
        <v>0</v>
      </c>
      <c r="BE356" s="76" t="b">
        <v>0</v>
      </c>
      <c r="BF356" s="76" t="b">
        <v>0</v>
      </c>
      <c r="BG356" s="76" t="b">
        <v>0</v>
      </c>
      <c r="BH356" s="83" t="str">
        <f>HYPERLINK("https://pbs.twimg.com/profile_banners/1539702587666178051/1674566521")</f>
        <v>https://pbs.twimg.com/profile_banners/1539702587666178051/1674566521</v>
      </c>
      <c r="BI356" s="76"/>
      <c r="BJ356" s="76" t="s">
        <v>24935</v>
      </c>
      <c r="BK356" s="76" t="b">
        <v>0</v>
      </c>
      <c r="BL356" s="76"/>
      <c r="BM356" s="76" t="s">
        <v>66</v>
      </c>
      <c r="BN356" s="76" t="s">
        <v>24937</v>
      </c>
      <c r="BO356" s="83" t="str">
        <f>HYPERLINK("https://twitter.com/lendasbet")</f>
        <v>https://twitter.com/lendasbet</v>
      </c>
      <c r="BP356" s="2"/>
    </row>
    <row r="357" spans="1:68" x14ac:dyDescent="0.25">
      <c r="A357" s="62" t="s">
        <v>564</v>
      </c>
      <c r="B357" s="63"/>
      <c r="C357" s="63"/>
      <c r="D357" s="64"/>
      <c r="E357" s="66"/>
      <c r="F357" s="102" t="str">
        <f>HYPERLINK("https://pbs.twimg.com/profile_images/1665795005041057794/GwFbJe_M_normal.jpg")</f>
        <v>https://pbs.twimg.com/profile_images/1665795005041057794/GwFbJe_M_normal.jpg</v>
      </c>
      <c r="G357" s="63"/>
      <c r="H357" s="67"/>
      <c r="I357" s="68"/>
      <c r="J357" s="68"/>
      <c r="K357" s="67" t="s">
        <v>25291</v>
      </c>
      <c r="L357" s="71"/>
      <c r="M357" s="72"/>
      <c r="N357" s="72"/>
      <c r="O357" s="73"/>
      <c r="P357" s="74"/>
      <c r="Q357" s="74"/>
      <c r="R357" s="86"/>
      <c r="S357" s="86"/>
      <c r="T357" s="86"/>
      <c r="U357" s="86"/>
      <c r="V357" s="48"/>
      <c r="W357" s="48"/>
      <c r="X357" s="48"/>
      <c r="Y357" s="48"/>
      <c r="Z357" s="47"/>
      <c r="AA357" s="69">
        <v>357</v>
      </c>
      <c r="AB357" s="69"/>
      <c r="AC357" s="70"/>
      <c r="AD357" s="76" t="s">
        <v>22164</v>
      </c>
      <c r="AE357" s="81" t="s">
        <v>21266</v>
      </c>
      <c r="AF357" s="76">
        <v>1</v>
      </c>
      <c r="AG357" s="76">
        <v>2</v>
      </c>
      <c r="AH357" s="76">
        <v>8</v>
      </c>
      <c r="AI357" s="76">
        <v>0</v>
      </c>
      <c r="AJ357" s="76">
        <v>1</v>
      </c>
      <c r="AK357" s="76">
        <v>7</v>
      </c>
      <c r="AL357" s="76" t="b">
        <v>0</v>
      </c>
      <c r="AM357" s="78">
        <v>45082.789953703701</v>
      </c>
      <c r="AN357" s="76"/>
      <c r="AO357" s="76"/>
      <c r="AP357" s="76"/>
      <c r="AQ357" s="76"/>
      <c r="AR357" s="76"/>
      <c r="AS357" s="76"/>
      <c r="AT357" s="76"/>
      <c r="AU357" s="76"/>
      <c r="AV357" s="76"/>
      <c r="AW357" s="76"/>
      <c r="AX357" s="76" t="b">
        <v>0</v>
      </c>
      <c r="AY357" s="76"/>
      <c r="AZ357" s="76"/>
      <c r="BA357" s="76" t="b">
        <v>0</v>
      </c>
      <c r="BB357" s="76" t="b">
        <v>1</v>
      </c>
      <c r="BC357" s="76" t="b">
        <v>1</v>
      </c>
      <c r="BD357" s="76" t="b">
        <v>0</v>
      </c>
      <c r="BE357" s="76" t="b">
        <v>0</v>
      </c>
      <c r="BF357" s="76" t="b">
        <v>0</v>
      </c>
      <c r="BG357" s="76" t="b">
        <v>0</v>
      </c>
      <c r="BH357" s="76"/>
      <c r="BI357" s="76"/>
      <c r="BJ357" s="76" t="s">
        <v>24935</v>
      </c>
      <c r="BK357" s="76" t="b">
        <v>0</v>
      </c>
      <c r="BL357" s="76"/>
      <c r="BM357" s="76" t="s">
        <v>66</v>
      </c>
      <c r="BN357" s="76" t="s">
        <v>24937</v>
      </c>
      <c r="BO357" s="83" t="str">
        <f>HYPERLINK("https://twitter.com/jpasabrina")</f>
        <v>https://twitter.com/jpasabrina</v>
      </c>
      <c r="BP357" s="2"/>
    </row>
    <row r="358" spans="1:68" x14ac:dyDescent="0.25">
      <c r="A358" s="62" t="s">
        <v>565</v>
      </c>
      <c r="B358" s="63"/>
      <c r="C358" s="63"/>
      <c r="D358" s="64"/>
      <c r="E358" s="66"/>
      <c r="F358" s="102" t="str">
        <f>HYPERLINK("https://pbs.twimg.com/profile_images/1649023719933722626/kGal6RrE_normal.jpg")</f>
        <v>https://pbs.twimg.com/profile_images/1649023719933722626/kGal6RrE_normal.jpg</v>
      </c>
      <c r="G358" s="63"/>
      <c r="H358" s="67"/>
      <c r="I358" s="68"/>
      <c r="J358" s="68"/>
      <c r="K358" s="67" t="s">
        <v>25292</v>
      </c>
      <c r="L358" s="71"/>
      <c r="M358" s="72"/>
      <c r="N358" s="72"/>
      <c r="O358" s="73"/>
      <c r="P358" s="74"/>
      <c r="Q358" s="74"/>
      <c r="R358" s="86"/>
      <c r="S358" s="86"/>
      <c r="T358" s="86"/>
      <c r="U358" s="86"/>
      <c r="V358" s="48"/>
      <c r="W358" s="48"/>
      <c r="X358" s="48"/>
      <c r="Y358" s="48"/>
      <c r="Z358" s="47"/>
      <c r="AA358" s="69">
        <v>358</v>
      </c>
      <c r="AB358" s="69"/>
      <c r="AC358" s="70"/>
      <c r="AD358" s="76" t="s">
        <v>22165</v>
      </c>
      <c r="AE358" s="81" t="s">
        <v>20920</v>
      </c>
      <c r="AF358" s="76">
        <v>1</v>
      </c>
      <c r="AG358" s="76">
        <v>16</v>
      </c>
      <c r="AH358" s="76">
        <v>75</v>
      </c>
      <c r="AI358" s="76">
        <v>0</v>
      </c>
      <c r="AJ358" s="76">
        <v>89</v>
      </c>
      <c r="AK358" s="76">
        <v>24</v>
      </c>
      <c r="AL358" s="76" t="b">
        <v>0</v>
      </c>
      <c r="AM358" s="78">
        <v>44886.052430555559</v>
      </c>
      <c r="AN358" s="76"/>
      <c r="AO358" s="76" t="s">
        <v>23653</v>
      </c>
      <c r="AP358" s="83" t="str">
        <f>HYPERLINK("https://t.co/jOyEEQj023")</f>
        <v>https://t.co/jOyEEQj023</v>
      </c>
      <c r="AQ358" s="83" t="str">
        <f>HYPERLINK("https://www.ton.com.br/catalogo/?referrer=B45759BB-B324-4CCE-99A4-842B4ACCB820&amp;utm_medium=invite_sha")</f>
        <v>https://www.ton.com.br/catalogo/?referrer=B45759BB-B324-4CCE-99A4-842B4ACCB820&amp;utm_medium=invite_sha</v>
      </c>
      <c r="AR358" s="76" t="s">
        <v>24448</v>
      </c>
      <c r="AS358" s="76"/>
      <c r="AT358" s="76"/>
      <c r="AU358" s="76"/>
      <c r="AV358" s="76"/>
      <c r="AW358" s="83" t="str">
        <f>HYPERLINK("https://t.co/jOyEEQj023")</f>
        <v>https://t.co/jOyEEQj023</v>
      </c>
      <c r="AX358" s="76" t="b">
        <v>0</v>
      </c>
      <c r="AY358" s="76"/>
      <c r="AZ358" s="76"/>
      <c r="BA358" s="76" t="b">
        <v>0</v>
      </c>
      <c r="BB358" s="76" t="b">
        <v>1</v>
      </c>
      <c r="BC358" s="76" t="b">
        <v>1</v>
      </c>
      <c r="BD358" s="76" t="b">
        <v>0</v>
      </c>
      <c r="BE358" s="76" t="b">
        <v>0</v>
      </c>
      <c r="BF358" s="76" t="b">
        <v>0</v>
      </c>
      <c r="BG358" s="76" t="b">
        <v>0</v>
      </c>
      <c r="BH358" s="83" t="str">
        <f>HYPERLINK("https://pbs.twimg.com/profile_banners/1594499618997383168/1681993026")</f>
        <v>https://pbs.twimg.com/profile_banners/1594499618997383168/1681993026</v>
      </c>
      <c r="BI358" s="76"/>
      <c r="BJ358" s="76" t="s">
        <v>24935</v>
      </c>
      <c r="BK358" s="76" t="b">
        <v>0</v>
      </c>
      <c r="BL358" s="76"/>
      <c r="BM358" s="76" t="s">
        <v>66</v>
      </c>
      <c r="BN358" s="76" t="s">
        <v>24937</v>
      </c>
      <c r="BO358" s="83" t="str">
        <f>HYPERLINK("https://twitter.com/laizdocarmosou1")</f>
        <v>https://twitter.com/laizdocarmosou1</v>
      </c>
      <c r="BP358" s="2"/>
    </row>
    <row r="359" spans="1:68" x14ac:dyDescent="0.25">
      <c r="A359" s="62" t="s">
        <v>566</v>
      </c>
      <c r="B359" s="63"/>
      <c r="C359" s="63"/>
      <c r="D359" s="64"/>
      <c r="E359" s="66"/>
      <c r="F359" s="102" t="str">
        <f>HYPERLINK("https://pbs.twimg.com/profile_images/1602771288061317123/ygIKRKxl_normal.jpg")</f>
        <v>https://pbs.twimg.com/profile_images/1602771288061317123/ygIKRKxl_normal.jpg</v>
      </c>
      <c r="G359" s="63"/>
      <c r="H359" s="67"/>
      <c r="I359" s="68"/>
      <c r="J359" s="68"/>
      <c r="K359" s="67" t="s">
        <v>25293</v>
      </c>
      <c r="L359" s="71"/>
      <c r="M359" s="72"/>
      <c r="N359" s="72"/>
      <c r="O359" s="73"/>
      <c r="P359" s="74"/>
      <c r="Q359" s="74"/>
      <c r="R359" s="86"/>
      <c r="S359" s="86"/>
      <c r="T359" s="86"/>
      <c r="U359" s="86"/>
      <c r="V359" s="48"/>
      <c r="W359" s="48"/>
      <c r="X359" s="48"/>
      <c r="Y359" s="48"/>
      <c r="Z359" s="47"/>
      <c r="AA359" s="69">
        <v>359</v>
      </c>
      <c r="AB359" s="69"/>
      <c r="AC359" s="70"/>
      <c r="AD359" s="76" t="s">
        <v>22166</v>
      </c>
      <c r="AE359" s="81" t="s">
        <v>21267</v>
      </c>
      <c r="AF359" s="76">
        <v>3</v>
      </c>
      <c r="AG359" s="76">
        <v>25</v>
      </c>
      <c r="AH359" s="76">
        <v>22</v>
      </c>
      <c r="AI359" s="76">
        <v>1</v>
      </c>
      <c r="AJ359" s="76">
        <v>212</v>
      </c>
      <c r="AK359" s="76">
        <v>3</v>
      </c>
      <c r="AL359" s="76" t="b">
        <v>0</v>
      </c>
      <c r="AM359" s="78">
        <v>44906.796736111108</v>
      </c>
      <c r="AN359" s="76"/>
      <c r="AO359" s="76" t="s">
        <v>23654</v>
      </c>
      <c r="AP359" s="76"/>
      <c r="AQ359" s="76"/>
      <c r="AR359" s="76"/>
      <c r="AS359" s="76"/>
      <c r="AT359" s="76"/>
      <c r="AU359" s="76"/>
      <c r="AV359" s="76"/>
      <c r="AW359" s="76"/>
      <c r="AX359" s="76" t="b">
        <v>0</v>
      </c>
      <c r="AY359" s="76"/>
      <c r="AZ359" s="76"/>
      <c r="BA359" s="76" t="b">
        <v>0</v>
      </c>
      <c r="BB359" s="76" t="b">
        <v>1</v>
      </c>
      <c r="BC359" s="76" t="b">
        <v>1</v>
      </c>
      <c r="BD359" s="76" t="b">
        <v>0</v>
      </c>
      <c r="BE359" s="76" t="b">
        <v>0</v>
      </c>
      <c r="BF359" s="76" t="b">
        <v>0</v>
      </c>
      <c r="BG359" s="76" t="b">
        <v>0</v>
      </c>
      <c r="BH359" s="76"/>
      <c r="BI359" s="76"/>
      <c r="BJ359" s="76" t="s">
        <v>24935</v>
      </c>
      <c r="BK359" s="76" t="b">
        <v>0</v>
      </c>
      <c r="BL359" s="76"/>
      <c r="BM359" s="76" t="s">
        <v>66</v>
      </c>
      <c r="BN359" s="76" t="s">
        <v>24937</v>
      </c>
      <c r="BO359" s="83" t="str">
        <f>HYPERLINK("https://twitter.com/cartianuel1725")</f>
        <v>https://twitter.com/cartianuel1725</v>
      </c>
      <c r="BP359" s="2"/>
    </row>
    <row r="360" spans="1:68" x14ac:dyDescent="0.25">
      <c r="A360" s="62" t="s">
        <v>567</v>
      </c>
      <c r="B360" s="63"/>
      <c r="C360" s="63"/>
      <c r="D360" s="64"/>
      <c r="E360" s="66"/>
      <c r="F360" s="102" t="str">
        <f>HYPERLINK("https://pbs.twimg.com/profile_images/1656284219201531904/mWsBA7vu_normal.jpg")</f>
        <v>https://pbs.twimg.com/profile_images/1656284219201531904/mWsBA7vu_normal.jpg</v>
      </c>
      <c r="G360" s="63"/>
      <c r="H360" s="67"/>
      <c r="I360" s="68"/>
      <c r="J360" s="68"/>
      <c r="K360" s="67" t="s">
        <v>25294</v>
      </c>
      <c r="L360" s="71"/>
      <c r="M360" s="72"/>
      <c r="N360" s="72"/>
      <c r="O360" s="73"/>
      <c r="P360" s="74"/>
      <c r="Q360" s="74"/>
      <c r="R360" s="86"/>
      <c r="S360" s="86"/>
      <c r="T360" s="86"/>
      <c r="U360" s="86"/>
      <c r="V360" s="48"/>
      <c r="W360" s="48"/>
      <c r="X360" s="48"/>
      <c r="Y360" s="48"/>
      <c r="Z360" s="47"/>
      <c r="AA360" s="69">
        <v>360</v>
      </c>
      <c r="AB360" s="69"/>
      <c r="AC360" s="70"/>
      <c r="AD360" s="76" t="s">
        <v>22167</v>
      </c>
      <c r="AE360" s="81" t="s">
        <v>21268</v>
      </c>
      <c r="AF360" s="76">
        <v>11</v>
      </c>
      <c r="AG360" s="76">
        <v>88</v>
      </c>
      <c r="AH360" s="76">
        <v>19</v>
      </c>
      <c r="AI360" s="76">
        <v>0</v>
      </c>
      <c r="AJ360" s="76">
        <v>0</v>
      </c>
      <c r="AK360" s="76">
        <v>9</v>
      </c>
      <c r="AL360" s="76" t="b">
        <v>0</v>
      </c>
      <c r="AM360" s="78">
        <v>45056.541168981479</v>
      </c>
      <c r="AN360" s="76"/>
      <c r="AO360" s="76" t="s">
        <v>23655</v>
      </c>
      <c r="AP360" s="76"/>
      <c r="AQ360" s="76"/>
      <c r="AR360" s="76"/>
      <c r="AS360" s="76"/>
      <c r="AT360" s="76"/>
      <c r="AU360" s="76"/>
      <c r="AV360" s="76"/>
      <c r="AW360" s="76"/>
      <c r="AX360" s="76" t="b">
        <v>0</v>
      </c>
      <c r="AY360" s="76"/>
      <c r="AZ360" s="76"/>
      <c r="BA360" s="76" t="b">
        <v>0</v>
      </c>
      <c r="BB360" s="76" t="b">
        <v>1</v>
      </c>
      <c r="BC360" s="76" t="b">
        <v>1</v>
      </c>
      <c r="BD360" s="76" t="b">
        <v>0</v>
      </c>
      <c r="BE360" s="76" t="b">
        <v>0</v>
      </c>
      <c r="BF360" s="76" t="b">
        <v>0</v>
      </c>
      <c r="BG360" s="76" t="b">
        <v>0</v>
      </c>
      <c r="BH360" s="83" t="str">
        <f>HYPERLINK("https://pbs.twimg.com/profile_banners/1656282619145748483/1683749097")</f>
        <v>https://pbs.twimg.com/profile_banners/1656282619145748483/1683749097</v>
      </c>
      <c r="BI360" s="76"/>
      <c r="BJ360" s="76" t="s">
        <v>24935</v>
      </c>
      <c r="BK360" s="76" t="b">
        <v>0</v>
      </c>
      <c r="BL360" s="76"/>
      <c r="BM360" s="76" t="s">
        <v>66</v>
      </c>
      <c r="BN360" s="76" t="s">
        <v>24937</v>
      </c>
      <c r="BO360" s="83" t="str">
        <f>HYPERLINK("https://twitter.com/lifegoldroyal")</f>
        <v>https://twitter.com/lifegoldroyal</v>
      </c>
      <c r="BP360" s="2"/>
    </row>
    <row r="361" spans="1:68" x14ac:dyDescent="0.25">
      <c r="A361" s="62" t="s">
        <v>568</v>
      </c>
      <c r="B361" s="63"/>
      <c r="C361" s="63"/>
      <c r="D361" s="64"/>
      <c r="E361" s="66"/>
      <c r="F361" s="102" t="str">
        <f>HYPERLINK("https://pbs.twimg.com/profile_images/1658153539326099457/dXAptvZy_normal.jpg")</f>
        <v>https://pbs.twimg.com/profile_images/1658153539326099457/dXAptvZy_normal.jpg</v>
      </c>
      <c r="G361" s="63"/>
      <c r="H361" s="67"/>
      <c r="I361" s="68"/>
      <c r="J361" s="68"/>
      <c r="K361" s="67" t="s">
        <v>25295</v>
      </c>
      <c r="L361" s="71"/>
      <c r="M361" s="72"/>
      <c r="N361" s="72"/>
      <c r="O361" s="73"/>
      <c r="P361" s="74"/>
      <c r="Q361" s="74"/>
      <c r="R361" s="86"/>
      <c r="S361" s="86"/>
      <c r="T361" s="86"/>
      <c r="U361" s="86"/>
      <c r="V361" s="48"/>
      <c r="W361" s="48"/>
      <c r="X361" s="48"/>
      <c r="Y361" s="48"/>
      <c r="Z361" s="47"/>
      <c r="AA361" s="69">
        <v>361</v>
      </c>
      <c r="AB361" s="69"/>
      <c r="AC361" s="70"/>
      <c r="AD361" s="76" t="s">
        <v>22168</v>
      </c>
      <c r="AE361" s="81" t="s">
        <v>21269</v>
      </c>
      <c r="AF361" s="76">
        <v>0</v>
      </c>
      <c r="AG361" s="76">
        <v>17</v>
      </c>
      <c r="AH361" s="76">
        <v>114</v>
      </c>
      <c r="AI361" s="76">
        <v>0</v>
      </c>
      <c r="AJ361" s="76">
        <v>8</v>
      </c>
      <c r="AK361" s="76">
        <v>28</v>
      </c>
      <c r="AL361" s="76" t="b">
        <v>0</v>
      </c>
      <c r="AM361" s="78">
        <v>45061.70039351852</v>
      </c>
      <c r="AN361" s="76"/>
      <c r="AO361" s="76"/>
      <c r="AP361" s="76"/>
      <c r="AQ361" s="76"/>
      <c r="AR361" s="76"/>
      <c r="AS361" s="76"/>
      <c r="AT361" s="76"/>
      <c r="AU361" s="76"/>
      <c r="AV361" s="76"/>
      <c r="AW361" s="76"/>
      <c r="AX361" s="76" t="b">
        <v>0</v>
      </c>
      <c r="AY361" s="76"/>
      <c r="AZ361" s="76"/>
      <c r="BA361" s="76" t="b">
        <v>0</v>
      </c>
      <c r="BB361" s="76" t="b">
        <v>1</v>
      </c>
      <c r="BC361" s="76" t="b">
        <v>1</v>
      </c>
      <c r="BD361" s="76" t="b">
        <v>0</v>
      </c>
      <c r="BE361" s="76" t="b">
        <v>0</v>
      </c>
      <c r="BF361" s="76" t="b">
        <v>0</v>
      </c>
      <c r="BG361" s="76" t="b">
        <v>0</v>
      </c>
      <c r="BH361" s="83" t="str">
        <f>HYPERLINK("https://pbs.twimg.com/profile_banners/1658152357069242370/1687518886")</f>
        <v>https://pbs.twimg.com/profile_banners/1658152357069242370/1687518886</v>
      </c>
      <c r="BI361" s="76"/>
      <c r="BJ361" s="76" t="s">
        <v>24935</v>
      </c>
      <c r="BK361" s="76" t="b">
        <v>0</v>
      </c>
      <c r="BL361" s="76"/>
      <c r="BM361" s="76" t="s">
        <v>66</v>
      </c>
      <c r="BN361" s="76" t="s">
        <v>24937</v>
      </c>
      <c r="BO361" s="83" t="str">
        <f>HYPERLINK("https://twitter.com/jaineddalmeida")</f>
        <v>https://twitter.com/jaineddalmeida</v>
      </c>
      <c r="BP361" s="2"/>
    </row>
    <row r="362" spans="1:68" x14ac:dyDescent="0.25">
      <c r="A362" s="62" t="s">
        <v>569</v>
      </c>
      <c r="B362" s="63"/>
      <c r="C362" s="63"/>
      <c r="D362" s="64"/>
      <c r="E362" s="66"/>
      <c r="F362" s="102" t="str">
        <f>HYPERLINK("https://pbs.twimg.com/profile_images/1609029956457078786/9Jw2G963_normal.jpg")</f>
        <v>https://pbs.twimg.com/profile_images/1609029956457078786/9Jw2G963_normal.jpg</v>
      </c>
      <c r="G362" s="63"/>
      <c r="H362" s="67"/>
      <c r="I362" s="68"/>
      <c r="J362" s="68"/>
      <c r="K362" s="67" t="s">
        <v>25296</v>
      </c>
      <c r="L362" s="71"/>
      <c r="M362" s="72"/>
      <c r="N362" s="72"/>
      <c r="O362" s="73"/>
      <c r="P362" s="74"/>
      <c r="Q362" s="74"/>
      <c r="R362" s="86"/>
      <c r="S362" s="86"/>
      <c r="T362" s="86"/>
      <c r="U362" s="86"/>
      <c r="V362" s="48"/>
      <c r="W362" s="48"/>
      <c r="X362" s="48"/>
      <c r="Y362" s="48"/>
      <c r="Z362" s="47"/>
      <c r="AA362" s="69">
        <v>362</v>
      </c>
      <c r="AB362" s="69"/>
      <c r="AC362" s="70"/>
      <c r="AD362" s="76" t="s">
        <v>22169</v>
      </c>
      <c r="AE362" s="81" t="s">
        <v>21270</v>
      </c>
      <c r="AF362" s="76">
        <v>264</v>
      </c>
      <c r="AG362" s="76">
        <v>216</v>
      </c>
      <c r="AH362" s="76">
        <v>438</v>
      </c>
      <c r="AI362" s="76">
        <v>2</v>
      </c>
      <c r="AJ362" s="76">
        <v>377</v>
      </c>
      <c r="AK362" s="76">
        <v>203</v>
      </c>
      <c r="AL362" s="76" t="b">
        <v>0</v>
      </c>
      <c r="AM362" s="78">
        <v>44902.885937500003</v>
      </c>
      <c r="AN362" s="76"/>
      <c r="AO362" s="76" t="s">
        <v>23656</v>
      </c>
      <c r="AP362" s="83" t="str">
        <f>HYPERLINK("https://t.co/p255hGbv5W")</f>
        <v>https://t.co/p255hGbv5W</v>
      </c>
      <c r="AQ362" s="83" t="str">
        <f>HYPERLINK("https://youtube.com/@SowerInveste")</f>
        <v>https://youtube.com/@SowerInveste</v>
      </c>
      <c r="AR362" s="76" t="s">
        <v>24449</v>
      </c>
      <c r="AS362" s="76"/>
      <c r="AT362" s="76"/>
      <c r="AU362" s="76"/>
      <c r="AV362" s="76"/>
      <c r="AW362" s="83" t="str">
        <f>HYPERLINK("https://t.co/p255hGbv5W")</f>
        <v>https://t.co/p255hGbv5W</v>
      </c>
      <c r="AX362" s="76" t="b">
        <v>0</v>
      </c>
      <c r="AY362" s="76"/>
      <c r="AZ362" s="76"/>
      <c r="BA362" s="76" t="b">
        <v>0</v>
      </c>
      <c r="BB362" s="76" t="b">
        <v>1</v>
      </c>
      <c r="BC362" s="76" t="b">
        <v>1</v>
      </c>
      <c r="BD362" s="76" t="b">
        <v>0</v>
      </c>
      <c r="BE362" s="76" t="b">
        <v>0</v>
      </c>
      <c r="BF362" s="76" t="b">
        <v>0</v>
      </c>
      <c r="BG362" s="76" t="b">
        <v>0</v>
      </c>
      <c r="BH362" s="83" t="str">
        <f>HYPERLINK("https://pbs.twimg.com/profile_banners/1600599381367037953/1684787062")</f>
        <v>https://pbs.twimg.com/profile_banners/1600599381367037953/1684787062</v>
      </c>
      <c r="BI362" s="76"/>
      <c r="BJ362" s="76" t="s">
        <v>24935</v>
      </c>
      <c r="BK362" s="76" t="b">
        <v>0</v>
      </c>
      <c r="BL362" s="76"/>
      <c r="BM362" s="76" t="s">
        <v>66</v>
      </c>
      <c r="BN362" s="76" t="s">
        <v>24937</v>
      </c>
      <c r="BO362" s="83" t="str">
        <f>HYPERLINK("https://twitter.com/sowercrypto")</f>
        <v>https://twitter.com/sowercrypto</v>
      </c>
      <c r="BP362" s="2"/>
    </row>
    <row r="363" spans="1:68" x14ac:dyDescent="0.25">
      <c r="A363" s="62" t="s">
        <v>570</v>
      </c>
      <c r="B363" s="63"/>
      <c r="C363" s="63"/>
      <c r="D363" s="64"/>
      <c r="E363" s="66"/>
      <c r="F363" s="102" t="str">
        <f>HYPERLINK("https://pbs.twimg.com/profile_images/1680739164520689665/AxWq_-FG_normal.jpg")</f>
        <v>https://pbs.twimg.com/profile_images/1680739164520689665/AxWq_-FG_normal.jpg</v>
      </c>
      <c r="G363" s="63"/>
      <c r="H363" s="67"/>
      <c r="I363" s="68"/>
      <c r="J363" s="68"/>
      <c r="K363" s="67" t="s">
        <v>25297</v>
      </c>
      <c r="L363" s="71"/>
      <c r="M363" s="72"/>
      <c r="N363" s="72"/>
      <c r="O363" s="73"/>
      <c r="P363" s="74"/>
      <c r="Q363" s="74"/>
      <c r="R363" s="86"/>
      <c r="S363" s="86"/>
      <c r="T363" s="86"/>
      <c r="U363" s="86"/>
      <c r="V363" s="48"/>
      <c r="W363" s="48"/>
      <c r="X363" s="48"/>
      <c r="Y363" s="48"/>
      <c r="Z363" s="47"/>
      <c r="AA363" s="69">
        <v>363</v>
      </c>
      <c r="AB363" s="69"/>
      <c r="AC363" s="70"/>
      <c r="AD363" s="76" t="s">
        <v>22170</v>
      </c>
      <c r="AE363" s="81" t="s">
        <v>20921</v>
      </c>
      <c r="AF363" s="76">
        <v>61</v>
      </c>
      <c r="AG363" s="76">
        <v>239</v>
      </c>
      <c r="AH363" s="76">
        <v>124</v>
      </c>
      <c r="AI363" s="76">
        <v>0</v>
      </c>
      <c r="AJ363" s="76">
        <v>361</v>
      </c>
      <c r="AK363" s="76">
        <v>37</v>
      </c>
      <c r="AL363" s="76" t="b">
        <v>0</v>
      </c>
      <c r="AM363" s="78">
        <v>44301.965717592589</v>
      </c>
      <c r="AN363" s="76" t="s">
        <v>23179</v>
      </c>
      <c r="AO363" s="76"/>
      <c r="AP363" s="76"/>
      <c r="AQ363" s="76"/>
      <c r="AR363" s="76"/>
      <c r="AS363" s="76"/>
      <c r="AT363" s="76"/>
      <c r="AU363" s="76"/>
      <c r="AV363" s="76">
        <v>1.6671805883341801E+18</v>
      </c>
      <c r="AW363" s="76"/>
      <c r="AX363" s="76" t="b">
        <v>0</v>
      </c>
      <c r="AY363" s="76"/>
      <c r="AZ363" s="76"/>
      <c r="BA363" s="76" t="b">
        <v>0</v>
      </c>
      <c r="BB363" s="76" t="b">
        <v>0</v>
      </c>
      <c r="BC363" s="76" t="b">
        <v>1</v>
      </c>
      <c r="BD363" s="76" t="b">
        <v>0</v>
      </c>
      <c r="BE363" s="76" t="b">
        <v>0</v>
      </c>
      <c r="BF363" s="76" t="b">
        <v>0</v>
      </c>
      <c r="BG363" s="76" t="b">
        <v>0</v>
      </c>
      <c r="BH363" s="76"/>
      <c r="BI363" s="76"/>
      <c r="BJ363" s="76" t="s">
        <v>24935</v>
      </c>
      <c r="BK363" s="76" t="b">
        <v>0</v>
      </c>
      <c r="BL363" s="76"/>
      <c r="BM363" s="76" t="s">
        <v>66</v>
      </c>
      <c r="BN363" s="76" t="s">
        <v>24937</v>
      </c>
      <c r="BO363" s="83" t="str">
        <f>HYPERLINK("https://twitter.com/millye131")</f>
        <v>https://twitter.com/millye131</v>
      </c>
      <c r="BP363" s="2"/>
    </row>
    <row r="364" spans="1:68" x14ac:dyDescent="0.25">
      <c r="A364" s="62" t="s">
        <v>571</v>
      </c>
      <c r="B364" s="63"/>
      <c r="C364" s="63"/>
      <c r="D364" s="64"/>
      <c r="E364" s="66"/>
      <c r="F364" s="102" t="str">
        <f>HYPERLINK("https://pbs.twimg.com/profile_images/1593096027514494976/dDzhaTgf_normal.jpg")</f>
        <v>https://pbs.twimg.com/profile_images/1593096027514494976/dDzhaTgf_normal.jpg</v>
      </c>
      <c r="G364" s="63"/>
      <c r="H364" s="67"/>
      <c r="I364" s="68"/>
      <c r="J364" s="68"/>
      <c r="K364" s="67" t="s">
        <v>25298</v>
      </c>
      <c r="L364" s="71"/>
      <c r="M364" s="72"/>
      <c r="N364" s="72"/>
      <c r="O364" s="73"/>
      <c r="P364" s="74"/>
      <c r="Q364" s="74"/>
      <c r="R364" s="86"/>
      <c r="S364" s="86"/>
      <c r="T364" s="86"/>
      <c r="U364" s="86"/>
      <c r="V364" s="48"/>
      <c r="W364" s="48"/>
      <c r="X364" s="48"/>
      <c r="Y364" s="48"/>
      <c r="Z364" s="47"/>
      <c r="AA364" s="69">
        <v>364</v>
      </c>
      <c r="AB364" s="69"/>
      <c r="AC364" s="70"/>
      <c r="AD364" s="76" t="s">
        <v>22171</v>
      </c>
      <c r="AE364" s="81" t="s">
        <v>20922</v>
      </c>
      <c r="AF364" s="76">
        <v>5</v>
      </c>
      <c r="AG364" s="76">
        <v>14</v>
      </c>
      <c r="AH364" s="76">
        <v>288</v>
      </c>
      <c r="AI364" s="76">
        <v>0</v>
      </c>
      <c r="AJ364" s="76">
        <v>760</v>
      </c>
      <c r="AK364" s="76">
        <v>22</v>
      </c>
      <c r="AL364" s="76" t="b">
        <v>0</v>
      </c>
      <c r="AM364" s="78">
        <v>44541.03597222222</v>
      </c>
      <c r="AN364" s="76" t="s">
        <v>23147</v>
      </c>
      <c r="AO364" s="76" t="s">
        <v>23657</v>
      </c>
      <c r="AP364" s="76"/>
      <c r="AQ364" s="76"/>
      <c r="AR364" s="76"/>
      <c r="AS364" s="76"/>
      <c r="AT364" s="76"/>
      <c r="AU364" s="76"/>
      <c r="AV364" s="76">
        <v>1.6368959230484401E+18</v>
      </c>
      <c r="AW364" s="76"/>
      <c r="AX364" s="76" t="b">
        <v>0</v>
      </c>
      <c r="AY364" s="76"/>
      <c r="AZ364" s="76"/>
      <c r="BA364" s="76" t="b">
        <v>0</v>
      </c>
      <c r="BB364" s="76" t="b">
        <v>1</v>
      </c>
      <c r="BC364" s="76" t="b">
        <v>1</v>
      </c>
      <c r="BD364" s="76" t="b">
        <v>0</v>
      </c>
      <c r="BE364" s="76" t="b">
        <v>1</v>
      </c>
      <c r="BF364" s="76" t="b">
        <v>0</v>
      </c>
      <c r="BG364" s="76" t="b">
        <v>0</v>
      </c>
      <c r="BH364" s="76"/>
      <c r="BI364" s="76"/>
      <c r="BJ364" s="76" t="s">
        <v>24935</v>
      </c>
      <c r="BK364" s="76" t="b">
        <v>0</v>
      </c>
      <c r="BL364" s="76"/>
      <c r="BM364" s="76" t="s">
        <v>66</v>
      </c>
      <c r="BN364" s="76" t="s">
        <v>24937</v>
      </c>
      <c r="BO364" s="83" t="str">
        <f>HYPERLINK("https://twitter.com/eggertcamila")</f>
        <v>https://twitter.com/eggertcamila</v>
      </c>
      <c r="BP364" s="2"/>
    </row>
    <row r="365" spans="1:68" x14ac:dyDescent="0.25">
      <c r="A365" s="62" t="s">
        <v>572</v>
      </c>
      <c r="B365" s="63"/>
      <c r="C365" s="63"/>
      <c r="D365" s="64"/>
      <c r="E365" s="66"/>
      <c r="F365" s="102" t="str">
        <f>HYPERLINK("https://pbs.twimg.com/profile_images/1339204721157038081/suMleSbF_normal.jpg")</f>
        <v>https://pbs.twimg.com/profile_images/1339204721157038081/suMleSbF_normal.jpg</v>
      </c>
      <c r="G365" s="63"/>
      <c r="H365" s="67"/>
      <c r="I365" s="68"/>
      <c r="J365" s="68"/>
      <c r="K365" s="67" t="s">
        <v>25299</v>
      </c>
      <c r="L365" s="71"/>
      <c r="M365" s="72"/>
      <c r="N365" s="72"/>
      <c r="O365" s="73"/>
      <c r="P365" s="74"/>
      <c r="Q365" s="74"/>
      <c r="R365" s="86"/>
      <c r="S365" s="86"/>
      <c r="T365" s="86"/>
      <c r="U365" s="86"/>
      <c r="V365" s="48"/>
      <c r="W365" s="48"/>
      <c r="X365" s="48"/>
      <c r="Y365" s="48"/>
      <c r="Z365" s="47"/>
      <c r="AA365" s="69">
        <v>365</v>
      </c>
      <c r="AB365" s="69"/>
      <c r="AC365" s="70"/>
      <c r="AD365" s="76" t="s">
        <v>22172</v>
      </c>
      <c r="AE365" s="81" t="s">
        <v>21271</v>
      </c>
      <c r="AF365" s="76">
        <v>590</v>
      </c>
      <c r="AG365" s="76">
        <v>149</v>
      </c>
      <c r="AH365" s="76">
        <v>271</v>
      </c>
      <c r="AI365" s="76">
        <v>0</v>
      </c>
      <c r="AJ365" s="76">
        <v>112</v>
      </c>
      <c r="AK365" s="76">
        <v>170</v>
      </c>
      <c r="AL365" s="76" t="b">
        <v>0</v>
      </c>
      <c r="AM365" s="78">
        <v>44134.539085648146</v>
      </c>
      <c r="AN365" s="76" t="s">
        <v>14033</v>
      </c>
      <c r="AO365" s="76" t="s">
        <v>23658</v>
      </c>
      <c r="AP365" s="83" t="str">
        <f>HYPERLINK("https://t.co/vONfVXwa1F")</f>
        <v>https://t.co/vONfVXwa1F</v>
      </c>
      <c r="AQ365" s="83" t="str">
        <f>HYPERLINK("https://leftbank.com.br")</f>
        <v>https://leftbank.com.br</v>
      </c>
      <c r="AR365" s="76" t="s">
        <v>24450</v>
      </c>
      <c r="AS365" s="83" t="str">
        <f>HYPERLINK("https://t.co/K1MKdsEsYD")</f>
        <v>https://t.co/K1MKdsEsYD</v>
      </c>
      <c r="AT365" s="83" t="str">
        <f>HYPERLINK("http://linktr.ee/leftbankbrasil")</f>
        <v>http://linktr.ee/leftbankbrasil</v>
      </c>
      <c r="AU365" s="76" t="s">
        <v>24875</v>
      </c>
      <c r="AV365" s="76"/>
      <c r="AW365" s="83" t="str">
        <f>HYPERLINK("https://t.co/vONfVXwa1F")</f>
        <v>https://t.co/vONfVXwa1F</v>
      </c>
      <c r="AX365" s="76" t="b">
        <v>0</v>
      </c>
      <c r="AY365" s="76"/>
      <c r="AZ365" s="76"/>
      <c r="BA365" s="76" t="b">
        <v>0</v>
      </c>
      <c r="BB365" s="76" t="b">
        <v>0</v>
      </c>
      <c r="BC365" s="76" t="b">
        <v>1</v>
      </c>
      <c r="BD365" s="76" t="b">
        <v>0</v>
      </c>
      <c r="BE365" s="76" t="b">
        <v>0</v>
      </c>
      <c r="BF365" s="76" t="b">
        <v>0</v>
      </c>
      <c r="BG365" s="76" t="b">
        <v>0</v>
      </c>
      <c r="BH365" s="83" t="str">
        <f>HYPERLINK("https://pbs.twimg.com/profile_banners/1322160349597106176/1644247699")</f>
        <v>https://pbs.twimg.com/profile_banners/1322160349597106176/1644247699</v>
      </c>
      <c r="BI365" s="76"/>
      <c r="BJ365" s="76" t="s">
        <v>24935</v>
      </c>
      <c r="BK365" s="76" t="b">
        <v>0</v>
      </c>
      <c r="BL365" s="76"/>
      <c r="BM365" s="76" t="s">
        <v>66</v>
      </c>
      <c r="BN365" s="76" t="s">
        <v>24937</v>
      </c>
      <c r="BO365" s="83" t="str">
        <f>HYPERLINK("https://twitter.com/leftbankbrasil")</f>
        <v>https://twitter.com/leftbankbrasil</v>
      </c>
      <c r="BP365" s="2"/>
    </row>
    <row r="366" spans="1:68" x14ac:dyDescent="0.25">
      <c r="A366" s="62" t="s">
        <v>573</v>
      </c>
      <c r="B366" s="63"/>
      <c r="C366" s="63"/>
      <c r="D366" s="64"/>
      <c r="E366" s="66"/>
      <c r="F366" s="102" t="str">
        <f>HYPERLINK("https://pbs.twimg.com/profile_images/674337494079578113/TpRKPAV9_normal.png")</f>
        <v>https://pbs.twimg.com/profile_images/674337494079578113/TpRKPAV9_normal.png</v>
      </c>
      <c r="G366" s="63"/>
      <c r="H366" s="67"/>
      <c r="I366" s="68"/>
      <c r="J366" s="68"/>
      <c r="K366" s="67" t="s">
        <v>25300</v>
      </c>
      <c r="L366" s="71"/>
      <c r="M366" s="72"/>
      <c r="N366" s="72"/>
      <c r="O366" s="73"/>
      <c r="P366" s="74"/>
      <c r="Q366" s="74"/>
      <c r="R366" s="86"/>
      <c r="S366" s="86"/>
      <c r="T366" s="86"/>
      <c r="U366" s="86"/>
      <c r="V366" s="48"/>
      <c r="W366" s="48"/>
      <c r="X366" s="48"/>
      <c r="Y366" s="48"/>
      <c r="Z366" s="47"/>
      <c r="AA366" s="69">
        <v>366</v>
      </c>
      <c r="AB366" s="69"/>
      <c r="AC366" s="70"/>
      <c r="AD366" s="76" t="s">
        <v>22173</v>
      </c>
      <c r="AE366" s="81" t="s">
        <v>22931</v>
      </c>
      <c r="AF366" s="76">
        <v>4839</v>
      </c>
      <c r="AG366" s="76">
        <v>4989</v>
      </c>
      <c r="AH366" s="76">
        <v>161</v>
      </c>
      <c r="AI366" s="76">
        <v>3</v>
      </c>
      <c r="AJ366" s="76">
        <v>1268</v>
      </c>
      <c r="AK366" s="76">
        <v>8</v>
      </c>
      <c r="AL366" s="76" t="b">
        <v>0</v>
      </c>
      <c r="AM366" s="78">
        <v>42346.884548611109</v>
      </c>
      <c r="AN366" s="76" t="s">
        <v>23180</v>
      </c>
      <c r="AO366" s="76" t="s">
        <v>23659</v>
      </c>
      <c r="AP366" s="76"/>
      <c r="AQ366" s="76"/>
      <c r="AR366" s="76"/>
      <c r="AS366" s="76"/>
      <c r="AT366" s="76"/>
      <c r="AU366" s="76"/>
      <c r="AV366" s="76">
        <v>9.5434924134602304E+17</v>
      </c>
      <c r="AW366" s="76"/>
      <c r="AX366" s="76" t="b">
        <v>0</v>
      </c>
      <c r="AY366" s="76"/>
      <c r="AZ366" s="76"/>
      <c r="BA366" s="76" t="b">
        <v>0</v>
      </c>
      <c r="BB366" s="76" t="b">
        <v>1</v>
      </c>
      <c r="BC366" s="76" t="b">
        <v>0</v>
      </c>
      <c r="BD366" s="76" t="b">
        <v>0</v>
      </c>
      <c r="BE366" s="76" t="b">
        <v>0</v>
      </c>
      <c r="BF366" s="76" t="b">
        <v>0</v>
      </c>
      <c r="BG366" s="76" t="b">
        <v>0</v>
      </c>
      <c r="BH366" s="83" t="str">
        <f>HYPERLINK("https://pbs.twimg.com/profile_banners/4419618137/1449880178")</f>
        <v>https://pbs.twimg.com/profile_banners/4419618137/1449880178</v>
      </c>
      <c r="BI366" s="76"/>
      <c r="BJ366" s="76" t="s">
        <v>24935</v>
      </c>
      <c r="BK366" s="76" t="b">
        <v>0</v>
      </c>
      <c r="BL366" s="76"/>
      <c r="BM366" s="76" t="s">
        <v>66</v>
      </c>
      <c r="BN366" s="76" t="s">
        <v>24937</v>
      </c>
      <c r="BO366" s="83" t="str">
        <f>HYPERLINK("https://twitter.com/gatinhosinceroz")</f>
        <v>https://twitter.com/gatinhosinceroz</v>
      </c>
      <c r="BP366" s="2"/>
    </row>
    <row r="367" spans="1:68" x14ac:dyDescent="0.25">
      <c r="A367" s="62" t="s">
        <v>574</v>
      </c>
      <c r="B367" s="63"/>
      <c r="C367" s="63"/>
      <c r="D367" s="64"/>
      <c r="E367" s="66"/>
      <c r="F367" s="102" t="str">
        <f>HYPERLINK("https://pbs.twimg.com/profile_images/1685007294478594048/MfrlTDpW_normal.jpg")</f>
        <v>https://pbs.twimg.com/profile_images/1685007294478594048/MfrlTDpW_normal.jpg</v>
      </c>
      <c r="G367" s="63"/>
      <c r="H367" s="67"/>
      <c r="I367" s="68"/>
      <c r="J367" s="68"/>
      <c r="K367" s="67" t="s">
        <v>25301</v>
      </c>
      <c r="L367" s="71"/>
      <c r="M367" s="72"/>
      <c r="N367" s="72"/>
      <c r="O367" s="73"/>
      <c r="P367" s="74"/>
      <c r="Q367" s="74"/>
      <c r="R367" s="86"/>
      <c r="S367" s="86"/>
      <c r="T367" s="86"/>
      <c r="U367" s="86"/>
      <c r="V367" s="48"/>
      <c r="W367" s="48"/>
      <c r="X367" s="48"/>
      <c r="Y367" s="48"/>
      <c r="Z367" s="47"/>
      <c r="AA367" s="69">
        <v>367</v>
      </c>
      <c r="AB367" s="69"/>
      <c r="AC367" s="70"/>
      <c r="AD367" s="76" t="s">
        <v>22174</v>
      </c>
      <c r="AE367" s="81" t="s">
        <v>21272</v>
      </c>
      <c r="AF367" s="76">
        <v>8</v>
      </c>
      <c r="AG367" s="76">
        <v>7</v>
      </c>
      <c r="AH367" s="76">
        <v>20</v>
      </c>
      <c r="AI367" s="76">
        <v>0</v>
      </c>
      <c r="AJ367" s="76">
        <v>1</v>
      </c>
      <c r="AK367" s="76">
        <v>2</v>
      </c>
      <c r="AL367" s="76" t="b">
        <v>0</v>
      </c>
      <c r="AM367" s="78">
        <v>45135.800763888888</v>
      </c>
      <c r="AN367" s="76"/>
      <c r="AO367" s="76" t="s">
        <v>23660</v>
      </c>
      <c r="AP367" s="83" t="str">
        <f>HYPERLINK("https://t.co/QoMF6ainlN")</f>
        <v>https://t.co/QoMF6ainlN</v>
      </c>
      <c r="AQ367" s="83" t="str">
        <f>HYPERLINK("https://instagram.com/curso_master_brasil?igshid=NGExMmI2YTkyZg==")</f>
        <v>https://instagram.com/curso_master_brasil?igshid=NGExMmI2YTkyZg==</v>
      </c>
      <c r="AR367" s="76" t="s">
        <v>24451</v>
      </c>
      <c r="AS367" s="76"/>
      <c r="AT367" s="76"/>
      <c r="AU367" s="76"/>
      <c r="AV367" s="76"/>
      <c r="AW367" s="83" t="str">
        <f>HYPERLINK("https://t.co/QoMF6ainlN")</f>
        <v>https://t.co/QoMF6ainlN</v>
      </c>
      <c r="AX367" s="76" t="b">
        <v>0</v>
      </c>
      <c r="AY367" s="76"/>
      <c r="AZ367" s="76"/>
      <c r="BA367" s="76" t="b">
        <v>1</v>
      </c>
      <c r="BB367" s="76" t="b">
        <v>1</v>
      </c>
      <c r="BC367" s="76" t="b">
        <v>1</v>
      </c>
      <c r="BD367" s="76" t="b">
        <v>0</v>
      </c>
      <c r="BE367" s="76" t="b">
        <v>0</v>
      </c>
      <c r="BF367" s="76" t="b">
        <v>0</v>
      </c>
      <c r="BG367" s="76" t="b">
        <v>0</v>
      </c>
      <c r="BH367" s="83" t="str">
        <f>HYPERLINK("https://pbs.twimg.com/profile_banners/1685005320467132416/1690572019")</f>
        <v>https://pbs.twimg.com/profile_banners/1685005320467132416/1690572019</v>
      </c>
      <c r="BI367" s="76"/>
      <c r="BJ367" s="76" t="s">
        <v>24935</v>
      </c>
      <c r="BK367" s="76" t="b">
        <v>0</v>
      </c>
      <c r="BL367" s="76"/>
      <c r="BM367" s="76" t="s">
        <v>66</v>
      </c>
      <c r="BN367" s="76" t="s">
        <v>24937</v>
      </c>
      <c r="BO367" s="83" t="str">
        <f>HYPERLINK("https://twitter.com/ruyter_poebel")</f>
        <v>https://twitter.com/ruyter_poebel</v>
      </c>
      <c r="BP367" s="2"/>
    </row>
    <row r="368" spans="1:68" x14ac:dyDescent="0.25">
      <c r="A368" s="62" t="s">
        <v>575</v>
      </c>
      <c r="B368" s="63"/>
      <c r="C368" s="63"/>
      <c r="D368" s="64"/>
      <c r="E368" s="66"/>
      <c r="F368" s="102" t="str">
        <f>HYPERLINK("https://pbs.twimg.com/profile_images/1636477032598056961/vn0lyQWA_normal.jpg")</f>
        <v>https://pbs.twimg.com/profile_images/1636477032598056961/vn0lyQWA_normal.jpg</v>
      </c>
      <c r="G368" s="63"/>
      <c r="H368" s="67"/>
      <c r="I368" s="68"/>
      <c r="J368" s="68"/>
      <c r="K368" s="67" t="s">
        <v>25302</v>
      </c>
      <c r="L368" s="71"/>
      <c r="M368" s="72"/>
      <c r="N368" s="72"/>
      <c r="O368" s="73"/>
      <c r="P368" s="74"/>
      <c r="Q368" s="74"/>
      <c r="R368" s="86"/>
      <c r="S368" s="86"/>
      <c r="T368" s="86"/>
      <c r="U368" s="86"/>
      <c r="V368" s="48"/>
      <c r="W368" s="48"/>
      <c r="X368" s="48"/>
      <c r="Y368" s="48"/>
      <c r="Z368" s="47"/>
      <c r="AA368" s="69">
        <v>368</v>
      </c>
      <c r="AB368" s="69"/>
      <c r="AC368" s="70"/>
      <c r="AD368" s="76" t="s">
        <v>22175</v>
      </c>
      <c r="AE368" s="81" t="s">
        <v>20923</v>
      </c>
      <c r="AF368" s="76">
        <v>2</v>
      </c>
      <c r="AG368" s="76">
        <v>4</v>
      </c>
      <c r="AH368" s="76">
        <v>99</v>
      </c>
      <c r="AI368" s="76">
        <v>1</v>
      </c>
      <c r="AJ368" s="76">
        <v>28</v>
      </c>
      <c r="AK368" s="76">
        <v>35</v>
      </c>
      <c r="AL368" s="76" t="b">
        <v>0</v>
      </c>
      <c r="AM368" s="78">
        <v>44992.008587962962</v>
      </c>
      <c r="AN368" s="76"/>
      <c r="AO368" s="76" t="s">
        <v>23661</v>
      </c>
      <c r="AP368" s="76"/>
      <c r="AQ368" s="76"/>
      <c r="AR368" s="76"/>
      <c r="AS368" s="76"/>
      <c r="AT368" s="76"/>
      <c r="AU368" s="76"/>
      <c r="AV368" s="76"/>
      <c r="AW368" s="76"/>
      <c r="AX368" s="76" t="b">
        <v>0</v>
      </c>
      <c r="AY368" s="76"/>
      <c r="AZ368" s="76"/>
      <c r="BA368" s="76" t="b">
        <v>0</v>
      </c>
      <c r="BB368" s="76" t="b">
        <v>1</v>
      </c>
      <c r="BC368" s="76" t="b">
        <v>1</v>
      </c>
      <c r="BD368" s="76" t="b">
        <v>0</v>
      </c>
      <c r="BE368" s="76" t="b">
        <v>0</v>
      </c>
      <c r="BF368" s="76" t="b">
        <v>0</v>
      </c>
      <c r="BG368" s="76" t="b">
        <v>0</v>
      </c>
      <c r="BH368" s="83" t="str">
        <f>HYPERLINK("https://pbs.twimg.com/profile_banners/1632896869339627521/1679001465")</f>
        <v>https://pbs.twimg.com/profile_banners/1632896869339627521/1679001465</v>
      </c>
      <c r="BI368" s="76"/>
      <c r="BJ368" s="76" t="s">
        <v>24935</v>
      </c>
      <c r="BK368" s="76" t="b">
        <v>0</v>
      </c>
      <c r="BL368" s="76"/>
      <c r="BM368" s="76" t="s">
        <v>66</v>
      </c>
      <c r="BN368" s="76" t="s">
        <v>24937</v>
      </c>
      <c r="BO368" s="83" t="str">
        <f>HYPERLINK("https://twitter.com/eusougiuseppe")</f>
        <v>https://twitter.com/eusougiuseppe</v>
      </c>
      <c r="BP368" s="2"/>
    </row>
    <row r="369" spans="1:68" x14ac:dyDescent="0.25">
      <c r="A369" s="62" t="s">
        <v>576</v>
      </c>
      <c r="B369" s="63"/>
      <c r="C369" s="63"/>
      <c r="D369" s="64"/>
      <c r="E369" s="66"/>
      <c r="F369" s="102" t="str">
        <f>HYPERLINK("https://pbs.twimg.com/profile_images/1697212413999783936/ffexopb9_normal.jpg")</f>
        <v>https://pbs.twimg.com/profile_images/1697212413999783936/ffexopb9_normal.jpg</v>
      </c>
      <c r="G369" s="63"/>
      <c r="H369" s="67"/>
      <c r="I369" s="68"/>
      <c r="J369" s="68"/>
      <c r="K369" s="67" t="s">
        <v>25303</v>
      </c>
      <c r="L369" s="71"/>
      <c r="M369" s="72"/>
      <c r="N369" s="72"/>
      <c r="O369" s="73"/>
      <c r="P369" s="74"/>
      <c r="Q369" s="74"/>
      <c r="R369" s="86"/>
      <c r="S369" s="86"/>
      <c r="T369" s="86"/>
      <c r="U369" s="86"/>
      <c r="V369" s="48"/>
      <c r="W369" s="48"/>
      <c r="X369" s="48"/>
      <c r="Y369" s="48"/>
      <c r="Z369" s="47"/>
      <c r="AA369" s="69">
        <v>369</v>
      </c>
      <c r="AB369" s="69"/>
      <c r="AC369" s="70"/>
      <c r="AD369" s="76" t="s">
        <v>22176</v>
      </c>
      <c r="AE369" s="81" t="s">
        <v>20924</v>
      </c>
      <c r="AF369" s="76">
        <v>1</v>
      </c>
      <c r="AG369" s="76">
        <v>11</v>
      </c>
      <c r="AH369" s="76">
        <v>14</v>
      </c>
      <c r="AI369" s="76">
        <v>0</v>
      </c>
      <c r="AJ369" s="76">
        <v>25</v>
      </c>
      <c r="AK369" s="76">
        <v>10</v>
      </c>
      <c r="AL369" s="76" t="b">
        <v>0</v>
      </c>
      <c r="AM369" s="78">
        <v>45169.476458333331</v>
      </c>
      <c r="AN369" s="76"/>
      <c r="AO369" s="76" t="s">
        <v>23662</v>
      </c>
      <c r="AP369" s="83" t="str">
        <f>HYPERLINK("https://t.co/cMu7YKDFU9")</f>
        <v>https://t.co/cMu7YKDFU9</v>
      </c>
      <c r="AQ369" s="83" t="str">
        <f>HYPERLINK("https://plimbet.com/register/1707e6ab-abc5-4fcc-a38d-35130c4863c9")</f>
        <v>https://plimbet.com/register/1707e6ab-abc5-4fcc-a38d-35130c4863c9</v>
      </c>
      <c r="AR369" s="76" t="s">
        <v>24452</v>
      </c>
      <c r="AS369" s="83" t="str">
        <f>HYPERLINK("https://t.co/Fl7SWK7iH4")</f>
        <v>https://t.co/Fl7SWK7iH4</v>
      </c>
      <c r="AT369" s="83" t="str">
        <f>HYPERLINK("https://bit.ly/44xfUWZ")</f>
        <v>https://bit.ly/44xfUWZ</v>
      </c>
      <c r="AU369" s="76" t="s">
        <v>24876</v>
      </c>
      <c r="AV369" s="76"/>
      <c r="AW369" s="83" t="str">
        <f>HYPERLINK("https://t.co/cMu7YKDFU9")</f>
        <v>https://t.co/cMu7YKDFU9</v>
      </c>
      <c r="AX369" s="76" t="b">
        <v>0</v>
      </c>
      <c r="AY369" s="76"/>
      <c r="AZ369" s="76"/>
      <c r="BA369" s="76" t="b">
        <v>0</v>
      </c>
      <c r="BB369" s="76" t="b">
        <v>1</v>
      </c>
      <c r="BC369" s="76" t="b">
        <v>1</v>
      </c>
      <c r="BD369" s="76" t="b">
        <v>0</v>
      </c>
      <c r="BE369" s="76" t="b">
        <v>0</v>
      </c>
      <c r="BF369" s="76" t="b">
        <v>0</v>
      </c>
      <c r="BG369" s="76" t="b">
        <v>0</v>
      </c>
      <c r="BH369" s="83" t="str">
        <f>HYPERLINK("https://pbs.twimg.com/profile_banners/1697209023479545856/1693481946")</f>
        <v>https://pbs.twimg.com/profile_banners/1697209023479545856/1693481946</v>
      </c>
      <c r="BI369" s="76"/>
      <c r="BJ369" s="76" t="s">
        <v>24935</v>
      </c>
      <c r="BK369" s="76" t="b">
        <v>0</v>
      </c>
      <c r="BL369" s="76"/>
      <c r="BM369" s="76" t="s">
        <v>66</v>
      </c>
      <c r="BN369" s="76" t="s">
        <v>24937</v>
      </c>
      <c r="BO369" s="83" t="str">
        <f>HYPERLINK("https://twitter.com/plimbetparana")</f>
        <v>https://twitter.com/plimbetparana</v>
      </c>
      <c r="BP369" s="2"/>
    </row>
    <row r="370" spans="1:68" x14ac:dyDescent="0.25">
      <c r="A370" s="62" t="s">
        <v>577</v>
      </c>
      <c r="B370" s="63"/>
      <c r="C370" s="63"/>
      <c r="D370" s="64"/>
      <c r="E370" s="66"/>
      <c r="F370" s="102" t="str">
        <f>HYPERLINK("https://pbs.twimg.com/profile_images/1229904166925094912/XF6IMzsx_normal.jpg")</f>
        <v>https://pbs.twimg.com/profile_images/1229904166925094912/XF6IMzsx_normal.jpg</v>
      </c>
      <c r="G370" s="63"/>
      <c r="H370" s="67"/>
      <c r="I370" s="68"/>
      <c r="J370" s="68"/>
      <c r="K370" s="67" t="s">
        <v>25304</v>
      </c>
      <c r="L370" s="71"/>
      <c r="M370" s="72"/>
      <c r="N370" s="72"/>
      <c r="O370" s="73"/>
      <c r="P370" s="74"/>
      <c r="Q370" s="74"/>
      <c r="R370" s="86"/>
      <c r="S370" s="86"/>
      <c r="T370" s="86"/>
      <c r="U370" s="86"/>
      <c r="V370" s="48"/>
      <c r="W370" s="48"/>
      <c r="X370" s="48"/>
      <c r="Y370" s="48"/>
      <c r="Z370" s="47"/>
      <c r="AA370" s="69">
        <v>370</v>
      </c>
      <c r="AB370" s="69"/>
      <c r="AC370" s="70"/>
      <c r="AD370" s="76" t="s">
        <v>22177</v>
      </c>
      <c r="AE370" s="81" t="s">
        <v>21273</v>
      </c>
      <c r="AF370" s="76">
        <v>10</v>
      </c>
      <c r="AG370" s="76">
        <v>58</v>
      </c>
      <c r="AH370" s="76">
        <v>64</v>
      </c>
      <c r="AI370" s="76">
        <v>0</v>
      </c>
      <c r="AJ370" s="76">
        <v>1001</v>
      </c>
      <c r="AK370" s="76">
        <v>6</v>
      </c>
      <c r="AL370" s="76" t="b">
        <v>0</v>
      </c>
      <c r="AM370" s="78">
        <v>43403.075173611112</v>
      </c>
      <c r="AN370" s="76"/>
      <c r="AO370" s="76" t="s">
        <v>23663</v>
      </c>
      <c r="AP370" s="76"/>
      <c r="AQ370" s="76"/>
      <c r="AR370" s="76"/>
      <c r="AS370" s="76"/>
      <c r="AT370" s="76"/>
      <c r="AU370" s="76"/>
      <c r="AV370" s="76"/>
      <c r="AW370" s="76"/>
      <c r="AX370" s="76" t="b">
        <v>0</v>
      </c>
      <c r="AY370" s="76"/>
      <c r="AZ370" s="76"/>
      <c r="BA370" s="76" t="b">
        <v>0</v>
      </c>
      <c r="BB370" s="76" t="b">
        <v>1</v>
      </c>
      <c r="BC370" s="76" t="b">
        <v>1</v>
      </c>
      <c r="BD370" s="76" t="b">
        <v>0</v>
      </c>
      <c r="BE370" s="76" t="b">
        <v>0</v>
      </c>
      <c r="BF370" s="76" t="b">
        <v>0</v>
      </c>
      <c r="BG370" s="76" t="b">
        <v>0</v>
      </c>
      <c r="BH370" s="83" t="str">
        <f>HYPERLINK("https://pbs.twimg.com/profile_banners/1057086748008873984/1582066891")</f>
        <v>https://pbs.twimg.com/profile_banners/1057086748008873984/1582066891</v>
      </c>
      <c r="BI370" s="76"/>
      <c r="BJ370" s="76" t="s">
        <v>24935</v>
      </c>
      <c r="BK370" s="76" t="b">
        <v>0</v>
      </c>
      <c r="BL370" s="76"/>
      <c r="BM370" s="76" t="s">
        <v>66</v>
      </c>
      <c r="BN370" s="76" t="s">
        <v>24937</v>
      </c>
      <c r="BO370" s="83" t="str">
        <f>HYPERLINK("https://twitter.com/flynnorfinn")</f>
        <v>https://twitter.com/flynnorfinn</v>
      </c>
      <c r="BP370" s="2"/>
    </row>
    <row r="371" spans="1:68" x14ac:dyDescent="0.25">
      <c r="A371" s="62" t="s">
        <v>578</v>
      </c>
      <c r="B371" s="63"/>
      <c r="C371" s="63"/>
      <c r="D371" s="64"/>
      <c r="E371" s="66"/>
      <c r="F371" s="102" t="str">
        <f>HYPERLINK("https://pbs.twimg.com/profile_images/1670086977113186305/4Vtn0Wux_normal.png")</f>
        <v>https://pbs.twimg.com/profile_images/1670086977113186305/4Vtn0Wux_normal.png</v>
      </c>
      <c r="G371" s="63"/>
      <c r="H371" s="67"/>
      <c r="I371" s="68"/>
      <c r="J371" s="68"/>
      <c r="K371" s="67" t="s">
        <v>25305</v>
      </c>
      <c r="L371" s="71"/>
      <c r="M371" s="72"/>
      <c r="N371" s="72"/>
      <c r="O371" s="73"/>
      <c r="P371" s="74"/>
      <c r="Q371" s="74"/>
      <c r="R371" s="86"/>
      <c r="S371" s="86"/>
      <c r="T371" s="86"/>
      <c r="U371" s="86"/>
      <c r="V371" s="48"/>
      <c r="W371" s="48"/>
      <c r="X371" s="48"/>
      <c r="Y371" s="48"/>
      <c r="Z371" s="47"/>
      <c r="AA371" s="69">
        <v>371</v>
      </c>
      <c r="AB371" s="69"/>
      <c r="AC371" s="70"/>
      <c r="AD371" s="76" t="s">
        <v>578</v>
      </c>
      <c r="AE371" s="81" t="s">
        <v>21274</v>
      </c>
      <c r="AF371" s="76">
        <v>1796</v>
      </c>
      <c r="AG371" s="76">
        <v>2523</v>
      </c>
      <c r="AH371" s="76">
        <v>531</v>
      </c>
      <c r="AI371" s="76">
        <v>0</v>
      </c>
      <c r="AJ371" s="76">
        <v>557</v>
      </c>
      <c r="AK371" s="76">
        <v>241</v>
      </c>
      <c r="AL371" s="76" t="b">
        <v>0</v>
      </c>
      <c r="AM371" s="78">
        <v>45094.63354166667</v>
      </c>
      <c r="AN371" s="76" t="s">
        <v>23181</v>
      </c>
      <c r="AO371" s="76" t="s">
        <v>23664</v>
      </c>
      <c r="AP371" s="83" t="str">
        <f>HYPERLINK("https://t.co/ZQwN0Eptyb")</f>
        <v>https://t.co/ZQwN0Eptyb</v>
      </c>
      <c r="AQ371" s="83" t="str">
        <f>HYPERLINK("https://linktr.ee/workshopdantas")</f>
        <v>https://linktr.ee/workshopdantas</v>
      </c>
      <c r="AR371" s="76" t="s">
        <v>24453</v>
      </c>
      <c r="AS371" s="76"/>
      <c r="AT371" s="76"/>
      <c r="AU371" s="76"/>
      <c r="AV371" s="76">
        <v>1.7059997243507699E+18</v>
      </c>
      <c r="AW371" s="83" t="str">
        <f>HYPERLINK("https://t.co/ZQwN0Eptyb")</f>
        <v>https://t.co/ZQwN0Eptyb</v>
      </c>
      <c r="AX371" s="76" t="b">
        <v>0</v>
      </c>
      <c r="AY371" s="76"/>
      <c r="AZ371" s="76"/>
      <c r="BA371" s="76" t="b">
        <v>1</v>
      </c>
      <c r="BB371" s="76" t="b">
        <v>1</v>
      </c>
      <c r="BC371" s="76" t="b">
        <v>1</v>
      </c>
      <c r="BD371" s="76" t="b">
        <v>0</v>
      </c>
      <c r="BE371" s="76" t="b">
        <v>0</v>
      </c>
      <c r="BF371" s="76" t="b">
        <v>0</v>
      </c>
      <c r="BG371" s="76" t="b">
        <v>0</v>
      </c>
      <c r="BH371" s="83" t="str">
        <f>HYPERLINK("https://pbs.twimg.com/profile_banners/1670086879197233152/1695815333")</f>
        <v>https://pbs.twimg.com/profile_banners/1670086879197233152/1695815333</v>
      </c>
      <c r="BI371" s="76"/>
      <c r="BJ371" s="76" t="s">
        <v>24935</v>
      </c>
      <c r="BK371" s="76" t="b">
        <v>0</v>
      </c>
      <c r="BL371" s="76"/>
      <c r="BM371" s="76" t="s">
        <v>66</v>
      </c>
      <c r="BN371" s="76" t="s">
        <v>24937</v>
      </c>
      <c r="BO371" s="83" t="str">
        <f>HYPERLINK("https://twitter.com/workshopdantas")</f>
        <v>https://twitter.com/workshopdantas</v>
      </c>
      <c r="BP371" s="2"/>
    </row>
    <row r="372" spans="1:68" x14ac:dyDescent="0.25">
      <c r="A372" s="62" t="s">
        <v>1252</v>
      </c>
      <c r="B372" s="63"/>
      <c r="C372" s="63"/>
      <c r="D372" s="64"/>
      <c r="E372" s="66"/>
      <c r="F372" s="102" t="str">
        <f>HYPERLINK("https://pbs.twimg.com/profile_images/1635112637980655623/E9jd1Z4O_normal.jpg")</f>
        <v>https://pbs.twimg.com/profile_images/1635112637980655623/E9jd1Z4O_normal.jpg</v>
      </c>
      <c r="G372" s="63"/>
      <c r="H372" s="67"/>
      <c r="I372" s="68"/>
      <c r="J372" s="68"/>
      <c r="K372" s="67" t="s">
        <v>25306</v>
      </c>
      <c r="L372" s="71"/>
      <c r="M372" s="72"/>
      <c r="N372" s="72"/>
      <c r="O372" s="73"/>
      <c r="P372" s="74"/>
      <c r="Q372" s="74"/>
      <c r="R372" s="86"/>
      <c r="S372" s="86"/>
      <c r="T372" s="86"/>
      <c r="U372" s="86"/>
      <c r="V372" s="48"/>
      <c r="W372" s="48"/>
      <c r="X372" s="48"/>
      <c r="Y372" s="48"/>
      <c r="Z372" s="47"/>
      <c r="AA372" s="69">
        <v>372</v>
      </c>
      <c r="AB372" s="69"/>
      <c r="AC372" s="70"/>
      <c r="AD372" s="76" t="s">
        <v>22178</v>
      </c>
      <c r="AE372" s="81" t="s">
        <v>22932</v>
      </c>
      <c r="AF372" s="76">
        <v>1028490</v>
      </c>
      <c r="AG372" s="76">
        <v>880</v>
      </c>
      <c r="AH372" s="76">
        <v>44320</v>
      </c>
      <c r="AI372" s="76">
        <v>731</v>
      </c>
      <c r="AJ372" s="76">
        <v>123280</v>
      </c>
      <c r="AK372" s="76">
        <v>2063</v>
      </c>
      <c r="AL372" s="76" t="b">
        <v>0</v>
      </c>
      <c r="AM372" s="78">
        <v>43365.901828703703</v>
      </c>
      <c r="AN372" s="76" t="s">
        <v>14040</v>
      </c>
      <c r="AO372" s="76" t="s">
        <v>23665</v>
      </c>
      <c r="AP372" s="83" t="str">
        <f>HYPERLINK("https://t.co/BtRe2H1e4b")</f>
        <v>https://t.co/BtRe2H1e4b</v>
      </c>
      <c r="AQ372" s="83" t="str">
        <f>HYPERLINK("https://www.youtube.com/@Damadeferroofic")</f>
        <v>https://www.youtube.com/@Damadeferroofic</v>
      </c>
      <c r="AR372" s="76" t="s">
        <v>24454</v>
      </c>
      <c r="AS372" s="76"/>
      <c r="AT372" s="76"/>
      <c r="AU372" s="76"/>
      <c r="AV372" s="76">
        <v>1.69914138104898E+18</v>
      </c>
      <c r="AW372" s="83" t="str">
        <f>HYPERLINK("https://t.co/BtRe2H1e4b")</f>
        <v>https://t.co/BtRe2H1e4b</v>
      </c>
      <c r="AX372" s="76" t="b">
        <v>1</v>
      </c>
      <c r="AY372" s="76"/>
      <c r="AZ372" s="76"/>
      <c r="BA372" s="76" t="b">
        <v>1</v>
      </c>
      <c r="BB372" s="76" t="b">
        <v>1</v>
      </c>
      <c r="BC372" s="76" t="b">
        <v>0</v>
      </c>
      <c r="BD372" s="76" t="b">
        <v>0</v>
      </c>
      <c r="BE372" s="76" t="b">
        <v>0</v>
      </c>
      <c r="BF372" s="76" t="b">
        <v>0</v>
      </c>
      <c r="BG372" s="76" t="b">
        <v>0</v>
      </c>
      <c r="BH372" s="83" t="str">
        <f>HYPERLINK("https://pbs.twimg.com/profile_banners/1043615581973499904/1679251866")</f>
        <v>https://pbs.twimg.com/profile_banners/1043615581973499904/1679251866</v>
      </c>
      <c r="BI372" s="76"/>
      <c r="BJ372" s="76" t="s">
        <v>24935</v>
      </c>
      <c r="BK372" s="76" t="b">
        <v>0</v>
      </c>
      <c r="BL372" s="76"/>
      <c r="BM372" s="76" t="s">
        <v>65</v>
      </c>
      <c r="BN372" s="76" t="s">
        <v>24937</v>
      </c>
      <c r="BO372" s="83" t="str">
        <f>HYPERLINK("https://twitter.com/damadeferroofic")</f>
        <v>https://twitter.com/damadeferroofic</v>
      </c>
      <c r="BP372" s="2"/>
    </row>
    <row r="373" spans="1:68" x14ac:dyDescent="0.25">
      <c r="A373" s="62" t="s">
        <v>1253</v>
      </c>
      <c r="B373" s="63"/>
      <c r="C373" s="63"/>
      <c r="D373" s="64"/>
      <c r="E373" s="66"/>
      <c r="F373" s="102" t="str">
        <f>HYPERLINK("https://pbs.twimg.com/profile_images/1630217574100213762/SAMK-BnB_normal.jpg")</f>
        <v>https://pbs.twimg.com/profile_images/1630217574100213762/SAMK-BnB_normal.jpg</v>
      </c>
      <c r="G373" s="63"/>
      <c r="H373" s="67"/>
      <c r="I373" s="68"/>
      <c r="J373" s="68"/>
      <c r="K373" s="67" t="s">
        <v>25307</v>
      </c>
      <c r="L373" s="71"/>
      <c r="M373" s="72"/>
      <c r="N373" s="72"/>
      <c r="O373" s="73"/>
      <c r="P373" s="74"/>
      <c r="Q373" s="74"/>
      <c r="R373" s="86"/>
      <c r="S373" s="86"/>
      <c r="T373" s="86"/>
      <c r="U373" s="86"/>
      <c r="V373" s="48"/>
      <c r="W373" s="48"/>
      <c r="X373" s="48"/>
      <c r="Y373" s="48"/>
      <c r="Z373" s="47"/>
      <c r="AA373" s="69">
        <v>373</v>
      </c>
      <c r="AB373" s="69"/>
      <c r="AC373" s="70"/>
      <c r="AD373" s="76" t="s">
        <v>22179</v>
      </c>
      <c r="AE373" s="81" t="s">
        <v>22933</v>
      </c>
      <c r="AF373" s="76">
        <v>8245618</v>
      </c>
      <c r="AG373" s="76">
        <v>2901</v>
      </c>
      <c r="AH373" s="76">
        <v>32053</v>
      </c>
      <c r="AI373" s="76">
        <v>5631</v>
      </c>
      <c r="AJ373" s="76">
        <v>15829</v>
      </c>
      <c r="AK373" s="76">
        <v>6456</v>
      </c>
      <c r="AL373" s="76" t="b">
        <v>0</v>
      </c>
      <c r="AM373" s="78">
        <v>41842.900578703702</v>
      </c>
      <c r="AN373" s="76" t="s">
        <v>23182</v>
      </c>
      <c r="AO373" s="76" t="s">
        <v>23666</v>
      </c>
      <c r="AP373" s="83" t="str">
        <f>HYPERLINK("https://t.co/FWDIwBcWRa")</f>
        <v>https://t.co/FWDIwBcWRa</v>
      </c>
      <c r="AQ373" s="83" t="str">
        <f>HYPERLINK("https://lula.com.br/siga-o-lula/")</f>
        <v>https://lula.com.br/siga-o-lula/</v>
      </c>
      <c r="AR373" s="76" t="s">
        <v>24455</v>
      </c>
      <c r="AS373" s="76"/>
      <c r="AT373" s="76"/>
      <c r="AU373" s="76"/>
      <c r="AV373" s="76">
        <v>1.66105073773486E+18</v>
      </c>
      <c r="AW373" s="83" t="str">
        <f>HYPERLINK("https://t.co/FWDIwBcWRa")</f>
        <v>https://t.co/FWDIwBcWRa</v>
      </c>
      <c r="AX373" s="76" t="b">
        <v>1</v>
      </c>
      <c r="AY373" s="76"/>
      <c r="AZ373" s="76"/>
      <c r="BA373" s="76" t="b">
        <v>0</v>
      </c>
      <c r="BB373" s="76" t="b">
        <v>1</v>
      </c>
      <c r="BC373" s="76" t="b">
        <v>1</v>
      </c>
      <c r="BD373" s="76" t="b">
        <v>0</v>
      </c>
      <c r="BE373" s="76" t="b">
        <v>1</v>
      </c>
      <c r="BF373" s="76" t="b">
        <v>0</v>
      </c>
      <c r="BG373" s="76" t="b">
        <v>0</v>
      </c>
      <c r="BH373" s="83" t="str">
        <f>HYPERLINK("https://pbs.twimg.com/profile_banners/2670726740/1672662238")</f>
        <v>https://pbs.twimg.com/profile_banners/2670726740/1672662238</v>
      </c>
      <c r="BI373" s="76"/>
      <c r="BJ373" s="76" t="s">
        <v>24935</v>
      </c>
      <c r="BK373" s="76" t="b">
        <v>0</v>
      </c>
      <c r="BL373" s="76"/>
      <c r="BM373" s="76" t="s">
        <v>65</v>
      </c>
      <c r="BN373" s="76" t="s">
        <v>24937</v>
      </c>
      <c r="BO373" s="83" t="str">
        <f>HYPERLINK("https://twitter.com/lulaoficial")</f>
        <v>https://twitter.com/lulaoficial</v>
      </c>
      <c r="BP373" s="2"/>
    </row>
    <row r="374" spans="1:68" x14ac:dyDescent="0.25">
      <c r="A374" s="62" t="s">
        <v>1254</v>
      </c>
      <c r="B374" s="63"/>
      <c r="C374" s="63"/>
      <c r="D374" s="64"/>
      <c r="E374" s="66"/>
      <c r="F374" s="102" t="str">
        <f>HYPERLINK("https://pbs.twimg.com/profile_images/442744104674660353/zGV7ZcFZ_normal.jpeg")</f>
        <v>https://pbs.twimg.com/profile_images/442744104674660353/zGV7ZcFZ_normal.jpeg</v>
      </c>
      <c r="G374" s="63"/>
      <c r="H374" s="67"/>
      <c r="I374" s="68"/>
      <c r="J374" s="68"/>
      <c r="K374" s="67" t="s">
        <v>25308</v>
      </c>
      <c r="L374" s="71"/>
      <c r="M374" s="72"/>
      <c r="N374" s="72"/>
      <c r="O374" s="73"/>
      <c r="P374" s="74"/>
      <c r="Q374" s="74"/>
      <c r="R374" s="86"/>
      <c r="S374" s="86"/>
      <c r="T374" s="86"/>
      <c r="U374" s="86"/>
      <c r="V374" s="48"/>
      <c r="W374" s="48"/>
      <c r="X374" s="48"/>
      <c r="Y374" s="48"/>
      <c r="Z374" s="47"/>
      <c r="AA374" s="69">
        <v>374</v>
      </c>
      <c r="AB374" s="69"/>
      <c r="AC374" s="70"/>
      <c r="AD374" s="76" t="s">
        <v>22180</v>
      </c>
      <c r="AE374" s="81" t="s">
        <v>22934</v>
      </c>
      <c r="AF374" s="76">
        <v>1480439</v>
      </c>
      <c r="AG374" s="76">
        <v>1077</v>
      </c>
      <c r="AH374" s="76">
        <v>240717</v>
      </c>
      <c r="AI374" s="76">
        <v>2689</v>
      </c>
      <c r="AJ374" s="76">
        <v>548</v>
      </c>
      <c r="AK374" s="76">
        <v>17746</v>
      </c>
      <c r="AL374" s="76" t="b">
        <v>0</v>
      </c>
      <c r="AM374" s="78">
        <v>39782.416909722226</v>
      </c>
      <c r="AN374" s="76" t="s">
        <v>23183</v>
      </c>
      <c r="AO374" s="76" t="s">
        <v>23667</v>
      </c>
      <c r="AP374" s="83" t="str">
        <f>HYPERLINK("https://t.co/SQ4XChxlul")</f>
        <v>https://t.co/SQ4XChxlul</v>
      </c>
      <c r="AQ374" s="83" t="str">
        <f>HYPERLINK("http://about.me/rogermoreira")</f>
        <v>http://about.me/rogermoreira</v>
      </c>
      <c r="AR374" s="76" t="s">
        <v>24456</v>
      </c>
      <c r="AS374" s="76"/>
      <c r="AT374" s="76"/>
      <c r="AU374" s="76"/>
      <c r="AV374" s="76">
        <v>1.01436084217391E+18</v>
      </c>
      <c r="AW374" s="83" t="str">
        <f>HYPERLINK("https://t.co/SQ4XChxlul")</f>
        <v>https://t.co/SQ4XChxlul</v>
      </c>
      <c r="AX374" s="76" t="b">
        <v>1</v>
      </c>
      <c r="AY374" s="76"/>
      <c r="AZ374" s="76"/>
      <c r="BA374" s="76" t="b">
        <v>0</v>
      </c>
      <c r="BB374" s="76" t="b">
        <v>0</v>
      </c>
      <c r="BC374" s="76" t="b">
        <v>0</v>
      </c>
      <c r="BD374" s="76" t="b">
        <v>0</v>
      </c>
      <c r="BE374" s="76" t="b">
        <v>1</v>
      </c>
      <c r="BF374" s="76" t="b">
        <v>0</v>
      </c>
      <c r="BG374" s="76" t="b">
        <v>0</v>
      </c>
      <c r="BH374" s="83" t="str">
        <f>HYPERLINK("https://pbs.twimg.com/profile_banners/17752026/1401135237")</f>
        <v>https://pbs.twimg.com/profile_banners/17752026/1401135237</v>
      </c>
      <c r="BI374" s="76"/>
      <c r="BJ374" s="76" t="s">
        <v>24935</v>
      </c>
      <c r="BK374" s="76" t="b">
        <v>0</v>
      </c>
      <c r="BL374" s="76"/>
      <c r="BM374" s="76" t="s">
        <v>65</v>
      </c>
      <c r="BN374" s="76" t="s">
        <v>24937</v>
      </c>
      <c r="BO374" s="83" t="str">
        <f>HYPERLINK("https://twitter.com/roxmo")</f>
        <v>https://twitter.com/roxmo</v>
      </c>
      <c r="BP374" s="2"/>
    </row>
    <row r="375" spans="1:68" x14ac:dyDescent="0.25">
      <c r="A375" s="62" t="s">
        <v>1255</v>
      </c>
      <c r="B375" s="63"/>
      <c r="C375" s="63"/>
      <c r="D375" s="64"/>
      <c r="E375" s="66"/>
      <c r="F375" s="102" t="str">
        <f>HYPERLINK("https://pbs.twimg.com/profile_images/1595550170577608706/8tInBlku_normal.jpg")</f>
        <v>https://pbs.twimg.com/profile_images/1595550170577608706/8tInBlku_normal.jpg</v>
      </c>
      <c r="G375" s="63"/>
      <c r="H375" s="67"/>
      <c r="I375" s="68"/>
      <c r="J375" s="68"/>
      <c r="K375" s="67" t="s">
        <v>25309</v>
      </c>
      <c r="L375" s="71"/>
      <c r="M375" s="72"/>
      <c r="N375" s="72"/>
      <c r="O375" s="73"/>
      <c r="P375" s="74"/>
      <c r="Q375" s="74"/>
      <c r="R375" s="86"/>
      <c r="S375" s="86"/>
      <c r="T375" s="86"/>
      <c r="U375" s="86"/>
      <c r="V375" s="48"/>
      <c r="W375" s="48"/>
      <c r="X375" s="48"/>
      <c r="Y375" s="48"/>
      <c r="Z375" s="47"/>
      <c r="AA375" s="69">
        <v>375</v>
      </c>
      <c r="AB375" s="69"/>
      <c r="AC375" s="70"/>
      <c r="AD375" s="76" t="s">
        <v>22181</v>
      </c>
      <c r="AE375" s="81" t="s">
        <v>22935</v>
      </c>
      <c r="AF375" s="76">
        <v>993270</v>
      </c>
      <c r="AG375" s="76">
        <v>2744</v>
      </c>
      <c r="AH375" s="76">
        <v>29113</v>
      </c>
      <c r="AI375" s="76">
        <v>866</v>
      </c>
      <c r="AJ375" s="76">
        <v>24611</v>
      </c>
      <c r="AK375" s="76">
        <v>6445</v>
      </c>
      <c r="AL375" s="76" t="b">
        <v>0</v>
      </c>
      <c r="AM375" s="78">
        <v>39922.032187500001</v>
      </c>
      <c r="AN375" s="76" t="s">
        <v>14116</v>
      </c>
      <c r="AO375" s="76" t="s">
        <v>23668</v>
      </c>
      <c r="AP375" s="83" t="str">
        <f>HYPERLINK("https://t.co/ovdHS3VMXG")</f>
        <v>https://t.co/ovdHS3VMXG</v>
      </c>
      <c r="AQ375" s="83" t="str">
        <f>HYPERLINK("https://instagram.com/robertomottaoficial")</f>
        <v>https://instagram.com/robertomottaoficial</v>
      </c>
      <c r="AR375" s="76" t="s">
        <v>24457</v>
      </c>
      <c r="AS375" s="76"/>
      <c r="AT375" s="76"/>
      <c r="AU375" s="76"/>
      <c r="AV375" s="76"/>
      <c r="AW375" s="83" t="str">
        <f>HYPERLINK("https://t.co/ovdHS3VMXG")</f>
        <v>https://t.co/ovdHS3VMXG</v>
      </c>
      <c r="AX375" s="76" t="b">
        <v>1</v>
      </c>
      <c r="AY375" s="76"/>
      <c r="AZ375" s="76"/>
      <c r="BA375" s="76" t="b">
        <v>0</v>
      </c>
      <c r="BB375" s="76" t="b">
        <v>0</v>
      </c>
      <c r="BC375" s="76" t="b">
        <v>1</v>
      </c>
      <c r="BD375" s="76" t="b">
        <v>0</v>
      </c>
      <c r="BE375" s="76" t="b">
        <v>1</v>
      </c>
      <c r="BF375" s="76" t="b">
        <v>0</v>
      </c>
      <c r="BG375" s="76" t="b">
        <v>0</v>
      </c>
      <c r="BH375" s="83" t="str">
        <f>HYPERLINK("https://pbs.twimg.com/profile_banners/33071040/1673989418")</f>
        <v>https://pbs.twimg.com/profile_banners/33071040/1673989418</v>
      </c>
      <c r="BI375" s="76"/>
      <c r="BJ375" s="76" t="s">
        <v>24935</v>
      </c>
      <c r="BK375" s="76" t="b">
        <v>0</v>
      </c>
      <c r="BL375" s="76"/>
      <c r="BM375" s="76" t="s">
        <v>65</v>
      </c>
      <c r="BN375" s="76" t="s">
        <v>24937</v>
      </c>
      <c r="BO375" s="83" t="str">
        <f>HYPERLINK("https://twitter.com/rmotta2")</f>
        <v>https://twitter.com/rmotta2</v>
      </c>
      <c r="BP375" s="2"/>
    </row>
    <row r="376" spans="1:68" x14ac:dyDescent="0.25">
      <c r="A376" s="62" t="s">
        <v>579</v>
      </c>
      <c r="B376" s="63"/>
      <c r="C376" s="63"/>
      <c r="D376" s="64"/>
      <c r="E376" s="66"/>
      <c r="F376" s="102" t="str">
        <f>HYPERLINK("https://pbs.twimg.com/profile_images/1252333649548148737/tsuJ5rGh_normal.jpg")</f>
        <v>https://pbs.twimg.com/profile_images/1252333649548148737/tsuJ5rGh_normal.jpg</v>
      </c>
      <c r="G376" s="63"/>
      <c r="H376" s="67"/>
      <c r="I376" s="68"/>
      <c r="J376" s="68"/>
      <c r="K376" s="67" t="s">
        <v>25310</v>
      </c>
      <c r="L376" s="71"/>
      <c r="M376" s="72"/>
      <c r="N376" s="72"/>
      <c r="O376" s="73"/>
      <c r="P376" s="74"/>
      <c r="Q376" s="74"/>
      <c r="R376" s="86"/>
      <c r="S376" s="86"/>
      <c r="T376" s="86"/>
      <c r="U376" s="86"/>
      <c r="V376" s="48"/>
      <c r="W376" s="48"/>
      <c r="X376" s="48"/>
      <c r="Y376" s="48"/>
      <c r="Z376" s="47"/>
      <c r="AA376" s="69">
        <v>376</v>
      </c>
      <c r="AB376" s="69"/>
      <c r="AC376" s="70"/>
      <c r="AD376" s="76" t="s">
        <v>22182</v>
      </c>
      <c r="AE376" s="81" t="s">
        <v>22936</v>
      </c>
      <c r="AF376" s="76">
        <v>207342</v>
      </c>
      <c r="AG376" s="76">
        <v>52</v>
      </c>
      <c r="AH376" s="76">
        <v>79219</v>
      </c>
      <c r="AI376" s="76">
        <v>873</v>
      </c>
      <c r="AJ376" s="76">
        <v>376</v>
      </c>
      <c r="AK376" s="76">
        <v>19310</v>
      </c>
      <c r="AL376" s="76" t="b">
        <v>0</v>
      </c>
      <c r="AM376" s="78">
        <v>40263.910069444442</v>
      </c>
      <c r="AN376" s="76"/>
      <c r="AO376" s="76" t="s">
        <v>23669</v>
      </c>
      <c r="AP376" s="83" t="str">
        <f>HYPERLINK("https://t.co/U46woxd8rn")</f>
        <v>https://t.co/U46woxd8rn</v>
      </c>
      <c r="AQ376" s="83" t="str">
        <f>HYPERLINK("http://instagram.com/jornalismotvcultura")</f>
        <v>http://instagram.com/jornalismotvcultura</v>
      </c>
      <c r="AR376" s="76" t="s">
        <v>24458</v>
      </c>
      <c r="AS376" s="76"/>
      <c r="AT376" s="76"/>
      <c r="AU376" s="76"/>
      <c r="AV376" s="76">
        <v>1.7071833401581399E+18</v>
      </c>
      <c r="AW376" s="83" t="str">
        <f>HYPERLINK("https://t.co/U46woxd8rn")</f>
        <v>https://t.co/U46woxd8rn</v>
      </c>
      <c r="AX376" s="76" t="b">
        <v>1</v>
      </c>
      <c r="AY376" s="76"/>
      <c r="AZ376" s="76"/>
      <c r="BA376" s="76" t="b">
        <v>0</v>
      </c>
      <c r="BB376" s="76" t="b">
        <v>1</v>
      </c>
      <c r="BC376" s="76" t="b">
        <v>0</v>
      </c>
      <c r="BD376" s="76" t="b">
        <v>0</v>
      </c>
      <c r="BE376" s="76" t="b">
        <v>1</v>
      </c>
      <c r="BF376" s="76" t="b">
        <v>0</v>
      </c>
      <c r="BG376" s="76" t="b">
        <v>0</v>
      </c>
      <c r="BH376" s="83" t="str">
        <f>HYPERLINK("https://pbs.twimg.com/profile_banners/126750296/1668448744")</f>
        <v>https://pbs.twimg.com/profile_banners/126750296/1668448744</v>
      </c>
      <c r="BI376" s="76"/>
      <c r="BJ376" s="76" t="s">
        <v>24935</v>
      </c>
      <c r="BK376" s="76" t="b">
        <v>0</v>
      </c>
      <c r="BL376" s="76"/>
      <c r="BM376" s="76" t="s">
        <v>66</v>
      </c>
      <c r="BN376" s="76" t="s">
        <v>24937</v>
      </c>
      <c r="BO376" s="83" t="str">
        <f>HYPERLINK("https://twitter.com/jornal_cultura")</f>
        <v>https://twitter.com/jornal_cultura</v>
      </c>
      <c r="BP376" s="2"/>
    </row>
    <row r="377" spans="1:68" x14ac:dyDescent="0.25">
      <c r="A377" s="62" t="s">
        <v>580</v>
      </c>
      <c r="B377" s="63"/>
      <c r="C377" s="63"/>
      <c r="D377" s="64"/>
      <c r="E377" s="66"/>
      <c r="F377" s="102" t="str">
        <f>HYPERLINK("https://pbs.twimg.com/profile_images/1593412022821163008/OCGuYlCa_normal.jpg")</f>
        <v>https://pbs.twimg.com/profile_images/1593412022821163008/OCGuYlCa_normal.jpg</v>
      </c>
      <c r="G377" s="63"/>
      <c r="H377" s="67"/>
      <c r="I377" s="68"/>
      <c r="J377" s="68"/>
      <c r="K377" s="67" t="s">
        <v>25311</v>
      </c>
      <c r="L377" s="71"/>
      <c r="M377" s="72"/>
      <c r="N377" s="72"/>
      <c r="O377" s="73"/>
      <c r="P377" s="74"/>
      <c r="Q377" s="74"/>
      <c r="R377" s="86"/>
      <c r="S377" s="86"/>
      <c r="T377" s="86"/>
      <c r="U377" s="86"/>
      <c r="V377" s="48"/>
      <c r="W377" s="48"/>
      <c r="X377" s="48"/>
      <c r="Y377" s="48"/>
      <c r="Z377" s="47"/>
      <c r="AA377" s="69">
        <v>377</v>
      </c>
      <c r="AB377" s="69"/>
      <c r="AC377" s="70"/>
      <c r="AD377" s="76" t="s">
        <v>22183</v>
      </c>
      <c r="AE377" s="81" t="s">
        <v>21275</v>
      </c>
      <c r="AF377" s="76">
        <v>2</v>
      </c>
      <c r="AG377" s="76">
        <v>39</v>
      </c>
      <c r="AH377" s="76">
        <v>38</v>
      </c>
      <c r="AI377" s="76">
        <v>0</v>
      </c>
      <c r="AJ377" s="76">
        <v>9</v>
      </c>
      <c r="AK377" s="76">
        <v>34</v>
      </c>
      <c r="AL377" s="76" t="b">
        <v>0</v>
      </c>
      <c r="AM377" s="78">
        <v>44882.075486111113</v>
      </c>
      <c r="AN377" s="76" t="s">
        <v>23184</v>
      </c>
      <c r="AO377" s="76" t="s">
        <v>23670</v>
      </c>
      <c r="AP377" s="83" t="str">
        <f>HYPERLINK("https://t.co/iPiCy27P40")</f>
        <v>https://t.co/iPiCy27P40</v>
      </c>
      <c r="AQ377" s="83" t="str">
        <f>HYPERLINK("https://www.youtube.com/@nerdgamingcs")</f>
        <v>https://www.youtube.com/@nerdgamingcs</v>
      </c>
      <c r="AR377" s="76" t="s">
        <v>24459</v>
      </c>
      <c r="AS377" s="76"/>
      <c r="AT377" s="76"/>
      <c r="AU377" s="76"/>
      <c r="AV377" s="76"/>
      <c r="AW377" s="83" t="str">
        <f>HYPERLINK("https://t.co/iPiCy27P40")</f>
        <v>https://t.co/iPiCy27P40</v>
      </c>
      <c r="AX377" s="76" t="b">
        <v>0</v>
      </c>
      <c r="AY377" s="76"/>
      <c r="AZ377" s="76"/>
      <c r="BA377" s="76" t="b">
        <v>0</v>
      </c>
      <c r="BB377" s="76" t="b">
        <v>1</v>
      </c>
      <c r="BC377" s="76" t="b">
        <v>1</v>
      </c>
      <c r="BD377" s="76" t="b">
        <v>0</v>
      </c>
      <c r="BE377" s="76" t="b">
        <v>0</v>
      </c>
      <c r="BF377" s="76" t="b">
        <v>0</v>
      </c>
      <c r="BG377" s="76" t="b">
        <v>0</v>
      </c>
      <c r="BH377" s="83" t="str">
        <f>HYPERLINK("https://pbs.twimg.com/profile_banners/1593058206766465025/1668734007")</f>
        <v>https://pbs.twimg.com/profile_banners/1593058206766465025/1668734007</v>
      </c>
      <c r="BI377" s="76"/>
      <c r="BJ377" s="76" t="s">
        <v>24935</v>
      </c>
      <c r="BK377" s="76" t="b">
        <v>0</v>
      </c>
      <c r="BL377" s="76"/>
      <c r="BM377" s="76" t="s">
        <v>66</v>
      </c>
      <c r="BN377" s="76" t="s">
        <v>24937</v>
      </c>
      <c r="BO377" s="83" t="str">
        <f>HYPERLINK("https://twitter.com/cs_gameplayyt")</f>
        <v>https://twitter.com/cs_gameplayyt</v>
      </c>
      <c r="BP377" s="2"/>
    </row>
    <row r="378" spans="1:68" x14ac:dyDescent="0.25">
      <c r="A378" s="62" t="s">
        <v>581</v>
      </c>
      <c r="B378" s="63"/>
      <c r="C378" s="63"/>
      <c r="D378" s="64"/>
      <c r="E378" s="66"/>
      <c r="F378" s="102" t="str">
        <f>HYPERLINK("https://pbs.twimg.com/profile_images/1622021453733367809/Pwz_xCX2_normal.png")</f>
        <v>https://pbs.twimg.com/profile_images/1622021453733367809/Pwz_xCX2_normal.png</v>
      </c>
      <c r="G378" s="63"/>
      <c r="H378" s="67"/>
      <c r="I378" s="68"/>
      <c r="J378" s="68"/>
      <c r="K378" s="67" t="s">
        <v>25312</v>
      </c>
      <c r="L378" s="71"/>
      <c r="M378" s="72"/>
      <c r="N378" s="72"/>
      <c r="O378" s="73"/>
      <c r="P378" s="74"/>
      <c r="Q378" s="74"/>
      <c r="R378" s="86"/>
      <c r="S378" s="86"/>
      <c r="T378" s="86"/>
      <c r="U378" s="86"/>
      <c r="V378" s="48"/>
      <c r="W378" s="48"/>
      <c r="X378" s="48"/>
      <c r="Y378" s="48"/>
      <c r="Z378" s="47"/>
      <c r="AA378" s="69">
        <v>378</v>
      </c>
      <c r="AB378" s="69"/>
      <c r="AC378" s="70"/>
      <c r="AD378" s="76" t="s">
        <v>22184</v>
      </c>
      <c r="AE378" s="81" t="s">
        <v>21276</v>
      </c>
      <c r="AF378" s="76">
        <v>0</v>
      </c>
      <c r="AG378" s="76">
        <v>1</v>
      </c>
      <c r="AH378" s="76">
        <v>2</v>
      </c>
      <c r="AI378" s="76">
        <v>0</v>
      </c>
      <c r="AJ378" s="76">
        <v>0</v>
      </c>
      <c r="AK378" s="76">
        <v>1</v>
      </c>
      <c r="AL378" s="76" t="b">
        <v>0</v>
      </c>
      <c r="AM378" s="78">
        <v>44961.99796296296</v>
      </c>
      <c r="AN378" s="76"/>
      <c r="AO378" s="76"/>
      <c r="AP378" s="76"/>
      <c r="AQ378" s="76"/>
      <c r="AR378" s="76"/>
      <c r="AS378" s="76"/>
      <c r="AT378" s="76"/>
      <c r="AU378" s="76"/>
      <c r="AV378" s="76"/>
      <c r="AW378" s="76"/>
      <c r="AX378" s="76" t="b">
        <v>0</v>
      </c>
      <c r="AY378" s="76"/>
      <c r="AZ378" s="76"/>
      <c r="BA378" s="76" t="b">
        <v>0</v>
      </c>
      <c r="BB378" s="76" t="b">
        <v>1</v>
      </c>
      <c r="BC378" s="76" t="b">
        <v>1</v>
      </c>
      <c r="BD378" s="76" t="b">
        <v>0</v>
      </c>
      <c r="BE378" s="76" t="b">
        <v>0</v>
      </c>
      <c r="BF378" s="76" t="b">
        <v>0</v>
      </c>
      <c r="BG378" s="76" t="b">
        <v>0</v>
      </c>
      <c r="BH378" s="76"/>
      <c r="BI378" s="76"/>
      <c r="BJ378" s="76" t="s">
        <v>24935</v>
      </c>
      <c r="BK378" s="76" t="b">
        <v>0</v>
      </c>
      <c r="BL378" s="76"/>
      <c r="BM378" s="76" t="s">
        <v>66</v>
      </c>
      <c r="BN378" s="76" t="s">
        <v>24937</v>
      </c>
      <c r="BO378" s="83" t="str">
        <f>HYPERLINK("https://twitter.com/gustavo08303601")</f>
        <v>https://twitter.com/gustavo08303601</v>
      </c>
      <c r="BP378" s="2"/>
    </row>
    <row r="379" spans="1:68" x14ac:dyDescent="0.25">
      <c r="A379" s="62" t="s">
        <v>582</v>
      </c>
      <c r="B379" s="63"/>
      <c r="C379" s="63"/>
      <c r="D379" s="64"/>
      <c r="E379" s="66"/>
      <c r="F379" s="102" t="str">
        <f>HYPERLINK("https://pbs.twimg.com/profile_images/1584483408054571009/3yOpig5V_normal.jpg")</f>
        <v>https://pbs.twimg.com/profile_images/1584483408054571009/3yOpig5V_normal.jpg</v>
      </c>
      <c r="G379" s="63"/>
      <c r="H379" s="67"/>
      <c r="I379" s="68"/>
      <c r="J379" s="68"/>
      <c r="K379" s="67" t="s">
        <v>25313</v>
      </c>
      <c r="L379" s="71"/>
      <c r="M379" s="72"/>
      <c r="N379" s="72"/>
      <c r="O379" s="73"/>
      <c r="P379" s="74"/>
      <c r="Q379" s="74"/>
      <c r="R379" s="86"/>
      <c r="S379" s="86"/>
      <c r="T379" s="86"/>
      <c r="U379" s="86"/>
      <c r="V379" s="48"/>
      <c r="W379" s="48"/>
      <c r="X379" s="48"/>
      <c r="Y379" s="48"/>
      <c r="Z379" s="47"/>
      <c r="AA379" s="69">
        <v>379</v>
      </c>
      <c r="AB379" s="69"/>
      <c r="AC379" s="70"/>
      <c r="AD379" s="76" t="s">
        <v>22185</v>
      </c>
      <c r="AE379" s="81" t="s">
        <v>21277</v>
      </c>
      <c r="AF379" s="76">
        <v>24</v>
      </c>
      <c r="AG379" s="76">
        <v>317</v>
      </c>
      <c r="AH379" s="76">
        <v>126</v>
      </c>
      <c r="AI379" s="76">
        <v>0</v>
      </c>
      <c r="AJ379" s="76">
        <v>16</v>
      </c>
      <c r="AK379" s="76">
        <v>122</v>
      </c>
      <c r="AL379" s="76" t="b">
        <v>0</v>
      </c>
      <c r="AM379" s="78">
        <v>44857.58792824074</v>
      </c>
      <c r="AN379" s="76"/>
      <c r="AO379" s="76" t="s">
        <v>23671</v>
      </c>
      <c r="AP379" s="83" t="str">
        <f>HYPERLINK("https://t.co/ba1MJOteCr")</f>
        <v>https://t.co/ba1MJOteCr</v>
      </c>
      <c r="AQ379" s="83" t="str">
        <f>HYPERLINK("https://instagram.com/leandromunizmkt")</f>
        <v>https://instagram.com/leandromunizmkt</v>
      </c>
      <c r="AR379" s="76" t="s">
        <v>24460</v>
      </c>
      <c r="AS379" s="76"/>
      <c r="AT379" s="76"/>
      <c r="AU379" s="76"/>
      <c r="AV379" s="76"/>
      <c r="AW379" s="83" t="str">
        <f>HYPERLINK("https://t.co/ba1MJOteCr")</f>
        <v>https://t.co/ba1MJOteCr</v>
      </c>
      <c r="AX379" s="76" t="b">
        <v>0</v>
      </c>
      <c r="AY379" s="76"/>
      <c r="AZ379" s="76"/>
      <c r="BA379" s="76" t="b">
        <v>0</v>
      </c>
      <c r="BB379" s="76" t="b">
        <v>1</v>
      </c>
      <c r="BC379" s="76" t="b">
        <v>1</v>
      </c>
      <c r="BD379" s="76" t="b">
        <v>0</v>
      </c>
      <c r="BE379" s="76" t="b">
        <v>0</v>
      </c>
      <c r="BF379" s="76" t="b">
        <v>0</v>
      </c>
      <c r="BG379" s="76" t="b">
        <v>0</v>
      </c>
      <c r="BH379" s="83" t="str">
        <f>HYPERLINK("https://pbs.twimg.com/profile_banners/1584184312135573505/1666605208")</f>
        <v>https://pbs.twimg.com/profile_banners/1584184312135573505/1666605208</v>
      </c>
      <c r="BI379" s="76"/>
      <c r="BJ379" s="76" t="s">
        <v>24935</v>
      </c>
      <c r="BK379" s="76" t="b">
        <v>0</v>
      </c>
      <c r="BL379" s="76"/>
      <c r="BM379" s="76" t="s">
        <v>66</v>
      </c>
      <c r="BN379" s="76" t="s">
        <v>24937</v>
      </c>
      <c r="BO379" s="83" t="str">
        <f>HYPERLINK("https://twitter.com/leandromunizmkt")</f>
        <v>https://twitter.com/leandromunizmkt</v>
      </c>
      <c r="BP379" s="2"/>
    </row>
    <row r="380" spans="1:68" x14ac:dyDescent="0.25">
      <c r="A380" s="62" t="s">
        <v>583</v>
      </c>
      <c r="B380" s="63"/>
      <c r="C380" s="63"/>
      <c r="D380" s="64"/>
      <c r="E380" s="66"/>
      <c r="F380" s="102" t="str">
        <f>HYPERLINK("https://pbs.twimg.com/profile_images/1668406553425190916/cmsgXnwk_normal.jpg")</f>
        <v>https://pbs.twimg.com/profile_images/1668406553425190916/cmsgXnwk_normal.jpg</v>
      </c>
      <c r="G380" s="63"/>
      <c r="H380" s="67"/>
      <c r="I380" s="68"/>
      <c r="J380" s="68"/>
      <c r="K380" s="67" t="s">
        <v>25314</v>
      </c>
      <c r="L380" s="71"/>
      <c r="M380" s="72"/>
      <c r="N380" s="72"/>
      <c r="O380" s="73"/>
      <c r="P380" s="74"/>
      <c r="Q380" s="74"/>
      <c r="R380" s="86"/>
      <c r="S380" s="86"/>
      <c r="T380" s="86"/>
      <c r="U380" s="86"/>
      <c r="V380" s="48"/>
      <c r="W380" s="48"/>
      <c r="X380" s="48"/>
      <c r="Y380" s="48"/>
      <c r="Z380" s="47"/>
      <c r="AA380" s="69">
        <v>380</v>
      </c>
      <c r="AB380" s="69"/>
      <c r="AC380" s="70"/>
      <c r="AD380" s="76" t="s">
        <v>22186</v>
      </c>
      <c r="AE380" s="81" t="s">
        <v>20925</v>
      </c>
      <c r="AF380" s="76">
        <v>1980</v>
      </c>
      <c r="AG380" s="76">
        <v>3145</v>
      </c>
      <c r="AH380" s="76">
        <v>6722</v>
      </c>
      <c r="AI380" s="76">
        <v>6</v>
      </c>
      <c r="AJ380" s="76">
        <v>11497</v>
      </c>
      <c r="AK380" s="76">
        <v>180</v>
      </c>
      <c r="AL380" s="76" t="b">
        <v>0</v>
      </c>
      <c r="AM380" s="78">
        <v>44001.833807870367</v>
      </c>
      <c r="AN380" s="76" t="s">
        <v>23185</v>
      </c>
      <c r="AO380" s="76"/>
      <c r="AP380" s="83" t="str">
        <f>HYPERLINK("https://t.co/MjdIbY2SpS")</f>
        <v>https://t.co/MjdIbY2SpS</v>
      </c>
      <c r="AQ380" s="83" t="str">
        <f>HYPERLINK("https://zei6iaqu-fey3ybur3q-an.a.run.app/dfnow.html?ggc=10968182%7C3%7C1%7C515&amp;shareDate=20230610&amp;t=")</f>
        <v>https://zei6iaqu-fey3ybur3q-an.a.run.app/dfnow.html?ggc=10968182%7C3%7C1%7C515&amp;shareDate=20230610&amp;t=</v>
      </c>
      <c r="AR380" s="76" t="s">
        <v>24461</v>
      </c>
      <c r="AS380" s="76"/>
      <c r="AT380" s="76"/>
      <c r="AU380" s="76"/>
      <c r="AV380" s="76">
        <v>1.6796604083222799E+18</v>
      </c>
      <c r="AW380" s="83" t="str">
        <f>HYPERLINK("https://t.co/MjdIbY2SpS")</f>
        <v>https://t.co/MjdIbY2SpS</v>
      </c>
      <c r="AX380" s="76" t="b">
        <v>0</v>
      </c>
      <c r="AY380" s="76"/>
      <c r="AZ380" s="76"/>
      <c r="BA380" s="76" t="b">
        <v>1</v>
      </c>
      <c r="BB380" s="76" t="b">
        <v>0</v>
      </c>
      <c r="BC380" s="76" t="b">
        <v>1</v>
      </c>
      <c r="BD380" s="76" t="b">
        <v>0</v>
      </c>
      <c r="BE380" s="76" t="b">
        <v>1</v>
      </c>
      <c r="BF380" s="76" t="b">
        <v>0</v>
      </c>
      <c r="BG380" s="76" t="b">
        <v>0</v>
      </c>
      <c r="BH380" s="76"/>
      <c r="BI380" s="76"/>
      <c r="BJ380" s="76" t="s">
        <v>24935</v>
      </c>
      <c r="BK380" s="76" t="b">
        <v>0</v>
      </c>
      <c r="BL380" s="76"/>
      <c r="BM380" s="76" t="s">
        <v>66</v>
      </c>
      <c r="BN380" s="76" t="s">
        <v>24937</v>
      </c>
      <c r="BO380" s="83" t="str">
        <f>HYPERLINK("https://twitter.com/booksirs")</f>
        <v>https://twitter.com/booksirs</v>
      </c>
      <c r="BP380" s="2"/>
    </row>
    <row r="381" spans="1:68" x14ac:dyDescent="0.25">
      <c r="A381" s="62" t="s">
        <v>584</v>
      </c>
      <c r="B381" s="63"/>
      <c r="C381" s="63"/>
      <c r="D381" s="64"/>
      <c r="E381" s="66"/>
      <c r="F381" s="102" t="str">
        <f>HYPERLINK("https://pbs.twimg.com/profile_images/1699103963348357120/EnUaCMed_normal.jpg")</f>
        <v>https://pbs.twimg.com/profile_images/1699103963348357120/EnUaCMed_normal.jpg</v>
      </c>
      <c r="G381" s="63"/>
      <c r="H381" s="67"/>
      <c r="I381" s="68"/>
      <c r="J381" s="68"/>
      <c r="K381" s="67" t="s">
        <v>25315</v>
      </c>
      <c r="L381" s="71"/>
      <c r="M381" s="72"/>
      <c r="N381" s="72"/>
      <c r="O381" s="73"/>
      <c r="P381" s="74"/>
      <c r="Q381" s="74"/>
      <c r="R381" s="86"/>
      <c r="S381" s="86"/>
      <c r="T381" s="86"/>
      <c r="U381" s="86"/>
      <c r="V381" s="48"/>
      <c r="W381" s="48"/>
      <c r="X381" s="48"/>
      <c r="Y381" s="48"/>
      <c r="Z381" s="47"/>
      <c r="AA381" s="69">
        <v>381</v>
      </c>
      <c r="AB381" s="69"/>
      <c r="AC381" s="70"/>
      <c r="AD381" s="76" t="s">
        <v>22187</v>
      </c>
      <c r="AE381" s="81" t="s">
        <v>21278</v>
      </c>
      <c r="AF381" s="76">
        <v>0</v>
      </c>
      <c r="AG381" s="76">
        <v>5</v>
      </c>
      <c r="AH381" s="76">
        <v>5</v>
      </c>
      <c r="AI381" s="76">
        <v>0</v>
      </c>
      <c r="AJ381" s="76">
        <v>3</v>
      </c>
      <c r="AK381" s="76">
        <v>5</v>
      </c>
      <c r="AL381" s="76" t="b">
        <v>0</v>
      </c>
      <c r="AM381" s="78">
        <v>45174.704791666663</v>
      </c>
      <c r="AN381" s="76" t="s">
        <v>14033</v>
      </c>
      <c r="AO381" s="76" t="s">
        <v>23672</v>
      </c>
      <c r="AP381" s="83" t="str">
        <f>HYPERLINK("https://t.co/nEkLUXORgY")</f>
        <v>https://t.co/nEkLUXORgY</v>
      </c>
      <c r="AQ381" s="83" t="str">
        <f>HYPERLINK("https://instagram.com/carlosvicentin_7?igshid=OGQ5ZDc2ODk2ZA==")</f>
        <v>https://instagram.com/carlosvicentin_7?igshid=OGQ5ZDc2ODk2ZA==</v>
      </c>
      <c r="AR381" s="76" t="s">
        <v>24462</v>
      </c>
      <c r="AS381" s="76"/>
      <c r="AT381" s="76"/>
      <c r="AU381" s="76"/>
      <c r="AV381" s="76"/>
      <c r="AW381" s="83" t="str">
        <f>HYPERLINK("https://t.co/nEkLUXORgY")</f>
        <v>https://t.co/nEkLUXORgY</v>
      </c>
      <c r="AX381" s="76" t="b">
        <v>0</v>
      </c>
      <c r="AY381" s="76"/>
      <c r="AZ381" s="76"/>
      <c r="BA381" s="76" t="b">
        <v>0</v>
      </c>
      <c r="BB381" s="76" t="b">
        <v>1</v>
      </c>
      <c r="BC381" s="76" t="b">
        <v>1</v>
      </c>
      <c r="BD381" s="76" t="b">
        <v>0</v>
      </c>
      <c r="BE381" s="76" t="b">
        <v>0</v>
      </c>
      <c r="BF381" s="76" t="b">
        <v>0</v>
      </c>
      <c r="BG381" s="76" t="b">
        <v>0</v>
      </c>
      <c r="BH381" s="83" t="str">
        <f>HYPERLINK("https://pbs.twimg.com/profile_banners/1699103764064473088/1693939665")</f>
        <v>https://pbs.twimg.com/profile_banners/1699103764064473088/1693939665</v>
      </c>
      <c r="BI381" s="76"/>
      <c r="BJ381" s="76" t="s">
        <v>24935</v>
      </c>
      <c r="BK381" s="76" t="b">
        <v>0</v>
      </c>
      <c r="BL381" s="76"/>
      <c r="BM381" s="76" t="s">
        <v>66</v>
      </c>
      <c r="BN381" s="76" t="s">
        <v>24937</v>
      </c>
      <c r="BO381" s="83" t="str">
        <f>HYPERLINK("https://twitter.com/carlosvicenti7")</f>
        <v>https://twitter.com/carlosvicenti7</v>
      </c>
      <c r="BP381" s="2"/>
    </row>
    <row r="382" spans="1:68" x14ac:dyDescent="0.25">
      <c r="A382" s="62" t="s">
        <v>585</v>
      </c>
      <c r="B382" s="63"/>
      <c r="C382" s="63"/>
      <c r="D382" s="64"/>
      <c r="E382" s="66"/>
      <c r="F382" s="102" t="str">
        <f>HYPERLINK("https://pbs.twimg.com/profile_images/1522802290217955329/nuwUC8AF_normal.jpg")</f>
        <v>https://pbs.twimg.com/profile_images/1522802290217955329/nuwUC8AF_normal.jpg</v>
      </c>
      <c r="G382" s="63"/>
      <c r="H382" s="67"/>
      <c r="I382" s="68"/>
      <c r="J382" s="68"/>
      <c r="K382" s="67" t="s">
        <v>25316</v>
      </c>
      <c r="L382" s="71"/>
      <c r="M382" s="72"/>
      <c r="N382" s="72"/>
      <c r="O382" s="73"/>
      <c r="P382" s="74"/>
      <c r="Q382" s="74"/>
      <c r="R382" s="86"/>
      <c r="S382" s="86"/>
      <c r="T382" s="86"/>
      <c r="U382" s="86"/>
      <c r="V382" s="48"/>
      <c r="W382" s="48"/>
      <c r="X382" s="48"/>
      <c r="Y382" s="48"/>
      <c r="Z382" s="47"/>
      <c r="AA382" s="69">
        <v>382</v>
      </c>
      <c r="AB382" s="69"/>
      <c r="AC382" s="70"/>
      <c r="AD382" s="76" t="s">
        <v>22188</v>
      </c>
      <c r="AE382" s="81" t="s">
        <v>21279</v>
      </c>
      <c r="AF382" s="76">
        <v>0</v>
      </c>
      <c r="AG382" s="76">
        <v>157</v>
      </c>
      <c r="AH382" s="76">
        <v>10</v>
      </c>
      <c r="AI382" s="76">
        <v>0</v>
      </c>
      <c r="AJ382" s="76">
        <v>7</v>
      </c>
      <c r="AK382" s="76">
        <v>1</v>
      </c>
      <c r="AL382" s="76" t="b">
        <v>0</v>
      </c>
      <c r="AM382" s="78">
        <v>44676.952789351853</v>
      </c>
      <c r="AN382" s="76" t="s">
        <v>14041</v>
      </c>
      <c r="AO382" s="76"/>
      <c r="AP382" s="76"/>
      <c r="AQ382" s="76"/>
      <c r="AR382" s="76"/>
      <c r="AS382" s="76"/>
      <c r="AT382" s="76"/>
      <c r="AU382" s="76"/>
      <c r="AV382" s="76"/>
      <c r="AW382" s="76"/>
      <c r="AX382" s="76" t="b">
        <v>0</v>
      </c>
      <c r="AY382" s="76"/>
      <c r="AZ382" s="76"/>
      <c r="BA382" s="76" t="b">
        <v>0</v>
      </c>
      <c r="BB382" s="76" t="b">
        <v>1</v>
      </c>
      <c r="BC382" s="76" t="b">
        <v>1</v>
      </c>
      <c r="BD382" s="76" t="b">
        <v>0</v>
      </c>
      <c r="BE382" s="76" t="b">
        <v>0</v>
      </c>
      <c r="BF382" s="76" t="b">
        <v>0</v>
      </c>
      <c r="BG382" s="76" t="b">
        <v>0</v>
      </c>
      <c r="BH382" s="83" t="str">
        <f>HYPERLINK("https://pbs.twimg.com/profile_banners/1518724419035750400/1651899550")</f>
        <v>https://pbs.twimg.com/profile_banners/1518724419035750400/1651899550</v>
      </c>
      <c r="BI382" s="76"/>
      <c r="BJ382" s="76" t="s">
        <v>24935</v>
      </c>
      <c r="BK382" s="76" t="b">
        <v>0</v>
      </c>
      <c r="BL382" s="76"/>
      <c r="BM382" s="76" t="s">
        <v>66</v>
      </c>
      <c r="BN382" s="76" t="s">
        <v>24937</v>
      </c>
      <c r="BO382" s="83" t="str">
        <f>HYPERLINK("https://twitter.com/wellingtonc4280")</f>
        <v>https://twitter.com/wellingtonc4280</v>
      </c>
      <c r="BP382" s="2"/>
    </row>
    <row r="383" spans="1:68" x14ac:dyDescent="0.25">
      <c r="A383" s="62" t="s">
        <v>586</v>
      </c>
      <c r="B383" s="63"/>
      <c r="C383" s="63"/>
      <c r="D383" s="64"/>
      <c r="E383" s="66"/>
      <c r="F383" s="102" t="str">
        <f>HYPERLINK("https://pbs.twimg.com/profile_images/1630914127169216514/leeuK4rk_normal.jpg")</f>
        <v>https://pbs.twimg.com/profile_images/1630914127169216514/leeuK4rk_normal.jpg</v>
      </c>
      <c r="G383" s="63"/>
      <c r="H383" s="67"/>
      <c r="I383" s="68"/>
      <c r="J383" s="68"/>
      <c r="K383" s="67" t="s">
        <v>25317</v>
      </c>
      <c r="L383" s="71"/>
      <c r="M383" s="72"/>
      <c r="N383" s="72"/>
      <c r="O383" s="73"/>
      <c r="P383" s="74"/>
      <c r="Q383" s="74"/>
      <c r="R383" s="86"/>
      <c r="S383" s="86"/>
      <c r="T383" s="86"/>
      <c r="U383" s="86"/>
      <c r="V383" s="48"/>
      <c r="W383" s="48"/>
      <c r="X383" s="48"/>
      <c r="Y383" s="48"/>
      <c r="Z383" s="47"/>
      <c r="AA383" s="69">
        <v>383</v>
      </c>
      <c r="AB383" s="69"/>
      <c r="AC383" s="70"/>
      <c r="AD383" s="76" t="s">
        <v>22189</v>
      </c>
      <c r="AE383" s="81" t="s">
        <v>21280</v>
      </c>
      <c r="AF383" s="76">
        <v>0</v>
      </c>
      <c r="AG383" s="76">
        <v>0</v>
      </c>
      <c r="AH383" s="76">
        <v>2</v>
      </c>
      <c r="AI383" s="76">
        <v>0</v>
      </c>
      <c r="AJ383" s="76">
        <v>5</v>
      </c>
      <c r="AK383" s="76">
        <v>1</v>
      </c>
      <c r="AL383" s="76" t="b">
        <v>0</v>
      </c>
      <c r="AM383" s="78">
        <v>44202.981238425928</v>
      </c>
      <c r="AN383" s="76" t="s">
        <v>14041</v>
      </c>
      <c r="AO383" s="76" t="s">
        <v>23673</v>
      </c>
      <c r="AP383" s="83" t="str">
        <f>HYPERLINK("https://t.co/kx0kK5TPWQ")</f>
        <v>https://t.co/kx0kK5TPWQ</v>
      </c>
      <c r="AQ383" s="83" t="str">
        <f>HYPERLINK("http://tayoliveirasucessodigital.com")</f>
        <v>http://tayoliveirasucessodigital.com</v>
      </c>
      <c r="AR383" s="76" t="s">
        <v>24463</v>
      </c>
      <c r="AS383" s="76"/>
      <c r="AT383" s="76"/>
      <c r="AU383" s="76"/>
      <c r="AV383" s="76"/>
      <c r="AW383" s="83" t="str">
        <f>HYPERLINK("https://t.co/kx0kK5TPWQ")</f>
        <v>https://t.co/kx0kK5TPWQ</v>
      </c>
      <c r="AX383" s="76" t="b">
        <v>0</v>
      </c>
      <c r="AY383" s="76"/>
      <c r="AZ383" s="76"/>
      <c r="BA383" s="76" t="b">
        <v>0</v>
      </c>
      <c r="BB383" s="76" t="b">
        <v>1</v>
      </c>
      <c r="BC383" s="76" t="b">
        <v>1</v>
      </c>
      <c r="BD383" s="76" t="b">
        <v>0</v>
      </c>
      <c r="BE383" s="76" t="b">
        <v>0</v>
      </c>
      <c r="BF383" s="76" t="b">
        <v>0</v>
      </c>
      <c r="BG383" s="76" t="b">
        <v>0</v>
      </c>
      <c r="BH383" s="83" t="str">
        <f>HYPERLINK("https://pbs.twimg.com/profile_banners/1346962955460603904/1609977590")</f>
        <v>https://pbs.twimg.com/profile_banners/1346962955460603904/1609977590</v>
      </c>
      <c r="BI383" s="76"/>
      <c r="BJ383" s="76" t="s">
        <v>24935</v>
      </c>
      <c r="BK383" s="76" t="b">
        <v>0</v>
      </c>
      <c r="BL383" s="76"/>
      <c r="BM383" s="76" t="s">
        <v>66</v>
      </c>
      <c r="BN383" s="76" t="s">
        <v>24937</v>
      </c>
      <c r="BO383" s="83" t="str">
        <f>HYPERLINK("https://twitter.com/dicas_tay")</f>
        <v>https://twitter.com/dicas_tay</v>
      </c>
      <c r="BP383" s="2"/>
    </row>
    <row r="384" spans="1:68" x14ac:dyDescent="0.25">
      <c r="A384" s="62" t="s">
        <v>587</v>
      </c>
      <c r="B384" s="63"/>
      <c r="C384" s="63"/>
      <c r="D384" s="64"/>
      <c r="E384" s="66"/>
      <c r="F384" s="102" t="str">
        <f>HYPERLINK("https://pbs.twimg.com/profile_images/1661547470428536834/WtOfhEgY_normal.jpg")</f>
        <v>https://pbs.twimg.com/profile_images/1661547470428536834/WtOfhEgY_normal.jpg</v>
      </c>
      <c r="G384" s="63"/>
      <c r="H384" s="67"/>
      <c r="I384" s="68"/>
      <c r="J384" s="68"/>
      <c r="K384" s="67" t="s">
        <v>25318</v>
      </c>
      <c r="L384" s="71"/>
      <c r="M384" s="72"/>
      <c r="N384" s="72"/>
      <c r="O384" s="73"/>
      <c r="P384" s="74"/>
      <c r="Q384" s="74"/>
      <c r="R384" s="86"/>
      <c r="S384" s="86"/>
      <c r="T384" s="86"/>
      <c r="U384" s="86"/>
      <c r="V384" s="48"/>
      <c r="W384" s="48"/>
      <c r="X384" s="48"/>
      <c r="Y384" s="48"/>
      <c r="Z384" s="47"/>
      <c r="AA384" s="69">
        <v>384</v>
      </c>
      <c r="AB384" s="69"/>
      <c r="AC384" s="70"/>
      <c r="AD384" s="76" t="s">
        <v>22190</v>
      </c>
      <c r="AE384" s="81" t="s">
        <v>21281</v>
      </c>
      <c r="AF384" s="76">
        <v>16</v>
      </c>
      <c r="AG384" s="76">
        <v>78</v>
      </c>
      <c r="AH384" s="76">
        <v>90</v>
      </c>
      <c r="AI384" s="76">
        <v>0</v>
      </c>
      <c r="AJ384" s="76">
        <v>5</v>
      </c>
      <c r="AK384" s="76">
        <v>0</v>
      </c>
      <c r="AL384" s="76" t="b">
        <v>0</v>
      </c>
      <c r="AM384" s="78">
        <v>45071.063472222224</v>
      </c>
      <c r="AN384" s="76" t="s">
        <v>14033</v>
      </c>
      <c r="AO384" s="76" t="s">
        <v>23674</v>
      </c>
      <c r="AP384" s="76"/>
      <c r="AQ384" s="76"/>
      <c r="AR384" s="76"/>
      <c r="AS384" s="76"/>
      <c r="AT384" s="76"/>
      <c r="AU384" s="76"/>
      <c r="AV384" s="76">
        <v>1.6615489904693701E+18</v>
      </c>
      <c r="AW384" s="76"/>
      <c r="AX384" s="76" t="b">
        <v>0</v>
      </c>
      <c r="AY384" s="76"/>
      <c r="AZ384" s="76"/>
      <c r="BA384" s="76" t="b">
        <v>0</v>
      </c>
      <c r="BB384" s="76" t="b">
        <v>1</v>
      </c>
      <c r="BC384" s="76" t="b">
        <v>1</v>
      </c>
      <c r="BD384" s="76" t="b">
        <v>0</v>
      </c>
      <c r="BE384" s="76" t="b">
        <v>0</v>
      </c>
      <c r="BF384" s="76" t="b">
        <v>0</v>
      </c>
      <c r="BG384" s="76" t="b">
        <v>0</v>
      </c>
      <c r="BH384" s="83" t="str">
        <f>HYPERLINK("https://pbs.twimg.com/profile_banners/1661545412233244672/1684978771")</f>
        <v>https://pbs.twimg.com/profile_banners/1661545412233244672/1684978771</v>
      </c>
      <c r="BI384" s="76"/>
      <c r="BJ384" s="76" t="s">
        <v>24935</v>
      </c>
      <c r="BK384" s="76" t="b">
        <v>0</v>
      </c>
      <c r="BL384" s="76"/>
      <c r="BM384" s="76" t="s">
        <v>66</v>
      </c>
      <c r="BN384" s="76" t="s">
        <v>24937</v>
      </c>
      <c r="BO384" s="83" t="str">
        <f>HYPERLINK("https://twitter.com/dinheiro2023_")</f>
        <v>https://twitter.com/dinheiro2023_</v>
      </c>
      <c r="BP384" s="2"/>
    </row>
    <row r="385" spans="1:68" x14ac:dyDescent="0.25">
      <c r="A385" s="62" t="s">
        <v>588</v>
      </c>
      <c r="B385" s="63"/>
      <c r="C385" s="63"/>
      <c r="D385" s="64"/>
      <c r="E385" s="66"/>
      <c r="F385" s="102" t="str">
        <f>HYPERLINK("https://pbs.twimg.com/profile_images/1700260193295097856/B_EzPCPt_normal.jpg")</f>
        <v>https://pbs.twimg.com/profile_images/1700260193295097856/B_EzPCPt_normal.jpg</v>
      </c>
      <c r="G385" s="63"/>
      <c r="H385" s="67"/>
      <c r="I385" s="68"/>
      <c r="J385" s="68"/>
      <c r="K385" s="67" t="s">
        <v>25319</v>
      </c>
      <c r="L385" s="71"/>
      <c r="M385" s="72"/>
      <c r="N385" s="72"/>
      <c r="O385" s="73"/>
      <c r="P385" s="74"/>
      <c r="Q385" s="74"/>
      <c r="R385" s="86"/>
      <c r="S385" s="86"/>
      <c r="T385" s="86"/>
      <c r="U385" s="86"/>
      <c r="V385" s="48"/>
      <c r="W385" s="48"/>
      <c r="X385" s="48"/>
      <c r="Y385" s="48"/>
      <c r="Z385" s="47"/>
      <c r="AA385" s="69">
        <v>385</v>
      </c>
      <c r="AB385" s="69"/>
      <c r="AC385" s="70"/>
      <c r="AD385" s="76" t="s">
        <v>588</v>
      </c>
      <c r="AE385" s="81" t="s">
        <v>21282</v>
      </c>
      <c r="AF385" s="76">
        <v>0</v>
      </c>
      <c r="AG385" s="76">
        <v>4</v>
      </c>
      <c r="AH385" s="76">
        <v>4</v>
      </c>
      <c r="AI385" s="76">
        <v>0</v>
      </c>
      <c r="AJ385" s="76">
        <v>0</v>
      </c>
      <c r="AK385" s="76">
        <v>2</v>
      </c>
      <c r="AL385" s="76" t="b">
        <v>0</v>
      </c>
      <c r="AM385" s="78">
        <v>45177.895555555559</v>
      </c>
      <c r="AN385" s="76"/>
      <c r="AO385" s="76"/>
      <c r="AP385" s="76"/>
      <c r="AQ385" s="76"/>
      <c r="AR385" s="76"/>
      <c r="AS385" s="76"/>
      <c r="AT385" s="76"/>
      <c r="AU385" s="76"/>
      <c r="AV385" s="76">
        <v>1.7002622856994299E+18</v>
      </c>
      <c r="AW385" s="76"/>
      <c r="AX385" s="76" t="b">
        <v>0</v>
      </c>
      <c r="AY385" s="76"/>
      <c r="AZ385" s="76"/>
      <c r="BA385" s="76" t="b">
        <v>0</v>
      </c>
      <c r="BB385" s="76" t="b">
        <v>1</v>
      </c>
      <c r="BC385" s="76" t="b">
        <v>1</v>
      </c>
      <c r="BD385" s="76" t="b">
        <v>0</v>
      </c>
      <c r="BE385" s="76" t="b">
        <v>0</v>
      </c>
      <c r="BF385" s="76" t="b">
        <v>0</v>
      </c>
      <c r="BG385" s="76" t="b">
        <v>0</v>
      </c>
      <c r="BH385" s="76"/>
      <c r="BI385" s="76"/>
      <c r="BJ385" s="76" t="s">
        <v>24935</v>
      </c>
      <c r="BK385" s="76" t="b">
        <v>0</v>
      </c>
      <c r="BL385" s="76"/>
      <c r="BM385" s="76" t="s">
        <v>66</v>
      </c>
      <c r="BN385" s="76" t="s">
        <v>24937</v>
      </c>
      <c r="BO385" s="83" t="str">
        <f>HYPERLINK("https://twitter.com/sofiasth41")</f>
        <v>https://twitter.com/sofiasth41</v>
      </c>
      <c r="BP385" s="2"/>
    </row>
    <row r="386" spans="1:68" x14ac:dyDescent="0.25">
      <c r="A386" s="62" t="s">
        <v>589</v>
      </c>
      <c r="B386" s="63"/>
      <c r="C386" s="63"/>
      <c r="D386" s="64"/>
      <c r="E386" s="66"/>
      <c r="F386" s="102" t="str">
        <f>HYPERLINK("https://pbs.twimg.com/profile_images/1687134128397807617/4doLv83g_normal.jpg")</f>
        <v>https://pbs.twimg.com/profile_images/1687134128397807617/4doLv83g_normal.jpg</v>
      </c>
      <c r="G386" s="63"/>
      <c r="H386" s="67"/>
      <c r="I386" s="68"/>
      <c r="J386" s="68"/>
      <c r="K386" s="67" t="s">
        <v>25320</v>
      </c>
      <c r="L386" s="71"/>
      <c r="M386" s="72"/>
      <c r="N386" s="72"/>
      <c r="O386" s="73"/>
      <c r="P386" s="74"/>
      <c r="Q386" s="74"/>
      <c r="R386" s="86"/>
      <c r="S386" s="86"/>
      <c r="T386" s="86"/>
      <c r="U386" s="86"/>
      <c r="V386" s="48"/>
      <c r="W386" s="48"/>
      <c r="X386" s="48"/>
      <c r="Y386" s="48"/>
      <c r="Z386" s="47"/>
      <c r="AA386" s="69">
        <v>386</v>
      </c>
      <c r="AB386" s="69"/>
      <c r="AC386" s="70"/>
      <c r="AD386" s="76" t="s">
        <v>22191</v>
      </c>
      <c r="AE386" s="81" t="s">
        <v>20926</v>
      </c>
      <c r="AF386" s="76">
        <v>662</v>
      </c>
      <c r="AG386" s="76">
        <v>897</v>
      </c>
      <c r="AH386" s="76">
        <v>2945</v>
      </c>
      <c r="AI386" s="76">
        <v>16</v>
      </c>
      <c r="AJ386" s="76">
        <v>1109</v>
      </c>
      <c r="AK386" s="76">
        <v>336</v>
      </c>
      <c r="AL386" s="76" t="b">
        <v>0</v>
      </c>
      <c r="AM386" s="78">
        <v>40546.570659722223</v>
      </c>
      <c r="AN386" s="76" t="s">
        <v>23124</v>
      </c>
      <c r="AO386" s="76" t="s">
        <v>23675</v>
      </c>
      <c r="AP386" s="83" t="str">
        <f>HYPERLINK("https://t.co/SvHv5GJA0r")</f>
        <v>https://t.co/SvHv5GJA0r</v>
      </c>
      <c r="AQ386" s="83" t="str">
        <f>HYPERLINK("http://www.IMDb.me/LinoMGomes")</f>
        <v>http://www.IMDb.me/LinoMGomes</v>
      </c>
      <c r="AR386" s="76" t="s">
        <v>24464</v>
      </c>
      <c r="AS386" s="76"/>
      <c r="AT386" s="76"/>
      <c r="AU386" s="76"/>
      <c r="AV386" s="76"/>
      <c r="AW386" s="83" t="str">
        <f>HYPERLINK("https://t.co/SvHv5GJA0r")</f>
        <v>https://t.co/SvHv5GJA0r</v>
      </c>
      <c r="AX386" s="76" t="b">
        <v>1</v>
      </c>
      <c r="AY386" s="76"/>
      <c r="AZ386" s="76"/>
      <c r="BA386" s="76" t="b">
        <v>0</v>
      </c>
      <c r="BB386" s="76" t="b">
        <v>1</v>
      </c>
      <c r="BC386" s="76" t="b">
        <v>0</v>
      </c>
      <c r="BD386" s="76" t="b">
        <v>0</v>
      </c>
      <c r="BE386" s="76" t="b">
        <v>1</v>
      </c>
      <c r="BF386" s="76" t="b">
        <v>0</v>
      </c>
      <c r="BG386" s="76" t="b">
        <v>0</v>
      </c>
      <c r="BH386" s="83" t="str">
        <f>HYPERLINK("https://pbs.twimg.com/profile_banners/233531860/1682786067")</f>
        <v>https://pbs.twimg.com/profile_banners/233531860/1682786067</v>
      </c>
      <c r="BI386" s="76"/>
      <c r="BJ386" s="76" t="s">
        <v>24935</v>
      </c>
      <c r="BK386" s="76" t="b">
        <v>0</v>
      </c>
      <c r="BL386" s="76"/>
      <c r="BM386" s="76" t="s">
        <v>66</v>
      </c>
      <c r="BN386" s="76" t="s">
        <v>24937</v>
      </c>
      <c r="BO386" s="83" t="str">
        <f>HYPERLINK("https://twitter.com/linomgomes")</f>
        <v>https://twitter.com/linomgomes</v>
      </c>
      <c r="BP386" s="2"/>
    </row>
    <row r="387" spans="1:68" x14ac:dyDescent="0.25">
      <c r="A387" s="62" t="s">
        <v>590</v>
      </c>
      <c r="B387" s="63"/>
      <c r="C387" s="63"/>
      <c r="D387" s="64"/>
      <c r="E387" s="66"/>
      <c r="F387" s="102" t="str">
        <f>HYPERLINK("https://pbs.twimg.com/profile_images/1673505956838219776/5poLUgpn_normal.jpg")</f>
        <v>https://pbs.twimg.com/profile_images/1673505956838219776/5poLUgpn_normal.jpg</v>
      </c>
      <c r="G387" s="63"/>
      <c r="H387" s="67"/>
      <c r="I387" s="68"/>
      <c r="J387" s="68"/>
      <c r="K387" s="67" t="s">
        <v>25321</v>
      </c>
      <c r="L387" s="71"/>
      <c r="M387" s="72"/>
      <c r="N387" s="72"/>
      <c r="O387" s="73"/>
      <c r="P387" s="74"/>
      <c r="Q387" s="74"/>
      <c r="R387" s="86"/>
      <c r="S387" s="86"/>
      <c r="T387" s="86"/>
      <c r="U387" s="86"/>
      <c r="V387" s="48"/>
      <c r="W387" s="48"/>
      <c r="X387" s="48"/>
      <c r="Y387" s="48"/>
      <c r="Z387" s="47"/>
      <c r="AA387" s="69">
        <v>387</v>
      </c>
      <c r="AB387" s="69"/>
      <c r="AC387" s="70"/>
      <c r="AD387" s="76" t="s">
        <v>22192</v>
      </c>
      <c r="AE387" s="81" t="s">
        <v>21283</v>
      </c>
      <c r="AF387" s="76">
        <v>0</v>
      </c>
      <c r="AG387" s="76">
        <v>0</v>
      </c>
      <c r="AH387" s="76">
        <v>43</v>
      </c>
      <c r="AI387" s="76">
        <v>0</v>
      </c>
      <c r="AJ387" s="76">
        <v>0</v>
      </c>
      <c r="AK387" s="76">
        <v>18</v>
      </c>
      <c r="AL387" s="76" t="b">
        <v>0</v>
      </c>
      <c r="AM387" s="78">
        <v>45101.526296296295</v>
      </c>
      <c r="AN387" s="76"/>
      <c r="AO387" s="76" t="s">
        <v>23676</v>
      </c>
      <c r="AP387" s="83" t="str">
        <f>HYPERLINK("https://t.co/ONPOH2ovTO")</f>
        <v>https://t.co/ONPOH2ovTO</v>
      </c>
      <c r="AQ387" s="83" t="str">
        <f>HYPERLINK("https://sun.eduzz.com/1973725")</f>
        <v>https://sun.eduzz.com/1973725</v>
      </c>
      <c r="AR387" s="76" t="s">
        <v>24465</v>
      </c>
      <c r="AS387" s="76"/>
      <c r="AT387" s="76"/>
      <c r="AU387" s="76"/>
      <c r="AV387" s="76"/>
      <c r="AW387" s="83" t="str">
        <f>HYPERLINK("https://t.co/ONPOH2ovTO")</f>
        <v>https://t.co/ONPOH2ovTO</v>
      </c>
      <c r="AX387" s="76" t="b">
        <v>0</v>
      </c>
      <c r="AY387" s="76"/>
      <c r="AZ387" s="76"/>
      <c r="BA387" s="76" t="b">
        <v>0</v>
      </c>
      <c r="BB387" s="76" t="b">
        <v>1</v>
      </c>
      <c r="BC387" s="76" t="b">
        <v>1</v>
      </c>
      <c r="BD387" s="76" t="b">
        <v>0</v>
      </c>
      <c r="BE387" s="76" t="b">
        <v>0</v>
      </c>
      <c r="BF387" s="76" t="b">
        <v>0</v>
      </c>
      <c r="BG387" s="76" t="b">
        <v>0</v>
      </c>
      <c r="BH387" s="83" t="str">
        <f>HYPERLINK("https://pbs.twimg.com/profile_banners/1672584778837573635/1687832901")</f>
        <v>https://pbs.twimg.com/profile_banners/1672584778837573635/1687832901</v>
      </c>
      <c r="BI387" s="76"/>
      <c r="BJ387" s="76" t="s">
        <v>24935</v>
      </c>
      <c r="BK387" s="76" t="b">
        <v>0</v>
      </c>
      <c r="BL387" s="76"/>
      <c r="BM387" s="76" t="s">
        <v>66</v>
      </c>
      <c r="BN387" s="76" t="s">
        <v>24937</v>
      </c>
      <c r="BO387" s="83" t="str">
        <f>HYPERLINK("https://twitter.com/o_mundo_filiado")</f>
        <v>https://twitter.com/o_mundo_filiado</v>
      </c>
      <c r="BP387" s="2"/>
    </row>
    <row r="388" spans="1:68" x14ac:dyDescent="0.25">
      <c r="A388" s="62" t="s">
        <v>591</v>
      </c>
      <c r="B388" s="63"/>
      <c r="C388" s="63"/>
      <c r="D388" s="64"/>
      <c r="E388" s="66"/>
      <c r="F388" s="102" t="str">
        <f>HYPERLINK("https://abs.twimg.com/sticky/default_profile_images/default_profile_normal.png")</f>
        <v>https://abs.twimg.com/sticky/default_profile_images/default_profile_normal.png</v>
      </c>
      <c r="G388" s="63"/>
      <c r="H388" s="67"/>
      <c r="I388" s="68"/>
      <c r="J388" s="68"/>
      <c r="K388" s="67" t="s">
        <v>25322</v>
      </c>
      <c r="L388" s="71"/>
      <c r="M388" s="72"/>
      <c r="N388" s="72"/>
      <c r="O388" s="73"/>
      <c r="P388" s="74"/>
      <c r="Q388" s="74"/>
      <c r="R388" s="86"/>
      <c r="S388" s="86"/>
      <c r="T388" s="86"/>
      <c r="U388" s="86"/>
      <c r="V388" s="48"/>
      <c r="W388" s="48"/>
      <c r="X388" s="48"/>
      <c r="Y388" s="48"/>
      <c r="Z388" s="47"/>
      <c r="AA388" s="69">
        <v>388</v>
      </c>
      <c r="AB388" s="69"/>
      <c r="AC388" s="70"/>
      <c r="AD388" s="76" t="s">
        <v>22193</v>
      </c>
      <c r="AE388" s="81" t="s">
        <v>21284</v>
      </c>
      <c r="AF388" s="76">
        <v>0</v>
      </c>
      <c r="AG388" s="76">
        <v>1</v>
      </c>
      <c r="AH388" s="76">
        <v>28</v>
      </c>
      <c r="AI388" s="76">
        <v>0</v>
      </c>
      <c r="AJ388" s="76">
        <v>20</v>
      </c>
      <c r="AK388" s="76">
        <v>8</v>
      </c>
      <c r="AL388" s="76" t="b">
        <v>0</v>
      </c>
      <c r="AM388" s="78">
        <v>44084.023020833331</v>
      </c>
      <c r="AN388" s="76"/>
      <c r="AO388" s="76" t="s">
        <v>23677</v>
      </c>
      <c r="AP388" s="76"/>
      <c r="AQ388" s="76"/>
      <c r="AR388" s="76"/>
      <c r="AS388" s="76"/>
      <c r="AT388" s="76"/>
      <c r="AU388" s="76"/>
      <c r="AV388" s="76">
        <v>1.6690604661386601E+18</v>
      </c>
      <c r="AW388" s="76"/>
      <c r="AX388" s="76" t="b">
        <v>0</v>
      </c>
      <c r="AY388" s="76"/>
      <c r="AZ388" s="76"/>
      <c r="BA388" s="76" t="b">
        <v>0</v>
      </c>
      <c r="BB388" s="76" t="b">
        <v>1</v>
      </c>
      <c r="BC388" s="76" t="b">
        <v>1</v>
      </c>
      <c r="BD388" s="76" t="b">
        <v>1</v>
      </c>
      <c r="BE388" s="76" t="b">
        <v>0</v>
      </c>
      <c r="BF388" s="76" t="b">
        <v>0</v>
      </c>
      <c r="BG388" s="76" t="b">
        <v>0</v>
      </c>
      <c r="BH388" s="76"/>
      <c r="BI388" s="76"/>
      <c r="BJ388" s="76" t="s">
        <v>24935</v>
      </c>
      <c r="BK388" s="76" t="b">
        <v>0</v>
      </c>
      <c r="BL388" s="76"/>
      <c r="BM388" s="76" t="s">
        <v>66</v>
      </c>
      <c r="BN388" s="76" t="s">
        <v>24937</v>
      </c>
      <c r="BO388" s="83" t="str">
        <f>HYPERLINK("https://twitter.com/edmilso19739527")</f>
        <v>https://twitter.com/edmilso19739527</v>
      </c>
      <c r="BP388" s="2"/>
    </row>
    <row r="389" spans="1:68" x14ac:dyDescent="0.25">
      <c r="A389" s="62" t="s">
        <v>592</v>
      </c>
      <c r="B389" s="63"/>
      <c r="C389" s="63"/>
      <c r="D389" s="64"/>
      <c r="E389" s="66"/>
      <c r="F389" s="102" t="str">
        <f>HYPERLINK("https://pbs.twimg.com/profile_images/1645961261144834049/q9Ao6hva_normal.png")</f>
        <v>https://pbs.twimg.com/profile_images/1645961261144834049/q9Ao6hva_normal.png</v>
      </c>
      <c r="G389" s="63"/>
      <c r="H389" s="67"/>
      <c r="I389" s="68"/>
      <c r="J389" s="68"/>
      <c r="K389" s="67" t="s">
        <v>25323</v>
      </c>
      <c r="L389" s="71"/>
      <c r="M389" s="72"/>
      <c r="N389" s="72"/>
      <c r="O389" s="73"/>
      <c r="P389" s="74"/>
      <c r="Q389" s="74"/>
      <c r="R389" s="86"/>
      <c r="S389" s="86"/>
      <c r="T389" s="86"/>
      <c r="U389" s="86"/>
      <c r="V389" s="48"/>
      <c r="W389" s="48"/>
      <c r="X389" s="48"/>
      <c r="Y389" s="48"/>
      <c r="Z389" s="47"/>
      <c r="AA389" s="69">
        <v>389</v>
      </c>
      <c r="AB389" s="69"/>
      <c r="AC389" s="70"/>
      <c r="AD389" s="76" t="s">
        <v>22194</v>
      </c>
      <c r="AE389" s="81" t="s">
        <v>21285</v>
      </c>
      <c r="AF389" s="76">
        <v>14</v>
      </c>
      <c r="AG389" s="76">
        <v>17</v>
      </c>
      <c r="AH389" s="76">
        <v>262</v>
      </c>
      <c r="AI389" s="76">
        <v>0</v>
      </c>
      <c r="AJ389" s="76">
        <v>448</v>
      </c>
      <c r="AK389" s="76">
        <v>55</v>
      </c>
      <c r="AL389" s="76" t="b">
        <v>0</v>
      </c>
      <c r="AM389" s="78">
        <v>45028.059247685182</v>
      </c>
      <c r="AN389" s="76"/>
      <c r="AO389" s="76" t="s">
        <v>23678</v>
      </c>
      <c r="AP389" s="83" t="str">
        <f>HYPERLINK("https://t.co/SiyplJdBo6")</f>
        <v>https://t.co/SiyplJdBo6</v>
      </c>
      <c r="AQ389" s="83" t="str">
        <f>HYPERLINK("https://www.youtube.com/channel/UCOENSffho2suWG3GXQUGSOw")</f>
        <v>https://www.youtube.com/channel/UCOENSffho2suWG3GXQUGSOw</v>
      </c>
      <c r="AR389" s="76" t="s">
        <v>24466</v>
      </c>
      <c r="AS389" s="76"/>
      <c r="AT389" s="76"/>
      <c r="AU389" s="76"/>
      <c r="AV389" s="76">
        <v>1.6738251786802099E+18</v>
      </c>
      <c r="AW389" s="83" t="str">
        <f>HYPERLINK("https://t.co/SiyplJdBo6")</f>
        <v>https://t.co/SiyplJdBo6</v>
      </c>
      <c r="AX389" s="76" t="b">
        <v>0</v>
      </c>
      <c r="AY389" s="76"/>
      <c r="AZ389" s="76"/>
      <c r="BA389" s="76" t="b">
        <v>1</v>
      </c>
      <c r="BB389" s="76" t="b">
        <v>1</v>
      </c>
      <c r="BC389" s="76" t="b">
        <v>1</v>
      </c>
      <c r="BD389" s="76" t="b">
        <v>0</v>
      </c>
      <c r="BE389" s="76" t="b">
        <v>0</v>
      </c>
      <c r="BF389" s="76" t="b">
        <v>0</v>
      </c>
      <c r="BG389" s="76" t="b">
        <v>0</v>
      </c>
      <c r="BH389" s="83" t="str">
        <f>HYPERLINK("https://pbs.twimg.com/profile_banners/1645961122183274496/1682525878")</f>
        <v>https://pbs.twimg.com/profile_banners/1645961122183274496/1682525878</v>
      </c>
      <c r="BI389" s="76"/>
      <c r="BJ389" s="76" t="s">
        <v>24935</v>
      </c>
      <c r="BK389" s="76" t="b">
        <v>0</v>
      </c>
      <c r="BL389" s="76"/>
      <c r="BM389" s="76" t="s">
        <v>66</v>
      </c>
      <c r="BN389" s="76" t="s">
        <v>24937</v>
      </c>
      <c r="BO389" s="83" t="str">
        <f>HYPERLINK("https://twitter.com/nascadarkyt")</f>
        <v>https://twitter.com/nascadarkyt</v>
      </c>
      <c r="BP389" s="2"/>
    </row>
    <row r="390" spans="1:68" x14ac:dyDescent="0.25">
      <c r="A390" s="62" t="s">
        <v>593</v>
      </c>
      <c r="B390" s="63"/>
      <c r="C390" s="63"/>
      <c r="D390" s="64"/>
      <c r="E390" s="66"/>
      <c r="F390" s="102" t="str">
        <f>HYPERLINK("https://pbs.twimg.com/profile_images/1619425389616431109/8iYBJTXn_normal.jpg")</f>
        <v>https://pbs.twimg.com/profile_images/1619425389616431109/8iYBJTXn_normal.jpg</v>
      </c>
      <c r="G390" s="63"/>
      <c r="H390" s="67"/>
      <c r="I390" s="68"/>
      <c r="J390" s="68"/>
      <c r="K390" s="67" t="s">
        <v>25324</v>
      </c>
      <c r="L390" s="71"/>
      <c r="M390" s="72"/>
      <c r="N390" s="72"/>
      <c r="O390" s="73"/>
      <c r="P390" s="74"/>
      <c r="Q390" s="74"/>
      <c r="R390" s="86"/>
      <c r="S390" s="86"/>
      <c r="T390" s="86"/>
      <c r="U390" s="86"/>
      <c r="V390" s="48"/>
      <c r="W390" s="48"/>
      <c r="X390" s="48"/>
      <c r="Y390" s="48"/>
      <c r="Z390" s="47"/>
      <c r="AA390" s="69">
        <v>390</v>
      </c>
      <c r="AB390" s="69"/>
      <c r="AC390" s="70"/>
      <c r="AD390" s="76" t="s">
        <v>22195</v>
      </c>
      <c r="AE390" s="81" t="s">
        <v>21286</v>
      </c>
      <c r="AF390" s="76">
        <v>0</v>
      </c>
      <c r="AG390" s="76">
        <v>70</v>
      </c>
      <c r="AH390" s="76">
        <v>12</v>
      </c>
      <c r="AI390" s="76">
        <v>0</v>
      </c>
      <c r="AJ390" s="76">
        <v>14</v>
      </c>
      <c r="AK390" s="76">
        <v>4</v>
      </c>
      <c r="AL390" s="76" t="b">
        <v>0</v>
      </c>
      <c r="AM390" s="78">
        <v>44954.833692129629</v>
      </c>
      <c r="AN390" s="76" t="s">
        <v>14033</v>
      </c>
      <c r="AO390" s="76" t="s">
        <v>23679</v>
      </c>
      <c r="AP390" s="83" t="str">
        <f>HYPERLINK("https://t.co/DYVzB877S8")</f>
        <v>https://t.co/DYVzB877S8</v>
      </c>
      <c r="AQ390" s="83" t="str">
        <f>HYPERLINK("https://pulseplay.online")</f>
        <v>https://pulseplay.online</v>
      </c>
      <c r="AR390" s="76" t="s">
        <v>24467</v>
      </c>
      <c r="AS390" s="76"/>
      <c r="AT390" s="76"/>
      <c r="AU390" s="76"/>
      <c r="AV390" s="76"/>
      <c r="AW390" s="83" t="str">
        <f>HYPERLINK("https://t.co/DYVzB877S8")</f>
        <v>https://t.co/DYVzB877S8</v>
      </c>
      <c r="AX390" s="76" t="b">
        <v>0</v>
      </c>
      <c r="AY390" s="76"/>
      <c r="AZ390" s="76"/>
      <c r="BA390" s="76" t="b">
        <v>0</v>
      </c>
      <c r="BB390" s="76" t="b">
        <v>1</v>
      </c>
      <c r="BC390" s="76" t="b">
        <v>1</v>
      </c>
      <c r="BD390" s="76" t="b">
        <v>0</v>
      </c>
      <c r="BE390" s="76" t="b">
        <v>0</v>
      </c>
      <c r="BF390" s="76" t="b">
        <v>0</v>
      </c>
      <c r="BG390" s="76" t="b">
        <v>0</v>
      </c>
      <c r="BH390" s="76"/>
      <c r="BI390" s="76"/>
      <c r="BJ390" s="76" t="s">
        <v>24935</v>
      </c>
      <c r="BK390" s="76" t="b">
        <v>0</v>
      </c>
      <c r="BL390" s="76"/>
      <c r="BM390" s="76" t="s">
        <v>66</v>
      </c>
      <c r="BN390" s="76" t="s">
        <v>24937</v>
      </c>
      <c r="BO390" s="83" t="str">
        <f>HYPERLINK("https://twitter.com/pulseplaytv")</f>
        <v>https://twitter.com/pulseplaytv</v>
      </c>
      <c r="BP390" s="2"/>
    </row>
    <row r="391" spans="1:68" x14ac:dyDescent="0.25">
      <c r="A391" s="62" t="s">
        <v>594</v>
      </c>
      <c r="B391" s="63"/>
      <c r="C391" s="63"/>
      <c r="D391" s="64"/>
      <c r="E391" s="66"/>
      <c r="F391" s="102" t="str">
        <f>HYPERLINK("https://pbs.twimg.com/profile_images/1586732559169372161/K1HvV8B7_normal.jpg")</f>
        <v>https://pbs.twimg.com/profile_images/1586732559169372161/K1HvV8B7_normal.jpg</v>
      </c>
      <c r="G391" s="63"/>
      <c r="H391" s="67"/>
      <c r="I391" s="68"/>
      <c r="J391" s="68"/>
      <c r="K391" s="67" t="s">
        <v>25325</v>
      </c>
      <c r="L391" s="71"/>
      <c r="M391" s="72"/>
      <c r="N391" s="72"/>
      <c r="O391" s="73"/>
      <c r="P391" s="74"/>
      <c r="Q391" s="74"/>
      <c r="R391" s="86"/>
      <c r="S391" s="86"/>
      <c r="T391" s="86"/>
      <c r="U391" s="86"/>
      <c r="V391" s="48"/>
      <c r="W391" s="48"/>
      <c r="X391" s="48"/>
      <c r="Y391" s="48"/>
      <c r="Z391" s="47"/>
      <c r="AA391" s="69">
        <v>391</v>
      </c>
      <c r="AB391" s="69"/>
      <c r="AC391" s="70"/>
      <c r="AD391" s="76" t="s">
        <v>22196</v>
      </c>
      <c r="AE391" s="81" t="s">
        <v>21287</v>
      </c>
      <c r="AF391" s="76">
        <v>4</v>
      </c>
      <c r="AG391" s="76">
        <v>39</v>
      </c>
      <c r="AH391" s="76">
        <v>17</v>
      </c>
      <c r="AI391" s="76">
        <v>0</v>
      </c>
      <c r="AJ391" s="76">
        <v>38</v>
      </c>
      <c r="AK391" s="76">
        <v>4</v>
      </c>
      <c r="AL391" s="76" t="b">
        <v>0</v>
      </c>
      <c r="AM391" s="78">
        <v>44864.619166666664</v>
      </c>
      <c r="AN391" s="76"/>
      <c r="AO391" s="76"/>
      <c r="AP391" s="76"/>
      <c r="AQ391" s="76"/>
      <c r="AR391" s="76"/>
      <c r="AS391" s="76"/>
      <c r="AT391" s="76"/>
      <c r="AU391" s="76"/>
      <c r="AV391" s="76"/>
      <c r="AW391" s="76"/>
      <c r="AX391" s="76" t="b">
        <v>0</v>
      </c>
      <c r="AY391" s="76"/>
      <c r="AZ391" s="76"/>
      <c r="BA391" s="76" t="b">
        <v>0</v>
      </c>
      <c r="BB391" s="76" t="b">
        <v>1</v>
      </c>
      <c r="BC391" s="76" t="b">
        <v>1</v>
      </c>
      <c r="BD391" s="76" t="b">
        <v>0</v>
      </c>
      <c r="BE391" s="76" t="b">
        <v>0</v>
      </c>
      <c r="BF391" s="76" t="b">
        <v>0</v>
      </c>
      <c r="BG391" s="76" t="b">
        <v>0</v>
      </c>
      <c r="BH391" s="83" t="str">
        <f>HYPERLINK("https://pbs.twimg.com/profile_banners/1586732404278005760/1675512092")</f>
        <v>https://pbs.twimg.com/profile_banners/1586732404278005760/1675512092</v>
      </c>
      <c r="BI391" s="76"/>
      <c r="BJ391" s="76" t="s">
        <v>24935</v>
      </c>
      <c r="BK391" s="76" t="b">
        <v>0</v>
      </c>
      <c r="BL391" s="76"/>
      <c r="BM391" s="76" t="s">
        <v>66</v>
      </c>
      <c r="BN391" s="76" t="s">
        <v>24937</v>
      </c>
      <c r="BO391" s="83" t="str">
        <f>HYPERLINK("https://twitter.com/arianad08683588")</f>
        <v>https://twitter.com/arianad08683588</v>
      </c>
      <c r="BP391" s="2"/>
    </row>
    <row r="392" spans="1:68" x14ac:dyDescent="0.25">
      <c r="A392" s="62" t="s">
        <v>595</v>
      </c>
      <c r="B392" s="63"/>
      <c r="C392" s="63"/>
      <c r="D392" s="64"/>
      <c r="E392" s="66"/>
      <c r="F392" s="102" t="str">
        <f>HYPERLINK("https://pbs.twimg.com/profile_images/1358770315921350658/bSBTvVQ3_normal.jpg")</f>
        <v>https://pbs.twimg.com/profile_images/1358770315921350658/bSBTvVQ3_normal.jpg</v>
      </c>
      <c r="G392" s="63"/>
      <c r="H392" s="67"/>
      <c r="I392" s="68"/>
      <c r="J392" s="68"/>
      <c r="K392" s="67" t="s">
        <v>25326</v>
      </c>
      <c r="L392" s="71"/>
      <c r="M392" s="72"/>
      <c r="N392" s="72"/>
      <c r="O392" s="73"/>
      <c r="P392" s="74"/>
      <c r="Q392" s="74"/>
      <c r="R392" s="86"/>
      <c r="S392" s="86"/>
      <c r="T392" s="86"/>
      <c r="U392" s="86"/>
      <c r="V392" s="48"/>
      <c r="W392" s="48"/>
      <c r="X392" s="48"/>
      <c r="Y392" s="48"/>
      <c r="Z392" s="47"/>
      <c r="AA392" s="69">
        <v>392</v>
      </c>
      <c r="AB392" s="69"/>
      <c r="AC392" s="70"/>
      <c r="AD392" s="76" t="s">
        <v>22197</v>
      </c>
      <c r="AE392" s="81" t="s">
        <v>21288</v>
      </c>
      <c r="AF392" s="76">
        <v>4</v>
      </c>
      <c r="AG392" s="76">
        <v>64</v>
      </c>
      <c r="AH392" s="76">
        <v>37</v>
      </c>
      <c r="AI392" s="76">
        <v>0</v>
      </c>
      <c r="AJ392" s="76">
        <v>19</v>
      </c>
      <c r="AK392" s="76">
        <v>2</v>
      </c>
      <c r="AL392" s="76" t="b">
        <v>0</v>
      </c>
      <c r="AM392" s="78">
        <v>43915.33121527778</v>
      </c>
      <c r="AN392" s="76"/>
      <c r="AO392" s="76" t="s">
        <v>23680</v>
      </c>
      <c r="AP392" s="76"/>
      <c r="AQ392" s="76"/>
      <c r="AR392" s="76"/>
      <c r="AS392" s="76"/>
      <c r="AT392" s="76"/>
      <c r="AU392" s="76"/>
      <c r="AV392" s="76"/>
      <c r="AW392" s="76"/>
      <c r="AX392" s="76" t="b">
        <v>0</v>
      </c>
      <c r="AY392" s="76"/>
      <c r="AZ392" s="76"/>
      <c r="BA392" s="76" t="b">
        <v>0</v>
      </c>
      <c r="BB392" s="76" t="b">
        <v>1</v>
      </c>
      <c r="BC392" s="76" t="b">
        <v>1</v>
      </c>
      <c r="BD392" s="76" t="b">
        <v>0</v>
      </c>
      <c r="BE392" s="76" t="b">
        <v>0</v>
      </c>
      <c r="BF392" s="76" t="b">
        <v>0</v>
      </c>
      <c r="BG392" s="76" t="b">
        <v>0</v>
      </c>
      <c r="BH392" s="76"/>
      <c r="BI392" s="76"/>
      <c r="BJ392" s="76" t="s">
        <v>24935</v>
      </c>
      <c r="BK392" s="76" t="b">
        <v>0</v>
      </c>
      <c r="BL392" s="76"/>
      <c r="BM392" s="76" t="s">
        <v>66</v>
      </c>
      <c r="BN392" s="76" t="s">
        <v>24937</v>
      </c>
      <c r="BO392" s="83" t="str">
        <f>HYPERLINK("https://twitter.com/leryvaldor")</f>
        <v>https://twitter.com/leryvaldor</v>
      </c>
      <c r="BP392" s="2"/>
    </row>
    <row r="393" spans="1:68" x14ac:dyDescent="0.25">
      <c r="A393" s="62" t="s">
        <v>596</v>
      </c>
      <c r="B393" s="63"/>
      <c r="C393" s="63"/>
      <c r="D393" s="64"/>
      <c r="E393" s="66"/>
      <c r="F393" s="102" t="str">
        <f>HYPERLINK("https://pbs.twimg.com/profile_images/1671849653384486912/LHnJNRxG_normal.jpg")</f>
        <v>https://pbs.twimg.com/profile_images/1671849653384486912/LHnJNRxG_normal.jpg</v>
      </c>
      <c r="G393" s="63"/>
      <c r="H393" s="67"/>
      <c r="I393" s="68"/>
      <c r="J393" s="68"/>
      <c r="K393" s="67" t="s">
        <v>25327</v>
      </c>
      <c r="L393" s="71"/>
      <c r="M393" s="72"/>
      <c r="N393" s="72"/>
      <c r="O393" s="73"/>
      <c r="P393" s="74"/>
      <c r="Q393" s="74"/>
      <c r="R393" s="86"/>
      <c r="S393" s="86"/>
      <c r="T393" s="86"/>
      <c r="U393" s="86"/>
      <c r="V393" s="48"/>
      <c r="W393" s="48"/>
      <c r="X393" s="48"/>
      <c r="Y393" s="48"/>
      <c r="Z393" s="47"/>
      <c r="AA393" s="69">
        <v>393</v>
      </c>
      <c r="AB393" s="69"/>
      <c r="AC393" s="70"/>
      <c r="AD393" s="76" t="s">
        <v>22198</v>
      </c>
      <c r="AE393" s="81" t="s">
        <v>21289</v>
      </c>
      <c r="AF393" s="76">
        <v>5</v>
      </c>
      <c r="AG393" s="76">
        <v>13</v>
      </c>
      <c r="AH393" s="76">
        <v>148</v>
      </c>
      <c r="AI393" s="76">
        <v>0</v>
      </c>
      <c r="AJ393" s="76">
        <v>14</v>
      </c>
      <c r="AK393" s="76">
        <v>136</v>
      </c>
      <c r="AL393" s="76" t="b">
        <v>0</v>
      </c>
      <c r="AM393" s="78">
        <v>45099.496967592589</v>
      </c>
      <c r="AN393" s="76"/>
      <c r="AO393" s="83" t="str">
        <f>HYPERLINK("https://t.co/YFJjRPj56Q")</f>
        <v>https://t.co/YFJjRPj56Q</v>
      </c>
      <c r="AP393" s="76"/>
      <c r="AQ393" s="76"/>
      <c r="AR393" s="76"/>
      <c r="AS393" s="83" t="str">
        <f>HYPERLINK("https://t.co/YFJjRPj56Q")</f>
        <v>https://t.co/YFJjRPj56Q</v>
      </c>
      <c r="AT393" s="83" t="str">
        <f>HYPERLINK("https://www.brabet.com/?agentid=148864193")</f>
        <v>https://www.brabet.com/?agentid=148864193</v>
      </c>
      <c r="AU393" s="76" t="s">
        <v>24877</v>
      </c>
      <c r="AV393" s="76"/>
      <c r="AW393" s="76"/>
      <c r="AX393" s="76" t="b">
        <v>0</v>
      </c>
      <c r="AY393" s="76"/>
      <c r="AZ393" s="76"/>
      <c r="BA393" s="76" t="b">
        <v>0</v>
      </c>
      <c r="BB393" s="76" t="b">
        <v>1</v>
      </c>
      <c r="BC393" s="76" t="b">
        <v>1</v>
      </c>
      <c r="BD393" s="76" t="b">
        <v>0</v>
      </c>
      <c r="BE393" s="76" t="b">
        <v>0</v>
      </c>
      <c r="BF393" s="76" t="b">
        <v>0</v>
      </c>
      <c r="BG393" s="76" t="b">
        <v>0</v>
      </c>
      <c r="BH393" s="76"/>
      <c r="BI393" s="76"/>
      <c r="BJ393" s="76" t="s">
        <v>24935</v>
      </c>
      <c r="BK393" s="76" t="b">
        <v>0</v>
      </c>
      <c r="BL393" s="76"/>
      <c r="BM393" s="76" t="s">
        <v>66</v>
      </c>
      <c r="BN393" s="76" t="s">
        <v>24937</v>
      </c>
      <c r="BO393" s="83" t="str">
        <f>HYPERLINK("https://twitter.com/andrjunior57678")</f>
        <v>https://twitter.com/andrjunior57678</v>
      </c>
      <c r="BP393" s="2"/>
    </row>
    <row r="394" spans="1:68" x14ac:dyDescent="0.25">
      <c r="A394" s="62" t="s">
        <v>597</v>
      </c>
      <c r="B394" s="63"/>
      <c r="C394" s="63"/>
      <c r="D394" s="64"/>
      <c r="E394" s="66"/>
      <c r="F394" s="102" t="str">
        <f>HYPERLINK("https://pbs.twimg.com/profile_images/1664814429567963136/3Nf7oWEL_normal.jpg")</f>
        <v>https://pbs.twimg.com/profile_images/1664814429567963136/3Nf7oWEL_normal.jpg</v>
      </c>
      <c r="G394" s="63"/>
      <c r="H394" s="67"/>
      <c r="I394" s="68"/>
      <c r="J394" s="68"/>
      <c r="K394" s="67" t="s">
        <v>25328</v>
      </c>
      <c r="L394" s="71"/>
      <c r="M394" s="72"/>
      <c r="N394" s="72"/>
      <c r="O394" s="73"/>
      <c r="P394" s="74"/>
      <c r="Q394" s="74"/>
      <c r="R394" s="86"/>
      <c r="S394" s="86"/>
      <c r="T394" s="86"/>
      <c r="U394" s="86"/>
      <c r="V394" s="48"/>
      <c r="W394" s="48"/>
      <c r="X394" s="48"/>
      <c r="Y394" s="48"/>
      <c r="Z394" s="47"/>
      <c r="AA394" s="69">
        <v>394</v>
      </c>
      <c r="AB394" s="69"/>
      <c r="AC394" s="70"/>
      <c r="AD394" s="76" t="s">
        <v>22199</v>
      </c>
      <c r="AE394" s="81" t="s">
        <v>21290</v>
      </c>
      <c r="AF394" s="76">
        <v>1</v>
      </c>
      <c r="AG394" s="76">
        <v>2</v>
      </c>
      <c r="AH394" s="76">
        <v>400</v>
      </c>
      <c r="AI394" s="76">
        <v>0</v>
      </c>
      <c r="AJ394" s="76">
        <v>273</v>
      </c>
      <c r="AK394" s="76">
        <v>20</v>
      </c>
      <c r="AL394" s="76" t="b">
        <v>0</v>
      </c>
      <c r="AM394" s="78">
        <v>45065.006226851852</v>
      </c>
      <c r="AN394" s="76"/>
      <c r="AO394" s="76" t="s">
        <v>23681</v>
      </c>
      <c r="AP394" s="76"/>
      <c r="AQ394" s="76"/>
      <c r="AR394" s="76"/>
      <c r="AS394" s="76"/>
      <c r="AT394" s="76"/>
      <c r="AU394" s="76"/>
      <c r="AV394" s="76"/>
      <c r="AW394" s="76"/>
      <c r="AX394" s="76" t="b">
        <v>0</v>
      </c>
      <c r="AY394" s="76"/>
      <c r="AZ394" s="76"/>
      <c r="BA394" s="76" t="b">
        <v>0</v>
      </c>
      <c r="BB394" s="76" t="b">
        <v>1</v>
      </c>
      <c r="BC394" s="76" t="b">
        <v>1</v>
      </c>
      <c r="BD394" s="76" t="b">
        <v>0</v>
      </c>
      <c r="BE394" s="76" t="b">
        <v>0</v>
      </c>
      <c r="BF394" s="76" t="b">
        <v>0</v>
      </c>
      <c r="BG394" s="76" t="b">
        <v>0</v>
      </c>
      <c r="BH394" s="83" t="str">
        <f>HYPERLINK("https://pbs.twimg.com/profile_banners/1659350244222533634/1685758271")</f>
        <v>https://pbs.twimg.com/profile_banners/1659350244222533634/1685758271</v>
      </c>
      <c r="BI394" s="76"/>
      <c r="BJ394" s="76" t="s">
        <v>24935</v>
      </c>
      <c r="BK394" s="76" t="b">
        <v>0</v>
      </c>
      <c r="BL394" s="76"/>
      <c r="BM394" s="76" t="s">
        <v>66</v>
      </c>
      <c r="BN394" s="76" t="s">
        <v>24937</v>
      </c>
      <c r="BO394" s="83" t="str">
        <f>HYPERLINK("https://twitter.com/sandrinnis38247")</f>
        <v>https://twitter.com/sandrinnis38247</v>
      </c>
      <c r="BP394" s="2"/>
    </row>
    <row r="395" spans="1:68" x14ac:dyDescent="0.25">
      <c r="A395" s="62" t="s">
        <v>598</v>
      </c>
      <c r="B395" s="63"/>
      <c r="C395" s="63"/>
      <c r="D395" s="64"/>
      <c r="E395" s="66"/>
      <c r="F395" s="102" t="str">
        <f>HYPERLINK("https://pbs.twimg.com/profile_images/1699859335763881984/h9OOMS1H_normal.jpg")</f>
        <v>https://pbs.twimg.com/profile_images/1699859335763881984/h9OOMS1H_normal.jpg</v>
      </c>
      <c r="G395" s="63"/>
      <c r="H395" s="67"/>
      <c r="I395" s="68"/>
      <c r="J395" s="68"/>
      <c r="K395" s="67" t="s">
        <v>25329</v>
      </c>
      <c r="L395" s="71"/>
      <c r="M395" s="72"/>
      <c r="N395" s="72"/>
      <c r="O395" s="73"/>
      <c r="P395" s="74"/>
      <c r="Q395" s="74"/>
      <c r="R395" s="86"/>
      <c r="S395" s="86"/>
      <c r="T395" s="86"/>
      <c r="U395" s="86"/>
      <c r="V395" s="48"/>
      <c r="W395" s="48"/>
      <c r="X395" s="48"/>
      <c r="Y395" s="48"/>
      <c r="Z395" s="47"/>
      <c r="AA395" s="69">
        <v>395</v>
      </c>
      <c r="AB395" s="69"/>
      <c r="AC395" s="70"/>
      <c r="AD395" s="76" t="s">
        <v>22200</v>
      </c>
      <c r="AE395" s="81" t="s">
        <v>22937</v>
      </c>
      <c r="AF395" s="76">
        <v>5532</v>
      </c>
      <c r="AG395" s="76">
        <v>5231</v>
      </c>
      <c r="AH395" s="76">
        <v>13611</v>
      </c>
      <c r="AI395" s="76">
        <v>13</v>
      </c>
      <c r="AJ395" s="76">
        <v>24269</v>
      </c>
      <c r="AK395" s="76">
        <v>1808</v>
      </c>
      <c r="AL395" s="76" t="b">
        <v>0</v>
      </c>
      <c r="AM395" s="78">
        <v>40117.759247685186</v>
      </c>
      <c r="AN395" s="76" t="s">
        <v>14040</v>
      </c>
      <c r="AO395" s="76" t="s">
        <v>23682</v>
      </c>
      <c r="AP395" s="83" t="str">
        <f>HYPERLINK("https://t.co/5BzmaS5DOI")</f>
        <v>https://t.co/5BzmaS5DOI</v>
      </c>
      <c r="AQ395" s="83" t="str">
        <f>HYPERLINK("https://instagram.com/karemdias?igshid=MDE2OWE1N2Q=")</f>
        <v>https://instagram.com/karemdias?igshid=MDE2OWE1N2Q=</v>
      </c>
      <c r="AR395" s="76" t="s">
        <v>24468</v>
      </c>
      <c r="AS395" s="76"/>
      <c r="AT395" s="76"/>
      <c r="AU395" s="76"/>
      <c r="AV395" s="76">
        <v>1.60700039012957E+18</v>
      </c>
      <c r="AW395" s="83" t="str">
        <f>HYPERLINK("https://t.co/5BzmaS5DOI")</f>
        <v>https://t.co/5BzmaS5DOI</v>
      </c>
      <c r="AX395" s="76" t="b">
        <v>0</v>
      </c>
      <c r="AY395" s="76"/>
      <c r="AZ395" s="76"/>
      <c r="BA395" s="76" t="b">
        <v>1</v>
      </c>
      <c r="BB395" s="76" t="b">
        <v>0</v>
      </c>
      <c r="BC395" s="76" t="b">
        <v>0</v>
      </c>
      <c r="BD395" s="76" t="b">
        <v>0</v>
      </c>
      <c r="BE395" s="76" t="b">
        <v>1</v>
      </c>
      <c r="BF395" s="76" t="b">
        <v>0</v>
      </c>
      <c r="BG395" s="76" t="b">
        <v>0</v>
      </c>
      <c r="BH395" s="83" t="str">
        <f>HYPERLINK("https://pbs.twimg.com/profile_banners/86575669/1588733880")</f>
        <v>https://pbs.twimg.com/profile_banners/86575669/1588733880</v>
      </c>
      <c r="BI395" s="76"/>
      <c r="BJ395" s="76" t="s">
        <v>24935</v>
      </c>
      <c r="BK395" s="76" t="b">
        <v>0</v>
      </c>
      <c r="BL395" s="76"/>
      <c r="BM395" s="76" t="s">
        <v>66</v>
      </c>
      <c r="BN395" s="76" t="s">
        <v>24937</v>
      </c>
      <c r="BO395" s="83" t="str">
        <f>HYPERLINK("https://twitter.com/karemdias")</f>
        <v>https://twitter.com/karemdias</v>
      </c>
      <c r="BP395" s="2"/>
    </row>
    <row r="396" spans="1:68" x14ac:dyDescent="0.25">
      <c r="A396" s="62" t="s">
        <v>1256</v>
      </c>
      <c r="B396" s="63"/>
      <c r="C396" s="63"/>
      <c r="D396" s="64"/>
      <c r="E396" s="66"/>
      <c r="F396" s="102" t="str">
        <f>HYPERLINK("https://pbs.twimg.com/profile_images/1649603037294387200/12IzmxQ4_normal.jpg")</f>
        <v>https://pbs.twimg.com/profile_images/1649603037294387200/12IzmxQ4_normal.jpg</v>
      </c>
      <c r="G396" s="63"/>
      <c r="H396" s="67"/>
      <c r="I396" s="68"/>
      <c r="J396" s="68"/>
      <c r="K396" s="67" t="s">
        <v>25330</v>
      </c>
      <c r="L396" s="71"/>
      <c r="M396" s="72"/>
      <c r="N396" s="72"/>
      <c r="O396" s="73"/>
      <c r="P396" s="74"/>
      <c r="Q396" s="74"/>
      <c r="R396" s="86"/>
      <c r="S396" s="86"/>
      <c r="T396" s="86"/>
      <c r="U396" s="86"/>
      <c r="V396" s="48"/>
      <c r="W396" s="48"/>
      <c r="X396" s="48"/>
      <c r="Y396" s="48"/>
      <c r="Z396" s="47"/>
      <c r="AA396" s="69">
        <v>396</v>
      </c>
      <c r="AB396" s="69"/>
      <c r="AC396" s="70"/>
      <c r="AD396" s="76" t="s">
        <v>22201</v>
      </c>
      <c r="AE396" s="81" t="s">
        <v>22938</v>
      </c>
      <c r="AF396" s="76">
        <v>912</v>
      </c>
      <c r="AG396" s="76">
        <v>766</v>
      </c>
      <c r="AH396" s="76">
        <v>2712</v>
      </c>
      <c r="AI396" s="76">
        <v>0</v>
      </c>
      <c r="AJ396" s="76">
        <v>4486</v>
      </c>
      <c r="AK396" s="76">
        <v>82</v>
      </c>
      <c r="AL396" s="76" t="b">
        <v>0</v>
      </c>
      <c r="AM396" s="78">
        <v>44994.580127314817</v>
      </c>
      <c r="AN396" s="76" t="s">
        <v>23186</v>
      </c>
      <c r="AO396" s="76" t="s">
        <v>23683</v>
      </c>
      <c r="AP396" s="76"/>
      <c r="AQ396" s="76"/>
      <c r="AR396" s="76"/>
      <c r="AS396" s="76"/>
      <c r="AT396" s="76"/>
      <c r="AU396" s="76"/>
      <c r="AV396" s="76"/>
      <c r="AW396" s="76"/>
      <c r="AX396" s="76" t="b">
        <v>1</v>
      </c>
      <c r="AY396" s="76"/>
      <c r="AZ396" s="76"/>
      <c r="BA396" s="76" t="b">
        <v>0</v>
      </c>
      <c r="BB396" s="76" t="b">
        <v>0</v>
      </c>
      <c r="BC396" s="76" t="b">
        <v>1</v>
      </c>
      <c r="BD396" s="76" t="b">
        <v>0</v>
      </c>
      <c r="BE396" s="76" t="b">
        <v>0</v>
      </c>
      <c r="BF396" s="76" t="b">
        <v>0</v>
      </c>
      <c r="BG396" s="76" t="b">
        <v>1</v>
      </c>
      <c r="BH396" s="83" t="str">
        <f>HYPERLINK("https://pbs.twimg.com/profile_banners/1633828706807582722/1682131419")</f>
        <v>https://pbs.twimg.com/profile_banners/1633828706807582722/1682131419</v>
      </c>
      <c r="BI396" s="76"/>
      <c r="BJ396" s="76" t="s">
        <v>24935</v>
      </c>
      <c r="BK396" s="76" t="b">
        <v>0</v>
      </c>
      <c r="BL396" s="76"/>
      <c r="BM396" s="76" t="s">
        <v>65</v>
      </c>
      <c r="BN396" s="76" t="s">
        <v>24937</v>
      </c>
      <c r="BO396" s="83" t="str">
        <f>HYPERLINK("https://twitter.com/mariesteine2022")</f>
        <v>https://twitter.com/mariesteine2022</v>
      </c>
      <c r="BP396" s="2"/>
    </row>
    <row r="397" spans="1:68" x14ac:dyDescent="0.25">
      <c r="A397" s="62" t="s">
        <v>1257</v>
      </c>
      <c r="B397" s="63"/>
      <c r="C397" s="63"/>
      <c r="D397" s="64"/>
      <c r="E397" s="66"/>
      <c r="F397" s="102" t="str">
        <f>HYPERLINK("https://pbs.twimg.com/profile_images/1686972063259455488/8u5y73LQ_normal.jpg")</f>
        <v>https://pbs.twimg.com/profile_images/1686972063259455488/8u5y73LQ_normal.jpg</v>
      </c>
      <c r="G397" s="63"/>
      <c r="H397" s="67"/>
      <c r="I397" s="68"/>
      <c r="J397" s="68"/>
      <c r="K397" s="67" t="s">
        <v>25331</v>
      </c>
      <c r="L397" s="71"/>
      <c r="M397" s="72"/>
      <c r="N397" s="72"/>
      <c r="O397" s="73"/>
      <c r="P397" s="74"/>
      <c r="Q397" s="74"/>
      <c r="R397" s="86"/>
      <c r="S397" s="86"/>
      <c r="T397" s="86"/>
      <c r="U397" s="86"/>
      <c r="V397" s="48"/>
      <c r="W397" s="48"/>
      <c r="X397" s="48"/>
      <c r="Y397" s="48"/>
      <c r="Z397" s="47"/>
      <c r="AA397" s="69">
        <v>397</v>
      </c>
      <c r="AB397" s="69"/>
      <c r="AC397" s="70"/>
      <c r="AD397" s="76" t="s">
        <v>22202</v>
      </c>
      <c r="AE397" s="81" t="s">
        <v>20927</v>
      </c>
      <c r="AF397" s="76">
        <v>758</v>
      </c>
      <c r="AG397" s="76">
        <v>1310</v>
      </c>
      <c r="AH397" s="76">
        <v>25557</v>
      </c>
      <c r="AI397" s="76">
        <v>2</v>
      </c>
      <c r="AJ397" s="76">
        <v>30288</v>
      </c>
      <c r="AK397" s="76">
        <v>2939</v>
      </c>
      <c r="AL397" s="76" t="b">
        <v>0</v>
      </c>
      <c r="AM397" s="78">
        <v>44341.212847222225</v>
      </c>
      <c r="AN397" s="76" t="s">
        <v>23187</v>
      </c>
      <c r="AO397" s="76" t="s">
        <v>23684</v>
      </c>
      <c r="AP397" s="76"/>
      <c r="AQ397" s="76"/>
      <c r="AR397" s="76"/>
      <c r="AS397" s="76"/>
      <c r="AT397" s="76"/>
      <c r="AU397" s="76"/>
      <c r="AV397" s="76"/>
      <c r="AW397" s="76"/>
      <c r="AX397" s="76" t="b">
        <v>0</v>
      </c>
      <c r="AY397" s="76"/>
      <c r="AZ397" s="76"/>
      <c r="BA397" s="76" t="b">
        <v>1</v>
      </c>
      <c r="BB397" s="76" t="b">
        <v>0</v>
      </c>
      <c r="BC397" s="76" t="b">
        <v>1</v>
      </c>
      <c r="BD397" s="76" t="b">
        <v>0</v>
      </c>
      <c r="BE397" s="76" t="b">
        <v>1</v>
      </c>
      <c r="BF397" s="76" t="b">
        <v>0</v>
      </c>
      <c r="BG397" s="76" t="b">
        <v>1</v>
      </c>
      <c r="BH397" s="83" t="str">
        <f>HYPERLINK("https://pbs.twimg.com/profile_banners/1397056359695257601/1695627628")</f>
        <v>https://pbs.twimg.com/profile_banners/1397056359695257601/1695627628</v>
      </c>
      <c r="BI397" s="76"/>
      <c r="BJ397" s="76" t="s">
        <v>24935</v>
      </c>
      <c r="BK397" s="76" t="b">
        <v>0</v>
      </c>
      <c r="BL397" s="76"/>
      <c r="BM397" s="76" t="s">
        <v>65</v>
      </c>
      <c r="BN397" s="76" t="s">
        <v>24937</v>
      </c>
      <c r="BO397" s="83" t="str">
        <f>HYPERLINK("https://twitter.com/adelaidededs")</f>
        <v>https://twitter.com/adelaidededs</v>
      </c>
      <c r="BP397" s="2"/>
    </row>
    <row r="398" spans="1:68" x14ac:dyDescent="0.25">
      <c r="A398" s="62" t="s">
        <v>599</v>
      </c>
      <c r="B398" s="63"/>
      <c r="C398" s="63"/>
      <c r="D398" s="64"/>
      <c r="E398" s="66"/>
      <c r="F398" s="102" t="str">
        <f>HYPERLINK("https://pbs.twimg.com/profile_images/1347663402378919936/miCuonbT_normal.jpg")</f>
        <v>https://pbs.twimg.com/profile_images/1347663402378919936/miCuonbT_normal.jpg</v>
      </c>
      <c r="G398" s="63"/>
      <c r="H398" s="67"/>
      <c r="I398" s="68"/>
      <c r="J398" s="68"/>
      <c r="K398" s="67" t="s">
        <v>25332</v>
      </c>
      <c r="L398" s="71"/>
      <c r="M398" s="72"/>
      <c r="N398" s="72"/>
      <c r="O398" s="73"/>
      <c r="P398" s="74"/>
      <c r="Q398" s="74"/>
      <c r="R398" s="86"/>
      <c r="S398" s="86"/>
      <c r="T398" s="86"/>
      <c r="U398" s="86"/>
      <c r="V398" s="48"/>
      <c r="W398" s="48"/>
      <c r="X398" s="48"/>
      <c r="Y398" s="48"/>
      <c r="Z398" s="47"/>
      <c r="AA398" s="69">
        <v>398</v>
      </c>
      <c r="AB398" s="69"/>
      <c r="AC398" s="70"/>
      <c r="AD398" s="76" t="s">
        <v>22203</v>
      </c>
      <c r="AE398" s="81" t="s">
        <v>22939</v>
      </c>
      <c r="AF398" s="76">
        <v>35</v>
      </c>
      <c r="AG398" s="76">
        <v>132</v>
      </c>
      <c r="AH398" s="76">
        <v>3009</v>
      </c>
      <c r="AI398" s="76">
        <v>0</v>
      </c>
      <c r="AJ398" s="76">
        <v>41</v>
      </c>
      <c r="AK398" s="76">
        <v>226</v>
      </c>
      <c r="AL398" s="76" t="b">
        <v>0</v>
      </c>
      <c r="AM398" s="78">
        <v>41634.49496527778</v>
      </c>
      <c r="AN398" s="76" t="s">
        <v>14041</v>
      </c>
      <c r="AO398" s="76" t="s">
        <v>23685</v>
      </c>
      <c r="AP398" s="83" t="str">
        <f>HYPERLINK("https://t.co/NsxvhkrS1a")</f>
        <v>https://t.co/NsxvhkrS1a</v>
      </c>
      <c r="AQ398" s="83" t="str">
        <f>HYPERLINK("http://www.valdilenegabriela.com")</f>
        <v>http://www.valdilenegabriela.com</v>
      </c>
      <c r="AR398" s="76" t="s">
        <v>24469</v>
      </c>
      <c r="AS398" s="76"/>
      <c r="AT398" s="76"/>
      <c r="AU398" s="76"/>
      <c r="AV398" s="76"/>
      <c r="AW398" s="83" t="str">
        <f>HYPERLINK("https://t.co/NsxvhkrS1a")</f>
        <v>https://t.co/NsxvhkrS1a</v>
      </c>
      <c r="AX398" s="76" t="b">
        <v>0</v>
      </c>
      <c r="AY398" s="76"/>
      <c r="AZ398" s="76"/>
      <c r="BA398" s="76" t="b">
        <v>0</v>
      </c>
      <c r="BB398" s="76" t="b">
        <v>1</v>
      </c>
      <c r="BC398" s="76" t="b">
        <v>0</v>
      </c>
      <c r="BD398" s="76" t="b">
        <v>0</v>
      </c>
      <c r="BE398" s="76" t="b">
        <v>0</v>
      </c>
      <c r="BF398" s="76" t="b">
        <v>0</v>
      </c>
      <c r="BG398" s="76" t="b">
        <v>0</v>
      </c>
      <c r="BH398" s="83" t="str">
        <f>HYPERLINK("https://pbs.twimg.com/profile_banners/2244665997/1548509949")</f>
        <v>https://pbs.twimg.com/profile_banners/2244665997/1548509949</v>
      </c>
      <c r="BI398" s="76"/>
      <c r="BJ398" s="76" t="s">
        <v>24936</v>
      </c>
      <c r="BK398" s="76" t="b">
        <v>0</v>
      </c>
      <c r="BL398" s="76"/>
      <c r="BM398" s="76" t="s">
        <v>66</v>
      </c>
      <c r="BN398" s="76" t="s">
        <v>24937</v>
      </c>
      <c r="BO398" s="83" t="str">
        <f>HYPERLINK("https://twitter.com/valdilene_psic")</f>
        <v>https://twitter.com/valdilene_psic</v>
      </c>
      <c r="BP398" s="2"/>
    </row>
    <row r="399" spans="1:68" x14ac:dyDescent="0.25">
      <c r="A399" s="62" t="s">
        <v>600</v>
      </c>
      <c r="B399" s="63"/>
      <c r="C399" s="63"/>
      <c r="D399" s="64"/>
      <c r="E399" s="66"/>
      <c r="F399" s="102" t="str">
        <f>HYPERLINK("https://pbs.twimg.com/profile_images/1596097581339271168/yV8Owa12_normal.jpg")</f>
        <v>https://pbs.twimg.com/profile_images/1596097581339271168/yV8Owa12_normal.jpg</v>
      </c>
      <c r="G399" s="63"/>
      <c r="H399" s="67"/>
      <c r="I399" s="68"/>
      <c r="J399" s="68"/>
      <c r="K399" s="67" t="s">
        <v>25333</v>
      </c>
      <c r="L399" s="71"/>
      <c r="M399" s="72"/>
      <c r="N399" s="72"/>
      <c r="O399" s="73"/>
      <c r="P399" s="74"/>
      <c r="Q399" s="74"/>
      <c r="R399" s="86"/>
      <c r="S399" s="86"/>
      <c r="T399" s="86"/>
      <c r="U399" s="86"/>
      <c r="V399" s="48"/>
      <c r="W399" s="48"/>
      <c r="X399" s="48"/>
      <c r="Y399" s="48"/>
      <c r="Z399" s="47"/>
      <c r="AA399" s="69">
        <v>399</v>
      </c>
      <c r="AB399" s="69"/>
      <c r="AC399" s="70"/>
      <c r="AD399" s="76" t="s">
        <v>22204</v>
      </c>
      <c r="AE399" s="81" t="s">
        <v>21291</v>
      </c>
      <c r="AF399" s="76">
        <v>1</v>
      </c>
      <c r="AG399" s="76">
        <v>5</v>
      </c>
      <c r="AH399" s="76">
        <v>21</v>
      </c>
      <c r="AI399" s="76">
        <v>0</v>
      </c>
      <c r="AJ399" s="76">
        <v>4</v>
      </c>
      <c r="AK399" s="76">
        <v>0</v>
      </c>
      <c r="AL399" s="76" t="b">
        <v>0</v>
      </c>
      <c r="AM399" s="78">
        <v>44890.455312500002</v>
      </c>
      <c r="AN399" s="76" t="s">
        <v>23188</v>
      </c>
      <c r="AO399" s="76" t="s">
        <v>23686</v>
      </c>
      <c r="AP399" s="76"/>
      <c r="AQ399" s="76"/>
      <c r="AR399" s="76"/>
      <c r="AS399" s="76"/>
      <c r="AT399" s="76"/>
      <c r="AU399" s="76"/>
      <c r="AV399" s="76"/>
      <c r="AW399" s="76"/>
      <c r="AX399" s="76" t="b">
        <v>0</v>
      </c>
      <c r="AY399" s="76"/>
      <c r="AZ399" s="76"/>
      <c r="BA399" s="76" t="b">
        <v>0</v>
      </c>
      <c r="BB399" s="76" t="b">
        <v>1</v>
      </c>
      <c r="BC399" s="76" t="b">
        <v>1</v>
      </c>
      <c r="BD399" s="76" t="b">
        <v>0</v>
      </c>
      <c r="BE399" s="76" t="b">
        <v>0</v>
      </c>
      <c r="BF399" s="76" t="b">
        <v>0</v>
      </c>
      <c r="BG399" s="76" t="b">
        <v>0</v>
      </c>
      <c r="BH399" s="83" t="str">
        <f>HYPERLINK("https://pbs.twimg.com/profile_banners/1596095089708863488/1669374315")</f>
        <v>https://pbs.twimg.com/profile_banners/1596095089708863488/1669374315</v>
      </c>
      <c r="BI399" s="76"/>
      <c r="BJ399" s="76" t="s">
        <v>24935</v>
      </c>
      <c r="BK399" s="76" t="b">
        <v>0</v>
      </c>
      <c r="BL399" s="76"/>
      <c r="BM399" s="76" t="s">
        <v>66</v>
      </c>
      <c r="BN399" s="76" t="s">
        <v>24937</v>
      </c>
      <c r="BO399" s="83" t="str">
        <f>HYPERLINK("https://twitter.com/amandheihen13")</f>
        <v>https://twitter.com/amandheihen13</v>
      </c>
      <c r="BP399" s="2"/>
    </row>
    <row r="400" spans="1:68" x14ac:dyDescent="0.25">
      <c r="A400" s="62" t="s">
        <v>601</v>
      </c>
      <c r="B400" s="63"/>
      <c r="C400" s="63"/>
      <c r="D400" s="64"/>
      <c r="E400" s="66"/>
      <c r="F400" s="102" t="str">
        <f>HYPERLINK("https://pbs.twimg.com/profile_images/1601954365572612098/VE7xhfq0_normal.jpg")</f>
        <v>https://pbs.twimg.com/profile_images/1601954365572612098/VE7xhfq0_normal.jpg</v>
      </c>
      <c r="G400" s="63"/>
      <c r="H400" s="67"/>
      <c r="I400" s="68"/>
      <c r="J400" s="68"/>
      <c r="K400" s="67" t="s">
        <v>25334</v>
      </c>
      <c r="L400" s="71"/>
      <c r="M400" s="72"/>
      <c r="N400" s="72"/>
      <c r="O400" s="73"/>
      <c r="P400" s="74"/>
      <c r="Q400" s="74"/>
      <c r="R400" s="86"/>
      <c r="S400" s="86"/>
      <c r="T400" s="86"/>
      <c r="U400" s="86"/>
      <c r="V400" s="48"/>
      <c r="W400" s="48"/>
      <c r="X400" s="48"/>
      <c r="Y400" s="48"/>
      <c r="Z400" s="47"/>
      <c r="AA400" s="69">
        <v>400</v>
      </c>
      <c r="AB400" s="69"/>
      <c r="AC400" s="70"/>
      <c r="AD400" s="76" t="s">
        <v>22205</v>
      </c>
      <c r="AE400" s="81" t="s">
        <v>21292</v>
      </c>
      <c r="AF400" s="76">
        <v>3439</v>
      </c>
      <c r="AG400" s="76">
        <v>2438</v>
      </c>
      <c r="AH400" s="76">
        <v>12002</v>
      </c>
      <c r="AI400" s="76">
        <v>1</v>
      </c>
      <c r="AJ400" s="76">
        <v>213689</v>
      </c>
      <c r="AK400" s="76">
        <v>614</v>
      </c>
      <c r="AL400" s="76" t="b">
        <v>0</v>
      </c>
      <c r="AM400" s="78">
        <v>44119.869166666664</v>
      </c>
      <c r="AN400" s="76"/>
      <c r="AO400" s="76" t="s">
        <v>23687</v>
      </c>
      <c r="AP400" s="76"/>
      <c r="AQ400" s="76"/>
      <c r="AR400" s="76"/>
      <c r="AS400" s="76"/>
      <c r="AT400" s="76"/>
      <c r="AU400" s="76"/>
      <c r="AV400" s="76">
        <v>1.31838955708003E+18</v>
      </c>
      <c r="AW400" s="76"/>
      <c r="AX400" s="76" t="b">
        <v>0</v>
      </c>
      <c r="AY400" s="76"/>
      <c r="AZ400" s="76"/>
      <c r="BA400" s="76" t="b">
        <v>1</v>
      </c>
      <c r="BB400" s="76" t="b">
        <v>1</v>
      </c>
      <c r="BC400" s="76" t="b">
        <v>1</v>
      </c>
      <c r="BD400" s="76" t="b">
        <v>0</v>
      </c>
      <c r="BE400" s="76" t="b">
        <v>1</v>
      </c>
      <c r="BF400" s="76" t="b">
        <v>0</v>
      </c>
      <c r="BG400" s="76" t="b">
        <v>0</v>
      </c>
      <c r="BH400" s="83" t="str">
        <f>HYPERLINK("https://pbs.twimg.com/profile_banners/1316841699164000257/1688774456")</f>
        <v>https://pbs.twimg.com/profile_banners/1316841699164000257/1688774456</v>
      </c>
      <c r="BI400" s="76"/>
      <c r="BJ400" s="76" t="s">
        <v>24935</v>
      </c>
      <c r="BK400" s="76" t="b">
        <v>0</v>
      </c>
      <c r="BL400" s="76"/>
      <c r="BM400" s="76" t="s">
        <v>66</v>
      </c>
      <c r="BN400" s="76" t="s">
        <v>24937</v>
      </c>
      <c r="BO400" s="83" t="str">
        <f>HYPERLINK("https://twitter.com/cruchseu_")</f>
        <v>https://twitter.com/cruchseu_</v>
      </c>
      <c r="BP400" s="2"/>
    </row>
    <row r="401" spans="1:68" x14ac:dyDescent="0.25">
      <c r="A401" s="62" t="s">
        <v>602</v>
      </c>
      <c r="B401" s="63"/>
      <c r="C401" s="63"/>
      <c r="D401" s="64"/>
      <c r="E401" s="66"/>
      <c r="F401" s="102" t="str">
        <f>HYPERLINK("https://pbs.twimg.com/profile_images/1666412842994499585/qy5tFaXz_normal.png")</f>
        <v>https://pbs.twimg.com/profile_images/1666412842994499585/qy5tFaXz_normal.png</v>
      </c>
      <c r="G401" s="63"/>
      <c r="H401" s="67"/>
      <c r="I401" s="68"/>
      <c r="J401" s="68"/>
      <c r="K401" s="67" t="s">
        <v>25335</v>
      </c>
      <c r="L401" s="71"/>
      <c r="M401" s="72"/>
      <c r="N401" s="72"/>
      <c r="O401" s="73"/>
      <c r="P401" s="74"/>
      <c r="Q401" s="74"/>
      <c r="R401" s="86"/>
      <c r="S401" s="86"/>
      <c r="T401" s="86"/>
      <c r="U401" s="86"/>
      <c r="V401" s="48"/>
      <c r="W401" s="48"/>
      <c r="X401" s="48"/>
      <c r="Y401" s="48"/>
      <c r="Z401" s="47"/>
      <c r="AA401" s="69">
        <v>401</v>
      </c>
      <c r="AB401" s="69"/>
      <c r="AC401" s="70"/>
      <c r="AD401" s="76" t="s">
        <v>22206</v>
      </c>
      <c r="AE401" s="81" t="s">
        <v>21293</v>
      </c>
      <c r="AF401" s="76">
        <v>0</v>
      </c>
      <c r="AG401" s="76">
        <v>34</v>
      </c>
      <c r="AH401" s="76">
        <v>10</v>
      </c>
      <c r="AI401" s="76">
        <v>0</v>
      </c>
      <c r="AJ401" s="76">
        <v>1</v>
      </c>
      <c r="AK401" s="76">
        <v>0</v>
      </c>
      <c r="AL401" s="76" t="b">
        <v>0</v>
      </c>
      <c r="AM401" s="78">
        <v>45084.49486111111</v>
      </c>
      <c r="AN401" s="76"/>
      <c r="AO401" s="76"/>
      <c r="AP401" s="76"/>
      <c r="AQ401" s="76"/>
      <c r="AR401" s="76"/>
      <c r="AS401" s="76"/>
      <c r="AT401" s="76"/>
      <c r="AU401" s="76"/>
      <c r="AV401" s="76"/>
      <c r="AW401" s="76"/>
      <c r="AX401" s="76" t="b">
        <v>0</v>
      </c>
      <c r="AY401" s="76"/>
      <c r="AZ401" s="76"/>
      <c r="BA401" s="76" t="b">
        <v>0</v>
      </c>
      <c r="BB401" s="76" t="b">
        <v>1</v>
      </c>
      <c r="BC401" s="76" t="b">
        <v>1</v>
      </c>
      <c r="BD401" s="76" t="b">
        <v>0</v>
      </c>
      <c r="BE401" s="76" t="b">
        <v>0</v>
      </c>
      <c r="BF401" s="76" t="b">
        <v>0</v>
      </c>
      <c r="BG401" s="76" t="b">
        <v>0</v>
      </c>
      <c r="BH401" s="76"/>
      <c r="BI401" s="76"/>
      <c r="BJ401" s="76" t="s">
        <v>24935</v>
      </c>
      <c r="BK401" s="76" t="b">
        <v>0</v>
      </c>
      <c r="BL401" s="76"/>
      <c r="BM401" s="76" t="s">
        <v>66</v>
      </c>
      <c r="BN401" s="76" t="s">
        <v>24937</v>
      </c>
      <c r="BO401" s="83" t="str">
        <f>HYPERLINK("https://twitter.com/tailinemariav")</f>
        <v>https://twitter.com/tailinemariav</v>
      </c>
      <c r="BP401" s="2"/>
    </row>
    <row r="402" spans="1:68" x14ac:dyDescent="0.25">
      <c r="A402" s="62" t="s">
        <v>603</v>
      </c>
      <c r="B402" s="63"/>
      <c r="C402" s="63"/>
      <c r="D402" s="64"/>
      <c r="E402" s="66"/>
      <c r="F402" s="102" t="str">
        <f>HYPERLINK("https://pbs.twimg.com/profile_images/1681890488322850818/32Yogjnr_normal.jpg")</f>
        <v>https://pbs.twimg.com/profile_images/1681890488322850818/32Yogjnr_normal.jpg</v>
      </c>
      <c r="G402" s="63"/>
      <c r="H402" s="67"/>
      <c r="I402" s="68"/>
      <c r="J402" s="68"/>
      <c r="K402" s="67" t="s">
        <v>25336</v>
      </c>
      <c r="L402" s="71"/>
      <c r="M402" s="72"/>
      <c r="N402" s="72"/>
      <c r="O402" s="73"/>
      <c r="P402" s="74"/>
      <c r="Q402" s="74"/>
      <c r="R402" s="86"/>
      <c r="S402" s="86"/>
      <c r="T402" s="86"/>
      <c r="U402" s="86"/>
      <c r="V402" s="48"/>
      <c r="W402" s="48"/>
      <c r="X402" s="48"/>
      <c r="Y402" s="48"/>
      <c r="Z402" s="47"/>
      <c r="AA402" s="69">
        <v>402</v>
      </c>
      <c r="AB402" s="69"/>
      <c r="AC402" s="70"/>
      <c r="AD402" s="76" t="s">
        <v>22207</v>
      </c>
      <c r="AE402" s="81" t="s">
        <v>21294</v>
      </c>
      <c r="AF402" s="76">
        <v>0</v>
      </c>
      <c r="AG402" s="76">
        <v>1</v>
      </c>
      <c r="AH402" s="76">
        <v>18</v>
      </c>
      <c r="AI402" s="76">
        <v>0</v>
      </c>
      <c r="AJ402" s="76">
        <v>0</v>
      </c>
      <c r="AK402" s="76">
        <v>18</v>
      </c>
      <c r="AL402" s="76" t="b">
        <v>0</v>
      </c>
      <c r="AM402" s="78">
        <v>45124.957789351851</v>
      </c>
      <c r="AN402" s="76" t="s">
        <v>23189</v>
      </c>
      <c r="AO402" s="76" t="s">
        <v>23688</v>
      </c>
      <c r="AP402" s="76"/>
      <c r="AQ402" s="76"/>
      <c r="AR402" s="76"/>
      <c r="AS402" s="83" t="str">
        <f>HYPERLINK("https://t.co/ngzFQZdROk")</f>
        <v>https://t.co/ngzFQZdROk</v>
      </c>
      <c r="AT402" s="83" t="str">
        <f>HYPERLINK("http://pay.kiwify.com.br/NQlOapM")</f>
        <v>http://pay.kiwify.com.br/NQlOapM</v>
      </c>
      <c r="AU402" s="76" t="s">
        <v>24878</v>
      </c>
      <c r="AV402" s="76"/>
      <c r="AW402" s="76"/>
      <c r="AX402" s="76" t="b">
        <v>0</v>
      </c>
      <c r="AY402" s="76"/>
      <c r="AZ402" s="76"/>
      <c r="BA402" s="76" t="b">
        <v>0</v>
      </c>
      <c r="BB402" s="76" t="b">
        <v>1</v>
      </c>
      <c r="BC402" s="76" t="b">
        <v>1</v>
      </c>
      <c r="BD402" s="76" t="b">
        <v>0</v>
      </c>
      <c r="BE402" s="76" t="b">
        <v>0</v>
      </c>
      <c r="BF402" s="76" t="b">
        <v>0</v>
      </c>
      <c r="BG402" s="76" t="b">
        <v>0</v>
      </c>
      <c r="BH402" s="83" t="str">
        <f>HYPERLINK("https://pbs.twimg.com/profile_banners/1681076068197752832/1689828977")</f>
        <v>https://pbs.twimg.com/profile_banners/1681076068197752832/1689828977</v>
      </c>
      <c r="BI402" s="76"/>
      <c r="BJ402" s="76" t="s">
        <v>24935</v>
      </c>
      <c r="BK402" s="76" t="b">
        <v>0</v>
      </c>
      <c r="BL402" s="76"/>
      <c r="BM402" s="76" t="s">
        <v>66</v>
      </c>
      <c r="BN402" s="76" t="s">
        <v>24937</v>
      </c>
      <c r="BO402" s="83" t="str">
        <f>HYPERLINK("https://twitter.com/gustavod22980")</f>
        <v>https://twitter.com/gustavod22980</v>
      </c>
      <c r="BP402" s="2"/>
    </row>
    <row r="403" spans="1:68" x14ac:dyDescent="0.25">
      <c r="A403" s="62" t="s">
        <v>604</v>
      </c>
      <c r="B403" s="63"/>
      <c r="C403" s="63"/>
      <c r="D403" s="64"/>
      <c r="E403" s="66"/>
      <c r="F403" s="102" t="str">
        <f>HYPERLINK("https://pbs.twimg.com/profile_images/1644887391180562433/zKn-6JA6_normal.jpg")</f>
        <v>https://pbs.twimg.com/profile_images/1644887391180562433/zKn-6JA6_normal.jpg</v>
      </c>
      <c r="G403" s="63"/>
      <c r="H403" s="67"/>
      <c r="I403" s="68"/>
      <c r="J403" s="68"/>
      <c r="K403" s="67" t="s">
        <v>25337</v>
      </c>
      <c r="L403" s="71"/>
      <c r="M403" s="72"/>
      <c r="N403" s="72"/>
      <c r="O403" s="73"/>
      <c r="P403" s="74"/>
      <c r="Q403" s="74"/>
      <c r="R403" s="86"/>
      <c r="S403" s="86"/>
      <c r="T403" s="86"/>
      <c r="U403" s="86"/>
      <c r="V403" s="48"/>
      <c r="W403" s="48"/>
      <c r="X403" s="48"/>
      <c r="Y403" s="48"/>
      <c r="Z403" s="47"/>
      <c r="AA403" s="69">
        <v>403</v>
      </c>
      <c r="AB403" s="69"/>
      <c r="AC403" s="70"/>
      <c r="AD403" s="76" t="s">
        <v>22208</v>
      </c>
      <c r="AE403" s="81" t="s">
        <v>21295</v>
      </c>
      <c r="AF403" s="76">
        <v>8</v>
      </c>
      <c r="AG403" s="76">
        <v>77</v>
      </c>
      <c r="AH403" s="76">
        <v>132</v>
      </c>
      <c r="AI403" s="76">
        <v>0</v>
      </c>
      <c r="AJ403" s="76">
        <v>217</v>
      </c>
      <c r="AK403" s="76">
        <v>89</v>
      </c>
      <c r="AL403" s="76" t="b">
        <v>0</v>
      </c>
      <c r="AM403" s="78">
        <v>44677.07136574074</v>
      </c>
      <c r="AN403" s="76" t="s">
        <v>14059</v>
      </c>
      <c r="AO403" s="76" t="s">
        <v>23689</v>
      </c>
      <c r="AP403" s="83" t="str">
        <f>HYPERLINK("https://t.co/5QDnU6vXSy")</f>
        <v>https://t.co/5QDnU6vXSy</v>
      </c>
      <c r="AQ403" s="83" t="str">
        <f>HYPERLINK("http://pablodaempada.offstore.me")</f>
        <v>http://pablodaempada.offstore.me</v>
      </c>
      <c r="AR403" s="76" t="s">
        <v>24470</v>
      </c>
      <c r="AS403" s="76"/>
      <c r="AT403" s="76"/>
      <c r="AU403" s="76"/>
      <c r="AV403" s="76"/>
      <c r="AW403" s="83" t="str">
        <f>HYPERLINK("https://t.co/5QDnU6vXSy")</f>
        <v>https://t.co/5QDnU6vXSy</v>
      </c>
      <c r="AX403" s="76" t="b">
        <v>0</v>
      </c>
      <c r="AY403" s="76"/>
      <c r="AZ403" s="76"/>
      <c r="BA403" s="76" t="b">
        <v>0</v>
      </c>
      <c r="BB403" s="76" t="b">
        <v>1</v>
      </c>
      <c r="BC403" s="76" t="b">
        <v>1</v>
      </c>
      <c r="BD403" s="76" t="b">
        <v>0</v>
      </c>
      <c r="BE403" s="76" t="b">
        <v>0</v>
      </c>
      <c r="BF403" s="76" t="b">
        <v>0</v>
      </c>
      <c r="BG403" s="76" t="b">
        <v>0</v>
      </c>
      <c r="BH403" s="83" t="str">
        <f>HYPERLINK("https://pbs.twimg.com/profile_banners/1518767423083659266/1679573621")</f>
        <v>https://pbs.twimg.com/profile_banners/1518767423083659266/1679573621</v>
      </c>
      <c r="BI403" s="76"/>
      <c r="BJ403" s="76" t="s">
        <v>24935</v>
      </c>
      <c r="BK403" s="76" t="b">
        <v>0</v>
      </c>
      <c r="BL403" s="76"/>
      <c r="BM403" s="76" t="s">
        <v>66</v>
      </c>
      <c r="BN403" s="76" t="s">
        <v>24937</v>
      </c>
      <c r="BO403" s="83" t="str">
        <f>HYPERLINK("https://twitter.com/pablo_da_empada")</f>
        <v>https://twitter.com/pablo_da_empada</v>
      </c>
      <c r="BP403" s="2"/>
    </row>
    <row r="404" spans="1:68" x14ac:dyDescent="0.25">
      <c r="A404" s="62" t="s">
        <v>605</v>
      </c>
      <c r="B404" s="63"/>
      <c r="C404" s="63"/>
      <c r="D404" s="64"/>
      <c r="E404" s="66"/>
      <c r="F404" s="102" t="str">
        <f>HYPERLINK("https://pbs.twimg.com/profile_images/1702205733947801601/cFArCRnb_normal.jpg")</f>
        <v>https://pbs.twimg.com/profile_images/1702205733947801601/cFArCRnb_normal.jpg</v>
      </c>
      <c r="G404" s="63"/>
      <c r="H404" s="67"/>
      <c r="I404" s="68"/>
      <c r="J404" s="68"/>
      <c r="K404" s="67" t="s">
        <v>25338</v>
      </c>
      <c r="L404" s="71"/>
      <c r="M404" s="72"/>
      <c r="N404" s="72"/>
      <c r="O404" s="73"/>
      <c r="P404" s="74"/>
      <c r="Q404" s="74"/>
      <c r="R404" s="86"/>
      <c r="S404" s="86"/>
      <c r="T404" s="86"/>
      <c r="U404" s="86"/>
      <c r="V404" s="48"/>
      <c r="W404" s="48"/>
      <c r="X404" s="48"/>
      <c r="Y404" s="48"/>
      <c r="Z404" s="47"/>
      <c r="AA404" s="69">
        <v>404</v>
      </c>
      <c r="AB404" s="69"/>
      <c r="AC404" s="70"/>
      <c r="AD404" s="76" t="s">
        <v>22209</v>
      </c>
      <c r="AE404" s="81" t="s">
        <v>21296</v>
      </c>
      <c r="AF404" s="76">
        <v>0</v>
      </c>
      <c r="AG404" s="76">
        <v>15</v>
      </c>
      <c r="AH404" s="76">
        <v>57</v>
      </c>
      <c r="AI404" s="76">
        <v>0</v>
      </c>
      <c r="AJ404" s="76">
        <v>20</v>
      </c>
      <c r="AK404" s="76">
        <v>27</v>
      </c>
      <c r="AL404" s="76" t="b">
        <v>0</v>
      </c>
      <c r="AM404" s="78">
        <v>44505.050856481481</v>
      </c>
      <c r="AN404" s="76" t="s">
        <v>14033</v>
      </c>
      <c r="AO404" s="76" t="s">
        <v>23690</v>
      </c>
      <c r="AP404" s="83" t="str">
        <f>HYPERLINK("https://t.co/qJ1a7Enbnd")</f>
        <v>https://t.co/qJ1a7Enbnd</v>
      </c>
      <c r="AQ404" s="83" t="str">
        <f>HYPERLINK("https://linkfly.to/ProfissaoMoney")</f>
        <v>https://linkfly.to/ProfissaoMoney</v>
      </c>
      <c r="AR404" s="76" t="s">
        <v>24471</v>
      </c>
      <c r="AS404" s="76"/>
      <c r="AT404" s="76"/>
      <c r="AU404" s="76"/>
      <c r="AV404" s="76"/>
      <c r="AW404" s="83" t="str">
        <f>HYPERLINK("https://t.co/qJ1a7Enbnd")</f>
        <v>https://t.co/qJ1a7Enbnd</v>
      </c>
      <c r="AX404" s="76" t="b">
        <v>0</v>
      </c>
      <c r="AY404" s="76"/>
      <c r="AZ404" s="76"/>
      <c r="BA404" s="76" t="b">
        <v>1</v>
      </c>
      <c r="BB404" s="76" t="b">
        <v>1</v>
      </c>
      <c r="BC404" s="76" t="b">
        <v>1</v>
      </c>
      <c r="BD404" s="76" t="b">
        <v>0</v>
      </c>
      <c r="BE404" s="76" t="b">
        <v>0</v>
      </c>
      <c r="BF404" s="76" t="b">
        <v>0</v>
      </c>
      <c r="BG404" s="76" t="b">
        <v>0</v>
      </c>
      <c r="BH404" s="83" t="str">
        <f>HYPERLINK("https://pbs.twimg.com/profile_banners/1456429251536859145/1679326368")</f>
        <v>https://pbs.twimg.com/profile_banners/1456429251536859145/1679326368</v>
      </c>
      <c r="BI404" s="76"/>
      <c r="BJ404" s="76" t="s">
        <v>24935</v>
      </c>
      <c r="BK404" s="76" t="b">
        <v>0</v>
      </c>
      <c r="BL404" s="76"/>
      <c r="BM404" s="76" t="s">
        <v>66</v>
      </c>
      <c r="BN404" s="76" t="s">
        <v>24937</v>
      </c>
      <c r="BO404" s="83" t="str">
        <f>HYPERLINK("https://twitter.com/infinitgo")</f>
        <v>https://twitter.com/infinitgo</v>
      </c>
      <c r="BP404" s="2"/>
    </row>
    <row r="405" spans="1:68" x14ac:dyDescent="0.25">
      <c r="A405" s="62" t="s">
        <v>606</v>
      </c>
      <c r="B405" s="63"/>
      <c r="C405" s="63"/>
      <c r="D405" s="64"/>
      <c r="E405" s="66"/>
      <c r="F405" s="102" t="str">
        <f>HYPERLINK("https://pbs.twimg.com/profile_images/1429571961244508163/nz3d1-65_normal.jpg")</f>
        <v>https://pbs.twimg.com/profile_images/1429571961244508163/nz3d1-65_normal.jpg</v>
      </c>
      <c r="G405" s="63"/>
      <c r="H405" s="67"/>
      <c r="I405" s="68"/>
      <c r="J405" s="68"/>
      <c r="K405" s="67" t="s">
        <v>25339</v>
      </c>
      <c r="L405" s="71"/>
      <c r="M405" s="72"/>
      <c r="N405" s="72"/>
      <c r="O405" s="73"/>
      <c r="P405" s="74"/>
      <c r="Q405" s="74"/>
      <c r="R405" s="86"/>
      <c r="S405" s="86"/>
      <c r="T405" s="86"/>
      <c r="U405" s="86"/>
      <c r="V405" s="48"/>
      <c r="W405" s="48"/>
      <c r="X405" s="48"/>
      <c r="Y405" s="48"/>
      <c r="Z405" s="47"/>
      <c r="AA405" s="69">
        <v>405</v>
      </c>
      <c r="AB405" s="69"/>
      <c r="AC405" s="70"/>
      <c r="AD405" s="76" t="s">
        <v>22210</v>
      </c>
      <c r="AE405" s="81" t="s">
        <v>21297</v>
      </c>
      <c r="AF405" s="76">
        <v>235</v>
      </c>
      <c r="AG405" s="76">
        <v>181</v>
      </c>
      <c r="AH405" s="76">
        <v>3994</v>
      </c>
      <c r="AI405" s="76">
        <v>0</v>
      </c>
      <c r="AJ405" s="76">
        <v>12190</v>
      </c>
      <c r="AK405" s="76">
        <v>78</v>
      </c>
      <c r="AL405" s="76" t="b">
        <v>0</v>
      </c>
      <c r="AM405" s="78">
        <v>44262.719027777777</v>
      </c>
      <c r="AN405" s="76"/>
      <c r="AO405" s="76" t="s">
        <v>23691</v>
      </c>
      <c r="AP405" s="76"/>
      <c r="AQ405" s="76"/>
      <c r="AR405" s="76"/>
      <c r="AS405" s="76"/>
      <c r="AT405" s="76"/>
      <c r="AU405" s="76"/>
      <c r="AV405" s="76"/>
      <c r="AW405" s="76"/>
      <c r="AX405" s="76" t="b">
        <v>0</v>
      </c>
      <c r="AY405" s="76"/>
      <c r="AZ405" s="76"/>
      <c r="BA405" s="76" t="b">
        <v>0</v>
      </c>
      <c r="BB405" s="76" t="b">
        <v>1</v>
      </c>
      <c r="BC405" s="76" t="b">
        <v>1</v>
      </c>
      <c r="BD405" s="76" t="b">
        <v>0</v>
      </c>
      <c r="BE405" s="76" t="b">
        <v>0</v>
      </c>
      <c r="BF405" s="76" t="b">
        <v>0</v>
      </c>
      <c r="BG405" s="76" t="b">
        <v>0</v>
      </c>
      <c r="BH405" s="83" t="str">
        <f>HYPERLINK("https://pbs.twimg.com/profile_banners/1368611088485519368/1654882657")</f>
        <v>https://pbs.twimg.com/profile_banners/1368611088485519368/1654882657</v>
      </c>
      <c r="BI405" s="76"/>
      <c r="BJ405" s="76" t="s">
        <v>24935</v>
      </c>
      <c r="BK405" s="76" t="b">
        <v>0</v>
      </c>
      <c r="BL405" s="76"/>
      <c r="BM405" s="76" t="s">
        <v>66</v>
      </c>
      <c r="BN405" s="76" t="s">
        <v>24937</v>
      </c>
      <c r="BO405" s="83" t="str">
        <f>HYPERLINK("https://twitter.com/pandapinck")</f>
        <v>https://twitter.com/pandapinck</v>
      </c>
      <c r="BP405" s="2"/>
    </row>
    <row r="406" spans="1:68" x14ac:dyDescent="0.25">
      <c r="A406" s="62" t="s">
        <v>607</v>
      </c>
      <c r="B406" s="63"/>
      <c r="C406" s="63"/>
      <c r="D406" s="64"/>
      <c r="E406" s="66"/>
      <c r="F406" s="102" t="str">
        <f>HYPERLINK("https://pbs.twimg.com/profile_images/1620843740033056777/c6vE_QhG_normal.jpg")</f>
        <v>https://pbs.twimg.com/profile_images/1620843740033056777/c6vE_QhG_normal.jpg</v>
      </c>
      <c r="G406" s="63"/>
      <c r="H406" s="67"/>
      <c r="I406" s="68"/>
      <c r="J406" s="68"/>
      <c r="K406" s="67" t="s">
        <v>25340</v>
      </c>
      <c r="L406" s="71"/>
      <c r="M406" s="72"/>
      <c r="N406" s="72"/>
      <c r="O406" s="73"/>
      <c r="P406" s="74"/>
      <c r="Q406" s="74"/>
      <c r="R406" s="86"/>
      <c r="S406" s="86"/>
      <c r="T406" s="86"/>
      <c r="U406" s="86"/>
      <c r="V406" s="48"/>
      <c r="W406" s="48"/>
      <c r="X406" s="48"/>
      <c r="Y406" s="48"/>
      <c r="Z406" s="47"/>
      <c r="AA406" s="69">
        <v>406</v>
      </c>
      <c r="AB406" s="69"/>
      <c r="AC406" s="70"/>
      <c r="AD406" s="76" t="s">
        <v>22211</v>
      </c>
      <c r="AE406" s="81" t="s">
        <v>22940</v>
      </c>
      <c r="AF406" s="76">
        <v>96</v>
      </c>
      <c r="AG406" s="76">
        <v>1219</v>
      </c>
      <c r="AH406" s="76">
        <v>18282</v>
      </c>
      <c r="AI406" s="76">
        <v>0</v>
      </c>
      <c r="AJ406" s="76">
        <v>4346</v>
      </c>
      <c r="AK406" s="76">
        <v>1052</v>
      </c>
      <c r="AL406" s="76" t="b">
        <v>0</v>
      </c>
      <c r="AM406" s="78">
        <v>42346.009814814817</v>
      </c>
      <c r="AN406" s="76"/>
      <c r="AO406" s="76" t="s">
        <v>23692</v>
      </c>
      <c r="AP406" s="76"/>
      <c r="AQ406" s="76"/>
      <c r="AR406" s="76"/>
      <c r="AS406" s="76"/>
      <c r="AT406" s="76"/>
      <c r="AU406" s="76"/>
      <c r="AV406" s="76">
        <v>1.65125145830033E+18</v>
      </c>
      <c r="AW406" s="76"/>
      <c r="AX406" s="76" t="b">
        <v>0</v>
      </c>
      <c r="AY406" s="76"/>
      <c r="AZ406" s="76"/>
      <c r="BA406" s="76" t="b">
        <v>1</v>
      </c>
      <c r="BB406" s="76" t="b">
        <v>1</v>
      </c>
      <c r="BC406" s="76" t="b">
        <v>1</v>
      </c>
      <c r="BD406" s="76" t="b">
        <v>0</v>
      </c>
      <c r="BE406" s="76" t="b">
        <v>1</v>
      </c>
      <c r="BF406" s="76" t="b">
        <v>0</v>
      </c>
      <c r="BG406" s="76" t="b">
        <v>0</v>
      </c>
      <c r="BH406" s="83" t="str">
        <f>HYPERLINK("https://pbs.twimg.com/profile_banners/4410033855/1683743491")</f>
        <v>https://pbs.twimg.com/profile_banners/4410033855/1683743491</v>
      </c>
      <c r="BI406" s="76"/>
      <c r="BJ406" s="76" t="s">
        <v>24935</v>
      </c>
      <c r="BK406" s="76" t="b">
        <v>0</v>
      </c>
      <c r="BL406" s="76"/>
      <c r="BM406" s="76" t="s">
        <v>66</v>
      </c>
      <c r="BN406" s="76" t="s">
        <v>24937</v>
      </c>
      <c r="BO406" s="83" t="str">
        <f>HYPERLINK("https://twitter.com/valinotejoao")</f>
        <v>https://twitter.com/valinotejoao</v>
      </c>
      <c r="BP406" s="2"/>
    </row>
    <row r="407" spans="1:68" x14ac:dyDescent="0.25">
      <c r="A407" s="62" t="s">
        <v>1258</v>
      </c>
      <c r="B407" s="63"/>
      <c r="C407" s="63"/>
      <c r="D407" s="64"/>
      <c r="E407" s="66"/>
      <c r="F407" s="102" t="str">
        <f>HYPERLINK("https://pbs.twimg.com/profile_images/1700141675517980673/qr6othjL_normal.jpg")</f>
        <v>https://pbs.twimg.com/profile_images/1700141675517980673/qr6othjL_normal.jpg</v>
      </c>
      <c r="G407" s="63"/>
      <c r="H407" s="67"/>
      <c r="I407" s="68"/>
      <c r="J407" s="68"/>
      <c r="K407" s="67" t="s">
        <v>25341</v>
      </c>
      <c r="L407" s="71"/>
      <c r="M407" s="72"/>
      <c r="N407" s="72"/>
      <c r="O407" s="73"/>
      <c r="P407" s="74"/>
      <c r="Q407" s="74"/>
      <c r="R407" s="86"/>
      <c r="S407" s="86"/>
      <c r="T407" s="86"/>
      <c r="U407" s="86"/>
      <c r="V407" s="48"/>
      <c r="W407" s="48"/>
      <c r="X407" s="48"/>
      <c r="Y407" s="48"/>
      <c r="Z407" s="47"/>
      <c r="AA407" s="69">
        <v>407</v>
      </c>
      <c r="AB407" s="69"/>
      <c r="AC407" s="70"/>
      <c r="AD407" s="76" t="s">
        <v>22212</v>
      </c>
      <c r="AE407" s="81" t="s">
        <v>20928</v>
      </c>
      <c r="AF407" s="76">
        <v>862</v>
      </c>
      <c r="AG407" s="76">
        <v>0</v>
      </c>
      <c r="AH407" s="76">
        <v>8</v>
      </c>
      <c r="AI407" s="76">
        <v>2</v>
      </c>
      <c r="AJ407" s="76">
        <v>0</v>
      </c>
      <c r="AK407" s="76">
        <v>4</v>
      </c>
      <c r="AL407" s="76" t="b">
        <v>0</v>
      </c>
      <c r="AM407" s="78">
        <v>45047.1169212963</v>
      </c>
      <c r="AN407" s="76" t="s">
        <v>23190</v>
      </c>
      <c r="AO407" s="76" t="s">
        <v>23693</v>
      </c>
      <c r="AP407" s="76"/>
      <c r="AQ407" s="76"/>
      <c r="AR407" s="76"/>
      <c r="AS407" s="76"/>
      <c r="AT407" s="76"/>
      <c r="AU407" s="76"/>
      <c r="AV407" s="76"/>
      <c r="AW407" s="76"/>
      <c r="AX407" s="76" t="b">
        <v>0</v>
      </c>
      <c r="AY407" s="76"/>
      <c r="AZ407" s="76"/>
      <c r="BA407" s="76" t="b">
        <v>0</v>
      </c>
      <c r="BB407" s="76" t="b">
        <v>1</v>
      </c>
      <c r="BC407" s="76" t="b">
        <v>1</v>
      </c>
      <c r="BD407" s="76" t="b">
        <v>0</v>
      </c>
      <c r="BE407" s="76" t="b">
        <v>0</v>
      </c>
      <c r="BF407" s="76" t="b">
        <v>0</v>
      </c>
      <c r="BG407" s="76" t="b">
        <v>0</v>
      </c>
      <c r="BH407" s="76"/>
      <c r="BI407" s="76"/>
      <c r="BJ407" s="76" t="s">
        <v>24935</v>
      </c>
      <c r="BK407" s="76" t="b">
        <v>0</v>
      </c>
      <c r="BL407" s="76"/>
      <c r="BM407" s="76" t="s">
        <v>65</v>
      </c>
      <c r="BN407" s="76" t="s">
        <v>24937</v>
      </c>
      <c r="BO407" s="83" t="str">
        <f>HYPERLINK("https://twitter.com/ficoudegraca")</f>
        <v>https://twitter.com/ficoudegraca</v>
      </c>
      <c r="BP407" s="2"/>
    </row>
    <row r="408" spans="1:68" x14ac:dyDescent="0.25">
      <c r="A408" s="62" t="s">
        <v>1079</v>
      </c>
      <c r="B408" s="63"/>
      <c r="C408" s="63"/>
      <c r="D408" s="64"/>
      <c r="E408" s="66"/>
      <c r="F408" s="102" t="str">
        <f>HYPERLINK("https://pbs.twimg.com/profile_images/1537897355785097216/Fv6jCBf6_normal.jpg")</f>
        <v>https://pbs.twimg.com/profile_images/1537897355785097216/Fv6jCBf6_normal.jpg</v>
      </c>
      <c r="G408" s="63"/>
      <c r="H408" s="67"/>
      <c r="I408" s="68"/>
      <c r="J408" s="68"/>
      <c r="K408" s="67" t="s">
        <v>25342</v>
      </c>
      <c r="L408" s="71"/>
      <c r="M408" s="72"/>
      <c r="N408" s="72"/>
      <c r="O408" s="73"/>
      <c r="P408" s="74"/>
      <c r="Q408" s="74"/>
      <c r="R408" s="86"/>
      <c r="S408" s="86"/>
      <c r="T408" s="86"/>
      <c r="U408" s="86"/>
      <c r="V408" s="48"/>
      <c r="W408" s="48"/>
      <c r="X408" s="48"/>
      <c r="Y408" s="48"/>
      <c r="Z408" s="47"/>
      <c r="AA408" s="69">
        <v>408</v>
      </c>
      <c r="AB408" s="69"/>
      <c r="AC408" s="70"/>
      <c r="AD408" s="76" t="s">
        <v>22213</v>
      </c>
      <c r="AE408" s="81" t="s">
        <v>22941</v>
      </c>
      <c r="AF408" s="76">
        <v>152249</v>
      </c>
      <c r="AG408" s="76">
        <v>2760</v>
      </c>
      <c r="AH408" s="76">
        <v>68788</v>
      </c>
      <c r="AI408" s="76">
        <v>176</v>
      </c>
      <c r="AJ408" s="76">
        <v>98258</v>
      </c>
      <c r="AK408" s="76">
        <v>8039</v>
      </c>
      <c r="AL408" s="76" t="b">
        <v>0</v>
      </c>
      <c r="AM408" s="78">
        <v>40072.120196759257</v>
      </c>
      <c r="AN408" s="76"/>
      <c r="AO408" s="76" t="s">
        <v>23694</v>
      </c>
      <c r="AP408" s="83" t="str">
        <f>HYPERLINK("https://t.co/jecMkouoqB")</f>
        <v>https://t.co/jecMkouoqB</v>
      </c>
      <c r="AQ408" s="83" t="str">
        <f>HYPERLINK("https://www.instagram.com/haru_jiggly")</f>
        <v>https://www.instagram.com/haru_jiggly</v>
      </c>
      <c r="AR408" s="76" t="s">
        <v>24472</v>
      </c>
      <c r="AS408" s="76"/>
      <c r="AT408" s="76"/>
      <c r="AU408" s="76"/>
      <c r="AV408" s="76">
        <v>5.4724442404107802E+17</v>
      </c>
      <c r="AW408" s="83" t="str">
        <f>HYPERLINK("https://t.co/jecMkouoqB")</f>
        <v>https://t.co/jecMkouoqB</v>
      </c>
      <c r="AX408" s="76" t="b">
        <v>0</v>
      </c>
      <c r="AY408" s="76"/>
      <c r="AZ408" s="76"/>
      <c r="BA408" s="76" t="b">
        <v>0</v>
      </c>
      <c r="BB408" s="76" t="b">
        <v>0</v>
      </c>
      <c r="BC408" s="76" t="b">
        <v>0</v>
      </c>
      <c r="BD408" s="76" t="b">
        <v>0</v>
      </c>
      <c r="BE408" s="76" t="b">
        <v>1</v>
      </c>
      <c r="BF408" s="76" t="b">
        <v>0</v>
      </c>
      <c r="BG408" s="76" t="b">
        <v>0</v>
      </c>
      <c r="BH408" s="83" t="str">
        <f>HYPERLINK("https://pbs.twimg.com/profile_banners/74634966/1647816484")</f>
        <v>https://pbs.twimg.com/profile_banners/74634966/1647816484</v>
      </c>
      <c r="BI408" s="76"/>
      <c r="BJ408" s="76" t="s">
        <v>24935</v>
      </c>
      <c r="BK408" s="76" t="b">
        <v>0</v>
      </c>
      <c r="BL408" s="76"/>
      <c r="BM408" s="76" t="s">
        <v>66</v>
      </c>
      <c r="BN408" s="76" t="s">
        <v>24937</v>
      </c>
      <c r="BO408" s="83" t="str">
        <f>HYPERLINK("https://twitter.com/harujiggly")</f>
        <v>https://twitter.com/harujiggly</v>
      </c>
      <c r="BP408" s="2"/>
    </row>
    <row r="409" spans="1:68" x14ac:dyDescent="0.25">
      <c r="A409" s="62" t="s">
        <v>608</v>
      </c>
      <c r="B409" s="63"/>
      <c r="C409" s="63"/>
      <c r="D409" s="64"/>
      <c r="E409" s="66"/>
      <c r="F409" s="102" t="str">
        <f>HYPERLINK("https://pbs.twimg.com/profile_images/1606289499411152896/Fc-RriEH_normal.jpg")</f>
        <v>https://pbs.twimg.com/profile_images/1606289499411152896/Fc-RriEH_normal.jpg</v>
      </c>
      <c r="G409" s="63"/>
      <c r="H409" s="67"/>
      <c r="I409" s="68"/>
      <c r="J409" s="68"/>
      <c r="K409" s="67" t="s">
        <v>25343</v>
      </c>
      <c r="L409" s="71"/>
      <c r="M409" s="72"/>
      <c r="N409" s="72"/>
      <c r="O409" s="73"/>
      <c r="P409" s="74"/>
      <c r="Q409" s="74"/>
      <c r="R409" s="86"/>
      <c r="S409" s="86"/>
      <c r="T409" s="86"/>
      <c r="U409" s="86"/>
      <c r="V409" s="48"/>
      <c r="W409" s="48"/>
      <c r="X409" s="48"/>
      <c r="Y409" s="48"/>
      <c r="Z409" s="47"/>
      <c r="AA409" s="69">
        <v>409</v>
      </c>
      <c r="AB409" s="69"/>
      <c r="AC409" s="70"/>
      <c r="AD409" s="76" t="s">
        <v>22214</v>
      </c>
      <c r="AE409" s="81" t="s">
        <v>21298</v>
      </c>
      <c r="AF409" s="76">
        <v>3</v>
      </c>
      <c r="AG409" s="76">
        <v>12</v>
      </c>
      <c r="AH409" s="76">
        <v>32</v>
      </c>
      <c r="AI409" s="76">
        <v>0</v>
      </c>
      <c r="AJ409" s="76">
        <v>57</v>
      </c>
      <c r="AK409" s="76">
        <v>17</v>
      </c>
      <c r="AL409" s="76" t="b">
        <v>0</v>
      </c>
      <c r="AM409" s="78">
        <v>44916.545775462961</v>
      </c>
      <c r="AN409" s="76" t="s">
        <v>14041</v>
      </c>
      <c r="AO409" s="76" t="s">
        <v>23695</v>
      </c>
      <c r="AP409" s="76"/>
      <c r="AQ409" s="76"/>
      <c r="AR409" s="76"/>
      <c r="AS409" s="76"/>
      <c r="AT409" s="76"/>
      <c r="AU409" s="76"/>
      <c r="AV409" s="76"/>
      <c r="AW409" s="76"/>
      <c r="AX409" s="76" t="b">
        <v>0</v>
      </c>
      <c r="AY409" s="76"/>
      <c r="AZ409" s="76"/>
      <c r="BA409" s="76" t="b">
        <v>0</v>
      </c>
      <c r="BB409" s="76" t="b">
        <v>1</v>
      </c>
      <c r="BC409" s="76" t="b">
        <v>1</v>
      </c>
      <c r="BD409" s="76" t="b">
        <v>0</v>
      </c>
      <c r="BE409" s="76" t="b">
        <v>0</v>
      </c>
      <c r="BF409" s="76" t="b">
        <v>0</v>
      </c>
      <c r="BG409" s="76" t="b">
        <v>0</v>
      </c>
      <c r="BH409" s="83" t="str">
        <f>HYPERLINK("https://pbs.twimg.com/profile_banners/1605549701151039491/1671804594")</f>
        <v>https://pbs.twimg.com/profile_banners/1605549701151039491/1671804594</v>
      </c>
      <c r="BI409" s="76"/>
      <c r="BJ409" s="76" t="s">
        <v>24935</v>
      </c>
      <c r="BK409" s="76" t="b">
        <v>0</v>
      </c>
      <c r="BL409" s="76"/>
      <c r="BM409" s="76" t="s">
        <v>66</v>
      </c>
      <c r="BN409" s="76" t="s">
        <v>24937</v>
      </c>
      <c r="BO409" s="83" t="str">
        <f>HYPERLINK("https://twitter.com/eduardo53980987")</f>
        <v>https://twitter.com/eduardo53980987</v>
      </c>
      <c r="BP409" s="2"/>
    </row>
    <row r="410" spans="1:68" x14ac:dyDescent="0.25">
      <c r="A410" s="62" t="s">
        <v>609</v>
      </c>
      <c r="B410" s="63"/>
      <c r="C410" s="63"/>
      <c r="D410" s="64"/>
      <c r="E410" s="66"/>
      <c r="F410" s="102" t="str">
        <f>HYPERLINK("https://pbs.twimg.com/profile_images/1682574369527156736/JJI19l3W_normal.jpg")</f>
        <v>https://pbs.twimg.com/profile_images/1682574369527156736/JJI19l3W_normal.jpg</v>
      </c>
      <c r="G410" s="63"/>
      <c r="H410" s="67"/>
      <c r="I410" s="68"/>
      <c r="J410" s="68"/>
      <c r="K410" s="67" t="s">
        <v>25344</v>
      </c>
      <c r="L410" s="71"/>
      <c r="M410" s="72"/>
      <c r="N410" s="72"/>
      <c r="O410" s="73"/>
      <c r="P410" s="74"/>
      <c r="Q410" s="74"/>
      <c r="R410" s="86"/>
      <c r="S410" s="86"/>
      <c r="T410" s="86"/>
      <c r="U410" s="86"/>
      <c r="V410" s="48"/>
      <c r="W410" s="48"/>
      <c r="X410" s="48"/>
      <c r="Y410" s="48"/>
      <c r="Z410" s="47"/>
      <c r="AA410" s="69">
        <v>410</v>
      </c>
      <c r="AB410" s="69"/>
      <c r="AC410" s="70"/>
      <c r="AD410" s="76" t="s">
        <v>22215</v>
      </c>
      <c r="AE410" s="81" t="s">
        <v>22942</v>
      </c>
      <c r="AF410" s="76">
        <v>26</v>
      </c>
      <c r="AG410" s="76">
        <v>137</v>
      </c>
      <c r="AH410" s="76">
        <v>5</v>
      </c>
      <c r="AI410" s="76">
        <v>0</v>
      </c>
      <c r="AJ410" s="76">
        <v>23</v>
      </c>
      <c r="AK410" s="76">
        <v>4</v>
      </c>
      <c r="AL410" s="76" t="b">
        <v>0</v>
      </c>
      <c r="AM410" s="78">
        <v>40736.618888888886</v>
      </c>
      <c r="AN410" s="76" t="s">
        <v>23191</v>
      </c>
      <c r="AO410" s="76" t="s">
        <v>23696</v>
      </c>
      <c r="AP410" s="83" t="str">
        <f>HYPERLINK("https://t.co/h8Pg9bHlxf")</f>
        <v>https://t.co/h8Pg9bHlxf</v>
      </c>
      <c r="AQ410" s="83" t="str">
        <f>HYPERLINK("https://instagram.com/milhoes_no_bolso?igshid=MzNlNGNkZWQ4Mg==")</f>
        <v>https://instagram.com/milhoes_no_bolso?igshid=MzNlNGNkZWQ4Mg==</v>
      </c>
      <c r="AR410" s="76" t="s">
        <v>24473</v>
      </c>
      <c r="AS410" s="76"/>
      <c r="AT410" s="76"/>
      <c r="AU410" s="76"/>
      <c r="AV410" s="76"/>
      <c r="AW410" s="83" t="str">
        <f>HYPERLINK("https://t.co/h8Pg9bHlxf")</f>
        <v>https://t.co/h8Pg9bHlxf</v>
      </c>
      <c r="AX410" s="76" t="b">
        <v>0</v>
      </c>
      <c r="AY410" s="76"/>
      <c r="AZ410" s="76"/>
      <c r="BA410" s="76" t="b">
        <v>0</v>
      </c>
      <c r="BB410" s="76" t="b">
        <v>1</v>
      </c>
      <c r="BC410" s="76" t="b">
        <v>0</v>
      </c>
      <c r="BD410" s="76" t="b">
        <v>0</v>
      </c>
      <c r="BE410" s="76" t="b">
        <v>0</v>
      </c>
      <c r="BF410" s="76" t="b">
        <v>0</v>
      </c>
      <c r="BG410" s="76" t="b">
        <v>0</v>
      </c>
      <c r="BH410" s="83" t="str">
        <f>HYPERLINK("https://pbs.twimg.com/profile_banners/334072979/1689991964")</f>
        <v>https://pbs.twimg.com/profile_banners/334072979/1689991964</v>
      </c>
      <c r="BI410" s="76"/>
      <c r="BJ410" s="76" t="s">
        <v>24935</v>
      </c>
      <c r="BK410" s="76" t="b">
        <v>0</v>
      </c>
      <c r="BL410" s="76"/>
      <c r="BM410" s="76" t="s">
        <v>66</v>
      </c>
      <c r="BN410" s="76" t="s">
        <v>24937</v>
      </c>
      <c r="BO410" s="83" t="str">
        <f>HYPERLINK("https://twitter.com/87dieguinho")</f>
        <v>https://twitter.com/87dieguinho</v>
      </c>
      <c r="BP410" s="2"/>
    </row>
    <row r="411" spans="1:68" x14ac:dyDescent="0.25">
      <c r="A411" s="62" t="s">
        <v>610</v>
      </c>
      <c r="B411" s="63"/>
      <c r="C411" s="63"/>
      <c r="D411" s="64"/>
      <c r="E411" s="66"/>
      <c r="F411" s="102" t="str">
        <f>HYPERLINK("https://pbs.twimg.com/profile_images/1696997912398467072/RCR1vL-A_normal.jpg")</f>
        <v>https://pbs.twimg.com/profile_images/1696997912398467072/RCR1vL-A_normal.jpg</v>
      </c>
      <c r="G411" s="63"/>
      <c r="H411" s="67"/>
      <c r="I411" s="68"/>
      <c r="J411" s="68"/>
      <c r="K411" s="67" t="s">
        <v>25345</v>
      </c>
      <c r="L411" s="71"/>
      <c r="M411" s="72"/>
      <c r="N411" s="72"/>
      <c r="O411" s="73"/>
      <c r="P411" s="74"/>
      <c r="Q411" s="74"/>
      <c r="R411" s="86"/>
      <c r="S411" s="86"/>
      <c r="T411" s="86"/>
      <c r="U411" s="86"/>
      <c r="V411" s="48"/>
      <c r="W411" s="48"/>
      <c r="X411" s="48"/>
      <c r="Y411" s="48"/>
      <c r="Z411" s="47"/>
      <c r="AA411" s="69">
        <v>411</v>
      </c>
      <c r="AB411" s="69"/>
      <c r="AC411" s="70"/>
      <c r="AD411" s="76" t="s">
        <v>22216</v>
      </c>
      <c r="AE411" s="81" t="s">
        <v>21299</v>
      </c>
      <c r="AF411" s="76">
        <v>530</v>
      </c>
      <c r="AG411" s="76">
        <v>140</v>
      </c>
      <c r="AH411" s="76">
        <v>346</v>
      </c>
      <c r="AI411" s="76">
        <v>0</v>
      </c>
      <c r="AJ411" s="76">
        <v>432</v>
      </c>
      <c r="AK411" s="76">
        <v>16</v>
      </c>
      <c r="AL411" s="76" t="b">
        <v>0</v>
      </c>
      <c r="AM411" s="78">
        <v>44907.755810185183</v>
      </c>
      <c r="AN411" s="76"/>
      <c r="AO411" s="76" t="s">
        <v>23697</v>
      </c>
      <c r="AP411" s="83" t="str">
        <f>HYPERLINK("https://t.co/bRwAcomfgc")</f>
        <v>https://t.co/bRwAcomfgc</v>
      </c>
      <c r="AQ411" s="83" t="str">
        <f>HYPERLINK("https://t.me/+Kn5H6WJdc-c5NWE0")</f>
        <v>https://t.me/+Kn5H6WJdc-c5NWE0</v>
      </c>
      <c r="AR411" s="76" t="s">
        <v>24474</v>
      </c>
      <c r="AS411" s="76"/>
      <c r="AT411" s="76"/>
      <c r="AU411" s="76"/>
      <c r="AV411" s="76">
        <v>1.70432439774445E+18</v>
      </c>
      <c r="AW411" s="83" t="str">
        <f>HYPERLINK("https://t.co/bRwAcomfgc")</f>
        <v>https://t.co/bRwAcomfgc</v>
      </c>
      <c r="AX411" s="76" t="b">
        <v>0</v>
      </c>
      <c r="AY411" s="76"/>
      <c r="AZ411" s="76"/>
      <c r="BA411" s="76" t="b">
        <v>1</v>
      </c>
      <c r="BB411" s="76" t="b">
        <v>0</v>
      </c>
      <c r="BC411" s="76" t="b">
        <v>1</v>
      </c>
      <c r="BD411" s="76" t="b">
        <v>0</v>
      </c>
      <c r="BE411" s="76" t="b">
        <v>0</v>
      </c>
      <c r="BF411" s="76" t="b">
        <v>0</v>
      </c>
      <c r="BG411" s="76" t="b">
        <v>0</v>
      </c>
      <c r="BH411" s="83" t="str">
        <f>HYPERLINK("https://pbs.twimg.com/profile_banners/1602364510228123648/1694974785")</f>
        <v>https://pbs.twimg.com/profile_banners/1602364510228123648/1694974785</v>
      </c>
      <c r="BI411" s="76"/>
      <c r="BJ411" s="76" t="s">
        <v>24935</v>
      </c>
      <c r="BK411" s="76" t="b">
        <v>0</v>
      </c>
      <c r="BL411" s="76"/>
      <c r="BM411" s="76" t="s">
        <v>66</v>
      </c>
      <c r="BN411" s="76" t="s">
        <v>24937</v>
      </c>
      <c r="BO411" s="83" t="str">
        <f>HYPERLINK("https://twitter.com/tradespaces1")</f>
        <v>https://twitter.com/tradespaces1</v>
      </c>
      <c r="BP411" s="2"/>
    </row>
    <row r="412" spans="1:68" x14ac:dyDescent="0.25">
      <c r="A412" s="62" t="s">
        <v>611</v>
      </c>
      <c r="B412" s="63"/>
      <c r="C412" s="63"/>
      <c r="D412" s="64"/>
      <c r="E412" s="66"/>
      <c r="F412" s="102" t="str">
        <f>HYPERLINK("https://pbs.twimg.com/profile_images/1642596679592361985/Cl5xM8yG_normal.jpg")</f>
        <v>https://pbs.twimg.com/profile_images/1642596679592361985/Cl5xM8yG_normal.jpg</v>
      </c>
      <c r="G412" s="63"/>
      <c r="H412" s="67"/>
      <c r="I412" s="68"/>
      <c r="J412" s="68"/>
      <c r="K412" s="67" t="s">
        <v>25346</v>
      </c>
      <c r="L412" s="71"/>
      <c r="M412" s="72"/>
      <c r="N412" s="72"/>
      <c r="O412" s="73"/>
      <c r="P412" s="74"/>
      <c r="Q412" s="74"/>
      <c r="R412" s="86"/>
      <c r="S412" s="86"/>
      <c r="T412" s="86"/>
      <c r="U412" s="86"/>
      <c r="V412" s="48"/>
      <c r="W412" s="48"/>
      <c r="X412" s="48"/>
      <c r="Y412" s="48"/>
      <c r="Z412" s="47"/>
      <c r="AA412" s="69">
        <v>412</v>
      </c>
      <c r="AB412" s="69"/>
      <c r="AC412" s="70"/>
      <c r="AD412" s="76" t="s">
        <v>22217</v>
      </c>
      <c r="AE412" s="81" t="s">
        <v>21300</v>
      </c>
      <c r="AF412" s="76">
        <v>212</v>
      </c>
      <c r="AG412" s="76">
        <v>117</v>
      </c>
      <c r="AH412" s="76">
        <v>446</v>
      </c>
      <c r="AI412" s="76">
        <v>1</v>
      </c>
      <c r="AJ412" s="76">
        <v>136</v>
      </c>
      <c r="AK412" s="76">
        <v>301</v>
      </c>
      <c r="AL412" s="76" t="b">
        <v>0</v>
      </c>
      <c r="AM412" s="78">
        <v>44298.767199074071</v>
      </c>
      <c r="AN412" s="76" t="s">
        <v>23192</v>
      </c>
      <c r="AO412" s="76" t="s">
        <v>23698</v>
      </c>
      <c r="AP412" s="83" t="str">
        <f>HYPERLINK("https://t.co/w27FpGZnPE")</f>
        <v>https://t.co/w27FpGZnPE</v>
      </c>
      <c r="AQ412" s="83" t="str">
        <f>HYPERLINK("https://www.youtube.com/c/RenanSousaCripto/")</f>
        <v>https://www.youtube.com/c/RenanSousaCripto/</v>
      </c>
      <c r="AR412" s="76" t="s">
        <v>24475</v>
      </c>
      <c r="AS412" s="76"/>
      <c r="AT412" s="76"/>
      <c r="AU412" s="76"/>
      <c r="AV412" s="76">
        <v>1.62591288824941E+18</v>
      </c>
      <c r="AW412" s="83" t="str">
        <f>HYPERLINK("https://t.co/w27FpGZnPE")</f>
        <v>https://t.co/w27FpGZnPE</v>
      </c>
      <c r="AX412" s="76" t="b">
        <v>0</v>
      </c>
      <c r="AY412" s="76"/>
      <c r="AZ412" s="76"/>
      <c r="BA412" s="76" t="b">
        <v>0</v>
      </c>
      <c r="BB412" s="76" t="b">
        <v>1</v>
      </c>
      <c r="BC412" s="76" t="b">
        <v>1</v>
      </c>
      <c r="BD412" s="76" t="b">
        <v>0</v>
      </c>
      <c r="BE412" s="76" t="b">
        <v>0</v>
      </c>
      <c r="BF412" s="76" t="b">
        <v>0</v>
      </c>
      <c r="BG412" s="76" t="b">
        <v>0</v>
      </c>
      <c r="BH412" s="83" t="str">
        <f>HYPERLINK("https://pbs.twimg.com/profile_banners/1381674252395499523/1658965440")</f>
        <v>https://pbs.twimg.com/profile_banners/1381674252395499523/1658965440</v>
      </c>
      <c r="BI412" s="76"/>
      <c r="BJ412" s="76" t="s">
        <v>24935</v>
      </c>
      <c r="BK412" s="76" t="b">
        <v>0</v>
      </c>
      <c r="BL412" s="76"/>
      <c r="BM412" s="76" t="s">
        <v>66</v>
      </c>
      <c r="BN412" s="76" t="s">
        <v>24937</v>
      </c>
      <c r="BO412" s="83" t="str">
        <f>HYPERLINK("https://twitter.com/nandascriptos")</f>
        <v>https://twitter.com/nandascriptos</v>
      </c>
      <c r="BP412" s="2"/>
    </row>
    <row r="413" spans="1:68" x14ac:dyDescent="0.25">
      <c r="A413" s="62" t="s">
        <v>612</v>
      </c>
      <c r="B413" s="63"/>
      <c r="C413" s="63"/>
      <c r="D413" s="64"/>
      <c r="E413" s="66"/>
      <c r="F413" s="102" t="str">
        <f>HYPERLINK("https://pbs.twimg.com/profile_images/1078657518941978625/JXXBdgVR_normal.jpg")</f>
        <v>https://pbs.twimg.com/profile_images/1078657518941978625/JXXBdgVR_normal.jpg</v>
      </c>
      <c r="G413" s="63"/>
      <c r="H413" s="67"/>
      <c r="I413" s="68"/>
      <c r="J413" s="68"/>
      <c r="K413" s="67" t="s">
        <v>25347</v>
      </c>
      <c r="L413" s="71"/>
      <c r="M413" s="72"/>
      <c r="N413" s="72"/>
      <c r="O413" s="73"/>
      <c r="P413" s="74"/>
      <c r="Q413" s="74"/>
      <c r="R413" s="86"/>
      <c r="S413" s="86"/>
      <c r="T413" s="86"/>
      <c r="U413" s="86"/>
      <c r="V413" s="48"/>
      <c r="W413" s="48"/>
      <c r="X413" s="48"/>
      <c r="Y413" s="48"/>
      <c r="Z413" s="47"/>
      <c r="AA413" s="69">
        <v>413</v>
      </c>
      <c r="AB413" s="69"/>
      <c r="AC413" s="70"/>
      <c r="AD413" s="76" t="s">
        <v>7353</v>
      </c>
      <c r="AE413" s="81" t="s">
        <v>22943</v>
      </c>
      <c r="AF413" s="76">
        <v>314</v>
      </c>
      <c r="AG413" s="76">
        <v>300</v>
      </c>
      <c r="AH413" s="76">
        <v>21793</v>
      </c>
      <c r="AI413" s="76">
        <v>8</v>
      </c>
      <c r="AJ413" s="76">
        <v>4</v>
      </c>
      <c r="AK413" s="76">
        <v>15139</v>
      </c>
      <c r="AL413" s="76" t="b">
        <v>0</v>
      </c>
      <c r="AM413" s="78">
        <v>41472.050844907404</v>
      </c>
      <c r="AN413" s="76" t="s">
        <v>14055</v>
      </c>
      <c r="AO413" s="76" t="s">
        <v>23699</v>
      </c>
      <c r="AP413" s="83" t="str">
        <f>HYPERLINK("https://t.co/zJFhpPqd4j")</f>
        <v>https://t.co/zJFhpPqd4j</v>
      </c>
      <c r="AQ413" s="83" t="str">
        <f>HYPERLINK("http://www.folhageral.com")</f>
        <v>http://www.folhageral.com</v>
      </c>
      <c r="AR413" s="76" t="s">
        <v>7353</v>
      </c>
      <c r="AS413" s="76"/>
      <c r="AT413" s="76"/>
      <c r="AU413" s="76"/>
      <c r="AV413" s="76"/>
      <c r="AW413" s="83" t="str">
        <f>HYPERLINK("https://t.co/zJFhpPqd4j")</f>
        <v>https://t.co/zJFhpPqd4j</v>
      </c>
      <c r="AX413" s="76" t="b">
        <v>0</v>
      </c>
      <c r="AY413" s="76"/>
      <c r="AZ413" s="76"/>
      <c r="BA413" s="76" t="b">
        <v>0</v>
      </c>
      <c r="BB413" s="76" t="b">
        <v>1</v>
      </c>
      <c r="BC413" s="76" t="b">
        <v>0</v>
      </c>
      <c r="BD413" s="76" t="b">
        <v>0</v>
      </c>
      <c r="BE413" s="76" t="b">
        <v>1</v>
      </c>
      <c r="BF413" s="76" t="b">
        <v>0</v>
      </c>
      <c r="BG413" s="76" t="b">
        <v>0</v>
      </c>
      <c r="BH413" s="83" t="str">
        <f>HYPERLINK("https://pbs.twimg.com/profile_banners/1599687301/1630430348")</f>
        <v>https://pbs.twimg.com/profile_banners/1599687301/1630430348</v>
      </c>
      <c r="BI413" s="76"/>
      <c r="BJ413" s="76" t="s">
        <v>24935</v>
      </c>
      <c r="BK413" s="76" t="b">
        <v>0</v>
      </c>
      <c r="BL413" s="76"/>
      <c r="BM413" s="76" t="s">
        <v>66</v>
      </c>
      <c r="BN413" s="76" t="s">
        <v>24937</v>
      </c>
      <c r="BO413" s="83" t="str">
        <f>HYPERLINK("https://twitter.com/folhageral")</f>
        <v>https://twitter.com/folhageral</v>
      </c>
      <c r="BP413" s="2"/>
    </row>
    <row r="414" spans="1:68" x14ac:dyDescent="0.25">
      <c r="A414" s="62" t="s">
        <v>613</v>
      </c>
      <c r="B414" s="63"/>
      <c r="C414" s="63"/>
      <c r="D414" s="64"/>
      <c r="E414" s="66"/>
      <c r="F414" s="102" t="str">
        <f>HYPERLINK("https://pbs.twimg.com/profile_images/1555677325315956736/bioRDxeI_normal.jpg")</f>
        <v>https://pbs.twimg.com/profile_images/1555677325315956736/bioRDxeI_normal.jpg</v>
      </c>
      <c r="G414" s="63"/>
      <c r="H414" s="67"/>
      <c r="I414" s="68"/>
      <c r="J414" s="68"/>
      <c r="K414" s="67" t="s">
        <v>25348</v>
      </c>
      <c r="L414" s="71"/>
      <c r="M414" s="72"/>
      <c r="N414" s="72"/>
      <c r="O414" s="73"/>
      <c r="P414" s="74"/>
      <c r="Q414" s="74"/>
      <c r="R414" s="86"/>
      <c r="S414" s="86"/>
      <c r="T414" s="86"/>
      <c r="U414" s="86"/>
      <c r="V414" s="48"/>
      <c r="W414" s="48"/>
      <c r="X414" s="48"/>
      <c r="Y414" s="48"/>
      <c r="Z414" s="47"/>
      <c r="AA414" s="69">
        <v>414</v>
      </c>
      <c r="AB414" s="69"/>
      <c r="AC414" s="70"/>
      <c r="AD414" s="76" t="s">
        <v>22218</v>
      </c>
      <c r="AE414" s="81" t="s">
        <v>21301</v>
      </c>
      <c r="AF414" s="76">
        <v>915</v>
      </c>
      <c r="AG414" s="76">
        <v>4919</v>
      </c>
      <c r="AH414" s="76">
        <v>116762</v>
      </c>
      <c r="AI414" s="76">
        <v>0</v>
      </c>
      <c r="AJ414" s="76">
        <v>41413</v>
      </c>
      <c r="AK414" s="76">
        <v>2819</v>
      </c>
      <c r="AL414" s="76" t="b">
        <v>0</v>
      </c>
      <c r="AM414" s="78">
        <v>44778.921956018516</v>
      </c>
      <c r="AN414" s="76"/>
      <c r="AO414" s="76" t="s">
        <v>23700</v>
      </c>
      <c r="AP414" s="83" t="str">
        <f>HYPERLINK("https://t.co/4wDDnocpbo")</f>
        <v>https://t.co/4wDDnocpbo</v>
      </c>
      <c r="AQ414" s="83" t="str">
        <f>HYPERLINK("https://ntnc.com.br/3fa8f953-910f-45e6-9f1b-c496c9b36de5")</f>
        <v>https://ntnc.com.br/3fa8f953-910f-45e6-9f1b-c496c9b36de5</v>
      </c>
      <c r="AR414" s="76" t="s">
        <v>24476</v>
      </c>
      <c r="AS414" s="76"/>
      <c r="AT414" s="76"/>
      <c r="AU414" s="76"/>
      <c r="AV414" s="76"/>
      <c r="AW414" s="83" t="str">
        <f>HYPERLINK("https://t.co/4wDDnocpbo")</f>
        <v>https://t.co/4wDDnocpbo</v>
      </c>
      <c r="AX414" s="76" t="b">
        <v>0</v>
      </c>
      <c r="AY414" s="76"/>
      <c r="AZ414" s="76"/>
      <c r="BA414" s="76" t="b">
        <v>0</v>
      </c>
      <c r="BB414" s="76" t="b">
        <v>1</v>
      </c>
      <c r="BC414" s="76" t="b">
        <v>1</v>
      </c>
      <c r="BD414" s="76" t="b">
        <v>0</v>
      </c>
      <c r="BE414" s="76" t="b">
        <v>0</v>
      </c>
      <c r="BF414" s="76" t="b">
        <v>0</v>
      </c>
      <c r="BG414" s="76" t="b">
        <v>0</v>
      </c>
      <c r="BH414" s="83" t="str">
        <f>HYPERLINK("https://pbs.twimg.com/profile_banners/1555676870607257603/1659745541")</f>
        <v>https://pbs.twimg.com/profile_banners/1555676870607257603/1659745541</v>
      </c>
      <c r="BI414" s="76"/>
      <c r="BJ414" s="76" t="s">
        <v>24935</v>
      </c>
      <c r="BK414" s="76" t="b">
        <v>0</v>
      </c>
      <c r="BL414" s="76"/>
      <c r="BM414" s="76" t="s">
        <v>66</v>
      </c>
      <c r="BN414" s="76" t="s">
        <v>24937</v>
      </c>
      <c r="BO414" s="83" t="str">
        <f>HYPERLINK("https://twitter.com/fazer_aprenda")</f>
        <v>https://twitter.com/fazer_aprenda</v>
      </c>
      <c r="BP414" s="2"/>
    </row>
    <row r="415" spans="1:68" x14ac:dyDescent="0.25">
      <c r="A415" s="62" t="s">
        <v>614</v>
      </c>
      <c r="B415" s="63"/>
      <c r="C415" s="63"/>
      <c r="D415" s="64"/>
      <c r="E415" s="66"/>
      <c r="F415" s="102" t="str">
        <f>HYPERLINK("https://pbs.twimg.com/profile_images/1649451079015227392/aKIfI8Rj_normal.jpg")</f>
        <v>https://pbs.twimg.com/profile_images/1649451079015227392/aKIfI8Rj_normal.jpg</v>
      </c>
      <c r="G415" s="63"/>
      <c r="H415" s="67"/>
      <c r="I415" s="68"/>
      <c r="J415" s="68"/>
      <c r="K415" s="67" t="s">
        <v>25349</v>
      </c>
      <c r="L415" s="71"/>
      <c r="M415" s="72"/>
      <c r="N415" s="72"/>
      <c r="O415" s="73"/>
      <c r="P415" s="74"/>
      <c r="Q415" s="74"/>
      <c r="R415" s="86"/>
      <c r="S415" s="86"/>
      <c r="T415" s="86"/>
      <c r="U415" s="86"/>
      <c r="V415" s="48"/>
      <c r="W415" s="48"/>
      <c r="X415" s="48"/>
      <c r="Y415" s="48"/>
      <c r="Z415" s="47"/>
      <c r="AA415" s="69">
        <v>415</v>
      </c>
      <c r="AB415" s="69"/>
      <c r="AC415" s="70"/>
      <c r="AD415" s="76" t="s">
        <v>22219</v>
      </c>
      <c r="AE415" s="81" t="s">
        <v>21302</v>
      </c>
      <c r="AF415" s="76">
        <v>1</v>
      </c>
      <c r="AG415" s="76">
        <v>13</v>
      </c>
      <c r="AH415" s="76">
        <v>10</v>
      </c>
      <c r="AI415" s="76">
        <v>0</v>
      </c>
      <c r="AJ415" s="76">
        <v>17</v>
      </c>
      <c r="AK415" s="76">
        <v>4</v>
      </c>
      <c r="AL415" s="76" t="b">
        <v>0</v>
      </c>
      <c r="AM415" s="78">
        <v>45037.688946759263</v>
      </c>
      <c r="AN415" s="76" t="s">
        <v>23193</v>
      </c>
      <c r="AO415" s="76" t="s">
        <v>23701</v>
      </c>
      <c r="AP415" s="83" t="str">
        <f>HYPERLINK("https://t.co/HzojAu6xzF")</f>
        <v>https://t.co/HzojAu6xzF</v>
      </c>
      <c r="AQ415" s="83" t="str">
        <f>HYPERLINK("https://wa.me/message/KCJ4OR5HVSPDP1")</f>
        <v>https://wa.me/message/KCJ4OR5HVSPDP1</v>
      </c>
      <c r="AR415" s="76" t="s">
        <v>24477</v>
      </c>
      <c r="AS415" s="76"/>
      <c r="AT415" s="76"/>
      <c r="AU415" s="76"/>
      <c r="AV415" s="76">
        <v>1.6494749095951099E+18</v>
      </c>
      <c r="AW415" s="83" t="str">
        <f>HYPERLINK("https://t.co/HzojAu6xzF")</f>
        <v>https://t.co/HzojAu6xzF</v>
      </c>
      <c r="AX415" s="76" t="b">
        <v>0</v>
      </c>
      <c r="AY415" s="76"/>
      <c r="AZ415" s="76"/>
      <c r="BA415" s="76" t="b">
        <v>0</v>
      </c>
      <c r="BB415" s="76" t="b">
        <v>1</v>
      </c>
      <c r="BC415" s="76" t="b">
        <v>1</v>
      </c>
      <c r="BD415" s="76" t="b">
        <v>0</v>
      </c>
      <c r="BE415" s="76" t="b">
        <v>0</v>
      </c>
      <c r="BF415" s="76" t="b">
        <v>0</v>
      </c>
      <c r="BG415" s="76" t="b">
        <v>0</v>
      </c>
      <c r="BH415" s="83" t="str">
        <f>HYPERLINK("https://pbs.twimg.com/profile_banners/1649450890183467008/1682095735")</f>
        <v>https://pbs.twimg.com/profile_banners/1649450890183467008/1682095735</v>
      </c>
      <c r="BI415" s="76"/>
      <c r="BJ415" s="76" t="s">
        <v>24935</v>
      </c>
      <c r="BK415" s="76" t="b">
        <v>0</v>
      </c>
      <c r="BL415" s="76"/>
      <c r="BM415" s="76" t="s">
        <v>66</v>
      </c>
      <c r="BN415" s="76" t="s">
        <v>24937</v>
      </c>
      <c r="BO415" s="83" t="str">
        <f>HYPERLINK("https://twitter.com/kellycristhinee")</f>
        <v>https://twitter.com/kellycristhinee</v>
      </c>
      <c r="BP415" s="2"/>
    </row>
    <row r="416" spans="1:68" x14ac:dyDescent="0.25">
      <c r="A416" s="62" t="s">
        <v>615</v>
      </c>
      <c r="B416" s="63"/>
      <c r="C416" s="63"/>
      <c r="D416" s="64"/>
      <c r="E416" s="66"/>
      <c r="F416" s="102" t="str">
        <f>HYPERLINK("https://pbs.twimg.com/profile_images/1652287895019872256/uO-acQJu_normal.jpg")</f>
        <v>https://pbs.twimg.com/profile_images/1652287895019872256/uO-acQJu_normal.jpg</v>
      </c>
      <c r="G416" s="63"/>
      <c r="H416" s="67"/>
      <c r="I416" s="68"/>
      <c r="J416" s="68"/>
      <c r="K416" s="67" t="s">
        <v>25350</v>
      </c>
      <c r="L416" s="71"/>
      <c r="M416" s="72"/>
      <c r="N416" s="72"/>
      <c r="O416" s="73"/>
      <c r="P416" s="74"/>
      <c r="Q416" s="74"/>
      <c r="R416" s="86"/>
      <c r="S416" s="86"/>
      <c r="T416" s="86"/>
      <c r="U416" s="86"/>
      <c r="V416" s="48"/>
      <c r="W416" s="48"/>
      <c r="X416" s="48"/>
      <c r="Y416" s="48"/>
      <c r="Z416" s="47"/>
      <c r="AA416" s="69">
        <v>416</v>
      </c>
      <c r="AB416" s="69"/>
      <c r="AC416" s="70"/>
      <c r="AD416" s="76" t="s">
        <v>22220</v>
      </c>
      <c r="AE416" s="81" t="s">
        <v>21303</v>
      </c>
      <c r="AF416" s="76">
        <v>0</v>
      </c>
      <c r="AG416" s="76">
        <v>5</v>
      </c>
      <c r="AH416" s="76">
        <v>5</v>
      </c>
      <c r="AI416" s="76">
        <v>0</v>
      </c>
      <c r="AJ416" s="76">
        <v>0</v>
      </c>
      <c r="AK416" s="76">
        <v>1</v>
      </c>
      <c r="AL416" s="76" t="b">
        <v>0</v>
      </c>
      <c r="AM416" s="78">
        <v>45044.958692129629</v>
      </c>
      <c r="AN416" s="76" t="s">
        <v>23194</v>
      </c>
      <c r="AO416" s="76" t="s">
        <v>23416</v>
      </c>
      <c r="AP416" s="76"/>
      <c r="AQ416" s="76"/>
      <c r="AR416" s="76"/>
      <c r="AS416" s="76"/>
      <c r="AT416" s="76"/>
      <c r="AU416" s="76"/>
      <c r="AV416" s="76"/>
      <c r="AW416" s="76"/>
      <c r="AX416" s="76" t="b">
        <v>0</v>
      </c>
      <c r="AY416" s="76"/>
      <c r="AZ416" s="76"/>
      <c r="BA416" s="76" t="b">
        <v>0</v>
      </c>
      <c r="BB416" s="76" t="b">
        <v>1</v>
      </c>
      <c r="BC416" s="76" t="b">
        <v>1</v>
      </c>
      <c r="BD416" s="76" t="b">
        <v>0</v>
      </c>
      <c r="BE416" s="76" t="b">
        <v>0</v>
      </c>
      <c r="BF416" s="76" t="b">
        <v>0</v>
      </c>
      <c r="BG416" s="76" t="b">
        <v>0</v>
      </c>
      <c r="BH416" s="83" t="str">
        <f>HYPERLINK("https://pbs.twimg.com/profile_banners/1652085341321347074/1682771677")</f>
        <v>https://pbs.twimg.com/profile_banners/1652085341321347074/1682771677</v>
      </c>
      <c r="BI416" s="76"/>
      <c r="BJ416" s="76" t="s">
        <v>24935</v>
      </c>
      <c r="BK416" s="76" t="b">
        <v>0</v>
      </c>
      <c r="BL416" s="76"/>
      <c r="BM416" s="76" t="s">
        <v>66</v>
      </c>
      <c r="BN416" s="76" t="s">
        <v>24937</v>
      </c>
      <c r="BO416" s="83" t="str">
        <f>HYPERLINK("https://twitter.com/wendgsilva")</f>
        <v>https://twitter.com/wendgsilva</v>
      </c>
      <c r="BP416" s="2"/>
    </row>
    <row r="417" spans="1:68" x14ac:dyDescent="0.25">
      <c r="A417" s="62" t="s">
        <v>616</v>
      </c>
      <c r="B417" s="63"/>
      <c r="C417" s="63"/>
      <c r="D417" s="64"/>
      <c r="E417" s="66"/>
      <c r="F417" s="102" t="str">
        <f>HYPERLINK("https://pbs.twimg.com/profile_images/732192945047228416/51jXCHSy_normal.jpg")</f>
        <v>https://pbs.twimg.com/profile_images/732192945047228416/51jXCHSy_normal.jpg</v>
      </c>
      <c r="G417" s="63"/>
      <c r="H417" s="67"/>
      <c r="I417" s="68"/>
      <c r="J417" s="68"/>
      <c r="K417" s="67" t="s">
        <v>25351</v>
      </c>
      <c r="L417" s="71"/>
      <c r="M417" s="72"/>
      <c r="N417" s="72"/>
      <c r="O417" s="73"/>
      <c r="P417" s="74"/>
      <c r="Q417" s="74"/>
      <c r="R417" s="86"/>
      <c r="S417" s="86"/>
      <c r="T417" s="86"/>
      <c r="U417" s="86"/>
      <c r="V417" s="48"/>
      <c r="W417" s="48"/>
      <c r="X417" s="48"/>
      <c r="Y417" s="48"/>
      <c r="Z417" s="47"/>
      <c r="AA417" s="69">
        <v>417</v>
      </c>
      <c r="AB417" s="69"/>
      <c r="AC417" s="70"/>
      <c r="AD417" s="76" t="s">
        <v>22221</v>
      </c>
      <c r="AE417" s="81" t="s">
        <v>22944</v>
      </c>
      <c r="AF417" s="76">
        <v>247</v>
      </c>
      <c r="AG417" s="76">
        <v>56</v>
      </c>
      <c r="AH417" s="76">
        <v>7680</v>
      </c>
      <c r="AI417" s="76">
        <v>0</v>
      </c>
      <c r="AJ417" s="76">
        <v>525</v>
      </c>
      <c r="AK417" s="76">
        <v>124</v>
      </c>
      <c r="AL417" s="76" t="b">
        <v>0</v>
      </c>
      <c r="AM417" s="78">
        <v>41426.481307870374</v>
      </c>
      <c r="AN417" s="76" t="s">
        <v>23195</v>
      </c>
      <c r="AO417" s="76" t="s">
        <v>23702</v>
      </c>
      <c r="AP417" s="83" t="str">
        <f>HYPERLINK("https://t.co/hMhAdRXJq0")</f>
        <v>https://t.co/hMhAdRXJq0</v>
      </c>
      <c r="AQ417" s="83" t="str">
        <f>HYPERLINK("https://carlamicaela.com/rendaextra")</f>
        <v>https://carlamicaela.com/rendaextra</v>
      </c>
      <c r="AR417" s="76" t="s">
        <v>24478</v>
      </c>
      <c r="AS417" s="76"/>
      <c r="AT417" s="76"/>
      <c r="AU417" s="76"/>
      <c r="AV417" s="76"/>
      <c r="AW417" s="83" t="str">
        <f>HYPERLINK("https://t.co/hMhAdRXJq0")</f>
        <v>https://t.co/hMhAdRXJq0</v>
      </c>
      <c r="AX417" s="76" t="b">
        <v>0</v>
      </c>
      <c r="AY417" s="76"/>
      <c r="AZ417" s="76"/>
      <c r="BA417" s="76" t="b">
        <v>1</v>
      </c>
      <c r="BB417" s="76" t="b">
        <v>1</v>
      </c>
      <c r="BC417" s="76" t="b">
        <v>1</v>
      </c>
      <c r="BD417" s="76" t="b">
        <v>0</v>
      </c>
      <c r="BE417" s="76" t="b">
        <v>1</v>
      </c>
      <c r="BF417" s="76" t="b">
        <v>0</v>
      </c>
      <c r="BG417" s="76" t="b">
        <v>0</v>
      </c>
      <c r="BH417" s="76"/>
      <c r="BI417" s="76"/>
      <c r="BJ417" s="76" t="s">
        <v>24935</v>
      </c>
      <c r="BK417" s="76" t="b">
        <v>0</v>
      </c>
      <c r="BL417" s="76"/>
      <c r="BM417" s="76" t="s">
        <v>66</v>
      </c>
      <c r="BN417" s="76" t="s">
        <v>24937</v>
      </c>
      <c r="BO417" s="83" t="str">
        <f>HYPERLINK("https://twitter.com/carlamiccaela")</f>
        <v>https://twitter.com/carlamiccaela</v>
      </c>
      <c r="BP417" s="2"/>
    </row>
    <row r="418" spans="1:68" x14ac:dyDescent="0.25">
      <c r="A418" s="62" t="s">
        <v>617</v>
      </c>
      <c r="B418" s="63"/>
      <c r="C418" s="63"/>
      <c r="D418" s="64"/>
      <c r="E418" s="66"/>
      <c r="F418" s="102" t="str">
        <f>HYPERLINK("https://pbs.twimg.com/profile_images/1029712569697816576/RO2aM6u0_normal.jpg")</f>
        <v>https://pbs.twimg.com/profile_images/1029712569697816576/RO2aM6u0_normal.jpg</v>
      </c>
      <c r="G418" s="63"/>
      <c r="H418" s="67"/>
      <c r="I418" s="68"/>
      <c r="J418" s="68"/>
      <c r="K418" s="67" t="s">
        <v>25352</v>
      </c>
      <c r="L418" s="71"/>
      <c r="M418" s="72"/>
      <c r="N418" s="72"/>
      <c r="O418" s="73"/>
      <c r="P418" s="74"/>
      <c r="Q418" s="74"/>
      <c r="R418" s="86"/>
      <c r="S418" s="86"/>
      <c r="T418" s="86"/>
      <c r="U418" s="86"/>
      <c r="V418" s="48"/>
      <c r="W418" s="48"/>
      <c r="X418" s="48"/>
      <c r="Y418" s="48"/>
      <c r="Z418" s="47"/>
      <c r="AA418" s="69">
        <v>418</v>
      </c>
      <c r="AB418" s="69"/>
      <c r="AC418" s="70"/>
      <c r="AD418" s="76" t="s">
        <v>22222</v>
      </c>
      <c r="AE418" s="81" t="s">
        <v>22945</v>
      </c>
      <c r="AF418" s="76">
        <v>1248</v>
      </c>
      <c r="AG418" s="76">
        <v>1814</v>
      </c>
      <c r="AH418" s="76">
        <v>50284</v>
      </c>
      <c r="AI418" s="76">
        <v>16</v>
      </c>
      <c r="AJ418" s="76">
        <v>425</v>
      </c>
      <c r="AK418" s="76">
        <v>4621</v>
      </c>
      <c r="AL418" s="76" t="b">
        <v>0</v>
      </c>
      <c r="AM418" s="78">
        <v>39928.652569444443</v>
      </c>
      <c r="AN418" s="76" t="s">
        <v>23196</v>
      </c>
      <c r="AO418" s="76" t="s">
        <v>23703</v>
      </c>
      <c r="AP418" s="83" t="str">
        <f>HYPERLINK("https://t.co/qeI9zlqKZ8")</f>
        <v>https://t.co/qeI9zlqKZ8</v>
      </c>
      <c r="AQ418" s="83" t="str">
        <f>HYPERLINK("https://www.instagram.com/ramonbarros.relacionamente/")</f>
        <v>https://www.instagram.com/ramonbarros.relacionamente/</v>
      </c>
      <c r="AR418" s="76" t="s">
        <v>24479</v>
      </c>
      <c r="AS418" s="76"/>
      <c r="AT418" s="76"/>
      <c r="AU418" s="76"/>
      <c r="AV418" s="76"/>
      <c r="AW418" s="83" t="str">
        <f>HYPERLINK("https://t.co/qeI9zlqKZ8")</f>
        <v>https://t.co/qeI9zlqKZ8</v>
      </c>
      <c r="AX418" s="76" t="b">
        <v>0</v>
      </c>
      <c r="AY418" s="76"/>
      <c r="AZ418" s="76"/>
      <c r="BA418" s="76" t="b">
        <v>1</v>
      </c>
      <c r="BB418" s="76" t="b">
        <v>1</v>
      </c>
      <c r="BC418" s="76" t="b">
        <v>0</v>
      </c>
      <c r="BD418" s="76" t="b">
        <v>0</v>
      </c>
      <c r="BE418" s="76" t="b">
        <v>1</v>
      </c>
      <c r="BF418" s="76" t="b">
        <v>0</v>
      </c>
      <c r="BG418" s="76" t="b">
        <v>0</v>
      </c>
      <c r="BH418" s="83" t="str">
        <f>HYPERLINK("https://pbs.twimg.com/profile_banners/35237516/1677146180")</f>
        <v>https://pbs.twimg.com/profile_banners/35237516/1677146180</v>
      </c>
      <c r="BI418" s="76"/>
      <c r="BJ418" s="76" t="s">
        <v>24935</v>
      </c>
      <c r="BK418" s="76" t="b">
        <v>0</v>
      </c>
      <c r="BL418" s="76"/>
      <c r="BM418" s="76" t="s">
        <v>66</v>
      </c>
      <c r="BN418" s="76" t="s">
        <v>24937</v>
      </c>
      <c r="BO418" s="83" t="str">
        <f>HYPERLINK("https://twitter.com/ramonbarros")</f>
        <v>https://twitter.com/ramonbarros</v>
      </c>
      <c r="BP418" s="2"/>
    </row>
    <row r="419" spans="1:68" x14ac:dyDescent="0.25">
      <c r="A419" s="62" t="s">
        <v>618</v>
      </c>
      <c r="B419" s="63"/>
      <c r="C419" s="63"/>
      <c r="D419" s="64"/>
      <c r="E419" s="66"/>
      <c r="F419" s="102" t="str">
        <f>HYPERLINK("https://pbs.twimg.com/profile_images/1699197784014893056/mP-6hcDM_normal.jpg")</f>
        <v>https://pbs.twimg.com/profile_images/1699197784014893056/mP-6hcDM_normal.jpg</v>
      </c>
      <c r="G419" s="63"/>
      <c r="H419" s="67"/>
      <c r="I419" s="68"/>
      <c r="J419" s="68"/>
      <c r="K419" s="67" t="s">
        <v>25353</v>
      </c>
      <c r="L419" s="71"/>
      <c r="M419" s="72"/>
      <c r="N419" s="72"/>
      <c r="O419" s="73"/>
      <c r="P419" s="74"/>
      <c r="Q419" s="74"/>
      <c r="R419" s="86"/>
      <c r="S419" s="86"/>
      <c r="T419" s="86"/>
      <c r="U419" s="86"/>
      <c r="V419" s="48"/>
      <c r="W419" s="48"/>
      <c r="X419" s="48"/>
      <c r="Y419" s="48"/>
      <c r="Z419" s="47"/>
      <c r="AA419" s="69">
        <v>419</v>
      </c>
      <c r="AB419" s="69"/>
      <c r="AC419" s="70"/>
      <c r="AD419" s="76" t="s">
        <v>22223</v>
      </c>
      <c r="AE419" s="81" t="s">
        <v>20929</v>
      </c>
      <c r="AF419" s="76">
        <v>94</v>
      </c>
      <c r="AG419" s="76">
        <v>281</v>
      </c>
      <c r="AH419" s="76">
        <v>30</v>
      </c>
      <c r="AI419" s="76">
        <v>0</v>
      </c>
      <c r="AJ419" s="76">
        <v>11</v>
      </c>
      <c r="AK419" s="76">
        <v>2</v>
      </c>
      <c r="AL419" s="76" t="b">
        <v>0</v>
      </c>
      <c r="AM419" s="78">
        <v>45154.698865740742</v>
      </c>
      <c r="AN419" s="76" t="s">
        <v>23124</v>
      </c>
      <c r="AO419" s="76" t="s">
        <v>23704</v>
      </c>
      <c r="AP419" s="76"/>
      <c r="AQ419" s="76"/>
      <c r="AR419" s="76"/>
      <c r="AS419" s="76"/>
      <c r="AT419" s="76"/>
      <c r="AU419" s="76"/>
      <c r="AV419" s="76"/>
      <c r="AW419" s="76"/>
      <c r="AX419" s="76" t="b">
        <v>0</v>
      </c>
      <c r="AY419" s="76"/>
      <c r="AZ419" s="76"/>
      <c r="BA419" s="76" t="b">
        <v>0</v>
      </c>
      <c r="BB419" s="76" t="b">
        <v>1</v>
      </c>
      <c r="BC419" s="76" t="b">
        <v>1</v>
      </c>
      <c r="BD419" s="76" t="b">
        <v>0</v>
      </c>
      <c r="BE419" s="76" t="b">
        <v>0</v>
      </c>
      <c r="BF419" s="76" t="b">
        <v>0</v>
      </c>
      <c r="BG419" s="76" t="b">
        <v>0</v>
      </c>
      <c r="BH419" s="83" t="str">
        <f>HYPERLINK("https://pbs.twimg.com/profile_banners/1691853857515601927/1693954604")</f>
        <v>https://pbs.twimg.com/profile_banners/1691853857515601927/1693954604</v>
      </c>
      <c r="BI419" s="76"/>
      <c r="BJ419" s="76" t="s">
        <v>24935</v>
      </c>
      <c r="BK419" s="76" t="b">
        <v>0</v>
      </c>
      <c r="BL419" s="76"/>
      <c r="BM419" s="76" t="s">
        <v>66</v>
      </c>
      <c r="BN419" s="76" t="s">
        <v>24937</v>
      </c>
      <c r="BO419" s="83" t="str">
        <f>HYPERLINK("https://twitter.com/afiliadolisboa")</f>
        <v>https://twitter.com/afiliadolisboa</v>
      </c>
      <c r="BP419" s="2"/>
    </row>
    <row r="420" spans="1:68" x14ac:dyDescent="0.25">
      <c r="A420" s="62" t="s">
        <v>619</v>
      </c>
      <c r="B420" s="63"/>
      <c r="C420" s="63"/>
      <c r="D420" s="64"/>
      <c r="E420" s="66"/>
      <c r="F420" s="102" t="str">
        <f>HYPERLINK("https://pbs.twimg.com/profile_images/1660791221873156096/tXdFUXBY_normal.jpg")</f>
        <v>https://pbs.twimg.com/profile_images/1660791221873156096/tXdFUXBY_normal.jpg</v>
      </c>
      <c r="G420" s="63"/>
      <c r="H420" s="67"/>
      <c r="I420" s="68"/>
      <c r="J420" s="68"/>
      <c r="K420" s="67" t="s">
        <v>25354</v>
      </c>
      <c r="L420" s="71"/>
      <c r="M420" s="72"/>
      <c r="N420" s="72"/>
      <c r="O420" s="73"/>
      <c r="P420" s="74"/>
      <c r="Q420" s="74"/>
      <c r="R420" s="86"/>
      <c r="S420" s="86"/>
      <c r="T420" s="86"/>
      <c r="U420" s="86"/>
      <c r="V420" s="48"/>
      <c r="W420" s="48"/>
      <c r="X420" s="48"/>
      <c r="Y420" s="48"/>
      <c r="Z420" s="47"/>
      <c r="AA420" s="69">
        <v>420</v>
      </c>
      <c r="AB420" s="69"/>
      <c r="AC420" s="70"/>
      <c r="AD420" s="76" t="s">
        <v>22224</v>
      </c>
      <c r="AE420" s="81" t="s">
        <v>21304</v>
      </c>
      <c r="AF420" s="76">
        <v>7</v>
      </c>
      <c r="AG420" s="76">
        <v>17</v>
      </c>
      <c r="AH420" s="76">
        <v>31</v>
      </c>
      <c r="AI420" s="76">
        <v>1</v>
      </c>
      <c r="AJ420" s="76">
        <v>26</v>
      </c>
      <c r="AK420" s="76">
        <v>2</v>
      </c>
      <c r="AL420" s="76" t="b">
        <v>0</v>
      </c>
      <c r="AM420" s="78">
        <v>44363.714421296296</v>
      </c>
      <c r="AN420" s="76"/>
      <c r="AO420" s="76" t="s">
        <v>23705</v>
      </c>
      <c r="AP420" s="76"/>
      <c r="AQ420" s="76"/>
      <c r="AR420" s="76"/>
      <c r="AS420" s="76"/>
      <c r="AT420" s="76"/>
      <c r="AU420" s="76"/>
      <c r="AV420" s="76"/>
      <c r="AW420" s="76"/>
      <c r="AX420" s="76" t="b">
        <v>0</v>
      </c>
      <c r="AY420" s="76"/>
      <c r="AZ420" s="76"/>
      <c r="BA420" s="76" t="b">
        <v>0</v>
      </c>
      <c r="BB420" s="76" t="b">
        <v>1</v>
      </c>
      <c r="BC420" s="76" t="b">
        <v>1</v>
      </c>
      <c r="BD420" s="76" t="b">
        <v>0</v>
      </c>
      <c r="BE420" s="76" t="b">
        <v>0</v>
      </c>
      <c r="BF420" s="76" t="b">
        <v>0</v>
      </c>
      <c r="BG420" s="76" t="b">
        <v>0</v>
      </c>
      <c r="BH420" s="83" t="str">
        <f>HYPERLINK("https://pbs.twimg.com/profile_banners/1405210708313264136/1681330674")</f>
        <v>https://pbs.twimg.com/profile_banners/1405210708313264136/1681330674</v>
      </c>
      <c r="BI420" s="76"/>
      <c r="BJ420" s="76" t="s">
        <v>24935</v>
      </c>
      <c r="BK420" s="76" t="b">
        <v>0</v>
      </c>
      <c r="BL420" s="76"/>
      <c r="BM420" s="76" t="s">
        <v>66</v>
      </c>
      <c r="BN420" s="76" t="s">
        <v>24937</v>
      </c>
      <c r="BO420" s="83" t="str">
        <f>HYPERLINK("https://twitter.com/ysmael_gomesz")</f>
        <v>https://twitter.com/ysmael_gomesz</v>
      </c>
      <c r="BP420" s="2"/>
    </row>
    <row r="421" spans="1:68" x14ac:dyDescent="0.25">
      <c r="A421" s="62" t="s">
        <v>620</v>
      </c>
      <c r="B421" s="63"/>
      <c r="C421" s="63"/>
      <c r="D421" s="64"/>
      <c r="E421" s="66"/>
      <c r="F421" s="102" t="str">
        <f>HYPERLINK("https://pbs.twimg.com/profile_images/1652461514815680512/glO8tog0_normal.jpg")</f>
        <v>https://pbs.twimg.com/profile_images/1652461514815680512/glO8tog0_normal.jpg</v>
      </c>
      <c r="G421" s="63"/>
      <c r="H421" s="67"/>
      <c r="I421" s="68"/>
      <c r="J421" s="68"/>
      <c r="K421" s="67" t="s">
        <v>25355</v>
      </c>
      <c r="L421" s="71"/>
      <c r="M421" s="72"/>
      <c r="N421" s="72"/>
      <c r="O421" s="73"/>
      <c r="P421" s="74"/>
      <c r="Q421" s="74"/>
      <c r="R421" s="86"/>
      <c r="S421" s="86"/>
      <c r="T421" s="86"/>
      <c r="U421" s="86"/>
      <c r="V421" s="48"/>
      <c r="W421" s="48"/>
      <c r="X421" s="48"/>
      <c r="Y421" s="48"/>
      <c r="Z421" s="47"/>
      <c r="AA421" s="69">
        <v>421</v>
      </c>
      <c r="AB421" s="69"/>
      <c r="AC421" s="70"/>
      <c r="AD421" s="76" t="s">
        <v>22225</v>
      </c>
      <c r="AE421" s="81" t="s">
        <v>21305</v>
      </c>
      <c r="AF421" s="76">
        <v>0</v>
      </c>
      <c r="AG421" s="76">
        <v>4</v>
      </c>
      <c r="AH421" s="76">
        <v>13</v>
      </c>
      <c r="AI421" s="76">
        <v>0</v>
      </c>
      <c r="AJ421" s="76">
        <v>1</v>
      </c>
      <c r="AK421" s="76">
        <v>6</v>
      </c>
      <c r="AL421" s="76" t="b">
        <v>0</v>
      </c>
      <c r="AM421" s="78">
        <v>45045.994664351849</v>
      </c>
      <c r="AN421" s="76"/>
      <c r="AO421" s="76" t="s">
        <v>23706</v>
      </c>
      <c r="AP421" s="83" t="str">
        <f>HYPERLINK("https://t.co/q4xLhWy11P")</f>
        <v>https://t.co/q4xLhWy11P</v>
      </c>
      <c r="AQ421" s="83" t="str">
        <f>HYPERLINK("http://instagram.com/leooomoraes")</f>
        <v>http://instagram.com/leooomoraes</v>
      </c>
      <c r="AR421" s="76" t="s">
        <v>24480</v>
      </c>
      <c r="AS421" s="76"/>
      <c r="AT421" s="76"/>
      <c r="AU421" s="76"/>
      <c r="AV421" s="76"/>
      <c r="AW421" s="83" t="str">
        <f>HYPERLINK("https://t.co/q4xLhWy11P")</f>
        <v>https://t.co/q4xLhWy11P</v>
      </c>
      <c r="AX421" s="76" t="b">
        <v>0</v>
      </c>
      <c r="AY421" s="76"/>
      <c r="AZ421" s="76"/>
      <c r="BA421" s="76" t="b">
        <v>0</v>
      </c>
      <c r="BB421" s="76" t="b">
        <v>1</v>
      </c>
      <c r="BC421" s="76" t="b">
        <v>1</v>
      </c>
      <c r="BD421" s="76" t="b">
        <v>0</v>
      </c>
      <c r="BE421" s="76" t="b">
        <v>0</v>
      </c>
      <c r="BF421" s="76" t="b">
        <v>0</v>
      </c>
      <c r="BG421" s="76" t="b">
        <v>0</v>
      </c>
      <c r="BH421" s="83" t="str">
        <f>HYPERLINK("https://pbs.twimg.com/profile_banners/1652460764211421184/1682812969")</f>
        <v>https://pbs.twimg.com/profile_banners/1652460764211421184/1682812969</v>
      </c>
      <c r="BI421" s="76"/>
      <c r="BJ421" s="76" t="s">
        <v>24935</v>
      </c>
      <c r="BK421" s="76" t="b">
        <v>0</v>
      </c>
      <c r="BL421" s="76"/>
      <c r="BM421" s="76" t="s">
        <v>66</v>
      </c>
      <c r="BN421" s="76" t="s">
        <v>24937</v>
      </c>
      <c r="BO421" s="83" t="str">
        <f>HYPERLINK("https://twitter.com/leormoraess")</f>
        <v>https://twitter.com/leormoraess</v>
      </c>
      <c r="BP421" s="2"/>
    </row>
    <row r="422" spans="1:68" x14ac:dyDescent="0.25">
      <c r="A422" s="62" t="s">
        <v>621</v>
      </c>
      <c r="B422" s="63"/>
      <c r="C422" s="63"/>
      <c r="D422" s="64"/>
      <c r="E422" s="66"/>
      <c r="F422" s="102" t="str">
        <f>HYPERLINK("https://pbs.twimg.com/profile_images/1008465601348751360/75PlTqWQ_normal.jpg")</f>
        <v>https://pbs.twimg.com/profile_images/1008465601348751360/75PlTqWQ_normal.jpg</v>
      </c>
      <c r="G422" s="63"/>
      <c r="H422" s="67"/>
      <c r="I422" s="68"/>
      <c r="J422" s="68"/>
      <c r="K422" s="67" t="s">
        <v>25356</v>
      </c>
      <c r="L422" s="71"/>
      <c r="M422" s="72"/>
      <c r="N422" s="72"/>
      <c r="O422" s="73"/>
      <c r="P422" s="74"/>
      <c r="Q422" s="74"/>
      <c r="R422" s="86"/>
      <c r="S422" s="86"/>
      <c r="T422" s="86"/>
      <c r="U422" s="86"/>
      <c r="V422" s="48"/>
      <c r="W422" s="48"/>
      <c r="X422" s="48"/>
      <c r="Y422" s="48"/>
      <c r="Z422" s="47"/>
      <c r="AA422" s="69">
        <v>422</v>
      </c>
      <c r="AB422" s="69"/>
      <c r="AC422" s="70"/>
      <c r="AD422" s="76" t="s">
        <v>22226</v>
      </c>
      <c r="AE422" s="81" t="s">
        <v>21306</v>
      </c>
      <c r="AF422" s="76">
        <v>48</v>
      </c>
      <c r="AG422" s="76">
        <v>317</v>
      </c>
      <c r="AH422" s="76">
        <v>393</v>
      </c>
      <c r="AI422" s="76">
        <v>0</v>
      </c>
      <c r="AJ422" s="76">
        <v>218</v>
      </c>
      <c r="AK422" s="76">
        <v>50</v>
      </c>
      <c r="AL422" s="76" t="b">
        <v>0</v>
      </c>
      <c r="AM422" s="78">
        <v>43268.900127314817</v>
      </c>
      <c r="AN422" s="76" t="s">
        <v>23197</v>
      </c>
      <c r="AO422" s="76" t="s">
        <v>23707</v>
      </c>
      <c r="AP422" s="76"/>
      <c r="AQ422" s="76"/>
      <c r="AR422" s="76"/>
      <c r="AS422" s="76"/>
      <c r="AT422" s="76"/>
      <c r="AU422" s="76"/>
      <c r="AV422" s="76"/>
      <c r="AW422" s="76"/>
      <c r="AX422" s="76" t="b">
        <v>0</v>
      </c>
      <c r="AY422" s="76"/>
      <c r="AZ422" s="76"/>
      <c r="BA422" s="76" t="b">
        <v>0</v>
      </c>
      <c r="BB422" s="76" t="b">
        <v>1</v>
      </c>
      <c r="BC422" s="76" t="b">
        <v>1</v>
      </c>
      <c r="BD422" s="76" t="b">
        <v>0</v>
      </c>
      <c r="BE422" s="76" t="b">
        <v>1</v>
      </c>
      <c r="BF422" s="76" t="b">
        <v>0</v>
      </c>
      <c r="BG422" s="76" t="b">
        <v>0</v>
      </c>
      <c r="BH422" s="83" t="str">
        <f>HYPERLINK("https://pbs.twimg.com/profile_banners/1008463339431874560/1533489271")</f>
        <v>https://pbs.twimg.com/profile_banners/1008463339431874560/1533489271</v>
      </c>
      <c r="BI422" s="76"/>
      <c r="BJ422" s="76" t="s">
        <v>24935</v>
      </c>
      <c r="BK422" s="76" t="b">
        <v>0</v>
      </c>
      <c r="BL422" s="76"/>
      <c r="BM422" s="76" t="s">
        <v>66</v>
      </c>
      <c r="BN422" s="76" t="s">
        <v>24937</v>
      </c>
      <c r="BO422" s="83" t="str">
        <f>HYPERLINK("https://twitter.com/emersonguerrei7")</f>
        <v>https://twitter.com/emersonguerrei7</v>
      </c>
      <c r="BP422" s="2"/>
    </row>
    <row r="423" spans="1:68" x14ac:dyDescent="0.25">
      <c r="A423" s="62" t="s">
        <v>622</v>
      </c>
      <c r="B423" s="63"/>
      <c r="C423" s="63"/>
      <c r="D423" s="64"/>
      <c r="E423" s="66"/>
      <c r="F423" s="102" t="str">
        <f>HYPERLINK("https://pbs.twimg.com/profile_images/1619366909505306625/p8mUjyIJ_normal.jpg")</f>
        <v>https://pbs.twimg.com/profile_images/1619366909505306625/p8mUjyIJ_normal.jpg</v>
      </c>
      <c r="G423" s="63"/>
      <c r="H423" s="67"/>
      <c r="I423" s="68"/>
      <c r="J423" s="68"/>
      <c r="K423" s="67" t="s">
        <v>25357</v>
      </c>
      <c r="L423" s="71"/>
      <c r="M423" s="72"/>
      <c r="N423" s="72"/>
      <c r="O423" s="73"/>
      <c r="P423" s="74"/>
      <c r="Q423" s="74"/>
      <c r="R423" s="86"/>
      <c r="S423" s="86"/>
      <c r="T423" s="86"/>
      <c r="U423" s="86"/>
      <c r="V423" s="48"/>
      <c r="W423" s="48"/>
      <c r="X423" s="48"/>
      <c r="Y423" s="48"/>
      <c r="Z423" s="47"/>
      <c r="AA423" s="69">
        <v>423</v>
      </c>
      <c r="AB423" s="69"/>
      <c r="AC423" s="70"/>
      <c r="AD423" s="76" t="s">
        <v>22227</v>
      </c>
      <c r="AE423" s="81" t="s">
        <v>21307</v>
      </c>
      <c r="AF423" s="76">
        <v>0</v>
      </c>
      <c r="AG423" s="76">
        <v>3</v>
      </c>
      <c r="AH423" s="76">
        <v>28</v>
      </c>
      <c r="AI423" s="76">
        <v>0</v>
      </c>
      <c r="AJ423" s="76">
        <v>1</v>
      </c>
      <c r="AK423" s="76">
        <v>1</v>
      </c>
      <c r="AL423" s="76" t="b">
        <v>0</v>
      </c>
      <c r="AM423" s="78">
        <v>44590.715486111112</v>
      </c>
      <c r="AN423" s="76"/>
      <c r="AO423" s="76" t="s">
        <v>23708</v>
      </c>
      <c r="AP423" s="83" t="str">
        <f>HYPERLINK("https://t.co/INV2SmGRkF")</f>
        <v>https://t.co/INV2SmGRkF</v>
      </c>
      <c r="AQ423" s="83" t="str">
        <f>HYPERLINK("https://bio.site/extraordinariasvip")</f>
        <v>https://bio.site/extraordinariasvip</v>
      </c>
      <c r="AR423" s="76" t="s">
        <v>24481</v>
      </c>
      <c r="AS423" s="76"/>
      <c r="AT423" s="76"/>
      <c r="AU423" s="76"/>
      <c r="AV423" s="76">
        <v>1.61900616710722E+18</v>
      </c>
      <c r="AW423" s="83" t="str">
        <f>HYPERLINK("https://t.co/INV2SmGRkF")</f>
        <v>https://t.co/INV2SmGRkF</v>
      </c>
      <c r="AX423" s="76" t="b">
        <v>0</v>
      </c>
      <c r="AY423" s="76"/>
      <c r="AZ423" s="76"/>
      <c r="BA423" s="76" t="b">
        <v>0</v>
      </c>
      <c r="BB423" s="76" t="b">
        <v>1</v>
      </c>
      <c r="BC423" s="76" t="b">
        <v>1</v>
      </c>
      <c r="BD423" s="76" t="b">
        <v>0</v>
      </c>
      <c r="BE423" s="76" t="b">
        <v>0</v>
      </c>
      <c r="BF423" s="76" t="b">
        <v>0</v>
      </c>
      <c r="BG423" s="76" t="b">
        <v>0</v>
      </c>
      <c r="BH423" s="83" t="str">
        <f>HYPERLINK("https://pbs.twimg.com/profile_banners/1487473055244947457/1674819846")</f>
        <v>https://pbs.twimg.com/profile_banners/1487473055244947457/1674819846</v>
      </c>
      <c r="BI423" s="76"/>
      <c r="BJ423" s="76" t="s">
        <v>24935</v>
      </c>
      <c r="BK423" s="76" t="b">
        <v>0</v>
      </c>
      <c r="BL423" s="76"/>
      <c r="BM423" s="76" t="s">
        <v>66</v>
      </c>
      <c r="BN423" s="76" t="s">
        <v>24937</v>
      </c>
      <c r="BO423" s="83" t="str">
        <f>HYPERLINK("https://twitter.com/lenkelma")</f>
        <v>https://twitter.com/lenkelma</v>
      </c>
      <c r="BP423" s="2"/>
    </row>
    <row r="424" spans="1:68" x14ac:dyDescent="0.25">
      <c r="A424" s="62" t="s">
        <v>623</v>
      </c>
      <c r="B424" s="63"/>
      <c r="C424" s="63"/>
      <c r="D424" s="64"/>
      <c r="E424" s="66"/>
      <c r="F424" s="102" t="str">
        <f>HYPERLINK("https://pbs.twimg.com/profile_images/1674530521135628288/AFbe6OnV_normal.jpg")</f>
        <v>https://pbs.twimg.com/profile_images/1674530521135628288/AFbe6OnV_normal.jpg</v>
      </c>
      <c r="G424" s="63"/>
      <c r="H424" s="67"/>
      <c r="I424" s="68"/>
      <c r="J424" s="68"/>
      <c r="K424" s="67" t="s">
        <v>25358</v>
      </c>
      <c r="L424" s="71"/>
      <c r="M424" s="72"/>
      <c r="N424" s="72"/>
      <c r="O424" s="73"/>
      <c r="P424" s="74"/>
      <c r="Q424" s="74"/>
      <c r="R424" s="86"/>
      <c r="S424" s="86"/>
      <c r="T424" s="86"/>
      <c r="U424" s="86"/>
      <c r="V424" s="48"/>
      <c r="W424" s="48"/>
      <c r="X424" s="48"/>
      <c r="Y424" s="48"/>
      <c r="Z424" s="47"/>
      <c r="AA424" s="69">
        <v>424</v>
      </c>
      <c r="AB424" s="69"/>
      <c r="AC424" s="70"/>
      <c r="AD424" s="76" t="s">
        <v>22228</v>
      </c>
      <c r="AE424" s="81" t="s">
        <v>22946</v>
      </c>
      <c r="AF424" s="76">
        <v>803</v>
      </c>
      <c r="AG424" s="76">
        <v>1333</v>
      </c>
      <c r="AH424" s="76">
        <v>73513</v>
      </c>
      <c r="AI424" s="76">
        <v>22</v>
      </c>
      <c r="AJ424" s="76">
        <v>132945</v>
      </c>
      <c r="AK424" s="76">
        <v>6038</v>
      </c>
      <c r="AL424" s="76" t="b">
        <v>0</v>
      </c>
      <c r="AM424" s="78">
        <v>41346.65829861111</v>
      </c>
      <c r="AN424" s="76" t="s">
        <v>23198</v>
      </c>
      <c r="AO424" s="76" t="s">
        <v>23709</v>
      </c>
      <c r="AP424" s="83" t="str">
        <f>HYPERLINK("https://t.co/BraSJ55468")</f>
        <v>https://t.co/BraSJ55468</v>
      </c>
      <c r="AQ424" s="83" t="str">
        <f>HYPERLINK("https://www.teudesejoss.com.br")</f>
        <v>https://www.teudesejoss.com.br</v>
      </c>
      <c r="AR424" s="76" t="s">
        <v>24482</v>
      </c>
      <c r="AS424" s="76"/>
      <c r="AT424" s="76"/>
      <c r="AU424" s="76"/>
      <c r="AV424" s="76">
        <v>1.67185843491907E+18</v>
      </c>
      <c r="AW424" s="83" t="str">
        <f>HYPERLINK("https://t.co/BraSJ55468")</f>
        <v>https://t.co/BraSJ55468</v>
      </c>
      <c r="AX424" s="76" t="b">
        <v>0</v>
      </c>
      <c r="AY424" s="76"/>
      <c r="AZ424" s="76"/>
      <c r="BA424" s="76" t="b">
        <v>1</v>
      </c>
      <c r="BB424" s="76" t="b">
        <v>0</v>
      </c>
      <c r="BC424" s="76" t="b">
        <v>0</v>
      </c>
      <c r="BD424" s="76" t="b">
        <v>0</v>
      </c>
      <c r="BE424" s="76" t="b">
        <v>1</v>
      </c>
      <c r="BF424" s="76" t="b">
        <v>0</v>
      </c>
      <c r="BG424" s="76" t="b">
        <v>0</v>
      </c>
      <c r="BH424" s="83" t="str">
        <f>HYPERLINK("https://pbs.twimg.com/profile_banners/1264784546/1688072159")</f>
        <v>https://pbs.twimg.com/profile_banners/1264784546/1688072159</v>
      </c>
      <c r="BI424" s="76"/>
      <c r="BJ424" s="76" t="s">
        <v>24935</v>
      </c>
      <c r="BK424" s="76" t="b">
        <v>0</v>
      </c>
      <c r="BL424" s="76"/>
      <c r="BM424" s="76" t="s">
        <v>66</v>
      </c>
      <c r="BN424" s="76" t="s">
        <v>24937</v>
      </c>
      <c r="BO424" s="83" t="str">
        <f>HYPERLINK("https://twitter.com/lena_patty")</f>
        <v>https://twitter.com/lena_patty</v>
      </c>
      <c r="BP424" s="2"/>
    </row>
    <row r="425" spans="1:68" x14ac:dyDescent="0.25">
      <c r="A425" s="62" t="s">
        <v>624</v>
      </c>
      <c r="B425" s="63"/>
      <c r="C425" s="63"/>
      <c r="D425" s="64"/>
      <c r="E425" s="66"/>
      <c r="F425" s="102" t="str">
        <f>HYPERLINK("https://pbs.twimg.com/profile_images/1622319042374631441/uH20iHCo_normal.jpg")</f>
        <v>https://pbs.twimg.com/profile_images/1622319042374631441/uH20iHCo_normal.jpg</v>
      </c>
      <c r="G425" s="63"/>
      <c r="H425" s="67"/>
      <c r="I425" s="68"/>
      <c r="J425" s="68"/>
      <c r="K425" s="67" t="s">
        <v>25359</v>
      </c>
      <c r="L425" s="71"/>
      <c r="M425" s="72"/>
      <c r="N425" s="72"/>
      <c r="O425" s="73"/>
      <c r="P425" s="74"/>
      <c r="Q425" s="74"/>
      <c r="R425" s="86"/>
      <c r="S425" s="86"/>
      <c r="T425" s="86"/>
      <c r="U425" s="86"/>
      <c r="V425" s="48"/>
      <c r="W425" s="48"/>
      <c r="X425" s="48"/>
      <c r="Y425" s="48"/>
      <c r="Z425" s="47"/>
      <c r="AA425" s="69">
        <v>425</v>
      </c>
      <c r="AB425" s="69"/>
      <c r="AC425" s="70"/>
      <c r="AD425" s="76" t="s">
        <v>22229</v>
      </c>
      <c r="AE425" s="81" t="s">
        <v>21308</v>
      </c>
      <c r="AF425" s="76">
        <v>1</v>
      </c>
      <c r="AG425" s="76">
        <v>14</v>
      </c>
      <c r="AH425" s="76">
        <v>117</v>
      </c>
      <c r="AI425" s="76">
        <v>0</v>
      </c>
      <c r="AJ425" s="76">
        <v>11</v>
      </c>
      <c r="AK425" s="76">
        <v>101</v>
      </c>
      <c r="AL425" s="76" t="b">
        <v>0</v>
      </c>
      <c r="AM425" s="78">
        <v>44955.037488425929</v>
      </c>
      <c r="AN425" s="76"/>
      <c r="AO425" s="76" t="s">
        <v>23710</v>
      </c>
      <c r="AP425" s="83" t="str">
        <f>HYPERLINK("https://t.co/5NY5vSe4Ez")</f>
        <v>https://t.co/5NY5vSe4Ez</v>
      </c>
      <c r="AQ425" s="83" t="str">
        <f>HYPERLINK("https://bit.ly/GanheDinheiroAssistindoVideosNoCelular")</f>
        <v>https://bit.ly/GanheDinheiroAssistindoVideosNoCelular</v>
      </c>
      <c r="AR425" s="76" t="s">
        <v>24483</v>
      </c>
      <c r="AS425" s="76"/>
      <c r="AT425" s="76"/>
      <c r="AU425" s="76"/>
      <c r="AV425" s="76"/>
      <c r="AW425" s="83" t="str">
        <f>HYPERLINK("https://t.co/5NY5vSe4Ez")</f>
        <v>https://t.co/5NY5vSe4Ez</v>
      </c>
      <c r="AX425" s="76" t="b">
        <v>0</v>
      </c>
      <c r="AY425" s="76"/>
      <c r="AZ425" s="76"/>
      <c r="BA425" s="76" t="b">
        <v>0</v>
      </c>
      <c r="BB425" s="76" t="b">
        <v>1</v>
      </c>
      <c r="BC425" s="76" t="b">
        <v>1</v>
      </c>
      <c r="BD425" s="76" t="b">
        <v>0</v>
      </c>
      <c r="BE425" s="76" t="b">
        <v>0</v>
      </c>
      <c r="BF425" s="76" t="b">
        <v>0</v>
      </c>
      <c r="BG425" s="76" t="b">
        <v>0</v>
      </c>
      <c r="BH425" s="83" t="str">
        <f>HYPERLINK("https://pbs.twimg.com/profile_banners/1619499002705092608/1675625975")</f>
        <v>https://pbs.twimg.com/profile_banners/1619499002705092608/1675625975</v>
      </c>
      <c r="BI425" s="76"/>
      <c r="BJ425" s="76" t="s">
        <v>24935</v>
      </c>
      <c r="BK425" s="76" t="b">
        <v>0</v>
      </c>
      <c r="BL425" s="76"/>
      <c r="BM425" s="76" t="s">
        <v>66</v>
      </c>
      <c r="BN425" s="76" t="s">
        <v>24937</v>
      </c>
      <c r="BO425" s="83" t="str">
        <f>HYPERLINK("https://twitter.com/assistindo_vid")</f>
        <v>https://twitter.com/assistindo_vid</v>
      </c>
      <c r="BP425" s="2"/>
    </row>
    <row r="426" spans="1:68" x14ac:dyDescent="0.25">
      <c r="A426" s="62" t="s">
        <v>625</v>
      </c>
      <c r="B426" s="63"/>
      <c r="C426" s="63"/>
      <c r="D426" s="64"/>
      <c r="E426" s="66"/>
      <c r="F426" s="102" t="str">
        <f>HYPERLINK("https://pbs.twimg.com/profile_images/378800000718374870/33bfcd0a80ce306ac6ccc0319dd844dd_normal.jpeg")</f>
        <v>https://pbs.twimg.com/profile_images/378800000718374870/33bfcd0a80ce306ac6ccc0319dd844dd_normal.jpeg</v>
      </c>
      <c r="G426" s="63"/>
      <c r="H426" s="67"/>
      <c r="I426" s="68"/>
      <c r="J426" s="68"/>
      <c r="K426" s="67" t="s">
        <v>25360</v>
      </c>
      <c r="L426" s="71"/>
      <c r="M426" s="72"/>
      <c r="N426" s="72"/>
      <c r="O426" s="73"/>
      <c r="P426" s="74"/>
      <c r="Q426" s="74"/>
      <c r="R426" s="86"/>
      <c r="S426" s="86"/>
      <c r="T426" s="86"/>
      <c r="U426" s="86"/>
      <c r="V426" s="48"/>
      <c r="W426" s="48"/>
      <c r="X426" s="48"/>
      <c r="Y426" s="48"/>
      <c r="Z426" s="47"/>
      <c r="AA426" s="69">
        <v>426</v>
      </c>
      <c r="AB426" s="69"/>
      <c r="AC426" s="70"/>
      <c r="AD426" s="76" t="s">
        <v>22230</v>
      </c>
      <c r="AE426" s="81" t="s">
        <v>20930</v>
      </c>
      <c r="AF426" s="76">
        <v>138</v>
      </c>
      <c r="AG426" s="76">
        <v>295</v>
      </c>
      <c r="AH426" s="76">
        <v>9776</v>
      </c>
      <c r="AI426" s="76">
        <v>0</v>
      </c>
      <c r="AJ426" s="76">
        <v>2639</v>
      </c>
      <c r="AK426" s="76">
        <v>147</v>
      </c>
      <c r="AL426" s="76" t="b">
        <v>0</v>
      </c>
      <c r="AM426" s="78">
        <v>40514.568159722221</v>
      </c>
      <c r="AN426" s="76"/>
      <c r="AO426" s="76" t="s">
        <v>23711</v>
      </c>
      <c r="AP426" s="83" t="str">
        <f>HYPERLINK("https://t.co/i3sBQU8Ut6")</f>
        <v>https://t.co/i3sBQU8Ut6</v>
      </c>
      <c r="AQ426" s="83" t="str">
        <f>HYPERLINK("http://homeofficevirtual.blogspot.com/?m=0")</f>
        <v>http://homeofficevirtual.blogspot.com/?m=0</v>
      </c>
      <c r="AR426" s="76" t="s">
        <v>24484</v>
      </c>
      <c r="AS426" s="76"/>
      <c r="AT426" s="76"/>
      <c r="AU426" s="76"/>
      <c r="AV426" s="76">
        <v>1.32269311575762E+18</v>
      </c>
      <c r="AW426" s="83" t="str">
        <f>HYPERLINK("https://t.co/i3sBQU8Ut6")</f>
        <v>https://t.co/i3sBQU8Ut6</v>
      </c>
      <c r="AX426" s="76" t="b">
        <v>0</v>
      </c>
      <c r="AY426" s="76"/>
      <c r="AZ426" s="76"/>
      <c r="BA426" s="76" t="b">
        <v>0</v>
      </c>
      <c r="BB426" s="76" t="b">
        <v>1</v>
      </c>
      <c r="BC426" s="76" t="b">
        <v>1</v>
      </c>
      <c r="BD426" s="76" t="b">
        <v>0</v>
      </c>
      <c r="BE426" s="76" t="b">
        <v>0</v>
      </c>
      <c r="BF426" s="76" t="b">
        <v>0</v>
      </c>
      <c r="BG426" s="76" t="b">
        <v>0</v>
      </c>
      <c r="BH426" s="76"/>
      <c r="BI426" s="76"/>
      <c r="BJ426" s="76" t="s">
        <v>24936</v>
      </c>
      <c r="BK426" s="76" t="b">
        <v>0</v>
      </c>
      <c r="BL426" s="76"/>
      <c r="BM426" s="76" t="s">
        <v>66</v>
      </c>
      <c r="BN426" s="76" t="s">
        <v>24937</v>
      </c>
      <c r="BO426" s="83" t="str">
        <f>HYPERLINK("https://twitter.com/weberede")</f>
        <v>https://twitter.com/weberede</v>
      </c>
      <c r="BP426" s="2"/>
    </row>
    <row r="427" spans="1:68" x14ac:dyDescent="0.25">
      <c r="A427" s="62" t="s">
        <v>626</v>
      </c>
      <c r="B427" s="63"/>
      <c r="C427" s="63"/>
      <c r="D427" s="64"/>
      <c r="E427" s="66"/>
      <c r="F427" s="102" t="str">
        <f>HYPERLINK("https://pbs.twimg.com/profile_images/1637610011391033344/ozDsQnWc_normal.jpg")</f>
        <v>https://pbs.twimg.com/profile_images/1637610011391033344/ozDsQnWc_normal.jpg</v>
      </c>
      <c r="G427" s="63"/>
      <c r="H427" s="67"/>
      <c r="I427" s="68"/>
      <c r="J427" s="68"/>
      <c r="K427" s="67" t="s">
        <v>25361</v>
      </c>
      <c r="L427" s="71"/>
      <c r="M427" s="72"/>
      <c r="N427" s="72"/>
      <c r="O427" s="73"/>
      <c r="P427" s="74"/>
      <c r="Q427" s="74"/>
      <c r="R427" s="86"/>
      <c r="S427" s="86"/>
      <c r="T427" s="86"/>
      <c r="U427" s="86"/>
      <c r="V427" s="48"/>
      <c r="W427" s="48"/>
      <c r="X427" s="48"/>
      <c r="Y427" s="48"/>
      <c r="Z427" s="47"/>
      <c r="AA427" s="69">
        <v>427</v>
      </c>
      <c r="AB427" s="69"/>
      <c r="AC427" s="70"/>
      <c r="AD427" s="76" t="s">
        <v>22231</v>
      </c>
      <c r="AE427" s="81" t="s">
        <v>21309</v>
      </c>
      <c r="AF427" s="76">
        <v>7</v>
      </c>
      <c r="AG427" s="76">
        <v>144</v>
      </c>
      <c r="AH427" s="76">
        <v>237</v>
      </c>
      <c r="AI427" s="76">
        <v>0</v>
      </c>
      <c r="AJ427" s="76">
        <v>153</v>
      </c>
      <c r="AK427" s="76">
        <v>117</v>
      </c>
      <c r="AL427" s="76" t="b">
        <v>0</v>
      </c>
      <c r="AM427" s="78">
        <v>44999.54587962963</v>
      </c>
      <c r="AN427" s="76" t="s">
        <v>14060</v>
      </c>
      <c r="AO427" s="76" t="s">
        <v>23712</v>
      </c>
      <c r="AP427" s="83" t="str">
        <f>HYPERLINK("https://t.co/0tszymG9Xu")</f>
        <v>https://t.co/0tszymG9Xu</v>
      </c>
      <c r="AQ427" s="83" t="str">
        <f>HYPERLINK("https://linktr.ee/magazinechennig")</f>
        <v>https://linktr.ee/magazinechennig</v>
      </c>
      <c r="AR427" s="76" t="s">
        <v>24485</v>
      </c>
      <c r="AS427" s="76"/>
      <c r="AT427" s="76"/>
      <c r="AU427" s="76"/>
      <c r="AV427" s="76"/>
      <c r="AW427" s="83" t="str">
        <f>HYPERLINK("https://t.co/0tszymG9Xu")</f>
        <v>https://t.co/0tszymG9Xu</v>
      </c>
      <c r="AX427" s="76" t="b">
        <v>0</v>
      </c>
      <c r="AY427" s="76"/>
      <c r="AZ427" s="76"/>
      <c r="BA427" s="76" t="b">
        <v>0</v>
      </c>
      <c r="BB427" s="76" t="b">
        <v>1</v>
      </c>
      <c r="BC427" s="76" t="b">
        <v>1</v>
      </c>
      <c r="BD427" s="76" t="b">
        <v>0</v>
      </c>
      <c r="BE427" s="76" t="b">
        <v>1</v>
      </c>
      <c r="BF427" s="76" t="b">
        <v>0</v>
      </c>
      <c r="BG427" s="76" t="b">
        <v>0</v>
      </c>
      <c r="BH427" s="83" t="str">
        <f>HYPERLINK("https://pbs.twimg.com/profile_banners/1635628163450404867/1679361261")</f>
        <v>https://pbs.twimg.com/profile_banners/1635628163450404867/1679361261</v>
      </c>
      <c r="BI427" s="76"/>
      <c r="BJ427" s="76" t="s">
        <v>24935</v>
      </c>
      <c r="BK427" s="76" t="b">
        <v>0</v>
      </c>
      <c r="BL427" s="76"/>
      <c r="BM427" s="76" t="s">
        <v>66</v>
      </c>
      <c r="BN427" s="76" t="s">
        <v>24937</v>
      </c>
      <c r="BO427" s="83" t="str">
        <f>HYPERLINK("https://twitter.com/magazinechennig")</f>
        <v>https://twitter.com/magazinechennig</v>
      </c>
      <c r="BP427" s="2"/>
    </row>
    <row r="428" spans="1:68" x14ac:dyDescent="0.25">
      <c r="A428" s="62" t="s">
        <v>627</v>
      </c>
      <c r="B428" s="63"/>
      <c r="C428" s="63"/>
      <c r="D428" s="64"/>
      <c r="E428" s="66"/>
      <c r="F428" s="102" t="str">
        <f>HYPERLINK("https://pbs.twimg.com/profile_images/1631725681733246995/lytBAuyI_normal.jpg")</f>
        <v>https://pbs.twimg.com/profile_images/1631725681733246995/lytBAuyI_normal.jpg</v>
      </c>
      <c r="G428" s="63"/>
      <c r="H428" s="67"/>
      <c r="I428" s="68"/>
      <c r="J428" s="68"/>
      <c r="K428" s="67" t="s">
        <v>25362</v>
      </c>
      <c r="L428" s="71"/>
      <c r="M428" s="72"/>
      <c r="N428" s="72"/>
      <c r="O428" s="73"/>
      <c r="P428" s="74"/>
      <c r="Q428" s="74"/>
      <c r="R428" s="86"/>
      <c r="S428" s="86"/>
      <c r="T428" s="86"/>
      <c r="U428" s="86"/>
      <c r="V428" s="48"/>
      <c r="W428" s="48"/>
      <c r="X428" s="48"/>
      <c r="Y428" s="48"/>
      <c r="Z428" s="47"/>
      <c r="AA428" s="69">
        <v>428</v>
      </c>
      <c r="AB428" s="69"/>
      <c r="AC428" s="70"/>
      <c r="AD428" s="76" t="s">
        <v>22232</v>
      </c>
      <c r="AE428" s="81" t="s">
        <v>21310</v>
      </c>
      <c r="AF428" s="76">
        <v>19</v>
      </c>
      <c r="AG428" s="76">
        <v>102</v>
      </c>
      <c r="AH428" s="76">
        <v>117</v>
      </c>
      <c r="AI428" s="76">
        <v>0</v>
      </c>
      <c r="AJ428" s="76">
        <v>181</v>
      </c>
      <c r="AK428" s="76">
        <v>47</v>
      </c>
      <c r="AL428" s="76" t="b">
        <v>0</v>
      </c>
      <c r="AM428" s="78">
        <v>44269.975312499999</v>
      </c>
      <c r="AN428" s="76" t="s">
        <v>23199</v>
      </c>
      <c r="AO428" s="76" t="s">
        <v>23713</v>
      </c>
      <c r="AP428" s="83" t="str">
        <f>HYPERLINK("https://t.co/Oe8DTeRAj4")</f>
        <v>https://t.co/Oe8DTeRAj4</v>
      </c>
      <c r="AQ428" s="83" t="str">
        <f>HYPERLINK("http://jaydenmiranda.art.blog")</f>
        <v>http://jaydenmiranda.art.blog</v>
      </c>
      <c r="AR428" s="76" t="s">
        <v>24486</v>
      </c>
      <c r="AS428" s="76"/>
      <c r="AT428" s="76"/>
      <c r="AU428" s="76"/>
      <c r="AV428" s="76"/>
      <c r="AW428" s="83" t="str">
        <f>HYPERLINK("https://t.co/Oe8DTeRAj4")</f>
        <v>https://t.co/Oe8DTeRAj4</v>
      </c>
      <c r="AX428" s="76" t="b">
        <v>0</v>
      </c>
      <c r="AY428" s="76"/>
      <c r="AZ428" s="76"/>
      <c r="BA428" s="76" t="b">
        <v>0</v>
      </c>
      <c r="BB428" s="76" t="b">
        <v>1</v>
      </c>
      <c r="BC428" s="76" t="b">
        <v>1</v>
      </c>
      <c r="BD428" s="76" t="b">
        <v>0</v>
      </c>
      <c r="BE428" s="76" t="b">
        <v>0</v>
      </c>
      <c r="BF428" s="76" t="b">
        <v>0</v>
      </c>
      <c r="BG428" s="76" t="b">
        <v>0</v>
      </c>
      <c r="BH428" s="83" t="str">
        <f>HYPERLINK("https://pbs.twimg.com/profile_banners/1371240767524646913/1686055785")</f>
        <v>https://pbs.twimg.com/profile_banners/1371240767524646913/1686055785</v>
      </c>
      <c r="BI428" s="76"/>
      <c r="BJ428" s="76" t="s">
        <v>24935</v>
      </c>
      <c r="BK428" s="76" t="b">
        <v>0</v>
      </c>
      <c r="BL428" s="76"/>
      <c r="BM428" s="76" t="s">
        <v>66</v>
      </c>
      <c r="BN428" s="76" t="s">
        <v>24937</v>
      </c>
      <c r="BO428" s="83" t="str">
        <f>HYPERLINK("https://twitter.com/jaydenmiranda18")</f>
        <v>https://twitter.com/jaydenmiranda18</v>
      </c>
      <c r="BP428" s="2"/>
    </row>
    <row r="429" spans="1:68" x14ac:dyDescent="0.25">
      <c r="A429" s="62" t="s">
        <v>628</v>
      </c>
      <c r="B429" s="63"/>
      <c r="C429" s="63"/>
      <c r="D429" s="64"/>
      <c r="E429" s="66"/>
      <c r="F429" s="102" t="str">
        <f>HYPERLINK("https://pbs.twimg.com/profile_images/1636225400228532224/Un1-ex7v_normal.jpg")</f>
        <v>https://pbs.twimg.com/profile_images/1636225400228532224/Un1-ex7v_normal.jpg</v>
      </c>
      <c r="G429" s="63"/>
      <c r="H429" s="67"/>
      <c r="I429" s="68"/>
      <c r="J429" s="68"/>
      <c r="K429" s="67" t="s">
        <v>25363</v>
      </c>
      <c r="L429" s="71"/>
      <c r="M429" s="72"/>
      <c r="N429" s="72"/>
      <c r="O429" s="73"/>
      <c r="P429" s="74"/>
      <c r="Q429" s="74"/>
      <c r="R429" s="86"/>
      <c r="S429" s="86"/>
      <c r="T429" s="86"/>
      <c r="U429" s="86"/>
      <c r="V429" s="48"/>
      <c r="W429" s="48"/>
      <c r="X429" s="48"/>
      <c r="Y429" s="48"/>
      <c r="Z429" s="47"/>
      <c r="AA429" s="69">
        <v>429</v>
      </c>
      <c r="AB429" s="69"/>
      <c r="AC429" s="70"/>
      <c r="AD429" s="76" t="s">
        <v>22233</v>
      </c>
      <c r="AE429" s="81" t="s">
        <v>21311</v>
      </c>
      <c r="AF429" s="76">
        <v>21</v>
      </c>
      <c r="AG429" s="76">
        <v>35</v>
      </c>
      <c r="AH429" s="76">
        <v>8</v>
      </c>
      <c r="AI429" s="76">
        <v>0</v>
      </c>
      <c r="AJ429" s="76">
        <v>0</v>
      </c>
      <c r="AK429" s="76">
        <v>7</v>
      </c>
      <c r="AL429" s="76" t="b">
        <v>0</v>
      </c>
      <c r="AM429" s="78">
        <v>44974.203645833331</v>
      </c>
      <c r="AN429" s="76"/>
      <c r="AO429" s="76"/>
      <c r="AP429" s="76"/>
      <c r="AQ429" s="76"/>
      <c r="AR429" s="76"/>
      <c r="AS429" s="76"/>
      <c r="AT429" s="76"/>
      <c r="AU429" s="76"/>
      <c r="AV429" s="76"/>
      <c r="AW429" s="76"/>
      <c r="AX429" s="76" t="b">
        <v>0</v>
      </c>
      <c r="AY429" s="76"/>
      <c r="AZ429" s="76"/>
      <c r="BA429" s="76" t="b">
        <v>0</v>
      </c>
      <c r="BB429" s="76" t="b">
        <v>1</v>
      </c>
      <c r="BC429" s="76" t="b">
        <v>1</v>
      </c>
      <c r="BD429" s="76" t="b">
        <v>0</v>
      </c>
      <c r="BE429" s="76" t="b">
        <v>1</v>
      </c>
      <c r="BF429" s="76" t="b">
        <v>0</v>
      </c>
      <c r="BG429" s="76" t="b">
        <v>0</v>
      </c>
      <c r="BH429" s="76"/>
      <c r="BI429" s="76"/>
      <c r="BJ429" s="76" t="s">
        <v>24935</v>
      </c>
      <c r="BK429" s="76" t="b">
        <v>0</v>
      </c>
      <c r="BL429" s="76"/>
      <c r="BM429" s="76" t="s">
        <v>66</v>
      </c>
      <c r="BN429" s="76" t="s">
        <v>24937</v>
      </c>
      <c r="BO429" s="83" t="str">
        <f>HYPERLINK("https://twitter.com/nperseguido")</f>
        <v>https://twitter.com/nperseguido</v>
      </c>
      <c r="BP429" s="2"/>
    </row>
    <row r="430" spans="1:68" x14ac:dyDescent="0.25">
      <c r="A430" s="62" t="s">
        <v>629</v>
      </c>
      <c r="B430" s="63"/>
      <c r="C430" s="63"/>
      <c r="D430" s="64"/>
      <c r="E430" s="66"/>
      <c r="F430" s="102" t="str">
        <f>HYPERLINK("https://pbs.twimg.com/profile_images/1637997023465963520/sPCsuh5e_normal.jpg")</f>
        <v>https://pbs.twimg.com/profile_images/1637997023465963520/sPCsuh5e_normal.jpg</v>
      </c>
      <c r="G430" s="63"/>
      <c r="H430" s="67"/>
      <c r="I430" s="68"/>
      <c r="J430" s="68"/>
      <c r="K430" s="67" t="s">
        <v>25364</v>
      </c>
      <c r="L430" s="71"/>
      <c r="M430" s="72"/>
      <c r="N430" s="72"/>
      <c r="O430" s="73"/>
      <c r="P430" s="74"/>
      <c r="Q430" s="74"/>
      <c r="R430" s="86"/>
      <c r="S430" s="86"/>
      <c r="T430" s="86"/>
      <c r="U430" s="86"/>
      <c r="V430" s="48"/>
      <c r="W430" s="48"/>
      <c r="X430" s="48"/>
      <c r="Y430" s="48"/>
      <c r="Z430" s="47"/>
      <c r="AA430" s="69">
        <v>430</v>
      </c>
      <c r="AB430" s="69"/>
      <c r="AC430" s="70"/>
      <c r="AD430" s="76" t="s">
        <v>22234</v>
      </c>
      <c r="AE430" s="81" t="s">
        <v>21312</v>
      </c>
      <c r="AF430" s="76">
        <v>0</v>
      </c>
      <c r="AG430" s="76">
        <v>0</v>
      </c>
      <c r="AH430" s="76">
        <v>2</v>
      </c>
      <c r="AI430" s="76">
        <v>0</v>
      </c>
      <c r="AJ430" s="76">
        <v>0</v>
      </c>
      <c r="AK430" s="76">
        <v>2</v>
      </c>
      <c r="AL430" s="76" t="b">
        <v>0</v>
      </c>
      <c r="AM430" s="78">
        <v>45006.080625000002</v>
      </c>
      <c r="AN430" s="76"/>
      <c r="AO430" s="76"/>
      <c r="AP430" s="76"/>
      <c r="AQ430" s="76"/>
      <c r="AR430" s="76"/>
      <c r="AS430" s="76"/>
      <c r="AT430" s="76"/>
      <c r="AU430" s="76"/>
      <c r="AV430" s="76"/>
      <c r="AW430" s="76"/>
      <c r="AX430" s="76" t="b">
        <v>0</v>
      </c>
      <c r="AY430" s="76"/>
      <c r="AZ430" s="76"/>
      <c r="BA430" s="76" t="b">
        <v>0</v>
      </c>
      <c r="BB430" s="76" t="b">
        <v>1</v>
      </c>
      <c r="BC430" s="76" t="b">
        <v>1</v>
      </c>
      <c r="BD430" s="76" t="b">
        <v>0</v>
      </c>
      <c r="BE430" s="76" t="b">
        <v>0</v>
      </c>
      <c r="BF430" s="76" t="b">
        <v>0</v>
      </c>
      <c r="BG430" s="76" t="b">
        <v>0</v>
      </c>
      <c r="BH430" s="76"/>
      <c r="BI430" s="76"/>
      <c r="BJ430" s="76" t="s">
        <v>24935</v>
      </c>
      <c r="BK430" s="76" t="b">
        <v>0</v>
      </c>
      <c r="BL430" s="76"/>
      <c r="BM430" s="76" t="s">
        <v>66</v>
      </c>
      <c r="BN430" s="76" t="s">
        <v>24937</v>
      </c>
      <c r="BO430" s="83" t="str">
        <f>HYPERLINK("https://twitter.com/ksouzzs81082")</f>
        <v>https://twitter.com/ksouzzs81082</v>
      </c>
      <c r="BP430" s="2"/>
    </row>
    <row r="431" spans="1:68" x14ac:dyDescent="0.25">
      <c r="A431" s="62" t="s">
        <v>630</v>
      </c>
      <c r="B431" s="63"/>
      <c r="C431" s="63"/>
      <c r="D431" s="64"/>
      <c r="E431" s="66"/>
      <c r="F431" s="102" t="str">
        <f>HYPERLINK("https://pbs.twimg.com/profile_images/1680635041703944195/Q7kX9oh7_normal.jpg")</f>
        <v>https://pbs.twimg.com/profile_images/1680635041703944195/Q7kX9oh7_normal.jpg</v>
      </c>
      <c r="G431" s="63"/>
      <c r="H431" s="67"/>
      <c r="I431" s="68"/>
      <c r="J431" s="68"/>
      <c r="K431" s="67" t="s">
        <v>25365</v>
      </c>
      <c r="L431" s="71"/>
      <c r="M431" s="72"/>
      <c r="N431" s="72"/>
      <c r="O431" s="73"/>
      <c r="P431" s="74"/>
      <c r="Q431" s="74"/>
      <c r="R431" s="86"/>
      <c r="S431" s="86"/>
      <c r="T431" s="86"/>
      <c r="U431" s="86"/>
      <c r="V431" s="48"/>
      <c r="W431" s="48"/>
      <c r="X431" s="48"/>
      <c r="Y431" s="48"/>
      <c r="Z431" s="47"/>
      <c r="AA431" s="69">
        <v>431</v>
      </c>
      <c r="AB431" s="69"/>
      <c r="AC431" s="70"/>
      <c r="AD431" s="76" t="s">
        <v>22235</v>
      </c>
      <c r="AE431" s="81" t="s">
        <v>21313</v>
      </c>
      <c r="AF431" s="76">
        <v>0</v>
      </c>
      <c r="AG431" s="76">
        <v>5</v>
      </c>
      <c r="AH431" s="76">
        <v>3</v>
      </c>
      <c r="AI431" s="76">
        <v>0</v>
      </c>
      <c r="AJ431" s="76">
        <v>0</v>
      </c>
      <c r="AK431" s="76">
        <v>1</v>
      </c>
      <c r="AL431" s="76" t="b">
        <v>0</v>
      </c>
      <c r="AM431" s="78">
        <v>45123.715543981481</v>
      </c>
      <c r="AN431" s="76" t="s">
        <v>14116</v>
      </c>
      <c r="AO431" s="76" t="s">
        <v>23714</v>
      </c>
      <c r="AP431" s="76"/>
      <c r="AQ431" s="76"/>
      <c r="AR431" s="76"/>
      <c r="AS431" s="76"/>
      <c r="AT431" s="76"/>
      <c r="AU431" s="76"/>
      <c r="AV431" s="76"/>
      <c r="AW431" s="76"/>
      <c r="AX431" s="76" t="b">
        <v>0</v>
      </c>
      <c r="AY431" s="76"/>
      <c r="AZ431" s="76"/>
      <c r="BA431" s="76" t="b">
        <v>0</v>
      </c>
      <c r="BB431" s="76" t="b">
        <v>1</v>
      </c>
      <c r="BC431" s="76" t="b">
        <v>1</v>
      </c>
      <c r="BD431" s="76" t="b">
        <v>0</v>
      </c>
      <c r="BE431" s="76" t="b">
        <v>0</v>
      </c>
      <c r="BF431" s="76" t="b">
        <v>0</v>
      </c>
      <c r="BG431" s="76" t="b">
        <v>0</v>
      </c>
      <c r="BH431" s="76"/>
      <c r="BI431" s="76"/>
      <c r="BJ431" s="76" t="s">
        <v>24935</v>
      </c>
      <c r="BK431" s="76" t="b">
        <v>0</v>
      </c>
      <c r="BL431" s="76"/>
      <c r="BM431" s="76" t="s">
        <v>66</v>
      </c>
      <c r="BN431" s="76" t="s">
        <v>24937</v>
      </c>
      <c r="BO431" s="83" t="str">
        <f>HYPERLINK("https://twitter.com/mariofehomeoff")</f>
        <v>https://twitter.com/mariofehomeoff</v>
      </c>
      <c r="BP431" s="2"/>
    </row>
    <row r="432" spans="1:68" x14ac:dyDescent="0.25">
      <c r="A432" s="62" t="s">
        <v>631</v>
      </c>
      <c r="B432" s="63"/>
      <c r="C432" s="63"/>
      <c r="D432" s="64"/>
      <c r="E432" s="66"/>
      <c r="F432" s="102" t="str">
        <f>HYPERLINK("https://pbs.twimg.com/profile_images/1594023128329588737/xmVcQJ02_normal.jpg")</f>
        <v>https://pbs.twimg.com/profile_images/1594023128329588737/xmVcQJ02_normal.jpg</v>
      </c>
      <c r="G432" s="63"/>
      <c r="H432" s="67"/>
      <c r="I432" s="68"/>
      <c r="J432" s="68"/>
      <c r="K432" s="67" t="s">
        <v>25366</v>
      </c>
      <c r="L432" s="71"/>
      <c r="M432" s="72"/>
      <c r="N432" s="72"/>
      <c r="O432" s="73"/>
      <c r="P432" s="74"/>
      <c r="Q432" s="74"/>
      <c r="R432" s="86"/>
      <c r="S432" s="86"/>
      <c r="T432" s="86"/>
      <c r="U432" s="86"/>
      <c r="V432" s="48"/>
      <c r="W432" s="48"/>
      <c r="X432" s="48"/>
      <c r="Y432" s="48"/>
      <c r="Z432" s="47"/>
      <c r="AA432" s="69">
        <v>432</v>
      </c>
      <c r="AB432" s="69"/>
      <c r="AC432" s="70"/>
      <c r="AD432" s="76" t="s">
        <v>22236</v>
      </c>
      <c r="AE432" s="81" t="s">
        <v>21314</v>
      </c>
      <c r="AF432" s="76">
        <v>133</v>
      </c>
      <c r="AG432" s="76">
        <v>552</v>
      </c>
      <c r="AH432" s="76">
        <v>581</v>
      </c>
      <c r="AI432" s="76">
        <v>0</v>
      </c>
      <c r="AJ432" s="76">
        <v>275</v>
      </c>
      <c r="AK432" s="76">
        <v>547</v>
      </c>
      <c r="AL432" s="76" t="b">
        <v>0</v>
      </c>
      <c r="AM432" s="78">
        <v>44263.769050925926</v>
      </c>
      <c r="AN432" s="76" t="s">
        <v>23200</v>
      </c>
      <c r="AO432" s="76" t="s">
        <v>23715</v>
      </c>
      <c r="AP432" s="83" t="str">
        <f>HYPERLINK("https://t.co/zyy3SeVHA7")</f>
        <v>https://t.co/zyy3SeVHA7</v>
      </c>
      <c r="AQ432" s="83" t="str">
        <f>HYPERLINK("https://go.hotmart.com/P46502529R")</f>
        <v>https://go.hotmart.com/P46502529R</v>
      </c>
      <c r="AR432" s="76" t="s">
        <v>24487</v>
      </c>
      <c r="AS432" s="76"/>
      <c r="AT432" s="76"/>
      <c r="AU432" s="76"/>
      <c r="AV432" s="76"/>
      <c r="AW432" s="83" t="str">
        <f>HYPERLINK("https://t.co/zyy3SeVHA7")</f>
        <v>https://t.co/zyy3SeVHA7</v>
      </c>
      <c r="AX432" s="76" t="b">
        <v>0</v>
      </c>
      <c r="AY432" s="76"/>
      <c r="AZ432" s="76"/>
      <c r="BA432" s="76" t="b">
        <v>1</v>
      </c>
      <c r="BB432" s="76" t="b">
        <v>1</v>
      </c>
      <c r="BC432" s="76" t="b">
        <v>1</v>
      </c>
      <c r="BD432" s="76" t="b">
        <v>0</v>
      </c>
      <c r="BE432" s="76" t="b">
        <v>0</v>
      </c>
      <c r="BF432" s="76" t="b">
        <v>0</v>
      </c>
      <c r="BG432" s="76" t="b">
        <v>0</v>
      </c>
      <c r="BH432" s="83" t="str">
        <f>HYPERLINK("https://pbs.twimg.com/profile_banners/1368991533622583299/1669861779")</f>
        <v>https://pbs.twimg.com/profile_banners/1368991533622583299/1669861779</v>
      </c>
      <c r="BI432" s="76"/>
      <c r="BJ432" s="76" t="s">
        <v>24935</v>
      </c>
      <c r="BK432" s="76" t="b">
        <v>0</v>
      </c>
      <c r="BL432" s="76"/>
      <c r="BM432" s="76" t="s">
        <v>66</v>
      </c>
      <c r="BN432" s="76" t="s">
        <v>24937</v>
      </c>
      <c r="BO432" s="83" t="str">
        <f>HYPERLINK("https://twitter.com/aprendareceita1")</f>
        <v>https://twitter.com/aprendareceita1</v>
      </c>
      <c r="BP432" s="2"/>
    </row>
    <row r="433" spans="1:68" x14ac:dyDescent="0.25">
      <c r="A433" s="62" t="s">
        <v>632</v>
      </c>
      <c r="B433" s="63"/>
      <c r="C433" s="63"/>
      <c r="D433" s="64"/>
      <c r="E433" s="66"/>
      <c r="F433" s="102" t="str">
        <f>HYPERLINK("https://pbs.twimg.com/profile_images/1661291489844948994/UfYihVCP_normal.jpg")</f>
        <v>https://pbs.twimg.com/profile_images/1661291489844948994/UfYihVCP_normal.jpg</v>
      </c>
      <c r="G433" s="63"/>
      <c r="H433" s="67"/>
      <c r="I433" s="68"/>
      <c r="J433" s="68"/>
      <c r="K433" s="67" t="s">
        <v>25367</v>
      </c>
      <c r="L433" s="71"/>
      <c r="M433" s="72"/>
      <c r="N433" s="72"/>
      <c r="O433" s="73"/>
      <c r="P433" s="74"/>
      <c r="Q433" s="74"/>
      <c r="R433" s="86"/>
      <c r="S433" s="86"/>
      <c r="T433" s="86"/>
      <c r="U433" s="86"/>
      <c r="V433" s="48"/>
      <c r="W433" s="48"/>
      <c r="X433" s="48"/>
      <c r="Y433" s="48"/>
      <c r="Z433" s="47"/>
      <c r="AA433" s="69">
        <v>433</v>
      </c>
      <c r="AB433" s="69"/>
      <c r="AC433" s="70"/>
      <c r="AD433" s="76" t="s">
        <v>22237</v>
      </c>
      <c r="AE433" s="81" t="s">
        <v>21315</v>
      </c>
      <c r="AF433" s="76">
        <v>10</v>
      </c>
      <c r="AG433" s="76">
        <v>6</v>
      </c>
      <c r="AH433" s="76">
        <v>323</v>
      </c>
      <c r="AI433" s="76">
        <v>0</v>
      </c>
      <c r="AJ433" s="76">
        <v>282</v>
      </c>
      <c r="AK433" s="76">
        <v>27</v>
      </c>
      <c r="AL433" s="76" t="b">
        <v>0</v>
      </c>
      <c r="AM433" s="78">
        <v>44861.837997685187</v>
      </c>
      <c r="AN433" s="76" t="s">
        <v>23199</v>
      </c>
      <c r="AO433" s="76" t="s">
        <v>23716</v>
      </c>
      <c r="AP433" s="83" t="str">
        <f>HYPERLINK("https://t.co/F2QDuPMagQ")</f>
        <v>https://t.co/F2QDuPMagQ</v>
      </c>
      <c r="AQ433" s="83" t="str">
        <f>HYPERLINK("https://bit.ly/3eBAUaC")</f>
        <v>https://bit.ly/3eBAUaC</v>
      </c>
      <c r="AR433" s="76" t="s">
        <v>24488</v>
      </c>
      <c r="AS433" s="76"/>
      <c r="AT433" s="76"/>
      <c r="AU433" s="76"/>
      <c r="AV433" s="76"/>
      <c r="AW433" s="83" t="str">
        <f>HYPERLINK("https://t.co/F2QDuPMagQ")</f>
        <v>https://t.co/F2QDuPMagQ</v>
      </c>
      <c r="AX433" s="76" t="b">
        <v>0</v>
      </c>
      <c r="AY433" s="76"/>
      <c r="AZ433" s="76"/>
      <c r="BA433" s="76" t="b">
        <v>0</v>
      </c>
      <c r="BB433" s="76" t="b">
        <v>1</v>
      </c>
      <c r="BC433" s="76" t="b">
        <v>1</v>
      </c>
      <c r="BD433" s="76" t="b">
        <v>0</v>
      </c>
      <c r="BE433" s="76" t="b">
        <v>0</v>
      </c>
      <c r="BF433" s="76" t="b">
        <v>0</v>
      </c>
      <c r="BG433" s="76" t="b">
        <v>0</v>
      </c>
      <c r="BH433" s="83" t="str">
        <f>HYPERLINK("https://pbs.twimg.com/profile_banners/1585724617783664640/1667903393")</f>
        <v>https://pbs.twimg.com/profile_banners/1585724617783664640/1667903393</v>
      </c>
      <c r="BI433" s="76"/>
      <c r="BJ433" s="76" t="s">
        <v>24935</v>
      </c>
      <c r="BK433" s="76" t="b">
        <v>0</v>
      </c>
      <c r="BL433" s="76"/>
      <c r="BM433" s="76" t="s">
        <v>66</v>
      </c>
      <c r="BN433" s="76" t="s">
        <v>24937</v>
      </c>
      <c r="BO433" s="83" t="str">
        <f>HYPERLINK("https://twitter.com/a_donnaire")</f>
        <v>https://twitter.com/a_donnaire</v>
      </c>
      <c r="BP433" s="2"/>
    </row>
    <row r="434" spans="1:68" x14ac:dyDescent="0.25">
      <c r="A434" s="62" t="s">
        <v>633</v>
      </c>
      <c r="B434" s="63"/>
      <c r="C434" s="63"/>
      <c r="D434" s="64"/>
      <c r="E434" s="66"/>
      <c r="F434" s="102" t="str">
        <f>HYPERLINK("https://pbs.twimg.com/profile_images/1686486903506489344/nkJqE8Hd_normal.jpg")</f>
        <v>https://pbs.twimg.com/profile_images/1686486903506489344/nkJqE8Hd_normal.jpg</v>
      </c>
      <c r="G434" s="63"/>
      <c r="H434" s="67"/>
      <c r="I434" s="68"/>
      <c r="J434" s="68"/>
      <c r="K434" s="67" t="s">
        <v>25368</v>
      </c>
      <c r="L434" s="71"/>
      <c r="M434" s="72"/>
      <c r="N434" s="72"/>
      <c r="O434" s="73"/>
      <c r="P434" s="74"/>
      <c r="Q434" s="74"/>
      <c r="R434" s="86"/>
      <c r="S434" s="86"/>
      <c r="T434" s="86"/>
      <c r="U434" s="86"/>
      <c r="V434" s="48"/>
      <c r="W434" s="48"/>
      <c r="X434" s="48"/>
      <c r="Y434" s="48"/>
      <c r="Z434" s="47"/>
      <c r="AA434" s="69">
        <v>434</v>
      </c>
      <c r="AB434" s="69"/>
      <c r="AC434" s="70"/>
      <c r="AD434" s="76" t="s">
        <v>22238</v>
      </c>
      <c r="AE434" s="81" t="s">
        <v>21316</v>
      </c>
      <c r="AF434" s="76">
        <v>12</v>
      </c>
      <c r="AG434" s="76">
        <v>73</v>
      </c>
      <c r="AH434" s="76">
        <v>171</v>
      </c>
      <c r="AI434" s="76">
        <v>0</v>
      </c>
      <c r="AJ434" s="76">
        <v>177</v>
      </c>
      <c r="AK434" s="76">
        <v>46</v>
      </c>
      <c r="AL434" s="76" t="b">
        <v>0</v>
      </c>
      <c r="AM434" s="78">
        <v>44314.146631944444</v>
      </c>
      <c r="AN434" s="76" t="s">
        <v>14041</v>
      </c>
      <c r="AO434" s="76" t="s">
        <v>23717</v>
      </c>
      <c r="AP434" s="83" t="str">
        <f>HYPERLINK("https://t.co/j2UjGos0b2")</f>
        <v>https://t.co/j2UjGos0b2</v>
      </c>
      <c r="AQ434" s="83" t="str">
        <f>HYPERLINK("https://youtube.com/@Urzeke?si=pdolDdk12mKYkDZs")</f>
        <v>https://youtube.com/@Urzeke?si=pdolDdk12mKYkDZs</v>
      </c>
      <c r="AR434" s="76" t="s">
        <v>24489</v>
      </c>
      <c r="AS434" s="76"/>
      <c r="AT434" s="76"/>
      <c r="AU434" s="76"/>
      <c r="AV434" s="76"/>
      <c r="AW434" s="83" t="str">
        <f>HYPERLINK("https://t.co/j2UjGos0b2")</f>
        <v>https://t.co/j2UjGos0b2</v>
      </c>
      <c r="AX434" s="76" t="b">
        <v>0</v>
      </c>
      <c r="AY434" s="76"/>
      <c r="AZ434" s="76"/>
      <c r="BA434" s="76" t="b">
        <v>0</v>
      </c>
      <c r="BB434" s="76" t="b">
        <v>1</v>
      </c>
      <c r="BC434" s="76" t="b">
        <v>1</v>
      </c>
      <c r="BD434" s="76" t="b">
        <v>0</v>
      </c>
      <c r="BE434" s="76" t="b">
        <v>0</v>
      </c>
      <c r="BF434" s="76" t="b">
        <v>0</v>
      </c>
      <c r="BG434" s="76" t="b">
        <v>0</v>
      </c>
      <c r="BH434" s="83" t="str">
        <f>HYPERLINK("https://pbs.twimg.com/profile_banners/1387247964838670339/1690495369")</f>
        <v>https://pbs.twimg.com/profile_banners/1387247964838670339/1690495369</v>
      </c>
      <c r="BI434" s="76"/>
      <c r="BJ434" s="76" t="s">
        <v>24935</v>
      </c>
      <c r="BK434" s="76" t="b">
        <v>0</v>
      </c>
      <c r="BL434" s="76"/>
      <c r="BM434" s="76" t="s">
        <v>66</v>
      </c>
      <c r="BN434" s="76" t="s">
        <v>24937</v>
      </c>
      <c r="BO434" s="83" t="str">
        <f>HYPERLINK("https://twitter.com/urzekeofc")</f>
        <v>https://twitter.com/urzekeofc</v>
      </c>
      <c r="BP434" s="2"/>
    </row>
    <row r="435" spans="1:68" x14ac:dyDescent="0.25">
      <c r="A435" s="62" t="s">
        <v>634</v>
      </c>
      <c r="B435" s="63"/>
      <c r="C435" s="63"/>
      <c r="D435" s="64"/>
      <c r="E435" s="66"/>
      <c r="F435" s="102" t="str">
        <f>HYPERLINK("https://pbs.twimg.com/profile_images/1630258602236600320/-r0mXiUx_normal.jpg")</f>
        <v>https://pbs.twimg.com/profile_images/1630258602236600320/-r0mXiUx_normal.jpg</v>
      </c>
      <c r="G435" s="63"/>
      <c r="H435" s="67"/>
      <c r="I435" s="68"/>
      <c r="J435" s="68"/>
      <c r="K435" s="67" t="s">
        <v>25369</v>
      </c>
      <c r="L435" s="71"/>
      <c r="M435" s="72"/>
      <c r="N435" s="72"/>
      <c r="O435" s="73"/>
      <c r="P435" s="74"/>
      <c r="Q435" s="74"/>
      <c r="R435" s="86"/>
      <c r="S435" s="86"/>
      <c r="T435" s="86"/>
      <c r="U435" s="86"/>
      <c r="V435" s="48"/>
      <c r="W435" s="48"/>
      <c r="X435" s="48"/>
      <c r="Y435" s="48"/>
      <c r="Z435" s="47"/>
      <c r="AA435" s="69">
        <v>435</v>
      </c>
      <c r="AB435" s="69"/>
      <c r="AC435" s="70"/>
      <c r="AD435" s="76" t="s">
        <v>22239</v>
      </c>
      <c r="AE435" s="81" t="s">
        <v>21317</v>
      </c>
      <c r="AF435" s="76">
        <v>1</v>
      </c>
      <c r="AG435" s="76">
        <v>9</v>
      </c>
      <c r="AH435" s="76">
        <v>3</v>
      </c>
      <c r="AI435" s="76">
        <v>0</v>
      </c>
      <c r="AJ435" s="76">
        <v>0</v>
      </c>
      <c r="AK435" s="76">
        <v>3</v>
      </c>
      <c r="AL435" s="76" t="b">
        <v>0</v>
      </c>
      <c r="AM435" s="78">
        <v>44984.723449074074</v>
      </c>
      <c r="AN435" s="76"/>
      <c r="AO435" s="76" t="s">
        <v>23718</v>
      </c>
      <c r="AP435" s="76"/>
      <c r="AQ435" s="76"/>
      <c r="AR435" s="76"/>
      <c r="AS435" s="76"/>
      <c r="AT435" s="76"/>
      <c r="AU435" s="76"/>
      <c r="AV435" s="76"/>
      <c r="AW435" s="76"/>
      <c r="AX435" s="76" t="b">
        <v>0</v>
      </c>
      <c r="AY435" s="76"/>
      <c r="AZ435" s="76"/>
      <c r="BA435" s="76" t="b">
        <v>0</v>
      </c>
      <c r="BB435" s="76" t="b">
        <v>1</v>
      </c>
      <c r="BC435" s="76" t="b">
        <v>1</v>
      </c>
      <c r="BD435" s="76" t="b">
        <v>0</v>
      </c>
      <c r="BE435" s="76" t="b">
        <v>0</v>
      </c>
      <c r="BF435" s="76" t="b">
        <v>0</v>
      </c>
      <c r="BG435" s="76" t="b">
        <v>0</v>
      </c>
      <c r="BH435" s="83" t="str">
        <f>HYPERLINK("https://pbs.twimg.com/profile_banners/1630256759842521088/1677518914")</f>
        <v>https://pbs.twimg.com/profile_banners/1630256759842521088/1677518914</v>
      </c>
      <c r="BI435" s="76"/>
      <c r="BJ435" s="76" t="s">
        <v>24935</v>
      </c>
      <c r="BK435" s="76" t="b">
        <v>0</v>
      </c>
      <c r="BL435" s="76"/>
      <c r="BM435" s="76" t="s">
        <v>66</v>
      </c>
      <c r="BN435" s="76" t="s">
        <v>24937</v>
      </c>
      <c r="BO435" s="83" t="str">
        <f>HYPERLINK("https://twitter.com/ias_homeoffice")</f>
        <v>https://twitter.com/ias_homeoffice</v>
      </c>
      <c r="BP435" s="2"/>
    </row>
    <row r="436" spans="1:68" x14ac:dyDescent="0.25">
      <c r="A436" s="62" t="s">
        <v>635</v>
      </c>
      <c r="B436" s="63"/>
      <c r="C436" s="63"/>
      <c r="D436" s="64"/>
      <c r="E436" s="66"/>
      <c r="F436" s="102" t="str">
        <f>HYPERLINK("https://pbs.twimg.com/profile_images/1692729253584924673/1mRuuALa_normal.jpg")</f>
        <v>https://pbs.twimg.com/profile_images/1692729253584924673/1mRuuALa_normal.jpg</v>
      </c>
      <c r="G436" s="63"/>
      <c r="H436" s="67"/>
      <c r="I436" s="68"/>
      <c r="J436" s="68"/>
      <c r="K436" s="67" t="s">
        <v>25370</v>
      </c>
      <c r="L436" s="71"/>
      <c r="M436" s="72"/>
      <c r="N436" s="72"/>
      <c r="O436" s="73"/>
      <c r="P436" s="74"/>
      <c r="Q436" s="74"/>
      <c r="R436" s="86"/>
      <c r="S436" s="86"/>
      <c r="T436" s="86"/>
      <c r="U436" s="86"/>
      <c r="V436" s="48"/>
      <c r="W436" s="48"/>
      <c r="X436" s="48"/>
      <c r="Y436" s="48"/>
      <c r="Z436" s="47"/>
      <c r="AA436" s="69">
        <v>436</v>
      </c>
      <c r="AB436" s="69"/>
      <c r="AC436" s="70"/>
      <c r="AD436" s="76" t="s">
        <v>22240</v>
      </c>
      <c r="AE436" s="81" t="s">
        <v>20931</v>
      </c>
      <c r="AF436" s="76">
        <v>23</v>
      </c>
      <c r="AG436" s="76">
        <v>115</v>
      </c>
      <c r="AH436" s="76">
        <v>226</v>
      </c>
      <c r="AI436" s="76">
        <v>0</v>
      </c>
      <c r="AJ436" s="76">
        <v>7535</v>
      </c>
      <c r="AK436" s="76">
        <v>7</v>
      </c>
      <c r="AL436" s="76" t="b">
        <v>0</v>
      </c>
      <c r="AM436" s="78">
        <v>41080.875115740739</v>
      </c>
      <c r="AN436" s="76"/>
      <c r="AO436" s="76" t="s">
        <v>23719</v>
      </c>
      <c r="AP436" s="76"/>
      <c r="AQ436" s="76"/>
      <c r="AR436" s="76"/>
      <c r="AS436" s="76"/>
      <c r="AT436" s="76"/>
      <c r="AU436" s="76"/>
      <c r="AV436" s="76">
        <v>1.6915931038770501E+18</v>
      </c>
      <c r="AW436" s="76"/>
      <c r="AX436" s="76" t="b">
        <v>0</v>
      </c>
      <c r="AY436" s="76"/>
      <c r="AZ436" s="76"/>
      <c r="BA436" s="76" t="b">
        <v>0</v>
      </c>
      <c r="BB436" s="76" t="b">
        <v>1</v>
      </c>
      <c r="BC436" s="76" t="b">
        <v>1</v>
      </c>
      <c r="BD436" s="76" t="b">
        <v>0</v>
      </c>
      <c r="BE436" s="76" t="b">
        <v>0</v>
      </c>
      <c r="BF436" s="76" t="b">
        <v>0</v>
      </c>
      <c r="BG436" s="76" t="b">
        <v>0</v>
      </c>
      <c r="BH436" s="83" t="str">
        <f>HYPERLINK("https://pbs.twimg.com/profile_banners/613757749/1679517778")</f>
        <v>https://pbs.twimg.com/profile_banners/613757749/1679517778</v>
      </c>
      <c r="BI436" s="76"/>
      <c r="BJ436" s="76" t="s">
        <v>24935</v>
      </c>
      <c r="BK436" s="76" t="b">
        <v>0</v>
      </c>
      <c r="BL436" s="76"/>
      <c r="BM436" s="76" t="s">
        <v>66</v>
      </c>
      <c r="BN436" s="76" t="s">
        <v>24937</v>
      </c>
      <c r="BO436" s="83" t="str">
        <f>HYPERLINK("https://twitter.com/marcelogagarin")</f>
        <v>https://twitter.com/marcelogagarin</v>
      </c>
      <c r="BP436" s="2"/>
    </row>
    <row r="437" spans="1:68" x14ac:dyDescent="0.25">
      <c r="A437" s="62" t="s">
        <v>636</v>
      </c>
      <c r="B437" s="63"/>
      <c r="C437" s="63"/>
      <c r="D437" s="64"/>
      <c r="E437" s="66"/>
      <c r="F437" s="102" t="str">
        <f>HYPERLINK("https://pbs.twimg.com/profile_images/1664426162972422145/tYAEdsxn_normal.jpg")</f>
        <v>https://pbs.twimg.com/profile_images/1664426162972422145/tYAEdsxn_normal.jpg</v>
      </c>
      <c r="G437" s="63"/>
      <c r="H437" s="67"/>
      <c r="I437" s="68"/>
      <c r="J437" s="68"/>
      <c r="K437" s="67" t="s">
        <v>25371</v>
      </c>
      <c r="L437" s="71"/>
      <c r="M437" s="72"/>
      <c r="N437" s="72"/>
      <c r="O437" s="73"/>
      <c r="P437" s="74"/>
      <c r="Q437" s="74"/>
      <c r="R437" s="86"/>
      <c r="S437" s="86"/>
      <c r="T437" s="86"/>
      <c r="U437" s="86"/>
      <c r="V437" s="48"/>
      <c r="W437" s="48"/>
      <c r="X437" s="48"/>
      <c r="Y437" s="48"/>
      <c r="Z437" s="47"/>
      <c r="AA437" s="69">
        <v>437</v>
      </c>
      <c r="AB437" s="69"/>
      <c r="AC437" s="70"/>
      <c r="AD437" s="76" t="s">
        <v>636</v>
      </c>
      <c r="AE437" s="81" t="s">
        <v>21318</v>
      </c>
      <c r="AF437" s="76">
        <v>0</v>
      </c>
      <c r="AG437" s="76">
        <v>0</v>
      </c>
      <c r="AH437" s="76">
        <v>4</v>
      </c>
      <c r="AI437" s="76">
        <v>0</v>
      </c>
      <c r="AJ437" s="76">
        <v>0</v>
      </c>
      <c r="AK437" s="76">
        <v>4</v>
      </c>
      <c r="AL437" s="76" t="b">
        <v>0</v>
      </c>
      <c r="AM437" s="78">
        <v>45079.003935185188</v>
      </c>
      <c r="AN437" s="76" t="s">
        <v>14051</v>
      </c>
      <c r="AO437" s="76" t="s">
        <v>23720</v>
      </c>
      <c r="AP437" s="83" t="str">
        <f>HYPERLINK("https://t.co/JpH9B8OMjB")</f>
        <v>https://t.co/JpH9B8OMjB</v>
      </c>
      <c r="AQ437" s="83" t="str">
        <f>HYPERLINK("https://wa.me/message/GISPAVZALA5VG1")</f>
        <v>https://wa.me/message/GISPAVZALA5VG1</v>
      </c>
      <c r="AR437" s="76" t="s">
        <v>24490</v>
      </c>
      <c r="AS437" s="76"/>
      <c r="AT437" s="76"/>
      <c r="AU437" s="76"/>
      <c r="AV437" s="76"/>
      <c r="AW437" s="83" t="str">
        <f>HYPERLINK("https://t.co/JpH9B8OMjB")</f>
        <v>https://t.co/JpH9B8OMjB</v>
      </c>
      <c r="AX437" s="76" t="b">
        <v>0</v>
      </c>
      <c r="AY437" s="76"/>
      <c r="AZ437" s="76"/>
      <c r="BA437" s="76" t="b">
        <v>0</v>
      </c>
      <c r="BB437" s="76" t="b">
        <v>1</v>
      </c>
      <c r="BC437" s="76" t="b">
        <v>1</v>
      </c>
      <c r="BD437" s="76" t="b">
        <v>0</v>
      </c>
      <c r="BE437" s="76" t="b">
        <v>0</v>
      </c>
      <c r="BF437" s="76" t="b">
        <v>0</v>
      </c>
      <c r="BG437" s="76" t="b">
        <v>0</v>
      </c>
      <c r="BH437" s="83" t="str">
        <f>HYPERLINK("https://pbs.twimg.com/profile_banners/1664422953847517185/1685665135")</f>
        <v>https://pbs.twimg.com/profile_banners/1664422953847517185/1685665135</v>
      </c>
      <c r="BI437" s="76"/>
      <c r="BJ437" s="76" t="s">
        <v>24935</v>
      </c>
      <c r="BK437" s="76" t="b">
        <v>0</v>
      </c>
      <c r="BL437" s="76"/>
      <c r="BM437" s="76" t="s">
        <v>66</v>
      </c>
      <c r="BN437" s="76" t="s">
        <v>24937</v>
      </c>
      <c r="BO437" s="83" t="str">
        <f>HYPERLINK("https://twitter.com/amandamorim5")</f>
        <v>https://twitter.com/amandamorim5</v>
      </c>
      <c r="BP437" s="2"/>
    </row>
    <row r="438" spans="1:68" x14ac:dyDescent="0.25">
      <c r="A438" s="62" t="s">
        <v>637</v>
      </c>
      <c r="B438" s="63"/>
      <c r="C438" s="63"/>
      <c r="D438" s="64"/>
      <c r="E438" s="66"/>
      <c r="F438" s="102" t="str">
        <f>HYPERLINK("https://pbs.twimg.com/profile_images/1687530896004415494/JSVRdGgw_normal.jpg")</f>
        <v>https://pbs.twimg.com/profile_images/1687530896004415494/JSVRdGgw_normal.jpg</v>
      </c>
      <c r="G438" s="63"/>
      <c r="H438" s="67"/>
      <c r="I438" s="68"/>
      <c r="J438" s="68"/>
      <c r="K438" s="67" t="s">
        <v>25372</v>
      </c>
      <c r="L438" s="71"/>
      <c r="M438" s="72"/>
      <c r="N438" s="72"/>
      <c r="O438" s="73"/>
      <c r="P438" s="74"/>
      <c r="Q438" s="74"/>
      <c r="R438" s="86"/>
      <c r="S438" s="86"/>
      <c r="T438" s="86"/>
      <c r="U438" s="86"/>
      <c r="V438" s="48"/>
      <c r="W438" s="48"/>
      <c r="X438" s="48"/>
      <c r="Y438" s="48"/>
      <c r="Z438" s="47"/>
      <c r="AA438" s="69">
        <v>438</v>
      </c>
      <c r="AB438" s="69"/>
      <c r="AC438" s="70"/>
      <c r="AD438" s="76" t="s">
        <v>22241</v>
      </c>
      <c r="AE438" s="81" t="s">
        <v>21319</v>
      </c>
      <c r="AF438" s="76">
        <v>5</v>
      </c>
      <c r="AG438" s="76">
        <v>77</v>
      </c>
      <c r="AH438" s="76">
        <v>2</v>
      </c>
      <c r="AI438" s="76">
        <v>0</v>
      </c>
      <c r="AJ438" s="76">
        <v>5</v>
      </c>
      <c r="AK438" s="76">
        <v>2</v>
      </c>
      <c r="AL438" s="76" t="b">
        <v>0</v>
      </c>
      <c r="AM438" s="78">
        <v>45142.768333333333</v>
      </c>
      <c r="AN438" s="76" t="s">
        <v>14116</v>
      </c>
      <c r="AO438" s="76" t="s">
        <v>23721</v>
      </c>
      <c r="AP438" s="83" t="str">
        <f>HYPERLINK("https://t.co/vNBm44Jw3t")</f>
        <v>https://t.co/vNBm44Jw3t</v>
      </c>
      <c r="AQ438" s="83" t="str">
        <f>HYPERLINK("https://starbetsonline.com/afiliados/tawanx10")</f>
        <v>https://starbetsonline.com/afiliados/tawanx10</v>
      </c>
      <c r="AR438" s="76" t="s">
        <v>24491</v>
      </c>
      <c r="AS438" s="76"/>
      <c r="AT438" s="76"/>
      <c r="AU438" s="76"/>
      <c r="AV438" s="76"/>
      <c r="AW438" s="83" t="str">
        <f>HYPERLINK("https://t.co/vNBm44Jw3t")</f>
        <v>https://t.co/vNBm44Jw3t</v>
      </c>
      <c r="AX438" s="76" t="b">
        <v>0</v>
      </c>
      <c r="AY438" s="76"/>
      <c r="AZ438" s="76"/>
      <c r="BA438" s="76" t="b">
        <v>0</v>
      </c>
      <c r="BB438" s="76" t="b">
        <v>1</v>
      </c>
      <c r="BC438" s="76" t="b">
        <v>1</v>
      </c>
      <c r="BD438" s="76" t="b">
        <v>0</v>
      </c>
      <c r="BE438" s="76" t="b">
        <v>0</v>
      </c>
      <c r="BF438" s="76" t="b">
        <v>0</v>
      </c>
      <c r="BG438" s="76" t="b">
        <v>0</v>
      </c>
      <c r="BH438" s="76"/>
      <c r="BI438" s="76"/>
      <c r="BJ438" s="76" t="s">
        <v>24935</v>
      </c>
      <c r="BK438" s="76" t="b">
        <v>0</v>
      </c>
      <c r="BL438" s="76"/>
      <c r="BM438" s="76" t="s">
        <v>66</v>
      </c>
      <c r="BN438" s="76" t="s">
        <v>24937</v>
      </c>
      <c r="BO438" s="83" t="str">
        <f>HYPERLINK("https://twitter.com/starbetsrj")</f>
        <v>https://twitter.com/starbetsrj</v>
      </c>
      <c r="BP438" s="2"/>
    </row>
    <row r="439" spans="1:68" x14ac:dyDescent="0.25">
      <c r="A439" s="62" t="s">
        <v>638</v>
      </c>
      <c r="B439" s="63"/>
      <c r="C439" s="63"/>
      <c r="D439" s="64"/>
      <c r="E439" s="66"/>
      <c r="F439" s="102" t="str">
        <f>HYPERLINK("https://pbs.twimg.com/profile_images/1662826266632781835/PgEG8MHs_normal.jpg")</f>
        <v>https://pbs.twimg.com/profile_images/1662826266632781835/PgEG8MHs_normal.jpg</v>
      </c>
      <c r="G439" s="63"/>
      <c r="H439" s="67"/>
      <c r="I439" s="68"/>
      <c r="J439" s="68"/>
      <c r="K439" s="67" t="s">
        <v>25373</v>
      </c>
      <c r="L439" s="71"/>
      <c r="M439" s="72"/>
      <c r="N439" s="72"/>
      <c r="O439" s="73"/>
      <c r="P439" s="74"/>
      <c r="Q439" s="74"/>
      <c r="R439" s="86"/>
      <c r="S439" s="86"/>
      <c r="T439" s="86"/>
      <c r="U439" s="86"/>
      <c r="V439" s="48"/>
      <c r="W439" s="48"/>
      <c r="X439" s="48"/>
      <c r="Y439" s="48"/>
      <c r="Z439" s="47"/>
      <c r="AA439" s="69">
        <v>439</v>
      </c>
      <c r="AB439" s="69"/>
      <c r="AC439" s="70"/>
      <c r="AD439" s="76" t="s">
        <v>22242</v>
      </c>
      <c r="AE439" s="81" t="s">
        <v>21320</v>
      </c>
      <c r="AF439" s="76">
        <v>1</v>
      </c>
      <c r="AG439" s="76">
        <v>14</v>
      </c>
      <c r="AH439" s="76">
        <v>19</v>
      </c>
      <c r="AI439" s="76">
        <v>0</v>
      </c>
      <c r="AJ439" s="76">
        <v>18</v>
      </c>
      <c r="AK439" s="76">
        <v>11</v>
      </c>
      <c r="AL439" s="76" t="b">
        <v>0</v>
      </c>
      <c r="AM439" s="78">
        <v>45041.775625000002</v>
      </c>
      <c r="AN439" s="76"/>
      <c r="AO439" s="76"/>
      <c r="AP439" s="76"/>
      <c r="AQ439" s="76"/>
      <c r="AR439" s="76"/>
      <c r="AS439" s="76"/>
      <c r="AT439" s="76"/>
      <c r="AU439" s="76"/>
      <c r="AV439" s="76"/>
      <c r="AW439" s="76"/>
      <c r="AX439" s="76" t="b">
        <v>0</v>
      </c>
      <c r="AY439" s="76"/>
      <c r="AZ439" s="76"/>
      <c r="BA439" s="76" t="b">
        <v>0</v>
      </c>
      <c r="BB439" s="76" t="b">
        <v>1</v>
      </c>
      <c r="BC439" s="76" t="b">
        <v>1</v>
      </c>
      <c r="BD439" s="76" t="b">
        <v>0</v>
      </c>
      <c r="BE439" s="76" t="b">
        <v>0</v>
      </c>
      <c r="BF439" s="76" t="b">
        <v>0</v>
      </c>
      <c r="BG439" s="76" t="b">
        <v>0</v>
      </c>
      <c r="BH439" s="83" t="str">
        <f>HYPERLINK("https://pbs.twimg.com/profile_banners/1650931853145022473/1685268138")</f>
        <v>https://pbs.twimg.com/profile_banners/1650931853145022473/1685268138</v>
      </c>
      <c r="BI439" s="76"/>
      <c r="BJ439" s="76" t="s">
        <v>24935</v>
      </c>
      <c r="BK439" s="76" t="b">
        <v>0</v>
      </c>
      <c r="BL439" s="76"/>
      <c r="BM439" s="76" t="s">
        <v>66</v>
      </c>
      <c r="BN439" s="76" t="s">
        <v>24937</v>
      </c>
      <c r="BO439" s="83" t="str">
        <f>HYPERLINK("https://twitter.com/sparklythi")</f>
        <v>https://twitter.com/sparklythi</v>
      </c>
      <c r="BP439" s="2"/>
    </row>
    <row r="440" spans="1:68" x14ac:dyDescent="0.25">
      <c r="A440" s="62" t="s">
        <v>639</v>
      </c>
      <c r="B440" s="63"/>
      <c r="C440" s="63"/>
      <c r="D440" s="64"/>
      <c r="E440" s="66"/>
      <c r="F440" s="102" t="str">
        <f>HYPERLINK("https://pbs.twimg.com/profile_images/1400503026859790340/21BVK9e6_normal.jpg")</f>
        <v>https://pbs.twimg.com/profile_images/1400503026859790340/21BVK9e6_normal.jpg</v>
      </c>
      <c r="G440" s="63"/>
      <c r="H440" s="67"/>
      <c r="I440" s="68"/>
      <c r="J440" s="68"/>
      <c r="K440" s="67" t="s">
        <v>25374</v>
      </c>
      <c r="L440" s="71"/>
      <c r="M440" s="72"/>
      <c r="N440" s="72"/>
      <c r="O440" s="73"/>
      <c r="P440" s="74"/>
      <c r="Q440" s="74"/>
      <c r="R440" s="86"/>
      <c r="S440" s="86"/>
      <c r="T440" s="86"/>
      <c r="U440" s="86"/>
      <c r="V440" s="48"/>
      <c r="W440" s="48"/>
      <c r="X440" s="48"/>
      <c r="Y440" s="48"/>
      <c r="Z440" s="47"/>
      <c r="AA440" s="69">
        <v>440</v>
      </c>
      <c r="AB440" s="69"/>
      <c r="AC440" s="70"/>
      <c r="AD440" s="76" t="s">
        <v>22243</v>
      </c>
      <c r="AE440" s="81" t="s">
        <v>21321</v>
      </c>
      <c r="AF440" s="76">
        <v>70</v>
      </c>
      <c r="AG440" s="76">
        <v>62</v>
      </c>
      <c r="AH440" s="76">
        <v>986</v>
      </c>
      <c r="AI440" s="76">
        <v>0</v>
      </c>
      <c r="AJ440" s="76">
        <v>329</v>
      </c>
      <c r="AK440" s="76">
        <v>340</v>
      </c>
      <c r="AL440" s="76" t="b">
        <v>0</v>
      </c>
      <c r="AM440" s="78">
        <v>44350.720347222225</v>
      </c>
      <c r="AN440" s="76"/>
      <c r="AO440" s="76" t="s">
        <v>23722</v>
      </c>
      <c r="AP440" s="83" t="str">
        <f>HYPERLINK("https://t.co/j9ThT66phZ")</f>
        <v>https://t.co/j9ThT66phZ</v>
      </c>
      <c r="AQ440" s="83" t="str">
        <f>HYPERLINK("https://linktr.ee/scoseuclienteoculto")</f>
        <v>https://linktr.ee/scoseuclienteoculto</v>
      </c>
      <c r="AR440" s="76" t="s">
        <v>24492</v>
      </c>
      <c r="AS440" s="76"/>
      <c r="AT440" s="76"/>
      <c r="AU440" s="76"/>
      <c r="AV440" s="76">
        <v>1.5319821961055201E+18</v>
      </c>
      <c r="AW440" s="83" t="str">
        <f>HYPERLINK("https://t.co/j9ThT66phZ")</f>
        <v>https://t.co/j9ThT66phZ</v>
      </c>
      <c r="AX440" s="76" t="b">
        <v>0</v>
      </c>
      <c r="AY440" s="76"/>
      <c r="AZ440" s="76"/>
      <c r="BA440" s="76" t="b">
        <v>0</v>
      </c>
      <c r="BB440" s="76" t="b">
        <v>1</v>
      </c>
      <c r="BC440" s="76" t="b">
        <v>1</v>
      </c>
      <c r="BD440" s="76" t="b">
        <v>0</v>
      </c>
      <c r="BE440" s="76" t="b">
        <v>1</v>
      </c>
      <c r="BF440" s="76" t="b">
        <v>0</v>
      </c>
      <c r="BG440" s="76" t="b">
        <v>0</v>
      </c>
      <c r="BH440" s="83" t="str">
        <f>HYPERLINK("https://pbs.twimg.com/profile_banners/1400501595985620999/1654086473")</f>
        <v>https://pbs.twimg.com/profile_banners/1400501595985620999/1654086473</v>
      </c>
      <c r="BI440" s="76"/>
      <c r="BJ440" s="76" t="s">
        <v>24935</v>
      </c>
      <c r="BK440" s="76" t="b">
        <v>0</v>
      </c>
      <c r="BL440" s="76"/>
      <c r="BM440" s="76" t="s">
        <v>66</v>
      </c>
      <c r="BN440" s="76" t="s">
        <v>24937</v>
      </c>
      <c r="BO440" s="83" t="str">
        <f>HYPERLINK("https://twitter.com/seuclienteocult")</f>
        <v>https://twitter.com/seuclienteocult</v>
      </c>
      <c r="BP440" s="2"/>
    </row>
    <row r="441" spans="1:68" x14ac:dyDescent="0.25">
      <c r="A441" s="62" t="s">
        <v>640</v>
      </c>
      <c r="B441" s="63"/>
      <c r="C441" s="63"/>
      <c r="D441" s="64"/>
      <c r="E441" s="66"/>
      <c r="F441" s="102" t="str">
        <f>HYPERLINK("https://pbs.twimg.com/profile_images/1660587508302790657/Mst4CpMC_normal.jpg")</f>
        <v>https://pbs.twimg.com/profile_images/1660587508302790657/Mst4CpMC_normal.jpg</v>
      </c>
      <c r="G441" s="63"/>
      <c r="H441" s="67"/>
      <c r="I441" s="68"/>
      <c r="J441" s="68"/>
      <c r="K441" s="67" t="s">
        <v>25375</v>
      </c>
      <c r="L441" s="71"/>
      <c r="M441" s="72"/>
      <c r="N441" s="72"/>
      <c r="O441" s="73"/>
      <c r="P441" s="74"/>
      <c r="Q441" s="74"/>
      <c r="R441" s="86"/>
      <c r="S441" s="86"/>
      <c r="T441" s="86"/>
      <c r="U441" s="86"/>
      <c r="V441" s="48"/>
      <c r="W441" s="48"/>
      <c r="X441" s="48"/>
      <c r="Y441" s="48"/>
      <c r="Z441" s="47"/>
      <c r="AA441" s="69">
        <v>441</v>
      </c>
      <c r="AB441" s="69"/>
      <c r="AC441" s="70"/>
      <c r="AD441" s="76" t="s">
        <v>22244</v>
      </c>
      <c r="AE441" s="81" t="s">
        <v>21322</v>
      </c>
      <c r="AF441" s="76">
        <v>0</v>
      </c>
      <c r="AG441" s="76">
        <v>6</v>
      </c>
      <c r="AH441" s="76">
        <v>14</v>
      </c>
      <c r="AI441" s="76">
        <v>0</v>
      </c>
      <c r="AJ441" s="76">
        <v>1</v>
      </c>
      <c r="AK441" s="76">
        <v>7</v>
      </c>
      <c r="AL441" s="76" t="b">
        <v>0</v>
      </c>
      <c r="AM441" s="78">
        <v>45065.715671296297</v>
      </c>
      <c r="AN441" s="76" t="s">
        <v>23201</v>
      </c>
      <c r="AO441" s="76" t="s">
        <v>23723</v>
      </c>
      <c r="AP441" s="83" t="str">
        <f>HYPERLINK("https://t.co/S50md5IMDJ")</f>
        <v>https://t.co/S50md5IMDJ</v>
      </c>
      <c r="AQ441" s="83" t="str">
        <f>HYPERLINK("https://pepper.com.br/checkout/index.html?p=47150&amp;o=48711")</f>
        <v>https://pepper.com.br/checkout/index.html?p=47150&amp;o=48711</v>
      </c>
      <c r="AR441" s="76" t="s">
        <v>24493</v>
      </c>
      <c r="AS441" s="76"/>
      <c r="AT441" s="76"/>
      <c r="AU441" s="76"/>
      <c r="AV441" s="76"/>
      <c r="AW441" s="83" t="str">
        <f>HYPERLINK("https://t.co/S50md5IMDJ")</f>
        <v>https://t.co/S50md5IMDJ</v>
      </c>
      <c r="AX441" s="76" t="b">
        <v>0</v>
      </c>
      <c r="AY441" s="76"/>
      <c r="AZ441" s="76"/>
      <c r="BA441" s="76" t="b">
        <v>0</v>
      </c>
      <c r="BB441" s="76" t="b">
        <v>1</v>
      </c>
      <c r="BC441" s="76" t="b">
        <v>1</v>
      </c>
      <c r="BD441" s="76" t="b">
        <v>0</v>
      </c>
      <c r="BE441" s="76" t="b">
        <v>0</v>
      </c>
      <c r="BF441" s="76" t="b">
        <v>0</v>
      </c>
      <c r="BG441" s="76" t="b">
        <v>0</v>
      </c>
      <c r="BH441" s="76"/>
      <c r="BI441" s="76"/>
      <c r="BJ441" s="76" t="s">
        <v>24935</v>
      </c>
      <c r="BK441" s="76" t="b">
        <v>0</v>
      </c>
      <c r="BL441" s="76"/>
      <c r="BM441" s="76" t="s">
        <v>66</v>
      </c>
      <c r="BN441" s="76" t="s">
        <v>24937</v>
      </c>
      <c r="BO441" s="83" t="str">
        <f>HYPERLINK("https://twitter.com/carlosrobe50033")</f>
        <v>https://twitter.com/carlosrobe50033</v>
      </c>
      <c r="BP441" s="2"/>
    </row>
    <row r="442" spans="1:68" x14ac:dyDescent="0.25">
      <c r="A442" s="62" t="s">
        <v>641</v>
      </c>
      <c r="B442" s="63"/>
      <c r="C442" s="63"/>
      <c r="D442" s="64"/>
      <c r="E442" s="66"/>
      <c r="F442" s="102" t="str">
        <f>HYPERLINK("https://pbs.twimg.com/profile_images/1626654303153754124/4A_qmEUF_normal.jpg")</f>
        <v>https://pbs.twimg.com/profile_images/1626654303153754124/4A_qmEUF_normal.jpg</v>
      </c>
      <c r="G442" s="63"/>
      <c r="H442" s="67"/>
      <c r="I442" s="68"/>
      <c r="J442" s="68"/>
      <c r="K442" s="67" t="s">
        <v>25376</v>
      </c>
      <c r="L442" s="71"/>
      <c r="M442" s="72"/>
      <c r="N442" s="72"/>
      <c r="O442" s="73"/>
      <c r="P442" s="74"/>
      <c r="Q442" s="74"/>
      <c r="R442" s="86"/>
      <c r="S442" s="86"/>
      <c r="T442" s="86"/>
      <c r="U442" s="86"/>
      <c r="V442" s="48"/>
      <c r="W442" s="48"/>
      <c r="X442" s="48"/>
      <c r="Y442" s="48"/>
      <c r="Z442" s="47"/>
      <c r="AA442" s="69">
        <v>442</v>
      </c>
      <c r="AB442" s="69"/>
      <c r="AC442" s="70"/>
      <c r="AD442" s="76" t="s">
        <v>22245</v>
      </c>
      <c r="AE442" s="81" t="s">
        <v>21323</v>
      </c>
      <c r="AF442" s="76">
        <v>0</v>
      </c>
      <c r="AG442" s="76">
        <v>15</v>
      </c>
      <c r="AH442" s="76">
        <v>5</v>
      </c>
      <c r="AI442" s="76">
        <v>0</v>
      </c>
      <c r="AJ442" s="76">
        <v>95</v>
      </c>
      <c r="AK442" s="76">
        <v>2</v>
      </c>
      <c r="AL442" s="76" t="b">
        <v>0</v>
      </c>
      <c r="AM442" s="78">
        <v>44513.776041666664</v>
      </c>
      <c r="AN442" s="76" t="s">
        <v>23202</v>
      </c>
      <c r="AO442" s="76" t="s">
        <v>23724</v>
      </c>
      <c r="AP442" s="76"/>
      <c r="AQ442" s="76"/>
      <c r="AR442" s="76"/>
      <c r="AS442" s="76"/>
      <c r="AT442" s="76"/>
      <c r="AU442" s="76"/>
      <c r="AV442" s="76"/>
      <c r="AW442" s="76"/>
      <c r="AX442" s="76" t="b">
        <v>0</v>
      </c>
      <c r="AY442" s="76"/>
      <c r="AZ442" s="76"/>
      <c r="BA442" s="76" t="b">
        <v>0</v>
      </c>
      <c r="BB442" s="76" t="b">
        <v>1</v>
      </c>
      <c r="BC442" s="76" t="b">
        <v>1</v>
      </c>
      <c r="BD442" s="76" t="b">
        <v>0</v>
      </c>
      <c r="BE442" s="76" t="b">
        <v>0</v>
      </c>
      <c r="BF442" s="76" t="b">
        <v>0</v>
      </c>
      <c r="BG442" s="76" t="b">
        <v>0</v>
      </c>
      <c r="BH442" s="83" t="str">
        <f>HYPERLINK("https://pbs.twimg.com/profile_banners/1459591192992264195/1676659582")</f>
        <v>https://pbs.twimg.com/profile_banners/1459591192992264195/1676659582</v>
      </c>
      <c r="BI442" s="76"/>
      <c r="BJ442" s="76" t="s">
        <v>24935</v>
      </c>
      <c r="BK442" s="76" t="b">
        <v>0</v>
      </c>
      <c r="BL442" s="76"/>
      <c r="BM442" s="76" t="s">
        <v>66</v>
      </c>
      <c r="BN442" s="76" t="s">
        <v>24937</v>
      </c>
      <c r="BO442" s="83" t="str">
        <f>HYPERLINK("https://twitter.com/fabiolaellenmkt")</f>
        <v>https://twitter.com/fabiolaellenmkt</v>
      </c>
      <c r="BP442" s="2"/>
    </row>
    <row r="443" spans="1:68" x14ac:dyDescent="0.25">
      <c r="A443" s="62" t="s">
        <v>642</v>
      </c>
      <c r="B443" s="63"/>
      <c r="C443" s="63"/>
      <c r="D443" s="64"/>
      <c r="E443" s="66"/>
      <c r="F443" s="102" t="str">
        <f>HYPERLINK("https://pbs.twimg.com/profile_images/1670540668513443840/29yl16om_normal.jpg")</f>
        <v>https://pbs.twimg.com/profile_images/1670540668513443840/29yl16om_normal.jpg</v>
      </c>
      <c r="G443" s="63"/>
      <c r="H443" s="67"/>
      <c r="I443" s="68"/>
      <c r="J443" s="68"/>
      <c r="K443" s="67" t="s">
        <v>25377</v>
      </c>
      <c r="L443" s="71"/>
      <c r="M443" s="72"/>
      <c r="N443" s="72"/>
      <c r="O443" s="73"/>
      <c r="P443" s="74"/>
      <c r="Q443" s="74"/>
      <c r="R443" s="86"/>
      <c r="S443" s="86"/>
      <c r="T443" s="86"/>
      <c r="U443" s="86"/>
      <c r="V443" s="48"/>
      <c r="W443" s="48"/>
      <c r="X443" s="48"/>
      <c r="Y443" s="48"/>
      <c r="Z443" s="47"/>
      <c r="AA443" s="69">
        <v>443</v>
      </c>
      <c r="AB443" s="69"/>
      <c r="AC443" s="70"/>
      <c r="AD443" s="76" t="s">
        <v>22246</v>
      </c>
      <c r="AE443" s="81" t="s">
        <v>21324</v>
      </c>
      <c r="AF443" s="76">
        <v>1</v>
      </c>
      <c r="AG443" s="76">
        <v>2</v>
      </c>
      <c r="AH443" s="76">
        <v>8</v>
      </c>
      <c r="AI443" s="76">
        <v>0</v>
      </c>
      <c r="AJ443" s="76">
        <v>2</v>
      </c>
      <c r="AK443" s="76">
        <v>5</v>
      </c>
      <c r="AL443" s="76" t="b">
        <v>0</v>
      </c>
      <c r="AM443" s="78">
        <v>45095.885185185187</v>
      </c>
      <c r="AN443" s="76"/>
      <c r="AO443" s="83" t="str">
        <f>HYPERLINK("https://t.co/TfLYDylGuZ")</f>
        <v>https://t.co/TfLYDylGuZ</v>
      </c>
      <c r="AP443" s="83" t="str">
        <f>HYPERLINK("https://t.co/70oHyFsOn1")</f>
        <v>https://t.co/70oHyFsOn1</v>
      </c>
      <c r="AQ443" s="83" t="str">
        <f>HYPERLINK("https://chat.whatsapp.com/Jd9XYqFnaEL3PJYT1exiOR")</f>
        <v>https://chat.whatsapp.com/Jd9XYqFnaEL3PJYT1exiOR</v>
      </c>
      <c r="AR443" s="76" t="s">
        <v>24494</v>
      </c>
      <c r="AS443" s="83" t="str">
        <f>HYPERLINK("https://t.co/TfLYDylGuZ")</f>
        <v>https://t.co/TfLYDylGuZ</v>
      </c>
      <c r="AT443" s="83" t="str">
        <f>HYPERLINK("https://8fz.one/5qbbt?ag=1")</f>
        <v>https://8fz.one/5qbbt?ag=1</v>
      </c>
      <c r="AU443" s="76" t="s">
        <v>24879</v>
      </c>
      <c r="AV443" s="76">
        <v>1.7017093109198799E+18</v>
      </c>
      <c r="AW443" s="83" t="str">
        <f>HYPERLINK("https://t.co/70oHyFsOn1")</f>
        <v>https://t.co/70oHyFsOn1</v>
      </c>
      <c r="AX443" s="76" t="b">
        <v>0</v>
      </c>
      <c r="AY443" s="76"/>
      <c r="AZ443" s="76"/>
      <c r="BA443" s="76" t="b">
        <v>0</v>
      </c>
      <c r="BB443" s="76" t="b">
        <v>1</v>
      </c>
      <c r="BC443" s="76" t="b">
        <v>1</v>
      </c>
      <c r="BD443" s="76" t="b">
        <v>0</v>
      </c>
      <c r="BE443" s="76" t="b">
        <v>0</v>
      </c>
      <c r="BF443" s="76" t="b">
        <v>0</v>
      </c>
      <c r="BG443" s="76" t="b">
        <v>0</v>
      </c>
      <c r="BH443" s="83" t="str">
        <f>HYPERLINK("https://pbs.twimg.com/profile_banners/1670540509125672961/1693354291")</f>
        <v>https://pbs.twimg.com/profile_banners/1670540509125672961/1693354291</v>
      </c>
      <c r="BI443" s="76"/>
      <c r="BJ443" s="76" t="s">
        <v>24935</v>
      </c>
      <c r="BK443" s="76" t="b">
        <v>0</v>
      </c>
      <c r="BL443" s="76"/>
      <c r="BM443" s="76" t="s">
        <v>66</v>
      </c>
      <c r="BN443" s="76" t="s">
        <v>24937</v>
      </c>
      <c r="BO443" s="83" t="str">
        <f>HYPERLINK("https://twitter.com/slotspagantes_")</f>
        <v>https://twitter.com/slotspagantes_</v>
      </c>
      <c r="BP443" s="2"/>
    </row>
    <row r="444" spans="1:68" x14ac:dyDescent="0.25">
      <c r="A444" s="62" t="s">
        <v>643</v>
      </c>
      <c r="B444" s="63"/>
      <c r="C444" s="63"/>
      <c r="D444" s="64"/>
      <c r="E444" s="66"/>
      <c r="F444" s="102" t="str">
        <f>HYPERLINK("https://pbs.twimg.com/profile_images/1410103338545254401/HS4wFpI-_normal.jpg")</f>
        <v>https://pbs.twimg.com/profile_images/1410103338545254401/HS4wFpI-_normal.jpg</v>
      </c>
      <c r="G444" s="63"/>
      <c r="H444" s="67"/>
      <c r="I444" s="68"/>
      <c r="J444" s="68"/>
      <c r="K444" s="67" t="s">
        <v>25378</v>
      </c>
      <c r="L444" s="71"/>
      <c r="M444" s="72"/>
      <c r="N444" s="72"/>
      <c r="O444" s="73"/>
      <c r="P444" s="74"/>
      <c r="Q444" s="74"/>
      <c r="R444" s="86"/>
      <c r="S444" s="86"/>
      <c r="T444" s="86"/>
      <c r="U444" s="86"/>
      <c r="V444" s="48"/>
      <c r="W444" s="48"/>
      <c r="X444" s="48"/>
      <c r="Y444" s="48"/>
      <c r="Z444" s="47"/>
      <c r="AA444" s="69">
        <v>444</v>
      </c>
      <c r="AB444" s="69"/>
      <c r="AC444" s="70"/>
      <c r="AD444" s="76" t="s">
        <v>22247</v>
      </c>
      <c r="AE444" s="81" t="s">
        <v>21325</v>
      </c>
      <c r="AF444" s="76">
        <v>257</v>
      </c>
      <c r="AG444" s="76">
        <v>829</v>
      </c>
      <c r="AH444" s="76">
        <v>2753</v>
      </c>
      <c r="AI444" s="76">
        <v>2</v>
      </c>
      <c r="AJ444" s="76">
        <v>471</v>
      </c>
      <c r="AK444" s="76">
        <v>10</v>
      </c>
      <c r="AL444" s="76" t="b">
        <v>0</v>
      </c>
      <c r="AM444" s="78">
        <v>43584.426168981481</v>
      </c>
      <c r="AN444" s="76" t="s">
        <v>23203</v>
      </c>
      <c r="AO444" s="76" t="s">
        <v>23725</v>
      </c>
      <c r="AP444" s="83" t="str">
        <f>HYPERLINK("https://t.co/iVbeXYSOtY")</f>
        <v>https://t.co/iVbeXYSOtY</v>
      </c>
      <c r="AQ444" s="83" t="str">
        <f>HYPERLINK("https://www.buymeacoffee.com/kpkkprasanth")</f>
        <v>https://www.buymeacoffee.com/kpkkprasanth</v>
      </c>
      <c r="AR444" s="76" t="s">
        <v>24495</v>
      </c>
      <c r="AS444" s="76"/>
      <c r="AT444" s="76"/>
      <c r="AU444" s="76"/>
      <c r="AV444" s="76"/>
      <c r="AW444" s="83" t="str">
        <f>HYPERLINK("https://t.co/iVbeXYSOtY")</f>
        <v>https://t.co/iVbeXYSOtY</v>
      </c>
      <c r="AX444" s="76" t="b">
        <v>0</v>
      </c>
      <c r="AY444" s="76"/>
      <c r="AZ444" s="76"/>
      <c r="BA444" s="76" t="b">
        <v>1</v>
      </c>
      <c r="BB444" s="76" t="b">
        <v>0</v>
      </c>
      <c r="BC444" s="76" t="b">
        <v>1</v>
      </c>
      <c r="BD444" s="76" t="b">
        <v>0</v>
      </c>
      <c r="BE444" s="76" t="b">
        <v>0</v>
      </c>
      <c r="BF444" s="76" t="b">
        <v>0</v>
      </c>
      <c r="BG444" s="76" t="b">
        <v>0</v>
      </c>
      <c r="BH444" s="83" t="str">
        <f>HYPERLINK("https://pbs.twimg.com/profile_banners/1122806151077171200/1569130667")</f>
        <v>https://pbs.twimg.com/profile_banners/1122806151077171200/1569130667</v>
      </c>
      <c r="BI444" s="76"/>
      <c r="BJ444" s="76" t="s">
        <v>24935</v>
      </c>
      <c r="BK444" s="76" t="b">
        <v>0</v>
      </c>
      <c r="BL444" s="76"/>
      <c r="BM444" s="76" t="s">
        <v>66</v>
      </c>
      <c r="BN444" s="76" t="s">
        <v>24937</v>
      </c>
      <c r="BO444" s="83" t="str">
        <f>HYPERLINK("https://twitter.com/kpkkprasanth")</f>
        <v>https://twitter.com/kpkkprasanth</v>
      </c>
      <c r="BP444" s="2"/>
    </row>
    <row r="445" spans="1:68" x14ac:dyDescent="0.25">
      <c r="A445" s="62" t="s">
        <v>644</v>
      </c>
      <c r="B445" s="63"/>
      <c r="C445" s="63"/>
      <c r="D445" s="64"/>
      <c r="E445" s="66"/>
      <c r="F445" s="102" t="str">
        <f>HYPERLINK("https://pbs.twimg.com/profile_images/1649198495130058753/v5EnWaCZ_normal.jpg")</f>
        <v>https://pbs.twimg.com/profile_images/1649198495130058753/v5EnWaCZ_normal.jpg</v>
      </c>
      <c r="G445" s="63"/>
      <c r="H445" s="67"/>
      <c r="I445" s="68"/>
      <c r="J445" s="68"/>
      <c r="K445" s="67" t="s">
        <v>25379</v>
      </c>
      <c r="L445" s="71"/>
      <c r="M445" s="72"/>
      <c r="N445" s="72"/>
      <c r="O445" s="73"/>
      <c r="P445" s="74"/>
      <c r="Q445" s="74"/>
      <c r="R445" s="86"/>
      <c r="S445" s="86"/>
      <c r="T445" s="86"/>
      <c r="U445" s="86"/>
      <c r="V445" s="48"/>
      <c r="W445" s="48"/>
      <c r="X445" s="48"/>
      <c r="Y445" s="48"/>
      <c r="Z445" s="47"/>
      <c r="AA445" s="69">
        <v>445</v>
      </c>
      <c r="AB445" s="69"/>
      <c r="AC445" s="70"/>
      <c r="AD445" s="76" t="s">
        <v>22248</v>
      </c>
      <c r="AE445" s="81" t="s">
        <v>21326</v>
      </c>
      <c r="AF445" s="76">
        <v>1</v>
      </c>
      <c r="AG445" s="76">
        <v>7</v>
      </c>
      <c r="AH445" s="76">
        <v>267</v>
      </c>
      <c r="AI445" s="76">
        <v>0</v>
      </c>
      <c r="AJ445" s="76">
        <v>69</v>
      </c>
      <c r="AK445" s="76">
        <v>109</v>
      </c>
      <c r="AL445" s="76" t="b">
        <v>0</v>
      </c>
      <c r="AM445" s="78">
        <v>44890.033692129633</v>
      </c>
      <c r="AN445" s="76" t="s">
        <v>14041</v>
      </c>
      <c r="AO445" s="76" t="s">
        <v>23726</v>
      </c>
      <c r="AP445" s="83" t="str">
        <f>HYPERLINK("https://t.co/1at0j0DmPR")</f>
        <v>https://t.co/1at0j0DmPR</v>
      </c>
      <c r="AQ445" s="83" t="str">
        <f>HYPERLINK("https://lnk.bio/LinksDeCompras")</f>
        <v>https://lnk.bio/LinksDeCompras</v>
      </c>
      <c r="AR445" s="76" t="s">
        <v>24496</v>
      </c>
      <c r="AS445" s="76"/>
      <c r="AT445" s="76"/>
      <c r="AU445" s="76"/>
      <c r="AV445" s="76"/>
      <c r="AW445" s="83" t="str">
        <f>HYPERLINK("https://t.co/1at0j0DmPR")</f>
        <v>https://t.co/1at0j0DmPR</v>
      </c>
      <c r="AX445" s="76" t="b">
        <v>0</v>
      </c>
      <c r="AY445" s="76"/>
      <c r="AZ445" s="76"/>
      <c r="BA445" s="76" t="b">
        <v>0</v>
      </c>
      <c r="BB445" s="76" t="b">
        <v>1</v>
      </c>
      <c r="BC445" s="76" t="b">
        <v>1</v>
      </c>
      <c r="BD445" s="76" t="b">
        <v>0</v>
      </c>
      <c r="BE445" s="76" t="b">
        <v>0</v>
      </c>
      <c r="BF445" s="76" t="b">
        <v>0</v>
      </c>
      <c r="BG445" s="76" t="b">
        <v>0</v>
      </c>
      <c r="BH445" s="83" t="str">
        <f>HYPERLINK("https://pbs.twimg.com/profile_banners/1595942419605979138/1682034757")</f>
        <v>https://pbs.twimg.com/profile_banners/1595942419605979138/1682034757</v>
      </c>
      <c r="BI445" s="76"/>
      <c r="BJ445" s="76" t="s">
        <v>24935</v>
      </c>
      <c r="BK445" s="76" t="b">
        <v>0</v>
      </c>
      <c r="BL445" s="76"/>
      <c r="BM445" s="76" t="s">
        <v>66</v>
      </c>
      <c r="BN445" s="76" t="s">
        <v>24937</v>
      </c>
      <c r="BO445" s="83" t="str">
        <f>HYPERLINK("https://twitter.com/anacarolina_nbr")</f>
        <v>https://twitter.com/anacarolina_nbr</v>
      </c>
      <c r="BP445" s="2"/>
    </row>
    <row r="446" spans="1:68" x14ac:dyDescent="0.25">
      <c r="A446" s="62" t="s">
        <v>645</v>
      </c>
      <c r="B446" s="63"/>
      <c r="C446" s="63"/>
      <c r="D446" s="64"/>
      <c r="E446" s="66"/>
      <c r="F446" s="102" t="str">
        <f>HYPERLINK("https://pbs.twimg.com/profile_images/1643627562252288004/oKVvfjoV_normal.png")</f>
        <v>https://pbs.twimg.com/profile_images/1643627562252288004/oKVvfjoV_normal.png</v>
      </c>
      <c r="G446" s="63"/>
      <c r="H446" s="67"/>
      <c r="I446" s="68"/>
      <c r="J446" s="68"/>
      <c r="K446" s="67" t="s">
        <v>25380</v>
      </c>
      <c r="L446" s="71"/>
      <c r="M446" s="72"/>
      <c r="N446" s="72"/>
      <c r="O446" s="73"/>
      <c r="P446" s="74"/>
      <c r="Q446" s="74"/>
      <c r="R446" s="86"/>
      <c r="S446" s="86"/>
      <c r="T446" s="86"/>
      <c r="U446" s="86"/>
      <c r="V446" s="48"/>
      <c r="W446" s="48"/>
      <c r="X446" s="48"/>
      <c r="Y446" s="48"/>
      <c r="Z446" s="47"/>
      <c r="AA446" s="69">
        <v>446</v>
      </c>
      <c r="AB446" s="69"/>
      <c r="AC446" s="70"/>
      <c r="AD446" s="76" t="s">
        <v>22249</v>
      </c>
      <c r="AE446" s="81" t="s">
        <v>21327</v>
      </c>
      <c r="AF446" s="76">
        <v>9</v>
      </c>
      <c r="AG446" s="76">
        <v>21</v>
      </c>
      <c r="AH446" s="76">
        <v>23</v>
      </c>
      <c r="AI446" s="76">
        <v>1</v>
      </c>
      <c r="AJ446" s="76">
        <v>1</v>
      </c>
      <c r="AK446" s="76">
        <v>22</v>
      </c>
      <c r="AL446" s="76" t="b">
        <v>0</v>
      </c>
      <c r="AM446" s="78">
        <v>45021.619467592594</v>
      </c>
      <c r="AN446" s="76" t="s">
        <v>23204</v>
      </c>
      <c r="AO446" s="76" t="s">
        <v>23727</v>
      </c>
      <c r="AP446" s="83" t="str">
        <f>HYPERLINK("https://t.co/6pjrQhgKqs")</f>
        <v>https://t.co/6pjrQhgKqs</v>
      </c>
      <c r="AQ446" s="83" t="str">
        <f>HYPERLINK("https://discord.gg/xKPHXgbNmV")</f>
        <v>https://discord.gg/xKPHXgbNmV</v>
      </c>
      <c r="AR446" s="76" t="s">
        <v>24497</v>
      </c>
      <c r="AS446" s="76" t="s">
        <v>24832</v>
      </c>
      <c r="AT446" s="76" t="s">
        <v>24843</v>
      </c>
      <c r="AU446" s="76" t="s">
        <v>24880</v>
      </c>
      <c r="AV446" s="76">
        <v>1.67334510944894E+18</v>
      </c>
      <c r="AW446" s="83" t="str">
        <f>HYPERLINK("https://t.co/6pjrQhgKqs")</f>
        <v>https://t.co/6pjrQhgKqs</v>
      </c>
      <c r="AX446" s="76" t="b">
        <v>0</v>
      </c>
      <c r="AY446" s="76"/>
      <c r="AZ446" s="76"/>
      <c r="BA446" s="76" t="b">
        <v>0</v>
      </c>
      <c r="BB446" s="76" t="b">
        <v>1</v>
      </c>
      <c r="BC446" s="76" t="b">
        <v>1</v>
      </c>
      <c r="BD446" s="76" t="b">
        <v>0</v>
      </c>
      <c r="BE446" s="76" t="b">
        <v>0</v>
      </c>
      <c r="BF446" s="76" t="b">
        <v>0</v>
      </c>
      <c r="BG446" s="76" t="b">
        <v>0</v>
      </c>
      <c r="BH446" s="83" t="str">
        <f>HYPERLINK("https://pbs.twimg.com/profile_banners/1643627487862169603/1681912735")</f>
        <v>https://pbs.twimg.com/profile_banners/1643627487862169603/1681912735</v>
      </c>
      <c r="BI446" s="76"/>
      <c r="BJ446" s="76" t="s">
        <v>24935</v>
      </c>
      <c r="BK446" s="76" t="b">
        <v>0</v>
      </c>
      <c r="BL446" s="76"/>
      <c r="BM446" s="76" t="s">
        <v>66</v>
      </c>
      <c r="BN446" s="76" t="s">
        <v>24937</v>
      </c>
      <c r="BO446" s="83" t="str">
        <f>HYPERLINK("https://twitter.com/bellatraderteam")</f>
        <v>https://twitter.com/bellatraderteam</v>
      </c>
      <c r="BP446" s="2"/>
    </row>
    <row r="447" spans="1:68" x14ac:dyDescent="0.25">
      <c r="A447" s="62" t="s">
        <v>646</v>
      </c>
      <c r="B447" s="63"/>
      <c r="C447" s="63"/>
      <c r="D447" s="64"/>
      <c r="E447" s="66"/>
      <c r="F447" s="102" t="str">
        <f>HYPERLINK("https://pbs.twimg.com/profile_images/1697062196226748416/__BTzucK_normal.jpg")</f>
        <v>https://pbs.twimg.com/profile_images/1697062196226748416/__BTzucK_normal.jpg</v>
      </c>
      <c r="G447" s="63"/>
      <c r="H447" s="67"/>
      <c r="I447" s="68"/>
      <c r="J447" s="68"/>
      <c r="K447" s="67" t="s">
        <v>25381</v>
      </c>
      <c r="L447" s="71"/>
      <c r="M447" s="72"/>
      <c r="N447" s="72"/>
      <c r="O447" s="73"/>
      <c r="P447" s="74"/>
      <c r="Q447" s="74"/>
      <c r="R447" s="86"/>
      <c r="S447" s="86"/>
      <c r="T447" s="86"/>
      <c r="U447" s="86"/>
      <c r="V447" s="48"/>
      <c r="W447" s="48"/>
      <c r="X447" s="48"/>
      <c r="Y447" s="48"/>
      <c r="Z447" s="47"/>
      <c r="AA447" s="69">
        <v>447</v>
      </c>
      <c r="AB447" s="69"/>
      <c r="AC447" s="70"/>
      <c r="AD447" s="76" t="s">
        <v>22250</v>
      </c>
      <c r="AE447" s="81" t="s">
        <v>21328</v>
      </c>
      <c r="AF447" s="76">
        <v>0</v>
      </c>
      <c r="AG447" s="76">
        <v>35</v>
      </c>
      <c r="AH447" s="76">
        <v>128</v>
      </c>
      <c r="AI447" s="76">
        <v>0</v>
      </c>
      <c r="AJ447" s="76">
        <v>76</v>
      </c>
      <c r="AK447" s="76">
        <v>61</v>
      </c>
      <c r="AL447" s="76" t="b">
        <v>0</v>
      </c>
      <c r="AM447" s="78">
        <v>43936.758773148147</v>
      </c>
      <c r="AN447" s="76"/>
      <c r="AO447" s="76"/>
      <c r="AP447" s="76"/>
      <c r="AQ447" s="76"/>
      <c r="AR447" s="76"/>
      <c r="AS447" s="76"/>
      <c r="AT447" s="76"/>
      <c r="AU447" s="76"/>
      <c r="AV447" s="76"/>
      <c r="AW447" s="76"/>
      <c r="AX447" s="76" t="b">
        <v>0</v>
      </c>
      <c r="AY447" s="76"/>
      <c r="AZ447" s="76"/>
      <c r="BA447" s="76" t="b">
        <v>0</v>
      </c>
      <c r="BB447" s="76" t="b">
        <v>1</v>
      </c>
      <c r="BC447" s="76" t="b">
        <v>1</v>
      </c>
      <c r="BD447" s="76" t="b">
        <v>0</v>
      </c>
      <c r="BE447" s="76" t="b">
        <v>0</v>
      </c>
      <c r="BF447" s="76" t="b">
        <v>0</v>
      </c>
      <c r="BG447" s="76" t="b">
        <v>0</v>
      </c>
      <c r="BH447" s="83" t="str">
        <f>HYPERLINK("https://pbs.twimg.com/profile_banners/1250487151231406081/1693446166")</f>
        <v>https://pbs.twimg.com/profile_banners/1250487151231406081/1693446166</v>
      </c>
      <c r="BI447" s="76"/>
      <c r="BJ447" s="76" t="s">
        <v>24935</v>
      </c>
      <c r="BK447" s="76" t="b">
        <v>0</v>
      </c>
      <c r="BL447" s="76"/>
      <c r="BM447" s="76" t="s">
        <v>66</v>
      </c>
      <c r="BN447" s="76" t="s">
        <v>24937</v>
      </c>
      <c r="BO447" s="83" t="str">
        <f>HYPERLINK("https://twitter.com/antonellampaiva")</f>
        <v>https://twitter.com/antonellampaiva</v>
      </c>
      <c r="BP447" s="2"/>
    </row>
    <row r="448" spans="1:68" x14ac:dyDescent="0.25">
      <c r="A448" s="62" t="s">
        <v>647</v>
      </c>
      <c r="B448" s="63"/>
      <c r="C448" s="63"/>
      <c r="D448" s="64"/>
      <c r="E448" s="66"/>
      <c r="F448" s="102" t="str">
        <f>HYPERLINK("https://pbs.twimg.com/profile_images/1643964331095126020/QxUzlwUk_normal.jpg")</f>
        <v>https://pbs.twimg.com/profile_images/1643964331095126020/QxUzlwUk_normal.jpg</v>
      </c>
      <c r="G448" s="63"/>
      <c r="H448" s="67"/>
      <c r="I448" s="68"/>
      <c r="J448" s="68"/>
      <c r="K448" s="67" t="s">
        <v>25382</v>
      </c>
      <c r="L448" s="71"/>
      <c r="M448" s="72"/>
      <c r="N448" s="72"/>
      <c r="O448" s="73"/>
      <c r="P448" s="74"/>
      <c r="Q448" s="74"/>
      <c r="R448" s="86"/>
      <c r="S448" s="86"/>
      <c r="T448" s="86"/>
      <c r="U448" s="86"/>
      <c r="V448" s="48"/>
      <c r="W448" s="48"/>
      <c r="X448" s="48"/>
      <c r="Y448" s="48"/>
      <c r="Z448" s="47"/>
      <c r="AA448" s="69">
        <v>448</v>
      </c>
      <c r="AB448" s="69"/>
      <c r="AC448" s="70"/>
      <c r="AD448" s="76" t="s">
        <v>22251</v>
      </c>
      <c r="AE448" s="81" t="s">
        <v>22947</v>
      </c>
      <c r="AF448" s="76">
        <v>2</v>
      </c>
      <c r="AG448" s="76">
        <v>12</v>
      </c>
      <c r="AH448" s="76">
        <v>42</v>
      </c>
      <c r="AI448" s="76">
        <v>0</v>
      </c>
      <c r="AJ448" s="76">
        <v>20</v>
      </c>
      <c r="AK448" s="76">
        <v>38</v>
      </c>
      <c r="AL448" s="76" t="b">
        <v>0</v>
      </c>
      <c r="AM448" s="78">
        <v>42056.076701388891</v>
      </c>
      <c r="AN448" s="76"/>
      <c r="AO448" s="76" t="s">
        <v>23728</v>
      </c>
      <c r="AP448" s="76"/>
      <c r="AQ448" s="76"/>
      <c r="AR448" s="76"/>
      <c r="AS448" s="76"/>
      <c r="AT448" s="76"/>
      <c r="AU448" s="76"/>
      <c r="AV448" s="76"/>
      <c r="AW448" s="76"/>
      <c r="AX448" s="76" t="b">
        <v>0</v>
      </c>
      <c r="AY448" s="76"/>
      <c r="AZ448" s="76"/>
      <c r="BA448" s="76" t="b">
        <v>0</v>
      </c>
      <c r="BB448" s="76" t="b">
        <v>1</v>
      </c>
      <c r="BC448" s="76" t="b">
        <v>1</v>
      </c>
      <c r="BD448" s="76" t="b">
        <v>0</v>
      </c>
      <c r="BE448" s="76" t="b">
        <v>0</v>
      </c>
      <c r="BF448" s="76" t="b">
        <v>0</v>
      </c>
      <c r="BG448" s="76" t="b">
        <v>0</v>
      </c>
      <c r="BH448" s="83" t="str">
        <f>HYPERLINK("https://pbs.twimg.com/profile_banners/3048440320/1680786619")</f>
        <v>https://pbs.twimg.com/profile_banners/3048440320/1680786619</v>
      </c>
      <c r="BI448" s="76"/>
      <c r="BJ448" s="76" t="s">
        <v>24935</v>
      </c>
      <c r="BK448" s="76" t="b">
        <v>0</v>
      </c>
      <c r="BL448" s="76"/>
      <c r="BM448" s="76" t="s">
        <v>66</v>
      </c>
      <c r="BN448" s="76" t="s">
        <v>24937</v>
      </c>
      <c r="BO448" s="83" t="str">
        <f>HYPERLINK("https://twitter.com/7aef0ddc85994bd")</f>
        <v>https://twitter.com/7aef0ddc85994bd</v>
      </c>
      <c r="BP448" s="2"/>
    </row>
    <row r="449" spans="1:68" x14ac:dyDescent="0.25">
      <c r="A449" s="62" t="s">
        <v>648</v>
      </c>
      <c r="B449" s="63"/>
      <c r="C449" s="63"/>
      <c r="D449" s="64"/>
      <c r="E449" s="66"/>
      <c r="F449" s="102" t="str">
        <f>HYPERLINK("https://pbs.twimg.com/profile_images/1633897708778864666/CvPB9pso_normal.jpg")</f>
        <v>https://pbs.twimg.com/profile_images/1633897708778864666/CvPB9pso_normal.jpg</v>
      </c>
      <c r="G449" s="63"/>
      <c r="H449" s="67"/>
      <c r="I449" s="68"/>
      <c r="J449" s="68"/>
      <c r="K449" s="67" t="s">
        <v>25383</v>
      </c>
      <c r="L449" s="71"/>
      <c r="M449" s="72"/>
      <c r="N449" s="72"/>
      <c r="O449" s="73"/>
      <c r="P449" s="74"/>
      <c r="Q449" s="74"/>
      <c r="R449" s="86"/>
      <c r="S449" s="86"/>
      <c r="T449" s="86"/>
      <c r="U449" s="86"/>
      <c r="V449" s="48"/>
      <c r="W449" s="48"/>
      <c r="X449" s="48"/>
      <c r="Y449" s="48"/>
      <c r="Z449" s="47"/>
      <c r="AA449" s="69">
        <v>449</v>
      </c>
      <c r="AB449" s="69"/>
      <c r="AC449" s="70"/>
      <c r="AD449" s="76" t="s">
        <v>22252</v>
      </c>
      <c r="AE449" s="81" t="s">
        <v>20932</v>
      </c>
      <c r="AF449" s="76">
        <v>2</v>
      </c>
      <c r="AG449" s="76">
        <v>2</v>
      </c>
      <c r="AH449" s="76">
        <v>16</v>
      </c>
      <c r="AI449" s="76">
        <v>0</v>
      </c>
      <c r="AJ449" s="76">
        <v>2</v>
      </c>
      <c r="AK449" s="76">
        <v>1</v>
      </c>
      <c r="AL449" s="76" t="b">
        <v>0</v>
      </c>
      <c r="AM449" s="78">
        <v>44994.765104166669</v>
      </c>
      <c r="AN449" s="76"/>
      <c r="AO449" s="76" t="s">
        <v>23729</v>
      </c>
      <c r="AP449" s="83" t="str">
        <f>HYPERLINK("https://t.co/nh4hGqezhy")</f>
        <v>https://t.co/nh4hGqezhy</v>
      </c>
      <c r="AQ449" s="83" t="str">
        <f>HYPERLINK("https://instagram.com/gotasesaude_?igshid=YmMyMTA2M2Y=")</f>
        <v>https://instagram.com/gotasesaude_?igshid=YmMyMTA2M2Y=</v>
      </c>
      <c r="AR449" s="76" t="s">
        <v>24498</v>
      </c>
      <c r="AS449" s="76"/>
      <c r="AT449" s="76"/>
      <c r="AU449" s="76"/>
      <c r="AV449" s="76">
        <v>1.63389983240531E+18</v>
      </c>
      <c r="AW449" s="83" t="str">
        <f>HYPERLINK("https://t.co/nh4hGqezhy")</f>
        <v>https://t.co/nh4hGqezhy</v>
      </c>
      <c r="AX449" s="76" t="b">
        <v>0</v>
      </c>
      <c r="AY449" s="76"/>
      <c r="AZ449" s="76"/>
      <c r="BA449" s="76" t="b">
        <v>0</v>
      </c>
      <c r="BB449" s="76" t="b">
        <v>1</v>
      </c>
      <c r="BC449" s="76" t="b">
        <v>1</v>
      </c>
      <c r="BD449" s="76" t="b">
        <v>0</v>
      </c>
      <c r="BE449" s="76" t="b">
        <v>0</v>
      </c>
      <c r="BF449" s="76" t="b">
        <v>0</v>
      </c>
      <c r="BG449" s="76" t="b">
        <v>0</v>
      </c>
      <c r="BH449" s="83" t="str">
        <f>HYPERLINK("https://pbs.twimg.com/profile_banners/1633895782754467868/1678386610")</f>
        <v>https://pbs.twimg.com/profile_banners/1633895782754467868/1678386610</v>
      </c>
      <c r="BI449" s="76"/>
      <c r="BJ449" s="76" t="s">
        <v>24935</v>
      </c>
      <c r="BK449" s="76" t="b">
        <v>0</v>
      </c>
      <c r="BL449" s="76"/>
      <c r="BM449" s="76" t="s">
        <v>66</v>
      </c>
      <c r="BN449" s="76" t="s">
        <v>24937</v>
      </c>
      <c r="BO449" s="83" t="str">
        <f>HYPERLINK("https://twitter.com/gotasesaude_")</f>
        <v>https://twitter.com/gotasesaude_</v>
      </c>
      <c r="BP449" s="2"/>
    </row>
    <row r="450" spans="1:68" x14ac:dyDescent="0.25">
      <c r="A450" s="62" t="s">
        <v>649</v>
      </c>
      <c r="B450" s="63"/>
      <c r="C450" s="63"/>
      <c r="D450" s="64"/>
      <c r="E450" s="66"/>
      <c r="F450" s="102" t="str">
        <f>HYPERLINK("https://pbs.twimg.com/profile_images/1506427189079773190/2bHVvjHQ_normal.jpg")</f>
        <v>https://pbs.twimg.com/profile_images/1506427189079773190/2bHVvjHQ_normal.jpg</v>
      </c>
      <c r="G450" s="63"/>
      <c r="H450" s="67"/>
      <c r="I450" s="68"/>
      <c r="J450" s="68"/>
      <c r="K450" s="67" t="s">
        <v>25384</v>
      </c>
      <c r="L450" s="71"/>
      <c r="M450" s="72"/>
      <c r="N450" s="72"/>
      <c r="O450" s="73"/>
      <c r="P450" s="74"/>
      <c r="Q450" s="74"/>
      <c r="R450" s="86"/>
      <c r="S450" s="86"/>
      <c r="T450" s="86"/>
      <c r="U450" s="86"/>
      <c r="V450" s="48"/>
      <c r="W450" s="48"/>
      <c r="X450" s="48"/>
      <c r="Y450" s="48"/>
      <c r="Z450" s="47"/>
      <c r="AA450" s="69">
        <v>450</v>
      </c>
      <c r="AB450" s="69"/>
      <c r="AC450" s="70"/>
      <c r="AD450" s="76" t="s">
        <v>22201</v>
      </c>
      <c r="AE450" s="81" t="s">
        <v>20933</v>
      </c>
      <c r="AF450" s="76">
        <v>257</v>
      </c>
      <c r="AG450" s="76">
        <v>840</v>
      </c>
      <c r="AH450" s="76">
        <v>3963</v>
      </c>
      <c r="AI450" s="76">
        <v>0</v>
      </c>
      <c r="AJ450" s="76">
        <v>14674</v>
      </c>
      <c r="AK450" s="76">
        <v>72</v>
      </c>
      <c r="AL450" s="76" t="b">
        <v>0</v>
      </c>
      <c r="AM450" s="78">
        <v>44565.072754629633</v>
      </c>
      <c r="AN450" s="76" t="s">
        <v>14033</v>
      </c>
      <c r="AO450" s="76" t="s">
        <v>23730</v>
      </c>
      <c r="AP450" s="76"/>
      <c r="AQ450" s="76"/>
      <c r="AR450" s="76"/>
      <c r="AS450" s="76"/>
      <c r="AT450" s="76"/>
      <c r="AU450" s="76"/>
      <c r="AV450" s="76">
        <v>1.6252766203691899E+18</v>
      </c>
      <c r="AW450" s="76"/>
      <c r="AX450" s="76" t="b">
        <v>0</v>
      </c>
      <c r="AY450" s="76"/>
      <c r="AZ450" s="76"/>
      <c r="BA450" s="76" t="b">
        <v>1</v>
      </c>
      <c r="BB450" s="76" t="b">
        <v>0</v>
      </c>
      <c r="BC450" s="76" t="b">
        <v>1</v>
      </c>
      <c r="BD450" s="76" t="b">
        <v>0</v>
      </c>
      <c r="BE450" s="76" t="b">
        <v>1</v>
      </c>
      <c r="BF450" s="76" t="b">
        <v>0</v>
      </c>
      <c r="BG450" s="76" t="b">
        <v>1</v>
      </c>
      <c r="BH450" s="83" t="str">
        <f>HYPERLINK("https://pbs.twimg.com/profile_banners/1478180524787220482/1647995205")</f>
        <v>https://pbs.twimg.com/profile_banners/1478180524787220482/1647995205</v>
      </c>
      <c r="BI450" s="76"/>
      <c r="BJ450" s="76" t="s">
        <v>24935</v>
      </c>
      <c r="BK450" s="76" t="b">
        <v>0</v>
      </c>
      <c r="BL450" s="76"/>
      <c r="BM450" s="76" t="s">
        <v>66</v>
      </c>
      <c r="BN450" s="76" t="s">
        <v>24937</v>
      </c>
      <c r="BO450" s="83" t="str">
        <f>HYPERLINK("https://twitter.com/outliermaster")</f>
        <v>https://twitter.com/outliermaster</v>
      </c>
      <c r="BP450" s="2"/>
    </row>
    <row r="451" spans="1:68" x14ac:dyDescent="0.25">
      <c r="A451" s="62" t="s">
        <v>650</v>
      </c>
      <c r="B451" s="63"/>
      <c r="C451" s="63"/>
      <c r="D451" s="64"/>
      <c r="E451" s="66"/>
      <c r="F451" s="102" t="str">
        <f>HYPERLINK("https://abs.twimg.com/sticky/default_profile_images/default_profile_normal.png")</f>
        <v>https://abs.twimg.com/sticky/default_profile_images/default_profile_normal.png</v>
      </c>
      <c r="G451" s="63"/>
      <c r="H451" s="67"/>
      <c r="I451" s="68"/>
      <c r="J451" s="68"/>
      <c r="K451" s="67" t="s">
        <v>25385</v>
      </c>
      <c r="L451" s="71"/>
      <c r="M451" s="72"/>
      <c r="N451" s="72"/>
      <c r="O451" s="73"/>
      <c r="P451" s="74"/>
      <c r="Q451" s="74"/>
      <c r="R451" s="86"/>
      <c r="S451" s="86"/>
      <c r="T451" s="86"/>
      <c r="U451" s="86"/>
      <c r="V451" s="48"/>
      <c r="W451" s="48"/>
      <c r="X451" s="48"/>
      <c r="Y451" s="48"/>
      <c r="Z451" s="47"/>
      <c r="AA451" s="69">
        <v>451</v>
      </c>
      <c r="AB451" s="69"/>
      <c r="AC451" s="70"/>
      <c r="AD451" s="76" t="s">
        <v>22253</v>
      </c>
      <c r="AE451" s="81" t="s">
        <v>21329</v>
      </c>
      <c r="AF451" s="76">
        <v>1</v>
      </c>
      <c r="AG451" s="76">
        <v>23</v>
      </c>
      <c r="AH451" s="76">
        <v>11</v>
      </c>
      <c r="AI451" s="76">
        <v>0</v>
      </c>
      <c r="AJ451" s="76">
        <v>4</v>
      </c>
      <c r="AK451" s="76">
        <v>1</v>
      </c>
      <c r="AL451" s="76" t="b">
        <v>0</v>
      </c>
      <c r="AM451" s="78">
        <v>43417.734363425923</v>
      </c>
      <c r="AN451" s="76"/>
      <c r="AO451" s="76"/>
      <c r="AP451" s="76"/>
      <c r="AQ451" s="76"/>
      <c r="AR451" s="76"/>
      <c r="AS451" s="76"/>
      <c r="AT451" s="76"/>
      <c r="AU451" s="76"/>
      <c r="AV451" s="76"/>
      <c r="AW451" s="76"/>
      <c r="AX451" s="76" t="b">
        <v>0</v>
      </c>
      <c r="AY451" s="76"/>
      <c r="AZ451" s="76"/>
      <c r="BA451" s="76" t="b">
        <v>0</v>
      </c>
      <c r="BB451" s="76" t="b">
        <v>1</v>
      </c>
      <c r="BC451" s="76" t="b">
        <v>1</v>
      </c>
      <c r="BD451" s="76" t="b">
        <v>1</v>
      </c>
      <c r="BE451" s="76" t="b">
        <v>0</v>
      </c>
      <c r="BF451" s="76" t="b">
        <v>0</v>
      </c>
      <c r="BG451" s="76" t="b">
        <v>0</v>
      </c>
      <c r="BH451" s="76"/>
      <c r="BI451" s="76"/>
      <c r="BJ451" s="76" t="s">
        <v>24935</v>
      </c>
      <c r="BK451" s="76" t="b">
        <v>0</v>
      </c>
      <c r="BL451" s="76"/>
      <c r="BM451" s="76" t="s">
        <v>66</v>
      </c>
      <c r="BN451" s="76" t="s">
        <v>24937</v>
      </c>
      <c r="BO451" s="83" t="str">
        <f>HYPERLINK("https://twitter.com/camilagoes18")</f>
        <v>https://twitter.com/camilagoes18</v>
      </c>
      <c r="BP451" s="2"/>
    </row>
    <row r="452" spans="1:68" x14ac:dyDescent="0.25">
      <c r="A452" s="62" t="s">
        <v>651</v>
      </c>
      <c r="B452" s="63"/>
      <c r="C452" s="63"/>
      <c r="D452" s="64"/>
      <c r="E452" s="66"/>
      <c r="F452" s="102" t="str">
        <f>HYPERLINK("https://pbs.twimg.com/profile_images/1689427223827152896/e_T7P0Hh_normal.jpg")</f>
        <v>https://pbs.twimg.com/profile_images/1689427223827152896/e_T7P0Hh_normal.jpg</v>
      </c>
      <c r="G452" s="63"/>
      <c r="H452" s="67"/>
      <c r="I452" s="68"/>
      <c r="J452" s="68"/>
      <c r="K452" s="67" t="s">
        <v>25386</v>
      </c>
      <c r="L452" s="71"/>
      <c r="M452" s="72"/>
      <c r="N452" s="72"/>
      <c r="O452" s="73"/>
      <c r="P452" s="74"/>
      <c r="Q452" s="74"/>
      <c r="R452" s="86"/>
      <c r="S452" s="86"/>
      <c r="T452" s="86"/>
      <c r="U452" s="86"/>
      <c r="V452" s="48"/>
      <c r="W452" s="48"/>
      <c r="X452" s="48"/>
      <c r="Y452" s="48"/>
      <c r="Z452" s="47"/>
      <c r="AA452" s="69">
        <v>452</v>
      </c>
      <c r="AB452" s="69"/>
      <c r="AC452" s="70"/>
      <c r="AD452" s="76" t="s">
        <v>22254</v>
      </c>
      <c r="AE452" s="81" t="s">
        <v>21330</v>
      </c>
      <c r="AF452" s="76">
        <v>7</v>
      </c>
      <c r="AG452" s="76">
        <v>22</v>
      </c>
      <c r="AH452" s="76">
        <v>34</v>
      </c>
      <c r="AI452" s="76">
        <v>0</v>
      </c>
      <c r="AJ452" s="76">
        <v>11</v>
      </c>
      <c r="AK452" s="76">
        <v>0</v>
      </c>
      <c r="AL452" s="76" t="b">
        <v>0</v>
      </c>
      <c r="AM452" s="78">
        <v>45147.982615740744</v>
      </c>
      <c r="AN452" s="76" t="s">
        <v>14033</v>
      </c>
      <c r="AO452" s="76" t="s">
        <v>23731</v>
      </c>
      <c r="AP452" s="76"/>
      <c r="AQ452" s="76"/>
      <c r="AR452" s="76"/>
      <c r="AS452" s="76"/>
      <c r="AT452" s="76"/>
      <c r="AU452" s="76"/>
      <c r="AV452" s="76"/>
      <c r="AW452" s="76"/>
      <c r="AX452" s="76" t="b">
        <v>0</v>
      </c>
      <c r="AY452" s="76"/>
      <c r="AZ452" s="76"/>
      <c r="BA452" s="76" t="b">
        <v>1</v>
      </c>
      <c r="BB452" s="76" t="b">
        <v>1</v>
      </c>
      <c r="BC452" s="76" t="b">
        <v>1</v>
      </c>
      <c r="BD452" s="76" t="b">
        <v>0</v>
      </c>
      <c r="BE452" s="76" t="b">
        <v>0</v>
      </c>
      <c r="BF452" s="76" t="b">
        <v>0</v>
      </c>
      <c r="BG452" s="76" t="b">
        <v>0</v>
      </c>
      <c r="BH452" s="83" t="str">
        <f>HYPERLINK("https://pbs.twimg.com/profile_banners/1689419869530345472/1692042762")</f>
        <v>https://pbs.twimg.com/profile_banners/1689419869530345472/1692042762</v>
      </c>
      <c r="BI452" s="76"/>
      <c r="BJ452" s="76" t="s">
        <v>24935</v>
      </c>
      <c r="BK452" s="76" t="b">
        <v>0</v>
      </c>
      <c r="BL452" s="76"/>
      <c r="BM452" s="76" t="s">
        <v>66</v>
      </c>
      <c r="BN452" s="76" t="s">
        <v>24937</v>
      </c>
      <c r="BO452" s="83" t="str">
        <f>HYPERLINK("https://twitter.com/the_nomadship")</f>
        <v>https://twitter.com/the_nomadship</v>
      </c>
      <c r="BP452" s="2"/>
    </row>
    <row r="453" spans="1:68" x14ac:dyDescent="0.25">
      <c r="A453" s="62" t="s">
        <v>652</v>
      </c>
      <c r="B453" s="63"/>
      <c r="C453" s="63"/>
      <c r="D453" s="64"/>
      <c r="E453" s="66"/>
      <c r="F453" s="102" t="str">
        <f>HYPERLINK("https://pbs.twimg.com/profile_images/1595907159228915720/3WsvYUa0_normal.jpg")</f>
        <v>https://pbs.twimg.com/profile_images/1595907159228915720/3WsvYUa0_normal.jpg</v>
      </c>
      <c r="G453" s="63"/>
      <c r="H453" s="67"/>
      <c r="I453" s="68"/>
      <c r="J453" s="68"/>
      <c r="K453" s="67" t="s">
        <v>25387</v>
      </c>
      <c r="L453" s="71"/>
      <c r="M453" s="72"/>
      <c r="N453" s="72"/>
      <c r="O453" s="73"/>
      <c r="P453" s="74"/>
      <c r="Q453" s="74"/>
      <c r="R453" s="86"/>
      <c r="S453" s="86"/>
      <c r="T453" s="86"/>
      <c r="U453" s="86"/>
      <c r="V453" s="48"/>
      <c r="W453" s="48"/>
      <c r="X453" s="48"/>
      <c r="Y453" s="48"/>
      <c r="Z453" s="47"/>
      <c r="AA453" s="69">
        <v>453</v>
      </c>
      <c r="AB453" s="69"/>
      <c r="AC453" s="70"/>
      <c r="AD453" s="76" t="s">
        <v>22255</v>
      </c>
      <c r="AE453" s="81" t="s">
        <v>21331</v>
      </c>
      <c r="AF453" s="76">
        <v>4</v>
      </c>
      <c r="AG453" s="76">
        <v>44</v>
      </c>
      <c r="AH453" s="76">
        <v>48</v>
      </c>
      <c r="AI453" s="76">
        <v>0</v>
      </c>
      <c r="AJ453" s="76">
        <v>5</v>
      </c>
      <c r="AK453" s="76">
        <v>29</v>
      </c>
      <c r="AL453" s="76" t="b">
        <v>0</v>
      </c>
      <c r="AM453" s="78">
        <v>44763.434999999998</v>
      </c>
      <c r="AN453" s="76"/>
      <c r="AO453" s="76" t="s">
        <v>23732</v>
      </c>
      <c r="AP453" s="76"/>
      <c r="AQ453" s="76"/>
      <c r="AR453" s="76"/>
      <c r="AS453" s="76"/>
      <c r="AT453" s="76"/>
      <c r="AU453" s="76"/>
      <c r="AV453" s="76"/>
      <c r="AW453" s="76"/>
      <c r="AX453" s="76" t="b">
        <v>0</v>
      </c>
      <c r="AY453" s="76"/>
      <c r="AZ453" s="76"/>
      <c r="BA453" s="76" t="b">
        <v>0</v>
      </c>
      <c r="BB453" s="76" t="b">
        <v>1</v>
      </c>
      <c r="BC453" s="76" t="b">
        <v>1</v>
      </c>
      <c r="BD453" s="76" t="b">
        <v>0</v>
      </c>
      <c r="BE453" s="76" t="b">
        <v>0</v>
      </c>
      <c r="BF453" s="76" t="b">
        <v>0</v>
      </c>
      <c r="BG453" s="76" t="b">
        <v>0</v>
      </c>
      <c r="BH453" s="83" t="str">
        <f>HYPERLINK("https://pbs.twimg.com/profile_banners/1550064475402866690/1669328892")</f>
        <v>https://pbs.twimg.com/profile_banners/1550064475402866690/1669328892</v>
      </c>
      <c r="BI453" s="76"/>
      <c r="BJ453" s="76" t="s">
        <v>24935</v>
      </c>
      <c r="BK453" s="76" t="b">
        <v>0</v>
      </c>
      <c r="BL453" s="76"/>
      <c r="BM453" s="76" t="s">
        <v>66</v>
      </c>
      <c r="BN453" s="76" t="s">
        <v>24937</v>
      </c>
      <c r="BO453" s="83" t="str">
        <f>HYPERLINK("https://twitter.com/anefern13090671")</f>
        <v>https://twitter.com/anefern13090671</v>
      </c>
      <c r="BP453" s="2"/>
    </row>
    <row r="454" spans="1:68" x14ac:dyDescent="0.25">
      <c r="A454" s="62" t="s">
        <v>653</v>
      </c>
      <c r="B454" s="63"/>
      <c r="C454" s="63"/>
      <c r="D454" s="64"/>
      <c r="E454" s="66"/>
      <c r="F454" s="102" t="str">
        <f>HYPERLINK("https://pbs.twimg.com/profile_images/1269764305601339392/fVhGQ8rQ_normal.jpg")</f>
        <v>https://pbs.twimg.com/profile_images/1269764305601339392/fVhGQ8rQ_normal.jpg</v>
      </c>
      <c r="G454" s="63"/>
      <c r="H454" s="67"/>
      <c r="I454" s="68"/>
      <c r="J454" s="68"/>
      <c r="K454" s="67" t="s">
        <v>25388</v>
      </c>
      <c r="L454" s="71"/>
      <c r="M454" s="72"/>
      <c r="N454" s="72"/>
      <c r="O454" s="73"/>
      <c r="P454" s="74"/>
      <c r="Q454" s="74"/>
      <c r="R454" s="86"/>
      <c r="S454" s="86"/>
      <c r="T454" s="86"/>
      <c r="U454" s="86"/>
      <c r="V454" s="48"/>
      <c r="W454" s="48"/>
      <c r="X454" s="48"/>
      <c r="Y454" s="48"/>
      <c r="Z454" s="47"/>
      <c r="AA454" s="69">
        <v>454</v>
      </c>
      <c r="AB454" s="69"/>
      <c r="AC454" s="70"/>
      <c r="AD454" s="76" t="s">
        <v>22256</v>
      </c>
      <c r="AE454" s="81" t="s">
        <v>21332</v>
      </c>
      <c r="AF454" s="76">
        <v>7</v>
      </c>
      <c r="AG454" s="76">
        <v>40</v>
      </c>
      <c r="AH454" s="76">
        <v>63</v>
      </c>
      <c r="AI454" s="76">
        <v>0</v>
      </c>
      <c r="AJ454" s="76">
        <v>113</v>
      </c>
      <c r="AK454" s="76">
        <v>4</v>
      </c>
      <c r="AL454" s="76" t="b">
        <v>0</v>
      </c>
      <c r="AM454" s="78">
        <v>43989.952986111108</v>
      </c>
      <c r="AN454" s="76" t="s">
        <v>23205</v>
      </c>
      <c r="AO454" s="76" t="s">
        <v>23733</v>
      </c>
      <c r="AP454" s="83" t="str">
        <f>HYPERLINK("https://t.co/0goUpPUn7V")</f>
        <v>https://t.co/0goUpPUn7V</v>
      </c>
      <c r="AQ454" s="83" t="str">
        <f>HYPERLINK("https://mywhats.net/JonasAlmeiiida")</f>
        <v>https://mywhats.net/JonasAlmeiiida</v>
      </c>
      <c r="AR454" s="76" t="s">
        <v>24499</v>
      </c>
      <c r="AS454" s="76"/>
      <c r="AT454" s="76"/>
      <c r="AU454" s="76"/>
      <c r="AV454" s="76">
        <v>1.5283622804796001E+18</v>
      </c>
      <c r="AW454" s="83" t="str">
        <f>HYPERLINK("https://t.co/0goUpPUn7V")</f>
        <v>https://t.co/0goUpPUn7V</v>
      </c>
      <c r="AX454" s="76" t="b">
        <v>0</v>
      </c>
      <c r="AY454" s="76"/>
      <c r="AZ454" s="76"/>
      <c r="BA454" s="76" t="b">
        <v>0</v>
      </c>
      <c r="BB454" s="76" t="b">
        <v>1</v>
      </c>
      <c r="BC454" s="76" t="b">
        <v>1</v>
      </c>
      <c r="BD454" s="76" t="b">
        <v>0</v>
      </c>
      <c r="BE454" s="76" t="b">
        <v>0</v>
      </c>
      <c r="BF454" s="76" t="b">
        <v>0</v>
      </c>
      <c r="BG454" s="76" t="b">
        <v>0</v>
      </c>
      <c r="BH454" s="83" t="str">
        <f>HYPERLINK("https://pbs.twimg.com/profile_banners/1269764070703497219/1591571766")</f>
        <v>https://pbs.twimg.com/profile_banners/1269764070703497219/1591571766</v>
      </c>
      <c r="BI454" s="76"/>
      <c r="BJ454" s="76" t="s">
        <v>24935</v>
      </c>
      <c r="BK454" s="76" t="b">
        <v>0</v>
      </c>
      <c r="BL454" s="76"/>
      <c r="BM454" s="76" t="s">
        <v>66</v>
      </c>
      <c r="BN454" s="76" t="s">
        <v>24937</v>
      </c>
      <c r="BO454" s="83" t="str">
        <f>HYPERLINK("https://twitter.com/jonaasalmeida")</f>
        <v>https://twitter.com/jonaasalmeida</v>
      </c>
      <c r="BP454" s="2"/>
    </row>
    <row r="455" spans="1:68" x14ac:dyDescent="0.25">
      <c r="A455" s="62" t="s">
        <v>654</v>
      </c>
      <c r="B455" s="63"/>
      <c r="C455" s="63"/>
      <c r="D455" s="64"/>
      <c r="E455" s="66"/>
      <c r="F455" s="102" t="str">
        <f>HYPERLINK("https://pbs.twimg.com/profile_images/1614499804918210561/YK0HYrBW_normal.jpg")</f>
        <v>https://pbs.twimg.com/profile_images/1614499804918210561/YK0HYrBW_normal.jpg</v>
      </c>
      <c r="G455" s="63"/>
      <c r="H455" s="67"/>
      <c r="I455" s="68"/>
      <c r="J455" s="68"/>
      <c r="K455" s="67" t="s">
        <v>25389</v>
      </c>
      <c r="L455" s="71"/>
      <c r="M455" s="72"/>
      <c r="N455" s="72"/>
      <c r="O455" s="73"/>
      <c r="P455" s="74"/>
      <c r="Q455" s="74"/>
      <c r="R455" s="86"/>
      <c r="S455" s="86"/>
      <c r="T455" s="86"/>
      <c r="U455" s="86"/>
      <c r="V455" s="48"/>
      <c r="W455" s="48"/>
      <c r="X455" s="48"/>
      <c r="Y455" s="48"/>
      <c r="Z455" s="47"/>
      <c r="AA455" s="69">
        <v>455</v>
      </c>
      <c r="AB455" s="69"/>
      <c r="AC455" s="70"/>
      <c r="AD455" s="76" t="s">
        <v>22257</v>
      </c>
      <c r="AE455" s="81" t="s">
        <v>20934</v>
      </c>
      <c r="AF455" s="76">
        <v>2</v>
      </c>
      <c r="AG455" s="76">
        <v>4</v>
      </c>
      <c r="AH455" s="76">
        <v>21</v>
      </c>
      <c r="AI455" s="76">
        <v>0</v>
      </c>
      <c r="AJ455" s="76">
        <v>17</v>
      </c>
      <c r="AK455" s="76">
        <v>16</v>
      </c>
      <c r="AL455" s="76" t="b">
        <v>0</v>
      </c>
      <c r="AM455" s="78">
        <v>44941.176458333335</v>
      </c>
      <c r="AN455" s="76"/>
      <c r="AO455" s="76" t="s">
        <v>23734</v>
      </c>
      <c r="AP455" s="83" t="str">
        <f>HYPERLINK("https://t.co/BPDzPwKW2Y")</f>
        <v>https://t.co/BPDzPwKW2Y</v>
      </c>
      <c r="AQ455" s="83" t="str">
        <f>HYPERLINK("https://beacons.ai/aposentandonovo")</f>
        <v>https://beacons.ai/aposentandonovo</v>
      </c>
      <c r="AR455" s="76" t="s">
        <v>24500</v>
      </c>
      <c r="AS455" s="76"/>
      <c r="AT455" s="76"/>
      <c r="AU455" s="76"/>
      <c r="AV455" s="76"/>
      <c r="AW455" s="83" t="str">
        <f>HYPERLINK("https://t.co/BPDzPwKW2Y")</f>
        <v>https://t.co/BPDzPwKW2Y</v>
      </c>
      <c r="AX455" s="76" t="b">
        <v>0</v>
      </c>
      <c r="AY455" s="76"/>
      <c r="AZ455" s="76"/>
      <c r="BA455" s="76" t="b">
        <v>0</v>
      </c>
      <c r="BB455" s="76" t="b">
        <v>1</v>
      </c>
      <c r="BC455" s="76" t="b">
        <v>1</v>
      </c>
      <c r="BD455" s="76" t="b">
        <v>0</v>
      </c>
      <c r="BE455" s="76" t="b">
        <v>0</v>
      </c>
      <c r="BF455" s="76" t="b">
        <v>0</v>
      </c>
      <c r="BG455" s="76" t="b">
        <v>0</v>
      </c>
      <c r="BH455" s="83" t="str">
        <f>HYPERLINK("https://pbs.twimg.com/profile_banners/1614475928825888768/1673761738")</f>
        <v>https://pbs.twimg.com/profile_banners/1614475928825888768/1673761738</v>
      </c>
      <c r="BI455" s="76"/>
      <c r="BJ455" s="76" t="s">
        <v>24935</v>
      </c>
      <c r="BK455" s="76" t="b">
        <v>0</v>
      </c>
      <c r="BL455" s="76"/>
      <c r="BM455" s="76" t="s">
        <v>66</v>
      </c>
      <c r="BN455" s="76" t="s">
        <v>24937</v>
      </c>
      <c r="BO455" s="83" t="str">
        <f>HYPERLINK("https://twitter.com/aposentandonovo")</f>
        <v>https://twitter.com/aposentandonovo</v>
      </c>
      <c r="BP455" s="2"/>
    </row>
    <row r="456" spans="1:68" x14ac:dyDescent="0.25">
      <c r="A456" s="62" t="s">
        <v>655</v>
      </c>
      <c r="B456" s="63"/>
      <c r="C456" s="63"/>
      <c r="D456" s="64"/>
      <c r="E456" s="66"/>
      <c r="F456" s="102" t="str">
        <f>HYPERLINK("https://pbs.twimg.com/profile_images/1495036292794658830/S7Zg_LfB_normal.jpg")</f>
        <v>https://pbs.twimg.com/profile_images/1495036292794658830/S7Zg_LfB_normal.jpg</v>
      </c>
      <c r="G456" s="63"/>
      <c r="H456" s="67"/>
      <c r="I456" s="68"/>
      <c r="J456" s="68"/>
      <c r="K456" s="67" t="s">
        <v>25390</v>
      </c>
      <c r="L456" s="71"/>
      <c r="M456" s="72"/>
      <c r="N456" s="72"/>
      <c r="O456" s="73"/>
      <c r="P456" s="74"/>
      <c r="Q456" s="74"/>
      <c r="R456" s="86"/>
      <c r="S456" s="86"/>
      <c r="T456" s="86"/>
      <c r="U456" s="86"/>
      <c r="V456" s="48"/>
      <c r="W456" s="48"/>
      <c r="X456" s="48"/>
      <c r="Y456" s="48"/>
      <c r="Z456" s="47"/>
      <c r="AA456" s="69">
        <v>456</v>
      </c>
      <c r="AB456" s="69"/>
      <c r="AC456" s="70"/>
      <c r="AD456" s="76" t="s">
        <v>22258</v>
      </c>
      <c r="AE456" s="81" t="s">
        <v>21333</v>
      </c>
      <c r="AF456" s="76">
        <v>724</v>
      </c>
      <c r="AG456" s="76">
        <v>725</v>
      </c>
      <c r="AH456" s="76">
        <v>1394</v>
      </c>
      <c r="AI456" s="76">
        <v>0</v>
      </c>
      <c r="AJ456" s="76">
        <v>804</v>
      </c>
      <c r="AK456" s="76">
        <v>648</v>
      </c>
      <c r="AL456" s="76" t="b">
        <v>0</v>
      </c>
      <c r="AM456" s="78">
        <v>44566.600706018522</v>
      </c>
      <c r="AN456" s="76" t="s">
        <v>23081</v>
      </c>
      <c r="AO456" s="76" t="s">
        <v>23735</v>
      </c>
      <c r="AP456" s="83" t="str">
        <f>HYPERLINK("https://t.co/MFB3w63jfp")</f>
        <v>https://t.co/MFB3w63jfp</v>
      </c>
      <c r="AQ456" s="83" t="str">
        <f>HYPERLINK("http://www.dicasfederal.com")</f>
        <v>http://www.dicasfederal.com</v>
      </c>
      <c r="AR456" s="76" t="s">
        <v>7363</v>
      </c>
      <c r="AS456" s="76"/>
      <c r="AT456" s="76"/>
      <c r="AU456" s="76"/>
      <c r="AV456" s="76"/>
      <c r="AW456" s="83" t="str">
        <f>HYPERLINK("https://t.co/MFB3w63jfp")</f>
        <v>https://t.co/MFB3w63jfp</v>
      </c>
      <c r="AX456" s="76" t="b">
        <v>0</v>
      </c>
      <c r="AY456" s="76"/>
      <c r="AZ456" s="76"/>
      <c r="BA456" s="76" t="b">
        <v>1</v>
      </c>
      <c r="BB456" s="76" t="b">
        <v>1</v>
      </c>
      <c r="BC456" s="76" t="b">
        <v>1</v>
      </c>
      <c r="BD456" s="76" t="b">
        <v>0</v>
      </c>
      <c r="BE456" s="76" t="b">
        <v>0</v>
      </c>
      <c r="BF456" s="76" t="b">
        <v>0</v>
      </c>
      <c r="BG456" s="76" t="b">
        <v>0</v>
      </c>
      <c r="BH456" s="76"/>
      <c r="BI456" s="76"/>
      <c r="BJ456" s="76" t="s">
        <v>24935</v>
      </c>
      <c r="BK456" s="76" t="b">
        <v>0</v>
      </c>
      <c r="BL456" s="76"/>
      <c r="BM456" s="76" t="s">
        <v>66</v>
      </c>
      <c r="BN456" s="76" t="s">
        <v>24937</v>
      </c>
      <c r="BO456" s="83" t="str">
        <f>HYPERLINK("https://twitter.com/anselmoeduard18")</f>
        <v>https://twitter.com/anselmoeduard18</v>
      </c>
      <c r="BP456" s="2"/>
    </row>
    <row r="457" spans="1:68" x14ac:dyDescent="0.25">
      <c r="A457" s="62" t="s">
        <v>656</v>
      </c>
      <c r="B457" s="63"/>
      <c r="C457" s="63"/>
      <c r="D457" s="64"/>
      <c r="E457" s="66"/>
      <c r="F457" s="102" t="str">
        <f>HYPERLINK("https://pbs.twimg.com/profile_images/1609021764746584064/XIbiQyJG_normal.jpg")</f>
        <v>https://pbs.twimg.com/profile_images/1609021764746584064/XIbiQyJG_normal.jpg</v>
      </c>
      <c r="G457" s="63"/>
      <c r="H457" s="67"/>
      <c r="I457" s="68"/>
      <c r="J457" s="68"/>
      <c r="K457" s="67" t="s">
        <v>25391</v>
      </c>
      <c r="L457" s="71"/>
      <c r="M457" s="72"/>
      <c r="N457" s="72"/>
      <c r="O457" s="73"/>
      <c r="P457" s="74"/>
      <c r="Q457" s="74"/>
      <c r="R457" s="86"/>
      <c r="S457" s="86"/>
      <c r="T457" s="86"/>
      <c r="U457" s="86"/>
      <c r="V457" s="48"/>
      <c r="W457" s="48"/>
      <c r="X457" s="48"/>
      <c r="Y457" s="48"/>
      <c r="Z457" s="47"/>
      <c r="AA457" s="69">
        <v>457</v>
      </c>
      <c r="AB457" s="69"/>
      <c r="AC457" s="70"/>
      <c r="AD457" s="76" t="s">
        <v>22259</v>
      </c>
      <c r="AE457" s="81" t="s">
        <v>21334</v>
      </c>
      <c r="AF457" s="76">
        <v>191</v>
      </c>
      <c r="AG457" s="76">
        <v>674</v>
      </c>
      <c r="AH457" s="76">
        <v>771</v>
      </c>
      <c r="AI457" s="76">
        <v>0</v>
      </c>
      <c r="AJ457" s="76">
        <v>1778</v>
      </c>
      <c r="AK457" s="76">
        <v>3</v>
      </c>
      <c r="AL457" s="76" t="b">
        <v>0</v>
      </c>
      <c r="AM457" s="78">
        <v>44836.949097222219</v>
      </c>
      <c r="AN457" s="76"/>
      <c r="AO457" s="76" t="s">
        <v>23736</v>
      </c>
      <c r="AP457" s="76"/>
      <c r="AQ457" s="76"/>
      <c r="AR457" s="76"/>
      <c r="AS457" s="76"/>
      <c r="AT457" s="76"/>
      <c r="AU457" s="76"/>
      <c r="AV457" s="76"/>
      <c r="AW457" s="76"/>
      <c r="AX457" s="76" t="b">
        <v>0</v>
      </c>
      <c r="AY457" s="76"/>
      <c r="AZ457" s="76"/>
      <c r="BA457" s="76" t="b">
        <v>0</v>
      </c>
      <c r="BB457" s="76" t="b">
        <v>1</v>
      </c>
      <c r="BC457" s="76" t="b">
        <v>1</v>
      </c>
      <c r="BD457" s="76" t="b">
        <v>0</v>
      </c>
      <c r="BE457" s="76" t="b">
        <v>0</v>
      </c>
      <c r="BF457" s="76" t="b">
        <v>0</v>
      </c>
      <c r="BG457" s="76" t="b">
        <v>0</v>
      </c>
      <c r="BH457" s="83" t="str">
        <f>HYPERLINK("https://pbs.twimg.com/profile_banners/1576705209635639297/1664756578")</f>
        <v>https://pbs.twimg.com/profile_banners/1576705209635639297/1664756578</v>
      </c>
      <c r="BI457" s="76"/>
      <c r="BJ457" s="76" t="s">
        <v>24935</v>
      </c>
      <c r="BK457" s="76" t="b">
        <v>0</v>
      </c>
      <c r="BL457" s="76"/>
      <c r="BM457" s="76" t="s">
        <v>66</v>
      </c>
      <c r="BN457" s="76" t="s">
        <v>24937</v>
      </c>
      <c r="BO457" s="83" t="str">
        <f>HYPERLINK("https://twitter.com/argentsbitch")</f>
        <v>https://twitter.com/argentsbitch</v>
      </c>
      <c r="BP457" s="2"/>
    </row>
    <row r="458" spans="1:68" x14ac:dyDescent="0.25">
      <c r="A458" s="62" t="s">
        <v>657</v>
      </c>
      <c r="B458" s="63"/>
      <c r="C458" s="63"/>
      <c r="D458" s="64"/>
      <c r="E458" s="66"/>
      <c r="F458" s="102" t="str">
        <f>HYPERLINK("https://pbs.twimg.com/profile_images/1679221879117082624/DQg6nTZh_normal.jpg")</f>
        <v>https://pbs.twimg.com/profile_images/1679221879117082624/DQg6nTZh_normal.jpg</v>
      </c>
      <c r="G458" s="63"/>
      <c r="H458" s="67"/>
      <c r="I458" s="68"/>
      <c r="J458" s="68"/>
      <c r="K458" s="67" t="s">
        <v>25392</v>
      </c>
      <c r="L458" s="71"/>
      <c r="M458" s="72"/>
      <c r="N458" s="72"/>
      <c r="O458" s="73"/>
      <c r="P458" s="74"/>
      <c r="Q458" s="74"/>
      <c r="R458" s="86"/>
      <c r="S458" s="86"/>
      <c r="T458" s="86"/>
      <c r="U458" s="86"/>
      <c r="V458" s="48"/>
      <c r="W458" s="48"/>
      <c r="X458" s="48"/>
      <c r="Y458" s="48"/>
      <c r="Z458" s="47"/>
      <c r="AA458" s="69">
        <v>458</v>
      </c>
      <c r="AB458" s="69"/>
      <c r="AC458" s="70"/>
      <c r="AD458" s="76" t="s">
        <v>22260</v>
      </c>
      <c r="AE458" s="81" t="s">
        <v>21335</v>
      </c>
      <c r="AF458" s="76">
        <v>5</v>
      </c>
      <c r="AG458" s="76">
        <v>136</v>
      </c>
      <c r="AH458" s="76">
        <v>70</v>
      </c>
      <c r="AI458" s="76">
        <v>0</v>
      </c>
      <c r="AJ458" s="76">
        <v>12</v>
      </c>
      <c r="AK458" s="76">
        <v>10</v>
      </c>
      <c r="AL458" s="76" t="b">
        <v>0</v>
      </c>
      <c r="AM458" s="78">
        <v>44474.63758101852</v>
      </c>
      <c r="AN458" s="76" t="s">
        <v>23206</v>
      </c>
      <c r="AO458" s="76" t="s">
        <v>23737</v>
      </c>
      <c r="AP458" s="83" t="str">
        <f>HYPERLINK("https://t.co/4DPnblPSPn")</f>
        <v>https://t.co/4DPnblPSPn</v>
      </c>
      <c r="AQ458" s="83" t="str">
        <f>HYPERLINK("https://linkfly.to/primeiravendaem2dias")</f>
        <v>https://linkfly.to/primeiravendaem2dias</v>
      </c>
      <c r="AR458" s="76" t="s">
        <v>24501</v>
      </c>
      <c r="AS458" s="76"/>
      <c r="AT458" s="76"/>
      <c r="AU458" s="76"/>
      <c r="AV458" s="76"/>
      <c r="AW458" s="83" t="str">
        <f>HYPERLINK("https://t.co/4DPnblPSPn")</f>
        <v>https://t.co/4DPnblPSPn</v>
      </c>
      <c r="AX458" s="76" t="b">
        <v>0</v>
      </c>
      <c r="AY458" s="76"/>
      <c r="AZ458" s="76"/>
      <c r="BA458" s="76" t="b">
        <v>0</v>
      </c>
      <c r="BB458" s="76" t="b">
        <v>1</v>
      </c>
      <c r="BC458" s="76" t="b">
        <v>1</v>
      </c>
      <c r="BD458" s="76" t="b">
        <v>0</v>
      </c>
      <c r="BE458" s="76" t="b">
        <v>0</v>
      </c>
      <c r="BF458" s="76" t="b">
        <v>0</v>
      </c>
      <c r="BG458" s="76" t="b">
        <v>0</v>
      </c>
      <c r="BH458" s="83" t="str">
        <f>HYPERLINK("https://pbs.twimg.com/profile_banners/1445407775270522894/1667266859")</f>
        <v>https://pbs.twimg.com/profile_banners/1445407775270522894/1667266859</v>
      </c>
      <c r="BI458" s="76"/>
      <c r="BJ458" s="76" t="s">
        <v>24935</v>
      </c>
      <c r="BK458" s="76" t="b">
        <v>0</v>
      </c>
      <c r="BL458" s="76"/>
      <c r="BM458" s="76" t="s">
        <v>66</v>
      </c>
      <c r="BN458" s="76" t="s">
        <v>24937</v>
      </c>
      <c r="BO458" s="83" t="str">
        <f>HYPERLINK("https://twitter.com/lebronff2")</f>
        <v>https://twitter.com/lebronff2</v>
      </c>
      <c r="BP458" s="2"/>
    </row>
    <row r="459" spans="1:68" x14ac:dyDescent="0.25">
      <c r="A459" s="62" t="s">
        <v>658</v>
      </c>
      <c r="B459" s="63"/>
      <c r="C459" s="63"/>
      <c r="D459" s="64"/>
      <c r="E459" s="66"/>
      <c r="F459" s="102" t="str">
        <f>HYPERLINK("https://pbs.twimg.com/profile_images/1041725334431952896/uaPtkYSp_normal.jpg")</f>
        <v>https://pbs.twimg.com/profile_images/1041725334431952896/uaPtkYSp_normal.jpg</v>
      </c>
      <c r="G459" s="63"/>
      <c r="H459" s="67"/>
      <c r="I459" s="68"/>
      <c r="J459" s="68"/>
      <c r="K459" s="67" t="s">
        <v>25393</v>
      </c>
      <c r="L459" s="71"/>
      <c r="M459" s="72"/>
      <c r="N459" s="72"/>
      <c r="O459" s="73"/>
      <c r="P459" s="74"/>
      <c r="Q459" s="74"/>
      <c r="R459" s="86"/>
      <c r="S459" s="86"/>
      <c r="T459" s="86"/>
      <c r="U459" s="86"/>
      <c r="V459" s="48"/>
      <c r="W459" s="48"/>
      <c r="X459" s="48"/>
      <c r="Y459" s="48"/>
      <c r="Z459" s="47"/>
      <c r="AA459" s="69">
        <v>459</v>
      </c>
      <c r="AB459" s="69"/>
      <c r="AC459" s="70"/>
      <c r="AD459" s="76" t="s">
        <v>22261</v>
      </c>
      <c r="AE459" s="81" t="s">
        <v>21336</v>
      </c>
      <c r="AF459" s="76">
        <v>13871</v>
      </c>
      <c r="AG459" s="76">
        <v>34</v>
      </c>
      <c r="AH459" s="76">
        <v>24407</v>
      </c>
      <c r="AI459" s="76">
        <v>251</v>
      </c>
      <c r="AJ459" s="76">
        <v>409</v>
      </c>
      <c r="AK459" s="76">
        <v>5791</v>
      </c>
      <c r="AL459" s="76" t="b">
        <v>0</v>
      </c>
      <c r="AM459" s="78">
        <v>43360.684699074074</v>
      </c>
      <c r="AN459" s="76" t="s">
        <v>14040</v>
      </c>
      <c r="AO459" s="76" t="s">
        <v>23738</v>
      </c>
      <c r="AP459" s="83" t="str">
        <f>HYPERLINK("https://t.co/nXFGfCwP7j")</f>
        <v>https://t.co/nXFGfCwP7j</v>
      </c>
      <c r="AQ459" s="83" t="str">
        <f>HYPERLINK("https://www.seudinheiro.com/")</f>
        <v>https://www.seudinheiro.com/</v>
      </c>
      <c r="AR459" s="76" t="s">
        <v>7365</v>
      </c>
      <c r="AS459" s="76"/>
      <c r="AT459" s="76"/>
      <c r="AU459" s="76"/>
      <c r="AV459" s="76"/>
      <c r="AW459" s="83" t="str">
        <f>HYPERLINK("https://t.co/nXFGfCwP7j")</f>
        <v>https://t.co/nXFGfCwP7j</v>
      </c>
      <c r="AX459" s="76" t="b">
        <v>0</v>
      </c>
      <c r="AY459" s="76"/>
      <c r="AZ459" s="76"/>
      <c r="BA459" s="76" t="b">
        <v>0</v>
      </c>
      <c r="BB459" s="76" t="b">
        <v>1</v>
      </c>
      <c r="BC459" s="76" t="b">
        <v>1</v>
      </c>
      <c r="BD459" s="76" t="b">
        <v>0</v>
      </c>
      <c r="BE459" s="76" t="b">
        <v>1</v>
      </c>
      <c r="BF459" s="76" t="b">
        <v>0</v>
      </c>
      <c r="BG459" s="76" t="b">
        <v>0</v>
      </c>
      <c r="BH459" s="83" t="str">
        <f>HYPERLINK("https://pbs.twimg.com/profile_banners/1041724956839698433/1600351810")</f>
        <v>https://pbs.twimg.com/profile_banners/1041724956839698433/1600351810</v>
      </c>
      <c r="BI459" s="76"/>
      <c r="BJ459" s="76" t="s">
        <v>24935</v>
      </c>
      <c r="BK459" s="76" t="b">
        <v>0</v>
      </c>
      <c r="BL459" s="76"/>
      <c r="BM459" s="76" t="s">
        <v>66</v>
      </c>
      <c r="BN459" s="76" t="s">
        <v>24937</v>
      </c>
      <c r="BO459" s="83" t="str">
        <f>HYPERLINK("https://twitter.com/seu_dinheiro_br")</f>
        <v>https://twitter.com/seu_dinheiro_br</v>
      </c>
      <c r="BP459" s="2"/>
    </row>
    <row r="460" spans="1:68" x14ac:dyDescent="0.25">
      <c r="A460" s="62" t="s">
        <v>659</v>
      </c>
      <c r="B460" s="63"/>
      <c r="C460" s="63"/>
      <c r="D460" s="64"/>
      <c r="E460" s="66"/>
      <c r="F460" s="102" t="str">
        <f>HYPERLINK("https://pbs.twimg.com/profile_images/1022303095626362880/bpf8CabR_normal.jpg")</f>
        <v>https://pbs.twimg.com/profile_images/1022303095626362880/bpf8CabR_normal.jpg</v>
      </c>
      <c r="G460" s="63"/>
      <c r="H460" s="67"/>
      <c r="I460" s="68"/>
      <c r="J460" s="68"/>
      <c r="K460" s="67" t="s">
        <v>25394</v>
      </c>
      <c r="L460" s="71"/>
      <c r="M460" s="72"/>
      <c r="N460" s="72"/>
      <c r="O460" s="73"/>
      <c r="P460" s="74"/>
      <c r="Q460" s="74"/>
      <c r="R460" s="86"/>
      <c r="S460" s="86"/>
      <c r="T460" s="86"/>
      <c r="U460" s="86"/>
      <c r="V460" s="48"/>
      <c r="W460" s="48"/>
      <c r="X460" s="48"/>
      <c r="Y460" s="48"/>
      <c r="Z460" s="47"/>
      <c r="AA460" s="69">
        <v>460</v>
      </c>
      <c r="AB460" s="69"/>
      <c r="AC460" s="70"/>
      <c r="AD460" s="76" t="s">
        <v>22262</v>
      </c>
      <c r="AE460" s="81" t="s">
        <v>21337</v>
      </c>
      <c r="AF460" s="76">
        <v>16</v>
      </c>
      <c r="AG460" s="76">
        <v>43</v>
      </c>
      <c r="AH460" s="76">
        <v>1259</v>
      </c>
      <c r="AI460" s="76">
        <v>0</v>
      </c>
      <c r="AJ460" s="76">
        <v>2594</v>
      </c>
      <c r="AK460" s="76">
        <v>339</v>
      </c>
      <c r="AL460" s="76" t="b">
        <v>0</v>
      </c>
      <c r="AM460" s="78">
        <v>43075.47896990741</v>
      </c>
      <c r="AN460" s="76" t="s">
        <v>14033</v>
      </c>
      <c r="AO460" s="76" t="s">
        <v>23739</v>
      </c>
      <c r="AP460" s="83" t="str">
        <f>HYPERLINK("https://t.co/aotVi8kW0f")</f>
        <v>https://t.co/aotVi8kW0f</v>
      </c>
      <c r="AQ460" s="83" t="str">
        <f>HYPERLINK("https://www.assimvocegosta.com.br")</f>
        <v>https://www.assimvocegosta.com.br</v>
      </c>
      <c r="AR460" s="76" t="s">
        <v>24502</v>
      </c>
      <c r="AS460" s="76"/>
      <c r="AT460" s="76"/>
      <c r="AU460" s="76"/>
      <c r="AV460" s="76">
        <v>1.6853322898011E+18</v>
      </c>
      <c r="AW460" s="83" t="str">
        <f>HYPERLINK("https://t.co/aotVi8kW0f")</f>
        <v>https://t.co/aotVi8kW0f</v>
      </c>
      <c r="AX460" s="76" t="b">
        <v>0</v>
      </c>
      <c r="AY460" s="76"/>
      <c r="AZ460" s="76"/>
      <c r="BA460" s="76" t="b">
        <v>0</v>
      </c>
      <c r="BB460" s="76" t="b">
        <v>0</v>
      </c>
      <c r="BC460" s="76" t="b">
        <v>1</v>
      </c>
      <c r="BD460" s="76" t="b">
        <v>0</v>
      </c>
      <c r="BE460" s="76" t="b">
        <v>0</v>
      </c>
      <c r="BF460" s="76" t="b">
        <v>0</v>
      </c>
      <c r="BG460" s="76" t="b">
        <v>0</v>
      </c>
      <c r="BH460" s="83" t="str">
        <f>HYPERLINK("https://pbs.twimg.com/profile_banners/938369859422969856/1656623750")</f>
        <v>https://pbs.twimg.com/profile_banners/938369859422969856/1656623750</v>
      </c>
      <c r="BI460" s="76"/>
      <c r="BJ460" s="76" t="s">
        <v>24935</v>
      </c>
      <c r="BK460" s="76" t="b">
        <v>0</v>
      </c>
      <c r="BL460" s="76"/>
      <c r="BM460" s="76" t="s">
        <v>66</v>
      </c>
      <c r="BN460" s="76" t="s">
        <v>24937</v>
      </c>
      <c r="BO460" s="83" t="str">
        <f>HYPERLINK("https://twitter.com/diogo_andreia32")</f>
        <v>https://twitter.com/diogo_andreia32</v>
      </c>
      <c r="BP460" s="2"/>
    </row>
    <row r="461" spans="1:68" x14ac:dyDescent="0.25">
      <c r="A461" s="62" t="s">
        <v>660</v>
      </c>
      <c r="B461" s="63"/>
      <c r="C461" s="63"/>
      <c r="D461" s="64"/>
      <c r="E461" s="66"/>
      <c r="F461" s="102" t="str">
        <f>HYPERLINK("https://pbs.twimg.com/profile_images/1457291987263148036/xv-iKbqb_normal.jpg")</f>
        <v>https://pbs.twimg.com/profile_images/1457291987263148036/xv-iKbqb_normal.jpg</v>
      </c>
      <c r="G461" s="63"/>
      <c r="H461" s="67"/>
      <c r="I461" s="68"/>
      <c r="J461" s="68"/>
      <c r="K461" s="67" t="s">
        <v>25395</v>
      </c>
      <c r="L461" s="71"/>
      <c r="M461" s="72"/>
      <c r="N461" s="72"/>
      <c r="O461" s="73"/>
      <c r="P461" s="74"/>
      <c r="Q461" s="74"/>
      <c r="R461" s="86"/>
      <c r="S461" s="86"/>
      <c r="T461" s="86"/>
      <c r="U461" s="86"/>
      <c r="V461" s="48"/>
      <c r="W461" s="48"/>
      <c r="X461" s="48"/>
      <c r="Y461" s="48"/>
      <c r="Z461" s="47"/>
      <c r="AA461" s="69">
        <v>461</v>
      </c>
      <c r="AB461" s="69"/>
      <c r="AC461" s="70"/>
      <c r="AD461" s="76" t="s">
        <v>22263</v>
      </c>
      <c r="AE461" s="81" t="s">
        <v>21338</v>
      </c>
      <c r="AF461" s="76">
        <v>6</v>
      </c>
      <c r="AG461" s="76">
        <v>0</v>
      </c>
      <c r="AH461" s="76">
        <v>32</v>
      </c>
      <c r="AI461" s="76">
        <v>0</v>
      </c>
      <c r="AJ461" s="76">
        <v>21</v>
      </c>
      <c r="AK461" s="76">
        <v>7</v>
      </c>
      <c r="AL461" s="76" t="b">
        <v>0</v>
      </c>
      <c r="AM461" s="78">
        <v>44180.657013888886</v>
      </c>
      <c r="AN461" s="76"/>
      <c r="AO461" s="76" t="s">
        <v>23740</v>
      </c>
      <c r="AP461" s="76"/>
      <c r="AQ461" s="76"/>
      <c r="AR461" s="76"/>
      <c r="AS461" s="76"/>
      <c r="AT461" s="76"/>
      <c r="AU461" s="76"/>
      <c r="AV461" s="76"/>
      <c r="AW461" s="76"/>
      <c r="AX461" s="76" t="b">
        <v>0</v>
      </c>
      <c r="AY461" s="76"/>
      <c r="AZ461" s="76"/>
      <c r="BA461" s="76" t="b">
        <v>0</v>
      </c>
      <c r="BB461" s="76" t="b">
        <v>1</v>
      </c>
      <c r="BC461" s="76" t="b">
        <v>1</v>
      </c>
      <c r="BD461" s="76" t="b">
        <v>0</v>
      </c>
      <c r="BE461" s="76" t="b">
        <v>0</v>
      </c>
      <c r="BF461" s="76" t="b">
        <v>0</v>
      </c>
      <c r="BG461" s="76" t="b">
        <v>0</v>
      </c>
      <c r="BH461" s="76"/>
      <c r="BI461" s="76"/>
      <c r="BJ461" s="76" t="s">
        <v>24935</v>
      </c>
      <c r="BK461" s="76" t="b">
        <v>0</v>
      </c>
      <c r="BL461" s="76"/>
      <c r="BM461" s="76" t="s">
        <v>66</v>
      </c>
      <c r="BN461" s="76" t="s">
        <v>24937</v>
      </c>
      <c r="BO461" s="83" t="str">
        <f>HYPERLINK("https://twitter.com/euclienteoculto")</f>
        <v>https://twitter.com/euclienteoculto</v>
      </c>
      <c r="BP461" s="2"/>
    </row>
    <row r="462" spans="1:68" x14ac:dyDescent="0.25">
      <c r="A462" s="62" t="s">
        <v>661</v>
      </c>
      <c r="B462" s="63"/>
      <c r="C462" s="63"/>
      <c r="D462" s="64"/>
      <c r="E462" s="66"/>
      <c r="F462" s="102" t="str">
        <f>HYPERLINK("https://pbs.twimg.com/profile_images/1685447025771352064/Jbdozk0l_normal.jpg")</f>
        <v>https://pbs.twimg.com/profile_images/1685447025771352064/Jbdozk0l_normal.jpg</v>
      </c>
      <c r="G462" s="63"/>
      <c r="H462" s="67"/>
      <c r="I462" s="68"/>
      <c r="J462" s="68"/>
      <c r="K462" s="67" t="s">
        <v>25396</v>
      </c>
      <c r="L462" s="71"/>
      <c r="M462" s="72"/>
      <c r="N462" s="72"/>
      <c r="O462" s="73"/>
      <c r="P462" s="74"/>
      <c r="Q462" s="74"/>
      <c r="R462" s="86"/>
      <c r="S462" s="86"/>
      <c r="T462" s="86"/>
      <c r="U462" s="86"/>
      <c r="V462" s="48"/>
      <c r="W462" s="48"/>
      <c r="X462" s="48"/>
      <c r="Y462" s="48"/>
      <c r="Z462" s="47"/>
      <c r="AA462" s="69">
        <v>462</v>
      </c>
      <c r="AB462" s="69"/>
      <c r="AC462" s="70"/>
      <c r="AD462" s="76" t="s">
        <v>22264</v>
      </c>
      <c r="AE462" s="81" t="s">
        <v>21339</v>
      </c>
      <c r="AF462" s="76">
        <v>44</v>
      </c>
      <c r="AG462" s="76">
        <v>508</v>
      </c>
      <c r="AH462" s="76">
        <v>8279</v>
      </c>
      <c r="AI462" s="76">
        <v>1</v>
      </c>
      <c r="AJ462" s="76">
        <v>11123</v>
      </c>
      <c r="AK462" s="76">
        <v>1472</v>
      </c>
      <c r="AL462" s="76" t="b">
        <v>0</v>
      </c>
      <c r="AM462" s="78">
        <v>44072.803229166668</v>
      </c>
      <c r="AN462" s="76" t="s">
        <v>14033</v>
      </c>
      <c r="AO462" s="76" t="s">
        <v>23741</v>
      </c>
      <c r="AP462" s="76"/>
      <c r="AQ462" s="76"/>
      <c r="AR462" s="76"/>
      <c r="AS462" s="76"/>
      <c r="AT462" s="76"/>
      <c r="AU462" s="76"/>
      <c r="AV462" s="76">
        <v>1.6444668046332401E+18</v>
      </c>
      <c r="AW462" s="76"/>
      <c r="AX462" s="76" t="b">
        <v>0</v>
      </c>
      <c r="AY462" s="76"/>
      <c r="AZ462" s="76"/>
      <c r="BA462" s="76" t="b">
        <v>1</v>
      </c>
      <c r="BB462" s="76" t="b">
        <v>0</v>
      </c>
      <c r="BC462" s="76" t="b">
        <v>1</v>
      </c>
      <c r="BD462" s="76" t="b">
        <v>0</v>
      </c>
      <c r="BE462" s="76" t="b">
        <v>0</v>
      </c>
      <c r="BF462" s="76" t="b">
        <v>0</v>
      </c>
      <c r="BG462" s="76" t="b">
        <v>0</v>
      </c>
      <c r="BH462" s="83" t="str">
        <f>HYPERLINK("https://pbs.twimg.com/profile_banners/1299788021257187329/1690676859")</f>
        <v>https://pbs.twimg.com/profile_banners/1299788021257187329/1690676859</v>
      </c>
      <c r="BI462" s="76"/>
      <c r="BJ462" s="76" t="s">
        <v>24935</v>
      </c>
      <c r="BK462" s="76" t="b">
        <v>0</v>
      </c>
      <c r="BL462" s="76"/>
      <c r="BM462" s="76" t="s">
        <v>66</v>
      </c>
      <c r="BN462" s="76" t="s">
        <v>24937</v>
      </c>
      <c r="BO462" s="83" t="str">
        <f>HYPERLINK("https://twitter.com/maixtv")</f>
        <v>https://twitter.com/maixtv</v>
      </c>
      <c r="BP462" s="2"/>
    </row>
    <row r="463" spans="1:68" x14ac:dyDescent="0.25">
      <c r="A463" s="62" t="s">
        <v>662</v>
      </c>
      <c r="B463" s="63"/>
      <c r="C463" s="63"/>
      <c r="D463" s="64"/>
      <c r="E463" s="66"/>
      <c r="F463" s="102" t="str">
        <f>HYPERLINK("https://pbs.twimg.com/profile_images/1702348734959370240/EzVKdsCS_normal.jpg")</f>
        <v>https://pbs.twimg.com/profile_images/1702348734959370240/EzVKdsCS_normal.jpg</v>
      </c>
      <c r="G463" s="63"/>
      <c r="H463" s="67"/>
      <c r="I463" s="68"/>
      <c r="J463" s="68"/>
      <c r="K463" s="67" t="s">
        <v>25397</v>
      </c>
      <c r="L463" s="71"/>
      <c r="M463" s="72"/>
      <c r="N463" s="72"/>
      <c r="O463" s="73"/>
      <c r="P463" s="74"/>
      <c r="Q463" s="74"/>
      <c r="R463" s="86"/>
      <c r="S463" s="86"/>
      <c r="T463" s="86"/>
      <c r="U463" s="86"/>
      <c r="V463" s="48"/>
      <c r="W463" s="48"/>
      <c r="X463" s="48"/>
      <c r="Y463" s="48"/>
      <c r="Z463" s="47"/>
      <c r="AA463" s="69">
        <v>463</v>
      </c>
      <c r="AB463" s="69"/>
      <c r="AC463" s="70"/>
      <c r="AD463" s="76" t="s">
        <v>22265</v>
      </c>
      <c r="AE463" s="81" t="s">
        <v>21340</v>
      </c>
      <c r="AF463" s="76">
        <v>7</v>
      </c>
      <c r="AG463" s="76">
        <v>55</v>
      </c>
      <c r="AH463" s="76">
        <v>124</v>
      </c>
      <c r="AI463" s="76">
        <v>0</v>
      </c>
      <c r="AJ463" s="76">
        <v>209</v>
      </c>
      <c r="AK463" s="76">
        <v>102</v>
      </c>
      <c r="AL463" s="76" t="b">
        <v>0</v>
      </c>
      <c r="AM463" s="78">
        <v>44836.656678240739</v>
      </c>
      <c r="AN463" s="76" t="s">
        <v>14033</v>
      </c>
      <c r="AO463" s="76" t="s">
        <v>23742</v>
      </c>
      <c r="AP463" s="76"/>
      <c r="AQ463" s="76"/>
      <c r="AR463" s="76"/>
      <c r="AS463" s="76"/>
      <c r="AT463" s="76"/>
      <c r="AU463" s="76"/>
      <c r="AV463" s="76"/>
      <c r="AW463" s="76"/>
      <c r="AX463" s="76" t="b">
        <v>0</v>
      </c>
      <c r="AY463" s="76"/>
      <c r="AZ463" s="76"/>
      <c r="BA463" s="76" t="b">
        <v>0</v>
      </c>
      <c r="BB463" s="76" t="b">
        <v>1</v>
      </c>
      <c r="BC463" s="76" t="b">
        <v>1</v>
      </c>
      <c r="BD463" s="76" t="b">
        <v>0</v>
      </c>
      <c r="BE463" s="76" t="b">
        <v>0</v>
      </c>
      <c r="BF463" s="76" t="b">
        <v>0</v>
      </c>
      <c r="BG463" s="76" t="b">
        <v>0</v>
      </c>
      <c r="BH463" s="83" t="str">
        <f>HYPERLINK("https://pbs.twimg.com/profile_banners/1576599189949128706/1694922534")</f>
        <v>https://pbs.twimg.com/profile_banners/1576599189949128706/1694922534</v>
      </c>
      <c r="BI463" s="76"/>
      <c r="BJ463" s="76" t="s">
        <v>24935</v>
      </c>
      <c r="BK463" s="76" t="b">
        <v>0</v>
      </c>
      <c r="BL463" s="76"/>
      <c r="BM463" s="76" t="s">
        <v>66</v>
      </c>
      <c r="BN463" s="76" t="s">
        <v>24937</v>
      </c>
      <c r="BO463" s="83" t="str">
        <f>HYPERLINK("https://twitter.com/ellenreissa")</f>
        <v>https://twitter.com/ellenreissa</v>
      </c>
      <c r="BP463" s="2"/>
    </row>
    <row r="464" spans="1:68" x14ac:dyDescent="0.25">
      <c r="A464" s="62" t="s">
        <v>663</v>
      </c>
      <c r="B464" s="63"/>
      <c r="C464" s="63"/>
      <c r="D464" s="64"/>
      <c r="E464" s="66"/>
      <c r="F464" s="102" t="str">
        <f>HYPERLINK("https://pbs.twimg.com/profile_images/760386697/foto_normal.jpg")</f>
        <v>https://pbs.twimg.com/profile_images/760386697/foto_normal.jpg</v>
      </c>
      <c r="G464" s="63"/>
      <c r="H464" s="67"/>
      <c r="I464" s="68"/>
      <c r="J464" s="68"/>
      <c r="K464" s="67" t="s">
        <v>25398</v>
      </c>
      <c r="L464" s="71"/>
      <c r="M464" s="72"/>
      <c r="N464" s="72"/>
      <c r="O464" s="73"/>
      <c r="P464" s="74"/>
      <c r="Q464" s="74"/>
      <c r="R464" s="86"/>
      <c r="S464" s="86"/>
      <c r="T464" s="86"/>
      <c r="U464" s="86"/>
      <c r="V464" s="48"/>
      <c r="W464" s="48"/>
      <c r="X464" s="48"/>
      <c r="Y464" s="48"/>
      <c r="Z464" s="47"/>
      <c r="AA464" s="69">
        <v>464</v>
      </c>
      <c r="AB464" s="69"/>
      <c r="AC464" s="70"/>
      <c r="AD464" s="76" t="s">
        <v>22266</v>
      </c>
      <c r="AE464" s="81" t="s">
        <v>22948</v>
      </c>
      <c r="AF464" s="76">
        <v>48</v>
      </c>
      <c r="AG464" s="76">
        <v>49</v>
      </c>
      <c r="AH464" s="76">
        <v>3317</v>
      </c>
      <c r="AI464" s="76">
        <v>1</v>
      </c>
      <c r="AJ464" s="76">
        <v>4</v>
      </c>
      <c r="AK464" s="76">
        <v>579</v>
      </c>
      <c r="AL464" s="76" t="b">
        <v>0</v>
      </c>
      <c r="AM464" s="78">
        <v>40002.854375000003</v>
      </c>
      <c r="AN464" s="76" t="s">
        <v>14115</v>
      </c>
      <c r="AO464" s="76" t="s">
        <v>23743</v>
      </c>
      <c r="AP464" s="83" t="str">
        <f>HYPERLINK("https://t.co/VL3nh9vnOr")</f>
        <v>https://t.co/VL3nh9vnOr</v>
      </c>
      <c r="AQ464" s="83" t="str">
        <f>HYPERLINK("http://www.viamais.net/blog")</f>
        <v>http://www.viamais.net/blog</v>
      </c>
      <c r="AR464" s="76" t="s">
        <v>24503</v>
      </c>
      <c r="AS464" s="76"/>
      <c r="AT464" s="76"/>
      <c r="AU464" s="76"/>
      <c r="AV464" s="76"/>
      <c r="AW464" s="83" t="str">
        <f>HYPERLINK("https://t.co/VL3nh9vnOr")</f>
        <v>https://t.co/VL3nh9vnOr</v>
      </c>
      <c r="AX464" s="76" t="b">
        <v>0</v>
      </c>
      <c r="AY464" s="76"/>
      <c r="AZ464" s="76"/>
      <c r="BA464" s="76" t="b">
        <v>0</v>
      </c>
      <c r="BB464" s="76" t="b">
        <v>1</v>
      </c>
      <c r="BC464" s="76" t="b">
        <v>0</v>
      </c>
      <c r="BD464" s="76" t="b">
        <v>0</v>
      </c>
      <c r="BE464" s="76" t="b">
        <v>0</v>
      </c>
      <c r="BF464" s="76" t="b">
        <v>0</v>
      </c>
      <c r="BG464" s="76" t="b">
        <v>0</v>
      </c>
      <c r="BH464" s="76"/>
      <c r="BI464" s="76"/>
      <c r="BJ464" s="76" t="s">
        <v>24935</v>
      </c>
      <c r="BK464" s="76" t="b">
        <v>0</v>
      </c>
      <c r="BL464" s="76"/>
      <c r="BM464" s="76" t="s">
        <v>66</v>
      </c>
      <c r="BN464" s="76" t="s">
        <v>24937</v>
      </c>
      <c r="BO464" s="83" t="str">
        <f>HYPERLINK("https://twitter.com/petterrafael")</f>
        <v>https://twitter.com/petterrafael</v>
      </c>
      <c r="BP464" s="2"/>
    </row>
    <row r="465" spans="1:68" x14ac:dyDescent="0.25">
      <c r="A465" s="62" t="s">
        <v>664</v>
      </c>
      <c r="B465" s="63"/>
      <c r="C465" s="63"/>
      <c r="D465" s="64"/>
      <c r="E465" s="66"/>
      <c r="F465" s="102" t="str">
        <f>HYPERLINK("https://pbs.twimg.com/profile_images/1607367918798372865/hgyduReQ_normal.jpg")</f>
        <v>https://pbs.twimg.com/profile_images/1607367918798372865/hgyduReQ_normal.jpg</v>
      </c>
      <c r="G465" s="63"/>
      <c r="H465" s="67"/>
      <c r="I465" s="68"/>
      <c r="J465" s="68"/>
      <c r="K465" s="67" t="s">
        <v>25399</v>
      </c>
      <c r="L465" s="71"/>
      <c r="M465" s="72"/>
      <c r="N465" s="72"/>
      <c r="O465" s="73"/>
      <c r="P465" s="74"/>
      <c r="Q465" s="74"/>
      <c r="R465" s="86"/>
      <c r="S465" s="86"/>
      <c r="T465" s="86"/>
      <c r="U465" s="86"/>
      <c r="V465" s="48"/>
      <c r="W465" s="48"/>
      <c r="X465" s="48"/>
      <c r="Y465" s="48"/>
      <c r="Z465" s="47"/>
      <c r="AA465" s="69">
        <v>465</v>
      </c>
      <c r="AB465" s="69"/>
      <c r="AC465" s="70"/>
      <c r="AD465" s="76" t="s">
        <v>22267</v>
      </c>
      <c r="AE465" s="81" t="s">
        <v>21341</v>
      </c>
      <c r="AF465" s="76">
        <v>2</v>
      </c>
      <c r="AG465" s="76">
        <v>85</v>
      </c>
      <c r="AH465" s="76">
        <v>13</v>
      </c>
      <c r="AI465" s="76">
        <v>0</v>
      </c>
      <c r="AJ465" s="76">
        <v>234</v>
      </c>
      <c r="AK465" s="76">
        <v>5</v>
      </c>
      <c r="AL465" s="76" t="b">
        <v>0</v>
      </c>
      <c r="AM465" s="78">
        <v>44921.560543981483</v>
      </c>
      <c r="AN465" s="76"/>
      <c r="AO465" s="76" t="s">
        <v>23744</v>
      </c>
      <c r="AP465" s="83" t="str">
        <f>HYPERLINK("https://t.co/TYYyNu7Qm2")</f>
        <v>https://t.co/TYYyNu7Qm2</v>
      </c>
      <c r="AQ465" s="83" t="str">
        <f>HYPERLINK("https://www.missaorenda.com.br/")</f>
        <v>https://www.missaorenda.com.br/</v>
      </c>
      <c r="AR465" s="76" t="s">
        <v>24504</v>
      </c>
      <c r="AS465" s="76"/>
      <c r="AT465" s="76"/>
      <c r="AU465" s="76"/>
      <c r="AV465" s="76"/>
      <c r="AW465" s="83" t="str">
        <f>HYPERLINK("https://t.co/TYYyNu7Qm2")</f>
        <v>https://t.co/TYYyNu7Qm2</v>
      </c>
      <c r="AX465" s="76" t="b">
        <v>0</v>
      </c>
      <c r="AY465" s="76"/>
      <c r="AZ465" s="76"/>
      <c r="BA465" s="76" t="b">
        <v>0</v>
      </c>
      <c r="BB465" s="76" t="b">
        <v>1</v>
      </c>
      <c r="BC465" s="76" t="b">
        <v>1</v>
      </c>
      <c r="BD465" s="76" t="b">
        <v>0</v>
      </c>
      <c r="BE465" s="76" t="b">
        <v>0</v>
      </c>
      <c r="BF465" s="76" t="b">
        <v>0</v>
      </c>
      <c r="BG465" s="76" t="b">
        <v>0</v>
      </c>
      <c r="BH465" s="83" t="str">
        <f>HYPERLINK("https://pbs.twimg.com/profile_banners/1607367356136685576/1676211529")</f>
        <v>https://pbs.twimg.com/profile_banners/1607367356136685576/1676211529</v>
      </c>
      <c r="BI465" s="76"/>
      <c r="BJ465" s="76" t="s">
        <v>24935</v>
      </c>
      <c r="BK465" s="76" t="b">
        <v>0</v>
      </c>
      <c r="BL465" s="76"/>
      <c r="BM465" s="76" t="s">
        <v>66</v>
      </c>
      <c r="BN465" s="76" t="s">
        <v>24937</v>
      </c>
      <c r="BO465" s="83" t="str">
        <f>HYPERLINK("https://twitter.com/missao_renda")</f>
        <v>https://twitter.com/missao_renda</v>
      </c>
      <c r="BP465" s="2"/>
    </row>
    <row r="466" spans="1:68" x14ac:dyDescent="0.25">
      <c r="A466" s="62" t="s">
        <v>665</v>
      </c>
      <c r="B466" s="63"/>
      <c r="C466" s="63"/>
      <c r="D466" s="64"/>
      <c r="E466" s="66"/>
      <c r="F466" s="102" t="str">
        <f>HYPERLINK("https://pbs.twimg.com/profile_images/1625847121659281408/2iIetmdb_normal.jpg")</f>
        <v>https://pbs.twimg.com/profile_images/1625847121659281408/2iIetmdb_normal.jpg</v>
      </c>
      <c r="G466" s="63"/>
      <c r="H466" s="67"/>
      <c r="I466" s="68"/>
      <c r="J466" s="68"/>
      <c r="K466" s="67" t="s">
        <v>25400</v>
      </c>
      <c r="L466" s="71"/>
      <c r="M466" s="72"/>
      <c r="N466" s="72"/>
      <c r="O466" s="73"/>
      <c r="P466" s="74"/>
      <c r="Q466" s="74"/>
      <c r="R466" s="86"/>
      <c r="S466" s="86"/>
      <c r="T466" s="86"/>
      <c r="U466" s="86"/>
      <c r="V466" s="48"/>
      <c r="W466" s="48"/>
      <c r="X466" s="48"/>
      <c r="Y466" s="48"/>
      <c r="Z466" s="47"/>
      <c r="AA466" s="69">
        <v>466</v>
      </c>
      <c r="AB466" s="69"/>
      <c r="AC466" s="70"/>
      <c r="AD466" s="76" t="s">
        <v>22268</v>
      </c>
      <c r="AE466" s="81" t="s">
        <v>21342</v>
      </c>
      <c r="AF466" s="76">
        <v>0</v>
      </c>
      <c r="AG466" s="76">
        <v>48</v>
      </c>
      <c r="AH466" s="76">
        <v>2</v>
      </c>
      <c r="AI466" s="76">
        <v>1</v>
      </c>
      <c r="AJ466" s="76">
        <v>4</v>
      </c>
      <c r="AK466" s="76">
        <v>1</v>
      </c>
      <c r="AL466" s="76" t="b">
        <v>0</v>
      </c>
      <c r="AM466" s="78">
        <v>44972.549953703703</v>
      </c>
      <c r="AN466" s="76"/>
      <c r="AO466" s="76" t="s">
        <v>23745</v>
      </c>
      <c r="AP466" s="83" t="str">
        <f>HYPERLINK("https://t.co/BqYrdWdh6M")</f>
        <v>https://t.co/BqYrdWdh6M</v>
      </c>
      <c r="AQ466" s="83" t="str">
        <f>HYPERLINK("https://bit.ly/ganhardinheiromilion")</f>
        <v>https://bit.ly/ganhardinheiromilion</v>
      </c>
      <c r="AR466" s="76" t="s">
        <v>24505</v>
      </c>
      <c r="AS466" s="76"/>
      <c r="AT466" s="76"/>
      <c r="AU466" s="76"/>
      <c r="AV466" s="76"/>
      <c r="AW466" s="83" t="str">
        <f>HYPERLINK("https://t.co/BqYrdWdh6M")</f>
        <v>https://t.co/BqYrdWdh6M</v>
      </c>
      <c r="AX466" s="76" t="b">
        <v>0</v>
      </c>
      <c r="AY466" s="76"/>
      <c r="AZ466" s="76"/>
      <c r="BA466" s="76" t="b">
        <v>0</v>
      </c>
      <c r="BB466" s="76" t="b">
        <v>1</v>
      </c>
      <c r="BC466" s="76" t="b">
        <v>1</v>
      </c>
      <c r="BD466" s="76" t="b">
        <v>0</v>
      </c>
      <c r="BE466" s="76" t="b">
        <v>0</v>
      </c>
      <c r="BF466" s="76" t="b">
        <v>0</v>
      </c>
      <c r="BG466" s="76" t="b">
        <v>0</v>
      </c>
      <c r="BH466" s="76"/>
      <c r="BI466" s="76"/>
      <c r="BJ466" s="76" t="s">
        <v>24935</v>
      </c>
      <c r="BK466" s="76" t="b">
        <v>0</v>
      </c>
      <c r="BL466" s="76"/>
      <c r="BM466" s="76" t="s">
        <v>66</v>
      </c>
      <c r="BN466" s="76" t="s">
        <v>24937</v>
      </c>
      <c r="BO466" s="83" t="str">
        <f>HYPERLINK("https://twitter.com/alexcardosomkt")</f>
        <v>https://twitter.com/alexcardosomkt</v>
      </c>
      <c r="BP466" s="2"/>
    </row>
    <row r="467" spans="1:68" x14ac:dyDescent="0.25">
      <c r="A467" s="62" t="s">
        <v>666</v>
      </c>
      <c r="B467" s="63"/>
      <c r="C467" s="63"/>
      <c r="D467" s="64"/>
      <c r="E467" s="66"/>
      <c r="F467" s="102" t="str">
        <f>HYPERLINK("https://pbs.twimg.com/profile_images/1698106088447512576/Ranx9SHW_normal.jpg")</f>
        <v>https://pbs.twimg.com/profile_images/1698106088447512576/Ranx9SHW_normal.jpg</v>
      </c>
      <c r="G467" s="63"/>
      <c r="H467" s="67"/>
      <c r="I467" s="68"/>
      <c r="J467" s="68"/>
      <c r="K467" s="67" t="s">
        <v>25401</v>
      </c>
      <c r="L467" s="71"/>
      <c r="M467" s="72"/>
      <c r="N467" s="72"/>
      <c r="O467" s="73"/>
      <c r="P467" s="74"/>
      <c r="Q467" s="74"/>
      <c r="R467" s="86"/>
      <c r="S467" s="86"/>
      <c r="T467" s="86"/>
      <c r="U467" s="86"/>
      <c r="V467" s="48"/>
      <c r="W467" s="48"/>
      <c r="X467" s="48"/>
      <c r="Y467" s="48"/>
      <c r="Z467" s="47"/>
      <c r="AA467" s="69">
        <v>467</v>
      </c>
      <c r="AB467" s="69"/>
      <c r="AC467" s="70"/>
      <c r="AD467" s="76" t="s">
        <v>22269</v>
      </c>
      <c r="AE467" s="81" t="s">
        <v>21343</v>
      </c>
      <c r="AF467" s="76">
        <v>0</v>
      </c>
      <c r="AG467" s="76">
        <v>14</v>
      </c>
      <c r="AH467" s="76">
        <v>11</v>
      </c>
      <c r="AI467" s="76">
        <v>0</v>
      </c>
      <c r="AJ467" s="76">
        <v>5</v>
      </c>
      <c r="AK467" s="76">
        <v>7</v>
      </c>
      <c r="AL467" s="76" t="b">
        <v>0</v>
      </c>
      <c r="AM467" s="78">
        <v>45170.885914351849</v>
      </c>
      <c r="AN467" s="76"/>
      <c r="AO467" s="76" t="s">
        <v>23746</v>
      </c>
      <c r="AP467" s="76"/>
      <c r="AQ467" s="76"/>
      <c r="AR467" s="76"/>
      <c r="AS467" s="76"/>
      <c r="AT467" s="76"/>
      <c r="AU467" s="76"/>
      <c r="AV467" s="76"/>
      <c r="AW467" s="76"/>
      <c r="AX467" s="76" t="b">
        <v>0</v>
      </c>
      <c r="AY467" s="76"/>
      <c r="AZ467" s="76"/>
      <c r="BA467" s="76" t="b">
        <v>0</v>
      </c>
      <c r="BB467" s="76" t="b">
        <v>1</v>
      </c>
      <c r="BC467" s="76" t="b">
        <v>1</v>
      </c>
      <c r="BD467" s="76" t="b">
        <v>0</v>
      </c>
      <c r="BE467" s="76" t="b">
        <v>0</v>
      </c>
      <c r="BF467" s="76" t="b">
        <v>0</v>
      </c>
      <c r="BG467" s="76" t="b">
        <v>0</v>
      </c>
      <c r="BH467" s="83" t="str">
        <f>HYPERLINK("https://pbs.twimg.com/profile_banners/1697719817610866688/1693603117")</f>
        <v>https://pbs.twimg.com/profile_banners/1697719817610866688/1693603117</v>
      </c>
      <c r="BI467" s="76"/>
      <c r="BJ467" s="76" t="s">
        <v>24935</v>
      </c>
      <c r="BK467" s="76" t="b">
        <v>0</v>
      </c>
      <c r="BL467" s="76"/>
      <c r="BM467" s="76" t="s">
        <v>66</v>
      </c>
      <c r="BN467" s="76" t="s">
        <v>24937</v>
      </c>
      <c r="BO467" s="83" t="str">
        <f>HYPERLINK("https://twitter.com/jonclipe")</f>
        <v>https://twitter.com/jonclipe</v>
      </c>
      <c r="BP467" s="2"/>
    </row>
    <row r="468" spans="1:68" x14ac:dyDescent="0.25">
      <c r="A468" s="62" t="s">
        <v>667</v>
      </c>
      <c r="B468" s="63"/>
      <c r="C468" s="63"/>
      <c r="D468" s="64"/>
      <c r="E468" s="66"/>
      <c r="F468" s="102" t="str">
        <f>HYPERLINK("https://pbs.twimg.com/profile_images/1704214599204028416/YmtBKFhg_normal.jpg")</f>
        <v>https://pbs.twimg.com/profile_images/1704214599204028416/YmtBKFhg_normal.jpg</v>
      </c>
      <c r="G468" s="63"/>
      <c r="H468" s="67"/>
      <c r="I468" s="68"/>
      <c r="J468" s="68"/>
      <c r="K468" s="67" t="s">
        <v>25402</v>
      </c>
      <c r="L468" s="71"/>
      <c r="M468" s="72"/>
      <c r="N468" s="72"/>
      <c r="O468" s="73"/>
      <c r="P468" s="74"/>
      <c r="Q468" s="74"/>
      <c r="R468" s="86"/>
      <c r="S468" s="86"/>
      <c r="T468" s="86"/>
      <c r="U468" s="86"/>
      <c r="V468" s="48"/>
      <c r="W468" s="48"/>
      <c r="X468" s="48"/>
      <c r="Y468" s="48"/>
      <c r="Z468" s="47"/>
      <c r="AA468" s="69">
        <v>468</v>
      </c>
      <c r="AB468" s="69"/>
      <c r="AC468" s="70"/>
      <c r="AD468" s="76" t="s">
        <v>22270</v>
      </c>
      <c r="AE468" s="81" t="s">
        <v>21344</v>
      </c>
      <c r="AF468" s="76">
        <v>35</v>
      </c>
      <c r="AG468" s="76">
        <v>59</v>
      </c>
      <c r="AH468" s="76">
        <v>642</v>
      </c>
      <c r="AI468" s="76">
        <v>2</v>
      </c>
      <c r="AJ468" s="76">
        <v>316</v>
      </c>
      <c r="AK468" s="76">
        <v>77</v>
      </c>
      <c r="AL468" s="76" t="b">
        <v>0</v>
      </c>
      <c r="AM468" s="78">
        <v>44665.664849537039</v>
      </c>
      <c r="AN468" s="76"/>
      <c r="AO468" s="76"/>
      <c r="AP468" s="76"/>
      <c r="AQ468" s="76"/>
      <c r="AR468" s="76"/>
      <c r="AS468" s="76"/>
      <c r="AT468" s="76"/>
      <c r="AU468" s="76"/>
      <c r="AV468" s="76">
        <v>1.67411311173999E+18</v>
      </c>
      <c r="AW468" s="76"/>
      <c r="AX468" s="76" t="b">
        <v>0</v>
      </c>
      <c r="AY468" s="76"/>
      <c r="AZ468" s="76"/>
      <c r="BA468" s="76" t="b">
        <v>0</v>
      </c>
      <c r="BB468" s="76" t="b">
        <v>1</v>
      </c>
      <c r="BC468" s="76" t="b">
        <v>1</v>
      </c>
      <c r="BD468" s="76" t="b">
        <v>0</v>
      </c>
      <c r="BE468" s="76" t="b">
        <v>0</v>
      </c>
      <c r="BF468" s="76" t="b">
        <v>0</v>
      </c>
      <c r="BG468" s="76" t="b">
        <v>0</v>
      </c>
      <c r="BH468" s="76"/>
      <c r="BI468" s="76"/>
      <c r="BJ468" s="76" t="s">
        <v>24935</v>
      </c>
      <c r="BK468" s="76" t="b">
        <v>0</v>
      </c>
      <c r="BL468" s="76"/>
      <c r="BM468" s="76" t="s">
        <v>66</v>
      </c>
      <c r="BN468" s="76" t="s">
        <v>24937</v>
      </c>
      <c r="BO468" s="83" t="str">
        <f>HYPERLINK("https://twitter.com/thebobsworldd")</f>
        <v>https://twitter.com/thebobsworldd</v>
      </c>
      <c r="BP468" s="2"/>
    </row>
    <row r="469" spans="1:68" x14ac:dyDescent="0.25">
      <c r="A469" s="62" t="s">
        <v>668</v>
      </c>
      <c r="B469" s="63"/>
      <c r="C469" s="63"/>
      <c r="D469" s="64"/>
      <c r="E469" s="66"/>
      <c r="F469" s="102" t="str">
        <f>HYPERLINK("https://pbs.twimg.com/profile_images/1703968762943188992/gXfCMKBL_normal.jpg")</f>
        <v>https://pbs.twimg.com/profile_images/1703968762943188992/gXfCMKBL_normal.jpg</v>
      </c>
      <c r="G469" s="63"/>
      <c r="H469" s="67"/>
      <c r="I469" s="68"/>
      <c r="J469" s="68"/>
      <c r="K469" s="67" t="s">
        <v>25403</v>
      </c>
      <c r="L469" s="71"/>
      <c r="M469" s="72"/>
      <c r="N469" s="72"/>
      <c r="O469" s="73"/>
      <c r="P469" s="74"/>
      <c r="Q469" s="74"/>
      <c r="R469" s="86"/>
      <c r="S469" s="86"/>
      <c r="T469" s="86"/>
      <c r="U469" s="86"/>
      <c r="V469" s="48"/>
      <c r="W469" s="48"/>
      <c r="X469" s="48"/>
      <c r="Y469" s="48"/>
      <c r="Z469" s="47"/>
      <c r="AA469" s="69">
        <v>469</v>
      </c>
      <c r="AB469" s="69"/>
      <c r="AC469" s="70"/>
      <c r="AD469" s="76" t="s">
        <v>22271</v>
      </c>
      <c r="AE469" s="81" t="s">
        <v>22949</v>
      </c>
      <c r="AF469" s="76">
        <v>36</v>
      </c>
      <c r="AG469" s="76">
        <v>229</v>
      </c>
      <c r="AH469" s="76">
        <v>565</v>
      </c>
      <c r="AI469" s="76">
        <v>0</v>
      </c>
      <c r="AJ469" s="76">
        <v>2916</v>
      </c>
      <c r="AK469" s="76">
        <v>82</v>
      </c>
      <c r="AL469" s="76" t="b">
        <v>0</v>
      </c>
      <c r="AM469" s="78">
        <v>40096.854930555557</v>
      </c>
      <c r="AN469" s="76" t="s">
        <v>23207</v>
      </c>
      <c r="AO469" s="76" t="s">
        <v>23747</v>
      </c>
      <c r="AP469" s="76"/>
      <c r="AQ469" s="76"/>
      <c r="AR469" s="76"/>
      <c r="AS469" s="76"/>
      <c r="AT469" s="76"/>
      <c r="AU469" s="76"/>
      <c r="AV469" s="76">
        <v>1.58693132015183E+18</v>
      </c>
      <c r="AW469" s="76"/>
      <c r="AX469" s="76" t="b">
        <v>0</v>
      </c>
      <c r="AY469" s="76"/>
      <c r="AZ469" s="76"/>
      <c r="BA469" s="76" t="b">
        <v>0</v>
      </c>
      <c r="BB469" s="76" t="b">
        <v>1</v>
      </c>
      <c r="BC469" s="76" t="b">
        <v>1</v>
      </c>
      <c r="BD469" s="76" t="b">
        <v>0</v>
      </c>
      <c r="BE469" s="76" t="b">
        <v>1</v>
      </c>
      <c r="BF469" s="76" t="b">
        <v>0</v>
      </c>
      <c r="BG469" s="76" t="b">
        <v>1</v>
      </c>
      <c r="BH469" s="83" t="str">
        <f>HYPERLINK("https://pbs.twimg.com/profile_banners/81435340/1609199191")</f>
        <v>https://pbs.twimg.com/profile_banners/81435340/1609199191</v>
      </c>
      <c r="BI469" s="76"/>
      <c r="BJ469" s="76" t="s">
        <v>24935</v>
      </c>
      <c r="BK469" s="76" t="b">
        <v>0</v>
      </c>
      <c r="BL469" s="76"/>
      <c r="BM469" s="76" t="s">
        <v>66</v>
      </c>
      <c r="BN469" s="76" t="s">
        <v>24937</v>
      </c>
      <c r="BO469" s="83" t="str">
        <f>HYPERLINK("https://twitter.com/crf_miguell_")</f>
        <v>https://twitter.com/crf_miguell_</v>
      </c>
      <c r="BP469" s="2"/>
    </row>
    <row r="470" spans="1:68" x14ac:dyDescent="0.25">
      <c r="A470" s="62" t="s">
        <v>669</v>
      </c>
      <c r="B470" s="63"/>
      <c r="C470" s="63"/>
      <c r="D470" s="64"/>
      <c r="E470" s="66"/>
      <c r="F470" s="102" t="str">
        <f>HYPERLINK("https://pbs.twimg.com/profile_images/928676394346909697/pQj9EbRg_normal.jpg")</f>
        <v>https://pbs.twimg.com/profile_images/928676394346909697/pQj9EbRg_normal.jpg</v>
      </c>
      <c r="G470" s="63"/>
      <c r="H470" s="67"/>
      <c r="I470" s="68"/>
      <c r="J470" s="68"/>
      <c r="K470" s="67" t="s">
        <v>25404</v>
      </c>
      <c r="L470" s="71"/>
      <c r="M470" s="72"/>
      <c r="N470" s="72"/>
      <c r="O470" s="73"/>
      <c r="P470" s="74"/>
      <c r="Q470" s="74"/>
      <c r="R470" s="86"/>
      <c r="S470" s="86"/>
      <c r="T470" s="86"/>
      <c r="U470" s="86"/>
      <c r="V470" s="48"/>
      <c r="W470" s="48"/>
      <c r="X470" s="48"/>
      <c r="Y470" s="48"/>
      <c r="Z470" s="47"/>
      <c r="AA470" s="69">
        <v>470</v>
      </c>
      <c r="AB470" s="69"/>
      <c r="AC470" s="70"/>
      <c r="AD470" s="76" t="s">
        <v>22272</v>
      </c>
      <c r="AE470" s="81" t="s">
        <v>21345</v>
      </c>
      <c r="AF470" s="76">
        <v>15</v>
      </c>
      <c r="AG470" s="76">
        <v>8</v>
      </c>
      <c r="AH470" s="76">
        <v>175</v>
      </c>
      <c r="AI470" s="76">
        <v>0</v>
      </c>
      <c r="AJ470" s="76">
        <v>554</v>
      </c>
      <c r="AK470" s="76">
        <v>160</v>
      </c>
      <c r="AL470" s="76" t="b">
        <v>0</v>
      </c>
      <c r="AM470" s="78">
        <v>42660.79420138889</v>
      </c>
      <c r="AN470" s="76" t="s">
        <v>14033</v>
      </c>
      <c r="AO470" s="76" t="s">
        <v>23748</v>
      </c>
      <c r="AP470" s="83" t="str">
        <f>HYPERLINK("https://t.co/Pbjy2EJL3k")</f>
        <v>https://t.co/Pbjy2EJL3k</v>
      </c>
      <c r="AQ470" s="83" t="str">
        <f>HYPERLINK("http://www.arasolution.com.br")</f>
        <v>http://www.arasolution.com.br</v>
      </c>
      <c r="AR470" s="76" t="s">
        <v>24506</v>
      </c>
      <c r="AS470" s="76"/>
      <c r="AT470" s="76"/>
      <c r="AU470" s="76"/>
      <c r="AV470" s="76"/>
      <c r="AW470" s="83" t="str">
        <f>HYPERLINK("https://t.co/Pbjy2EJL3k")</f>
        <v>https://t.co/Pbjy2EJL3k</v>
      </c>
      <c r="AX470" s="76" t="b">
        <v>0</v>
      </c>
      <c r="AY470" s="76"/>
      <c r="AZ470" s="76"/>
      <c r="BA470" s="76" t="b">
        <v>0</v>
      </c>
      <c r="BB470" s="76" t="b">
        <v>1</v>
      </c>
      <c r="BC470" s="76" t="b">
        <v>0</v>
      </c>
      <c r="BD470" s="76" t="b">
        <v>0</v>
      </c>
      <c r="BE470" s="76" t="b">
        <v>0</v>
      </c>
      <c r="BF470" s="76" t="b">
        <v>0</v>
      </c>
      <c r="BG470" s="76" t="b">
        <v>0</v>
      </c>
      <c r="BH470" s="83" t="str">
        <f>HYPERLINK("https://pbs.twimg.com/profile_banners/788093130876809216/1593548223")</f>
        <v>https://pbs.twimg.com/profile_banners/788093130876809216/1593548223</v>
      </c>
      <c r="BI470" s="76"/>
      <c r="BJ470" s="76" t="s">
        <v>24935</v>
      </c>
      <c r="BK470" s="76" t="b">
        <v>0</v>
      </c>
      <c r="BL470" s="76"/>
      <c r="BM470" s="76" t="s">
        <v>66</v>
      </c>
      <c r="BN470" s="76" t="s">
        <v>24937</v>
      </c>
      <c r="BO470" s="83" t="str">
        <f>HYPERLINK("https://twitter.com/arasolution")</f>
        <v>https://twitter.com/arasolution</v>
      </c>
      <c r="BP470" s="2"/>
    </row>
    <row r="471" spans="1:68" x14ac:dyDescent="0.25">
      <c r="A471" s="62" t="s">
        <v>670</v>
      </c>
      <c r="B471" s="63"/>
      <c r="C471" s="63"/>
      <c r="D471" s="64"/>
      <c r="E471" s="66"/>
      <c r="F471" s="102" t="str">
        <f>HYPERLINK("https://pbs.twimg.com/profile_images/1637903407720591361/MGeJqtn__normal.jpg")</f>
        <v>https://pbs.twimg.com/profile_images/1637903407720591361/MGeJqtn__normal.jpg</v>
      </c>
      <c r="G471" s="63"/>
      <c r="H471" s="67"/>
      <c r="I471" s="68"/>
      <c r="J471" s="68"/>
      <c r="K471" s="67" t="s">
        <v>25405</v>
      </c>
      <c r="L471" s="71"/>
      <c r="M471" s="72"/>
      <c r="N471" s="72"/>
      <c r="O471" s="73"/>
      <c r="P471" s="74"/>
      <c r="Q471" s="74"/>
      <c r="R471" s="86"/>
      <c r="S471" s="86"/>
      <c r="T471" s="86"/>
      <c r="U471" s="86"/>
      <c r="V471" s="48"/>
      <c r="W471" s="48"/>
      <c r="X471" s="48"/>
      <c r="Y471" s="48"/>
      <c r="Z471" s="47"/>
      <c r="AA471" s="69">
        <v>471</v>
      </c>
      <c r="AB471" s="69"/>
      <c r="AC471" s="70"/>
      <c r="AD471" s="76" t="s">
        <v>22273</v>
      </c>
      <c r="AE471" s="81" t="s">
        <v>21346</v>
      </c>
      <c r="AF471" s="76">
        <v>1</v>
      </c>
      <c r="AG471" s="76">
        <v>17</v>
      </c>
      <c r="AH471" s="76">
        <v>23</v>
      </c>
      <c r="AI471" s="76">
        <v>0</v>
      </c>
      <c r="AJ471" s="76">
        <v>11</v>
      </c>
      <c r="AK471" s="76">
        <v>3</v>
      </c>
      <c r="AL471" s="76" t="b">
        <v>0</v>
      </c>
      <c r="AM471" s="78">
        <v>44784.107546296298</v>
      </c>
      <c r="AN471" s="76" t="s">
        <v>23129</v>
      </c>
      <c r="AO471" s="76" t="s">
        <v>23749</v>
      </c>
      <c r="AP471" s="76"/>
      <c r="AQ471" s="76"/>
      <c r="AR471" s="76"/>
      <c r="AS471" s="76"/>
      <c r="AT471" s="76"/>
      <c r="AU471" s="76"/>
      <c r="AV471" s="76">
        <v>1.55790456503453E+18</v>
      </c>
      <c r="AW471" s="76"/>
      <c r="AX471" s="76" t="b">
        <v>0</v>
      </c>
      <c r="AY471" s="76"/>
      <c r="AZ471" s="76"/>
      <c r="BA471" s="76" t="b">
        <v>0</v>
      </c>
      <c r="BB471" s="76" t="b">
        <v>1</v>
      </c>
      <c r="BC471" s="76" t="b">
        <v>1</v>
      </c>
      <c r="BD471" s="76" t="b">
        <v>0</v>
      </c>
      <c r="BE471" s="76" t="b">
        <v>1</v>
      </c>
      <c r="BF471" s="76" t="b">
        <v>0</v>
      </c>
      <c r="BG471" s="76" t="b">
        <v>0</v>
      </c>
      <c r="BH471" s="83" t="str">
        <f>HYPERLINK("https://pbs.twimg.com/profile_banners/1557556042095001607/1679341589")</f>
        <v>https://pbs.twimg.com/profile_banners/1557556042095001607/1679341589</v>
      </c>
      <c r="BI471" s="76"/>
      <c r="BJ471" s="76" t="s">
        <v>24935</v>
      </c>
      <c r="BK471" s="76" t="b">
        <v>0</v>
      </c>
      <c r="BL471" s="76"/>
      <c r="BM471" s="76" t="s">
        <v>66</v>
      </c>
      <c r="BN471" s="76" t="s">
        <v>24937</v>
      </c>
      <c r="BO471" s="83" t="str">
        <f>HYPERLINK("https://twitter.com/rei_slot")</f>
        <v>https://twitter.com/rei_slot</v>
      </c>
      <c r="BP471" s="2"/>
    </row>
    <row r="472" spans="1:68" x14ac:dyDescent="0.25">
      <c r="A472" s="62" t="s">
        <v>671</v>
      </c>
      <c r="B472" s="63"/>
      <c r="C472" s="63"/>
      <c r="D472" s="64"/>
      <c r="E472" s="66"/>
      <c r="F472" s="102" t="str">
        <f>HYPERLINK("https://pbs.twimg.com/profile_images/1620068456165933060/TShADQck_normal.jpg")</f>
        <v>https://pbs.twimg.com/profile_images/1620068456165933060/TShADQck_normal.jpg</v>
      </c>
      <c r="G472" s="63"/>
      <c r="H472" s="67"/>
      <c r="I472" s="68"/>
      <c r="J472" s="68"/>
      <c r="K472" s="67" t="s">
        <v>25406</v>
      </c>
      <c r="L472" s="71"/>
      <c r="M472" s="72"/>
      <c r="N472" s="72"/>
      <c r="O472" s="73"/>
      <c r="P472" s="74"/>
      <c r="Q472" s="74"/>
      <c r="R472" s="86"/>
      <c r="S472" s="86"/>
      <c r="T472" s="86"/>
      <c r="U472" s="86"/>
      <c r="V472" s="48"/>
      <c r="W472" s="48"/>
      <c r="X472" s="48"/>
      <c r="Y472" s="48"/>
      <c r="Z472" s="47"/>
      <c r="AA472" s="69">
        <v>472</v>
      </c>
      <c r="AB472" s="69"/>
      <c r="AC472" s="70"/>
      <c r="AD472" s="76" t="s">
        <v>22274</v>
      </c>
      <c r="AE472" s="81" t="s">
        <v>21347</v>
      </c>
      <c r="AF472" s="76">
        <v>2367</v>
      </c>
      <c r="AG472" s="76">
        <v>0</v>
      </c>
      <c r="AH472" s="76">
        <v>3773</v>
      </c>
      <c r="AI472" s="76">
        <v>34</v>
      </c>
      <c r="AJ472" s="76">
        <v>27</v>
      </c>
      <c r="AK472" s="76">
        <v>223</v>
      </c>
      <c r="AL472" s="76" t="b">
        <v>0</v>
      </c>
      <c r="AM472" s="78">
        <v>44154.484259259261</v>
      </c>
      <c r="AN472" s="76"/>
      <c r="AO472" s="76" t="s">
        <v>23750</v>
      </c>
      <c r="AP472" s="83" t="str">
        <f>HYPERLINK("https://t.co/0uJ9BYJxkN")</f>
        <v>https://t.co/0uJ9BYJxkN</v>
      </c>
      <c r="AQ472" s="83" t="str">
        <f>HYPERLINK("http://flj.com.br")</f>
        <v>http://flj.com.br</v>
      </c>
      <c r="AR472" s="76" t="s">
        <v>24507</v>
      </c>
      <c r="AS472" s="76"/>
      <c r="AT472" s="76"/>
      <c r="AU472" s="76"/>
      <c r="AV472" s="76">
        <v>1.6201214122154099E+18</v>
      </c>
      <c r="AW472" s="83" t="str">
        <f>HYPERLINK("https://t.co/0uJ9BYJxkN")</f>
        <v>https://t.co/0uJ9BYJxkN</v>
      </c>
      <c r="AX472" s="76" t="b">
        <v>1</v>
      </c>
      <c r="AY472" s="76"/>
      <c r="AZ472" s="76"/>
      <c r="BA472" s="76" t="b">
        <v>1</v>
      </c>
      <c r="BB472" s="76" t="b">
        <v>1</v>
      </c>
      <c r="BC472" s="76" t="b">
        <v>1</v>
      </c>
      <c r="BD472" s="76" t="b">
        <v>0</v>
      </c>
      <c r="BE472" s="76" t="b">
        <v>0</v>
      </c>
      <c r="BF472" s="76" t="b">
        <v>0</v>
      </c>
      <c r="BG472" s="76" t="b">
        <v>0</v>
      </c>
      <c r="BH472" s="83" t="str">
        <f>HYPERLINK("https://pbs.twimg.com/profile_banners/1329388236519727105/1675271884")</f>
        <v>https://pbs.twimg.com/profile_banners/1329388236519727105/1675271884</v>
      </c>
      <c r="BI472" s="76"/>
      <c r="BJ472" s="76" t="s">
        <v>24935</v>
      </c>
      <c r="BK472" s="76" t="b">
        <v>0</v>
      </c>
      <c r="BL472" s="76"/>
      <c r="BM472" s="76" t="s">
        <v>66</v>
      </c>
      <c r="BN472" s="76" t="s">
        <v>24937</v>
      </c>
      <c r="BO472" s="83" t="str">
        <f>HYPERLINK("https://twitter.com/leiaflj")</f>
        <v>https://twitter.com/leiaflj</v>
      </c>
      <c r="BP472" s="2"/>
    </row>
    <row r="473" spans="1:68" x14ac:dyDescent="0.25">
      <c r="A473" s="62" t="s">
        <v>672</v>
      </c>
      <c r="B473" s="63"/>
      <c r="C473" s="63"/>
      <c r="D473" s="64"/>
      <c r="E473" s="66"/>
      <c r="F473" s="102" t="str">
        <f>HYPERLINK("https://pbs.twimg.com/profile_images/1673820178512003074/qYcwDeHk_normal.jpg")</f>
        <v>https://pbs.twimg.com/profile_images/1673820178512003074/qYcwDeHk_normal.jpg</v>
      </c>
      <c r="G473" s="63"/>
      <c r="H473" s="67"/>
      <c r="I473" s="68"/>
      <c r="J473" s="68"/>
      <c r="K473" s="67" t="s">
        <v>25407</v>
      </c>
      <c r="L473" s="71"/>
      <c r="M473" s="72"/>
      <c r="N473" s="72"/>
      <c r="O473" s="73"/>
      <c r="P473" s="74"/>
      <c r="Q473" s="74"/>
      <c r="R473" s="86"/>
      <c r="S473" s="86"/>
      <c r="T473" s="86"/>
      <c r="U473" s="86"/>
      <c r="V473" s="48"/>
      <c r="W473" s="48"/>
      <c r="X473" s="48"/>
      <c r="Y473" s="48"/>
      <c r="Z473" s="47"/>
      <c r="AA473" s="69">
        <v>473</v>
      </c>
      <c r="AB473" s="69"/>
      <c r="AC473" s="70"/>
      <c r="AD473" s="76" t="s">
        <v>22275</v>
      </c>
      <c r="AE473" s="81" t="s">
        <v>21348</v>
      </c>
      <c r="AF473" s="76">
        <v>1</v>
      </c>
      <c r="AG473" s="76">
        <v>12</v>
      </c>
      <c r="AH473" s="76">
        <v>4</v>
      </c>
      <c r="AI473" s="76">
        <v>0</v>
      </c>
      <c r="AJ473" s="76">
        <v>1</v>
      </c>
      <c r="AK473" s="76">
        <v>2</v>
      </c>
      <c r="AL473" s="76" t="b">
        <v>0</v>
      </c>
      <c r="AM473" s="78">
        <v>45072.643460648149</v>
      </c>
      <c r="AN473" s="76" t="s">
        <v>14044</v>
      </c>
      <c r="AO473" s="76" t="s">
        <v>23751</v>
      </c>
      <c r="AP473" s="83" t="str">
        <f>HYPERLINK("https://t.co/ifu9Yow5Ja")</f>
        <v>https://t.co/ifu9Yow5Ja</v>
      </c>
      <c r="AQ473" s="83" t="str">
        <f>HYPERLINK("https://bit.ly/FALACOMLOOH")</f>
        <v>https://bit.ly/FALACOMLOOH</v>
      </c>
      <c r="AR473" s="76" t="s">
        <v>24508</v>
      </c>
      <c r="AS473" s="76"/>
      <c r="AT473" s="76"/>
      <c r="AU473" s="76"/>
      <c r="AV473" s="76"/>
      <c r="AW473" s="83" t="str">
        <f>HYPERLINK("https://t.co/ifu9Yow5Ja")</f>
        <v>https://t.co/ifu9Yow5Ja</v>
      </c>
      <c r="AX473" s="76" t="b">
        <v>0</v>
      </c>
      <c r="AY473" s="76"/>
      <c r="AZ473" s="76"/>
      <c r="BA473" s="76" t="b">
        <v>1</v>
      </c>
      <c r="BB473" s="76" t="b">
        <v>1</v>
      </c>
      <c r="BC473" s="76" t="b">
        <v>1</v>
      </c>
      <c r="BD473" s="76" t="b">
        <v>0</v>
      </c>
      <c r="BE473" s="76" t="b">
        <v>0</v>
      </c>
      <c r="BF473" s="76" t="b">
        <v>0</v>
      </c>
      <c r="BG473" s="76" t="b">
        <v>0</v>
      </c>
      <c r="BH473" s="83" t="str">
        <f>HYPERLINK("https://pbs.twimg.com/profile_banners/1662117917805236226/1687904803")</f>
        <v>https://pbs.twimg.com/profile_banners/1662117917805236226/1687904803</v>
      </c>
      <c r="BI473" s="76"/>
      <c r="BJ473" s="76" t="s">
        <v>24935</v>
      </c>
      <c r="BK473" s="76" t="b">
        <v>0</v>
      </c>
      <c r="BL473" s="76"/>
      <c r="BM473" s="76" t="s">
        <v>66</v>
      </c>
      <c r="BN473" s="76" t="s">
        <v>24937</v>
      </c>
      <c r="BO473" s="83" t="str">
        <f>HYPERLINK("https://twitter.com/loree_cassia")</f>
        <v>https://twitter.com/loree_cassia</v>
      </c>
      <c r="BP473" s="2"/>
    </row>
    <row r="474" spans="1:68" x14ac:dyDescent="0.25">
      <c r="A474" s="62" t="s">
        <v>673</v>
      </c>
      <c r="B474" s="63"/>
      <c r="C474" s="63"/>
      <c r="D474" s="64"/>
      <c r="E474" s="66"/>
      <c r="F474" s="102" t="str">
        <f>HYPERLINK("https://pbs.twimg.com/profile_images/1624975450257731584/53IDqROE_normal.jpg")</f>
        <v>https://pbs.twimg.com/profile_images/1624975450257731584/53IDqROE_normal.jpg</v>
      </c>
      <c r="G474" s="63"/>
      <c r="H474" s="67"/>
      <c r="I474" s="68"/>
      <c r="J474" s="68"/>
      <c r="K474" s="67" t="s">
        <v>25408</v>
      </c>
      <c r="L474" s="71"/>
      <c r="M474" s="72"/>
      <c r="N474" s="72"/>
      <c r="O474" s="73"/>
      <c r="P474" s="74"/>
      <c r="Q474" s="74"/>
      <c r="R474" s="86"/>
      <c r="S474" s="86"/>
      <c r="T474" s="86"/>
      <c r="U474" s="86"/>
      <c r="V474" s="48"/>
      <c r="W474" s="48"/>
      <c r="X474" s="48"/>
      <c r="Y474" s="48"/>
      <c r="Z474" s="47"/>
      <c r="AA474" s="69">
        <v>474</v>
      </c>
      <c r="AB474" s="69"/>
      <c r="AC474" s="70"/>
      <c r="AD474" s="76" t="s">
        <v>22276</v>
      </c>
      <c r="AE474" s="81" t="s">
        <v>20935</v>
      </c>
      <c r="AF474" s="76">
        <v>26</v>
      </c>
      <c r="AG474" s="76">
        <v>780</v>
      </c>
      <c r="AH474" s="76">
        <v>354</v>
      </c>
      <c r="AI474" s="76">
        <v>0</v>
      </c>
      <c r="AJ474" s="76">
        <v>75</v>
      </c>
      <c r="AK474" s="76">
        <v>117</v>
      </c>
      <c r="AL474" s="76" t="b">
        <v>0</v>
      </c>
      <c r="AM474" s="78">
        <v>44685.698518518519</v>
      </c>
      <c r="AN474" s="76" t="s">
        <v>23208</v>
      </c>
      <c r="AO474" s="76" t="s">
        <v>23752</v>
      </c>
      <c r="AP474" s="76"/>
      <c r="AQ474" s="76"/>
      <c r="AR474" s="76"/>
      <c r="AS474" s="76"/>
      <c r="AT474" s="76"/>
      <c r="AU474" s="76"/>
      <c r="AV474" s="76"/>
      <c r="AW474" s="76"/>
      <c r="AX474" s="76" t="b">
        <v>0</v>
      </c>
      <c r="AY474" s="76"/>
      <c r="AZ474" s="76"/>
      <c r="BA474" s="76" t="b">
        <v>0</v>
      </c>
      <c r="BB474" s="76" t="b">
        <v>1</v>
      </c>
      <c r="BC474" s="76" t="b">
        <v>1</v>
      </c>
      <c r="BD474" s="76" t="b">
        <v>0</v>
      </c>
      <c r="BE474" s="76" t="b">
        <v>0</v>
      </c>
      <c r="BF474" s="76" t="b">
        <v>0</v>
      </c>
      <c r="BG474" s="76" t="b">
        <v>0</v>
      </c>
      <c r="BH474" s="83" t="str">
        <f>HYPERLINK("https://pbs.twimg.com/profile_banners/1521893688967897089/1676259363")</f>
        <v>https://pbs.twimg.com/profile_banners/1521893688967897089/1676259363</v>
      </c>
      <c r="BI474" s="76"/>
      <c r="BJ474" s="76" t="s">
        <v>24935</v>
      </c>
      <c r="BK474" s="76" t="b">
        <v>0</v>
      </c>
      <c r="BL474" s="76"/>
      <c r="BM474" s="76" t="s">
        <v>66</v>
      </c>
      <c r="BN474" s="76" t="s">
        <v>24937</v>
      </c>
      <c r="BO474" s="83" t="str">
        <f>HYPERLINK("https://twitter.com/klebbmultiverso")</f>
        <v>https://twitter.com/klebbmultiverso</v>
      </c>
      <c r="BP474" s="2"/>
    </row>
    <row r="475" spans="1:68" x14ac:dyDescent="0.25">
      <c r="A475" s="62" t="s">
        <v>674</v>
      </c>
      <c r="B475" s="63"/>
      <c r="C475" s="63"/>
      <c r="D475" s="64"/>
      <c r="E475" s="66"/>
      <c r="F475" s="102" t="str">
        <f>HYPERLINK("https://pbs.twimg.com/profile_images/1617619188620660772/qo-B22iI_normal.jpg")</f>
        <v>https://pbs.twimg.com/profile_images/1617619188620660772/qo-B22iI_normal.jpg</v>
      </c>
      <c r="G475" s="63"/>
      <c r="H475" s="67"/>
      <c r="I475" s="68"/>
      <c r="J475" s="68"/>
      <c r="K475" s="67" t="s">
        <v>25409</v>
      </c>
      <c r="L475" s="71"/>
      <c r="M475" s="72"/>
      <c r="N475" s="72"/>
      <c r="O475" s="73"/>
      <c r="P475" s="74"/>
      <c r="Q475" s="74"/>
      <c r="R475" s="86"/>
      <c r="S475" s="86"/>
      <c r="T475" s="86"/>
      <c r="U475" s="86"/>
      <c r="V475" s="48"/>
      <c r="W475" s="48"/>
      <c r="X475" s="48"/>
      <c r="Y475" s="48"/>
      <c r="Z475" s="47"/>
      <c r="AA475" s="69">
        <v>475</v>
      </c>
      <c r="AB475" s="69"/>
      <c r="AC475" s="70"/>
      <c r="AD475" s="76" t="s">
        <v>22277</v>
      </c>
      <c r="AE475" s="81" t="s">
        <v>21349</v>
      </c>
      <c r="AF475" s="76">
        <v>0</v>
      </c>
      <c r="AG475" s="76">
        <v>2</v>
      </c>
      <c r="AH475" s="76">
        <v>21</v>
      </c>
      <c r="AI475" s="76">
        <v>0</v>
      </c>
      <c r="AJ475" s="76">
        <v>1</v>
      </c>
      <c r="AK475" s="76">
        <v>15</v>
      </c>
      <c r="AL475" s="76" t="b">
        <v>0</v>
      </c>
      <c r="AM475" s="78">
        <v>44885.890706018516</v>
      </c>
      <c r="AN475" s="76"/>
      <c r="AO475" s="76" t="s">
        <v>23753</v>
      </c>
      <c r="AP475" s="83" t="str">
        <f>HYPERLINK("https://t.co/vreWWKZhac")</f>
        <v>https://t.co/vreWWKZhac</v>
      </c>
      <c r="AQ475" s="83" t="str">
        <f>HYPERLINK("https://instabio.cc/BelezaRenovadaa")</f>
        <v>https://instabio.cc/BelezaRenovadaa</v>
      </c>
      <c r="AR475" s="76" t="s">
        <v>24509</v>
      </c>
      <c r="AS475" s="76"/>
      <c r="AT475" s="76"/>
      <c r="AU475" s="76"/>
      <c r="AV475" s="76"/>
      <c r="AW475" s="83" t="str">
        <f>HYPERLINK("https://t.co/vreWWKZhac")</f>
        <v>https://t.co/vreWWKZhac</v>
      </c>
      <c r="AX475" s="76" t="b">
        <v>0</v>
      </c>
      <c r="AY475" s="76"/>
      <c r="AZ475" s="76"/>
      <c r="BA475" s="76" t="b">
        <v>0</v>
      </c>
      <c r="BB475" s="76" t="b">
        <v>1</v>
      </c>
      <c r="BC475" s="76" t="b">
        <v>1</v>
      </c>
      <c r="BD475" s="76" t="b">
        <v>0</v>
      </c>
      <c r="BE475" s="76" t="b">
        <v>0</v>
      </c>
      <c r="BF475" s="76" t="b">
        <v>0</v>
      </c>
      <c r="BG475" s="76" t="b">
        <v>0</v>
      </c>
      <c r="BH475" s="76"/>
      <c r="BI475" s="76"/>
      <c r="BJ475" s="76" t="s">
        <v>24935</v>
      </c>
      <c r="BK475" s="76" t="b">
        <v>0</v>
      </c>
      <c r="BL475" s="76"/>
      <c r="BM475" s="76" t="s">
        <v>66</v>
      </c>
      <c r="BN475" s="76" t="s">
        <v>24937</v>
      </c>
      <c r="BO475" s="83" t="str">
        <f>HYPERLINK("https://twitter.com/maiarasanttoos")</f>
        <v>https://twitter.com/maiarasanttoos</v>
      </c>
      <c r="BP475" s="2"/>
    </row>
    <row r="476" spans="1:68" x14ac:dyDescent="0.25">
      <c r="A476" s="62" t="s">
        <v>675</v>
      </c>
      <c r="B476" s="63"/>
      <c r="C476" s="63"/>
      <c r="D476" s="64"/>
      <c r="E476" s="66"/>
      <c r="F476" s="102" t="str">
        <f>HYPERLINK("https://pbs.twimg.com/profile_images/1685360731766538240/PJvwGGs-_normal.jpg")</f>
        <v>https://pbs.twimg.com/profile_images/1685360731766538240/PJvwGGs-_normal.jpg</v>
      </c>
      <c r="G476" s="63"/>
      <c r="H476" s="67"/>
      <c r="I476" s="68"/>
      <c r="J476" s="68"/>
      <c r="K476" s="67" t="s">
        <v>25410</v>
      </c>
      <c r="L476" s="71"/>
      <c r="M476" s="72"/>
      <c r="N476" s="72"/>
      <c r="O476" s="73"/>
      <c r="P476" s="74"/>
      <c r="Q476" s="74"/>
      <c r="R476" s="86"/>
      <c r="S476" s="86"/>
      <c r="T476" s="86"/>
      <c r="U476" s="86"/>
      <c r="V476" s="48"/>
      <c r="W476" s="48"/>
      <c r="X476" s="48"/>
      <c r="Y476" s="48"/>
      <c r="Z476" s="47"/>
      <c r="AA476" s="69">
        <v>476</v>
      </c>
      <c r="AB476" s="69"/>
      <c r="AC476" s="70"/>
      <c r="AD476" s="76" t="s">
        <v>22278</v>
      </c>
      <c r="AE476" s="81" t="s">
        <v>21350</v>
      </c>
      <c r="AF476" s="76">
        <v>0</v>
      </c>
      <c r="AG476" s="76">
        <v>4</v>
      </c>
      <c r="AH476" s="76">
        <v>68</v>
      </c>
      <c r="AI476" s="76">
        <v>0</v>
      </c>
      <c r="AJ476" s="76">
        <v>1</v>
      </c>
      <c r="AK476" s="76">
        <v>48</v>
      </c>
      <c r="AL476" s="76" t="b">
        <v>0</v>
      </c>
      <c r="AM476" s="78">
        <v>45136.781076388892</v>
      </c>
      <c r="AN476" s="76"/>
      <c r="AO476" s="76"/>
      <c r="AP476" s="76"/>
      <c r="AQ476" s="76"/>
      <c r="AR476" s="76"/>
      <c r="AS476" s="76"/>
      <c r="AT476" s="76"/>
      <c r="AU476" s="76"/>
      <c r="AV476" s="76">
        <v>1.69886574383037E+18</v>
      </c>
      <c r="AW476" s="76"/>
      <c r="AX476" s="76" t="b">
        <v>0</v>
      </c>
      <c r="AY476" s="76"/>
      <c r="AZ476" s="76"/>
      <c r="BA476" s="76" t="b">
        <v>0</v>
      </c>
      <c r="BB476" s="76" t="b">
        <v>1</v>
      </c>
      <c r="BC476" s="76" t="b">
        <v>1</v>
      </c>
      <c r="BD476" s="76" t="b">
        <v>0</v>
      </c>
      <c r="BE476" s="76" t="b">
        <v>0</v>
      </c>
      <c r="BF476" s="76" t="b">
        <v>0</v>
      </c>
      <c r="BG476" s="76" t="b">
        <v>0</v>
      </c>
      <c r="BH476" s="76"/>
      <c r="BI476" s="76"/>
      <c r="BJ476" s="76" t="s">
        <v>24935</v>
      </c>
      <c r="BK476" s="76" t="b">
        <v>0</v>
      </c>
      <c r="BL476" s="76"/>
      <c r="BM476" s="76" t="s">
        <v>66</v>
      </c>
      <c r="BN476" s="76" t="s">
        <v>24937</v>
      </c>
      <c r="BO476" s="83" t="str">
        <f>HYPERLINK("https://twitter.com/letciasilva68")</f>
        <v>https://twitter.com/letciasilva68</v>
      </c>
      <c r="BP476" s="2"/>
    </row>
    <row r="477" spans="1:68" x14ac:dyDescent="0.25">
      <c r="A477" s="62" t="s">
        <v>676</v>
      </c>
      <c r="B477" s="63"/>
      <c r="C477" s="63"/>
      <c r="D477" s="64"/>
      <c r="E477" s="66"/>
      <c r="F477" s="102" t="str">
        <f>HYPERLINK("https://pbs.twimg.com/profile_images/1646938636997279745/eT63WO_k_normal.jpg")</f>
        <v>https://pbs.twimg.com/profile_images/1646938636997279745/eT63WO_k_normal.jpg</v>
      </c>
      <c r="G477" s="63"/>
      <c r="H477" s="67"/>
      <c r="I477" s="68"/>
      <c r="J477" s="68"/>
      <c r="K477" s="67" t="s">
        <v>25411</v>
      </c>
      <c r="L477" s="71"/>
      <c r="M477" s="72"/>
      <c r="N477" s="72"/>
      <c r="O477" s="73"/>
      <c r="P477" s="74"/>
      <c r="Q477" s="74"/>
      <c r="R477" s="86"/>
      <c r="S477" s="86"/>
      <c r="T477" s="86"/>
      <c r="U477" s="86"/>
      <c r="V477" s="48"/>
      <c r="W477" s="48"/>
      <c r="X477" s="48"/>
      <c r="Y477" s="48"/>
      <c r="Z477" s="47"/>
      <c r="AA477" s="69">
        <v>477</v>
      </c>
      <c r="AB477" s="69"/>
      <c r="AC477" s="70"/>
      <c r="AD477" s="76" t="s">
        <v>22279</v>
      </c>
      <c r="AE477" s="81" t="s">
        <v>21351</v>
      </c>
      <c r="AF477" s="76">
        <v>7</v>
      </c>
      <c r="AG477" s="76">
        <v>66</v>
      </c>
      <c r="AH477" s="76">
        <v>91</v>
      </c>
      <c r="AI477" s="76">
        <v>0</v>
      </c>
      <c r="AJ477" s="76">
        <v>8822</v>
      </c>
      <c r="AK477" s="76">
        <v>38</v>
      </c>
      <c r="AL477" s="76" t="b">
        <v>0</v>
      </c>
      <c r="AM477" s="78">
        <v>44791.750543981485</v>
      </c>
      <c r="AN477" s="76"/>
      <c r="AO477" s="76" t="s">
        <v>23754</v>
      </c>
      <c r="AP477" s="83" t="str">
        <f>HYPERLINK("https://t.co/7RnchHKnsY")</f>
        <v>https://t.co/7RnchHKnsY</v>
      </c>
      <c r="AQ477" s="83" t="str">
        <f>HYPERLINK("https://go.hotmart.com/M84187164U")</f>
        <v>https://go.hotmart.com/M84187164U</v>
      </c>
      <c r="AR477" s="76" t="s">
        <v>24510</v>
      </c>
      <c r="AS477" s="76"/>
      <c r="AT477" s="76"/>
      <c r="AU477" s="76"/>
      <c r="AV477" s="76"/>
      <c r="AW477" s="83" t="str">
        <f>HYPERLINK("https://t.co/7RnchHKnsY")</f>
        <v>https://t.co/7RnchHKnsY</v>
      </c>
      <c r="AX477" s="76" t="b">
        <v>0</v>
      </c>
      <c r="AY477" s="76"/>
      <c r="AZ477" s="76"/>
      <c r="BA477" s="76" t="b">
        <v>1</v>
      </c>
      <c r="BB477" s="76" t="b">
        <v>1</v>
      </c>
      <c r="BC477" s="76" t="b">
        <v>1</v>
      </c>
      <c r="BD477" s="76" t="b">
        <v>0</v>
      </c>
      <c r="BE477" s="76" t="b">
        <v>0</v>
      </c>
      <c r="BF477" s="76" t="b">
        <v>0</v>
      </c>
      <c r="BG477" s="76" t="b">
        <v>0</v>
      </c>
      <c r="BH477" s="76"/>
      <c r="BI477" s="76"/>
      <c r="BJ477" s="76" t="s">
        <v>24935</v>
      </c>
      <c r="BK477" s="76" t="b">
        <v>0</v>
      </c>
      <c r="BL477" s="76"/>
      <c r="BM477" s="76" t="s">
        <v>66</v>
      </c>
      <c r="BN477" s="76" t="s">
        <v>24937</v>
      </c>
      <c r="BO477" s="83" t="str">
        <f>HYPERLINK("https://twitter.com/elioliv39989039")</f>
        <v>https://twitter.com/elioliv39989039</v>
      </c>
      <c r="BP477" s="2"/>
    </row>
    <row r="478" spans="1:68" x14ac:dyDescent="0.25">
      <c r="A478" s="62" t="s">
        <v>677</v>
      </c>
      <c r="B478" s="63"/>
      <c r="C478" s="63"/>
      <c r="D478" s="64"/>
      <c r="E478" s="66"/>
      <c r="F478" s="102" t="str">
        <f>HYPERLINK("https://pbs.twimg.com/profile_images/1490042720307585035/wrf2QTKH_normal.jpg")</f>
        <v>https://pbs.twimg.com/profile_images/1490042720307585035/wrf2QTKH_normal.jpg</v>
      </c>
      <c r="G478" s="63"/>
      <c r="H478" s="67"/>
      <c r="I478" s="68"/>
      <c r="J478" s="68"/>
      <c r="K478" s="67" t="s">
        <v>25412</v>
      </c>
      <c r="L478" s="71"/>
      <c r="M478" s="72"/>
      <c r="N478" s="72"/>
      <c r="O478" s="73"/>
      <c r="P478" s="74"/>
      <c r="Q478" s="74"/>
      <c r="R478" s="86"/>
      <c r="S478" s="86"/>
      <c r="T478" s="86"/>
      <c r="U478" s="86"/>
      <c r="V478" s="48"/>
      <c r="W478" s="48"/>
      <c r="X478" s="48"/>
      <c r="Y478" s="48"/>
      <c r="Z478" s="47"/>
      <c r="AA478" s="69">
        <v>478</v>
      </c>
      <c r="AB478" s="69"/>
      <c r="AC478" s="70"/>
      <c r="AD478" s="76" t="s">
        <v>22280</v>
      </c>
      <c r="AE478" s="81" t="s">
        <v>21352</v>
      </c>
      <c r="AF478" s="76">
        <v>10</v>
      </c>
      <c r="AG478" s="76">
        <v>72</v>
      </c>
      <c r="AH478" s="76">
        <v>286</v>
      </c>
      <c r="AI478" s="76">
        <v>0</v>
      </c>
      <c r="AJ478" s="76">
        <v>3052</v>
      </c>
      <c r="AK478" s="76">
        <v>43</v>
      </c>
      <c r="AL478" s="76" t="b">
        <v>0</v>
      </c>
      <c r="AM478" s="78">
        <v>44597.806041666663</v>
      </c>
      <c r="AN478" s="76"/>
      <c r="AO478" s="76" t="s">
        <v>23755</v>
      </c>
      <c r="AP478" s="76"/>
      <c r="AQ478" s="76"/>
      <c r="AR478" s="76"/>
      <c r="AS478" s="76"/>
      <c r="AT478" s="76"/>
      <c r="AU478" s="76"/>
      <c r="AV478" s="76"/>
      <c r="AW478" s="76"/>
      <c r="AX478" s="76" t="b">
        <v>0</v>
      </c>
      <c r="AY478" s="76"/>
      <c r="AZ478" s="76"/>
      <c r="BA478" s="76" t="b">
        <v>0</v>
      </c>
      <c r="BB478" s="76" t="b">
        <v>1</v>
      </c>
      <c r="BC478" s="76" t="b">
        <v>1</v>
      </c>
      <c r="BD478" s="76" t="b">
        <v>0</v>
      </c>
      <c r="BE478" s="76" t="b">
        <v>1</v>
      </c>
      <c r="BF478" s="76" t="b">
        <v>0</v>
      </c>
      <c r="BG478" s="76" t="b">
        <v>0</v>
      </c>
      <c r="BH478" s="76"/>
      <c r="BI478" s="76"/>
      <c r="BJ478" s="76" t="s">
        <v>24935</v>
      </c>
      <c r="BK478" s="76" t="b">
        <v>0</v>
      </c>
      <c r="BL478" s="76"/>
      <c r="BM478" s="76" t="s">
        <v>66</v>
      </c>
      <c r="BN478" s="76" t="s">
        <v>24937</v>
      </c>
      <c r="BO478" s="83" t="str">
        <f>HYPERLINK("https://twitter.com/fernand87494012")</f>
        <v>https://twitter.com/fernand87494012</v>
      </c>
      <c r="BP478" s="2"/>
    </row>
    <row r="479" spans="1:68" x14ac:dyDescent="0.25">
      <c r="A479" s="62" t="s">
        <v>678</v>
      </c>
      <c r="B479" s="63"/>
      <c r="C479" s="63"/>
      <c r="D479" s="64"/>
      <c r="E479" s="66"/>
      <c r="F479" s="102" t="str">
        <f>HYPERLINK("https://pbs.twimg.com/profile_images/1592346315865956353/AXpxHFrp_normal.jpg")</f>
        <v>https://pbs.twimg.com/profile_images/1592346315865956353/AXpxHFrp_normal.jpg</v>
      </c>
      <c r="G479" s="63"/>
      <c r="H479" s="67"/>
      <c r="I479" s="68"/>
      <c r="J479" s="68"/>
      <c r="K479" s="67" t="s">
        <v>25413</v>
      </c>
      <c r="L479" s="71"/>
      <c r="M479" s="72"/>
      <c r="N479" s="72"/>
      <c r="O479" s="73"/>
      <c r="P479" s="74"/>
      <c r="Q479" s="74"/>
      <c r="R479" s="86"/>
      <c r="S479" s="86"/>
      <c r="T479" s="86"/>
      <c r="U479" s="86"/>
      <c r="V479" s="48"/>
      <c r="W479" s="48"/>
      <c r="X479" s="48"/>
      <c r="Y479" s="48"/>
      <c r="Z479" s="47"/>
      <c r="AA479" s="69">
        <v>479</v>
      </c>
      <c r="AB479" s="69"/>
      <c r="AC479" s="70"/>
      <c r="AD479" s="76" t="s">
        <v>22281</v>
      </c>
      <c r="AE479" s="81" t="s">
        <v>21353</v>
      </c>
      <c r="AF479" s="76">
        <v>0</v>
      </c>
      <c r="AG479" s="76">
        <v>93</v>
      </c>
      <c r="AH479" s="76">
        <v>25</v>
      </c>
      <c r="AI479" s="76">
        <v>1</v>
      </c>
      <c r="AJ479" s="76">
        <v>0</v>
      </c>
      <c r="AK479" s="76">
        <v>15</v>
      </c>
      <c r="AL479" s="76" t="b">
        <v>0</v>
      </c>
      <c r="AM479" s="78">
        <v>44880.105115740742</v>
      </c>
      <c r="AN479" s="76"/>
      <c r="AO479" s="76" t="s">
        <v>23756</v>
      </c>
      <c r="AP479" s="83" t="str">
        <f>HYPERLINK("https://t.co/E4Pjj4SeIA")</f>
        <v>https://t.co/E4Pjj4SeIA</v>
      </c>
      <c r="AQ479" s="83" t="str">
        <f>HYPERLINK("https://linktr.ee/boraviveralgonovo")</f>
        <v>https://linktr.ee/boraviveralgonovo</v>
      </c>
      <c r="AR479" s="76" t="s">
        <v>24511</v>
      </c>
      <c r="AS479" s="76"/>
      <c r="AT479" s="76"/>
      <c r="AU479" s="76"/>
      <c r="AV479" s="76">
        <v>1.6227307237937999E+18</v>
      </c>
      <c r="AW479" s="83" t="str">
        <f>HYPERLINK("https://t.co/E4Pjj4SeIA")</f>
        <v>https://t.co/E4Pjj4SeIA</v>
      </c>
      <c r="AX479" s="76" t="b">
        <v>0</v>
      </c>
      <c r="AY479" s="76"/>
      <c r="AZ479" s="76"/>
      <c r="BA479" s="76" t="b">
        <v>0</v>
      </c>
      <c r="BB479" s="76" t="b">
        <v>1</v>
      </c>
      <c r="BC479" s="76" t="b">
        <v>1</v>
      </c>
      <c r="BD479" s="76" t="b">
        <v>0</v>
      </c>
      <c r="BE479" s="76" t="b">
        <v>0</v>
      </c>
      <c r="BF479" s="76" t="b">
        <v>0</v>
      </c>
      <c r="BG479" s="76" t="b">
        <v>0</v>
      </c>
      <c r="BH479" s="83" t="str">
        <f>HYPERLINK("https://pbs.twimg.com/profile_banners/1592344353967689729/1668479921")</f>
        <v>https://pbs.twimg.com/profile_banners/1592344353967689729/1668479921</v>
      </c>
      <c r="BI479" s="76"/>
      <c r="BJ479" s="76" t="s">
        <v>24935</v>
      </c>
      <c r="BK479" s="76" t="b">
        <v>0</v>
      </c>
      <c r="BL479" s="76"/>
      <c r="BM479" s="76" t="s">
        <v>66</v>
      </c>
      <c r="BN479" s="76" t="s">
        <v>24937</v>
      </c>
      <c r="BO479" s="83" t="str">
        <f>HYPERLINK("https://twitter.com/negocioemvendas")</f>
        <v>https://twitter.com/negocioemvendas</v>
      </c>
      <c r="BP479" s="2"/>
    </row>
    <row r="480" spans="1:68" x14ac:dyDescent="0.25">
      <c r="A480" s="62" t="s">
        <v>679</v>
      </c>
      <c r="B480" s="63"/>
      <c r="C480" s="63"/>
      <c r="D480" s="64"/>
      <c r="E480" s="66"/>
      <c r="F480" s="102" t="str">
        <f>HYPERLINK("https://pbs.twimg.com/profile_images/1630361562023174144/c3idMi_e_normal.jpg")</f>
        <v>https://pbs.twimg.com/profile_images/1630361562023174144/c3idMi_e_normal.jpg</v>
      </c>
      <c r="G480" s="63"/>
      <c r="H480" s="67"/>
      <c r="I480" s="68"/>
      <c r="J480" s="68"/>
      <c r="K480" s="67" t="s">
        <v>25414</v>
      </c>
      <c r="L480" s="71"/>
      <c r="M480" s="72"/>
      <c r="N480" s="72"/>
      <c r="O480" s="73"/>
      <c r="P480" s="74"/>
      <c r="Q480" s="74"/>
      <c r="R480" s="86"/>
      <c r="S480" s="86"/>
      <c r="T480" s="86"/>
      <c r="U480" s="86"/>
      <c r="V480" s="48"/>
      <c r="W480" s="48"/>
      <c r="X480" s="48"/>
      <c r="Y480" s="48"/>
      <c r="Z480" s="47"/>
      <c r="AA480" s="69">
        <v>480</v>
      </c>
      <c r="AB480" s="69"/>
      <c r="AC480" s="70"/>
      <c r="AD480" s="76" t="s">
        <v>22282</v>
      </c>
      <c r="AE480" s="81" t="s">
        <v>21354</v>
      </c>
      <c r="AF480" s="76">
        <v>0</v>
      </c>
      <c r="AG480" s="76">
        <v>1</v>
      </c>
      <c r="AH480" s="76">
        <v>211</v>
      </c>
      <c r="AI480" s="76">
        <v>0</v>
      </c>
      <c r="AJ480" s="76">
        <v>4</v>
      </c>
      <c r="AK480" s="76">
        <v>110</v>
      </c>
      <c r="AL480" s="76" t="b">
        <v>0</v>
      </c>
      <c r="AM480" s="78">
        <v>44985.012094907404</v>
      </c>
      <c r="AN480" s="76"/>
      <c r="AO480" s="76"/>
      <c r="AP480" s="76"/>
      <c r="AQ480" s="76"/>
      <c r="AR480" s="76"/>
      <c r="AS480" s="76"/>
      <c r="AT480" s="76"/>
      <c r="AU480" s="76"/>
      <c r="AV480" s="76"/>
      <c r="AW480" s="76"/>
      <c r="AX480" s="76" t="b">
        <v>0</v>
      </c>
      <c r="AY480" s="76"/>
      <c r="AZ480" s="76"/>
      <c r="BA480" s="76" t="b">
        <v>0</v>
      </c>
      <c r="BB480" s="76" t="b">
        <v>1</v>
      </c>
      <c r="BC480" s="76" t="b">
        <v>1</v>
      </c>
      <c r="BD480" s="76" t="b">
        <v>0</v>
      </c>
      <c r="BE480" s="76" t="b">
        <v>0</v>
      </c>
      <c r="BF480" s="76" t="b">
        <v>0</v>
      </c>
      <c r="BG480" s="76" t="b">
        <v>0</v>
      </c>
      <c r="BH480" s="76"/>
      <c r="BI480" s="76"/>
      <c r="BJ480" s="76" t="s">
        <v>24935</v>
      </c>
      <c r="BK480" s="76" t="b">
        <v>0</v>
      </c>
      <c r="BL480" s="76"/>
      <c r="BM480" s="76" t="s">
        <v>66</v>
      </c>
      <c r="BN480" s="76" t="s">
        <v>24937</v>
      </c>
      <c r="BO480" s="83" t="str">
        <f>HYPERLINK("https://twitter.com/achadotudopouco")</f>
        <v>https://twitter.com/achadotudopouco</v>
      </c>
      <c r="BP480" s="2"/>
    </row>
    <row r="481" spans="1:68" x14ac:dyDescent="0.25">
      <c r="A481" s="62" t="s">
        <v>680</v>
      </c>
      <c r="B481" s="63"/>
      <c r="C481" s="63"/>
      <c r="D481" s="64"/>
      <c r="E481" s="66"/>
      <c r="F481" s="102" t="str">
        <f>HYPERLINK("https://pbs.twimg.com/profile_images/1667524167795720194/igfA2ejL_normal.jpg")</f>
        <v>https://pbs.twimg.com/profile_images/1667524167795720194/igfA2ejL_normal.jpg</v>
      </c>
      <c r="G481" s="63"/>
      <c r="H481" s="67"/>
      <c r="I481" s="68"/>
      <c r="J481" s="68"/>
      <c r="K481" s="67" t="s">
        <v>25415</v>
      </c>
      <c r="L481" s="71"/>
      <c r="M481" s="72"/>
      <c r="N481" s="72"/>
      <c r="O481" s="73"/>
      <c r="P481" s="74"/>
      <c r="Q481" s="74"/>
      <c r="R481" s="86"/>
      <c r="S481" s="86"/>
      <c r="T481" s="86"/>
      <c r="U481" s="86"/>
      <c r="V481" s="48"/>
      <c r="W481" s="48"/>
      <c r="X481" s="48"/>
      <c r="Y481" s="48"/>
      <c r="Z481" s="47"/>
      <c r="AA481" s="69">
        <v>481</v>
      </c>
      <c r="AB481" s="69"/>
      <c r="AC481" s="70"/>
      <c r="AD481" s="76" t="s">
        <v>22283</v>
      </c>
      <c r="AE481" s="81" t="s">
        <v>21355</v>
      </c>
      <c r="AF481" s="76">
        <v>1125</v>
      </c>
      <c r="AG481" s="76">
        <v>1653</v>
      </c>
      <c r="AH481" s="76">
        <v>1316</v>
      </c>
      <c r="AI481" s="76">
        <v>0</v>
      </c>
      <c r="AJ481" s="76">
        <v>451</v>
      </c>
      <c r="AK481" s="76">
        <v>153</v>
      </c>
      <c r="AL481" s="76" t="b">
        <v>0</v>
      </c>
      <c r="AM481" s="78">
        <v>44872.480219907404</v>
      </c>
      <c r="AN481" s="76" t="s">
        <v>23209</v>
      </c>
      <c r="AO481" s="76" t="s">
        <v>23757</v>
      </c>
      <c r="AP481" s="76"/>
      <c r="AQ481" s="76"/>
      <c r="AR481" s="76"/>
      <c r="AS481" s="76"/>
      <c r="AT481" s="76"/>
      <c r="AU481" s="76"/>
      <c r="AV481" s="76"/>
      <c r="AW481" s="76"/>
      <c r="AX481" s="76" t="b">
        <v>0</v>
      </c>
      <c r="AY481" s="76"/>
      <c r="AZ481" s="76"/>
      <c r="BA481" s="76" t="b">
        <v>1</v>
      </c>
      <c r="BB481" s="76" t="b">
        <v>1</v>
      </c>
      <c r="BC481" s="76" t="b">
        <v>1</v>
      </c>
      <c r="BD481" s="76" t="b">
        <v>0</v>
      </c>
      <c r="BE481" s="76" t="b">
        <v>0</v>
      </c>
      <c r="BF481" s="76" t="b">
        <v>0</v>
      </c>
      <c r="BG481" s="76" t="b">
        <v>0</v>
      </c>
      <c r="BH481" s="83" t="str">
        <f>HYPERLINK("https://pbs.twimg.com/profile_banners/1589581279686758400/1686403719")</f>
        <v>https://pbs.twimg.com/profile_banners/1589581279686758400/1686403719</v>
      </c>
      <c r="BI481" s="76"/>
      <c r="BJ481" s="76" t="s">
        <v>24935</v>
      </c>
      <c r="BK481" s="76" t="b">
        <v>0</v>
      </c>
      <c r="BL481" s="76"/>
      <c r="BM481" s="76" t="s">
        <v>66</v>
      </c>
      <c r="BN481" s="76" t="s">
        <v>24937</v>
      </c>
      <c r="BO481" s="83" t="str">
        <f>HYPERLINK("https://twitter.com/focablaze")</f>
        <v>https://twitter.com/focablaze</v>
      </c>
      <c r="BP481" s="2"/>
    </row>
    <row r="482" spans="1:68" x14ac:dyDescent="0.25">
      <c r="A482" s="62" t="s">
        <v>1259</v>
      </c>
      <c r="B482" s="63"/>
      <c r="C482" s="63"/>
      <c r="D482" s="64"/>
      <c r="E482" s="66"/>
      <c r="F482" s="102" t="str">
        <f>HYPERLINK("https://pbs.twimg.com/profile_images/1621577800237948928/FDOR8F9g_normal.jpg")</f>
        <v>https://pbs.twimg.com/profile_images/1621577800237948928/FDOR8F9g_normal.jpg</v>
      </c>
      <c r="G482" s="63"/>
      <c r="H482" s="67"/>
      <c r="I482" s="68"/>
      <c r="J482" s="68"/>
      <c r="K482" s="67" t="s">
        <v>25416</v>
      </c>
      <c r="L482" s="71"/>
      <c r="M482" s="72"/>
      <c r="N482" s="72"/>
      <c r="O482" s="73"/>
      <c r="P482" s="74"/>
      <c r="Q482" s="74"/>
      <c r="R482" s="86"/>
      <c r="S482" s="86"/>
      <c r="T482" s="86"/>
      <c r="U482" s="86"/>
      <c r="V482" s="48"/>
      <c r="W482" s="48"/>
      <c r="X482" s="48"/>
      <c r="Y482" s="48"/>
      <c r="Z482" s="47"/>
      <c r="AA482" s="69">
        <v>482</v>
      </c>
      <c r="AB482" s="69"/>
      <c r="AC482" s="70"/>
      <c r="AD482" s="76" t="s">
        <v>22284</v>
      </c>
      <c r="AE482" s="81" t="s">
        <v>20936</v>
      </c>
      <c r="AF482" s="76">
        <v>226557</v>
      </c>
      <c r="AG482" s="76">
        <v>141</v>
      </c>
      <c r="AH482" s="76">
        <v>11153</v>
      </c>
      <c r="AI482" s="76">
        <v>239</v>
      </c>
      <c r="AJ482" s="76">
        <v>796</v>
      </c>
      <c r="AK482" s="76">
        <v>1950</v>
      </c>
      <c r="AL482" s="76" t="b">
        <v>0</v>
      </c>
      <c r="AM482" s="78">
        <v>44677.619571759256</v>
      </c>
      <c r="AN482" s="76" t="s">
        <v>14041</v>
      </c>
      <c r="AO482" s="76" t="s">
        <v>23758</v>
      </c>
      <c r="AP482" s="83" t="str">
        <f>HYPERLINK("https://t.co/xQeHLxD2Ul")</f>
        <v>https://t.co/xQeHLxD2Ul</v>
      </c>
      <c r="AQ482" s="83" t="str">
        <f>HYPERLINK("http://www.edraposo.com")</f>
        <v>http://www.edraposo.com</v>
      </c>
      <c r="AR482" s="76" t="s">
        <v>24512</v>
      </c>
      <c r="AS482" s="76"/>
      <c r="AT482" s="76"/>
      <c r="AU482" s="76"/>
      <c r="AV482" s="76">
        <v>1.6657824572647401E+18</v>
      </c>
      <c r="AW482" s="83" t="str">
        <f>HYPERLINK("https://t.co/xQeHLxD2Ul")</f>
        <v>https://t.co/xQeHLxD2Ul</v>
      </c>
      <c r="AX482" s="76" t="b">
        <v>1</v>
      </c>
      <c r="AY482" s="76"/>
      <c r="AZ482" s="76"/>
      <c r="BA482" s="76" t="b">
        <v>1</v>
      </c>
      <c r="BB482" s="76" t="b">
        <v>1</v>
      </c>
      <c r="BC482" s="76" t="b">
        <v>1</v>
      </c>
      <c r="BD482" s="76" t="b">
        <v>0</v>
      </c>
      <c r="BE482" s="76" t="b">
        <v>0</v>
      </c>
      <c r="BF482" s="76" t="b">
        <v>0</v>
      </c>
      <c r="BG482" s="76" t="b">
        <v>0</v>
      </c>
      <c r="BH482" s="83" t="str">
        <f>HYPERLINK("https://pbs.twimg.com/profile_banners/1518965841261441024/1675337258")</f>
        <v>https://pbs.twimg.com/profile_banners/1518965841261441024/1675337258</v>
      </c>
      <c r="BI482" s="76"/>
      <c r="BJ482" s="76" t="s">
        <v>24935</v>
      </c>
      <c r="BK482" s="76" t="b">
        <v>0</v>
      </c>
      <c r="BL482" s="76"/>
      <c r="BM482" s="76" t="s">
        <v>65</v>
      </c>
      <c r="BN482" s="76" t="s">
        <v>24937</v>
      </c>
      <c r="BO482" s="83" t="str">
        <f>HYPERLINK("https://twitter.com/edraposo_")</f>
        <v>https://twitter.com/edraposo_</v>
      </c>
      <c r="BP482" s="2"/>
    </row>
    <row r="483" spans="1:68" x14ac:dyDescent="0.25">
      <c r="A483" s="62" t="s">
        <v>681</v>
      </c>
      <c r="B483" s="63"/>
      <c r="C483" s="63"/>
      <c r="D483" s="64"/>
      <c r="E483" s="66"/>
      <c r="F483" s="102" t="str">
        <f>HYPERLINK("https://pbs.twimg.com/profile_images/1699565906202865664/4yDuh3Yi_normal.jpg")</f>
        <v>https://pbs.twimg.com/profile_images/1699565906202865664/4yDuh3Yi_normal.jpg</v>
      </c>
      <c r="G483" s="63"/>
      <c r="H483" s="67"/>
      <c r="I483" s="68"/>
      <c r="J483" s="68"/>
      <c r="K483" s="67" t="s">
        <v>25417</v>
      </c>
      <c r="L483" s="71"/>
      <c r="M483" s="72"/>
      <c r="N483" s="72"/>
      <c r="O483" s="73"/>
      <c r="P483" s="74"/>
      <c r="Q483" s="74"/>
      <c r="R483" s="86"/>
      <c r="S483" s="86"/>
      <c r="T483" s="86"/>
      <c r="U483" s="86"/>
      <c r="V483" s="48"/>
      <c r="W483" s="48"/>
      <c r="X483" s="48"/>
      <c r="Y483" s="48"/>
      <c r="Z483" s="47"/>
      <c r="AA483" s="69">
        <v>483</v>
      </c>
      <c r="AB483" s="69"/>
      <c r="AC483" s="70"/>
      <c r="AD483" s="76" t="s">
        <v>22285</v>
      </c>
      <c r="AE483" s="81" t="s">
        <v>22950</v>
      </c>
      <c r="AF483" s="76">
        <v>40</v>
      </c>
      <c r="AG483" s="76">
        <v>928</v>
      </c>
      <c r="AH483" s="76">
        <v>10939</v>
      </c>
      <c r="AI483" s="76">
        <v>2</v>
      </c>
      <c r="AJ483" s="76">
        <v>22916</v>
      </c>
      <c r="AK483" s="76">
        <v>1012</v>
      </c>
      <c r="AL483" s="76" t="b">
        <v>0</v>
      </c>
      <c r="AM483" s="78">
        <v>40813.973993055559</v>
      </c>
      <c r="AN483" s="76"/>
      <c r="AO483" s="76"/>
      <c r="AP483" s="76"/>
      <c r="AQ483" s="76"/>
      <c r="AR483" s="76"/>
      <c r="AS483" s="76"/>
      <c r="AT483" s="76"/>
      <c r="AU483" s="76"/>
      <c r="AV483" s="76">
        <v>1.4255783933288801E+18</v>
      </c>
      <c r="AW483" s="76"/>
      <c r="AX483" s="76" t="b">
        <v>0</v>
      </c>
      <c r="AY483" s="76"/>
      <c r="AZ483" s="76"/>
      <c r="BA483" s="76" t="b">
        <v>1</v>
      </c>
      <c r="BB483" s="76" t="b">
        <v>0</v>
      </c>
      <c r="BC483" s="76" t="b">
        <v>1</v>
      </c>
      <c r="BD483" s="76" t="b">
        <v>0</v>
      </c>
      <c r="BE483" s="76" t="b">
        <v>1</v>
      </c>
      <c r="BF483" s="76" t="b">
        <v>0</v>
      </c>
      <c r="BG483" s="76" t="b">
        <v>0</v>
      </c>
      <c r="BH483" s="83" t="str">
        <f>HYPERLINK("https://pbs.twimg.com/profile_banners/381219260/1581318961")</f>
        <v>https://pbs.twimg.com/profile_banners/381219260/1581318961</v>
      </c>
      <c r="BI483" s="76"/>
      <c r="BJ483" s="76" t="s">
        <v>24935</v>
      </c>
      <c r="BK483" s="76" t="b">
        <v>0</v>
      </c>
      <c r="BL483" s="76"/>
      <c r="BM483" s="76" t="s">
        <v>66</v>
      </c>
      <c r="BN483" s="76" t="s">
        <v>24937</v>
      </c>
      <c r="BO483" s="83" t="str">
        <f>HYPERLINK("https://twitter.com/schwassssss")</f>
        <v>https://twitter.com/schwassssss</v>
      </c>
      <c r="BP483" s="2"/>
    </row>
    <row r="484" spans="1:68" x14ac:dyDescent="0.25">
      <c r="A484" s="62" t="s">
        <v>1260</v>
      </c>
      <c r="B484" s="63"/>
      <c r="C484" s="63"/>
      <c r="D484" s="64"/>
      <c r="E484" s="66"/>
      <c r="F484" s="102" t="str">
        <f>HYPERLINK("https://pbs.twimg.com/profile_images/1702021119480336384/iG5ZJMeU_normal.jpg")</f>
        <v>https://pbs.twimg.com/profile_images/1702021119480336384/iG5ZJMeU_normal.jpg</v>
      </c>
      <c r="G484" s="63"/>
      <c r="H484" s="67"/>
      <c r="I484" s="68"/>
      <c r="J484" s="68"/>
      <c r="K484" s="67" t="s">
        <v>25418</v>
      </c>
      <c r="L484" s="71"/>
      <c r="M484" s="72"/>
      <c r="N484" s="72"/>
      <c r="O484" s="73"/>
      <c r="P484" s="74"/>
      <c r="Q484" s="74"/>
      <c r="R484" s="86"/>
      <c r="S484" s="86"/>
      <c r="T484" s="86"/>
      <c r="U484" s="86"/>
      <c r="V484" s="48"/>
      <c r="W484" s="48"/>
      <c r="X484" s="48"/>
      <c r="Y484" s="48"/>
      <c r="Z484" s="47"/>
      <c r="AA484" s="69">
        <v>484</v>
      </c>
      <c r="AB484" s="69"/>
      <c r="AC484" s="70"/>
      <c r="AD484" s="76" t="s">
        <v>22286</v>
      </c>
      <c r="AE484" s="81" t="s">
        <v>20937</v>
      </c>
      <c r="AF484" s="76">
        <v>254148</v>
      </c>
      <c r="AG484" s="76">
        <v>1309</v>
      </c>
      <c r="AH484" s="76">
        <v>17805</v>
      </c>
      <c r="AI484" s="76">
        <v>72</v>
      </c>
      <c r="AJ484" s="76">
        <v>11369</v>
      </c>
      <c r="AK484" s="76">
        <v>1601</v>
      </c>
      <c r="AL484" s="76" t="b">
        <v>0</v>
      </c>
      <c r="AM484" s="78">
        <v>44685.907511574071</v>
      </c>
      <c r="AN484" s="76" t="s">
        <v>23210</v>
      </c>
      <c r="AO484" s="76" t="s">
        <v>23759</v>
      </c>
      <c r="AP484" s="83" t="str">
        <f>HYPERLINK("https://t.co/24BfX6uaCp")</f>
        <v>https://t.co/24BfX6uaCp</v>
      </c>
      <c r="AQ484" s="83" t="str">
        <f>HYPERLINK("http://linktree.com/lilvinicinho")</f>
        <v>http://linktree.com/lilvinicinho</v>
      </c>
      <c r="AR484" s="76" t="s">
        <v>24513</v>
      </c>
      <c r="AS484" s="83" t="str">
        <f>HYPERLINK("https://t.co/CeA2xJFNE6")</f>
        <v>https://t.co/CeA2xJFNE6</v>
      </c>
      <c r="AT484" s="83" t="str">
        <f>HYPERLINK("http://instagram.com/lilvinicinho")</f>
        <v>http://instagram.com/lilvinicinho</v>
      </c>
      <c r="AU484" s="76" t="s">
        <v>24881</v>
      </c>
      <c r="AV484" s="76">
        <v>1.7046067489950899E+18</v>
      </c>
      <c r="AW484" s="83" t="str">
        <f>HYPERLINK("https://t.co/24BfX6uaCp")</f>
        <v>https://t.co/24BfX6uaCp</v>
      </c>
      <c r="AX484" s="76" t="b">
        <v>1</v>
      </c>
      <c r="AY484" s="76"/>
      <c r="AZ484" s="76"/>
      <c r="BA484" s="76" t="b">
        <v>0</v>
      </c>
      <c r="BB484" s="76" t="b">
        <v>1</v>
      </c>
      <c r="BC484" s="76" t="b">
        <v>1</v>
      </c>
      <c r="BD484" s="76" t="b">
        <v>0</v>
      </c>
      <c r="BE484" s="76" t="b">
        <v>1</v>
      </c>
      <c r="BF484" s="76" t="b">
        <v>0</v>
      </c>
      <c r="BG484" s="76" t="b">
        <v>0</v>
      </c>
      <c r="BH484" s="83" t="str">
        <f>HYPERLINK("https://pbs.twimg.com/profile_banners/1521969582193659905/1690557940")</f>
        <v>https://pbs.twimg.com/profile_banners/1521969582193659905/1690557940</v>
      </c>
      <c r="BI484" s="76"/>
      <c r="BJ484" s="76" t="s">
        <v>24935</v>
      </c>
      <c r="BK484" s="76" t="b">
        <v>0</v>
      </c>
      <c r="BL484" s="76"/>
      <c r="BM484" s="76" t="s">
        <v>65</v>
      </c>
      <c r="BN484" s="76" t="s">
        <v>24937</v>
      </c>
      <c r="BO484" s="83" t="str">
        <f>HYPERLINK("https://twitter.com/lilvinicinho")</f>
        <v>https://twitter.com/lilvinicinho</v>
      </c>
      <c r="BP484" s="2"/>
    </row>
    <row r="485" spans="1:68" x14ac:dyDescent="0.25">
      <c r="A485" s="62" t="s">
        <v>682</v>
      </c>
      <c r="B485" s="63"/>
      <c r="C485" s="63"/>
      <c r="D485" s="64"/>
      <c r="E485" s="66"/>
      <c r="F485" s="102" t="str">
        <f>HYPERLINK("https://pbs.twimg.com/profile_images/1616074643361628160/hq2agbXd_normal.png")</f>
        <v>https://pbs.twimg.com/profile_images/1616074643361628160/hq2agbXd_normal.png</v>
      </c>
      <c r="G485" s="63"/>
      <c r="H485" s="67"/>
      <c r="I485" s="68"/>
      <c r="J485" s="68"/>
      <c r="K485" s="67" t="s">
        <v>25419</v>
      </c>
      <c r="L485" s="71"/>
      <c r="M485" s="72"/>
      <c r="N485" s="72"/>
      <c r="O485" s="73"/>
      <c r="P485" s="74"/>
      <c r="Q485" s="74"/>
      <c r="R485" s="86"/>
      <c r="S485" s="86"/>
      <c r="T485" s="86"/>
      <c r="U485" s="86"/>
      <c r="V485" s="48"/>
      <c r="W485" s="48"/>
      <c r="X485" s="48"/>
      <c r="Y485" s="48"/>
      <c r="Z485" s="47"/>
      <c r="AA485" s="69">
        <v>485</v>
      </c>
      <c r="AB485" s="69"/>
      <c r="AC485" s="70"/>
      <c r="AD485" s="76" t="s">
        <v>22287</v>
      </c>
      <c r="AE485" s="81" t="s">
        <v>21356</v>
      </c>
      <c r="AF485" s="76">
        <v>20</v>
      </c>
      <c r="AG485" s="76">
        <v>159</v>
      </c>
      <c r="AH485" s="76">
        <v>452</v>
      </c>
      <c r="AI485" s="76">
        <v>0</v>
      </c>
      <c r="AJ485" s="76">
        <v>128</v>
      </c>
      <c r="AK485" s="76">
        <v>401</v>
      </c>
      <c r="AL485" s="76" t="b">
        <v>0</v>
      </c>
      <c r="AM485" s="78">
        <v>44694.806319444448</v>
      </c>
      <c r="AN485" s="76"/>
      <c r="AO485" s="76" t="s">
        <v>23760</v>
      </c>
      <c r="AP485" s="83" t="str">
        <f>HYPERLINK("https://t.co/4L5bzijXyu")</f>
        <v>https://t.co/4L5bzijXyu</v>
      </c>
      <c r="AQ485" s="83" t="str">
        <f>HYPERLINK("https://mycollection.shop/games.light")</f>
        <v>https://mycollection.shop/games.light</v>
      </c>
      <c r="AR485" s="76" t="s">
        <v>24514</v>
      </c>
      <c r="AS485" s="76"/>
      <c r="AT485" s="76"/>
      <c r="AU485" s="76"/>
      <c r="AV485" s="76">
        <v>1.6948730871314099E+18</v>
      </c>
      <c r="AW485" s="83" t="str">
        <f>HYPERLINK("https://t.co/4L5bzijXyu")</f>
        <v>https://t.co/4L5bzijXyu</v>
      </c>
      <c r="AX485" s="76" t="b">
        <v>0</v>
      </c>
      <c r="AY485" s="76"/>
      <c r="AZ485" s="76"/>
      <c r="BA485" s="76" t="b">
        <v>0</v>
      </c>
      <c r="BB485" s="76" t="b">
        <v>1</v>
      </c>
      <c r="BC485" s="76" t="b">
        <v>1</v>
      </c>
      <c r="BD485" s="76" t="b">
        <v>0</v>
      </c>
      <c r="BE485" s="76" t="b">
        <v>0</v>
      </c>
      <c r="BF485" s="76" t="b">
        <v>0</v>
      </c>
      <c r="BG485" s="76" t="b">
        <v>0</v>
      </c>
      <c r="BH485" s="83" t="str">
        <f>HYPERLINK("https://pbs.twimg.com/profile_banners/1525194394193772546/1669432696")</f>
        <v>https://pbs.twimg.com/profile_banners/1525194394193772546/1669432696</v>
      </c>
      <c r="BI485" s="76"/>
      <c r="BJ485" s="76" t="s">
        <v>24935</v>
      </c>
      <c r="BK485" s="76" t="b">
        <v>0</v>
      </c>
      <c r="BL485" s="76"/>
      <c r="BM485" s="76" t="s">
        <v>66</v>
      </c>
      <c r="BN485" s="76" t="s">
        <v>24937</v>
      </c>
      <c r="BO485" s="83" t="str">
        <f>HYPERLINK("https://twitter.com/games_light2004")</f>
        <v>https://twitter.com/games_light2004</v>
      </c>
      <c r="BP485" s="2"/>
    </row>
    <row r="486" spans="1:68" x14ac:dyDescent="0.25">
      <c r="A486" s="62" t="s">
        <v>683</v>
      </c>
      <c r="B486" s="63"/>
      <c r="C486" s="63"/>
      <c r="D486" s="64"/>
      <c r="E486" s="66"/>
      <c r="F486" s="102" t="str">
        <f>HYPERLINK("https://pbs.twimg.com/profile_images/1681315730644668418/LoPhPzv0_normal.jpg")</f>
        <v>https://pbs.twimg.com/profile_images/1681315730644668418/LoPhPzv0_normal.jpg</v>
      </c>
      <c r="G486" s="63"/>
      <c r="H486" s="67"/>
      <c r="I486" s="68"/>
      <c r="J486" s="68"/>
      <c r="K486" s="67" t="s">
        <v>25420</v>
      </c>
      <c r="L486" s="71"/>
      <c r="M486" s="72"/>
      <c r="N486" s="72"/>
      <c r="O486" s="73"/>
      <c r="P486" s="74"/>
      <c r="Q486" s="74"/>
      <c r="R486" s="86"/>
      <c r="S486" s="86"/>
      <c r="T486" s="86"/>
      <c r="U486" s="86"/>
      <c r="V486" s="48"/>
      <c r="W486" s="48"/>
      <c r="X486" s="48"/>
      <c r="Y486" s="48"/>
      <c r="Z486" s="47"/>
      <c r="AA486" s="69">
        <v>486</v>
      </c>
      <c r="AB486" s="69"/>
      <c r="AC486" s="70"/>
      <c r="AD486" s="76" t="s">
        <v>22288</v>
      </c>
      <c r="AE486" s="81" t="s">
        <v>21357</v>
      </c>
      <c r="AF486" s="76">
        <v>25</v>
      </c>
      <c r="AG486" s="76">
        <v>42</v>
      </c>
      <c r="AH486" s="76">
        <v>82</v>
      </c>
      <c r="AI486" s="76">
        <v>0</v>
      </c>
      <c r="AJ486" s="76">
        <v>29</v>
      </c>
      <c r="AK486" s="76">
        <v>21</v>
      </c>
      <c r="AL486" s="76" t="b">
        <v>0</v>
      </c>
      <c r="AM486" s="78">
        <v>45125.61755787037</v>
      </c>
      <c r="AN486" s="76"/>
      <c r="AO486" s="76" t="s">
        <v>23761</v>
      </c>
      <c r="AP486" s="76"/>
      <c r="AQ486" s="76"/>
      <c r="AR486" s="76"/>
      <c r="AS486" s="76"/>
      <c r="AT486" s="76"/>
      <c r="AU486" s="76"/>
      <c r="AV486" s="76"/>
      <c r="AW486" s="76"/>
      <c r="AX486" s="76" t="b">
        <v>0</v>
      </c>
      <c r="AY486" s="76"/>
      <c r="AZ486" s="76"/>
      <c r="BA486" s="76" t="b">
        <v>0</v>
      </c>
      <c r="BB486" s="76" t="b">
        <v>1</v>
      </c>
      <c r="BC486" s="76" t="b">
        <v>1</v>
      </c>
      <c r="BD486" s="76" t="b">
        <v>0</v>
      </c>
      <c r="BE486" s="76" t="b">
        <v>0</v>
      </c>
      <c r="BF486" s="76" t="b">
        <v>0</v>
      </c>
      <c r="BG486" s="76" t="b">
        <v>0</v>
      </c>
      <c r="BH486" s="83" t="str">
        <f>HYPERLINK("https://pbs.twimg.com/profile_banners/1681315016220491777/1689692934")</f>
        <v>https://pbs.twimg.com/profile_banners/1681315016220491777/1689692934</v>
      </c>
      <c r="BI486" s="76"/>
      <c r="BJ486" s="76" t="s">
        <v>24935</v>
      </c>
      <c r="BK486" s="76" t="b">
        <v>0</v>
      </c>
      <c r="BL486" s="76"/>
      <c r="BM486" s="76" t="s">
        <v>66</v>
      </c>
      <c r="BN486" s="76" t="s">
        <v>24937</v>
      </c>
      <c r="BO486" s="83" t="str">
        <f>HYPERLINK("https://twitter.com/havertzkayan")</f>
        <v>https://twitter.com/havertzkayan</v>
      </c>
      <c r="BP486" s="2"/>
    </row>
    <row r="487" spans="1:68" x14ac:dyDescent="0.25">
      <c r="A487" s="62" t="s">
        <v>684</v>
      </c>
      <c r="B487" s="63"/>
      <c r="C487" s="63"/>
      <c r="D487" s="64"/>
      <c r="E487" s="66"/>
      <c r="F487" s="102" t="str">
        <f>HYPERLINK("https://pbs.twimg.com/profile_images/1685648019327266817/L01txIgT_normal.jpg")</f>
        <v>https://pbs.twimg.com/profile_images/1685648019327266817/L01txIgT_normal.jpg</v>
      </c>
      <c r="G487" s="63"/>
      <c r="H487" s="67"/>
      <c r="I487" s="68"/>
      <c r="J487" s="68"/>
      <c r="K487" s="67" t="s">
        <v>25421</v>
      </c>
      <c r="L487" s="71"/>
      <c r="M487" s="72"/>
      <c r="N487" s="72"/>
      <c r="O487" s="73"/>
      <c r="P487" s="74"/>
      <c r="Q487" s="74"/>
      <c r="R487" s="86"/>
      <c r="S487" s="86"/>
      <c r="T487" s="86"/>
      <c r="U487" s="86"/>
      <c r="V487" s="48"/>
      <c r="W487" s="48"/>
      <c r="X487" s="48"/>
      <c r="Y487" s="48"/>
      <c r="Z487" s="47"/>
      <c r="AA487" s="69">
        <v>487</v>
      </c>
      <c r="AB487" s="69"/>
      <c r="AC487" s="70"/>
      <c r="AD487" s="76" t="s">
        <v>22289</v>
      </c>
      <c r="AE487" s="81" t="s">
        <v>21358</v>
      </c>
      <c r="AF487" s="76">
        <v>12</v>
      </c>
      <c r="AG487" s="76">
        <v>196</v>
      </c>
      <c r="AH487" s="76">
        <v>97</v>
      </c>
      <c r="AI487" s="76">
        <v>0</v>
      </c>
      <c r="AJ487" s="76">
        <v>0</v>
      </c>
      <c r="AK487" s="76">
        <v>28</v>
      </c>
      <c r="AL487" s="76" t="b">
        <v>0</v>
      </c>
      <c r="AM487" s="78">
        <v>45092.544236111113</v>
      </c>
      <c r="AN487" s="76"/>
      <c r="AO487" s="76" t="s">
        <v>23762</v>
      </c>
      <c r="AP487" s="83" t="str">
        <f>HYPERLINK("https://t.co/xXjsOCbIlq")</f>
        <v>https://t.co/xXjsOCbIlq</v>
      </c>
      <c r="AQ487" s="83" t="str">
        <f>HYPERLINK("https://www.riorush.com/register/4UxzTDe3CWU")</f>
        <v>https://www.riorush.com/register/4UxzTDe3CWU</v>
      </c>
      <c r="AR487" s="76" t="s">
        <v>24515</v>
      </c>
      <c r="AS487" s="76"/>
      <c r="AT487" s="76"/>
      <c r="AU487" s="76"/>
      <c r="AV487" s="76"/>
      <c r="AW487" s="83" t="str">
        <f>HYPERLINK("https://t.co/xXjsOCbIlq")</f>
        <v>https://t.co/xXjsOCbIlq</v>
      </c>
      <c r="AX487" s="76" t="b">
        <v>0</v>
      </c>
      <c r="AY487" s="76"/>
      <c r="AZ487" s="76"/>
      <c r="BA487" s="76" t="b">
        <v>0</v>
      </c>
      <c r="BB487" s="76" t="b">
        <v>0</v>
      </c>
      <c r="BC487" s="76" t="b">
        <v>1</v>
      </c>
      <c r="BD487" s="76" t="b">
        <v>0</v>
      </c>
      <c r="BE487" s="76" t="b">
        <v>0</v>
      </c>
      <c r="BF487" s="76" t="b">
        <v>0</v>
      </c>
      <c r="BG487" s="76" t="b">
        <v>1</v>
      </c>
      <c r="BH487" s="83" t="str">
        <f>HYPERLINK("https://pbs.twimg.com/profile_banners/1669329776870412293/1690724802")</f>
        <v>https://pbs.twimg.com/profile_banners/1669329776870412293/1690724802</v>
      </c>
      <c r="BI487" s="76"/>
      <c r="BJ487" s="76" t="s">
        <v>24935</v>
      </c>
      <c r="BK487" s="76" t="b">
        <v>0</v>
      </c>
      <c r="BL487" s="76"/>
      <c r="BM487" s="76" t="s">
        <v>66</v>
      </c>
      <c r="BN487" s="76" t="s">
        <v>24937</v>
      </c>
      <c r="BO487" s="83" t="str">
        <f>HYPERLINK("https://twitter.com/hisndkidj")</f>
        <v>https://twitter.com/hisndkidj</v>
      </c>
      <c r="BP487" s="2"/>
    </row>
    <row r="488" spans="1:68" x14ac:dyDescent="0.25">
      <c r="A488" s="62" t="s">
        <v>685</v>
      </c>
      <c r="B488" s="63"/>
      <c r="C488" s="63"/>
      <c r="D488" s="64"/>
      <c r="E488" s="66"/>
      <c r="F488" s="102" t="str">
        <f>HYPERLINK("https://pbs.twimg.com/profile_images/1670553580242124803/F9JGG6tb_normal.jpg")</f>
        <v>https://pbs.twimg.com/profile_images/1670553580242124803/F9JGG6tb_normal.jpg</v>
      </c>
      <c r="G488" s="63"/>
      <c r="H488" s="67"/>
      <c r="I488" s="68"/>
      <c r="J488" s="68"/>
      <c r="K488" s="67" t="s">
        <v>25422</v>
      </c>
      <c r="L488" s="71"/>
      <c r="M488" s="72"/>
      <c r="N488" s="72"/>
      <c r="O488" s="73"/>
      <c r="P488" s="74"/>
      <c r="Q488" s="74"/>
      <c r="R488" s="86"/>
      <c r="S488" s="86"/>
      <c r="T488" s="86"/>
      <c r="U488" s="86"/>
      <c r="V488" s="48"/>
      <c r="W488" s="48"/>
      <c r="X488" s="48"/>
      <c r="Y488" s="48"/>
      <c r="Z488" s="47"/>
      <c r="AA488" s="69">
        <v>488</v>
      </c>
      <c r="AB488" s="69"/>
      <c r="AC488" s="70"/>
      <c r="AD488" s="76" t="s">
        <v>22290</v>
      </c>
      <c r="AE488" s="81" t="s">
        <v>22951</v>
      </c>
      <c r="AF488" s="76">
        <v>2</v>
      </c>
      <c r="AG488" s="76">
        <v>3</v>
      </c>
      <c r="AH488" s="76">
        <v>635</v>
      </c>
      <c r="AI488" s="76">
        <v>0</v>
      </c>
      <c r="AJ488" s="76">
        <v>200</v>
      </c>
      <c r="AK488" s="76">
        <v>77</v>
      </c>
      <c r="AL488" s="76" t="b">
        <v>0</v>
      </c>
      <c r="AM488" s="78">
        <v>41500.604016203702</v>
      </c>
      <c r="AN488" s="76"/>
      <c r="AO488" s="76" t="s">
        <v>23763</v>
      </c>
      <c r="AP488" s="83" t="str">
        <f>HYPERLINK("https://t.co/F9ZCrC5erp")</f>
        <v>https://t.co/F9ZCrC5erp</v>
      </c>
      <c r="AQ488" s="83" t="str">
        <f>HYPERLINK("https://bit.ly/sinaisaviatorvip")</f>
        <v>https://bit.ly/sinaisaviatorvip</v>
      </c>
      <c r="AR488" s="76" t="s">
        <v>24516</v>
      </c>
      <c r="AS488" s="76"/>
      <c r="AT488" s="76"/>
      <c r="AU488" s="76"/>
      <c r="AV488" s="76"/>
      <c r="AW488" s="83" t="str">
        <f>HYPERLINK("https://t.co/F9ZCrC5erp")</f>
        <v>https://t.co/F9ZCrC5erp</v>
      </c>
      <c r="AX488" s="76" t="b">
        <v>0</v>
      </c>
      <c r="AY488" s="76"/>
      <c r="AZ488" s="76"/>
      <c r="BA488" s="76" t="b">
        <v>0</v>
      </c>
      <c r="BB488" s="76" t="b">
        <v>1</v>
      </c>
      <c r="BC488" s="76" t="b">
        <v>0</v>
      </c>
      <c r="BD488" s="76" t="b">
        <v>0</v>
      </c>
      <c r="BE488" s="76" t="b">
        <v>0</v>
      </c>
      <c r="BF488" s="76" t="b">
        <v>0</v>
      </c>
      <c r="BG488" s="76" t="b">
        <v>0</v>
      </c>
      <c r="BH488" s="76"/>
      <c r="BI488" s="76"/>
      <c r="BJ488" s="76" t="s">
        <v>24935</v>
      </c>
      <c r="BK488" s="76" t="b">
        <v>0</v>
      </c>
      <c r="BL488" s="76"/>
      <c r="BM488" s="76" t="s">
        <v>66</v>
      </c>
      <c r="BN488" s="76" t="s">
        <v>24937</v>
      </c>
      <c r="BO488" s="83" t="str">
        <f>HYPERLINK("https://twitter.com/admsupremo01")</f>
        <v>https://twitter.com/admsupremo01</v>
      </c>
      <c r="BP488" s="2"/>
    </row>
    <row r="489" spans="1:68" x14ac:dyDescent="0.25">
      <c r="A489" s="62" t="s">
        <v>686</v>
      </c>
      <c r="B489" s="63"/>
      <c r="C489" s="63"/>
      <c r="D489" s="64"/>
      <c r="E489" s="66"/>
      <c r="F489" s="102" t="str">
        <f>HYPERLINK("https://pbs.twimg.com/profile_images/1483598202045669378/kE7hQQud_normal.png")</f>
        <v>https://pbs.twimg.com/profile_images/1483598202045669378/kE7hQQud_normal.png</v>
      </c>
      <c r="G489" s="63"/>
      <c r="H489" s="67"/>
      <c r="I489" s="68"/>
      <c r="J489" s="68"/>
      <c r="K489" s="67" t="s">
        <v>25423</v>
      </c>
      <c r="L489" s="71"/>
      <c r="M489" s="72"/>
      <c r="N489" s="72"/>
      <c r="O489" s="73"/>
      <c r="P489" s="74"/>
      <c r="Q489" s="74"/>
      <c r="R489" s="86"/>
      <c r="S489" s="86"/>
      <c r="T489" s="86"/>
      <c r="U489" s="86"/>
      <c r="V489" s="48"/>
      <c r="W489" s="48"/>
      <c r="X489" s="48"/>
      <c r="Y489" s="48"/>
      <c r="Z489" s="47"/>
      <c r="AA489" s="69">
        <v>489</v>
      </c>
      <c r="AB489" s="69"/>
      <c r="AC489" s="70"/>
      <c r="AD489" s="76" t="s">
        <v>22291</v>
      </c>
      <c r="AE489" s="81" t="s">
        <v>22952</v>
      </c>
      <c r="AF489" s="76">
        <v>13023</v>
      </c>
      <c r="AG489" s="76">
        <v>11069</v>
      </c>
      <c r="AH489" s="76">
        <v>389903</v>
      </c>
      <c r="AI489" s="76">
        <v>12</v>
      </c>
      <c r="AJ489" s="76">
        <v>11</v>
      </c>
      <c r="AK489" s="76">
        <v>28539</v>
      </c>
      <c r="AL489" s="76" t="b">
        <v>0</v>
      </c>
      <c r="AM489" s="78">
        <v>40157.133263888885</v>
      </c>
      <c r="AN489" s="76" t="s">
        <v>23211</v>
      </c>
      <c r="AO489" s="76" t="s">
        <v>23764</v>
      </c>
      <c r="AP489" s="83" t="str">
        <f>HYPERLINK("https://t.co/NWcHFEIl34")</f>
        <v>https://t.co/NWcHFEIl34</v>
      </c>
      <c r="AQ489" s="83" t="str">
        <f>HYPERLINK("https://bit.ly/3AeOF65")</f>
        <v>https://bit.ly/3AeOF65</v>
      </c>
      <c r="AR489" s="76" t="s">
        <v>24517</v>
      </c>
      <c r="AS489" s="83" t="str">
        <f>HYPERLINK("http://t.co/NWcHFEIl34")</f>
        <v>http://t.co/NWcHFEIl34</v>
      </c>
      <c r="AT489" s="83" t="str">
        <f>HYPERLINK("https://bit.ly/3AeOF65")</f>
        <v>https://bit.ly/3AeOF65</v>
      </c>
      <c r="AU489" s="76" t="s">
        <v>24517</v>
      </c>
      <c r="AV489" s="76">
        <v>1.57520344534653E+18</v>
      </c>
      <c r="AW489" s="83" t="str">
        <f>HYPERLINK("https://t.co/NWcHFEIl34")</f>
        <v>https://t.co/NWcHFEIl34</v>
      </c>
      <c r="AX489" s="76" t="b">
        <v>0</v>
      </c>
      <c r="AY489" s="76"/>
      <c r="AZ489" s="76"/>
      <c r="BA489" s="76" t="b">
        <v>0</v>
      </c>
      <c r="BB489" s="76" t="b">
        <v>0</v>
      </c>
      <c r="BC489" s="76" t="b">
        <v>0</v>
      </c>
      <c r="BD489" s="76" t="b">
        <v>0</v>
      </c>
      <c r="BE489" s="76" t="b">
        <v>0</v>
      </c>
      <c r="BF489" s="76" t="b">
        <v>0</v>
      </c>
      <c r="BG489" s="76" t="b">
        <v>0</v>
      </c>
      <c r="BH489" s="83" t="str">
        <f>HYPERLINK("https://pbs.twimg.com/profile_banners/95810074/1642598944")</f>
        <v>https://pbs.twimg.com/profile_banners/95810074/1642598944</v>
      </c>
      <c r="BI489" s="76"/>
      <c r="BJ489" s="76" t="s">
        <v>24935</v>
      </c>
      <c r="BK489" s="76" t="b">
        <v>0</v>
      </c>
      <c r="BL489" s="76"/>
      <c r="BM489" s="76" t="s">
        <v>66</v>
      </c>
      <c r="BN489" s="76" t="s">
        <v>24937</v>
      </c>
      <c r="BO489" s="83" t="str">
        <f>HYPERLINK("https://twitter.com/exnessportugues")</f>
        <v>https://twitter.com/exnessportugues</v>
      </c>
      <c r="BP489" s="2"/>
    </row>
    <row r="490" spans="1:68" x14ac:dyDescent="0.25">
      <c r="A490" s="62" t="s">
        <v>687</v>
      </c>
      <c r="B490" s="63"/>
      <c r="C490" s="63"/>
      <c r="D490" s="64"/>
      <c r="E490" s="66"/>
      <c r="F490" s="102" t="str">
        <f>HYPERLINK("https://pbs.twimg.com/profile_images/639965792449241089/A56q7ttN_normal.jpg")</f>
        <v>https://pbs.twimg.com/profile_images/639965792449241089/A56q7ttN_normal.jpg</v>
      </c>
      <c r="G490" s="63"/>
      <c r="H490" s="67"/>
      <c r="I490" s="68"/>
      <c r="J490" s="68"/>
      <c r="K490" s="67" t="s">
        <v>25424</v>
      </c>
      <c r="L490" s="71"/>
      <c r="M490" s="72"/>
      <c r="N490" s="72"/>
      <c r="O490" s="73"/>
      <c r="P490" s="74"/>
      <c r="Q490" s="74"/>
      <c r="R490" s="86"/>
      <c r="S490" s="86"/>
      <c r="T490" s="86"/>
      <c r="U490" s="86"/>
      <c r="V490" s="48"/>
      <c r="W490" s="48"/>
      <c r="X490" s="48"/>
      <c r="Y490" s="48"/>
      <c r="Z490" s="47"/>
      <c r="AA490" s="69">
        <v>490</v>
      </c>
      <c r="AB490" s="69"/>
      <c r="AC490" s="70"/>
      <c r="AD490" s="76" t="s">
        <v>22292</v>
      </c>
      <c r="AE490" s="81" t="s">
        <v>22953</v>
      </c>
      <c r="AF490" s="76">
        <v>1306</v>
      </c>
      <c r="AG490" s="76">
        <v>2431</v>
      </c>
      <c r="AH490" s="76">
        <v>87083</v>
      </c>
      <c r="AI490" s="76">
        <v>4</v>
      </c>
      <c r="AJ490" s="76">
        <v>834</v>
      </c>
      <c r="AK490" s="76">
        <v>86132</v>
      </c>
      <c r="AL490" s="76" t="b">
        <v>0</v>
      </c>
      <c r="AM490" s="78">
        <v>41721.133402777778</v>
      </c>
      <c r="AN490" s="76"/>
      <c r="AO490" s="76"/>
      <c r="AP490" s="83" t="str">
        <f>HYPERLINK("https://t.co/zlctwllIOQ")</f>
        <v>https://t.co/zlctwllIOQ</v>
      </c>
      <c r="AQ490" s="83" t="str">
        <f>HYPERLINK("https://epayapp.com.br?t=30")</f>
        <v>https://epayapp.com.br?t=30</v>
      </c>
      <c r="AR490" s="76" t="s">
        <v>24518</v>
      </c>
      <c r="AS490" s="76"/>
      <c r="AT490" s="76"/>
      <c r="AU490" s="76"/>
      <c r="AV490" s="76">
        <v>1.17213389074141E+18</v>
      </c>
      <c r="AW490" s="83" t="str">
        <f>HYPERLINK("https://t.co/zlctwllIOQ")</f>
        <v>https://t.co/zlctwllIOQ</v>
      </c>
      <c r="AX490" s="76" t="b">
        <v>0</v>
      </c>
      <c r="AY490" s="76"/>
      <c r="AZ490" s="76"/>
      <c r="BA490" s="76" t="b">
        <v>0</v>
      </c>
      <c r="BB490" s="76" t="b">
        <v>1</v>
      </c>
      <c r="BC490" s="76" t="b">
        <v>1</v>
      </c>
      <c r="BD490" s="76" t="b">
        <v>0</v>
      </c>
      <c r="BE490" s="76" t="b">
        <v>0</v>
      </c>
      <c r="BF490" s="76" t="b">
        <v>0</v>
      </c>
      <c r="BG490" s="76" t="b">
        <v>0</v>
      </c>
      <c r="BH490" s="83" t="str">
        <f>HYPERLINK("https://pbs.twimg.com/profile_banners/2405770310/1542999387")</f>
        <v>https://pbs.twimg.com/profile_banners/2405770310/1542999387</v>
      </c>
      <c r="BI490" s="76"/>
      <c r="BJ490" s="76" t="s">
        <v>24935</v>
      </c>
      <c r="BK490" s="76" t="b">
        <v>0</v>
      </c>
      <c r="BL490" s="76"/>
      <c r="BM490" s="76" t="s">
        <v>66</v>
      </c>
      <c r="BN490" s="76" t="s">
        <v>24937</v>
      </c>
      <c r="BO490" s="83" t="str">
        <f>HYPERLINK("https://twitter.com/ganharcerto")</f>
        <v>https://twitter.com/ganharcerto</v>
      </c>
      <c r="BP490" s="2"/>
    </row>
    <row r="491" spans="1:68" x14ac:dyDescent="0.25">
      <c r="A491" s="62" t="s">
        <v>688</v>
      </c>
      <c r="B491" s="63"/>
      <c r="C491" s="63"/>
      <c r="D491" s="64"/>
      <c r="E491" s="66"/>
      <c r="F491" s="102" t="str">
        <f>HYPERLINK("https://pbs.twimg.com/profile_images/1586358820015579137/9quPOy_8_normal.jpg")</f>
        <v>https://pbs.twimg.com/profile_images/1586358820015579137/9quPOy_8_normal.jpg</v>
      </c>
      <c r="G491" s="63"/>
      <c r="H491" s="67"/>
      <c r="I491" s="68"/>
      <c r="J491" s="68"/>
      <c r="K491" s="67" t="s">
        <v>25425</v>
      </c>
      <c r="L491" s="71"/>
      <c r="M491" s="72"/>
      <c r="N491" s="72"/>
      <c r="O491" s="73"/>
      <c r="P491" s="74"/>
      <c r="Q491" s="74"/>
      <c r="R491" s="86"/>
      <c r="S491" s="86"/>
      <c r="T491" s="86"/>
      <c r="U491" s="86"/>
      <c r="V491" s="48"/>
      <c r="W491" s="48"/>
      <c r="X491" s="48"/>
      <c r="Y491" s="48"/>
      <c r="Z491" s="47"/>
      <c r="AA491" s="69">
        <v>491</v>
      </c>
      <c r="AB491" s="69"/>
      <c r="AC491" s="70"/>
      <c r="AD491" s="76" t="s">
        <v>22293</v>
      </c>
      <c r="AE491" s="81" t="s">
        <v>21359</v>
      </c>
      <c r="AF491" s="76">
        <v>5</v>
      </c>
      <c r="AG491" s="76">
        <v>25</v>
      </c>
      <c r="AH491" s="76">
        <v>66</v>
      </c>
      <c r="AI491" s="76">
        <v>0</v>
      </c>
      <c r="AJ491" s="76">
        <v>41</v>
      </c>
      <c r="AK491" s="76">
        <v>52</v>
      </c>
      <c r="AL491" s="76" t="b">
        <v>0</v>
      </c>
      <c r="AM491" s="78">
        <v>44863.587256944447</v>
      </c>
      <c r="AN491" s="76" t="s">
        <v>23212</v>
      </c>
      <c r="AO491" s="76" t="s">
        <v>23765</v>
      </c>
      <c r="AP491" s="83" t="str">
        <f>HYPERLINK("https://t.co/ZmXd0tjnYW")</f>
        <v>https://t.co/ZmXd0tjnYW</v>
      </c>
      <c r="AQ491" s="83" t="str">
        <f>HYPERLINK("https://bianca-goncalvesdesouza.kpages.online/minicursocaixapreta")</f>
        <v>https://bianca-goncalvesdesouza.kpages.online/minicursocaixapreta</v>
      </c>
      <c r="AR491" s="76" t="s">
        <v>24519</v>
      </c>
      <c r="AS491" s="76"/>
      <c r="AT491" s="76"/>
      <c r="AU491" s="76"/>
      <c r="AV491" s="76"/>
      <c r="AW491" s="83" t="str">
        <f>HYPERLINK("https://t.co/ZmXd0tjnYW")</f>
        <v>https://t.co/ZmXd0tjnYW</v>
      </c>
      <c r="AX491" s="76" t="b">
        <v>0</v>
      </c>
      <c r="AY491" s="76"/>
      <c r="AZ491" s="76"/>
      <c r="BA491" s="76" t="b">
        <v>0</v>
      </c>
      <c r="BB491" s="76" t="b">
        <v>1</v>
      </c>
      <c r="BC491" s="76" t="b">
        <v>1</v>
      </c>
      <c r="BD491" s="76" t="b">
        <v>0</v>
      </c>
      <c r="BE491" s="76" t="b">
        <v>0</v>
      </c>
      <c r="BF491" s="76" t="b">
        <v>0</v>
      </c>
      <c r="BG491" s="76" t="b">
        <v>0</v>
      </c>
      <c r="BH491" s="76"/>
      <c r="BI491" s="76"/>
      <c r="BJ491" s="76" t="s">
        <v>24935</v>
      </c>
      <c r="BK491" s="76" t="b">
        <v>0</v>
      </c>
      <c r="BL491" s="76"/>
      <c r="BM491" s="76" t="s">
        <v>66</v>
      </c>
      <c r="BN491" s="76" t="s">
        <v>24937</v>
      </c>
      <c r="BO491" s="83" t="str">
        <f>HYPERLINK("https://twitter.com/biailluminati")</f>
        <v>https://twitter.com/biailluminati</v>
      </c>
      <c r="BP491" s="2"/>
    </row>
    <row r="492" spans="1:68" x14ac:dyDescent="0.25">
      <c r="A492" s="62" t="s">
        <v>689</v>
      </c>
      <c r="B492" s="63"/>
      <c r="C492" s="63"/>
      <c r="D492" s="64"/>
      <c r="E492" s="66"/>
      <c r="F492" s="102" t="str">
        <f>HYPERLINK("https://pbs.twimg.com/profile_images/1704885893306130433/bGPPLxbd_normal.jpg")</f>
        <v>https://pbs.twimg.com/profile_images/1704885893306130433/bGPPLxbd_normal.jpg</v>
      </c>
      <c r="G492" s="63"/>
      <c r="H492" s="67"/>
      <c r="I492" s="68"/>
      <c r="J492" s="68"/>
      <c r="K492" s="67" t="s">
        <v>25426</v>
      </c>
      <c r="L492" s="71"/>
      <c r="M492" s="72"/>
      <c r="N492" s="72"/>
      <c r="O492" s="73"/>
      <c r="P492" s="74"/>
      <c r="Q492" s="74"/>
      <c r="R492" s="86"/>
      <c r="S492" s="86"/>
      <c r="T492" s="86"/>
      <c r="U492" s="86"/>
      <c r="V492" s="48"/>
      <c r="W492" s="48"/>
      <c r="X492" s="48"/>
      <c r="Y492" s="48"/>
      <c r="Z492" s="47"/>
      <c r="AA492" s="69">
        <v>492</v>
      </c>
      <c r="AB492" s="69"/>
      <c r="AC492" s="70"/>
      <c r="AD492" s="76" t="s">
        <v>22294</v>
      </c>
      <c r="AE492" s="81" t="s">
        <v>21360</v>
      </c>
      <c r="AF492" s="76">
        <v>0</v>
      </c>
      <c r="AG492" s="76">
        <v>9</v>
      </c>
      <c r="AH492" s="76">
        <v>3</v>
      </c>
      <c r="AI492" s="76">
        <v>0</v>
      </c>
      <c r="AJ492" s="76">
        <v>0</v>
      </c>
      <c r="AK492" s="76">
        <v>1</v>
      </c>
      <c r="AL492" s="76" t="b">
        <v>0</v>
      </c>
      <c r="AM492" s="78">
        <v>44740.978888888887</v>
      </c>
      <c r="AN492" s="76"/>
      <c r="AO492" s="76" t="s">
        <v>23766</v>
      </c>
      <c r="AP492" s="83" t="str">
        <f>HYPERLINK("https://t.co/neezzBrzeD")</f>
        <v>https://t.co/neezzBrzeD</v>
      </c>
      <c r="AQ492" s="83" t="str">
        <f>HYPERLINK("https://bit.ly/packsojonathanpro")</f>
        <v>https://bit.ly/packsojonathanpro</v>
      </c>
      <c r="AR492" s="76" t="s">
        <v>24520</v>
      </c>
      <c r="AS492" s="76"/>
      <c r="AT492" s="76"/>
      <c r="AU492" s="76"/>
      <c r="AV492" s="76"/>
      <c r="AW492" s="83" t="str">
        <f>HYPERLINK("https://t.co/neezzBrzeD")</f>
        <v>https://t.co/neezzBrzeD</v>
      </c>
      <c r="AX492" s="76" t="b">
        <v>0</v>
      </c>
      <c r="AY492" s="76"/>
      <c r="AZ492" s="76"/>
      <c r="BA492" s="76" t="b">
        <v>0</v>
      </c>
      <c r="BB492" s="76" t="b">
        <v>1</v>
      </c>
      <c r="BC492" s="76" t="b">
        <v>1</v>
      </c>
      <c r="BD492" s="76" t="b">
        <v>0</v>
      </c>
      <c r="BE492" s="76" t="b">
        <v>0</v>
      </c>
      <c r="BF492" s="76" t="b">
        <v>0</v>
      </c>
      <c r="BG492" s="76" t="b">
        <v>0</v>
      </c>
      <c r="BH492" s="83" t="str">
        <f>HYPERLINK("https://pbs.twimg.com/profile_banners/1541926707917164545/1695311446")</f>
        <v>https://pbs.twimg.com/profile_banners/1541926707917164545/1695311446</v>
      </c>
      <c r="BI492" s="76"/>
      <c r="BJ492" s="76" t="s">
        <v>24935</v>
      </c>
      <c r="BK492" s="76" t="b">
        <v>0</v>
      </c>
      <c r="BL492" s="76"/>
      <c r="BM492" s="76" t="s">
        <v>66</v>
      </c>
      <c r="BN492" s="76" t="s">
        <v>24937</v>
      </c>
      <c r="BO492" s="83" t="str">
        <f>HYPERLINK("https://twitter.com/jonathanprobr")</f>
        <v>https://twitter.com/jonathanprobr</v>
      </c>
      <c r="BP492" s="2"/>
    </row>
    <row r="493" spans="1:68" x14ac:dyDescent="0.25">
      <c r="A493" s="62" t="s">
        <v>690</v>
      </c>
      <c r="B493" s="63"/>
      <c r="C493" s="63"/>
      <c r="D493" s="64"/>
      <c r="E493" s="66"/>
      <c r="F493" s="102" t="str">
        <f>HYPERLINK("https://pbs.twimg.com/profile_images/1643953772601790467/z6cg6D93_normal.jpg")</f>
        <v>https://pbs.twimg.com/profile_images/1643953772601790467/z6cg6D93_normal.jpg</v>
      </c>
      <c r="G493" s="63"/>
      <c r="H493" s="67"/>
      <c r="I493" s="68"/>
      <c r="J493" s="68"/>
      <c r="K493" s="67" t="s">
        <v>25427</v>
      </c>
      <c r="L493" s="71"/>
      <c r="M493" s="72"/>
      <c r="N493" s="72"/>
      <c r="O493" s="73"/>
      <c r="P493" s="74"/>
      <c r="Q493" s="74"/>
      <c r="R493" s="86"/>
      <c r="S493" s="86"/>
      <c r="T493" s="86"/>
      <c r="U493" s="86"/>
      <c r="V493" s="48"/>
      <c r="W493" s="48"/>
      <c r="X493" s="48"/>
      <c r="Y493" s="48"/>
      <c r="Z493" s="47"/>
      <c r="AA493" s="69">
        <v>493</v>
      </c>
      <c r="AB493" s="69"/>
      <c r="AC493" s="70"/>
      <c r="AD493" s="76" t="s">
        <v>22295</v>
      </c>
      <c r="AE493" s="81" t="s">
        <v>21361</v>
      </c>
      <c r="AF493" s="76">
        <v>6</v>
      </c>
      <c r="AG493" s="76">
        <v>134</v>
      </c>
      <c r="AH493" s="76">
        <v>37</v>
      </c>
      <c r="AI493" s="76">
        <v>0</v>
      </c>
      <c r="AJ493" s="76">
        <v>91</v>
      </c>
      <c r="AK493" s="76">
        <v>8</v>
      </c>
      <c r="AL493" s="76" t="b">
        <v>0</v>
      </c>
      <c r="AM493" s="78">
        <v>44991.485439814816</v>
      </c>
      <c r="AN493" s="76" t="s">
        <v>14052</v>
      </c>
      <c r="AO493" s="76" t="s">
        <v>23767</v>
      </c>
      <c r="AP493" s="76"/>
      <c r="AQ493" s="76"/>
      <c r="AR493" s="76"/>
      <c r="AS493" s="76"/>
      <c r="AT493" s="76"/>
      <c r="AU493" s="76"/>
      <c r="AV493" s="76"/>
      <c r="AW493" s="76"/>
      <c r="AX493" s="76" t="b">
        <v>0</v>
      </c>
      <c r="AY493" s="76"/>
      <c r="AZ493" s="76"/>
      <c r="BA493" s="76" t="b">
        <v>0</v>
      </c>
      <c r="BB493" s="76" t="b">
        <v>1</v>
      </c>
      <c r="BC493" s="76" t="b">
        <v>1</v>
      </c>
      <c r="BD493" s="76" t="b">
        <v>0</v>
      </c>
      <c r="BE493" s="76" t="b">
        <v>0</v>
      </c>
      <c r="BF493" s="76" t="b">
        <v>0</v>
      </c>
      <c r="BG493" s="76" t="b">
        <v>0</v>
      </c>
      <c r="BH493" s="83" t="str">
        <f>HYPERLINK("https://pbs.twimg.com/profile_banners/1632707230091886594/1680784098")</f>
        <v>https://pbs.twimg.com/profile_banners/1632707230091886594/1680784098</v>
      </c>
      <c r="BI493" s="76"/>
      <c r="BJ493" s="76" t="s">
        <v>24935</v>
      </c>
      <c r="BK493" s="76" t="b">
        <v>0</v>
      </c>
      <c r="BL493" s="76"/>
      <c r="BM493" s="76" t="s">
        <v>66</v>
      </c>
      <c r="BN493" s="76" t="s">
        <v>24937</v>
      </c>
      <c r="BO493" s="83" t="str">
        <f>HYPERLINK("https://twitter.com/paulansbeauty")</f>
        <v>https://twitter.com/paulansbeauty</v>
      </c>
      <c r="BP493" s="2"/>
    </row>
    <row r="494" spans="1:68" x14ac:dyDescent="0.25">
      <c r="A494" s="62" t="s">
        <v>691</v>
      </c>
      <c r="B494" s="63"/>
      <c r="C494" s="63"/>
      <c r="D494" s="64"/>
      <c r="E494" s="66"/>
      <c r="F494" s="102" t="str">
        <f>HYPERLINK("https://pbs.twimg.com/profile_images/1590743910602706944/dePRXvyq_normal.jpg")</f>
        <v>https://pbs.twimg.com/profile_images/1590743910602706944/dePRXvyq_normal.jpg</v>
      </c>
      <c r="G494" s="63"/>
      <c r="H494" s="67"/>
      <c r="I494" s="68"/>
      <c r="J494" s="68"/>
      <c r="K494" s="67" t="s">
        <v>25428</v>
      </c>
      <c r="L494" s="71"/>
      <c r="M494" s="72"/>
      <c r="N494" s="72"/>
      <c r="O494" s="73"/>
      <c r="P494" s="74"/>
      <c r="Q494" s="74"/>
      <c r="R494" s="86"/>
      <c r="S494" s="86"/>
      <c r="T494" s="86"/>
      <c r="U494" s="86"/>
      <c r="V494" s="48"/>
      <c r="W494" s="48"/>
      <c r="X494" s="48"/>
      <c r="Y494" s="48"/>
      <c r="Z494" s="47"/>
      <c r="AA494" s="69">
        <v>494</v>
      </c>
      <c r="AB494" s="69"/>
      <c r="AC494" s="70"/>
      <c r="AD494" s="76" t="s">
        <v>22296</v>
      </c>
      <c r="AE494" s="81" t="s">
        <v>21362</v>
      </c>
      <c r="AF494" s="76">
        <v>2</v>
      </c>
      <c r="AG494" s="76">
        <v>0</v>
      </c>
      <c r="AH494" s="76">
        <v>18</v>
      </c>
      <c r="AI494" s="76">
        <v>0</v>
      </c>
      <c r="AJ494" s="76">
        <v>1</v>
      </c>
      <c r="AK494" s="76">
        <v>16</v>
      </c>
      <c r="AL494" s="76" t="b">
        <v>0</v>
      </c>
      <c r="AM494" s="78">
        <v>44874.721134259256</v>
      </c>
      <c r="AN494" s="76"/>
      <c r="AO494" s="76" t="s">
        <v>23768</v>
      </c>
      <c r="AP494" s="83" t="str">
        <f>HYPERLINK("https://t.co/IBw48T08qE")</f>
        <v>https://t.co/IBw48T08qE</v>
      </c>
      <c r="AQ494" s="83" t="str">
        <f>HYPERLINK("https://ingredraisa.com.br/")</f>
        <v>https://ingredraisa.com.br/</v>
      </c>
      <c r="AR494" s="76" t="s">
        <v>24521</v>
      </c>
      <c r="AS494" s="76"/>
      <c r="AT494" s="76"/>
      <c r="AU494" s="76"/>
      <c r="AV494" s="76">
        <v>1.6756375990949399E+18</v>
      </c>
      <c r="AW494" s="83" t="str">
        <f>HYPERLINK("https://t.co/IBw48T08qE")</f>
        <v>https://t.co/IBw48T08qE</v>
      </c>
      <c r="AX494" s="76" t="b">
        <v>0</v>
      </c>
      <c r="AY494" s="76"/>
      <c r="AZ494" s="76"/>
      <c r="BA494" s="76" t="b">
        <v>0</v>
      </c>
      <c r="BB494" s="76" t="b">
        <v>1</v>
      </c>
      <c r="BC494" s="76" t="b">
        <v>1</v>
      </c>
      <c r="BD494" s="76" t="b">
        <v>0</v>
      </c>
      <c r="BE494" s="76" t="b">
        <v>0</v>
      </c>
      <c r="BF494" s="76" t="b">
        <v>0</v>
      </c>
      <c r="BG494" s="76" t="b">
        <v>0</v>
      </c>
      <c r="BH494" s="83" t="str">
        <f>HYPERLINK("https://pbs.twimg.com/profile_banners/1590393303161344000/1668060580")</f>
        <v>https://pbs.twimg.com/profile_banners/1590393303161344000/1668060580</v>
      </c>
      <c r="BI494" s="76"/>
      <c r="BJ494" s="76" t="s">
        <v>24935</v>
      </c>
      <c r="BK494" s="76" t="b">
        <v>0</v>
      </c>
      <c r="BL494" s="76"/>
      <c r="BM494" s="76" t="s">
        <v>66</v>
      </c>
      <c r="BN494" s="76" t="s">
        <v>24937</v>
      </c>
      <c r="BO494" s="83" t="str">
        <f>HYPERLINK("https://twitter.com/raisaingred")</f>
        <v>https://twitter.com/raisaingred</v>
      </c>
      <c r="BP494" s="2"/>
    </row>
    <row r="495" spans="1:68" x14ac:dyDescent="0.25">
      <c r="A495" s="62" t="s">
        <v>692</v>
      </c>
      <c r="B495" s="63"/>
      <c r="C495" s="63"/>
      <c r="D495" s="64"/>
      <c r="E495" s="66"/>
      <c r="F495" s="102" t="str">
        <f>HYPERLINK("https://pbs.twimg.com/profile_images/1699856551161311233/aJOK21P0_normal.jpg")</f>
        <v>https://pbs.twimg.com/profile_images/1699856551161311233/aJOK21P0_normal.jpg</v>
      </c>
      <c r="G495" s="63"/>
      <c r="H495" s="67"/>
      <c r="I495" s="68"/>
      <c r="J495" s="68"/>
      <c r="K495" s="67" t="s">
        <v>25429</v>
      </c>
      <c r="L495" s="71"/>
      <c r="M495" s="72"/>
      <c r="N495" s="72"/>
      <c r="O495" s="73"/>
      <c r="P495" s="74"/>
      <c r="Q495" s="74"/>
      <c r="R495" s="86"/>
      <c r="S495" s="86"/>
      <c r="T495" s="86"/>
      <c r="U495" s="86"/>
      <c r="V495" s="48"/>
      <c r="W495" s="48"/>
      <c r="X495" s="48"/>
      <c r="Y495" s="48"/>
      <c r="Z495" s="47"/>
      <c r="AA495" s="69">
        <v>495</v>
      </c>
      <c r="AB495" s="69"/>
      <c r="AC495" s="70"/>
      <c r="AD495" s="76" t="s">
        <v>22297</v>
      </c>
      <c r="AE495" s="81" t="s">
        <v>21363</v>
      </c>
      <c r="AF495" s="76">
        <v>0</v>
      </c>
      <c r="AG495" s="76">
        <v>1</v>
      </c>
      <c r="AH495" s="76">
        <v>5</v>
      </c>
      <c r="AI495" s="76">
        <v>0</v>
      </c>
      <c r="AJ495" s="76">
        <v>0</v>
      </c>
      <c r="AK495" s="76">
        <v>5</v>
      </c>
      <c r="AL495" s="76" t="b">
        <v>0</v>
      </c>
      <c r="AM495" s="78">
        <v>45176.019976851851</v>
      </c>
      <c r="AN495" s="76"/>
      <c r="AO495" s="76" t="s">
        <v>23769</v>
      </c>
      <c r="AP495" s="83" t="str">
        <f>HYPERLINK("https://t.co/qiKSfrvuwo")</f>
        <v>https://t.co/qiKSfrvuwo</v>
      </c>
      <c r="AQ495" s="83" t="str">
        <f>HYPERLINK("https://bio.site/ovictorwi_")</f>
        <v>https://bio.site/ovictorwi_</v>
      </c>
      <c r="AR495" s="76" t="s">
        <v>24522</v>
      </c>
      <c r="AS495" s="76"/>
      <c r="AT495" s="76"/>
      <c r="AU495" s="76"/>
      <c r="AV495" s="76"/>
      <c r="AW495" s="83" t="str">
        <f>HYPERLINK("https://t.co/qiKSfrvuwo")</f>
        <v>https://t.co/qiKSfrvuwo</v>
      </c>
      <c r="AX495" s="76" t="b">
        <v>0</v>
      </c>
      <c r="AY495" s="76"/>
      <c r="AZ495" s="76"/>
      <c r="BA495" s="76" t="b">
        <v>0</v>
      </c>
      <c r="BB495" s="76" t="b">
        <v>1</v>
      </c>
      <c r="BC495" s="76" t="b">
        <v>1</v>
      </c>
      <c r="BD495" s="76" t="b">
        <v>0</v>
      </c>
      <c r="BE495" s="76" t="b">
        <v>0</v>
      </c>
      <c r="BF495" s="76" t="b">
        <v>0</v>
      </c>
      <c r="BG495" s="76" t="b">
        <v>0</v>
      </c>
      <c r="BH495" s="83" t="str">
        <f>HYPERLINK("https://pbs.twimg.com/profile_banners/1699580346038140929/1694118440")</f>
        <v>https://pbs.twimg.com/profile_banners/1699580346038140929/1694118440</v>
      </c>
      <c r="BI495" s="76"/>
      <c r="BJ495" s="76" t="s">
        <v>24935</v>
      </c>
      <c r="BK495" s="76" t="b">
        <v>0</v>
      </c>
      <c r="BL495" s="76"/>
      <c r="BM495" s="76" t="s">
        <v>66</v>
      </c>
      <c r="BN495" s="76" t="s">
        <v>24937</v>
      </c>
      <c r="BO495" s="83" t="str">
        <f>HYPERLINK("https://twitter.com/oastrowi")</f>
        <v>https://twitter.com/oastrowi</v>
      </c>
      <c r="BP495" s="2"/>
    </row>
    <row r="496" spans="1:68" x14ac:dyDescent="0.25">
      <c r="A496" s="62" t="s">
        <v>693</v>
      </c>
      <c r="B496" s="63"/>
      <c r="C496" s="63"/>
      <c r="D496" s="64"/>
      <c r="E496" s="66"/>
      <c r="F496" s="102" t="str">
        <f>HYPERLINK("https://pbs.twimg.com/profile_images/1049997271872475137/v0eyiOvp_normal.jpg")</f>
        <v>https://pbs.twimg.com/profile_images/1049997271872475137/v0eyiOvp_normal.jpg</v>
      </c>
      <c r="G496" s="63"/>
      <c r="H496" s="67"/>
      <c r="I496" s="68"/>
      <c r="J496" s="68"/>
      <c r="K496" s="67" t="s">
        <v>25430</v>
      </c>
      <c r="L496" s="71"/>
      <c r="M496" s="72"/>
      <c r="N496" s="72"/>
      <c r="O496" s="73"/>
      <c r="P496" s="74"/>
      <c r="Q496" s="74"/>
      <c r="R496" s="86"/>
      <c r="S496" s="86"/>
      <c r="T496" s="86"/>
      <c r="U496" s="86"/>
      <c r="V496" s="48"/>
      <c r="W496" s="48"/>
      <c r="X496" s="48"/>
      <c r="Y496" s="48"/>
      <c r="Z496" s="47"/>
      <c r="AA496" s="69">
        <v>496</v>
      </c>
      <c r="AB496" s="69"/>
      <c r="AC496" s="70"/>
      <c r="AD496" s="76" t="s">
        <v>22298</v>
      </c>
      <c r="AE496" s="81" t="s">
        <v>22954</v>
      </c>
      <c r="AF496" s="76">
        <v>219</v>
      </c>
      <c r="AG496" s="76">
        <v>671</v>
      </c>
      <c r="AH496" s="76">
        <v>240</v>
      </c>
      <c r="AI496" s="76">
        <v>0</v>
      </c>
      <c r="AJ496" s="76">
        <v>160</v>
      </c>
      <c r="AK496" s="76">
        <v>41</v>
      </c>
      <c r="AL496" s="76" t="b">
        <v>0</v>
      </c>
      <c r="AM496" s="78">
        <v>41949.701018518521</v>
      </c>
      <c r="AN496" s="76" t="s">
        <v>23213</v>
      </c>
      <c r="AO496" s="76" t="s">
        <v>23770</v>
      </c>
      <c r="AP496" s="76"/>
      <c r="AQ496" s="76"/>
      <c r="AR496" s="76"/>
      <c r="AS496" s="76"/>
      <c r="AT496" s="76"/>
      <c r="AU496" s="76"/>
      <c r="AV496" s="76"/>
      <c r="AW496" s="76"/>
      <c r="AX496" s="76" t="b">
        <v>0</v>
      </c>
      <c r="AY496" s="76"/>
      <c r="AZ496" s="76"/>
      <c r="BA496" s="76" t="b">
        <v>0</v>
      </c>
      <c r="BB496" s="76" t="b">
        <v>1</v>
      </c>
      <c r="BC496" s="76" t="b">
        <v>1</v>
      </c>
      <c r="BD496" s="76" t="b">
        <v>0</v>
      </c>
      <c r="BE496" s="76" t="b">
        <v>0</v>
      </c>
      <c r="BF496" s="76" t="b">
        <v>0</v>
      </c>
      <c r="BG496" s="76" t="b">
        <v>0</v>
      </c>
      <c r="BH496" s="83" t="str">
        <f>HYPERLINK("https://pbs.twimg.com/profile_banners/2864042913/1415292799")</f>
        <v>https://pbs.twimg.com/profile_banners/2864042913/1415292799</v>
      </c>
      <c r="BI496" s="76"/>
      <c r="BJ496" s="76" t="s">
        <v>24935</v>
      </c>
      <c r="BK496" s="76" t="b">
        <v>0</v>
      </c>
      <c r="BL496" s="76"/>
      <c r="BM496" s="76" t="s">
        <v>66</v>
      </c>
      <c r="BN496" s="76" t="s">
        <v>24937</v>
      </c>
      <c r="BO496" s="83" t="str">
        <f>HYPERLINK("https://twitter.com/deivid01dh")</f>
        <v>https://twitter.com/deivid01dh</v>
      </c>
      <c r="BP496" s="2"/>
    </row>
    <row r="497" spans="1:68" x14ac:dyDescent="0.25">
      <c r="A497" s="62" t="s">
        <v>694</v>
      </c>
      <c r="B497" s="63"/>
      <c r="C497" s="63"/>
      <c r="D497" s="64"/>
      <c r="E497" s="66"/>
      <c r="F497" s="102" t="str">
        <f>HYPERLINK("https://pbs.twimg.com/profile_images/1680576627158261761/oTlShaYx_normal.jpg")</f>
        <v>https://pbs.twimg.com/profile_images/1680576627158261761/oTlShaYx_normal.jpg</v>
      </c>
      <c r="G497" s="63"/>
      <c r="H497" s="67"/>
      <c r="I497" s="68"/>
      <c r="J497" s="68"/>
      <c r="K497" s="67" t="s">
        <v>25431</v>
      </c>
      <c r="L497" s="71"/>
      <c r="M497" s="72"/>
      <c r="N497" s="72"/>
      <c r="O497" s="73"/>
      <c r="P497" s="74"/>
      <c r="Q497" s="74"/>
      <c r="R497" s="86"/>
      <c r="S497" s="86"/>
      <c r="T497" s="86"/>
      <c r="U497" s="86"/>
      <c r="V497" s="48"/>
      <c r="W497" s="48"/>
      <c r="X497" s="48"/>
      <c r="Y497" s="48"/>
      <c r="Z497" s="47"/>
      <c r="AA497" s="69">
        <v>497</v>
      </c>
      <c r="AB497" s="69"/>
      <c r="AC497" s="70"/>
      <c r="AD497" s="76" t="s">
        <v>22299</v>
      </c>
      <c r="AE497" s="81" t="s">
        <v>21364</v>
      </c>
      <c r="AF497" s="76">
        <v>16</v>
      </c>
      <c r="AG497" s="76">
        <v>46</v>
      </c>
      <c r="AH497" s="76">
        <v>47</v>
      </c>
      <c r="AI497" s="76">
        <v>0</v>
      </c>
      <c r="AJ497" s="76">
        <v>0</v>
      </c>
      <c r="AK497" s="76">
        <v>46</v>
      </c>
      <c r="AL497" s="76" t="b">
        <v>0</v>
      </c>
      <c r="AM497" s="78">
        <v>45034.227719907409</v>
      </c>
      <c r="AN497" s="76" t="s">
        <v>14040</v>
      </c>
      <c r="AO497" s="76" t="s">
        <v>23771</v>
      </c>
      <c r="AP497" s="83" t="str">
        <f>HYPERLINK("https://t.co/yAzGaYvmTm")</f>
        <v>https://t.co/yAzGaYvmTm</v>
      </c>
      <c r="AQ497" s="83" t="str">
        <f>HYPERLINK("https://bit.ly/Documentospet-faleconosco")</f>
        <v>https://bit.ly/Documentospet-faleconosco</v>
      </c>
      <c r="AR497" s="76" t="s">
        <v>24523</v>
      </c>
      <c r="AS497" s="76"/>
      <c r="AT497" s="76"/>
      <c r="AU497" s="76"/>
      <c r="AV497" s="76"/>
      <c r="AW497" s="83" t="str">
        <f>HYPERLINK("https://t.co/yAzGaYvmTm")</f>
        <v>https://t.co/yAzGaYvmTm</v>
      </c>
      <c r="AX497" s="76" t="b">
        <v>0</v>
      </c>
      <c r="AY497" s="76"/>
      <c r="AZ497" s="76"/>
      <c r="BA497" s="76" t="b">
        <v>0</v>
      </c>
      <c r="BB497" s="76" t="b">
        <v>1</v>
      </c>
      <c r="BC497" s="76" t="b">
        <v>1</v>
      </c>
      <c r="BD497" s="76" t="b">
        <v>0</v>
      </c>
      <c r="BE497" s="76" t="b">
        <v>0</v>
      </c>
      <c r="BF497" s="76" t="b">
        <v>0</v>
      </c>
      <c r="BG497" s="76" t="b">
        <v>0</v>
      </c>
      <c r="BH497" s="83" t="str">
        <f>HYPERLINK("https://pbs.twimg.com/profile_banners/1648195938618421250/1687399351")</f>
        <v>https://pbs.twimg.com/profile_banners/1648195938618421250/1687399351</v>
      </c>
      <c r="BI497" s="76"/>
      <c r="BJ497" s="76" t="s">
        <v>24935</v>
      </c>
      <c r="BK497" s="76" t="b">
        <v>0</v>
      </c>
      <c r="BL497" s="76"/>
      <c r="BM497" s="76" t="s">
        <v>66</v>
      </c>
      <c r="BN497" s="76" t="s">
        <v>24937</v>
      </c>
      <c r="BO497" s="83" t="str">
        <f>HYPERLINK("https://twitter.com/designpet1")</f>
        <v>https://twitter.com/designpet1</v>
      </c>
      <c r="BP497" s="2"/>
    </row>
    <row r="498" spans="1:68" x14ac:dyDescent="0.25">
      <c r="A498" s="62" t="s">
        <v>695</v>
      </c>
      <c r="B498" s="63"/>
      <c r="C498" s="63"/>
      <c r="D498" s="64"/>
      <c r="E498" s="66"/>
      <c r="F498" s="102" t="str">
        <f>HYPERLINK("https://pbs.twimg.com/profile_images/1647661958890438656/20TissF1_normal.jpg")</f>
        <v>https://pbs.twimg.com/profile_images/1647661958890438656/20TissF1_normal.jpg</v>
      </c>
      <c r="G498" s="63"/>
      <c r="H498" s="67"/>
      <c r="I498" s="68"/>
      <c r="J498" s="68"/>
      <c r="K498" s="67" t="s">
        <v>25432</v>
      </c>
      <c r="L498" s="71"/>
      <c r="M498" s="72"/>
      <c r="N498" s="72"/>
      <c r="O498" s="73"/>
      <c r="P498" s="74"/>
      <c r="Q498" s="74"/>
      <c r="R498" s="86"/>
      <c r="S498" s="86"/>
      <c r="T498" s="86"/>
      <c r="U498" s="86"/>
      <c r="V498" s="48"/>
      <c r="W498" s="48"/>
      <c r="X498" s="48"/>
      <c r="Y498" s="48"/>
      <c r="Z498" s="47"/>
      <c r="AA498" s="69">
        <v>498</v>
      </c>
      <c r="AB498" s="69"/>
      <c r="AC498" s="70"/>
      <c r="AD498" s="76" t="s">
        <v>22300</v>
      </c>
      <c r="AE498" s="81" t="s">
        <v>21365</v>
      </c>
      <c r="AF498" s="76">
        <v>8</v>
      </c>
      <c r="AG498" s="76">
        <v>269</v>
      </c>
      <c r="AH498" s="76">
        <v>37</v>
      </c>
      <c r="AI498" s="76">
        <v>1</v>
      </c>
      <c r="AJ498" s="76">
        <v>16</v>
      </c>
      <c r="AK498" s="76">
        <v>13</v>
      </c>
      <c r="AL498" s="76" t="b">
        <v>0</v>
      </c>
      <c r="AM498" s="78">
        <v>45032.739664351851</v>
      </c>
      <c r="AN498" s="76" t="s">
        <v>14115</v>
      </c>
      <c r="AO498" s="76" t="s">
        <v>23772</v>
      </c>
      <c r="AP498" s="83" t="str">
        <f>HYPERLINK("https://t.co/h6I3WZqsHB")</f>
        <v>https://t.co/h6I3WZqsHB</v>
      </c>
      <c r="AQ498" s="83" t="str">
        <f>HYPERLINK("https://www.instagram.com/dom.investor/")</f>
        <v>https://www.instagram.com/dom.investor/</v>
      </c>
      <c r="AR498" s="76" t="s">
        <v>24524</v>
      </c>
      <c r="AS498" s="76"/>
      <c r="AT498" s="76"/>
      <c r="AU498" s="76"/>
      <c r="AV498" s="76">
        <v>1.64997492455807E+18</v>
      </c>
      <c r="AW498" s="83" t="str">
        <f>HYPERLINK("https://t.co/h6I3WZqsHB")</f>
        <v>https://t.co/h6I3WZqsHB</v>
      </c>
      <c r="AX498" s="76" t="b">
        <v>0</v>
      </c>
      <c r="AY498" s="76"/>
      <c r="AZ498" s="76"/>
      <c r="BA498" s="76" t="b">
        <v>0</v>
      </c>
      <c r="BB498" s="76" t="b">
        <v>1</v>
      </c>
      <c r="BC498" s="76" t="b">
        <v>1</v>
      </c>
      <c r="BD498" s="76" t="b">
        <v>0</v>
      </c>
      <c r="BE498" s="76" t="b">
        <v>0</v>
      </c>
      <c r="BF498" s="76" t="b">
        <v>0</v>
      </c>
      <c r="BG498" s="76" t="b">
        <v>0</v>
      </c>
      <c r="BH498" s="83" t="str">
        <f>HYPERLINK("https://pbs.twimg.com/profile_banners/1647657073973313536/1681684881")</f>
        <v>https://pbs.twimg.com/profile_banners/1647657073973313536/1681684881</v>
      </c>
      <c r="BI498" s="76"/>
      <c r="BJ498" s="76" t="s">
        <v>24935</v>
      </c>
      <c r="BK498" s="76" t="b">
        <v>0</v>
      </c>
      <c r="BL498" s="76"/>
      <c r="BM498" s="76" t="s">
        <v>66</v>
      </c>
      <c r="BN498" s="76" t="s">
        <v>24937</v>
      </c>
      <c r="BO498" s="83" t="str">
        <f>HYPERLINK("https://twitter.com/dominvestidor")</f>
        <v>https://twitter.com/dominvestidor</v>
      </c>
      <c r="BP498" s="2"/>
    </row>
    <row r="499" spans="1:68" x14ac:dyDescent="0.25">
      <c r="A499" s="62" t="s">
        <v>696</v>
      </c>
      <c r="B499" s="63"/>
      <c r="C499" s="63"/>
      <c r="D499" s="64"/>
      <c r="E499" s="66"/>
      <c r="F499" s="102" t="str">
        <f>HYPERLINK("https://pbs.twimg.com/profile_images/1597661867991760898/0zu-YDon_normal.jpg")</f>
        <v>https://pbs.twimg.com/profile_images/1597661867991760898/0zu-YDon_normal.jpg</v>
      </c>
      <c r="G499" s="63"/>
      <c r="H499" s="67"/>
      <c r="I499" s="68"/>
      <c r="J499" s="68"/>
      <c r="K499" s="67" t="s">
        <v>25433</v>
      </c>
      <c r="L499" s="71"/>
      <c r="M499" s="72"/>
      <c r="N499" s="72"/>
      <c r="O499" s="73"/>
      <c r="P499" s="74"/>
      <c r="Q499" s="74"/>
      <c r="R499" s="86"/>
      <c r="S499" s="86"/>
      <c r="T499" s="86"/>
      <c r="U499" s="86"/>
      <c r="V499" s="48"/>
      <c r="W499" s="48"/>
      <c r="X499" s="48"/>
      <c r="Y499" s="48"/>
      <c r="Z499" s="47"/>
      <c r="AA499" s="69">
        <v>499</v>
      </c>
      <c r="AB499" s="69"/>
      <c r="AC499" s="70"/>
      <c r="AD499" s="76" t="s">
        <v>22301</v>
      </c>
      <c r="AE499" s="81" t="s">
        <v>21366</v>
      </c>
      <c r="AF499" s="76">
        <v>138</v>
      </c>
      <c r="AG499" s="76">
        <v>567</v>
      </c>
      <c r="AH499" s="76">
        <v>792</v>
      </c>
      <c r="AI499" s="76">
        <v>7</v>
      </c>
      <c r="AJ499" s="76">
        <v>1869</v>
      </c>
      <c r="AK499" s="76">
        <v>189</v>
      </c>
      <c r="AL499" s="76" t="b">
        <v>0</v>
      </c>
      <c r="AM499" s="78">
        <v>44513.969490740739</v>
      </c>
      <c r="AN499" s="76" t="s">
        <v>14116</v>
      </c>
      <c r="AO499" s="76" t="s">
        <v>23773</v>
      </c>
      <c r="AP499" s="83" t="str">
        <f>HYPERLINK("https://t.co/JvyRzKTsZE")</f>
        <v>https://t.co/JvyRzKTsZE</v>
      </c>
      <c r="AQ499" s="83" t="str">
        <f>HYPERLINK("https://hotmart.com/pt-br/marketplace/produtos/rebeliaodascryptos/F80805473B")</f>
        <v>https://hotmart.com/pt-br/marketplace/produtos/rebeliaodascryptos/F80805473B</v>
      </c>
      <c r="AR499" s="76" t="s">
        <v>24525</v>
      </c>
      <c r="AS499" s="76"/>
      <c r="AT499" s="76"/>
      <c r="AU499" s="76"/>
      <c r="AV499" s="76"/>
      <c r="AW499" s="83" t="str">
        <f>HYPERLINK("https://t.co/JvyRzKTsZE")</f>
        <v>https://t.co/JvyRzKTsZE</v>
      </c>
      <c r="AX499" s="76" t="b">
        <v>0</v>
      </c>
      <c r="AY499" s="76"/>
      <c r="AZ499" s="76"/>
      <c r="BA499" s="76" t="b">
        <v>0</v>
      </c>
      <c r="BB499" s="76" t="b">
        <v>1</v>
      </c>
      <c r="BC499" s="76" t="b">
        <v>1</v>
      </c>
      <c r="BD499" s="76" t="b">
        <v>0</v>
      </c>
      <c r="BE499" s="76" t="b">
        <v>1</v>
      </c>
      <c r="BF499" s="76" t="b">
        <v>0</v>
      </c>
      <c r="BG499" s="76" t="b">
        <v>0</v>
      </c>
      <c r="BH499" s="83" t="str">
        <f>HYPERLINK("https://pbs.twimg.com/profile_banners/1459660972575047682/1686408231")</f>
        <v>https://pbs.twimg.com/profile_banners/1459660972575047682/1686408231</v>
      </c>
      <c r="BI499" s="76"/>
      <c r="BJ499" s="76" t="s">
        <v>24935</v>
      </c>
      <c r="BK499" s="76" t="b">
        <v>0</v>
      </c>
      <c r="BL499" s="76"/>
      <c r="BM499" s="76" t="s">
        <v>66</v>
      </c>
      <c r="BN499" s="76" t="s">
        <v>24937</v>
      </c>
      <c r="BO499" s="83" t="str">
        <f>HYPERLINK("https://twitter.com/rebeliaocryptos")</f>
        <v>https://twitter.com/rebeliaocryptos</v>
      </c>
      <c r="BP499" s="2"/>
    </row>
    <row r="500" spans="1:68" x14ac:dyDescent="0.25">
      <c r="A500" s="62" t="s">
        <v>697</v>
      </c>
      <c r="B500" s="63"/>
      <c r="C500" s="63"/>
      <c r="D500" s="64"/>
      <c r="E500" s="66"/>
      <c r="F500" s="102" t="str">
        <f>HYPERLINK("https://pbs.twimg.com/profile_images/1523640063397179393/A9i71JMU_normal.jpg")</f>
        <v>https://pbs.twimg.com/profile_images/1523640063397179393/A9i71JMU_normal.jpg</v>
      </c>
      <c r="G500" s="63"/>
      <c r="H500" s="67"/>
      <c r="I500" s="68"/>
      <c r="J500" s="68"/>
      <c r="K500" s="67" t="s">
        <v>25434</v>
      </c>
      <c r="L500" s="71"/>
      <c r="M500" s="72"/>
      <c r="N500" s="72"/>
      <c r="O500" s="73"/>
      <c r="P500" s="74"/>
      <c r="Q500" s="74"/>
      <c r="R500" s="86"/>
      <c r="S500" s="86"/>
      <c r="T500" s="86"/>
      <c r="U500" s="86"/>
      <c r="V500" s="48"/>
      <c r="W500" s="48"/>
      <c r="X500" s="48"/>
      <c r="Y500" s="48"/>
      <c r="Z500" s="47"/>
      <c r="AA500" s="69">
        <v>500</v>
      </c>
      <c r="AB500" s="69"/>
      <c r="AC500" s="70"/>
      <c r="AD500" s="76" t="s">
        <v>22302</v>
      </c>
      <c r="AE500" s="81" t="s">
        <v>21367</v>
      </c>
      <c r="AF500" s="76">
        <v>28</v>
      </c>
      <c r="AG500" s="76">
        <v>48</v>
      </c>
      <c r="AH500" s="76">
        <v>274</v>
      </c>
      <c r="AI500" s="76">
        <v>0</v>
      </c>
      <c r="AJ500" s="76">
        <v>1</v>
      </c>
      <c r="AK500" s="76">
        <v>273</v>
      </c>
      <c r="AL500" s="76" t="b">
        <v>0</v>
      </c>
      <c r="AM500" s="78">
        <v>44616.820937500001</v>
      </c>
      <c r="AN500" s="76"/>
      <c r="AO500" s="76" t="s">
        <v>23774</v>
      </c>
      <c r="AP500" s="76"/>
      <c r="AQ500" s="76"/>
      <c r="AR500" s="76"/>
      <c r="AS500" s="76"/>
      <c r="AT500" s="76"/>
      <c r="AU500" s="76"/>
      <c r="AV500" s="76"/>
      <c r="AW500" s="76"/>
      <c r="AX500" s="76" t="b">
        <v>0</v>
      </c>
      <c r="AY500" s="76"/>
      <c r="AZ500" s="76"/>
      <c r="BA500" s="76" t="b">
        <v>0</v>
      </c>
      <c r="BB500" s="76" t="b">
        <v>1</v>
      </c>
      <c r="BC500" s="76" t="b">
        <v>1</v>
      </c>
      <c r="BD500" s="76" t="b">
        <v>0</v>
      </c>
      <c r="BE500" s="76" t="b">
        <v>0</v>
      </c>
      <c r="BF500" s="76" t="b">
        <v>0</v>
      </c>
      <c r="BG500" s="76" t="b">
        <v>0</v>
      </c>
      <c r="BH500" s="83" t="str">
        <f>HYPERLINK("https://pbs.twimg.com/profile_banners/1496933378272206853/1652116470")</f>
        <v>https://pbs.twimg.com/profile_banners/1496933378272206853/1652116470</v>
      </c>
      <c r="BI500" s="76"/>
      <c r="BJ500" s="76" t="s">
        <v>24935</v>
      </c>
      <c r="BK500" s="76" t="b">
        <v>0</v>
      </c>
      <c r="BL500" s="76"/>
      <c r="BM500" s="76" t="s">
        <v>66</v>
      </c>
      <c r="BN500" s="76" t="s">
        <v>24937</v>
      </c>
      <c r="BO500" s="83" t="str">
        <f>HYPERLINK("https://twitter.com/se_empreendedor")</f>
        <v>https://twitter.com/se_empreendedor</v>
      </c>
      <c r="BP500" s="2"/>
    </row>
    <row r="501" spans="1:68" x14ac:dyDescent="0.25">
      <c r="A501" s="62" t="s">
        <v>698</v>
      </c>
      <c r="B501" s="63"/>
      <c r="C501" s="63"/>
      <c r="D501" s="64"/>
      <c r="E501" s="66"/>
      <c r="F501" s="102" t="str">
        <f>HYPERLINK("https://pbs.twimg.com/profile_images/1636755866907967492/_0gv9ukT_normal.jpg")</f>
        <v>https://pbs.twimg.com/profile_images/1636755866907967492/_0gv9ukT_normal.jpg</v>
      </c>
      <c r="G501" s="63"/>
      <c r="H501" s="67"/>
      <c r="I501" s="68"/>
      <c r="J501" s="68"/>
      <c r="K501" s="67" t="s">
        <v>25435</v>
      </c>
      <c r="L501" s="71"/>
      <c r="M501" s="72"/>
      <c r="N501" s="72"/>
      <c r="O501" s="73"/>
      <c r="P501" s="74"/>
      <c r="Q501" s="74"/>
      <c r="R501" s="86"/>
      <c r="S501" s="86"/>
      <c r="T501" s="86"/>
      <c r="U501" s="86"/>
      <c r="V501" s="48"/>
      <c r="W501" s="48"/>
      <c r="X501" s="48"/>
      <c r="Y501" s="48"/>
      <c r="Z501" s="47"/>
      <c r="AA501" s="69">
        <v>501</v>
      </c>
      <c r="AB501" s="69"/>
      <c r="AC501" s="70"/>
      <c r="AD501" s="76" t="s">
        <v>22303</v>
      </c>
      <c r="AE501" s="81" t="s">
        <v>21368</v>
      </c>
      <c r="AF501" s="76">
        <v>3</v>
      </c>
      <c r="AG501" s="76">
        <v>10</v>
      </c>
      <c r="AH501" s="76">
        <v>16</v>
      </c>
      <c r="AI501" s="76">
        <v>0</v>
      </c>
      <c r="AJ501" s="76">
        <v>3</v>
      </c>
      <c r="AK501" s="76">
        <v>15</v>
      </c>
      <c r="AL501" s="76" t="b">
        <v>0</v>
      </c>
      <c r="AM501" s="78">
        <v>44500.558576388888</v>
      </c>
      <c r="AN501" s="76"/>
      <c r="AO501" s="76" t="s">
        <v>23775</v>
      </c>
      <c r="AP501" s="83" t="str">
        <f>HYPERLINK("https://t.co/utFKKU3H5r")</f>
        <v>https://t.co/utFKKU3H5r</v>
      </c>
      <c r="AQ501" s="83" t="str">
        <f>HYPERLINK("https://youtube.com/c/Di%C3%A1riodaRendaExtra")</f>
        <v>https://youtube.com/c/Di%C3%A1riodaRendaExtra</v>
      </c>
      <c r="AR501" s="76" t="s">
        <v>24526</v>
      </c>
      <c r="AS501" s="76"/>
      <c r="AT501" s="76"/>
      <c r="AU501" s="76"/>
      <c r="AV501" s="76"/>
      <c r="AW501" s="83" t="str">
        <f>HYPERLINK("https://t.co/utFKKU3H5r")</f>
        <v>https://t.co/utFKKU3H5r</v>
      </c>
      <c r="AX501" s="76" t="b">
        <v>0</v>
      </c>
      <c r="AY501" s="76"/>
      <c r="AZ501" s="76"/>
      <c r="BA501" s="76" t="b">
        <v>0</v>
      </c>
      <c r="BB501" s="76" t="b">
        <v>1</v>
      </c>
      <c r="BC501" s="76" t="b">
        <v>1</v>
      </c>
      <c r="BD501" s="76" t="b">
        <v>0</v>
      </c>
      <c r="BE501" s="76" t="b">
        <v>0</v>
      </c>
      <c r="BF501" s="76" t="b">
        <v>0</v>
      </c>
      <c r="BG501" s="76" t="b">
        <v>0</v>
      </c>
      <c r="BH501" s="83" t="str">
        <f>HYPERLINK("https://pbs.twimg.com/profile_banners/1454801360168366080/1635687349")</f>
        <v>https://pbs.twimg.com/profile_banners/1454801360168366080/1635687349</v>
      </c>
      <c r="BI501" s="76"/>
      <c r="BJ501" s="76" t="s">
        <v>24935</v>
      </c>
      <c r="BK501" s="76" t="b">
        <v>0</v>
      </c>
      <c r="BL501" s="76"/>
      <c r="BM501" s="76" t="s">
        <v>66</v>
      </c>
      <c r="BN501" s="76" t="s">
        <v>24937</v>
      </c>
      <c r="BO501" s="83" t="str">
        <f>HYPERLINK("https://twitter.com/diariodarendaex")</f>
        <v>https://twitter.com/diariodarendaex</v>
      </c>
      <c r="BP501" s="2"/>
    </row>
    <row r="502" spans="1:68" x14ac:dyDescent="0.25">
      <c r="A502" s="62" t="s">
        <v>699</v>
      </c>
      <c r="B502" s="63"/>
      <c r="C502" s="63"/>
      <c r="D502" s="64"/>
      <c r="E502" s="66"/>
      <c r="F502" s="102" t="str">
        <f>HYPERLINK("https://pbs.twimg.com/profile_images/1688558612585615360/B0prhRdd_normal.jpg")</f>
        <v>https://pbs.twimg.com/profile_images/1688558612585615360/B0prhRdd_normal.jpg</v>
      </c>
      <c r="G502" s="63"/>
      <c r="H502" s="67"/>
      <c r="I502" s="68"/>
      <c r="J502" s="68"/>
      <c r="K502" s="67" t="s">
        <v>25436</v>
      </c>
      <c r="L502" s="71"/>
      <c r="M502" s="72"/>
      <c r="N502" s="72"/>
      <c r="O502" s="73"/>
      <c r="P502" s="74"/>
      <c r="Q502" s="74"/>
      <c r="R502" s="86"/>
      <c r="S502" s="86"/>
      <c r="T502" s="86"/>
      <c r="U502" s="86"/>
      <c r="V502" s="48"/>
      <c r="W502" s="48"/>
      <c r="X502" s="48"/>
      <c r="Y502" s="48"/>
      <c r="Z502" s="47"/>
      <c r="AA502" s="69">
        <v>502</v>
      </c>
      <c r="AB502" s="69"/>
      <c r="AC502" s="70"/>
      <c r="AD502" s="76" t="s">
        <v>22304</v>
      </c>
      <c r="AE502" s="81" t="s">
        <v>21369</v>
      </c>
      <c r="AF502" s="76">
        <v>49455</v>
      </c>
      <c r="AG502" s="76">
        <v>26</v>
      </c>
      <c r="AH502" s="76">
        <v>2264</v>
      </c>
      <c r="AI502" s="76">
        <v>162</v>
      </c>
      <c r="AJ502" s="76">
        <v>1034</v>
      </c>
      <c r="AK502" s="76">
        <v>1119</v>
      </c>
      <c r="AL502" s="76" t="b">
        <v>0</v>
      </c>
      <c r="AM502" s="78">
        <v>43164.641562500001</v>
      </c>
      <c r="AN502" s="76"/>
      <c r="AO502" s="76" t="s">
        <v>23776</v>
      </c>
      <c r="AP502" s="83" t="str">
        <f>HYPERLINK("https://t.co/x1OjDg6Pho")</f>
        <v>https://t.co/x1OjDg6Pho</v>
      </c>
      <c r="AQ502" s="83" t="str">
        <f>HYPERLINK("https://www.youtube.com/@MePoupe")</f>
        <v>https://www.youtube.com/@MePoupe</v>
      </c>
      <c r="AR502" s="76" t="s">
        <v>24527</v>
      </c>
      <c r="AS502" s="76"/>
      <c r="AT502" s="76"/>
      <c r="AU502" s="76"/>
      <c r="AV502" s="76">
        <v>1.70382617294814E+18</v>
      </c>
      <c r="AW502" s="83" t="str">
        <f>HYPERLINK("https://t.co/x1OjDg6Pho")</f>
        <v>https://t.co/x1OjDg6Pho</v>
      </c>
      <c r="AX502" s="76" t="b">
        <v>0</v>
      </c>
      <c r="AY502" s="76"/>
      <c r="AZ502" s="76"/>
      <c r="BA502" s="76" t="b">
        <v>0</v>
      </c>
      <c r="BB502" s="76" t="b">
        <v>1</v>
      </c>
      <c r="BC502" s="76" t="b">
        <v>1</v>
      </c>
      <c r="BD502" s="76" t="b">
        <v>0</v>
      </c>
      <c r="BE502" s="76" t="b">
        <v>1</v>
      </c>
      <c r="BF502" s="76" t="b">
        <v>0</v>
      </c>
      <c r="BG502" s="76" t="b">
        <v>0</v>
      </c>
      <c r="BH502" s="83" t="str">
        <f>HYPERLINK("https://pbs.twimg.com/profile_banners/970681300788088832/1680104173")</f>
        <v>https://pbs.twimg.com/profile_banners/970681300788088832/1680104173</v>
      </c>
      <c r="BI502" s="76"/>
      <c r="BJ502" s="76" t="s">
        <v>24935</v>
      </c>
      <c r="BK502" s="76" t="b">
        <v>0</v>
      </c>
      <c r="BL502" s="76"/>
      <c r="BM502" s="76" t="s">
        <v>66</v>
      </c>
      <c r="BN502" s="76" t="s">
        <v>24937</v>
      </c>
      <c r="BO502" s="83" t="str">
        <f>HYPERLINK("https://twitter.com/mepoupenaweb")</f>
        <v>https://twitter.com/mepoupenaweb</v>
      </c>
      <c r="BP502" s="2"/>
    </row>
    <row r="503" spans="1:68" x14ac:dyDescent="0.25">
      <c r="A503" s="62" t="s">
        <v>700</v>
      </c>
      <c r="B503" s="63"/>
      <c r="C503" s="63"/>
      <c r="D503" s="64"/>
      <c r="E503" s="66"/>
      <c r="F503" s="102" t="str">
        <f>HYPERLINK("https://pbs.twimg.com/profile_images/1515713827144441859/9ogU5Ax1_normal.jpg")</f>
        <v>https://pbs.twimg.com/profile_images/1515713827144441859/9ogU5Ax1_normal.jpg</v>
      </c>
      <c r="G503" s="63"/>
      <c r="H503" s="67"/>
      <c r="I503" s="68"/>
      <c r="J503" s="68"/>
      <c r="K503" s="67" t="s">
        <v>25437</v>
      </c>
      <c r="L503" s="71"/>
      <c r="M503" s="72"/>
      <c r="N503" s="72"/>
      <c r="O503" s="73"/>
      <c r="P503" s="74"/>
      <c r="Q503" s="74"/>
      <c r="R503" s="86"/>
      <c r="S503" s="86"/>
      <c r="T503" s="86"/>
      <c r="U503" s="86"/>
      <c r="V503" s="48"/>
      <c r="W503" s="48"/>
      <c r="X503" s="48"/>
      <c r="Y503" s="48"/>
      <c r="Z503" s="47"/>
      <c r="AA503" s="69">
        <v>503</v>
      </c>
      <c r="AB503" s="69"/>
      <c r="AC503" s="70"/>
      <c r="AD503" s="76" t="s">
        <v>22305</v>
      </c>
      <c r="AE503" s="81" t="s">
        <v>22955</v>
      </c>
      <c r="AF503" s="76">
        <v>5333</v>
      </c>
      <c r="AG503" s="76">
        <v>5860</v>
      </c>
      <c r="AH503" s="76">
        <v>10255</v>
      </c>
      <c r="AI503" s="76">
        <v>34</v>
      </c>
      <c r="AJ503" s="76">
        <v>1301</v>
      </c>
      <c r="AK503" s="76">
        <v>712</v>
      </c>
      <c r="AL503" s="76" t="b">
        <v>0</v>
      </c>
      <c r="AM503" s="78">
        <v>40051.813090277778</v>
      </c>
      <c r="AN503" s="76" t="s">
        <v>23214</v>
      </c>
      <c r="AO503" s="76" t="s">
        <v>23777</v>
      </c>
      <c r="AP503" s="83" t="str">
        <f>HYPERLINK("https://t.co/Z6P1vYK28O")</f>
        <v>https://t.co/Z6P1vYK28O</v>
      </c>
      <c r="AQ503" s="83" t="str">
        <f>HYPERLINK("https://www.portaldecursosdigitais.com.br")</f>
        <v>https://www.portaldecursosdigitais.com.br</v>
      </c>
      <c r="AR503" s="76" t="s">
        <v>24528</v>
      </c>
      <c r="AS503" s="76"/>
      <c r="AT503" s="76"/>
      <c r="AU503" s="76"/>
      <c r="AV503" s="76"/>
      <c r="AW503" s="83" t="str">
        <f>HYPERLINK("https://t.co/Z6P1vYK28O")</f>
        <v>https://t.co/Z6P1vYK28O</v>
      </c>
      <c r="AX503" s="76" t="b">
        <v>0</v>
      </c>
      <c r="AY503" s="76"/>
      <c r="AZ503" s="76"/>
      <c r="BA503" s="76" t="b">
        <v>0</v>
      </c>
      <c r="BB503" s="76" t="b">
        <v>1</v>
      </c>
      <c r="BC503" s="76" t="b">
        <v>0</v>
      </c>
      <c r="BD503" s="76" t="b">
        <v>0</v>
      </c>
      <c r="BE503" s="76" t="b">
        <v>1</v>
      </c>
      <c r="BF503" s="76" t="b">
        <v>0</v>
      </c>
      <c r="BG503" s="76" t="b">
        <v>0</v>
      </c>
      <c r="BH503" s="83" t="str">
        <f>HYPERLINK("https://pbs.twimg.com/profile_banners/69071497/1509058207")</f>
        <v>https://pbs.twimg.com/profile_banners/69071497/1509058207</v>
      </c>
      <c r="BI503" s="76"/>
      <c r="BJ503" s="76" t="s">
        <v>24935</v>
      </c>
      <c r="BK503" s="76" t="b">
        <v>0</v>
      </c>
      <c r="BL503" s="76"/>
      <c r="BM503" s="76" t="s">
        <v>66</v>
      </c>
      <c r="BN503" s="76" t="s">
        <v>24937</v>
      </c>
      <c r="BO503" s="83" t="str">
        <f>HYPERLINK("https://twitter.com/ederlorenzo")</f>
        <v>https://twitter.com/ederlorenzo</v>
      </c>
      <c r="BP503" s="2"/>
    </row>
    <row r="504" spans="1:68" x14ac:dyDescent="0.25">
      <c r="A504" s="62" t="s">
        <v>701</v>
      </c>
      <c r="B504" s="63"/>
      <c r="C504" s="63"/>
      <c r="D504" s="64"/>
      <c r="E504" s="66"/>
      <c r="F504" s="102" t="str">
        <f>HYPERLINK("https://pbs.twimg.com/profile_images/1648090411632668676/dEUTCfhf_normal.jpg")</f>
        <v>https://pbs.twimg.com/profile_images/1648090411632668676/dEUTCfhf_normal.jpg</v>
      </c>
      <c r="G504" s="63"/>
      <c r="H504" s="67"/>
      <c r="I504" s="68"/>
      <c r="J504" s="68"/>
      <c r="K504" s="67" t="s">
        <v>25438</v>
      </c>
      <c r="L504" s="71"/>
      <c r="M504" s="72"/>
      <c r="N504" s="72"/>
      <c r="O504" s="73"/>
      <c r="P504" s="74"/>
      <c r="Q504" s="74"/>
      <c r="R504" s="86"/>
      <c r="S504" s="86"/>
      <c r="T504" s="86"/>
      <c r="U504" s="86"/>
      <c r="V504" s="48"/>
      <c r="W504" s="48"/>
      <c r="X504" s="48"/>
      <c r="Y504" s="48"/>
      <c r="Z504" s="47"/>
      <c r="AA504" s="69">
        <v>504</v>
      </c>
      <c r="AB504" s="69"/>
      <c r="AC504" s="70"/>
      <c r="AD504" s="76" t="s">
        <v>22306</v>
      </c>
      <c r="AE504" s="81" t="s">
        <v>21370</v>
      </c>
      <c r="AF504" s="76">
        <v>1</v>
      </c>
      <c r="AG504" s="76">
        <v>15</v>
      </c>
      <c r="AH504" s="76">
        <v>30</v>
      </c>
      <c r="AI504" s="76">
        <v>0</v>
      </c>
      <c r="AJ504" s="76">
        <v>45</v>
      </c>
      <c r="AK504" s="76">
        <v>1</v>
      </c>
      <c r="AL504" s="76" t="b">
        <v>0</v>
      </c>
      <c r="AM504" s="78">
        <v>44866.956562500003</v>
      </c>
      <c r="AN504" s="76"/>
      <c r="AO504" s="76" t="s">
        <v>23778</v>
      </c>
      <c r="AP504" s="76"/>
      <c r="AQ504" s="76"/>
      <c r="AR504" s="76"/>
      <c r="AS504" s="76"/>
      <c r="AT504" s="76"/>
      <c r="AU504" s="76"/>
      <c r="AV504" s="76"/>
      <c r="AW504" s="76"/>
      <c r="AX504" s="76" t="b">
        <v>0</v>
      </c>
      <c r="AY504" s="76"/>
      <c r="AZ504" s="76"/>
      <c r="BA504" s="76" t="b">
        <v>1</v>
      </c>
      <c r="BB504" s="76" t="b">
        <v>1</v>
      </c>
      <c r="BC504" s="76" t="b">
        <v>1</v>
      </c>
      <c r="BD504" s="76" t="b">
        <v>0</v>
      </c>
      <c r="BE504" s="76" t="b">
        <v>0</v>
      </c>
      <c r="BF504" s="76" t="b">
        <v>0</v>
      </c>
      <c r="BG504" s="76" t="b">
        <v>0</v>
      </c>
      <c r="BH504" s="76"/>
      <c r="BI504" s="76"/>
      <c r="BJ504" s="76" t="s">
        <v>24935</v>
      </c>
      <c r="BK504" s="76" t="b">
        <v>0</v>
      </c>
      <c r="BL504" s="76"/>
      <c r="BM504" s="76" t="s">
        <v>66</v>
      </c>
      <c r="BN504" s="76" t="s">
        <v>24937</v>
      </c>
      <c r="BO504" s="83" t="str">
        <f>HYPERLINK("https://twitter.com/ellegrazi_elle")</f>
        <v>https://twitter.com/ellegrazi_elle</v>
      </c>
      <c r="BP504" s="2"/>
    </row>
    <row r="505" spans="1:68" x14ac:dyDescent="0.25">
      <c r="A505" s="62" t="s">
        <v>702</v>
      </c>
      <c r="B505" s="63"/>
      <c r="C505" s="63"/>
      <c r="D505" s="64"/>
      <c r="E505" s="66"/>
      <c r="F505" s="102" t="str">
        <f>HYPERLINK("https://pbs.twimg.com/profile_images/1686889145069621248/oU_5eRDV_normal.jpg")</f>
        <v>https://pbs.twimg.com/profile_images/1686889145069621248/oU_5eRDV_normal.jpg</v>
      </c>
      <c r="G505" s="63"/>
      <c r="H505" s="67"/>
      <c r="I505" s="68"/>
      <c r="J505" s="68"/>
      <c r="K505" s="67" t="s">
        <v>25439</v>
      </c>
      <c r="L505" s="71"/>
      <c r="M505" s="72"/>
      <c r="N505" s="72"/>
      <c r="O505" s="73"/>
      <c r="P505" s="74"/>
      <c r="Q505" s="74"/>
      <c r="R505" s="86"/>
      <c r="S505" s="86"/>
      <c r="T505" s="86"/>
      <c r="U505" s="86"/>
      <c r="V505" s="48"/>
      <c r="W505" s="48"/>
      <c r="X505" s="48"/>
      <c r="Y505" s="48"/>
      <c r="Z505" s="47"/>
      <c r="AA505" s="69">
        <v>505</v>
      </c>
      <c r="AB505" s="69"/>
      <c r="AC505" s="70"/>
      <c r="AD505" s="76" t="s">
        <v>21898</v>
      </c>
      <c r="AE505" s="81" t="s">
        <v>21371</v>
      </c>
      <c r="AF505" s="76">
        <v>1</v>
      </c>
      <c r="AG505" s="76">
        <v>27</v>
      </c>
      <c r="AH505" s="76">
        <v>4</v>
      </c>
      <c r="AI505" s="76">
        <v>0</v>
      </c>
      <c r="AJ505" s="76">
        <v>0</v>
      </c>
      <c r="AK505" s="76">
        <v>1</v>
      </c>
      <c r="AL505" s="76" t="b">
        <v>0</v>
      </c>
      <c r="AM505" s="78">
        <v>45133.906805555554</v>
      </c>
      <c r="AN505" s="76"/>
      <c r="AO505" s="76" t="s">
        <v>23779</v>
      </c>
      <c r="AP505" s="83" t="str">
        <f>HYPERLINK("https://t.co/FeReDt27BM")</f>
        <v>https://t.co/FeReDt27BM</v>
      </c>
      <c r="AQ505" s="83" t="str">
        <f>HYPERLINK("https://wa.me/5567996532902")</f>
        <v>https://wa.me/5567996532902</v>
      </c>
      <c r="AR505" s="76" t="s">
        <v>24529</v>
      </c>
      <c r="AS505" s="76"/>
      <c r="AT505" s="76"/>
      <c r="AU505" s="76"/>
      <c r="AV505" s="76"/>
      <c r="AW505" s="83" t="str">
        <f>HYPERLINK("https://t.co/FeReDt27BM")</f>
        <v>https://t.co/FeReDt27BM</v>
      </c>
      <c r="AX505" s="76" t="b">
        <v>0</v>
      </c>
      <c r="AY505" s="76"/>
      <c r="AZ505" s="76"/>
      <c r="BA505" s="76" t="b">
        <v>0</v>
      </c>
      <c r="BB505" s="76" t="b">
        <v>1</v>
      </c>
      <c r="BC505" s="76" t="b">
        <v>1</v>
      </c>
      <c r="BD505" s="76" t="b">
        <v>0</v>
      </c>
      <c r="BE505" s="76" t="b">
        <v>0</v>
      </c>
      <c r="BF505" s="76" t="b">
        <v>0</v>
      </c>
      <c r="BG505" s="76" t="b">
        <v>0</v>
      </c>
      <c r="BH505" s="76"/>
      <c r="BI505" s="76"/>
      <c r="BJ505" s="76" t="s">
        <v>24935</v>
      </c>
      <c r="BK505" s="76" t="b">
        <v>0</v>
      </c>
      <c r="BL505" s="76"/>
      <c r="BM505" s="76" t="s">
        <v>66</v>
      </c>
      <c r="BN505" s="76" t="s">
        <v>24937</v>
      </c>
      <c r="BO505" s="83" t="str">
        <f>HYPERLINK("https://twitter.com/empreendedor1sm")</f>
        <v>https://twitter.com/empreendedor1sm</v>
      </c>
      <c r="BP505" s="2"/>
    </row>
    <row r="506" spans="1:68" x14ac:dyDescent="0.25">
      <c r="A506" s="62" t="s">
        <v>703</v>
      </c>
      <c r="B506" s="63"/>
      <c r="C506" s="63"/>
      <c r="D506" s="64"/>
      <c r="E506" s="66"/>
      <c r="F506" s="102" t="str">
        <f>HYPERLINK("https://pbs.twimg.com/profile_images/1468303671171682310/TGCicUop_normal.jpg")</f>
        <v>https://pbs.twimg.com/profile_images/1468303671171682310/TGCicUop_normal.jpg</v>
      </c>
      <c r="G506" s="63"/>
      <c r="H506" s="67"/>
      <c r="I506" s="68"/>
      <c r="J506" s="68"/>
      <c r="K506" s="67" t="s">
        <v>25440</v>
      </c>
      <c r="L506" s="71"/>
      <c r="M506" s="72"/>
      <c r="N506" s="72"/>
      <c r="O506" s="73"/>
      <c r="P506" s="74"/>
      <c r="Q506" s="74"/>
      <c r="R506" s="86"/>
      <c r="S506" s="86"/>
      <c r="T506" s="86"/>
      <c r="U506" s="86"/>
      <c r="V506" s="48"/>
      <c r="W506" s="48"/>
      <c r="X506" s="48"/>
      <c r="Y506" s="48"/>
      <c r="Z506" s="47"/>
      <c r="AA506" s="69">
        <v>506</v>
      </c>
      <c r="AB506" s="69"/>
      <c r="AC506" s="70"/>
      <c r="AD506" s="76" t="s">
        <v>22307</v>
      </c>
      <c r="AE506" s="81" t="s">
        <v>22956</v>
      </c>
      <c r="AF506" s="76">
        <v>8799</v>
      </c>
      <c r="AG506" s="76">
        <v>3603</v>
      </c>
      <c r="AH506" s="76">
        <v>23536</v>
      </c>
      <c r="AI506" s="76">
        <v>3</v>
      </c>
      <c r="AJ506" s="76">
        <v>8119</v>
      </c>
      <c r="AK506" s="76">
        <v>741</v>
      </c>
      <c r="AL506" s="76" t="b">
        <v>0</v>
      </c>
      <c r="AM506" s="78">
        <v>40802.742662037039</v>
      </c>
      <c r="AN506" s="76" t="s">
        <v>14033</v>
      </c>
      <c r="AO506" s="76" t="s">
        <v>23780</v>
      </c>
      <c r="AP506" s="83" t="str">
        <f>HYPERLINK("https://t.co/cxkRTnF65y")</f>
        <v>https://t.co/cxkRTnF65y</v>
      </c>
      <c r="AQ506" s="83" t="str">
        <f>HYPERLINK("https://www.instagram.com/eduoficialmj/")</f>
        <v>https://www.instagram.com/eduoficialmj/</v>
      </c>
      <c r="AR506" s="76" t="s">
        <v>24530</v>
      </c>
      <c r="AS506" s="76"/>
      <c r="AT506" s="76"/>
      <c r="AU506" s="76"/>
      <c r="AV506" s="76">
        <v>1.4429405069592599E+18</v>
      </c>
      <c r="AW506" s="83" t="str">
        <f>HYPERLINK("https://t.co/cxkRTnF65y")</f>
        <v>https://t.co/cxkRTnF65y</v>
      </c>
      <c r="AX506" s="76" t="b">
        <v>0</v>
      </c>
      <c r="AY506" s="76"/>
      <c r="AZ506" s="76"/>
      <c r="BA506" s="76" t="b">
        <v>0</v>
      </c>
      <c r="BB506" s="76" t="b">
        <v>0</v>
      </c>
      <c r="BC506" s="76" t="b">
        <v>0</v>
      </c>
      <c r="BD506" s="76" t="b">
        <v>0</v>
      </c>
      <c r="BE506" s="76" t="b">
        <v>1</v>
      </c>
      <c r="BF506" s="76" t="b">
        <v>0</v>
      </c>
      <c r="BG506" s="76" t="b">
        <v>0</v>
      </c>
      <c r="BH506" s="83" t="str">
        <f>HYPERLINK("https://pbs.twimg.com/profile_banners/374651188/1677544264")</f>
        <v>https://pbs.twimg.com/profile_banners/374651188/1677544264</v>
      </c>
      <c r="BI506" s="76"/>
      <c r="BJ506" s="76" t="s">
        <v>24936</v>
      </c>
      <c r="BK506" s="76" t="b">
        <v>0</v>
      </c>
      <c r="BL506" s="76"/>
      <c r="BM506" s="76" t="s">
        <v>66</v>
      </c>
      <c r="BN506" s="76" t="s">
        <v>24937</v>
      </c>
      <c r="BO506" s="83" t="str">
        <f>HYPERLINK("https://twitter.com/edu_oficialmj")</f>
        <v>https://twitter.com/edu_oficialmj</v>
      </c>
      <c r="BP506" s="2"/>
    </row>
    <row r="507" spans="1:68" x14ac:dyDescent="0.25">
      <c r="A507" s="62" t="s">
        <v>704</v>
      </c>
      <c r="B507" s="63"/>
      <c r="C507" s="63"/>
      <c r="D507" s="64"/>
      <c r="E507" s="66"/>
      <c r="F507" s="102" t="str">
        <f>HYPERLINK("https://pbs.twimg.com/profile_images/1643093011620921344/4ZvPIsCG_normal.jpg")</f>
        <v>https://pbs.twimg.com/profile_images/1643093011620921344/4ZvPIsCG_normal.jpg</v>
      </c>
      <c r="G507" s="63"/>
      <c r="H507" s="67"/>
      <c r="I507" s="68"/>
      <c r="J507" s="68"/>
      <c r="K507" s="67" t="s">
        <v>25441</v>
      </c>
      <c r="L507" s="71"/>
      <c r="M507" s="72"/>
      <c r="N507" s="72"/>
      <c r="O507" s="73"/>
      <c r="P507" s="74"/>
      <c r="Q507" s="74"/>
      <c r="R507" s="86"/>
      <c r="S507" s="86"/>
      <c r="T507" s="86"/>
      <c r="U507" s="86"/>
      <c r="V507" s="48"/>
      <c r="W507" s="48"/>
      <c r="X507" s="48"/>
      <c r="Y507" s="48"/>
      <c r="Z507" s="47"/>
      <c r="AA507" s="69">
        <v>507</v>
      </c>
      <c r="AB507" s="69"/>
      <c r="AC507" s="70"/>
      <c r="AD507" s="76" t="s">
        <v>22308</v>
      </c>
      <c r="AE507" s="81" t="s">
        <v>21372</v>
      </c>
      <c r="AF507" s="76">
        <v>0</v>
      </c>
      <c r="AG507" s="76">
        <v>2</v>
      </c>
      <c r="AH507" s="76">
        <v>7</v>
      </c>
      <c r="AI507" s="76">
        <v>0</v>
      </c>
      <c r="AJ507" s="76">
        <v>4</v>
      </c>
      <c r="AK507" s="76">
        <v>7</v>
      </c>
      <c r="AL507" s="76" t="b">
        <v>0</v>
      </c>
      <c r="AM507" s="78">
        <v>45020.143842592595</v>
      </c>
      <c r="AN507" s="76"/>
      <c r="AO507" s="76" t="s">
        <v>23781</v>
      </c>
      <c r="AP507" s="83" t="str">
        <f>HYPERLINK("https://t.co/qTLbkGDD1y")</f>
        <v>https://t.co/qTLbkGDD1y</v>
      </c>
      <c r="AQ507" s="83" t="str">
        <f>HYPERLINK("http://bit.ly/caiomartins_sites")</f>
        <v>http://bit.ly/caiomartins_sites</v>
      </c>
      <c r="AR507" s="76" t="s">
        <v>24531</v>
      </c>
      <c r="AS507" s="76"/>
      <c r="AT507" s="76"/>
      <c r="AU507" s="76"/>
      <c r="AV507" s="76"/>
      <c r="AW507" s="83" t="str">
        <f>HYPERLINK("https://t.co/qTLbkGDD1y")</f>
        <v>https://t.co/qTLbkGDD1y</v>
      </c>
      <c r="AX507" s="76" t="b">
        <v>0</v>
      </c>
      <c r="AY507" s="76"/>
      <c r="AZ507" s="76"/>
      <c r="BA507" s="76" t="b">
        <v>0</v>
      </c>
      <c r="BB507" s="76" t="b">
        <v>1</v>
      </c>
      <c r="BC507" s="76" t="b">
        <v>1</v>
      </c>
      <c r="BD507" s="76" t="b">
        <v>0</v>
      </c>
      <c r="BE507" s="76" t="b">
        <v>0</v>
      </c>
      <c r="BF507" s="76" t="b">
        <v>0</v>
      </c>
      <c r="BG507" s="76" t="b">
        <v>0</v>
      </c>
      <c r="BH507" s="76"/>
      <c r="BI507" s="76"/>
      <c r="BJ507" s="76" t="s">
        <v>24935</v>
      </c>
      <c r="BK507" s="76" t="b">
        <v>0</v>
      </c>
      <c r="BL507" s="76"/>
      <c r="BM507" s="76" t="s">
        <v>66</v>
      </c>
      <c r="BN507" s="76" t="s">
        <v>24937</v>
      </c>
      <c r="BO507" s="83" t="str">
        <f>HYPERLINK("https://twitter.com/futuromm")</f>
        <v>https://twitter.com/futuromm</v>
      </c>
      <c r="BP507" s="2"/>
    </row>
    <row r="508" spans="1:68" x14ac:dyDescent="0.25">
      <c r="A508" s="62" t="s">
        <v>705</v>
      </c>
      <c r="B508" s="63"/>
      <c r="C508" s="63"/>
      <c r="D508" s="64"/>
      <c r="E508" s="66"/>
      <c r="F508" s="102" t="str">
        <f>HYPERLINK("https://pbs.twimg.com/profile_images/1648481168159830016/gzjezc8d_normal.jpg")</f>
        <v>https://pbs.twimg.com/profile_images/1648481168159830016/gzjezc8d_normal.jpg</v>
      </c>
      <c r="G508" s="63"/>
      <c r="H508" s="67"/>
      <c r="I508" s="68"/>
      <c r="J508" s="68"/>
      <c r="K508" s="67" t="s">
        <v>25442</v>
      </c>
      <c r="L508" s="71"/>
      <c r="M508" s="72"/>
      <c r="N508" s="72"/>
      <c r="O508" s="73"/>
      <c r="P508" s="74"/>
      <c r="Q508" s="74"/>
      <c r="R508" s="86"/>
      <c r="S508" s="86"/>
      <c r="T508" s="86"/>
      <c r="U508" s="86"/>
      <c r="V508" s="48"/>
      <c r="W508" s="48"/>
      <c r="X508" s="48"/>
      <c r="Y508" s="48"/>
      <c r="Z508" s="47"/>
      <c r="AA508" s="69">
        <v>508</v>
      </c>
      <c r="AB508" s="69"/>
      <c r="AC508" s="70"/>
      <c r="AD508" s="76" t="s">
        <v>22309</v>
      </c>
      <c r="AE508" s="81" t="s">
        <v>21373</v>
      </c>
      <c r="AF508" s="76">
        <v>1</v>
      </c>
      <c r="AG508" s="76">
        <v>6</v>
      </c>
      <c r="AH508" s="76">
        <v>6</v>
      </c>
      <c r="AI508" s="76">
        <v>0</v>
      </c>
      <c r="AJ508" s="76">
        <v>0</v>
      </c>
      <c r="AK508" s="76">
        <v>6</v>
      </c>
      <c r="AL508" s="76" t="b">
        <v>0</v>
      </c>
      <c r="AM508" s="78">
        <v>45035.008310185185</v>
      </c>
      <c r="AN508" s="76"/>
      <c r="AO508" s="76" t="s">
        <v>23782</v>
      </c>
      <c r="AP508" s="83" t="str">
        <f>HYPERLINK("https://t.co/XgdTKlpLiG")</f>
        <v>https://t.co/XgdTKlpLiG</v>
      </c>
      <c r="AQ508" s="83" t="str">
        <f>HYPERLINK("https://bit.ly/Marmita_Fitness_saudavel")</f>
        <v>https://bit.ly/Marmita_Fitness_saudavel</v>
      </c>
      <c r="AR508" s="76" t="s">
        <v>24532</v>
      </c>
      <c r="AS508" s="76"/>
      <c r="AT508" s="76"/>
      <c r="AU508" s="76"/>
      <c r="AV508" s="76"/>
      <c r="AW508" s="83" t="str">
        <f>HYPERLINK("https://t.co/XgdTKlpLiG")</f>
        <v>https://t.co/XgdTKlpLiG</v>
      </c>
      <c r="AX508" s="76" t="b">
        <v>0</v>
      </c>
      <c r="AY508" s="76"/>
      <c r="AZ508" s="76"/>
      <c r="BA508" s="76" t="b">
        <v>0</v>
      </c>
      <c r="BB508" s="76" t="b">
        <v>1</v>
      </c>
      <c r="BC508" s="76" t="b">
        <v>1</v>
      </c>
      <c r="BD508" s="76" t="b">
        <v>0</v>
      </c>
      <c r="BE508" s="76" t="b">
        <v>0</v>
      </c>
      <c r="BF508" s="76" t="b">
        <v>0</v>
      </c>
      <c r="BG508" s="76" t="b">
        <v>0</v>
      </c>
      <c r="BH508" s="83" t="str">
        <f>HYPERLINK("https://pbs.twimg.com/profile_banners/1648479447765635073/1681863514")</f>
        <v>https://pbs.twimg.com/profile_banners/1648479447765635073/1681863514</v>
      </c>
      <c r="BI508" s="76"/>
      <c r="BJ508" s="76" t="s">
        <v>24935</v>
      </c>
      <c r="BK508" s="76" t="b">
        <v>0</v>
      </c>
      <c r="BL508" s="76"/>
      <c r="BM508" s="76" t="s">
        <v>66</v>
      </c>
      <c r="BN508" s="76" t="s">
        <v>24937</v>
      </c>
      <c r="BO508" s="83" t="str">
        <f>HYPERLINK("https://twitter.com/marmitafit23")</f>
        <v>https://twitter.com/marmitafit23</v>
      </c>
      <c r="BP508" s="2"/>
    </row>
    <row r="509" spans="1:68" x14ac:dyDescent="0.25">
      <c r="A509" s="62" t="s">
        <v>706</v>
      </c>
      <c r="B509" s="63"/>
      <c r="C509" s="63"/>
      <c r="D509" s="64"/>
      <c r="E509" s="66"/>
      <c r="F509" s="102" t="str">
        <f>HYPERLINK("https://pbs.twimg.com/profile_images/1659773050605252614/e-8a1CsW_normal.jpg")</f>
        <v>https://pbs.twimg.com/profile_images/1659773050605252614/e-8a1CsW_normal.jpg</v>
      </c>
      <c r="G509" s="63"/>
      <c r="H509" s="67"/>
      <c r="I509" s="68"/>
      <c r="J509" s="68"/>
      <c r="K509" s="67" t="s">
        <v>25443</v>
      </c>
      <c r="L509" s="71"/>
      <c r="M509" s="72"/>
      <c r="N509" s="72"/>
      <c r="O509" s="73"/>
      <c r="P509" s="74"/>
      <c r="Q509" s="74"/>
      <c r="R509" s="86"/>
      <c r="S509" s="86"/>
      <c r="T509" s="86"/>
      <c r="U509" s="86"/>
      <c r="V509" s="48"/>
      <c r="W509" s="48"/>
      <c r="X509" s="48"/>
      <c r="Y509" s="48"/>
      <c r="Z509" s="47"/>
      <c r="AA509" s="69">
        <v>509</v>
      </c>
      <c r="AB509" s="69"/>
      <c r="AC509" s="70"/>
      <c r="AD509" s="76" t="s">
        <v>22310</v>
      </c>
      <c r="AE509" s="81" t="s">
        <v>21374</v>
      </c>
      <c r="AF509" s="76">
        <v>8</v>
      </c>
      <c r="AG509" s="76">
        <v>91</v>
      </c>
      <c r="AH509" s="76">
        <v>78</v>
      </c>
      <c r="AI509" s="76">
        <v>0</v>
      </c>
      <c r="AJ509" s="76">
        <v>26</v>
      </c>
      <c r="AK509" s="76">
        <v>19</v>
      </c>
      <c r="AL509" s="76" t="b">
        <v>0</v>
      </c>
      <c r="AM509" s="78">
        <v>42838.483738425923</v>
      </c>
      <c r="AN509" s="76"/>
      <c r="AO509" s="76" t="s">
        <v>23783</v>
      </c>
      <c r="AP509" s="76"/>
      <c r="AQ509" s="76"/>
      <c r="AR509" s="76"/>
      <c r="AS509" s="83" t="str">
        <f>HYPERLINK("https://t.co/bJlcbjnI3F")</f>
        <v>https://t.co/bJlcbjnI3F</v>
      </c>
      <c r="AT509" s="83" t="str">
        <f>HYPERLINK("https://instagram.com/alyne.aguiar.75?igshid=MzNlNGNkZWQ4Mg==")</f>
        <v>https://instagram.com/alyne.aguiar.75?igshid=MzNlNGNkZWQ4Mg==</v>
      </c>
      <c r="AU509" s="76" t="s">
        <v>24882</v>
      </c>
      <c r="AV509" s="76">
        <v>1.0373242677451599E+18</v>
      </c>
      <c r="AW509" s="76"/>
      <c r="AX509" s="76" t="b">
        <v>0</v>
      </c>
      <c r="AY509" s="76"/>
      <c r="AZ509" s="76"/>
      <c r="BA509" s="76" t="b">
        <v>0</v>
      </c>
      <c r="BB509" s="76" t="b">
        <v>1</v>
      </c>
      <c r="BC509" s="76" t="b">
        <v>1</v>
      </c>
      <c r="BD509" s="76" t="b">
        <v>0</v>
      </c>
      <c r="BE509" s="76" t="b">
        <v>1</v>
      </c>
      <c r="BF509" s="76" t="b">
        <v>0</v>
      </c>
      <c r="BG509" s="76" t="b">
        <v>0</v>
      </c>
      <c r="BH509" s="83" t="str">
        <f>HYPERLINK("https://pbs.twimg.com/profile_banners/852485663144513536/1587870261")</f>
        <v>https://pbs.twimg.com/profile_banners/852485663144513536/1587870261</v>
      </c>
      <c r="BI509" s="76"/>
      <c r="BJ509" s="76" t="s">
        <v>24935</v>
      </c>
      <c r="BK509" s="76" t="b">
        <v>0</v>
      </c>
      <c r="BL509" s="76"/>
      <c r="BM509" s="76" t="s">
        <v>66</v>
      </c>
      <c r="BN509" s="76" t="s">
        <v>24937</v>
      </c>
      <c r="BO509" s="83" t="str">
        <f>HYPERLINK("https://twitter.com/alyneaguiar5")</f>
        <v>https://twitter.com/alyneaguiar5</v>
      </c>
      <c r="BP509" s="2"/>
    </row>
    <row r="510" spans="1:68" x14ac:dyDescent="0.25">
      <c r="A510" s="62" t="s">
        <v>707</v>
      </c>
      <c r="B510" s="63"/>
      <c r="C510" s="63"/>
      <c r="D510" s="64"/>
      <c r="E510" s="66"/>
      <c r="F510" s="102" t="str">
        <f>HYPERLINK("https://pbs.twimg.com/profile_images/1661383511930970122/38zQfcEj_normal.jpg")</f>
        <v>https://pbs.twimg.com/profile_images/1661383511930970122/38zQfcEj_normal.jpg</v>
      </c>
      <c r="G510" s="63"/>
      <c r="H510" s="67"/>
      <c r="I510" s="68"/>
      <c r="J510" s="68"/>
      <c r="K510" s="67" t="s">
        <v>25444</v>
      </c>
      <c r="L510" s="71"/>
      <c r="M510" s="72"/>
      <c r="N510" s="72"/>
      <c r="O510" s="73"/>
      <c r="P510" s="74"/>
      <c r="Q510" s="74"/>
      <c r="R510" s="86"/>
      <c r="S510" s="86"/>
      <c r="T510" s="86"/>
      <c r="U510" s="86"/>
      <c r="V510" s="48"/>
      <c r="W510" s="48"/>
      <c r="X510" s="48"/>
      <c r="Y510" s="48"/>
      <c r="Z510" s="47"/>
      <c r="AA510" s="69">
        <v>510</v>
      </c>
      <c r="AB510" s="69"/>
      <c r="AC510" s="70"/>
      <c r="AD510" s="76" t="s">
        <v>22311</v>
      </c>
      <c r="AE510" s="81" t="s">
        <v>22957</v>
      </c>
      <c r="AF510" s="76">
        <v>52</v>
      </c>
      <c r="AG510" s="76">
        <v>85</v>
      </c>
      <c r="AH510" s="76">
        <v>960</v>
      </c>
      <c r="AI510" s="76">
        <v>0</v>
      </c>
      <c r="AJ510" s="76">
        <v>1013</v>
      </c>
      <c r="AK510" s="76">
        <v>55</v>
      </c>
      <c r="AL510" s="76" t="b">
        <v>0</v>
      </c>
      <c r="AM510" s="78">
        <v>40501.090763888889</v>
      </c>
      <c r="AN510" s="76" t="s">
        <v>23187</v>
      </c>
      <c r="AO510" s="76" t="s">
        <v>23784</v>
      </c>
      <c r="AP510" s="83" t="str">
        <f>HYPERLINK("https://t.co/Ht7kBFWCpI")</f>
        <v>https://t.co/Ht7kBFWCpI</v>
      </c>
      <c r="AQ510" s="83" t="str">
        <f>HYPERLINK("https://ahz.bio/leonardoafonsomachado")</f>
        <v>https://ahz.bio/leonardoafonsomachado</v>
      </c>
      <c r="AR510" s="76" t="s">
        <v>24533</v>
      </c>
      <c r="AS510" s="76"/>
      <c r="AT510" s="76"/>
      <c r="AU510" s="76"/>
      <c r="AV510" s="76"/>
      <c r="AW510" s="83" t="str">
        <f>HYPERLINK("https://t.co/Ht7kBFWCpI")</f>
        <v>https://t.co/Ht7kBFWCpI</v>
      </c>
      <c r="AX510" s="76" t="b">
        <v>0</v>
      </c>
      <c r="AY510" s="76"/>
      <c r="AZ510" s="76"/>
      <c r="BA510" s="76" t="b">
        <v>1</v>
      </c>
      <c r="BB510" s="76" t="b">
        <v>1</v>
      </c>
      <c r="BC510" s="76" t="b">
        <v>0</v>
      </c>
      <c r="BD510" s="76" t="b">
        <v>0</v>
      </c>
      <c r="BE510" s="76" t="b">
        <v>0</v>
      </c>
      <c r="BF510" s="76" t="b">
        <v>0</v>
      </c>
      <c r="BG510" s="76" t="b">
        <v>0</v>
      </c>
      <c r="BH510" s="83" t="str">
        <f>HYPERLINK("https://pbs.twimg.com/profile_banners/217277469/1613834357")</f>
        <v>https://pbs.twimg.com/profile_banners/217277469/1613834357</v>
      </c>
      <c r="BI510" s="76"/>
      <c r="BJ510" s="76" t="s">
        <v>24935</v>
      </c>
      <c r="BK510" s="76" t="b">
        <v>0</v>
      </c>
      <c r="BL510" s="76"/>
      <c r="BM510" s="76" t="s">
        <v>66</v>
      </c>
      <c r="BN510" s="76" t="s">
        <v>24937</v>
      </c>
      <c r="BO510" s="83" t="str">
        <f>HYPERLINK("https://twitter.com/leoamachado")</f>
        <v>https://twitter.com/leoamachado</v>
      </c>
      <c r="BP510" s="2"/>
    </row>
    <row r="511" spans="1:68" x14ac:dyDescent="0.25">
      <c r="A511" s="62" t="s">
        <v>708</v>
      </c>
      <c r="B511" s="63"/>
      <c r="C511" s="63"/>
      <c r="D511" s="64"/>
      <c r="E511" s="66"/>
      <c r="F511" s="102" t="str">
        <f>HYPERLINK("https://pbs.twimg.com/profile_images/1648771185235165184/WFqM_Jlh_normal.jpg")</f>
        <v>https://pbs.twimg.com/profile_images/1648771185235165184/WFqM_Jlh_normal.jpg</v>
      </c>
      <c r="G511" s="63"/>
      <c r="H511" s="67"/>
      <c r="I511" s="68"/>
      <c r="J511" s="68"/>
      <c r="K511" s="67" t="s">
        <v>25445</v>
      </c>
      <c r="L511" s="71"/>
      <c r="M511" s="72"/>
      <c r="N511" s="72"/>
      <c r="O511" s="73"/>
      <c r="P511" s="74"/>
      <c r="Q511" s="74"/>
      <c r="R511" s="86"/>
      <c r="S511" s="86"/>
      <c r="T511" s="86"/>
      <c r="U511" s="86"/>
      <c r="V511" s="48"/>
      <c r="W511" s="48"/>
      <c r="X511" s="48"/>
      <c r="Y511" s="48"/>
      <c r="Z511" s="47"/>
      <c r="AA511" s="69">
        <v>511</v>
      </c>
      <c r="AB511" s="69"/>
      <c r="AC511" s="70"/>
      <c r="AD511" s="76" t="s">
        <v>22312</v>
      </c>
      <c r="AE511" s="81" t="s">
        <v>20938</v>
      </c>
      <c r="AF511" s="76">
        <v>159</v>
      </c>
      <c r="AG511" s="76">
        <v>28</v>
      </c>
      <c r="AH511" s="76">
        <v>396</v>
      </c>
      <c r="AI511" s="76">
        <v>0</v>
      </c>
      <c r="AJ511" s="76">
        <v>32</v>
      </c>
      <c r="AK511" s="76">
        <v>271</v>
      </c>
      <c r="AL511" s="76" t="b">
        <v>0</v>
      </c>
      <c r="AM511" s="78">
        <v>44692.556284722225</v>
      </c>
      <c r="AN511" s="76"/>
      <c r="AO511" s="76" t="s">
        <v>23785</v>
      </c>
      <c r="AP511" s="83" t="str">
        <f>HYPERLINK("https://t.co/q0EseDnvva")</f>
        <v>https://t.co/q0EseDnvva</v>
      </c>
      <c r="AQ511" s="83" t="str">
        <f>HYPERLINK("https://betbolacom.page.link/Twitter")</f>
        <v>https://betbolacom.page.link/Twitter</v>
      </c>
      <c r="AR511" s="76" t="s">
        <v>24534</v>
      </c>
      <c r="AS511" s="76"/>
      <c r="AT511" s="76"/>
      <c r="AU511" s="76"/>
      <c r="AV511" s="76">
        <v>1.64908226131523E+18</v>
      </c>
      <c r="AW511" s="83" t="str">
        <f>HYPERLINK("https://t.co/q0EseDnvva")</f>
        <v>https://t.co/q0EseDnvva</v>
      </c>
      <c r="AX511" s="76" t="b">
        <v>0</v>
      </c>
      <c r="AY511" s="76"/>
      <c r="AZ511" s="76"/>
      <c r="BA511" s="76" t="b">
        <v>0</v>
      </c>
      <c r="BB511" s="76" t="b">
        <v>1</v>
      </c>
      <c r="BC511" s="76" t="b">
        <v>1</v>
      </c>
      <c r="BD511" s="76" t="b">
        <v>0</v>
      </c>
      <c r="BE511" s="76" t="b">
        <v>0</v>
      </c>
      <c r="BF511" s="76" t="b">
        <v>0</v>
      </c>
      <c r="BG511" s="76" t="b">
        <v>0</v>
      </c>
      <c r="BH511" s="83" t="str">
        <f>HYPERLINK("https://pbs.twimg.com/profile_banners/1524378952625700869/1675352384")</f>
        <v>https://pbs.twimg.com/profile_banners/1524378952625700869/1675352384</v>
      </c>
      <c r="BI511" s="76"/>
      <c r="BJ511" s="76" t="s">
        <v>24935</v>
      </c>
      <c r="BK511" s="76" t="b">
        <v>0</v>
      </c>
      <c r="BL511" s="76"/>
      <c r="BM511" s="76" t="s">
        <v>66</v>
      </c>
      <c r="BN511" s="76" t="s">
        <v>24937</v>
      </c>
      <c r="BO511" s="83" t="str">
        <f>HYPERLINK("https://twitter.com/6de6_palpites")</f>
        <v>https://twitter.com/6de6_palpites</v>
      </c>
      <c r="BP511" s="2"/>
    </row>
    <row r="512" spans="1:68" x14ac:dyDescent="0.25">
      <c r="A512" s="62" t="s">
        <v>1261</v>
      </c>
      <c r="B512" s="63"/>
      <c r="C512" s="63"/>
      <c r="D512" s="64"/>
      <c r="E512" s="66"/>
      <c r="F512" s="102" t="str">
        <f>HYPERLINK("https://pbs.twimg.com/profile_images/1592610652681551872/NJIBvrU6_normal.jpg")</f>
        <v>https://pbs.twimg.com/profile_images/1592610652681551872/NJIBvrU6_normal.jpg</v>
      </c>
      <c r="G512" s="63"/>
      <c r="H512" s="67"/>
      <c r="I512" s="68"/>
      <c r="J512" s="68"/>
      <c r="K512" s="67" t="s">
        <v>25446</v>
      </c>
      <c r="L512" s="71"/>
      <c r="M512" s="72"/>
      <c r="N512" s="72"/>
      <c r="O512" s="73"/>
      <c r="P512" s="74"/>
      <c r="Q512" s="74"/>
      <c r="R512" s="86"/>
      <c r="S512" s="86"/>
      <c r="T512" s="86"/>
      <c r="U512" s="86"/>
      <c r="V512" s="48"/>
      <c r="W512" s="48"/>
      <c r="X512" s="48"/>
      <c r="Y512" s="48"/>
      <c r="Z512" s="47"/>
      <c r="AA512" s="69">
        <v>512</v>
      </c>
      <c r="AB512" s="69"/>
      <c r="AC512" s="70"/>
      <c r="AD512" s="76" t="s">
        <v>22313</v>
      </c>
      <c r="AE512" s="81" t="s">
        <v>22958</v>
      </c>
      <c r="AF512" s="76">
        <v>570452</v>
      </c>
      <c r="AG512" s="76">
        <v>1824</v>
      </c>
      <c r="AH512" s="76">
        <v>110930</v>
      </c>
      <c r="AI512" s="76">
        <v>705</v>
      </c>
      <c r="AJ512" s="76">
        <v>64061</v>
      </c>
      <c r="AK512" s="76">
        <v>28295</v>
      </c>
      <c r="AL512" s="76" t="b">
        <v>0</v>
      </c>
      <c r="AM512" s="78">
        <v>39924.979895833334</v>
      </c>
      <c r="AN512" s="76" t="s">
        <v>14116</v>
      </c>
      <c r="AO512" s="76" t="s">
        <v>23786</v>
      </c>
      <c r="AP512" s="83" t="str">
        <f>HYPERLINK("https://t.co/aPZGA9ly3h")</f>
        <v>https://t.co/aPZGA9ly3h</v>
      </c>
      <c r="AQ512" s="83" t="str">
        <f>HYPERLINK("https://www.youtube.com/paparazzorubronegro")</f>
        <v>https://www.youtube.com/paparazzorubronegro</v>
      </c>
      <c r="AR512" s="76" t="s">
        <v>24535</v>
      </c>
      <c r="AS512" s="83" t="str">
        <f>HYPERLINK("https://t.co/pYvDB6LpVH")</f>
        <v>https://t.co/pYvDB6LpVH</v>
      </c>
      <c r="AT512" s="83" t="str">
        <f>HYPERLINK("http://YouTube.com/paparazzorubronegro")</f>
        <v>http://YouTube.com/paparazzorubronegro</v>
      </c>
      <c r="AU512" s="76" t="s">
        <v>24883</v>
      </c>
      <c r="AV512" s="76">
        <v>1.7063720971764401E+18</v>
      </c>
      <c r="AW512" s="83" t="str">
        <f>HYPERLINK("https://t.co/aPZGA9ly3h")</f>
        <v>https://t.co/aPZGA9ly3h</v>
      </c>
      <c r="AX512" s="76" t="b">
        <v>1</v>
      </c>
      <c r="AY512" s="76"/>
      <c r="AZ512" s="76"/>
      <c r="BA512" s="76" t="b">
        <v>0</v>
      </c>
      <c r="BB512" s="76" t="b">
        <v>1</v>
      </c>
      <c r="BC512" s="76" t="b">
        <v>0</v>
      </c>
      <c r="BD512" s="76" t="b">
        <v>0</v>
      </c>
      <c r="BE512" s="76" t="b">
        <v>1</v>
      </c>
      <c r="BF512" s="76" t="b">
        <v>0</v>
      </c>
      <c r="BG512" s="76" t="b">
        <v>0</v>
      </c>
      <c r="BH512" s="83" t="str">
        <f>HYPERLINK("https://pbs.twimg.com/profile_banners/34090165/1668543339")</f>
        <v>https://pbs.twimg.com/profile_banners/34090165/1668543339</v>
      </c>
      <c r="BI512" s="76"/>
      <c r="BJ512" s="76" t="s">
        <v>24935</v>
      </c>
      <c r="BK512" s="76" t="b">
        <v>0</v>
      </c>
      <c r="BL512" s="76"/>
      <c r="BM512" s="76" t="s">
        <v>65</v>
      </c>
      <c r="BN512" s="76" t="s">
        <v>24937</v>
      </c>
      <c r="BO512" s="83" t="str">
        <f>HYPERLINK("https://twitter.com/paparazzorn")</f>
        <v>https://twitter.com/paparazzorn</v>
      </c>
      <c r="BP512" s="2"/>
    </row>
    <row r="513" spans="1:68" x14ac:dyDescent="0.25">
      <c r="A513" s="62" t="s">
        <v>709</v>
      </c>
      <c r="B513" s="63"/>
      <c r="C513" s="63"/>
      <c r="D513" s="64"/>
      <c r="E513" s="66"/>
      <c r="F513" s="102" t="str">
        <f>HYPERLINK("https://pbs.twimg.com/profile_images/1639824031581978625/J9bv4EWP_normal.jpg")</f>
        <v>https://pbs.twimg.com/profile_images/1639824031581978625/J9bv4EWP_normal.jpg</v>
      </c>
      <c r="G513" s="63"/>
      <c r="H513" s="67"/>
      <c r="I513" s="68"/>
      <c r="J513" s="68"/>
      <c r="K513" s="67" t="s">
        <v>25447</v>
      </c>
      <c r="L513" s="71"/>
      <c r="M513" s="72"/>
      <c r="N513" s="72"/>
      <c r="O513" s="73"/>
      <c r="P513" s="74"/>
      <c r="Q513" s="74"/>
      <c r="R513" s="86"/>
      <c r="S513" s="86"/>
      <c r="T513" s="86"/>
      <c r="U513" s="86"/>
      <c r="V513" s="48"/>
      <c r="W513" s="48"/>
      <c r="X513" s="48"/>
      <c r="Y513" s="48"/>
      <c r="Z513" s="47"/>
      <c r="AA513" s="69">
        <v>513</v>
      </c>
      <c r="AB513" s="69"/>
      <c r="AC513" s="70"/>
      <c r="AD513" s="76" t="s">
        <v>22314</v>
      </c>
      <c r="AE513" s="81" t="s">
        <v>21375</v>
      </c>
      <c r="AF513" s="76">
        <v>2</v>
      </c>
      <c r="AG513" s="76">
        <v>8</v>
      </c>
      <c r="AH513" s="76">
        <v>9</v>
      </c>
      <c r="AI513" s="76">
        <v>0</v>
      </c>
      <c r="AJ513" s="76">
        <v>0</v>
      </c>
      <c r="AK513" s="76">
        <v>7</v>
      </c>
      <c r="AL513" s="76" t="b">
        <v>0</v>
      </c>
      <c r="AM513" s="78">
        <v>44986.824016203704</v>
      </c>
      <c r="AN513" s="76"/>
      <c r="AO513" s="76" t="s">
        <v>23787</v>
      </c>
      <c r="AP513" s="83" t="str">
        <f>HYPERLINK("https://t.co/7NWynCvlfp")</f>
        <v>https://t.co/7NWynCvlfp</v>
      </c>
      <c r="AQ513" s="83" t="str">
        <f>HYPERLINK("https://linktr.ee/Fm40k")</f>
        <v>https://linktr.ee/Fm40k</v>
      </c>
      <c r="AR513" s="76" t="s">
        <v>24536</v>
      </c>
      <c r="AS513" s="76"/>
      <c r="AT513" s="76"/>
      <c r="AU513" s="76"/>
      <c r="AV513" s="76"/>
      <c r="AW513" s="83" t="str">
        <f>HYPERLINK("https://t.co/7NWynCvlfp")</f>
        <v>https://t.co/7NWynCvlfp</v>
      </c>
      <c r="AX513" s="76" t="b">
        <v>0</v>
      </c>
      <c r="AY513" s="76"/>
      <c r="AZ513" s="76"/>
      <c r="BA513" s="76" t="b">
        <v>0</v>
      </c>
      <c r="BB513" s="76" t="b">
        <v>1</v>
      </c>
      <c r="BC513" s="76" t="b">
        <v>1</v>
      </c>
      <c r="BD513" s="76" t="b">
        <v>0</v>
      </c>
      <c r="BE513" s="76" t="b">
        <v>0</v>
      </c>
      <c r="BF513" s="76" t="b">
        <v>0</v>
      </c>
      <c r="BG513" s="76" t="b">
        <v>0</v>
      </c>
      <c r="BH513" s="83" t="str">
        <f>HYPERLINK("https://pbs.twimg.com/profile_banners/1631018036021927937/1679252120")</f>
        <v>https://pbs.twimg.com/profile_banners/1631018036021927937/1679252120</v>
      </c>
      <c r="BI513" s="76"/>
      <c r="BJ513" s="76" t="s">
        <v>24935</v>
      </c>
      <c r="BK513" s="76" t="b">
        <v>0</v>
      </c>
      <c r="BL513" s="76"/>
      <c r="BM513" s="76" t="s">
        <v>66</v>
      </c>
      <c r="BN513" s="76" t="s">
        <v>24937</v>
      </c>
      <c r="BO513" s="83" t="str">
        <f>HYPERLINK("https://twitter.com/dekowins")</f>
        <v>https://twitter.com/dekowins</v>
      </c>
      <c r="BP513" s="2"/>
    </row>
    <row r="514" spans="1:68" x14ac:dyDescent="0.25">
      <c r="A514" s="62" t="s">
        <v>710</v>
      </c>
      <c r="B514" s="63"/>
      <c r="C514" s="63"/>
      <c r="D514" s="64"/>
      <c r="E514" s="66"/>
      <c r="F514" s="102" t="str">
        <f>HYPERLINK("https://pbs.twimg.com/profile_images/1514737154748035075/-ragYi-r_normal.jpg")</f>
        <v>https://pbs.twimg.com/profile_images/1514737154748035075/-ragYi-r_normal.jpg</v>
      </c>
      <c r="G514" s="63"/>
      <c r="H514" s="67"/>
      <c r="I514" s="68"/>
      <c r="J514" s="68"/>
      <c r="K514" s="67" t="s">
        <v>25448</v>
      </c>
      <c r="L514" s="71"/>
      <c r="M514" s="72"/>
      <c r="N514" s="72"/>
      <c r="O514" s="73"/>
      <c r="P514" s="74"/>
      <c r="Q514" s="74"/>
      <c r="R514" s="86"/>
      <c r="S514" s="86"/>
      <c r="T514" s="86"/>
      <c r="U514" s="86"/>
      <c r="V514" s="48"/>
      <c r="W514" s="48"/>
      <c r="X514" s="48"/>
      <c r="Y514" s="48"/>
      <c r="Z514" s="47"/>
      <c r="AA514" s="69">
        <v>514</v>
      </c>
      <c r="AB514" s="69"/>
      <c r="AC514" s="70"/>
      <c r="AD514" s="76" t="s">
        <v>22315</v>
      </c>
      <c r="AE514" s="81" t="s">
        <v>22959</v>
      </c>
      <c r="AF514" s="76">
        <v>74</v>
      </c>
      <c r="AG514" s="76">
        <v>58</v>
      </c>
      <c r="AH514" s="76">
        <v>202</v>
      </c>
      <c r="AI514" s="76">
        <v>1</v>
      </c>
      <c r="AJ514" s="76">
        <v>1</v>
      </c>
      <c r="AK514" s="76">
        <v>93</v>
      </c>
      <c r="AL514" s="76" t="b">
        <v>0</v>
      </c>
      <c r="AM514" s="78">
        <v>39959.553865740738</v>
      </c>
      <c r="AN514" s="76" t="s">
        <v>23215</v>
      </c>
      <c r="AO514" s="76" t="s">
        <v>23788</v>
      </c>
      <c r="AP514" s="83" t="str">
        <f>HYPERLINK("https://t.co/g7zZz6VQdv")</f>
        <v>https://t.co/g7zZz6VQdv</v>
      </c>
      <c r="AQ514" s="83" t="str">
        <f>HYPERLINK("http://luis-soto.com")</f>
        <v>http://luis-soto.com</v>
      </c>
      <c r="AR514" s="76" t="s">
        <v>24537</v>
      </c>
      <c r="AS514" s="76"/>
      <c r="AT514" s="76"/>
      <c r="AU514" s="76"/>
      <c r="AV514" s="76"/>
      <c r="AW514" s="83" t="str">
        <f>HYPERLINK("https://t.co/g7zZz6VQdv")</f>
        <v>https://t.co/g7zZz6VQdv</v>
      </c>
      <c r="AX514" s="76" t="b">
        <v>0</v>
      </c>
      <c r="AY514" s="76"/>
      <c r="AZ514" s="76"/>
      <c r="BA514" s="76" t="b">
        <v>0</v>
      </c>
      <c r="BB514" s="76" t="b">
        <v>1</v>
      </c>
      <c r="BC514" s="76" t="b">
        <v>1</v>
      </c>
      <c r="BD514" s="76" t="b">
        <v>0</v>
      </c>
      <c r="BE514" s="76" t="b">
        <v>0</v>
      </c>
      <c r="BF514" s="76" t="b">
        <v>0</v>
      </c>
      <c r="BG514" s="76" t="b">
        <v>0</v>
      </c>
      <c r="BH514" s="83" t="str">
        <f>HYPERLINK("https://pbs.twimg.com/profile_banners/42621707/1649976990")</f>
        <v>https://pbs.twimg.com/profile_banners/42621707/1649976990</v>
      </c>
      <c r="BI514" s="76"/>
      <c r="BJ514" s="76" t="s">
        <v>24935</v>
      </c>
      <c r="BK514" s="76" t="b">
        <v>0</v>
      </c>
      <c r="BL514" s="76"/>
      <c r="BM514" s="76" t="s">
        <v>66</v>
      </c>
      <c r="BN514" s="76" t="s">
        <v>24937</v>
      </c>
      <c r="BO514" s="83" t="str">
        <f>HYPERLINK("https://twitter.com/luisfcs")</f>
        <v>https://twitter.com/luisfcs</v>
      </c>
      <c r="BP514" s="2"/>
    </row>
    <row r="515" spans="1:68" x14ac:dyDescent="0.25">
      <c r="A515" s="62" t="s">
        <v>711</v>
      </c>
      <c r="B515" s="63"/>
      <c r="C515" s="63"/>
      <c r="D515" s="64"/>
      <c r="E515" s="66"/>
      <c r="F515" s="102" t="str">
        <f>HYPERLINK("https://pbs.twimg.com/profile_images/1570481566039539715/leEExsEx_normal.jpg")</f>
        <v>https://pbs.twimg.com/profile_images/1570481566039539715/leEExsEx_normal.jpg</v>
      </c>
      <c r="G515" s="63"/>
      <c r="H515" s="67"/>
      <c r="I515" s="68"/>
      <c r="J515" s="68"/>
      <c r="K515" s="67" t="s">
        <v>25449</v>
      </c>
      <c r="L515" s="71"/>
      <c r="M515" s="72"/>
      <c r="N515" s="72"/>
      <c r="O515" s="73"/>
      <c r="P515" s="74"/>
      <c r="Q515" s="74"/>
      <c r="R515" s="86"/>
      <c r="S515" s="86"/>
      <c r="T515" s="86"/>
      <c r="U515" s="86"/>
      <c r="V515" s="48"/>
      <c r="W515" s="48"/>
      <c r="X515" s="48"/>
      <c r="Y515" s="48"/>
      <c r="Z515" s="47"/>
      <c r="AA515" s="69">
        <v>515</v>
      </c>
      <c r="AB515" s="69"/>
      <c r="AC515" s="70"/>
      <c r="AD515" s="76" t="s">
        <v>22316</v>
      </c>
      <c r="AE515" s="81" t="s">
        <v>20939</v>
      </c>
      <c r="AF515" s="76">
        <v>203</v>
      </c>
      <c r="AG515" s="76">
        <v>580</v>
      </c>
      <c r="AH515" s="76">
        <v>12201</v>
      </c>
      <c r="AI515" s="76">
        <v>1</v>
      </c>
      <c r="AJ515" s="76">
        <v>11228</v>
      </c>
      <c r="AK515" s="76">
        <v>966</v>
      </c>
      <c r="AL515" s="76" t="b">
        <v>0</v>
      </c>
      <c r="AM515" s="78">
        <v>44172.557199074072</v>
      </c>
      <c r="AN515" s="76" t="s">
        <v>23216</v>
      </c>
      <c r="AO515" s="76" t="s">
        <v>23789</v>
      </c>
      <c r="AP515" s="83" t="str">
        <f>HYPERLINK("https://t.co/ApOjm08EDx")</f>
        <v>https://t.co/ApOjm08EDx</v>
      </c>
      <c r="AQ515" s="83" t="str">
        <f>HYPERLINK("http://www.vagasdeempregosemsalvador.blogspot.com")</f>
        <v>http://www.vagasdeempregosemsalvador.blogspot.com</v>
      </c>
      <c r="AR515" s="76" t="s">
        <v>24538</v>
      </c>
      <c r="AS515" s="83" t="str">
        <f>HYPERLINK("https://t.co/O27gXsXiXF")</f>
        <v>https://t.co/O27gXsXiXF</v>
      </c>
      <c r="AT515" s="83" t="str">
        <f>HYPERLINK("https://salvadorfolhetim.blogspot.com/?m=0")</f>
        <v>https://salvadorfolhetim.blogspot.com/?m=0</v>
      </c>
      <c r="AU515" s="76" t="s">
        <v>24884</v>
      </c>
      <c r="AV515" s="76">
        <v>1.69119467260387E+18</v>
      </c>
      <c r="AW515" s="83" t="str">
        <f>HYPERLINK("https://t.co/ApOjm08EDx")</f>
        <v>https://t.co/ApOjm08EDx</v>
      </c>
      <c r="AX515" s="76" t="b">
        <v>0</v>
      </c>
      <c r="AY515" s="76"/>
      <c r="AZ515" s="76"/>
      <c r="BA515" s="76" t="b">
        <v>0</v>
      </c>
      <c r="BB515" s="76" t="b">
        <v>1</v>
      </c>
      <c r="BC515" s="76" t="b">
        <v>1</v>
      </c>
      <c r="BD515" s="76" t="b">
        <v>0</v>
      </c>
      <c r="BE515" s="76" t="b">
        <v>0</v>
      </c>
      <c r="BF515" s="76" t="b">
        <v>0</v>
      </c>
      <c r="BG515" s="76" t="b">
        <v>0</v>
      </c>
      <c r="BH515" s="83" t="str">
        <f>HYPERLINK("https://pbs.twimg.com/profile_banners/1335937657474527233/1692294290")</f>
        <v>https://pbs.twimg.com/profile_banners/1335937657474527233/1692294290</v>
      </c>
      <c r="BI515" s="76"/>
      <c r="BJ515" s="76" t="s">
        <v>24935</v>
      </c>
      <c r="BK515" s="76" t="b">
        <v>0</v>
      </c>
      <c r="BL515" s="76"/>
      <c r="BM515" s="76" t="s">
        <v>66</v>
      </c>
      <c r="BN515" s="76" t="s">
        <v>24937</v>
      </c>
      <c r="BO515" s="83" t="str">
        <f>HYPERLINK("https://twitter.com/vagasdesalvador")</f>
        <v>https://twitter.com/vagasdesalvador</v>
      </c>
      <c r="BP515" s="2"/>
    </row>
    <row r="516" spans="1:68" x14ac:dyDescent="0.25">
      <c r="A516" s="62" t="s">
        <v>712</v>
      </c>
      <c r="B516" s="63"/>
      <c r="C516" s="63"/>
      <c r="D516" s="64"/>
      <c r="E516" s="66"/>
      <c r="F516" s="102" t="str">
        <f>HYPERLINK("https://pbs.twimg.com/profile_images/1126558090571276288/qnfdKR_c_normal.jpg")</f>
        <v>https://pbs.twimg.com/profile_images/1126558090571276288/qnfdKR_c_normal.jpg</v>
      </c>
      <c r="G516" s="63"/>
      <c r="H516" s="67"/>
      <c r="I516" s="68"/>
      <c r="J516" s="68"/>
      <c r="K516" s="67" t="s">
        <v>25450</v>
      </c>
      <c r="L516" s="71"/>
      <c r="M516" s="72"/>
      <c r="N516" s="72"/>
      <c r="O516" s="73"/>
      <c r="P516" s="74"/>
      <c r="Q516" s="74"/>
      <c r="R516" s="86"/>
      <c r="S516" s="86"/>
      <c r="T516" s="86"/>
      <c r="U516" s="86"/>
      <c r="V516" s="48"/>
      <c r="W516" s="48"/>
      <c r="X516" s="48"/>
      <c r="Y516" s="48"/>
      <c r="Z516" s="47"/>
      <c r="AA516" s="69">
        <v>516</v>
      </c>
      <c r="AB516" s="69"/>
      <c r="AC516" s="70"/>
      <c r="AD516" s="76" t="s">
        <v>22317</v>
      </c>
      <c r="AE516" s="81" t="s">
        <v>21376</v>
      </c>
      <c r="AF516" s="76">
        <v>1868</v>
      </c>
      <c r="AG516" s="76">
        <v>28</v>
      </c>
      <c r="AH516" s="76">
        <v>916</v>
      </c>
      <c r="AI516" s="76">
        <v>2</v>
      </c>
      <c r="AJ516" s="76">
        <v>30</v>
      </c>
      <c r="AK516" s="76">
        <v>245</v>
      </c>
      <c r="AL516" s="76" t="b">
        <v>0</v>
      </c>
      <c r="AM516" s="78">
        <v>43579.943078703705</v>
      </c>
      <c r="AN516" s="76"/>
      <c r="AO516" s="76" t="s">
        <v>23790</v>
      </c>
      <c r="AP516" s="83" t="str">
        <f>HYPERLINK("https://t.co/xVJbDvUnMS")</f>
        <v>https://t.co/xVJbDvUnMS</v>
      </c>
      <c r="AQ516" s="83" t="str">
        <f>HYPERLINK("http://www.trilhacerta.com")</f>
        <v>http://www.trilhacerta.com</v>
      </c>
      <c r="AR516" s="76" t="s">
        <v>7382</v>
      </c>
      <c r="AS516" s="76"/>
      <c r="AT516" s="76"/>
      <c r="AU516" s="76"/>
      <c r="AV516" s="76"/>
      <c r="AW516" s="83" t="str">
        <f>HYPERLINK("https://t.co/xVJbDvUnMS")</f>
        <v>https://t.co/xVJbDvUnMS</v>
      </c>
      <c r="AX516" s="76" t="b">
        <v>0</v>
      </c>
      <c r="AY516" s="76"/>
      <c r="AZ516" s="76"/>
      <c r="BA516" s="76" t="b">
        <v>0</v>
      </c>
      <c r="BB516" s="76" t="b">
        <v>1</v>
      </c>
      <c r="BC516" s="76" t="b">
        <v>1</v>
      </c>
      <c r="BD516" s="76" t="b">
        <v>0</v>
      </c>
      <c r="BE516" s="76" t="b">
        <v>1</v>
      </c>
      <c r="BF516" s="76" t="b">
        <v>0</v>
      </c>
      <c r="BG516" s="76" t="b">
        <v>0</v>
      </c>
      <c r="BH516" s="83" t="str">
        <f>HYPERLINK("https://pbs.twimg.com/profile_banners/1121181531593113601/1557427355")</f>
        <v>https://pbs.twimg.com/profile_banners/1121181531593113601/1557427355</v>
      </c>
      <c r="BI516" s="76"/>
      <c r="BJ516" s="76" t="s">
        <v>24935</v>
      </c>
      <c r="BK516" s="76" t="b">
        <v>0</v>
      </c>
      <c r="BL516" s="76"/>
      <c r="BM516" s="76" t="s">
        <v>66</v>
      </c>
      <c r="BN516" s="76" t="s">
        <v>24937</v>
      </c>
      <c r="BO516" s="83" t="str">
        <f>HYPERLINK("https://twitter.com/santoscancio")</f>
        <v>https://twitter.com/santoscancio</v>
      </c>
      <c r="BP516" s="2"/>
    </row>
    <row r="517" spans="1:68" x14ac:dyDescent="0.25">
      <c r="A517" s="62" t="s">
        <v>713</v>
      </c>
      <c r="B517" s="63"/>
      <c r="C517" s="63"/>
      <c r="D517" s="64"/>
      <c r="E517" s="66"/>
      <c r="F517" s="102" t="str">
        <f>HYPERLINK("https://pbs.twimg.com/profile_images/1555346668668817408/SIgdwuDX_normal.jpg")</f>
        <v>https://pbs.twimg.com/profile_images/1555346668668817408/SIgdwuDX_normal.jpg</v>
      </c>
      <c r="G517" s="63"/>
      <c r="H517" s="67"/>
      <c r="I517" s="68"/>
      <c r="J517" s="68"/>
      <c r="K517" s="67" t="s">
        <v>25451</v>
      </c>
      <c r="L517" s="71"/>
      <c r="M517" s="72"/>
      <c r="N517" s="72"/>
      <c r="O517" s="73"/>
      <c r="P517" s="74"/>
      <c r="Q517" s="74"/>
      <c r="R517" s="86"/>
      <c r="S517" s="86"/>
      <c r="T517" s="86"/>
      <c r="U517" s="86"/>
      <c r="V517" s="48"/>
      <c r="W517" s="48"/>
      <c r="X517" s="48"/>
      <c r="Y517" s="48"/>
      <c r="Z517" s="47"/>
      <c r="AA517" s="69">
        <v>517</v>
      </c>
      <c r="AB517" s="69"/>
      <c r="AC517" s="70"/>
      <c r="AD517" s="76" t="s">
        <v>22318</v>
      </c>
      <c r="AE517" s="81" t="s">
        <v>22960</v>
      </c>
      <c r="AF517" s="76">
        <v>186</v>
      </c>
      <c r="AG517" s="76">
        <v>1110</v>
      </c>
      <c r="AH517" s="76">
        <v>955</v>
      </c>
      <c r="AI517" s="76">
        <v>0</v>
      </c>
      <c r="AJ517" s="76">
        <v>177</v>
      </c>
      <c r="AK517" s="76">
        <v>487</v>
      </c>
      <c r="AL517" s="76" t="b">
        <v>0</v>
      </c>
      <c r="AM517" s="78">
        <v>40365.986435185187</v>
      </c>
      <c r="AN517" s="76" t="s">
        <v>14033</v>
      </c>
      <c r="AO517" s="76" t="s">
        <v>23791</v>
      </c>
      <c r="AP517" s="83" t="str">
        <f>HYPERLINK("https://t.co/WsoLEJBZS6")</f>
        <v>https://t.co/WsoLEJBZS6</v>
      </c>
      <c r="AQ517" s="83" t="str">
        <f>HYPERLINK("https://ganhedinheiroagoratopdicas.com/")</f>
        <v>https://ganhedinheiroagoratopdicas.com/</v>
      </c>
      <c r="AR517" s="76" t="s">
        <v>24539</v>
      </c>
      <c r="AS517" s="76"/>
      <c r="AT517" s="76"/>
      <c r="AU517" s="76"/>
      <c r="AV517" s="76">
        <v>1.7060659769855501E+18</v>
      </c>
      <c r="AW517" s="83" t="str">
        <f>HYPERLINK("https://t.co/WsoLEJBZS6")</f>
        <v>https://t.co/WsoLEJBZS6</v>
      </c>
      <c r="AX517" s="76" t="b">
        <v>0</v>
      </c>
      <c r="AY517" s="76"/>
      <c r="AZ517" s="76"/>
      <c r="BA517" s="76" t="b">
        <v>0</v>
      </c>
      <c r="BB517" s="76" t="b">
        <v>1</v>
      </c>
      <c r="BC517" s="76" t="b">
        <v>1</v>
      </c>
      <c r="BD517" s="76" t="b">
        <v>0</v>
      </c>
      <c r="BE517" s="76" t="b">
        <v>0</v>
      </c>
      <c r="BF517" s="76" t="b">
        <v>0</v>
      </c>
      <c r="BG517" s="76" t="b">
        <v>1</v>
      </c>
      <c r="BH517" s="83" t="str">
        <f>HYPERLINK("https://pbs.twimg.com/profile_banners/163652413/1688908461")</f>
        <v>https://pbs.twimg.com/profile_banners/163652413/1688908461</v>
      </c>
      <c r="BI517" s="76"/>
      <c r="BJ517" s="76" t="s">
        <v>24935</v>
      </c>
      <c r="BK517" s="76" t="b">
        <v>0</v>
      </c>
      <c r="BL517" s="76"/>
      <c r="BM517" s="76" t="s">
        <v>66</v>
      </c>
      <c r="BN517" s="76" t="s">
        <v>24937</v>
      </c>
      <c r="BO517" s="83" t="str">
        <f>HYPERLINK("https://twitter.com/alx2002")</f>
        <v>https://twitter.com/alx2002</v>
      </c>
      <c r="BP517" s="2"/>
    </row>
    <row r="518" spans="1:68" x14ac:dyDescent="0.25">
      <c r="A518" s="62" t="s">
        <v>714</v>
      </c>
      <c r="B518" s="63"/>
      <c r="C518" s="63"/>
      <c r="D518" s="64"/>
      <c r="E518" s="66"/>
      <c r="F518" s="102" t="str">
        <f>HYPERLINK("https://pbs.twimg.com/profile_images/1578159015749910528/_ckRZtza_normal.jpg")</f>
        <v>https://pbs.twimg.com/profile_images/1578159015749910528/_ckRZtza_normal.jpg</v>
      </c>
      <c r="G518" s="63"/>
      <c r="H518" s="67"/>
      <c r="I518" s="68"/>
      <c r="J518" s="68"/>
      <c r="K518" s="67" t="s">
        <v>25452</v>
      </c>
      <c r="L518" s="71"/>
      <c r="M518" s="72"/>
      <c r="N518" s="72"/>
      <c r="O518" s="73"/>
      <c r="P518" s="74"/>
      <c r="Q518" s="74"/>
      <c r="R518" s="86"/>
      <c r="S518" s="86"/>
      <c r="T518" s="86"/>
      <c r="U518" s="86"/>
      <c r="V518" s="48"/>
      <c r="W518" s="48"/>
      <c r="X518" s="48"/>
      <c r="Y518" s="48"/>
      <c r="Z518" s="47"/>
      <c r="AA518" s="69">
        <v>518</v>
      </c>
      <c r="AB518" s="69"/>
      <c r="AC518" s="70"/>
      <c r="AD518" s="76" t="s">
        <v>22319</v>
      </c>
      <c r="AE518" s="81" t="s">
        <v>20940</v>
      </c>
      <c r="AF518" s="76">
        <v>4795</v>
      </c>
      <c r="AG518" s="76">
        <v>536</v>
      </c>
      <c r="AH518" s="76">
        <v>32257</v>
      </c>
      <c r="AI518" s="76">
        <v>145</v>
      </c>
      <c r="AJ518" s="76">
        <v>4351</v>
      </c>
      <c r="AK518" s="76">
        <v>17677</v>
      </c>
      <c r="AL518" s="76" t="b">
        <v>0</v>
      </c>
      <c r="AM518" s="78">
        <v>40076.749942129631</v>
      </c>
      <c r="AN518" s="76" t="s">
        <v>14040</v>
      </c>
      <c r="AO518" s="76" t="s">
        <v>23792</v>
      </c>
      <c r="AP518" s="83" t="str">
        <f>HYPERLINK("https://t.co/ZVhP7tkEas")</f>
        <v>https://t.co/ZVhP7tkEas</v>
      </c>
      <c r="AQ518" s="83" t="str">
        <f>HYPERLINK("https://www.showmetech.com.br")</f>
        <v>https://www.showmetech.com.br</v>
      </c>
      <c r="AR518" s="76" t="s">
        <v>24540</v>
      </c>
      <c r="AS518" s="76"/>
      <c r="AT518" s="76"/>
      <c r="AU518" s="76"/>
      <c r="AV518" s="76"/>
      <c r="AW518" s="83" t="str">
        <f>HYPERLINK("https://t.co/ZVhP7tkEas")</f>
        <v>https://t.co/ZVhP7tkEas</v>
      </c>
      <c r="AX518" s="76" t="b">
        <v>1</v>
      </c>
      <c r="AY518" s="76"/>
      <c r="AZ518" s="76"/>
      <c r="BA518" s="76" t="b">
        <v>1</v>
      </c>
      <c r="BB518" s="76" t="b">
        <v>1</v>
      </c>
      <c r="BC518" s="76" t="b">
        <v>0</v>
      </c>
      <c r="BD518" s="76" t="b">
        <v>0</v>
      </c>
      <c r="BE518" s="76" t="b">
        <v>1</v>
      </c>
      <c r="BF518" s="76" t="b">
        <v>0</v>
      </c>
      <c r="BG518" s="76" t="b">
        <v>0</v>
      </c>
      <c r="BH518" s="83" t="str">
        <f>HYPERLINK("https://pbs.twimg.com/profile_banners/75838812/1563487373")</f>
        <v>https://pbs.twimg.com/profile_banners/75838812/1563487373</v>
      </c>
      <c r="BI518" s="76"/>
      <c r="BJ518" s="76" t="s">
        <v>24935</v>
      </c>
      <c r="BK518" s="76" t="b">
        <v>0</v>
      </c>
      <c r="BL518" s="76"/>
      <c r="BM518" s="76" t="s">
        <v>66</v>
      </c>
      <c r="BN518" s="76" t="s">
        <v>24937</v>
      </c>
      <c r="BO518" s="83" t="str">
        <f>HYPERLINK("https://twitter.com/showmetech")</f>
        <v>https://twitter.com/showmetech</v>
      </c>
      <c r="BP518" s="2"/>
    </row>
    <row r="519" spans="1:68" x14ac:dyDescent="0.25">
      <c r="A519" s="62" t="s">
        <v>715</v>
      </c>
      <c r="B519" s="63"/>
      <c r="C519" s="63"/>
      <c r="D519" s="64"/>
      <c r="E519" s="66"/>
      <c r="F519" s="102" t="str">
        <f>HYPERLINK("https://pbs.twimg.com/profile_images/1587070383349551105/7J1P8SPd_normal.jpg")</f>
        <v>https://pbs.twimg.com/profile_images/1587070383349551105/7J1P8SPd_normal.jpg</v>
      </c>
      <c r="G519" s="63"/>
      <c r="H519" s="67"/>
      <c r="I519" s="68"/>
      <c r="J519" s="68"/>
      <c r="K519" s="67" t="s">
        <v>25453</v>
      </c>
      <c r="L519" s="71"/>
      <c r="M519" s="72"/>
      <c r="N519" s="72"/>
      <c r="O519" s="73"/>
      <c r="P519" s="74"/>
      <c r="Q519" s="74"/>
      <c r="R519" s="86"/>
      <c r="S519" s="86"/>
      <c r="T519" s="86"/>
      <c r="U519" s="86"/>
      <c r="V519" s="48"/>
      <c r="W519" s="48"/>
      <c r="X519" s="48"/>
      <c r="Y519" s="48"/>
      <c r="Z519" s="47"/>
      <c r="AA519" s="69">
        <v>519</v>
      </c>
      <c r="AB519" s="69"/>
      <c r="AC519" s="70"/>
      <c r="AD519" s="76" t="s">
        <v>22320</v>
      </c>
      <c r="AE519" s="81" t="s">
        <v>21377</v>
      </c>
      <c r="AF519" s="76">
        <v>1</v>
      </c>
      <c r="AG519" s="76">
        <v>6</v>
      </c>
      <c r="AH519" s="76">
        <v>352</v>
      </c>
      <c r="AI519" s="76">
        <v>0</v>
      </c>
      <c r="AJ519" s="76">
        <v>2</v>
      </c>
      <c r="AK519" s="76">
        <v>267</v>
      </c>
      <c r="AL519" s="76" t="b">
        <v>0</v>
      </c>
      <c r="AM519" s="78">
        <v>44648.145115740743</v>
      </c>
      <c r="AN519" s="76" t="s">
        <v>14115</v>
      </c>
      <c r="AO519" s="76" t="s">
        <v>23793</v>
      </c>
      <c r="AP519" s="83" t="str">
        <f>HYPERLINK("https://t.co/HO00OzEKK6")</f>
        <v>https://t.co/HO00OzEKK6</v>
      </c>
      <c r="AQ519" s="83" t="str">
        <f>HYPERLINK("http://www.hallakdesign.com.br")</f>
        <v>http://www.hallakdesign.com.br</v>
      </c>
      <c r="AR519" s="76" t="s">
        <v>22320</v>
      </c>
      <c r="AS519" s="76"/>
      <c r="AT519" s="76"/>
      <c r="AU519" s="76"/>
      <c r="AV519" s="76"/>
      <c r="AW519" s="83" t="str">
        <f>HYPERLINK("https://t.co/HO00OzEKK6")</f>
        <v>https://t.co/HO00OzEKK6</v>
      </c>
      <c r="AX519" s="76" t="b">
        <v>0</v>
      </c>
      <c r="AY519" s="76"/>
      <c r="AZ519" s="76"/>
      <c r="BA519" s="76" t="b">
        <v>0</v>
      </c>
      <c r="BB519" s="76" t="b">
        <v>1</v>
      </c>
      <c r="BC519" s="76" t="b">
        <v>1</v>
      </c>
      <c r="BD519" s="76" t="b">
        <v>0</v>
      </c>
      <c r="BE519" s="76" t="b">
        <v>0</v>
      </c>
      <c r="BF519" s="76" t="b">
        <v>0</v>
      </c>
      <c r="BG519" s="76" t="b">
        <v>0</v>
      </c>
      <c r="BH519" s="83" t="str">
        <f>HYPERLINK("https://pbs.twimg.com/profile_banners/1508284864994365448/1688985227")</f>
        <v>https://pbs.twimg.com/profile_banners/1508284864994365448/1688985227</v>
      </c>
      <c r="BI519" s="76"/>
      <c r="BJ519" s="76" t="s">
        <v>24935</v>
      </c>
      <c r="BK519" s="76" t="b">
        <v>0</v>
      </c>
      <c r="BL519" s="76"/>
      <c r="BM519" s="76" t="s">
        <v>66</v>
      </c>
      <c r="BN519" s="76" t="s">
        <v>24937</v>
      </c>
      <c r="BO519" s="83" t="str">
        <f>HYPERLINK("https://twitter.com/qzapbr")</f>
        <v>https://twitter.com/qzapbr</v>
      </c>
      <c r="BP519" s="2"/>
    </row>
    <row r="520" spans="1:68" x14ac:dyDescent="0.25">
      <c r="A520" s="62" t="s">
        <v>716</v>
      </c>
      <c r="B520" s="63"/>
      <c r="C520" s="63"/>
      <c r="D520" s="64"/>
      <c r="E520" s="66"/>
      <c r="F520" s="102" t="str">
        <f>HYPERLINK("https://pbs.twimg.com/profile_images/1692311451933736960/mHyPThud_normal.jpg")</f>
        <v>https://pbs.twimg.com/profile_images/1692311451933736960/mHyPThud_normal.jpg</v>
      </c>
      <c r="G520" s="63"/>
      <c r="H520" s="67"/>
      <c r="I520" s="68"/>
      <c r="J520" s="68"/>
      <c r="K520" s="67" t="s">
        <v>25454</v>
      </c>
      <c r="L520" s="71"/>
      <c r="M520" s="72"/>
      <c r="N520" s="72"/>
      <c r="O520" s="73"/>
      <c r="P520" s="74"/>
      <c r="Q520" s="74"/>
      <c r="R520" s="86"/>
      <c r="S520" s="86"/>
      <c r="T520" s="86"/>
      <c r="U520" s="86"/>
      <c r="V520" s="48"/>
      <c r="W520" s="48"/>
      <c r="X520" s="48"/>
      <c r="Y520" s="48"/>
      <c r="Z520" s="47"/>
      <c r="AA520" s="69">
        <v>520</v>
      </c>
      <c r="AB520" s="69"/>
      <c r="AC520" s="70"/>
      <c r="AD520" s="76" t="s">
        <v>22321</v>
      </c>
      <c r="AE520" s="81" t="s">
        <v>22961</v>
      </c>
      <c r="AF520" s="76">
        <v>17</v>
      </c>
      <c r="AG520" s="76">
        <v>34</v>
      </c>
      <c r="AH520" s="76">
        <v>226</v>
      </c>
      <c r="AI520" s="76">
        <v>0</v>
      </c>
      <c r="AJ520" s="76">
        <v>7210</v>
      </c>
      <c r="AK520" s="76">
        <v>70</v>
      </c>
      <c r="AL520" s="76" t="b">
        <v>0</v>
      </c>
      <c r="AM520" s="78">
        <v>40359.756944444445</v>
      </c>
      <c r="AN520" s="76" t="s">
        <v>14051</v>
      </c>
      <c r="AO520" s="76" t="s">
        <v>23794</v>
      </c>
      <c r="AP520" s="83" t="str">
        <f>HYPERLINK("https://t.co/2SyohmaJ7U")</f>
        <v>https://t.co/2SyohmaJ7U</v>
      </c>
      <c r="AQ520" s="83" t="str">
        <f>HYPERLINK("http://www.instagram.com/luamedeiros92")</f>
        <v>http://www.instagram.com/luamedeiros92</v>
      </c>
      <c r="AR520" s="76" t="s">
        <v>24541</v>
      </c>
      <c r="AS520" s="76"/>
      <c r="AT520" s="76"/>
      <c r="AU520" s="76"/>
      <c r="AV520" s="76"/>
      <c r="AW520" s="83" t="str">
        <f>HYPERLINK("https://t.co/2SyohmaJ7U")</f>
        <v>https://t.co/2SyohmaJ7U</v>
      </c>
      <c r="AX520" s="76" t="b">
        <v>0</v>
      </c>
      <c r="AY520" s="76"/>
      <c r="AZ520" s="76"/>
      <c r="BA520" s="76" t="b">
        <v>0</v>
      </c>
      <c r="BB520" s="76" t="b">
        <v>1</v>
      </c>
      <c r="BC520" s="76" t="b">
        <v>1</v>
      </c>
      <c r="BD520" s="76" t="b">
        <v>0</v>
      </c>
      <c r="BE520" s="76" t="b">
        <v>1</v>
      </c>
      <c r="BF520" s="76" t="b">
        <v>0</v>
      </c>
      <c r="BG520" s="76" t="b">
        <v>0</v>
      </c>
      <c r="BH520" s="83" t="str">
        <f>HYPERLINK("https://pbs.twimg.com/profile_banners/161380515/1589367767")</f>
        <v>https://pbs.twimg.com/profile_banners/161380515/1589367767</v>
      </c>
      <c r="BI520" s="76"/>
      <c r="BJ520" s="76" t="s">
        <v>24935</v>
      </c>
      <c r="BK520" s="76" t="b">
        <v>0</v>
      </c>
      <c r="BL520" s="76"/>
      <c r="BM520" s="76" t="s">
        <v>66</v>
      </c>
      <c r="BN520" s="76" t="s">
        <v>24937</v>
      </c>
      <c r="BO520" s="83" t="str">
        <f>HYPERLINK("https://twitter.com/luamedeiross")</f>
        <v>https://twitter.com/luamedeiross</v>
      </c>
      <c r="BP520" s="2"/>
    </row>
    <row r="521" spans="1:68" x14ac:dyDescent="0.25">
      <c r="A521" s="62" t="s">
        <v>717</v>
      </c>
      <c r="B521" s="63"/>
      <c r="C521" s="63"/>
      <c r="D521" s="64"/>
      <c r="E521" s="66"/>
      <c r="F521" s="102" t="str">
        <f>HYPERLINK("https://pbs.twimg.com/profile_images/1582848142868897796/Fuh1zRNM_normal.jpg")</f>
        <v>https://pbs.twimg.com/profile_images/1582848142868897796/Fuh1zRNM_normal.jpg</v>
      </c>
      <c r="G521" s="63"/>
      <c r="H521" s="67"/>
      <c r="I521" s="68"/>
      <c r="J521" s="68"/>
      <c r="K521" s="67" t="s">
        <v>25455</v>
      </c>
      <c r="L521" s="71"/>
      <c r="M521" s="72"/>
      <c r="N521" s="72"/>
      <c r="O521" s="73"/>
      <c r="P521" s="74"/>
      <c r="Q521" s="74"/>
      <c r="R521" s="86"/>
      <c r="S521" s="86"/>
      <c r="T521" s="86"/>
      <c r="U521" s="86"/>
      <c r="V521" s="48"/>
      <c r="W521" s="48"/>
      <c r="X521" s="48"/>
      <c r="Y521" s="48"/>
      <c r="Z521" s="47"/>
      <c r="AA521" s="69">
        <v>521</v>
      </c>
      <c r="AB521" s="69"/>
      <c r="AC521" s="70"/>
      <c r="AD521" s="76" t="s">
        <v>22322</v>
      </c>
      <c r="AE521" s="81" t="s">
        <v>21378</v>
      </c>
      <c r="AF521" s="76">
        <v>2</v>
      </c>
      <c r="AG521" s="76">
        <v>3</v>
      </c>
      <c r="AH521" s="76">
        <v>32</v>
      </c>
      <c r="AI521" s="76">
        <v>0</v>
      </c>
      <c r="AJ521" s="76">
        <v>18</v>
      </c>
      <c r="AK521" s="76">
        <v>1</v>
      </c>
      <c r="AL521" s="76" t="b">
        <v>0</v>
      </c>
      <c r="AM521" s="78">
        <v>44698.745844907404</v>
      </c>
      <c r="AN521" s="76"/>
      <c r="AO521" s="76"/>
      <c r="AP521" s="76"/>
      <c r="AQ521" s="76"/>
      <c r="AR521" s="76"/>
      <c r="AS521" s="76"/>
      <c r="AT521" s="76"/>
      <c r="AU521" s="76"/>
      <c r="AV521" s="76"/>
      <c r="AW521" s="76"/>
      <c r="AX521" s="76" t="b">
        <v>0</v>
      </c>
      <c r="AY521" s="76"/>
      <c r="AZ521" s="76"/>
      <c r="BA521" s="76" t="b">
        <v>1</v>
      </c>
      <c r="BB521" s="76" t="b">
        <v>0</v>
      </c>
      <c r="BC521" s="76" t="b">
        <v>1</v>
      </c>
      <c r="BD521" s="76" t="b">
        <v>0</v>
      </c>
      <c r="BE521" s="76" t="b">
        <v>0</v>
      </c>
      <c r="BF521" s="76" t="b">
        <v>0</v>
      </c>
      <c r="BG521" s="76" t="b">
        <v>0</v>
      </c>
      <c r="BH521" s="76"/>
      <c r="BI521" s="76"/>
      <c r="BJ521" s="76" t="s">
        <v>24935</v>
      </c>
      <c r="BK521" s="76" t="b">
        <v>0</v>
      </c>
      <c r="BL521" s="76"/>
      <c r="BM521" s="76" t="s">
        <v>66</v>
      </c>
      <c r="BN521" s="76" t="s">
        <v>24937</v>
      </c>
      <c r="BO521" s="83" t="str">
        <f>HYPERLINK("https://twitter.com/lucarere1")</f>
        <v>https://twitter.com/lucarere1</v>
      </c>
      <c r="BP521" s="2"/>
    </row>
    <row r="522" spans="1:68" x14ac:dyDescent="0.25">
      <c r="A522" s="62" t="s">
        <v>718</v>
      </c>
      <c r="B522" s="63"/>
      <c r="C522" s="63"/>
      <c r="D522" s="64"/>
      <c r="E522" s="66"/>
      <c r="F522" s="102" t="str">
        <f>HYPERLINK("https://abs.twimg.com/sticky/default_profile_images/default_profile_normal.png")</f>
        <v>https://abs.twimg.com/sticky/default_profile_images/default_profile_normal.png</v>
      </c>
      <c r="G522" s="63"/>
      <c r="H522" s="67"/>
      <c r="I522" s="68"/>
      <c r="J522" s="68"/>
      <c r="K522" s="67" t="s">
        <v>25456</v>
      </c>
      <c r="L522" s="71"/>
      <c r="M522" s="72"/>
      <c r="N522" s="72"/>
      <c r="O522" s="73"/>
      <c r="P522" s="74"/>
      <c r="Q522" s="74"/>
      <c r="R522" s="86"/>
      <c r="S522" s="86"/>
      <c r="T522" s="86"/>
      <c r="U522" s="86"/>
      <c r="V522" s="48"/>
      <c r="W522" s="48"/>
      <c r="X522" s="48"/>
      <c r="Y522" s="48"/>
      <c r="Z522" s="47"/>
      <c r="AA522" s="69">
        <v>522</v>
      </c>
      <c r="AB522" s="69"/>
      <c r="AC522" s="70"/>
      <c r="AD522" s="76" t="s">
        <v>22323</v>
      </c>
      <c r="AE522" s="81" t="s">
        <v>21379</v>
      </c>
      <c r="AF522" s="76">
        <v>1</v>
      </c>
      <c r="AG522" s="76">
        <v>2</v>
      </c>
      <c r="AH522" s="76">
        <v>24</v>
      </c>
      <c r="AI522" s="76">
        <v>0</v>
      </c>
      <c r="AJ522" s="76">
        <v>0</v>
      </c>
      <c r="AK522" s="76">
        <v>24</v>
      </c>
      <c r="AL522" s="76" t="b">
        <v>0</v>
      </c>
      <c r="AM522" s="78">
        <v>44517.148599537039</v>
      </c>
      <c r="AN522" s="76"/>
      <c r="AO522" s="76" t="s">
        <v>23795</v>
      </c>
      <c r="AP522" s="76"/>
      <c r="AQ522" s="76"/>
      <c r="AR522" s="76"/>
      <c r="AS522" s="76"/>
      <c r="AT522" s="76"/>
      <c r="AU522" s="76"/>
      <c r="AV522" s="76"/>
      <c r="AW522" s="76"/>
      <c r="AX522" s="76" t="b">
        <v>0</v>
      </c>
      <c r="AY522" s="76"/>
      <c r="AZ522" s="76"/>
      <c r="BA522" s="76" t="b">
        <v>0</v>
      </c>
      <c r="BB522" s="76" t="b">
        <v>1</v>
      </c>
      <c r="BC522" s="76" t="b">
        <v>1</v>
      </c>
      <c r="BD522" s="76" t="b">
        <v>1</v>
      </c>
      <c r="BE522" s="76" t="b">
        <v>0</v>
      </c>
      <c r="BF522" s="76" t="b">
        <v>0</v>
      </c>
      <c r="BG522" s="76" t="b">
        <v>0</v>
      </c>
      <c r="BH522" s="76"/>
      <c r="BI522" s="76"/>
      <c r="BJ522" s="76" t="s">
        <v>24935</v>
      </c>
      <c r="BK522" s="76" t="b">
        <v>0</v>
      </c>
      <c r="BL522" s="76"/>
      <c r="BM522" s="76" t="s">
        <v>66</v>
      </c>
      <c r="BN522" s="76" t="s">
        <v>24937</v>
      </c>
      <c r="BO522" s="83" t="str">
        <f>HYPERLINK("https://twitter.com/alessan87651124")</f>
        <v>https://twitter.com/alessan87651124</v>
      </c>
      <c r="BP522" s="2"/>
    </row>
    <row r="523" spans="1:68" x14ac:dyDescent="0.25">
      <c r="A523" s="62" t="s">
        <v>719</v>
      </c>
      <c r="B523" s="63"/>
      <c r="C523" s="63"/>
      <c r="D523" s="64"/>
      <c r="E523" s="66"/>
      <c r="F523" s="102" t="str">
        <f>HYPERLINK("https://pbs.twimg.com/profile_images/1675258532818563073/VW_y3cf0_normal.jpg")</f>
        <v>https://pbs.twimg.com/profile_images/1675258532818563073/VW_y3cf0_normal.jpg</v>
      </c>
      <c r="G523" s="63"/>
      <c r="H523" s="67"/>
      <c r="I523" s="68"/>
      <c r="J523" s="68"/>
      <c r="K523" s="67" t="s">
        <v>25457</v>
      </c>
      <c r="L523" s="71"/>
      <c r="M523" s="72"/>
      <c r="N523" s="72"/>
      <c r="O523" s="73"/>
      <c r="P523" s="74"/>
      <c r="Q523" s="74"/>
      <c r="R523" s="86"/>
      <c r="S523" s="86"/>
      <c r="T523" s="86"/>
      <c r="U523" s="86"/>
      <c r="V523" s="48"/>
      <c r="W523" s="48"/>
      <c r="X523" s="48"/>
      <c r="Y523" s="48"/>
      <c r="Z523" s="47"/>
      <c r="AA523" s="69">
        <v>523</v>
      </c>
      <c r="AB523" s="69"/>
      <c r="AC523" s="70"/>
      <c r="AD523" s="76" t="s">
        <v>22324</v>
      </c>
      <c r="AE523" s="81" t="s">
        <v>21380</v>
      </c>
      <c r="AF523" s="76">
        <v>20</v>
      </c>
      <c r="AG523" s="76">
        <v>62</v>
      </c>
      <c r="AH523" s="76">
        <v>22</v>
      </c>
      <c r="AI523" s="76">
        <v>0</v>
      </c>
      <c r="AJ523" s="76">
        <v>244</v>
      </c>
      <c r="AK523" s="76">
        <v>9</v>
      </c>
      <c r="AL523" s="76" t="b">
        <v>0</v>
      </c>
      <c r="AM523" s="78">
        <v>45052.138252314813</v>
      </c>
      <c r="AN523" s="76"/>
      <c r="AO523" s="76" t="s">
        <v>23796</v>
      </c>
      <c r="AP523" s="83" t="str">
        <f>HYPERLINK("https://t.co/VTSM97L50g")</f>
        <v>https://t.co/VTSM97L50g</v>
      </c>
      <c r="AQ523" s="83" t="str">
        <f>HYPERLINK("https://linktr.ee/paullosergio_ACESSE.AQUI")</f>
        <v>https://linktr.ee/paullosergio_ACESSE.AQUI</v>
      </c>
      <c r="AR523" s="76" t="s">
        <v>24542</v>
      </c>
      <c r="AS523" s="76"/>
      <c r="AT523" s="76"/>
      <c r="AU523" s="76"/>
      <c r="AV523" s="76">
        <v>1.6752582719328499E+18</v>
      </c>
      <c r="AW523" s="83" t="str">
        <f>HYPERLINK("https://t.co/VTSM97L50g")</f>
        <v>https://t.co/VTSM97L50g</v>
      </c>
      <c r="AX523" s="76" t="b">
        <v>0</v>
      </c>
      <c r="AY523" s="76"/>
      <c r="AZ523" s="76"/>
      <c r="BA523" s="76" t="b">
        <v>0</v>
      </c>
      <c r="BB523" s="76" t="b">
        <v>1</v>
      </c>
      <c r="BC523" s="76" t="b">
        <v>1</v>
      </c>
      <c r="BD523" s="76" t="b">
        <v>0</v>
      </c>
      <c r="BE523" s="76" t="b">
        <v>0</v>
      </c>
      <c r="BF523" s="76" t="b">
        <v>0</v>
      </c>
      <c r="BG523" s="76" t="b">
        <v>0</v>
      </c>
      <c r="BH523" s="83" t="str">
        <f>HYPERLINK("https://pbs.twimg.com/profile_banners/1654686733957464065/1687400888")</f>
        <v>https://pbs.twimg.com/profile_banners/1654686733957464065/1687400888</v>
      </c>
      <c r="BI523" s="76"/>
      <c r="BJ523" s="76" t="s">
        <v>24935</v>
      </c>
      <c r="BK523" s="76" t="b">
        <v>0</v>
      </c>
      <c r="BL523" s="76"/>
      <c r="BM523" s="76" t="s">
        <v>66</v>
      </c>
      <c r="BN523" s="76" t="s">
        <v>24937</v>
      </c>
      <c r="BO523" s="83" t="str">
        <f>HYPERLINK("https://twitter.com/paullosergioz7")</f>
        <v>https://twitter.com/paullosergioz7</v>
      </c>
      <c r="BP523" s="2"/>
    </row>
    <row r="524" spans="1:68" x14ac:dyDescent="0.25">
      <c r="A524" s="62" t="s">
        <v>720</v>
      </c>
      <c r="B524" s="63"/>
      <c r="C524" s="63"/>
      <c r="D524" s="64"/>
      <c r="E524" s="66"/>
      <c r="F524" s="102" t="str">
        <f>HYPERLINK("https://pbs.twimg.com/profile_images/1688520231117815808/snZEFeg-_normal.jpg")</f>
        <v>https://pbs.twimg.com/profile_images/1688520231117815808/snZEFeg-_normal.jpg</v>
      </c>
      <c r="G524" s="63"/>
      <c r="H524" s="67"/>
      <c r="I524" s="68"/>
      <c r="J524" s="68"/>
      <c r="K524" s="67" t="s">
        <v>25458</v>
      </c>
      <c r="L524" s="71"/>
      <c r="M524" s="72"/>
      <c r="N524" s="72"/>
      <c r="O524" s="73"/>
      <c r="P524" s="74"/>
      <c r="Q524" s="74"/>
      <c r="R524" s="86"/>
      <c r="S524" s="86"/>
      <c r="T524" s="86"/>
      <c r="U524" s="86"/>
      <c r="V524" s="48"/>
      <c r="W524" s="48"/>
      <c r="X524" s="48"/>
      <c r="Y524" s="48"/>
      <c r="Z524" s="47"/>
      <c r="AA524" s="69">
        <v>524</v>
      </c>
      <c r="AB524" s="69"/>
      <c r="AC524" s="70"/>
      <c r="AD524" s="76" t="s">
        <v>22325</v>
      </c>
      <c r="AE524" s="81" t="s">
        <v>21381</v>
      </c>
      <c r="AF524" s="76">
        <v>0</v>
      </c>
      <c r="AG524" s="76">
        <v>3</v>
      </c>
      <c r="AH524" s="76">
        <v>62</v>
      </c>
      <c r="AI524" s="76">
        <v>0</v>
      </c>
      <c r="AJ524" s="76">
        <v>1</v>
      </c>
      <c r="AK524" s="76">
        <v>6</v>
      </c>
      <c r="AL524" s="76" t="b">
        <v>0</v>
      </c>
      <c r="AM524" s="78">
        <v>45143.750127314815</v>
      </c>
      <c r="AN524" s="76"/>
      <c r="AO524" s="76" t="s">
        <v>23797</v>
      </c>
      <c r="AP524" s="83" t="str">
        <f>HYPERLINK("https://t.co/upq00Vp6Tv")</f>
        <v>https://t.co/upq00Vp6Tv</v>
      </c>
      <c r="AQ524" s="83" t="str">
        <f>HYPERLINK("https://pay.kiwify.com.br/stPj5Aq?afid=XDXD6h6S")</f>
        <v>https://pay.kiwify.com.br/stPj5Aq?afid=XDXD6h6S</v>
      </c>
      <c r="AR524" s="76" t="s">
        <v>24543</v>
      </c>
      <c r="AS524" s="76"/>
      <c r="AT524" s="76"/>
      <c r="AU524" s="76"/>
      <c r="AV524" s="76"/>
      <c r="AW524" s="83" t="str">
        <f>HYPERLINK("https://t.co/upq00Vp6Tv")</f>
        <v>https://t.co/upq00Vp6Tv</v>
      </c>
      <c r="AX524" s="76" t="b">
        <v>0</v>
      </c>
      <c r="AY524" s="76"/>
      <c r="AZ524" s="76"/>
      <c r="BA524" s="76" t="b">
        <v>0</v>
      </c>
      <c r="BB524" s="76" t="b">
        <v>1</v>
      </c>
      <c r="BC524" s="76" t="b">
        <v>1</v>
      </c>
      <c r="BD524" s="76" t="b">
        <v>0</v>
      </c>
      <c r="BE524" s="76" t="b">
        <v>0</v>
      </c>
      <c r="BF524" s="76" t="b">
        <v>0</v>
      </c>
      <c r="BG524" s="76" t="b">
        <v>0</v>
      </c>
      <c r="BH524" s="83" t="str">
        <f>HYPERLINK("https://pbs.twimg.com/profile_banners/1687886167545466882/1691262155")</f>
        <v>https://pbs.twimg.com/profile_banners/1687886167545466882/1691262155</v>
      </c>
      <c r="BI524" s="76"/>
      <c r="BJ524" s="76" t="s">
        <v>24935</v>
      </c>
      <c r="BK524" s="76" t="b">
        <v>0</v>
      </c>
      <c r="BL524" s="76"/>
      <c r="BM524" s="76" t="s">
        <v>66</v>
      </c>
      <c r="BN524" s="76" t="s">
        <v>24937</v>
      </c>
      <c r="BO524" s="83" t="str">
        <f>HYPERLINK("https://twitter.com/joorico534650")</f>
        <v>https://twitter.com/joorico534650</v>
      </c>
      <c r="BP524" s="2"/>
    </row>
    <row r="525" spans="1:68" x14ac:dyDescent="0.25">
      <c r="A525" s="62" t="s">
        <v>721</v>
      </c>
      <c r="B525" s="63"/>
      <c r="C525" s="63"/>
      <c r="D525" s="64"/>
      <c r="E525" s="66"/>
      <c r="F525" s="102" t="str">
        <f>HYPERLINK("https://pbs.twimg.com/profile_images/1623115535050240001/9H4reGun_normal.jpg")</f>
        <v>https://pbs.twimg.com/profile_images/1623115535050240001/9H4reGun_normal.jpg</v>
      </c>
      <c r="G525" s="63"/>
      <c r="H525" s="67"/>
      <c r="I525" s="68"/>
      <c r="J525" s="68"/>
      <c r="K525" s="67" t="s">
        <v>25459</v>
      </c>
      <c r="L525" s="71"/>
      <c r="M525" s="72"/>
      <c r="N525" s="72"/>
      <c r="O525" s="73"/>
      <c r="P525" s="74"/>
      <c r="Q525" s="74"/>
      <c r="R525" s="86"/>
      <c r="S525" s="86"/>
      <c r="T525" s="86"/>
      <c r="U525" s="86"/>
      <c r="V525" s="48"/>
      <c r="W525" s="48"/>
      <c r="X525" s="48"/>
      <c r="Y525" s="48"/>
      <c r="Z525" s="47"/>
      <c r="AA525" s="69">
        <v>525</v>
      </c>
      <c r="AB525" s="69"/>
      <c r="AC525" s="70"/>
      <c r="AD525" s="76" t="s">
        <v>22326</v>
      </c>
      <c r="AE525" s="81" t="s">
        <v>21382</v>
      </c>
      <c r="AF525" s="76">
        <v>0</v>
      </c>
      <c r="AG525" s="76">
        <v>13</v>
      </c>
      <c r="AH525" s="76">
        <v>11</v>
      </c>
      <c r="AI525" s="76">
        <v>0</v>
      </c>
      <c r="AJ525" s="76">
        <v>1</v>
      </c>
      <c r="AK525" s="76">
        <v>8</v>
      </c>
      <c r="AL525" s="76" t="b">
        <v>0</v>
      </c>
      <c r="AM525" s="78">
        <v>44965.015416666669</v>
      </c>
      <c r="AN525" s="76"/>
      <c r="AO525" s="76" t="s">
        <v>23798</v>
      </c>
      <c r="AP525" s="83" t="str">
        <f>HYPERLINK("https://t.co/V2S1RmdjZw")</f>
        <v>https://t.co/V2S1RmdjZw</v>
      </c>
      <c r="AQ525" s="83" t="str">
        <f>HYPERLINK("https://pay.kiwify.com.br/2vTnClf?afid=EOcpbind")</f>
        <v>https://pay.kiwify.com.br/2vTnClf?afid=EOcpbind</v>
      </c>
      <c r="AR525" s="76" t="s">
        <v>24544</v>
      </c>
      <c r="AS525" s="76"/>
      <c r="AT525" s="76"/>
      <c r="AU525" s="76"/>
      <c r="AV525" s="76">
        <v>1.62532670271586E+18</v>
      </c>
      <c r="AW525" s="83" t="str">
        <f>HYPERLINK("https://t.co/V2S1RmdjZw")</f>
        <v>https://t.co/V2S1RmdjZw</v>
      </c>
      <c r="AX525" s="76" t="b">
        <v>0</v>
      </c>
      <c r="AY525" s="76"/>
      <c r="AZ525" s="76"/>
      <c r="BA525" s="76" t="b">
        <v>0</v>
      </c>
      <c r="BB525" s="76" t="b">
        <v>1</v>
      </c>
      <c r="BC525" s="76" t="b">
        <v>1</v>
      </c>
      <c r="BD525" s="76" t="b">
        <v>0</v>
      </c>
      <c r="BE525" s="76" t="b">
        <v>0</v>
      </c>
      <c r="BF525" s="76" t="b">
        <v>0</v>
      </c>
      <c r="BG525" s="76" t="b">
        <v>0</v>
      </c>
      <c r="BH525" s="83" t="str">
        <f>HYPERLINK("https://pbs.twimg.com/profile_banners/1623114812170420224/1676424078")</f>
        <v>https://pbs.twimg.com/profile_banners/1623114812170420224/1676424078</v>
      </c>
      <c r="BI525" s="76"/>
      <c r="BJ525" s="76" t="s">
        <v>24935</v>
      </c>
      <c r="BK525" s="76" t="b">
        <v>0</v>
      </c>
      <c r="BL525" s="76"/>
      <c r="BM525" s="76" t="s">
        <v>66</v>
      </c>
      <c r="BN525" s="76" t="s">
        <v>24937</v>
      </c>
      <c r="BO525" s="83" t="str">
        <f>HYPERLINK("https://twitter.com/alanis_matos10")</f>
        <v>https://twitter.com/alanis_matos10</v>
      </c>
      <c r="BP525" s="2"/>
    </row>
    <row r="526" spans="1:68" x14ac:dyDescent="0.25">
      <c r="A526" s="62" t="s">
        <v>722</v>
      </c>
      <c r="B526" s="63"/>
      <c r="C526" s="63"/>
      <c r="D526" s="64"/>
      <c r="E526" s="66"/>
      <c r="F526" s="102" t="str">
        <f>HYPERLINK("https://pbs.twimg.com/profile_images/1365484859741863940/rIxR181w_normal.jpg")</f>
        <v>https://pbs.twimg.com/profile_images/1365484859741863940/rIxR181w_normal.jpg</v>
      </c>
      <c r="G526" s="63"/>
      <c r="H526" s="67"/>
      <c r="I526" s="68"/>
      <c r="J526" s="68"/>
      <c r="K526" s="67" t="s">
        <v>25460</v>
      </c>
      <c r="L526" s="71"/>
      <c r="M526" s="72"/>
      <c r="N526" s="72"/>
      <c r="O526" s="73"/>
      <c r="P526" s="74"/>
      <c r="Q526" s="74"/>
      <c r="R526" s="86"/>
      <c r="S526" s="86"/>
      <c r="T526" s="86"/>
      <c r="U526" s="86"/>
      <c r="V526" s="48"/>
      <c r="W526" s="48"/>
      <c r="X526" s="48"/>
      <c r="Y526" s="48"/>
      <c r="Z526" s="47"/>
      <c r="AA526" s="69">
        <v>526</v>
      </c>
      <c r="AB526" s="69"/>
      <c r="AC526" s="70"/>
      <c r="AD526" s="76" t="s">
        <v>22327</v>
      </c>
      <c r="AE526" s="81" t="s">
        <v>21383</v>
      </c>
      <c r="AF526" s="76">
        <v>46</v>
      </c>
      <c r="AG526" s="76">
        <v>224</v>
      </c>
      <c r="AH526" s="76">
        <v>89</v>
      </c>
      <c r="AI526" s="76">
        <v>0</v>
      </c>
      <c r="AJ526" s="76">
        <v>338</v>
      </c>
      <c r="AK526" s="76">
        <v>1</v>
      </c>
      <c r="AL526" s="76" t="b">
        <v>0</v>
      </c>
      <c r="AM526" s="78">
        <v>44113.041006944448</v>
      </c>
      <c r="AN526" s="76"/>
      <c r="AO526" s="76" t="s">
        <v>23799</v>
      </c>
      <c r="AP526" s="76"/>
      <c r="AQ526" s="76"/>
      <c r="AR526" s="76"/>
      <c r="AS526" s="76"/>
      <c r="AT526" s="76"/>
      <c r="AU526" s="76"/>
      <c r="AV526" s="76"/>
      <c r="AW526" s="76"/>
      <c r="AX526" s="76" t="b">
        <v>0</v>
      </c>
      <c r="AY526" s="76"/>
      <c r="AZ526" s="76"/>
      <c r="BA526" s="76" t="b">
        <v>0</v>
      </c>
      <c r="BB526" s="76" t="b">
        <v>1</v>
      </c>
      <c r="BC526" s="76" t="b">
        <v>1</v>
      </c>
      <c r="BD526" s="76" t="b">
        <v>0</v>
      </c>
      <c r="BE526" s="76" t="b">
        <v>0</v>
      </c>
      <c r="BF526" s="76" t="b">
        <v>0</v>
      </c>
      <c r="BG526" s="76" t="b">
        <v>0</v>
      </c>
      <c r="BH526" s="83" t="str">
        <f>HYPERLINK("https://pbs.twimg.com/profile_banners/1314369710369243146/1614391981")</f>
        <v>https://pbs.twimg.com/profile_banners/1314369710369243146/1614391981</v>
      </c>
      <c r="BI526" s="76"/>
      <c r="BJ526" s="76" t="s">
        <v>24935</v>
      </c>
      <c r="BK526" s="76" t="b">
        <v>0</v>
      </c>
      <c r="BL526" s="76"/>
      <c r="BM526" s="76" t="s">
        <v>66</v>
      </c>
      <c r="BN526" s="76" t="s">
        <v>24937</v>
      </c>
      <c r="BO526" s="83" t="str">
        <f>HYPERLINK("https://twitter.com/bisolitary")</f>
        <v>https://twitter.com/bisolitary</v>
      </c>
      <c r="BP526" s="2"/>
    </row>
    <row r="527" spans="1:68" x14ac:dyDescent="0.25">
      <c r="A527" s="62" t="s">
        <v>723</v>
      </c>
      <c r="B527" s="63"/>
      <c r="C527" s="63"/>
      <c r="D527" s="64"/>
      <c r="E527" s="66"/>
      <c r="F527" s="102" t="str">
        <f>HYPERLINK("https://pbs.twimg.com/profile_images/1044734049850478592/0VMQjQkv_normal.jpg")</f>
        <v>https://pbs.twimg.com/profile_images/1044734049850478592/0VMQjQkv_normal.jpg</v>
      </c>
      <c r="G527" s="63"/>
      <c r="H527" s="67"/>
      <c r="I527" s="68"/>
      <c r="J527" s="68"/>
      <c r="K527" s="67" t="s">
        <v>25461</v>
      </c>
      <c r="L527" s="71"/>
      <c r="M527" s="72"/>
      <c r="N527" s="72"/>
      <c r="O527" s="73"/>
      <c r="P527" s="74"/>
      <c r="Q527" s="74"/>
      <c r="R527" s="86"/>
      <c r="S527" s="86"/>
      <c r="T527" s="86"/>
      <c r="U527" s="86"/>
      <c r="V527" s="48"/>
      <c r="W527" s="48"/>
      <c r="X527" s="48"/>
      <c r="Y527" s="48"/>
      <c r="Z527" s="47"/>
      <c r="AA527" s="69">
        <v>527</v>
      </c>
      <c r="AB527" s="69"/>
      <c r="AC527" s="70"/>
      <c r="AD527" s="76" t="s">
        <v>22328</v>
      </c>
      <c r="AE527" s="81" t="s">
        <v>21384</v>
      </c>
      <c r="AF527" s="76">
        <v>59</v>
      </c>
      <c r="AG527" s="76">
        <v>37</v>
      </c>
      <c r="AH527" s="76">
        <v>3085</v>
      </c>
      <c r="AI527" s="76">
        <v>0</v>
      </c>
      <c r="AJ527" s="76">
        <v>8900</v>
      </c>
      <c r="AK527" s="76">
        <v>586</v>
      </c>
      <c r="AL527" s="76" t="b">
        <v>0</v>
      </c>
      <c r="AM527" s="78">
        <v>43310.100729166668</v>
      </c>
      <c r="AN527" s="76"/>
      <c r="AO527" s="76" t="s">
        <v>23800</v>
      </c>
      <c r="AP527" s="76"/>
      <c r="AQ527" s="76"/>
      <c r="AR527" s="76"/>
      <c r="AS527" s="76"/>
      <c r="AT527" s="76"/>
      <c r="AU527" s="76"/>
      <c r="AV527" s="76">
        <v>1.4187402108804201E+18</v>
      </c>
      <c r="AW527" s="76"/>
      <c r="AX527" s="76" t="b">
        <v>0</v>
      </c>
      <c r="AY527" s="76"/>
      <c r="AZ527" s="76"/>
      <c r="BA527" s="76" t="b">
        <v>0</v>
      </c>
      <c r="BB527" s="76" t="b">
        <v>1</v>
      </c>
      <c r="BC527" s="76" t="b">
        <v>1</v>
      </c>
      <c r="BD527" s="76" t="b">
        <v>0</v>
      </c>
      <c r="BE527" s="76" t="b">
        <v>1</v>
      </c>
      <c r="BF527" s="76" t="b">
        <v>0</v>
      </c>
      <c r="BG527" s="76" t="b">
        <v>0</v>
      </c>
      <c r="BH527" s="83" t="str">
        <f>HYPERLINK("https://pbs.twimg.com/profile_banners/1023393939267698690/1653048907")</f>
        <v>https://pbs.twimg.com/profile_banners/1023393939267698690/1653048907</v>
      </c>
      <c r="BI527" s="76"/>
      <c r="BJ527" s="76" t="s">
        <v>24935</v>
      </c>
      <c r="BK527" s="76" t="b">
        <v>0</v>
      </c>
      <c r="BL527" s="76"/>
      <c r="BM527" s="76" t="s">
        <v>66</v>
      </c>
      <c r="BN527" s="76" t="s">
        <v>24937</v>
      </c>
      <c r="BO527" s="83" t="str">
        <f>HYPERLINK("https://twitter.com/faby59240435")</f>
        <v>https://twitter.com/faby59240435</v>
      </c>
      <c r="BP527" s="2"/>
    </row>
    <row r="528" spans="1:68" x14ac:dyDescent="0.25">
      <c r="A528" s="62" t="s">
        <v>1262</v>
      </c>
      <c r="B528" s="63"/>
      <c r="C528" s="63"/>
      <c r="D528" s="64"/>
      <c r="E528" s="66"/>
      <c r="F528" s="102" t="str">
        <f>HYPERLINK("https://pbs.twimg.com/profile_images/1366104379091222530/Tq8Gssxf_normal.jpg")</f>
        <v>https://pbs.twimg.com/profile_images/1366104379091222530/Tq8Gssxf_normal.jpg</v>
      </c>
      <c r="G528" s="63"/>
      <c r="H528" s="67"/>
      <c r="I528" s="68"/>
      <c r="J528" s="68"/>
      <c r="K528" s="67" t="s">
        <v>25462</v>
      </c>
      <c r="L528" s="71"/>
      <c r="M528" s="72"/>
      <c r="N528" s="72"/>
      <c r="O528" s="73"/>
      <c r="P528" s="74"/>
      <c r="Q528" s="74"/>
      <c r="R528" s="86"/>
      <c r="S528" s="86"/>
      <c r="T528" s="86"/>
      <c r="U528" s="86"/>
      <c r="V528" s="48"/>
      <c r="W528" s="48"/>
      <c r="X528" s="48"/>
      <c r="Y528" s="48"/>
      <c r="Z528" s="47"/>
      <c r="AA528" s="69">
        <v>528</v>
      </c>
      <c r="AB528" s="69"/>
      <c r="AC528" s="70"/>
      <c r="AD528" s="76" t="s">
        <v>22329</v>
      </c>
      <c r="AE528" s="81" t="s">
        <v>20941</v>
      </c>
      <c r="AF528" s="76">
        <v>49253</v>
      </c>
      <c r="AG528" s="76">
        <v>194</v>
      </c>
      <c r="AH528" s="76">
        <v>9706</v>
      </c>
      <c r="AI528" s="76">
        <v>55</v>
      </c>
      <c r="AJ528" s="76">
        <v>10411</v>
      </c>
      <c r="AK528" s="76">
        <v>1019</v>
      </c>
      <c r="AL528" s="76" t="b">
        <v>0</v>
      </c>
      <c r="AM528" s="78">
        <v>43850.157199074078</v>
      </c>
      <c r="AN528" s="76" t="s">
        <v>23217</v>
      </c>
      <c r="AO528" s="76" t="s">
        <v>23801</v>
      </c>
      <c r="AP528" s="83" t="str">
        <f>HYPERLINK("https://t.co/jhzsFeQIpL")</f>
        <v>https://t.co/jhzsFeQIpL</v>
      </c>
      <c r="AQ528" s="83" t="str">
        <f>HYPERLINK("https://youtube.com/@MarceloBrigadeiroOficial")</f>
        <v>https://youtube.com/@MarceloBrigadeiroOficial</v>
      </c>
      <c r="AR528" s="76" t="s">
        <v>24545</v>
      </c>
      <c r="AS528" s="76"/>
      <c r="AT528" s="76"/>
      <c r="AU528" s="76"/>
      <c r="AV528" s="76">
        <v>1.70706725423856E+18</v>
      </c>
      <c r="AW528" s="83" t="str">
        <f>HYPERLINK("https://t.co/jhzsFeQIpL")</f>
        <v>https://t.co/jhzsFeQIpL</v>
      </c>
      <c r="AX528" s="76" t="b">
        <v>1</v>
      </c>
      <c r="AY528" s="76"/>
      <c r="AZ528" s="76"/>
      <c r="BA528" s="76" t="b">
        <v>1</v>
      </c>
      <c r="BB528" s="76" t="b">
        <v>1</v>
      </c>
      <c r="BC528" s="76" t="b">
        <v>1</v>
      </c>
      <c r="BD528" s="76" t="b">
        <v>0</v>
      </c>
      <c r="BE528" s="76" t="b">
        <v>1</v>
      </c>
      <c r="BF528" s="76" t="b">
        <v>0</v>
      </c>
      <c r="BG528" s="76" t="b">
        <v>0</v>
      </c>
      <c r="BH528" s="83" t="str">
        <f>HYPERLINK("https://pbs.twimg.com/profile_banners/1219103783529123840/1684430188")</f>
        <v>https://pbs.twimg.com/profile_banners/1219103783529123840/1684430188</v>
      </c>
      <c r="BI528" s="76"/>
      <c r="BJ528" s="76" t="s">
        <v>24935</v>
      </c>
      <c r="BK528" s="76" t="b">
        <v>0</v>
      </c>
      <c r="BL528" s="76"/>
      <c r="BM528" s="76" t="s">
        <v>65</v>
      </c>
      <c r="BN528" s="76" t="s">
        <v>24937</v>
      </c>
      <c r="BO528" s="83" t="str">
        <f>HYPERLINK("https://twitter.com/cascagrossareal")</f>
        <v>https://twitter.com/cascagrossareal</v>
      </c>
      <c r="BP528" s="2"/>
    </row>
    <row r="529" spans="1:68" x14ac:dyDescent="0.25">
      <c r="A529" s="62" t="s">
        <v>724</v>
      </c>
      <c r="B529" s="63"/>
      <c r="C529" s="63"/>
      <c r="D529" s="64"/>
      <c r="E529" s="66"/>
      <c r="F529" s="102" t="str">
        <f>HYPERLINK("https://pbs.twimg.com/profile_images/1670904315236556801/OEXiAt-q_normal.jpg")</f>
        <v>https://pbs.twimg.com/profile_images/1670904315236556801/OEXiAt-q_normal.jpg</v>
      </c>
      <c r="G529" s="63"/>
      <c r="H529" s="67"/>
      <c r="I529" s="68"/>
      <c r="J529" s="68"/>
      <c r="K529" s="67" t="s">
        <v>25463</v>
      </c>
      <c r="L529" s="71"/>
      <c r="M529" s="72"/>
      <c r="N529" s="72"/>
      <c r="O529" s="73"/>
      <c r="P529" s="74"/>
      <c r="Q529" s="74"/>
      <c r="R529" s="86"/>
      <c r="S529" s="86"/>
      <c r="T529" s="86"/>
      <c r="U529" s="86"/>
      <c r="V529" s="48"/>
      <c r="W529" s="48"/>
      <c r="X529" s="48"/>
      <c r="Y529" s="48"/>
      <c r="Z529" s="47"/>
      <c r="AA529" s="69">
        <v>529</v>
      </c>
      <c r="AB529" s="69"/>
      <c r="AC529" s="70"/>
      <c r="AD529" s="76" t="s">
        <v>22330</v>
      </c>
      <c r="AE529" s="81" t="s">
        <v>20943</v>
      </c>
      <c r="AF529" s="76">
        <v>101</v>
      </c>
      <c r="AG529" s="76">
        <v>1755</v>
      </c>
      <c r="AH529" s="76">
        <v>402</v>
      </c>
      <c r="AI529" s="76">
        <v>3</v>
      </c>
      <c r="AJ529" s="76">
        <v>371</v>
      </c>
      <c r="AK529" s="76">
        <v>111</v>
      </c>
      <c r="AL529" s="76" t="b">
        <v>0</v>
      </c>
      <c r="AM529" s="78">
        <v>45038.939803240741</v>
      </c>
      <c r="AN529" s="76" t="s">
        <v>14041</v>
      </c>
      <c r="AO529" s="76" t="s">
        <v>23802</v>
      </c>
      <c r="AP529" s="83" t="str">
        <f>HYPERLINK("https://t.co/fr9ZOUcdyG")</f>
        <v>https://t.co/fr9ZOUcdyG</v>
      </c>
      <c r="AQ529" s="83" t="str">
        <f>HYPERLINK("https://www.triunfo777.com?TF=cjf6ch1")</f>
        <v>https://www.triunfo777.com?TF=cjf6ch1</v>
      </c>
      <c r="AR529" s="76" t="s">
        <v>24546</v>
      </c>
      <c r="AS529" s="76"/>
      <c r="AT529" s="76"/>
      <c r="AU529" s="76"/>
      <c r="AV529" s="76">
        <v>1.7045143246669901E+18</v>
      </c>
      <c r="AW529" s="83" t="str">
        <f>HYPERLINK("https://t.co/fr9ZOUcdyG")</f>
        <v>https://t.co/fr9ZOUcdyG</v>
      </c>
      <c r="AX529" s="76" t="b">
        <v>0</v>
      </c>
      <c r="AY529" s="76"/>
      <c r="AZ529" s="76"/>
      <c r="BA529" s="76" t="b">
        <v>0</v>
      </c>
      <c r="BB529" s="76" t="b">
        <v>1</v>
      </c>
      <c r="BC529" s="76" t="b">
        <v>1</v>
      </c>
      <c r="BD529" s="76" t="b">
        <v>0</v>
      </c>
      <c r="BE529" s="76" t="b">
        <v>0</v>
      </c>
      <c r="BF529" s="76" t="b">
        <v>0</v>
      </c>
      <c r="BG529" s="76" t="b">
        <v>0</v>
      </c>
      <c r="BH529" s="83" t="str">
        <f>HYPERLINK("https://pbs.twimg.com/profile_banners/1649904210970853378/1694878204")</f>
        <v>https://pbs.twimg.com/profile_banners/1649904210970853378/1694878204</v>
      </c>
      <c r="BI529" s="76"/>
      <c r="BJ529" s="76" t="s">
        <v>24935</v>
      </c>
      <c r="BK529" s="76" t="b">
        <v>0</v>
      </c>
      <c r="BL529" s="76"/>
      <c r="BM529" s="76" t="s">
        <v>66</v>
      </c>
      <c r="BN529" s="76" t="s">
        <v>24937</v>
      </c>
      <c r="BO529" s="83" t="str">
        <f>HYPERLINK("https://twitter.com/thiagofeli12411")</f>
        <v>https://twitter.com/thiagofeli12411</v>
      </c>
      <c r="BP529" s="2"/>
    </row>
    <row r="530" spans="1:68" x14ac:dyDescent="0.25">
      <c r="A530" s="62" t="s">
        <v>1263</v>
      </c>
      <c r="B530" s="63"/>
      <c r="C530" s="63"/>
      <c r="D530" s="64"/>
      <c r="E530" s="66"/>
      <c r="F530" s="102" t="str">
        <f>HYPERLINK("https://pbs.twimg.com/profile_images/1694412747692220418/ebrwyecF_normal.jpg")</f>
        <v>https://pbs.twimg.com/profile_images/1694412747692220418/ebrwyecF_normal.jpg</v>
      </c>
      <c r="G530" s="63"/>
      <c r="H530" s="67"/>
      <c r="I530" s="68"/>
      <c r="J530" s="68"/>
      <c r="K530" s="67" t="s">
        <v>25464</v>
      </c>
      <c r="L530" s="71"/>
      <c r="M530" s="72"/>
      <c r="N530" s="72"/>
      <c r="O530" s="73"/>
      <c r="P530" s="74"/>
      <c r="Q530" s="74"/>
      <c r="R530" s="86"/>
      <c r="S530" s="86"/>
      <c r="T530" s="86"/>
      <c r="U530" s="86"/>
      <c r="V530" s="48"/>
      <c r="W530" s="48"/>
      <c r="X530" s="48"/>
      <c r="Y530" s="48"/>
      <c r="Z530" s="47"/>
      <c r="AA530" s="69">
        <v>530</v>
      </c>
      <c r="AB530" s="69"/>
      <c r="AC530" s="70"/>
      <c r="AD530" s="76" t="s">
        <v>22331</v>
      </c>
      <c r="AE530" s="81" t="s">
        <v>20942</v>
      </c>
      <c r="AF530" s="76">
        <v>496</v>
      </c>
      <c r="AG530" s="76">
        <v>0</v>
      </c>
      <c r="AH530" s="76">
        <v>12454</v>
      </c>
      <c r="AI530" s="76">
        <v>0</v>
      </c>
      <c r="AJ530" s="76">
        <v>5</v>
      </c>
      <c r="AK530" s="76">
        <v>617</v>
      </c>
      <c r="AL530" s="76" t="b">
        <v>0</v>
      </c>
      <c r="AM530" s="78">
        <v>44688.745694444442</v>
      </c>
      <c r="AN530" s="76"/>
      <c r="AO530" s="76" t="s">
        <v>23803</v>
      </c>
      <c r="AP530" s="83" t="str">
        <f>HYPERLINK("https://t.co/8RLGvhGuXn")</f>
        <v>https://t.co/8RLGvhGuXn</v>
      </c>
      <c r="AQ530" s="83" t="str">
        <f>HYPERLINK("http://blaze.com/r/qK64qB")</f>
        <v>http://blaze.com/r/qK64qB</v>
      </c>
      <c r="AR530" s="76" t="s">
        <v>24547</v>
      </c>
      <c r="AS530" s="76"/>
      <c r="AT530" s="76"/>
      <c r="AU530" s="76"/>
      <c r="AV530" s="76"/>
      <c r="AW530" s="83" t="str">
        <f>HYPERLINK("https://t.co/8RLGvhGuXn")</f>
        <v>https://t.co/8RLGvhGuXn</v>
      </c>
      <c r="AX530" s="76" t="b">
        <v>0</v>
      </c>
      <c r="AY530" s="76"/>
      <c r="AZ530" s="76"/>
      <c r="BA530" s="76" t="b">
        <v>1</v>
      </c>
      <c r="BB530" s="76" t="b">
        <v>1</v>
      </c>
      <c r="BC530" s="76" t="b">
        <v>1</v>
      </c>
      <c r="BD530" s="76" t="b">
        <v>0</v>
      </c>
      <c r="BE530" s="76" t="b">
        <v>0</v>
      </c>
      <c r="BF530" s="76" t="b">
        <v>0</v>
      </c>
      <c r="BG530" s="76" t="b">
        <v>0</v>
      </c>
      <c r="BH530" s="83" t="str">
        <f>HYPERLINK("https://pbs.twimg.com/profile_banners/1522998014771699713/1673140542")</f>
        <v>https://pbs.twimg.com/profile_banners/1522998014771699713/1673140542</v>
      </c>
      <c r="BI530" s="76"/>
      <c r="BJ530" s="76" t="s">
        <v>24935</v>
      </c>
      <c r="BK530" s="76" t="b">
        <v>0</v>
      </c>
      <c r="BL530" s="76"/>
      <c r="BM530" s="76" t="s">
        <v>65</v>
      </c>
      <c r="BN530" s="76" t="s">
        <v>24937</v>
      </c>
      <c r="BO530" s="83" t="str">
        <f>HYPERLINK("https://twitter.com/robosvip")</f>
        <v>https://twitter.com/robosvip</v>
      </c>
      <c r="BP530" s="2"/>
    </row>
    <row r="531" spans="1:68" x14ac:dyDescent="0.25">
      <c r="A531" s="62" t="s">
        <v>725</v>
      </c>
      <c r="B531" s="63"/>
      <c r="C531" s="63"/>
      <c r="D531" s="64"/>
      <c r="E531" s="66"/>
      <c r="F531" s="102" t="str">
        <f>HYPERLINK("https://pbs.twimg.com/profile_images/1630416595490156544/r2lW4cW9_normal.jpg")</f>
        <v>https://pbs.twimg.com/profile_images/1630416595490156544/r2lW4cW9_normal.jpg</v>
      </c>
      <c r="G531" s="63"/>
      <c r="H531" s="67"/>
      <c r="I531" s="68"/>
      <c r="J531" s="68"/>
      <c r="K531" s="67" t="s">
        <v>25465</v>
      </c>
      <c r="L531" s="71"/>
      <c r="M531" s="72"/>
      <c r="N531" s="72"/>
      <c r="O531" s="73"/>
      <c r="P531" s="74"/>
      <c r="Q531" s="74"/>
      <c r="R531" s="86"/>
      <c r="S531" s="86"/>
      <c r="T531" s="86"/>
      <c r="U531" s="86"/>
      <c r="V531" s="48"/>
      <c r="W531" s="48"/>
      <c r="X531" s="48"/>
      <c r="Y531" s="48"/>
      <c r="Z531" s="47"/>
      <c r="AA531" s="69">
        <v>531</v>
      </c>
      <c r="AB531" s="69"/>
      <c r="AC531" s="70"/>
      <c r="AD531" s="76" t="s">
        <v>22332</v>
      </c>
      <c r="AE531" s="81" t="s">
        <v>21385</v>
      </c>
      <c r="AF531" s="76">
        <v>0</v>
      </c>
      <c r="AG531" s="76">
        <v>1</v>
      </c>
      <c r="AH531" s="76">
        <v>6</v>
      </c>
      <c r="AI531" s="76">
        <v>0</v>
      </c>
      <c r="AJ531" s="76">
        <v>1</v>
      </c>
      <c r="AK531" s="76">
        <v>1</v>
      </c>
      <c r="AL531" s="76" t="b">
        <v>0</v>
      </c>
      <c r="AM531" s="78">
        <v>44981.718078703707</v>
      </c>
      <c r="AN531" s="76"/>
      <c r="AO531" s="76" t="s">
        <v>23804</v>
      </c>
      <c r="AP531" s="76"/>
      <c r="AQ531" s="76"/>
      <c r="AR531" s="76"/>
      <c r="AS531" s="76"/>
      <c r="AT531" s="76"/>
      <c r="AU531" s="76"/>
      <c r="AV531" s="76"/>
      <c r="AW531" s="76"/>
      <c r="AX531" s="76" t="b">
        <v>0</v>
      </c>
      <c r="AY531" s="76"/>
      <c r="AZ531" s="76"/>
      <c r="BA531" s="76" t="b">
        <v>0</v>
      </c>
      <c r="BB531" s="76" t="b">
        <v>1</v>
      </c>
      <c r="BC531" s="76" t="b">
        <v>1</v>
      </c>
      <c r="BD531" s="76" t="b">
        <v>0</v>
      </c>
      <c r="BE531" s="76" t="b">
        <v>0</v>
      </c>
      <c r="BF531" s="76" t="b">
        <v>0</v>
      </c>
      <c r="BG531" s="76" t="b">
        <v>0</v>
      </c>
      <c r="BH531" s="76"/>
      <c r="BI531" s="76"/>
      <c r="BJ531" s="76" t="s">
        <v>24935</v>
      </c>
      <c r="BK531" s="76" t="b">
        <v>0</v>
      </c>
      <c r="BL531" s="76"/>
      <c r="BM531" s="76" t="s">
        <v>66</v>
      </c>
      <c r="BN531" s="76" t="s">
        <v>24937</v>
      </c>
      <c r="BO531" s="83" t="str">
        <f>HYPERLINK("https://twitter.com/mulhermmilhoes")</f>
        <v>https://twitter.com/mulhermmilhoes</v>
      </c>
      <c r="BP531" s="2"/>
    </row>
    <row r="532" spans="1:68" x14ac:dyDescent="0.25">
      <c r="A532" s="62" t="s">
        <v>726</v>
      </c>
      <c r="B532" s="63"/>
      <c r="C532" s="63"/>
      <c r="D532" s="64"/>
      <c r="E532" s="66"/>
      <c r="F532" s="102" t="str">
        <f>HYPERLINK("https://pbs.twimg.com/profile_images/1595498974613573632/Mt5ZoZde_normal.jpg")</f>
        <v>https://pbs.twimg.com/profile_images/1595498974613573632/Mt5ZoZde_normal.jpg</v>
      </c>
      <c r="G532" s="63"/>
      <c r="H532" s="67"/>
      <c r="I532" s="68"/>
      <c r="J532" s="68"/>
      <c r="K532" s="67" t="s">
        <v>25466</v>
      </c>
      <c r="L532" s="71"/>
      <c r="M532" s="72"/>
      <c r="N532" s="72"/>
      <c r="O532" s="73"/>
      <c r="P532" s="74"/>
      <c r="Q532" s="74"/>
      <c r="R532" s="86"/>
      <c r="S532" s="86"/>
      <c r="T532" s="86"/>
      <c r="U532" s="86"/>
      <c r="V532" s="48"/>
      <c r="W532" s="48"/>
      <c r="X532" s="48"/>
      <c r="Y532" s="48"/>
      <c r="Z532" s="47"/>
      <c r="AA532" s="69">
        <v>532</v>
      </c>
      <c r="AB532" s="69"/>
      <c r="AC532" s="70"/>
      <c r="AD532" s="76" t="s">
        <v>22333</v>
      </c>
      <c r="AE532" s="81" t="s">
        <v>21386</v>
      </c>
      <c r="AF532" s="76">
        <v>100</v>
      </c>
      <c r="AG532" s="76">
        <v>112</v>
      </c>
      <c r="AH532" s="76">
        <v>1836</v>
      </c>
      <c r="AI532" s="76">
        <v>0</v>
      </c>
      <c r="AJ532" s="76">
        <v>304</v>
      </c>
      <c r="AK532" s="76">
        <v>45</v>
      </c>
      <c r="AL532" s="76" t="b">
        <v>0</v>
      </c>
      <c r="AM532" s="78">
        <v>43889.989444444444</v>
      </c>
      <c r="AN532" s="76" t="s">
        <v>23218</v>
      </c>
      <c r="AO532" s="76" t="s">
        <v>23805</v>
      </c>
      <c r="AP532" s="83" t="str">
        <f>HYPERLINK("https://t.co/sHWBjCorRc")</f>
        <v>https://t.co/sHWBjCorRc</v>
      </c>
      <c r="AQ532" s="83" t="str">
        <f>HYPERLINK("https://secret20.com/pt/5943919")</f>
        <v>https://secret20.com/pt/5943919</v>
      </c>
      <c r="AR532" s="76" t="s">
        <v>24548</v>
      </c>
      <c r="AS532" s="76"/>
      <c r="AT532" s="76"/>
      <c r="AU532" s="76"/>
      <c r="AV532" s="76">
        <v>1.5288412701682501E+18</v>
      </c>
      <c r="AW532" s="83" t="str">
        <f>HYPERLINK("https://t.co/sHWBjCorRc")</f>
        <v>https://t.co/sHWBjCorRc</v>
      </c>
      <c r="AX532" s="76" t="b">
        <v>0</v>
      </c>
      <c r="AY532" s="76"/>
      <c r="AZ532" s="76"/>
      <c r="BA532" s="76" t="b">
        <v>0</v>
      </c>
      <c r="BB532" s="76" t="b">
        <v>0</v>
      </c>
      <c r="BC532" s="76" t="b">
        <v>1</v>
      </c>
      <c r="BD532" s="76" t="b">
        <v>0</v>
      </c>
      <c r="BE532" s="76" t="b">
        <v>0</v>
      </c>
      <c r="BF532" s="76" t="b">
        <v>0</v>
      </c>
      <c r="BG532" s="76" t="b">
        <v>0</v>
      </c>
      <c r="BH532" s="83" t="str">
        <f>HYPERLINK("https://pbs.twimg.com/profile_banners/1233538536428752898/1670380890")</f>
        <v>https://pbs.twimg.com/profile_banners/1233538536428752898/1670380890</v>
      </c>
      <c r="BI532" s="76"/>
      <c r="BJ532" s="76" t="s">
        <v>24935</v>
      </c>
      <c r="BK532" s="76" t="b">
        <v>0</v>
      </c>
      <c r="BL532" s="76"/>
      <c r="BM532" s="76" t="s">
        <v>66</v>
      </c>
      <c r="BN532" s="76" t="s">
        <v>24937</v>
      </c>
      <c r="BO532" s="83" t="str">
        <f>HYPERLINK("https://twitter.com/juliaalvess0")</f>
        <v>https://twitter.com/juliaalvess0</v>
      </c>
      <c r="BP532" s="2"/>
    </row>
    <row r="533" spans="1:68" x14ac:dyDescent="0.25">
      <c r="A533" s="62" t="s">
        <v>727</v>
      </c>
      <c r="B533" s="63"/>
      <c r="C533" s="63"/>
      <c r="D533" s="64"/>
      <c r="E533" s="66"/>
      <c r="F533" s="102" t="str">
        <f>HYPERLINK("https://pbs.twimg.com/profile_images/1665212464605085696/8PfDru9a_normal.jpg")</f>
        <v>https://pbs.twimg.com/profile_images/1665212464605085696/8PfDru9a_normal.jpg</v>
      </c>
      <c r="G533" s="63"/>
      <c r="H533" s="67"/>
      <c r="I533" s="68"/>
      <c r="J533" s="68"/>
      <c r="K533" s="67" t="s">
        <v>25467</v>
      </c>
      <c r="L533" s="71"/>
      <c r="M533" s="72"/>
      <c r="N533" s="72"/>
      <c r="O533" s="73"/>
      <c r="P533" s="74"/>
      <c r="Q533" s="74"/>
      <c r="R533" s="86"/>
      <c r="S533" s="86"/>
      <c r="T533" s="86"/>
      <c r="U533" s="86"/>
      <c r="V533" s="48"/>
      <c r="W533" s="48"/>
      <c r="X533" s="48"/>
      <c r="Y533" s="48"/>
      <c r="Z533" s="47"/>
      <c r="AA533" s="69">
        <v>533</v>
      </c>
      <c r="AB533" s="69"/>
      <c r="AC533" s="70"/>
      <c r="AD533" s="76" t="s">
        <v>22334</v>
      </c>
      <c r="AE533" s="81" t="s">
        <v>22962</v>
      </c>
      <c r="AF533" s="76">
        <v>9</v>
      </c>
      <c r="AG533" s="76">
        <v>93</v>
      </c>
      <c r="AH533" s="76">
        <v>119</v>
      </c>
      <c r="AI533" s="76">
        <v>0</v>
      </c>
      <c r="AJ533" s="76">
        <v>111</v>
      </c>
      <c r="AK533" s="76">
        <v>71</v>
      </c>
      <c r="AL533" s="76" t="b">
        <v>0</v>
      </c>
      <c r="AM533" s="78">
        <v>41169.034201388888</v>
      </c>
      <c r="AN533" s="76" t="s">
        <v>23219</v>
      </c>
      <c r="AO533" s="76" t="s">
        <v>23806</v>
      </c>
      <c r="AP533" s="83" t="str">
        <f>HYPERLINK("https://t.co/3aY7NWkqgx")</f>
        <v>https://t.co/3aY7NWkqgx</v>
      </c>
      <c r="AQ533" s="83" t="str">
        <f>HYPERLINK("http://hotm.art/monalisafit")</f>
        <v>http://hotm.art/monalisafit</v>
      </c>
      <c r="AR533" s="76" t="s">
        <v>24549</v>
      </c>
      <c r="AS533" s="83" t="str">
        <f>HYPERLINK("https://t.co/3aY7NWkqgx")</f>
        <v>https://t.co/3aY7NWkqgx</v>
      </c>
      <c r="AT533" s="83" t="str">
        <f>HYPERLINK("http://hotm.art/monalisafit")</f>
        <v>http://hotm.art/monalisafit</v>
      </c>
      <c r="AU533" s="76" t="s">
        <v>24549</v>
      </c>
      <c r="AV533" s="76"/>
      <c r="AW533" s="83" t="str">
        <f>HYPERLINK("https://t.co/3aY7NWkqgx")</f>
        <v>https://t.co/3aY7NWkqgx</v>
      </c>
      <c r="AX533" s="76" t="b">
        <v>0</v>
      </c>
      <c r="AY533" s="76"/>
      <c r="AZ533" s="76"/>
      <c r="BA533" s="76" t="b">
        <v>0</v>
      </c>
      <c r="BB533" s="76" t="b">
        <v>1</v>
      </c>
      <c r="BC533" s="76" t="b">
        <v>1</v>
      </c>
      <c r="BD533" s="76" t="b">
        <v>0</v>
      </c>
      <c r="BE533" s="76" t="b">
        <v>0</v>
      </c>
      <c r="BF533" s="76" t="b">
        <v>0</v>
      </c>
      <c r="BG533" s="76" t="b">
        <v>0</v>
      </c>
      <c r="BH533" s="83" t="str">
        <f>HYPERLINK("https://pbs.twimg.com/profile_banners/828040351/1678669556")</f>
        <v>https://pbs.twimg.com/profile_banners/828040351/1678669556</v>
      </c>
      <c r="BI533" s="76"/>
      <c r="BJ533" s="76" t="s">
        <v>24935</v>
      </c>
      <c r="BK533" s="76" t="b">
        <v>0</v>
      </c>
      <c r="BL533" s="76"/>
      <c r="BM533" s="76" t="s">
        <v>66</v>
      </c>
      <c r="BN533" s="76" t="s">
        <v>24937</v>
      </c>
      <c r="BO533" s="83" t="str">
        <f>HYPERLINK("https://twitter.com/monalisabach")</f>
        <v>https://twitter.com/monalisabach</v>
      </c>
      <c r="BP533" s="2"/>
    </row>
    <row r="534" spans="1:68" x14ac:dyDescent="0.25">
      <c r="A534" s="62" t="s">
        <v>728</v>
      </c>
      <c r="B534" s="63"/>
      <c r="C534" s="63"/>
      <c r="D534" s="64"/>
      <c r="E534" s="66"/>
      <c r="F534" s="102" t="str">
        <f>HYPERLINK("https://pbs.twimg.com/profile_images/1619074194200748033/CnR5KvBT_normal.jpg")</f>
        <v>https://pbs.twimg.com/profile_images/1619074194200748033/CnR5KvBT_normal.jpg</v>
      </c>
      <c r="G534" s="63"/>
      <c r="H534" s="67"/>
      <c r="I534" s="68"/>
      <c r="J534" s="68"/>
      <c r="K534" s="67" t="s">
        <v>25468</v>
      </c>
      <c r="L534" s="71"/>
      <c r="M534" s="72"/>
      <c r="N534" s="72"/>
      <c r="O534" s="73"/>
      <c r="P534" s="74"/>
      <c r="Q534" s="74"/>
      <c r="R534" s="86"/>
      <c r="S534" s="86"/>
      <c r="T534" s="86"/>
      <c r="U534" s="86"/>
      <c r="V534" s="48"/>
      <c r="W534" s="48"/>
      <c r="X534" s="48"/>
      <c r="Y534" s="48"/>
      <c r="Z534" s="47"/>
      <c r="AA534" s="69">
        <v>534</v>
      </c>
      <c r="AB534" s="69"/>
      <c r="AC534" s="70"/>
      <c r="AD534" s="76" t="s">
        <v>22335</v>
      </c>
      <c r="AE534" s="81" t="s">
        <v>21387</v>
      </c>
      <c r="AF534" s="76">
        <v>54</v>
      </c>
      <c r="AG534" s="76">
        <v>58</v>
      </c>
      <c r="AH534" s="76">
        <v>399</v>
      </c>
      <c r="AI534" s="76">
        <v>0</v>
      </c>
      <c r="AJ534" s="76">
        <v>17</v>
      </c>
      <c r="AK534" s="76">
        <v>161</v>
      </c>
      <c r="AL534" s="76" t="b">
        <v>0</v>
      </c>
      <c r="AM534" s="78">
        <v>44868.71292824074</v>
      </c>
      <c r="AN534" s="76" t="s">
        <v>14115</v>
      </c>
      <c r="AO534" s="76" t="s">
        <v>23807</v>
      </c>
      <c r="AP534" s="83" t="str">
        <f>HYPERLINK("https://t.co/If62T8ZwQv")</f>
        <v>https://t.co/If62T8ZwQv</v>
      </c>
      <c r="AQ534" s="83" t="str">
        <f>HYPERLINK("https://www.jogajunto.net/register?id=64a32e04ae33830026d71fdd")</f>
        <v>https://www.jogajunto.net/register?id=64a32e04ae33830026d71fdd</v>
      </c>
      <c r="AR534" s="76" t="s">
        <v>24550</v>
      </c>
      <c r="AS534" s="76"/>
      <c r="AT534" s="76"/>
      <c r="AU534" s="76"/>
      <c r="AV534" s="76"/>
      <c r="AW534" s="83" t="str">
        <f>HYPERLINK("https://t.co/If62T8ZwQv")</f>
        <v>https://t.co/If62T8ZwQv</v>
      </c>
      <c r="AX534" s="76" t="b">
        <v>0</v>
      </c>
      <c r="AY534" s="76"/>
      <c r="AZ534" s="76"/>
      <c r="BA534" s="76" t="b">
        <v>0</v>
      </c>
      <c r="BB534" s="76" t="b">
        <v>1</v>
      </c>
      <c r="BC534" s="76" t="b">
        <v>1</v>
      </c>
      <c r="BD534" s="76" t="b">
        <v>0</v>
      </c>
      <c r="BE534" s="76" t="b">
        <v>0</v>
      </c>
      <c r="BF534" s="76" t="b">
        <v>0</v>
      </c>
      <c r="BG534" s="76" t="b">
        <v>0</v>
      </c>
      <c r="BH534" s="83" t="str">
        <f>HYPERLINK("https://pbs.twimg.com/profile_banners/1588216033944510465/1675108288")</f>
        <v>https://pbs.twimg.com/profile_banners/1588216033944510465/1675108288</v>
      </c>
      <c r="BI534" s="76"/>
      <c r="BJ534" s="76" t="s">
        <v>24935</v>
      </c>
      <c r="BK534" s="76" t="b">
        <v>0</v>
      </c>
      <c r="BL534" s="76"/>
      <c r="BM534" s="76" t="s">
        <v>66</v>
      </c>
      <c r="BN534" s="76" t="s">
        <v>24937</v>
      </c>
      <c r="BO534" s="83" t="str">
        <f>HYPERLINK("https://twitter.com/jogajuntobet")</f>
        <v>https://twitter.com/jogajuntobet</v>
      </c>
      <c r="BP534" s="2"/>
    </row>
    <row r="535" spans="1:68" x14ac:dyDescent="0.25">
      <c r="A535" s="62" t="s">
        <v>729</v>
      </c>
      <c r="B535" s="63"/>
      <c r="C535" s="63"/>
      <c r="D535" s="64"/>
      <c r="E535" s="66"/>
      <c r="F535" s="102" t="str">
        <f>HYPERLINK("https://pbs.twimg.com/profile_images/1706653612150067200/dKqSz0XU_normal.jpg")</f>
        <v>https://pbs.twimg.com/profile_images/1706653612150067200/dKqSz0XU_normal.jpg</v>
      </c>
      <c r="G535" s="63"/>
      <c r="H535" s="67"/>
      <c r="I535" s="68"/>
      <c r="J535" s="68"/>
      <c r="K535" s="67" t="s">
        <v>25469</v>
      </c>
      <c r="L535" s="71"/>
      <c r="M535" s="72"/>
      <c r="N535" s="72"/>
      <c r="O535" s="73"/>
      <c r="P535" s="74"/>
      <c r="Q535" s="74"/>
      <c r="R535" s="86"/>
      <c r="S535" s="86"/>
      <c r="T535" s="86"/>
      <c r="U535" s="86"/>
      <c r="V535" s="48"/>
      <c r="W535" s="48"/>
      <c r="X535" s="48"/>
      <c r="Y535" s="48"/>
      <c r="Z535" s="47"/>
      <c r="AA535" s="69">
        <v>535</v>
      </c>
      <c r="AB535" s="69"/>
      <c r="AC535" s="70"/>
      <c r="AD535" s="76" t="s">
        <v>22336</v>
      </c>
      <c r="AE535" s="81" t="s">
        <v>21388</v>
      </c>
      <c r="AF535" s="76">
        <v>5</v>
      </c>
      <c r="AG535" s="76">
        <v>51</v>
      </c>
      <c r="AH535" s="76">
        <v>8</v>
      </c>
      <c r="AI535" s="76">
        <v>0</v>
      </c>
      <c r="AJ535" s="76">
        <v>8</v>
      </c>
      <c r="AK535" s="76">
        <v>2</v>
      </c>
      <c r="AL535" s="76" t="b">
        <v>0</v>
      </c>
      <c r="AM535" s="78">
        <v>45006.803310185183</v>
      </c>
      <c r="AN535" s="76"/>
      <c r="AO535" s="76" t="s">
        <v>23808</v>
      </c>
      <c r="AP535" s="83" t="str">
        <f>HYPERLINK("https://t.co/vTotoJyvdx")</f>
        <v>https://t.co/vTotoJyvdx</v>
      </c>
      <c r="AQ535" s="83" t="str">
        <f>HYPERLINK("https://bio.site/packdosplrs")</f>
        <v>https://bio.site/packdosplrs</v>
      </c>
      <c r="AR535" s="76" t="s">
        <v>24551</v>
      </c>
      <c r="AS535" s="76"/>
      <c r="AT535" s="76"/>
      <c r="AU535" s="76"/>
      <c r="AV535" s="76"/>
      <c r="AW535" s="83" t="str">
        <f>HYPERLINK("https://t.co/vTotoJyvdx")</f>
        <v>https://t.co/vTotoJyvdx</v>
      </c>
      <c r="AX535" s="76" t="b">
        <v>0</v>
      </c>
      <c r="AY535" s="76"/>
      <c r="AZ535" s="76"/>
      <c r="BA535" s="76" t="b">
        <v>0</v>
      </c>
      <c r="BB535" s="76" t="b">
        <v>1</v>
      </c>
      <c r="BC535" s="76" t="b">
        <v>1</v>
      </c>
      <c r="BD535" s="76" t="b">
        <v>0</v>
      </c>
      <c r="BE535" s="76" t="b">
        <v>0</v>
      </c>
      <c r="BF535" s="76" t="b">
        <v>0</v>
      </c>
      <c r="BG535" s="76" t="b">
        <v>0</v>
      </c>
      <c r="BH535" s="83" t="str">
        <f>HYPERLINK("https://pbs.twimg.com/profile_banners/1638258241585967114/1695649828")</f>
        <v>https://pbs.twimg.com/profile_banners/1638258241585967114/1695649828</v>
      </c>
      <c r="BI535" s="76"/>
      <c r="BJ535" s="76" t="s">
        <v>24935</v>
      </c>
      <c r="BK535" s="76" t="b">
        <v>0</v>
      </c>
      <c r="BL535" s="76"/>
      <c r="BM535" s="76" t="s">
        <v>66</v>
      </c>
      <c r="BN535" s="76" t="s">
        <v>24937</v>
      </c>
      <c r="BO535" s="83" t="str">
        <f>HYPERLINK("https://twitter.com/kingofplrs")</f>
        <v>https://twitter.com/kingofplrs</v>
      </c>
      <c r="BP535" s="2"/>
    </row>
    <row r="536" spans="1:68" x14ac:dyDescent="0.25">
      <c r="A536" s="62" t="s">
        <v>730</v>
      </c>
      <c r="B536" s="63"/>
      <c r="C536" s="63"/>
      <c r="D536" s="64"/>
      <c r="E536" s="66"/>
      <c r="F536" s="102" t="str">
        <f>HYPERLINK("https://pbs.twimg.com/profile_images/1594418436431659008/nbbClrUZ_normal.jpg")</f>
        <v>https://pbs.twimg.com/profile_images/1594418436431659008/nbbClrUZ_normal.jpg</v>
      </c>
      <c r="G536" s="63"/>
      <c r="H536" s="67"/>
      <c r="I536" s="68"/>
      <c r="J536" s="68"/>
      <c r="K536" s="67" t="s">
        <v>25470</v>
      </c>
      <c r="L536" s="71"/>
      <c r="M536" s="72"/>
      <c r="N536" s="72"/>
      <c r="O536" s="73"/>
      <c r="P536" s="74"/>
      <c r="Q536" s="74"/>
      <c r="R536" s="86"/>
      <c r="S536" s="86"/>
      <c r="T536" s="86"/>
      <c r="U536" s="86"/>
      <c r="V536" s="48"/>
      <c r="W536" s="48"/>
      <c r="X536" s="48"/>
      <c r="Y536" s="48"/>
      <c r="Z536" s="47"/>
      <c r="AA536" s="69">
        <v>536</v>
      </c>
      <c r="AB536" s="69"/>
      <c r="AC536" s="70"/>
      <c r="AD536" s="76" t="s">
        <v>22337</v>
      </c>
      <c r="AE536" s="81" t="s">
        <v>20944</v>
      </c>
      <c r="AF536" s="76">
        <v>20</v>
      </c>
      <c r="AG536" s="76">
        <v>216</v>
      </c>
      <c r="AH536" s="76">
        <v>151</v>
      </c>
      <c r="AI536" s="76">
        <v>0</v>
      </c>
      <c r="AJ536" s="76">
        <v>178</v>
      </c>
      <c r="AK536" s="76">
        <v>69</v>
      </c>
      <c r="AL536" s="76" t="b">
        <v>0</v>
      </c>
      <c r="AM536" s="78">
        <v>44885.775034722225</v>
      </c>
      <c r="AN536" s="76" t="s">
        <v>14033</v>
      </c>
      <c r="AO536" s="76" t="s">
        <v>23809</v>
      </c>
      <c r="AP536" s="83" t="str">
        <f>HYPERLINK("https://t.co/9J6UC5pn4s")</f>
        <v>https://t.co/9J6UC5pn4s</v>
      </c>
      <c r="AQ536" s="83" t="str">
        <f>HYPERLINK("https://saiadozeromeindica.orbitpages.online/me-indica-premium-5-0-hotmart?v=647e1aa999d32")</f>
        <v>https://saiadozeromeindica.orbitpages.online/me-indica-premium-5-0-hotmart?v=647e1aa999d32</v>
      </c>
      <c r="AR536" s="76" t="s">
        <v>24552</v>
      </c>
      <c r="AS536" s="76"/>
      <c r="AT536" s="76"/>
      <c r="AU536" s="76"/>
      <c r="AV536" s="76"/>
      <c r="AW536" s="83" t="str">
        <f>HYPERLINK("https://t.co/9J6UC5pn4s")</f>
        <v>https://t.co/9J6UC5pn4s</v>
      </c>
      <c r="AX536" s="76" t="b">
        <v>0</v>
      </c>
      <c r="AY536" s="76"/>
      <c r="AZ536" s="76"/>
      <c r="BA536" s="76" t="b">
        <v>0</v>
      </c>
      <c r="BB536" s="76" t="b">
        <v>1</v>
      </c>
      <c r="BC536" s="76" t="b">
        <v>1</v>
      </c>
      <c r="BD536" s="76" t="b">
        <v>0</v>
      </c>
      <c r="BE536" s="76" t="b">
        <v>0</v>
      </c>
      <c r="BF536" s="76" t="b">
        <v>0</v>
      </c>
      <c r="BG536" s="76" t="b">
        <v>0</v>
      </c>
      <c r="BH536" s="83" t="str">
        <f>HYPERLINK("https://pbs.twimg.com/profile_banners/1594399137193074688/1671890335")</f>
        <v>https://pbs.twimg.com/profile_banners/1594399137193074688/1671890335</v>
      </c>
      <c r="BI536" s="76"/>
      <c r="BJ536" s="76" t="s">
        <v>24935</v>
      </c>
      <c r="BK536" s="76" t="b">
        <v>0</v>
      </c>
      <c r="BL536" s="76"/>
      <c r="BM536" s="76" t="s">
        <v>66</v>
      </c>
      <c r="BN536" s="76" t="s">
        <v>24937</v>
      </c>
      <c r="BO536" s="83" t="str">
        <f>HYPERLINK("https://twitter.com/meindica87")</f>
        <v>https://twitter.com/meindica87</v>
      </c>
      <c r="BP536" s="2"/>
    </row>
    <row r="537" spans="1:68" x14ac:dyDescent="0.25">
      <c r="A537" s="62" t="s">
        <v>731</v>
      </c>
      <c r="B537" s="63"/>
      <c r="C537" s="63"/>
      <c r="D537" s="64"/>
      <c r="E537" s="66"/>
      <c r="F537" s="102" t="str">
        <f>HYPERLINK("https://pbs.twimg.com/profile_images/1627425718849110021/DNqekOqi_normal.jpg")</f>
        <v>https://pbs.twimg.com/profile_images/1627425718849110021/DNqekOqi_normal.jpg</v>
      </c>
      <c r="G537" s="63"/>
      <c r="H537" s="67"/>
      <c r="I537" s="68"/>
      <c r="J537" s="68"/>
      <c r="K537" s="67" t="s">
        <v>25471</v>
      </c>
      <c r="L537" s="71"/>
      <c r="M537" s="72"/>
      <c r="N537" s="72"/>
      <c r="O537" s="73"/>
      <c r="P537" s="74"/>
      <c r="Q537" s="74"/>
      <c r="R537" s="86"/>
      <c r="S537" s="86"/>
      <c r="T537" s="86"/>
      <c r="U537" s="86"/>
      <c r="V537" s="48"/>
      <c r="W537" s="48"/>
      <c r="X537" s="48"/>
      <c r="Y537" s="48"/>
      <c r="Z537" s="47"/>
      <c r="AA537" s="69">
        <v>537</v>
      </c>
      <c r="AB537" s="69"/>
      <c r="AC537" s="70"/>
      <c r="AD537" s="76" t="s">
        <v>22338</v>
      </c>
      <c r="AE537" s="81" t="s">
        <v>21389</v>
      </c>
      <c r="AF537" s="76">
        <v>14</v>
      </c>
      <c r="AG537" s="76">
        <v>36</v>
      </c>
      <c r="AH537" s="76">
        <v>57</v>
      </c>
      <c r="AI537" s="76">
        <v>1</v>
      </c>
      <c r="AJ537" s="76">
        <v>39</v>
      </c>
      <c r="AK537" s="76">
        <v>30</v>
      </c>
      <c r="AL537" s="76" t="b">
        <v>0</v>
      </c>
      <c r="AM537" s="78">
        <v>44968.620729166665</v>
      </c>
      <c r="AN537" s="76"/>
      <c r="AO537" s="76" t="s">
        <v>23810</v>
      </c>
      <c r="AP537" s="83" t="str">
        <f>HYPERLINK("https://t.co/FGqpwQeNcH")</f>
        <v>https://t.co/FGqpwQeNcH</v>
      </c>
      <c r="AQ537" s="83" t="str">
        <f>HYPERLINK("http://www.guilhermeargenta.com")</f>
        <v>http://www.guilhermeargenta.com</v>
      </c>
      <c r="AR537" s="76" t="s">
        <v>24553</v>
      </c>
      <c r="AS537" s="76"/>
      <c r="AT537" s="76"/>
      <c r="AU537" s="76"/>
      <c r="AV537" s="76"/>
      <c r="AW537" s="83" t="str">
        <f>HYPERLINK("https://t.co/FGqpwQeNcH")</f>
        <v>https://t.co/FGqpwQeNcH</v>
      </c>
      <c r="AX537" s="76" t="b">
        <v>0</v>
      </c>
      <c r="AY537" s="76"/>
      <c r="AZ537" s="76"/>
      <c r="BA537" s="76" t="b">
        <v>0</v>
      </c>
      <c r="BB537" s="76" t="b">
        <v>1</v>
      </c>
      <c r="BC537" s="76" t="b">
        <v>1</v>
      </c>
      <c r="BD537" s="76" t="b">
        <v>0</v>
      </c>
      <c r="BE537" s="76" t="b">
        <v>0</v>
      </c>
      <c r="BF537" s="76" t="b">
        <v>0</v>
      </c>
      <c r="BG537" s="76" t="b">
        <v>0</v>
      </c>
      <c r="BH537" s="83" t="str">
        <f>HYPERLINK("https://pbs.twimg.com/profile_banners/1624421427054084097/1676843513")</f>
        <v>https://pbs.twimg.com/profile_banners/1624421427054084097/1676843513</v>
      </c>
      <c r="BI537" s="76"/>
      <c r="BJ537" s="76" t="s">
        <v>24935</v>
      </c>
      <c r="BK537" s="76" t="b">
        <v>0</v>
      </c>
      <c r="BL537" s="76"/>
      <c r="BM537" s="76" t="s">
        <v>66</v>
      </c>
      <c r="BN537" s="76" t="s">
        <v>24937</v>
      </c>
      <c r="BO537" s="83" t="str">
        <f>HYPERLINK("https://twitter.com/milhasnews")</f>
        <v>https://twitter.com/milhasnews</v>
      </c>
      <c r="BP537" s="2"/>
    </row>
    <row r="538" spans="1:68" x14ac:dyDescent="0.25">
      <c r="A538" s="62" t="s">
        <v>732</v>
      </c>
      <c r="B538" s="63"/>
      <c r="C538" s="63"/>
      <c r="D538" s="64"/>
      <c r="E538" s="66"/>
      <c r="F538" s="102" t="str">
        <f>HYPERLINK("https://pbs.twimg.com/profile_images/1679830477350264832/tKNts_eH_normal.jpg")</f>
        <v>https://pbs.twimg.com/profile_images/1679830477350264832/tKNts_eH_normal.jpg</v>
      </c>
      <c r="G538" s="63"/>
      <c r="H538" s="67"/>
      <c r="I538" s="68"/>
      <c r="J538" s="68"/>
      <c r="K538" s="67" t="s">
        <v>25472</v>
      </c>
      <c r="L538" s="71"/>
      <c r="M538" s="72"/>
      <c r="N538" s="72"/>
      <c r="O538" s="73"/>
      <c r="P538" s="74"/>
      <c r="Q538" s="74"/>
      <c r="R538" s="86"/>
      <c r="S538" s="86"/>
      <c r="T538" s="86"/>
      <c r="U538" s="86"/>
      <c r="V538" s="48"/>
      <c r="W538" s="48"/>
      <c r="X538" s="48"/>
      <c r="Y538" s="48"/>
      <c r="Z538" s="47"/>
      <c r="AA538" s="69">
        <v>538</v>
      </c>
      <c r="AB538" s="69"/>
      <c r="AC538" s="70"/>
      <c r="AD538" s="76" t="s">
        <v>22339</v>
      </c>
      <c r="AE538" s="81" t="s">
        <v>21390</v>
      </c>
      <c r="AF538" s="76">
        <v>6</v>
      </c>
      <c r="AG538" s="76">
        <v>3</v>
      </c>
      <c r="AH538" s="76">
        <v>26</v>
      </c>
      <c r="AI538" s="76">
        <v>0</v>
      </c>
      <c r="AJ538" s="76">
        <v>33</v>
      </c>
      <c r="AK538" s="76">
        <v>23</v>
      </c>
      <c r="AL538" s="76" t="b">
        <v>0</v>
      </c>
      <c r="AM538" s="78">
        <v>44763.511562500003</v>
      </c>
      <c r="AN538" s="76" t="s">
        <v>14033</v>
      </c>
      <c r="AO538" s="76" t="s">
        <v>23811</v>
      </c>
      <c r="AP538" s="76"/>
      <c r="AQ538" s="76"/>
      <c r="AR538" s="76"/>
      <c r="AS538" s="76"/>
      <c r="AT538" s="76"/>
      <c r="AU538" s="76"/>
      <c r="AV538" s="76"/>
      <c r="AW538" s="76"/>
      <c r="AX538" s="76" t="b">
        <v>0</v>
      </c>
      <c r="AY538" s="76"/>
      <c r="AZ538" s="76"/>
      <c r="BA538" s="76" t="b">
        <v>0</v>
      </c>
      <c r="BB538" s="76" t="b">
        <v>1</v>
      </c>
      <c r="BC538" s="76" t="b">
        <v>1</v>
      </c>
      <c r="BD538" s="76" t="b">
        <v>0</v>
      </c>
      <c r="BE538" s="76" t="b">
        <v>0</v>
      </c>
      <c r="BF538" s="76" t="b">
        <v>0</v>
      </c>
      <c r="BG538" s="76" t="b">
        <v>0</v>
      </c>
      <c r="BH538" s="83" t="str">
        <f>HYPERLINK("https://pbs.twimg.com/profile_banners/1550092327284252672/1693529939")</f>
        <v>https://pbs.twimg.com/profile_banners/1550092327284252672/1693529939</v>
      </c>
      <c r="BI538" s="76"/>
      <c r="BJ538" s="76" t="s">
        <v>24935</v>
      </c>
      <c r="BK538" s="76" t="b">
        <v>0</v>
      </c>
      <c r="BL538" s="76"/>
      <c r="BM538" s="76" t="s">
        <v>66</v>
      </c>
      <c r="BN538" s="76" t="s">
        <v>24937</v>
      </c>
      <c r="BO538" s="83" t="str">
        <f>HYPERLINK("https://twitter.com/raphael_tesla")</f>
        <v>https://twitter.com/raphael_tesla</v>
      </c>
      <c r="BP538" s="2"/>
    </row>
    <row r="539" spans="1:68" x14ac:dyDescent="0.25">
      <c r="A539" s="62" t="s">
        <v>733</v>
      </c>
      <c r="B539" s="63"/>
      <c r="C539" s="63"/>
      <c r="D539" s="64"/>
      <c r="E539" s="66"/>
      <c r="F539" s="102" t="str">
        <f>HYPERLINK("https://pbs.twimg.com/profile_images/1638264717645955080/nt1kSw-N_normal.jpg")</f>
        <v>https://pbs.twimg.com/profile_images/1638264717645955080/nt1kSw-N_normal.jpg</v>
      </c>
      <c r="G539" s="63"/>
      <c r="H539" s="67"/>
      <c r="I539" s="68"/>
      <c r="J539" s="68"/>
      <c r="K539" s="67" t="s">
        <v>25473</v>
      </c>
      <c r="L539" s="71"/>
      <c r="M539" s="72"/>
      <c r="N539" s="72"/>
      <c r="O539" s="73"/>
      <c r="P539" s="74"/>
      <c r="Q539" s="74"/>
      <c r="R539" s="86"/>
      <c r="S539" s="86"/>
      <c r="T539" s="86"/>
      <c r="U539" s="86"/>
      <c r="V539" s="48"/>
      <c r="W539" s="48"/>
      <c r="X539" s="48"/>
      <c r="Y539" s="48"/>
      <c r="Z539" s="47"/>
      <c r="AA539" s="69">
        <v>539</v>
      </c>
      <c r="AB539" s="69"/>
      <c r="AC539" s="70"/>
      <c r="AD539" s="76" t="s">
        <v>22340</v>
      </c>
      <c r="AE539" s="81" t="s">
        <v>21391</v>
      </c>
      <c r="AF539" s="76">
        <v>0</v>
      </c>
      <c r="AG539" s="76">
        <v>4</v>
      </c>
      <c r="AH539" s="76">
        <v>15</v>
      </c>
      <c r="AI539" s="76">
        <v>0</v>
      </c>
      <c r="AJ539" s="76">
        <v>2</v>
      </c>
      <c r="AK539" s="76">
        <v>10</v>
      </c>
      <c r="AL539" s="76" t="b">
        <v>0</v>
      </c>
      <c r="AM539" s="78">
        <v>45006.816203703704</v>
      </c>
      <c r="AN539" s="76" t="s">
        <v>14115</v>
      </c>
      <c r="AO539" s="76" t="s">
        <v>23812</v>
      </c>
      <c r="AP539" s="76"/>
      <c r="AQ539" s="76"/>
      <c r="AR539" s="76"/>
      <c r="AS539" s="83" t="str">
        <f>HYPERLINK("https://t.co/10OGME0rB9")</f>
        <v>https://t.co/10OGME0rB9</v>
      </c>
      <c r="AT539" s="83" t="str">
        <f>HYPERLINK("http://linktr.ee/realmidiacenter")</f>
        <v>http://linktr.ee/realmidiacenter</v>
      </c>
      <c r="AU539" s="76" t="s">
        <v>24885</v>
      </c>
      <c r="AV539" s="76">
        <v>1.63855973489362E+18</v>
      </c>
      <c r="AW539" s="76"/>
      <c r="AX539" s="76" t="b">
        <v>0</v>
      </c>
      <c r="AY539" s="76"/>
      <c r="AZ539" s="76"/>
      <c r="BA539" s="76" t="b">
        <v>0</v>
      </c>
      <c r="BB539" s="76" t="b">
        <v>1</v>
      </c>
      <c r="BC539" s="76" t="b">
        <v>1</v>
      </c>
      <c r="BD539" s="76" t="b">
        <v>0</v>
      </c>
      <c r="BE539" s="76" t="b">
        <v>0</v>
      </c>
      <c r="BF539" s="76" t="b">
        <v>0</v>
      </c>
      <c r="BG539" s="76" t="b">
        <v>0</v>
      </c>
      <c r="BH539" s="83" t="str">
        <f>HYPERLINK("https://pbs.twimg.com/profile_banners/1638262937348349953/1679427805")</f>
        <v>https://pbs.twimg.com/profile_banners/1638262937348349953/1679427805</v>
      </c>
      <c r="BI539" s="76"/>
      <c r="BJ539" s="76" t="s">
        <v>24935</v>
      </c>
      <c r="BK539" s="76" t="b">
        <v>0</v>
      </c>
      <c r="BL539" s="76"/>
      <c r="BM539" s="76" t="s">
        <v>66</v>
      </c>
      <c r="BN539" s="76" t="s">
        <v>24937</v>
      </c>
      <c r="BO539" s="83" t="str">
        <f>HYPERLINK("https://twitter.com/realmidiacenter")</f>
        <v>https://twitter.com/realmidiacenter</v>
      </c>
      <c r="BP539" s="2"/>
    </row>
    <row r="540" spans="1:68" x14ac:dyDescent="0.25">
      <c r="A540" s="62" t="s">
        <v>734</v>
      </c>
      <c r="B540" s="63"/>
      <c r="C540" s="63"/>
      <c r="D540" s="64"/>
      <c r="E540" s="66"/>
      <c r="F540" s="102" t="str">
        <f>HYPERLINK("https://pbs.twimg.com/profile_images/1641259302697443332/FUGBqnGw_normal.jpg")</f>
        <v>https://pbs.twimg.com/profile_images/1641259302697443332/FUGBqnGw_normal.jpg</v>
      </c>
      <c r="G540" s="63"/>
      <c r="H540" s="67"/>
      <c r="I540" s="68"/>
      <c r="J540" s="68"/>
      <c r="K540" s="67" t="s">
        <v>25474</v>
      </c>
      <c r="L540" s="71"/>
      <c r="M540" s="72"/>
      <c r="N540" s="72"/>
      <c r="O540" s="73"/>
      <c r="P540" s="74"/>
      <c r="Q540" s="74"/>
      <c r="R540" s="86"/>
      <c r="S540" s="86"/>
      <c r="T540" s="86"/>
      <c r="U540" s="86"/>
      <c r="V540" s="48"/>
      <c r="W540" s="48"/>
      <c r="X540" s="48"/>
      <c r="Y540" s="48"/>
      <c r="Z540" s="47"/>
      <c r="AA540" s="69">
        <v>540</v>
      </c>
      <c r="AB540" s="69"/>
      <c r="AC540" s="70"/>
      <c r="AD540" s="76" t="s">
        <v>22341</v>
      </c>
      <c r="AE540" s="81" t="s">
        <v>22963</v>
      </c>
      <c r="AF540" s="76">
        <v>284</v>
      </c>
      <c r="AG540" s="76">
        <v>720</v>
      </c>
      <c r="AH540" s="76">
        <v>5237</v>
      </c>
      <c r="AI540" s="76">
        <v>1</v>
      </c>
      <c r="AJ540" s="76">
        <v>290</v>
      </c>
      <c r="AK540" s="76">
        <v>764</v>
      </c>
      <c r="AL540" s="76" t="b">
        <v>0</v>
      </c>
      <c r="AM540" s="78">
        <v>40404.62263888889</v>
      </c>
      <c r="AN540" s="76" t="s">
        <v>23220</v>
      </c>
      <c r="AO540" s="76" t="s">
        <v>23813</v>
      </c>
      <c r="AP540" s="83" t="str">
        <f>HYPERLINK("https://t.co/xrDN1EtkjR")</f>
        <v>https://t.co/xrDN1EtkjR</v>
      </c>
      <c r="AQ540" s="83" t="str">
        <f>HYPERLINK("http://www.institutoibesp.org")</f>
        <v>http://www.institutoibesp.org</v>
      </c>
      <c r="AR540" s="76" t="s">
        <v>24554</v>
      </c>
      <c r="AS540" s="76"/>
      <c r="AT540" s="76"/>
      <c r="AU540" s="76"/>
      <c r="AV540" s="76"/>
      <c r="AW540" s="83" t="str">
        <f>HYPERLINK("https://t.co/xrDN1EtkjR")</f>
        <v>https://t.co/xrDN1EtkjR</v>
      </c>
      <c r="AX540" s="76" t="b">
        <v>0</v>
      </c>
      <c r="AY540" s="76"/>
      <c r="AZ540" s="76"/>
      <c r="BA540" s="76" t="b">
        <v>0</v>
      </c>
      <c r="BB540" s="76" t="b">
        <v>1</v>
      </c>
      <c r="BC540" s="76" t="b">
        <v>1</v>
      </c>
      <c r="BD540" s="76" t="b">
        <v>0</v>
      </c>
      <c r="BE540" s="76" t="b">
        <v>1</v>
      </c>
      <c r="BF540" s="76" t="b">
        <v>0</v>
      </c>
      <c r="BG540" s="76" t="b">
        <v>0</v>
      </c>
      <c r="BH540" s="83" t="str">
        <f>HYPERLINK("https://pbs.twimg.com/profile_banners/178353470/1675347994")</f>
        <v>https://pbs.twimg.com/profile_banners/178353470/1675347994</v>
      </c>
      <c r="BI540" s="76"/>
      <c r="BJ540" s="76" t="s">
        <v>24935</v>
      </c>
      <c r="BK540" s="76" t="b">
        <v>0</v>
      </c>
      <c r="BL540" s="76"/>
      <c r="BM540" s="76" t="s">
        <v>66</v>
      </c>
      <c r="BN540" s="76" t="s">
        <v>24937</v>
      </c>
      <c r="BO540" s="83" t="str">
        <f>HYPERLINK("https://twitter.com/gcmreis")</f>
        <v>https://twitter.com/gcmreis</v>
      </c>
      <c r="BP540" s="2"/>
    </row>
    <row r="541" spans="1:68" x14ac:dyDescent="0.25">
      <c r="A541" s="62" t="s">
        <v>735</v>
      </c>
      <c r="B541" s="63"/>
      <c r="C541" s="63"/>
      <c r="D541" s="64"/>
      <c r="E541" s="66"/>
      <c r="F541" s="102" t="str">
        <f>HYPERLINK("https://pbs.twimg.com/profile_images/1540722991587176451/BVwerEbb_normal.jpg")</f>
        <v>https://pbs.twimg.com/profile_images/1540722991587176451/BVwerEbb_normal.jpg</v>
      </c>
      <c r="G541" s="63"/>
      <c r="H541" s="67"/>
      <c r="I541" s="68"/>
      <c r="J541" s="68"/>
      <c r="K541" s="67" t="s">
        <v>25475</v>
      </c>
      <c r="L541" s="71"/>
      <c r="M541" s="72"/>
      <c r="N541" s="72"/>
      <c r="O541" s="73"/>
      <c r="P541" s="74"/>
      <c r="Q541" s="74"/>
      <c r="R541" s="86"/>
      <c r="S541" s="86"/>
      <c r="T541" s="86"/>
      <c r="U541" s="86"/>
      <c r="V541" s="48"/>
      <c r="W541" s="48"/>
      <c r="X541" s="48"/>
      <c r="Y541" s="48"/>
      <c r="Z541" s="47"/>
      <c r="AA541" s="69">
        <v>541</v>
      </c>
      <c r="AB541" s="69"/>
      <c r="AC541" s="70"/>
      <c r="AD541" s="76" t="s">
        <v>22342</v>
      </c>
      <c r="AE541" s="81" t="s">
        <v>22964</v>
      </c>
      <c r="AF541" s="76">
        <v>250</v>
      </c>
      <c r="AG541" s="76">
        <v>1997</v>
      </c>
      <c r="AH541" s="76">
        <v>38602</v>
      </c>
      <c r="AI541" s="76">
        <v>3</v>
      </c>
      <c r="AJ541" s="76">
        <v>191466</v>
      </c>
      <c r="AK541" s="76">
        <v>724</v>
      </c>
      <c r="AL541" s="76" t="b">
        <v>0</v>
      </c>
      <c r="AM541" s="78">
        <v>41112.764664351853</v>
      </c>
      <c r="AN541" s="76" t="s">
        <v>23221</v>
      </c>
      <c r="AO541" s="76" t="s">
        <v>23814</v>
      </c>
      <c r="AP541" s="76"/>
      <c r="AQ541" s="76"/>
      <c r="AR541" s="76"/>
      <c r="AS541" s="76"/>
      <c r="AT541" s="76"/>
      <c r="AU541" s="76"/>
      <c r="AV541" s="76">
        <v>7.6568105633074701E+17</v>
      </c>
      <c r="AW541" s="76"/>
      <c r="AX541" s="76" t="b">
        <v>0</v>
      </c>
      <c r="AY541" s="76"/>
      <c r="AZ541" s="76"/>
      <c r="BA541" s="76" t="b">
        <v>1</v>
      </c>
      <c r="BB541" s="76" t="b">
        <v>1</v>
      </c>
      <c r="BC541" s="76" t="b">
        <v>1</v>
      </c>
      <c r="BD541" s="76" t="b">
        <v>0</v>
      </c>
      <c r="BE541" s="76" t="b">
        <v>1</v>
      </c>
      <c r="BF541" s="76" t="b">
        <v>0</v>
      </c>
      <c r="BG541" s="76" t="b">
        <v>0</v>
      </c>
      <c r="BH541" s="83" t="str">
        <f>HYPERLINK("https://pbs.twimg.com/profile_banners/711067830/1656172274")</f>
        <v>https://pbs.twimg.com/profile_banners/711067830/1656172274</v>
      </c>
      <c r="BI541" s="76"/>
      <c r="BJ541" s="76" t="s">
        <v>24936</v>
      </c>
      <c r="BK541" s="76" t="b">
        <v>0</v>
      </c>
      <c r="BL541" s="76"/>
      <c r="BM541" s="76" t="s">
        <v>66</v>
      </c>
      <c r="BN541" s="76" t="s">
        <v>24937</v>
      </c>
      <c r="BO541" s="83" t="str">
        <f>HYPERLINK("https://twitter.com/willian_evangel")</f>
        <v>https://twitter.com/willian_evangel</v>
      </c>
      <c r="BP541" s="2"/>
    </row>
    <row r="542" spans="1:68" x14ac:dyDescent="0.25">
      <c r="A542" s="62" t="s">
        <v>736</v>
      </c>
      <c r="B542" s="63"/>
      <c r="C542" s="63"/>
      <c r="D542" s="64"/>
      <c r="E542" s="66"/>
      <c r="F542" s="102" t="str">
        <f>HYPERLINK("https://pbs.twimg.com/profile_images/1240847588338946048/TassETcC_normal.jpg")</f>
        <v>https://pbs.twimg.com/profile_images/1240847588338946048/TassETcC_normal.jpg</v>
      </c>
      <c r="G542" s="63"/>
      <c r="H542" s="67"/>
      <c r="I542" s="68"/>
      <c r="J542" s="68"/>
      <c r="K542" s="67" t="s">
        <v>25476</v>
      </c>
      <c r="L542" s="71"/>
      <c r="M542" s="72"/>
      <c r="N542" s="72"/>
      <c r="O542" s="73"/>
      <c r="P542" s="74"/>
      <c r="Q542" s="74"/>
      <c r="R542" s="86"/>
      <c r="S542" s="86"/>
      <c r="T542" s="86"/>
      <c r="U542" s="86"/>
      <c r="V542" s="48"/>
      <c r="W542" s="48"/>
      <c r="X542" s="48"/>
      <c r="Y542" s="48"/>
      <c r="Z542" s="47"/>
      <c r="AA542" s="69">
        <v>542</v>
      </c>
      <c r="AB542" s="69"/>
      <c r="AC542" s="70"/>
      <c r="AD542" s="76" t="s">
        <v>22343</v>
      </c>
      <c r="AE542" s="81" t="s">
        <v>21392</v>
      </c>
      <c r="AF542" s="76">
        <v>30</v>
      </c>
      <c r="AG542" s="76">
        <v>17</v>
      </c>
      <c r="AH542" s="76">
        <v>287</v>
      </c>
      <c r="AI542" s="76">
        <v>0</v>
      </c>
      <c r="AJ542" s="76">
        <v>210</v>
      </c>
      <c r="AK542" s="76">
        <v>257</v>
      </c>
      <c r="AL542" s="76" t="b">
        <v>0</v>
      </c>
      <c r="AM542" s="78">
        <v>43910.158090277779</v>
      </c>
      <c r="AN542" s="76"/>
      <c r="AO542" s="76" t="s">
        <v>23815</v>
      </c>
      <c r="AP542" s="83" t="str">
        <f>HYPERLINK("https://t.co/T8DjGx2XbT")</f>
        <v>https://t.co/T8DjGx2XbT</v>
      </c>
      <c r="AQ542" s="83" t="str">
        <f>HYPERLINK("https://www.youtube.com/c/M%C3%ADsticoZen/featured")</f>
        <v>https://www.youtube.com/c/M%C3%ADsticoZen/featured</v>
      </c>
      <c r="AR542" s="76" t="s">
        <v>24555</v>
      </c>
      <c r="AS542" s="76"/>
      <c r="AT542" s="76"/>
      <c r="AU542" s="76"/>
      <c r="AV542" s="76">
        <v>1.55168043184159E+18</v>
      </c>
      <c r="AW542" s="83" t="str">
        <f>HYPERLINK("https://t.co/T8DjGx2XbT")</f>
        <v>https://t.co/T8DjGx2XbT</v>
      </c>
      <c r="AX542" s="76" t="b">
        <v>0</v>
      </c>
      <c r="AY542" s="76"/>
      <c r="AZ542" s="76"/>
      <c r="BA542" s="76" t="b">
        <v>0</v>
      </c>
      <c r="BB542" s="76" t="b">
        <v>0</v>
      </c>
      <c r="BC542" s="76" t="b">
        <v>1</v>
      </c>
      <c r="BD542" s="76" t="b">
        <v>0</v>
      </c>
      <c r="BE542" s="76" t="b">
        <v>0</v>
      </c>
      <c r="BF542" s="76" t="b">
        <v>0</v>
      </c>
      <c r="BG542" s="76" t="b">
        <v>0</v>
      </c>
      <c r="BH542" s="83" t="str">
        <f>HYPERLINK("https://pbs.twimg.com/profile_banners/1240847276538552323/1652525734")</f>
        <v>https://pbs.twimg.com/profile_banners/1240847276538552323/1652525734</v>
      </c>
      <c r="BI542" s="76"/>
      <c r="BJ542" s="76" t="s">
        <v>24935</v>
      </c>
      <c r="BK542" s="76" t="b">
        <v>0</v>
      </c>
      <c r="BL542" s="76"/>
      <c r="BM542" s="76" t="s">
        <v>66</v>
      </c>
      <c r="BN542" s="76" t="s">
        <v>24937</v>
      </c>
      <c r="BO542" s="83" t="str">
        <f>HYPERLINK("https://twitter.com/misticozen")</f>
        <v>https://twitter.com/misticozen</v>
      </c>
      <c r="BP542" s="2"/>
    </row>
    <row r="543" spans="1:68" x14ac:dyDescent="0.25">
      <c r="A543" s="62" t="s">
        <v>737</v>
      </c>
      <c r="B543" s="63"/>
      <c r="C543" s="63"/>
      <c r="D543" s="64"/>
      <c r="E543" s="66"/>
      <c r="F543" s="102" t="str">
        <f>HYPERLINK("https://pbs.twimg.com/profile_images/1701771756044742657/BvVnrKIp_normal.jpg")</f>
        <v>https://pbs.twimg.com/profile_images/1701771756044742657/BvVnrKIp_normal.jpg</v>
      </c>
      <c r="G543" s="63"/>
      <c r="H543" s="67"/>
      <c r="I543" s="68"/>
      <c r="J543" s="68"/>
      <c r="K543" s="67" t="s">
        <v>25477</v>
      </c>
      <c r="L543" s="71"/>
      <c r="M543" s="72"/>
      <c r="N543" s="72"/>
      <c r="O543" s="73"/>
      <c r="P543" s="74"/>
      <c r="Q543" s="74"/>
      <c r="R543" s="86"/>
      <c r="S543" s="86"/>
      <c r="T543" s="86"/>
      <c r="U543" s="86"/>
      <c r="V543" s="48"/>
      <c r="W543" s="48"/>
      <c r="X543" s="48"/>
      <c r="Y543" s="48"/>
      <c r="Z543" s="47"/>
      <c r="AA543" s="69">
        <v>543</v>
      </c>
      <c r="AB543" s="69"/>
      <c r="AC543" s="70"/>
      <c r="AD543" s="76" t="s">
        <v>22344</v>
      </c>
      <c r="AE543" s="81" t="s">
        <v>21393</v>
      </c>
      <c r="AF543" s="76">
        <v>7497</v>
      </c>
      <c r="AG543" s="76">
        <v>629</v>
      </c>
      <c r="AH543" s="76">
        <v>221</v>
      </c>
      <c r="AI543" s="76">
        <v>3</v>
      </c>
      <c r="AJ543" s="76">
        <v>90904</v>
      </c>
      <c r="AK543" s="76">
        <v>17</v>
      </c>
      <c r="AL543" s="76" t="b">
        <v>0</v>
      </c>
      <c r="AM543" s="78">
        <v>44940.927118055559</v>
      </c>
      <c r="AN543" s="76"/>
      <c r="AO543" s="76" t="s">
        <v>23816</v>
      </c>
      <c r="AP543" s="83" t="str">
        <f>HYPERLINK("https://t.co/KkfBmkOltb")</f>
        <v>https://t.co/KkfBmkOltb</v>
      </c>
      <c r="AQ543" s="83" t="str">
        <f>HYPERLINK("https://pay.kiwify.com.br/stPj5Aq?afid=OvONu71z")</f>
        <v>https://pay.kiwify.com.br/stPj5Aq?afid=OvONu71z</v>
      </c>
      <c r="AR543" s="76" t="s">
        <v>24556</v>
      </c>
      <c r="AS543" s="76"/>
      <c r="AT543" s="76"/>
      <c r="AU543" s="76"/>
      <c r="AV543" s="76">
        <v>1.70284886048416E+18</v>
      </c>
      <c r="AW543" s="83" t="str">
        <f>HYPERLINK("https://t.co/KkfBmkOltb")</f>
        <v>https://t.co/KkfBmkOltb</v>
      </c>
      <c r="AX543" s="76" t="b">
        <v>0</v>
      </c>
      <c r="AY543" s="76"/>
      <c r="AZ543" s="76"/>
      <c r="BA543" s="76" t="b">
        <v>1</v>
      </c>
      <c r="BB543" s="76" t="b">
        <v>1</v>
      </c>
      <c r="BC543" s="76" t="b">
        <v>1</v>
      </c>
      <c r="BD543" s="76" t="b">
        <v>0</v>
      </c>
      <c r="BE543" s="76" t="b">
        <v>0</v>
      </c>
      <c r="BF543" s="76" t="b">
        <v>0</v>
      </c>
      <c r="BG543" s="76" t="b">
        <v>1</v>
      </c>
      <c r="BH543" s="83" t="str">
        <f>HYPERLINK("https://pbs.twimg.com/profile_banners/1614385587577921536/1690378040")</f>
        <v>https://pbs.twimg.com/profile_banners/1614385587577921536/1690378040</v>
      </c>
      <c r="BI543" s="76" t="s">
        <v>24934</v>
      </c>
      <c r="BJ543" s="76" t="s">
        <v>24935</v>
      </c>
      <c r="BK543" s="76" t="b">
        <v>0</v>
      </c>
      <c r="BL543" s="76"/>
      <c r="BM543" s="76" t="s">
        <v>66</v>
      </c>
      <c r="BN543" s="76" t="s">
        <v>24937</v>
      </c>
      <c r="BO543" s="83" t="str">
        <f>HYPERLINK("https://twitter.com/inkproducoes")</f>
        <v>https://twitter.com/inkproducoes</v>
      </c>
      <c r="BP543" s="2"/>
    </row>
    <row r="544" spans="1:68" x14ac:dyDescent="0.25">
      <c r="A544" s="62" t="s">
        <v>738</v>
      </c>
      <c r="B544" s="63"/>
      <c r="C544" s="63"/>
      <c r="D544" s="64"/>
      <c r="E544" s="66"/>
      <c r="F544" s="102" t="str">
        <f>HYPERLINK("https://pbs.twimg.com/profile_images/1589744847237300230/YZyLfl5t_normal.jpg")</f>
        <v>https://pbs.twimg.com/profile_images/1589744847237300230/YZyLfl5t_normal.jpg</v>
      </c>
      <c r="G544" s="63"/>
      <c r="H544" s="67"/>
      <c r="I544" s="68"/>
      <c r="J544" s="68"/>
      <c r="K544" s="67" t="s">
        <v>25478</v>
      </c>
      <c r="L544" s="71"/>
      <c r="M544" s="72"/>
      <c r="N544" s="72"/>
      <c r="O544" s="73"/>
      <c r="P544" s="74"/>
      <c r="Q544" s="74"/>
      <c r="R544" s="86"/>
      <c r="S544" s="86"/>
      <c r="T544" s="86"/>
      <c r="U544" s="86"/>
      <c r="V544" s="48"/>
      <c r="W544" s="48"/>
      <c r="X544" s="48"/>
      <c r="Y544" s="48"/>
      <c r="Z544" s="47"/>
      <c r="AA544" s="69">
        <v>544</v>
      </c>
      <c r="AB544" s="69"/>
      <c r="AC544" s="70"/>
      <c r="AD544" s="76" t="s">
        <v>22345</v>
      </c>
      <c r="AE544" s="81" t="s">
        <v>21394</v>
      </c>
      <c r="AF544" s="76">
        <v>16</v>
      </c>
      <c r="AG544" s="76">
        <v>249</v>
      </c>
      <c r="AH544" s="76">
        <v>51</v>
      </c>
      <c r="AI544" s="76">
        <v>0</v>
      </c>
      <c r="AJ544" s="76">
        <v>33</v>
      </c>
      <c r="AK544" s="76">
        <v>12</v>
      </c>
      <c r="AL544" s="76" t="b">
        <v>0</v>
      </c>
      <c r="AM544" s="78">
        <v>44872.931504629632</v>
      </c>
      <c r="AN544" s="76"/>
      <c r="AO544" s="76" t="s">
        <v>23817</v>
      </c>
      <c r="AP544" s="83" t="str">
        <f>HYPERLINK("https://t.co/qwCsS41U8Z")</f>
        <v>https://t.co/qwCsS41U8Z</v>
      </c>
      <c r="AQ544" s="83" t="str">
        <f>HYPERLINK("https://btclucrox.com.br/blog/")</f>
        <v>https://btclucrox.com.br/blog/</v>
      </c>
      <c r="AR544" s="76" t="s">
        <v>24557</v>
      </c>
      <c r="AS544" s="76"/>
      <c r="AT544" s="76"/>
      <c r="AU544" s="76"/>
      <c r="AV544" s="76"/>
      <c r="AW544" s="83" t="str">
        <f>HYPERLINK("https://t.co/qwCsS41U8Z")</f>
        <v>https://t.co/qwCsS41U8Z</v>
      </c>
      <c r="AX544" s="76" t="b">
        <v>0</v>
      </c>
      <c r="AY544" s="76"/>
      <c r="AZ544" s="76"/>
      <c r="BA544" s="76" t="b">
        <v>0</v>
      </c>
      <c r="BB544" s="76" t="b">
        <v>1</v>
      </c>
      <c r="BC544" s="76" t="b">
        <v>1</v>
      </c>
      <c r="BD544" s="76" t="b">
        <v>0</v>
      </c>
      <c r="BE544" s="76" t="b">
        <v>0</v>
      </c>
      <c r="BF544" s="76" t="b">
        <v>0</v>
      </c>
      <c r="BG544" s="76" t="b">
        <v>0</v>
      </c>
      <c r="BH544" s="83" t="str">
        <f>HYPERLINK("https://pbs.twimg.com/profile_banners/1589744736658767872/1667859918")</f>
        <v>https://pbs.twimg.com/profile_banners/1589744736658767872/1667859918</v>
      </c>
      <c r="BI544" s="76"/>
      <c r="BJ544" s="76" t="s">
        <v>24935</v>
      </c>
      <c r="BK544" s="76" t="b">
        <v>0</v>
      </c>
      <c r="BL544" s="76"/>
      <c r="BM544" s="76" t="s">
        <v>66</v>
      </c>
      <c r="BN544" s="76" t="s">
        <v>24937</v>
      </c>
      <c r="BO544" s="83" t="str">
        <f>HYPERLINK("https://twitter.com/btclucrox")</f>
        <v>https://twitter.com/btclucrox</v>
      </c>
      <c r="BP544" s="2"/>
    </row>
    <row r="545" spans="1:68" x14ac:dyDescent="0.25">
      <c r="A545" s="62" t="s">
        <v>739</v>
      </c>
      <c r="B545" s="63"/>
      <c r="C545" s="63"/>
      <c r="D545" s="64"/>
      <c r="E545" s="66"/>
      <c r="F545" s="102" t="str">
        <f>HYPERLINK("https://pbs.twimg.com/profile_images/1687235229902123014/aEOtNoGW_normal.jpg")</f>
        <v>https://pbs.twimg.com/profile_images/1687235229902123014/aEOtNoGW_normal.jpg</v>
      </c>
      <c r="G545" s="63"/>
      <c r="H545" s="67"/>
      <c r="I545" s="68"/>
      <c r="J545" s="68"/>
      <c r="K545" s="67" t="s">
        <v>25479</v>
      </c>
      <c r="L545" s="71"/>
      <c r="M545" s="72"/>
      <c r="N545" s="72"/>
      <c r="O545" s="73"/>
      <c r="P545" s="74"/>
      <c r="Q545" s="74"/>
      <c r="R545" s="86"/>
      <c r="S545" s="86"/>
      <c r="T545" s="86"/>
      <c r="U545" s="86"/>
      <c r="V545" s="48"/>
      <c r="W545" s="48"/>
      <c r="X545" s="48"/>
      <c r="Y545" s="48"/>
      <c r="Z545" s="47"/>
      <c r="AA545" s="69">
        <v>545</v>
      </c>
      <c r="AB545" s="69"/>
      <c r="AC545" s="70"/>
      <c r="AD545" s="76" t="s">
        <v>22346</v>
      </c>
      <c r="AE545" s="81" t="s">
        <v>21395</v>
      </c>
      <c r="AF545" s="76">
        <v>2</v>
      </c>
      <c r="AG545" s="76">
        <v>19</v>
      </c>
      <c r="AH545" s="76">
        <v>12</v>
      </c>
      <c r="AI545" s="76">
        <v>0</v>
      </c>
      <c r="AJ545" s="76">
        <v>5</v>
      </c>
      <c r="AK545" s="76">
        <v>11</v>
      </c>
      <c r="AL545" s="76" t="b">
        <v>0</v>
      </c>
      <c r="AM545" s="78">
        <v>45139.733831018515</v>
      </c>
      <c r="AN545" s="76"/>
      <c r="AO545" s="76" t="s">
        <v>23818</v>
      </c>
      <c r="AP545" s="83" t="str">
        <f>HYPERLINK("https://t.co/ZLiTrW17lj")</f>
        <v>https://t.co/ZLiTrW17lj</v>
      </c>
      <c r="AQ545" s="83" t="str">
        <f>HYPERLINK("https://bit.ly/forum-black-ratt")</f>
        <v>https://bit.ly/forum-black-ratt</v>
      </c>
      <c r="AR545" s="76" t="s">
        <v>24558</v>
      </c>
      <c r="AS545" s="76"/>
      <c r="AT545" s="76"/>
      <c r="AU545" s="76"/>
      <c r="AV545" s="76"/>
      <c r="AW545" s="83" t="str">
        <f>HYPERLINK("https://t.co/ZLiTrW17lj")</f>
        <v>https://t.co/ZLiTrW17lj</v>
      </c>
      <c r="AX545" s="76" t="b">
        <v>0</v>
      </c>
      <c r="AY545" s="76"/>
      <c r="AZ545" s="76"/>
      <c r="BA545" s="76" t="b">
        <v>0</v>
      </c>
      <c r="BB545" s="76" t="b">
        <v>1</v>
      </c>
      <c r="BC545" s="76" t="b">
        <v>1</v>
      </c>
      <c r="BD545" s="76" t="b">
        <v>0</v>
      </c>
      <c r="BE545" s="76" t="b">
        <v>0</v>
      </c>
      <c r="BF545" s="76" t="b">
        <v>0</v>
      </c>
      <c r="BG545" s="76" t="b">
        <v>0</v>
      </c>
      <c r="BH545" s="83" t="str">
        <f>HYPERLINK("https://pbs.twimg.com/profile_banners/1686430714378485760/1691104302")</f>
        <v>https://pbs.twimg.com/profile_banners/1686430714378485760/1691104302</v>
      </c>
      <c r="BI545" s="76"/>
      <c r="BJ545" s="76" t="s">
        <v>24935</v>
      </c>
      <c r="BK545" s="76" t="b">
        <v>0</v>
      </c>
      <c r="BL545" s="76"/>
      <c r="BM545" s="76" t="s">
        <v>66</v>
      </c>
      <c r="BN545" s="76" t="s">
        <v>24937</v>
      </c>
      <c r="BO545" s="83" t="str">
        <f>HYPERLINK("https://twitter.com/cortesreiratao")</f>
        <v>https://twitter.com/cortesreiratao</v>
      </c>
      <c r="BP545" s="2"/>
    </row>
    <row r="546" spans="1:68" x14ac:dyDescent="0.25">
      <c r="A546" s="62" t="s">
        <v>740</v>
      </c>
      <c r="B546" s="63"/>
      <c r="C546" s="63"/>
      <c r="D546" s="64"/>
      <c r="E546" s="66"/>
      <c r="F546" s="102" t="str">
        <f>HYPERLINK("https://pbs.twimg.com/profile_images/1645866377020952596/-LSOhLqa_normal.jpg")</f>
        <v>https://pbs.twimg.com/profile_images/1645866377020952596/-LSOhLqa_normal.jpg</v>
      </c>
      <c r="G546" s="63"/>
      <c r="H546" s="67"/>
      <c r="I546" s="68"/>
      <c r="J546" s="68"/>
      <c r="K546" s="67" t="s">
        <v>25480</v>
      </c>
      <c r="L546" s="71"/>
      <c r="M546" s="72"/>
      <c r="N546" s="72"/>
      <c r="O546" s="73"/>
      <c r="P546" s="74"/>
      <c r="Q546" s="74"/>
      <c r="R546" s="86"/>
      <c r="S546" s="86"/>
      <c r="T546" s="86"/>
      <c r="U546" s="86"/>
      <c r="V546" s="48"/>
      <c r="W546" s="48"/>
      <c r="X546" s="48"/>
      <c r="Y546" s="48"/>
      <c r="Z546" s="47"/>
      <c r="AA546" s="69">
        <v>546</v>
      </c>
      <c r="AB546" s="69"/>
      <c r="AC546" s="70"/>
      <c r="AD546" s="76" t="s">
        <v>22347</v>
      </c>
      <c r="AE546" s="81" t="s">
        <v>21396</v>
      </c>
      <c r="AF546" s="76">
        <v>0</v>
      </c>
      <c r="AG546" s="76">
        <v>0</v>
      </c>
      <c r="AH546" s="76">
        <v>12</v>
      </c>
      <c r="AI546" s="76">
        <v>0</v>
      </c>
      <c r="AJ546" s="76">
        <v>0</v>
      </c>
      <c r="AK546" s="76">
        <v>12</v>
      </c>
      <c r="AL546" s="76" t="b">
        <v>0</v>
      </c>
      <c r="AM546" s="78">
        <v>45005.709386574075</v>
      </c>
      <c r="AN546" s="76"/>
      <c r="AO546" s="76"/>
      <c r="AP546" s="76"/>
      <c r="AQ546" s="76"/>
      <c r="AR546" s="76"/>
      <c r="AS546" s="76"/>
      <c r="AT546" s="76"/>
      <c r="AU546" s="76"/>
      <c r="AV546" s="76"/>
      <c r="AW546" s="76"/>
      <c r="AX546" s="76" t="b">
        <v>0</v>
      </c>
      <c r="AY546" s="76"/>
      <c r="AZ546" s="76"/>
      <c r="BA546" s="76" t="b">
        <v>0</v>
      </c>
      <c r="BB546" s="76" t="b">
        <v>1</v>
      </c>
      <c r="BC546" s="76" t="b">
        <v>1</v>
      </c>
      <c r="BD546" s="76" t="b">
        <v>0</v>
      </c>
      <c r="BE546" s="76" t="b">
        <v>0</v>
      </c>
      <c r="BF546" s="76" t="b">
        <v>0</v>
      </c>
      <c r="BG546" s="76" t="b">
        <v>0</v>
      </c>
      <c r="BH546" s="76"/>
      <c r="BI546" s="76"/>
      <c r="BJ546" s="76" t="s">
        <v>24935</v>
      </c>
      <c r="BK546" s="76" t="b">
        <v>0</v>
      </c>
      <c r="BL546" s="76"/>
      <c r="BM546" s="76" t="s">
        <v>66</v>
      </c>
      <c r="BN546" s="76" t="s">
        <v>24937</v>
      </c>
      <c r="BO546" s="83" t="str">
        <f>HYPERLINK("https://twitter.com/doceslucrativos")</f>
        <v>https://twitter.com/doceslucrativos</v>
      </c>
      <c r="BP546" s="2"/>
    </row>
    <row r="547" spans="1:68" x14ac:dyDescent="0.25">
      <c r="A547" s="62" t="s">
        <v>741</v>
      </c>
      <c r="B547" s="63"/>
      <c r="C547" s="63"/>
      <c r="D547" s="64"/>
      <c r="E547" s="66"/>
      <c r="F547" s="102" t="str">
        <f>HYPERLINK("https://pbs.twimg.com/profile_images/1605030719717343232/ITJ4PCNW_normal.png")</f>
        <v>https://pbs.twimg.com/profile_images/1605030719717343232/ITJ4PCNW_normal.png</v>
      </c>
      <c r="G547" s="63"/>
      <c r="H547" s="67"/>
      <c r="I547" s="68"/>
      <c r="J547" s="68"/>
      <c r="K547" s="67" t="s">
        <v>25481</v>
      </c>
      <c r="L547" s="71"/>
      <c r="M547" s="72"/>
      <c r="N547" s="72"/>
      <c r="O547" s="73"/>
      <c r="P547" s="74"/>
      <c r="Q547" s="74"/>
      <c r="R547" s="86"/>
      <c r="S547" s="86"/>
      <c r="T547" s="86"/>
      <c r="U547" s="86"/>
      <c r="V547" s="48"/>
      <c r="W547" s="48"/>
      <c r="X547" s="48"/>
      <c r="Y547" s="48"/>
      <c r="Z547" s="47"/>
      <c r="AA547" s="69">
        <v>547</v>
      </c>
      <c r="AB547" s="69"/>
      <c r="AC547" s="70"/>
      <c r="AD547" s="76" t="s">
        <v>22348</v>
      </c>
      <c r="AE547" s="81" t="s">
        <v>21397</v>
      </c>
      <c r="AF547" s="76">
        <v>11</v>
      </c>
      <c r="AG547" s="76">
        <v>40</v>
      </c>
      <c r="AH547" s="76">
        <v>67</v>
      </c>
      <c r="AI547" s="76">
        <v>0</v>
      </c>
      <c r="AJ547" s="76">
        <v>13</v>
      </c>
      <c r="AK547" s="76">
        <v>28</v>
      </c>
      <c r="AL547" s="76" t="b">
        <v>0</v>
      </c>
      <c r="AM547" s="78">
        <v>44915.112476851849</v>
      </c>
      <c r="AN547" s="76"/>
      <c r="AO547" s="76" t="s">
        <v>23819</v>
      </c>
      <c r="AP547" s="83" t="str">
        <f>HYPERLINK("https://t.co/mzg6LRy6KR")</f>
        <v>https://t.co/mzg6LRy6KR</v>
      </c>
      <c r="AQ547" s="83" t="str">
        <f>HYPERLINK("https://sites.google.com/view/nr-novosrumos/in%C3%ADcio")</f>
        <v>https://sites.google.com/view/nr-novosrumos/in%C3%ADcio</v>
      </c>
      <c r="AR547" s="76" t="s">
        <v>24559</v>
      </c>
      <c r="AS547" s="76"/>
      <c r="AT547" s="76"/>
      <c r="AU547" s="76"/>
      <c r="AV547" s="76">
        <v>1.6217942821966799E+18</v>
      </c>
      <c r="AW547" s="83" t="str">
        <f>HYPERLINK("https://t.co/mzg6LRy6KR")</f>
        <v>https://t.co/mzg6LRy6KR</v>
      </c>
      <c r="AX547" s="76" t="b">
        <v>0</v>
      </c>
      <c r="AY547" s="76"/>
      <c r="AZ547" s="76"/>
      <c r="BA547" s="76" t="b">
        <v>0</v>
      </c>
      <c r="BB547" s="76" t="b">
        <v>1</v>
      </c>
      <c r="BC547" s="76" t="b">
        <v>1</v>
      </c>
      <c r="BD547" s="76" t="b">
        <v>0</v>
      </c>
      <c r="BE547" s="76" t="b">
        <v>0</v>
      </c>
      <c r="BF547" s="76" t="b">
        <v>0</v>
      </c>
      <c r="BG547" s="76" t="b">
        <v>0</v>
      </c>
      <c r="BH547" s="83" t="str">
        <f>HYPERLINK("https://pbs.twimg.com/profile_banners/1605030444243763200/1673842395")</f>
        <v>https://pbs.twimg.com/profile_banners/1605030444243763200/1673842395</v>
      </c>
      <c r="BI547" s="76"/>
      <c r="BJ547" s="76" t="s">
        <v>24935</v>
      </c>
      <c r="BK547" s="76" t="b">
        <v>0</v>
      </c>
      <c r="BL547" s="76"/>
      <c r="BM547" s="76" t="s">
        <v>66</v>
      </c>
      <c r="BN547" s="76" t="s">
        <v>24937</v>
      </c>
      <c r="BO547" s="83" t="str">
        <f>HYPERLINK("https://twitter.com/nr_novocaminho")</f>
        <v>https://twitter.com/nr_novocaminho</v>
      </c>
      <c r="BP547" s="2"/>
    </row>
    <row r="548" spans="1:68" x14ac:dyDescent="0.25">
      <c r="A548" s="62" t="s">
        <v>742</v>
      </c>
      <c r="B548" s="63"/>
      <c r="C548" s="63"/>
      <c r="D548" s="64"/>
      <c r="E548" s="66"/>
      <c r="F548" s="102" t="str">
        <f>HYPERLINK("https://pbs.twimg.com/profile_images/1224760902026715137/hIfnYf8w_normal.jpg")</f>
        <v>https://pbs.twimg.com/profile_images/1224760902026715137/hIfnYf8w_normal.jpg</v>
      </c>
      <c r="G548" s="63"/>
      <c r="H548" s="67"/>
      <c r="I548" s="68"/>
      <c r="J548" s="68"/>
      <c r="K548" s="67" t="s">
        <v>25482</v>
      </c>
      <c r="L548" s="71"/>
      <c r="M548" s="72"/>
      <c r="N548" s="72"/>
      <c r="O548" s="73"/>
      <c r="P548" s="74"/>
      <c r="Q548" s="74"/>
      <c r="R548" s="86"/>
      <c r="S548" s="86"/>
      <c r="T548" s="86"/>
      <c r="U548" s="86"/>
      <c r="V548" s="48"/>
      <c r="W548" s="48"/>
      <c r="X548" s="48"/>
      <c r="Y548" s="48"/>
      <c r="Z548" s="47"/>
      <c r="AA548" s="69">
        <v>548</v>
      </c>
      <c r="AB548" s="69"/>
      <c r="AC548" s="70"/>
      <c r="AD548" s="76" t="s">
        <v>22349</v>
      </c>
      <c r="AE548" s="81" t="s">
        <v>22965</v>
      </c>
      <c r="AF548" s="76">
        <v>23</v>
      </c>
      <c r="AG548" s="76">
        <v>64</v>
      </c>
      <c r="AH548" s="76">
        <v>34</v>
      </c>
      <c r="AI548" s="76">
        <v>0</v>
      </c>
      <c r="AJ548" s="76">
        <v>768</v>
      </c>
      <c r="AK548" s="76">
        <v>29</v>
      </c>
      <c r="AL548" s="76" t="b">
        <v>0</v>
      </c>
      <c r="AM548" s="78">
        <v>41725.678032407406</v>
      </c>
      <c r="AN548" s="76" t="s">
        <v>23222</v>
      </c>
      <c r="AO548" s="76" t="s">
        <v>23820</v>
      </c>
      <c r="AP548" s="83" t="str">
        <f>HYPERLINK("https://t.co/eQTpdN2hyZ")</f>
        <v>https://t.co/eQTpdN2hyZ</v>
      </c>
      <c r="AQ548" s="83" t="str">
        <f>HYPERLINK("https://edzz.la/R2NSL?a=93061127")</f>
        <v>https://edzz.la/R2NSL?a=93061127</v>
      </c>
      <c r="AR548" s="76" t="s">
        <v>24560</v>
      </c>
      <c r="AS548" s="76"/>
      <c r="AT548" s="76"/>
      <c r="AU548" s="76"/>
      <c r="AV548" s="76"/>
      <c r="AW548" s="83" t="str">
        <f>HYPERLINK("https://t.co/eQTpdN2hyZ")</f>
        <v>https://t.co/eQTpdN2hyZ</v>
      </c>
      <c r="AX548" s="76" t="b">
        <v>0</v>
      </c>
      <c r="AY548" s="76"/>
      <c r="AZ548" s="76"/>
      <c r="BA548" s="76" t="b">
        <v>0</v>
      </c>
      <c r="BB548" s="76" t="b">
        <v>1</v>
      </c>
      <c r="BC548" s="76" t="b">
        <v>1</v>
      </c>
      <c r="BD548" s="76" t="b">
        <v>0</v>
      </c>
      <c r="BE548" s="76" t="b">
        <v>0</v>
      </c>
      <c r="BF548" s="76" t="b">
        <v>0</v>
      </c>
      <c r="BG548" s="76" t="b">
        <v>0</v>
      </c>
      <c r="BH548" s="76"/>
      <c r="BI548" s="76"/>
      <c r="BJ548" s="76" t="s">
        <v>24935</v>
      </c>
      <c r="BK548" s="76" t="b">
        <v>0</v>
      </c>
      <c r="BL548" s="76"/>
      <c r="BM548" s="76" t="s">
        <v>66</v>
      </c>
      <c r="BN548" s="76" t="s">
        <v>24937</v>
      </c>
      <c r="BO548" s="83" t="str">
        <f>HYPERLINK("https://twitter.com/oronhaleticia")</f>
        <v>https://twitter.com/oronhaleticia</v>
      </c>
      <c r="BP548" s="2"/>
    </row>
    <row r="549" spans="1:68" x14ac:dyDescent="0.25">
      <c r="A549" s="62" t="s">
        <v>743</v>
      </c>
      <c r="B549" s="63"/>
      <c r="C549" s="63"/>
      <c r="D549" s="64"/>
      <c r="E549" s="66"/>
      <c r="F549" s="102" t="str">
        <f>HYPERLINK("https://pbs.twimg.com/profile_images/1600293136294707200/5bcxjppv_normal.png")</f>
        <v>https://pbs.twimg.com/profile_images/1600293136294707200/5bcxjppv_normal.png</v>
      </c>
      <c r="G549" s="63"/>
      <c r="H549" s="67"/>
      <c r="I549" s="68"/>
      <c r="J549" s="68"/>
      <c r="K549" s="67" t="s">
        <v>25483</v>
      </c>
      <c r="L549" s="71"/>
      <c r="M549" s="72"/>
      <c r="N549" s="72"/>
      <c r="O549" s="73"/>
      <c r="P549" s="74"/>
      <c r="Q549" s="74"/>
      <c r="R549" s="86"/>
      <c r="S549" s="86"/>
      <c r="T549" s="86"/>
      <c r="U549" s="86"/>
      <c r="V549" s="48"/>
      <c r="W549" s="48"/>
      <c r="X549" s="48"/>
      <c r="Y549" s="48"/>
      <c r="Z549" s="47"/>
      <c r="AA549" s="69">
        <v>549</v>
      </c>
      <c r="AB549" s="69"/>
      <c r="AC549" s="70"/>
      <c r="AD549" s="76" t="s">
        <v>22350</v>
      </c>
      <c r="AE549" s="81" t="s">
        <v>21398</v>
      </c>
      <c r="AF549" s="76">
        <v>9</v>
      </c>
      <c r="AG549" s="76">
        <v>75</v>
      </c>
      <c r="AH549" s="76">
        <v>120</v>
      </c>
      <c r="AI549" s="76">
        <v>0</v>
      </c>
      <c r="AJ549" s="76">
        <v>218</v>
      </c>
      <c r="AK549" s="76">
        <v>54</v>
      </c>
      <c r="AL549" s="76" t="b">
        <v>0</v>
      </c>
      <c r="AM549" s="78">
        <v>44655.945439814815</v>
      </c>
      <c r="AN549" s="76"/>
      <c r="AO549" s="76" t="s">
        <v>23821</v>
      </c>
      <c r="AP549" s="76"/>
      <c r="AQ549" s="76"/>
      <c r="AR549" s="76"/>
      <c r="AS549" s="76" t="s">
        <v>24833</v>
      </c>
      <c r="AT549" s="76" t="s">
        <v>24844</v>
      </c>
      <c r="AU549" s="76" t="s">
        <v>24886</v>
      </c>
      <c r="AV549" s="76"/>
      <c r="AW549" s="76"/>
      <c r="AX549" s="76" t="b">
        <v>0</v>
      </c>
      <c r="AY549" s="76"/>
      <c r="AZ549" s="76"/>
      <c r="BA549" s="76" t="b">
        <v>0</v>
      </c>
      <c r="BB549" s="76" t="b">
        <v>1</v>
      </c>
      <c r="BC549" s="76" t="b">
        <v>1</v>
      </c>
      <c r="BD549" s="76" t="b">
        <v>0</v>
      </c>
      <c r="BE549" s="76" t="b">
        <v>1</v>
      </c>
      <c r="BF549" s="76" t="b">
        <v>0</v>
      </c>
      <c r="BG549" s="76" t="b">
        <v>0</v>
      </c>
      <c r="BH549" s="83" t="str">
        <f>HYPERLINK("https://pbs.twimg.com/profile_banners/1511110783345872900/1670374592")</f>
        <v>https://pbs.twimg.com/profile_banners/1511110783345872900/1670374592</v>
      </c>
      <c r="BI549" s="76"/>
      <c r="BJ549" s="76" t="s">
        <v>24935</v>
      </c>
      <c r="BK549" s="76" t="b">
        <v>0</v>
      </c>
      <c r="BL549" s="76"/>
      <c r="BM549" s="76" t="s">
        <v>66</v>
      </c>
      <c r="BN549" s="76" t="s">
        <v>24937</v>
      </c>
      <c r="BO549" s="83" t="str">
        <f>HYPERLINK("https://twitter.com/nfts_dp")</f>
        <v>https://twitter.com/nfts_dp</v>
      </c>
      <c r="BP549" s="2"/>
    </row>
    <row r="550" spans="1:68" x14ac:dyDescent="0.25">
      <c r="A550" s="62" t="s">
        <v>744</v>
      </c>
      <c r="B550" s="63"/>
      <c r="C550" s="63"/>
      <c r="D550" s="64"/>
      <c r="E550" s="66"/>
      <c r="F550" s="102" t="str">
        <f>HYPERLINK("https://pbs.twimg.com/profile_images/1616546627661053953/G4wVwdy9_normal.jpg")</f>
        <v>https://pbs.twimg.com/profile_images/1616546627661053953/G4wVwdy9_normal.jpg</v>
      </c>
      <c r="G550" s="63"/>
      <c r="H550" s="67"/>
      <c r="I550" s="68"/>
      <c r="J550" s="68"/>
      <c r="K550" s="67" t="s">
        <v>25484</v>
      </c>
      <c r="L550" s="71"/>
      <c r="M550" s="72"/>
      <c r="N550" s="72"/>
      <c r="O550" s="73"/>
      <c r="P550" s="74"/>
      <c r="Q550" s="74"/>
      <c r="R550" s="86"/>
      <c r="S550" s="86"/>
      <c r="T550" s="86"/>
      <c r="U550" s="86"/>
      <c r="V550" s="48"/>
      <c r="W550" s="48"/>
      <c r="X550" s="48"/>
      <c r="Y550" s="48"/>
      <c r="Z550" s="47"/>
      <c r="AA550" s="69">
        <v>550</v>
      </c>
      <c r="AB550" s="69"/>
      <c r="AC550" s="70"/>
      <c r="AD550" s="76" t="s">
        <v>22351</v>
      </c>
      <c r="AE550" s="81" t="s">
        <v>20945</v>
      </c>
      <c r="AF550" s="76">
        <v>137</v>
      </c>
      <c r="AG550" s="76">
        <v>81</v>
      </c>
      <c r="AH550" s="76">
        <v>108</v>
      </c>
      <c r="AI550" s="76">
        <v>5</v>
      </c>
      <c r="AJ550" s="76">
        <v>137</v>
      </c>
      <c r="AK550" s="76">
        <v>181</v>
      </c>
      <c r="AL550" s="76" t="b">
        <v>0</v>
      </c>
      <c r="AM550" s="78">
        <v>39955.987997685188</v>
      </c>
      <c r="AN550" s="76" t="s">
        <v>14115</v>
      </c>
      <c r="AO550" s="76" t="s">
        <v>23822</v>
      </c>
      <c r="AP550" s="83" t="str">
        <f>HYPERLINK("https://t.co/CbHNsf0U4U")</f>
        <v>https://t.co/CbHNsf0U4U</v>
      </c>
      <c r="AQ550" s="83" t="str">
        <f>HYPERLINK("https://linktr.ee/Nerdup")</f>
        <v>https://linktr.ee/Nerdup</v>
      </c>
      <c r="AR550" s="76" t="s">
        <v>24561</v>
      </c>
      <c r="AS550" s="76"/>
      <c r="AT550" s="76"/>
      <c r="AU550" s="76"/>
      <c r="AV550" s="76"/>
      <c r="AW550" s="83" t="str">
        <f>HYPERLINK("https://t.co/CbHNsf0U4U")</f>
        <v>https://t.co/CbHNsf0U4U</v>
      </c>
      <c r="AX550" s="76" t="b">
        <v>0</v>
      </c>
      <c r="AY550" s="76"/>
      <c r="AZ550" s="76"/>
      <c r="BA550" s="76" t="b">
        <v>0</v>
      </c>
      <c r="BB550" s="76" t="b">
        <v>1</v>
      </c>
      <c r="BC550" s="76" t="b">
        <v>0</v>
      </c>
      <c r="BD550" s="76" t="b">
        <v>0</v>
      </c>
      <c r="BE550" s="76" t="b">
        <v>1</v>
      </c>
      <c r="BF550" s="76" t="b">
        <v>0</v>
      </c>
      <c r="BG550" s="76" t="b">
        <v>0</v>
      </c>
      <c r="BH550" s="83" t="str">
        <f>HYPERLINK("https://pbs.twimg.com/profile_banners/41928738/1674249775")</f>
        <v>https://pbs.twimg.com/profile_banners/41928738/1674249775</v>
      </c>
      <c r="BI550" s="76"/>
      <c r="BJ550" s="76" t="s">
        <v>24935</v>
      </c>
      <c r="BK550" s="76" t="b">
        <v>0</v>
      </c>
      <c r="BL550" s="76"/>
      <c r="BM550" s="76" t="s">
        <v>66</v>
      </c>
      <c r="BN550" s="76" t="s">
        <v>24937</v>
      </c>
      <c r="BO550" s="83" t="str">
        <f>HYPERLINK("https://twitter.com/brunoberanko")</f>
        <v>https://twitter.com/brunoberanko</v>
      </c>
      <c r="BP550" s="2"/>
    </row>
    <row r="551" spans="1:68" x14ac:dyDescent="0.25">
      <c r="A551" s="62" t="s">
        <v>745</v>
      </c>
      <c r="B551" s="63"/>
      <c r="C551" s="63"/>
      <c r="D551" s="64"/>
      <c r="E551" s="66"/>
      <c r="F551" s="102" t="str">
        <f>HYPERLINK("https://pbs.twimg.com/profile_images/1654115924600041472/4JYUVt0H_normal.jpg")</f>
        <v>https://pbs.twimg.com/profile_images/1654115924600041472/4JYUVt0H_normal.jpg</v>
      </c>
      <c r="G551" s="63"/>
      <c r="H551" s="67"/>
      <c r="I551" s="68"/>
      <c r="J551" s="68"/>
      <c r="K551" s="67" t="s">
        <v>25485</v>
      </c>
      <c r="L551" s="71"/>
      <c r="M551" s="72"/>
      <c r="N551" s="72"/>
      <c r="O551" s="73"/>
      <c r="P551" s="74"/>
      <c r="Q551" s="74"/>
      <c r="R551" s="86"/>
      <c r="S551" s="86"/>
      <c r="T551" s="86"/>
      <c r="U551" s="86"/>
      <c r="V551" s="48"/>
      <c r="W551" s="48"/>
      <c r="X551" s="48"/>
      <c r="Y551" s="48"/>
      <c r="Z551" s="47"/>
      <c r="AA551" s="69">
        <v>551</v>
      </c>
      <c r="AB551" s="69"/>
      <c r="AC551" s="70"/>
      <c r="AD551" s="76" t="s">
        <v>22352</v>
      </c>
      <c r="AE551" s="81" t="s">
        <v>21399</v>
      </c>
      <c r="AF551" s="76">
        <v>0</v>
      </c>
      <c r="AG551" s="76">
        <v>1</v>
      </c>
      <c r="AH551" s="76">
        <v>1</v>
      </c>
      <c r="AI551" s="76">
        <v>0</v>
      </c>
      <c r="AJ551" s="76">
        <v>0</v>
      </c>
      <c r="AK551" s="76">
        <v>1</v>
      </c>
      <c r="AL551" s="76" t="b">
        <v>0</v>
      </c>
      <c r="AM551" s="78">
        <v>45050.561828703707</v>
      </c>
      <c r="AN551" s="76"/>
      <c r="AO551" s="76"/>
      <c r="AP551" s="76"/>
      <c r="AQ551" s="76"/>
      <c r="AR551" s="76"/>
      <c r="AS551" s="76"/>
      <c r="AT551" s="76"/>
      <c r="AU551" s="76"/>
      <c r="AV551" s="76"/>
      <c r="AW551" s="76"/>
      <c r="AX551" s="76" t="b">
        <v>0</v>
      </c>
      <c r="AY551" s="76"/>
      <c r="AZ551" s="76"/>
      <c r="BA551" s="76" t="b">
        <v>0</v>
      </c>
      <c r="BB551" s="76" t="b">
        <v>1</v>
      </c>
      <c r="BC551" s="76" t="b">
        <v>1</v>
      </c>
      <c r="BD551" s="76" t="b">
        <v>0</v>
      </c>
      <c r="BE551" s="76" t="b">
        <v>0</v>
      </c>
      <c r="BF551" s="76" t="b">
        <v>0</v>
      </c>
      <c r="BG551" s="76" t="b">
        <v>0</v>
      </c>
      <c r="BH551" s="76"/>
      <c r="BI551" s="76"/>
      <c r="BJ551" s="76" t="s">
        <v>24935</v>
      </c>
      <c r="BK551" s="76" t="b">
        <v>0</v>
      </c>
      <c r="BL551" s="76"/>
      <c r="BM551" s="76" t="s">
        <v>66</v>
      </c>
      <c r="BN551" s="76" t="s">
        <v>24937</v>
      </c>
      <c r="BO551" s="83" t="str">
        <f>HYPERLINK("https://twitter.com/sandras50213490")</f>
        <v>https://twitter.com/sandras50213490</v>
      </c>
      <c r="BP551" s="2"/>
    </row>
    <row r="552" spans="1:68" x14ac:dyDescent="0.25">
      <c r="A552" s="62" t="s">
        <v>746</v>
      </c>
      <c r="B552" s="63"/>
      <c r="C552" s="63"/>
      <c r="D552" s="64"/>
      <c r="E552" s="66"/>
      <c r="F552" s="102" t="str">
        <f>HYPERLINK("https://pbs.twimg.com/profile_images/1633458287659339781/2IFPdsyt_normal.jpg")</f>
        <v>https://pbs.twimg.com/profile_images/1633458287659339781/2IFPdsyt_normal.jpg</v>
      </c>
      <c r="G552" s="63"/>
      <c r="H552" s="67"/>
      <c r="I552" s="68"/>
      <c r="J552" s="68"/>
      <c r="K552" s="67" t="s">
        <v>25486</v>
      </c>
      <c r="L552" s="71"/>
      <c r="M552" s="72"/>
      <c r="N552" s="72"/>
      <c r="O552" s="73"/>
      <c r="P552" s="74"/>
      <c r="Q552" s="74"/>
      <c r="R552" s="86"/>
      <c r="S552" s="86"/>
      <c r="T552" s="86"/>
      <c r="U552" s="86"/>
      <c r="V552" s="48"/>
      <c r="W552" s="48"/>
      <c r="X552" s="48"/>
      <c r="Y552" s="48"/>
      <c r="Z552" s="47"/>
      <c r="AA552" s="69">
        <v>552</v>
      </c>
      <c r="AB552" s="69"/>
      <c r="AC552" s="70"/>
      <c r="AD552" s="76" t="s">
        <v>22353</v>
      </c>
      <c r="AE552" s="81" t="s">
        <v>22966</v>
      </c>
      <c r="AF552" s="76">
        <v>70</v>
      </c>
      <c r="AG552" s="76">
        <v>514</v>
      </c>
      <c r="AH552" s="76">
        <v>1308</v>
      </c>
      <c r="AI552" s="76">
        <v>0</v>
      </c>
      <c r="AJ552" s="76">
        <v>5242</v>
      </c>
      <c r="AK552" s="76">
        <v>95</v>
      </c>
      <c r="AL552" s="76" t="b">
        <v>0</v>
      </c>
      <c r="AM552" s="78">
        <v>41126.897361111114</v>
      </c>
      <c r="AN552" s="76" t="s">
        <v>23223</v>
      </c>
      <c r="AO552" s="76" t="s">
        <v>23823</v>
      </c>
      <c r="AP552" s="83" t="str">
        <f>HYPERLINK("https://t.co/zhmXUXfquy")</f>
        <v>https://t.co/zhmXUXfquy</v>
      </c>
      <c r="AQ552" s="83" t="str">
        <f>HYPERLINK("https://linktr.ee/liadiogo")</f>
        <v>https://linktr.ee/liadiogo</v>
      </c>
      <c r="AR552" s="76" t="s">
        <v>24562</v>
      </c>
      <c r="AS552" s="76"/>
      <c r="AT552" s="76"/>
      <c r="AU552" s="76"/>
      <c r="AV552" s="76"/>
      <c r="AW552" s="83" t="str">
        <f>HYPERLINK("https://t.co/zhmXUXfquy")</f>
        <v>https://t.co/zhmXUXfquy</v>
      </c>
      <c r="AX552" s="76" t="b">
        <v>0</v>
      </c>
      <c r="AY552" s="76"/>
      <c r="AZ552" s="76"/>
      <c r="BA552" s="76" t="b">
        <v>1</v>
      </c>
      <c r="BB552" s="76" t="b">
        <v>1</v>
      </c>
      <c r="BC552" s="76" t="b">
        <v>0</v>
      </c>
      <c r="BD552" s="76" t="b">
        <v>0</v>
      </c>
      <c r="BE552" s="76" t="b">
        <v>1</v>
      </c>
      <c r="BF552" s="76" t="b">
        <v>0</v>
      </c>
      <c r="BG552" s="76" t="b">
        <v>0</v>
      </c>
      <c r="BH552" s="83" t="str">
        <f>HYPERLINK("https://pbs.twimg.com/profile_banners/739277881/1603738255")</f>
        <v>https://pbs.twimg.com/profile_banners/739277881/1603738255</v>
      </c>
      <c r="BI552" s="76"/>
      <c r="BJ552" s="76" t="s">
        <v>24935</v>
      </c>
      <c r="BK552" s="76" t="b">
        <v>0</v>
      </c>
      <c r="BL552" s="76"/>
      <c r="BM552" s="76" t="s">
        <v>66</v>
      </c>
      <c r="BN552" s="76" t="s">
        <v>24937</v>
      </c>
      <c r="BO552" s="83" t="str">
        <f>HYPERLINK("https://twitter.com/lialollirbd")</f>
        <v>https://twitter.com/lialollirbd</v>
      </c>
      <c r="BP552" s="2"/>
    </row>
    <row r="553" spans="1:68" x14ac:dyDescent="0.25">
      <c r="A553" s="62" t="s">
        <v>747</v>
      </c>
      <c r="B553" s="63"/>
      <c r="C553" s="63"/>
      <c r="D553" s="64"/>
      <c r="E553" s="66"/>
      <c r="F553" s="102" t="str">
        <f>HYPERLINK("https://pbs.twimg.com/profile_images/803615391457148928/_SCT76h1_normal.jpg")</f>
        <v>https://pbs.twimg.com/profile_images/803615391457148928/_SCT76h1_normal.jpg</v>
      </c>
      <c r="G553" s="63"/>
      <c r="H553" s="67"/>
      <c r="I553" s="68"/>
      <c r="J553" s="68"/>
      <c r="K553" s="67" t="s">
        <v>25487</v>
      </c>
      <c r="L553" s="71"/>
      <c r="M553" s="72"/>
      <c r="N553" s="72"/>
      <c r="O553" s="73"/>
      <c r="P553" s="74"/>
      <c r="Q553" s="74"/>
      <c r="R553" s="86"/>
      <c r="S553" s="86"/>
      <c r="T553" s="86"/>
      <c r="U553" s="86"/>
      <c r="V553" s="48"/>
      <c r="W553" s="48"/>
      <c r="X553" s="48"/>
      <c r="Y553" s="48"/>
      <c r="Z553" s="47"/>
      <c r="AA553" s="69">
        <v>553</v>
      </c>
      <c r="AB553" s="69"/>
      <c r="AC553" s="70"/>
      <c r="AD553" s="76" t="s">
        <v>22354</v>
      </c>
      <c r="AE553" s="81" t="s">
        <v>22967</v>
      </c>
      <c r="AF553" s="76">
        <v>24</v>
      </c>
      <c r="AG553" s="76">
        <v>111</v>
      </c>
      <c r="AH553" s="76">
        <v>53</v>
      </c>
      <c r="AI553" s="76">
        <v>0</v>
      </c>
      <c r="AJ553" s="76">
        <v>53</v>
      </c>
      <c r="AK553" s="76">
        <v>3</v>
      </c>
      <c r="AL553" s="76" t="b">
        <v>0</v>
      </c>
      <c r="AM553" s="78">
        <v>39989.665393518517</v>
      </c>
      <c r="AN553" s="76" t="s">
        <v>14053</v>
      </c>
      <c r="AO553" s="76" t="s">
        <v>23824</v>
      </c>
      <c r="AP553" s="76"/>
      <c r="AQ553" s="76"/>
      <c r="AR553" s="76"/>
      <c r="AS553" s="76"/>
      <c r="AT553" s="76"/>
      <c r="AU553" s="76"/>
      <c r="AV553" s="76"/>
      <c r="AW553" s="76"/>
      <c r="AX553" s="76" t="b">
        <v>0</v>
      </c>
      <c r="AY553" s="76"/>
      <c r="AZ553" s="76"/>
      <c r="BA553" s="76" t="b">
        <v>0</v>
      </c>
      <c r="BB553" s="76" t="b">
        <v>1</v>
      </c>
      <c r="BC553" s="76" t="b">
        <v>0</v>
      </c>
      <c r="BD553" s="76" t="b">
        <v>0</v>
      </c>
      <c r="BE553" s="76" t="b">
        <v>0</v>
      </c>
      <c r="BF553" s="76" t="b">
        <v>0</v>
      </c>
      <c r="BG553" s="76" t="b">
        <v>0</v>
      </c>
      <c r="BH553" s="83" t="str">
        <f>HYPERLINK("https://pbs.twimg.com/profile_banners/50683851/1435324822")</f>
        <v>https://pbs.twimg.com/profile_banners/50683851/1435324822</v>
      </c>
      <c r="BI553" s="76"/>
      <c r="BJ553" s="76" t="s">
        <v>24935</v>
      </c>
      <c r="BK553" s="76" t="b">
        <v>0</v>
      </c>
      <c r="BL553" s="76"/>
      <c r="BM553" s="76" t="s">
        <v>66</v>
      </c>
      <c r="BN553" s="76" t="s">
        <v>24937</v>
      </c>
      <c r="BO553" s="83" t="str">
        <f>HYPERLINK("https://twitter.com/guig_cbf")</f>
        <v>https://twitter.com/guig_cbf</v>
      </c>
      <c r="BP553" s="2"/>
    </row>
    <row r="554" spans="1:68" x14ac:dyDescent="0.25">
      <c r="A554" s="62" t="s">
        <v>748</v>
      </c>
      <c r="B554" s="63"/>
      <c r="C554" s="63"/>
      <c r="D554" s="64"/>
      <c r="E554" s="66"/>
      <c r="F554" s="102" t="str">
        <f>HYPERLINK("https://pbs.twimg.com/profile_images/1557826608047833088/mwHwJMnr_normal.jpg")</f>
        <v>https://pbs.twimg.com/profile_images/1557826608047833088/mwHwJMnr_normal.jpg</v>
      </c>
      <c r="G554" s="63"/>
      <c r="H554" s="67"/>
      <c r="I554" s="68"/>
      <c r="J554" s="68"/>
      <c r="K554" s="67" t="s">
        <v>25488</v>
      </c>
      <c r="L554" s="71"/>
      <c r="M554" s="72"/>
      <c r="N554" s="72"/>
      <c r="O554" s="73"/>
      <c r="P554" s="74"/>
      <c r="Q554" s="74"/>
      <c r="R554" s="86"/>
      <c r="S554" s="86"/>
      <c r="T554" s="86"/>
      <c r="U554" s="86"/>
      <c r="V554" s="48"/>
      <c r="W554" s="48"/>
      <c r="X554" s="48"/>
      <c r="Y554" s="48"/>
      <c r="Z554" s="47"/>
      <c r="AA554" s="69">
        <v>554</v>
      </c>
      <c r="AB554" s="69"/>
      <c r="AC554" s="70"/>
      <c r="AD554" s="76" t="s">
        <v>22355</v>
      </c>
      <c r="AE554" s="81" t="s">
        <v>21400</v>
      </c>
      <c r="AF554" s="76">
        <v>0</v>
      </c>
      <c r="AG554" s="76">
        <v>5</v>
      </c>
      <c r="AH554" s="76">
        <v>12</v>
      </c>
      <c r="AI554" s="76">
        <v>0</v>
      </c>
      <c r="AJ554" s="76">
        <v>2</v>
      </c>
      <c r="AK554" s="76">
        <v>4</v>
      </c>
      <c r="AL554" s="76" t="b">
        <v>0</v>
      </c>
      <c r="AM554" s="78">
        <v>44784.848368055558</v>
      </c>
      <c r="AN554" s="76" t="s">
        <v>14041</v>
      </c>
      <c r="AO554" s="76" t="s">
        <v>23825</v>
      </c>
      <c r="AP554" s="76"/>
      <c r="AQ554" s="76"/>
      <c r="AR554" s="76"/>
      <c r="AS554" s="76"/>
      <c r="AT554" s="76"/>
      <c r="AU554" s="76"/>
      <c r="AV554" s="76"/>
      <c r="AW554" s="76"/>
      <c r="AX554" s="76" t="b">
        <v>0</v>
      </c>
      <c r="AY554" s="76"/>
      <c r="AZ554" s="76"/>
      <c r="BA554" s="76" t="b">
        <v>0</v>
      </c>
      <c r="BB554" s="76" t="b">
        <v>1</v>
      </c>
      <c r="BC554" s="76" t="b">
        <v>1</v>
      </c>
      <c r="BD554" s="76" t="b">
        <v>0</v>
      </c>
      <c r="BE554" s="76" t="b">
        <v>0</v>
      </c>
      <c r="BF554" s="76" t="b">
        <v>0</v>
      </c>
      <c r="BG554" s="76" t="b">
        <v>0</v>
      </c>
      <c r="BH554" s="83" t="str">
        <f>HYPERLINK("https://pbs.twimg.com/profile_banners/1557824319283249152/1660317578")</f>
        <v>https://pbs.twimg.com/profile_banners/1557824319283249152/1660317578</v>
      </c>
      <c r="BI554" s="76"/>
      <c r="BJ554" s="76" t="s">
        <v>24935</v>
      </c>
      <c r="BK554" s="76" t="b">
        <v>0</v>
      </c>
      <c r="BL554" s="76"/>
      <c r="BM554" s="76" t="s">
        <v>66</v>
      </c>
      <c r="BN554" s="76" t="s">
        <v>24937</v>
      </c>
      <c r="BO554" s="83" t="str">
        <f>HYPERLINK("https://twitter.com/franmarcolino7")</f>
        <v>https://twitter.com/franmarcolino7</v>
      </c>
      <c r="BP554" s="2"/>
    </row>
    <row r="555" spans="1:68" x14ac:dyDescent="0.25">
      <c r="A555" s="62" t="s">
        <v>749</v>
      </c>
      <c r="B555" s="63"/>
      <c r="C555" s="63"/>
      <c r="D555" s="64"/>
      <c r="E555" s="66"/>
      <c r="F555" s="102" t="str">
        <f>HYPERLINK("https://pbs.twimg.com/profile_images/1546362298624839680/3nSKZ6KH_normal.jpg")</f>
        <v>https://pbs.twimg.com/profile_images/1546362298624839680/3nSKZ6KH_normal.jpg</v>
      </c>
      <c r="G555" s="63"/>
      <c r="H555" s="67"/>
      <c r="I555" s="68"/>
      <c r="J555" s="68"/>
      <c r="K555" s="67" t="s">
        <v>25489</v>
      </c>
      <c r="L555" s="71"/>
      <c r="M555" s="72"/>
      <c r="N555" s="72"/>
      <c r="O555" s="73"/>
      <c r="P555" s="74"/>
      <c r="Q555" s="74"/>
      <c r="R555" s="86"/>
      <c r="S555" s="86"/>
      <c r="T555" s="86"/>
      <c r="U555" s="86"/>
      <c r="V555" s="48"/>
      <c r="W555" s="48"/>
      <c r="X555" s="48"/>
      <c r="Y555" s="48"/>
      <c r="Z555" s="47"/>
      <c r="AA555" s="69">
        <v>555</v>
      </c>
      <c r="AB555" s="69"/>
      <c r="AC555" s="70"/>
      <c r="AD555" s="76" t="s">
        <v>22356</v>
      </c>
      <c r="AE555" s="81" t="s">
        <v>21401</v>
      </c>
      <c r="AF555" s="76">
        <v>331</v>
      </c>
      <c r="AG555" s="76">
        <v>3658</v>
      </c>
      <c r="AH555" s="76">
        <v>4110</v>
      </c>
      <c r="AI555" s="76">
        <v>0</v>
      </c>
      <c r="AJ555" s="76">
        <v>12381</v>
      </c>
      <c r="AK555" s="76">
        <v>170</v>
      </c>
      <c r="AL555" s="76" t="b">
        <v>0</v>
      </c>
      <c r="AM555" s="78">
        <v>43698.561701388891</v>
      </c>
      <c r="AN555" s="76"/>
      <c r="AO555" s="76" t="s">
        <v>23826</v>
      </c>
      <c r="AP555" s="83" t="str">
        <f>HYPERLINK("https://t.co/QCXEAdSNvi")</f>
        <v>https://t.co/QCXEAdSNvi</v>
      </c>
      <c r="AQ555" s="83" t="str">
        <f>HYPERLINK("https://w.tt/3KQm8HL")</f>
        <v>https://w.tt/3KQm8HL</v>
      </c>
      <c r="AR555" s="76" t="s">
        <v>24563</v>
      </c>
      <c r="AS555" s="76"/>
      <c r="AT555" s="76"/>
      <c r="AU555" s="76"/>
      <c r="AV555" s="76">
        <v>1.6508133740101E+18</v>
      </c>
      <c r="AW555" s="83" t="str">
        <f>HYPERLINK("https://t.co/QCXEAdSNvi")</f>
        <v>https://t.co/QCXEAdSNvi</v>
      </c>
      <c r="AX555" s="76" t="b">
        <v>0</v>
      </c>
      <c r="AY555" s="76"/>
      <c r="AZ555" s="76"/>
      <c r="BA555" s="76" t="b">
        <v>0</v>
      </c>
      <c r="BB555" s="76" t="b">
        <v>1</v>
      </c>
      <c r="BC555" s="76" t="b">
        <v>1</v>
      </c>
      <c r="BD555" s="76" t="b">
        <v>0</v>
      </c>
      <c r="BE555" s="76" t="b">
        <v>1</v>
      </c>
      <c r="BF555" s="76" t="b">
        <v>0</v>
      </c>
      <c r="BG555" s="76" t="b">
        <v>1</v>
      </c>
      <c r="BH555" s="83" t="str">
        <f>HYPERLINK("https://pbs.twimg.com/profile_banners/1164167411723112449/1657516509")</f>
        <v>https://pbs.twimg.com/profile_banners/1164167411723112449/1657516509</v>
      </c>
      <c r="BI555" s="76"/>
      <c r="BJ555" s="76" t="s">
        <v>24935</v>
      </c>
      <c r="BK555" s="76" t="b">
        <v>0</v>
      </c>
      <c r="BL555" s="76"/>
      <c r="BM555" s="76" t="s">
        <v>66</v>
      </c>
      <c r="BN555" s="76" t="s">
        <v>24937</v>
      </c>
      <c r="BO555" s="83" t="str">
        <f>HYPERLINK("https://twitter.com/eddyesteinford")</f>
        <v>https://twitter.com/eddyesteinford</v>
      </c>
      <c r="BP555" s="2"/>
    </row>
    <row r="556" spans="1:68" x14ac:dyDescent="0.25">
      <c r="A556" s="62" t="s">
        <v>750</v>
      </c>
      <c r="B556" s="63"/>
      <c r="C556" s="63"/>
      <c r="D556" s="64"/>
      <c r="E556" s="66"/>
      <c r="F556" s="102" t="str">
        <f>HYPERLINK("https://pbs.twimg.com/profile_images/1454905651306668032/aKLLKF91_normal.jpg")</f>
        <v>https://pbs.twimg.com/profile_images/1454905651306668032/aKLLKF91_normal.jpg</v>
      </c>
      <c r="G556" s="63"/>
      <c r="H556" s="67"/>
      <c r="I556" s="68"/>
      <c r="J556" s="68"/>
      <c r="K556" s="67" t="s">
        <v>25490</v>
      </c>
      <c r="L556" s="71"/>
      <c r="M556" s="72"/>
      <c r="N556" s="72"/>
      <c r="O556" s="73"/>
      <c r="P556" s="74"/>
      <c r="Q556" s="74"/>
      <c r="R556" s="86"/>
      <c r="S556" s="86"/>
      <c r="T556" s="86"/>
      <c r="U556" s="86"/>
      <c r="V556" s="48"/>
      <c r="W556" s="48"/>
      <c r="X556" s="48"/>
      <c r="Y556" s="48"/>
      <c r="Z556" s="47"/>
      <c r="AA556" s="69">
        <v>556</v>
      </c>
      <c r="AB556" s="69"/>
      <c r="AC556" s="70"/>
      <c r="AD556" s="76" t="s">
        <v>22357</v>
      </c>
      <c r="AE556" s="81" t="s">
        <v>21402</v>
      </c>
      <c r="AF556" s="76">
        <v>3</v>
      </c>
      <c r="AG556" s="76">
        <v>18</v>
      </c>
      <c r="AH556" s="76">
        <v>13</v>
      </c>
      <c r="AI556" s="76">
        <v>1</v>
      </c>
      <c r="AJ556" s="76">
        <v>9</v>
      </c>
      <c r="AK556" s="76">
        <v>5</v>
      </c>
      <c r="AL556" s="76" t="b">
        <v>0</v>
      </c>
      <c r="AM556" s="78">
        <v>44500.846203703702</v>
      </c>
      <c r="AN556" s="76"/>
      <c r="AO556" s="76" t="s">
        <v>23827</v>
      </c>
      <c r="AP556" s="83" t="str">
        <f>HYPERLINK("https://t.co/nB4EucfUgl")</f>
        <v>https://t.co/nB4EucfUgl</v>
      </c>
      <c r="AQ556" s="83" t="str">
        <f>HYPERLINK("https://pay.kiwify.com.br/gUdbKaC?afid=Uzh2CYdp")</f>
        <v>https://pay.kiwify.com.br/gUdbKaC?afid=Uzh2CYdp</v>
      </c>
      <c r="AR556" s="76" t="s">
        <v>24564</v>
      </c>
      <c r="AS556" s="76"/>
      <c r="AT556" s="76"/>
      <c r="AU556" s="76"/>
      <c r="AV556" s="76">
        <v>1.70465602783087E+18</v>
      </c>
      <c r="AW556" s="83" t="str">
        <f>HYPERLINK("https://t.co/nB4EucfUgl")</f>
        <v>https://t.co/nB4EucfUgl</v>
      </c>
      <c r="AX556" s="76" t="b">
        <v>0</v>
      </c>
      <c r="AY556" s="76"/>
      <c r="AZ556" s="76"/>
      <c r="BA556" s="76" t="b">
        <v>0</v>
      </c>
      <c r="BB556" s="76" t="b">
        <v>1</v>
      </c>
      <c r="BC556" s="76" t="b">
        <v>1</v>
      </c>
      <c r="BD556" s="76" t="b">
        <v>0</v>
      </c>
      <c r="BE556" s="76" t="b">
        <v>0</v>
      </c>
      <c r="BF556" s="76" t="b">
        <v>0</v>
      </c>
      <c r="BG556" s="76" t="b">
        <v>0</v>
      </c>
      <c r="BH556" s="83" t="str">
        <f>HYPERLINK("https://pbs.twimg.com/profile_banners/1454905494380990465/1695256083")</f>
        <v>https://pbs.twimg.com/profile_banners/1454905494380990465/1695256083</v>
      </c>
      <c r="BI556" s="76"/>
      <c r="BJ556" s="76" t="s">
        <v>24935</v>
      </c>
      <c r="BK556" s="76" t="b">
        <v>0</v>
      </c>
      <c r="BL556" s="76"/>
      <c r="BM556" s="76" t="s">
        <v>66</v>
      </c>
      <c r="BN556" s="76" t="s">
        <v>24937</v>
      </c>
      <c r="BO556" s="83" t="str">
        <f>HYPERLINK("https://twitter.com/aleffaugustov")</f>
        <v>https://twitter.com/aleffaugustov</v>
      </c>
      <c r="BP556" s="2"/>
    </row>
    <row r="557" spans="1:68" x14ac:dyDescent="0.25">
      <c r="A557" s="62" t="s">
        <v>751</v>
      </c>
      <c r="B557" s="63"/>
      <c r="C557" s="63"/>
      <c r="D557" s="64"/>
      <c r="E557" s="66"/>
      <c r="F557" s="102" t="str">
        <f>HYPERLINK("https://pbs.twimg.com/profile_images/1179032240740679680/bDGaOWWS_normal.jpg")</f>
        <v>https://pbs.twimg.com/profile_images/1179032240740679680/bDGaOWWS_normal.jpg</v>
      </c>
      <c r="G557" s="63"/>
      <c r="H557" s="67"/>
      <c r="I557" s="68"/>
      <c r="J557" s="68"/>
      <c r="K557" s="67" t="s">
        <v>25491</v>
      </c>
      <c r="L557" s="71"/>
      <c r="M557" s="72"/>
      <c r="N557" s="72"/>
      <c r="O557" s="73"/>
      <c r="P557" s="74"/>
      <c r="Q557" s="74"/>
      <c r="R557" s="86"/>
      <c r="S557" s="86"/>
      <c r="T557" s="86"/>
      <c r="U557" s="86"/>
      <c r="V557" s="48"/>
      <c r="W557" s="48"/>
      <c r="X557" s="48"/>
      <c r="Y557" s="48"/>
      <c r="Z557" s="47"/>
      <c r="AA557" s="69">
        <v>557</v>
      </c>
      <c r="AB557" s="69"/>
      <c r="AC557" s="70"/>
      <c r="AD557" s="76" t="s">
        <v>22358</v>
      </c>
      <c r="AE557" s="81" t="s">
        <v>22968</v>
      </c>
      <c r="AF557" s="76">
        <v>57</v>
      </c>
      <c r="AG557" s="76">
        <v>166</v>
      </c>
      <c r="AH557" s="76">
        <v>350</v>
      </c>
      <c r="AI557" s="76">
        <v>0</v>
      </c>
      <c r="AJ557" s="76">
        <v>68</v>
      </c>
      <c r="AK557" s="76">
        <v>23</v>
      </c>
      <c r="AL557" s="76" t="b">
        <v>0</v>
      </c>
      <c r="AM557" s="78">
        <v>40517.568541666667</v>
      </c>
      <c r="AN557" s="76"/>
      <c r="AO557" s="76"/>
      <c r="AP557" s="76"/>
      <c r="AQ557" s="76"/>
      <c r="AR557" s="76"/>
      <c r="AS557" s="76"/>
      <c r="AT557" s="76"/>
      <c r="AU557" s="76"/>
      <c r="AV557" s="76"/>
      <c r="AW557" s="76"/>
      <c r="AX557" s="76" t="b">
        <v>0</v>
      </c>
      <c r="AY557" s="76"/>
      <c r="AZ557" s="76"/>
      <c r="BA557" s="76" t="b">
        <v>0</v>
      </c>
      <c r="BB557" s="76" t="b">
        <v>1</v>
      </c>
      <c r="BC557" s="76" t="b">
        <v>1</v>
      </c>
      <c r="BD557" s="76" t="b">
        <v>0</v>
      </c>
      <c r="BE557" s="76" t="b">
        <v>0</v>
      </c>
      <c r="BF557" s="76" t="b">
        <v>0</v>
      </c>
      <c r="BG557" s="76" t="b">
        <v>0</v>
      </c>
      <c r="BH557" s="76"/>
      <c r="BI557" s="76"/>
      <c r="BJ557" s="76" t="s">
        <v>24935</v>
      </c>
      <c r="BK557" s="76" t="b">
        <v>0</v>
      </c>
      <c r="BL557" s="76"/>
      <c r="BM557" s="76" t="s">
        <v>66</v>
      </c>
      <c r="BN557" s="76" t="s">
        <v>24937</v>
      </c>
      <c r="BO557" s="83" t="str">
        <f>HYPERLINK("https://twitter.com/nilsongarciar")</f>
        <v>https://twitter.com/nilsongarciar</v>
      </c>
      <c r="BP557" s="2"/>
    </row>
    <row r="558" spans="1:68" x14ac:dyDescent="0.25">
      <c r="A558" s="62" t="s">
        <v>752</v>
      </c>
      <c r="B558" s="63"/>
      <c r="C558" s="63"/>
      <c r="D558" s="64"/>
      <c r="E558" s="66"/>
      <c r="F558" s="102" t="str">
        <f>HYPERLINK("https://pbs.twimg.com/profile_images/1600955646890971136/cD50esXK_normal.jpg")</f>
        <v>https://pbs.twimg.com/profile_images/1600955646890971136/cD50esXK_normal.jpg</v>
      </c>
      <c r="G558" s="63"/>
      <c r="H558" s="67"/>
      <c r="I558" s="68"/>
      <c r="J558" s="68"/>
      <c r="K558" s="67" t="s">
        <v>25492</v>
      </c>
      <c r="L558" s="71"/>
      <c r="M558" s="72"/>
      <c r="N558" s="72"/>
      <c r="O558" s="73"/>
      <c r="P558" s="74"/>
      <c r="Q558" s="74"/>
      <c r="R558" s="86"/>
      <c r="S558" s="86"/>
      <c r="T558" s="86"/>
      <c r="U558" s="86"/>
      <c r="V558" s="48"/>
      <c r="W558" s="48"/>
      <c r="X558" s="48"/>
      <c r="Y558" s="48"/>
      <c r="Z558" s="47"/>
      <c r="AA558" s="69">
        <v>558</v>
      </c>
      <c r="AB558" s="69"/>
      <c r="AC558" s="70"/>
      <c r="AD558" s="76" t="s">
        <v>22359</v>
      </c>
      <c r="AE558" s="81" t="s">
        <v>21403</v>
      </c>
      <c r="AF558" s="76">
        <v>13</v>
      </c>
      <c r="AG558" s="76">
        <v>131</v>
      </c>
      <c r="AH558" s="76">
        <v>94</v>
      </c>
      <c r="AI558" s="76">
        <v>0</v>
      </c>
      <c r="AJ558" s="76">
        <v>128</v>
      </c>
      <c r="AK558" s="76">
        <v>42</v>
      </c>
      <c r="AL558" s="76" t="b">
        <v>0</v>
      </c>
      <c r="AM558" s="78">
        <v>44903.856504629628</v>
      </c>
      <c r="AN558" s="76" t="s">
        <v>14130</v>
      </c>
      <c r="AO558" s="76" t="s">
        <v>23828</v>
      </c>
      <c r="AP558" s="83" t="str">
        <f>HYPERLINK("https://t.co/gbv1R2OsG9")</f>
        <v>https://t.co/gbv1R2OsG9</v>
      </c>
      <c r="AQ558" s="83" t="str">
        <f>HYPERLINK("https://kiwify.app/Q3o5xI1?afid=Kt5h5VtU")</f>
        <v>https://kiwify.app/Q3o5xI1?afid=Kt5h5VtU</v>
      </c>
      <c r="AR558" s="76" t="s">
        <v>24565</v>
      </c>
      <c r="AS558" s="76"/>
      <c r="AT558" s="76"/>
      <c r="AU558" s="76"/>
      <c r="AV558" s="76">
        <v>1.6450646987300101E+18</v>
      </c>
      <c r="AW558" s="83" t="str">
        <f>HYPERLINK("https://t.co/gbv1R2OsG9")</f>
        <v>https://t.co/gbv1R2OsG9</v>
      </c>
      <c r="AX558" s="76" t="b">
        <v>0</v>
      </c>
      <c r="AY558" s="76"/>
      <c r="AZ558" s="76"/>
      <c r="BA558" s="76" t="b">
        <v>0</v>
      </c>
      <c r="BB558" s="76" t="b">
        <v>1</v>
      </c>
      <c r="BC558" s="76" t="b">
        <v>1</v>
      </c>
      <c r="BD558" s="76" t="b">
        <v>0</v>
      </c>
      <c r="BE558" s="76" t="b">
        <v>0</v>
      </c>
      <c r="BF558" s="76" t="b">
        <v>0</v>
      </c>
      <c r="BG558" s="76" t="b">
        <v>0</v>
      </c>
      <c r="BH558" s="83" t="str">
        <f>HYPERLINK("https://pbs.twimg.com/profile_banners/1600951619461455887/1670532546")</f>
        <v>https://pbs.twimg.com/profile_banners/1600951619461455887/1670532546</v>
      </c>
      <c r="BI558" s="76"/>
      <c r="BJ558" s="76" t="s">
        <v>24935</v>
      </c>
      <c r="BK558" s="76" t="b">
        <v>0</v>
      </c>
      <c r="BL558" s="76"/>
      <c r="BM558" s="76" t="s">
        <v>66</v>
      </c>
      <c r="BN558" s="76" t="s">
        <v>24937</v>
      </c>
      <c r="BO558" s="83" t="str">
        <f>HYPERLINK("https://twitter.com/vasosplantas")</f>
        <v>https://twitter.com/vasosplantas</v>
      </c>
      <c r="BP558" s="2"/>
    </row>
    <row r="559" spans="1:68" x14ac:dyDescent="0.25">
      <c r="A559" s="62" t="s">
        <v>753</v>
      </c>
      <c r="B559" s="63"/>
      <c r="C559" s="63"/>
      <c r="D559" s="64"/>
      <c r="E559" s="66"/>
      <c r="F559" s="102" t="str">
        <f>HYPERLINK("https://pbs.twimg.com/profile_images/1594486751162155011/nsfs0HOj_normal.jpg")</f>
        <v>https://pbs.twimg.com/profile_images/1594486751162155011/nsfs0HOj_normal.jpg</v>
      </c>
      <c r="G559" s="63"/>
      <c r="H559" s="67"/>
      <c r="I559" s="68"/>
      <c r="J559" s="68"/>
      <c r="K559" s="67" t="s">
        <v>25493</v>
      </c>
      <c r="L559" s="71"/>
      <c r="M559" s="72"/>
      <c r="N559" s="72"/>
      <c r="O559" s="73"/>
      <c r="P559" s="74"/>
      <c r="Q559" s="74"/>
      <c r="R559" s="86"/>
      <c r="S559" s="86"/>
      <c r="T559" s="86"/>
      <c r="U559" s="86"/>
      <c r="V559" s="48"/>
      <c r="W559" s="48"/>
      <c r="X559" s="48"/>
      <c r="Y559" s="48"/>
      <c r="Z559" s="47"/>
      <c r="AA559" s="69">
        <v>559</v>
      </c>
      <c r="AB559" s="69"/>
      <c r="AC559" s="70"/>
      <c r="AD559" s="76" t="s">
        <v>22360</v>
      </c>
      <c r="AE559" s="81" t="s">
        <v>21404</v>
      </c>
      <c r="AF559" s="76">
        <v>2</v>
      </c>
      <c r="AG559" s="76">
        <v>32</v>
      </c>
      <c r="AH559" s="76">
        <v>92</v>
      </c>
      <c r="AI559" s="76">
        <v>0</v>
      </c>
      <c r="AJ559" s="76">
        <v>16</v>
      </c>
      <c r="AK559" s="76">
        <v>35</v>
      </c>
      <c r="AL559" s="76" t="b">
        <v>0</v>
      </c>
      <c r="AM559" s="78">
        <v>44714.066018518519</v>
      </c>
      <c r="AN559" s="76" t="s">
        <v>14040</v>
      </c>
      <c r="AO559" s="76" t="s">
        <v>23829</v>
      </c>
      <c r="AP559" s="83" t="str">
        <f>HYPERLINK("https://t.co/lYGoYqddvr")</f>
        <v>https://t.co/lYGoYqddvr</v>
      </c>
      <c r="AQ559" s="83" t="str">
        <f>HYPERLINK("http://www.gcfbr.com.br")</f>
        <v>http://www.gcfbr.com.br</v>
      </c>
      <c r="AR559" s="76" t="s">
        <v>24566</v>
      </c>
      <c r="AS559" s="76"/>
      <c r="AT559" s="76"/>
      <c r="AU559" s="76"/>
      <c r="AV559" s="76">
        <v>1.64829557231344E+18</v>
      </c>
      <c r="AW559" s="83" t="str">
        <f>HYPERLINK("https://t.co/lYGoYqddvr")</f>
        <v>https://t.co/lYGoYqddvr</v>
      </c>
      <c r="AX559" s="76" t="b">
        <v>0</v>
      </c>
      <c r="AY559" s="76"/>
      <c r="AZ559" s="76"/>
      <c r="BA559" s="76" t="b">
        <v>0</v>
      </c>
      <c r="BB559" s="76" t="b">
        <v>1</v>
      </c>
      <c r="BC559" s="76" t="b">
        <v>1</v>
      </c>
      <c r="BD559" s="76" t="b">
        <v>0</v>
      </c>
      <c r="BE559" s="76" t="b">
        <v>0</v>
      </c>
      <c r="BF559" s="76" t="b">
        <v>0</v>
      </c>
      <c r="BG559" s="76" t="b">
        <v>0</v>
      </c>
      <c r="BH559" s="83" t="str">
        <f>HYPERLINK("https://pbs.twimg.com/profile_banners/1532173816188772355/1677030801")</f>
        <v>https://pbs.twimg.com/profile_banners/1532173816188772355/1677030801</v>
      </c>
      <c r="BI559" s="76"/>
      <c r="BJ559" s="76" t="s">
        <v>24935</v>
      </c>
      <c r="BK559" s="76" t="b">
        <v>0</v>
      </c>
      <c r="BL559" s="76"/>
      <c r="BM559" s="76" t="s">
        <v>66</v>
      </c>
      <c r="BN559" s="76" t="s">
        <v>24937</v>
      </c>
      <c r="BO559" s="83" t="str">
        <f>HYPERLINK("https://twitter.com/gcf_brasil")</f>
        <v>https://twitter.com/gcf_brasil</v>
      </c>
      <c r="BP559" s="2"/>
    </row>
    <row r="560" spans="1:68" x14ac:dyDescent="0.25">
      <c r="A560" s="62" t="s">
        <v>754</v>
      </c>
      <c r="B560" s="63"/>
      <c r="C560" s="63"/>
      <c r="D560" s="64"/>
      <c r="E560" s="66"/>
      <c r="F560" s="102" t="str">
        <f>HYPERLINK("https://pbs.twimg.com/profile_images/1549035851241426944/2ALbpz5D_normal.jpg")</f>
        <v>https://pbs.twimg.com/profile_images/1549035851241426944/2ALbpz5D_normal.jpg</v>
      </c>
      <c r="G560" s="63"/>
      <c r="H560" s="67"/>
      <c r="I560" s="68"/>
      <c r="J560" s="68"/>
      <c r="K560" s="67" t="s">
        <v>25494</v>
      </c>
      <c r="L560" s="71"/>
      <c r="M560" s="72"/>
      <c r="N560" s="72"/>
      <c r="O560" s="73"/>
      <c r="P560" s="74"/>
      <c r="Q560" s="74"/>
      <c r="R560" s="86"/>
      <c r="S560" s="86"/>
      <c r="T560" s="86"/>
      <c r="U560" s="86"/>
      <c r="V560" s="48"/>
      <c r="W560" s="48"/>
      <c r="X560" s="48"/>
      <c r="Y560" s="48"/>
      <c r="Z560" s="47"/>
      <c r="AA560" s="69">
        <v>560</v>
      </c>
      <c r="AB560" s="69"/>
      <c r="AC560" s="70"/>
      <c r="AD560" s="76" t="s">
        <v>22361</v>
      </c>
      <c r="AE560" s="81" t="s">
        <v>20946</v>
      </c>
      <c r="AF560" s="76">
        <v>527</v>
      </c>
      <c r="AG560" s="76">
        <v>1108</v>
      </c>
      <c r="AH560" s="76">
        <v>430</v>
      </c>
      <c r="AI560" s="76">
        <v>1</v>
      </c>
      <c r="AJ560" s="76">
        <v>52</v>
      </c>
      <c r="AK560" s="76">
        <v>68</v>
      </c>
      <c r="AL560" s="76" t="b">
        <v>0</v>
      </c>
      <c r="AM560" s="78">
        <v>44757.88453703704</v>
      </c>
      <c r="AN560" s="76"/>
      <c r="AO560" s="76" t="s">
        <v>23830</v>
      </c>
      <c r="AP560" s="76"/>
      <c r="AQ560" s="76"/>
      <c r="AR560" s="76"/>
      <c r="AS560" s="76"/>
      <c r="AT560" s="76"/>
      <c r="AU560" s="76"/>
      <c r="AV560" s="76">
        <v>1.6480396676509199E+18</v>
      </c>
      <c r="AW560" s="76"/>
      <c r="AX560" s="76" t="b">
        <v>0</v>
      </c>
      <c r="AY560" s="76"/>
      <c r="AZ560" s="76"/>
      <c r="BA560" s="76" t="b">
        <v>0</v>
      </c>
      <c r="BB560" s="76" t="b">
        <v>1</v>
      </c>
      <c r="BC560" s="76" t="b">
        <v>1</v>
      </c>
      <c r="BD560" s="76" t="b">
        <v>0</v>
      </c>
      <c r="BE560" s="76" t="b">
        <v>0</v>
      </c>
      <c r="BF560" s="76" t="b">
        <v>0</v>
      </c>
      <c r="BG560" s="76" t="b">
        <v>0</v>
      </c>
      <c r="BH560" s="83" t="str">
        <f>HYPERLINK("https://pbs.twimg.com/profile_banners/1548053105681375232/1658175835")</f>
        <v>https://pbs.twimg.com/profile_banners/1548053105681375232/1658175835</v>
      </c>
      <c r="BI560" s="76"/>
      <c r="BJ560" s="76" t="s">
        <v>24935</v>
      </c>
      <c r="BK560" s="76" t="b">
        <v>0</v>
      </c>
      <c r="BL560" s="76"/>
      <c r="BM560" s="76" t="s">
        <v>66</v>
      </c>
      <c r="BN560" s="76" t="s">
        <v>24937</v>
      </c>
      <c r="BO560" s="83" t="str">
        <f>HYPERLINK("https://twitter.com/semchefe_")</f>
        <v>https://twitter.com/semchefe_</v>
      </c>
      <c r="BP560" s="2"/>
    </row>
    <row r="561" spans="1:68" x14ac:dyDescent="0.25">
      <c r="A561" s="62" t="s">
        <v>755</v>
      </c>
      <c r="B561" s="63"/>
      <c r="C561" s="63"/>
      <c r="D561" s="64"/>
      <c r="E561" s="66"/>
      <c r="F561" s="102" t="str">
        <f>HYPERLINK("https://pbs.twimg.com/profile_images/1702682067228565504/Yd5M60T3_normal.jpg")</f>
        <v>https://pbs.twimg.com/profile_images/1702682067228565504/Yd5M60T3_normal.jpg</v>
      </c>
      <c r="G561" s="63"/>
      <c r="H561" s="67"/>
      <c r="I561" s="68"/>
      <c r="J561" s="68"/>
      <c r="K561" s="67" t="s">
        <v>25495</v>
      </c>
      <c r="L561" s="71"/>
      <c r="M561" s="72"/>
      <c r="N561" s="72"/>
      <c r="O561" s="73"/>
      <c r="P561" s="74"/>
      <c r="Q561" s="74"/>
      <c r="R561" s="86"/>
      <c r="S561" s="86"/>
      <c r="T561" s="86"/>
      <c r="U561" s="86"/>
      <c r="V561" s="48"/>
      <c r="W561" s="48"/>
      <c r="X561" s="48"/>
      <c r="Y561" s="48"/>
      <c r="Z561" s="47"/>
      <c r="AA561" s="69">
        <v>561</v>
      </c>
      <c r="AB561" s="69"/>
      <c r="AC561" s="70"/>
      <c r="AD561" s="76" t="s">
        <v>22362</v>
      </c>
      <c r="AE561" s="81" t="s">
        <v>21405</v>
      </c>
      <c r="AF561" s="76">
        <v>20</v>
      </c>
      <c r="AG561" s="76">
        <v>150</v>
      </c>
      <c r="AH561" s="76">
        <v>47</v>
      </c>
      <c r="AI561" s="76">
        <v>0</v>
      </c>
      <c r="AJ561" s="76">
        <v>2</v>
      </c>
      <c r="AK561" s="76">
        <v>35</v>
      </c>
      <c r="AL561" s="76" t="b">
        <v>0</v>
      </c>
      <c r="AM561" s="78">
        <v>45153.624016203707</v>
      </c>
      <c r="AN561" s="76"/>
      <c r="AO561" s="76" t="s">
        <v>23831</v>
      </c>
      <c r="AP561" s="83" t="str">
        <f>HYPERLINK("https://t.co/mTlQpw6NHE")</f>
        <v>https://t.co/mTlQpw6NHE</v>
      </c>
      <c r="AQ561" s="83" t="str">
        <f>HYPERLINK("https://bit.ly/TomoWin_Ofc")</f>
        <v>https://bit.ly/TomoWin_Ofc</v>
      </c>
      <c r="AR561" s="76" t="s">
        <v>24567</v>
      </c>
      <c r="AS561" s="76"/>
      <c r="AT561" s="76"/>
      <c r="AU561" s="76"/>
      <c r="AV561" s="76"/>
      <c r="AW561" s="83" t="str">
        <f>HYPERLINK("https://t.co/mTlQpw6NHE")</f>
        <v>https://t.co/mTlQpw6NHE</v>
      </c>
      <c r="AX561" s="76" t="b">
        <v>0</v>
      </c>
      <c r="AY561" s="76"/>
      <c r="AZ561" s="76"/>
      <c r="BA561" s="76" t="b">
        <v>0</v>
      </c>
      <c r="BB561" s="76" t="b">
        <v>1</v>
      </c>
      <c r="BC561" s="76" t="b">
        <v>1</v>
      </c>
      <c r="BD561" s="76" t="b">
        <v>0</v>
      </c>
      <c r="BE561" s="76" t="b">
        <v>0</v>
      </c>
      <c r="BF561" s="76" t="b">
        <v>0</v>
      </c>
      <c r="BG561" s="76" t="b">
        <v>0</v>
      </c>
      <c r="BH561" s="83" t="str">
        <f>HYPERLINK("https://pbs.twimg.com/profile_banners/1691464044094562304/1692112474")</f>
        <v>https://pbs.twimg.com/profile_banners/1691464044094562304/1692112474</v>
      </c>
      <c r="BI561" s="76"/>
      <c r="BJ561" s="76" t="s">
        <v>24935</v>
      </c>
      <c r="BK561" s="76" t="b">
        <v>0</v>
      </c>
      <c r="BL561" s="76"/>
      <c r="BM561" s="76" t="s">
        <v>66</v>
      </c>
      <c r="BN561" s="76" t="s">
        <v>24937</v>
      </c>
      <c r="BO561" s="83" t="str">
        <f>HYPERLINK("https://twitter.com/vihcaldas")</f>
        <v>https://twitter.com/vihcaldas</v>
      </c>
      <c r="BP561" s="2"/>
    </row>
    <row r="562" spans="1:68" x14ac:dyDescent="0.25">
      <c r="A562" s="62" t="s">
        <v>756</v>
      </c>
      <c r="B562" s="63"/>
      <c r="C562" s="63"/>
      <c r="D562" s="64"/>
      <c r="E562" s="66"/>
      <c r="F562" s="102" t="str">
        <f>HYPERLINK("https://pbs.twimg.com/profile_images/2226889686/Ita_Discursando_Bovespa_normal.JPG")</f>
        <v>https://pbs.twimg.com/profile_images/2226889686/Ita_Discursando_Bovespa_normal.JPG</v>
      </c>
      <c r="G562" s="63"/>
      <c r="H562" s="67"/>
      <c r="I562" s="68"/>
      <c r="J562" s="68"/>
      <c r="K562" s="67" t="s">
        <v>25496</v>
      </c>
      <c r="L562" s="71"/>
      <c r="M562" s="72"/>
      <c r="N562" s="72"/>
      <c r="O562" s="73"/>
      <c r="P562" s="74"/>
      <c r="Q562" s="74"/>
      <c r="R562" s="86"/>
      <c r="S562" s="86"/>
      <c r="T562" s="86"/>
      <c r="U562" s="86"/>
      <c r="V562" s="48"/>
      <c r="W562" s="48"/>
      <c r="X562" s="48"/>
      <c r="Y562" s="48"/>
      <c r="Z562" s="47"/>
      <c r="AA562" s="69">
        <v>562</v>
      </c>
      <c r="AB562" s="69"/>
      <c r="AC562" s="70"/>
      <c r="AD562" s="76" t="s">
        <v>22363</v>
      </c>
      <c r="AE562" s="81" t="s">
        <v>22969</v>
      </c>
      <c r="AF562" s="76">
        <v>362</v>
      </c>
      <c r="AG562" s="76">
        <v>2464</v>
      </c>
      <c r="AH562" s="76">
        <v>1748</v>
      </c>
      <c r="AI562" s="76">
        <v>1</v>
      </c>
      <c r="AJ562" s="76">
        <v>220</v>
      </c>
      <c r="AK562" s="76">
        <v>576</v>
      </c>
      <c r="AL562" s="76" t="b">
        <v>0</v>
      </c>
      <c r="AM562" s="78">
        <v>41046.772650462961</v>
      </c>
      <c r="AN562" s="76"/>
      <c r="AO562" s="76" t="s">
        <v>23832</v>
      </c>
      <c r="AP562" s="76"/>
      <c r="AQ562" s="76"/>
      <c r="AR562" s="76"/>
      <c r="AS562" s="83" t="str">
        <f>HYPERLINK("https://t.co/LgrA3FX514")</f>
        <v>https://t.co/LgrA3FX514</v>
      </c>
      <c r="AT562" s="83" t="str">
        <f>HYPERLINK("https://www.instagram.com/horadotrader/")</f>
        <v>https://www.instagram.com/horadotrader/</v>
      </c>
      <c r="AU562" s="76" t="s">
        <v>24887</v>
      </c>
      <c r="AV562" s="76"/>
      <c r="AW562" s="76"/>
      <c r="AX562" s="76" t="b">
        <v>0</v>
      </c>
      <c r="AY562" s="76"/>
      <c r="AZ562" s="76"/>
      <c r="BA562" s="76" t="b">
        <v>0</v>
      </c>
      <c r="BB562" s="76" t="b">
        <v>1</v>
      </c>
      <c r="BC562" s="76" t="b">
        <v>1</v>
      </c>
      <c r="BD562" s="76" t="b">
        <v>0</v>
      </c>
      <c r="BE562" s="76" t="b">
        <v>0</v>
      </c>
      <c r="BF562" s="76" t="b">
        <v>0</v>
      </c>
      <c r="BG562" s="76" t="b">
        <v>0</v>
      </c>
      <c r="BH562" s="83" t="str">
        <f>HYPERLINK("https://pbs.twimg.com/profile_banners/583023355/1586439847")</f>
        <v>https://pbs.twimg.com/profile_banners/583023355/1586439847</v>
      </c>
      <c r="BI562" s="76"/>
      <c r="BJ562" s="76" t="s">
        <v>24935</v>
      </c>
      <c r="BK562" s="76" t="b">
        <v>0</v>
      </c>
      <c r="BL562" s="76"/>
      <c r="BM562" s="76" t="s">
        <v>66</v>
      </c>
      <c r="BN562" s="76" t="s">
        <v>24937</v>
      </c>
      <c r="BO562" s="83" t="str">
        <f>HYPERLINK("https://twitter.com/itaboraisantos")</f>
        <v>https://twitter.com/itaboraisantos</v>
      </c>
      <c r="BP562" s="2"/>
    </row>
    <row r="563" spans="1:68" x14ac:dyDescent="0.25">
      <c r="A563" s="62" t="s">
        <v>757</v>
      </c>
      <c r="B563" s="63"/>
      <c r="C563" s="63"/>
      <c r="D563" s="64"/>
      <c r="E563" s="66"/>
      <c r="F563" s="102" t="str">
        <f>HYPERLINK("https://pbs.twimg.com/profile_images/1654619534798516228/RIUNwPsf_normal.png")</f>
        <v>https://pbs.twimg.com/profile_images/1654619534798516228/RIUNwPsf_normal.png</v>
      </c>
      <c r="G563" s="63"/>
      <c r="H563" s="67"/>
      <c r="I563" s="68"/>
      <c r="J563" s="68"/>
      <c r="K563" s="67" t="s">
        <v>25497</v>
      </c>
      <c r="L563" s="71"/>
      <c r="M563" s="72"/>
      <c r="N563" s="72"/>
      <c r="O563" s="73"/>
      <c r="P563" s="74"/>
      <c r="Q563" s="74"/>
      <c r="R563" s="86"/>
      <c r="S563" s="86"/>
      <c r="T563" s="86"/>
      <c r="U563" s="86"/>
      <c r="V563" s="48"/>
      <c r="W563" s="48"/>
      <c r="X563" s="48"/>
      <c r="Y563" s="48"/>
      <c r="Z563" s="47"/>
      <c r="AA563" s="69">
        <v>563</v>
      </c>
      <c r="AB563" s="69"/>
      <c r="AC563" s="70"/>
      <c r="AD563" s="76" t="s">
        <v>22364</v>
      </c>
      <c r="AE563" s="81" t="s">
        <v>21406</v>
      </c>
      <c r="AF563" s="76">
        <v>3</v>
      </c>
      <c r="AG563" s="76">
        <v>28</v>
      </c>
      <c r="AH563" s="76">
        <v>11</v>
      </c>
      <c r="AI563" s="76">
        <v>0</v>
      </c>
      <c r="AJ563" s="76">
        <v>7</v>
      </c>
      <c r="AK563" s="76">
        <v>4</v>
      </c>
      <c r="AL563" s="76" t="b">
        <v>0</v>
      </c>
      <c r="AM563" s="78">
        <v>45051.951527777775</v>
      </c>
      <c r="AN563" s="76"/>
      <c r="AO563" s="76" t="s">
        <v>23833</v>
      </c>
      <c r="AP563" s="76"/>
      <c r="AQ563" s="76"/>
      <c r="AR563" s="76"/>
      <c r="AS563" s="83" t="str">
        <f>HYPERLINK("https://t.co/1OOxYhRPzr")</f>
        <v>https://t.co/1OOxYhRPzr</v>
      </c>
      <c r="AT563" s="83" t="str">
        <f>HYPERLINK("https://kiwify.app/VNtm5Rp?afid=AbRrqF5A")</f>
        <v>https://kiwify.app/VNtm5Rp?afid=AbRrqF5A</v>
      </c>
      <c r="AU563" s="76" t="s">
        <v>24888</v>
      </c>
      <c r="AV563" s="76"/>
      <c r="AW563" s="76"/>
      <c r="AX563" s="76" t="b">
        <v>0</v>
      </c>
      <c r="AY563" s="76"/>
      <c r="AZ563" s="76"/>
      <c r="BA563" s="76" t="b">
        <v>0</v>
      </c>
      <c r="BB563" s="76" t="b">
        <v>1</v>
      </c>
      <c r="BC563" s="76" t="b">
        <v>1</v>
      </c>
      <c r="BD563" s="76" t="b">
        <v>0</v>
      </c>
      <c r="BE563" s="76" t="b">
        <v>0</v>
      </c>
      <c r="BF563" s="76" t="b">
        <v>0</v>
      </c>
      <c r="BG563" s="76" t="b">
        <v>0</v>
      </c>
      <c r="BH563" s="76"/>
      <c r="BI563" s="76"/>
      <c r="BJ563" s="76" t="s">
        <v>24935</v>
      </c>
      <c r="BK563" s="76" t="b">
        <v>0</v>
      </c>
      <c r="BL563" s="76"/>
      <c r="BM563" s="76" t="s">
        <v>66</v>
      </c>
      <c r="BN563" s="76" t="s">
        <v>24937</v>
      </c>
      <c r="BO563" s="83" t="str">
        <f>HYPERLINK("https://twitter.com/joao_gorreis")</f>
        <v>https://twitter.com/joao_gorreis</v>
      </c>
      <c r="BP563" s="2"/>
    </row>
    <row r="564" spans="1:68" x14ac:dyDescent="0.25">
      <c r="A564" s="62" t="s">
        <v>758</v>
      </c>
      <c r="B564" s="63"/>
      <c r="C564" s="63"/>
      <c r="D564" s="64"/>
      <c r="E564" s="66"/>
      <c r="F564" s="102" t="str">
        <f>HYPERLINK("https://pbs.twimg.com/profile_images/1575898654887624708/VYAj8Siv_normal.jpg")</f>
        <v>https://pbs.twimg.com/profile_images/1575898654887624708/VYAj8Siv_normal.jpg</v>
      </c>
      <c r="G564" s="63"/>
      <c r="H564" s="67"/>
      <c r="I564" s="68"/>
      <c r="J564" s="68"/>
      <c r="K564" s="67" t="s">
        <v>25498</v>
      </c>
      <c r="L564" s="71"/>
      <c r="M564" s="72"/>
      <c r="N564" s="72"/>
      <c r="O564" s="73"/>
      <c r="P564" s="74"/>
      <c r="Q564" s="74"/>
      <c r="R564" s="86"/>
      <c r="S564" s="86"/>
      <c r="T564" s="86"/>
      <c r="U564" s="86"/>
      <c r="V564" s="48"/>
      <c r="W564" s="48"/>
      <c r="X564" s="48"/>
      <c r="Y564" s="48"/>
      <c r="Z564" s="47"/>
      <c r="AA564" s="69">
        <v>564</v>
      </c>
      <c r="AB564" s="69"/>
      <c r="AC564" s="70"/>
      <c r="AD564" s="76" t="s">
        <v>22365</v>
      </c>
      <c r="AE564" s="81" t="s">
        <v>21407</v>
      </c>
      <c r="AF564" s="76">
        <v>0</v>
      </c>
      <c r="AG564" s="76">
        <v>37</v>
      </c>
      <c r="AH564" s="76">
        <v>9</v>
      </c>
      <c r="AI564" s="76">
        <v>0</v>
      </c>
      <c r="AJ564" s="76">
        <v>1</v>
      </c>
      <c r="AK564" s="76">
        <v>1</v>
      </c>
      <c r="AL564" s="76" t="b">
        <v>0</v>
      </c>
      <c r="AM564" s="78">
        <v>44834.723287037035</v>
      </c>
      <c r="AN564" s="76"/>
      <c r="AO564" s="76" t="s">
        <v>23834</v>
      </c>
      <c r="AP564" s="83" t="str">
        <f>HYPERLINK("https://t.co/9S9dO1l0jg")</f>
        <v>https://t.co/9S9dO1l0jg</v>
      </c>
      <c r="AQ564" s="83" t="str">
        <f>HYPERLINK("https://go.hotmart.com/Y81427297E")</f>
        <v>https://go.hotmart.com/Y81427297E</v>
      </c>
      <c r="AR564" s="76" t="s">
        <v>24568</v>
      </c>
      <c r="AS564" s="76"/>
      <c r="AT564" s="76"/>
      <c r="AU564" s="76"/>
      <c r="AV564" s="76"/>
      <c r="AW564" s="83" t="str">
        <f>HYPERLINK("https://t.co/9S9dO1l0jg")</f>
        <v>https://t.co/9S9dO1l0jg</v>
      </c>
      <c r="AX564" s="76" t="b">
        <v>0</v>
      </c>
      <c r="AY564" s="76"/>
      <c r="AZ564" s="76"/>
      <c r="BA564" s="76" t="b">
        <v>1</v>
      </c>
      <c r="BB564" s="76" t="b">
        <v>1</v>
      </c>
      <c r="BC564" s="76" t="b">
        <v>1</v>
      </c>
      <c r="BD564" s="76" t="b">
        <v>0</v>
      </c>
      <c r="BE564" s="76" t="b">
        <v>0</v>
      </c>
      <c r="BF564" s="76" t="b">
        <v>0</v>
      </c>
      <c r="BG564" s="76" t="b">
        <v>0</v>
      </c>
      <c r="BH564" s="76"/>
      <c r="BI564" s="76"/>
      <c r="BJ564" s="76" t="s">
        <v>24935</v>
      </c>
      <c r="BK564" s="76" t="b">
        <v>0</v>
      </c>
      <c r="BL564" s="76"/>
      <c r="BM564" s="76" t="s">
        <v>66</v>
      </c>
      <c r="BN564" s="76" t="s">
        <v>24937</v>
      </c>
      <c r="BO564" s="83" t="str">
        <f>HYPERLINK("https://twitter.com/meryen1234")</f>
        <v>https://twitter.com/meryen1234</v>
      </c>
      <c r="BP564" s="2"/>
    </row>
    <row r="565" spans="1:68" x14ac:dyDescent="0.25">
      <c r="A565" s="62" t="s">
        <v>759</v>
      </c>
      <c r="B565" s="63"/>
      <c r="C565" s="63"/>
      <c r="D565" s="64"/>
      <c r="E565" s="66"/>
      <c r="F565" s="102" t="str">
        <f>HYPERLINK("https://pbs.twimg.com/profile_images/1677305255627767808/eGD4en9w_normal.jpg")</f>
        <v>https://pbs.twimg.com/profile_images/1677305255627767808/eGD4en9w_normal.jpg</v>
      </c>
      <c r="G565" s="63"/>
      <c r="H565" s="67"/>
      <c r="I565" s="68"/>
      <c r="J565" s="68"/>
      <c r="K565" s="67" t="s">
        <v>25499</v>
      </c>
      <c r="L565" s="71"/>
      <c r="M565" s="72"/>
      <c r="N565" s="72"/>
      <c r="O565" s="73"/>
      <c r="P565" s="74"/>
      <c r="Q565" s="74"/>
      <c r="R565" s="86"/>
      <c r="S565" s="86"/>
      <c r="T565" s="86"/>
      <c r="U565" s="86"/>
      <c r="V565" s="48"/>
      <c r="W565" s="48"/>
      <c r="X565" s="48"/>
      <c r="Y565" s="48"/>
      <c r="Z565" s="47"/>
      <c r="AA565" s="69">
        <v>565</v>
      </c>
      <c r="AB565" s="69"/>
      <c r="AC565" s="70"/>
      <c r="AD565" s="76" t="s">
        <v>22366</v>
      </c>
      <c r="AE565" s="81" t="s">
        <v>21408</v>
      </c>
      <c r="AF565" s="76">
        <v>0</v>
      </c>
      <c r="AG565" s="76">
        <v>5</v>
      </c>
      <c r="AH565" s="76">
        <v>3</v>
      </c>
      <c r="AI565" s="76">
        <v>0</v>
      </c>
      <c r="AJ565" s="76">
        <v>0</v>
      </c>
      <c r="AK565" s="76">
        <v>1</v>
      </c>
      <c r="AL565" s="76" t="b">
        <v>0</v>
      </c>
      <c r="AM565" s="78">
        <v>45114.547199074077</v>
      </c>
      <c r="AN565" s="76"/>
      <c r="AO565" s="76" t="s">
        <v>23835</v>
      </c>
      <c r="AP565" s="76"/>
      <c r="AQ565" s="76"/>
      <c r="AR565" s="76"/>
      <c r="AS565" s="76"/>
      <c r="AT565" s="76"/>
      <c r="AU565" s="76"/>
      <c r="AV565" s="76"/>
      <c r="AW565" s="76"/>
      <c r="AX565" s="76" t="b">
        <v>0</v>
      </c>
      <c r="AY565" s="76"/>
      <c r="AZ565" s="76"/>
      <c r="BA565" s="76" t="b">
        <v>0</v>
      </c>
      <c r="BB565" s="76" t="b">
        <v>0</v>
      </c>
      <c r="BC565" s="76" t="b">
        <v>1</v>
      </c>
      <c r="BD565" s="76" t="b">
        <v>0</v>
      </c>
      <c r="BE565" s="76" t="b">
        <v>0</v>
      </c>
      <c r="BF565" s="76" t="b">
        <v>0</v>
      </c>
      <c r="BG565" s="76" t="b">
        <v>0</v>
      </c>
      <c r="BH565" s="83" t="str">
        <f>HYPERLINK("https://pbs.twimg.com/profile_banners/1677303247264948225/1688735710")</f>
        <v>https://pbs.twimg.com/profile_banners/1677303247264948225/1688735710</v>
      </c>
      <c r="BI565" s="76"/>
      <c r="BJ565" s="76" t="s">
        <v>24935</v>
      </c>
      <c r="BK565" s="76" t="b">
        <v>0</v>
      </c>
      <c r="BL565" s="76"/>
      <c r="BM565" s="76" t="s">
        <v>66</v>
      </c>
      <c r="BN565" s="76" t="s">
        <v>24937</v>
      </c>
      <c r="BO565" s="83" t="str">
        <f>HYPERLINK("https://twitter.com/maholliver13")</f>
        <v>https://twitter.com/maholliver13</v>
      </c>
      <c r="BP565" s="2"/>
    </row>
    <row r="566" spans="1:68" x14ac:dyDescent="0.25">
      <c r="A566" s="62" t="s">
        <v>760</v>
      </c>
      <c r="B566" s="63"/>
      <c r="C566" s="63"/>
      <c r="D566" s="64"/>
      <c r="E566" s="66"/>
      <c r="F566" s="102" t="str">
        <f>HYPERLINK("https://pbs.twimg.com/profile_images/1651070938056720386/7aHjrpK7_normal.jpg")</f>
        <v>https://pbs.twimg.com/profile_images/1651070938056720386/7aHjrpK7_normal.jpg</v>
      </c>
      <c r="G566" s="63"/>
      <c r="H566" s="67"/>
      <c r="I566" s="68"/>
      <c r="J566" s="68"/>
      <c r="K566" s="67" t="s">
        <v>25500</v>
      </c>
      <c r="L566" s="71"/>
      <c r="M566" s="72"/>
      <c r="N566" s="72"/>
      <c r="O566" s="73"/>
      <c r="P566" s="74"/>
      <c r="Q566" s="74"/>
      <c r="R566" s="86"/>
      <c r="S566" s="86"/>
      <c r="T566" s="86"/>
      <c r="U566" s="86"/>
      <c r="V566" s="48"/>
      <c r="W566" s="48"/>
      <c r="X566" s="48"/>
      <c r="Y566" s="48"/>
      <c r="Z566" s="47"/>
      <c r="AA566" s="69">
        <v>566</v>
      </c>
      <c r="AB566" s="69"/>
      <c r="AC566" s="70"/>
      <c r="AD566" s="76" t="s">
        <v>22367</v>
      </c>
      <c r="AE566" s="81" t="s">
        <v>21409</v>
      </c>
      <c r="AF566" s="76">
        <v>2</v>
      </c>
      <c r="AG566" s="76">
        <v>62</v>
      </c>
      <c r="AH566" s="76">
        <v>6</v>
      </c>
      <c r="AI566" s="76">
        <v>0</v>
      </c>
      <c r="AJ566" s="76">
        <v>345</v>
      </c>
      <c r="AK566" s="76">
        <v>3</v>
      </c>
      <c r="AL566" s="76" t="b">
        <v>0</v>
      </c>
      <c r="AM566" s="78">
        <v>43208.121157407404</v>
      </c>
      <c r="AN566" s="76" t="s">
        <v>14042</v>
      </c>
      <c r="AO566" s="76" t="s">
        <v>23836</v>
      </c>
      <c r="AP566" s="83" t="str">
        <f>HYPERLINK("https://t.co/Iccs4vK95G")</f>
        <v>https://t.co/Iccs4vK95G</v>
      </c>
      <c r="AQ566" s="83" t="str">
        <f>HYPERLINK("https://linktr.ee/vendas_onup")</f>
        <v>https://linktr.ee/vendas_onup</v>
      </c>
      <c r="AR566" s="76" t="s">
        <v>24569</v>
      </c>
      <c r="AS566" s="76"/>
      <c r="AT566" s="76"/>
      <c r="AU566" s="76"/>
      <c r="AV566" s="76">
        <v>1.63404051349281E+18</v>
      </c>
      <c r="AW566" s="83" t="str">
        <f>HYPERLINK("https://t.co/Iccs4vK95G")</f>
        <v>https://t.co/Iccs4vK95G</v>
      </c>
      <c r="AX566" s="76" t="b">
        <v>0</v>
      </c>
      <c r="AY566" s="76"/>
      <c r="AZ566" s="76"/>
      <c r="BA566" s="76" t="b">
        <v>1</v>
      </c>
      <c r="BB566" s="76" t="b">
        <v>1</v>
      </c>
      <c r="BC566" s="76" t="b">
        <v>1</v>
      </c>
      <c r="BD566" s="76" t="b">
        <v>0</v>
      </c>
      <c r="BE566" s="76" t="b">
        <v>0</v>
      </c>
      <c r="BF566" s="76" t="b">
        <v>0</v>
      </c>
      <c r="BG566" s="76" t="b">
        <v>0</v>
      </c>
      <c r="BH566" s="83" t="str">
        <f>HYPERLINK("https://pbs.twimg.com/profile_banners/986437779440750592/1682480963")</f>
        <v>https://pbs.twimg.com/profile_banners/986437779440750592/1682480963</v>
      </c>
      <c r="BI566" s="76"/>
      <c r="BJ566" s="76" t="s">
        <v>24935</v>
      </c>
      <c r="BK566" s="76" t="b">
        <v>0</v>
      </c>
      <c r="BL566" s="76"/>
      <c r="BM566" s="76" t="s">
        <v>66</v>
      </c>
      <c r="BN566" s="76" t="s">
        <v>24937</v>
      </c>
      <c r="BO566" s="83" t="str">
        <f>HYPERLINK("https://twitter.com/vendas_onup")</f>
        <v>https://twitter.com/vendas_onup</v>
      </c>
      <c r="BP566" s="2"/>
    </row>
    <row r="567" spans="1:68" x14ac:dyDescent="0.25">
      <c r="A567" s="62" t="s">
        <v>761</v>
      </c>
      <c r="B567" s="63"/>
      <c r="C567" s="63"/>
      <c r="D567" s="64"/>
      <c r="E567" s="66"/>
      <c r="F567" s="102" t="str">
        <f>HYPERLINK("https://pbs.twimg.com/profile_images/1646759512378863617/6bJSQgTr_normal.png")</f>
        <v>https://pbs.twimg.com/profile_images/1646759512378863617/6bJSQgTr_normal.png</v>
      </c>
      <c r="G567" s="63"/>
      <c r="H567" s="67"/>
      <c r="I567" s="68"/>
      <c r="J567" s="68"/>
      <c r="K567" s="67" t="s">
        <v>25501</v>
      </c>
      <c r="L567" s="71"/>
      <c r="M567" s="72"/>
      <c r="N567" s="72"/>
      <c r="O567" s="73"/>
      <c r="P567" s="74"/>
      <c r="Q567" s="74"/>
      <c r="R567" s="86"/>
      <c r="S567" s="86"/>
      <c r="T567" s="86"/>
      <c r="U567" s="86"/>
      <c r="V567" s="48"/>
      <c r="W567" s="48"/>
      <c r="X567" s="48"/>
      <c r="Y567" s="48"/>
      <c r="Z567" s="47"/>
      <c r="AA567" s="69">
        <v>567</v>
      </c>
      <c r="AB567" s="69"/>
      <c r="AC567" s="70"/>
      <c r="AD567" s="76" t="s">
        <v>22368</v>
      </c>
      <c r="AE567" s="81" t="s">
        <v>21410</v>
      </c>
      <c r="AF567" s="76">
        <v>3</v>
      </c>
      <c r="AG567" s="76">
        <v>13</v>
      </c>
      <c r="AH567" s="76">
        <v>10</v>
      </c>
      <c r="AI567" s="76">
        <v>0</v>
      </c>
      <c r="AJ567" s="76">
        <v>4</v>
      </c>
      <c r="AK567" s="76">
        <v>4</v>
      </c>
      <c r="AL567" s="76" t="b">
        <v>0</v>
      </c>
      <c r="AM567" s="78">
        <v>45030.262002314812</v>
      </c>
      <c r="AN567" s="76"/>
      <c r="AO567" s="76"/>
      <c r="AP567" s="76"/>
      <c r="AQ567" s="76"/>
      <c r="AR567" s="76"/>
      <c r="AS567" s="76"/>
      <c r="AT567" s="76"/>
      <c r="AU567" s="76"/>
      <c r="AV567" s="76"/>
      <c r="AW567" s="76"/>
      <c r="AX567" s="76" t="b">
        <v>0</v>
      </c>
      <c r="AY567" s="76"/>
      <c r="AZ567" s="76"/>
      <c r="BA567" s="76" t="b">
        <v>0</v>
      </c>
      <c r="BB567" s="76" t="b">
        <v>1</v>
      </c>
      <c r="BC567" s="76" t="b">
        <v>1</v>
      </c>
      <c r="BD567" s="76" t="b">
        <v>0</v>
      </c>
      <c r="BE567" s="76" t="b">
        <v>0</v>
      </c>
      <c r="BF567" s="76" t="b">
        <v>0</v>
      </c>
      <c r="BG567" s="76" t="b">
        <v>0</v>
      </c>
      <c r="BH567" s="83" t="str">
        <f>HYPERLINK("https://pbs.twimg.com/profile_banners/1646759375493529600/1691287720")</f>
        <v>https://pbs.twimg.com/profile_banners/1646759375493529600/1691287720</v>
      </c>
      <c r="BI567" s="76"/>
      <c r="BJ567" s="76" t="s">
        <v>24935</v>
      </c>
      <c r="BK567" s="76" t="b">
        <v>0</v>
      </c>
      <c r="BL567" s="76"/>
      <c r="BM567" s="76" t="s">
        <v>66</v>
      </c>
      <c r="BN567" s="76" t="s">
        <v>24937</v>
      </c>
      <c r="BO567" s="83" t="str">
        <f>HYPERLINK("https://twitter.com/gessica72692130")</f>
        <v>https://twitter.com/gessica72692130</v>
      </c>
      <c r="BP567" s="2"/>
    </row>
    <row r="568" spans="1:68" x14ac:dyDescent="0.25">
      <c r="A568" s="62" t="s">
        <v>762</v>
      </c>
      <c r="B568" s="63"/>
      <c r="C568" s="63"/>
      <c r="D568" s="64"/>
      <c r="E568" s="66"/>
      <c r="F568" s="102" t="str">
        <f>HYPERLINK("https://pbs.twimg.com/profile_images/1547739662541733894/EX8I5HjP_normal.jpg")</f>
        <v>https://pbs.twimg.com/profile_images/1547739662541733894/EX8I5HjP_normal.jpg</v>
      </c>
      <c r="G568" s="63"/>
      <c r="H568" s="67"/>
      <c r="I568" s="68"/>
      <c r="J568" s="68"/>
      <c r="K568" s="67" t="s">
        <v>25502</v>
      </c>
      <c r="L568" s="71"/>
      <c r="M568" s="72"/>
      <c r="N568" s="72"/>
      <c r="O568" s="73"/>
      <c r="P568" s="74"/>
      <c r="Q568" s="74"/>
      <c r="R568" s="86"/>
      <c r="S568" s="86"/>
      <c r="T568" s="86"/>
      <c r="U568" s="86"/>
      <c r="V568" s="48"/>
      <c r="W568" s="48"/>
      <c r="X568" s="48"/>
      <c r="Y568" s="48"/>
      <c r="Z568" s="47"/>
      <c r="AA568" s="69">
        <v>568</v>
      </c>
      <c r="AB568" s="69"/>
      <c r="AC568" s="70"/>
      <c r="AD568" s="76" t="s">
        <v>22369</v>
      </c>
      <c r="AE568" s="81" t="s">
        <v>21411</v>
      </c>
      <c r="AF568" s="76">
        <v>0</v>
      </c>
      <c r="AG568" s="76">
        <v>14</v>
      </c>
      <c r="AH568" s="76">
        <v>1</v>
      </c>
      <c r="AI568" s="76">
        <v>0</v>
      </c>
      <c r="AJ568" s="76">
        <v>0</v>
      </c>
      <c r="AK568" s="76">
        <v>1</v>
      </c>
      <c r="AL568" s="76" t="b">
        <v>0</v>
      </c>
      <c r="AM568" s="78">
        <v>44757.01798611111</v>
      </c>
      <c r="AN568" s="76"/>
      <c r="AO568" s="76"/>
      <c r="AP568" s="76"/>
      <c r="AQ568" s="76"/>
      <c r="AR568" s="76"/>
      <c r="AS568" s="76"/>
      <c r="AT568" s="76"/>
      <c r="AU568" s="76"/>
      <c r="AV568" s="76"/>
      <c r="AW568" s="76"/>
      <c r="AX568" s="76" t="b">
        <v>0</v>
      </c>
      <c r="AY568" s="76"/>
      <c r="AZ568" s="76"/>
      <c r="BA568" s="76" t="b">
        <v>0</v>
      </c>
      <c r="BB568" s="76" t="b">
        <v>1</v>
      </c>
      <c r="BC568" s="76" t="b">
        <v>1</v>
      </c>
      <c r="BD568" s="76" t="b">
        <v>0</v>
      </c>
      <c r="BE568" s="76" t="b">
        <v>0</v>
      </c>
      <c r="BF568" s="76" t="b">
        <v>0</v>
      </c>
      <c r="BG568" s="76" t="b">
        <v>0</v>
      </c>
      <c r="BH568" s="76"/>
      <c r="BI568" s="76"/>
      <c r="BJ568" s="76" t="s">
        <v>24935</v>
      </c>
      <c r="BK568" s="76" t="b">
        <v>0</v>
      </c>
      <c r="BL568" s="76"/>
      <c r="BM568" s="76" t="s">
        <v>66</v>
      </c>
      <c r="BN568" s="76" t="s">
        <v>24937</v>
      </c>
      <c r="BO568" s="83" t="str">
        <f>HYPERLINK("https://twitter.com/isabelc13652223")</f>
        <v>https://twitter.com/isabelc13652223</v>
      </c>
      <c r="BP568" s="2"/>
    </row>
    <row r="569" spans="1:68" x14ac:dyDescent="0.25">
      <c r="A569" s="62" t="s">
        <v>763</v>
      </c>
      <c r="B569" s="63"/>
      <c r="C569" s="63"/>
      <c r="D569" s="64"/>
      <c r="E569" s="66"/>
      <c r="F569" s="102" t="str">
        <f>HYPERLINK("https://pbs.twimg.com/profile_images/1677863716837048323/5k1BJWul_normal.jpg")</f>
        <v>https://pbs.twimg.com/profile_images/1677863716837048323/5k1BJWul_normal.jpg</v>
      </c>
      <c r="G569" s="63"/>
      <c r="H569" s="67"/>
      <c r="I569" s="68"/>
      <c r="J569" s="68"/>
      <c r="K569" s="67" t="s">
        <v>25503</v>
      </c>
      <c r="L569" s="71"/>
      <c r="M569" s="72"/>
      <c r="N569" s="72"/>
      <c r="O569" s="73"/>
      <c r="P569" s="74"/>
      <c r="Q569" s="74"/>
      <c r="R569" s="86"/>
      <c r="S569" s="86"/>
      <c r="T569" s="86"/>
      <c r="U569" s="86"/>
      <c r="V569" s="48"/>
      <c r="W569" s="48"/>
      <c r="X569" s="48"/>
      <c r="Y569" s="48"/>
      <c r="Z569" s="47"/>
      <c r="AA569" s="69">
        <v>569</v>
      </c>
      <c r="AB569" s="69"/>
      <c r="AC569" s="70"/>
      <c r="AD569" s="76" t="s">
        <v>22370</v>
      </c>
      <c r="AE569" s="81" t="s">
        <v>22970</v>
      </c>
      <c r="AF569" s="76">
        <v>74</v>
      </c>
      <c r="AG569" s="76">
        <v>377</v>
      </c>
      <c r="AH569" s="76">
        <v>4033</v>
      </c>
      <c r="AI569" s="76">
        <v>1</v>
      </c>
      <c r="AJ569" s="76">
        <v>1577</v>
      </c>
      <c r="AK569" s="76">
        <v>952</v>
      </c>
      <c r="AL569" s="76" t="b">
        <v>0</v>
      </c>
      <c r="AM569" s="78">
        <v>40525.082094907404</v>
      </c>
      <c r="AN569" s="76" t="s">
        <v>23224</v>
      </c>
      <c r="AO569" s="76" t="s">
        <v>23837</v>
      </c>
      <c r="AP569" s="83" t="str">
        <f>HYPERLINK("https://t.co/hyL6dMzUjB")</f>
        <v>https://t.co/hyL6dMzUjB</v>
      </c>
      <c r="AQ569" s="83" t="str">
        <f>HYPERLINK("https://sanmarvanondemand.com.br")</f>
        <v>https://sanmarvanondemand.com.br</v>
      </c>
      <c r="AR569" s="76" t="s">
        <v>24570</v>
      </c>
      <c r="AS569" s="76"/>
      <c r="AT569" s="76"/>
      <c r="AU569" s="76"/>
      <c r="AV569" s="76">
        <v>1.68685073848222E+18</v>
      </c>
      <c r="AW569" s="83" t="str">
        <f>HYPERLINK("https://t.co/hyL6dMzUjB")</f>
        <v>https://t.co/hyL6dMzUjB</v>
      </c>
      <c r="AX569" s="76" t="b">
        <v>0</v>
      </c>
      <c r="AY569" s="76"/>
      <c r="AZ569" s="76"/>
      <c r="BA569" s="76" t="b">
        <v>0</v>
      </c>
      <c r="BB569" s="76" t="b">
        <v>1</v>
      </c>
      <c r="BC569" s="76" t="b">
        <v>0</v>
      </c>
      <c r="BD569" s="76" t="b">
        <v>0</v>
      </c>
      <c r="BE569" s="76" t="b">
        <v>1</v>
      </c>
      <c r="BF569" s="76" t="b">
        <v>0</v>
      </c>
      <c r="BG569" s="76" t="b">
        <v>0</v>
      </c>
      <c r="BH569" s="83" t="str">
        <f>HYPERLINK("https://pbs.twimg.com/profile_banners/226001601/1691279441")</f>
        <v>https://pbs.twimg.com/profile_banners/226001601/1691279441</v>
      </c>
      <c r="BI569" s="76"/>
      <c r="BJ569" s="76" t="s">
        <v>24935</v>
      </c>
      <c r="BK569" s="76" t="b">
        <v>0</v>
      </c>
      <c r="BL569" s="76"/>
      <c r="BM569" s="76" t="s">
        <v>66</v>
      </c>
      <c r="BN569" s="76" t="s">
        <v>24937</v>
      </c>
      <c r="BO569" s="83" t="str">
        <f>HYPERLINK("https://twitter.com/brbabeto77")</f>
        <v>https://twitter.com/brbabeto77</v>
      </c>
      <c r="BP569" s="2"/>
    </row>
    <row r="570" spans="1:68" x14ac:dyDescent="0.25">
      <c r="A570" s="62" t="s">
        <v>764</v>
      </c>
      <c r="B570" s="63"/>
      <c r="C570" s="63"/>
      <c r="D570" s="64"/>
      <c r="E570" s="66"/>
      <c r="F570" s="102" t="str">
        <f>HYPERLINK("https://pbs.twimg.com/profile_images/1688706720007163905/3kLSwxjF_normal.jpg")</f>
        <v>https://pbs.twimg.com/profile_images/1688706720007163905/3kLSwxjF_normal.jpg</v>
      </c>
      <c r="G570" s="63"/>
      <c r="H570" s="67"/>
      <c r="I570" s="68"/>
      <c r="J570" s="68"/>
      <c r="K570" s="67" t="s">
        <v>25504</v>
      </c>
      <c r="L570" s="71"/>
      <c r="M570" s="72"/>
      <c r="N570" s="72"/>
      <c r="O570" s="73"/>
      <c r="P570" s="74"/>
      <c r="Q570" s="74"/>
      <c r="R570" s="86"/>
      <c r="S570" s="86"/>
      <c r="T570" s="86"/>
      <c r="U570" s="86"/>
      <c r="V570" s="48"/>
      <c r="W570" s="48"/>
      <c r="X570" s="48"/>
      <c r="Y570" s="48"/>
      <c r="Z570" s="47"/>
      <c r="AA570" s="69">
        <v>570</v>
      </c>
      <c r="AB570" s="69"/>
      <c r="AC570" s="70"/>
      <c r="AD570" s="76" t="s">
        <v>22371</v>
      </c>
      <c r="AE570" s="81" t="s">
        <v>21412</v>
      </c>
      <c r="AF570" s="76">
        <v>5</v>
      </c>
      <c r="AG570" s="76">
        <v>2</v>
      </c>
      <c r="AH570" s="76">
        <v>7</v>
      </c>
      <c r="AI570" s="76">
        <v>0</v>
      </c>
      <c r="AJ570" s="76">
        <v>5</v>
      </c>
      <c r="AK570" s="76">
        <v>5</v>
      </c>
      <c r="AL570" s="76" t="b">
        <v>0</v>
      </c>
      <c r="AM570" s="78">
        <v>44967.770624999997</v>
      </c>
      <c r="AN570" s="76" t="s">
        <v>14116</v>
      </c>
      <c r="AO570" s="76" t="s">
        <v>23838</v>
      </c>
      <c r="AP570" s="83" t="str">
        <f>HYPERLINK("https://t.co/1E17svn89N")</f>
        <v>https://t.co/1E17svn89N</v>
      </c>
      <c r="AQ570" s="83" t="str">
        <f>HYPERLINK("https://www.youtube.com/channel/UCSteBbAXmFkNi4XbkCXdHrw")</f>
        <v>https://www.youtube.com/channel/UCSteBbAXmFkNi4XbkCXdHrw</v>
      </c>
      <c r="AR570" s="76" t="s">
        <v>24571</v>
      </c>
      <c r="AS570" s="76"/>
      <c r="AT570" s="76"/>
      <c r="AU570" s="76"/>
      <c r="AV570" s="76"/>
      <c r="AW570" s="83" t="str">
        <f>HYPERLINK("https://t.co/1E17svn89N")</f>
        <v>https://t.co/1E17svn89N</v>
      </c>
      <c r="AX570" s="76" t="b">
        <v>0</v>
      </c>
      <c r="AY570" s="76"/>
      <c r="AZ570" s="76"/>
      <c r="BA570" s="76" t="b">
        <v>0</v>
      </c>
      <c r="BB570" s="76" t="b">
        <v>1</v>
      </c>
      <c r="BC570" s="76" t="b">
        <v>1</v>
      </c>
      <c r="BD570" s="76" t="b">
        <v>0</v>
      </c>
      <c r="BE570" s="76" t="b">
        <v>1</v>
      </c>
      <c r="BF570" s="76" t="b">
        <v>0</v>
      </c>
      <c r="BG570" s="76" t="b">
        <v>0</v>
      </c>
      <c r="BH570" s="83" t="str">
        <f>HYPERLINK("https://pbs.twimg.com/profile_banners/1624113168413753351/1689960181")</f>
        <v>https://pbs.twimg.com/profile_banners/1624113168413753351/1689960181</v>
      </c>
      <c r="BI570" s="76"/>
      <c r="BJ570" s="76" t="s">
        <v>24935</v>
      </c>
      <c r="BK570" s="76" t="b">
        <v>0</v>
      </c>
      <c r="BL570" s="76"/>
      <c r="BM570" s="76" t="s">
        <v>66</v>
      </c>
      <c r="BN570" s="76" t="s">
        <v>24937</v>
      </c>
      <c r="BO570" s="83" t="str">
        <f>HYPERLINK("https://twitter.com/vinnyvads")</f>
        <v>https://twitter.com/vinnyvads</v>
      </c>
      <c r="BP570" s="2"/>
    </row>
    <row r="571" spans="1:68" x14ac:dyDescent="0.25">
      <c r="A571" s="62" t="s">
        <v>765</v>
      </c>
      <c r="B571" s="63"/>
      <c r="C571" s="63"/>
      <c r="D571" s="64"/>
      <c r="E571" s="66"/>
      <c r="F571" s="102" t="str">
        <f>HYPERLINK("https://pbs.twimg.com/profile_images/1621192502324723713/vd-C5p-L_normal.jpg")</f>
        <v>https://pbs.twimg.com/profile_images/1621192502324723713/vd-C5p-L_normal.jpg</v>
      </c>
      <c r="G571" s="63"/>
      <c r="H571" s="67"/>
      <c r="I571" s="68"/>
      <c r="J571" s="68"/>
      <c r="K571" s="67" t="s">
        <v>25505</v>
      </c>
      <c r="L571" s="71"/>
      <c r="M571" s="72"/>
      <c r="N571" s="72"/>
      <c r="O571" s="73"/>
      <c r="P571" s="74"/>
      <c r="Q571" s="74"/>
      <c r="R571" s="86"/>
      <c r="S571" s="86"/>
      <c r="T571" s="86"/>
      <c r="U571" s="86"/>
      <c r="V571" s="48"/>
      <c r="W571" s="48"/>
      <c r="X571" s="48"/>
      <c r="Y571" s="48"/>
      <c r="Z571" s="47"/>
      <c r="AA571" s="69">
        <v>571</v>
      </c>
      <c r="AB571" s="69"/>
      <c r="AC571" s="70"/>
      <c r="AD571" s="76" t="s">
        <v>22372</v>
      </c>
      <c r="AE571" s="81" t="s">
        <v>21413</v>
      </c>
      <c r="AF571" s="76">
        <v>0</v>
      </c>
      <c r="AG571" s="76">
        <v>9</v>
      </c>
      <c r="AH571" s="76">
        <v>7</v>
      </c>
      <c r="AI571" s="76">
        <v>0</v>
      </c>
      <c r="AJ571" s="76">
        <v>1</v>
      </c>
      <c r="AK571" s="76">
        <v>5</v>
      </c>
      <c r="AL571" s="76" t="b">
        <v>0</v>
      </c>
      <c r="AM571" s="78">
        <v>44959.706354166665</v>
      </c>
      <c r="AN571" s="76"/>
      <c r="AO571" s="76" t="s">
        <v>23839</v>
      </c>
      <c r="AP571" s="76"/>
      <c r="AQ571" s="76"/>
      <c r="AR571" s="76"/>
      <c r="AS571" s="76"/>
      <c r="AT571" s="76"/>
      <c r="AU571" s="76"/>
      <c r="AV571" s="76"/>
      <c r="AW571" s="76"/>
      <c r="AX571" s="76" t="b">
        <v>0</v>
      </c>
      <c r="AY571" s="76"/>
      <c r="AZ571" s="76"/>
      <c r="BA571" s="76" t="b">
        <v>0</v>
      </c>
      <c r="BB571" s="76" t="b">
        <v>1</v>
      </c>
      <c r="BC571" s="76" t="b">
        <v>1</v>
      </c>
      <c r="BD571" s="76" t="b">
        <v>0</v>
      </c>
      <c r="BE571" s="76" t="b">
        <v>0</v>
      </c>
      <c r="BF571" s="76" t="b">
        <v>0</v>
      </c>
      <c r="BG571" s="76" t="b">
        <v>0</v>
      </c>
      <c r="BH571" s="83" t="str">
        <f>HYPERLINK("https://pbs.twimg.com/profile_banners/1621190892538273794/1675357389")</f>
        <v>https://pbs.twimg.com/profile_banners/1621190892538273794/1675357389</v>
      </c>
      <c r="BI571" s="76"/>
      <c r="BJ571" s="76" t="s">
        <v>24935</v>
      </c>
      <c r="BK571" s="76" t="b">
        <v>0</v>
      </c>
      <c r="BL571" s="76"/>
      <c r="BM571" s="76" t="s">
        <v>66</v>
      </c>
      <c r="BN571" s="76" t="s">
        <v>24937</v>
      </c>
      <c r="BO571" s="83" t="str">
        <f>HYPERLINK("https://twitter.com/premiosganhe1")</f>
        <v>https://twitter.com/premiosganhe1</v>
      </c>
      <c r="BP571" s="2"/>
    </row>
    <row r="572" spans="1:68" x14ac:dyDescent="0.25">
      <c r="A572" s="62" t="s">
        <v>766</v>
      </c>
      <c r="B572" s="63"/>
      <c r="C572" s="63"/>
      <c r="D572" s="64"/>
      <c r="E572" s="66"/>
      <c r="F572" s="102" t="str">
        <f>HYPERLINK("https://pbs.twimg.com/profile_images/1673438599310704642/i5ZkccPk_normal.jpg")</f>
        <v>https://pbs.twimg.com/profile_images/1673438599310704642/i5ZkccPk_normal.jpg</v>
      </c>
      <c r="G572" s="63"/>
      <c r="H572" s="67"/>
      <c r="I572" s="68"/>
      <c r="J572" s="68"/>
      <c r="K572" s="67" t="s">
        <v>25506</v>
      </c>
      <c r="L572" s="71"/>
      <c r="M572" s="72"/>
      <c r="N572" s="72"/>
      <c r="O572" s="73"/>
      <c r="P572" s="74"/>
      <c r="Q572" s="74"/>
      <c r="R572" s="86"/>
      <c r="S572" s="86"/>
      <c r="T572" s="86"/>
      <c r="U572" s="86"/>
      <c r="V572" s="48"/>
      <c r="W572" s="48"/>
      <c r="X572" s="48"/>
      <c r="Y572" s="48"/>
      <c r="Z572" s="47"/>
      <c r="AA572" s="69">
        <v>572</v>
      </c>
      <c r="AB572" s="69"/>
      <c r="AC572" s="70"/>
      <c r="AD572" s="76" t="s">
        <v>22373</v>
      </c>
      <c r="AE572" s="81" t="s">
        <v>20947</v>
      </c>
      <c r="AF572" s="76">
        <v>0</v>
      </c>
      <c r="AG572" s="76">
        <v>9</v>
      </c>
      <c r="AH572" s="76">
        <v>3</v>
      </c>
      <c r="AI572" s="76">
        <v>0</v>
      </c>
      <c r="AJ572" s="76">
        <v>6</v>
      </c>
      <c r="AK572" s="76">
        <v>1</v>
      </c>
      <c r="AL572" s="76" t="b">
        <v>0</v>
      </c>
      <c r="AM572" s="78">
        <v>45026.676192129627</v>
      </c>
      <c r="AN572" s="76"/>
      <c r="AO572" s="76" t="s">
        <v>23840</v>
      </c>
      <c r="AP572" s="76"/>
      <c r="AQ572" s="76"/>
      <c r="AR572" s="76"/>
      <c r="AS572" s="76"/>
      <c r="AT572" s="76"/>
      <c r="AU572" s="76"/>
      <c r="AV572" s="76"/>
      <c r="AW572" s="76"/>
      <c r="AX572" s="76" t="b">
        <v>0</v>
      </c>
      <c r="AY572" s="76"/>
      <c r="AZ572" s="76"/>
      <c r="BA572" s="76" t="b">
        <v>1</v>
      </c>
      <c r="BB572" s="76" t="b">
        <v>1</v>
      </c>
      <c r="BC572" s="76" t="b">
        <v>1</v>
      </c>
      <c r="BD572" s="76" t="b">
        <v>0</v>
      </c>
      <c r="BE572" s="76" t="b">
        <v>0</v>
      </c>
      <c r="BF572" s="76" t="b">
        <v>0</v>
      </c>
      <c r="BG572" s="76" t="b">
        <v>0</v>
      </c>
      <c r="BH572" s="76"/>
      <c r="BI572" s="76"/>
      <c r="BJ572" s="76" t="s">
        <v>24935</v>
      </c>
      <c r="BK572" s="76" t="b">
        <v>0</v>
      </c>
      <c r="BL572" s="76"/>
      <c r="BM572" s="76" t="s">
        <v>66</v>
      </c>
      <c r="BN572" s="76" t="s">
        <v>24937</v>
      </c>
      <c r="BO572" s="83" t="str">
        <f>HYPERLINK("https://twitter.com/afiliadoboss")</f>
        <v>https://twitter.com/afiliadoboss</v>
      </c>
      <c r="BP572" s="2"/>
    </row>
    <row r="573" spans="1:68" x14ac:dyDescent="0.25">
      <c r="A573" s="62" t="s">
        <v>767</v>
      </c>
      <c r="B573" s="63"/>
      <c r="C573" s="63"/>
      <c r="D573" s="64"/>
      <c r="E573" s="66"/>
      <c r="F573" s="102" t="str">
        <f>HYPERLINK("https://pbs.twimg.com/profile_images/1615508002567512064/72hXrP_U_normal.jpg")</f>
        <v>https://pbs.twimg.com/profile_images/1615508002567512064/72hXrP_U_normal.jpg</v>
      </c>
      <c r="G573" s="63"/>
      <c r="H573" s="67"/>
      <c r="I573" s="68"/>
      <c r="J573" s="68"/>
      <c r="K573" s="67" t="s">
        <v>25507</v>
      </c>
      <c r="L573" s="71"/>
      <c r="M573" s="72"/>
      <c r="N573" s="72"/>
      <c r="O573" s="73"/>
      <c r="P573" s="74"/>
      <c r="Q573" s="74"/>
      <c r="R573" s="86"/>
      <c r="S573" s="86"/>
      <c r="T573" s="86"/>
      <c r="U573" s="86"/>
      <c r="V573" s="48"/>
      <c r="W573" s="48"/>
      <c r="X573" s="48"/>
      <c r="Y573" s="48"/>
      <c r="Z573" s="47"/>
      <c r="AA573" s="69">
        <v>573</v>
      </c>
      <c r="AB573" s="69"/>
      <c r="AC573" s="70"/>
      <c r="AD573" s="76" t="s">
        <v>22374</v>
      </c>
      <c r="AE573" s="81" t="s">
        <v>21414</v>
      </c>
      <c r="AF573" s="76">
        <v>333</v>
      </c>
      <c r="AG573" s="76">
        <v>62</v>
      </c>
      <c r="AH573" s="76">
        <v>580</v>
      </c>
      <c r="AI573" s="76">
        <v>15</v>
      </c>
      <c r="AJ573" s="76">
        <v>181</v>
      </c>
      <c r="AK573" s="76">
        <v>164</v>
      </c>
      <c r="AL573" s="76" t="b">
        <v>0</v>
      </c>
      <c r="AM573" s="78">
        <v>44376.538148148145</v>
      </c>
      <c r="AN573" s="76" t="s">
        <v>23225</v>
      </c>
      <c r="AO573" s="76" t="s">
        <v>23841</v>
      </c>
      <c r="AP573" s="83" t="str">
        <f>HYPERLINK("https://t.co/pEHKpgAHtp")</f>
        <v>https://t.co/pEHKpgAHtp</v>
      </c>
      <c r="AQ573" s="83" t="str">
        <f>HYPERLINK("http://www.coinsday.com.br")</f>
        <v>http://www.coinsday.com.br</v>
      </c>
      <c r="AR573" s="76" t="s">
        <v>24572</v>
      </c>
      <c r="AS573" s="76"/>
      <c r="AT573" s="76"/>
      <c r="AU573" s="76"/>
      <c r="AV573" s="76"/>
      <c r="AW573" s="83" t="str">
        <f>HYPERLINK("https://t.co/pEHKpgAHtp")</f>
        <v>https://t.co/pEHKpgAHtp</v>
      </c>
      <c r="AX573" s="76" t="b">
        <v>0</v>
      </c>
      <c r="AY573" s="76"/>
      <c r="AZ573" s="76"/>
      <c r="BA573" s="76" t="b">
        <v>1</v>
      </c>
      <c r="BB573" s="76" t="b">
        <v>1</v>
      </c>
      <c r="BC573" s="76" t="b">
        <v>1</v>
      </c>
      <c r="BD573" s="76" t="b">
        <v>0</v>
      </c>
      <c r="BE573" s="76" t="b">
        <v>0</v>
      </c>
      <c r="BF573" s="76" t="b">
        <v>0</v>
      </c>
      <c r="BG573" s="76" t="b">
        <v>0</v>
      </c>
      <c r="BH573" s="83" t="str">
        <f>HYPERLINK("https://pbs.twimg.com/profile_banners/1409857885274787849/1679723457")</f>
        <v>https://pbs.twimg.com/profile_banners/1409857885274787849/1679723457</v>
      </c>
      <c r="BI573" s="76"/>
      <c r="BJ573" s="76" t="s">
        <v>24935</v>
      </c>
      <c r="BK573" s="76" t="b">
        <v>0</v>
      </c>
      <c r="BL573" s="76"/>
      <c r="BM573" s="76" t="s">
        <v>66</v>
      </c>
      <c r="BN573" s="76" t="s">
        <v>24937</v>
      </c>
      <c r="BO573" s="83" t="str">
        <f>HYPERLINK("https://twitter.com/israelpinveste")</f>
        <v>https://twitter.com/israelpinveste</v>
      </c>
      <c r="BP573" s="2"/>
    </row>
    <row r="574" spans="1:68" x14ac:dyDescent="0.25">
      <c r="A574" s="62" t="s">
        <v>768</v>
      </c>
      <c r="B574" s="63"/>
      <c r="C574" s="63"/>
      <c r="D574" s="64"/>
      <c r="E574" s="66"/>
      <c r="F574" s="102" t="str">
        <f>HYPERLINK("https://pbs.twimg.com/profile_images/1697633113524854784/OE5UsI37_normal.jpg")</f>
        <v>https://pbs.twimg.com/profile_images/1697633113524854784/OE5UsI37_normal.jpg</v>
      </c>
      <c r="G574" s="63"/>
      <c r="H574" s="67"/>
      <c r="I574" s="68"/>
      <c r="J574" s="68"/>
      <c r="K574" s="67" t="s">
        <v>25508</v>
      </c>
      <c r="L574" s="71"/>
      <c r="M574" s="72"/>
      <c r="N574" s="72"/>
      <c r="O574" s="73"/>
      <c r="P574" s="74"/>
      <c r="Q574" s="74"/>
      <c r="R574" s="86"/>
      <c r="S574" s="86"/>
      <c r="T574" s="86"/>
      <c r="U574" s="86"/>
      <c r="V574" s="48"/>
      <c r="W574" s="48"/>
      <c r="X574" s="48"/>
      <c r="Y574" s="48"/>
      <c r="Z574" s="47"/>
      <c r="AA574" s="69">
        <v>574</v>
      </c>
      <c r="AB574" s="69"/>
      <c r="AC574" s="70"/>
      <c r="AD574" s="76" t="s">
        <v>22375</v>
      </c>
      <c r="AE574" s="81" t="s">
        <v>21415</v>
      </c>
      <c r="AF574" s="76">
        <v>106</v>
      </c>
      <c r="AG574" s="76">
        <v>0</v>
      </c>
      <c r="AH574" s="76">
        <v>115</v>
      </c>
      <c r="AI574" s="76">
        <v>0</v>
      </c>
      <c r="AJ574" s="76">
        <v>6</v>
      </c>
      <c r="AK574" s="76">
        <v>20</v>
      </c>
      <c r="AL574" s="76" t="b">
        <v>0</v>
      </c>
      <c r="AM574" s="78">
        <v>44172.773784722223</v>
      </c>
      <c r="AN574" s="76" t="s">
        <v>23226</v>
      </c>
      <c r="AO574" s="76" t="s">
        <v>23842</v>
      </c>
      <c r="AP574" s="83" t="str">
        <f>HYPERLINK("https://t.co/ZpstRnvrVo")</f>
        <v>https://t.co/ZpstRnvrVo</v>
      </c>
      <c r="AQ574" s="83" t="str">
        <f>HYPERLINK("https://bit.ly/3uD9GEB")</f>
        <v>https://bit.ly/3uD9GEB</v>
      </c>
      <c r="AR574" s="76" t="s">
        <v>24573</v>
      </c>
      <c r="AS574" s="76"/>
      <c r="AT574" s="76"/>
      <c r="AU574" s="76"/>
      <c r="AV574" s="76"/>
      <c r="AW574" s="83" t="str">
        <f>HYPERLINK("https://t.co/ZpstRnvrVo")</f>
        <v>https://t.co/ZpstRnvrVo</v>
      </c>
      <c r="AX574" s="76" t="b">
        <v>0</v>
      </c>
      <c r="AY574" s="76"/>
      <c r="AZ574" s="76"/>
      <c r="BA574" s="76" t="b">
        <v>0</v>
      </c>
      <c r="BB574" s="76" t="b">
        <v>1</v>
      </c>
      <c r="BC574" s="76" t="b">
        <v>1</v>
      </c>
      <c r="BD574" s="76" t="b">
        <v>0</v>
      </c>
      <c r="BE574" s="76" t="b">
        <v>0</v>
      </c>
      <c r="BF574" s="76" t="b">
        <v>0</v>
      </c>
      <c r="BG574" s="76" t="b">
        <v>0</v>
      </c>
      <c r="BH574" s="83" t="str">
        <f>HYPERLINK("https://pbs.twimg.com/profile_banners/1336016007274647554/1693582721")</f>
        <v>https://pbs.twimg.com/profile_banners/1336016007274647554/1693582721</v>
      </c>
      <c r="BI574" s="76"/>
      <c r="BJ574" s="76" t="s">
        <v>24935</v>
      </c>
      <c r="BK574" s="76" t="b">
        <v>0</v>
      </c>
      <c r="BL574" s="76"/>
      <c r="BM574" s="76" t="s">
        <v>66</v>
      </c>
      <c r="BN574" s="76" t="s">
        <v>24937</v>
      </c>
      <c r="BO574" s="83" t="str">
        <f>HYPERLINK("https://twitter.com/falaipesquisas")</f>
        <v>https://twitter.com/falaipesquisas</v>
      </c>
      <c r="BP574" s="2"/>
    </row>
    <row r="575" spans="1:68" x14ac:dyDescent="0.25">
      <c r="A575" s="62" t="s">
        <v>769</v>
      </c>
      <c r="B575" s="63"/>
      <c r="C575" s="63"/>
      <c r="D575" s="64"/>
      <c r="E575" s="66"/>
      <c r="F575" s="102" t="str">
        <f>HYPERLINK("https://pbs.twimg.com/profile_images/1675132868509548545/mmUaCGuZ_normal.jpg")</f>
        <v>https://pbs.twimg.com/profile_images/1675132868509548545/mmUaCGuZ_normal.jpg</v>
      </c>
      <c r="G575" s="63"/>
      <c r="H575" s="67"/>
      <c r="I575" s="68"/>
      <c r="J575" s="68"/>
      <c r="K575" s="67" t="s">
        <v>25509</v>
      </c>
      <c r="L575" s="71"/>
      <c r="M575" s="72"/>
      <c r="N575" s="72"/>
      <c r="O575" s="73"/>
      <c r="P575" s="74"/>
      <c r="Q575" s="74"/>
      <c r="R575" s="86"/>
      <c r="S575" s="86"/>
      <c r="T575" s="86"/>
      <c r="U575" s="86"/>
      <c r="V575" s="48"/>
      <c r="W575" s="48"/>
      <c r="X575" s="48"/>
      <c r="Y575" s="48"/>
      <c r="Z575" s="47"/>
      <c r="AA575" s="69">
        <v>575</v>
      </c>
      <c r="AB575" s="69"/>
      <c r="AC575" s="70"/>
      <c r="AD575" s="76" t="s">
        <v>22376</v>
      </c>
      <c r="AE575" s="81" t="s">
        <v>21416</v>
      </c>
      <c r="AF575" s="76">
        <v>3</v>
      </c>
      <c r="AG575" s="76">
        <v>74</v>
      </c>
      <c r="AH575" s="76">
        <v>212</v>
      </c>
      <c r="AI575" s="76">
        <v>0</v>
      </c>
      <c r="AJ575" s="76">
        <v>35</v>
      </c>
      <c r="AK575" s="76">
        <v>211</v>
      </c>
      <c r="AL575" s="76" t="b">
        <v>0</v>
      </c>
      <c r="AM575" s="78">
        <v>45108.551122685189</v>
      </c>
      <c r="AN575" s="76" t="s">
        <v>14115</v>
      </c>
      <c r="AO575" s="76" t="s">
        <v>23843</v>
      </c>
      <c r="AP575" s="83" t="str">
        <f>HYPERLINK("https://t.co/Pkpd07wydM")</f>
        <v>https://t.co/Pkpd07wydM</v>
      </c>
      <c r="AQ575" s="83" t="str">
        <f>HYPERLINK("https://www.clinicawashingtonamancio.com/")</f>
        <v>https://www.clinicawashingtonamancio.com/</v>
      </c>
      <c r="AR575" s="76" t="s">
        <v>7398</v>
      </c>
      <c r="AS575" s="76"/>
      <c r="AT575" s="76"/>
      <c r="AU575" s="76"/>
      <c r="AV575" s="76"/>
      <c r="AW575" s="83" t="str">
        <f>HYPERLINK("https://t.co/Pkpd07wydM")</f>
        <v>https://t.co/Pkpd07wydM</v>
      </c>
      <c r="AX575" s="76" t="b">
        <v>0</v>
      </c>
      <c r="AY575" s="76"/>
      <c r="AZ575" s="76"/>
      <c r="BA575" s="76" t="b">
        <v>0</v>
      </c>
      <c r="BB575" s="76" t="b">
        <v>1</v>
      </c>
      <c r="BC575" s="76" t="b">
        <v>1</v>
      </c>
      <c r="BD575" s="76" t="b">
        <v>0</v>
      </c>
      <c r="BE575" s="76" t="b">
        <v>0</v>
      </c>
      <c r="BF575" s="76" t="b">
        <v>0</v>
      </c>
      <c r="BG575" s="76" t="b">
        <v>0</v>
      </c>
      <c r="BH575" s="83" t="str">
        <f>HYPERLINK("https://pbs.twimg.com/profile_banners/1675130387658407938/1688217931")</f>
        <v>https://pbs.twimg.com/profile_banners/1675130387658407938/1688217931</v>
      </c>
      <c r="BI575" s="76"/>
      <c r="BJ575" s="76" t="s">
        <v>24935</v>
      </c>
      <c r="BK575" s="76" t="b">
        <v>0</v>
      </c>
      <c r="BL575" s="76"/>
      <c r="BM575" s="76" t="s">
        <v>66</v>
      </c>
      <c r="BN575" s="76" t="s">
        <v>24937</v>
      </c>
      <c r="BO575" s="83" t="str">
        <f>HYPERLINK("https://twitter.com/marcia23403")</f>
        <v>https://twitter.com/marcia23403</v>
      </c>
      <c r="BP575" s="2"/>
    </row>
    <row r="576" spans="1:68" x14ac:dyDescent="0.25">
      <c r="A576" s="62" t="s">
        <v>770</v>
      </c>
      <c r="B576" s="63"/>
      <c r="C576" s="63"/>
      <c r="D576" s="64"/>
      <c r="E576" s="66"/>
      <c r="F576" s="102" t="str">
        <f>HYPERLINK("https://pbs.twimg.com/profile_images/1063189466800668672/LFGgyksZ_normal.jpg")</f>
        <v>https://pbs.twimg.com/profile_images/1063189466800668672/LFGgyksZ_normal.jpg</v>
      </c>
      <c r="G576" s="63"/>
      <c r="H576" s="67"/>
      <c r="I576" s="68"/>
      <c r="J576" s="68"/>
      <c r="K576" s="67" t="s">
        <v>25510</v>
      </c>
      <c r="L576" s="71"/>
      <c r="M576" s="72"/>
      <c r="N576" s="72"/>
      <c r="O576" s="73"/>
      <c r="P576" s="74"/>
      <c r="Q576" s="74"/>
      <c r="R576" s="86"/>
      <c r="S576" s="86"/>
      <c r="T576" s="86"/>
      <c r="U576" s="86"/>
      <c r="V576" s="48"/>
      <c r="W576" s="48"/>
      <c r="X576" s="48"/>
      <c r="Y576" s="48"/>
      <c r="Z576" s="47"/>
      <c r="AA576" s="69">
        <v>576</v>
      </c>
      <c r="AB576" s="69"/>
      <c r="AC576" s="70"/>
      <c r="AD576" s="76" t="s">
        <v>22377</v>
      </c>
      <c r="AE576" s="81" t="s">
        <v>21417</v>
      </c>
      <c r="AF576" s="76">
        <v>23</v>
      </c>
      <c r="AG576" s="76">
        <v>153</v>
      </c>
      <c r="AH576" s="76">
        <v>217</v>
      </c>
      <c r="AI576" s="76">
        <v>0</v>
      </c>
      <c r="AJ576" s="76">
        <v>423</v>
      </c>
      <c r="AK576" s="76">
        <v>113</v>
      </c>
      <c r="AL576" s="76" t="b">
        <v>0</v>
      </c>
      <c r="AM576" s="78">
        <v>43419.912719907406</v>
      </c>
      <c r="AN576" s="76" t="s">
        <v>14062</v>
      </c>
      <c r="AO576" s="76" t="s">
        <v>23844</v>
      </c>
      <c r="AP576" s="83" t="str">
        <f>HYPERLINK("https://t.co/RcZeGBwkWB")</f>
        <v>https://t.co/RcZeGBwkWB</v>
      </c>
      <c r="AQ576" s="83" t="str">
        <f>HYPERLINK("https://hotm.art/comeca-agora-desafio")</f>
        <v>https://hotm.art/comeca-agora-desafio</v>
      </c>
      <c r="AR576" s="76" t="s">
        <v>24574</v>
      </c>
      <c r="AS576" s="83" t="str">
        <f>HYPERLINK("https://t.co/ztb59swkJw")</f>
        <v>https://t.co/ztb59swkJw</v>
      </c>
      <c r="AT576" s="83" t="str">
        <f>HYPERLINK("https://go.hotmart.com/C80326885U")</f>
        <v>https://go.hotmart.com/C80326885U</v>
      </c>
      <c r="AU576" s="76" t="s">
        <v>24889</v>
      </c>
      <c r="AV576" s="76">
        <v>1.62491295513231E+18</v>
      </c>
      <c r="AW576" s="83" t="str">
        <f>HYPERLINK("https://t.co/RcZeGBwkWB")</f>
        <v>https://t.co/RcZeGBwkWB</v>
      </c>
      <c r="AX576" s="76" t="b">
        <v>0</v>
      </c>
      <c r="AY576" s="76"/>
      <c r="AZ576" s="76"/>
      <c r="BA576" s="76" t="b">
        <v>1</v>
      </c>
      <c r="BB576" s="76" t="b">
        <v>1</v>
      </c>
      <c r="BC576" s="76" t="b">
        <v>1</v>
      </c>
      <c r="BD576" s="76" t="b">
        <v>0</v>
      </c>
      <c r="BE576" s="76" t="b">
        <v>1</v>
      </c>
      <c r="BF576" s="76" t="b">
        <v>0</v>
      </c>
      <c r="BG576" s="76" t="b">
        <v>0</v>
      </c>
      <c r="BH576" s="83" t="str">
        <f>HYPERLINK("https://pbs.twimg.com/profile_banners/1063188470317895681/1583925546")</f>
        <v>https://pbs.twimg.com/profile_banners/1063188470317895681/1583925546</v>
      </c>
      <c r="BI576" s="76"/>
      <c r="BJ576" s="76" t="s">
        <v>24935</v>
      </c>
      <c r="BK576" s="76" t="b">
        <v>0</v>
      </c>
      <c r="BL576" s="76"/>
      <c r="BM576" s="76" t="s">
        <v>66</v>
      </c>
      <c r="BN576" s="76" t="s">
        <v>24937</v>
      </c>
      <c r="BO576" s="83" t="str">
        <f>HYPERLINK("https://twitter.com/ildacristina8")</f>
        <v>https://twitter.com/ildacristina8</v>
      </c>
      <c r="BP576" s="2"/>
    </row>
    <row r="577" spans="1:68" x14ac:dyDescent="0.25">
      <c r="A577" s="62" t="s">
        <v>771</v>
      </c>
      <c r="B577" s="63"/>
      <c r="C577" s="63"/>
      <c r="D577" s="64"/>
      <c r="E577" s="66"/>
      <c r="F577" s="102" t="str">
        <f>HYPERLINK("https://pbs.twimg.com/profile_images/1605887293398581248/GL-xc_F__normal.jpg")</f>
        <v>https://pbs.twimg.com/profile_images/1605887293398581248/GL-xc_F__normal.jpg</v>
      </c>
      <c r="G577" s="63"/>
      <c r="H577" s="67"/>
      <c r="I577" s="68"/>
      <c r="J577" s="68"/>
      <c r="K577" s="67" t="s">
        <v>25511</v>
      </c>
      <c r="L577" s="71"/>
      <c r="M577" s="72"/>
      <c r="N577" s="72"/>
      <c r="O577" s="73"/>
      <c r="P577" s="74"/>
      <c r="Q577" s="74"/>
      <c r="R577" s="86"/>
      <c r="S577" s="86"/>
      <c r="T577" s="86"/>
      <c r="U577" s="86"/>
      <c r="V577" s="48"/>
      <c r="W577" s="48"/>
      <c r="X577" s="48"/>
      <c r="Y577" s="48"/>
      <c r="Z577" s="47"/>
      <c r="AA577" s="69">
        <v>577</v>
      </c>
      <c r="AB577" s="69"/>
      <c r="AC577" s="70"/>
      <c r="AD577" s="76" t="s">
        <v>22378</v>
      </c>
      <c r="AE577" s="81" t="s">
        <v>21418</v>
      </c>
      <c r="AF577" s="76">
        <v>950</v>
      </c>
      <c r="AG577" s="76">
        <v>2819</v>
      </c>
      <c r="AH577" s="76">
        <v>64124</v>
      </c>
      <c r="AI577" s="76">
        <v>2</v>
      </c>
      <c r="AJ577" s="76">
        <v>28211</v>
      </c>
      <c r="AK577" s="76">
        <v>1538</v>
      </c>
      <c r="AL577" s="76" t="b">
        <v>0</v>
      </c>
      <c r="AM577" s="78">
        <v>44917.475694444445</v>
      </c>
      <c r="AN577" s="76"/>
      <c r="AO577" s="76" t="s">
        <v>23845</v>
      </c>
      <c r="AP577" s="83" t="str">
        <f>HYPERLINK("https://t.co/rIedk5rvba")</f>
        <v>https://t.co/rIedk5rvba</v>
      </c>
      <c r="AQ577" s="83" t="str">
        <f>HYPERLINK("https://ntnc.com.br/2ebf933a-5f8b-4119-81ac-ce48d4aa8125")</f>
        <v>https://ntnc.com.br/2ebf933a-5f8b-4119-81ac-ce48d4aa8125</v>
      </c>
      <c r="AR577" s="76" t="s">
        <v>24575</v>
      </c>
      <c r="AS577" s="76"/>
      <c r="AT577" s="76"/>
      <c r="AU577" s="76"/>
      <c r="AV577" s="76"/>
      <c r="AW577" s="83" t="str">
        <f>HYPERLINK("https://t.co/rIedk5rvba")</f>
        <v>https://t.co/rIedk5rvba</v>
      </c>
      <c r="AX577" s="76" t="b">
        <v>0</v>
      </c>
      <c r="AY577" s="76"/>
      <c r="AZ577" s="76"/>
      <c r="BA577" s="76" t="b">
        <v>0</v>
      </c>
      <c r="BB577" s="76" t="b">
        <v>1</v>
      </c>
      <c r="BC577" s="76" t="b">
        <v>1</v>
      </c>
      <c r="BD577" s="76" t="b">
        <v>0</v>
      </c>
      <c r="BE577" s="76" t="b">
        <v>0</v>
      </c>
      <c r="BF577" s="76" t="b">
        <v>0</v>
      </c>
      <c r="BG577" s="76" t="b">
        <v>0</v>
      </c>
      <c r="BH577" s="83" t="str">
        <f>HYPERLINK("https://pbs.twimg.com/profile_banners/1605887103619010562/1671708448")</f>
        <v>https://pbs.twimg.com/profile_banners/1605887103619010562/1671708448</v>
      </c>
      <c r="BI577" s="76"/>
      <c r="BJ577" s="76" t="s">
        <v>24935</v>
      </c>
      <c r="BK577" s="76" t="b">
        <v>0</v>
      </c>
      <c r="BL577" s="76"/>
      <c r="BM577" s="76" t="s">
        <v>66</v>
      </c>
      <c r="BN577" s="76" t="s">
        <v>24937</v>
      </c>
      <c r="BO577" s="83" t="str">
        <f>HYPERLINK("https://twitter.com/concursos_publ")</f>
        <v>https://twitter.com/concursos_publ</v>
      </c>
      <c r="BP577" s="2"/>
    </row>
    <row r="578" spans="1:68" x14ac:dyDescent="0.25">
      <c r="A578" s="62" t="s">
        <v>772</v>
      </c>
      <c r="B578" s="63"/>
      <c r="C578" s="63"/>
      <c r="D578" s="64"/>
      <c r="E578" s="66"/>
      <c r="F578" s="102" t="str">
        <f>HYPERLINK("https://pbs.twimg.com/profile_images/1627736000028983296/sjR1Nimi_normal.jpg")</f>
        <v>https://pbs.twimg.com/profile_images/1627736000028983296/sjR1Nimi_normal.jpg</v>
      </c>
      <c r="G578" s="63"/>
      <c r="H578" s="67"/>
      <c r="I578" s="68"/>
      <c r="J578" s="68"/>
      <c r="K578" s="67" t="s">
        <v>25512</v>
      </c>
      <c r="L578" s="71"/>
      <c r="M578" s="72"/>
      <c r="N578" s="72"/>
      <c r="O578" s="73"/>
      <c r="P578" s="74"/>
      <c r="Q578" s="74"/>
      <c r="R578" s="86"/>
      <c r="S578" s="86"/>
      <c r="T578" s="86"/>
      <c r="U578" s="86"/>
      <c r="V578" s="48"/>
      <c r="W578" s="48"/>
      <c r="X578" s="48"/>
      <c r="Y578" s="48"/>
      <c r="Z578" s="47"/>
      <c r="AA578" s="69">
        <v>578</v>
      </c>
      <c r="AB578" s="69"/>
      <c r="AC578" s="70"/>
      <c r="AD578" s="76" t="s">
        <v>22379</v>
      </c>
      <c r="AE578" s="81" t="s">
        <v>21419</v>
      </c>
      <c r="AF578" s="76">
        <v>1</v>
      </c>
      <c r="AG578" s="76">
        <v>53</v>
      </c>
      <c r="AH578" s="76">
        <v>13</v>
      </c>
      <c r="AI578" s="76">
        <v>0</v>
      </c>
      <c r="AJ578" s="76">
        <v>15</v>
      </c>
      <c r="AK578" s="76">
        <v>9</v>
      </c>
      <c r="AL578" s="76" t="b">
        <v>0</v>
      </c>
      <c r="AM578" s="78">
        <v>44887.980023148149</v>
      </c>
      <c r="AN578" s="76"/>
      <c r="AO578" s="76" t="s">
        <v>23846</v>
      </c>
      <c r="AP578" s="83" t="str">
        <f>HYPERLINK("https://t.co/VoSrXG64Um")</f>
        <v>https://t.co/VoSrXG64Um</v>
      </c>
      <c r="AQ578" s="83" t="str">
        <f>HYPERLINK("https://wa.me/5547988951932?text=Quero%20ser%20afiliado,%20pode%20me%20ajudar?%20")</f>
        <v>https://wa.me/5547988951932?text=Quero%20ser%20afiliado,%20pode%20me%20ajudar?%20</v>
      </c>
      <c r="AR578" s="76" t="s">
        <v>24576</v>
      </c>
      <c r="AS578" s="76"/>
      <c r="AT578" s="76"/>
      <c r="AU578" s="76"/>
      <c r="AV578" s="76"/>
      <c r="AW578" s="83" t="str">
        <f>HYPERLINK("https://t.co/VoSrXG64Um")</f>
        <v>https://t.co/VoSrXG64Um</v>
      </c>
      <c r="AX578" s="76" t="b">
        <v>0</v>
      </c>
      <c r="AY578" s="76"/>
      <c r="AZ578" s="76"/>
      <c r="BA578" s="76" t="b">
        <v>0</v>
      </c>
      <c r="BB578" s="76" t="b">
        <v>1</v>
      </c>
      <c r="BC578" s="76" t="b">
        <v>1</v>
      </c>
      <c r="BD578" s="76" t="b">
        <v>0</v>
      </c>
      <c r="BE578" s="76" t="b">
        <v>0</v>
      </c>
      <c r="BF578" s="76" t="b">
        <v>0</v>
      </c>
      <c r="BG578" s="76" t="b">
        <v>0</v>
      </c>
      <c r="BH578" s="76"/>
      <c r="BI578" s="76"/>
      <c r="BJ578" s="76" t="s">
        <v>24935</v>
      </c>
      <c r="BK578" s="76" t="b">
        <v>0</v>
      </c>
      <c r="BL578" s="76"/>
      <c r="BM578" s="76" t="s">
        <v>66</v>
      </c>
      <c r="BN578" s="76" t="s">
        <v>24937</v>
      </c>
      <c r="BO578" s="83" t="str">
        <f>HYPERLINK("https://twitter.com/samuk889")</f>
        <v>https://twitter.com/samuk889</v>
      </c>
      <c r="BP578" s="2"/>
    </row>
    <row r="579" spans="1:68" x14ac:dyDescent="0.25">
      <c r="A579" s="62" t="s">
        <v>773</v>
      </c>
      <c r="B579" s="63"/>
      <c r="C579" s="63"/>
      <c r="D579" s="64"/>
      <c r="E579" s="66"/>
      <c r="F579" s="102" t="str">
        <f>HYPERLINK("https://pbs.twimg.com/profile_images/1461175074782953475/EO3P9-dr_normal.jpg")</f>
        <v>https://pbs.twimg.com/profile_images/1461175074782953475/EO3P9-dr_normal.jpg</v>
      </c>
      <c r="G579" s="63"/>
      <c r="H579" s="67"/>
      <c r="I579" s="68"/>
      <c r="J579" s="68"/>
      <c r="K579" s="67" t="s">
        <v>25513</v>
      </c>
      <c r="L579" s="71"/>
      <c r="M579" s="72"/>
      <c r="N579" s="72"/>
      <c r="O579" s="73"/>
      <c r="P579" s="74"/>
      <c r="Q579" s="74"/>
      <c r="R579" s="86"/>
      <c r="S579" s="86"/>
      <c r="T579" s="86"/>
      <c r="U579" s="86"/>
      <c r="V579" s="48"/>
      <c r="W579" s="48"/>
      <c r="X579" s="48"/>
      <c r="Y579" s="48"/>
      <c r="Z579" s="47"/>
      <c r="AA579" s="69">
        <v>579</v>
      </c>
      <c r="AB579" s="69"/>
      <c r="AC579" s="70"/>
      <c r="AD579" s="76" t="s">
        <v>22380</v>
      </c>
      <c r="AE579" s="81" t="s">
        <v>22971</v>
      </c>
      <c r="AF579" s="76">
        <v>177</v>
      </c>
      <c r="AG579" s="76">
        <v>121</v>
      </c>
      <c r="AH579" s="76">
        <v>40</v>
      </c>
      <c r="AI579" s="76">
        <v>0</v>
      </c>
      <c r="AJ579" s="76">
        <v>17</v>
      </c>
      <c r="AK579" s="76">
        <v>24</v>
      </c>
      <c r="AL579" s="76" t="b">
        <v>0</v>
      </c>
      <c r="AM579" s="78">
        <v>40316.876018518517</v>
      </c>
      <c r="AN579" s="76" t="s">
        <v>23227</v>
      </c>
      <c r="AO579" s="76" t="s">
        <v>23847</v>
      </c>
      <c r="AP579" s="83" t="str">
        <f>HYPERLINK("https://t.co/rmCNdcQcbO")</f>
        <v>https://t.co/rmCNdcQcbO</v>
      </c>
      <c r="AQ579" s="83" t="str">
        <f>HYPERLINK("https://linktr.ee/rodrigovazarte")</f>
        <v>https://linktr.ee/rodrigovazarte</v>
      </c>
      <c r="AR579" s="76" t="s">
        <v>24577</v>
      </c>
      <c r="AS579" s="76"/>
      <c r="AT579" s="76"/>
      <c r="AU579" s="76"/>
      <c r="AV579" s="76"/>
      <c r="AW579" s="83" t="str">
        <f>HYPERLINK("https://t.co/rmCNdcQcbO")</f>
        <v>https://t.co/rmCNdcQcbO</v>
      </c>
      <c r="AX579" s="76" t="b">
        <v>0</v>
      </c>
      <c r="AY579" s="76"/>
      <c r="AZ579" s="76"/>
      <c r="BA579" s="76" t="b">
        <v>0</v>
      </c>
      <c r="BB579" s="76" t="b">
        <v>1</v>
      </c>
      <c r="BC579" s="76" t="b">
        <v>0</v>
      </c>
      <c r="BD579" s="76" t="b">
        <v>0</v>
      </c>
      <c r="BE579" s="76" t="b">
        <v>0</v>
      </c>
      <c r="BF579" s="76" t="b">
        <v>0</v>
      </c>
      <c r="BG579" s="76" t="b">
        <v>0</v>
      </c>
      <c r="BH579" s="83" t="str">
        <f>HYPERLINK("https://pbs.twimg.com/profile_banners/145380021/1659496096")</f>
        <v>https://pbs.twimg.com/profile_banners/145380021/1659496096</v>
      </c>
      <c r="BI579" s="76"/>
      <c r="BJ579" s="76" t="s">
        <v>24935</v>
      </c>
      <c r="BK579" s="76" t="b">
        <v>0</v>
      </c>
      <c r="BL579" s="76"/>
      <c r="BM579" s="76" t="s">
        <v>66</v>
      </c>
      <c r="BN579" s="76" t="s">
        <v>24937</v>
      </c>
      <c r="BO579" s="83" t="str">
        <f>HYPERLINK("https://twitter.com/rvazstudio")</f>
        <v>https://twitter.com/rvazstudio</v>
      </c>
      <c r="BP579" s="2"/>
    </row>
    <row r="580" spans="1:68" x14ac:dyDescent="0.25">
      <c r="A580" s="62" t="s">
        <v>774</v>
      </c>
      <c r="B580" s="63"/>
      <c r="C580" s="63"/>
      <c r="D580" s="64"/>
      <c r="E580" s="66"/>
      <c r="F580" s="102" t="str">
        <f>HYPERLINK("https://pbs.twimg.com/profile_images/1692273494673801217/IVwi9DRS_normal.jpg")</f>
        <v>https://pbs.twimg.com/profile_images/1692273494673801217/IVwi9DRS_normal.jpg</v>
      </c>
      <c r="G580" s="63"/>
      <c r="H580" s="67"/>
      <c r="I580" s="68"/>
      <c r="J580" s="68"/>
      <c r="K580" s="67" t="s">
        <v>25514</v>
      </c>
      <c r="L580" s="71"/>
      <c r="M580" s="72"/>
      <c r="N580" s="72"/>
      <c r="O580" s="73"/>
      <c r="P580" s="74"/>
      <c r="Q580" s="74"/>
      <c r="R580" s="86"/>
      <c r="S580" s="86"/>
      <c r="T580" s="86"/>
      <c r="U580" s="86"/>
      <c r="V580" s="48"/>
      <c r="W580" s="48"/>
      <c r="X580" s="48"/>
      <c r="Y580" s="48"/>
      <c r="Z580" s="47"/>
      <c r="AA580" s="69">
        <v>580</v>
      </c>
      <c r="AB580" s="69"/>
      <c r="AC580" s="70"/>
      <c r="AD580" s="76" t="s">
        <v>22381</v>
      </c>
      <c r="AE580" s="81" t="s">
        <v>21420</v>
      </c>
      <c r="AF580" s="76">
        <v>3</v>
      </c>
      <c r="AG580" s="76">
        <v>93</v>
      </c>
      <c r="AH580" s="76">
        <v>16</v>
      </c>
      <c r="AI580" s="76">
        <v>0</v>
      </c>
      <c r="AJ580" s="76">
        <v>1</v>
      </c>
      <c r="AK580" s="76">
        <v>12</v>
      </c>
      <c r="AL580" s="76" t="b">
        <v>0</v>
      </c>
      <c r="AM580" s="78">
        <v>45155.855451388888</v>
      </c>
      <c r="AN580" s="76"/>
      <c r="AO580" s="76"/>
      <c r="AP580" s="76"/>
      <c r="AQ580" s="76"/>
      <c r="AR580" s="76"/>
      <c r="AS580" s="76"/>
      <c r="AT580" s="76"/>
      <c r="AU580" s="76"/>
      <c r="AV580" s="76"/>
      <c r="AW580" s="76"/>
      <c r="AX580" s="76" t="b">
        <v>0</v>
      </c>
      <c r="AY580" s="76"/>
      <c r="AZ580" s="76"/>
      <c r="BA580" s="76" t="b">
        <v>0</v>
      </c>
      <c r="BB580" s="76" t="b">
        <v>1</v>
      </c>
      <c r="BC580" s="76" t="b">
        <v>1</v>
      </c>
      <c r="BD580" s="76" t="b">
        <v>0</v>
      </c>
      <c r="BE580" s="76" t="b">
        <v>0</v>
      </c>
      <c r="BF580" s="76" t="b">
        <v>0</v>
      </c>
      <c r="BG580" s="76" t="b">
        <v>0</v>
      </c>
      <c r="BH580" s="76"/>
      <c r="BI580" s="76"/>
      <c r="BJ580" s="76" t="s">
        <v>24935</v>
      </c>
      <c r="BK580" s="76" t="b">
        <v>0</v>
      </c>
      <c r="BL580" s="76"/>
      <c r="BM580" s="76" t="s">
        <v>66</v>
      </c>
      <c r="BN580" s="76" t="s">
        <v>24937</v>
      </c>
      <c r="BO580" s="83" t="str">
        <f>HYPERLINK("https://twitter.com/antoniocsa10761")</f>
        <v>https://twitter.com/antoniocsa10761</v>
      </c>
      <c r="BP580" s="2"/>
    </row>
    <row r="581" spans="1:68" x14ac:dyDescent="0.25">
      <c r="A581" s="62" t="s">
        <v>775</v>
      </c>
      <c r="B581" s="63"/>
      <c r="C581" s="63"/>
      <c r="D581" s="64"/>
      <c r="E581" s="66"/>
      <c r="F581" s="102" t="str">
        <f>HYPERLINK("https://pbs.twimg.com/profile_images/1242691928841424896/PCHrtBLa_normal.jpg")</f>
        <v>https://pbs.twimg.com/profile_images/1242691928841424896/PCHrtBLa_normal.jpg</v>
      </c>
      <c r="G581" s="63"/>
      <c r="H581" s="67"/>
      <c r="I581" s="68"/>
      <c r="J581" s="68"/>
      <c r="K581" s="67" t="s">
        <v>25515</v>
      </c>
      <c r="L581" s="71"/>
      <c r="M581" s="72"/>
      <c r="N581" s="72"/>
      <c r="O581" s="73"/>
      <c r="P581" s="74"/>
      <c r="Q581" s="74"/>
      <c r="R581" s="86"/>
      <c r="S581" s="86"/>
      <c r="T581" s="86"/>
      <c r="U581" s="86"/>
      <c r="V581" s="48"/>
      <c r="W581" s="48"/>
      <c r="X581" s="48"/>
      <c r="Y581" s="48"/>
      <c r="Z581" s="47"/>
      <c r="AA581" s="69">
        <v>581</v>
      </c>
      <c r="AB581" s="69"/>
      <c r="AC581" s="70"/>
      <c r="AD581" s="76" t="s">
        <v>22382</v>
      </c>
      <c r="AE581" s="81" t="s">
        <v>21421</v>
      </c>
      <c r="AF581" s="76">
        <v>213</v>
      </c>
      <c r="AG581" s="76">
        <v>41</v>
      </c>
      <c r="AH581" s="76">
        <v>11107</v>
      </c>
      <c r="AI581" s="76">
        <v>1</v>
      </c>
      <c r="AJ581" s="76">
        <v>22810</v>
      </c>
      <c r="AK581" s="76">
        <v>1082</v>
      </c>
      <c r="AL581" s="76" t="b">
        <v>0</v>
      </c>
      <c r="AM581" s="78">
        <v>43245.603530092594</v>
      </c>
      <c r="AN581" s="76"/>
      <c r="AO581" s="76"/>
      <c r="AP581" s="76"/>
      <c r="AQ581" s="76"/>
      <c r="AR581" s="76"/>
      <c r="AS581" s="76"/>
      <c r="AT581" s="76"/>
      <c r="AU581" s="76"/>
      <c r="AV581" s="76"/>
      <c r="AW581" s="76"/>
      <c r="AX581" s="76" t="b">
        <v>0</v>
      </c>
      <c r="AY581" s="76"/>
      <c r="AZ581" s="76"/>
      <c r="BA581" s="76" t="b">
        <v>0</v>
      </c>
      <c r="BB581" s="76" t="b">
        <v>1</v>
      </c>
      <c r="BC581" s="76" t="b">
        <v>1</v>
      </c>
      <c r="BD581" s="76" t="b">
        <v>0</v>
      </c>
      <c r="BE581" s="76" t="b">
        <v>1</v>
      </c>
      <c r="BF581" s="76" t="b">
        <v>0</v>
      </c>
      <c r="BG581" s="76" t="b">
        <v>0</v>
      </c>
      <c r="BH581" s="83" t="str">
        <f>HYPERLINK("https://pbs.twimg.com/profile_banners/1000020936152805376/1527258738")</f>
        <v>https://pbs.twimg.com/profile_banners/1000020936152805376/1527258738</v>
      </c>
      <c r="BI581" s="76"/>
      <c r="BJ581" s="76" t="s">
        <v>24935</v>
      </c>
      <c r="BK581" s="76" t="b">
        <v>0</v>
      </c>
      <c r="BL581" s="76"/>
      <c r="BM581" s="76" t="s">
        <v>66</v>
      </c>
      <c r="BN581" s="76" t="s">
        <v>24937</v>
      </c>
      <c r="BO581" s="83" t="str">
        <f>HYPERLINK("https://twitter.com/informa_rio")</f>
        <v>https://twitter.com/informa_rio</v>
      </c>
      <c r="BP581" s="2"/>
    </row>
    <row r="582" spans="1:68" x14ac:dyDescent="0.25">
      <c r="A582" s="62" t="s">
        <v>776</v>
      </c>
      <c r="B582" s="63"/>
      <c r="C582" s="63"/>
      <c r="D582" s="64"/>
      <c r="E582" s="66"/>
      <c r="F582" s="102" t="str">
        <f>HYPERLINK("https://pbs.twimg.com/profile_images/592619667233099776/_Carpslm_normal.jpg")</f>
        <v>https://pbs.twimg.com/profile_images/592619667233099776/_Carpslm_normal.jpg</v>
      </c>
      <c r="G582" s="63"/>
      <c r="H582" s="67"/>
      <c r="I582" s="68"/>
      <c r="J582" s="68"/>
      <c r="K582" s="67" t="s">
        <v>25516</v>
      </c>
      <c r="L582" s="71"/>
      <c r="M582" s="72"/>
      <c r="N582" s="72"/>
      <c r="O582" s="73"/>
      <c r="P582" s="74"/>
      <c r="Q582" s="74"/>
      <c r="R582" s="86"/>
      <c r="S582" s="86"/>
      <c r="T582" s="86"/>
      <c r="U582" s="86"/>
      <c r="V582" s="48"/>
      <c r="W582" s="48"/>
      <c r="X582" s="48"/>
      <c r="Y582" s="48"/>
      <c r="Z582" s="47"/>
      <c r="AA582" s="69">
        <v>582</v>
      </c>
      <c r="AB582" s="69"/>
      <c r="AC582" s="70"/>
      <c r="AD582" s="76" t="s">
        <v>22383</v>
      </c>
      <c r="AE582" s="81" t="s">
        <v>22972</v>
      </c>
      <c r="AF582" s="76">
        <v>46</v>
      </c>
      <c r="AG582" s="76">
        <v>201</v>
      </c>
      <c r="AH582" s="76">
        <v>648</v>
      </c>
      <c r="AI582" s="76">
        <v>0</v>
      </c>
      <c r="AJ582" s="76">
        <v>63</v>
      </c>
      <c r="AK582" s="76">
        <v>276</v>
      </c>
      <c r="AL582" s="76" t="b">
        <v>0</v>
      </c>
      <c r="AM582" s="78">
        <v>41124.006481481483</v>
      </c>
      <c r="AN582" s="76"/>
      <c r="AO582" s="76" t="s">
        <v>23848</v>
      </c>
      <c r="AP582" s="76"/>
      <c r="AQ582" s="76"/>
      <c r="AR582" s="76"/>
      <c r="AS582" s="76"/>
      <c r="AT582" s="76"/>
      <c r="AU582" s="76"/>
      <c r="AV582" s="76"/>
      <c r="AW582" s="76"/>
      <c r="AX582" s="76" t="b">
        <v>0</v>
      </c>
      <c r="AY582" s="76"/>
      <c r="AZ582" s="76"/>
      <c r="BA582" s="76" t="b">
        <v>0</v>
      </c>
      <c r="BB582" s="76" t="b">
        <v>1</v>
      </c>
      <c r="BC582" s="76" t="b">
        <v>0</v>
      </c>
      <c r="BD582" s="76" t="b">
        <v>0</v>
      </c>
      <c r="BE582" s="76" t="b">
        <v>0</v>
      </c>
      <c r="BF582" s="76" t="b">
        <v>0</v>
      </c>
      <c r="BG582" s="76" t="b">
        <v>0</v>
      </c>
      <c r="BH582" s="83" t="str">
        <f>HYPERLINK("https://pbs.twimg.com/profile_banners/733793012/1370785782")</f>
        <v>https://pbs.twimg.com/profile_banners/733793012/1370785782</v>
      </c>
      <c r="BI582" s="76"/>
      <c r="BJ582" s="76" t="s">
        <v>24935</v>
      </c>
      <c r="BK582" s="76" t="b">
        <v>0</v>
      </c>
      <c r="BL582" s="76"/>
      <c r="BM582" s="76" t="s">
        <v>66</v>
      </c>
      <c r="BN582" s="76" t="s">
        <v>24937</v>
      </c>
      <c r="BO582" s="83" t="str">
        <f>HYPERLINK("https://twitter.com/jefinhoboratti")</f>
        <v>https://twitter.com/jefinhoboratti</v>
      </c>
      <c r="BP582" s="2"/>
    </row>
    <row r="583" spans="1:68" x14ac:dyDescent="0.25">
      <c r="A583" s="62" t="s">
        <v>777</v>
      </c>
      <c r="B583" s="63"/>
      <c r="C583" s="63"/>
      <c r="D583" s="64"/>
      <c r="E583" s="66"/>
      <c r="F583" s="102" t="str">
        <f>HYPERLINK("https://pbs.twimg.com/profile_images/1284976823970004992/oVMtjKLv_normal.jpg")</f>
        <v>https://pbs.twimg.com/profile_images/1284976823970004992/oVMtjKLv_normal.jpg</v>
      </c>
      <c r="G583" s="63"/>
      <c r="H583" s="67"/>
      <c r="I583" s="68"/>
      <c r="J583" s="68"/>
      <c r="K583" s="67" t="s">
        <v>25517</v>
      </c>
      <c r="L583" s="71"/>
      <c r="M583" s="72"/>
      <c r="N583" s="72"/>
      <c r="O583" s="73"/>
      <c r="P583" s="74"/>
      <c r="Q583" s="74"/>
      <c r="R583" s="86"/>
      <c r="S583" s="86"/>
      <c r="T583" s="86"/>
      <c r="U583" s="86"/>
      <c r="V583" s="48"/>
      <c r="W583" s="48"/>
      <c r="X583" s="48"/>
      <c r="Y583" s="48"/>
      <c r="Z583" s="47"/>
      <c r="AA583" s="69">
        <v>583</v>
      </c>
      <c r="AB583" s="69"/>
      <c r="AC583" s="70"/>
      <c r="AD583" s="76" t="s">
        <v>22384</v>
      </c>
      <c r="AE583" s="81" t="s">
        <v>21422</v>
      </c>
      <c r="AF583" s="76">
        <v>54</v>
      </c>
      <c r="AG583" s="76">
        <v>0</v>
      </c>
      <c r="AH583" s="76">
        <v>57</v>
      </c>
      <c r="AI583" s="76">
        <v>0</v>
      </c>
      <c r="AJ583" s="76">
        <v>18</v>
      </c>
      <c r="AK583" s="76">
        <v>35</v>
      </c>
      <c r="AL583" s="76" t="b">
        <v>0</v>
      </c>
      <c r="AM583" s="78">
        <v>42808.505682870367</v>
      </c>
      <c r="AN583" s="76"/>
      <c r="AO583" s="76" t="s">
        <v>23849</v>
      </c>
      <c r="AP583" s="83" t="str">
        <f>HYPERLINK("https://t.co/3Lhsgp2QeG")</f>
        <v>https://t.co/3Lhsgp2QeG</v>
      </c>
      <c r="AQ583" s="83" t="str">
        <f>HYPERLINK("http://dinka.com.br")</f>
        <v>http://dinka.com.br</v>
      </c>
      <c r="AR583" s="76" t="s">
        <v>24578</v>
      </c>
      <c r="AS583" s="76"/>
      <c r="AT583" s="76"/>
      <c r="AU583" s="76"/>
      <c r="AV583" s="76"/>
      <c r="AW583" s="83" t="str">
        <f>HYPERLINK("https://t.co/3Lhsgp2QeG")</f>
        <v>https://t.co/3Lhsgp2QeG</v>
      </c>
      <c r="AX583" s="76" t="b">
        <v>0</v>
      </c>
      <c r="AY583" s="76"/>
      <c r="AZ583" s="76"/>
      <c r="BA583" s="76" t="b">
        <v>0</v>
      </c>
      <c r="BB583" s="76" t="b">
        <v>1</v>
      </c>
      <c r="BC583" s="76" t="b">
        <v>1</v>
      </c>
      <c r="BD583" s="76" t="b">
        <v>0</v>
      </c>
      <c r="BE583" s="76" t="b">
        <v>0</v>
      </c>
      <c r="BF583" s="76" t="b">
        <v>0</v>
      </c>
      <c r="BG583" s="76" t="b">
        <v>0</v>
      </c>
      <c r="BH583" s="83" t="str">
        <f>HYPERLINK("https://pbs.twimg.com/profile_banners/841621979790745601/1597954959")</f>
        <v>https://pbs.twimg.com/profile_banners/841621979790745601/1597954959</v>
      </c>
      <c r="BI583" s="76"/>
      <c r="BJ583" s="76" t="s">
        <v>24935</v>
      </c>
      <c r="BK583" s="76" t="b">
        <v>0</v>
      </c>
      <c r="BL583" s="76"/>
      <c r="BM583" s="76" t="s">
        <v>66</v>
      </c>
      <c r="BN583" s="76" t="s">
        <v>24937</v>
      </c>
      <c r="BO583" s="83" t="str">
        <f>HYPERLINK("https://twitter.com/loja_dinka")</f>
        <v>https://twitter.com/loja_dinka</v>
      </c>
      <c r="BP583" s="2"/>
    </row>
    <row r="584" spans="1:68" x14ac:dyDescent="0.25">
      <c r="A584" s="62" t="s">
        <v>778</v>
      </c>
      <c r="B584" s="63"/>
      <c r="C584" s="63"/>
      <c r="D584" s="64"/>
      <c r="E584" s="66"/>
      <c r="F584" s="102" t="str">
        <f>HYPERLINK("https://pbs.twimg.com/profile_images/1654487617684078597/lwhBeIti_normal.jpg")</f>
        <v>https://pbs.twimg.com/profile_images/1654487617684078597/lwhBeIti_normal.jpg</v>
      </c>
      <c r="G584" s="63"/>
      <c r="H584" s="67"/>
      <c r="I584" s="68"/>
      <c r="J584" s="68"/>
      <c r="K584" s="67" t="s">
        <v>25518</v>
      </c>
      <c r="L584" s="71"/>
      <c r="M584" s="72"/>
      <c r="N584" s="72"/>
      <c r="O584" s="73"/>
      <c r="P584" s="74"/>
      <c r="Q584" s="74"/>
      <c r="R584" s="86"/>
      <c r="S584" s="86"/>
      <c r="T584" s="86"/>
      <c r="U584" s="86"/>
      <c r="V584" s="48"/>
      <c r="W584" s="48"/>
      <c r="X584" s="48"/>
      <c r="Y584" s="48"/>
      <c r="Z584" s="47"/>
      <c r="AA584" s="69">
        <v>584</v>
      </c>
      <c r="AB584" s="69"/>
      <c r="AC584" s="70"/>
      <c r="AD584" s="76" t="s">
        <v>22385</v>
      </c>
      <c r="AE584" s="81" t="s">
        <v>21423</v>
      </c>
      <c r="AF584" s="76">
        <v>15</v>
      </c>
      <c r="AG584" s="76">
        <v>8</v>
      </c>
      <c r="AH584" s="76">
        <v>83</v>
      </c>
      <c r="AI584" s="76">
        <v>0</v>
      </c>
      <c r="AJ584" s="76">
        <v>3</v>
      </c>
      <c r="AK584" s="76">
        <v>69</v>
      </c>
      <c r="AL584" s="76" t="b">
        <v>0</v>
      </c>
      <c r="AM584" s="78">
        <v>45051.584340277775</v>
      </c>
      <c r="AN584" s="76" t="s">
        <v>23129</v>
      </c>
      <c r="AO584" s="76" t="s">
        <v>23850</v>
      </c>
      <c r="AP584" s="83" t="str">
        <f>HYPERLINK("https://t.co/XMbZRzHGiY")</f>
        <v>https://t.co/XMbZRzHGiY</v>
      </c>
      <c r="AQ584" s="83" t="str">
        <f>HYPERLINK("https://go.hotmart.com/J84468532Q?dp=1")</f>
        <v>https://go.hotmart.com/J84468532Q?dp=1</v>
      </c>
      <c r="AR584" s="76" t="s">
        <v>24579</v>
      </c>
      <c r="AS584" s="83" t="str">
        <f>HYPERLINK("https://t.co/lbvHuqBDPU")</f>
        <v>https://t.co/lbvHuqBDPU</v>
      </c>
      <c r="AT584" s="83" t="str">
        <f>HYPERLINK("http://t.me/aviatorAutomate")</f>
        <v>http://t.me/aviatorAutomate</v>
      </c>
      <c r="AU584" s="76" t="s">
        <v>24890</v>
      </c>
      <c r="AV584" s="76"/>
      <c r="AW584" s="83" t="str">
        <f>HYPERLINK("https://t.co/XMbZRzHGiY")</f>
        <v>https://t.co/XMbZRzHGiY</v>
      </c>
      <c r="AX584" s="76" t="b">
        <v>0</v>
      </c>
      <c r="AY584" s="76"/>
      <c r="AZ584" s="76"/>
      <c r="BA584" s="76" t="b">
        <v>0</v>
      </c>
      <c r="BB584" s="76" t="b">
        <v>1</v>
      </c>
      <c r="BC584" s="76" t="b">
        <v>1</v>
      </c>
      <c r="BD584" s="76" t="b">
        <v>0</v>
      </c>
      <c r="BE584" s="76" t="b">
        <v>0</v>
      </c>
      <c r="BF584" s="76" t="b">
        <v>0</v>
      </c>
      <c r="BG584" s="76" t="b">
        <v>0</v>
      </c>
      <c r="BH584" s="83" t="str">
        <f>HYPERLINK("https://pbs.twimg.com/profile_banners/1654486411016282115/1683295626")</f>
        <v>https://pbs.twimg.com/profile_banners/1654486411016282115/1683295626</v>
      </c>
      <c r="BI584" s="76"/>
      <c r="BJ584" s="76" t="s">
        <v>24935</v>
      </c>
      <c r="BK584" s="76" t="b">
        <v>0</v>
      </c>
      <c r="BL584" s="76"/>
      <c r="BM584" s="76" t="s">
        <v>66</v>
      </c>
      <c r="BN584" s="76" t="s">
        <v>24937</v>
      </c>
      <c r="BO584" s="83" t="str">
        <f>HYPERLINK("https://twitter.com/aviatorautomate")</f>
        <v>https://twitter.com/aviatorautomate</v>
      </c>
      <c r="BP584" s="2"/>
    </row>
    <row r="585" spans="1:68" x14ac:dyDescent="0.25">
      <c r="A585" s="62" t="s">
        <v>779</v>
      </c>
      <c r="B585" s="63"/>
      <c r="C585" s="63"/>
      <c r="D585" s="64"/>
      <c r="E585" s="66"/>
      <c r="F585" s="102" t="str">
        <f>HYPERLINK("https://pbs.twimg.com/profile_images/1622728757994717186/3TcuKhEK_normal.jpg")</f>
        <v>https://pbs.twimg.com/profile_images/1622728757994717186/3TcuKhEK_normal.jpg</v>
      </c>
      <c r="G585" s="63"/>
      <c r="H585" s="67"/>
      <c r="I585" s="68"/>
      <c r="J585" s="68"/>
      <c r="K585" s="67" t="s">
        <v>25519</v>
      </c>
      <c r="L585" s="71"/>
      <c r="M585" s="72"/>
      <c r="N585" s="72"/>
      <c r="O585" s="73"/>
      <c r="P585" s="74"/>
      <c r="Q585" s="74"/>
      <c r="R585" s="86"/>
      <c r="S585" s="86"/>
      <c r="T585" s="86"/>
      <c r="U585" s="86"/>
      <c r="V585" s="48"/>
      <c r="W585" s="48"/>
      <c r="X585" s="48"/>
      <c r="Y585" s="48"/>
      <c r="Z585" s="47"/>
      <c r="AA585" s="69">
        <v>585</v>
      </c>
      <c r="AB585" s="69"/>
      <c r="AC585" s="70"/>
      <c r="AD585" s="76" t="s">
        <v>22386</v>
      </c>
      <c r="AE585" s="81" t="s">
        <v>21424</v>
      </c>
      <c r="AF585" s="76">
        <v>4</v>
      </c>
      <c r="AG585" s="76">
        <v>15</v>
      </c>
      <c r="AH585" s="76">
        <v>29</v>
      </c>
      <c r="AI585" s="76">
        <v>0</v>
      </c>
      <c r="AJ585" s="76">
        <v>0</v>
      </c>
      <c r="AK585" s="76">
        <v>29</v>
      </c>
      <c r="AL585" s="76" t="b">
        <v>0</v>
      </c>
      <c r="AM585" s="78">
        <v>44963.936782407407</v>
      </c>
      <c r="AN585" s="76"/>
      <c r="AO585" s="76" t="s">
        <v>23851</v>
      </c>
      <c r="AP585" s="83" t="str">
        <f>HYPERLINK("https://t.co/oJWQLY8H01")</f>
        <v>https://t.co/oJWQLY8H01</v>
      </c>
      <c r="AQ585" s="83" t="str">
        <f>HYPERLINK("https://linktr.ee/Imetway")</f>
        <v>https://linktr.ee/Imetway</v>
      </c>
      <c r="AR585" s="76" t="s">
        <v>24580</v>
      </c>
      <c r="AS585" s="76"/>
      <c r="AT585" s="76"/>
      <c r="AU585" s="76"/>
      <c r="AV585" s="76"/>
      <c r="AW585" s="83" t="str">
        <f>HYPERLINK("https://t.co/oJWQLY8H01")</f>
        <v>https://t.co/oJWQLY8H01</v>
      </c>
      <c r="AX585" s="76" t="b">
        <v>0</v>
      </c>
      <c r="AY585" s="76"/>
      <c r="AZ585" s="76"/>
      <c r="BA585" s="76" t="b">
        <v>0</v>
      </c>
      <c r="BB585" s="76" t="b">
        <v>1</v>
      </c>
      <c r="BC585" s="76" t="b">
        <v>1</v>
      </c>
      <c r="BD585" s="76" t="b">
        <v>0</v>
      </c>
      <c r="BE585" s="76" t="b">
        <v>0</v>
      </c>
      <c r="BF585" s="76" t="b">
        <v>0</v>
      </c>
      <c r="BG585" s="76" t="b">
        <v>0</v>
      </c>
      <c r="BH585" s="83" t="str">
        <f>HYPERLINK("https://pbs.twimg.com/profile_banners/1622723920276164614/1675780989")</f>
        <v>https://pbs.twimg.com/profile_banners/1622723920276164614/1675780989</v>
      </c>
      <c r="BI585" s="76"/>
      <c r="BJ585" s="76" t="s">
        <v>24935</v>
      </c>
      <c r="BK585" s="76" t="b">
        <v>0</v>
      </c>
      <c r="BL585" s="76"/>
      <c r="BM585" s="76" t="s">
        <v>66</v>
      </c>
      <c r="BN585" s="76" t="s">
        <v>24937</v>
      </c>
      <c r="BO585" s="83" t="str">
        <f>HYPERLINK("https://twitter.com/imetway_")</f>
        <v>https://twitter.com/imetway_</v>
      </c>
      <c r="BP585" s="2"/>
    </row>
    <row r="586" spans="1:68" x14ac:dyDescent="0.25">
      <c r="A586" s="62" t="s">
        <v>780</v>
      </c>
      <c r="B586" s="63"/>
      <c r="C586" s="63"/>
      <c r="D586" s="64"/>
      <c r="E586" s="66"/>
      <c r="F586" s="102" t="str">
        <f>HYPERLINK("https://pbs.twimg.com/profile_images/1356674678216130560/skzA15NY_normal.jpg")</f>
        <v>https://pbs.twimg.com/profile_images/1356674678216130560/skzA15NY_normal.jpg</v>
      </c>
      <c r="G586" s="63"/>
      <c r="H586" s="67"/>
      <c r="I586" s="68"/>
      <c r="J586" s="68"/>
      <c r="K586" s="67" t="s">
        <v>25520</v>
      </c>
      <c r="L586" s="71"/>
      <c r="M586" s="72"/>
      <c r="N586" s="72"/>
      <c r="O586" s="73"/>
      <c r="P586" s="74"/>
      <c r="Q586" s="74"/>
      <c r="R586" s="86"/>
      <c r="S586" s="86"/>
      <c r="T586" s="86"/>
      <c r="U586" s="86"/>
      <c r="V586" s="48"/>
      <c r="W586" s="48"/>
      <c r="X586" s="48"/>
      <c r="Y586" s="48"/>
      <c r="Z586" s="47"/>
      <c r="AA586" s="69">
        <v>586</v>
      </c>
      <c r="AB586" s="69"/>
      <c r="AC586" s="70"/>
      <c r="AD586" s="76" t="s">
        <v>22387</v>
      </c>
      <c r="AE586" s="81" t="s">
        <v>21425</v>
      </c>
      <c r="AF586" s="76">
        <v>36</v>
      </c>
      <c r="AG586" s="76">
        <v>137</v>
      </c>
      <c r="AH586" s="76">
        <v>141</v>
      </c>
      <c r="AI586" s="76">
        <v>0</v>
      </c>
      <c r="AJ586" s="76">
        <v>703</v>
      </c>
      <c r="AK586" s="76">
        <v>12</v>
      </c>
      <c r="AL586" s="76" t="b">
        <v>0</v>
      </c>
      <c r="AM586" s="78">
        <v>43285.061909722222</v>
      </c>
      <c r="AN586" s="76" t="s">
        <v>23228</v>
      </c>
      <c r="AO586" s="76" t="s">
        <v>23852</v>
      </c>
      <c r="AP586" s="76"/>
      <c r="AQ586" s="76"/>
      <c r="AR586" s="76"/>
      <c r="AS586" s="76"/>
      <c r="AT586" s="76"/>
      <c r="AU586" s="76"/>
      <c r="AV586" s="76">
        <v>1.42517369613471E+18</v>
      </c>
      <c r="AW586" s="76"/>
      <c r="AX586" s="76" t="b">
        <v>0</v>
      </c>
      <c r="AY586" s="76"/>
      <c r="AZ586" s="76"/>
      <c r="BA586" s="76" t="b">
        <v>0</v>
      </c>
      <c r="BB586" s="76" t="b">
        <v>0</v>
      </c>
      <c r="BC586" s="76" t="b">
        <v>1</v>
      </c>
      <c r="BD586" s="76" t="b">
        <v>0</v>
      </c>
      <c r="BE586" s="76" t="b">
        <v>0</v>
      </c>
      <c r="BF586" s="76" t="b">
        <v>0</v>
      </c>
      <c r="BG586" s="76" t="b">
        <v>0</v>
      </c>
      <c r="BH586" s="83" t="str">
        <f>HYPERLINK("https://pbs.twimg.com/profile_banners/1014320174747578368/1608938118")</f>
        <v>https://pbs.twimg.com/profile_banners/1014320174747578368/1608938118</v>
      </c>
      <c r="BI586" s="76"/>
      <c r="BJ586" s="76" t="s">
        <v>24935</v>
      </c>
      <c r="BK586" s="76" t="b">
        <v>0</v>
      </c>
      <c r="BL586" s="76"/>
      <c r="BM586" s="76" t="s">
        <v>66</v>
      </c>
      <c r="BN586" s="76" t="s">
        <v>24937</v>
      </c>
      <c r="BO586" s="83" t="str">
        <f>HYPERLINK("https://twitter.com/thaina_rocha21")</f>
        <v>https://twitter.com/thaina_rocha21</v>
      </c>
      <c r="BP586" s="2"/>
    </row>
    <row r="587" spans="1:68" x14ac:dyDescent="0.25">
      <c r="A587" s="62" t="s">
        <v>781</v>
      </c>
      <c r="B587" s="63"/>
      <c r="C587" s="63"/>
      <c r="D587" s="64"/>
      <c r="E587" s="66"/>
      <c r="F587" s="102" t="str">
        <f>HYPERLINK("https://pbs.twimg.com/profile_images/1629836957013483520/UiTut9fn_normal.jpg")</f>
        <v>https://pbs.twimg.com/profile_images/1629836957013483520/UiTut9fn_normal.jpg</v>
      </c>
      <c r="G587" s="63"/>
      <c r="H587" s="67"/>
      <c r="I587" s="68"/>
      <c r="J587" s="68"/>
      <c r="K587" s="67" t="s">
        <v>25521</v>
      </c>
      <c r="L587" s="71"/>
      <c r="M587" s="72"/>
      <c r="N587" s="72"/>
      <c r="O587" s="73"/>
      <c r="P587" s="74"/>
      <c r="Q587" s="74"/>
      <c r="R587" s="86"/>
      <c r="S587" s="86"/>
      <c r="T587" s="86"/>
      <c r="U587" s="86"/>
      <c r="V587" s="48"/>
      <c r="W587" s="48"/>
      <c r="X587" s="48"/>
      <c r="Y587" s="48"/>
      <c r="Z587" s="47"/>
      <c r="AA587" s="69">
        <v>587</v>
      </c>
      <c r="AB587" s="69"/>
      <c r="AC587" s="70"/>
      <c r="AD587" s="76" t="s">
        <v>22388</v>
      </c>
      <c r="AE587" s="81" t="s">
        <v>21426</v>
      </c>
      <c r="AF587" s="76">
        <v>105</v>
      </c>
      <c r="AG587" s="76">
        <v>57</v>
      </c>
      <c r="AH587" s="76">
        <v>20</v>
      </c>
      <c r="AI587" s="76">
        <v>0</v>
      </c>
      <c r="AJ587" s="76">
        <v>23</v>
      </c>
      <c r="AK587" s="76">
        <v>16</v>
      </c>
      <c r="AL587" s="76" t="b">
        <v>0</v>
      </c>
      <c r="AM587" s="78">
        <v>44983.56386574074</v>
      </c>
      <c r="AN587" s="76" t="s">
        <v>14033</v>
      </c>
      <c r="AO587" s="76" t="s">
        <v>23853</v>
      </c>
      <c r="AP587" s="76"/>
      <c r="AQ587" s="76"/>
      <c r="AR587" s="76"/>
      <c r="AS587" s="76"/>
      <c r="AT587" s="76"/>
      <c r="AU587" s="76"/>
      <c r="AV587" s="76"/>
      <c r="AW587" s="76"/>
      <c r="AX587" s="76" t="b">
        <v>1</v>
      </c>
      <c r="AY587" s="76"/>
      <c r="AZ587" s="76"/>
      <c r="BA587" s="76" t="b">
        <v>0</v>
      </c>
      <c r="BB587" s="76" t="b">
        <v>1</v>
      </c>
      <c r="BC587" s="76" t="b">
        <v>1</v>
      </c>
      <c r="BD587" s="76" t="b">
        <v>0</v>
      </c>
      <c r="BE587" s="76" t="b">
        <v>0</v>
      </c>
      <c r="BF587" s="76" t="b">
        <v>0</v>
      </c>
      <c r="BG587" s="76" t="b">
        <v>0</v>
      </c>
      <c r="BH587" s="83" t="str">
        <f>HYPERLINK("https://pbs.twimg.com/profile_banners/1629836634102407169/1677422472")</f>
        <v>https://pbs.twimg.com/profile_banners/1629836634102407169/1677422472</v>
      </c>
      <c r="BI587" s="76"/>
      <c r="BJ587" s="76" t="s">
        <v>24935</v>
      </c>
      <c r="BK587" s="76" t="b">
        <v>0</v>
      </c>
      <c r="BL587" s="76"/>
      <c r="BM587" s="76" t="s">
        <v>66</v>
      </c>
      <c r="BN587" s="76" t="s">
        <v>24937</v>
      </c>
      <c r="BO587" s="83" t="str">
        <f>HYPERLINK("https://twitter.com/ederlorenzobr")</f>
        <v>https://twitter.com/ederlorenzobr</v>
      </c>
      <c r="BP587" s="2"/>
    </row>
    <row r="588" spans="1:68" x14ac:dyDescent="0.25">
      <c r="A588" s="62" t="s">
        <v>782</v>
      </c>
      <c r="B588" s="63"/>
      <c r="C588" s="63"/>
      <c r="D588" s="64"/>
      <c r="E588" s="66"/>
      <c r="F588" s="102" t="str">
        <f>HYPERLINK("https://pbs.twimg.com/profile_images/1098891802365571073/bhx5WVTv_normal.jpg")</f>
        <v>https://pbs.twimg.com/profile_images/1098891802365571073/bhx5WVTv_normal.jpg</v>
      </c>
      <c r="G588" s="63"/>
      <c r="H588" s="67"/>
      <c r="I588" s="68"/>
      <c r="J588" s="68"/>
      <c r="K588" s="67" t="s">
        <v>25522</v>
      </c>
      <c r="L588" s="71"/>
      <c r="M588" s="72"/>
      <c r="N588" s="72"/>
      <c r="O588" s="73"/>
      <c r="P588" s="74"/>
      <c r="Q588" s="74"/>
      <c r="R588" s="86"/>
      <c r="S588" s="86"/>
      <c r="T588" s="86"/>
      <c r="U588" s="86"/>
      <c r="V588" s="48"/>
      <c r="W588" s="48"/>
      <c r="X588" s="48"/>
      <c r="Y588" s="48"/>
      <c r="Z588" s="47"/>
      <c r="AA588" s="69">
        <v>588</v>
      </c>
      <c r="AB588" s="69"/>
      <c r="AC588" s="70"/>
      <c r="AD588" s="76" t="s">
        <v>22389</v>
      </c>
      <c r="AE588" s="81" t="s">
        <v>22973</v>
      </c>
      <c r="AF588" s="76">
        <v>221</v>
      </c>
      <c r="AG588" s="76">
        <v>102</v>
      </c>
      <c r="AH588" s="76">
        <v>3064</v>
      </c>
      <c r="AI588" s="76">
        <v>22</v>
      </c>
      <c r="AJ588" s="76">
        <v>1630</v>
      </c>
      <c r="AK588" s="76">
        <v>1600</v>
      </c>
      <c r="AL588" s="76" t="b">
        <v>0</v>
      </c>
      <c r="AM588" s="78">
        <v>41676.79954861111</v>
      </c>
      <c r="AN588" s="76" t="s">
        <v>23229</v>
      </c>
      <c r="AO588" s="76" t="s">
        <v>23854</v>
      </c>
      <c r="AP588" s="83" t="str">
        <f>HYPERLINK("https://t.co/BQDc8D0OHz")</f>
        <v>https://t.co/BQDc8D0OHz</v>
      </c>
      <c r="AQ588" s="83" t="str">
        <f>HYPERLINK("http://www.luisalvescoaching.blogspot.com")</f>
        <v>http://www.luisalvescoaching.blogspot.com</v>
      </c>
      <c r="AR588" s="76" t="s">
        <v>24581</v>
      </c>
      <c r="AS588" s="76"/>
      <c r="AT588" s="76"/>
      <c r="AU588" s="76"/>
      <c r="AV588" s="76"/>
      <c r="AW588" s="83" t="str">
        <f>HYPERLINK("https://t.co/BQDc8D0OHz")</f>
        <v>https://t.co/BQDc8D0OHz</v>
      </c>
      <c r="AX588" s="76" t="b">
        <v>0</v>
      </c>
      <c r="AY588" s="76"/>
      <c r="AZ588" s="76"/>
      <c r="BA588" s="76" t="b">
        <v>0</v>
      </c>
      <c r="BB588" s="76" t="b">
        <v>1</v>
      </c>
      <c r="BC588" s="76" t="b">
        <v>0</v>
      </c>
      <c r="BD588" s="76" t="b">
        <v>0</v>
      </c>
      <c r="BE588" s="76" t="b">
        <v>0</v>
      </c>
      <c r="BF588" s="76" t="b">
        <v>0</v>
      </c>
      <c r="BG588" s="76" t="b">
        <v>0</v>
      </c>
      <c r="BH588" s="83" t="str">
        <f>HYPERLINK("https://pbs.twimg.com/profile_banners/2330731333/1442862618")</f>
        <v>https://pbs.twimg.com/profile_banners/2330731333/1442862618</v>
      </c>
      <c r="BI588" s="76"/>
      <c r="BJ588" s="76" t="s">
        <v>24935</v>
      </c>
      <c r="BK588" s="76" t="b">
        <v>0</v>
      </c>
      <c r="BL588" s="76"/>
      <c r="BM588" s="76" t="s">
        <v>66</v>
      </c>
      <c r="BN588" s="76" t="s">
        <v>24937</v>
      </c>
      <c r="BO588" s="83" t="str">
        <f>HYPERLINK("https://twitter.com/luisalvescoach")</f>
        <v>https://twitter.com/luisalvescoach</v>
      </c>
      <c r="BP588" s="2"/>
    </row>
    <row r="589" spans="1:68" x14ac:dyDescent="0.25">
      <c r="A589" s="62" t="s">
        <v>783</v>
      </c>
      <c r="B589" s="63"/>
      <c r="C589" s="63"/>
      <c r="D589" s="64"/>
      <c r="E589" s="66"/>
      <c r="F589" s="102" t="str">
        <f>HYPERLINK("https://pbs.twimg.com/profile_images/1568990898817482752/qko2gq2Q_normal.png")</f>
        <v>https://pbs.twimg.com/profile_images/1568990898817482752/qko2gq2Q_normal.png</v>
      </c>
      <c r="G589" s="63"/>
      <c r="H589" s="67"/>
      <c r="I589" s="68"/>
      <c r="J589" s="68"/>
      <c r="K589" s="67" t="s">
        <v>25523</v>
      </c>
      <c r="L589" s="71"/>
      <c r="M589" s="72"/>
      <c r="N589" s="72"/>
      <c r="O589" s="73"/>
      <c r="P589" s="74"/>
      <c r="Q589" s="74"/>
      <c r="R589" s="86"/>
      <c r="S589" s="86"/>
      <c r="T589" s="86"/>
      <c r="U589" s="86"/>
      <c r="V589" s="48"/>
      <c r="W589" s="48"/>
      <c r="X589" s="48"/>
      <c r="Y589" s="48"/>
      <c r="Z589" s="47"/>
      <c r="AA589" s="69">
        <v>589</v>
      </c>
      <c r="AB589" s="69"/>
      <c r="AC589" s="70"/>
      <c r="AD589" s="76" t="s">
        <v>22390</v>
      </c>
      <c r="AE589" s="81" t="s">
        <v>21427</v>
      </c>
      <c r="AF589" s="76">
        <v>1</v>
      </c>
      <c r="AG589" s="76">
        <v>2</v>
      </c>
      <c r="AH589" s="76">
        <v>72</v>
      </c>
      <c r="AI589" s="76">
        <v>0</v>
      </c>
      <c r="AJ589" s="76">
        <v>1</v>
      </c>
      <c r="AK589" s="76">
        <v>6</v>
      </c>
      <c r="AL589" s="76" t="b">
        <v>0</v>
      </c>
      <c r="AM589" s="78">
        <v>44815.661516203705</v>
      </c>
      <c r="AN589" s="76"/>
      <c r="AO589" s="76" t="s">
        <v>23855</v>
      </c>
      <c r="AP589" s="76"/>
      <c r="AQ589" s="76"/>
      <c r="AR589" s="76"/>
      <c r="AS589" s="76"/>
      <c r="AT589" s="76"/>
      <c r="AU589" s="76"/>
      <c r="AV589" s="76"/>
      <c r="AW589" s="76"/>
      <c r="AX589" s="76" t="b">
        <v>0</v>
      </c>
      <c r="AY589" s="76"/>
      <c r="AZ589" s="76"/>
      <c r="BA589" s="76" t="b">
        <v>0</v>
      </c>
      <c r="BB589" s="76" t="b">
        <v>1</v>
      </c>
      <c r="BC589" s="76" t="b">
        <v>1</v>
      </c>
      <c r="BD589" s="76" t="b">
        <v>0</v>
      </c>
      <c r="BE589" s="76" t="b">
        <v>0</v>
      </c>
      <c r="BF589" s="76" t="b">
        <v>0</v>
      </c>
      <c r="BG589" s="76" t="b">
        <v>0</v>
      </c>
      <c r="BH589" s="76"/>
      <c r="BI589" s="76"/>
      <c r="BJ589" s="76" t="s">
        <v>24935</v>
      </c>
      <c r="BK589" s="76" t="b">
        <v>0</v>
      </c>
      <c r="BL589" s="76"/>
      <c r="BM589" s="76" t="s">
        <v>66</v>
      </c>
      <c r="BN589" s="76" t="s">
        <v>24937</v>
      </c>
      <c r="BO589" s="83" t="str">
        <f>HYPERLINK("https://twitter.com/milintops")</f>
        <v>https://twitter.com/milintops</v>
      </c>
      <c r="BP589" s="2"/>
    </row>
    <row r="590" spans="1:68" x14ac:dyDescent="0.25">
      <c r="A590" s="62" t="s">
        <v>784</v>
      </c>
      <c r="B590" s="63"/>
      <c r="C590" s="63"/>
      <c r="D590" s="64"/>
      <c r="E590" s="66"/>
      <c r="F590" s="102" t="str">
        <f>HYPERLINK("https://pbs.twimg.com/profile_images/1690032461063806976/0QuLjayW_normal.jpg")</f>
        <v>https://pbs.twimg.com/profile_images/1690032461063806976/0QuLjayW_normal.jpg</v>
      </c>
      <c r="G590" s="63"/>
      <c r="H590" s="67"/>
      <c r="I590" s="68"/>
      <c r="J590" s="68"/>
      <c r="K590" s="67" t="s">
        <v>25524</v>
      </c>
      <c r="L590" s="71"/>
      <c r="M590" s="72"/>
      <c r="N590" s="72"/>
      <c r="O590" s="73"/>
      <c r="P590" s="74"/>
      <c r="Q590" s="74"/>
      <c r="R590" s="86"/>
      <c r="S590" s="86"/>
      <c r="T590" s="86"/>
      <c r="U590" s="86"/>
      <c r="V590" s="48"/>
      <c r="W590" s="48"/>
      <c r="X590" s="48"/>
      <c r="Y590" s="48"/>
      <c r="Z590" s="47"/>
      <c r="AA590" s="69">
        <v>590</v>
      </c>
      <c r="AB590" s="69"/>
      <c r="AC590" s="70"/>
      <c r="AD590" s="76" t="s">
        <v>22391</v>
      </c>
      <c r="AE590" s="81" t="s">
        <v>21428</v>
      </c>
      <c r="AF590" s="76">
        <v>11</v>
      </c>
      <c r="AG590" s="76">
        <v>29</v>
      </c>
      <c r="AH590" s="76">
        <v>336</v>
      </c>
      <c r="AI590" s="76">
        <v>0</v>
      </c>
      <c r="AJ590" s="76">
        <v>23</v>
      </c>
      <c r="AK590" s="76">
        <v>84</v>
      </c>
      <c r="AL590" s="76" t="b">
        <v>0</v>
      </c>
      <c r="AM590" s="78">
        <v>44414.014768518522</v>
      </c>
      <c r="AN590" s="76" t="s">
        <v>23230</v>
      </c>
      <c r="AO590" s="76" t="s">
        <v>23856</v>
      </c>
      <c r="AP590" s="83" t="str">
        <f>HYPERLINK("https://t.co/KAPqQkC5ES")</f>
        <v>https://t.co/KAPqQkC5ES</v>
      </c>
      <c r="AQ590" s="83" t="str">
        <f>HYPERLINK("https://linktr.ee/leoprioficial")</f>
        <v>https://linktr.ee/leoprioficial</v>
      </c>
      <c r="AR590" s="76" t="s">
        <v>24582</v>
      </c>
      <c r="AS590" s="76"/>
      <c r="AT590" s="76"/>
      <c r="AU590" s="76"/>
      <c r="AV590" s="76">
        <v>1.50824772407597E+18</v>
      </c>
      <c r="AW590" s="83" t="str">
        <f>HYPERLINK("https://t.co/KAPqQkC5ES")</f>
        <v>https://t.co/KAPqQkC5ES</v>
      </c>
      <c r="AX590" s="76" t="b">
        <v>0</v>
      </c>
      <c r="AY590" s="76"/>
      <c r="AZ590" s="76"/>
      <c r="BA590" s="76" t="b">
        <v>0</v>
      </c>
      <c r="BB590" s="76" t="b">
        <v>1</v>
      </c>
      <c r="BC590" s="76" t="b">
        <v>1</v>
      </c>
      <c r="BD590" s="76" t="b">
        <v>0</v>
      </c>
      <c r="BE590" s="76" t="b">
        <v>0</v>
      </c>
      <c r="BF590" s="76" t="b">
        <v>0</v>
      </c>
      <c r="BG590" s="76" t="b">
        <v>0</v>
      </c>
      <c r="BH590" s="83" t="str">
        <f>HYPERLINK("https://pbs.twimg.com/profile_banners/1423436794289393666/1690680422")</f>
        <v>https://pbs.twimg.com/profile_banners/1423436794289393666/1690680422</v>
      </c>
      <c r="BI590" s="76"/>
      <c r="BJ590" s="76" t="s">
        <v>24935</v>
      </c>
      <c r="BK590" s="76" t="b">
        <v>0</v>
      </c>
      <c r="BL590" s="76"/>
      <c r="BM590" s="76" t="s">
        <v>66</v>
      </c>
      <c r="BN590" s="76" t="s">
        <v>24937</v>
      </c>
      <c r="BO590" s="83" t="str">
        <f>HYPERLINK("https://twitter.com/leoprioficial")</f>
        <v>https://twitter.com/leoprioficial</v>
      </c>
      <c r="BP590" s="2"/>
    </row>
    <row r="591" spans="1:68" x14ac:dyDescent="0.25">
      <c r="A591" s="62" t="s">
        <v>785</v>
      </c>
      <c r="B591" s="63"/>
      <c r="C591" s="63"/>
      <c r="D591" s="64"/>
      <c r="E591" s="66"/>
      <c r="F591" s="102" t="str">
        <f>HYPERLINK("https://pbs.twimg.com/profile_images/1661183774372028417/3zypMmLv_normal.jpg")</f>
        <v>https://pbs.twimg.com/profile_images/1661183774372028417/3zypMmLv_normal.jpg</v>
      </c>
      <c r="G591" s="63"/>
      <c r="H591" s="67"/>
      <c r="I591" s="68"/>
      <c r="J591" s="68"/>
      <c r="K591" s="67" t="s">
        <v>25525</v>
      </c>
      <c r="L591" s="71"/>
      <c r="M591" s="72"/>
      <c r="N591" s="72"/>
      <c r="O591" s="73"/>
      <c r="P591" s="74"/>
      <c r="Q591" s="74"/>
      <c r="R591" s="86"/>
      <c r="S591" s="86"/>
      <c r="T591" s="86"/>
      <c r="U591" s="86"/>
      <c r="V591" s="48"/>
      <c r="W591" s="48"/>
      <c r="X591" s="48"/>
      <c r="Y591" s="48"/>
      <c r="Z591" s="47"/>
      <c r="AA591" s="69">
        <v>591</v>
      </c>
      <c r="AB591" s="69"/>
      <c r="AC591" s="70"/>
      <c r="AD591" s="76" t="s">
        <v>22392</v>
      </c>
      <c r="AE591" s="81" t="s">
        <v>21429</v>
      </c>
      <c r="AF591" s="76">
        <v>65</v>
      </c>
      <c r="AG591" s="76">
        <v>229</v>
      </c>
      <c r="AH591" s="76">
        <v>1865</v>
      </c>
      <c r="AI591" s="76">
        <v>0</v>
      </c>
      <c r="AJ591" s="76">
        <v>18553</v>
      </c>
      <c r="AK591" s="76">
        <v>191</v>
      </c>
      <c r="AL591" s="76" t="b">
        <v>0</v>
      </c>
      <c r="AM591" s="78">
        <v>43170.743217592593</v>
      </c>
      <c r="AN591" s="76"/>
      <c r="AO591" s="76" t="s">
        <v>23857</v>
      </c>
      <c r="AP591" s="76"/>
      <c r="AQ591" s="76"/>
      <c r="AR591" s="76"/>
      <c r="AS591" s="76"/>
      <c r="AT591" s="76"/>
      <c r="AU591" s="76"/>
      <c r="AV591" s="76"/>
      <c r="AW591" s="76"/>
      <c r="AX591" s="76" t="b">
        <v>0</v>
      </c>
      <c r="AY591" s="76"/>
      <c r="AZ591" s="76"/>
      <c r="BA591" s="76" t="b">
        <v>0</v>
      </c>
      <c r="BB591" s="76" t="b">
        <v>0</v>
      </c>
      <c r="BC591" s="76" t="b">
        <v>1</v>
      </c>
      <c r="BD591" s="76" t="b">
        <v>0</v>
      </c>
      <c r="BE591" s="76" t="b">
        <v>0</v>
      </c>
      <c r="BF591" s="76" t="b">
        <v>0</v>
      </c>
      <c r="BG591" s="76" t="b">
        <v>0</v>
      </c>
      <c r="BH591" s="83" t="str">
        <f>HYPERLINK("https://pbs.twimg.com/profile_banners/972892467220697091/1550354280")</f>
        <v>https://pbs.twimg.com/profile_banners/972892467220697091/1550354280</v>
      </c>
      <c r="BI591" s="76"/>
      <c r="BJ591" s="76" t="s">
        <v>24935</v>
      </c>
      <c r="BK591" s="76" t="b">
        <v>0</v>
      </c>
      <c r="BL591" s="76"/>
      <c r="BM591" s="76" t="s">
        <v>66</v>
      </c>
      <c r="BN591" s="76" t="s">
        <v>24937</v>
      </c>
      <c r="BO591" s="83" t="str">
        <f>HYPERLINK("https://twitter.com/riicknho01")</f>
        <v>https://twitter.com/riicknho01</v>
      </c>
      <c r="BP591" s="2"/>
    </row>
    <row r="592" spans="1:68" x14ac:dyDescent="0.25">
      <c r="A592" s="62" t="s">
        <v>786</v>
      </c>
      <c r="B592" s="63"/>
      <c r="C592" s="63"/>
      <c r="D592" s="64"/>
      <c r="E592" s="66"/>
      <c r="F592" s="102" t="str">
        <f>HYPERLINK("https://pbs.twimg.com/profile_images/1284265233691926528/89s0a3ar_normal.jpg")</f>
        <v>https://pbs.twimg.com/profile_images/1284265233691926528/89s0a3ar_normal.jpg</v>
      </c>
      <c r="G592" s="63"/>
      <c r="H592" s="67"/>
      <c r="I592" s="68"/>
      <c r="J592" s="68"/>
      <c r="K592" s="67" t="s">
        <v>25526</v>
      </c>
      <c r="L592" s="71"/>
      <c r="M592" s="72"/>
      <c r="N592" s="72"/>
      <c r="O592" s="73"/>
      <c r="P592" s="74"/>
      <c r="Q592" s="74"/>
      <c r="R592" s="86"/>
      <c r="S592" s="86"/>
      <c r="T592" s="86"/>
      <c r="U592" s="86"/>
      <c r="V592" s="48"/>
      <c r="W592" s="48"/>
      <c r="X592" s="48"/>
      <c r="Y592" s="48"/>
      <c r="Z592" s="47"/>
      <c r="AA592" s="69">
        <v>592</v>
      </c>
      <c r="AB592" s="69"/>
      <c r="AC592" s="70"/>
      <c r="AD592" s="76" t="s">
        <v>22393</v>
      </c>
      <c r="AE592" s="81" t="s">
        <v>22974</v>
      </c>
      <c r="AF592" s="76">
        <v>1042</v>
      </c>
      <c r="AG592" s="76">
        <v>200</v>
      </c>
      <c r="AH592" s="76">
        <v>4661</v>
      </c>
      <c r="AI592" s="76">
        <v>128</v>
      </c>
      <c r="AJ592" s="76">
        <v>242</v>
      </c>
      <c r="AK592" s="76">
        <v>130</v>
      </c>
      <c r="AL592" s="76" t="b">
        <v>0</v>
      </c>
      <c r="AM592" s="78">
        <v>40020.034872685188</v>
      </c>
      <c r="AN592" s="76" t="s">
        <v>23231</v>
      </c>
      <c r="AO592" s="76" t="s">
        <v>23858</v>
      </c>
      <c r="AP592" s="83" t="str">
        <f>HYPERLINK("https://t.co/DQSnCOHCS0")</f>
        <v>https://t.co/DQSnCOHCS0</v>
      </c>
      <c r="AQ592" s="83" t="str">
        <f>HYPERLINK("https://rafaelcarvalho.tv")</f>
        <v>https://rafaelcarvalho.tv</v>
      </c>
      <c r="AR592" s="76" t="s">
        <v>7402</v>
      </c>
      <c r="AS592" s="76"/>
      <c r="AT592" s="76"/>
      <c r="AU592" s="76"/>
      <c r="AV592" s="76"/>
      <c r="AW592" s="83" t="str">
        <f>HYPERLINK("https://t.co/DQSnCOHCS0")</f>
        <v>https://t.co/DQSnCOHCS0</v>
      </c>
      <c r="AX592" s="76" t="b">
        <v>0</v>
      </c>
      <c r="AY592" s="76"/>
      <c r="AZ592" s="76"/>
      <c r="BA592" s="76" t="b">
        <v>0</v>
      </c>
      <c r="BB592" s="76" t="b">
        <v>1</v>
      </c>
      <c r="BC592" s="76" t="b">
        <v>0</v>
      </c>
      <c r="BD592" s="76" t="b">
        <v>0</v>
      </c>
      <c r="BE592" s="76" t="b">
        <v>0</v>
      </c>
      <c r="BF592" s="76" t="b">
        <v>0</v>
      </c>
      <c r="BG592" s="76" t="b">
        <v>1</v>
      </c>
      <c r="BH592" s="83" t="str">
        <f>HYPERLINK("https://pbs.twimg.com/profile_banners/60191703/1595164665")</f>
        <v>https://pbs.twimg.com/profile_banners/60191703/1595164665</v>
      </c>
      <c r="BI592" s="76"/>
      <c r="BJ592" s="76" t="s">
        <v>24935</v>
      </c>
      <c r="BK592" s="76" t="b">
        <v>0</v>
      </c>
      <c r="BL592" s="76"/>
      <c r="BM592" s="76" t="s">
        <v>66</v>
      </c>
      <c r="BN592" s="76" t="s">
        <v>24937</v>
      </c>
      <c r="BO592" s="83" t="str">
        <f>HYPERLINK("https://twitter.com/carvalho_rafael")</f>
        <v>https://twitter.com/carvalho_rafael</v>
      </c>
      <c r="BP592" s="2"/>
    </row>
    <row r="593" spans="1:68" x14ac:dyDescent="0.25">
      <c r="A593" s="62" t="s">
        <v>787</v>
      </c>
      <c r="B593" s="63"/>
      <c r="C593" s="63"/>
      <c r="D593" s="64"/>
      <c r="E593" s="66"/>
      <c r="F593" s="102" t="str">
        <f>HYPERLINK("https://pbs.twimg.com/profile_images/1528202434249646081/obWi78PN_normal.jpg")</f>
        <v>https://pbs.twimg.com/profile_images/1528202434249646081/obWi78PN_normal.jpg</v>
      </c>
      <c r="G593" s="63"/>
      <c r="H593" s="67"/>
      <c r="I593" s="68"/>
      <c r="J593" s="68"/>
      <c r="K593" s="67" t="s">
        <v>25527</v>
      </c>
      <c r="L593" s="71"/>
      <c r="M593" s="72"/>
      <c r="N593" s="72"/>
      <c r="O593" s="73"/>
      <c r="P593" s="74"/>
      <c r="Q593" s="74"/>
      <c r="R593" s="86"/>
      <c r="S593" s="86"/>
      <c r="T593" s="86"/>
      <c r="U593" s="86"/>
      <c r="V593" s="48"/>
      <c r="W593" s="48"/>
      <c r="X593" s="48"/>
      <c r="Y593" s="48"/>
      <c r="Z593" s="47"/>
      <c r="AA593" s="69">
        <v>593</v>
      </c>
      <c r="AB593" s="69"/>
      <c r="AC593" s="70"/>
      <c r="AD593" s="76" t="s">
        <v>22394</v>
      </c>
      <c r="AE593" s="81" t="s">
        <v>21430</v>
      </c>
      <c r="AF593" s="76">
        <v>10</v>
      </c>
      <c r="AG593" s="76">
        <v>232</v>
      </c>
      <c r="AH593" s="76">
        <v>150</v>
      </c>
      <c r="AI593" s="76">
        <v>0</v>
      </c>
      <c r="AJ593" s="76">
        <v>225</v>
      </c>
      <c r="AK593" s="76">
        <v>31</v>
      </c>
      <c r="AL593" s="76" t="b">
        <v>0</v>
      </c>
      <c r="AM593" s="78">
        <v>44703.106793981482</v>
      </c>
      <c r="AN593" s="76"/>
      <c r="AO593" s="76" t="s">
        <v>23859</v>
      </c>
      <c r="AP593" s="83" t="str">
        <f>HYPERLINK("https://t.co/ADGOSXg5WN")</f>
        <v>https://t.co/ADGOSXg5WN</v>
      </c>
      <c r="AQ593" s="83" t="str">
        <f>HYPERLINK("http://bit.ly/Fórmula-Feo")</f>
        <v>http://bit.ly/Fórmula-Feo</v>
      </c>
      <c r="AR593" s="76" t="s">
        <v>24583</v>
      </c>
      <c r="AS593" s="76"/>
      <c r="AT593" s="76"/>
      <c r="AU593" s="76"/>
      <c r="AV593" s="76">
        <v>1.57992185513761E+18</v>
      </c>
      <c r="AW593" s="83" t="str">
        <f>HYPERLINK("https://t.co/ADGOSXg5WN")</f>
        <v>https://t.co/ADGOSXg5WN</v>
      </c>
      <c r="AX593" s="76" t="b">
        <v>0</v>
      </c>
      <c r="AY593" s="76"/>
      <c r="AZ593" s="76"/>
      <c r="BA593" s="76" t="b">
        <v>0</v>
      </c>
      <c r="BB593" s="76" t="b">
        <v>1</v>
      </c>
      <c r="BC593" s="76" t="b">
        <v>1</v>
      </c>
      <c r="BD593" s="76" t="b">
        <v>0</v>
      </c>
      <c r="BE593" s="76" t="b">
        <v>1</v>
      </c>
      <c r="BF593" s="76" t="b">
        <v>0</v>
      </c>
      <c r="BG593" s="76" t="b">
        <v>0</v>
      </c>
      <c r="BH593" s="83" t="str">
        <f>HYPERLINK("https://pbs.twimg.com/profile_banners/1528202277751750656/1685544078")</f>
        <v>https://pbs.twimg.com/profile_banners/1528202277751750656/1685544078</v>
      </c>
      <c r="BI593" s="76"/>
      <c r="BJ593" s="76" t="s">
        <v>24935</v>
      </c>
      <c r="BK593" s="76" t="b">
        <v>0</v>
      </c>
      <c r="BL593" s="76"/>
      <c r="BM593" s="76" t="s">
        <v>66</v>
      </c>
      <c r="BN593" s="76" t="s">
        <v>24937</v>
      </c>
      <c r="BO593" s="83" t="str">
        <f>HYPERLINK("https://twitter.com/cvendas011")</f>
        <v>https://twitter.com/cvendas011</v>
      </c>
      <c r="BP593" s="2"/>
    </row>
    <row r="594" spans="1:68" x14ac:dyDescent="0.25">
      <c r="A594" s="62" t="s">
        <v>788</v>
      </c>
      <c r="B594" s="63"/>
      <c r="C594" s="63"/>
      <c r="D594" s="64"/>
      <c r="E594" s="66"/>
      <c r="F594" s="102" t="str">
        <f>HYPERLINK("https://pbs.twimg.com/profile_images/1461456235308404740/D3elQ9u7_normal.jpg")</f>
        <v>https://pbs.twimg.com/profile_images/1461456235308404740/D3elQ9u7_normal.jpg</v>
      </c>
      <c r="G594" s="63"/>
      <c r="H594" s="67"/>
      <c r="I594" s="68"/>
      <c r="J594" s="68"/>
      <c r="K594" s="67" t="s">
        <v>25528</v>
      </c>
      <c r="L594" s="71"/>
      <c r="M594" s="72"/>
      <c r="N594" s="72"/>
      <c r="O594" s="73"/>
      <c r="P594" s="74"/>
      <c r="Q594" s="74"/>
      <c r="R594" s="86"/>
      <c r="S594" s="86"/>
      <c r="T594" s="86"/>
      <c r="U594" s="86"/>
      <c r="V594" s="48"/>
      <c r="W594" s="48"/>
      <c r="X594" s="48"/>
      <c r="Y594" s="48"/>
      <c r="Z594" s="47"/>
      <c r="AA594" s="69">
        <v>594</v>
      </c>
      <c r="AB594" s="69"/>
      <c r="AC594" s="70"/>
      <c r="AD594" s="76" t="s">
        <v>22395</v>
      </c>
      <c r="AE594" s="81" t="s">
        <v>22975</v>
      </c>
      <c r="AF594" s="76">
        <v>568</v>
      </c>
      <c r="AG594" s="76">
        <v>1025</v>
      </c>
      <c r="AH594" s="76">
        <v>11504</v>
      </c>
      <c r="AI594" s="76">
        <v>1</v>
      </c>
      <c r="AJ594" s="76">
        <v>73860</v>
      </c>
      <c r="AK594" s="76">
        <v>1860</v>
      </c>
      <c r="AL594" s="76" t="b">
        <v>0</v>
      </c>
      <c r="AM594" s="78">
        <v>41918.020543981482</v>
      </c>
      <c r="AN594" s="76" t="s">
        <v>23232</v>
      </c>
      <c r="AO594" s="76" t="s">
        <v>23860</v>
      </c>
      <c r="AP594" s="76"/>
      <c r="AQ594" s="76"/>
      <c r="AR594" s="76"/>
      <c r="AS594" s="76"/>
      <c r="AT594" s="76"/>
      <c r="AU594" s="76"/>
      <c r="AV594" s="76">
        <v>1.6294492976861499E+18</v>
      </c>
      <c r="AW594" s="76"/>
      <c r="AX594" s="76" t="b">
        <v>0</v>
      </c>
      <c r="AY594" s="76"/>
      <c r="AZ594" s="76"/>
      <c r="BA594" s="76" t="b">
        <v>0</v>
      </c>
      <c r="BB594" s="76" t="b">
        <v>0</v>
      </c>
      <c r="BC594" s="76" t="b">
        <v>1</v>
      </c>
      <c r="BD594" s="76" t="b">
        <v>0</v>
      </c>
      <c r="BE594" s="76" t="b">
        <v>1</v>
      </c>
      <c r="BF594" s="76" t="b">
        <v>0</v>
      </c>
      <c r="BG594" s="76" t="b">
        <v>0</v>
      </c>
      <c r="BH594" s="83" t="str">
        <f>HYPERLINK("https://pbs.twimg.com/profile_banners/2809333119/1630498716")</f>
        <v>https://pbs.twimg.com/profile_banners/2809333119/1630498716</v>
      </c>
      <c r="BI594" s="76"/>
      <c r="BJ594" s="76" t="s">
        <v>24935</v>
      </c>
      <c r="BK594" s="76" t="b">
        <v>0</v>
      </c>
      <c r="BL594" s="76"/>
      <c r="BM594" s="76" t="s">
        <v>66</v>
      </c>
      <c r="BN594" s="76" t="s">
        <v>24937</v>
      </c>
      <c r="BO594" s="83" t="str">
        <f>HYPERLINK("https://twitter.com/qqcleber")</f>
        <v>https://twitter.com/qqcleber</v>
      </c>
      <c r="BP594" s="2"/>
    </row>
    <row r="595" spans="1:68" x14ac:dyDescent="0.25">
      <c r="A595" s="62" t="s">
        <v>1264</v>
      </c>
      <c r="B595" s="63"/>
      <c r="C595" s="63"/>
      <c r="D595" s="64"/>
      <c r="E595" s="66"/>
      <c r="F595" s="102" t="str">
        <f>HYPERLINK("https://abs.twimg.com/sticky/default_profile_images/default_profile_normal.png")</f>
        <v>https://abs.twimg.com/sticky/default_profile_images/default_profile_normal.png</v>
      </c>
      <c r="G595" s="63"/>
      <c r="H595" s="67"/>
      <c r="I595" s="68"/>
      <c r="J595" s="68"/>
      <c r="K595" s="67" t="s">
        <v>25529</v>
      </c>
      <c r="L595" s="71"/>
      <c r="M595" s="72"/>
      <c r="N595" s="72"/>
      <c r="O595" s="73"/>
      <c r="P595" s="74"/>
      <c r="Q595" s="74"/>
      <c r="R595" s="86"/>
      <c r="S595" s="86"/>
      <c r="T595" s="86"/>
      <c r="U595" s="86"/>
      <c r="V595" s="48"/>
      <c r="W595" s="48"/>
      <c r="X595" s="48"/>
      <c r="Y595" s="48"/>
      <c r="Z595" s="47"/>
      <c r="AA595" s="69">
        <v>595</v>
      </c>
      <c r="AB595" s="69"/>
      <c r="AC595" s="70"/>
      <c r="AD595" s="76" t="s">
        <v>22396</v>
      </c>
      <c r="AE595" s="81" t="s">
        <v>22976</v>
      </c>
      <c r="AF595" s="76">
        <v>10</v>
      </c>
      <c r="AG595" s="76">
        <v>0</v>
      </c>
      <c r="AH595" s="76">
        <v>0</v>
      </c>
      <c r="AI595" s="76">
        <v>0</v>
      </c>
      <c r="AJ595" s="76">
        <v>0</v>
      </c>
      <c r="AK595" s="76">
        <v>0</v>
      </c>
      <c r="AL595" s="76" t="b">
        <v>0</v>
      </c>
      <c r="AM595" s="78">
        <v>40935.788206018522</v>
      </c>
      <c r="AN595" s="76"/>
      <c r="AO595" s="76"/>
      <c r="AP595" s="76"/>
      <c r="AQ595" s="76"/>
      <c r="AR595" s="76"/>
      <c r="AS595" s="76"/>
      <c r="AT595" s="76"/>
      <c r="AU595" s="76"/>
      <c r="AV595" s="76"/>
      <c r="AW595" s="76"/>
      <c r="AX595" s="76" t="b">
        <v>0</v>
      </c>
      <c r="AY595" s="76"/>
      <c r="AZ595" s="76"/>
      <c r="BA595" s="76" t="b">
        <v>0</v>
      </c>
      <c r="BB595" s="76" t="b">
        <v>1</v>
      </c>
      <c r="BC595" s="76" t="b">
        <v>1</v>
      </c>
      <c r="BD595" s="76" t="b">
        <v>1</v>
      </c>
      <c r="BE595" s="76" t="b">
        <v>0</v>
      </c>
      <c r="BF595" s="76" t="b">
        <v>0</v>
      </c>
      <c r="BG595" s="76" t="b">
        <v>0</v>
      </c>
      <c r="BH595" s="76"/>
      <c r="BI595" s="76"/>
      <c r="BJ595" s="76" t="s">
        <v>24935</v>
      </c>
      <c r="BK595" s="76" t="b">
        <v>0</v>
      </c>
      <c r="BL595" s="76"/>
      <c r="BM595" s="76" t="s">
        <v>65</v>
      </c>
      <c r="BN595" s="76" t="s">
        <v>24937</v>
      </c>
      <c r="BO595" s="83" t="str">
        <f>HYPERLINK("https://twitter.com/jonvlog")</f>
        <v>https://twitter.com/jonvlog</v>
      </c>
      <c r="BP595" s="2"/>
    </row>
    <row r="596" spans="1:68" x14ac:dyDescent="0.25">
      <c r="A596" s="62" t="s">
        <v>789</v>
      </c>
      <c r="B596" s="63"/>
      <c r="C596" s="63"/>
      <c r="D596" s="64"/>
      <c r="E596" s="66"/>
      <c r="F596" s="102" t="str">
        <f>HYPERLINK("https://pbs.twimg.com/profile_images/1640423195508391962/OAiXaMQn_normal.jpg")</f>
        <v>https://pbs.twimg.com/profile_images/1640423195508391962/OAiXaMQn_normal.jpg</v>
      </c>
      <c r="G596" s="63"/>
      <c r="H596" s="67"/>
      <c r="I596" s="68"/>
      <c r="J596" s="68"/>
      <c r="K596" s="67" t="s">
        <v>25530</v>
      </c>
      <c r="L596" s="71"/>
      <c r="M596" s="72"/>
      <c r="N596" s="72"/>
      <c r="O596" s="73"/>
      <c r="P596" s="74"/>
      <c r="Q596" s="74"/>
      <c r="R596" s="86"/>
      <c r="S596" s="86"/>
      <c r="T596" s="86"/>
      <c r="U596" s="86"/>
      <c r="V596" s="48"/>
      <c r="W596" s="48"/>
      <c r="X596" s="48"/>
      <c r="Y596" s="48"/>
      <c r="Z596" s="47"/>
      <c r="AA596" s="69">
        <v>596</v>
      </c>
      <c r="AB596" s="69"/>
      <c r="AC596" s="70"/>
      <c r="AD596" s="76" t="s">
        <v>22397</v>
      </c>
      <c r="AE596" s="81" t="s">
        <v>21431</v>
      </c>
      <c r="AF596" s="76">
        <v>10</v>
      </c>
      <c r="AG596" s="76">
        <v>69</v>
      </c>
      <c r="AH596" s="76">
        <v>4</v>
      </c>
      <c r="AI596" s="76">
        <v>0</v>
      </c>
      <c r="AJ596" s="76">
        <v>1</v>
      </c>
      <c r="AK596" s="76">
        <v>4</v>
      </c>
      <c r="AL596" s="76" t="b">
        <v>0</v>
      </c>
      <c r="AM596" s="78">
        <v>45011.517997685187</v>
      </c>
      <c r="AN596" s="76"/>
      <c r="AO596" s="76"/>
      <c r="AP596" s="76"/>
      <c r="AQ596" s="76"/>
      <c r="AR596" s="76"/>
      <c r="AS596" s="76"/>
      <c r="AT596" s="76"/>
      <c r="AU596" s="76"/>
      <c r="AV596" s="76"/>
      <c r="AW596" s="76"/>
      <c r="AX596" s="76" t="b">
        <v>0</v>
      </c>
      <c r="AY596" s="76"/>
      <c r="AZ596" s="76"/>
      <c r="BA596" s="76" t="b">
        <v>0</v>
      </c>
      <c r="BB596" s="76" t="b">
        <v>1</v>
      </c>
      <c r="BC596" s="76" t="b">
        <v>1</v>
      </c>
      <c r="BD596" s="76" t="b">
        <v>0</v>
      </c>
      <c r="BE596" s="76" t="b">
        <v>0</v>
      </c>
      <c r="BF596" s="76" t="b">
        <v>0</v>
      </c>
      <c r="BG596" s="76" t="b">
        <v>0</v>
      </c>
      <c r="BH596" s="83" t="str">
        <f>HYPERLINK("https://pbs.twimg.com/profile_banners/1639966787105173506/1679942341")</f>
        <v>https://pbs.twimg.com/profile_banners/1639966787105173506/1679942341</v>
      </c>
      <c r="BI596" s="76"/>
      <c r="BJ596" s="76" t="s">
        <v>24935</v>
      </c>
      <c r="BK596" s="76" t="b">
        <v>0</v>
      </c>
      <c r="BL596" s="76"/>
      <c r="BM596" s="76" t="s">
        <v>66</v>
      </c>
      <c r="BN596" s="76" t="s">
        <v>24937</v>
      </c>
      <c r="BO596" s="83" t="str">
        <f>HYPERLINK("https://twitter.com/joaoeva11725348")</f>
        <v>https://twitter.com/joaoeva11725348</v>
      </c>
      <c r="BP596" s="2"/>
    </row>
    <row r="597" spans="1:68" x14ac:dyDescent="0.25">
      <c r="A597" s="62" t="s">
        <v>790</v>
      </c>
      <c r="B597" s="63"/>
      <c r="C597" s="63"/>
      <c r="D597" s="64"/>
      <c r="E597" s="66"/>
      <c r="F597" s="102" t="str">
        <f>HYPERLINK("https://pbs.twimg.com/profile_images/1701569064882040832/N90u-8nV_normal.jpg")</f>
        <v>https://pbs.twimg.com/profile_images/1701569064882040832/N90u-8nV_normal.jpg</v>
      </c>
      <c r="G597" s="63"/>
      <c r="H597" s="67"/>
      <c r="I597" s="68"/>
      <c r="J597" s="68"/>
      <c r="K597" s="67" t="s">
        <v>25531</v>
      </c>
      <c r="L597" s="71"/>
      <c r="M597" s="72"/>
      <c r="N597" s="72"/>
      <c r="O597" s="73"/>
      <c r="P597" s="74"/>
      <c r="Q597" s="74"/>
      <c r="R597" s="86"/>
      <c r="S597" s="86"/>
      <c r="T597" s="86"/>
      <c r="U597" s="86"/>
      <c r="V597" s="48"/>
      <c r="W597" s="48"/>
      <c r="X597" s="48"/>
      <c r="Y597" s="48"/>
      <c r="Z597" s="47"/>
      <c r="AA597" s="69">
        <v>597</v>
      </c>
      <c r="AB597" s="69"/>
      <c r="AC597" s="70"/>
      <c r="AD597" s="76" t="s">
        <v>22398</v>
      </c>
      <c r="AE597" s="81" t="s">
        <v>21432</v>
      </c>
      <c r="AF597" s="76">
        <v>0</v>
      </c>
      <c r="AG597" s="76">
        <v>16</v>
      </c>
      <c r="AH597" s="76">
        <v>5</v>
      </c>
      <c r="AI597" s="76">
        <v>0</v>
      </c>
      <c r="AJ597" s="76">
        <v>0</v>
      </c>
      <c r="AK597" s="76">
        <v>5</v>
      </c>
      <c r="AL597" s="76" t="b">
        <v>0</v>
      </c>
      <c r="AM597" s="78">
        <v>45181.503888888888</v>
      </c>
      <c r="AN597" s="76"/>
      <c r="AO597" s="76" t="s">
        <v>23861</v>
      </c>
      <c r="AP597" s="83" t="str">
        <f>HYPERLINK("https://t.co/xZG2uqJpVX")</f>
        <v>https://t.co/xZG2uqJpVX</v>
      </c>
      <c r="AQ597" s="83" t="str">
        <f>HYPERLINK("https://pay.hotmart.com/M86634919E?off=ugmgus9p&amp;checkoutMode=10")</f>
        <v>https://pay.hotmart.com/M86634919E?off=ugmgus9p&amp;checkoutMode=10</v>
      </c>
      <c r="AR597" s="76" t="s">
        <v>24584</v>
      </c>
      <c r="AS597" s="76"/>
      <c r="AT597" s="76"/>
      <c r="AU597" s="76"/>
      <c r="AV597" s="76"/>
      <c r="AW597" s="83" t="str">
        <f>HYPERLINK("https://t.co/xZG2uqJpVX")</f>
        <v>https://t.co/xZG2uqJpVX</v>
      </c>
      <c r="AX597" s="76" t="b">
        <v>0</v>
      </c>
      <c r="AY597" s="76"/>
      <c r="AZ597" s="76"/>
      <c r="BA597" s="76" t="b">
        <v>0</v>
      </c>
      <c r="BB597" s="76" t="b">
        <v>1</v>
      </c>
      <c r="BC597" s="76" t="b">
        <v>1</v>
      </c>
      <c r="BD597" s="76" t="b">
        <v>0</v>
      </c>
      <c r="BE597" s="76" t="b">
        <v>0</v>
      </c>
      <c r="BF597" s="76" t="b">
        <v>0</v>
      </c>
      <c r="BG597" s="76" t="b">
        <v>0</v>
      </c>
      <c r="BH597" s="76"/>
      <c r="BI597" s="76"/>
      <c r="BJ597" s="76" t="s">
        <v>24935</v>
      </c>
      <c r="BK597" s="76" t="b">
        <v>0</v>
      </c>
      <c r="BL597" s="76"/>
      <c r="BM597" s="76" t="s">
        <v>66</v>
      </c>
      <c r="BN597" s="76" t="s">
        <v>24937</v>
      </c>
      <c r="BO597" s="83" t="str">
        <f>HYPERLINK("https://twitter.com/mentemilionar23")</f>
        <v>https://twitter.com/mentemilionar23</v>
      </c>
      <c r="BP597" s="2"/>
    </row>
    <row r="598" spans="1:68" x14ac:dyDescent="0.25">
      <c r="A598" s="62" t="s">
        <v>791</v>
      </c>
      <c r="B598" s="63"/>
      <c r="C598" s="63"/>
      <c r="D598" s="64"/>
      <c r="E598" s="66"/>
      <c r="F598" s="102" t="str">
        <f>HYPERLINK("https://pbs.twimg.com/profile_images/1505689343188418562/VKrnMfQD_normal.jpg")</f>
        <v>https://pbs.twimg.com/profile_images/1505689343188418562/VKrnMfQD_normal.jpg</v>
      </c>
      <c r="G598" s="63"/>
      <c r="H598" s="67"/>
      <c r="I598" s="68"/>
      <c r="J598" s="68"/>
      <c r="K598" s="67" t="s">
        <v>25532</v>
      </c>
      <c r="L598" s="71"/>
      <c r="M598" s="72"/>
      <c r="N598" s="72"/>
      <c r="O598" s="73"/>
      <c r="P598" s="74"/>
      <c r="Q598" s="74"/>
      <c r="R598" s="86"/>
      <c r="S598" s="86"/>
      <c r="T598" s="86"/>
      <c r="U598" s="86"/>
      <c r="V598" s="48"/>
      <c r="W598" s="48"/>
      <c r="X598" s="48"/>
      <c r="Y598" s="48"/>
      <c r="Z598" s="47"/>
      <c r="AA598" s="69">
        <v>598</v>
      </c>
      <c r="AB598" s="69"/>
      <c r="AC598" s="70"/>
      <c r="AD598" s="76" t="s">
        <v>22399</v>
      </c>
      <c r="AE598" s="81" t="s">
        <v>22977</v>
      </c>
      <c r="AF598" s="76">
        <v>45</v>
      </c>
      <c r="AG598" s="76">
        <v>434</v>
      </c>
      <c r="AH598" s="76">
        <v>635</v>
      </c>
      <c r="AI598" s="76">
        <v>5</v>
      </c>
      <c r="AJ598" s="76">
        <v>673</v>
      </c>
      <c r="AK598" s="76">
        <v>37</v>
      </c>
      <c r="AL598" s="76" t="b">
        <v>0</v>
      </c>
      <c r="AM598" s="78">
        <v>42374.622974537036</v>
      </c>
      <c r="AN598" s="76" t="s">
        <v>23233</v>
      </c>
      <c r="AO598" s="76" t="s">
        <v>23862</v>
      </c>
      <c r="AP598" s="83" t="str">
        <f>HYPERLINK("https://t.co/d2miN058VM")</f>
        <v>https://t.co/d2miN058VM</v>
      </c>
      <c r="AQ598" s="83" t="str">
        <f>HYPERLINK("http://noitesclarasescuraseram.worpdress.com")</f>
        <v>http://noitesclarasescuraseram.worpdress.com</v>
      </c>
      <c r="AR598" s="76" t="s">
        <v>24585</v>
      </c>
      <c r="AS598" s="76"/>
      <c r="AT598" s="76"/>
      <c r="AU598" s="76"/>
      <c r="AV598" s="76"/>
      <c r="AW598" s="83" t="str">
        <f>HYPERLINK("https://t.co/d2miN058VM")</f>
        <v>https://t.co/d2miN058VM</v>
      </c>
      <c r="AX598" s="76" t="b">
        <v>0</v>
      </c>
      <c r="AY598" s="76"/>
      <c r="AZ598" s="76"/>
      <c r="BA598" s="76" t="b">
        <v>0</v>
      </c>
      <c r="BB598" s="76" t="b">
        <v>1</v>
      </c>
      <c r="BC598" s="76" t="b">
        <v>1</v>
      </c>
      <c r="BD598" s="76" t="b">
        <v>0</v>
      </c>
      <c r="BE598" s="76" t="b">
        <v>0</v>
      </c>
      <c r="BF598" s="76" t="b">
        <v>0</v>
      </c>
      <c r="BG598" s="76" t="b">
        <v>0</v>
      </c>
      <c r="BH598" s="83" t="str">
        <f>HYPERLINK("https://pbs.twimg.com/profile_banners/4715625135/1644727415")</f>
        <v>https://pbs.twimg.com/profile_banners/4715625135/1644727415</v>
      </c>
      <c r="BI598" s="76"/>
      <c r="BJ598" s="76" t="s">
        <v>24935</v>
      </c>
      <c r="BK598" s="76" t="b">
        <v>0</v>
      </c>
      <c r="BL598" s="76"/>
      <c r="BM598" s="76" t="s">
        <v>66</v>
      </c>
      <c r="BN598" s="76" t="s">
        <v>24937</v>
      </c>
      <c r="BO598" s="83" t="str">
        <f>HYPERLINK("https://twitter.com/ric_darkland")</f>
        <v>https://twitter.com/ric_darkland</v>
      </c>
      <c r="BP598" s="2"/>
    </row>
    <row r="599" spans="1:68" x14ac:dyDescent="0.25">
      <c r="A599" s="62" t="s">
        <v>792</v>
      </c>
      <c r="B599" s="63"/>
      <c r="C599" s="63"/>
      <c r="D599" s="64"/>
      <c r="E599" s="66"/>
      <c r="F599" s="102" t="str">
        <f>HYPERLINK("https://pbs.twimg.com/profile_images/1119241453807505408/Cq3JEHDn_normal.jpg")</f>
        <v>https://pbs.twimg.com/profile_images/1119241453807505408/Cq3JEHDn_normal.jpg</v>
      </c>
      <c r="G599" s="63"/>
      <c r="H599" s="67"/>
      <c r="I599" s="68"/>
      <c r="J599" s="68"/>
      <c r="K599" s="67" t="s">
        <v>25533</v>
      </c>
      <c r="L599" s="71"/>
      <c r="M599" s="72"/>
      <c r="N599" s="72"/>
      <c r="O599" s="73"/>
      <c r="P599" s="74"/>
      <c r="Q599" s="74"/>
      <c r="R599" s="86"/>
      <c r="S599" s="86"/>
      <c r="T599" s="86"/>
      <c r="U599" s="86"/>
      <c r="V599" s="48"/>
      <c r="W599" s="48"/>
      <c r="X599" s="48"/>
      <c r="Y599" s="48"/>
      <c r="Z599" s="47"/>
      <c r="AA599" s="69">
        <v>599</v>
      </c>
      <c r="AB599" s="69"/>
      <c r="AC599" s="70"/>
      <c r="AD599" s="76" t="s">
        <v>22400</v>
      </c>
      <c r="AE599" s="81" t="s">
        <v>21433</v>
      </c>
      <c r="AF599" s="76">
        <v>11</v>
      </c>
      <c r="AG599" s="76">
        <v>120</v>
      </c>
      <c r="AH599" s="76">
        <v>11</v>
      </c>
      <c r="AI599" s="76">
        <v>0</v>
      </c>
      <c r="AJ599" s="76">
        <v>7</v>
      </c>
      <c r="AK599" s="76">
        <v>4</v>
      </c>
      <c r="AL599" s="76" t="b">
        <v>0</v>
      </c>
      <c r="AM599" s="78">
        <v>42477.035254629627</v>
      </c>
      <c r="AN599" s="76" t="s">
        <v>23234</v>
      </c>
      <c r="AO599" s="76" t="s">
        <v>23863</v>
      </c>
      <c r="AP599" s="76"/>
      <c r="AQ599" s="76"/>
      <c r="AR599" s="76"/>
      <c r="AS599" s="76"/>
      <c r="AT599" s="76"/>
      <c r="AU599" s="76"/>
      <c r="AV599" s="76"/>
      <c r="AW599" s="76"/>
      <c r="AX599" s="76" t="b">
        <v>0</v>
      </c>
      <c r="AY599" s="76"/>
      <c r="AZ599" s="76"/>
      <c r="BA599" s="76" t="b">
        <v>1</v>
      </c>
      <c r="BB599" s="76" t="b">
        <v>1</v>
      </c>
      <c r="BC599" s="76" t="b">
        <v>1</v>
      </c>
      <c r="BD599" s="76" t="b">
        <v>0</v>
      </c>
      <c r="BE599" s="76" t="b">
        <v>0</v>
      </c>
      <c r="BF599" s="76" t="b">
        <v>0</v>
      </c>
      <c r="BG599" s="76" t="b">
        <v>0</v>
      </c>
      <c r="BH599" s="76"/>
      <c r="BI599" s="76"/>
      <c r="BJ599" s="76" t="s">
        <v>24935</v>
      </c>
      <c r="BK599" s="76" t="b">
        <v>0</v>
      </c>
      <c r="BL599" s="76"/>
      <c r="BM599" s="76" t="s">
        <v>66</v>
      </c>
      <c r="BN599" s="76" t="s">
        <v>24937</v>
      </c>
      <c r="BO599" s="83" t="str">
        <f>HYPERLINK("https://twitter.com/sandriellysan20")</f>
        <v>https://twitter.com/sandriellysan20</v>
      </c>
      <c r="BP599" s="2"/>
    </row>
    <row r="600" spans="1:68" x14ac:dyDescent="0.25">
      <c r="A600" s="62" t="s">
        <v>793</v>
      </c>
      <c r="B600" s="63"/>
      <c r="C600" s="63"/>
      <c r="D600" s="64"/>
      <c r="E600" s="66"/>
      <c r="F600" s="102" t="str">
        <f>HYPERLINK("https://pbs.twimg.com/profile_images/1695422780001402880/nHs470PG_normal.jpg")</f>
        <v>https://pbs.twimg.com/profile_images/1695422780001402880/nHs470PG_normal.jpg</v>
      </c>
      <c r="G600" s="63"/>
      <c r="H600" s="67"/>
      <c r="I600" s="68"/>
      <c r="J600" s="68"/>
      <c r="K600" s="67" t="s">
        <v>25534</v>
      </c>
      <c r="L600" s="71"/>
      <c r="M600" s="72"/>
      <c r="N600" s="72"/>
      <c r="O600" s="73"/>
      <c r="P600" s="74"/>
      <c r="Q600" s="74"/>
      <c r="R600" s="86"/>
      <c r="S600" s="86"/>
      <c r="T600" s="86"/>
      <c r="U600" s="86"/>
      <c r="V600" s="48"/>
      <c r="W600" s="48"/>
      <c r="X600" s="48"/>
      <c r="Y600" s="48"/>
      <c r="Z600" s="47"/>
      <c r="AA600" s="69">
        <v>600</v>
      </c>
      <c r="AB600" s="69"/>
      <c r="AC600" s="70"/>
      <c r="AD600" s="76" t="s">
        <v>22401</v>
      </c>
      <c r="AE600" s="81" t="s">
        <v>21434</v>
      </c>
      <c r="AF600" s="76">
        <v>150</v>
      </c>
      <c r="AG600" s="76">
        <v>413</v>
      </c>
      <c r="AH600" s="76">
        <v>3571</v>
      </c>
      <c r="AI600" s="76">
        <v>3</v>
      </c>
      <c r="AJ600" s="76">
        <v>2077</v>
      </c>
      <c r="AK600" s="76">
        <v>1153</v>
      </c>
      <c r="AL600" s="76" t="b">
        <v>0</v>
      </c>
      <c r="AM600" s="78">
        <v>42826.653634259259</v>
      </c>
      <c r="AN600" s="76" t="s">
        <v>14040</v>
      </c>
      <c r="AO600" s="76" t="s">
        <v>23864</v>
      </c>
      <c r="AP600" s="83" t="str">
        <f>HYPERLINK("https://t.co/CWXio68JwC")</f>
        <v>https://t.co/CWXio68JwC</v>
      </c>
      <c r="AQ600" s="83" t="str">
        <f>HYPERLINK("https://www.appconectadigital.com/consultormiltonsantana/")</f>
        <v>https://www.appconectadigital.com/consultormiltonsantana/</v>
      </c>
      <c r="AR600" s="76" t="s">
        <v>24586</v>
      </c>
      <c r="AS600" s="76"/>
      <c r="AT600" s="76"/>
      <c r="AU600" s="76"/>
      <c r="AV600" s="76"/>
      <c r="AW600" s="83" t="str">
        <f>HYPERLINK("https://t.co/CWXio68JwC")</f>
        <v>https://t.co/CWXio68JwC</v>
      </c>
      <c r="AX600" s="76" t="b">
        <v>0</v>
      </c>
      <c r="AY600" s="76"/>
      <c r="AZ600" s="76"/>
      <c r="BA600" s="76" t="b">
        <v>1</v>
      </c>
      <c r="BB600" s="76" t="b">
        <v>1</v>
      </c>
      <c r="BC600" s="76" t="b">
        <v>0</v>
      </c>
      <c r="BD600" s="76" t="b">
        <v>0</v>
      </c>
      <c r="BE600" s="76" t="b">
        <v>1</v>
      </c>
      <c r="BF600" s="76" t="b">
        <v>0</v>
      </c>
      <c r="BG600" s="76" t="b">
        <v>0</v>
      </c>
      <c r="BH600" s="83" t="str">
        <f>HYPERLINK("https://pbs.twimg.com/profile_banners/848198577704886275/1695498505")</f>
        <v>https://pbs.twimg.com/profile_banners/848198577704886275/1695498505</v>
      </c>
      <c r="BI600" s="76"/>
      <c r="BJ600" s="76" t="s">
        <v>24935</v>
      </c>
      <c r="BK600" s="76" t="b">
        <v>0</v>
      </c>
      <c r="BL600" s="76"/>
      <c r="BM600" s="76" t="s">
        <v>66</v>
      </c>
      <c r="BN600" s="76" t="s">
        <v>24937</v>
      </c>
      <c r="BO600" s="83" t="str">
        <f>HYPERLINK("https://twitter.com/miltonsantana21")</f>
        <v>https://twitter.com/miltonsantana21</v>
      </c>
      <c r="BP600" s="2"/>
    </row>
    <row r="601" spans="1:68" x14ac:dyDescent="0.25">
      <c r="A601" s="62" t="s">
        <v>794</v>
      </c>
      <c r="B601" s="63"/>
      <c r="C601" s="63"/>
      <c r="D601" s="64"/>
      <c r="E601" s="66"/>
      <c r="F601" s="102" t="str">
        <f>HYPERLINK("https://pbs.twimg.com/profile_images/1686163904253046784/5__5tPf7_normal.jpg")</f>
        <v>https://pbs.twimg.com/profile_images/1686163904253046784/5__5tPf7_normal.jpg</v>
      </c>
      <c r="G601" s="63"/>
      <c r="H601" s="67"/>
      <c r="I601" s="68"/>
      <c r="J601" s="68"/>
      <c r="K601" s="67" t="s">
        <v>25535</v>
      </c>
      <c r="L601" s="71"/>
      <c r="M601" s="72"/>
      <c r="N601" s="72"/>
      <c r="O601" s="73"/>
      <c r="P601" s="74"/>
      <c r="Q601" s="74"/>
      <c r="R601" s="86"/>
      <c r="S601" s="86"/>
      <c r="T601" s="86"/>
      <c r="U601" s="86"/>
      <c r="V601" s="48"/>
      <c r="W601" s="48"/>
      <c r="X601" s="48"/>
      <c r="Y601" s="48"/>
      <c r="Z601" s="47"/>
      <c r="AA601" s="69">
        <v>601</v>
      </c>
      <c r="AB601" s="69"/>
      <c r="AC601" s="70"/>
      <c r="AD601" s="76" t="s">
        <v>22402</v>
      </c>
      <c r="AE601" s="81" t="s">
        <v>21435</v>
      </c>
      <c r="AF601" s="76">
        <v>0</v>
      </c>
      <c r="AG601" s="76">
        <v>2</v>
      </c>
      <c r="AH601" s="76">
        <v>7</v>
      </c>
      <c r="AI601" s="76">
        <v>0</v>
      </c>
      <c r="AJ601" s="76">
        <v>0</v>
      </c>
      <c r="AK601" s="76">
        <v>5</v>
      </c>
      <c r="AL601" s="76" t="b">
        <v>0</v>
      </c>
      <c r="AM601" s="78">
        <v>45138.975289351853</v>
      </c>
      <c r="AN601" s="76"/>
      <c r="AO601" s="76" t="s">
        <v>23865</v>
      </c>
      <c r="AP601" s="76"/>
      <c r="AQ601" s="76"/>
      <c r="AR601" s="76"/>
      <c r="AS601" s="83" t="str">
        <f>HYPERLINK("https://t.co/wlnEJELeK7")</f>
        <v>https://t.co/wlnEJELeK7</v>
      </c>
      <c r="AT601" s="83" t="str">
        <f>HYPERLINK("https://wa.me/558896628060")</f>
        <v>https://wa.me/558896628060</v>
      </c>
      <c r="AU601" s="76" t="s">
        <v>24891</v>
      </c>
      <c r="AV601" s="76"/>
      <c r="AW601" s="76"/>
      <c r="AX601" s="76" t="b">
        <v>0</v>
      </c>
      <c r="AY601" s="76"/>
      <c r="AZ601" s="76"/>
      <c r="BA601" s="76" t="b">
        <v>0</v>
      </c>
      <c r="BB601" s="76" t="b">
        <v>1</v>
      </c>
      <c r="BC601" s="76" t="b">
        <v>1</v>
      </c>
      <c r="BD601" s="76" t="b">
        <v>0</v>
      </c>
      <c r="BE601" s="76" t="b">
        <v>0</v>
      </c>
      <c r="BF601" s="76" t="b">
        <v>0</v>
      </c>
      <c r="BG601" s="76" t="b">
        <v>0</v>
      </c>
      <c r="BH601" s="76"/>
      <c r="BI601" s="76"/>
      <c r="BJ601" s="76" t="s">
        <v>24935</v>
      </c>
      <c r="BK601" s="76" t="b">
        <v>0</v>
      </c>
      <c r="BL601" s="76"/>
      <c r="BM601" s="76" t="s">
        <v>66</v>
      </c>
      <c r="BN601" s="76" t="s">
        <v>24937</v>
      </c>
      <c r="BO601" s="83" t="str">
        <f>HYPERLINK("https://twitter.com/alessandro39941")</f>
        <v>https://twitter.com/alessandro39941</v>
      </c>
      <c r="BP601" s="2"/>
    </row>
    <row r="602" spans="1:68" x14ac:dyDescent="0.25">
      <c r="A602" s="62" t="s">
        <v>795</v>
      </c>
      <c r="B602" s="63"/>
      <c r="C602" s="63"/>
      <c r="D602" s="64"/>
      <c r="E602" s="66"/>
      <c r="F602" s="102" t="str">
        <f>HYPERLINK("https://pbs.twimg.com/profile_images/929379214620491776/n1miEbML_normal.jpg")</f>
        <v>https://pbs.twimg.com/profile_images/929379214620491776/n1miEbML_normal.jpg</v>
      </c>
      <c r="G602" s="63"/>
      <c r="H602" s="67"/>
      <c r="I602" s="68"/>
      <c r="J602" s="68"/>
      <c r="K602" s="67" t="s">
        <v>25536</v>
      </c>
      <c r="L602" s="71"/>
      <c r="M602" s="72"/>
      <c r="N602" s="72"/>
      <c r="O602" s="73"/>
      <c r="P602" s="74"/>
      <c r="Q602" s="74"/>
      <c r="R602" s="86"/>
      <c r="S602" s="86"/>
      <c r="T602" s="86"/>
      <c r="U602" s="86"/>
      <c r="V602" s="48"/>
      <c r="W602" s="48"/>
      <c r="X602" s="48"/>
      <c r="Y602" s="48"/>
      <c r="Z602" s="47"/>
      <c r="AA602" s="69">
        <v>602</v>
      </c>
      <c r="AB602" s="69"/>
      <c r="AC602" s="70"/>
      <c r="AD602" s="76" t="s">
        <v>22403</v>
      </c>
      <c r="AE602" s="81" t="s">
        <v>21436</v>
      </c>
      <c r="AF602" s="76">
        <v>9</v>
      </c>
      <c r="AG602" s="76">
        <v>52</v>
      </c>
      <c r="AH602" s="76">
        <v>25</v>
      </c>
      <c r="AI602" s="76">
        <v>0</v>
      </c>
      <c r="AJ602" s="76">
        <v>50</v>
      </c>
      <c r="AK602" s="76">
        <v>3</v>
      </c>
      <c r="AL602" s="76" t="b">
        <v>0</v>
      </c>
      <c r="AM602" s="78">
        <v>43050.660624999997</v>
      </c>
      <c r="AN602" s="76" t="s">
        <v>14065</v>
      </c>
      <c r="AO602" s="76" t="s">
        <v>23866</v>
      </c>
      <c r="AP602" s="76"/>
      <c r="AQ602" s="76"/>
      <c r="AR602" s="76"/>
      <c r="AS602" s="76"/>
      <c r="AT602" s="76"/>
      <c r="AU602" s="76"/>
      <c r="AV602" s="76"/>
      <c r="AW602" s="76"/>
      <c r="AX602" s="76" t="b">
        <v>0</v>
      </c>
      <c r="AY602" s="76"/>
      <c r="AZ602" s="76"/>
      <c r="BA602" s="76" t="b">
        <v>0</v>
      </c>
      <c r="BB602" s="76" t="b">
        <v>1</v>
      </c>
      <c r="BC602" s="76" t="b">
        <v>1</v>
      </c>
      <c r="BD602" s="76" t="b">
        <v>0</v>
      </c>
      <c r="BE602" s="76" t="b">
        <v>1</v>
      </c>
      <c r="BF602" s="76" t="b">
        <v>0</v>
      </c>
      <c r="BG602" s="76" t="b">
        <v>0</v>
      </c>
      <c r="BH602" s="83" t="str">
        <f>HYPERLINK("https://pbs.twimg.com/profile_banners/929375991125995520/1687575413")</f>
        <v>https://pbs.twimg.com/profile_banners/929375991125995520/1687575413</v>
      </c>
      <c r="BI602" s="76"/>
      <c r="BJ602" s="76" t="s">
        <v>24935</v>
      </c>
      <c r="BK602" s="76" t="b">
        <v>0</v>
      </c>
      <c r="BL602" s="76"/>
      <c r="BM602" s="76" t="s">
        <v>66</v>
      </c>
      <c r="BN602" s="76" t="s">
        <v>24937</v>
      </c>
      <c r="BO602" s="83" t="str">
        <f>HYPERLINK("https://twitter.com/bebelli_chris")</f>
        <v>https://twitter.com/bebelli_chris</v>
      </c>
      <c r="BP602" s="2"/>
    </row>
    <row r="603" spans="1:68" x14ac:dyDescent="0.25">
      <c r="A603" s="62" t="s">
        <v>796</v>
      </c>
      <c r="B603" s="63"/>
      <c r="C603" s="63"/>
      <c r="D603" s="64"/>
      <c r="E603" s="66"/>
      <c r="F603" s="102" t="str">
        <f>HYPERLINK("https://pbs.twimg.com/profile_images/1698757690057539584/5VYL8LKs_normal.jpg")</f>
        <v>https://pbs.twimg.com/profile_images/1698757690057539584/5VYL8LKs_normal.jpg</v>
      </c>
      <c r="G603" s="63"/>
      <c r="H603" s="67"/>
      <c r="I603" s="68"/>
      <c r="J603" s="68"/>
      <c r="K603" s="67" t="s">
        <v>25537</v>
      </c>
      <c r="L603" s="71"/>
      <c r="M603" s="72"/>
      <c r="N603" s="72"/>
      <c r="O603" s="73"/>
      <c r="P603" s="74"/>
      <c r="Q603" s="74"/>
      <c r="R603" s="86"/>
      <c r="S603" s="86"/>
      <c r="T603" s="86"/>
      <c r="U603" s="86"/>
      <c r="V603" s="48"/>
      <c r="W603" s="48"/>
      <c r="X603" s="48"/>
      <c r="Y603" s="48"/>
      <c r="Z603" s="47"/>
      <c r="AA603" s="69">
        <v>603</v>
      </c>
      <c r="AB603" s="69"/>
      <c r="AC603" s="70"/>
      <c r="AD603" s="76" t="s">
        <v>22404</v>
      </c>
      <c r="AE603" s="81" t="s">
        <v>21437</v>
      </c>
      <c r="AF603" s="76">
        <v>108</v>
      </c>
      <c r="AG603" s="76">
        <v>143</v>
      </c>
      <c r="AH603" s="76">
        <v>2345</v>
      </c>
      <c r="AI603" s="76">
        <v>0</v>
      </c>
      <c r="AJ603" s="76">
        <v>5036</v>
      </c>
      <c r="AK603" s="76">
        <v>62</v>
      </c>
      <c r="AL603" s="76" t="b">
        <v>0</v>
      </c>
      <c r="AM603" s="78">
        <v>44651.036678240744</v>
      </c>
      <c r="AN603" s="76" t="s">
        <v>23235</v>
      </c>
      <c r="AO603" s="76" t="s">
        <v>23867</v>
      </c>
      <c r="AP603" s="76"/>
      <c r="AQ603" s="76"/>
      <c r="AR603" s="76"/>
      <c r="AS603" s="76"/>
      <c r="AT603" s="76"/>
      <c r="AU603" s="76"/>
      <c r="AV603" s="76">
        <v>1.6945433296213601E+18</v>
      </c>
      <c r="AW603" s="76"/>
      <c r="AX603" s="76" t="b">
        <v>0</v>
      </c>
      <c r="AY603" s="76"/>
      <c r="AZ603" s="76"/>
      <c r="BA603" s="76" t="b">
        <v>0</v>
      </c>
      <c r="BB603" s="76" t="b">
        <v>0</v>
      </c>
      <c r="BC603" s="76" t="b">
        <v>1</v>
      </c>
      <c r="BD603" s="76" t="b">
        <v>0</v>
      </c>
      <c r="BE603" s="76" t="b">
        <v>1</v>
      </c>
      <c r="BF603" s="76" t="b">
        <v>0</v>
      </c>
      <c r="BG603" s="76" t="b">
        <v>0</v>
      </c>
      <c r="BH603" s="83" t="str">
        <f>HYPERLINK("https://pbs.twimg.com/profile_banners/1509332825929129984/1692845852")</f>
        <v>https://pbs.twimg.com/profile_banners/1509332825929129984/1692845852</v>
      </c>
      <c r="BI603" s="76"/>
      <c r="BJ603" s="76" t="s">
        <v>24935</v>
      </c>
      <c r="BK603" s="76" t="b">
        <v>0</v>
      </c>
      <c r="BL603" s="76"/>
      <c r="BM603" s="76" t="s">
        <v>66</v>
      </c>
      <c r="BN603" s="76" t="s">
        <v>24937</v>
      </c>
      <c r="BO603" s="83" t="str">
        <f>HYPERLINK("https://twitter.com/emooff_")</f>
        <v>https://twitter.com/emooff_</v>
      </c>
      <c r="BP603" s="2"/>
    </row>
    <row r="604" spans="1:68" x14ac:dyDescent="0.25">
      <c r="A604" s="62" t="s">
        <v>797</v>
      </c>
      <c r="B604" s="63"/>
      <c r="C604" s="63"/>
      <c r="D604" s="64"/>
      <c r="E604" s="66"/>
      <c r="F604" s="102" t="str">
        <f>HYPERLINK("https://pbs.twimg.com/profile_images/1492593014560153602/E0on3Fpf_normal.jpg")</f>
        <v>https://pbs.twimg.com/profile_images/1492593014560153602/E0on3Fpf_normal.jpg</v>
      </c>
      <c r="G604" s="63"/>
      <c r="H604" s="67"/>
      <c r="I604" s="68"/>
      <c r="J604" s="68"/>
      <c r="K604" s="67" t="s">
        <v>25538</v>
      </c>
      <c r="L604" s="71"/>
      <c r="M604" s="72"/>
      <c r="N604" s="72"/>
      <c r="O604" s="73"/>
      <c r="P604" s="74"/>
      <c r="Q604" s="74"/>
      <c r="R604" s="86"/>
      <c r="S604" s="86"/>
      <c r="T604" s="86"/>
      <c r="U604" s="86"/>
      <c r="V604" s="48"/>
      <c r="W604" s="48"/>
      <c r="X604" s="48"/>
      <c r="Y604" s="48"/>
      <c r="Z604" s="47"/>
      <c r="AA604" s="69">
        <v>604</v>
      </c>
      <c r="AB604" s="69"/>
      <c r="AC604" s="70"/>
      <c r="AD604" s="76" t="s">
        <v>22405</v>
      </c>
      <c r="AE604" s="81" t="s">
        <v>21438</v>
      </c>
      <c r="AF604" s="76">
        <v>3040</v>
      </c>
      <c r="AG604" s="76">
        <v>4416</v>
      </c>
      <c r="AH604" s="76">
        <v>18961</v>
      </c>
      <c r="AI604" s="76">
        <v>2</v>
      </c>
      <c r="AJ604" s="76">
        <v>36598</v>
      </c>
      <c r="AK604" s="76">
        <v>1181</v>
      </c>
      <c r="AL604" s="76" t="b">
        <v>0</v>
      </c>
      <c r="AM604" s="78">
        <v>42808.614965277775</v>
      </c>
      <c r="AN604" s="76" t="s">
        <v>23212</v>
      </c>
      <c r="AO604" s="76" t="s">
        <v>23868</v>
      </c>
      <c r="AP604" s="76"/>
      <c r="AQ604" s="76"/>
      <c r="AR604" s="76"/>
      <c r="AS604" s="76"/>
      <c r="AT604" s="76"/>
      <c r="AU604" s="76"/>
      <c r="AV604" s="76">
        <v>1.6935988467466099E+18</v>
      </c>
      <c r="AW604" s="76"/>
      <c r="AX604" s="76" t="b">
        <v>0</v>
      </c>
      <c r="AY604" s="76"/>
      <c r="AZ604" s="76"/>
      <c r="BA604" s="76" t="b">
        <v>1</v>
      </c>
      <c r="BB604" s="76" t="b">
        <v>0</v>
      </c>
      <c r="BC604" s="76" t="b">
        <v>0</v>
      </c>
      <c r="BD604" s="76" t="b">
        <v>0</v>
      </c>
      <c r="BE604" s="76" t="b">
        <v>1</v>
      </c>
      <c r="BF604" s="76" t="b">
        <v>0</v>
      </c>
      <c r="BG604" s="76" t="b">
        <v>0</v>
      </c>
      <c r="BH604" s="83" t="str">
        <f>HYPERLINK("https://pbs.twimg.com/profile_banners/841661582820179968/1661771231")</f>
        <v>https://pbs.twimg.com/profile_banners/841661582820179968/1661771231</v>
      </c>
      <c r="BI604" s="76"/>
      <c r="BJ604" s="76" t="s">
        <v>24935</v>
      </c>
      <c r="BK604" s="76" t="b">
        <v>0</v>
      </c>
      <c r="BL604" s="76"/>
      <c r="BM604" s="76" t="s">
        <v>66</v>
      </c>
      <c r="BN604" s="76" t="s">
        <v>24937</v>
      </c>
      <c r="BO604" s="83" t="str">
        <f>HYPERLINK("https://twitter.com/apazvidas21")</f>
        <v>https://twitter.com/apazvidas21</v>
      </c>
      <c r="BP604" s="2"/>
    </row>
    <row r="605" spans="1:68" x14ac:dyDescent="0.25">
      <c r="A605" s="62" t="s">
        <v>798</v>
      </c>
      <c r="B605" s="63"/>
      <c r="C605" s="63"/>
      <c r="D605" s="64"/>
      <c r="E605" s="66"/>
      <c r="F605" s="102" t="str">
        <f>HYPERLINK("https://pbs.twimg.com/profile_images/1698869781477126144/uccavU93_normal.jpg")</f>
        <v>https://pbs.twimg.com/profile_images/1698869781477126144/uccavU93_normal.jpg</v>
      </c>
      <c r="G605" s="63"/>
      <c r="H605" s="67"/>
      <c r="I605" s="68"/>
      <c r="J605" s="68"/>
      <c r="K605" s="67" t="s">
        <v>25539</v>
      </c>
      <c r="L605" s="71"/>
      <c r="M605" s="72"/>
      <c r="N605" s="72"/>
      <c r="O605" s="73"/>
      <c r="P605" s="74"/>
      <c r="Q605" s="74"/>
      <c r="R605" s="86"/>
      <c r="S605" s="86"/>
      <c r="T605" s="86"/>
      <c r="U605" s="86"/>
      <c r="V605" s="48"/>
      <c r="W605" s="48"/>
      <c r="X605" s="48"/>
      <c r="Y605" s="48"/>
      <c r="Z605" s="47"/>
      <c r="AA605" s="69">
        <v>605</v>
      </c>
      <c r="AB605" s="69"/>
      <c r="AC605" s="70"/>
      <c r="AD605" s="76" t="s">
        <v>22406</v>
      </c>
      <c r="AE605" s="81" t="s">
        <v>21439</v>
      </c>
      <c r="AF605" s="76">
        <v>6</v>
      </c>
      <c r="AG605" s="76">
        <v>36</v>
      </c>
      <c r="AH605" s="76">
        <v>70</v>
      </c>
      <c r="AI605" s="76">
        <v>0</v>
      </c>
      <c r="AJ605" s="76">
        <v>211</v>
      </c>
      <c r="AK605" s="76">
        <v>61</v>
      </c>
      <c r="AL605" s="76" t="b">
        <v>0</v>
      </c>
      <c r="AM605" s="78">
        <v>45094.158726851849</v>
      </c>
      <c r="AN605" s="76"/>
      <c r="AO605" s="76" t="s">
        <v>23869</v>
      </c>
      <c r="AP605" s="83" t="str">
        <f>HYPERLINK("https://t.co/vDKw4aWxvI")</f>
        <v>https://t.co/vDKw4aWxvI</v>
      </c>
      <c r="AQ605" s="83" t="str">
        <f>HYPERLINK("https://www.magazinevoce.com.br/magazinedelanjos/")</f>
        <v>https://www.magazinevoce.com.br/magazinedelanjos/</v>
      </c>
      <c r="AR605" s="76" t="s">
        <v>24587</v>
      </c>
      <c r="AS605" s="76"/>
      <c r="AT605" s="76"/>
      <c r="AU605" s="76"/>
      <c r="AV605" s="76"/>
      <c r="AW605" s="83" t="str">
        <f>HYPERLINK("https://t.co/vDKw4aWxvI")</f>
        <v>https://t.co/vDKw4aWxvI</v>
      </c>
      <c r="AX605" s="76" t="b">
        <v>0</v>
      </c>
      <c r="AY605" s="76"/>
      <c r="AZ605" s="76"/>
      <c r="BA605" s="76" t="b">
        <v>0</v>
      </c>
      <c r="BB605" s="76" t="b">
        <v>1</v>
      </c>
      <c r="BC605" s="76" t="b">
        <v>1</v>
      </c>
      <c r="BD605" s="76" t="b">
        <v>0</v>
      </c>
      <c r="BE605" s="76" t="b">
        <v>0</v>
      </c>
      <c r="BF605" s="76" t="b">
        <v>0</v>
      </c>
      <c r="BG605" s="76" t="b">
        <v>0</v>
      </c>
      <c r="BH605" s="83" t="str">
        <f>HYPERLINK("https://pbs.twimg.com/profile_banners/1669914575876104194/1693877486")</f>
        <v>https://pbs.twimg.com/profile_banners/1669914575876104194/1693877486</v>
      </c>
      <c r="BI605" s="76"/>
      <c r="BJ605" s="76" t="s">
        <v>24935</v>
      </c>
      <c r="BK605" s="76" t="b">
        <v>0</v>
      </c>
      <c r="BL605" s="76"/>
      <c r="BM605" s="76" t="s">
        <v>66</v>
      </c>
      <c r="BN605" s="76" t="s">
        <v>24937</v>
      </c>
      <c r="BO605" s="83" t="str">
        <f>HYPERLINK("https://twitter.com/delanjos75")</f>
        <v>https://twitter.com/delanjos75</v>
      </c>
      <c r="BP605" s="2"/>
    </row>
    <row r="606" spans="1:68" x14ac:dyDescent="0.25">
      <c r="A606" s="62" t="s">
        <v>799</v>
      </c>
      <c r="B606" s="63"/>
      <c r="C606" s="63"/>
      <c r="D606" s="64"/>
      <c r="E606" s="66"/>
      <c r="F606" s="102" t="str">
        <f>HYPERLINK("https://pbs.twimg.com/profile_images/593540892113424384/rx8GObLR_normal.jpg")</f>
        <v>https://pbs.twimg.com/profile_images/593540892113424384/rx8GObLR_normal.jpg</v>
      </c>
      <c r="G606" s="63"/>
      <c r="H606" s="67"/>
      <c r="I606" s="68"/>
      <c r="J606" s="68"/>
      <c r="K606" s="67" t="s">
        <v>25540</v>
      </c>
      <c r="L606" s="71"/>
      <c r="M606" s="72"/>
      <c r="N606" s="72"/>
      <c r="O606" s="73"/>
      <c r="P606" s="74"/>
      <c r="Q606" s="74"/>
      <c r="R606" s="86"/>
      <c r="S606" s="86"/>
      <c r="T606" s="86"/>
      <c r="U606" s="86"/>
      <c r="V606" s="48"/>
      <c r="W606" s="48"/>
      <c r="X606" s="48"/>
      <c r="Y606" s="48"/>
      <c r="Z606" s="47"/>
      <c r="AA606" s="69">
        <v>606</v>
      </c>
      <c r="AB606" s="69"/>
      <c r="AC606" s="70"/>
      <c r="AD606" s="76" t="s">
        <v>22407</v>
      </c>
      <c r="AE606" s="81" t="s">
        <v>22978</v>
      </c>
      <c r="AF606" s="76">
        <v>122</v>
      </c>
      <c r="AG606" s="76">
        <v>436</v>
      </c>
      <c r="AH606" s="76">
        <v>1705</v>
      </c>
      <c r="AI606" s="76">
        <v>0</v>
      </c>
      <c r="AJ606" s="76">
        <v>53</v>
      </c>
      <c r="AK606" s="76">
        <v>52</v>
      </c>
      <c r="AL606" s="76" t="b">
        <v>0</v>
      </c>
      <c r="AM606" s="78">
        <v>40625.65519675926</v>
      </c>
      <c r="AN606" s="76"/>
      <c r="AO606" s="76" t="s">
        <v>23870</v>
      </c>
      <c r="AP606" s="83" t="str">
        <f>HYPERLINK("https://t.co/J1ogAgif7O")</f>
        <v>https://t.co/J1ogAgif7O</v>
      </c>
      <c r="AQ606" s="83" t="str">
        <f>HYPERLINK("https://go.hotmart.com/J75596015O")</f>
        <v>https://go.hotmart.com/J75596015O</v>
      </c>
      <c r="AR606" s="76" t="s">
        <v>24588</v>
      </c>
      <c r="AS606" s="76"/>
      <c r="AT606" s="76"/>
      <c r="AU606" s="76"/>
      <c r="AV606" s="76">
        <v>1.48832445125088E+18</v>
      </c>
      <c r="AW606" s="83" t="str">
        <f>HYPERLINK("https://t.co/J1ogAgif7O")</f>
        <v>https://t.co/J1ogAgif7O</v>
      </c>
      <c r="AX606" s="76" t="b">
        <v>0</v>
      </c>
      <c r="AY606" s="76"/>
      <c r="AZ606" s="76"/>
      <c r="BA606" s="76" t="b">
        <v>0</v>
      </c>
      <c r="BB606" s="76" t="b">
        <v>1</v>
      </c>
      <c r="BC606" s="76" t="b">
        <v>0</v>
      </c>
      <c r="BD606" s="76" t="b">
        <v>0</v>
      </c>
      <c r="BE606" s="76" t="b">
        <v>0</v>
      </c>
      <c r="BF606" s="76" t="b">
        <v>0</v>
      </c>
      <c r="BG606" s="76" t="b">
        <v>0</v>
      </c>
      <c r="BH606" s="83" t="str">
        <f>HYPERLINK("https://pbs.twimg.com/profile_banners/270959576/1668909222")</f>
        <v>https://pbs.twimg.com/profile_banners/270959576/1668909222</v>
      </c>
      <c r="BI606" s="76"/>
      <c r="BJ606" s="76" t="s">
        <v>24936</v>
      </c>
      <c r="BK606" s="76" t="b">
        <v>0</v>
      </c>
      <c r="BL606" s="76"/>
      <c r="BM606" s="76" t="s">
        <v>66</v>
      </c>
      <c r="BN606" s="76" t="s">
        <v>24937</v>
      </c>
      <c r="BO606" s="83" t="str">
        <f>HYPERLINK("https://twitter.com/plantao10")</f>
        <v>https://twitter.com/plantao10</v>
      </c>
      <c r="BP606" s="2"/>
    </row>
    <row r="607" spans="1:68" x14ac:dyDescent="0.25">
      <c r="A607" s="62" t="s">
        <v>800</v>
      </c>
      <c r="B607" s="63"/>
      <c r="C607" s="63"/>
      <c r="D607" s="64"/>
      <c r="E607" s="66"/>
      <c r="F607" s="102" t="str">
        <f>HYPERLINK("https://pbs.twimg.com/profile_images/1575782252352606210/GRvPjn2E_normal.png")</f>
        <v>https://pbs.twimg.com/profile_images/1575782252352606210/GRvPjn2E_normal.png</v>
      </c>
      <c r="G607" s="63"/>
      <c r="H607" s="67"/>
      <c r="I607" s="68"/>
      <c r="J607" s="68"/>
      <c r="K607" s="67" t="s">
        <v>25541</v>
      </c>
      <c r="L607" s="71"/>
      <c r="M607" s="72"/>
      <c r="N607" s="72"/>
      <c r="O607" s="73"/>
      <c r="P607" s="74"/>
      <c r="Q607" s="74"/>
      <c r="R607" s="86"/>
      <c r="S607" s="86"/>
      <c r="T607" s="86"/>
      <c r="U607" s="86"/>
      <c r="V607" s="48"/>
      <c r="W607" s="48"/>
      <c r="X607" s="48"/>
      <c r="Y607" s="48"/>
      <c r="Z607" s="47"/>
      <c r="AA607" s="69">
        <v>607</v>
      </c>
      <c r="AB607" s="69"/>
      <c r="AC607" s="70"/>
      <c r="AD607" s="76" t="s">
        <v>22408</v>
      </c>
      <c r="AE607" s="81" t="s">
        <v>21440</v>
      </c>
      <c r="AF607" s="76">
        <v>81</v>
      </c>
      <c r="AG607" s="76">
        <v>79</v>
      </c>
      <c r="AH607" s="76">
        <v>423</v>
      </c>
      <c r="AI607" s="76">
        <v>0</v>
      </c>
      <c r="AJ607" s="76">
        <v>55</v>
      </c>
      <c r="AK607" s="76">
        <v>371</v>
      </c>
      <c r="AL607" s="76" t="b">
        <v>0</v>
      </c>
      <c r="AM607" s="78">
        <v>44830.490474537037</v>
      </c>
      <c r="AN607" s="76" t="s">
        <v>14033</v>
      </c>
      <c r="AO607" s="76" t="s">
        <v>23871</v>
      </c>
      <c r="AP607" s="83" t="str">
        <f>HYPERLINK("https://t.co/0clN7OcfqX")</f>
        <v>https://t.co/0clN7OcfqX</v>
      </c>
      <c r="AQ607" s="83" t="str">
        <f>HYPERLINK("http://bit.ly/AFUNofficial")</f>
        <v>http://bit.ly/AFUNofficial</v>
      </c>
      <c r="AR607" s="76" t="s">
        <v>24589</v>
      </c>
      <c r="AS607" s="76"/>
      <c r="AT607" s="76"/>
      <c r="AU607" s="76"/>
      <c r="AV607" s="76">
        <v>1.6334540636300301E+18</v>
      </c>
      <c r="AW607" s="83" t="str">
        <f>HYPERLINK("https://t.co/0clN7OcfqX")</f>
        <v>https://t.co/0clN7OcfqX</v>
      </c>
      <c r="AX607" s="76" t="b">
        <v>0</v>
      </c>
      <c r="AY607" s="76"/>
      <c r="AZ607" s="76"/>
      <c r="BA607" s="76" t="b">
        <v>0</v>
      </c>
      <c r="BB607" s="76" t="b">
        <v>1</v>
      </c>
      <c r="BC607" s="76" t="b">
        <v>1</v>
      </c>
      <c r="BD607" s="76" t="b">
        <v>0</v>
      </c>
      <c r="BE607" s="76" t="b">
        <v>0</v>
      </c>
      <c r="BF607" s="76" t="b">
        <v>0</v>
      </c>
      <c r="BG607" s="76" t="b">
        <v>0</v>
      </c>
      <c r="BH607" s="83" t="str">
        <f>HYPERLINK("https://pbs.twimg.com/profile_banners/1574364698119634944/1669452980")</f>
        <v>https://pbs.twimg.com/profile_banners/1574364698119634944/1669452980</v>
      </c>
      <c r="BI607" s="76"/>
      <c r="BJ607" s="76" t="s">
        <v>24935</v>
      </c>
      <c r="BK607" s="76" t="b">
        <v>0</v>
      </c>
      <c r="BL607" s="76"/>
      <c r="BM607" s="76" t="s">
        <v>66</v>
      </c>
      <c r="BN607" s="76" t="s">
        <v>24937</v>
      </c>
      <c r="BO607" s="83" t="str">
        <f>HYPERLINK("https://twitter.com/afun_to_earn")</f>
        <v>https://twitter.com/afun_to_earn</v>
      </c>
      <c r="BP607" s="2"/>
    </row>
    <row r="608" spans="1:68" x14ac:dyDescent="0.25">
      <c r="A608" s="62" t="s">
        <v>801</v>
      </c>
      <c r="B608" s="63"/>
      <c r="C608" s="63"/>
      <c r="D608" s="64"/>
      <c r="E608" s="66"/>
      <c r="F608" s="102" t="str">
        <f>HYPERLINK("https://pbs.twimg.com/profile_images/1641244881505902593/BLg3URBa_normal.jpg")</f>
        <v>https://pbs.twimg.com/profile_images/1641244881505902593/BLg3URBa_normal.jpg</v>
      </c>
      <c r="G608" s="63"/>
      <c r="H608" s="67"/>
      <c r="I608" s="68"/>
      <c r="J608" s="68"/>
      <c r="K608" s="67" t="s">
        <v>25542</v>
      </c>
      <c r="L608" s="71"/>
      <c r="M608" s="72"/>
      <c r="N608" s="72"/>
      <c r="O608" s="73"/>
      <c r="P608" s="74"/>
      <c r="Q608" s="74"/>
      <c r="R608" s="86"/>
      <c r="S608" s="86"/>
      <c r="T608" s="86"/>
      <c r="U608" s="86"/>
      <c r="V608" s="48"/>
      <c r="W608" s="48"/>
      <c r="X608" s="48"/>
      <c r="Y608" s="48"/>
      <c r="Z608" s="47"/>
      <c r="AA608" s="69">
        <v>608</v>
      </c>
      <c r="AB608" s="69"/>
      <c r="AC608" s="70"/>
      <c r="AD608" s="76" t="s">
        <v>22409</v>
      </c>
      <c r="AE608" s="81" t="s">
        <v>21441</v>
      </c>
      <c r="AF608" s="76">
        <v>0</v>
      </c>
      <c r="AG608" s="76">
        <v>5</v>
      </c>
      <c r="AH608" s="76">
        <v>18</v>
      </c>
      <c r="AI608" s="76">
        <v>0</v>
      </c>
      <c r="AJ608" s="76">
        <v>7</v>
      </c>
      <c r="AK608" s="76">
        <v>7</v>
      </c>
      <c r="AL608" s="76" t="b">
        <v>0</v>
      </c>
      <c r="AM608" s="78">
        <v>45015.004629629628</v>
      </c>
      <c r="AN608" s="76" t="s">
        <v>14130</v>
      </c>
      <c r="AO608" s="76" t="s">
        <v>23872</v>
      </c>
      <c r="AP608" s="76"/>
      <c r="AQ608" s="76"/>
      <c r="AR608" s="76"/>
      <c r="AS608" s="83" t="str">
        <f>HYPERLINK("https://t.co/9GIizTkMsX")</f>
        <v>https://t.co/9GIizTkMsX</v>
      </c>
      <c r="AT608" s="83" t="str">
        <f>HYPERLINK("http://instagram.com/tsmakebeauty?i")</f>
        <v>http://instagram.com/tsmakebeauty?i</v>
      </c>
      <c r="AU608" s="76" t="s">
        <v>24892</v>
      </c>
      <c r="AV608" s="76"/>
      <c r="AW608" s="76"/>
      <c r="AX608" s="76" t="b">
        <v>0</v>
      </c>
      <c r="AY608" s="76"/>
      <c r="AZ608" s="76"/>
      <c r="BA608" s="76" t="b">
        <v>0</v>
      </c>
      <c r="BB608" s="76" t="b">
        <v>1</v>
      </c>
      <c r="BC608" s="76" t="b">
        <v>1</v>
      </c>
      <c r="BD608" s="76" t="b">
        <v>0</v>
      </c>
      <c r="BE608" s="76" t="b">
        <v>0</v>
      </c>
      <c r="BF608" s="76" t="b">
        <v>0</v>
      </c>
      <c r="BG608" s="76" t="b">
        <v>0</v>
      </c>
      <c r="BH608" s="83" t="str">
        <f>HYPERLINK("https://pbs.twimg.com/profile_banners/1641230349106544644/1680135934")</f>
        <v>https://pbs.twimg.com/profile_banners/1641230349106544644/1680135934</v>
      </c>
      <c r="BI608" s="76"/>
      <c r="BJ608" s="76" t="s">
        <v>24935</v>
      </c>
      <c r="BK608" s="76" t="b">
        <v>0</v>
      </c>
      <c r="BL608" s="76"/>
      <c r="BM608" s="76" t="s">
        <v>66</v>
      </c>
      <c r="BN608" s="76" t="s">
        <v>24937</v>
      </c>
      <c r="BO608" s="83" t="str">
        <f>HYPERLINK("https://twitter.com/thassou44121865")</f>
        <v>https://twitter.com/thassou44121865</v>
      </c>
      <c r="BP608" s="2"/>
    </row>
    <row r="609" spans="1:68" x14ac:dyDescent="0.25">
      <c r="A609" s="62" t="s">
        <v>802</v>
      </c>
      <c r="B609" s="63"/>
      <c r="C609" s="63"/>
      <c r="D609" s="64"/>
      <c r="E609" s="66"/>
      <c r="F609" s="102" t="str">
        <f>HYPERLINK("https://pbs.twimg.com/profile_images/1630015674692038656/6uj8-YnM_normal.jpg")</f>
        <v>https://pbs.twimg.com/profile_images/1630015674692038656/6uj8-YnM_normal.jpg</v>
      </c>
      <c r="G609" s="63"/>
      <c r="H609" s="67"/>
      <c r="I609" s="68"/>
      <c r="J609" s="68"/>
      <c r="K609" s="67" t="s">
        <v>25543</v>
      </c>
      <c r="L609" s="71"/>
      <c r="M609" s="72"/>
      <c r="N609" s="72"/>
      <c r="O609" s="73"/>
      <c r="P609" s="74"/>
      <c r="Q609" s="74"/>
      <c r="R609" s="86"/>
      <c r="S609" s="86"/>
      <c r="T609" s="86"/>
      <c r="U609" s="86"/>
      <c r="V609" s="48"/>
      <c r="W609" s="48"/>
      <c r="X609" s="48"/>
      <c r="Y609" s="48"/>
      <c r="Z609" s="47"/>
      <c r="AA609" s="69">
        <v>609</v>
      </c>
      <c r="AB609" s="69"/>
      <c r="AC609" s="70"/>
      <c r="AD609" s="76" t="s">
        <v>22410</v>
      </c>
      <c r="AE609" s="81" t="s">
        <v>21442</v>
      </c>
      <c r="AF609" s="76">
        <v>0</v>
      </c>
      <c r="AG609" s="76">
        <v>4</v>
      </c>
      <c r="AH609" s="76">
        <v>33</v>
      </c>
      <c r="AI609" s="76">
        <v>0</v>
      </c>
      <c r="AJ609" s="76">
        <v>4</v>
      </c>
      <c r="AK609" s="76">
        <v>10</v>
      </c>
      <c r="AL609" s="76" t="b">
        <v>0</v>
      </c>
      <c r="AM609" s="78">
        <v>44984.053622685184</v>
      </c>
      <c r="AN609" s="76" t="s">
        <v>23236</v>
      </c>
      <c r="AO609" s="76" t="s">
        <v>23873</v>
      </c>
      <c r="AP609" s="83" t="str">
        <f>HYPERLINK("https://t.co/YfHJisKshE")</f>
        <v>https://t.co/YfHJisKshE</v>
      </c>
      <c r="AQ609" s="83" t="str">
        <f>HYPERLINK("https://multversocybershop.lojavirtualnuvem.com.br/produtos/")</f>
        <v>https://multversocybershop.lojavirtualnuvem.com.br/produtos/</v>
      </c>
      <c r="AR609" s="76" t="s">
        <v>24590</v>
      </c>
      <c r="AS609" s="76"/>
      <c r="AT609" s="76"/>
      <c r="AU609" s="76"/>
      <c r="AV609" s="76">
        <v>1.6300976129707799E+18</v>
      </c>
      <c r="AW609" s="83" t="str">
        <f>HYPERLINK("https://t.co/YfHJisKshE")</f>
        <v>https://t.co/YfHJisKshE</v>
      </c>
      <c r="AX609" s="76" t="b">
        <v>0</v>
      </c>
      <c r="AY609" s="76"/>
      <c r="AZ609" s="76"/>
      <c r="BA609" s="76" t="b">
        <v>0</v>
      </c>
      <c r="BB609" s="76" t="b">
        <v>1</v>
      </c>
      <c r="BC609" s="76" t="b">
        <v>1</v>
      </c>
      <c r="BD609" s="76" t="b">
        <v>0</v>
      </c>
      <c r="BE609" s="76" t="b">
        <v>0</v>
      </c>
      <c r="BF609" s="76" t="b">
        <v>0</v>
      </c>
      <c r="BG609" s="76" t="b">
        <v>0</v>
      </c>
      <c r="BH609" s="83" t="str">
        <f>HYPERLINK("https://pbs.twimg.com/profile_banners/1630014054705004544/1677461056")</f>
        <v>https://pbs.twimg.com/profile_banners/1630014054705004544/1677461056</v>
      </c>
      <c r="BI609" s="76"/>
      <c r="BJ609" s="76" t="s">
        <v>24935</v>
      </c>
      <c r="BK609" s="76" t="b">
        <v>0</v>
      </c>
      <c r="BL609" s="76"/>
      <c r="BM609" s="76" t="s">
        <v>66</v>
      </c>
      <c r="BN609" s="76" t="s">
        <v>24937</v>
      </c>
      <c r="BO609" s="83" t="str">
        <f>HYPERLINK("https://twitter.com/shopmultverso")</f>
        <v>https://twitter.com/shopmultverso</v>
      </c>
      <c r="BP609" s="2"/>
    </row>
    <row r="610" spans="1:68" x14ac:dyDescent="0.25">
      <c r="A610" s="62" t="s">
        <v>803</v>
      </c>
      <c r="B610" s="63"/>
      <c r="C610" s="63"/>
      <c r="D610" s="64"/>
      <c r="E610" s="66"/>
      <c r="F610" s="102" t="str">
        <f>HYPERLINK("https://pbs.twimg.com/profile_images/1595636625639440384/xMlM5dUh_normal.jpg")</f>
        <v>https://pbs.twimg.com/profile_images/1595636625639440384/xMlM5dUh_normal.jpg</v>
      </c>
      <c r="G610" s="63"/>
      <c r="H610" s="67"/>
      <c r="I610" s="68"/>
      <c r="J610" s="68"/>
      <c r="K610" s="67" t="s">
        <v>25544</v>
      </c>
      <c r="L610" s="71"/>
      <c r="M610" s="72"/>
      <c r="N610" s="72"/>
      <c r="O610" s="73"/>
      <c r="P610" s="74"/>
      <c r="Q610" s="74"/>
      <c r="R610" s="86"/>
      <c r="S610" s="86"/>
      <c r="T610" s="86"/>
      <c r="U610" s="86"/>
      <c r="V610" s="48"/>
      <c r="W610" s="48"/>
      <c r="X610" s="48"/>
      <c r="Y610" s="48"/>
      <c r="Z610" s="47"/>
      <c r="AA610" s="69">
        <v>610</v>
      </c>
      <c r="AB610" s="69"/>
      <c r="AC610" s="70"/>
      <c r="AD610" s="76" t="s">
        <v>22411</v>
      </c>
      <c r="AE610" s="81" t="s">
        <v>22979</v>
      </c>
      <c r="AF610" s="76">
        <v>557</v>
      </c>
      <c r="AG610" s="76">
        <v>316</v>
      </c>
      <c r="AH610" s="76">
        <v>20053</v>
      </c>
      <c r="AI610" s="76">
        <v>28</v>
      </c>
      <c r="AJ610" s="76">
        <v>9795</v>
      </c>
      <c r="AK610" s="76">
        <v>1293</v>
      </c>
      <c r="AL610" s="76" t="b">
        <v>0</v>
      </c>
      <c r="AM610" s="78">
        <v>40420.027199074073</v>
      </c>
      <c r="AN610" s="76"/>
      <c r="AO610" s="76" t="s">
        <v>23874</v>
      </c>
      <c r="AP610" s="83" t="str">
        <f>HYPERLINK("https://t.co/TZ0GXVWjnI")</f>
        <v>https://t.co/TZ0GXVWjnI</v>
      </c>
      <c r="AQ610" s="83" t="str">
        <f>HYPERLINK("http://instagram.com/gabriel_barbosaa")</f>
        <v>http://instagram.com/gabriel_barbosaa</v>
      </c>
      <c r="AR610" s="76" t="s">
        <v>24591</v>
      </c>
      <c r="AS610" s="76"/>
      <c r="AT610" s="76"/>
      <c r="AU610" s="76"/>
      <c r="AV610" s="76">
        <v>1.1966375965306701E+18</v>
      </c>
      <c r="AW610" s="83" t="str">
        <f>HYPERLINK("https://t.co/TZ0GXVWjnI")</f>
        <v>https://t.co/TZ0GXVWjnI</v>
      </c>
      <c r="AX610" s="76" t="b">
        <v>0</v>
      </c>
      <c r="AY610" s="76"/>
      <c r="AZ610" s="76"/>
      <c r="BA610" s="76" t="b">
        <v>1</v>
      </c>
      <c r="BB610" s="76" t="b">
        <v>0</v>
      </c>
      <c r="BC610" s="76" t="b">
        <v>0</v>
      </c>
      <c r="BD610" s="76" t="b">
        <v>0</v>
      </c>
      <c r="BE610" s="76" t="b">
        <v>1</v>
      </c>
      <c r="BF610" s="76" t="b">
        <v>0</v>
      </c>
      <c r="BG610" s="76" t="b">
        <v>0</v>
      </c>
      <c r="BH610" s="83" t="str">
        <f>HYPERLINK("https://pbs.twimg.com/profile_banners/184603554/1669264402")</f>
        <v>https://pbs.twimg.com/profile_banners/184603554/1669264402</v>
      </c>
      <c r="BI610" s="76"/>
      <c r="BJ610" s="76" t="s">
        <v>24935</v>
      </c>
      <c r="BK610" s="76" t="b">
        <v>0</v>
      </c>
      <c r="BL610" s="76"/>
      <c r="BM610" s="76" t="s">
        <v>66</v>
      </c>
      <c r="BN610" s="76" t="s">
        <v>24937</v>
      </c>
      <c r="BO610" s="83" t="str">
        <f>HYPERLINK("https://twitter.com/gabrielviolaa")</f>
        <v>https://twitter.com/gabrielviolaa</v>
      </c>
      <c r="BP610" s="2"/>
    </row>
    <row r="611" spans="1:68" x14ac:dyDescent="0.25">
      <c r="A611" s="62" t="s">
        <v>804</v>
      </c>
      <c r="B611" s="63"/>
      <c r="C611" s="63"/>
      <c r="D611" s="64"/>
      <c r="E611" s="66"/>
      <c r="F611" s="102" t="str">
        <f>HYPERLINK("https://pbs.twimg.com/profile_images/1669444423753650177/fCTdi1VB_normal.jpg")</f>
        <v>https://pbs.twimg.com/profile_images/1669444423753650177/fCTdi1VB_normal.jpg</v>
      </c>
      <c r="G611" s="63"/>
      <c r="H611" s="67"/>
      <c r="I611" s="68"/>
      <c r="J611" s="68"/>
      <c r="K611" s="67" t="s">
        <v>25545</v>
      </c>
      <c r="L611" s="71"/>
      <c r="M611" s="72"/>
      <c r="N611" s="72"/>
      <c r="O611" s="73"/>
      <c r="P611" s="74"/>
      <c r="Q611" s="74"/>
      <c r="R611" s="86"/>
      <c r="S611" s="86"/>
      <c r="T611" s="86"/>
      <c r="U611" s="86"/>
      <c r="V611" s="48"/>
      <c r="W611" s="48"/>
      <c r="X611" s="48"/>
      <c r="Y611" s="48"/>
      <c r="Z611" s="47"/>
      <c r="AA611" s="69">
        <v>611</v>
      </c>
      <c r="AB611" s="69"/>
      <c r="AC611" s="70"/>
      <c r="AD611" s="76" t="s">
        <v>22412</v>
      </c>
      <c r="AE611" s="81" t="s">
        <v>21443</v>
      </c>
      <c r="AF611" s="76">
        <v>0</v>
      </c>
      <c r="AG611" s="76">
        <v>0</v>
      </c>
      <c r="AH611" s="76">
        <v>15</v>
      </c>
      <c r="AI611" s="76">
        <v>0</v>
      </c>
      <c r="AJ611" s="76">
        <v>0</v>
      </c>
      <c r="AK611" s="76">
        <v>10</v>
      </c>
      <c r="AL611" s="76" t="b">
        <v>0</v>
      </c>
      <c r="AM611" s="78">
        <v>45092.852430555555</v>
      </c>
      <c r="AN611" s="76" t="s">
        <v>23095</v>
      </c>
      <c r="AO611" s="76" t="s">
        <v>23875</v>
      </c>
      <c r="AP611" s="83" t="str">
        <f>HYPERLINK("https://t.co/QZghHVWUPk")</f>
        <v>https://t.co/QZghHVWUPk</v>
      </c>
      <c r="AQ611" s="83" t="str">
        <f>HYPERLINK("https://wa.me/qr/MKJQ2M5G7SQRP1")</f>
        <v>https://wa.me/qr/MKJQ2M5G7SQRP1</v>
      </c>
      <c r="AR611" s="76" t="s">
        <v>24592</v>
      </c>
      <c r="AS611" s="76"/>
      <c r="AT611" s="76"/>
      <c r="AU611" s="76"/>
      <c r="AV611" s="76"/>
      <c r="AW611" s="83" t="str">
        <f>HYPERLINK("https://t.co/QZghHVWUPk")</f>
        <v>https://t.co/QZghHVWUPk</v>
      </c>
      <c r="AX611" s="76" t="b">
        <v>0</v>
      </c>
      <c r="AY611" s="76"/>
      <c r="AZ611" s="76"/>
      <c r="BA611" s="76" t="b">
        <v>0</v>
      </c>
      <c r="BB611" s="76" t="b">
        <v>1</v>
      </c>
      <c r="BC611" s="76" t="b">
        <v>1</v>
      </c>
      <c r="BD611" s="76" t="b">
        <v>0</v>
      </c>
      <c r="BE611" s="76" t="b">
        <v>0</v>
      </c>
      <c r="BF611" s="76" t="b">
        <v>0</v>
      </c>
      <c r="BG611" s="76" t="b">
        <v>0</v>
      </c>
      <c r="BH611" s="83" t="str">
        <f>HYPERLINK("https://pbs.twimg.com/profile_banners/1669441480652476420/1686861655")</f>
        <v>https://pbs.twimg.com/profile_banners/1669441480652476420/1686861655</v>
      </c>
      <c r="BI611" s="76"/>
      <c r="BJ611" s="76" t="s">
        <v>24935</v>
      </c>
      <c r="BK611" s="76" t="b">
        <v>0</v>
      </c>
      <c r="BL611" s="76"/>
      <c r="BM611" s="76" t="s">
        <v>66</v>
      </c>
      <c r="BN611" s="76" t="s">
        <v>24937</v>
      </c>
      <c r="BO611" s="83" t="str">
        <f>HYPERLINK("https://twitter.com/mamaedopablo")</f>
        <v>https://twitter.com/mamaedopablo</v>
      </c>
      <c r="BP611" s="2"/>
    </row>
    <row r="612" spans="1:68" x14ac:dyDescent="0.25">
      <c r="A612" s="62" t="s">
        <v>805</v>
      </c>
      <c r="B612" s="63"/>
      <c r="C612" s="63"/>
      <c r="D612" s="64"/>
      <c r="E612" s="66"/>
      <c r="F612" s="102" t="str">
        <f>HYPERLINK("https://pbs.twimg.com/profile_images/1637573894872735744/Npf_z3S2_normal.jpg")</f>
        <v>https://pbs.twimg.com/profile_images/1637573894872735744/Npf_z3S2_normal.jpg</v>
      </c>
      <c r="G612" s="63"/>
      <c r="H612" s="67"/>
      <c r="I612" s="68"/>
      <c r="J612" s="68"/>
      <c r="K612" s="67" t="s">
        <v>25546</v>
      </c>
      <c r="L612" s="71"/>
      <c r="M612" s="72"/>
      <c r="N612" s="72"/>
      <c r="O612" s="73"/>
      <c r="P612" s="74"/>
      <c r="Q612" s="74"/>
      <c r="R612" s="86"/>
      <c r="S612" s="86"/>
      <c r="T612" s="86"/>
      <c r="U612" s="86"/>
      <c r="V612" s="48"/>
      <c r="W612" s="48"/>
      <c r="X612" s="48"/>
      <c r="Y612" s="48"/>
      <c r="Z612" s="47"/>
      <c r="AA612" s="69">
        <v>612</v>
      </c>
      <c r="AB612" s="69"/>
      <c r="AC612" s="70"/>
      <c r="AD612" s="76" t="s">
        <v>22413</v>
      </c>
      <c r="AE612" s="81" t="s">
        <v>22980</v>
      </c>
      <c r="AF612" s="76">
        <v>155</v>
      </c>
      <c r="AG612" s="76">
        <v>388</v>
      </c>
      <c r="AH612" s="76">
        <v>6651</v>
      </c>
      <c r="AI612" s="76">
        <v>3</v>
      </c>
      <c r="AJ612" s="76">
        <v>542</v>
      </c>
      <c r="AK612" s="76">
        <v>480</v>
      </c>
      <c r="AL612" s="76" t="b">
        <v>0</v>
      </c>
      <c r="AM612" s="78">
        <v>40635.941620370373</v>
      </c>
      <c r="AN612" s="76" t="s">
        <v>14116</v>
      </c>
      <c r="AO612" s="76" t="s">
        <v>23876</v>
      </c>
      <c r="AP612" s="83" t="str">
        <f>HYPERLINK("https://t.co/nJ6Kc2akNE")</f>
        <v>https://t.co/nJ6Kc2akNE</v>
      </c>
      <c r="AQ612" s="83" t="str">
        <f>HYPERLINK("http://beacons.ai/marcinho_029")</f>
        <v>http://beacons.ai/marcinho_029</v>
      </c>
      <c r="AR612" s="76" t="s">
        <v>24593</v>
      </c>
      <c r="AS612" s="76"/>
      <c r="AT612" s="76"/>
      <c r="AU612" s="76"/>
      <c r="AV612" s="76">
        <v>1.08520266816184E+18</v>
      </c>
      <c r="AW612" s="83" t="str">
        <f>HYPERLINK("https://t.co/nJ6Kc2akNE")</f>
        <v>https://t.co/nJ6Kc2akNE</v>
      </c>
      <c r="AX612" s="76" t="b">
        <v>0</v>
      </c>
      <c r="AY612" s="76"/>
      <c r="AZ612" s="76"/>
      <c r="BA612" s="76" t="b">
        <v>1</v>
      </c>
      <c r="BB612" s="76" t="b">
        <v>1</v>
      </c>
      <c r="BC612" s="76" t="b">
        <v>0</v>
      </c>
      <c r="BD612" s="76" t="b">
        <v>0</v>
      </c>
      <c r="BE612" s="76" t="b">
        <v>0</v>
      </c>
      <c r="BF612" s="76" t="b">
        <v>0</v>
      </c>
      <c r="BG612" s="76" t="b">
        <v>0</v>
      </c>
      <c r="BH612" s="83" t="str">
        <f>HYPERLINK("https://pbs.twimg.com/profile_banners/276220917/1548009102")</f>
        <v>https://pbs.twimg.com/profile_banners/276220917/1548009102</v>
      </c>
      <c r="BI612" s="76"/>
      <c r="BJ612" s="76" t="s">
        <v>24936</v>
      </c>
      <c r="BK612" s="76" t="b">
        <v>0</v>
      </c>
      <c r="BL612" s="76"/>
      <c r="BM612" s="76" t="s">
        <v>66</v>
      </c>
      <c r="BN612" s="76" t="s">
        <v>24937</v>
      </c>
      <c r="BO612" s="83" t="str">
        <f>HYPERLINK("https://twitter.com/marcinho_029")</f>
        <v>https://twitter.com/marcinho_029</v>
      </c>
      <c r="BP612" s="2"/>
    </row>
    <row r="613" spans="1:68" x14ac:dyDescent="0.25">
      <c r="A613" s="62" t="s">
        <v>806</v>
      </c>
      <c r="B613" s="63"/>
      <c r="C613" s="63"/>
      <c r="D613" s="64"/>
      <c r="E613" s="66"/>
      <c r="F613" s="102" t="str">
        <f>HYPERLINK("https://pbs.twimg.com/profile_images/1202201459531689984/VZGP6ORU_normal.jpg")</f>
        <v>https://pbs.twimg.com/profile_images/1202201459531689984/VZGP6ORU_normal.jpg</v>
      </c>
      <c r="G613" s="63"/>
      <c r="H613" s="67"/>
      <c r="I613" s="68"/>
      <c r="J613" s="68"/>
      <c r="K613" s="67" t="s">
        <v>25547</v>
      </c>
      <c r="L613" s="71"/>
      <c r="M613" s="72"/>
      <c r="N613" s="72"/>
      <c r="O613" s="73"/>
      <c r="P613" s="74"/>
      <c r="Q613" s="74"/>
      <c r="R613" s="86"/>
      <c r="S613" s="86"/>
      <c r="T613" s="86"/>
      <c r="U613" s="86"/>
      <c r="V613" s="48"/>
      <c r="W613" s="48"/>
      <c r="X613" s="48"/>
      <c r="Y613" s="48"/>
      <c r="Z613" s="47"/>
      <c r="AA613" s="69">
        <v>613</v>
      </c>
      <c r="AB613" s="69"/>
      <c r="AC613" s="70"/>
      <c r="AD613" s="76" t="s">
        <v>22414</v>
      </c>
      <c r="AE613" s="81" t="s">
        <v>21444</v>
      </c>
      <c r="AF613" s="76">
        <v>109</v>
      </c>
      <c r="AG613" s="76">
        <v>50</v>
      </c>
      <c r="AH613" s="76">
        <v>1841</v>
      </c>
      <c r="AI613" s="76">
        <v>0</v>
      </c>
      <c r="AJ613" s="76">
        <v>6</v>
      </c>
      <c r="AK613" s="76">
        <v>1811</v>
      </c>
      <c r="AL613" s="76" t="b">
        <v>0</v>
      </c>
      <c r="AM613" s="78">
        <v>42993.564375000002</v>
      </c>
      <c r="AN613" s="76" t="s">
        <v>23237</v>
      </c>
      <c r="AO613" s="76" t="s">
        <v>23877</v>
      </c>
      <c r="AP613" s="83" t="str">
        <f>HYPERLINK("https://t.co/OVFandkB1G")</f>
        <v>https://t.co/OVFandkB1G</v>
      </c>
      <c r="AQ613" s="83" t="str">
        <f>HYPERLINK("https://www.casadasessencias.com.br")</f>
        <v>https://www.casadasessencias.com.br</v>
      </c>
      <c r="AR613" s="76" t="s">
        <v>24594</v>
      </c>
      <c r="AS613" s="76"/>
      <c r="AT613" s="76"/>
      <c r="AU613" s="76"/>
      <c r="AV613" s="76"/>
      <c r="AW613" s="83" t="str">
        <f>HYPERLINK("https://t.co/OVFandkB1G")</f>
        <v>https://t.co/OVFandkB1G</v>
      </c>
      <c r="AX613" s="76" t="b">
        <v>0</v>
      </c>
      <c r="AY613" s="76"/>
      <c r="AZ613" s="76"/>
      <c r="BA613" s="76" t="b">
        <v>0</v>
      </c>
      <c r="BB613" s="76" t="b">
        <v>1</v>
      </c>
      <c r="BC613" s="76" t="b">
        <v>1</v>
      </c>
      <c r="BD613" s="76" t="b">
        <v>0</v>
      </c>
      <c r="BE613" s="76" t="b">
        <v>0</v>
      </c>
      <c r="BF613" s="76" t="b">
        <v>0</v>
      </c>
      <c r="BG613" s="76" t="b">
        <v>0</v>
      </c>
      <c r="BH613" s="83" t="str">
        <f>HYPERLINK("https://pbs.twimg.com/profile_banners/908685002979905536/1575462139")</f>
        <v>https://pbs.twimg.com/profile_banners/908685002979905536/1575462139</v>
      </c>
      <c r="BI613" s="76"/>
      <c r="BJ613" s="76" t="s">
        <v>24935</v>
      </c>
      <c r="BK613" s="76" t="b">
        <v>0</v>
      </c>
      <c r="BL613" s="76"/>
      <c r="BM613" s="76" t="s">
        <v>66</v>
      </c>
      <c r="BN613" s="76" t="s">
        <v>24937</v>
      </c>
      <c r="BO613" s="83" t="str">
        <f>HYPERLINK("https://twitter.com/essencias_ss")</f>
        <v>https://twitter.com/essencias_ss</v>
      </c>
      <c r="BP613" s="2"/>
    </row>
    <row r="614" spans="1:68" x14ac:dyDescent="0.25">
      <c r="A614" s="62" t="s">
        <v>807</v>
      </c>
      <c r="B614" s="63"/>
      <c r="C614" s="63"/>
      <c r="D614" s="64"/>
      <c r="E614" s="66"/>
      <c r="F614" s="102" t="str">
        <f>HYPERLINK("https://pbs.twimg.com/profile_images/1668084931015192576/10-yXLAu_normal.jpg")</f>
        <v>https://pbs.twimg.com/profile_images/1668084931015192576/10-yXLAu_normal.jpg</v>
      </c>
      <c r="G614" s="63"/>
      <c r="H614" s="67"/>
      <c r="I614" s="68"/>
      <c r="J614" s="68"/>
      <c r="K614" s="67" t="s">
        <v>25548</v>
      </c>
      <c r="L614" s="71"/>
      <c r="M614" s="72"/>
      <c r="N614" s="72"/>
      <c r="O614" s="73"/>
      <c r="P614" s="74"/>
      <c r="Q614" s="74"/>
      <c r="R614" s="86"/>
      <c r="S614" s="86"/>
      <c r="T614" s="86"/>
      <c r="U614" s="86"/>
      <c r="V614" s="48"/>
      <c r="W614" s="48"/>
      <c r="X614" s="48"/>
      <c r="Y614" s="48"/>
      <c r="Z614" s="47"/>
      <c r="AA614" s="69">
        <v>614</v>
      </c>
      <c r="AB614" s="69"/>
      <c r="AC614" s="70"/>
      <c r="AD614" s="76" t="s">
        <v>22415</v>
      </c>
      <c r="AE614" s="81" t="s">
        <v>21445</v>
      </c>
      <c r="AF614" s="76">
        <v>57</v>
      </c>
      <c r="AG614" s="76">
        <v>371</v>
      </c>
      <c r="AH614" s="76">
        <v>2650</v>
      </c>
      <c r="AI614" s="76">
        <v>2</v>
      </c>
      <c r="AJ614" s="76">
        <v>6668</v>
      </c>
      <c r="AK614" s="76">
        <v>4</v>
      </c>
      <c r="AL614" s="76" t="b">
        <v>0</v>
      </c>
      <c r="AM614" s="78">
        <v>43760.770509259259</v>
      </c>
      <c r="AN614" s="76"/>
      <c r="AO614" s="76" t="s">
        <v>23878</v>
      </c>
      <c r="AP614" s="76"/>
      <c r="AQ614" s="76"/>
      <c r="AR614" s="76"/>
      <c r="AS614" s="76"/>
      <c r="AT614" s="76"/>
      <c r="AU614" s="76"/>
      <c r="AV614" s="76"/>
      <c r="AW614" s="76"/>
      <c r="AX614" s="76" t="b">
        <v>0</v>
      </c>
      <c r="AY614" s="76"/>
      <c r="AZ614" s="76"/>
      <c r="BA614" s="76" t="b">
        <v>0</v>
      </c>
      <c r="BB614" s="76" t="b">
        <v>0</v>
      </c>
      <c r="BC614" s="76" t="b">
        <v>1</v>
      </c>
      <c r="BD614" s="76" t="b">
        <v>0</v>
      </c>
      <c r="BE614" s="76" t="b">
        <v>0</v>
      </c>
      <c r="BF614" s="76" t="b">
        <v>0</v>
      </c>
      <c r="BG614" s="76" t="b">
        <v>0</v>
      </c>
      <c r="BH614" s="83" t="str">
        <f>HYPERLINK("https://pbs.twimg.com/profile_banners/1186711104967397381/1630417683")</f>
        <v>https://pbs.twimg.com/profile_banners/1186711104967397381/1630417683</v>
      </c>
      <c r="BI614" s="76"/>
      <c r="BJ614" s="76" t="s">
        <v>24935</v>
      </c>
      <c r="BK614" s="76" t="b">
        <v>0</v>
      </c>
      <c r="BL614" s="76"/>
      <c r="BM614" s="76" t="s">
        <v>66</v>
      </c>
      <c r="BN614" s="76" t="s">
        <v>24937</v>
      </c>
      <c r="BO614" s="83" t="str">
        <f>HYPERLINK("https://twitter.com/diaaass_")</f>
        <v>https://twitter.com/diaaass_</v>
      </c>
      <c r="BP614" s="2"/>
    </row>
    <row r="615" spans="1:68" x14ac:dyDescent="0.25">
      <c r="A615" s="62" t="s">
        <v>808</v>
      </c>
      <c r="B615" s="63"/>
      <c r="C615" s="63"/>
      <c r="D615" s="64"/>
      <c r="E615" s="66"/>
      <c r="F615" s="102" t="str">
        <f>HYPERLINK("https://pbs.twimg.com/profile_images/1644540524961968128/RR-LNKL1_normal.jpg")</f>
        <v>https://pbs.twimg.com/profile_images/1644540524961968128/RR-LNKL1_normal.jpg</v>
      </c>
      <c r="G615" s="63"/>
      <c r="H615" s="67"/>
      <c r="I615" s="68"/>
      <c r="J615" s="68"/>
      <c r="K615" s="67" t="s">
        <v>25549</v>
      </c>
      <c r="L615" s="71"/>
      <c r="M615" s="72"/>
      <c r="N615" s="72"/>
      <c r="O615" s="73"/>
      <c r="P615" s="74"/>
      <c r="Q615" s="74"/>
      <c r="R615" s="86"/>
      <c r="S615" s="86"/>
      <c r="T615" s="86"/>
      <c r="U615" s="86"/>
      <c r="V615" s="48"/>
      <c r="W615" s="48"/>
      <c r="X615" s="48"/>
      <c r="Y615" s="48"/>
      <c r="Z615" s="47"/>
      <c r="AA615" s="69">
        <v>615</v>
      </c>
      <c r="AB615" s="69"/>
      <c r="AC615" s="70"/>
      <c r="AD615" s="76" t="s">
        <v>22416</v>
      </c>
      <c r="AE615" s="81" t="s">
        <v>21446</v>
      </c>
      <c r="AF615" s="76">
        <v>13</v>
      </c>
      <c r="AG615" s="76">
        <v>13</v>
      </c>
      <c r="AH615" s="76">
        <v>136</v>
      </c>
      <c r="AI615" s="76">
        <v>1</v>
      </c>
      <c r="AJ615" s="76">
        <v>263</v>
      </c>
      <c r="AK615" s="76">
        <v>26</v>
      </c>
      <c r="AL615" s="76" t="b">
        <v>0</v>
      </c>
      <c r="AM615" s="78">
        <v>44855.555694444447</v>
      </c>
      <c r="AN615" s="76" t="s">
        <v>23238</v>
      </c>
      <c r="AO615" s="76" t="s">
        <v>23879</v>
      </c>
      <c r="AP615" s="83" t="str">
        <f>HYPERLINK("https://t.co/wQT57Gk54c")</f>
        <v>https://t.co/wQT57Gk54c</v>
      </c>
      <c r="AQ615" s="83" t="str">
        <f>HYPERLINK("https://www.magazinevoce.com.br/magazinevitmarly/")</f>
        <v>https://www.magazinevoce.com.br/magazinevitmarly/</v>
      </c>
      <c r="AR615" s="76" t="s">
        <v>24595</v>
      </c>
      <c r="AS615" s="76"/>
      <c r="AT615" s="76"/>
      <c r="AU615" s="76"/>
      <c r="AV615" s="76"/>
      <c r="AW615" s="83" t="str">
        <f>HYPERLINK("https://t.co/wQT57Gk54c")</f>
        <v>https://t.co/wQT57Gk54c</v>
      </c>
      <c r="AX615" s="76" t="b">
        <v>0</v>
      </c>
      <c r="AY615" s="76"/>
      <c r="AZ615" s="76"/>
      <c r="BA615" s="76" t="b">
        <v>0</v>
      </c>
      <c r="BB615" s="76" t="b">
        <v>1</v>
      </c>
      <c r="BC615" s="76" t="b">
        <v>1</v>
      </c>
      <c r="BD615" s="76" t="b">
        <v>0</v>
      </c>
      <c r="BE615" s="76" t="b">
        <v>0</v>
      </c>
      <c r="BF615" s="76" t="b">
        <v>0</v>
      </c>
      <c r="BG615" s="76" t="b">
        <v>0</v>
      </c>
      <c r="BH615" s="83" t="str">
        <f>HYPERLINK("https://pbs.twimg.com/profile_banners/1583448007160340487/1680923989")</f>
        <v>https://pbs.twimg.com/profile_banners/1583448007160340487/1680923989</v>
      </c>
      <c r="BI615" s="76"/>
      <c r="BJ615" s="76" t="s">
        <v>24935</v>
      </c>
      <c r="BK615" s="76" t="b">
        <v>0</v>
      </c>
      <c r="BL615" s="76"/>
      <c r="BM615" s="76" t="s">
        <v>66</v>
      </c>
      <c r="BN615" s="76" t="s">
        <v>24937</v>
      </c>
      <c r="BO615" s="83" t="str">
        <f>HYPERLINK("https://twitter.com/vitordblack092")</f>
        <v>https://twitter.com/vitordblack092</v>
      </c>
      <c r="BP615" s="2"/>
    </row>
    <row r="616" spans="1:68" x14ac:dyDescent="0.25">
      <c r="A616" s="62" t="s">
        <v>809</v>
      </c>
      <c r="B616" s="63"/>
      <c r="C616" s="63"/>
      <c r="D616" s="64"/>
      <c r="E616" s="66"/>
      <c r="F616" s="102" t="str">
        <f>HYPERLINK("https://pbs.twimg.com/profile_images/1703085588151250944/z5ZOHvK2_normal.jpg")</f>
        <v>https://pbs.twimg.com/profile_images/1703085588151250944/z5ZOHvK2_normal.jpg</v>
      </c>
      <c r="G616" s="63"/>
      <c r="H616" s="67"/>
      <c r="I616" s="68"/>
      <c r="J616" s="68"/>
      <c r="K616" s="67" t="s">
        <v>25550</v>
      </c>
      <c r="L616" s="71"/>
      <c r="M616" s="72"/>
      <c r="N616" s="72"/>
      <c r="O616" s="73"/>
      <c r="P616" s="74"/>
      <c r="Q616" s="74"/>
      <c r="R616" s="86"/>
      <c r="S616" s="86"/>
      <c r="T616" s="86"/>
      <c r="U616" s="86"/>
      <c r="V616" s="48"/>
      <c r="W616" s="48"/>
      <c r="X616" s="48"/>
      <c r="Y616" s="48"/>
      <c r="Z616" s="47"/>
      <c r="AA616" s="69">
        <v>616</v>
      </c>
      <c r="AB616" s="69"/>
      <c r="AC616" s="70"/>
      <c r="AD616" s="76" t="s">
        <v>22417</v>
      </c>
      <c r="AE616" s="81" t="s">
        <v>21447</v>
      </c>
      <c r="AF616" s="76">
        <v>0</v>
      </c>
      <c r="AG616" s="76">
        <v>1</v>
      </c>
      <c r="AH616" s="76">
        <v>6</v>
      </c>
      <c r="AI616" s="76">
        <v>0</v>
      </c>
      <c r="AJ616" s="76">
        <v>0</v>
      </c>
      <c r="AK616" s="76">
        <v>6</v>
      </c>
      <c r="AL616" s="76" t="b">
        <v>0</v>
      </c>
      <c r="AM616" s="78">
        <v>45178.774571759262</v>
      </c>
      <c r="AN616" s="76"/>
      <c r="AO616" s="76" t="s">
        <v>23880</v>
      </c>
      <c r="AP616" s="76"/>
      <c r="AQ616" s="76"/>
      <c r="AR616" s="76"/>
      <c r="AS616" s="76"/>
      <c r="AT616" s="76"/>
      <c r="AU616" s="76"/>
      <c r="AV616" s="76"/>
      <c r="AW616" s="76"/>
      <c r="AX616" s="76" t="b">
        <v>0</v>
      </c>
      <c r="AY616" s="76"/>
      <c r="AZ616" s="76"/>
      <c r="BA616" s="76" t="b">
        <v>0</v>
      </c>
      <c r="BB616" s="76" t="b">
        <v>1</v>
      </c>
      <c r="BC616" s="76" t="b">
        <v>1</v>
      </c>
      <c r="BD616" s="76" t="b">
        <v>0</v>
      </c>
      <c r="BE616" s="76" t="b">
        <v>0</v>
      </c>
      <c r="BF616" s="76" t="b">
        <v>0</v>
      </c>
      <c r="BG616" s="76" t="b">
        <v>0</v>
      </c>
      <c r="BH616" s="76"/>
      <c r="BI616" s="76"/>
      <c r="BJ616" s="76" t="s">
        <v>24935</v>
      </c>
      <c r="BK616" s="76" t="b">
        <v>0</v>
      </c>
      <c r="BL616" s="76"/>
      <c r="BM616" s="76" t="s">
        <v>66</v>
      </c>
      <c r="BN616" s="76" t="s">
        <v>24937</v>
      </c>
      <c r="BO616" s="83" t="str">
        <f>HYPERLINK("https://twitter.com/ci_da_gow")</f>
        <v>https://twitter.com/ci_da_gow</v>
      </c>
      <c r="BP616" s="2"/>
    </row>
    <row r="617" spans="1:68" x14ac:dyDescent="0.25">
      <c r="A617" s="62" t="s">
        <v>810</v>
      </c>
      <c r="B617" s="63"/>
      <c r="C617" s="63"/>
      <c r="D617" s="64"/>
      <c r="E617" s="66"/>
      <c r="F617" s="102" t="str">
        <f>HYPERLINK("https://pbs.twimg.com/profile_images/1370162773745938433/smV0OXq7_normal.jpg")</f>
        <v>https://pbs.twimg.com/profile_images/1370162773745938433/smV0OXq7_normal.jpg</v>
      </c>
      <c r="G617" s="63"/>
      <c r="H617" s="67"/>
      <c r="I617" s="68"/>
      <c r="J617" s="68"/>
      <c r="K617" s="67" t="s">
        <v>25551</v>
      </c>
      <c r="L617" s="71"/>
      <c r="M617" s="72"/>
      <c r="N617" s="72"/>
      <c r="O617" s="73"/>
      <c r="P617" s="74"/>
      <c r="Q617" s="74"/>
      <c r="R617" s="86"/>
      <c r="S617" s="86"/>
      <c r="T617" s="86"/>
      <c r="U617" s="86"/>
      <c r="V617" s="48"/>
      <c r="W617" s="48"/>
      <c r="X617" s="48"/>
      <c r="Y617" s="48"/>
      <c r="Z617" s="47"/>
      <c r="AA617" s="69">
        <v>617</v>
      </c>
      <c r="AB617" s="69"/>
      <c r="AC617" s="70"/>
      <c r="AD617" s="76" t="s">
        <v>22418</v>
      </c>
      <c r="AE617" s="81" t="s">
        <v>22981</v>
      </c>
      <c r="AF617" s="76">
        <v>1730</v>
      </c>
      <c r="AG617" s="76">
        <v>2099</v>
      </c>
      <c r="AH617" s="76">
        <v>4839</v>
      </c>
      <c r="AI617" s="76">
        <v>66</v>
      </c>
      <c r="AJ617" s="76">
        <v>3524</v>
      </c>
      <c r="AK617" s="76">
        <v>1354</v>
      </c>
      <c r="AL617" s="76" t="b">
        <v>0</v>
      </c>
      <c r="AM617" s="78">
        <v>40318.599710648145</v>
      </c>
      <c r="AN617" s="76" t="s">
        <v>23239</v>
      </c>
      <c r="AO617" s="76" t="s">
        <v>23881</v>
      </c>
      <c r="AP617" s="83" t="str">
        <f>HYPERLINK("https://t.co/igHzJd2wql")</f>
        <v>https://t.co/igHzJd2wql</v>
      </c>
      <c r="AQ617" s="83" t="str">
        <f>HYPERLINK("https://oscarulloa.com")</f>
        <v>https://oscarulloa.com</v>
      </c>
      <c r="AR617" s="76" t="s">
        <v>24596</v>
      </c>
      <c r="AS617" s="83" t="str">
        <f>HYPERLINK("https://t.co/1f2RtyVJ28")</f>
        <v>https://t.co/1f2RtyVJ28</v>
      </c>
      <c r="AT617" s="83" t="str">
        <f>HYPERLINK("http://bit.ly/gsaavanzado")</f>
        <v>http://bit.ly/gsaavanzado</v>
      </c>
      <c r="AU617" s="76" t="s">
        <v>24893</v>
      </c>
      <c r="AV617" s="76"/>
      <c r="AW617" s="83" t="str">
        <f>HYPERLINK("https://t.co/igHzJd2wql")</f>
        <v>https://t.co/igHzJd2wql</v>
      </c>
      <c r="AX617" s="76" t="b">
        <v>0</v>
      </c>
      <c r="AY617" s="76"/>
      <c r="AZ617" s="76"/>
      <c r="BA617" s="76" t="b">
        <v>0</v>
      </c>
      <c r="BB617" s="76" t="b">
        <v>1</v>
      </c>
      <c r="BC617" s="76" t="b">
        <v>0</v>
      </c>
      <c r="BD617" s="76" t="b">
        <v>0</v>
      </c>
      <c r="BE617" s="76" t="b">
        <v>1</v>
      </c>
      <c r="BF617" s="76" t="b">
        <v>0</v>
      </c>
      <c r="BG617" s="76" t="b">
        <v>0</v>
      </c>
      <c r="BH617" s="83" t="str">
        <f>HYPERLINK("https://pbs.twimg.com/profile_banners/146064053/1453762831")</f>
        <v>https://pbs.twimg.com/profile_banners/146064053/1453762831</v>
      </c>
      <c r="BI617" s="76"/>
      <c r="BJ617" s="76" t="s">
        <v>24935</v>
      </c>
      <c r="BK617" s="76" t="b">
        <v>0</v>
      </c>
      <c r="BL617" s="76"/>
      <c r="BM617" s="76" t="s">
        <v>66</v>
      </c>
      <c r="BN617" s="76" t="s">
        <v>24937</v>
      </c>
      <c r="BO617" s="83" t="str">
        <f>HYPERLINK("https://twitter.com/ozkar_ulloa")</f>
        <v>https://twitter.com/ozkar_ulloa</v>
      </c>
      <c r="BP617" s="2"/>
    </row>
    <row r="618" spans="1:68" x14ac:dyDescent="0.25">
      <c r="A618" s="62" t="s">
        <v>928</v>
      </c>
      <c r="B618" s="63"/>
      <c r="C618" s="63"/>
      <c r="D618" s="64"/>
      <c r="E618" s="66"/>
      <c r="F618" s="102" t="str">
        <f>HYPERLINK("https://pbs.twimg.com/profile_images/1538861498600198145/aa78SVzN_normal.jpg")</f>
        <v>https://pbs.twimg.com/profile_images/1538861498600198145/aa78SVzN_normal.jpg</v>
      </c>
      <c r="G618" s="63"/>
      <c r="H618" s="67"/>
      <c r="I618" s="68"/>
      <c r="J618" s="68"/>
      <c r="K618" s="67" t="s">
        <v>25552</v>
      </c>
      <c r="L618" s="71"/>
      <c r="M618" s="72"/>
      <c r="N618" s="72"/>
      <c r="O618" s="73"/>
      <c r="P618" s="74"/>
      <c r="Q618" s="74"/>
      <c r="R618" s="86"/>
      <c r="S618" s="86"/>
      <c r="T618" s="86"/>
      <c r="U618" s="86"/>
      <c r="V618" s="48"/>
      <c r="W618" s="48"/>
      <c r="X618" s="48"/>
      <c r="Y618" s="48"/>
      <c r="Z618" s="47"/>
      <c r="AA618" s="69">
        <v>618</v>
      </c>
      <c r="AB618" s="69"/>
      <c r="AC618" s="70"/>
      <c r="AD618" s="76" t="s">
        <v>22419</v>
      </c>
      <c r="AE618" s="81" t="s">
        <v>22982</v>
      </c>
      <c r="AF618" s="76">
        <v>61</v>
      </c>
      <c r="AG618" s="76">
        <v>84</v>
      </c>
      <c r="AH618" s="76">
        <v>892</v>
      </c>
      <c r="AI618" s="76">
        <v>1</v>
      </c>
      <c r="AJ618" s="76">
        <v>21</v>
      </c>
      <c r="AK618" s="76">
        <v>372</v>
      </c>
      <c r="AL618" s="76" t="b">
        <v>0</v>
      </c>
      <c r="AM618" s="78">
        <v>39946.856249999997</v>
      </c>
      <c r="AN618" s="76" t="s">
        <v>23240</v>
      </c>
      <c r="AO618" s="76" t="s">
        <v>23882</v>
      </c>
      <c r="AP618" s="83" t="str">
        <f>HYPERLINK("https://t.co/Eho0u9rl7a")</f>
        <v>https://t.co/Eho0u9rl7a</v>
      </c>
      <c r="AQ618" s="83" t="str">
        <f>HYPERLINK("https://linktr.ee/joseafonso.mkt")</f>
        <v>https://linktr.ee/joseafonso.mkt</v>
      </c>
      <c r="AR618" s="76" t="s">
        <v>24597</v>
      </c>
      <c r="AS618" s="76"/>
      <c r="AT618" s="76"/>
      <c r="AU618" s="76"/>
      <c r="AV618" s="76"/>
      <c r="AW618" s="83" t="str">
        <f>HYPERLINK("https://t.co/Eho0u9rl7a")</f>
        <v>https://t.co/Eho0u9rl7a</v>
      </c>
      <c r="AX618" s="76" t="b">
        <v>0</v>
      </c>
      <c r="AY618" s="76"/>
      <c r="AZ618" s="76"/>
      <c r="BA618" s="76" t="b">
        <v>0</v>
      </c>
      <c r="BB618" s="76" t="b">
        <v>1</v>
      </c>
      <c r="BC618" s="76" t="b">
        <v>0</v>
      </c>
      <c r="BD618" s="76" t="b">
        <v>0</v>
      </c>
      <c r="BE618" s="76" t="b">
        <v>0</v>
      </c>
      <c r="BF618" s="76" t="b">
        <v>0</v>
      </c>
      <c r="BG618" s="76" t="b">
        <v>0</v>
      </c>
      <c r="BH618" s="83" t="str">
        <f>HYPERLINK("https://pbs.twimg.com/profile_banners/39827338/1660164311")</f>
        <v>https://pbs.twimg.com/profile_banners/39827338/1660164311</v>
      </c>
      <c r="BI618" s="76"/>
      <c r="BJ618" s="76" t="s">
        <v>24935</v>
      </c>
      <c r="BK618" s="76" t="b">
        <v>0</v>
      </c>
      <c r="BL618" s="76"/>
      <c r="BM618" s="76" t="s">
        <v>66</v>
      </c>
      <c r="BN618" s="76" t="s">
        <v>24937</v>
      </c>
      <c r="BO618" s="83" t="str">
        <f>HYPERLINK("https://twitter.com/zeafonsosamurai")</f>
        <v>https://twitter.com/zeafonsosamurai</v>
      </c>
      <c r="BP618" s="2"/>
    </row>
    <row r="619" spans="1:68" x14ac:dyDescent="0.25">
      <c r="A619" s="62" t="s">
        <v>811</v>
      </c>
      <c r="B619" s="63"/>
      <c r="C619" s="63"/>
      <c r="D619" s="64"/>
      <c r="E619" s="66"/>
      <c r="F619" s="102" t="str">
        <f>HYPERLINK("https://pbs.twimg.com/profile_images/1700624958982889472/6qwhwMLH_normal.jpg")</f>
        <v>https://pbs.twimg.com/profile_images/1700624958982889472/6qwhwMLH_normal.jpg</v>
      </c>
      <c r="G619" s="63"/>
      <c r="H619" s="67"/>
      <c r="I619" s="68"/>
      <c r="J619" s="68"/>
      <c r="K619" s="67" t="s">
        <v>25553</v>
      </c>
      <c r="L619" s="71"/>
      <c r="M619" s="72"/>
      <c r="N619" s="72"/>
      <c r="O619" s="73"/>
      <c r="P619" s="74"/>
      <c r="Q619" s="74"/>
      <c r="R619" s="86"/>
      <c r="S619" s="86"/>
      <c r="T619" s="86"/>
      <c r="U619" s="86"/>
      <c r="V619" s="48"/>
      <c r="W619" s="48"/>
      <c r="X619" s="48"/>
      <c r="Y619" s="48"/>
      <c r="Z619" s="47"/>
      <c r="AA619" s="69">
        <v>619</v>
      </c>
      <c r="AB619" s="69"/>
      <c r="AC619" s="70"/>
      <c r="AD619" s="76" t="s">
        <v>22420</v>
      </c>
      <c r="AE619" s="81" t="s">
        <v>21448</v>
      </c>
      <c r="AF619" s="76">
        <v>0</v>
      </c>
      <c r="AG619" s="76">
        <v>0</v>
      </c>
      <c r="AH619" s="76">
        <v>35</v>
      </c>
      <c r="AI619" s="76">
        <v>0</v>
      </c>
      <c r="AJ619" s="76">
        <v>0</v>
      </c>
      <c r="AK619" s="76">
        <v>35</v>
      </c>
      <c r="AL619" s="76" t="b">
        <v>0</v>
      </c>
      <c r="AM619" s="78">
        <v>45142.57949074074</v>
      </c>
      <c r="AN619" s="76"/>
      <c r="AO619" s="76"/>
      <c r="AP619" s="76"/>
      <c r="AQ619" s="76"/>
      <c r="AR619" s="76"/>
      <c r="AS619" s="76"/>
      <c r="AT619" s="76"/>
      <c r="AU619" s="76"/>
      <c r="AV619" s="76"/>
      <c r="AW619" s="76"/>
      <c r="AX619" s="76" t="b">
        <v>0</v>
      </c>
      <c r="AY619" s="76"/>
      <c r="AZ619" s="76"/>
      <c r="BA619" s="76" t="b">
        <v>1</v>
      </c>
      <c r="BB619" s="76" t="b">
        <v>1</v>
      </c>
      <c r="BC619" s="76" t="b">
        <v>1</v>
      </c>
      <c r="BD619" s="76" t="b">
        <v>0</v>
      </c>
      <c r="BE619" s="76" t="b">
        <v>0</v>
      </c>
      <c r="BF619" s="76" t="b">
        <v>0</v>
      </c>
      <c r="BG619" s="76" t="b">
        <v>0</v>
      </c>
      <c r="BH619" s="76"/>
      <c r="BI619" s="76"/>
      <c r="BJ619" s="76" t="s">
        <v>24935</v>
      </c>
      <c r="BK619" s="76" t="b">
        <v>0</v>
      </c>
      <c r="BL619" s="76"/>
      <c r="BM619" s="76" t="s">
        <v>66</v>
      </c>
      <c r="BN619" s="76" t="s">
        <v>24937</v>
      </c>
      <c r="BO619" s="83" t="str">
        <f>HYPERLINK("https://twitter.com/digitalblack_")</f>
        <v>https://twitter.com/digitalblack_</v>
      </c>
      <c r="BP619" s="2"/>
    </row>
    <row r="620" spans="1:68" x14ac:dyDescent="0.25">
      <c r="A620" s="62" t="s">
        <v>812</v>
      </c>
      <c r="B620" s="63"/>
      <c r="C620" s="63"/>
      <c r="D620" s="64"/>
      <c r="E620" s="66"/>
      <c r="F620" s="102" t="str">
        <f>HYPERLINK("https://pbs.twimg.com/profile_images/1707026976446267392/eSC4sECn_normal.jpg")</f>
        <v>https://pbs.twimg.com/profile_images/1707026976446267392/eSC4sECn_normal.jpg</v>
      </c>
      <c r="G620" s="63"/>
      <c r="H620" s="67"/>
      <c r="I620" s="68"/>
      <c r="J620" s="68"/>
      <c r="K620" s="67" t="s">
        <v>25554</v>
      </c>
      <c r="L620" s="71"/>
      <c r="M620" s="72"/>
      <c r="N620" s="72"/>
      <c r="O620" s="73"/>
      <c r="P620" s="74"/>
      <c r="Q620" s="74"/>
      <c r="R620" s="86"/>
      <c r="S620" s="86"/>
      <c r="T620" s="86"/>
      <c r="U620" s="86"/>
      <c r="V620" s="48"/>
      <c r="W620" s="48"/>
      <c r="X620" s="48"/>
      <c r="Y620" s="48"/>
      <c r="Z620" s="47"/>
      <c r="AA620" s="69">
        <v>620</v>
      </c>
      <c r="AB620" s="69"/>
      <c r="AC620" s="70"/>
      <c r="AD620" s="76" t="s">
        <v>812</v>
      </c>
      <c r="AE620" s="81" t="s">
        <v>21449</v>
      </c>
      <c r="AF620" s="76">
        <v>0</v>
      </c>
      <c r="AG620" s="76">
        <v>11</v>
      </c>
      <c r="AH620" s="76">
        <v>7</v>
      </c>
      <c r="AI620" s="76">
        <v>0</v>
      </c>
      <c r="AJ620" s="76">
        <v>7</v>
      </c>
      <c r="AK620" s="76">
        <v>6</v>
      </c>
      <c r="AL620" s="76" t="b">
        <v>0</v>
      </c>
      <c r="AM620" s="78">
        <v>45196.56621527778</v>
      </c>
      <c r="AN620" s="76"/>
      <c r="AO620" s="76" t="s">
        <v>23883</v>
      </c>
      <c r="AP620" s="76"/>
      <c r="AQ620" s="76"/>
      <c r="AR620" s="76"/>
      <c r="AS620" s="83" t="str">
        <f>HYPERLINK("https://t.co/T9yz0KUvxQ")</f>
        <v>https://t.co/T9yz0KUvxQ</v>
      </c>
      <c r="AT620" s="83" t="str">
        <f>HYPERLINK("https://bkjh.wgbet555.com/?id=78138226")</f>
        <v>https://bkjh.wgbet555.com/?id=78138226</v>
      </c>
      <c r="AU620" s="76" t="s">
        <v>24894</v>
      </c>
      <c r="AV620" s="76"/>
      <c r="AW620" s="76"/>
      <c r="AX620" s="76" t="b">
        <v>0</v>
      </c>
      <c r="AY620" s="76"/>
      <c r="AZ620" s="76"/>
      <c r="BA620" s="76" t="b">
        <v>0</v>
      </c>
      <c r="BB620" s="76" t="b">
        <v>1</v>
      </c>
      <c r="BC620" s="76" t="b">
        <v>1</v>
      </c>
      <c r="BD620" s="76" t="b">
        <v>0</v>
      </c>
      <c r="BE620" s="76" t="b">
        <v>0</v>
      </c>
      <c r="BF620" s="76" t="b">
        <v>0</v>
      </c>
      <c r="BG620" s="76" t="b">
        <v>0</v>
      </c>
      <c r="BH620" s="83" t="str">
        <f>HYPERLINK("https://pbs.twimg.com/profile_banners/1707026083088891904/1695822069")</f>
        <v>https://pbs.twimg.com/profile_banners/1707026083088891904/1695822069</v>
      </c>
      <c r="BI620" s="76"/>
      <c r="BJ620" s="76" t="s">
        <v>24935</v>
      </c>
      <c r="BK620" s="76" t="b">
        <v>0</v>
      </c>
      <c r="BL620" s="76"/>
      <c r="BM620" s="76" t="s">
        <v>66</v>
      </c>
      <c r="BN620" s="76" t="s">
        <v>24937</v>
      </c>
      <c r="BO620" s="83" t="str">
        <f>HYPERLINK("https://twitter.com/wgslots")</f>
        <v>https://twitter.com/wgslots</v>
      </c>
      <c r="BP620" s="2"/>
    </row>
    <row r="621" spans="1:68" x14ac:dyDescent="0.25">
      <c r="A621" s="62" t="s">
        <v>813</v>
      </c>
      <c r="B621" s="63"/>
      <c r="C621" s="63"/>
      <c r="D621" s="64"/>
      <c r="E621" s="66"/>
      <c r="F621" s="102" t="str">
        <f>HYPERLINK("https://pbs.twimg.com/profile_images/1635888687673139204/tR3GQ5Bv_normal.jpg")</f>
        <v>https://pbs.twimg.com/profile_images/1635888687673139204/tR3GQ5Bv_normal.jpg</v>
      </c>
      <c r="G621" s="63"/>
      <c r="H621" s="67"/>
      <c r="I621" s="68"/>
      <c r="J621" s="68"/>
      <c r="K621" s="67" t="s">
        <v>25555</v>
      </c>
      <c r="L621" s="71"/>
      <c r="M621" s="72"/>
      <c r="N621" s="72"/>
      <c r="O621" s="73"/>
      <c r="P621" s="74"/>
      <c r="Q621" s="74"/>
      <c r="R621" s="86"/>
      <c r="S621" s="86"/>
      <c r="T621" s="86"/>
      <c r="U621" s="86"/>
      <c r="V621" s="48"/>
      <c r="W621" s="48"/>
      <c r="X621" s="48"/>
      <c r="Y621" s="48"/>
      <c r="Z621" s="47"/>
      <c r="AA621" s="69">
        <v>621</v>
      </c>
      <c r="AB621" s="69"/>
      <c r="AC621" s="70"/>
      <c r="AD621" s="76" t="s">
        <v>22421</v>
      </c>
      <c r="AE621" s="81" t="s">
        <v>20948</v>
      </c>
      <c r="AF621" s="76">
        <v>13</v>
      </c>
      <c r="AG621" s="76">
        <v>188</v>
      </c>
      <c r="AH621" s="76">
        <v>33</v>
      </c>
      <c r="AI621" s="76">
        <v>0</v>
      </c>
      <c r="AJ621" s="76">
        <v>13</v>
      </c>
      <c r="AK621" s="76">
        <v>2</v>
      </c>
      <c r="AL621" s="76" t="b">
        <v>0</v>
      </c>
      <c r="AM621" s="78">
        <v>44965.733460648145</v>
      </c>
      <c r="AN621" s="76"/>
      <c r="AO621" s="76" t="s">
        <v>23884</v>
      </c>
      <c r="AP621" s="76"/>
      <c r="AQ621" s="76"/>
      <c r="AR621" s="76"/>
      <c r="AS621" s="76"/>
      <c r="AT621" s="76"/>
      <c r="AU621" s="76"/>
      <c r="AV621" s="76"/>
      <c r="AW621" s="76"/>
      <c r="AX621" s="76" t="b">
        <v>0</v>
      </c>
      <c r="AY621" s="76"/>
      <c r="AZ621" s="76"/>
      <c r="BA621" s="76" t="b">
        <v>0</v>
      </c>
      <c r="BB621" s="76" t="b">
        <v>1</v>
      </c>
      <c r="BC621" s="76" t="b">
        <v>1</v>
      </c>
      <c r="BD621" s="76" t="b">
        <v>0</v>
      </c>
      <c r="BE621" s="76" t="b">
        <v>0</v>
      </c>
      <c r="BF621" s="76" t="b">
        <v>0</v>
      </c>
      <c r="BG621" s="76" t="b">
        <v>0</v>
      </c>
      <c r="BH621" s="76"/>
      <c r="BI621" s="76"/>
      <c r="BJ621" s="76" t="s">
        <v>24935</v>
      </c>
      <c r="BK621" s="76" t="b">
        <v>0</v>
      </c>
      <c r="BL621" s="76"/>
      <c r="BM621" s="76" t="s">
        <v>66</v>
      </c>
      <c r="BN621" s="76" t="s">
        <v>24937</v>
      </c>
      <c r="BO621" s="83" t="str">
        <f>HYPERLINK("https://twitter.com/snatan1928")</f>
        <v>https://twitter.com/snatan1928</v>
      </c>
      <c r="BP621" s="2"/>
    </row>
    <row r="622" spans="1:68" x14ac:dyDescent="0.25">
      <c r="A622" s="62" t="s">
        <v>814</v>
      </c>
      <c r="B622" s="63"/>
      <c r="C622" s="63"/>
      <c r="D622" s="64"/>
      <c r="E622" s="66"/>
      <c r="F622" s="102" t="str">
        <f>HYPERLINK("https://pbs.twimg.com/profile_images/1661957794285735938/t8HZWkY9_normal.png")</f>
        <v>https://pbs.twimg.com/profile_images/1661957794285735938/t8HZWkY9_normal.png</v>
      </c>
      <c r="G622" s="63"/>
      <c r="H622" s="67"/>
      <c r="I622" s="68"/>
      <c r="J622" s="68"/>
      <c r="K622" s="67" t="s">
        <v>25556</v>
      </c>
      <c r="L622" s="71"/>
      <c r="M622" s="72"/>
      <c r="N622" s="72"/>
      <c r="O622" s="73"/>
      <c r="P622" s="74"/>
      <c r="Q622" s="74"/>
      <c r="R622" s="86"/>
      <c r="S622" s="86"/>
      <c r="T622" s="86"/>
      <c r="U622" s="86"/>
      <c r="V622" s="48"/>
      <c r="W622" s="48"/>
      <c r="X622" s="48"/>
      <c r="Y622" s="48"/>
      <c r="Z622" s="47"/>
      <c r="AA622" s="69">
        <v>622</v>
      </c>
      <c r="AB622" s="69"/>
      <c r="AC622" s="70"/>
      <c r="AD622" s="76" t="s">
        <v>22422</v>
      </c>
      <c r="AE622" s="81" t="s">
        <v>20949</v>
      </c>
      <c r="AF622" s="76">
        <v>1</v>
      </c>
      <c r="AG622" s="76">
        <v>6</v>
      </c>
      <c r="AH622" s="76">
        <v>13</v>
      </c>
      <c r="AI622" s="76">
        <v>0</v>
      </c>
      <c r="AJ622" s="76">
        <v>0</v>
      </c>
      <c r="AK622" s="76">
        <v>13</v>
      </c>
      <c r="AL622" s="76" t="b">
        <v>0</v>
      </c>
      <c r="AM622" s="78">
        <v>45072.201273148145</v>
      </c>
      <c r="AN622" s="76"/>
      <c r="AO622" s="76" t="s">
        <v>23885</v>
      </c>
      <c r="AP622" s="83" t="str">
        <f>HYPERLINK("https://t.co/79qoZnfQfn")</f>
        <v>https://t.co/79qoZnfQfn</v>
      </c>
      <c r="AQ622" s="83" t="str">
        <f>HYPERLINK("https://bit.ly/zapplus-twitter")</f>
        <v>https://bit.ly/zapplus-twitter</v>
      </c>
      <c r="AR622" s="76" t="s">
        <v>24598</v>
      </c>
      <c r="AS622" s="76"/>
      <c r="AT622" s="76"/>
      <c r="AU622" s="76"/>
      <c r="AV622" s="76"/>
      <c r="AW622" s="83" t="str">
        <f>HYPERLINK("https://t.co/79qoZnfQfn")</f>
        <v>https://t.co/79qoZnfQfn</v>
      </c>
      <c r="AX622" s="76" t="b">
        <v>0</v>
      </c>
      <c r="AY622" s="76"/>
      <c r="AZ622" s="76"/>
      <c r="BA622" s="76" t="b">
        <v>0</v>
      </c>
      <c r="BB622" s="76" t="b">
        <v>1</v>
      </c>
      <c r="BC622" s="76" t="b">
        <v>1</v>
      </c>
      <c r="BD622" s="76" t="b">
        <v>0</v>
      </c>
      <c r="BE622" s="76" t="b">
        <v>0</v>
      </c>
      <c r="BF622" s="76" t="b">
        <v>0</v>
      </c>
      <c r="BG622" s="76" t="b">
        <v>0</v>
      </c>
      <c r="BH622" s="83" t="str">
        <f>HYPERLINK("https://pbs.twimg.com/profile_banners/1661957583387631617/1685078526")</f>
        <v>https://pbs.twimg.com/profile_banners/1661957583387631617/1685078526</v>
      </c>
      <c r="BI622" s="76"/>
      <c r="BJ622" s="76" t="s">
        <v>24935</v>
      </c>
      <c r="BK622" s="76" t="b">
        <v>0</v>
      </c>
      <c r="BL622" s="76"/>
      <c r="BM622" s="76" t="s">
        <v>66</v>
      </c>
      <c r="BN622" s="76" t="s">
        <v>24937</v>
      </c>
      <c r="BO622" s="83" t="str">
        <f>HYPERLINK("https://twitter.com/zapplus")</f>
        <v>https://twitter.com/zapplus</v>
      </c>
      <c r="BP622" s="2"/>
    </row>
    <row r="623" spans="1:68" x14ac:dyDescent="0.25">
      <c r="A623" s="62" t="s">
        <v>815</v>
      </c>
      <c r="B623" s="63"/>
      <c r="C623" s="63"/>
      <c r="D623" s="64"/>
      <c r="E623" s="66"/>
      <c r="F623" s="102" t="str">
        <f>HYPERLINK("https://abs.twimg.com/sticky/default_profile_images/default_profile_normal.png")</f>
        <v>https://abs.twimg.com/sticky/default_profile_images/default_profile_normal.png</v>
      </c>
      <c r="G623" s="63"/>
      <c r="H623" s="67"/>
      <c r="I623" s="68"/>
      <c r="J623" s="68"/>
      <c r="K623" s="67" t="s">
        <v>25557</v>
      </c>
      <c r="L623" s="71"/>
      <c r="M623" s="72"/>
      <c r="N623" s="72"/>
      <c r="O623" s="73"/>
      <c r="P623" s="74"/>
      <c r="Q623" s="74"/>
      <c r="R623" s="86"/>
      <c r="S623" s="86"/>
      <c r="T623" s="86"/>
      <c r="U623" s="86"/>
      <c r="V623" s="48"/>
      <c r="W623" s="48"/>
      <c r="X623" s="48"/>
      <c r="Y623" s="48"/>
      <c r="Z623" s="47"/>
      <c r="AA623" s="69">
        <v>623</v>
      </c>
      <c r="AB623" s="69"/>
      <c r="AC623" s="70"/>
      <c r="AD623" s="76" t="s">
        <v>22423</v>
      </c>
      <c r="AE623" s="81" t="s">
        <v>21450</v>
      </c>
      <c r="AF623" s="76">
        <v>1</v>
      </c>
      <c r="AG623" s="76">
        <v>36</v>
      </c>
      <c r="AH623" s="76">
        <v>576</v>
      </c>
      <c r="AI623" s="76">
        <v>0</v>
      </c>
      <c r="AJ623" s="76">
        <v>643</v>
      </c>
      <c r="AK623" s="76">
        <v>14</v>
      </c>
      <c r="AL623" s="76" t="b">
        <v>0</v>
      </c>
      <c r="AM623" s="78">
        <v>44921.085416666669</v>
      </c>
      <c r="AN623" s="76"/>
      <c r="AO623" s="76"/>
      <c r="AP623" s="76"/>
      <c r="AQ623" s="76"/>
      <c r="AR623" s="76"/>
      <c r="AS623" s="76"/>
      <c r="AT623" s="76"/>
      <c r="AU623" s="76"/>
      <c r="AV623" s="76"/>
      <c r="AW623" s="76"/>
      <c r="AX623" s="76" t="b">
        <v>0</v>
      </c>
      <c r="AY623" s="76"/>
      <c r="AZ623" s="76"/>
      <c r="BA623" s="76" t="b">
        <v>0</v>
      </c>
      <c r="BB623" s="76" t="b">
        <v>1</v>
      </c>
      <c r="BC623" s="76" t="b">
        <v>1</v>
      </c>
      <c r="BD623" s="76" t="b">
        <v>1</v>
      </c>
      <c r="BE623" s="76" t="b">
        <v>0</v>
      </c>
      <c r="BF623" s="76" t="b">
        <v>0</v>
      </c>
      <c r="BG623" s="76" t="b">
        <v>0</v>
      </c>
      <c r="BH623" s="76"/>
      <c r="BI623" s="76"/>
      <c r="BJ623" s="76" t="s">
        <v>24935</v>
      </c>
      <c r="BK623" s="76" t="b">
        <v>0</v>
      </c>
      <c r="BL623" s="76"/>
      <c r="BM623" s="76" t="s">
        <v>66</v>
      </c>
      <c r="BN623" s="76" t="s">
        <v>24937</v>
      </c>
      <c r="BO623" s="83" t="str">
        <f>HYPERLINK("https://twitter.com/anarcocomunist6")</f>
        <v>https://twitter.com/anarcocomunist6</v>
      </c>
      <c r="BP623" s="2"/>
    </row>
    <row r="624" spans="1:68" x14ac:dyDescent="0.25">
      <c r="A624" s="62" t="s">
        <v>1265</v>
      </c>
      <c r="B624" s="63"/>
      <c r="C624" s="63"/>
      <c r="D624" s="64"/>
      <c r="E624" s="66"/>
      <c r="F624" s="102" t="str">
        <f>HYPERLINK("https://pbs.twimg.com/profile_images/1626753092355084288/LkpVM-oh_normal.jpg")</f>
        <v>https://pbs.twimg.com/profile_images/1626753092355084288/LkpVM-oh_normal.jpg</v>
      </c>
      <c r="G624" s="63"/>
      <c r="H624" s="67"/>
      <c r="I624" s="68"/>
      <c r="J624" s="68"/>
      <c r="K624" s="67" t="s">
        <v>25558</v>
      </c>
      <c r="L624" s="71"/>
      <c r="M624" s="72"/>
      <c r="N624" s="72"/>
      <c r="O624" s="73"/>
      <c r="P624" s="74"/>
      <c r="Q624" s="74"/>
      <c r="R624" s="86"/>
      <c r="S624" s="86"/>
      <c r="T624" s="86"/>
      <c r="U624" s="86"/>
      <c r="V624" s="48"/>
      <c r="W624" s="48"/>
      <c r="X624" s="48"/>
      <c r="Y624" s="48"/>
      <c r="Z624" s="47"/>
      <c r="AA624" s="69">
        <v>624</v>
      </c>
      <c r="AB624" s="69"/>
      <c r="AC624" s="70"/>
      <c r="AD624" s="76" t="s">
        <v>22424</v>
      </c>
      <c r="AE624" s="81" t="s">
        <v>20950</v>
      </c>
      <c r="AF624" s="76">
        <v>89630</v>
      </c>
      <c r="AG624" s="76">
        <v>1531</v>
      </c>
      <c r="AH624" s="76">
        <v>93491</v>
      </c>
      <c r="AI624" s="76">
        <v>161</v>
      </c>
      <c r="AJ624" s="76">
        <v>131</v>
      </c>
      <c r="AK624" s="76">
        <v>8065</v>
      </c>
      <c r="AL624" s="76" t="b">
        <v>0</v>
      </c>
      <c r="AM624" s="78">
        <v>39923.577256944445</v>
      </c>
      <c r="AN624" s="76" t="s">
        <v>14115</v>
      </c>
      <c r="AO624" s="76" t="s">
        <v>23886</v>
      </c>
      <c r="AP624" s="76"/>
      <c r="AQ624" s="76"/>
      <c r="AR624" s="76"/>
      <c r="AS624" s="76"/>
      <c r="AT624" s="76"/>
      <c r="AU624" s="76"/>
      <c r="AV624" s="76">
        <v>1.7024013269429299E+18</v>
      </c>
      <c r="AW624" s="76"/>
      <c r="AX624" s="76" t="b">
        <v>1</v>
      </c>
      <c r="AY624" s="76"/>
      <c r="AZ624" s="76"/>
      <c r="BA624" s="76" t="b">
        <v>0</v>
      </c>
      <c r="BB624" s="76" t="b">
        <v>1</v>
      </c>
      <c r="BC624" s="76" t="b">
        <v>0</v>
      </c>
      <c r="BD624" s="76" t="b">
        <v>0</v>
      </c>
      <c r="BE624" s="76" t="b">
        <v>1</v>
      </c>
      <c r="BF624" s="76" t="b">
        <v>0</v>
      </c>
      <c r="BG624" s="76" t="b">
        <v>0</v>
      </c>
      <c r="BH624" s="83" t="str">
        <f>HYPERLINK("https://pbs.twimg.com/profile_banners/33517656/1693075083")</f>
        <v>https://pbs.twimg.com/profile_banners/33517656/1693075083</v>
      </c>
      <c r="BI624" s="76"/>
      <c r="BJ624" s="76" t="s">
        <v>24935</v>
      </c>
      <c r="BK624" s="76" t="b">
        <v>0</v>
      </c>
      <c r="BL624" s="76"/>
      <c r="BM624" s="76" t="s">
        <v>65</v>
      </c>
      <c r="BN624" s="76" t="s">
        <v>24937</v>
      </c>
      <c r="BO624" s="83" t="str">
        <f>HYPERLINK("https://twitter.com/magalzaoshow")</f>
        <v>https://twitter.com/magalzaoshow</v>
      </c>
      <c r="BP624" s="2"/>
    </row>
    <row r="625" spans="1:68" x14ac:dyDescent="0.25">
      <c r="A625" s="62" t="s">
        <v>816</v>
      </c>
      <c r="B625" s="63"/>
      <c r="C625" s="63"/>
      <c r="D625" s="64"/>
      <c r="E625" s="66"/>
      <c r="F625" s="102" t="str">
        <f>HYPERLINK("https://pbs.twimg.com/profile_images/1609510669434474496/Fvv7UjLJ_normal.jpg")</f>
        <v>https://pbs.twimg.com/profile_images/1609510669434474496/Fvv7UjLJ_normal.jpg</v>
      </c>
      <c r="G625" s="63"/>
      <c r="H625" s="67"/>
      <c r="I625" s="68"/>
      <c r="J625" s="68"/>
      <c r="K625" s="67" t="s">
        <v>25559</v>
      </c>
      <c r="L625" s="71"/>
      <c r="M625" s="72"/>
      <c r="N625" s="72"/>
      <c r="O625" s="73"/>
      <c r="P625" s="74"/>
      <c r="Q625" s="74"/>
      <c r="R625" s="86"/>
      <c r="S625" s="86"/>
      <c r="T625" s="86"/>
      <c r="U625" s="86"/>
      <c r="V625" s="48"/>
      <c r="W625" s="48"/>
      <c r="X625" s="48"/>
      <c r="Y625" s="48"/>
      <c r="Z625" s="47"/>
      <c r="AA625" s="69">
        <v>625</v>
      </c>
      <c r="AB625" s="69"/>
      <c r="AC625" s="70"/>
      <c r="AD625" s="76" t="s">
        <v>22425</v>
      </c>
      <c r="AE625" s="81" t="s">
        <v>21451</v>
      </c>
      <c r="AF625" s="76">
        <v>739</v>
      </c>
      <c r="AG625" s="76">
        <v>4953</v>
      </c>
      <c r="AH625" s="76">
        <v>119171</v>
      </c>
      <c r="AI625" s="76">
        <v>0</v>
      </c>
      <c r="AJ625" s="76">
        <v>24961</v>
      </c>
      <c r="AK625" s="76">
        <v>1301</v>
      </c>
      <c r="AL625" s="76" t="b">
        <v>0</v>
      </c>
      <c r="AM625" s="78">
        <v>44927.467893518522</v>
      </c>
      <c r="AN625" s="76" t="s">
        <v>23241</v>
      </c>
      <c r="AO625" s="76" t="s">
        <v>23887</v>
      </c>
      <c r="AP625" s="76"/>
      <c r="AQ625" s="76"/>
      <c r="AR625" s="76"/>
      <c r="AS625" s="76"/>
      <c r="AT625" s="76"/>
      <c r="AU625" s="76"/>
      <c r="AV625" s="76"/>
      <c r="AW625" s="76"/>
      <c r="AX625" s="76" t="b">
        <v>0</v>
      </c>
      <c r="AY625" s="76"/>
      <c r="AZ625" s="76"/>
      <c r="BA625" s="76" t="b">
        <v>0</v>
      </c>
      <c r="BB625" s="76" t="b">
        <v>1</v>
      </c>
      <c r="BC625" s="76" t="b">
        <v>1</v>
      </c>
      <c r="BD625" s="76" t="b">
        <v>0</v>
      </c>
      <c r="BE625" s="76" t="b">
        <v>0</v>
      </c>
      <c r="BF625" s="76" t="b">
        <v>0</v>
      </c>
      <c r="BG625" s="76" t="b">
        <v>0</v>
      </c>
      <c r="BH625" s="83" t="str">
        <f>HYPERLINK("https://pbs.twimg.com/profile_banners/1609508119800840192/1672572410")</f>
        <v>https://pbs.twimg.com/profile_banners/1609508119800840192/1672572410</v>
      </c>
      <c r="BI625" s="76"/>
      <c r="BJ625" s="76" t="s">
        <v>24935</v>
      </c>
      <c r="BK625" s="76" t="b">
        <v>0</v>
      </c>
      <c r="BL625" s="76"/>
      <c r="BM625" s="76" t="s">
        <v>66</v>
      </c>
      <c r="BN625" s="76" t="s">
        <v>24937</v>
      </c>
      <c r="BO625" s="83" t="str">
        <f>HYPERLINK("https://twitter.com/politicabr5")</f>
        <v>https://twitter.com/politicabr5</v>
      </c>
      <c r="BP625" s="2"/>
    </row>
    <row r="626" spans="1:68" x14ac:dyDescent="0.25">
      <c r="A626" s="62" t="s">
        <v>817</v>
      </c>
      <c r="B626" s="63"/>
      <c r="C626" s="63"/>
      <c r="D626" s="64"/>
      <c r="E626" s="66"/>
      <c r="F626" s="102" t="str">
        <f>HYPERLINK("https://pbs.twimg.com/profile_images/1672403625367199745/DjJKUdTv_normal.jpg")</f>
        <v>https://pbs.twimg.com/profile_images/1672403625367199745/DjJKUdTv_normal.jpg</v>
      </c>
      <c r="G626" s="63"/>
      <c r="H626" s="67"/>
      <c r="I626" s="68"/>
      <c r="J626" s="68"/>
      <c r="K626" s="67" t="s">
        <v>25560</v>
      </c>
      <c r="L626" s="71"/>
      <c r="M626" s="72"/>
      <c r="N626" s="72"/>
      <c r="O626" s="73"/>
      <c r="P626" s="74"/>
      <c r="Q626" s="74"/>
      <c r="R626" s="86"/>
      <c r="S626" s="86"/>
      <c r="T626" s="86"/>
      <c r="U626" s="86"/>
      <c r="V626" s="48"/>
      <c r="W626" s="48"/>
      <c r="X626" s="48"/>
      <c r="Y626" s="48"/>
      <c r="Z626" s="47"/>
      <c r="AA626" s="69">
        <v>626</v>
      </c>
      <c r="AB626" s="69"/>
      <c r="AC626" s="70"/>
      <c r="AD626" s="76" t="s">
        <v>22426</v>
      </c>
      <c r="AE626" s="81" t="s">
        <v>21452</v>
      </c>
      <c r="AF626" s="76">
        <v>8</v>
      </c>
      <c r="AG626" s="76">
        <v>13</v>
      </c>
      <c r="AH626" s="76">
        <v>21</v>
      </c>
      <c r="AI626" s="76">
        <v>0</v>
      </c>
      <c r="AJ626" s="76">
        <v>14</v>
      </c>
      <c r="AK626" s="76">
        <v>10</v>
      </c>
      <c r="AL626" s="76" t="b">
        <v>0</v>
      </c>
      <c r="AM626" s="78">
        <v>44441.529490740744</v>
      </c>
      <c r="AN626" s="76"/>
      <c r="AO626" s="76"/>
      <c r="AP626" s="76"/>
      <c r="AQ626" s="76"/>
      <c r="AR626" s="76"/>
      <c r="AS626" s="76"/>
      <c r="AT626" s="76"/>
      <c r="AU626" s="76"/>
      <c r="AV626" s="76"/>
      <c r="AW626" s="76"/>
      <c r="AX626" s="76" t="b">
        <v>0</v>
      </c>
      <c r="AY626" s="76"/>
      <c r="AZ626" s="76"/>
      <c r="BA626" s="76" t="b">
        <v>0</v>
      </c>
      <c r="BB626" s="76" t="b">
        <v>1</v>
      </c>
      <c r="BC626" s="76" t="b">
        <v>1</v>
      </c>
      <c r="BD626" s="76" t="b">
        <v>0</v>
      </c>
      <c r="BE626" s="76" t="b">
        <v>0</v>
      </c>
      <c r="BF626" s="76" t="b">
        <v>0</v>
      </c>
      <c r="BG626" s="76" t="b">
        <v>0</v>
      </c>
      <c r="BH626" s="76"/>
      <c r="BI626" s="76"/>
      <c r="BJ626" s="76" t="s">
        <v>24935</v>
      </c>
      <c r="BK626" s="76" t="b">
        <v>0</v>
      </c>
      <c r="BL626" s="76"/>
      <c r="BM626" s="76" t="s">
        <v>66</v>
      </c>
      <c r="BN626" s="76" t="s">
        <v>24937</v>
      </c>
      <c r="BO626" s="83" t="str">
        <f>HYPERLINK("https://twitter.com/douradogamer2")</f>
        <v>https://twitter.com/douradogamer2</v>
      </c>
      <c r="BP626" s="2"/>
    </row>
    <row r="627" spans="1:68" x14ac:dyDescent="0.25">
      <c r="A627" s="62" t="s">
        <v>818</v>
      </c>
      <c r="B627" s="63"/>
      <c r="C627" s="63"/>
      <c r="D627" s="64"/>
      <c r="E627" s="66"/>
      <c r="F627" s="102" t="str">
        <f>HYPERLINK("https://pbs.twimg.com/profile_images/1667483262271234049/ZF3b7O7l_normal.jpg")</f>
        <v>https://pbs.twimg.com/profile_images/1667483262271234049/ZF3b7O7l_normal.jpg</v>
      </c>
      <c r="G627" s="63"/>
      <c r="H627" s="67"/>
      <c r="I627" s="68"/>
      <c r="J627" s="68"/>
      <c r="K627" s="67" t="s">
        <v>25561</v>
      </c>
      <c r="L627" s="71"/>
      <c r="M627" s="72"/>
      <c r="N627" s="72"/>
      <c r="O627" s="73"/>
      <c r="P627" s="74"/>
      <c r="Q627" s="74"/>
      <c r="R627" s="86"/>
      <c r="S627" s="86"/>
      <c r="T627" s="86"/>
      <c r="U627" s="86"/>
      <c r="V627" s="48"/>
      <c r="W627" s="48"/>
      <c r="X627" s="48"/>
      <c r="Y627" s="48"/>
      <c r="Z627" s="47"/>
      <c r="AA627" s="69">
        <v>627</v>
      </c>
      <c r="AB627" s="69"/>
      <c r="AC627" s="70"/>
      <c r="AD627" s="76" t="s">
        <v>22427</v>
      </c>
      <c r="AE627" s="81" t="s">
        <v>21453</v>
      </c>
      <c r="AF627" s="76">
        <v>4</v>
      </c>
      <c r="AG627" s="76">
        <v>32</v>
      </c>
      <c r="AH627" s="76">
        <v>1</v>
      </c>
      <c r="AI627" s="76">
        <v>0</v>
      </c>
      <c r="AJ627" s="76">
        <v>18</v>
      </c>
      <c r="AK627" s="76">
        <v>1</v>
      </c>
      <c r="AL627" s="76" t="b">
        <v>0</v>
      </c>
      <c r="AM627" s="78">
        <v>45087.448472222219</v>
      </c>
      <c r="AN627" s="76"/>
      <c r="AO627" s="76" t="s">
        <v>23888</v>
      </c>
      <c r="AP627" s="76"/>
      <c r="AQ627" s="76"/>
      <c r="AR627" s="76"/>
      <c r="AS627" s="76"/>
      <c r="AT627" s="76"/>
      <c r="AU627" s="76"/>
      <c r="AV627" s="76"/>
      <c r="AW627" s="76"/>
      <c r="AX627" s="76" t="b">
        <v>0</v>
      </c>
      <c r="AY627" s="76"/>
      <c r="AZ627" s="76"/>
      <c r="BA627" s="76" t="b">
        <v>0</v>
      </c>
      <c r="BB627" s="76" t="b">
        <v>1</v>
      </c>
      <c r="BC627" s="76" t="b">
        <v>1</v>
      </c>
      <c r="BD627" s="76" t="b">
        <v>0</v>
      </c>
      <c r="BE627" s="76" t="b">
        <v>0</v>
      </c>
      <c r="BF627" s="76" t="b">
        <v>0</v>
      </c>
      <c r="BG627" s="76" t="b">
        <v>0</v>
      </c>
      <c r="BH627" s="76"/>
      <c r="BI627" s="76"/>
      <c r="BJ627" s="76" t="s">
        <v>24935</v>
      </c>
      <c r="BK627" s="76" t="b">
        <v>0</v>
      </c>
      <c r="BL627" s="76"/>
      <c r="BM627" s="76" t="s">
        <v>66</v>
      </c>
      <c r="BN627" s="76" t="s">
        <v>24937</v>
      </c>
      <c r="BO627" s="83" t="str">
        <f>HYPERLINK("https://twitter.com/pantera_tips365")</f>
        <v>https://twitter.com/pantera_tips365</v>
      </c>
      <c r="BP627" s="2"/>
    </row>
    <row r="628" spans="1:68" x14ac:dyDescent="0.25">
      <c r="A628" s="62" t="s">
        <v>819</v>
      </c>
      <c r="B628" s="63"/>
      <c r="C628" s="63"/>
      <c r="D628" s="64"/>
      <c r="E628" s="66"/>
      <c r="F628" s="102" t="str">
        <f>HYPERLINK("https://pbs.twimg.com/profile_images/1649373042148007938/WlI68ljE_normal.png")</f>
        <v>https://pbs.twimg.com/profile_images/1649373042148007938/WlI68ljE_normal.png</v>
      </c>
      <c r="G628" s="63"/>
      <c r="H628" s="67"/>
      <c r="I628" s="68"/>
      <c r="J628" s="68"/>
      <c r="K628" s="67" t="s">
        <v>25562</v>
      </c>
      <c r="L628" s="71"/>
      <c r="M628" s="72"/>
      <c r="N628" s="72"/>
      <c r="O628" s="73"/>
      <c r="P628" s="74"/>
      <c r="Q628" s="74"/>
      <c r="R628" s="86"/>
      <c r="S628" s="86"/>
      <c r="T628" s="86"/>
      <c r="U628" s="86"/>
      <c r="V628" s="48"/>
      <c r="W628" s="48"/>
      <c r="X628" s="48"/>
      <c r="Y628" s="48"/>
      <c r="Z628" s="47"/>
      <c r="AA628" s="69">
        <v>628</v>
      </c>
      <c r="AB628" s="69"/>
      <c r="AC628" s="70"/>
      <c r="AD628" s="76" t="s">
        <v>22428</v>
      </c>
      <c r="AE628" s="81" t="s">
        <v>21454</v>
      </c>
      <c r="AF628" s="76">
        <v>24</v>
      </c>
      <c r="AG628" s="76">
        <v>123</v>
      </c>
      <c r="AH628" s="76">
        <v>51</v>
      </c>
      <c r="AI628" s="76">
        <v>0</v>
      </c>
      <c r="AJ628" s="76">
        <v>17</v>
      </c>
      <c r="AK628" s="76">
        <v>0</v>
      </c>
      <c r="AL628" s="76" t="b">
        <v>0</v>
      </c>
      <c r="AM628" s="78">
        <v>45037.473969907405</v>
      </c>
      <c r="AN628" s="76"/>
      <c r="AO628" s="76" t="s">
        <v>23889</v>
      </c>
      <c r="AP628" s="76"/>
      <c r="AQ628" s="76"/>
      <c r="AR628" s="76"/>
      <c r="AS628" s="83" t="str">
        <f>HYPERLINK("https://t.co/755xOqdljp")</f>
        <v>https://t.co/755xOqdljp</v>
      </c>
      <c r="AT628" s="83" t="str">
        <f>HYPERLINK("https://peer2profit.com/")</f>
        <v>https://peer2profit.com/</v>
      </c>
      <c r="AU628" s="76" t="s">
        <v>24895</v>
      </c>
      <c r="AV628" s="76"/>
      <c r="AW628" s="76"/>
      <c r="AX628" s="76" t="b">
        <v>0</v>
      </c>
      <c r="AY628" s="76"/>
      <c r="AZ628" s="76"/>
      <c r="BA628" s="76" t="b">
        <v>0</v>
      </c>
      <c r="BB628" s="76" t="b">
        <v>1</v>
      </c>
      <c r="BC628" s="76" t="b">
        <v>1</v>
      </c>
      <c r="BD628" s="76" t="b">
        <v>0</v>
      </c>
      <c r="BE628" s="76" t="b">
        <v>0</v>
      </c>
      <c r="BF628" s="76" t="b">
        <v>0</v>
      </c>
      <c r="BG628" s="76" t="b">
        <v>0</v>
      </c>
      <c r="BH628" s="83" t="str">
        <f>HYPERLINK("https://pbs.twimg.com/profile_banners/1649372386871918593/1682076581")</f>
        <v>https://pbs.twimg.com/profile_banners/1649372386871918593/1682076581</v>
      </c>
      <c r="BI628" s="76"/>
      <c r="BJ628" s="76" t="s">
        <v>24935</v>
      </c>
      <c r="BK628" s="76" t="b">
        <v>0</v>
      </c>
      <c r="BL628" s="76"/>
      <c r="BM628" s="76" t="s">
        <v>66</v>
      </c>
      <c r="BN628" s="76" t="s">
        <v>24937</v>
      </c>
      <c r="BO628" s="83" t="str">
        <f>HYPERLINK("https://twitter.com/abraaocbscripto")</f>
        <v>https://twitter.com/abraaocbscripto</v>
      </c>
      <c r="BP628" s="2"/>
    </row>
    <row r="629" spans="1:68" x14ac:dyDescent="0.25">
      <c r="A629" s="62" t="s">
        <v>820</v>
      </c>
      <c r="B629" s="63"/>
      <c r="C629" s="63"/>
      <c r="D629" s="64"/>
      <c r="E629" s="66"/>
      <c r="F629" s="102" t="str">
        <f>HYPERLINK("https://pbs.twimg.com/profile_images/1575908570134085632/r-a37Dms_normal.jpg")</f>
        <v>https://pbs.twimg.com/profile_images/1575908570134085632/r-a37Dms_normal.jpg</v>
      </c>
      <c r="G629" s="63"/>
      <c r="H629" s="67"/>
      <c r="I629" s="68"/>
      <c r="J629" s="68"/>
      <c r="K629" s="67" t="s">
        <v>25563</v>
      </c>
      <c r="L629" s="71"/>
      <c r="M629" s="72"/>
      <c r="N629" s="72"/>
      <c r="O629" s="73"/>
      <c r="P629" s="74"/>
      <c r="Q629" s="74"/>
      <c r="R629" s="86"/>
      <c r="S629" s="86"/>
      <c r="T629" s="86"/>
      <c r="U629" s="86"/>
      <c r="V629" s="48"/>
      <c r="W629" s="48"/>
      <c r="X629" s="48"/>
      <c r="Y629" s="48"/>
      <c r="Z629" s="47"/>
      <c r="AA629" s="69">
        <v>629</v>
      </c>
      <c r="AB629" s="69"/>
      <c r="AC629" s="70"/>
      <c r="AD629" s="76" t="s">
        <v>22429</v>
      </c>
      <c r="AE629" s="81" t="s">
        <v>22983</v>
      </c>
      <c r="AF629" s="76">
        <v>7</v>
      </c>
      <c r="AG629" s="76">
        <v>54</v>
      </c>
      <c r="AH629" s="76">
        <v>56</v>
      </c>
      <c r="AI629" s="76">
        <v>0</v>
      </c>
      <c r="AJ629" s="76">
        <v>0</v>
      </c>
      <c r="AK629" s="76">
        <v>43</v>
      </c>
      <c r="AL629" s="76" t="b">
        <v>0</v>
      </c>
      <c r="AM629" s="78">
        <v>40444.446909722225</v>
      </c>
      <c r="AN629" s="76"/>
      <c r="AO629" s="76"/>
      <c r="AP629" s="76"/>
      <c r="AQ629" s="76"/>
      <c r="AR629" s="76"/>
      <c r="AS629" s="76"/>
      <c r="AT629" s="76"/>
      <c r="AU629" s="76"/>
      <c r="AV629" s="76"/>
      <c r="AW629" s="76"/>
      <c r="AX629" s="76" t="b">
        <v>0</v>
      </c>
      <c r="AY629" s="76"/>
      <c r="AZ629" s="76"/>
      <c r="BA629" s="76" t="b">
        <v>0</v>
      </c>
      <c r="BB629" s="76" t="b">
        <v>1</v>
      </c>
      <c r="BC629" s="76" t="b">
        <v>1</v>
      </c>
      <c r="BD629" s="76" t="b">
        <v>0</v>
      </c>
      <c r="BE629" s="76" t="b">
        <v>0</v>
      </c>
      <c r="BF629" s="76" t="b">
        <v>0</v>
      </c>
      <c r="BG629" s="76" t="b">
        <v>0</v>
      </c>
      <c r="BH629" s="76"/>
      <c r="BI629" s="76"/>
      <c r="BJ629" s="76" t="s">
        <v>24935</v>
      </c>
      <c r="BK629" s="76" t="b">
        <v>0</v>
      </c>
      <c r="BL629" s="76"/>
      <c r="BM629" s="76" t="s">
        <v>66</v>
      </c>
      <c r="BN629" s="76" t="s">
        <v>24937</v>
      </c>
      <c r="BO629" s="83" t="str">
        <f>HYPERLINK("https://twitter.com/renatarabachim")</f>
        <v>https://twitter.com/renatarabachim</v>
      </c>
      <c r="BP629" s="2"/>
    </row>
    <row r="630" spans="1:68" x14ac:dyDescent="0.25">
      <c r="A630" s="62" t="s">
        <v>821</v>
      </c>
      <c r="B630" s="63"/>
      <c r="C630" s="63"/>
      <c r="D630" s="64"/>
      <c r="E630" s="66"/>
      <c r="F630" s="102" t="str">
        <f>HYPERLINK("https://pbs.twimg.com/profile_images/1166434579131064320/qXowbHuA_normal.jpg")</f>
        <v>https://pbs.twimg.com/profile_images/1166434579131064320/qXowbHuA_normal.jpg</v>
      </c>
      <c r="G630" s="63"/>
      <c r="H630" s="67"/>
      <c r="I630" s="68"/>
      <c r="J630" s="68"/>
      <c r="K630" s="67" t="s">
        <v>25564</v>
      </c>
      <c r="L630" s="71"/>
      <c r="M630" s="72"/>
      <c r="N630" s="72"/>
      <c r="O630" s="73"/>
      <c r="P630" s="74"/>
      <c r="Q630" s="74"/>
      <c r="R630" s="86"/>
      <c r="S630" s="86"/>
      <c r="T630" s="86"/>
      <c r="U630" s="86"/>
      <c r="V630" s="48"/>
      <c r="W630" s="48"/>
      <c r="X630" s="48"/>
      <c r="Y630" s="48"/>
      <c r="Z630" s="47"/>
      <c r="AA630" s="69">
        <v>630</v>
      </c>
      <c r="AB630" s="69"/>
      <c r="AC630" s="70"/>
      <c r="AD630" s="76" t="s">
        <v>821</v>
      </c>
      <c r="AE630" s="81" t="s">
        <v>21455</v>
      </c>
      <c r="AF630" s="76">
        <v>6</v>
      </c>
      <c r="AG630" s="76">
        <v>16</v>
      </c>
      <c r="AH630" s="76">
        <v>644</v>
      </c>
      <c r="AI630" s="76">
        <v>0</v>
      </c>
      <c r="AJ630" s="76">
        <v>1</v>
      </c>
      <c r="AK630" s="76">
        <v>6</v>
      </c>
      <c r="AL630" s="76" t="b">
        <v>0</v>
      </c>
      <c r="AM630" s="78">
        <v>43704.811874999999</v>
      </c>
      <c r="AN630" s="76"/>
      <c r="AO630" s="76" t="s">
        <v>23890</v>
      </c>
      <c r="AP630" s="83" t="str">
        <f>HYPERLINK("https://t.co/N7xugY9LOe")</f>
        <v>https://t.co/N7xugY9LOe</v>
      </c>
      <c r="AQ630" s="83" t="str">
        <f>HYPERLINK("http://www.felinodelia.com")</f>
        <v>http://www.felinodelia.com</v>
      </c>
      <c r="AR630" s="76" t="s">
        <v>7410</v>
      </c>
      <c r="AS630" s="76"/>
      <c r="AT630" s="76"/>
      <c r="AU630" s="76"/>
      <c r="AV630" s="76"/>
      <c r="AW630" s="83" t="str">
        <f>HYPERLINK("https://t.co/N7xugY9LOe")</f>
        <v>https://t.co/N7xugY9LOe</v>
      </c>
      <c r="AX630" s="76" t="b">
        <v>0</v>
      </c>
      <c r="AY630" s="76"/>
      <c r="AZ630" s="76"/>
      <c r="BA630" s="76" t="b">
        <v>0</v>
      </c>
      <c r="BB630" s="76" t="b">
        <v>1</v>
      </c>
      <c r="BC630" s="76" t="b">
        <v>1</v>
      </c>
      <c r="BD630" s="76" t="b">
        <v>0</v>
      </c>
      <c r="BE630" s="76" t="b">
        <v>0</v>
      </c>
      <c r="BF630" s="76" t="b">
        <v>0</v>
      </c>
      <c r="BG630" s="76" t="b">
        <v>0</v>
      </c>
      <c r="BH630" s="83" t="str">
        <f>HYPERLINK("https://pbs.twimg.com/profile_banners/1166432427839033344/1566935101")</f>
        <v>https://pbs.twimg.com/profile_banners/1166432427839033344/1566935101</v>
      </c>
      <c r="BI630" s="76"/>
      <c r="BJ630" s="76" t="s">
        <v>24935</v>
      </c>
      <c r="BK630" s="76" t="b">
        <v>0</v>
      </c>
      <c r="BL630" s="76"/>
      <c r="BM630" s="76" t="s">
        <v>66</v>
      </c>
      <c r="BN630" s="76" t="s">
        <v>24937</v>
      </c>
      <c r="BO630" s="83" t="str">
        <f>HYPERLINK("https://twitter.com/felinodelia")</f>
        <v>https://twitter.com/felinodelia</v>
      </c>
      <c r="BP630" s="2"/>
    </row>
    <row r="631" spans="1:68" x14ac:dyDescent="0.25">
      <c r="A631" s="62" t="s">
        <v>822</v>
      </c>
      <c r="B631" s="63"/>
      <c r="C631" s="63"/>
      <c r="D631" s="64"/>
      <c r="E631" s="66"/>
      <c r="F631" s="102" t="str">
        <f>HYPERLINK("https://pbs.twimg.com/profile_images/1583147966847762433/FIslCnNa_normal.jpg")</f>
        <v>https://pbs.twimg.com/profile_images/1583147966847762433/FIslCnNa_normal.jpg</v>
      </c>
      <c r="G631" s="63"/>
      <c r="H631" s="67"/>
      <c r="I631" s="68"/>
      <c r="J631" s="68"/>
      <c r="K631" s="67" t="s">
        <v>25565</v>
      </c>
      <c r="L631" s="71"/>
      <c r="M631" s="72"/>
      <c r="N631" s="72"/>
      <c r="O631" s="73"/>
      <c r="P631" s="74"/>
      <c r="Q631" s="74"/>
      <c r="R631" s="86"/>
      <c r="S631" s="86"/>
      <c r="T631" s="86"/>
      <c r="U631" s="86"/>
      <c r="V631" s="48"/>
      <c r="W631" s="48"/>
      <c r="X631" s="48"/>
      <c r="Y631" s="48"/>
      <c r="Z631" s="47"/>
      <c r="AA631" s="69">
        <v>631</v>
      </c>
      <c r="AB631" s="69"/>
      <c r="AC631" s="70"/>
      <c r="AD631" s="76" t="s">
        <v>22430</v>
      </c>
      <c r="AE631" s="81" t="s">
        <v>21456</v>
      </c>
      <c r="AF631" s="76">
        <v>2383</v>
      </c>
      <c r="AG631" s="76">
        <v>4759</v>
      </c>
      <c r="AH631" s="76">
        <v>10785</v>
      </c>
      <c r="AI631" s="76">
        <v>0</v>
      </c>
      <c r="AJ631" s="76">
        <v>19937</v>
      </c>
      <c r="AK631" s="76">
        <v>437</v>
      </c>
      <c r="AL631" s="76" t="b">
        <v>0</v>
      </c>
      <c r="AM631" s="78">
        <v>44569.722303240742</v>
      </c>
      <c r="AN631" s="76" t="s">
        <v>14072</v>
      </c>
      <c r="AO631" s="76" t="s">
        <v>23891</v>
      </c>
      <c r="AP631" s="76"/>
      <c r="AQ631" s="76"/>
      <c r="AR631" s="76"/>
      <c r="AS631" s="76"/>
      <c r="AT631" s="76"/>
      <c r="AU631" s="76"/>
      <c r="AV631" s="76">
        <v>1.69162740927392E+18</v>
      </c>
      <c r="AW631" s="76"/>
      <c r="AX631" s="76" t="b">
        <v>0</v>
      </c>
      <c r="AY631" s="76"/>
      <c r="AZ631" s="76"/>
      <c r="BA631" s="76" t="b">
        <v>0</v>
      </c>
      <c r="BB631" s="76" t="b">
        <v>0</v>
      </c>
      <c r="BC631" s="76" t="b">
        <v>1</v>
      </c>
      <c r="BD631" s="76" t="b">
        <v>0</v>
      </c>
      <c r="BE631" s="76" t="b">
        <v>1</v>
      </c>
      <c r="BF631" s="76" t="b">
        <v>0</v>
      </c>
      <c r="BG631" s="76" t="b">
        <v>0</v>
      </c>
      <c r="BH631" s="76"/>
      <c r="BI631" s="76"/>
      <c r="BJ631" s="76" t="s">
        <v>24935</v>
      </c>
      <c r="BK631" s="76" t="b">
        <v>0</v>
      </c>
      <c r="BL631" s="76"/>
      <c r="BM631" s="76" t="s">
        <v>66</v>
      </c>
      <c r="BN631" s="76" t="s">
        <v>24937</v>
      </c>
      <c r="BO631" s="83" t="str">
        <f>HYPERLINK("https://twitter.com/ayeskacarriao1")</f>
        <v>https://twitter.com/ayeskacarriao1</v>
      </c>
      <c r="BP631" s="2"/>
    </row>
    <row r="632" spans="1:68" x14ac:dyDescent="0.25">
      <c r="A632" s="62" t="s">
        <v>1266</v>
      </c>
      <c r="B632" s="63"/>
      <c r="C632" s="63"/>
      <c r="D632" s="64"/>
      <c r="E632" s="66"/>
      <c r="F632" s="102" t="str">
        <f>HYPERLINK("https://pbs.twimg.com/profile_images/1642966741138415647/fHdgQUGl_normal.jpg")</f>
        <v>https://pbs.twimg.com/profile_images/1642966741138415647/fHdgQUGl_normal.jpg</v>
      </c>
      <c r="G632" s="63"/>
      <c r="H632" s="67"/>
      <c r="I632" s="68"/>
      <c r="J632" s="68"/>
      <c r="K632" s="67" t="s">
        <v>25566</v>
      </c>
      <c r="L632" s="71"/>
      <c r="M632" s="72"/>
      <c r="N632" s="72"/>
      <c r="O632" s="73"/>
      <c r="P632" s="74"/>
      <c r="Q632" s="74"/>
      <c r="R632" s="86"/>
      <c r="S632" s="86"/>
      <c r="T632" s="86"/>
      <c r="U632" s="86"/>
      <c r="V632" s="48"/>
      <c r="W632" s="48"/>
      <c r="X632" s="48"/>
      <c r="Y632" s="48"/>
      <c r="Z632" s="47"/>
      <c r="AA632" s="69">
        <v>632</v>
      </c>
      <c r="AB632" s="69"/>
      <c r="AC632" s="70"/>
      <c r="AD632" s="76" t="s">
        <v>22431</v>
      </c>
      <c r="AE632" s="81" t="s">
        <v>20951</v>
      </c>
      <c r="AF632" s="76">
        <v>1044450</v>
      </c>
      <c r="AG632" s="76">
        <v>1620</v>
      </c>
      <c r="AH632" s="76">
        <v>307315</v>
      </c>
      <c r="AI632" s="76">
        <v>1891</v>
      </c>
      <c r="AJ632" s="76">
        <v>46151</v>
      </c>
      <c r="AK632" s="76">
        <v>187290</v>
      </c>
      <c r="AL632" s="76" t="b">
        <v>0</v>
      </c>
      <c r="AM632" s="78">
        <v>42172.610844907409</v>
      </c>
      <c r="AN632" s="76" t="s">
        <v>23182</v>
      </c>
      <c r="AO632" s="76" t="s">
        <v>23892</v>
      </c>
      <c r="AP632" s="83" t="str">
        <f>HYPERLINK("https://t.co/bH1TESRwr6")</f>
        <v>https://t.co/bH1TESRwr6</v>
      </c>
      <c r="AQ632" s="83" t="str">
        <f>HYPERLINK("http://www.metropoles.com")</f>
        <v>http://www.metropoles.com</v>
      </c>
      <c r="AR632" s="76" t="s">
        <v>24599</v>
      </c>
      <c r="AS632" s="76"/>
      <c r="AT632" s="76"/>
      <c r="AU632" s="76"/>
      <c r="AV632" s="76"/>
      <c r="AW632" s="83" t="str">
        <f>HYPERLINK("https://t.co/bH1TESRwr6")</f>
        <v>https://t.co/bH1TESRwr6</v>
      </c>
      <c r="AX632" s="76" t="b">
        <v>0</v>
      </c>
      <c r="AY632" s="76"/>
      <c r="AZ632" s="76"/>
      <c r="BA632" s="76" t="b">
        <v>1</v>
      </c>
      <c r="BB632" s="76" t="b">
        <v>1</v>
      </c>
      <c r="BC632" s="76" t="b">
        <v>0</v>
      </c>
      <c r="BD632" s="76" t="b">
        <v>0</v>
      </c>
      <c r="BE632" s="76" t="b">
        <v>1</v>
      </c>
      <c r="BF632" s="76" t="b">
        <v>0</v>
      </c>
      <c r="BG632" s="76" t="b">
        <v>0</v>
      </c>
      <c r="BH632" s="83" t="str">
        <f>HYPERLINK("https://pbs.twimg.com/profile_banners/3331429624/1680548700")</f>
        <v>https://pbs.twimg.com/profile_banners/3331429624/1680548700</v>
      </c>
      <c r="BI632" s="76"/>
      <c r="BJ632" s="76" t="s">
        <v>24935</v>
      </c>
      <c r="BK632" s="76" t="b">
        <v>0</v>
      </c>
      <c r="BL632" s="76"/>
      <c r="BM632" s="76" t="s">
        <v>65</v>
      </c>
      <c r="BN632" s="76" t="s">
        <v>24937</v>
      </c>
      <c r="BO632" s="83" t="str">
        <f>HYPERLINK("https://twitter.com/metropoles")</f>
        <v>https://twitter.com/metropoles</v>
      </c>
      <c r="BP632" s="2"/>
    </row>
    <row r="633" spans="1:68" x14ac:dyDescent="0.25">
      <c r="A633" s="62" t="s">
        <v>823</v>
      </c>
      <c r="B633" s="63"/>
      <c r="C633" s="63"/>
      <c r="D633" s="64"/>
      <c r="E633" s="66"/>
      <c r="F633" s="102" t="str">
        <f>HYPERLINK("https://pbs.twimg.com/profile_images/1621611282280448000/iKJsvHtI_normal.jpg")</f>
        <v>https://pbs.twimg.com/profile_images/1621611282280448000/iKJsvHtI_normal.jpg</v>
      </c>
      <c r="G633" s="63"/>
      <c r="H633" s="67"/>
      <c r="I633" s="68"/>
      <c r="J633" s="68"/>
      <c r="K633" s="67" t="s">
        <v>25567</v>
      </c>
      <c r="L633" s="71"/>
      <c r="M633" s="72"/>
      <c r="N633" s="72"/>
      <c r="O633" s="73"/>
      <c r="P633" s="74"/>
      <c r="Q633" s="74"/>
      <c r="R633" s="86"/>
      <c r="S633" s="86"/>
      <c r="T633" s="86"/>
      <c r="U633" s="86"/>
      <c r="V633" s="48"/>
      <c r="W633" s="48"/>
      <c r="X633" s="48"/>
      <c r="Y633" s="48"/>
      <c r="Z633" s="47"/>
      <c r="AA633" s="69">
        <v>633</v>
      </c>
      <c r="AB633" s="69"/>
      <c r="AC633" s="70"/>
      <c r="AD633" s="76" t="s">
        <v>22432</v>
      </c>
      <c r="AE633" s="81" t="s">
        <v>21457</v>
      </c>
      <c r="AF633" s="76">
        <v>1</v>
      </c>
      <c r="AG633" s="76">
        <v>7</v>
      </c>
      <c r="AH633" s="76">
        <v>27</v>
      </c>
      <c r="AI633" s="76">
        <v>0</v>
      </c>
      <c r="AJ633" s="76">
        <v>6</v>
      </c>
      <c r="AK633" s="76">
        <v>9</v>
      </c>
      <c r="AL633" s="76" t="b">
        <v>0</v>
      </c>
      <c r="AM633" s="78">
        <v>44960.865219907406</v>
      </c>
      <c r="AN633" s="76"/>
      <c r="AO633" s="76" t="s">
        <v>23893</v>
      </c>
      <c r="AP633" s="83" t="str">
        <f>HYPERLINK("https://t.co/FdSMKSdMRZ")</f>
        <v>https://t.co/FdSMKSdMRZ</v>
      </c>
      <c r="AQ633" s="83" t="str">
        <f>HYPERLINK("https://sun.eduzz.com/1326620?a=93865655&amp;cupom=Vale147")</f>
        <v>https://sun.eduzz.com/1326620?a=93865655&amp;cupom=Vale147</v>
      </c>
      <c r="AR633" s="76" t="s">
        <v>24600</v>
      </c>
      <c r="AS633" s="76"/>
      <c r="AT633" s="76"/>
      <c r="AU633" s="76"/>
      <c r="AV633" s="76"/>
      <c r="AW633" s="83" t="str">
        <f>HYPERLINK("https://t.co/FdSMKSdMRZ")</f>
        <v>https://t.co/FdSMKSdMRZ</v>
      </c>
      <c r="AX633" s="76" t="b">
        <v>0</v>
      </c>
      <c r="AY633" s="76"/>
      <c r="AZ633" s="76"/>
      <c r="BA633" s="76" t="b">
        <v>0</v>
      </c>
      <c r="BB633" s="76" t="b">
        <v>1</v>
      </c>
      <c r="BC633" s="76" t="b">
        <v>1</v>
      </c>
      <c r="BD633" s="76" t="b">
        <v>0</v>
      </c>
      <c r="BE633" s="76" t="b">
        <v>0</v>
      </c>
      <c r="BF633" s="76" t="b">
        <v>0</v>
      </c>
      <c r="BG633" s="76" t="b">
        <v>0</v>
      </c>
      <c r="BH633" s="83" t="str">
        <f>HYPERLINK("https://pbs.twimg.com/profile_banners/1621608323391815680/1675457736")</f>
        <v>https://pbs.twimg.com/profile_banners/1621608323391815680/1675457736</v>
      </c>
      <c r="BI633" s="76"/>
      <c r="BJ633" s="76" t="s">
        <v>24935</v>
      </c>
      <c r="BK633" s="76" t="b">
        <v>0</v>
      </c>
      <c r="BL633" s="76"/>
      <c r="BM633" s="76" t="s">
        <v>66</v>
      </c>
      <c r="BN633" s="76" t="s">
        <v>24937</v>
      </c>
      <c r="BO633" s="83" t="str">
        <f>HYPERLINK("https://twitter.com/sales_marketi")</f>
        <v>https://twitter.com/sales_marketi</v>
      </c>
      <c r="BP633" s="2"/>
    </row>
    <row r="634" spans="1:68" x14ac:dyDescent="0.25">
      <c r="A634" s="62" t="s">
        <v>824</v>
      </c>
      <c r="B634" s="63"/>
      <c r="C634" s="63"/>
      <c r="D634" s="64"/>
      <c r="E634" s="66"/>
      <c r="F634" s="102" t="str">
        <f>HYPERLINK("https://pbs.twimg.com/profile_images/1667353067400953859/BPoUgEya_normal.jpg")</f>
        <v>https://pbs.twimg.com/profile_images/1667353067400953859/BPoUgEya_normal.jpg</v>
      </c>
      <c r="G634" s="63"/>
      <c r="H634" s="67"/>
      <c r="I634" s="68"/>
      <c r="J634" s="68"/>
      <c r="K634" s="67" t="s">
        <v>25568</v>
      </c>
      <c r="L634" s="71"/>
      <c r="M634" s="72"/>
      <c r="N634" s="72"/>
      <c r="O634" s="73"/>
      <c r="P634" s="74"/>
      <c r="Q634" s="74"/>
      <c r="R634" s="86"/>
      <c r="S634" s="86"/>
      <c r="T634" s="86"/>
      <c r="U634" s="86"/>
      <c r="V634" s="48"/>
      <c r="W634" s="48"/>
      <c r="X634" s="48"/>
      <c r="Y634" s="48"/>
      <c r="Z634" s="47"/>
      <c r="AA634" s="69">
        <v>634</v>
      </c>
      <c r="AB634" s="69"/>
      <c r="AC634" s="70"/>
      <c r="AD634" s="76" t="s">
        <v>22433</v>
      </c>
      <c r="AE634" s="81" t="s">
        <v>21458</v>
      </c>
      <c r="AF634" s="76">
        <v>4</v>
      </c>
      <c r="AG634" s="76">
        <v>128</v>
      </c>
      <c r="AH634" s="76">
        <v>46</v>
      </c>
      <c r="AI634" s="76">
        <v>0</v>
      </c>
      <c r="AJ634" s="76">
        <v>163</v>
      </c>
      <c r="AK634" s="76">
        <v>28</v>
      </c>
      <c r="AL634" s="76" t="b">
        <v>0</v>
      </c>
      <c r="AM634" s="78">
        <v>42840.692025462966</v>
      </c>
      <c r="AN634" s="76" t="s">
        <v>14033</v>
      </c>
      <c r="AO634" s="76" t="s">
        <v>23894</v>
      </c>
      <c r="AP634" s="83" t="str">
        <f>HYPERLINK("https://t.co/lnAIvy7HaM")</f>
        <v>https://t.co/lnAIvy7HaM</v>
      </c>
      <c r="AQ634" s="83" t="str">
        <f>HYPERLINK("http://bit.ly/41c36Ud")</f>
        <v>http://bit.ly/41c36Ud</v>
      </c>
      <c r="AR634" s="76" t="s">
        <v>24601</v>
      </c>
      <c r="AS634" s="76"/>
      <c r="AT634" s="76"/>
      <c r="AU634" s="76"/>
      <c r="AV634" s="76">
        <v>1.4976566551309801E+18</v>
      </c>
      <c r="AW634" s="83" t="str">
        <f>HYPERLINK("https://t.co/lnAIvy7HaM")</f>
        <v>https://t.co/lnAIvy7HaM</v>
      </c>
      <c r="AX634" s="76" t="b">
        <v>0</v>
      </c>
      <c r="AY634" s="76"/>
      <c r="AZ634" s="76"/>
      <c r="BA634" s="76" t="b">
        <v>0</v>
      </c>
      <c r="BB634" s="76" t="b">
        <v>1</v>
      </c>
      <c r="BC634" s="76" t="b">
        <v>1</v>
      </c>
      <c r="BD634" s="76" t="b">
        <v>0</v>
      </c>
      <c r="BE634" s="76" t="b">
        <v>0</v>
      </c>
      <c r="BF634" s="76" t="b">
        <v>0</v>
      </c>
      <c r="BG634" s="76" t="b">
        <v>0</v>
      </c>
      <c r="BH634" s="83" t="str">
        <f>HYPERLINK("https://pbs.twimg.com/profile_banners/853285919134277633/1686362925")</f>
        <v>https://pbs.twimg.com/profile_banners/853285919134277633/1686362925</v>
      </c>
      <c r="BI634" s="76"/>
      <c r="BJ634" s="76" t="s">
        <v>24935</v>
      </c>
      <c r="BK634" s="76" t="b">
        <v>0</v>
      </c>
      <c r="BL634" s="76"/>
      <c r="BM634" s="76" t="s">
        <v>66</v>
      </c>
      <c r="BN634" s="76" t="s">
        <v>24937</v>
      </c>
      <c r="BO634" s="83" t="str">
        <f>HYPERLINK("https://twitter.com/joaoclashroyal2")</f>
        <v>https://twitter.com/joaoclashroyal2</v>
      </c>
      <c r="BP634" s="2"/>
    </row>
    <row r="635" spans="1:68" x14ac:dyDescent="0.25">
      <c r="A635" s="62" t="s">
        <v>825</v>
      </c>
      <c r="B635" s="63"/>
      <c r="C635" s="63"/>
      <c r="D635" s="64"/>
      <c r="E635" s="66"/>
      <c r="F635" s="102" t="str">
        <f>HYPERLINK("https://pbs.twimg.com/profile_images/1686118514497654785/oU3GpV3m_normal.jpg")</f>
        <v>https://pbs.twimg.com/profile_images/1686118514497654785/oU3GpV3m_normal.jpg</v>
      </c>
      <c r="G635" s="63"/>
      <c r="H635" s="67"/>
      <c r="I635" s="68"/>
      <c r="J635" s="68"/>
      <c r="K635" s="67" t="s">
        <v>25569</v>
      </c>
      <c r="L635" s="71"/>
      <c r="M635" s="72"/>
      <c r="N635" s="72"/>
      <c r="O635" s="73"/>
      <c r="P635" s="74"/>
      <c r="Q635" s="74"/>
      <c r="R635" s="86"/>
      <c r="S635" s="86"/>
      <c r="T635" s="86"/>
      <c r="U635" s="86"/>
      <c r="V635" s="48"/>
      <c r="W635" s="48"/>
      <c r="X635" s="48"/>
      <c r="Y635" s="48"/>
      <c r="Z635" s="47"/>
      <c r="AA635" s="69">
        <v>635</v>
      </c>
      <c r="AB635" s="69"/>
      <c r="AC635" s="70"/>
      <c r="AD635" s="76" t="s">
        <v>22434</v>
      </c>
      <c r="AE635" s="81" t="s">
        <v>21459</v>
      </c>
      <c r="AF635" s="76">
        <v>8</v>
      </c>
      <c r="AG635" s="76">
        <v>24</v>
      </c>
      <c r="AH635" s="76">
        <v>58</v>
      </c>
      <c r="AI635" s="76">
        <v>0</v>
      </c>
      <c r="AJ635" s="76">
        <v>0</v>
      </c>
      <c r="AK635" s="76">
        <v>58</v>
      </c>
      <c r="AL635" s="76" t="b">
        <v>0</v>
      </c>
      <c r="AM635" s="78">
        <v>45138.859791666669</v>
      </c>
      <c r="AN635" s="76"/>
      <c r="AO635" s="76" t="s">
        <v>23895</v>
      </c>
      <c r="AP635" s="76"/>
      <c r="AQ635" s="76"/>
      <c r="AR635" s="76"/>
      <c r="AS635" s="76"/>
      <c r="AT635" s="76"/>
      <c r="AU635" s="76"/>
      <c r="AV635" s="76"/>
      <c r="AW635" s="76"/>
      <c r="AX635" s="76" t="b">
        <v>0</v>
      </c>
      <c r="AY635" s="76"/>
      <c r="AZ635" s="76"/>
      <c r="BA635" s="76" t="b">
        <v>0</v>
      </c>
      <c r="BB635" s="76" t="b">
        <v>1</v>
      </c>
      <c r="BC635" s="76" t="b">
        <v>1</v>
      </c>
      <c r="BD635" s="76" t="b">
        <v>0</v>
      </c>
      <c r="BE635" s="76" t="b">
        <v>0</v>
      </c>
      <c r="BF635" s="76" t="b">
        <v>0</v>
      </c>
      <c r="BG635" s="76" t="b">
        <v>0</v>
      </c>
      <c r="BH635" s="83" t="str">
        <f>HYPERLINK("https://pbs.twimg.com/profile_banners/1686113957994524672/1690836956")</f>
        <v>https://pbs.twimg.com/profile_banners/1686113957994524672/1690836956</v>
      </c>
      <c r="BI635" s="76"/>
      <c r="BJ635" s="76" t="s">
        <v>24935</v>
      </c>
      <c r="BK635" s="76" t="b">
        <v>0</v>
      </c>
      <c r="BL635" s="76"/>
      <c r="BM635" s="76" t="s">
        <v>66</v>
      </c>
      <c r="BN635" s="76" t="s">
        <v>24937</v>
      </c>
      <c r="BO635" s="83" t="str">
        <f>HYPERLINK("https://twitter.com/top_achadinhos_")</f>
        <v>https://twitter.com/top_achadinhos_</v>
      </c>
      <c r="BP635" s="2"/>
    </row>
    <row r="636" spans="1:68" x14ac:dyDescent="0.25">
      <c r="A636" s="62" t="s">
        <v>826</v>
      </c>
      <c r="B636" s="63"/>
      <c r="C636" s="63"/>
      <c r="D636" s="64"/>
      <c r="E636" s="66"/>
      <c r="F636" s="102" t="str">
        <f>HYPERLINK("https://pbs.twimg.com/profile_images/1705999133968928768/t834vTyy_normal.jpg")</f>
        <v>https://pbs.twimg.com/profile_images/1705999133968928768/t834vTyy_normal.jpg</v>
      </c>
      <c r="G636" s="63"/>
      <c r="H636" s="67"/>
      <c r="I636" s="68"/>
      <c r="J636" s="68"/>
      <c r="K636" s="67" t="s">
        <v>25570</v>
      </c>
      <c r="L636" s="71"/>
      <c r="M636" s="72"/>
      <c r="N636" s="72"/>
      <c r="O636" s="73"/>
      <c r="P636" s="74"/>
      <c r="Q636" s="74"/>
      <c r="R636" s="86"/>
      <c r="S636" s="86"/>
      <c r="T636" s="86"/>
      <c r="U636" s="86"/>
      <c r="V636" s="48"/>
      <c r="W636" s="48"/>
      <c r="X636" s="48"/>
      <c r="Y636" s="48"/>
      <c r="Z636" s="47"/>
      <c r="AA636" s="69">
        <v>636</v>
      </c>
      <c r="AB636" s="69"/>
      <c r="AC636" s="70"/>
      <c r="AD636" s="76" t="s">
        <v>22435</v>
      </c>
      <c r="AE636" s="81" t="s">
        <v>21460</v>
      </c>
      <c r="AF636" s="76">
        <v>22</v>
      </c>
      <c r="AG636" s="76">
        <v>377</v>
      </c>
      <c r="AH636" s="76">
        <v>131</v>
      </c>
      <c r="AI636" s="76">
        <v>0</v>
      </c>
      <c r="AJ636" s="76">
        <v>34</v>
      </c>
      <c r="AK636" s="76">
        <v>27</v>
      </c>
      <c r="AL636" s="76" t="b">
        <v>0</v>
      </c>
      <c r="AM636" s="78">
        <v>44937.545243055552</v>
      </c>
      <c r="AN636" s="76" t="s">
        <v>14041</v>
      </c>
      <c r="AO636" s="76" t="s">
        <v>23896</v>
      </c>
      <c r="AP636" s="83" t="str">
        <f>HYPERLINK("https://t.co/RJsYagVXRg")</f>
        <v>https://t.co/RJsYagVXRg</v>
      </c>
      <c r="AQ636" s="83" t="str">
        <f>HYPERLINK("https://bento.me/abnerramos")</f>
        <v>https://bento.me/abnerramos</v>
      </c>
      <c r="AR636" s="76" t="s">
        <v>24602</v>
      </c>
      <c r="AS636" s="76"/>
      <c r="AT636" s="76"/>
      <c r="AU636" s="76"/>
      <c r="AV636" s="76">
        <v>1.6135985740041201E+18</v>
      </c>
      <c r="AW636" s="83" t="str">
        <f>HYPERLINK("https://t.co/RJsYagVXRg")</f>
        <v>https://t.co/RJsYagVXRg</v>
      </c>
      <c r="AX636" s="76" t="b">
        <v>0</v>
      </c>
      <c r="AY636" s="76"/>
      <c r="AZ636" s="76"/>
      <c r="BA636" s="76" t="b">
        <v>0</v>
      </c>
      <c r="BB636" s="76" t="b">
        <v>1</v>
      </c>
      <c r="BC636" s="76" t="b">
        <v>1</v>
      </c>
      <c r="BD636" s="76" t="b">
        <v>0</v>
      </c>
      <c r="BE636" s="76" t="b">
        <v>1</v>
      </c>
      <c r="BF636" s="76" t="b">
        <v>0</v>
      </c>
      <c r="BG636" s="76" t="b">
        <v>0</v>
      </c>
      <c r="BH636" s="83" t="str">
        <f>HYPERLINK("https://pbs.twimg.com/profile_banners/1613160011420635146/1695576887")</f>
        <v>https://pbs.twimg.com/profile_banners/1613160011420635146/1695576887</v>
      </c>
      <c r="BI636" s="76"/>
      <c r="BJ636" s="76" t="s">
        <v>24935</v>
      </c>
      <c r="BK636" s="76" t="b">
        <v>0</v>
      </c>
      <c r="BL636" s="76"/>
      <c r="BM636" s="76" t="s">
        <v>66</v>
      </c>
      <c r="BN636" s="76" t="s">
        <v>24937</v>
      </c>
      <c r="BO636" s="83" t="str">
        <f>HYPERLINK("https://twitter.com/abner_ramos01")</f>
        <v>https://twitter.com/abner_ramos01</v>
      </c>
      <c r="BP636" s="2"/>
    </row>
    <row r="637" spans="1:68" x14ac:dyDescent="0.25">
      <c r="A637" s="62" t="s">
        <v>827</v>
      </c>
      <c r="B637" s="63"/>
      <c r="C637" s="63"/>
      <c r="D637" s="64"/>
      <c r="E637" s="66"/>
      <c r="F637" s="102" t="str">
        <f>HYPERLINK("https://pbs.twimg.com/profile_images/1636484872679092224/YEHB-j5x_normal.jpg")</f>
        <v>https://pbs.twimg.com/profile_images/1636484872679092224/YEHB-j5x_normal.jpg</v>
      </c>
      <c r="G637" s="63"/>
      <c r="H637" s="67"/>
      <c r="I637" s="68"/>
      <c r="J637" s="68"/>
      <c r="K637" s="67" t="s">
        <v>25571</v>
      </c>
      <c r="L637" s="71"/>
      <c r="M637" s="72"/>
      <c r="N637" s="72"/>
      <c r="O637" s="73"/>
      <c r="P637" s="74"/>
      <c r="Q637" s="74"/>
      <c r="R637" s="86"/>
      <c r="S637" s="86"/>
      <c r="T637" s="86"/>
      <c r="U637" s="86"/>
      <c r="V637" s="48"/>
      <c r="W637" s="48"/>
      <c r="X637" s="48"/>
      <c r="Y637" s="48"/>
      <c r="Z637" s="47"/>
      <c r="AA637" s="69">
        <v>637</v>
      </c>
      <c r="AB637" s="69"/>
      <c r="AC637" s="70"/>
      <c r="AD637" s="76" t="s">
        <v>22436</v>
      </c>
      <c r="AE637" s="81" t="s">
        <v>21461</v>
      </c>
      <c r="AF637" s="76">
        <v>0</v>
      </c>
      <c r="AG637" s="76">
        <v>17</v>
      </c>
      <c r="AH637" s="76">
        <v>22</v>
      </c>
      <c r="AI637" s="76">
        <v>0</v>
      </c>
      <c r="AJ637" s="76">
        <v>5</v>
      </c>
      <c r="AK637" s="76">
        <v>3</v>
      </c>
      <c r="AL637" s="76" t="b">
        <v>0</v>
      </c>
      <c r="AM637" s="78">
        <v>45001.908854166664</v>
      </c>
      <c r="AN637" s="76" t="s">
        <v>14033</v>
      </c>
      <c r="AO637" s="76" t="s">
        <v>23897</v>
      </c>
      <c r="AP637" s="83" t="str">
        <f>HYPERLINK("https://t.co/qb8tlDmFSi")</f>
        <v>https://t.co/qb8tlDmFSi</v>
      </c>
      <c r="AQ637" s="83" t="str">
        <f>HYPERLINK("https://linktr.ee/millionaireprincess_")</f>
        <v>https://linktr.ee/millionaireprincess_</v>
      </c>
      <c r="AR637" s="76" t="s">
        <v>24603</v>
      </c>
      <c r="AS637" s="76"/>
      <c r="AT637" s="76"/>
      <c r="AU637" s="76"/>
      <c r="AV637" s="76"/>
      <c r="AW637" s="83" t="str">
        <f>HYPERLINK("https://t.co/qb8tlDmFSi")</f>
        <v>https://t.co/qb8tlDmFSi</v>
      </c>
      <c r="AX637" s="76" t="b">
        <v>0</v>
      </c>
      <c r="AY637" s="76"/>
      <c r="AZ637" s="76"/>
      <c r="BA637" s="76" t="b">
        <v>0</v>
      </c>
      <c r="BB637" s="76" t="b">
        <v>1</v>
      </c>
      <c r="BC637" s="76" t="b">
        <v>1</v>
      </c>
      <c r="BD637" s="76" t="b">
        <v>0</v>
      </c>
      <c r="BE637" s="76" t="b">
        <v>0</v>
      </c>
      <c r="BF637" s="76" t="b">
        <v>0</v>
      </c>
      <c r="BG637" s="76" t="b">
        <v>0</v>
      </c>
      <c r="BH637" s="83" t="str">
        <f>HYPERLINK("https://pbs.twimg.com/profile_banners/1636484592365457409/1679003641")</f>
        <v>https://pbs.twimg.com/profile_banners/1636484592365457409/1679003641</v>
      </c>
      <c r="BI637" s="76"/>
      <c r="BJ637" s="76" t="s">
        <v>24935</v>
      </c>
      <c r="BK637" s="76" t="b">
        <v>0</v>
      </c>
      <c r="BL637" s="76"/>
      <c r="BM637" s="76" t="s">
        <v>66</v>
      </c>
      <c r="BN637" s="76" t="s">
        <v>24937</v>
      </c>
      <c r="BO637" s="83" t="str">
        <f>HYPERLINK("https://twitter.com/prin_milionaria")</f>
        <v>https://twitter.com/prin_milionaria</v>
      </c>
      <c r="BP637" s="2"/>
    </row>
    <row r="638" spans="1:68" x14ac:dyDescent="0.25">
      <c r="A638" s="62" t="s">
        <v>828</v>
      </c>
      <c r="B638" s="63"/>
      <c r="C638" s="63"/>
      <c r="D638" s="64"/>
      <c r="E638" s="66"/>
      <c r="F638" s="102" t="str">
        <f>HYPERLINK("https://pbs.twimg.com/profile_images/1675723957452914688/9TvEJVAF_normal.jpg")</f>
        <v>https://pbs.twimg.com/profile_images/1675723957452914688/9TvEJVAF_normal.jpg</v>
      </c>
      <c r="G638" s="63"/>
      <c r="H638" s="67"/>
      <c r="I638" s="68"/>
      <c r="J638" s="68"/>
      <c r="K638" s="67" t="s">
        <v>25572</v>
      </c>
      <c r="L638" s="71"/>
      <c r="M638" s="72"/>
      <c r="N638" s="72"/>
      <c r="O638" s="73"/>
      <c r="P638" s="74"/>
      <c r="Q638" s="74"/>
      <c r="R638" s="86"/>
      <c r="S638" s="86"/>
      <c r="T638" s="86"/>
      <c r="U638" s="86"/>
      <c r="V638" s="48"/>
      <c r="W638" s="48"/>
      <c r="X638" s="48"/>
      <c r="Y638" s="48"/>
      <c r="Z638" s="47"/>
      <c r="AA638" s="69">
        <v>638</v>
      </c>
      <c r="AB638" s="69"/>
      <c r="AC638" s="70"/>
      <c r="AD638" s="76" t="s">
        <v>22437</v>
      </c>
      <c r="AE638" s="81" t="s">
        <v>21462</v>
      </c>
      <c r="AF638" s="76">
        <v>178</v>
      </c>
      <c r="AG638" s="76">
        <v>257</v>
      </c>
      <c r="AH638" s="76">
        <v>446</v>
      </c>
      <c r="AI638" s="76">
        <v>0</v>
      </c>
      <c r="AJ638" s="76">
        <v>252</v>
      </c>
      <c r="AK638" s="76">
        <v>383</v>
      </c>
      <c r="AL638" s="76" t="b">
        <v>0</v>
      </c>
      <c r="AM638" s="78">
        <v>44612.127986111111</v>
      </c>
      <c r="AN638" s="76"/>
      <c r="AO638" s="76" t="s">
        <v>23898</v>
      </c>
      <c r="AP638" s="83" t="str">
        <f>HYPERLINK("https://t.co/vix38gc3F4")</f>
        <v>https://t.co/vix38gc3F4</v>
      </c>
      <c r="AQ638" s="83" t="str">
        <f>HYPERLINK("https://bit.ly/3XUqvJY")</f>
        <v>https://bit.ly/3XUqvJY</v>
      </c>
      <c r="AR638" s="76" t="s">
        <v>24604</v>
      </c>
      <c r="AS638" s="76"/>
      <c r="AT638" s="76"/>
      <c r="AU638" s="76"/>
      <c r="AV638" s="76">
        <v>1.67253553988963E+18</v>
      </c>
      <c r="AW638" s="83" t="str">
        <f>HYPERLINK("https://t.co/vix38gc3F4")</f>
        <v>https://t.co/vix38gc3F4</v>
      </c>
      <c r="AX638" s="76" t="b">
        <v>0</v>
      </c>
      <c r="AY638" s="76"/>
      <c r="AZ638" s="76"/>
      <c r="BA638" s="76" t="b">
        <v>0</v>
      </c>
      <c r="BB638" s="76" t="b">
        <v>1</v>
      </c>
      <c r="BC638" s="76" t="b">
        <v>1</v>
      </c>
      <c r="BD638" s="76" t="b">
        <v>0</v>
      </c>
      <c r="BE638" s="76" t="b">
        <v>0</v>
      </c>
      <c r="BF638" s="76" t="b">
        <v>0</v>
      </c>
      <c r="BG638" s="76" t="b">
        <v>0</v>
      </c>
      <c r="BH638" s="83" t="str">
        <f>HYPERLINK("https://pbs.twimg.com/profile_banners/1495232786751438853/1687598121")</f>
        <v>https://pbs.twimg.com/profile_banners/1495232786751438853/1687598121</v>
      </c>
      <c r="BI638" s="76"/>
      <c r="BJ638" s="76" t="s">
        <v>24935</v>
      </c>
      <c r="BK638" s="76" t="b">
        <v>0</v>
      </c>
      <c r="BL638" s="76"/>
      <c r="BM638" s="76" t="s">
        <v>66</v>
      </c>
      <c r="BN638" s="76" t="s">
        <v>24937</v>
      </c>
      <c r="BO638" s="83" t="str">
        <f>HYPERLINK("https://twitter.com/jogodotigre")</f>
        <v>https://twitter.com/jogodotigre</v>
      </c>
      <c r="BP638" s="2"/>
    </row>
    <row r="639" spans="1:68" x14ac:dyDescent="0.25">
      <c r="A639" s="62" t="s">
        <v>829</v>
      </c>
      <c r="B639" s="63"/>
      <c r="C639" s="63"/>
      <c r="D639" s="64"/>
      <c r="E639" s="66"/>
      <c r="F639" s="102" t="str">
        <f>HYPERLINK("https://pbs.twimg.com/profile_images/1661038309731123200/Kbj2Xb6__normal.jpg")</f>
        <v>https://pbs.twimg.com/profile_images/1661038309731123200/Kbj2Xb6__normal.jpg</v>
      </c>
      <c r="G639" s="63"/>
      <c r="H639" s="67"/>
      <c r="I639" s="68"/>
      <c r="J639" s="68"/>
      <c r="K639" s="67" t="s">
        <v>25573</v>
      </c>
      <c r="L639" s="71"/>
      <c r="M639" s="72"/>
      <c r="N639" s="72"/>
      <c r="O639" s="73"/>
      <c r="P639" s="74"/>
      <c r="Q639" s="74"/>
      <c r="R639" s="86"/>
      <c r="S639" s="86"/>
      <c r="T639" s="86"/>
      <c r="U639" s="86"/>
      <c r="V639" s="48"/>
      <c r="W639" s="48"/>
      <c r="X639" s="48"/>
      <c r="Y639" s="48"/>
      <c r="Z639" s="47"/>
      <c r="AA639" s="69">
        <v>639</v>
      </c>
      <c r="AB639" s="69"/>
      <c r="AC639" s="70"/>
      <c r="AD639" s="76" t="s">
        <v>22438</v>
      </c>
      <c r="AE639" s="81" t="s">
        <v>21463</v>
      </c>
      <c r="AF639" s="76">
        <v>2</v>
      </c>
      <c r="AG639" s="76">
        <v>8</v>
      </c>
      <c r="AH639" s="76">
        <v>27</v>
      </c>
      <c r="AI639" s="76">
        <v>0</v>
      </c>
      <c r="AJ639" s="76">
        <v>19</v>
      </c>
      <c r="AK639" s="76">
        <v>8</v>
      </c>
      <c r="AL639" s="76" t="b">
        <v>0</v>
      </c>
      <c r="AM639" s="78">
        <v>45040.680983796294</v>
      </c>
      <c r="AN639" s="76"/>
      <c r="AO639" s="76" t="s">
        <v>23899</v>
      </c>
      <c r="AP639" s="76"/>
      <c r="AQ639" s="76"/>
      <c r="AR639" s="76"/>
      <c r="AS639" s="83" t="str">
        <f>HYPERLINK("https://t.co/An8IlPx4Qm")</f>
        <v>https://t.co/An8IlPx4Qm</v>
      </c>
      <c r="AT639" s="83" t="str">
        <f>HYPERLINK("http://cutt.ly/Metodo-Imperio")</f>
        <v>http://cutt.ly/Metodo-Imperio</v>
      </c>
      <c r="AU639" s="76" t="s">
        <v>24896</v>
      </c>
      <c r="AV639" s="76"/>
      <c r="AW639" s="76"/>
      <c r="AX639" s="76" t="b">
        <v>0</v>
      </c>
      <c r="AY639" s="76"/>
      <c r="AZ639" s="76"/>
      <c r="BA639" s="76" t="b">
        <v>0</v>
      </c>
      <c r="BB639" s="76" t="b">
        <v>1</v>
      </c>
      <c r="BC639" s="76" t="b">
        <v>1</v>
      </c>
      <c r="BD639" s="76" t="b">
        <v>0</v>
      </c>
      <c r="BE639" s="76" t="b">
        <v>0</v>
      </c>
      <c r="BF639" s="76" t="b">
        <v>0</v>
      </c>
      <c r="BG639" s="76" t="b">
        <v>0</v>
      </c>
      <c r="BH639" s="76"/>
      <c r="BI639" s="76"/>
      <c r="BJ639" s="76" t="s">
        <v>24935</v>
      </c>
      <c r="BK639" s="76" t="b">
        <v>0</v>
      </c>
      <c r="BL639" s="76"/>
      <c r="BM639" s="76" t="s">
        <v>66</v>
      </c>
      <c r="BN639" s="76" t="s">
        <v>24937</v>
      </c>
      <c r="BO639" s="83" t="str">
        <f>HYPERLINK("https://twitter.com/santiagorosant")</f>
        <v>https://twitter.com/santiagorosant</v>
      </c>
      <c r="BP639" s="2"/>
    </row>
    <row r="640" spans="1:68" x14ac:dyDescent="0.25">
      <c r="A640" s="62" t="s">
        <v>830</v>
      </c>
      <c r="B640" s="63"/>
      <c r="C640" s="63"/>
      <c r="D640" s="64"/>
      <c r="E640" s="66"/>
      <c r="F640" s="102" t="str">
        <f>HYPERLINK("https://pbs.twimg.com/profile_images/1646243575460515840/CZQYwA0I_normal.jpg")</f>
        <v>https://pbs.twimg.com/profile_images/1646243575460515840/CZQYwA0I_normal.jpg</v>
      </c>
      <c r="G640" s="63"/>
      <c r="H640" s="67"/>
      <c r="I640" s="68"/>
      <c r="J640" s="68"/>
      <c r="K640" s="67" t="s">
        <v>25574</v>
      </c>
      <c r="L640" s="71"/>
      <c r="M640" s="72"/>
      <c r="N640" s="72"/>
      <c r="O640" s="73"/>
      <c r="P640" s="74"/>
      <c r="Q640" s="74"/>
      <c r="R640" s="86"/>
      <c r="S640" s="86"/>
      <c r="T640" s="86"/>
      <c r="U640" s="86"/>
      <c r="V640" s="48"/>
      <c r="W640" s="48"/>
      <c r="X640" s="48"/>
      <c r="Y640" s="48"/>
      <c r="Z640" s="47"/>
      <c r="AA640" s="69">
        <v>640</v>
      </c>
      <c r="AB640" s="69"/>
      <c r="AC640" s="70"/>
      <c r="AD640" s="76" t="s">
        <v>22439</v>
      </c>
      <c r="AE640" s="81" t="s">
        <v>21464</v>
      </c>
      <c r="AF640" s="76">
        <v>1</v>
      </c>
      <c r="AG640" s="76">
        <v>11</v>
      </c>
      <c r="AH640" s="76">
        <v>69</v>
      </c>
      <c r="AI640" s="76">
        <v>0</v>
      </c>
      <c r="AJ640" s="76">
        <v>18</v>
      </c>
      <c r="AK640" s="76">
        <v>17</v>
      </c>
      <c r="AL640" s="76" t="b">
        <v>0</v>
      </c>
      <c r="AM640" s="78">
        <v>45028.830497685187</v>
      </c>
      <c r="AN640" s="76"/>
      <c r="AO640" s="76" t="s">
        <v>23900</v>
      </c>
      <c r="AP640" s="83" t="str">
        <f>HYPERLINK("https://t.co/ucRP7debIj")</f>
        <v>https://t.co/ucRP7debIj</v>
      </c>
      <c r="AQ640" s="83" t="str">
        <f>HYPERLINK("https://bit.ly/Ebooks-pro")</f>
        <v>https://bit.ly/Ebooks-pro</v>
      </c>
      <c r="AR640" s="76" t="s">
        <v>24605</v>
      </c>
      <c r="AS640" s="76"/>
      <c r="AT640" s="76"/>
      <c r="AU640" s="76"/>
      <c r="AV640" s="76"/>
      <c r="AW640" s="83" t="str">
        <f>HYPERLINK("https://t.co/ucRP7debIj")</f>
        <v>https://t.co/ucRP7debIj</v>
      </c>
      <c r="AX640" s="76" t="b">
        <v>0</v>
      </c>
      <c r="AY640" s="76"/>
      <c r="AZ640" s="76"/>
      <c r="BA640" s="76" t="b">
        <v>0</v>
      </c>
      <c r="BB640" s="76" t="b">
        <v>1</v>
      </c>
      <c r="BC640" s="76" t="b">
        <v>1</v>
      </c>
      <c r="BD640" s="76" t="b">
        <v>0</v>
      </c>
      <c r="BE640" s="76" t="b">
        <v>0</v>
      </c>
      <c r="BF640" s="76" t="b">
        <v>0</v>
      </c>
      <c r="BG640" s="76" t="b">
        <v>0</v>
      </c>
      <c r="BH640" s="76"/>
      <c r="BI640" s="76"/>
      <c r="BJ640" s="76" t="s">
        <v>24935</v>
      </c>
      <c r="BK640" s="76" t="b">
        <v>0</v>
      </c>
      <c r="BL640" s="76"/>
      <c r="BM640" s="76" t="s">
        <v>66</v>
      </c>
      <c r="BN640" s="76" t="s">
        <v>24937</v>
      </c>
      <c r="BO640" s="83" t="str">
        <f>HYPERLINK("https://twitter.com/rickyszin")</f>
        <v>https://twitter.com/rickyszin</v>
      </c>
      <c r="BP640" s="2"/>
    </row>
    <row r="641" spans="1:68" x14ac:dyDescent="0.25">
      <c r="A641" s="62" t="s">
        <v>831</v>
      </c>
      <c r="B641" s="63"/>
      <c r="C641" s="63"/>
      <c r="D641" s="64"/>
      <c r="E641" s="66"/>
      <c r="F641" s="102" t="str">
        <f>HYPERLINK("https://abs.twimg.com/sticky/default_profile_images/default_profile_normal.png")</f>
        <v>https://abs.twimg.com/sticky/default_profile_images/default_profile_normal.png</v>
      </c>
      <c r="G641" s="63"/>
      <c r="H641" s="67"/>
      <c r="I641" s="68"/>
      <c r="J641" s="68"/>
      <c r="K641" s="67" t="s">
        <v>25575</v>
      </c>
      <c r="L641" s="71"/>
      <c r="M641" s="72"/>
      <c r="N641" s="72"/>
      <c r="O641" s="73"/>
      <c r="P641" s="74"/>
      <c r="Q641" s="74"/>
      <c r="R641" s="86"/>
      <c r="S641" s="86"/>
      <c r="T641" s="86"/>
      <c r="U641" s="86"/>
      <c r="V641" s="48"/>
      <c r="W641" s="48"/>
      <c r="X641" s="48"/>
      <c r="Y641" s="48"/>
      <c r="Z641" s="47"/>
      <c r="AA641" s="69">
        <v>641</v>
      </c>
      <c r="AB641" s="69"/>
      <c r="AC641" s="70"/>
      <c r="AD641" s="76" t="s">
        <v>22440</v>
      </c>
      <c r="AE641" s="81" t="s">
        <v>21465</v>
      </c>
      <c r="AF641" s="76">
        <v>0</v>
      </c>
      <c r="AG641" s="76">
        <v>3</v>
      </c>
      <c r="AH641" s="76">
        <v>133</v>
      </c>
      <c r="AI641" s="76">
        <v>0</v>
      </c>
      <c r="AJ641" s="76">
        <v>1</v>
      </c>
      <c r="AK641" s="76">
        <v>94</v>
      </c>
      <c r="AL641" s="76" t="b">
        <v>0</v>
      </c>
      <c r="AM641" s="78">
        <v>45134.740787037037</v>
      </c>
      <c r="AN641" s="76"/>
      <c r="AO641" s="76"/>
      <c r="AP641" s="76"/>
      <c r="AQ641" s="76"/>
      <c r="AR641" s="76"/>
      <c r="AS641" s="76"/>
      <c r="AT641" s="76"/>
      <c r="AU641" s="76"/>
      <c r="AV641" s="76"/>
      <c r="AW641" s="76"/>
      <c r="AX641" s="76" t="b">
        <v>0</v>
      </c>
      <c r="AY641" s="76"/>
      <c r="AZ641" s="76"/>
      <c r="BA641" s="76" t="b">
        <v>0</v>
      </c>
      <c r="BB641" s="76" t="b">
        <v>1</v>
      </c>
      <c r="BC641" s="76" t="b">
        <v>1</v>
      </c>
      <c r="BD641" s="76" t="b">
        <v>1</v>
      </c>
      <c r="BE641" s="76" t="b">
        <v>0</v>
      </c>
      <c r="BF641" s="76" t="b">
        <v>0</v>
      </c>
      <c r="BG641" s="76" t="b">
        <v>0</v>
      </c>
      <c r="BH641" s="76"/>
      <c r="BI641" s="76"/>
      <c r="BJ641" s="76" t="s">
        <v>24935</v>
      </c>
      <c r="BK641" s="76" t="b">
        <v>0</v>
      </c>
      <c r="BL641" s="76"/>
      <c r="BM641" s="76" t="s">
        <v>66</v>
      </c>
      <c r="BN641" s="76" t="s">
        <v>24937</v>
      </c>
      <c r="BO641" s="83" t="str">
        <f>HYPERLINK("https://twitter.com/derek2870")</f>
        <v>https://twitter.com/derek2870</v>
      </c>
      <c r="BP641" s="2"/>
    </row>
    <row r="642" spans="1:68" x14ac:dyDescent="0.25">
      <c r="A642" s="62" t="s">
        <v>832</v>
      </c>
      <c r="B642" s="63"/>
      <c r="C642" s="63"/>
      <c r="D642" s="64"/>
      <c r="E642" s="66"/>
      <c r="F642" s="102" t="str">
        <f>HYPERLINK("https://pbs.twimg.com/profile_images/1703609123173015552/iid132Of_normal.jpg")</f>
        <v>https://pbs.twimg.com/profile_images/1703609123173015552/iid132Of_normal.jpg</v>
      </c>
      <c r="G642" s="63"/>
      <c r="H642" s="67"/>
      <c r="I642" s="68"/>
      <c r="J642" s="68"/>
      <c r="K642" s="67" t="s">
        <v>25576</v>
      </c>
      <c r="L642" s="71"/>
      <c r="M642" s="72"/>
      <c r="N642" s="72"/>
      <c r="O642" s="73"/>
      <c r="P642" s="74"/>
      <c r="Q642" s="74"/>
      <c r="R642" s="86"/>
      <c r="S642" s="86"/>
      <c r="T642" s="86"/>
      <c r="U642" s="86"/>
      <c r="V642" s="48"/>
      <c r="W642" s="48"/>
      <c r="X642" s="48"/>
      <c r="Y642" s="48"/>
      <c r="Z642" s="47"/>
      <c r="AA642" s="69">
        <v>642</v>
      </c>
      <c r="AB642" s="69"/>
      <c r="AC642" s="70"/>
      <c r="AD642" s="76" t="s">
        <v>22441</v>
      </c>
      <c r="AE642" s="81" t="s">
        <v>21466</v>
      </c>
      <c r="AF642" s="76">
        <v>6</v>
      </c>
      <c r="AG642" s="76">
        <v>28</v>
      </c>
      <c r="AH642" s="76">
        <v>8</v>
      </c>
      <c r="AI642" s="76">
        <v>0</v>
      </c>
      <c r="AJ642" s="76">
        <v>0</v>
      </c>
      <c r="AK642" s="76">
        <v>4</v>
      </c>
      <c r="AL642" s="76" t="b">
        <v>0</v>
      </c>
      <c r="AM642" s="78">
        <v>45185.004583333335</v>
      </c>
      <c r="AN642" s="76"/>
      <c r="AO642" s="76"/>
      <c r="AP642" s="76"/>
      <c r="AQ642" s="76"/>
      <c r="AR642" s="76"/>
      <c r="AS642" s="76"/>
      <c r="AT642" s="76"/>
      <c r="AU642" s="76"/>
      <c r="AV642" s="76">
        <v>1.70376944370735E+18</v>
      </c>
      <c r="AW642" s="76"/>
      <c r="AX642" s="76" t="b">
        <v>0</v>
      </c>
      <c r="AY642" s="76"/>
      <c r="AZ642" s="76"/>
      <c r="BA642" s="76" t="b">
        <v>0</v>
      </c>
      <c r="BB642" s="76" t="b">
        <v>1</v>
      </c>
      <c r="BC642" s="76" t="b">
        <v>1</v>
      </c>
      <c r="BD642" s="76" t="b">
        <v>0</v>
      </c>
      <c r="BE642" s="76" t="b">
        <v>0</v>
      </c>
      <c r="BF642" s="76" t="b">
        <v>0</v>
      </c>
      <c r="BG642" s="76" t="b">
        <v>0</v>
      </c>
      <c r="BH642" s="83" t="str">
        <f>HYPERLINK("https://pbs.twimg.com/profile_banners/1702836216058482688/1695034303")</f>
        <v>https://pbs.twimg.com/profile_banners/1702836216058482688/1695034303</v>
      </c>
      <c r="BI642" s="76"/>
      <c r="BJ642" s="76" t="s">
        <v>24935</v>
      </c>
      <c r="BK642" s="76" t="b">
        <v>0</v>
      </c>
      <c r="BL642" s="76"/>
      <c r="BM642" s="76" t="s">
        <v>66</v>
      </c>
      <c r="BN642" s="76" t="s">
        <v>24937</v>
      </c>
      <c r="BO642" s="83" t="str">
        <f>HYPERLINK("https://twitter.com/michaelsan86890")</f>
        <v>https://twitter.com/michaelsan86890</v>
      </c>
      <c r="BP642" s="2"/>
    </row>
    <row r="643" spans="1:68" x14ac:dyDescent="0.25">
      <c r="A643" s="62" t="s">
        <v>833</v>
      </c>
      <c r="B643" s="63"/>
      <c r="C643" s="63"/>
      <c r="D643" s="64"/>
      <c r="E643" s="66"/>
      <c r="F643" s="102" t="str">
        <f>HYPERLINK("https://pbs.twimg.com/profile_images/1634436126432788480/6pAPtyLk_normal.png")</f>
        <v>https://pbs.twimg.com/profile_images/1634436126432788480/6pAPtyLk_normal.png</v>
      </c>
      <c r="G643" s="63"/>
      <c r="H643" s="67"/>
      <c r="I643" s="68"/>
      <c r="J643" s="68"/>
      <c r="K643" s="67" t="s">
        <v>25577</v>
      </c>
      <c r="L643" s="71"/>
      <c r="M643" s="72"/>
      <c r="N643" s="72"/>
      <c r="O643" s="73"/>
      <c r="P643" s="74"/>
      <c r="Q643" s="74"/>
      <c r="R643" s="86"/>
      <c r="S643" s="86"/>
      <c r="T643" s="86"/>
      <c r="U643" s="86"/>
      <c r="V643" s="48"/>
      <c r="W643" s="48"/>
      <c r="X643" s="48"/>
      <c r="Y643" s="48"/>
      <c r="Z643" s="47"/>
      <c r="AA643" s="69">
        <v>643</v>
      </c>
      <c r="AB643" s="69"/>
      <c r="AC643" s="70"/>
      <c r="AD643" s="76" t="s">
        <v>22442</v>
      </c>
      <c r="AE643" s="81" t="s">
        <v>21467</v>
      </c>
      <c r="AF643" s="76">
        <v>1</v>
      </c>
      <c r="AG643" s="76">
        <v>54</v>
      </c>
      <c r="AH643" s="76">
        <v>11</v>
      </c>
      <c r="AI643" s="76">
        <v>0</v>
      </c>
      <c r="AJ643" s="76">
        <v>3</v>
      </c>
      <c r="AK643" s="76">
        <v>7</v>
      </c>
      <c r="AL643" s="76" t="b">
        <v>0</v>
      </c>
      <c r="AM643" s="78">
        <v>44996.255937499998</v>
      </c>
      <c r="AN643" s="76" t="s">
        <v>23242</v>
      </c>
      <c r="AO643" s="76" t="s">
        <v>23901</v>
      </c>
      <c r="AP643" s="83" t="str">
        <f>HYPERLINK("https://t.co/Vae5sA35A9")</f>
        <v>https://t.co/Vae5sA35A9</v>
      </c>
      <c r="AQ643" s="83" t="str">
        <f>HYPERLINK("https://creatorlabs.com.br")</f>
        <v>https://creatorlabs.com.br</v>
      </c>
      <c r="AR643" s="76" t="s">
        <v>24606</v>
      </c>
      <c r="AS643" s="76"/>
      <c r="AT643" s="76"/>
      <c r="AU643" s="76"/>
      <c r="AV643" s="76"/>
      <c r="AW643" s="83" t="str">
        <f>HYPERLINK("https://t.co/Vae5sA35A9")</f>
        <v>https://t.co/Vae5sA35A9</v>
      </c>
      <c r="AX643" s="76" t="b">
        <v>0</v>
      </c>
      <c r="AY643" s="76"/>
      <c r="AZ643" s="76"/>
      <c r="BA643" s="76" t="b">
        <v>0</v>
      </c>
      <c r="BB643" s="76" t="b">
        <v>1</v>
      </c>
      <c r="BC643" s="76" t="b">
        <v>1</v>
      </c>
      <c r="BD643" s="76" t="b">
        <v>0</v>
      </c>
      <c r="BE643" s="76" t="b">
        <v>0</v>
      </c>
      <c r="BF643" s="76" t="b">
        <v>0</v>
      </c>
      <c r="BG643" s="76" t="b">
        <v>0</v>
      </c>
      <c r="BH643" s="76"/>
      <c r="BI643" s="76"/>
      <c r="BJ643" s="76" t="s">
        <v>24935</v>
      </c>
      <c r="BK643" s="76" t="b">
        <v>0</v>
      </c>
      <c r="BL643" s="76"/>
      <c r="BM643" s="76" t="s">
        <v>66</v>
      </c>
      <c r="BN643" s="76" t="s">
        <v>24937</v>
      </c>
      <c r="BO643" s="83" t="str">
        <f>HYPERLINK("https://twitter.com/fravenrike")</f>
        <v>https://twitter.com/fravenrike</v>
      </c>
      <c r="BP643" s="2"/>
    </row>
    <row r="644" spans="1:68" x14ac:dyDescent="0.25">
      <c r="A644" s="62" t="s">
        <v>834</v>
      </c>
      <c r="B644" s="63"/>
      <c r="C644" s="63"/>
      <c r="D644" s="64"/>
      <c r="E644" s="66"/>
      <c r="F644" s="102" t="str">
        <f>HYPERLINK("https://pbs.twimg.com/profile_images/1666443911185694721/vObKGsq__normal.jpg")</f>
        <v>https://pbs.twimg.com/profile_images/1666443911185694721/vObKGsq__normal.jpg</v>
      </c>
      <c r="G644" s="63"/>
      <c r="H644" s="67"/>
      <c r="I644" s="68"/>
      <c r="J644" s="68"/>
      <c r="K644" s="67" t="s">
        <v>25578</v>
      </c>
      <c r="L644" s="71"/>
      <c r="M644" s="72"/>
      <c r="N644" s="72"/>
      <c r="O644" s="73"/>
      <c r="P644" s="74"/>
      <c r="Q644" s="74"/>
      <c r="R644" s="86"/>
      <c r="S644" s="86"/>
      <c r="T644" s="86"/>
      <c r="U644" s="86"/>
      <c r="V644" s="48"/>
      <c r="W644" s="48"/>
      <c r="X644" s="48"/>
      <c r="Y644" s="48"/>
      <c r="Z644" s="47"/>
      <c r="AA644" s="69">
        <v>644</v>
      </c>
      <c r="AB644" s="69"/>
      <c r="AC644" s="70"/>
      <c r="AD644" s="76" t="s">
        <v>22443</v>
      </c>
      <c r="AE644" s="81" t="s">
        <v>21468</v>
      </c>
      <c r="AF644" s="76">
        <v>9</v>
      </c>
      <c r="AG644" s="76">
        <v>159</v>
      </c>
      <c r="AH644" s="76">
        <v>126</v>
      </c>
      <c r="AI644" s="76">
        <v>0</v>
      </c>
      <c r="AJ644" s="76">
        <v>62</v>
      </c>
      <c r="AK644" s="76">
        <v>81</v>
      </c>
      <c r="AL644" s="76" t="b">
        <v>0</v>
      </c>
      <c r="AM644" s="78">
        <v>44990.768495370372</v>
      </c>
      <c r="AN644" s="76"/>
      <c r="AO644" s="76" t="s">
        <v>23902</v>
      </c>
      <c r="AP644" s="83" t="str">
        <f>HYPERLINK("https://t.co/8c48C6If7D")</f>
        <v>https://t.co/8c48C6If7D</v>
      </c>
      <c r="AQ644" s="83" t="str">
        <f>HYPERLINK("http://hotm.art/ngdgpv")</f>
        <v>http://hotm.art/ngdgpv</v>
      </c>
      <c r="AR644" s="76" t="s">
        <v>24607</v>
      </c>
      <c r="AS644" s="76"/>
      <c r="AT644" s="76"/>
      <c r="AU644" s="76"/>
      <c r="AV644" s="76"/>
      <c r="AW644" s="83" t="str">
        <f>HYPERLINK("https://t.co/8c48C6If7D")</f>
        <v>https://t.co/8c48C6If7D</v>
      </c>
      <c r="AX644" s="76" t="b">
        <v>0</v>
      </c>
      <c r="AY644" s="76"/>
      <c r="AZ644" s="76"/>
      <c r="BA644" s="76" t="b">
        <v>0</v>
      </c>
      <c r="BB644" s="76" t="b">
        <v>1</v>
      </c>
      <c r="BC644" s="76" t="b">
        <v>1</v>
      </c>
      <c r="BD644" s="76" t="b">
        <v>0</v>
      </c>
      <c r="BE644" s="76" t="b">
        <v>0</v>
      </c>
      <c r="BF644" s="76" t="b">
        <v>0</v>
      </c>
      <c r="BG644" s="76" t="b">
        <v>0</v>
      </c>
      <c r="BH644" s="83" t="str">
        <f>HYPERLINK("https://pbs.twimg.com/profile_banners/1632447388383150082/1686146164")</f>
        <v>https://pbs.twimg.com/profile_banners/1632447388383150082/1686146164</v>
      </c>
      <c r="BI644" s="76"/>
      <c r="BJ644" s="76" t="s">
        <v>24935</v>
      </c>
      <c r="BK644" s="76" t="b">
        <v>0</v>
      </c>
      <c r="BL644" s="76"/>
      <c r="BM644" s="76" t="s">
        <v>66</v>
      </c>
      <c r="BN644" s="76" t="s">
        <v>24937</v>
      </c>
      <c r="BO644" s="83" t="str">
        <f>HYPERLINK("https://twitter.com/paulinorsantos")</f>
        <v>https://twitter.com/paulinorsantos</v>
      </c>
      <c r="BP644" s="2"/>
    </row>
    <row r="645" spans="1:68" x14ac:dyDescent="0.25">
      <c r="A645" s="62" t="s">
        <v>835</v>
      </c>
      <c r="B645" s="63"/>
      <c r="C645" s="63"/>
      <c r="D645" s="64"/>
      <c r="E645" s="66"/>
      <c r="F645" s="102" t="str">
        <f>HYPERLINK("https://pbs.twimg.com/profile_images/1441467348423118850/fGlsXvAL_normal.jpg")</f>
        <v>https://pbs.twimg.com/profile_images/1441467348423118850/fGlsXvAL_normal.jpg</v>
      </c>
      <c r="G645" s="63"/>
      <c r="H645" s="67"/>
      <c r="I645" s="68"/>
      <c r="J645" s="68"/>
      <c r="K645" s="67" t="s">
        <v>25579</v>
      </c>
      <c r="L645" s="71"/>
      <c r="M645" s="72"/>
      <c r="N645" s="72"/>
      <c r="O645" s="73"/>
      <c r="P645" s="74"/>
      <c r="Q645" s="74"/>
      <c r="R645" s="86"/>
      <c r="S645" s="86"/>
      <c r="T645" s="86"/>
      <c r="U645" s="86"/>
      <c r="V645" s="48"/>
      <c r="W645" s="48"/>
      <c r="X645" s="48"/>
      <c r="Y645" s="48"/>
      <c r="Z645" s="47"/>
      <c r="AA645" s="69">
        <v>645</v>
      </c>
      <c r="AB645" s="69"/>
      <c r="AC645" s="70"/>
      <c r="AD645" s="76" t="s">
        <v>22444</v>
      </c>
      <c r="AE645" s="81" t="s">
        <v>22984</v>
      </c>
      <c r="AF645" s="76">
        <v>954</v>
      </c>
      <c r="AG645" s="76">
        <v>936</v>
      </c>
      <c r="AH645" s="76">
        <v>17354</v>
      </c>
      <c r="AI645" s="76">
        <v>9</v>
      </c>
      <c r="AJ645" s="76">
        <v>317</v>
      </c>
      <c r="AK645" s="76">
        <v>665</v>
      </c>
      <c r="AL645" s="76" t="b">
        <v>0</v>
      </c>
      <c r="AM645" s="78">
        <v>40232.556192129632</v>
      </c>
      <c r="AN645" s="76" t="s">
        <v>23243</v>
      </c>
      <c r="AO645" s="76" t="s">
        <v>23903</v>
      </c>
      <c r="AP645" s="83" t="str">
        <f>HYPERLINK("https://t.co/TB3VIbB0wp")</f>
        <v>https://t.co/TB3VIbB0wp</v>
      </c>
      <c r="AQ645" s="83" t="str">
        <f>HYPERLINK("http://www.danielmeneses.com.br")</f>
        <v>http://www.danielmeneses.com.br</v>
      </c>
      <c r="AR645" s="76" t="s">
        <v>24608</v>
      </c>
      <c r="AS645" s="76"/>
      <c r="AT645" s="76"/>
      <c r="AU645" s="76"/>
      <c r="AV645" s="76"/>
      <c r="AW645" s="83" t="str">
        <f>HYPERLINK("https://t.co/TB3VIbB0wp")</f>
        <v>https://t.co/TB3VIbB0wp</v>
      </c>
      <c r="AX645" s="76" t="b">
        <v>0</v>
      </c>
      <c r="AY645" s="76"/>
      <c r="AZ645" s="76"/>
      <c r="BA645" s="76" t="b">
        <v>1</v>
      </c>
      <c r="BB645" s="76" t="b">
        <v>1</v>
      </c>
      <c r="BC645" s="76" t="b">
        <v>0</v>
      </c>
      <c r="BD645" s="76" t="b">
        <v>0</v>
      </c>
      <c r="BE645" s="76" t="b">
        <v>0</v>
      </c>
      <c r="BF645" s="76" t="b">
        <v>0</v>
      </c>
      <c r="BG645" s="76" t="b">
        <v>0</v>
      </c>
      <c r="BH645" s="83" t="str">
        <f>HYPERLINK("https://pbs.twimg.com/profile_banners/116750085/1632509091")</f>
        <v>https://pbs.twimg.com/profile_banners/116750085/1632509091</v>
      </c>
      <c r="BI645" s="76"/>
      <c r="BJ645" s="76" t="s">
        <v>24935</v>
      </c>
      <c r="BK645" s="76" t="b">
        <v>0</v>
      </c>
      <c r="BL645" s="76"/>
      <c r="BM645" s="76" t="s">
        <v>66</v>
      </c>
      <c r="BN645" s="76" t="s">
        <v>24937</v>
      </c>
      <c r="BO645" s="83" t="str">
        <f>HYPERLINK("https://twitter.com/danielmeneses_")</f>
        <v>https://twitter.com/danielmeneses_</v>
      </c>
      <c r="BP645" s="2"/>
    </row>
    <row r="646" spans="1:68" x14ac:dyDescent="0.25">
      <c r="A646" s="62" t="s">
        <v>836</v>
      </c>
      <c r="B646" s="63"/>
      <c r="C646" s="63"/>
      <c r="D646" s="64"/>
      <c r="E646" s="66"/>
      <c r="F646" s="102" t="str">
        <f>HYPERLINK("https://pbs.twimg.com/profile_images/1587416795379539969/bIG-0fHf_normal.jpg")</f>
        <v>https://pbs.twimg.com/profile_images/1587416795379539969/bIG-0fHf_normal.jpg</v>
      </c>
      <c r="G646" s="63"/>
      <c r="H646" s="67"/>
      <c r="I646" s="68"/>
      <c r="J646" s="68"/>
      <c r="K646" s="67" t="s">
        <v>25580</v>
      </c>
      <c r="L646" s="71"/>
      <c r="M646" s="72"/>
      <c r="N646" s="72"/>
      <c r="O646" s="73"/>
      <c r="P646" s="74"/>
      <c r="Q646" s="74"/>
      <c r="R646" s="86"/>
      <c r="S646" s="86"/>
      <c r="T646" s="86"/>
      <c r="U646" s="86"/>
      <c r="V646" s="48"/>
      <c r="W646" s="48"/>
      <c r="X646" s="48"/>
      <c r="Y646" s="48"/>
      <c r="Z646" s="47"/>
      <c r="AA646" s="69">
        <v>646</v>
      </c>
      <c r="AB646" s="69"/>
      <c r="AC646" s="70"/>
      <c r="AD646" s="76" t="s">
        <v>22445</v>
      </c>
      <c r="AE646" s="81" t="s">
        <v>22985</v>
      </c>
      <c r="AF646" s="76">
        <v>1958</v>
      </c>
      <c r="AG646" s="76">
        <v>3598</v>
      </c>
      <c r="AH646" s="76">
        <v>274901</v>
      </c>
      <c r="AI646" s="76">
        <v>3</v>
      </c>
      <c r="AJ646" s="76">
        <v>343575</v>
      </c>
      <c r="AK646" s="76">
        <v>1367</v>
      </c>
      <c r="AL646" s="76" t="b">
        <v>0</v>
      </c>
      <c r="AM646" s="78">
        <v>40007.733622685184</v>
      </c>
      <c r="AN646" s="76" t="s">
        <v>23244</v>
      </c>
      <c r="AO646" s="76" t="s">
        <v>23904</v>
      </c>
      <c r="AP646" s="76"/>
      <c r="AQ646" s="76"/>
      <c r="AR646" s="76"/>
      <c r="AS646" s="76"/>
      <c r="AT646" s="76"/>
      <c r="AU646" s="76"/>
      <c r="AV646" s="76"/>
      <c r="AW646" s="76"/>
      <c r="AX646" s="76" t="b">
        <v>0</v>
      </c>
      <c r="AY646" s="76"/>
      <c r="AZ646" s="76"/>
      <c r="BA646" s="76" t="b">
        <v>1</v>
      </c>
      <c r="BB646" s="76" t="b">
        <v>1</v>
      </c>
      <c r="BC646" s="76" t="b">
        <v>1</v>
      </c>
      <c r="BD646" s="76" t="b">
        <v>0</v>
      </c>
      <c r="BE646" s="76" t="b">
        <v>0</v>
      </c>
      <c r="BF646" s="76" t="b">
        <v>0</v>
      </c>
      <c r="BG646" s="76" t="b">
        <v>0</v>
      </c>
      <c r="BH646" s="83" t="str">
        <f>HYPERLINK("https://pbs.twimg.com/profile_banners/56436416/1660691108")</f>
        <v>https://pbs.twimg.com/profile_banners/56436416/1660691108</v>
      </c>
      <c r="BI646" s="76"/>
      <c r="BJ646" s="76" t="s">
        <v>24935</v>
      </c>
      <c r="BK646" s="76" t="b">
        <v>0</v>
      </c>
      <c r="BL646" s="76"/>
      <c r="BM646" s="76" t="s">
        <v>66</v>
      </c>
      <c r="BN646" s="76" t="s">
        <v>24937</v>
      </c>
      <c r="BO646" s="83" t="str">
        <f>HYPERLINK("https://twitter.com/s_g_s5")</f>
        <v>https://twitter.com/s_g_s5</v>
      </c>
      <c r="BP646" s="2"/>
    </row>
    <row r="647" spans="1:68" x14ac:dyDescent="0.25">
      <c r="A647" s="62" t="s">
        <v>837</v>
      </c>
      <c r="B647" s="63"/>
      <c r="C647" s="63"/>
      <c r="D647" s="64"/>
      <c r="E647" s="66"/>
      <c r="F647" s="102" t="str">
        <f>HYPERLINK("https://pbs.twimg.com/profile_images/1666148733526867986/rwVe1Yqb_normal.jpg")</f>
        <v>https://pbs.twimg.com/profile_images/1666148733526867986/rwVe1Yqb_normal.jpg</v>
      </c>
      <c r="G647" s="63"/>
      <c r="H647" s="67"/>
      <c r="I647" s="68"/>
      <c r="J647" s="68"/>
      <c r="K647" s="67" t="s">
        <v>25581</v>
      </c>
      <c r="L647" s="71"/>
      <c r="M647" s="72"/>
      <c r="N647" s="72"/>
      <c r="O647" s="73"/>
      <c r="P647" s="74"/>
      <c r="Q647" s="74"/>
      <c r="R647" s="86"/>
      <c r="S647" s="86"/>
      <c r="T647" s="86"/>
      <c r="U647" s="86"/>
      <c r="V647" s="48"/>
      <c r="W647" s="48"/>
      <c r="X647" s="48"/>
      <c r="Y647" s="48"/>
      <c r="Z647" s="47"/>
      <c r="AA647" s="69">
        <v>647</v>
      </c>
      <c r="AB647" s="69"/>
      <c r="AC647" s="70"/>
      <c r="AD647" s="76" t="s">
        <v>22446</v>
      </c>
      <c r="AE647" s="81" t="s">
        <v>21469</v>
      </c>
      <c r="AF647" s="76">
        <v>2</v>
      </c>
      <c r="AG647" s="76">
        <v>14</v>
      </c>
      <c r="AH647" s="76">
        <v>158</v>
      </c>
      <c r="AI647" s="76">
        <v>0</v>
      </c>
      <c r="AJ647" s="76">
        <v>137</v>
      </c>
      <c r="AK647" s="76">
        <v>26</v>
      </c>
      <c r="AL647" s="76" t="b">
        <v>0</v>
      </c>
      <c r="AM647" s="78">
        <v>45062.107638888891</v>
      </c>
      <c r="AN647" s="76" t="s">
        <v>23245</v>
      </c>
      <c r="AO647" s="76" t="s">
        <v>23905</v>
      </c>
      <c r="AP647" s="83" t="str">
        <f>HYPERLINK("https://t.co/hwRRmromQ2")</f>
        <v>https://t.co/hwRRmromQ2</v>
      </c>
      <c r="AQ647" s="83" t="str">
        <f>HYPERLINK("http://adrianosanttos.com")</f>
        <v>http://adrianosanttos.com</v>
      </c>
      <c r="AR647" s="76" t="s">
        <v>7413</v>
      </c>
      <c r="AS647" s="76"/>
      <c r="AT647" s="76"/>
      <c r="AU647" s="76"/>
      <c r="AV647" s="76"/>
      <c r="AW647" s="83" t="str">
        <f>HYPERLINK("https://t.co/hwRRmromQ2")</f>
        <v>https://t.co/hwRRmromQ2</v>
      </c>
      <c r="AX647" s="76" t="b">
        <v>0</v>
      </c>
      <c r="AY647" s="76"/>
      <c r="AZ647" s="76"/>
      <c r="BA647" s="76" t="b">
        <v>0</v>
      </c>
      <c r="BB647" s="76" t="b">
        <v>1</v>
      </c>
      <c r="BC647" s="76" t="b">
        <v>1</v>
      </c>
      <c r="BD647" s="76" t="b">
        <v>0</v>
      </c>
      <c r="BE647" s="76" t="b">
        <v>0</v>
      </c>
      <c r="BF647" s="76" t="b">
        <v>0</v>
      </c>
      <c r="BG647" s="76" t="b">
        <v>0</v>
      </c>
      <c r="BH647" s="83" t="str">
        <f>HYPERLINK("https://pbs.twimg.com/profile_banners/1658299771834990593/1684205327")</f>
        <v>https://pbs.twimg.com/profile_banners/1658299771834990593/1684205327</v>
      </c>
      <c r="BI647" s="76"/>
      <c r="BJ647" s="76" t="s">
        <v>24935</v>
      </c>
      <c r="BK647" s="76" t="b">
        <v>0</v>
      </c>
      <c r="BL647" s="76"/>
      <c r="BM647" s="76" t="s">
        <v>66</v>
      </c>
      <c r="BN647" s="76" t="s">
        <v>24937</v>
      </c>
      <c r="BO647" s="83" t="str">
        <f>HYPERLINK("https://twitter.com/adriano7santtos")</f>
        <v>https://twitter.com/adriano7santtos</v>
      </c>
      <c r="BP647" s="2"/>
    </row>
    <row r="648" spans="1:68" x14ac:dyDescent="0.25">
      <c r="A648" s="62" t="s">
        <v>838</v>
      </c>
      <c r="B648" s="63"/>
      <c r="C648" s="63"/>
      <c r="D648" s="64"/>
      <c r="E648" s="66"/>
      <c r="F648" s="102" t="str">
        <f>HYPERLINK("https://pbs.twimg.com/profile_images/1616758884172955649/njIDseeO_normal.jpg")</f>
        <v>https://pbs.twimg.com/profile_images/1616758884172955649/njIDseeO_normal.jpg</v>
      </c>
      <c r="G648" s="63"/>
      <c r="H648" s="67"/>
      <c r="I648" s="68"/>
      <c r="J648" s="68"/>
      <c r="K648" s="67" t="s">
        <v>25582</v>
      </c>
      <c r="L648" s="71"/>
      <c r="M648" s="72"/>
      <c r="N648" s="72"/>
      <c r="O648" s="73"/>
      <c r="P648" s="74"/>
      <c r="Q648" s="74"/>
      <c r="R648" s="86"/>
      <c r="S648" s="86"/>
      <c r="T648" s="86"/>
      <c r="U648" s="86"/>
      <c r="V648" s="48"/>
      <c r="W648" s="48"/>
      <c r="X648" s="48"/>
      <c r="Y648" s="48"/>
      <c r="Z648" s="47"/>
      <c r="AA648" s="69">
        <v>648</v>
      </c>
      <c r="AB648" s="69"/>
      <c r="AC648" s="70"/>
      <c r="AD648" s="76" t="s">
        <v>22447</v>
      </c>
      <c r="AE648" s="81" t="s">
        <v>22986</v>
      </c>
      <c r="AF648" s="76">
        <v>34</v>
      </c>
      <c r="AG648" s="76">
        <v>342</v>
      </c>
      <c r="AH648" s="76">
        <v>9</v>
      </c>
      <c r="AI648" s="76">
        <v>0</v>
      </c>
      <c r="AJ648" s="76">
        <v>3</v>
      </c>
      <c r="AK648" s="76">
        <v>9</v>
      </c>
      <c r="AL648" s="76" t="b">
        <v>0</v>
      </c>
      <c r="AM648" s="78">
        <v>41740.041979166665</v>
      </c>
      <c r="AN648" s="76" t="s">
        <v>14065</v>
      </c>
      <c r="AO648" s="76" t="s">
        <v>23906</v>
      </c>
      <c r="AP648" s="76"/>
      <c r="AQ648" s="76"/>
      <c r="AR648" s="76"/>
      <c r="AS648" s="83" t="str">
        <f>HYPERLINK("https://t.co/zb2kcqUfp9")</f>
        <v>https://t.co/zb2kcqUfp9</v>
      </c>
      <c r="AT648" s="83" t="str">
        <f>HYPERLINK("https://api.whatsapp.com/send?phone=5522981178922&amp;text=O%20que%20voc%C3%AA%20deseja")</f>
        <v>https://api.whatsapp.com/send?phone=5522981178922&amp;text=O%20que%20voc%C3%AA%20deseja</v>
      </c>
      <c r="AU648" s="76" t="s">
        <v>24897</v>
      </c>
      <c r="AV648" s="76"/>
      <c r="AW648" s="76"/>
      <c r="AX648" s="76" t="b">
        <v>0</v>
      </c>
      <c r="AY648" s="76"/>
      <c r="AZ648" s="76"/>
      <c r="BA648" s="76" t="b">
        <v>0</v>
      </c>
      <c r="BB648" s="76" t="b">
        <v>1</v>
      </c>
      <c r="BC648" s="76" t="b">
        <v>1</v>
      </c>
      <c r="BD648" s="76" t="b">
        <v>0</v>
      </c>
      <c r="BE648" s="76" t="b">
        <v>0</v>
      </c>
      <c r="BF648" s="76" t="b">
        <v>0</v>
      </c>
      <c r="BG648" s="76" t="b">
        <v>0</v>
      </c>
      <c r="BH648" s="76"/>
      <c r="BI648" s="76"/>
      <c r="BJ648" s="76" t="s">
        <v>24935</v>
      </c>
      <c r="BK648" s="76" t="b">
        <v>0</v>
      </c>
      <c r="BL648" s="76"/>
      <c r="BM648" s="76" t="s">
        <v>66</v>
      </c>
      <c r="BN648" s="76" t="s">
        <v>24937</v>
      </c>
      <c r="BO648" s="83" t="str">
        <f>HYPERLINK("https://twitter.com/35a15c3879a9482")</f>
        <v>https://twitter.com/35a15c3879a9482</v>
      </c>
      <c r="BP648" s="2"/>
    </row>
    <row r="649" spans="1:68" x14ac:dyDescent="0.25">
      <c r="A649" s="62" t="s">
        <v>839</v>
      </c>
      <c r="B649" s="63"/>
      <c r="C649" s="63"/>
      <c r="D649" s="64"/>
      <c r="E649" s="66"/>
      <c r="F649" s="102" t="str">
        <f>HYPERLINK("https://pbs.twimg.com/profile_images/1699430383824080896/7G3K7jvx_normal.jpg")</f>
        <v>https://pbs.twimg.com/profile_images/1699430383824080896/7G3K7jvx_normal.jpg</v>
      </c>
      <c r="G649" s="63"/>
      <c r="H649" s="67"/>
      <c r="I649" s="68"/>
      <c r="J649" s="68"/>
      <c r="K649" s="67" t="s">
        <v>25583</v>
      </c>
      <c r="L649" s="71"/>
      <c r="M649" s="72"/>
      <c r="N649" s="72"/>
      <c r="O649" s="73"/>
      <c r="P649" s="74"/>
      <c r="Q649" s="74"/>
      <c r="R649" s="86"/>
      <c r="S649" s="86"/>
      <c r="T649" s="86"/>
      <c r="U649" s="86"/>
      <c r="V649" s="48"/>
      <c r="W649" s="48"/>
      <c r="X649" s="48"/>
      <c r="Y649" s="48"/>
      <c r="Z649" s="47"/>
      <c r="AA649" s="69">
        <v>649</v>
      </c>
      <c r="AB649" s="69"/>
      <c r="AC649" s="70"/>
      <c r="AD649" s="76" t="s">
        <v>22448</v>
      </c>
      <c r="AE649" s="81" t="s">
        <v>22987</v>
      </c>
      <c r="AF649" s="76">
        <v>2953</v>
      </c>
      <c r="AG649" s="76">
        <v>921</v>
      </c>
      <c r="AH649" s="76">
        <v>46783</v>
      </c>
      <c r="AI649" s="76">
        <v>10</v>
      </c>
      <c r="AJ649" s="76">
        <v>40251</v>
      </c>
      <c r="AK649" s="76">
        <v>4026</v>
      </c>
      <c r="AL649" s="76" t="b">
        <v>0</v>
      </c>
      <c r="AM649" s="78">
        <v>42269.763564814813</v>
      </c>
      <c r="AN649" s="76" t="s">
        <v>14033</v>
      </c>
      <c r="AO649" s="76" t="s">
        <v>23907</v>
      </c>
      <c r="AP649" s="83" t="str">
        <f>HYPERLINK("https://t.co/w8T4FseguR")</f>
        <v>https://t.co/w8T4FseguR</v>
      </c>
      <c r="AQ649" s="83" t="str">
        <f>HYPERLINK("http://jvmedeiros.com")</f>
        <v>http://jvmedeiros.com</v>
      </c>
      <c r="AR649" s="76" t="s">
        <v>24609</v>
      </c>
      <c r="AS649" s="76"/>
      <c r="AT649" s="76"/>
      <c r="AU649" s="76"/>
      <c r="AV649" s="76">
        <v>1.6305946924705101E+18</v>
      </c>
      <c r="AW649" s="83" t="str">
        <f>HYPERLINK("https://t.co/w8T4FseguR")</f>
        <v>https://t.co/w8T4FseguR</v>
      </c>
      <c r="AX649" s="76" t="b">
        <v>0</v>
      </c>
      <c r="AY649" s="76"/>
      <c r="AZ649" s="76"/>
      <c r="BA649" s="76" t="b">
        <v>1</v>
      </c>
      <c r="BB649" s="76" t="b">
        <v>0</v>
      </c>
      <c r="BC649" s="76" t="b">
        <v>0</v>
      </c>
      <c r="BD649" s="76" t="b">
        <v>0</v>
      </c>
      <c r="BE649" s="76" t="b">
        <v>1</v>
      </c>
      <c r="BF649" s="76" t="b">
        <v>0</v>
      </c>
      <c r="BG649" s="76" t="b">
        <v>0</v>
      </c>
      <c r="BH649" s="83" t="str">
        <f>HYPERLINK("https://pbs.twimg.com/profile_banners/3741272415/1694010622")</f>
        <v>https://pbs.twimg.com/profile_banners/3741272415/1694010622</v>
      </c>
      <c r="BI649" s="76"/>
      <c r="BJ649" s="76" t="s">
        <v>24935</v>
      </c>
      <c r="BK649" s="76" t="b">
        <v>0</v>
      </c>
      <c r="BL649" s="76"/>
      <c r="BM649" s="76" t="s">
        <v>66</v>
      </c>
      <c r="BN649" s="76" t="s">
        <v>24937</v>
      </c>
      <c r="BO649" s="83" t="str">
        <f>HYPERLINK("https://twitter.com/joaoinvictor")</f>
        <v>https://twitter.com/joaoinvictor</v>
      </c>
      <c r="BP649" s="2"/>
    </row>
    <row r="650" spans="1:68" x14ac:dyDescent="0.25">
      <c r="A650" s="62" t="s">
        <v>840</v>
      </c>
      <c r="B650" s="63"/>
      <c r="C650" s="63"/>
      <c r="D650" s="64"/>
      <c r="E650" s="66"/>
      <c r="F650" s="102" t="str">
        <f>HYPERLINK("https://pbs.twimg.com/profile_images/1687616947427393536/dn6CElGa_normal.png")</f>
        <v>https://pbs.twimg.com/profile_images/1687616947427393536/dn6CElGa_normal.png</v>
      </c>
      <c r="G650" s="63"/>
      <c r="H650" s="67"/>
      <c r="I650" s="68"/>
      <c r="J650" s="68"/>
      <c r="K650" s="67" t="s">
        <v>25584</v>
      </c>
      <c r="L650" s="71"/>
      <c r="M650" s="72"/>
      <c r="N650" s="72"/>
      <c r="O650" s="73"/>
      <c r="P650" s="74"/>
      <c r="Q650" s="74"/>
      <c r="R650" s="86"/>
      <c r="S650" s="86"/>
      <c r="T650" s="86"/>
      <c r="U650" s="86"/>
      <c r="V650" s="48"/>
      <c r="W650" s="48"/>
      <c r="X650" s="48"/>
      <c r="Y650" s="48"/>
      <c r="Z650" s="47"/>
      <c r="AA650" s="69">
        <v>650</v>
      </c>
      <c r="AB650" s="69"/>
      <c r="AC650" s="70"/>
      <c r="AD650" s="76" t="s">
        <v>22449</v>
      </c>
      <c r="AE650" s="81" t="s">
        <v>21470</v>
      </c>
      <c r="AF650" s="76">
        <v>0</v>
      </c>
      <c r="AG650" s="76">
        <v>5</v>
      </c>
      <c r="AH650" s="76">
        <v>10</v>
      </c>
      <c r="AI650" s="76">
        <v>0</v>
      </c>
      <c r="AJ650" s="76">
        <v>4</v>
      </c>
      <c r="AK650" s="76">
        <v>0</v>
      </c>
      <c r="AL650" s="76" t="b">
        <v>0</v>
      </c>
      <c r="AM650" s="78">
        <v>45143.004421296297</v>
      </c>
      <c r="AN650" s="76"/>
      <c r="AO650" s="76"/>
      <c r="AP650" s="76"/>
      <c r="AQ650" s="76"/>
      <c r="AR650" s="76"/>
      <c r="AS650" s="76"/>
      <c r="AT650" s="76"/>
      <c r="AU650" s="76"/>
      <c r="AV650" s="76"/>
      <c r="AW650" s="76"/>
      <c r="AX650" s="76" t="b">
        <v>0</v>
      </c>
      <c r="AY650" s="76"/>
      <c r="AZ650" s="76"/>
      <c r="BA650" s="76" t="b">
        <v>0</v>
      </c>
      <c r="BB650" s="76" t="b">
        <v>1</v>
      </c>
      <c r="BC650" s="76" t="b">
        <v>1</v>
      </c>
      <c r="BD650" s="76" t="b">
        <v>0</v>
      </c>
      <c r="BE650" s="76" t="b">
        <v>0</v>
      </c>
      <c r="BF650" s="76" t="b">
        <v>0</v>
      </c>
      <c r="BG650" s="76" t="b">
        <v>0</v>
      </c>
      <c r="BH650" s="83" t="str">
        <f>HYPERLINK("https://pbs.twimg.com/profile_banners/1687615879574351873/1691194400")</f>
        <v>https://pbs.twimg.com/profile_banners/1687615879574351873/1691194400</v>
      </c>
      <c r="BI650" s="76"/>
      <c r="BJ650" s="76" t="s">
        <v>24935</v>
      </c>
      <c r="BK650" s="76" t="b">
        <v>0</v>
      </c>
      <c r="BL650" s="76"/>
      <c r="BM650" s="76" t="s">
        <v>66</v>
      </c>
      <c r="BN650" s="76" t="s">
        <v>24937</v>
      </c>
      <c r="BO650" s="83" t="str">
        <f>HYPERLINK("https://twitter.com/tudoon22")</f>
        <v>https://twitter.com/tudoon22</v>
      </c>
      <c r="BP650" s="2"/>
    </row>
    <row r="651" spans="1:68" x14ac:dyDescent="0.25">
      <c r="A651" s="62" t="s">
        <v>841</v>
      </c>
      <c r="B651" s="63"/>
      <c r="C651" s="63"/>
      <c r="D651" s="64"/>
      <c r="E651" s="66"/>
      <c r="F651" s="102" t="str">
        <f>HYPERLINK("https://pbs.twimg.com/profile_images/1693747714012368897/Y85Fc_7b_normal.jpg")</f>
        <v>https://pbs.twimg.com/profile_images/1693747714012368897/Y85Fc_7b_normal.jpg</v>
      </c>
      <c r="G651" s="63"/>
      <c r="H651" s="67"/>
      <c r="I651" s="68"/>
      <c r="J651" s="68"/>
      <c r="K651" s="67" t="s">
        <v>25585</v>
      </c>
      <c r="L651" s="71"/>
      <c r="M651" s="72"/>
      <c r="N651" s="72"/>
      <c r="O651" s="73"/>
      <c r="P651" s="74"/>
      <c r="Q651" s="74"/>
      <c r="R651" s="86"/>
      <c r="S651" s="86"/>
      <c r="T651" s="86"/>
      <c r="U651" s="86"/>
      <c r="V651" s="48"/>
      <c r="W651" s="48"/>
      <c r="X651" s="48"/>
      <c r="Y651" s="48"/>
      <c r="Z651" s="47"/>
      <c r="AA651" s="69">
        <v>651</v>
      </c>
      <c r="AB651" s="69"/>
      <c r="AC651" s="70"/>
      <c r="AD651" s="76" t="s">
        <v>22450</v>
      </c>
      <c r="AE651" s="81" t="s">
        <v>21471</v>
      </c>
      <c r="AF651" s="76">
        <v>0</v>
      </c>
      <c r="AG651" s="76">
        <v>5</v>
      </c>
      <c r="AH651" s="76">
        <v>3</v>
      </c>
      <c r="AI651" s="76">
        <v>0</v>
      </c>
      <c r="AJ651" s="76">
        <v>0</v>
      </c>
      <c r="AK651" s="76">
        <v>1</v>
      </c>
      <c r="AL651" s="76" t="b">
        <v>0</v>
      </c>
      <c r="AM651" s="78">
        <v>45159.898460648146</v>
      </c>
      <c r="AN651" s="76"/>
      <c r="AO651" s="76" t="s">
        <v>23908</v>
      </c>
      <c r="AP651" s="76"/>
      <c r="AQ651" s="76"/>
      <c r="AR651" s="76"/>
      <c r="AS651" s="76"/>
      <c r="AT651" s="76"/>
      <c r="AU651" s="76"/>
      <c r="AV651" s="76">
        <v>1.7024611792793999E+18</v>
      </c>
      <c r="AW651" s="76"/>
      <c r="AX651" s="76" t="b">
        <v>0</v>
      </c>
      <c r="AY651" s="76"/>
      <c r="AZ651" s="76"/>
      <c r="BA651" s="76" t="b">
        <v>0</v>
      </c>
      <c r="BB651" s="76" t="b">
        <v>1</v>
      </c>
      <c r="BC651" s="76" t="b">
        <v>1</v>
      </c>
      <c r="BD651" s="76" t="b">
        <v>0</v>
      </c>
      <c r="BE651" s="76" t="b">
        <v>0</v>
      </c>
      <c r="BF651" s="76" t="b">
        <v>0</v>
      </c>
      <c r="BG651" s="76" t="b">
        <v>0</v>
      </c>
      <c r="BH651" s="83" t="str">
        <f>HYPERLINK("https://pbs.twimg.com/profile_banners/1693737085784522752/1692655898")</f>
        <v>https://pbs.twimg.com/profile_banners/1693737085784522752/1692655898</v>
      </c>
      <c r="BI651" s="76"/>
      <c r="BJ651" s="76" t="s">
        <v>24935</v>
      </c>
      <c r="BK651" s="76" t="b">
        <v>0</v>
      </c>
      <c r="BL651" s="76"/>
      <c r="BM651" s="76" t="s">
        <v>66</v>
      </c>
      <c r="BN651" s="76" t="s">
        <v>24937</v>
      </c>
      <c r="BO651" s="83" t="str">
        <f>HYPERLINK("https://twitter.com/kakaa1323")</f>
        <v>https://twitter.com/kakaa1323</v>
      </c>
      <c r="BP651" s="2"/>
    </row>
    <row r="652" spans="1:68" x14ac:dyDescent="0.25">
      <c r="A652" s="62" t="s">
        <v>842</v>
      </c>
      <c r="B652" s="63"/>
      <c r="C652" s="63"/>
      <c r="D652" s="64"/>
      <c r="E652" s="66"/>
      <c r="F652" s="102" t="str">
        <f>HYPERLINK("https://pbs.twimg.com/profile_images/1561691792650784768/51Cm6G1b_normal.jpg")</f>
        <v>https://pbs.twimg.com/profile_images/1561691792650784768/51Cm6G1b_normal.jpg</v>
      </c>
      <c r="G652" s="63"/>
      <c r="H652" s="67"/>
      <c r="I652" s="68"/>
      <c r="J652" s="68"/>
      <c r="K652" s="67" t="s">
        <v>25586</v>
      </c>
      <c r="L652" s="71"/>
      <c r="M652" s="72"/>
      <c r="N652" s="72"/>
      <c r="O652" s="73"/>
      <c r="P652" s="74"/>
      <c r="Q652" s="74"/>
      <c r="R652" s="86"/>
      <c r="S652" s="86"/>
      <c r="T652" s="86"/>
      <c r="U652" s="86"/>
      <c r="V652" s="48"/>
      <c r="W652" s="48"/>
      <c r="X652" s="48"/>
      <c r="Y652" s="48"/>
      <c r="Z652" s="47"/>
      <c r="AA652" s="69">
        <v>652</v>
      </c>
      <c r="AB652" s="69"/>
      <c r="AC652" s="70"/>
      <c r="AD652" s="76" t="s">
        <v>22451</v>
      </c>
      <c r="AE652" s="81" t="s">
        <v>21472</v>
      </c>
      <c r="AF652" s="76">
        <v>0</v>
      </c>
      <c r="AG652" s="76">
        <v>4</v>
      </c>
      <c r="AH652" s="76">
        <v>5</v>
      </c>
      <c r="AI652" s="76">
        <v>0</v>
      </c>
      <c r="AJ652" s="76">
        <v>1</v>
      </c>
      <c r="AK652" s="76">
        <v>1</v>
      </c>
      <c r="AL652" s="76" t="b">
        <v>0</v>
      </c>
      <c r="AM652" s="78">
        <v>44795.519814814812</v>
      </c>
      <c r="AN652" s="76"/>
      <c r="AO652" s="76"/>
      <c r="AP652" s="76"/>
      <c r="AQ652" s="76"/>
      <c r="AR652" s="76"/>
      <c r="AS652" s="76"/>
      <c r="AT652" s="76"/>
      <c r="AU652" s="76"/>
      <c r="AV652" s="76"/>
      <c r="AW652" s="76"/>
      <c r="AX652" s="76" t="b">
        <v>0</v>
      </c>
      <c r="AY652" s="76"/>
      <c r="AZ652" s="76"/>
      <c r="BA652" s="76" t="b">
        <v>0</v>
      </c>
      <c r="BB652" s="76" t="b">
        <v>1</v>
      </c>
      <c r="BC652" s="76" t="b">
        <v>1</v>
      </c>
      <c r="BD652" s="76" t="b">
        <v>0</v>
      </c>
      <c r="BE652" s="76" t="b">
        <v>0</v>
      </c>
      <c r="BF652" s="76" t="b">
        <v>0</v>
      </c>
      <c r="BG652" s="76" t="b">
        <v>0</v>
      </c>
      <c r="BH652" s="76"/>
      <c r="BI652" s="76"/>
      <c r="BJ652" s="76" t="s">
        <v>24935</v>
      </c>
      <c r="BK652" s="76" t="b">
        <v>0</v>
      </c>
      <c r="BL652" s="76"/>
      <c r="BM652" s="76" t="s">
        <v>66</v>
      </c>
      <c r="BN652" s="76" t="s">
        <v>24937</v>
      </c>
      <c r="BO652" s="83" t="str">
        <f>HYPERLINK("https://twitter.com/95_jnd")</f>
        <v>https://twitter.com/95_jnd</v>
      </c>
      <c r="BP652" s="2"/>
    </row>
    <row r="653" spans="1:68" x14ac:dyDescent="0.25">
      <c r="A653" s="62" t="s">
        <v>843</v>
      </c>
      <c r="B653" s="63"/>
      <c r="C653" s="63"/>
      <c r="D653" s="64"/>
      <c r="E653" s="66"/>
      <c r="F653" s="102" t="str">
        <f>HYPERLINK("https://pbs.twimg.com/profile_images/1025027511665799171/S5EG9GNn_normal.jpg")</f>
        <v>https://pbs.twimg.com/profile_images/1025027511665799171/S5EG9GNn_normal.jpg</v>
      </c>
      <c r="G653" s="63"/>
      <c r="H653" s="67"/>
      <c r="I653" s="68"/>
      <c r="J653" s="68"/>
      <c r="K653" s="67" t="s">
        <v>25587</v>
      </c>
      <c r="L653" s="71"/>
      <c r="M653" s="72"/>
      <c r="N653" s="72"/>
      <c r="O653" s="73"/>
      <c r="P653" s="74"/>
      <c r="Q653" s="74"/>
      <c r="R653" s="86"/>
      <c r="S653" s="86"/>
      <c r="T653" s="86"/>
      <c r="U653" s="86"/>
      <c r="V653" s="48"/>
      <c r="W653" s="48"/>
      <c r="X653" s="48"/>
      <c r="Y653" s="48"/>
      <c r="Z653" s="47"/>
      <c r="AA653" s="69">
        <v>653</v>
      </c>
      <c r="AB653" s="69"/>
      <c r="AC653" s="70"/>
      <c r="AD653" s="76" t="s">
        <v>22452</v>
      </c>
      <c r="AE653" s="81" t="s">
        <v>21473</v>
      </c>
      <c r="AF653" s="76">
        <v>2</v>
      </c>
      <c r="AG653" s="76">
        <v>10</v>
      </c>
      <c r="AH653" s="76">
        <v>21</v>
      </c>
      <c r="AI653" s="76">
        <v>0</v>
      </c>
      <c r="AJ653" s="76">
        <v>7</v>
      </c>
      <c r="AK653" s="76">
        <v>18</v>
      </c>
      <c r="AL653" s="76" t="b">
        <v>0</v>
      </c>
      <c r="AM653" s="78">
        <v>43314.607499999998</v>
      </c>
      <c r="AN653" s="76" t="s">
        <v>23246</v>
      </c>
      <c r="AO653" s="76" t="s">
        <v>23909</v>
      </c>
      <c r="AP653" s="76"/>
      <c r="AQ653" s="76"/>
      <c r="AR653" s="76"/>
      <c r="AS653" s="76"/>
      <c r="AT653" s="76"/>
      <c r="AU653" s="76"/>
      <c r="AV653" s="76"/>
      <c r="AW653" s="76"/>
      <c r="AX653" s="76" t="b">
        <v>0</v>
      </c>
      <c r="AY653" s="76"/>
      <c r="AZ653" s="76"/>
      <c r="BA653" s="76" t="b">
        <v>0</v>
      </c>
      <c r="BB653" s="76" t="b">
        <v>1</v>
      </c>
      <c r="BC653" s="76" t="b">
        <v>1</v>
      </c>
      <c r="BD653" s="76" t="b">
        <v>0</v>
      </c>
      <c r="BE653" s="76" t="b">
        <v>0</v>
      </c>
      <c r="BF653" s="76" t="b">
        <v>0</v>
      </c>
      <c r="BG653" s="76" t="b">
        <v>0</v>
      </c>
      <c r="BH653" s="83" t="str">
        <f>HYPERLINK("https://pbs.twimg.com/profile_banners/1025027139257729025/1558493731")</f>
        <v>https://pbs.twimg.com/profile_banners/1025027139257729025/1558493731</v>
      </c>
      <c r="BI653" s="76"/>
      <c r="BJ653" s="76" t="s">
        <v>24935</v>
      </c>
      <c r="BK653" s="76" t="b">
        <v>0</v>
      </c>
      <c r="BL653" s="76"/>
      <c r="BM653" s="76" t="s">
        <v>66</v>
      </c>
      <c r="BN653" s="76" t="s">
        <v>24937</v>
      </c>
      <c r="BO653" s="83" t="str">
        <f>HYPERLINK("https://twitter.com/sabioempreende1")</f>
        <v>https://twitter.com/sabioempreende1</v>
      </c>
      <c r="BP653" s="2"/>
    </row>
    <row r="654" spans="1:68" x14ac:dyDescent="0.25">
      <c r="A654" s="62" t="s">
        <v>844</v>
      </c>
      <c r="B654" s="63"/>
      <c r="C654" s="63"/>
      <c r="D654" s="64"/>
      <c r="E654" s="66"/>
      <c r="F654" s="102" t="str">
        <f>HYPERLINK("https://pbs.twimg.com/profile_images/1703577267559911424/BVIei9jE_normal.jpg")</f>
        <v>https://pbs.twimg.com/profile_images/1703577267559911424/BVIei9jE_normal.jpg</v>
      </c>
      <c r="G654" s="63"/>
      <c r="H654" s="67"/>
      <c r="I654" s="68"/>
      <c r="J654" s="68"/>
      <c r="K654" s="67" t="s">
        <v>25588</v>
      </c>
      <c r="L654" s="71"/>
      <c r="M654" s="72"/>
      <c r="N654" s="72"/>
      <c r="O654" s="73"/>
      <c r="P654" s="74"/>
      <c r="Q654" s="74"/>
      <c r="R654" s="86"/>
      <c r="S654" s="86"/>
      <c r="T654" s="86"/>
      <c r="U654" s="86"/>
      <c r="V654" s="48"/>
      <c r="W654" s="48"/>
      <c r="X654" s="48"/>
      <c r="Y654" s="48"/>
      <c r="Z654" s="47"/>
      <c r="AA654" s="69">
        <v>654</v>
      </c>
      <c r="AB654" s="69"/>
      <c r="AC654" s="70"/>
      <c r="AD654" s="76" t="s">
        <v>22453</v>
      </c>
      <c r="AE654" s="81" t="s">
        <v>22988</v>
      </c>
      <c r="AF654" s="76">
        <v>111</v>
      </c>
      <c r="AG654" s="76">
        <v>363</v>
      </c>
      <c r="AH654" s="76">
        <v>2076</v>
      </c>
      <c r="AI654" s="76">
        <v>31</v>
      </c>
      <c r="AJ654" s="76">
        <v>6700</v>
      </c>
      <c r="AK654" s="76">
        <v>112</v>
      </c>
      <c r="AL654" s="76" t="b">
        <v>0</v>
      </c>
      <c r="AM654" s="78">
        <v>40005.638067129628</v>
      </c>
      <c r="AN654" s="76" t="s">
        <v>14115</v>
      </c>
      <c r="AO654" s="76"/>
      <c r="AP654" s="83" t="str">
        <f>HYPERLINK("https://t.co/xKRjTVS9D4")</f>
        <v>https://t.co/xKRjTVS9D4</v>
      </c>
      <c r="AQ654" s="83" t="str">
        <f>HYPERLINK("https://edzz.la/AASAR?a=37764868")</f>
        <v>https://edzz.la/AASAR?a=37764868</v>
      </c>
      <c r="AR654" s="76" t="s">
        <v>24610</v>
      </c>
      <c r="AS654" s="76"/>
      <c r="AT654" s="76"/>
      <c r="AU654" s="76"/>
      <c r="AV654" s="76"/>
      <c r="AW654" s="83" t="str">
        <f>HYPERLINK("https://t.co/xKRjTVS9D4")</f>
        <v>https://t.co/xKRjTVS9D4</v>
      </c>
      <c r="AX654" s="76" t="b">
        <v>0</v>
      </c>
      <c r="AY654" s="76"/>
      <c r="AZ654" s="76"/>
      <c r="BA654" s="76" t="b">
        <v>0</v>
      </c>
      <c r="BB654" s="76" t="b">
        <v>0</v>
      </c>
      <c r="BC654" s="76" t="b">
        <v>0</v>
      </c>
      <c r="BD654" s="76" t="b">
        <v>0</v>
      </c>
      <c r="BE654" s="76" t="b">
        <v>0</v>
      </c>
      <c r="BF654" s="76" t="b">
        <v>0</v>
      </c>
      <c r="BG654" s="76" t="b">
        <v>0</v>
      </c>
      <c r="BH654" s="76"/>
      <c r="BI654" s="76"/>
      <c r="BJ654" s="76" t="s">
        <v>24935</v>
      </c>
      <c r="BK654" s="76" t="b">
        <v>0</v>
      </c>
      <c r="BL654" s="76"/>
      <c r="BM654" s="76" t="s">
        <v>66</v>
      </c>
      <c r="BN654" s="76" t="s">
        <v>24937</v>
      </c>
      <c r="BO654" s="83" t="str">
        <f>HYPERLINK("https://twitter.com/claudiocgalvao")</f>
        <v>https://twitter.com/claudiocgalvao</v>
      </c>
      <c r="BP654" s="2"/>
    </row>
    <row r="655" spans="1:68" x14ac:dyDescent="0.25">
      <c r="A655" s="62" t="s">
        <v>845</v>
      </c>
      <c r="B655" s="63"/>
      <c r="C655" s="63"/>
      <c r="D655" s="64"/>
      <c r="E655" s="66"/>
      <c r="F655" s="102" t="str">
        <f>HYPERLINK("https://pbs.twimg.com/profile_images/1590722620378456066/A4jN7U-Y_normal.jpg")</f>
        <v>https://pbs.twimg.com/profile_images/1590722620378456066/A4jN7U-Y_normal.jpg</v>
      </c>
      <c r="G655" s="63"/>
      <c r="H655" s="67"/>
      <c r="I655" s="68"/>
      <c r="J655" s="68"/>
      <c r="K655" s="67" t="s">
        <v>25589</v>
      </c>
      <c r="L655" s="71"/>
      <c r="M655" s="72"/>
      <c r="N655" s="72"/>
      <c r="O655" s="73"/>
      <c r="P655" s="74"/>
      <c r="Q655" s="74"/>
      <c r="R655" s="86"/>
      <c r="S655" s="86"/>
      <c r="T655" s="86"/>
      <c r="U655" s="86"/>
      <c r="V655" s="48"/>
      <c r="W655" s="48"/>
      <c r="X655" s="48"/>
      <c r="Y655" s="48"/>
      <c r="Z655" s="47"/>
      <c r="AA655" s="69">
        <v>655</v>
      </c>
      <c r="AB655" s="69"/>
      <c r="AC655" s="70"/>
      <c r="AD655" s="76" t="s">
        <v>22454</v>
      </c>
      <c r="AE655" s="81" t="s">
        <v>21474</v>
      </c>
      <c r="AF655" s="76">
        <v>16</v>
      </c>
      <c r="AG655" s="76">
        <v>45</v>
      </c>
      <c r="AH655" s="76">
        <v>788</v>
      </c>
      <c r="AI655" s="76">
        <v>0</v>
      </c>
      <c r="AJ655" s="76">
        <v>54</v>
      </c>
      <c r="AK655" s="76">
        <v>668</v>
      </c>
      <c r="AL655" s="76" t="b">
        <v>0</v>
      </c>
      <c r="AM655" s="78">
        <v>44718.484398148146</v>
      </c>
      <c r="AN655" s="76"/>
      <c r="AO655" s="76" t="s">
        <v>23910</v>
      </c>
      <c r="AP655" s="83" t="str">
        <f>HYPERLINK("https://t.co/wreBr2p6JE")</f>
        <v>https://t.co/wreBr2p6JE</v>
      </c>
      <c r="AQ655" s="83" t="str">
        <f>HYPERLINK("https://www.chatguru.com.br")</f>
        <v>https://www.chatguru.com.br</v>
      </c>
      <c r="AR655" s="76" t="s">
        <v>24611</v>
      </c>
      <c r="AS655" s="76"/>
      <c r="AT655" s="76"/>
      <c r="AU655" s="76"/>
      <c r="AV655" s="76"/>
      <c r="AW655" s="83" t="str">
        <f>HYPERLINK("https://t.co/wreBr2p6JE")</f>
        <v>https://t.co/wreBr2p6JE</v>
      </c>
      <c r="AX655" s="76" t="b">
        <v>0</v>
      </c>
      <c r="AY655" s="76"/>
      <c r="AZ655" s="76"/>
      <c r="BA655" s="76" t="b">
        <v>0</v>
      </c>
      <c r="BB655" s="76" t="b">
        <v>1</v>
      </c>
      <c r="BC655" s="76" t="b">
        <v>1</v>
      </c>
      <c r="BD655" s="76" t="b">
        <v>0</v>
      </c>
      <c r="BE655" s="76" t="b">
        <v>0</v>
      </c>
      <c r="BF655" s="76" t="b">
        <v>0</v>
      </c>
      <c r="BG655" s="76" t="b">
        <v>0</v>
      </c>
      <c r="BH655" s="83" t="str">
        <f>HYPERLINK("https://pbs.twimg.com/profile_banners/1533774887252279297/1679667774")</f>
        <v>https://pbs.twimg.com/profile_banners/1533774887252279297/1679667774</v>
      </c>
      <c r="BI655" s="76"/>
      <c r="BJ655" s="76" t="s">
        <v>24935</v>
      </c>
      <c r="BK655" s="76" t="b">
        <v>0</v>
      </c>
      <c r="BL655" s="76"/>
      <c r="BM655" s="76" t="s">
        <v>66</v>
      </c>
      <c r="BN655" s="76" t="s">
        <v>24937</v>
      </c>
      <c r="BO655" s="83" t="str">
        <f>HYPERLINK("https://twitter.com/chatguruoficial")</f>
        <v>https://twitter.com/chatguruoficial</v>
      </c>
      <c r="BP655" s="2"/>
    </row>
    <row r="656" spans="1:68" x14ac:dyDescent="0.25">
      <c r="A656" s="62" t="s">
        <v>846</v>
      </c>
      <c r="B656" s="63"/>
      <c r="C656" s="63"/>
      <c r="D656" s="64"/>
      <c r="E656" s="66"/>
      <c r="F656" s="102" t="str">
        <f>HYPERLINK("https://pbs.twimg.com/profile_images/1607459827944398849/45hAbr33_normal.jpg")</f>
        <v>https://pbs.twimg.com/profile_images/1607459827944398849/45hAbr33_normal.jpg</v>
      </c>
      <c r="G656" s="63"/>
      <c r="H656" s="67"/>
      <c r="I656" s="68"/>
      <c r="J656" s="68"/>
      <c r="K656" s="67" t="s">
        <v>25590</v>
      </c>
      <c r="L656" s="71"/>
      <c r="M656" s="72"/>
      <c r="N656" s="72"/>
      <c r="O656" s="73"/>
      <c r="P656" s="74"/>
      <c r="Q656" s="74"/>
      <c r="R656" s="86"/>
      <c r="S656" s="86"/>
      <c r="T656" s="86"/>
      <c r="U656" s="86"/>
      <c r="V656" s="48"/>
      <c r="W656" s="48"/>
      <c r="X656" s="48"/>
      <c r="Y656" s="48"/>
      <c r="Z656" s="47"/>
      <c r="AA656" s="69">
        <v>656</v>
      </c>
      <c r="AB656" s="69"/>
      <c r="AC656" s="70"/>
      <c r="AD656" s="76" t="s">
        <v>22455</v>
      </c>
      <c r="AE656" s="81" t="s">
        <v>21475</v>
      </c>
      <c r="AF656" s="76">
        <v>8</v>
      </c>
      <c r="AG656" s="76">
        <v>3</v>
      </c>
      <c r="AH656" s="76">
        <v>323</v>
      </c>
      <c r="AI656" s="76">
        <v>0</v>
      </c>
      <c r="AJ656" s="76">
        <v>5</v>
      </c>
      <c r="AK656" s="76">
        <v>317</v>
      </c>
      <c r="AL656" s="76" t="b">
        <v>0</v>
      </c>
      <c r="AM656" s="78">
        <v>44795.833449074074</v>
      </c>
      <c r="AN656" s="76"/>
      <c r="AO656" s="76" t="s">
        <v>23911</v>
      </c>
      <c r="AP656" s="83" t="str">
        <f>HYPERLINK("https://t.co/XJAQweYqp8")</f>
        <v>https://t.co/XJAQweYqp8</v>
      </c>
      <c r="AQ656" s="83" t="str">
        <f>HYPERLINK("http://www.betdasorte.com")</f>
        <v>http://www.betdasorte.com</v>
      </c>
      <c r="AR656" s="76" t="s">
        <v>24612</v>
      </c>
      <c r="AS656" s="76"/>
      <c r="AT656" s="76"/>
      <c r="AU656" s="76"/>
      <c r="AV656" s="76">
        <v>1.6434060339041201E+18</v>
      </c>
      <c r="AW656" s="83" t="str">
        <f>HYPERLINK("https://t.co/XJAQweYqp8")</f>
        <v>https://t.co/XJAQweYqp8</v>
      </c>
      <c r="AX656" s="76" t="b">
        <v>0</v>
      </c>
      <c r="AY656" s="76"/>
      <c r="AZ656" s="76"/>
      <c r="BA656" s="76" t="b">
        <v>0</v>
      </c>
      <c r="BB656" s="76" t="b">
        <v>1</v>
      </c>
      <c r="BC656" s="76" t="b">
        <v>1</v>
      </c>
      <c r="BD656" s="76" t="b">
        <v>0</v>
      </c>
      <c r="BE656" s="76" t="b">
        <v>0</v>
      </c>
      <c r="BF656" s="76" t="b">
        <v>0</v>
      </c>
      <c r="BG656" s="76" t="b">
        <v>0</v>
      </c>
      <c r="BH656" s="83" t="str">
        <f>HYPERLINK("https://pbs.twimg.com/profile_banners/1561805335089876992/1693579848")</f>
        <v>https://pbs.twimg.com/profile_banners/1561805335089876992/1693579848</v>
      </c>
      <c r="BI656" s="76"/>
      <c r="BJ656" s="76" t="s">
        <v>24935</v>
      </c>
      <c r="BK656" s="76" t="b">
        <v>0</v>
      </c>
      <c r="BL656" s="76"/>
      <c r="BM656" s="76" t="s">
        <v>66</v>
      </c>
      <c r="BN656" s="76" t="s">
        <v>24937</v>
      </c>
      <c r="BO656" s="83" t="str">
        <f>HYPERLINK("https://twitter.com/dasortebet")</f>
        <v>https://twitter.com/dasortebet</v>
      </c>
      <c r="BP656" s="2"/>
    </row>
    <row r="657" spans="1:68" x14ac:dyDescent="0.25">
      <c r="A657" s="62" t="s">
        <v>847</v>
      </c>
      <c r="B657" s="63"/>
      <c r="C657" s="63"/>
      <c r="D657" s="64"/>
      <c r="E657" s="66"/>
      <c r="F657" s="102" t="str">
        <f>HYPERLINK("https://pbs.twimg.com/profile_images/1647084582942932993/1IiFsMtn_normal.jpg")</f>
        <v>https://pbs.twimg.com/profile_images/1647084582942932993/1IiFsMtn_normal.jpg</v>
      </c>
      <c r="G657" s="63"/>
      <c r="H657" s="67"/>
      <c r="I657" s="68"/>
      <c r="J657" s="68"/>
      <c r="K657" s="67" t="s">
        <v>25591</v>
      </c>
      <c r="L657" s="71"/>
      <c r="M657" s="72"/>
      <c r="N657" s="72"/>
      <c r="O657" s="73"/>
      <c r="P657" s="74"/>
      <c r="Q657" s="74"/>
      <c r="R657" s="86"/>
      <c r="S657" s="86"/>
      <c r="T657" s="86"/>
      <c r="U657" s="86"/>
      <c r="V657" s="48"/>
      <c r="W657" s="48"/>
      <c r="X657" s="48"/>
      <c r="Y657" s="48"/>
      <c r="Z657" s="47"/>
      <c r="AA657" s="69">
        <v>657</v>
      </c>
      <c r="AB657" s="69"/>
      <c r="AC657" s="70"/>
      <c r="AD657" s="76" t="s">
        <v>22456</v>
      </c>
      <c r="AE657" s="81" t="s">
        <v>21476</v>
      </c>
      <c r="AF657" s="76">
        <v>0</v>
      </c>
      <c r="AG657" s="76">
        <v>1</v>
      </c>
      <c r="AH657" s="76">
        <v>2</v>
      </c>
      <c r="AI657" s="76">
        <v>0</v>
      </c>
      <c r="AJ657" s="76">
        <v>9</v>
      </c>
      <c r="AK657" s="76">
        <v>1</v>
      </c>
      <c r="AL657" s="76" t="b">
        <v>0</v>
      </c>
      <c r="AM657" s="78">
        <v>45031.15902777778</v>
      </c>
      <c r="AN657" s="76"/>
      <c r="AO657" s="76"/>
      <c r="AP657" s="76"/>
      <c r="AQ657" s="76"/>
      <c r="AR657" s="76"/>
      <c r="AS657" s="76"/>
      <c r="AT657" s="76"/>
      <c r="AU657" s="76"/>
      <c r="AV657" s="76">
        <v>1.65084330303681E+18</v>
      </c>
      <c r="AW657" s="76"/>
      <c r="AX657" s="76" t="b">
        <v>0</v>
      </c>
      <c r="AY657" s="76"/>
      <c r="AZ657" s="76"/>
      <c r="BA657" s="76" t="b">
        <v>0</v>
      </c>
      <c r="BB657" s="76" t="b">
        <v>1</v>
      </c>
      <c r="BC657" s="76" t="b">
        <v>1</v>
      </c>
      <c r="BD657" s="76" t="b">
        <v>0</v>
      </c>
      <c r="BE657" s="76" t="b">
        <v>0</v>
      </c>
      <c r="BF657" s="76" t="b">
        <v>0</v>
      </c>
      <c r="BG657" s="76" t="b">
        <v>0</v>
      </c>
      <c r="BH657" s="76"/>
      <c r="BI657" s="76"/>
      <c r="BJ657" s="76" t="s">
        <v>24935</v>
      </c>
      <c r="BK657" s="76" t="b">
        <v>0</v>
      </c>
      <c r="BL657" s="76"/>
      <c r="BM657" s="76" t="s">
        <v>66</v>
      </c>
      <c r="BN657" s="76" t="s">
        <v>24937</v>
      </c>
      <c r="BO657" s="83" t="str">
        <f>HYPERLINK("https://twitter.com/indieplay339201")</f>
        <v>https://twitter.com/indieplay339201</v>
      </c>
      <c r="BP657" s="2"/>
    </row>
    <row r="658" spans="1:68" x14ac:dyDescent="0.25">
      <c r="A658" s="62" t="s">
        <v>848</v>
      </c>
      <c r="B658" s="63"/>
      <c r="C658" s="63"/>
      <c r="D658" s="64"/>
      <c r="E658" s="66"/>
      <c r="F658" s="102" t="str">
        <f>HYPERLINK("https://pbs.twimg.com/profile_images/1598610388307906560/d6Eu3K3-_normal.jpg")</f>
        <v>https://pbs.twimg.com/profile_images/1598610388307906560/d6Eu3K3-_normal.jpg</v>
      </c>
      <c r="G658" s="63"/>
      <c r="H658" s="67"/>
      <c r="I658" s="68"/>
      <c r="J658" s="68"/>
      <c r="K658" s="67" t="s">
        <v>25592</v>
      </c>
      <c r="L658" s="71"/>
      <c r="M658" s="72"/>
      <c r="N658" s="72"/>
      <c r="O658" s="73"/>
      <c r="P658" s="74"/>
      <c r="Q658" s="74"/>
      <c r="R658" s="86"/>
      <c r="S658" s="86"/>
      <c r="T658" s="86"/>
      <c r="U658" s="86"/>
      <c r="V658" s="48"/>
      <c r="W658" s="48"/>
      <c r="X658" s="48"/>
      <c r="Y658" s="48"/>
      <c r="Z658" s="47"/>
      <c r="AA658" s="69">
        <v>658</v>
      </c>
      <c r="AB658" s="69"/>
      <c r="AC658" s="70"/>
      <c r="AD658" s="76" t="s">
        <v>848</v>
      </c>
      <c r="AE658" s="81" t="s">
        <v>21477</v>
      </c>
      <c r="AF658" s="76">
        <v>62</v>
      </c>
      <c r="AG658" s="76">
        <v>223</v>
      </c>
      <c r="AH658" s="76">
        <v>3492</v>
      </c>
      <c r="AI658" s="76">
        <v>0</v>
      </c>
      <c r="AJ658" s="76">
        <v>3489</v>
      </c>
      <c r="AK658" s="76">
        <v>3374</v>
      </c>
      <c r="AL658" s="76" t="b">
        <v>0</v>
      </c>
      <c r="AM658" s="78">
        <v>44398.842824074076</v>
      </c>
      <c r="AN658" s="76"/>
      <c r="AO658" s="76" t="s">
        <v>23912</v>
      </c>
      <c r="AP658" s="83" t="str">
        <f>HYPERLINK("https://t.co/4rEDo3qFOJ")</f>
        <v>https://t.co/4rEDo3qFOJ</v>
      </c>
      <c r="AQ658" s="83" t="str">
        <f>HYPERLINK("http://www.catanduvananet.com.br")</f>
        <v>http://www.catanduvananet.com.br</v>
      </c>
      <c r="AR658" s="76" t="s">
        <v>24613</v>
      </c>
      <c r="AS658" s="76"/>
      <c r="AT658" s="76"/>
      <c r="AU658" s="76"/>
      <c r="AV658" s="76"/>
      <c r="AW658" s="83" t="str">
        <f>HYPERLINK("https://t.co/4rEDo3qFOJ")</f>
        <v>https://t.co/4rEDo3qFOJ</v>
      </c>
      <c r="AX658" s="76" t="b">
        <v>0</v>
      </c>
      <c r="AY658" s="76"/>
      <c r="AZ658" s="76"/>
      <c r="BA658" s="76" t="b">
        <v>0</v>
      </c>
      <c r="BB658" s="76" t="b">
        <v>1</v>
      </c>
      <c r="BC658" s="76" t="b">
        <v>1</v>
      </c>
      <c r="BD658" s="76" t="b">
        <v>0</v>
      </c>
      <c r="BE658" s="76" t="b">
        <v>0</v>
      </c>
      <c r="BF658" s="76" t="b">
        <v>0</v>
      </c>
      <c r="BG658" s="76" t="b">
        <v>0</v>
      </c>
      <c r="BH658" s="83" t="str">
        <f>HYPERLINK("https://pbs.twimg.com/profile_banners/1417940380444680192/1626901173")</f>
        <v>https://pbs.twimg.com/profile_banners/1417940380444680192/1626901173</v>
      </c>
      <c r="BI658" s="76"/>
      <c r="BJ658" s="76" t="s">
        <v>24935</v>
      </c>
      <c r="BK658" s="76" t="b">
        <v>0</v>
      </c>
      <c r="BL658" s="76"/>
      <c r="BM658" s="76" t="s">
        <v>66</v>
      </c>
      <c r="BN658" s="76" t="s">
        <v>24937</v>
      </c>
      <c r="BO658" s="83" t="str">
        <f>HYPERLINK("https://twitter.com/catanduvananet")</f>
        <v>https://twitter.com/catanduvananet</v>
      </c>
      <c r="BP658" s="2"/>
    </row>
    <row r="659" spans="1:68" x14ac:dyDescent="0.25">
      <c r="A659" s="62" t="s">
        <v>849</v>
      </c>
      <c r="B659" s="63"/>
      <c r="C659" s="63"/>
      <c r="D659" s="64"/>
      <c r="E659" s="66"/>
      <c r="F659" s="102" t="str">
        <f>HYPERLINK("https://pbs.twimg.com/profile_images/1643237487748304900/hYWWlgwv_normal.jpg")</f>
        <v>https://pbs.twimg.com/profile_images/1643237487748304900/hYWWlgwv_normal.jpg</v>
      </c>
      <c r="G659" s="63"/>
      <c r="H659" s="67"/>
      <c r="I659" s="68"/>
      <c r="J659" s="68"/>
      <c r="K659" s="67" t="s">
        <v>25593</v>
      </c>
      <c r="L659" s="71"/>
      <c r="M659" s="72"/>
      <c r="N659" s="72"/>
      <c r="O659" s="73"/>
      <c r="P659" s="74"/>
      <c r="Q659" s="74"/>
      <c r="R659" s="86"/>
      <c r="S659" s="86"/>
      <c r="T659" s="86"/>
      <c r="U659" s="86"/>
      <c r="V659" s="48"/>
      <c r="W659" s="48"/>
      <c r="X659" s="48"/>
      <c r="Y659" s="48"/>
      <c r="Z659" s="47"/>
      <c r="AA659" s="69">
        <v>659</v>
      </c>
      <c r="AB659" s="69"/>
      <c r="AC659" s="70"/>
      <c r="AD659" s="76" t="s">
        <v>22457</v>
      </c>
      <c r="AE659" s="81" t="s">
        <v>21478</v>
      </c>
      <c r="AF659" s="76">
        <v>1</v>
      </c>
      <c r="AG659" s="76">
        <v>1</v>
      </c>
      <c r="AH659" s="76">
        <v>17</v>
      </c>
      <c r="AI659" s="76">
        <v>0</v>
      </c>
      <c r="AJ659" s="76">
        <v>3</v>
      </c>
      <c r="AK659" s="76">
        <v>16</v>
      </c>
      <c r="AL659" s="76" t="b">
        <v>0</v>
      </c>
      <c r="AM659" s="78">
        <v>45014.510810185187</v>
      </c>
      <c r="AN659" s="76" t="s">
        <v>14033</v>
      </c>
      <c r="AO659" s="76" t="s">
        <v>23913</v>
      </c>
      <c r="AP659" s="76"/>
      <c r="AQ659" s="76"/>
      <c r="AR659" s="76"/>
      <c r="AS659" s="76"/>
      <c r="AT659" s="76"/>
      <c r="AU659" s="76"/>
      <c r="AV659" s="76"/>
      <c r="AW659" s="76"/>
      <c r="AX659" s="76" t="b">
        <v>0</v>
      </c>
      <c r="AY659" s="76"/>
      <c r="AZ659" s="76"/>
      <c r="BA659" s="76" t="b">
        <v>0</v>
      </c>
      <c r="BB659" s="76" t="b">
        <v>1</v>
      </c>
      <c r="BC659" s="76" t="b">
        <v>1</v>
      </c>
      <c r="BD659" s="76" t="b">
        <v>0</v>
      </c>
      <c r="BE659" s="76" t="b">
        <v>0</v>
      </c>
      <c r="BF659" s="76" t="b">
        <v>0</v>
      </c>
      <c r="BG659" s="76" t="b">
        <v>0</v>
      </c>
      <c r="BH659" s="83" t="str">
        <f>HYPERLINK("https://pbs.twimg.com/profile_banners/1641051366872297473/1680613322")</f>
        <v>https://pbs.twimg.com/profile_banners/1641051366872297473/1680613322</v>
      </c>
      <c r="BI659" s="76"/>
      <c r="BJ659" s="76" t="s">
        <v>24935</v>
      </c>
      <c r="BK659" s="76" t="b">
        <v>0</v>
      </c>
      <c r="BL659" s="76"/>
      <c r="BM659" s="76" t="s">
        <v>66</v>
      </c>
      <c r="BN659" s="76" t="s">
        <v>24937</v>
      </c>
      <c r="BO659" s="83" t="str">
        <f>HYPERLINK("https://twitter.com/madeirajunior20")</f>
        <v>https://twitter.com/madeirajunior20</v>
      </c>
      <c r="BP659" s="2"/>
    </row>
    <row r="660" spans="1:68" x14ac:dyDescent="0.25">
      <c r="A660" s="62" t="s">
        <v>850</v>
      </c>
      <c r="B660" s="63"/>
      <c r="C660" s="63"/>
      <c r="D660" s="64"/>
      <c r="E660" s="66"/>
      <c r="F660" s="102" t="str">
        <f>HYPERLINK("https://pbs.twimg.com/profile_images/1598142825979383808/LRLcxW0l_normal.jpg")</f>
        <v>https://pbs.twimg.com/profile_images/1598142825979383808/LRLcxW0l_normal.jpg</v>
      </c>
      <c r="G660" s="63"/>
      <c r="H660" s="67"/>
      <c r="I660" s="68"/>
      <c r="J660" s="68"/>
      <c r="K660" s="67" t="s">
        <v>25594</v>
      </c>
      <c r="L660" s="71"/>
      <c r="M660" s="72"/>
      <c r="N660" s="72"/>
      <c r="O660" s="73"/>
      <c r="P660" s="74"/>
      <c r="Q660" s="74"/>
      <c r="R660" s="86"/>
      <c r="S660" s="86"/>
      <c r="T660" s="86"/>
      <c r="U660" s="86"/>
      <c r="V660" s="48"/>
      <c r="W660" s="48"/>
      <c r="X660" s="48"/>
      <c r="Y660" s="48"/>
      <c r="Z660" s="47"/>
      <c r="AA660" s="69">
        <v>660</v>
      </c>
      <c r="AB660" s="69"/>
      <c r="AC660" s="70"/>
      <c r="AD660" s="76" t="s">
        <v>22458</v>
      </c>
      <c r="AE660" s="81" t="s">
        <v>21479</v>
      </c>
      <c r="AF660" s="76">
        <v>89</v>
      </c>
      <c r="AG660" s="76">
        <v>367</v>
      </c>
      <c r="AH660" s="76">
        <v>518</v>
      </c>
      <c r="AI660" s="76">
        <v>0</v>
      </c>
      <c r="AJ660" s="76">
        <v>383</v>
      </c>
      <c r="AK660" s="76">
        <v>443</v>
      </c>
      <c r="AL660" s="76" t="b">
        <v>0</v>
      </c>
      <c r="AM660" s="78">
        <v>44263.106840277775</v>
      </c>
      <c r="AN660" s="76" t="s">
        <v>23200</v>
      </c>
      <c r="AO660" s="76" t="s">
        <v>23914</v>
      </c>
      <c r="AP660" s="83" t="str">
        <f>HYPERLINK("https://t.co/CDpJXdC4aD")</f>
        <v>https://t.co/CDpJXdC4aD</v>
      </c>
      <c r="AQ660" s="83" t="str">
        <f>HYPERLINK("https://go.hotmart.com/Q47151435X")</f>
        <v>https://go.hotmart.com/Q47151435X</v>
      </c>
      <c r="AR660" s="76" t="s">
        <v>24614</v>
      </c>
      <c r="AS660" s="76"/>
      <c r="AT660" s="76"/>
      <c r="AU660" s="76"/>
      <c r="AV660" s="76"/>
      <c r="AW660" s="83" t="str">
        <f>HYPERLINK("https://t.co/CDpJXdC4aD")</f>
        <v>https://t.co/CDpJXdC4aD</v>
      </c>
      <c r="AX660" s="76" t="b">
        <v>0</v>
      </c>
      <c r="AY660" s="76"/>
      <c r="AZ660" s="76"/>
      <c r="BA660" s="76" t="b">
        <v>1</v>
      </c>
      <c r="BB660" s="76" t="b">
        <v>1</v>
      </c>
      <c r="BC660" s="76" t="b">
        <v>1</v>
      </c>
      <c r="BD660" s="76" t="b">
        <v>0</v>
      </c>
      <c r="BE660" s="76" t="b">
        <v>0</v>
      </c>
      <c r="BF660" s="76" t="b">
        <v>0</v>
      </c>
      <c r="BG660" s="76" t="b">
        <v>0</v>
      </c>
      <c r="BH660" s="83" t="str">
        <f>HYPERLINK("https://pbs.twimg.com/profile_banners/1368751608662745088/1669861887")</f>
        <v>https://pbs.twimg.com/profile_banners/1368751608662745088/1669861887</v>
      </c>
      <c r="BI660" s="76"/>
      <c r="BJ660" s="76" t="s">
        <v>24935</v>
      </c>
      <c r="BK660" s="76" t="b">
        <v>0</v>
      </c>
      <c r="BL660" s="76"/>
      <c r="BM660" s="76" t="s">
        <v>66</v>
      </c>
      <c r="BN660" s="76" t="s">
        <v>24937</v>
      </c>
      <c r="BO660" s="83" t="str">
        <f>HYPERLINK("https://twitter.com/emagrec31840511")</f>
        <v>https://twitter.com/emagrec31840511</v>
      </c>
      <c r="BP660" s="2"/>
    </row>
    <row r="661" spans="1:68" x14ac:dyDescent="0.25">
      <c r="A661" s="62" t="s">
        <v>851</v>
      </c>
      <c r="B661" s="63"/>
      <c r="C661" s="63"/>
      <c r="D661" s="64"/>
      <c r="E661" s="66"/>
      <c r="F661" s="102" t="str">
        <f>HYPERLINK("https://pbs.twimg.com/profile_images/1633591299944116231/xHaPDNG9_normal.jpg")</f>
        <v>https://pbs.twimg.com/profile_images/1633591299944116231/xHaPDNG9_normal.jpg</v>
      </c>
      <c r="G661" s="63"/>
      <c r="H661" s="67"/>
      <c r="I661" s="68"/>
      <c r="J661" s="68"/>
      <c r="K661" s="67" t="s">
        <v>25595</v>
      </c>
      <c r="L661" s="71"/>
      <c r="M661" s="72"/>
      <c r="N661" s="72"/>
      <c r="O661" s="73"/>
      <c r="P661" s="74"/>
      <c r="Q661" s="74"/>
      <c r="R661" s="86"/>
      <c r="S661" s="86"/>
      <c r="T661" s="86"/>
      <c r="U661" s="86"/>
      <c r="V661" s="48"/>
      <c r="W661" s="48"/>
      <c r="X661" s="48"/>
      <c r="Y661" s="48"/>
      <c r="Z661" s="47"/>
      <c r="AA661" s="69">
        <v>661</v>
      </c>
      <c r="AB661" s="69"/>
      <c r="AC661" s="70"/>
      <c r="AD661" s="76" t="s">
        <v>22459</v>
      </c>
      <c r="AE661" s="81" t="s">
        <v>21480</v>
      </c>
      <c r="AF661" s="76">
        <v>0</v>
      </c>
      <c r="AG661" s="76">
        <v>2</v>
      </c>
      <c r="AH661" s="76">
        <v>30</v>
      </c>
      <c r="AI661" s="76">
        <v>0</v>
      </c>
      <c r="AJ661" s="76">
        <v>24</v>
      </c>
      <c r="AK661" s="76">
        <v>6</v>
      </c>
      <c r="AL661" s="76" t="b">
        <v>0</v>
      </c>
      <c r="AM661" s="78">
        <v>44845.55028935185</v>
      </c>
      <c r="AN661" s="76" t="s">
        <v>23247</v>
      </c>
      <c r="AO661" s="76"/>
      <c r="AP661" s="76"/>
      <c r="AQ661" s="76"/>
      <c r="AR661" s="76"/>
      <c r="AS661" s="76"/>
      <c r="AT661" s="76"/>
      <c r="AU661" s="76"/>
      <c r="AV661" s="76"/>
      <c r="AW661" s="76"/>
      <c r="AX661" s="76" t="b">
        <v>0</v>
      </c>
      <c r="AY661" s="76"/>
      <c r="AZ661" s="76"/>
      <c r="BA661" s="76" t="b">
        <v>0</v>
      </c>
      <c r="BB661" s="76" t="b">
        <v>1</v>
      </c>
      <c r="BC661" s="76" t="b">
        <v>1</v>
      </c>
      <c r="BD661" s="76" t="b">
        <v>0</v>
      </c>
      <c r="BE661" s="76" t="b">
        <v>0</v>
      </c>
      <c r="BF661" s="76" t="b">
        <v>0</v>
      </c>
      <c r="BG661" s="76" t="b">
        <v>0</v>
      </c>
      <c r="BH661" s="76"/>
      <c r="BI661" s="76"/>
      <c r="BJ661" s="76" t="s">
        <v>24935</v>
      </c>
      <c r="BK661" s="76" t="b">
        <v>0</v>
      </c>
      <c r="BL661" s="76"/>
      <c r="BM661" s="76" t="s">
        <v>66</v>
      </c>
      <c r="BN661" s="76" t="s">
        <v>24937</v>
      </c>
      <c r="BO661" s="83" t="str">
        <f>HYPERLINK("https://twitter.com/paulacampos09")</f>
        <v>https://twitter.com/paulacampos09</v>
      </c>
      <c r="BP661" s="2"/>
    </row>
    <row r="662" spans="1:68" x14ac:dyDescent="0.25">
      <c r="A662" s="62" t="s">
        <v>852</v>
      </c>
      <c r="B662" s="63"/>
      <c r="C662" s="63"/>
      <c r="D662" s="64"/>
      <c r="E662" s="66"/>
      <c r="F662" s="102" t="str">
        <f>HYPERLINK("https://pbs.twimg.com/profile_images/1536965571153219586/KI5RG-F4_normal.jpg")</f>
        <v>https://pbs.twimg.com/profile_images/1536965571153219586/KI5RG-F4_normal.jpg</v>
      </c>
      <c r="G662" s="63"/>
      <c r="H662" s="67"/>
      <c r="I662" s="68"/>
      <c r="J662" s="68"/>
      <c r="K662" s="67" t="s">
        <v>25596</v>
      </c>
      <c r="L662" s="71"/>
      <c r="M662" s="72"/>
      <c r="N662" s="72"/>
      <c r="O662" s="73"/>
      <c r="P662" s="74"/>
      <c r="Q662" s="74"/>
      <c r="R662" s="86"/>
      <c r="S662" s="86"/>
      <c r="T662" s="86"/>
      <c r="U662" s="86"/>
      <c r="V662" s="48"/>
      <c r="W662" s="48"/>
      <c r="X662" s="48"/>
      <c r="Y662" s="48"/>
      <c r="Z662" s="47"/>
      <c r="AA662" s="69">
        <v>662</v>
      </c>
      <c r="AB662" s="69"/>
      <c r="AC662" s="70"/>
      <c r="AD662" s="76" t="s">
        <v>22460</v>
      </c>
      <c r="AE662" s="81" t="s">
        <v>21481</v>
      </c>
      <c r="AF662" s="76">
        <v>7707</v>
      </c>
      <c r="AG662" s="76">
        <v>4749</v>
      </c>
      <c r="AH662" s="76">
        <v>55388</v>
      </c>
      <c r="AI662" s="76">
        <v>12</v>
      </c>
      <c r="AJ662" s="76">
        <v>215746</v>
      </c>
      <c r="AK662" s="76">
        <v>3291</v>
      </c>
      <c r="AL662" s="76" t="b">
        <v>0</v>
      </c>
      <c r="AM662" s="78">
        <v>42812.841504629629</v>
      </c>
      <c r="AN662" s="76" t="s">
        <v>14034</v>
      </c>
      <c r="AO662" s="76"/>
      <c r="AP662" s="83" t="str">
        <f>HYPERLINK("https://t.co/2LrjarIpF9")</f>
        <v>https://t.co/2LrjarIpF9</v>
      </c>
      <c r="AQ662" s="83" t="str">
        <f>HYPERLINK("https://edgarspace.com/")</f>
        <v>https://edgarspace.com/</v>
      </c>
      <c r="AR662" s="76" t="s">
        <v>24615</v>
      </c>
      <c r="AS662" s="76"/>
      <c r="AT662" s="76"/>
      <c r="AU662" s="76"/>
      <c r="AV662" s="76">
        <v>1.26100061099811E+18</v>
      </c>
      <c r="AW662" s="83" t="str">
        <f>HYPERLINK("https://t.co/2LrjarIpF9")</f>
        <v>https://t.co/2LrjarIpF9</v>
      </c>
      <c r="AX662" s="76" t="b">
        <v>0</v>
      </c>
      <c r="AY662" s="76"/>
      <c r="AZ662" s="76"/>
      <c r="BA662" s="76" t="b">
        <v>0</v>
      </c>
      <c r="BB662" s="76" t="b">
        <v>0</v>
      </c>
      <c r="BC662" s="76" t="b">
        <v>0</v>
      </c>
      <c r="BD662" s="76" t="b">
        <v>0</v>
      </c>
      <c r="BE662" s="76" t="b">
        <v>1</v>
      </c>
      <c r="BF662" s="76" t="b">
        <v>0</v>
      </c>
      <c r="BG662" s="76" t="b">
        <v>0</v>
      </c>
      <c r="BH662" s="83" t="str">
        <f>HYPERLINK("https://pbs.twimg.com/profile_banners/843193228732092416/1634255805")</f>
        <v>https://pbs.twimg.com/profile_banners/843193228732092416/1634255805</v>
      </c>
      <c r="BI662" s="76"/>
      <c r="BJ662" s="76" t="s">
        <v>24936</v>
      </c>
      <c r="BK662" s="76" t="b">
        <v>0</v>
      </c>
      <c r="BL662" s="76"/>
      <c r="BM662" s="76" t="s">
        <v>66</v>
      </c>
      <c r="BN662" s="76" t="s">
        <v>24937</v>
      </c>
      <c r="BO662" s="83" t="str">
        <f>HYPERLINK("https://twitter.com/slopesedgar")</f>
        <v>https://twitter.com/slopesedgar</v>
      </c>
      <c r="BP662" s="2"/>
    </row>
    <row r="663" spans="1:68" x14ac:dyDescent="0.25">
      <c r="A663" s="62" t="s">
        <v>853</v>
      </c>
      <c r="B663" s="63"/>
      <c r="C663" s="63"/>
      <c r="D663" s="64"/>
      <c r="E663" s="66"/>
      <c r="F663" s="102" t="str">
        <f>HYPERLINK("https://pbs.twimg.com/profile_images/1463860553756155907/ZF_P6lg3_normal.jpg")</f>
        <v>https://pbs.twimg.com/profile_images/1463860553756155907/ZF_P6lg3_normal.jpg</v>
      </c>
      <c r="G663" s="63"/>
      <c r="H663" s="67"/>
      <c r="I663" s="68"/>
      <c r="J663" s="68"/>
      <c r="K663" s="67" t="s">
        <v>25597</v>
      </c>
      <c r="L663" s="71"/>
      <c r="M663" s="72"/>
      <c r="N663" s="72"/>
      <c r="O663" s="73"/>
      <c r="P663" s="74"/>
      <c r="Q663" s="74"/>
      <c r="R663" s="86"/>
      <c r="S663" s="86"/>
      <c r="T663" s="86"/>
      <c r="U663" s="86"/>
      <c r="V663" s="48"/>
      <c r="W663" s="48"/>
      <c r="X663" s="48"/>
      <c r="Y663" s="48"/>
      <c r="Z663" s="47"/>
      <c r="AA663" s="69">
        <v>663</v>
      </c>
      <c r="AB663" s="69"/>
      <c r="AC663" s="70"/>
      <c r="AD663" s="76" t="s">
        <v>22461</v>
      </c>
      <c r="AE663" s="81" t="s">
        <v>22989</v>
      </c>
      <c r="AF663" s="76">
        <v>83</v>
      </c>
      <c r="AG663" s="76">
        <v>546</v>
      </c>
      <c r="AH663" s="76">
        <v>1864</v>
      </c>
      <c r="AI663" s="76">
        <v>0</v>
      </c>
      <c r="AJ663" s="76">
        <v>12955</v>
      </c>
      <c r="AK663" s="76">
        <v>22</v>
      </c>
      <c r="AL663" s="76" t="b">
        <v>0</v>
      </c>
      <c r="AM663" s="78">
        <v>42168.963263888887</v>
      </c>
      <c r="AN663" s="76" t="s">
        <v>23248</v>
      </c>
      <c r="AO663" s="76" t="s">
        <v>23915</v>
      </c>
      <c r="AP663" s="76"/>
      <c r="AQ663" s="76"/>
      <c r="AR663" s="76"/>
      <c r="AS663" s="76"/>
      <c r="AT663" s="76"/>
      <c r="AU663" s="76"/>
      <c r="AV663" s="76"/>
      <c r="AW663" s="76"/>
      <c r="AX663" s="76" t="b">
        <v>0</v>
      </c>
      <c r="AY663" s="76"/>
      <c r="AZ663" s="76"/>
      <c r="BA663" s="76" t="b">
        <v>1</v>
      </c>
      <c r="BB663" s="76" t="b">
        <v>1</v>
      </c>
      <c r="BC663" s="76" t="b">
        <v>1</v>
      </c>
      <c r="BD663" s="76" t="b">
        <v>0</v>
      </c>
      <c r="BE663" s="76" t="b">
        <v>1</v>
      </c>
      <c r="BF663" s="76" t="b">
        <v>0</v>
      </c>
      <c r="BG663" s="76" t="b">
        <v>0</v>
      </c>
      <c r="BH663" s="83" t="str">
        <f>HYPERLINK("https://pbs.twimg.com/profile_banners/3323886382/1636767229")</f>
        <v>https://pbs.twimg.com/profile_banners/3323886382/1636767229</v>
      </c>
      <c r="BI663" s="76"/>
      <c r="BJ663" s="76" t="s">
        <v>24935</v>
      </c>
      <c r="BK663" s="76" t="b">
        <v>0</v>
      </c>
      <c r="BL663" s="76"/>
      <c r="BM663" s="76" t="s">
        <v>66</v>
      </c>
      <c r="BN663" s="76" t="s">
        <v>24937</v>
      </c>
      <c r="BO663" s="83" t="str">
        <f>HYPERLINK("https://twitter.com/redaviqui")</f>
        <v>https://twitter.com/redaviqui</v>
      </c>
      <c r="BP663" s="2"/>
    </row>
    <row r="664" spans="1:68" x14ac:dyDescent="0.25">
      <c r="A664" s="62" t="s">
        <v>866</v>
      </c>
      <c r="B664" s="63"/>
      <c r="C664" s="63"/>
      <c r="D664" s="64"/>
      <c r="E664" s="66"/>
      <c r="F664" s="102" t="str">
        <f>HYPERLINK("https://pbs.twimg.com/profile_images/1704895591543693315/s1Rpn4gT_normal.jpg")</f>
        <v>https://pbs.twimg.com/profile_images/1704895591543693315/s1Rpn4gT_normal.jpg</v>
      </c>
      <c r="G664" s="63"/>
      <c r="H664" s="67"/>
      <c r="I664" s="68"/>
      <c r="J664" s="68"/>
      <c r="K664" s="67" t="s">
        <v>25598</v>
      </c>
      <c r="L664" s="71"/>
      <c r="M664" s="72"/>
      <c r="N664" s="72"/>
      <c r="O664" s="73"/>
      <c r="P664" s="74"/>
      <c r="Q664" s="74"/>
      <c r="R664" s="86"/>
      <c r="S664" s="86"/>
      <c r="T664" s="86"/>
      <c r="U664" s="86"/>
      <c r="V664" s="48"/>
      <c r="W664" s="48"/>
      <c r="X664" s="48"/>
      <c r="Y664" s="48"/>
      <c r="Z664" s="47"/>
      <c r="AA664" s="69">
        <v>664</v>
      </c>
      <c r="AB664" s="69"/>
      <c r="AC664" s="70"/>
      <c r="AD664" s="76" t="s">
        <v>22462</v>
      </c>
      <c r="AE664" s="81" t="s">
        <v>21489</v>
      </c>
      <c r="AF664" s="76">
        <v>30</v>
      </c>
      <c r="AG664" s="76">
        <v>94</v>
      </c>
      <c r="AH664" s="76">
        <v>10</v>
      </c>
      <c r="AI664" s="76">
        <v>0</v>
      </c>
      <c r="AJ664" s="76">
        <v>6</v>
      </c>
      <c r="AK664" s="76">
        <v>3</v>
      </c>
      <c r="AL664" s="76" t="b">
        <v>0</v>
      </c>
      <c r="AM664" s="78">
        <v>44568.962187500001</v>
      </c>
      <c r="AN664" s="76" t="s">
        <v>14044</v>
      </c>
      <c r="AO664" s="76" t="s">
        <v>23916</v>
      </c>
      <c r="AP664" s="76"/>
      <c r="AQ664" s="76"/>
      <c r="AR664" s="76"/>
      <c r="AS664" s="83" t="str">
        <f>HYPERLINK("https://t.co/WGuAPq6nMU")</f>
        <v>https://t.co/WGuAPq6nMU</v>
      </c>
      <c r="AT664" s="83" t="str">
        <f>HYPERLINK("https://linktr.ee/eusend.com.br")</f>
        <v>https://linktr.ee/eusend.com.br</v>
      </c>
      <c r="AU664" s="76" t="s">
        <v>24898</v>
      </c>
      <c r="AV664" s="76">
        <v>1.5294411760965801E+18</v>
      </c>
      <c r="AW664" s="76"/>
      <c r="AX664" s="76" t="b">
        <v>0</v>
      </c>
      <c r="AY664" s="76"/>
      <c r="AZ664" s="76"/>
      <c r="BA664" s="76" t="b">
        <v>0</v>
      </c>
      <c r="BB664" s="76" t="b">
        <v>1</v>
      </c>
      <c r="BC664" s="76" t="b">
        <v>1</v>
      </c>
      <c r="BD664" s="76" t="b">
        <v>0</v>
      </c>
      <c r="BE664" s="76" t="b">
        <v>0</v>
      </c>
      <c r="BF664" s="76" t="b">
        <v>0</v>
      </c>
      <c r="BG664" s="76" t="b">
        <v>0</v>
      </c>
      <c r="BH664" s="83" t="str">
        <f>HYPERLINK("https://pbs.twimg.com/profile_banners/1479589942451920896/1695314115")</f>
        <v>https://pbs.twimg.com/profile_banners/1479589942451920896/1695314115</v>
      </c>
      <c r="BI664" s="76"/>
      <c r="BJ664" s="76" t="s">
        <v>24935</v>
      </c>
      <c r="BK664" s="76" t="b">
        <v>0</v>
      </c>
      <c r="BL664" s="76"/>
      <c r="BM664" s="76" t="s">
        <v>66</v>
      </c>
      <c r="BN664" s="76" t="s">
        <v>24937</v>
      </c>
      <c r="BO664" s="83" t="str">
        <f>HYPERLINK("https://twitter.com/ilariasouza")</f>
        <v>https://twitter.com/ilariasouza</v>
      </c>
      <c r="BP664" s="2"/>
    </row>
    <row r="665" spans="1:68" x14ac:dyDescent="0.25">
      <c r="A665" s="62" t="s">
        <v>854</v>
      </c>
      <c r="B665" s="63"/>
      <c r="C665" s="63"/>
      <c r="D665" s="64"/>
      <c r="E665" s="66"/>
      <c r="F665" s="102" t="str">
        <f>HYPERLINK("https://pbs.twimg.com/profile_images/1598351599264489473/PNEpvFfg_normal.jpg")</f>
        <v>https://pbs.twimg.com/profile_images/1598351599264489473/PNEpvFfg_normal.jpg</v>
      </c>
      <c r="G665" s="63"/>
      <c r="H665" s="67"/>
      <c r="I665" s="68"/>
      <c r="J665" s="68"/>
      <c r="K665" s="67" t="s">
        <v>25599</v>
      </c>
      <c r="L665" s="71"/>
      <c r="M665" s="72"/>
      <c r="N665" s="72"/>
      <c r="O665" s="73"/>
      <c r="P665" s="74"/>
      <c r="Q665" s="74"/>
      <c r="R665" s="86"/>
      <c r="S665" s="86"/>
      <c r="T665" s="86"/>
      <c r="U665" s="86"/>
      <c r="V665" s="48"/>
      <c r="W665" s="48"/>
      <c r="X665" s="48"/>
      <c r="Y665" s="48"/>
      <c r="Z665" s="47"/>
      <c r="AA665" s="69">
        <v>665</v>
      </c>
      <c r="AB665" s="69"/>
      <c r="AC665" s="70"/>
      <c r="AD665" s="76" t="s">
        <v>22463</v>
      </c>
      <c r="AE665" s="81" t="s">
        <v>21482</v>
      </c>
      <c r="AF665" s="76">
        <v>121</v>
      </c>
      <c r="AG665" s="76">
        <v>389</v>
      </c>
      <c r="AH665" s="76">
        <v>693</v>
      </c>
      <c r="AI665" s="76">
        <v>0</v>
      </c>
      <c r="AJ665" s="76">
        <v>166</v>
      </c>
      <c r="AK665" s="76">
        <v>651</v>
      </c>
      <c r="AL665" s="76" t="b">
        <v>0</v>
      </c>
      <c r="AM665" s="78">
        <v>44896.658668981479</v>
      </c>
      <c r="AN665" s="76" t="s">
        <v>14066</v>
      </c>
      <c r="AO665" s="76" t="s">
        <v>23917</v>
      </c>
      <c r="AP665" s="83" t="str">
        <f>HYPERLINK("https://t.co/zgaxptfNDm")</f>
        <v>https://t.co/zgaxptfNDm</v>
      </c>
      <c r="AQ665" s="83" t="str">
        <f>HYPERLINK("http://clicounovidades.blogspot.com")</f>
        <v>http://clicounovidades.blogspot.com</v>
      </c>
      <c r="AR665" s="76" t="s">
        <v>24616</v>
      </c>
      <c r="AS665" s="76"/>
      <c r="AT665" s="76"/>
      <c r="AU665" s="76"/>
      <c r="AV665" s="76"/>
      <c r="AW665" s="83" t="str">
        <f>HYPERLINK("https://t.co/zgaxptfNDm")</f>
        <v>https://t.co/zgaxptfNDm</v>
      </c>
      <c r="AX665" s="76" t="b">
        <v>0</v>
      </c>
      <c r="AY665" s="76"/>
      <c r="AZ665" s="76"/>
      <c r="BA665" s="76" t="b">
        <v>0</v>
      </c>
      <c r="BB665" s="76" t="b">
        <v>1</v>
      </c>
      <c r="BC665" s="76" t="b">
        <v>1</v>
      </c>
      <c r="BD665" s="76" t="b">
        <v>0</v>
      </c>
      <c r="BE665" s="76" t="b">
        <v>0</v>
      </c>
      <c r="BF665" s="76" t="b">
        <v>0</v>
      </c>
      <c r="BG665" s="76" t="b">
        <v>0</v>
      </c>
      <c r="BH665" s="83" t="str">
        <f>HYPERLINK("https://pbs.twimg.com/profile_banners/1598342929826938880/1669911692")</f>
        <v>https://pbs.twimg.com/profile_banners/1598342929826938880/1669911692</v>
      </c>
      <c r="BI665" s="76"/>
      <c r="BJ665" s="76" t="s">
        <v>24935</v>
      </c>
      <c r="BK665" s="76" t="b">
        <v>0</v>
      </c>
      <c r="BL665" s="76"/>
      <c r="BM665" s="76" t="s">
        <v>66</v>
      </c>
      <c r="BN665" s="76" t="s">
        <v>24937</v>
      </c>
      <c r="BO665" s="83" t="str">
        <f>HYPERLINK("https://twitter.com/ellenro72178468")</f>
        <v>https://twitter.com/ellenro72178468</v>
      </c>
      <c r="BP665" s="2"/>
    </row>
    <row r="666" spans="1:68" x14ac:dyDescent="0.25">
      <c r="A666" s="62" t="s">
        <v>855</v>
      </c>
      <c r="B666" s="63"/>
      <c r="C666" s="63"/>
      <c r="D666" s="64"/>
      <c r="E666" s="66"/>
      <c r="F666" s="102" t="str">
        <f>HYPERLINK("https://pbs.twimg.com/profile_images/1683463579104681985/j6-RmkkE_normal.jpg")</f>
        <v>https://pbs.twimg.com/profile_images/1683463579104681985/j6-RmkkE_normal.jpg</v>
      </c>
      <c r="G666" s="63"/>
      <c r="H666" s="67"/>
      <c r="I666" s="68"/>
      <c r="J666" s="68"/>
      <c r="K666" s="67" t="s">
        <v>25600</v>
      </c>
      <c r="L666" s="71"/>
      <c r="M666" s="72"/>
      <c r="N666" s="72"/>
      <c r="O666" s="73"/>
      <c r="P666" s="74"/>
      <c r="Q666" s="74"/>
      <c r="R666" s="86"/>
      <c r="S666" s="86"/>
      <c r="T666" s="86"/>
      <c r="U666" s="86"/>
      <c r="V666" s="48"/>
      <c r="W666" s="48"/>
      <c r="X666" s="48"/>
      <c r="Y666" s="48"/>
      <c r="Z666" s="47"/>
      <c r="AA666" s="69">
        <v>666</v>
      </c>
      <c r="AB666" s="69"/>
      <c r="AC666" s="70"/>
      <c r="AD666" s="76" t="s">
        <v>22464</v>
      </c>
      <c r="AE666" s="81" t="s">
        <v>21483</v>
      </c>
      <c r="AF666" s="76">
        <v>7</v>
      </c>
      <c r="AG666" s="76">
        <v>66</v>
      </c>
      <c r="AH666" s="76">
        <v>26</v>
      </c>
      <c r="AI666" s="76">
        <v>0</v>
      </c>
      <c r="AJ666" s="76">
        <v>17</v>
      </c>
      <c r="AK666" s="76">
        <v>3</v>
      </c>
      <c r="AL666" s="76" t="b">
        <v>0</v>
      </c>
      <c r="AM666" s="78">
        <v>45127.057199074072</v>
      </c>
      <c r="AN666" s="76" t="s">
        <v>14033</v>
      </c>
      <c r="AO666" s="76" t="s">
        <v>23918</v>
      </c>
      <c r="AP666" s="83" t="str">
        <f>HYPERLINK("https://t.co/wzaW2Xn1ba")</f>
        <v>https://t.co/wzaW2Xn1ba</v>
      </c>
      <c r="AQ666" s="83" t="str">
        <f>HYPERLINK("https://financasplusblog.com.br/")</f>
        <v>https://financasplusblog.com.br/</v>
      </c>
      <c r="AR666" s="76" t="s">
        <v>24617</v>
      </c>
      <c r="AS666" s="76"/>
      <c r="AT666" s="76"/>
      <c r="AU666" s="76"/>
      <c r="AV666" s="76"/>
      <c r="AW666" s="83" t="str">
        <f>HYPERLINK("https://t.co/wzaW2Xn1ba")</f>
        <v>https://t.co/wzaW2Xn1ba</v>
      </c>
      <c r="AX666" s="76" t="b">
        <v>0</v>
      </c>
      <c r="AY666" s="76"/>
      <c r="AZ666" s="76"/>
      <c r="BA666" s="76" t="b">
        <v>0</v>
      </c>
      <c r="BB666" s="76" t="b">
        <v>1</v>
      </c>
      <c r="BC666" s="76" t="b">
        <v>1</v>
      </c>
      <c r="BD666" s="76" t="b">
        <v>0</v>
      </c>
      <c r="BE666" s="76" t="b">
        <v>0</v>
      </c>
      <c r="BF666" s="76" t="b">
        <v>0</v>
      </c>
      <c r="BG666" s="76" t="b">
        <v>0</v>
      </c>
      <c r="BH666" s="76"/>
      <c r="BI666" s="76"/>
      <c r="BJ666" s="76" t="s">
        <v>24935</v>
      </c>
      <c r="BK666" s="76" t="b">
        <v>0</v>
      </c>
      <c r="BL666" s="76"/>
      <c r="BM666" s="76" t="s">
        <v>66</v>
      </c>
      <c r="BN666" s="76" t="s">
        <v>24937</v>
      </c>
      <c r="BO666" s="83" t="str">
        <f>HYPERLINK("https://twitter.com/blogfinplus")</f>
        <v>https://twitter.com/blogfinplus</v>
      </c>
      <c r="BP666" s="2"/>
    </row>
    <row r="667" spans="1:68" x14ac:dyDescent="0.25">
      <c r="A667" s="62" t="s">
        <v>856</v>
      </c>
      <c r="B667" s="63"/>
      <c r="C667" s="63"/>
      <c r="D667" s="64"/>
      <c r="E667" s="66"/>
      <c r="F667" s="102" t="str">
        <f>HYPERLINK("https://pbs.twimg.com/profile_images/1635807704240250881/UOGw0s9I_normal.jpg")</f>
        <v>https://pbs.twimg.com/profile_images/1635807704240250881/UOGw0s9I_normal.jpg</v>
      </c>
      <c r="G667" s="63"/>
      <c r="H667" s="67"/>
      <c r="I667" s="68"/>
      <c r="J667" s="68"/>
      <c r="K667" s="67" t="s">
        <v>25601</v>
      </c>
      <c r="L667" s="71"/>
      <c r="M667" s="72"/>
      <c r="N667" s="72"/>
      <c r="O667" s="73"/>
      <c r="P667" s="74"/>
      <c r="Q667" s="74"/>
      <c r="R667" s="86"/>
      <c r="S667" s="86"/>
      <c r="T667" s="86"/>
      <c r="U667" s="86"/>
      <c r="V667" s="48"/>
      <c r="W667" s="48"/>
      <c r="X667" s="48"/>
      <c r="Y667" s="48"/>
      <c r="Z667" s="47"/>
      <c r="AA667" s="69">
        <v>667</v>
      </c>
      <c r="AB667" s="69"/>
      <c r="AC667" s="70"/>
      <c r="AD667" s="76" t="s">
        <v>22465</v>
      </c>
      <c r="AE667" s="81" t="s">
        <v>20952</v>
      </c>
      <c r="AF667" s="76">
        <v>2567</v>
      </c>
      <c r="AG667" s="76">
        <v>432</v>
      </c>
      <c r="AH667" s="76">
        <v>58121</v>
      </c>
      <c r="AI667" s="76">
        <v>79</v>
      </c>
      <c r="AJ667" s="76">
        <v>20976</v>
      </c>
      <c r="AK667" s="76">
        <v>2393</v>
      </c>
      <c r="AL667" s="76" t="b">
        <v>0</v>
      </c>
      <c r="AM667" s="78">
        <v>40017.640879629631</v>
      </c>
      <c r="AN667" s="76" t="s">
        <v>23249</v>
      </c>
      <c r="AO667" s="76" t="s">
        <v>23919</v>
      </c>
      <c r="AP667" s="83" t="str">
        <f>HYPERLINK("https://t.co/BxG0FaZgZU")</f>
        <v>https://t.co/BxG0FaZgZU</v>
      </c>
      <c r="AQ667" s="83" t="str">
        <f>HYPERLINK("https://linktr.ee/juliarolim")</f>
        <v>https://linktr.ee/juliarolim</v>
      </c>
      <c r="AR667" s="76" t="s">
        <v>24618</v>
      </c>
      <c r="AS667" s="76"/>
      <c r="AT667" s="76"/>
      <c r="AU667" s="76"/>
      <c r="AV667" s="76">
        <v>1.6760330084390001E+18</v>
      </c>
      <c r="AW667" s="83" t="str">
        <f>HYPERLINK("https://t.co/BxG0FaZgZU")</f>
        <v>https://t.co/BxG0FaZgZU</v>
      </c>
      <c r="AX667" s="76" t="b">
        <v>0</v>
      </c>
      <c r="AY667" s="76"/>
      <c r="AZ667" s="76"/>
      <c r="BA667" s="76" t="b">
        <v>0</v>
      </c>
      <c r="BB667" s="76" t="b">
        <v>1</v>
      </c>
      <c r="BC667" s="76" t="b">
        <v>0</v>
      </c>
      <c r="BD667" s="76" t="b">
        <v>0</v>
      </c>
      <c r="BE667" s="76" t="b">
        <v>1</v>
      </c>
      <c r="BF667" s="76" t="b">
        <v>0</v>
      </c>
      <c r="BG667" s="76" t="b">
        <v>0</v>
      </c>
      <c r="BH667" s="83" t="str">
        <f>HYPERLINK("https://pbs.twimg.com/profile_banners/59494047/1671414369")</f>
        <v>https://pbs.twimg.com/profile_banners/59494047/1671414369</v>
      </c>
      <c r="BI667" s="76"/>
      <c r="BJ667" s="76" t="s">
        <v>24935</v>
      </c>
      <c r="BK667" s="76" t="b">
        <v>0</v>
      </c>
      <c r="BL667" s="76"/>
      <c r="BM667" s="76" t="s">
        <v>66</v>
      </c>
      <c r="BN667" s="76" t="s">
        <v>24937</v>
      </c>
      <c r="BO667" s="83" t="str">
        <f>HYPERLINK("https://twitter.com/juu_rolim")</f>
        <v>https://twitter.com/juu_rolim</v>
      </c>
      <c r="BP667" s="2"/>
    </row>
    <row r="668" spans="1:68" x14ac:dyDescent="0.25">
      <c r="A668" s="62" t="s">
        <v>857</v>
      </c>
      <c r="B668" s="63"/>
      <c r="C668" s="63"/>
      <c r="D668" s="64"/>
      <c r="E668" s="66"/>
      <c r="F668" s="102" t="str">
        <f>HYPERLINK("https://pbs.twimg.com/profile_images/1701952872902955008/g0DEo3EC_normal.jpg")</f>
        <v>https://pbs.twimg.com/profile_images/1701952872902955008/g0DEo3EC_normal.jpg</v>
      </c>
      <c r="G668" s="63"/>
      <c r="H668" s="67"/>
      <c r="I668" s="68"/>
      <c r="J668" s="68"/>
      <c r="K668" s="67" t="s">
        <v>25602</v>
      </c>
      <c r="L668" s="71"/>
      <c r="M668" s="72"/>
      <c r="N668" s="72"/>
      <c r="O668" s="73"/>
      <c r="P668" s="74"/>
      <c r="Q668" s="74"/>
      <c r="R668" s="86"/>
      <c r="S668" s="86"/>
      <c r="T668" s="86"/>
      <c r="U668" s="86"/>
      <c r="V668" s="48"/>
      <c r="W668" s="48"/>
      <c r="X668" s="48"/>
      <c r="Y668" s="48"/>
      <c r="Z668" s="47"/>
      <c r="AA668" s="69">
        <v>668</v>
      </c>
      <c r="AB668" s="69"/>
      <c r="AC668" s="70"/>
      <c r="AD668" s="76" t="s">
        <v>22466</v>
      </c>
      <c r="AE668" s="81" t="s">
        <v>21484</v>
      </c>
      <c r="AF668" s="76">
        <v>103</v>
      </c>
      <c r="AG668" s="76">
        <v>116</v>
      </c>
      <c r="AH668" s="76">
        <v>4058</v>
      </c>
      <c r="AI668" s="76">
        <v>0</v>
      </c>
      <c r="AJ668" s="76">
        <v>808</v>
      </c>
      <c r="AK668" s="76">
        <v>291</v>
      </c>
      <c r="AL668" s="76" t="b">
        <v>0</v>
      </c>
      <c r="AM668" s="78">
        <v>43967.093136574076</v>
      </c>
      <c r="AN668" s="76"/>
      <c r="AO668" s="76" t="s">
        <v>23920</v>
      </c>
      <c r="AP668" s="76"/>
      <c r="AQ668" s="76"/>
      <c r="AR668" s="76"/>
      <c r="AS668" s="83" t="str">
        <f>HYPERLINK("https://t.co/tLyYITwrv2")</f>
        <v>https://t.co/tLyYITwrv2</v>
      </c>
      <c r="AT668" s="83" t="str">
        <f>HYPERLINK("https://instagram.com/pedro.luc__?igshid=NGExMmI2YTkyZg==")</f>
        <v>https://instagram.com/pedro.luc__?igshid=NGExMmI2YTkyZg==</v>
      </c>
      <c r="AU668" s="76" t="s">
        <v>24899</v>
      </c>
      <c r="AV668" s="76">
        <v>1.6851382105888799E+18</v>
      </c>
      <c r="AW668" s="76"/>
      <c r="AX668" s="76" t="b">
        <v>0</v>
      </c>
      <c r="AY668" s="76"/>
      <c r="AZ668" s="76"/>
      <c r="BA668" s="76" t="b">
        <v>0</v>
      </c>
      <c r="BB668" s="76" t="b">
        <v>0</v>
      </c>
      <c r="BC668" s="76" t="b">
        <v>1</v>
      </c>
      <c r="BD668" s="76" t="b">
        <v>0</v>
      </c>
      <c r="BE668" s="76" t="b">
        <v>1</v>
      </c>
      <c r="BF668" s="76" t="b">
        <v>0</v>
      </c>
      <c r="BG668" s="76" t="b">
        <v>0</v>
      </c>
      <c r="BH668" s="83" t="str">
        <f>HYPERLINK("https://pbs.twimg.com/profile_banners/1261479961770196999/1693939391")</f>
        <v>https://pbs.twimg.com/profile_banners/1261479961770196999/1693939391</v>
      </c>
      <c r="BI668" s="76"/>
      <c r="BJ668" s="76" t="s">
        <v>24935</v>
      </c>
      <c r="BK668" s="76" t="b">
        <v>0</v>
      </c>
      <c r="BL668" s="76"/>
      <c r="BM668" s="76" t="s">
        <v>66</v>
      </c>
      <c r="BN668" s="76" t="s">
        <v>24937</v>
      </c>
      <c r="BO668" s="83" t="str">
        <f>HYPERLINK("https://twitter.com/predo08")</f>
        <v>https://twitter.com/predo08</v>
      </c>
      <c r="BP668" s="2"/>
    </row>
    <row r="669" spans="1:68" x14ac:dyDescent="0.25">
      <c r="A669" s="62" t="s">
        <v>858</v>
      </c>
      <c r="B669" s="63"/>
      <c r="C669" s="63"/>
      <c r="D669" s="64"/>
      <c r="E669" s="66"/>
      <c r="F669" s="102" t="str">
        <f>HYPERLINK("https://pbs.twimg.com/profile_images/1553133735096328192/pERT4OPE_normal.jpg")</f>
        <v>https://pbs.twimg.com/profile_images/1553133735096328192/pERT4OPE_normal.jpg</v>
      </c>
      <c r="G669" s="63"/>
      <c r="H669" s="67"/>
      <c r="I669" s="68"/>
      <c r="J669" s="68"/>
      <c r="K669" s="67" t="s">
        <v>25603</v>
      </c>
      <c r="L669" s="71"/>
      <c r="M669" s="72"/>
      <c r="N669" s="72"/>
      <c r="O669" s="73"/>
      <c r="P669" s="74"/>
      <c r="Q669" s="74"/>
      <c r="R669" s="86"/>
      <c r="S669" s="86"/>
      <c r="T669" s="86"/>
      <c r="U669" s="86"/>
      <c r="V669" s="48"/>
      <c r="W669" s="48"/>
      <c r="X669" s="48"/>
      <c r="Y669" s="48"/>
      <c r="Z669" s="47"/>
      <c r="AA669" s="69">
        <v>669</v>
      </c>
      <c r="AB669" s="69"/>
      <c r="AC669" s="70"/>
      <c r="AD669" s="76" t="s">
        <v>22467</v>
      </c>
      <c r="AE669" s="81" t="s">
        <v>21485</v>
      </c>
      <c r="AF669" s="76">
        <v>38</v>
      </c>
      <c r="AG669" s="76">
        <v>167</v>
      </c>
      <c r="AH669" s="76">
        <v>12451</v>
      </c>
      <c r="AI669" s="76">
        <v>0</v>
      </c>
      <c r="AJ669" s="76">
        <v>84</v>
      </c>
      <c r="AK669" s="76">
        <v>63</v>
      </c>
      <c r="AL669" s="76" t="b">
        <v>0</v>
      </c>
      <c r="AM669" s="78">
        <v>44771.901192129626</v>
      </c>
      <c r="AN669" s="76"/>
      <c r="AO669" s="76" t="s">
        <v>23921</v>
      </c>
      <c r="AP669" s="83" t="str">
        <f>HYPERLINK("https://t.co/AVIo1r1T5v")</f>
        <v>https://t.co/AVIo1r1T5v</v>
      </c>
      <c r="AQ669" s="83" t="str">
        <f>HYPERLINK("http://Twitch.tv/the_souza80")</f>
        <v>http://Twitch.tv/the_souza80</v>
      </c>
      <c r="AR669" s="76" t="s">
        <v>24619</v>
      </c>
      <c r="AS669" s="76"/>
      <c r="AT669" s="76"/>
      <c r="AU669" s="76"/>
      <c r="AV669" s="76">
        <v>1.55637973976127E+18</v>
      </c>
      <c r="AW669" s="83" t="str">
        <f>HYPERLINK("https://t.co/AVIo1r1T5v")</f>
        <v>https://t.co/AVIo1r1T5v</v>
      </c>
      <c r="AX669" s="76" t="b">
        <v>0</v>
      </c>
      <c r="AY669" s="76"/>
      <c r="AZ669" s="76"/>
      <c r="BA669" s="76" t="b">
        <v>1</v>
      </c>
      <c r="BB669" s="76" t="b">
        <v>1</v>
      </c>
      <c r="BC669" s="76" t="b">
        <v>1</v>
      </c>
      <c r="BD669" s="76" t="b">
        <v>0</v>
      </c>
      <c r="BE669" s="76" t="b">
        <v>0</v>
      </c>
      <c r="BF669" s="76" t="b">
        <v>0</v>
      </c>
      <c r="BG669" s="76" t="b">
        <v>0</v>
      </c>
      <c r="BH669" s="83" t="str">
        <f>HYPERLINK("https://pbs.twimg.com/profile_banners/1553132652496097281/1659465209")</f>
        <v>https://pbs.twimg.com/profile_banners/1553132652496097281/1659465209</v>
      </c>
      <c r="BI669" s="76"/>
      <c r="BJ669" s="76" t="s">
        <v>24935</v>
      </c>
      <c r="BK669" s="76" t="b">
        <v>0</v>
      </c>
      <c r="BL669" s="76"/>
      <c r="BM669" s="76" t="s">
        <v>66</v>
      </c>
      <c r="BN669" s="76" t="s">
        <v>24937</v>
      </c>
      <c r="BO669" s="83" t="str">
        <f>HYPERLINK("https://twitter.com/the_souza80")</f>
        <v>https://twitter.com/the_souza80</v>
      </c>
      <c r="BP669" s="2"/>
    </row>
    <row r="670" spans="1:68" x14ac:dyDescent="0.25">
      <c r="A670" s="62" t="s">
        <v>859</v>
      </c>
      <c r="B670" s="63"/>
      <c r="C670" s="63"/>
      <c r="D670" s="64"/>
      <c r="E670" s="66"/>
      <c r="F670" s="102" t="str">
        <f>HYPERLINK("https://pbs.twimg.com/profile_images/1686140518864990209/2FjFxfzj_normal.jpg")</f>
        <v>https://pbs.twimg.com/profile_images/1686140518864990209/2FjFxfzj_normal.jpg</v>
      </c>
      <c r="G670" s="63"/>
      <c r="H670" s="67"/>
      <c r="I670" s="68"/>
      <c r="J670" s="68"/>
      <c r="K670" s="67" t="s">
        <v>25604</v>
      </c>
      <c r="L670" s="71"/>
      <c r="M670" s="72"/>
      <c r="N670" s="72"/>
      <c r="O670" s="73"/>
      <c r="P670" s="74"/>
      <c r="Q670" s="74"/>
      <c r="R670" s="86"/>
      <c r="S670" s="86"/>
      <c r="T670" s="86"/>
      <c r="U670" s="86"/>
      <c r="V670" s="48"/>
      <c r="W670" s="48"/>
      <c r="X670" s="48"/>
      <c r="Y670" s="48"/>
      <c r="Z670" s="47"/>
      <c r="AA670" s="69">
        <v>670</v>
      </c>
      <c r="AB670" s="69"/>
      <c r="AC670" s="70"/>
      <c r="AD670" s="76" t="s">
        <v>22468</v>
      </c>
      <c r="AE670" s="81" t="s">
        <v>20953</v>
      </c>
      <c r="AF670" s="76">
        <v>141</v>
      </c>
      <c r="AG670" s="76">
        <v>555</v>
      </c>
      <c r="AH670" s="76">
        <v>4421</v>
      </c>
      <c r="AI670" s="76">
        <v>2</v>
      </c>
      <c r="AJ670" s="76">
        <v>1730</v>
      </c>
      <c r="AK670" s="76">
        <v>111</v>
      </c>
      <c r="AL670" s="76" t="b">
        <v>0</v>
      </c>
      <c r="AM670" s="78">
        <v>40499.977627314816</v>
      </c>
      <c r="AN670" s="76" t="s">
        <v>23220</v>
      </c>
      <c r="AO670" s="76" t="s">
        <v>23922</v>
      </c>
      <c r="AP670" s="83" t="str">
        <f>HYPERLINK("https://t.co/rg583AwSea")</f>
        <v>https://t.co/rg583AwSea</v>
      </c>
      <c r="AQ670" s="83" t="str">
        <f>HYPERLINK("https://www.youtube.com/channel/UChDk_qztI4kZam8cEinNHAw")</f>
        <v>https://www.youtube.com/channel/UChDk_qztI4kZam8cEinNHAw</v>
      </c>
      <c r="AR670" s="76" t="s">
        <v>24620</v>
      </c>
      <c r="AS670" s="76"/>
      <c r="AT670" s="76"/>
      <c r="AU670" s="76"/>
      <c r="AV670" s="76">
        <v>1.6972553617897999E+18</v>
      </c>
      <c r="AW670" s="83" t="str">
        <f>HYPERLINK("https://t.co/rg583AwSea")</f>
        <v>https://t.co/rg583AwSea</v>
      </c>
      <c r="AX670" s="76" t="b">
        <v>0</v>
      </c>
      <c r="AY670" s="76"/>
      <c r="AZ670" s="76"/>
      <c r="BA670" s="76" t="b">
        <v>1</v>
      </c>
      <c r="BB670" s="76" t="b">
        <v>1</v>
      </c>
      <c r="BC670" s="76" t="b">
        <v>0</v>
      </c>
      <c r="BD670" s="76" t="b">
        <v>0</v>
      </c>
      <c r="BE670" s="76" t="b">
        <v>1</v>
      </c>
      <c r="BF670" s="76" t="b">
        <v>0</v>
      </c>
      <c r="BG670" s="76" t="b">
        <v>0</v>
      </c>
      <c r="BH670" s="83" t="str">
        <f>HYPERLINK("https://pbs.twimg.com/profile_banners/216874671/1689702324")</f>
        <v>https://pbs.twimg.com/profile_banners/216874671/1689702324</v>
      </c>
      <c r="BI670" s="76"/>
      <c r="BJ670" s="76" t="s">
        <v>24935</v>
      </c>
      <c r="BK670" s="76" t="b">
        <v>0</v>
      </c>
      <c r="BL670" s="76"/>
      <c r="BM670" s="76" t="s">
        <v>66</v>
      </c>
      <c r="BN670" s="76" t="s">
        <v>24937</v>
      </c>
      <c r="BO670" s="83" t="str">
        <f>HYPERLINK("https://twitter.com/_patrickv7")</f>
        <v>https://twitter.com/_patrickv7</v>
      </c>
      <c r="BP670" s="2"/>
    </row>
    <row r="671" spans="1:68" x14ac:dyDescent="0.25">
      <c r="A671" s="62" t="s">
        <v>860</v>
      </c>
      <c r="B671" s="63"/>
      <c r="C671" s="63"/>
      <c r="D671" s="64"/>
      <c r="E671" s="66"/>
      <c r="F671" s="102" t="str">
        <f>HYPERLINK("https://pbs.twimg.com/profile_images/1613885938525945856/HCvdytcY_normal.jpg")</f>
        <v>https://pbs.twimg.com/profile_images/1613885938525945856/HCvdytcY_normal.jpg</v>
      </c>
      <c r="G671" s="63"/>
      <c r="H671" s="67"/>
      <c r="I671" s="68"/>
      <c r="J671" s="68"/>
      <c r="K671" s="67" t="s">
        <v>25605</v>
      </c>
      <c r="L671" s="71"/>
      <c r="M671" s="72"/>
      <c r="N671" s="72"/>
      <c r="O671" s="73"/>
      <c r="P671" s="74"/>
      <c r="Q671" s="74"/>
      <c r="R671" s="86"/>
      <c r="S671" s="86"/>
      <c r="T671" s="86"/>
      <c r="U671" s="86"/>
      <c r="V671" s="48"/>
      <c r="W671" s="48"/>
      <c r="X671" s="48"/>
      <c r="Y671" s="48"/>
      <c r="Z671" s="47"/>
      <c r="AA671" s="69">
        <v>671</v>
      </c>
      <c r="AB671" s="69"/>
      <c r="AC671" s="70"/>
      <c r="AD671" s="76" t="s">
        <v>22469</v>
      </c>
      <c r="AE671" s="81" t="s">
        <v>22990</v>
      </c>
      <c r="AF671" s="76">
        <v>207</v>
      </c>
      <c r="AG671" s="76">
        <v>6</v>
      </c>
      <c r="AH671" s="76">
        <v>45982</v>
      </c>
      <c r="AI671" s="76">
        <v>0</v>
      </c>
      <c r="AJ671" s="76">
        <v>3990</v>
      </c>
      <c r="AK671" s="76">
        <v>705</v>
      </c>
      <c r="AL671" s="76" t="b">
        <v>0</v>
      </c>
      <c r="AM671" s="78">
        <v>40710.103321759256</v>
      </c>
      <c r="AN671" s="76" t="s">
        <v>14033</v>
      </c>
      <c r="AO671" s="76" t="s">
        <v>23923</v>
      </c>
      <c r="AP671" s="76"/>
      <c r="AQ671" s="76"/>
      <c r="AR671" s="76"/>
      <c r="AS671" s="76"/>
      <c r="AT671" s="76"/>
      <c r="AU671" s="76"/>
      <c r="AV671" s="76">
        <v>1.58957707736766E+18</v>
      </c>
      <c r="AW671" s="76"/>
      <c r="AX671" s="76" t="b">
        <v>0</v>
      </c>
      <c r="AY671" s="76"/>
      <c r="AZ671" s="76"/>
      <c r="BA671" s="76" t="b">
        <v>0</v>
      </c>
      <c r="BB671" s="76" t="b">
        <v>1</v>
      </c>
      <c r="BC671" s="76" t="b">
        <v>0</v>
      </c>
      <c r="BD671" s="76" t="b">
        <v>0</v>
      </c>
      <c r="BE671" s="76" t="b">
        <v>1</v>
      </c>
      <c r="BF671" s="76" t="b">
        <v>0</v>
      </c>
      <c r="BG671" s="76" t="b">
        <v>0</v>
      </c>
      <c r="BH671" s="83" t="str">
        <f>HYPERLINK("https://pbs.twimg.com/profile_banners/318171711/1674996201")</f>
        <v>https://pbs.twimg.com/profile_banners/318171711/1674996201</v>
      </c>
      <c r="BI671" s="76"/>
      <c r="BJ671" s="76" t="s">
        <v>24935</v>
      </c>
      <c r="BK671" s="76" t="b">
        <v>0</v>
      </c>
      <c r="BL671" s="76"/>
      <c r="BM671" s="76" t="s">
        <v>66</v>
      </c>
      <c r="BN671" s="76" t="s">
        <v>24937</v>
      </c>
      <c r="BO671" s="83" t="str">
        <f>HYPERLINK("https://twitter.com/viktorvenddetta")</f>
        <v>https://twitter.com/viktorvenddetta</v>
      </c>
      <c r="BP671" s="2"/>
    </row>
    <row r="672" spans="1:68" x14ac:dyDescent="0.25">
      <c r="A672" s="62" t="s">
        <v>861</v>
      </c>
      <c r="B672" s="63"/>
      <c r="C672" s="63"/>
      <c r="D672" s="64"/>
      <c r="E672" s="66"/>
      <c r="F672" s="102" t="str">
        <f>HYPERLINK("https://pbs.twimg.com/profile_images/1652680239095377921/GSyzkbpk_normal.jpg")</f>
        <v>https://pbs.twimg.com/profile_images/1652680239095377921/GSyzkbpk_normal.jpg</v>
      </c>
      <c r="G672" s="63"/>
      <c r="H672" s="67"/>
      <c r="I672" s="68"/>
      <c r="J672" s="68"/>
      <c r="K672" s="67" t="s">
        <v>25606</v>
      </c>
      <c r="L672" s="71"/>
      <c r="M672" s="72"/>
      <c r="N672" s="72"/>
      <c r="O672" s="73"/>
      <c r="P672" s="74"/>
      <c r="Q672" s="74"/>
      <c r="R672" s="86"/>
      <c r="S672" s="86"/>
      <c r="T672" s="86"/>
      <c r="U672" s="86"/>
      <c r="V672" s="48"/>
      <c r="W672" s="48"/>
      <c r="X672" s="48"/>
      <c r="Y672" s="48"/>
      <c r="Z672" s="47"/>
      <c r="AA672" s="69">
        <v>672</v>
      </c>
      <c r="AB672" s="69"/>
      <c r="AC672" s="70"/>
      <c r="AD672" s="76" t="s">
        <v>22470</v>
      </c>
      <c r="AE672" s="81" t="s">
        <v>21486</v>
      </c>
      <c r="AF672" s="76">
        <v>0</v>
      </c>
      <c r="AG672" s="76">
        <v>4</v>
      </c>
      <c r="AH672" s="76">
        <v>11</v>
      </c>
      <c r="AI672" s="76">
        <v>0</v>
      </c>
      <c r="AJ672" s="76">
        <v>0</v>
      </c>
      <c r="AK672" s="76">
        <v>9</v>
      </c>
      <c r="AL672" s="76" t="b">
        <v>0</v>
      </c>
      <c r="AM672" s="78">
        <v>45000.88758101852</v>
      </c>
      <c r="AN672" s="76"/>
      <c r="AO672" s="76" t="s">
        <v>23924</v>
      </c>
      <c r="AP672" s="76"/>
      <c r="AQ672" s="76"/>
      <c r="AR672" s="76"/>
      <c r="AS672" s="76"/>
      <c r="AT672" s="76"/>
      <c r="AU672" s="76"/>
      <c r="AV672" s="76"/>
      <c r="AW672" s="76"/>
      <c r="AX672" s="76" t="b">
        <v>0</v>
      </c>
      <c r="AY672" s="76"/>
      <c r="AZ672" s="76"/>
      <c r="BA672" s="76" t="b">
        <v>0</v>
      </c>
      <c r="BB672" s="76" t="b">
        <v>1</v>
      </c>
      <c r="BC672" s="76" t="b">
        <v>1</v>
      </c>
      <c r="BD672" s="76" t="b">
        <v>0</v>
      </c>
      <c r="BE672" s="76" t="b">
        <v>0</v>
      </c>
      <c r="BF672" s="76" t="b">
        <v>0</v>
      </c>
      <c r="BG672" s="76" t="b">
        <v>0</v>
      </c>
      <c r="BH672" s="83" t="str">
        <f>HYPERLINK("https://pbs.twimg.com/profile_banners/1636114254767050753/1678915480")</f>
        <v>https://pbs.twimg.com/profile_banners/1636114254767050753/1678915480</v>
      </c>
      <c r="BI672" s="76"/>
      <c r="BJ672" s="76" t="s">
        <v>24935</v>
      </c>
      <c r="BK672" s="76" t="b">
        <v>0</v>
      </c>
      <c r="BL672" s="76"/>
      <c r="BM672" s="76" t="s">
        <v>66</v>
      </c>
      <c r="BN672" s="76" t="s">
        <v>24937</v>
      </c>
      <c r="BO672" s="83" t="str">
        <f>HYPERLINK("https://twitter.com/eimigra")</f>
        <v>https://twitter.com/eimigra</v>
      </c>
      <c r="BP672" s="2"/>
    </row>
    <row r="673" spans="1:68" x14ac:dyDescent="0.25">
      <c r="A673" s="62" t="s">
        <v>862</v>
      </c>
      <c r="B673" s="63"/>
      <c r="C673" s="63"/>
      <c r="D673" s="64"/>
      <c r="E673" s="66"/>
      <c r="F673" s="102" t="str">
        <f>HYPERLINK("https://pbs.twimg.com/profile_images/1702404088636272640/Wnu7Ia8H_normal.jpg")</f>
        <v>https://pbs.twimg.com/profile_images/1702404088636272640/Wnu7Ia8H_normal.jpg</v>
      </c>
      <c r="G673" s="63"/>
      <c r="H673" s="67"/>
      <c r="I673" s="68"/>
      <c r="J673" s="68"/>
      <c r="K673" s="67" t="s">
        <v>25607</v>
      </c>
      <c r="L673" s="71"/>
      <c r="M673" s="72"/>
      <c r="N673" s="72"/>
      <c r="O673" s="73"/>
      <c r="P673" s="74"/>
      <c r="Q673" s="74"/>
      <c r="R673" s="86"/>
      <c r="S673" s="86"/>
      <c r="T673" s="86"/>
      <c r="U673" s="86"/>
      <c r="V673" s="48"/>
      <c r="W673" s="48"/>
      <c r="X673" s="48"/>
      <c r="Y673" s="48"/>
      <c r="Z673" s="47"/>
      <c r="AA673" s="69">
        <v>673</v>
      </c>
      <c r="AB673" s="69"/>
      <c r="AC673" s="70"/>
      <c r="AD673" s="76" t="s">
        <v>22471</v>
      </c>
      <c r="AE673" s="81" t="s">
        <v>21487</v>
      </c>
      <c r="AF673" s="76">
        <v>2</v>
      </c>
      <c r="AG673" s="76">
        <v>17</v>
      </c>
      <c r="AH673" s="76">
        <v>19</v>
      </c>
      <c r="AI673" s="76">
        <v>0</v>
      </c>
      <c r="AJ673" s="76">
        <v>4</v>
      </c>
      <c r="AK673" s="76">
        <v>6</v>
      </c>
      <c r="AL673" s="76" t="b">
        <v>0</v>
      </c>
      <c r="AM673" s="78">
        <v>45170.896747685183</v>
      </c>
      <c r="AN673" s="76"/>
      <c r="AO673" s="76" t="s">
        <v>23925</v>
      </c>
      <c r="AP673" s="76"/>
      <c r="AQ673" s="76"/>
      <c r="AR673" s="76"/>
      <c r="AS673" s="76"/>
      <c r="AT673" s="76"/>
      <c r="AU673" s="76"/>
      <c r="AV673" s="76"/>
      <c r="AW673" s="76"/>
      <c r="AX673" s="76" t="b">
        <v>0</v>
      </c>
      <c r="AY673" s="76"/>
      <c r="AZ673" s="76"/>
      <c r="BA673" s="76" t="b">
        <v>0</v>
      </c>
      <c r="BB673" s="76" t="b">
        <v>1</v>
      </c>
      <c r="BC673" s="76" t="b">
        <v>1</v>
      </c>
      <c r="BD673" s="76" t="b">
        <v>0</v>
      </c>
      <c r="BE673" s="76" t="b">
        <v>0</v>
      </c>
      <c r="BF673" s="76" t="b">
        <v>0</v>
      </c>
      <c r="BG673" s="76" t="b">
        <v>0</v>
      </c>
      <c r="BH673" s="83" t="str">
        <f>HYPERLINK("https://pbs.twimg.com/profile_banners/1697723671329058816/1694882424")</f>
        <v>https://pbs.twimg.com/profile_banners/1697723671329058816/1694882424</v>
      </c>
      <c r="BI673" s="76"/>
      <c r="BJ673" s="76" t="s">
        <v>24935</v>
      </c>
      <c r="BK673" s="76" t="b">
        <v>0</v>
      </c>
      <c r="BL673" s="76"/>
      <c r="BM673" s="76" t="s">
        <v>66</v>
      </c>
      <c r="BN673" s="76" t="s">
        <v>24937</v>
      </c>
      <c r="BO673" s="83" t="str">
        <f>HYPERLINK("https://twitter.com/cludiamarq69376")</f>
        <v>https://twitter.com/cludiamarq69376</v>
      </c>
      <c r="BP673" s="2"/>
    </row>
    <row r="674" spans="1:68" x14ac:dyDescent="0.25">
      <c r="A674" s="62" t="s">
        <v>863</v>
      </c>
      <c r="B674" s="63"/>
      <c r="C674" s="63"/>
      <c r="D674" s="64"/>
      <c r="E674" s="66"/>
      <c r="F674" s="102" t="str">
        <f>HYPERLINK("https://pbs.twimg.com/profile_images/949710325426872320/rhE9BZWH_normal.jpg")</f>
        <v>https://pbs.twimg.com/profile_images/949710325426872320/rhE9BZWH_normal.jpg</v>
      </c>
      <c r="G674" s="63"/>
      <c r="H674" s="67"/>
      <c r="I674" s="68"/>
      <c r="J674" s="68"/>
      <c r="K674" s="67" t="s">
        <v>25608</v>
      </c>
      <c r="L674" s="71"/>
      <c r="M674" s="72"/>
      <c r="N674" s="72"/>
      <c r="O674" s="73"/>
      <c r="P674" s="74"/>
      <c r="Q674" s="74"/>
      <c r="R674" s="86"/>
      <c r="S674" s="86"/>
      <c r="T674" s="86"/>
      <c r="U674" s="86"/>
      <c r="V674" s="48"/>
      <c r="W674" s="48"/>
      <c r="X674" s="48"/>
      <c r="Y674" s="48"/>
      <c r="Z674" s="47"/>
      <c r="AA674" s="69">
        <v>674</v>
      </c>
      <c r="AB674" s="69"/>
      <c r="AC674" s="70"/>
      <c r="AD674" s="76" t="s">
        <v>22472</v>
      </c>
      <c r="AE674" s="81" t="s">
        <v>22991</v>
      </c>
      <c r="AF674" s="76">
        <v>445</v>
      </c>
      <c r="AG674" s="76">
        <v>3154</v>
      </c>
      <c r="AH674" s="76">
        <v>13728</v>
      </c>
      <c r="AI674" s="76">
        <v>55</v>
      </c>
      <c r="AJ674" s="76">
        <v>2265</v>
      </c>
      <c r="AK674" s="76">
        <v>765</v>
      </c>
      <c r="AL674" s="76" t="b">
        <v>0</v>
      </c>
      <c r="AM674" s="78">
        <v>40043.533263888887</v>
      </c>
      <c r="AN674" s="83" t="str">
        <f>HYPERLINK("https://web.facebook.com/MoVen")</f>
        <v>https://web.facebook.com/MoVen</v>
      </c>
      <c r="AO674" s="76" t="s">
        <v>23926</v>
      </c>
      <c r="AP674" s="83" t="str">
        <f>HYPERLINK("https://t.co/WCqKfv9KPJ")</f>
        <v>https://t.co/WCqKfv9KPJ</v>
      </c>
      <c r="AQ674" s="83" t="str">
        <f>HYPERLINK("https://web.facebook.com/MoVendoDinheiro")</f>
        <v>https://web.facebook.com/MoVendoDinheiro</v>
      </c>
      <c r="AR674" s="76" t="s">
        <v>24621</v>
      </c>
      <c r="AS674" s="76"/>
      <c r="AT674" s="76"/>
      <c r="AU674" s="76"/>
      <c r="AV674" s="76">
        <v>1.6984673444968599E+18</v>
      </c>
      <c r="AW674" s="83" t="str">
        <f>HYPERLINK("https://t.co/WCqKfv9KPJ")</f>
        <v>https://t.co/WCqKfv9KPJ</v>
      </c>
      <c r="AX674" s="76" t="b">
        <v>0</v>
      </c>
      <c r="AY674" s="76"/>
      <c r="AZ674" s="76"/>
      <c r="BA674" s="76" t="b">
        <v>0</v>
      </c>
      <c r="BB674" s="76" t="b">
        <v>1</v>
      </c>
      <c r="BC674" s="76" t="b">
        <v>0</v>
      </c>
      <c r="BD674" s="76" t="b">
        <v>0</v>
      </c>
      <c r="BE674" s="76" t="b">
        <v>1</v>
      </c>
      <c r="BF674" s="76" t="b">
        <v>0</v>
      </c>
      <c r="BG674" s="76" t="b">
        <v>0</v>
      </c>
      <c r="BH674" s="76"/>
      <c r="BI674" s="76"/>
      <c r="BJ674" s="76" t="s">
        <v>24935</v>
      </c>
      <c r="BK674" s="76" t="b">
        <v>0</v>
      </c>
      <c r="BL674" s="76"/>
      <c r="BM674" s="76" t="s">
        <v>66</v>
      </c>
      <c r="BN674" s="76" t="s">
        <v>24937</v>
      </c>
      <c r="BO674" s="83" t="str">
        <f>HYPERLINK("https://twitter.com/rodrigodorje")</f>
        <v>https://twitter.com/rodrigodorje</v>
      </c>
      <c r="BP674" s="2"/>
    </row>
    <row r="675" spans="1:68" x14ac:dyDescent="0.25">
      <c r="A675" s="62" t="s">
        <v>864</v>
      </c>
      <c r="B675" s="63"/>
      <c r="C675" s="63"/>
      <c r="D675" s="64"/>
      <c r="E675" s="66"/>
      <c r="F675" s="102" t="str">
        <f>HYPERLINK("https://pbs.twimg.com/profile_images/1660480847227625472/-_hXBVZP_normal.jpg")</f>
        <v>https://pbs.twimg.com/profile_images/1660480847227625472/-_hXBVZP_normal.jpg</v>
      </c>
      <c r="G675" s="63"/>
      <c r="H675" s="67"/>
      <c r="I675" s="68"/>
      <c r="J675" s="68"/>
      <c r="K675" s="67" t="s">
        <v>25609</v>
      </c>
      <c r="L675" s="71"/>
      <c r="M675" s="72"/>
      <c r="N675" s="72"/>
      <c r="O675" s="73"/>
      <c r="P675" s="74"/>
      <c r="Q675" s="74"/>
      <c r="R675" s="86"/>
      <c r="S675" s="86"/>
      <c r="T675" s="86"/>
      <c r="U675" s="86"/>
      <c r="V675" s="48"/>
      <c r="W675" s="48"/>
      <c r="X675" s="48"/>
      <c r="Y675" s="48"/>
      <c r="Z675" s="47"/>
      <c r="AA675" s="69">
        <v>675</v>
      </c>
      <c r="AB675" s="69"/>
      <c r="AC675" s="70"/>
      <c r="AD675" s="76" t="s">
        <v>22473</v>
      </c>
      <c r="AE675" s="81" t="s">
        <v>21488</v>
      </c>
      <c r="AF675" s="76">
        <v>3</v>
      </c>
      <c r="AG675" s="76">
        <v>21</v>
      </c>
      <c r="AH675" s="76">
        <v>72</v>
      </c>
      <c r="AI675" s="76">
        <v>0</v>
      </c>
      <c r="AJ675" s="76">
        <v>36</v>
      </c>
      <c r="AK675" s="76">
        <v>25</v>
      </c>
      <c r="AL675" s="76" t="b">
        <v>0</v>
      </c>
      <c r="AM675" s="78">
        <v>44885.907407407409</v>
      </c>
      <c r="AN675" s="76" t="s">
        <v>14033</v>
      </c>
      <c r="AO675" s="76" t="s">
        <v>23927</v>
      </c>
      <c r="AP675" s="83" t="str">
        <f>HYPERLINK("https://t.co/4k9BZnKcQi")</f>
        <v>https://t.co/4k9BZnKcQi</v>
      </c>
      <c r="AQ675" s="83" t="str">
        <f>HYPERLINK("http://gabinetedarma.com.br/")</f>
        <v>http://gabinetedarma.com.br/</v>
      </c>
      <c r="AR675" s="76" t="s">
        <v>24622</v>
      </c>
      <c r="AS675" s="76"/>
      <c r="AT675" s="76"/>
      <c r="AU675" s="76"/>
      <c r="AV675" s="76"/>
      <c r="AW675" s="83" t="str">
        <f>HYPERLINK("https://t.co/4k9BZnKcQi")</f>
        <v>https://t.co/4k9BZnKcQi</v>
      </c>
      <c r="AX675" s="76" t="b">
        <v>0</v>
      </c>
      <c r="AY675" s="76"/>
      <c r="AZ675" s="76"/>
      <c r="BA675" s="76" t="b">
        <v>0</v>
      </c>
      <c r="BB675" s="76" t="b">
        <v>1</v>
      </c>
      <c r="BC675" s="76" t="b">
        <v>1</v>
      </c>
      <c r="BD675" s="76" t="b">
        <v>0</v>
      </c>
      <c r="BE675" s="76" t="b">
        <v>1</v>
      </c>
      <c r="BF675" s="76" t="b">
        <v>0</v>
      </c>
      <c r="BG675" s="76" t="b">
        <v>0</v>
      </c>
      <c r="BH675" s="83" t="str">
        <f>HYPERLINK("https://pbs.twimg.com/profile_banners/1594447087973736448/1683846390")</f>
        <v>https://pbs.twimg.com/profile_banners/1594447087973736448/1683846390</v>
      </c>
      <c r="BI675" s="76"/>
      <c r="BJ675" s="76" t="s">
        <v>24935</v>
      </c>
      <c r="BK675" s="76" t="b">
        <v>0</v>
      </c>
      <c r="BL675" s="76"/>
      <c r="BM675" s="76" t="s">
        <v>66</v>
      </c>
      <c r="BN675" s="76" t="s">
        <v>24937</v>
      </c>
      <c r="BO675" s="83" t="str">
        <f>HYPERLINK("https://twitter.com/gabinetedarma")</f>
        <v>https://twitter.com/gabinetedarma</v>
      </c>
      <c r="BP675" s="2"/>
    </row>
    <row r="676" spans="1:68" x14ac:dyDescent="0.25">
      <c r="A676" s="62" t="s">
        <v>865</v>
      </c>
      <c r="B676" s="63"/>
      <c r="C676" s="63"/>
      <c r="D676" s="64"/>
      <c r="E676" s="66"/>
      <c r="F676" s="102" t="str">
        <f>HYPERLINK("https://pbs.twimg.com/profile_images/1535003713261166607/lcMU1L41_normal.jpg")</f>
        <v>https://pbs.twimg.com/profile_images/1535003713261166607/lcMU1L41_normal.jpg</v>
      </c>
      <c r="G676" s="63"/>
      <c r="H676" s="67"/>
      <c r="I676" s="68"/>
      <c r="J676" s="68"/>
      <c r="K676" s="67" t="s">
        <v>25610</v>
      </c>
      <c r="L676" s="71"/>
      <c r="M676" s="72"/>
      <c r="N676" s="72"/>
      <c r="O676" s="73"/>
      <c r="P676" s="74"/>
      <c r="Q676" s="74"/>
      <c r="R676" s="86"/>
      <c r="S676" s="86"/>
      <c r="T676" s="86"/>
      <c r="U676" s="86"/>
      <c r="V676" s="48"/>
      <c r="W676" s="48"/>
      <c r="X676" s="48"/>
      <c r="Y676" s="48"/>
      <c r="Z676" s="47"/>
      <c r="AA676" s="69">
        <v>676</v>
      </c>
      <c r="AB676" s="69"/>
      <c r="AC676" s="70"/>
      <c r="AD676" s="76" t="s">
        <v>22474</v>
      </c>
      <c r="AE676" s="81" t="s">
        <v>22992</v>
      </c>
      <c r="AF676" s="76">
        <v>7</v>
      </c>
      <c r="AG676" s="76">
        <v>128</v>
      </c>
      <c r="AH676" s="76">
        <v>671</v>
      </c>
      <c r="AI676" s="76">
        <v>0</v>
      </c>
      <c r="AJ676" s="76">
        <v>270</v>
      </c>
      <c r="AK676" s="76">
        <v>252</v>
      </c>
      <c r="AL676" s="76" t="b">
        <v>0</v>
      </c>
      <c r="AM676" s="78">
        <v>40709.961041666669</v>
      </c>
      <c r="AN676" s="76" t="s">
        <v>23250</v>
      </c>
      <c r="AO676" s="76" t="s">
        <v>23928</v>
      </c>
      <c r="AP676" s="83" t="str">
        <f>HYPERLINK("https://t.co/2tBNLDX77T")</f>
        <v>https://t.co/2tBNLDX77T</v>
      </c>
      <c r="AQ676" s="83" t="str">
        <f>HYPERLINK("https://bit.ly/Whatsapp-Trapos_Chi")</f>
        <v>https://bit.ly/Whatsapp-Trapos_Chi</v>
      </c>
      <c r="AR676" s="76" t="s">
        <v>24623</v>
      </c>
      <c r="AS676" s="76"/>
      <c r="AT676" s="76"/>
      <c r="AU676" s="76"/>
      <c r="AV676" s="76"/>
      <c r="AW676" s="83" t="str">
        <f>HYPERLINK("https://t.co/2tBNLDX77T")</f>
        <v>https://t.co/2tBNLDX77T</v>
      </c>
      <c r="AX676" s="76" t="b">
        <v>0</v>
      </c>
      <c r="AY676" s="76"/>
      <c r="AZ676" s="76"/>
      <c r="BA676" s="76" t="b">
        <v>0</v>
      </c>
      <c r="BB676" s="76" t="b">
        <v>0</v>
      </c>
      <c r="BC676" s="76" t="b">
        <v>1</v>
      </c>
      <c r="BD676" s="76" t="b">
        <v>0</v>
      </c>
      <c r="BE676" s="76" t="b">
        <v>1</v>
      </c>
      <c r="BF676" s="76" t="b">
        <v>0</v>
      </c>
      <c r="BG676" s="76" t="b">
        <v>0</v>
      </c>
      <c r="BH676" s="83" t="str">
        <f>HYPERLINK("https://pbs.twimg.com/profile_banners/318081196/1588604325")</f>
        <v>https://pbs.twimg.com/profile_banners/318081196/1588604325</v>
      </c>
      <c r="BI676" s="76"/>
      <c r="BJ676" s="76" t="s">
        <v>24935</v>
      </c>
      <c r="BK676" s="76" t="b">
        <v>0</v>
      </c>
      <c r="BL676" s="76"/>
      <c r="BM676" s="76" t="s">
        <v>66</v>
      </c>
      <c r="BN676" s="76" t="s">
        <v>24937</v>
      </c>
      <c r="BO676" s="83" t="str">
        <f>HYPERLINK("https://twitter.com/trapos_chi")</f>
        <v>https://twitter.com/trapos_chi</v>
      </c>
      <c r="BP676" s="2"/>
    </row>
    <row r="677" spans="1:68" x14ac:dyDescent="0.25">
      <c r="A677" s="62" t="s">
        <v>867</v>
      </c>
      <c r="B677" s="63"/>
      <c r="C677" s="63"/>
      <c r="D677" s="64"/>
      <c r="E677" s="66"/>
      <c r="F677" s="102" t="str">
        <f>HYPERLINK("https://pbs.twimg.com/profile_images/1655771079770554370/5ECf8puf_normal.jpg")</f>
        <v>https://pbs.twimg.com/profile_images/1655771079770554370/5ECf8puf_normal.jpg</v>
      </c>
      <c r="G677" s="63"/>
      <c r="H677" s="67"/>
      <c r="I677" s="68"/>
      <c r="J677" s="68"/>
      <c r="K677" s="67" t="s">
        <v>25611</v>
      </c>
      <c r="L677" s="71"/>
      <c r="M677" s="72"/>
      <c r="N677" s="72"/>
      <c r="O677" s="73"/>
      <c r="P677" s="74"/>
      <c r="Q677" s="74"/>
      <c r="R677" s="86"/>
      <c r="S677" s="86"/>
      <c r="T677" s="86"/>
      <c r="U677" s="86"/>
      <c r="V677" s="48"/>
      <c r="W677" s="48"/>
      <c r="X677" s="48"/>
      <c r="Y677" s="48"/>
      <c r="Z677" s="47"/>
      <c r="AA677" s="69">
        <v>677</v>
      </c>
      <c r="AB677" s="69"/>
      <c r="AC677" s="70"/>
      <c r="AD677" s="76" t="s">
        <v>22475</v>
      </c>
      <c r="AE677" s="81" t="s">
        <v>21490</v>
      </c>
      <c r="AF677" s="76">
        <v>90</v>
      </c>
      <c r="AG677" s="76">
        <v>1</v>
      </c>
      <c r="AH677" s="76">
        <v>10</v>
      </c>
      <c r="AI677" s="76">
        <v>0</v>
      </c>
      <c r="AJ677" s="76">
        <v>4</v>
      </c>
      <c r="AK677" s="76">
        <v>0</v>
      </c>
      <c r="AL677" s="76" t="b">
        <v>0</v>
      </c>
      <c r="AM677" s="78">
        <v>44826.052395833336</v>
      </c>
      <c r="AN677" s="76" t="s">
        <v>14033</v>
      </c>
      <c r="AO677" s="76"/>
      <c r="AP677" s="76"/>
      <c r="AQ677" s="76"/>
      <c r="AR677" s="76"/>
      <c r="AS677" s="76"/>
      <c r="AT677" s="76"/>
      <c r="AU677" s="76"/>
      <c r="AV677" s="76"/>
      <c r="AW677" s="76"/>
      <c r="AX677" s="76" t="b">
        <v>0</v>
      </c>
      <c r="AY677" s="76"/>
      <c r="AZ677" s="76"/>
      <c r="BA677" s="76" t="b">
        <v>1</v>
      </c>
      <c r="BB677" s="76" t="b">
        <v>0</v>
      </c>
      <c r="BC677" s="76" t="b">
        <v>1</v>
      </c>
      <c r="BD677" s="76" t="b">
        <v>0</v>
      </c>
      <c r="BE677" s="76" t="b">
        <v>0</v>
      </c>
      <c r="BF677" s="76" t="b">
        <v>0</v>
      </c>
      <c r="BG677" s="76" t="b">
        <v>0</v>
      </c>
      <c r="BH677" s="83" t="str">
        <f>HYPERLINK("https://pbs.twimg.com/profile_banners/1572756366544052224/1683601594")</f>
        <v>https://pbs.twimg.com/profile_banners/1572756366544052224/1683601594</v>
      </c>
      <c r="BI677" s="76"/>
      <c r="BJ677" s="76" t="s">
        <v>24935</v>
      </c>
      <c r="BK677" s="76" t="b">
        <v>0</v>
      </c>
      <c r="BL677" s="76"/>
      <c r="BM677" s="76" t="s">
        <v>66</v>
      </c>
      <c r="BN677" s="76" t="s">
        <v>24937</v>
      </c>
      <c r="BO677" s="83" t="str">
        <f>HYPERLINK("https://twitter.com/agenciamoodel")</f>
        <v>https://twitter.com/agenciamoodel</v>
      </c>
      <c r="BP677" s="2"/>
    </row>
    <row r="678" spans="1:68" x14ac:dyDescent="0.25">
      <c r="A678" s="62" t="s">
        <v>868</v>
      </c>
      <c r="B678" s="63"/>
      <c r="C678" s="63"/>
      <c r="D678" s="64"/>
      <c r="E678" s="66"/>
      <c r="F678" s="102" t="str">
        <f>HYPERLINK("https://pbs.twimg.com/profile_images/1704611660411838465/MGpSrQIg_normal.jpg")</f>
        <v>https://pbs.twimg.com/profile_images/1704611660411838465/MGpSrQIg_normal.jpg</v>
      </c>
      <c r="G678" s="63"/>
      <c r="H678" s="67"/>
      <c r="I678" s="68"/>
      <c r="J678" s="68"/>
      <c r="K678" s="67" t="s">
        <v>25612</v>
      </c>
      <c r="L678" s="71"/>
      <c r="M678" s="72"/>
      <c r="N678" s="72"/>
      <c r="O678" s="73"/>
      <c r="P678" s="74"/>
      <c r="Q678" s="74"/>
      <c r="R678" s="86"/>
      <c r="S678" s="86"/>
      <c r="T678" s="86"/>
      <c r="U678" s="86"/>
      <c r="V678" s="48"/>
      <c r="W678" s="48"/>
      <c r="X678" s="48"/>
      <c r="Y678" s="48"/>
      <c r="Z678" s="47"/>
      <c r="AA678" s="69">
        <v>678</v>
      </c>
      <c r="AB678" s="69"/>
      <c r="AC678" s="70"/>
      <c r="AD678" s="76" t="s">
        <v>22476</v>
      </c>
      <c r="AE678" s="81" t="s">
        <v>21491</v>
      </c>
      <c r="AF678" s="76">
        <v>0</v>
      </c>
      <c r="AG678" s="76">
        <v>4</v>
      </c>
      <c r="AH678" s="76">
        <v>8</v>
      </c>
      <c r="AI678" s="76">
        <v>0</v>
      </c>
      <c r="AJ678" s="76">
        <v>22</v>
      </c>
      <c r="AK678" s="76">
        <v>1</v>
      </c>
      <c r="AL678" s="76" t="b">
        <v>0</v>
      </c>
      <c r="AM678" s="78">
        <v>44903.171030092592</v>
      </c>
      <c r="AN678" s="76"/>
      <c r="AO678" s="76" t="s">
        <v>23929</v>
      </c>
      <c r="AP678" s="83" t="str">
        <f>HYPERLINK("https://t.co/PizUeeWCVR")</f>
        <v>https://t.co/PizUeeWCVR</v>
      </c>
      <c r="AQ678" s="83" t="str">
        <f>HYPERLINK("https://linkr.bio/Sejamilionarioo")</f>
        <v>https://linkr.bio/Sejamilionarioo</v>
      </c>
      <c r="AR678" s="76" t="s">
        <v>24624</v>
      </c>
      <c r="AS678" s="76"/>
      <c r="AT678" s="76"/>
      <c r="AU678" s="76"/>
      <c r="AV678" s="76"/>
      <c r="AW678" s="83" t="str">
        <f>HYPERLINK("https://t.co/PizUeeWCVR")</f>
        <v>https://t.co/PizUeeWCVR</v>
      </c>
      <c r="AX678" s="76" t="b">
        <v>0</v>
      </c>
      <c r="AY678" s="76"/>
      <c r="AZ678" s="76"/>
      <c r="BA678" s="76" t="b">
        <v>0</v>
      </c>
      <c r="BB678" s="76" t="b">
        <v>1</v>
      </c>
      <c r="BC678" s="76" t="b">
        <v>1</v>
      </c>
      <c r="BD678" s="76" t="b">
        <v>0</v>
      </c>
      <c r="BE678" s="76" t="b">
        <v>0</v>
      </c>
      <c r="BF678" s="76" t="b">
        <v>0</v>
      </c>
      <c r="BG678" s="76" t="b">
        <v>0</v>
      </c>
      <c r="BH678" s="83" t="str">
        <f>HYPERLINK("https://pbs.twimg.com/profile_banners/1600703155578327041/1695246076")</f>
        <v>https://pbs.twimg.com/profile_banners/1600703155578327041/1695246076</v>
      </c>
      <c r="BI678" s="76"/>
      <c r="BJ678" s="76" t="s">
        <v>24935</v>
      </c>
      <c r="BK678" s="76" t="b">
        <v>0</v>
      </c>
      <c r="BL678" s="76"/>
      <c r="BM678" s="76" t="s">
        <v>66</v>
      </c>
      <c r="BN678" s="76" t="s">
        <v>24937</v>
      </c>
      <c r="BO678" s="83" t="str">
        <f>HYPERLINK("https://twitter.com/danielgcn23")</f>
        <v>https://twitter.com/danielgcn23</v>
      </c>
      <c r="BP678" s="2"/>
    </row>
    <row r="679" spans="1:68" x14ac:dyDescent="0.25">
      <c r="A679" s="62" t="s">
        <v>869</v>
      </c>
      <c r="B679" s="63"/>
      <c r="C679" s="63"/>
      <c r="D679" s="64"/>
      <c r="E679" s="66"/>
      <c r="F679" s="102" t="str">
        <f>HYPERLINK("https://pbs.twimg.com/profile_images/1650671126060707841/EGE8n7GC_normal.jpg")</f>
        <v>https://pbs.twimg.com/profile_images/1650671126060707841/EGE8n7GC_normal.jpg</v>
      </c>
      <c r="G679" s="63"/>
      <c r="H679" s="67"/>
      <c r="I679" s="68"/>
      <c r="J679" s="68"/>
      <c r="K679" s="67" t="s">
        <v>25613</v>
      </c>
      <c r="L679" s="71"/>
      <c r="M679" s="72"/>
      <c r="N679" s="72"/>
      <c r="O679" s="73"/>
      <c r="P679" s="74"/>
      <c r="Q679" s="74"/>
      <c r="R679" s="86"/>
      <c r="S679" s="86"/>
      <c r="T679" s="86"/>
      <c r="U679" s="86"/>
      <c r="V679" s="48"/>
      <c r="W679" s="48"/>
      <c r="X679" s="48"/>
      <c r="Y679" s="48"/>
      <c r="Z679" s="47"/>
      <c r="AA679" s="69">
        <v>679</v>
      </c>
      <c r="AB679" s="69"/>
      <c r="AC679" s="70"/>
      <c r="AD679" s="76" t="s">
        <v>22477</v>
      </c>
      <c r="AE679" s="81" t="s">
        <v>21492</v>
      </c>
      <c r="AF679" s="76">
        <v>17</v>
      </c>
      <c r="AG679" s="76">
        <v>7</v>
      </c>
      <c r="AH679" s="76">
        <v>40</v>
      </c>
      <c r="AI679" s="76">
        <v>0</v>
      </c>
      <c r="AJ679" s="76">
        <v>1</v>
      </c>
      <c r="AK679" s="76">
        <v>1</v>
      </c>
      <c r="AL679" s="76" t="b">
        <v>0</v>
      </c>
      <c r="AM679" s="78">
        <v>44350.405555555553</v>
      </c>
      <c r="AN679" s="76" t="s">
        <v>14040</v>
      </c>
      <c r="AO679" s="76" t="s">
        <v>23930</v>
      </c>
      <c r="AP679" s="76"/>
      <c r="AQ679" s="76"/>
      <c r="AR679" s="76"/>
      <c r="AS679" s="76"/>
      <c r="AT679" s="76"/>
      <c r="AU679" s="76"/>
      <c r="AV679" s="76"/>
      <c r="AW679" s="76"/>
      <c r="AX679" s="76" t="b">
        <v>0</v>
      </c>
      <c r="AY679" s="76"/>
      <c r="AZ679" s="76"/>
      <c r="BA679" s="76" t="b">
        <v>0</v>
      </c>
      <c r="BB679" s="76" t="b">
        <v>1</v>
      </c>
      <c r="BC679" s="76" t="b">
        <v>1</v>
      </c>
      <c r="BD679" s="76" t="b">
        <v>0</v>
      </c>
      <c r="BE679" s="76" t="b">
        <v>0</v>
      </c>
      <c r="BF679" s="76" t="b">
        <v>0</v>
      </c>
      <c r="BG679" s="76" t="b">
        <v>0</v>
      </c>
      <c r="BH679" s="83" t="str">
        <f>HYPERLINK("https://pbs.twimg.com/profile_banners/1400387469628030976/1630880688")</f>
        <v>https://pbs.twimg.com/profile_banners/1400387469628030976/1630880688</v>
      </c>
      <c r="BI679" s="76"/>
      <c r="BJ679" s="76" t="s">
        <v>24935</v>
      </c>
      <c r="BK679" s="76" t="b">
        <v>0</v>
      </c>
      <c r="BL679" s="76"/>
      <c r="BM679" s="76" t="s">
        <v>66</v>
      </c>
      <c r="BN679" s="76" t="s">
        <v>24937</v>
      </c>
      <c r="BO679" s="83" t="str">
        <f>HYPERLINK("https://twitter.com/_knizy")</f>
        <v>https://twitter.com/_knizy</v>
      </c>
      <c r="BP679" s="2"/>
    </row>
    <row r="680" spans="1:68" x14ac:dyDescent="0.25">
      <c r="A680" s="62" t="s">
        <v>870</v>
      </c>
      <c r="B680" s="63"/>
      <c r="C680" s="63"/>
      <c r="D680" s="64"/>
      <c r="E680" s="66"/>
      <c r="F680" s="102" t="str">
        <f>HYPERLINK("https://pbs.twimg.com/profile_images/1367282899775606786/KUjoSnZG_normal.jpg")</f>
        <v>https://pbs.twimg.com/profile_images/1367282899775606786/KUjoSnZG_normal.jpg</v>
      </c>
      <c r="G680" s="63"/>
      <c r="H680" s="67"/>
      <c r="I680" s="68"/>
      <c r="J680" s="68"/>
      <c r="K680" s="67" t="s">
        <v>25614</v>
      </c>
      <c r="L680" s="71"/>
      <c r="M680" s="72"/>
      <c r="N680" s="72"/>
      <c r="O680" s="73"/>
      <c r="P680" s="74"/>
      <c r="Q680" s="74"/>
      <c r="R680" s="86"/>
      <c r="S680" s="86"/>
      <c r="T680" s="86"/>
      <c r="U680" s="86"/>
      <c r="V680" s="48"/>
      <c r="W680" s="48"/>
      <c r="X680" s="48"/>
      <c r="Y680" s="48"/>
      <c r="Z680" s="47"/>
      <c r="AA680" s="69">
        <v>680</v>
      </c>
      <c r="AB680" s="69"/>
      <c r="AC680" s="70"/>
      <c r="AD680" s="76" t="s">
        <v>22478</v>
      </c>
      <c r="AE680" s="81" t="s">
        <v>21493</v>
      </c>
      <c r="AF680" s="76">
        <v>469</v>
      </c>
      <c r="AG680" s="76">
        <v>837</v>
      </c>
      <c r="AH680" s="76">
        <v>849</v>
      </c>
      <c r="AI680" s="76">
        <v>1</v>
      </c>
      <c r="AJ680" s="76">
        <v>237</v>
      </c>
      <c r="AK680" s="76">
        <v>655</v>
      </c>
      <c r="AL680" s="76" t="b">
        <v>0</v>
      </c>
      <c r="AM680" s="78">
        <v>44087.967326388891</v>
      </c>
      <c r="AN680" s="76"/>
      <c r="AO680" s="76" t="s">
        <v>23931</v>
      </c>
      <c r="AP680" s="76"/>
      <c r="AQ680" s="76"/>
      <c r="AR680" s="76"/>
      <c r="AS680" s="76"/>
      <c r="AT680" s="76"/>
      <c r="AU680" s="76"/>
      <c r="AV680" s="76"/>
      <c r="AW680" s="76"/>
      <c r="AX680" s="76" t="b">
        <v>0</v>
      </c>
      <c r="AY680" s="76"/>
      <c r="AZ680" s="76"/>
      <c r="BA680" s="76" t="b">
        <v>0</v>
      </c>
      <c r="BB680" s="76" t="b">
        <v>1</v>
      </c>
      <c r="BC680" s="76" t="b">
        <v>1</v>
      </c>
      <c r="BD680" s="76" t="b">
        <v>0</v>
      </c>
      <c r="BE680" s="76" t="b">
        <v>0</v>
      </c>
      <c r="BF680" s="76" t="b">
        <v>0</v>
      </c>
      <c r="BG680" s="76" t="b">
        <v>0</v>
      </c>
      <c r="BH680" s="83" t="str">
        <f>HYPERLINK("https://pbs.twimg.com/profile_banners/1305283299565359104/1614820621")</f>
        <v>https://pbs.twimg.com/profile_banners/1305283299565359104/1614820621</v>
      </c>
      <c r="BI680" s="76"/>
      <c r="BJ680" s="76" t="s">
        <v>24935</v>
      </c>
      <c r="BK680" s="76" t="b">
        <v>0</v>
      </c>
      <c r="BL680" s="76"/>
      <c r="BM680" s="76" t="s">
        <v>66</v>
      </c>
      <c r="BN680" s="76" t="s">
        <v>24937</v>
      </c>
      <c r="BO680" s="83" t="str">
        <f>HYPERLINK("https://twitter.com/anju25pal")</f>
        <v>https://twitter.com/anju25pal</v>
      </c>
      <c r="BP680" s="2"/>
    </row>
    <row r="681" spans="1:68" x14ac:dyDescent="0.25">
      <c r="A681" s="62" t="s">
        <v>871</v>
      </c>
      <c r="B681" s="63"/>
      <c r="C681" s="63"/>
      <c r="D681" s="64"/>
      <c r="E681" s="66"/>
      <c r="F681" s="102" t="str">
        <f>HYPERLINK("https://pbs.twimg.com/profile_images/1357757422216036353/gjRO58JR_normal.jpg")</f>
        <v>https://pbs.twimg.com/profile_images/1357757422216036353/gjRO58JR_normal.jpg</v>
      </c>
      <c r="G681" s="63"/>
      <c r="H681" s="67"/>
      <c r="I681" s="68"/>
      <c r="J681" s="68"/>
      <c r="K681" s="67" t="s">
        <v>25615</v>
      </c>
      <c r="L681" s="71"/>
      <c r="M681" s="72"/>
      <c r="N681" s="72"/>
      <c r="O681" s="73"/>
      <c r="P681" s="74"/>
      <c r="Q681" s="74"/>
      <c r="R681" s="86"/>
      <c r="S681" s="86"/>
      <c r="T681" s="86"/>
      <c r="U681" s="86"/>
      <c r="V681" s="48"/>
      <c r="W681" s="48"/>
      <c r="X681" s="48"/>
      <c r="Y681" s="48"/>
      <c r="Z681" s="47"/>
      <c r="AA681" s="69">
        <v>681</v>
      </c>
      <c r="AB681" s="69"/>
      <c r="AC681" s="70"/>
      <c r="AD681" s="76" t="s">
        <v>22479</v>
      </c>
      <c r="AE681" s="81" t="s">
        <v>21494</v>
      </c>
      <c r="AF681" s="76">
        <v>112</v>
      </c>
      <c r="AG681" s="76">
        <v>119</v>
      </c>
      <c r="AH681" s="76">
        <v>300</v>
      </c>
      <c r="AI681" s="76">
        <v>0</v>
      </c>
      <c r="AJ681" s="76">
        <v>7114</v>
      </c>
      <c r="AK681" s="76">
        <v>278</v>
      </c>
      <c r="AL681" s="76" t="b">
        <v>0</v>
      </c>
      <c r="AM681" s="78">
        <v>44232.767951388887</v>
      </c>
      <c r="AN681" s="76"/>
      <c r="AO681" s="76" t="s">
        <v>23932</v>
      </c>
      <c r="AP681" s="83" t="str">
        <f>HYPERLINK("https://t.co/GcaxJ0FrZE")</f>
        <v>https://t.co/GcaxJ0FrZE</v>
      </c>
      <c r="AQ681" s="83" t="str">
        <f>HYPERLINK("https://www.youtube.com/channel/UCWjtKQ-ud0ebmLoan3FKGiQ")</f>
        <v>https://www.youtube.com/channel/UCWjtKQ-ud0ebmLoan3FKGiQ</v>
      </c>
      <c r="AR681" s="76" t="s">
        <v>24625</v>
      </c>
      <c r="AS681" s="76"/>
      <c r="AT681" s="76"/>
      <c r="AU681" s="76"/>
      <c r="AV681" s="76"/>
      <c r="AW681" s="83" t="str">
        <f>HYPERLINK("https://t.co/GcaxJ0FrZE")</f>
        <v>https://t.co/GcaxJ0FrZE</v>
      </c>
      <c r="AX681" s="76" t="b">
        <v>0</v>
      </c>
      <c r="AY681" s="76"/>
      <c r="AZ681" s="76"/>
      <c r="BA681" s="76" t="b">
        <v>0</v>
      </c>
      <c r="BB681" s="76" t="b">
        <v>1</v>
      </c>
      <c r="BC681" s="76" t="b">
        <v>1</v>
      </c>
      <c r="BD681" s="76" t="b">
        <v>0</v>
      </c>
      <c r="BE681" s="76" t="b">
        <v>1</v>
      </c>
      <c r="BF681" s="76" t="b">
        <v>0</v>
      </c>
      <c r="BG681" s="76" t="b">
        <v>0</v>
      </c>
      <c r="BH681" s="83" t="str">
        <f>HYPERLINK("https://pbs.twimg.com/profile_banners/1357757238778200070/1623578664")</f>
        <v>https://pbs.twimg.com/profile_banners/1357757238778200070/1623578664</v>
      </c>
      <c r="BI681" s="76"/>
      <c r="BJ681" s="76" t="s">
        <v>24935</v>
      </c>
      <c r="BK681" s="76" t="b">
        <v>0</v>
      </c>
      <c r="BL681" s="76"/>
      <c r="BM681" s="76" t="s">
        <v>66</v>
      </c>
      <c r="BN681" s="76" t="s">
        <v>24937</v>
      </c>
      <c r="BO681" s="83" t="str">
        <f>HYPERLINK("https://twitter.com/ocuolimite3")</f>
        <v>https://twitter.com/ocuolimite3</v>
      </c>
      <c r="BP681" s="2"/>
    </row>
    <row r="682" spans="1:68" x14ac:dyDescent="0.25">
      <c r="A682" s="62" t="s">
        <v>872</v>
      </c>
      <c r="B682" s="63"/>
      <c r="C682" s="63"/>
      <c r="D682" s="64"/>
      <c r="E682" s="66"/>
      <c r="F682" s="102" t="str">
        <f>HYPERLINK("https://pbs.twimg.com/profile_images/1615748127633416194/polI1bQz_normal.jpg")</f>
        <v>https://pbs.twimg.com/profile_images/1615748127633416194/polI1bQz_normal.jpg</v>
      </c>
      <c r="G682" s="63"/>
      <c r="H682" s="67"/>
      <c r="I682" s="68"/>
      <c r="J682" s="68"/>
      <c r="K682" s="67" t="s">
        <v>25616</v>
      </c>
      <c r="L682" s="71"/>
      <c r="M682" s="72"/>
      <c r="N682" s="72"/>
      <c r="O682" s="73"/>
      <c r="P682" s="74"/>
      <c r="Q682" s="74"/>
      <c r="R682" s="86"/>
      <c r="S682" s="86"/>
      <c r="T682" s="86"/>
      <c r="U682" s="86"/>
      <c r="V682" s="48"/>
      <c r="W682" s="48"/>
      <c r="X682" s="48"/>
      <c r="Y682" s="48"/>
      <c r="Z682" s="47"/>
      <c r="AA682" s="69">
        <v>682</v>
      </c>
      <c r="AB682" s="69"/>
      <c r="AC682" s="70"/>
      <c r="AD682" s="76" t="s">
        <v>22480</v>
      </c>
      <c r="AE682" s="81" t="s">
        <v>22993</v>
      </c>
      <c r="AF682" s="76">
        <v>261</v>
      </c>
      <c r="AG682" s="76">
        <v>303</v>
      </c>
      <c r="AH682" s="76">
        <v>17975</v>
      </c>
      <c r="AI682" s="76">
        <v>0</v>
      </c>
      <c r="AJ682" s="76">
        <v>4080</v>
      </c>
      <c r="AK682" s="76">
        <v>6309</v>
      </c>
      <c r="AL682" s="76" t="b">
        <v>0</v>
      </c>
      <c r="AM682" s="78">
        <v>41241.644421296296</v>
      </c>
      <c r="AN682" s="76"/>
      <c r="AO682" s="76" t="s">
        <v>23933</v>
      </c>
      <c r="AP682" s="76"/>
      <c r="AQ682" s="76"/>
      <c r="AR682" s="76"/>
      <c r="AS682" s="76"/>
      <c r="AT682" s="76"/>
      <c r="AU682" s="76"/>
      <c r="AV682" s="76">
        <v>1.7026828639453399E+18</v>
      </c>
      <c r="AW682" s="76"/>
      <c r="AX682" s="76" t="b">
        <v>0</v>
      </c>
      <c r="AY682" s="76"/>
      <c r="AZ682" s="76"/>
      <c r="BA682" s="76" t="b">
        <v>0</v>
      </c>
      <c r="BB682" s="76" t="b">
        <v>0</v>
      </c>
      <c r="BC682" s="76" t="b">
        <v>0</v>
      </c>
      <c r="BD682" s="76" t="b">
        <v>0</v>
      </c>
      <c r="BE682" s="76" t="b">
        <v>1</v>
      </c>
      <c r="BF682" s="76" t="b">
        <v>0</v>
      </c>
      <c r="BG682" s="76" t="b">
        <v>0</v>
      </c>
      <c r="BH682" s="83" t="str">
        <f>HYPERLINK("https://pbs.twimg.com/profile_banners/976352780/1673299312")</f>
        <v>https://pbs.twimg.com/profile_banners/976352780/1673299312</v>
      </c>
      <c r="BI682" s="76"/>
      <c r="BJ682" s="76" t="s">
        <v>24935</v>
      </c>
      <c r="BK682" s="76" t="b">
        <v>0</v>
      </c>
      <c r="BL682" s="76"/>
      <c r="BM682" s="76" t="s">
        <v>66</v>
      </c>
      <c r="BN682" s="76" t="s">
        <v>24937</v>
      </c>
      <c r="BO682" s="83" t="str">
        <f>HYPERLINK("https://twitter.com/elisnunes1")</f>
        <v>https://twitter.com/elisnunes1</v>
      </c>
      <c r="BP682" s="2"/>
    </row>
    <row r="683" spans="1:68" x14ac:dyDescent="0.25">
      <c r="A683" s="62" t="s">
        <v>873</v>
      </c>
      <c r="B683" s="63"/>
      <c r="C683" s="63"/>
      <c r="D683" s="64"/>
      <c r="E683" s="66"/>
      <c r="F683" s="102" t="str">
        <f>HYPERLINK("https://pbs.twimg.com/profile_images/1639218538371072001/ywZtuN9N_normal.jpg")</f>
        <v>https://pbs.twimg.com/profile_images/1639218538371072001/ywZtuN9N_normal.jpg</v>
      </c>
      <c r="G683" s="63"/>
      <c r="H683" s="67"/>
      <c r="I683" s="68"/>
      <c r="J683" s="68"/>
      <c r="K683" s="67" t="s">
        <v>25617</v>
      </c>
      <c r="L683" s="71"/>
      <c r="M683" s="72"/>
      <c r="N683" s="72"/>
      <c r="O683" s="73"/>
      <c r="P683" s="74"/>
      <c r="Q683" s="74"/>
      <c r="R683" s="86"/>
      <c r="S683" s="86"/>
      <c r="T683" s="86"/>
      <c r="U683" s="86"/>
      <c r="V683" s="48"/>
      <c r="W683" s="48"/>
      <c r="X683" s="48"/>
      <c r="Y683" s="48"/>
      <c r="Z683" s="47"/>
      <c r="AA683" s="69">
        <v>683</v>
      </c>
      <c r="AB683" s="69"/>
      <c r="AC683" s="70"/>
      <c r="AD683" s="76" t="s">
        <v>22481</v>
      </c>
      <c r="AE683" s="81" t="s">
        <v>21495</v>
      </c>
      <c r="AF683" s="76">
        <v>0</v>
      </c>
      <c r="AG683" s="76">
        <v>0</v>
      </c>
      <c r="AH683" s="76">
        <v>11</v>
      </c>
      <c r="AI683" s="76">
        <v>0</v>
      </c>
      <c r="AJ683" s="76">
        <v>0</v>
      </c>
      <c r="AK683" s="76">
        <v>3</v>
      </c>
      <c r="AL683" s="76" t="b">
        <v>0</v>
      </c>
      <c r="AM683" s="78">
        <v>44996.626238425924</v>
      </c>
      <c r="AN683" s="76" t="s">
        <v>23182</v>
      </c>
      <c r="AO683" s="76"/>
      <c r="AP683" s="76"/>
      <c r="AQ683" s="76"/>
      <c r="AR683" s="76"/>
      <c r="AS683" s="76"/>
      <c r="AT683" s="76"/>
      <c r="AU683" s="76"/>
      <c r="AV683" s="76">
        <v>1.6450305212845701E+18</v>
      </c>
      <c r="AW683" s="76"/>
      <c r="AX683" s="76" t="b">
        <v>0</v>
      </c>
      <c r="AY683" s="76"/>
      <c r="AZ683" s="76"/>
      <c r="BA683" s="76" t="b">
        <v>0</v>
      </c>
      <c r="BB683" s="76" t="b">
        <v>1</v>
      </c>
      <c r="BC683" s="76" t="b">
        <v>1</v>
      </c>
      <c r="BD683" s="76" t="b">
        <v>0</v>
      </c>
      <c r="BE683" s="76" t="b">
        <v>0</v>
      </c>
      <c r="BF683" s="76" t="b">
        <v>0</v>
      </c>
      <c r="BG683" s="76" t="b">
        <v>0</v>
      </c>
      <c r="BH683" s="76"/>
      <c r="BI683" s="76"/>
      <c r="BJ683" s="76" t="s">
        <v>24935</v>
      </c>
      <c r="BK683" s="76" t="b">
        <v>0</v>
      </c>
      <c r="BL683" s="76"/>
      <c r="BM683" s="76" t="s">
        <v>66</v>
      </c>
      <c r="BN683" s="76" t="s">
        <v>24937</v>
      </c>
      <c r="BO683" s="83" t="str">
        <f>HYPERLINK("https://twitter.com/danielgarciabs_")</f>
        <v>https://twitter.com/danielgarciabs_</v>
      </c>
      <c r="BP683" s="2"/>
    </row>
    <row r="684" spans="1:68" x14ac:dyDescent="0.25">
      <c r="A684" s="62" t="s">
        <v>874</v>
      </c>
      <c r="B684" s="63"/>
      <c r="C684" s="63"/>
      <c r="D684" s="64"/>
      <c r="E684" s="66"/>
      <c r="F684" s="102" t="str">
        <f>HYPERLINK("https://pbs.twimg.com/profile_images/1597755616373735425/8CWxJeDu_normal.jpg")</f>
        <v>https://pbs.twimg.com/profile_images/1597755616373735425/8CWxJeDu_normal.jpg</v>
      </c>
      <c r="G684" s="63"/>
      <c r="H684" s="67"/>
      <c r="I684" s="68"/>
      <c r="J684" s="68"/>
      <c r="K684" s="67" t="s">
        <v>25618</v>
      </c>
      <c r="L684" s="71"/>
      <c r="M684" s="72"/>
      <c r="N684" s="72"/>
      <c r="O684" s="73"/>
      <c r="P684" s="74"/>
      <c r="Q684" s="74"/>
      <c r="R684" s="86"/>
      <c r="S684" s="86"/>
      <c r="T684" s="86"/>
      <c r="U684" s="86"/>
      <c r="V684" s="48"/>
      <c r="W684" s="48"/>
      <c r="X684" s="48"/>
      <c r="Y684" s="48"/>
      <c r="Z684" s="47"/>
      <c r="AA684" s="69">
        <v>684</v>
      </c>
      <c r="AB684" s="69"/>
      <c r="AC684" s="70"/>
      <c r="AD684" s="76" t="s">
        <v>22482</v>
      </c>
      <c r="AE684" s="81" t="s">
        <v>21496</v>
      </c>
      <c r="AF684" s="76">
        <v>140</v>
      </c>
      <c r="AG684" s="76">
        <v>1360</v>
      </c>
      <c r="AH684" s="76">
        <v>10016</v>
      </c>
      <c r="AI684" s="76">
        <v>0</v>
      </c>
      <c r="AJ684" s="76">
        <v>41490</v>
      </c>
      <c r="AK684" s="76">
        <v>583</v>
      </c>
      <c r="AL684" s="76" t="b">
        <v>0</v>
      </c>
      <c r="AM684" s="78">
        <v>43924.041643518518</v>
      </c>
      <c r="AN684" s="76"/>
      <c r="AO684" s="76" t="s">
        <v>23934</v>
      </c>
      <c r="AP684" s="76"/>
      <c r="AQ684" s="76"/>
      <c r="AR684" s="76"/>
      <c r="AS684" s="76"/>
      <c r="AT684" s="76"/>
      <c r="AU684" s="76"/>
      <c r="AV684" s="76">
        <v>1.4773764193616499E+18</v>
      </c>
      <c r="AW684" s="76"/>
      <c r="AX684" s="76" t="b">
        <v>0</v>
      </c>
      <c r="AY684" s="76"/>
      <c r="AZ684" s="76"/>
      <c r="BA684" s="76" t="b">
        <v>1</v>
      </c>
      <c r="BB684" s="76" t="b">
        <v>0</v>
      </c>
      <c r="BC684" s="76" t="b">
        <v>1</v>
      </c>
      <c r="BD684" s="76" t="b">
        <v>0</v>
      </c>
      <c r="BE684" s="76" t="b">
        <v>1</v>
      </c>
      <c r="BF684" s="76" t="b">
        <v>0</v>
      </c>
      <c r="BG684" s="76" t="b">
        <v>0</v>
      </c>
      <c r="BH684" s="83" t="str">
        <f>HYPERLINK("https://pbs.twimg.com/profile_banners/1245878615188922368/1597962990")</f>
        <v>https://pbs.twimg.com/profile_banners/1245878615188922368/1597962990</v>
      </c>
      <c r="BI684" s="76"/>
      <c r="BJ684" s="76" t="s">
        <v>24935</v>
      </c>
      <c r="BK684" s="76" t="b">
        <v>0</v>
      </c>
      <c r="BL684" s="76"/>
      <c r="BM684" s="76" t="s">
        <v>66</v>
      </c>
      <c r="BN684" s="76" t="s">
        <v>24937</v>
      </c>
      <c r="BO684" s="83" t="str">
        <f>HYPERLINK("https://twitter.com/diagnosecattus")</f>
        <v>https://twitter.com/diagnosecattus</v>
      </c>
      <c r="BP684" s="2"/>
    </row>
    <row r="685" spans="1:68" x14ac:dyDescent="0.25">
      <c r="A685" s="62" t="s">
        <v>1267</v>
      </c>
      <c r="B685" s="63"/>
      <c r="C685" s="63"/>
      <c r="D685" s="64"/>
      <c r="E685" s="66"/>
      <c r="F685" s="102" t="str">
        <f>HYPERLINK("https://pbs.twimg.com/profile_images/1609662475481276421/C5wjfzyT_normal.jpg")</f>
        <v>https://pbs.twimg.com/profile_images/1609662475481276421/C5wjfzyT_normal.jpg</v>
      </c>
      <c r="G685" s="63"/>
      <c r="H685" s="67"/>
      <c r="I685" s="68"/>
      <c r="J685" s="68"/>
      <c r="K685" s="67" t="s">
        <v>25619</v>
      </c>
      <c r="L685" s="71"/>
      <c r="M685" s="72"/>
      <c r="N685" s="72"/>
      <c r="O685" s="73"/>
      <c r="P685" s="74"/>
      <c r="Q685" s="74"/>
      <c r="R685" s="86"/>
      <c r="S685" s="86"/>
      <c r="T685" s="86"/>
      <c r="U685" s="86"/>
      <c r="V685" s="48"/>
      <c r="W685" s="48"/>
      <c r="X685" s="48"/>
      <c r="Y685" s="48"/>
      <c r="Z685" s="47"/>
      <c r="AA685" s="69">
        <v>685</v>
      </c>
      <c r="AB685" s="69"/>
      <c r="AC685" s="70"/>
      <c r="AD685" s="76" t="s">
        <v>22483</v>
      </c>
      <c r="AE685" s="81" t="s">
        <v>20954</v>
      </c>
      <c r="AF685" s="76">
        <v>130</v>
      </c>
      <c r="AG685" s="76">
        <v>428</v>
      </c>
      <c r="AH685" s="76">
        <v>9886</v>
      </c>
      <c r="AI685" s="76">
        <v>3</v>
      </c>
      <c r="AJ685" s="76">
        <v>12159</v>
      </c>
      <c r="AK685" s="76">
        <v>226</v>
      </c>
      <c r="AL685" s="76" t="b">
        <v>0</v>
      </c>
      <c r="AM685" s="78">
        <v>41804.887604166666</v>
      </c>
      <c r="AN685" s="76" t="s">
        <v>23251</v>
      </c>
      <c r="AO685" s="76" t="s">
        <v>23935</v>
      </c>
      <c r="AP685" s="76"/>
      <c r="AQ685" s="76"/>
      <c r="AR685" s="76"/>
      <c r="AS685" s="76"/>
      <c r="AT685" s="76"/>
      <c r="AU685" s="76"/>
      <c r="AV685" s="76"/>
      <c r="AW685" s="76"/>
      <c r="AX685" s="76" t="b">
        <v>0</v>
      </c>
      <c r="AY685" s="76"/>
      <c r="AZ685" s="76"/>
      <c r="BA685" s="76" t="b">
        <v>1</v>
      </c>
      <c r="BB685" s="76" t="b">
        <v>1</v>
      </c>
      <c r="BC685" s="76" t="b">
        <v>1</v>
      </c>
      <c r="BD685" s="76" t="b">
        <v>0</v>
      </c>
      <c r="BE685" s="76" t="b">
        <v>1</v>
      </c>
      <c r="BF685" s="76" t="b">
        <v>0</v>
      </c>
      <c r="BG685" s="76" t="b">
        <v>0</v>
      </c>
      <c r="BH685" s="83" t="str">
        <f>HYPERLINK("https://pbs.twimg.com/profile_banners/2609743114/1615558236")</f>
        <v>https://pbs.twimg.com/profile_banners/2609743114/1615558236</v>
      </c>
      <c r="BI685" s="76"/>
      <c r="BJ685" s="76" t="s">
        <v>24935</v>
      </c>
      <c r="BK685" s="76" t="b">
        <v>0</v>
      </c>
      <c r="BL685" s="76"/>
      <c r="BM685" s="76" t="s">
        <v>65</v>
      </c>
      <c r="BN685" s="76" t="s">
        <v>24937</v>
      </c>
      <c r="BO685" s="83" t="str">
        <f>HYPERLINK("https://twitter.com/endozinho")</f>
        <v>https://twitter.com/endozinho</v>
      </c>
      <c r="BP685" s="2"/>
    </row>
    <row r="686" spans="1:68" x14ac:dyDescent="0.25">
      <c r="A686" s="62" t="s">
        <v>875</v>
      </c>
      <c r="B686" s="63"/>
      <c r="C686" s="63"/>
      <c r="D686" s="64"/>
      <c r="E686" s="66"/>
      <c r="F686" s="102" t="str">
        <f>HYPERLINK("https://pbs.twimg.com/profile_images/1083726605036539904/bN0XC8I6_normal.jpg")</f>
        <v>https://pbs.twimg.com/profile_images/1083726605036539904/bN0XC8I6_normal.jpg</v>
      </c>
      <c r="G686" s="63"/>
      <c r="H686" s="67"/>
      <c r="I686" s="68"/>
      <c r="J686" s="68"/>
      <c r="K686" s="67" t="s">
        <v>25620</v>
      </c>
      <c r="L686" s="71"/>
      <c r="M686" s="72"/>
      <c r="N686" s="72"/>
      <c r="O686" s="73"/>
      <c r="P686" s="74"/>
      <c r="Q686" s="74"/>
      <c r="R686" s="86"/>
      <c r="S686" s="86"/>
      <c r="T686" s="86"/>
      <c r="U686" s="86"/>
      <c r="V686" s="48"/>
      <c r="W686" s="48"/>
      <c r="X686" s="48"/>
      <c r="Y686" s="48"/>
      <c r="Z686" s="47"/>
      <c r="AA686" s="69">
        <v>686</v>
      </c>
      <c r="AB686" s="69"/>
      <c r="AC686" s="70"/>
      <c r="AD686" s="76" t="s">
        <v>22484</v>
      </c>
      <c r="AE686" s="81" t="s">
        <v>21497</v>
      </c>
      <c r="AF686" s="76">
        <v>9</v>
      </c>
      <c r="AG686" s="76">
        <v>19</v>
      </c>
      <c r="AH686" s="76">
        <v>568</v>
      </c>
      <c r="AI686" s="76">
        <v>0</v>
      </c>
      <c r="AJ686" s="76">
        <v>2388</v>
      </c>
      <c r="AK686" s="76">
        <v>18</v>
      </c>
      <c r="AL686" s="76" t="b">
        <v>0</v>
      </c>
      <c r="AM686" s="78">
        <v>43476.068761574075</v>
      </c>
      <c r="AN686" s="76"/>
      <c r="AO686" s="76" t="s">
        <v>23936</v>
      </c>
      <c r="AP686" s="76"/>
      <c r="AQ686" s="76"/>
      <c r="AR686" s="76"/>
      <c r="AS686" s="76"/>
      <c r="AT686" s="76"/>
      <c r="AU686" s="76"/>
      <c r="AV686" s="76"/>
      <c r="AW686" s="76"/>
      <c r="AX686" s="76" t="b">
        <v>0</v>
      </c>
      <c r="AY686" s="76"/>
      <c r="AZ686" s="76"/>
      <c r="BA686" s="76" t="b">
        <v>0</v>
      </c>
      <c r="BB686" s="76" t="b">
        <v>1</v>
      </c>
      <c r="BC686" s="76" t="b">
        <v>1</v>
      </c>
      <c r="BD686" s="76" t="b">
        <v>0</v>
      </c>
      <c r="BE686" s="76" t="b">
        <v>0</v>
      </c>
      <c r="BF686" s="76" t="b">
        <v>0</v>
      </c>
      <c r="BG686" s="76" t="b">
        <v>0</v>
      </c>
      <c r="BH686" s="83" t="str">
        <f>HYPERLINK("https://pbs.twimg.com/profile_banners/1083538738381275136/1547171663")</f>
        <v>https://pbs.twimg.com/profile_banners/1083538738381275136/1547171663</v>
      </c>
      <c r="BI686" s="76"/>
      <c r="BJ686" s="76" t="s">
        <v>24935</v>
      </c>
      <c r="BK686" s="76" t="b">
        <v>0</v>
      </c>
      <c r="BL686" s="76"/>
      <c r="BM686" s="76" t="s">
        <v>66</v>
      </c>
      <c r="BN686" s="76" t="s">
        <v>24937</v>
      </c>
      <c r="BO686" s="83" t="str">
        <f>HYPERLINK("https://twitter.com/brubsyet")</f>
        <v>https://twitter.com/brubsyet</v>
      </c>
      <c r="BP686" s="2"/>
    </row>
    <row r="687" spans="1:68" x14ac:dyDescent="0.25">
      <c r="A687" s="62" t="s">
        <v>876</v>
      </c>
      <c r="B687" s="63"/>
      <c r="C687" s="63"/>
      <c r="D687" s="64"/>
      <c r="E687" s="66"/>
      <c r="F687" s="102" t="str">
        <f>HYPERLINK("https://pbs.twimg.com/profile_images/1696097525822889984/JC015qu4_normal.jpg")</f>
        <v>https://pbs.twimg.com/profile_images/1696097525822889984/JC015qu4_normal.jpg</v>
      </c>
      <c r="G687" s="63"/>
      <c r="H687" s="67"/>
      <c r="I687" s="68"/>
      <c r="J687" s="68"/>
      <c r="K687" s="67" t="s">
        <v>25621</v>
      </c>
      <c r="L687" s="71"/>
      <c r="M687" s="72"/>
      <c r="N687" s="72"/>
      <c r="O687" s="73"/>
      <c r="P687" s="74"/>
      <c r="Q687" s="74"/>
      <c r="R687" s="86"/>
      <c r="S687" s="86"/>
      <c r="T687" s="86"/>
      <c r="U687" s="86"/>
      <c r="V687" s="48"/>
      <c r="W687" s="48"/>
      <c r="X687" s="48"/>
      <c r="Y687" s="48"/>
      <c r="Z687" s="47"/>
      <c r="AA687" s="69">
        <v>687</v>
      </c>
      <c r="AB687" s="69"/>
      <c r="AC687" s="70"/>
      <c r="AD687" s="76" t="s">
        <v>22485</v>
      </c>
      <c r="AE687" s="81" t="s">
        <v>22994</v>
      </c>
      <c r="AF687" s="76">
        <v>20</v>
      </c>
      <c r="AG687" s="76">
        <v>177</v>
      </c>
      <c r="AH687" s="76">
        <v>29</v>
      </c>
      <c r="AI687" s="76">
        <v>0</v>
      </c>
      <c r="AJ687" s="76">
        <v>140</v>
      </c>
      <c r="AK687" s="76">
        <v>6</v>
      </c>
      <c r="AL687" s="76" t="b">
        <v>0</v>
      </c>
      <c r="AM687" s="78">
        <v>42071.534710648149</v>
      </c>
      <c r="AN687" s="76" t="s">
        <v>14041</v>
      </c>
      <c r="AO687" s="76" t="s">
        <v>23937</v>
      </c>
      <c r="AP687" s="76"/>
      <c r="AQ687" s="76"/>
      <c r="AR687" s="76"/>
      <c r="AS687" s="76"/>
      <c r="AT687" s="76"/>
      <c r="AU687" s="76"/>
      <c r="AV687" s="76"/>
      <c r="AW687" s="76"/>
      <c r="AX687" s="76" t="b">
        <v>0</v>
      </c>
      <c r="AY687" s="76"/>
      <c r="AZ687" s="76"/>
      <c r="BA687" s="76" t="b">
        <v>0</v>
      </c>
      <c r="BB687" s="76" t="b">
        <v>1</v>
      </c>
      <c r="BC687" s="76" t="b">
        <v>1</v>
      </c>
      <c r="BD687" s="76" t="b">
        <v>0</v>
      </c>
      <c r="BE687" s="76" t="b">
        <v>0</v>
      </c>
      <c r="BF687" s="76" t="b">
        <v>0</v>
      </c>
      <c r="BG687" s="76" t="b">
        <v>0</v>
      </c>
      <c r="BH687" s="83" t="str">
        <f>HYPERLINK("https://pbs.twimg.com/profile_banners/3079223409/1679346553")</f>
        <v>https://pbs.twimg.com/profile_banners/3079223409/1679346553</v>
      </c>
      <c r="BI687" s="76"/>
      <c r="BJ687" s="76" t="s">
        <v>24935</v>
      </c>
      <c r="BK687" s="76" t="b">
        <v>0</v>
      </c>
      <c r="BL687" s="76"/>
      <c r="BM687" s="76" t="s">
        <v>66</v>
      </c>
      <c r="BN687" s="76" t="s">
        <v>24937</v>
      </c>
      <c r="BO687" s="83" t="str">
        <f>HYPERLINK("https://twitter.com/rayfariaa")</f>
        <v>https://twitter.com/rayfariaa</v>
      </c>
      <c r="BP687" s="2"/>
    </row>
    <row r="688" spans="1:68" x14ac:dyDescent="0.25">
      <c r="A688" s="62" t="s">
        <v>877</v>
      </c>
      <c r="B688" s="63"/>
      <c r="C688" s="63"/>
      <c r="D688" s="64"/>
      <c r="E688" s="66"/>
      <c r="F688" s="102" t="str">
        <f>HYPERLINK("https://pbs.twimg.com/profile_images/1704529825392664576/bp0WJmIE_normal.jpg")</f>
        <v>https://pbs.twimg.com/profile_images/1704529825392664576/bp0WJmIE_normal.jpg</v>
      </c>
      <c r="G688" s="63"/>
      <c r="H688" s="67"/>
      <c r="I688" s="68"/>
      <c r="J688" s="68"/>
      <c r="K688" s="67" t="s">
        <v>25622</v>
      </c>
      <c r="L688" s="71"/>
      <c r="M688" s="72"/>
      <c r="N688" s="72"/>
      <c r="O688" s="73"/>
      <c r="P688" s="74"/>
      <c r="Q688" s="74"/>
      <c r="R688" s="86"/>
      <c r="S688" s="86"/>
      <c r="T688" s="86"/>
      <c r="U688" s="86"/>
      <c r="V688" s="48"/>
      <c r="W688" s="48"/>
      <c r="X688" s="48"/>
      <c r="Y688" s="48"/>
      <c r="Z688" s="47"/>
      <c r="AA688" s="69">
        <v>688</v>
      </c>
      <c r="AB688" s="69"/>
      <c r="AC688" s="70"/>
      <c r="AD688" s="76" t="s">
        <v>22486</v>
      </c>
      <c r="AE688" s="81" t="s">
        <v>22995</v>
      </c>
      <c r="AF688" s="76">
        <v>3005</v>
      </c>
      <c r="AG688" s="76">
        <v>197</v>
      </c>
      <c r="AH688" s="76">
        <v>2444</v>
      </c>
      <c r="AI688" s="76">
        <v>5</v>
      </c>
      <c r="AJ688" s="76">
        <v>3763</v>
      </c>
      <c r="AK688" s="76">
        <v>611</v>
      </c>
      <c r="AL688" s="76" t="b">
        <v>0</v>
      </c>
      <c r="AM688" s="78">
        <v>40264.717581018522</v>
      </c>
      <c r="AN688" s="76"/>
      <c r="AO688" s="76" t="s">
        <v>23938</v>
      </c>
      <c r="AP688" s="83" t="str">
        <f>HYPERLINK("https://t.co/rQqOb5C8h6")</f>
        <v>https://t.co/rQqOb5C8h6</v>
      </c>
      <c r="AQ688" s="83" t="str">
        <f>HYPERLINK("https://www.oincrivel.com.br/")</f>
        <v>https://www.oincrivel.com.br/</v>
      </c>
      <c r="AR688" s="76" t="s">
        <v>24366</v>
      </c>
      <c r="AS688" s="76"/>
      <c r="AT688" s="76"/>
      <c r="AU688" s="76"/>
      <c r="AV688" s="76">
        <v>1.6934515597811699E+18</v>
      </c>
      <c r="AW688" s="83" t="str">
        <f>HYPERLINK("https://t.co/rQqOb5C8h6")</f>
        <v>https://t.co/rQqOb5C8h6</v>
      </c>
      <c r="AX688" s="76" t="b">
        <v>0</v>
      </c>
      <c r="AY688" s="76"/>
      <c r="AZ688" s="76"/>
      <c r="BA688" s="76" t="b">
        <v>1</v>
      </c>
      <c r="BB688" s="76" t="b">
        <v>0</v>
      </c>
      <c r="BC688" s="76" t="b">
        <v>0</v>
      </c>
      <c r="BD688" s="76" t="b">
        <v>0</v>
      </c>
      <c r="BE688" s="76" t="b">
        <v>1</v>
      </c>
      <c r="BF688" s="76" t="b">
        <v>0</v>
      </c>
      <c r="BG688" s="76" t="b">
        <v>0</v>
      </c>
      <c r="BH688" s="83" t="str">
        <f>HYPERLINK("https://pbs.twimg.com/profile_banners/126986939/1694715852")</f>
        <v>https://pbs.twimg.com/profile_banners/126986939/1694715852</v>
      </c>
      <c r="BI688" s="76"/>
      <c r="BJ688" s="76" t="s">
        <v>24935</v>
      </c>
      <c r="BK688" s="76" t="b">
        <v>0</v>
      </c>
      <c r="BL688" s="76"/>
      <c r="BM688" s="76" t="s">
        <v>66</v>
      </c>
      <c r="BN688" s="76" t="s">
        <v>24937</v>
      </c>
      <c r="BO688" s="83" t="str">
        <f>HYPERLINK("https://twitter.com/oincrivelblog")</f>
        <v>https://twitter.com/oincrivelblog</v>
      </c>
      <c r="BP688" s="2"/>
    </row>
    <row r="689" spans="1:68" x14ac:dyDescent="0.25">
      <c r="A689" s="62" t="s">
        <v>878</v>
      </c>
      <c r="B689" s="63"/>
      <c r="C689" s="63"/>
      <c r="D689" s="64"/>
      <c r="E689" s="66"/>
      <c r="F689" s="102" t="str">
        <f>HYPERLINK("https://pbs.twimg.com/profile_images/1649398993275826184/Ux09rnAH_normal.jpg")</f>
        <v>https://pbs.twimg.com/profile_images/1649398993275826184/Ux09rnAH_normal.jpg</v>
      </c>
      <c r="G689" s="63"/>
      <c r="H689" s="67"/>
      <c r="I689" s="68"/>
      <c r="J689" s="68"/>
      <c r="K689" s="67" t="s">
        <v>25623</v>
      </c>
      <c r="L689" s="71"/>
      <c r="M689" s="72"/>
      <c r="N689" s="72"/>
      <c r="O689" s="73"/>
      <c r="P689" s="74"/>
      <c r="Q689" s="74"/>
      <c r="R689" s="86"/>
      <c r="S689" s="86"/>
      <c r="T689" s="86"/>
      <c r="U689" s="86"/>
      <c r="V689" s="48"/>
      <c r="W689" s="48"/>
      <c r="X689" s="48"/>
      <c r="Y689" s="48"/>
      <c r="Z689" s="47"/>
      <c r="AA689" s="69">
        <v>689</v>
      </c>
      <c r="AB689" s="69"/>
      <c r="AC689" s="70"/>
      <c r="AD689" s="76" t="s">
        <v>22487</v>
      </c>
      <c r="AE689" s="81" t="s">
        <v>21498</v>
      </c>
      <c r="AF689" s="76">
        <v>412</v>
      </c>
      <c r="AG689" s="76">
        <v>264</v>
      </c>
      <c r="AH689" s="76">
        <v>12528</v>
      </c>
      <c r="AI689" s="76">
        <v>0</v>
      </c>
      <c r="AJ689" s="76">
        <v>21025</v>
      </c>
      <c r="AK689" s="76">
        <v>270</v>
      </c>
      <c r="AL689" s="76" t="b">
        <v>0</v>
      </c>
      <c r="AM689" s="78">
        <v>43819.88553240741</v>
      </c>
      <c r="AN689" s="76" t="s">
        <v>23252</v>
      </c>
      <c r="AO689" s="76"/>
      <c r="AP689" s="83" t="str">
        <f>HYPERLINK("https://t.co/3q1V76tg8t")</f>
        <v>https://t.co/3q1V76tg8t</v>
      </c>
      <c r="AQ689" s="83" t="str">
        <f>HYPERLINK("https://twitter.com/BTS_twt/status/1333660900654411781?t=PZeEbcYfC_x4YhhDG3j1qg&amp;s=19")</f>
        <v>https://twitter.com/BTS_twt/status/1333660900654411781?t=PZeEbcYfC_x4YhhDG3j1qg&amp;s=19</v>
      </c>
      <c r="AR689" s="76" t="s">
        <v>24626</v>
      </c>
      <c r="AS689" s="76"/>
      <c r="AT689" s="76"/>
      <c r="AU689" s="76"/>
      <c r="AV689" s="76">
        <v>1.6945605844218099E+18</v>
      </c>
      <c r="AW689" s="83" t="str">
        <f>HYPERLINK("https://t.co/3q1V76tg8t")</f>
        <v>https://t.co/3q1V76tg8t</v>
      </c>
      <c r="AX689" s="76" t="b">
        <v>0</v>
      </c>
      <c r="AY689" s="76"/>
      <c r="AZ689" s="76"/>
      <c r="BA689" s="76" t="b">
        <v>0</v>
      </c>
      <c r="BB689" s="76" t="b">
        <v>1</v>
      </c>
      <c r="BC689" s="76" t="b">
        <v>1</v>
      </c>
      <c r="BD689" s="76" t="b">
        <v>0</v>
      </c>
      <c r="BE689" s="76" t="b">
        <v>1</v>
      </c>
      <c r="BF689" s="76" t="b">
        <v>0</v>
      </c>
      <c r="BG689" s="76" t="b">
        <v>0</v>
      </c>
      <c r="BH689" s="83" t="str">
        <f>HYPERLINK("https://pbs.twimg.com/profile_banners/1208133638254157824/1682082339")</f>
        <v>https://pbs.twimg.com/profile_banners/1208133638254157824/1682082339</v>
      </c>
      <c r="BI689" s="76"/>
      <c r="BJ689" s="76" t="s">
        <v>24935</v>
      </c>
      <c r="BK689" s="76" t="b">
        <v>0</v>
      </c>
      <c r="BL689" s="76"/>
      <c r="BM689" s="76" t="s">
        <v>66</v>
      </c>
      <c r="BN689" s="76" t="s">
        <v>24937</v>
      </c>
      <c r="BO689" s="83" t="str">
        <f>HYPERLINK("https://twitter.com/n4kim_tae")</f>
        <v>https://twitter.com/n4kim_tae</v>
      </c>
      <c r="BP689" s="2"/>
    </row>
    <row r="690" spans="1:68" x14ac:dyDescent="0.25">
      <c r="A690" s="62" t="s">
        <v>879</v>
      </c>
      <c r="B690" s="63"/>
      <c r="C690" s="63"/>
      <c r="D690" s="64"/>
      <c r="E690" s="66"/>
      <c r="F690" s="102" t="str">
        <f>HYPERLINK("https://pbs.twimg.com/profile_images/1640539883855921153/aJb1FpTr_normal.jpg")</f>
        <v>https://pbs.twimg.com/profile_images/1640539883855921153/aJb1FpTr_normal.jpg</v>
      </c>
      <c r="G690" s="63"/>
      <c r="H690" s="67"/>
      <c r="I690" s="68"/>
      <c r="J690" s="68"/>
      <c r="K690" s="67" t="s">
        <v>25624</v>
      </c>
      <c r="L690" s="71"/>
      <c r="M690" s="72"/>
      <c r="N690" s="72"/>
      <c r="O690" s="73"/>
      <c r="P690" s="74"/>
      <c r="Q690" s="74"/>
      <c r="R690" s="86"/>
      <c r="S690" s="86"/>
      <c r="T690" s="86"/>
      <c r="U690" s="86"/>
      <c r="V690" s="48"/>
      <c r="W690" s="48"/>
      <c r="X690" s="48"/>
      <c r="Y690" s="48"/>
      <c r="Z690" s="47"/>
      <c r="AA690" s="69">
        <v>690</v>
      </c>
      <c r="AB690" s="69"/>
      <c r="AC690" s="70"/>
      <c r="AD690" s="76" t="s">
        <v>22488</v>
      </c>
      <c r="AE690" s="81" t="s">
        <v>21499</v>
      </c>
      <c r="AF690" s="76">
        <v>2</v>
      </c>
      <c r="AG690" s="76">
        <v>29</v>
      </c>
      <c r="AH690" s="76">
        <v>15</v>
      </c>
      <c r="AI690" s="76">
        <v>1</v>
      </c>
      <c r="AJ690" s="76">
        <v>0</v>
      </c>
      <c r="AK690" s="76">
        <v>5</v>
      </c>
      <c r="AL690" s="76" t="b">
        <v>0</v>
      </c>
      <c r="AM690" s="78">
        <v>45013.032025462962</v>
      </c>
      <c r="AN690" s="76" t="s">
        <v>23253</v>
      </c>
      <c r="AO690" s="76" t="s">
        <v>23939</v>
      </c>
      <c r="AP690" s="83" t="str">
        <f>HYPERLINK("https://t.co/Wt0yblcWU3")</f>
        <v>https://t.co/Wt0yblcWU3</v>
      </c>
      <c r="AQ690" s="83" t="str">
        <f>HYPERLINK("https://edzz.la/R2NSL?a=45246367")</f>
        <v>https://edzz.la/R2NSL?a=45246367</v>
      </c>
      <c r="AR690" s="76" t="s">
        <v>24627</v>
      </c>
      <c r="AS690" s="76"/>
      <c r="AT690" s="76"/>
      <c r="AU690" s="76"/>
      <c r="AV690" s="76">
        <v>1.64052486067267E+18</v>
      </c>
      <c r="AW690" s="83" t="str">
        <f>HYPERLINK("https://t.co/Wt0yblcWU3")</f>
        <v>https://t.co/Wt0yblcWU3</v>
      </c>
      <c r="AX690" s="76" t="b">
        <v>0</v>
      </c>
      <c r="AY690" s="76"/>
      <c r="AZ690" s="76"/>
      <c r="BA690" s="76" t="b">
        <v>0</v>
      </c>
      <c r="BB690" s="76" t="b">
        <v>1</v>
      </c>
      <c r="BC690" s="76" t="b">
        <v>1</v>
      </c>
      <c r="BD690" s="76" t="b">
        <v>0</v>
      </c>
      <c r="BE690" s="76" t="b">
        <v>0</v>
      </c>
      <c r="BF690" s="76" t="b">
        <v>0</v>
      </c>
      <c r="BG690" s="76" t="b">
        <v>0</v>
      </c>
      <c r="BH690" s="83" t="str">
        <f>HYPERLINK("https://pbs.twimg.com/profile_banners/1640515525125054465/1679970174")</f>
        <v>https://pbs.twimg.com/profile_banners/1640515525125054465/1679970174</v>
      </c>
      <c r="BI690" s="76"/>
      <c r="BJ690" s="76" t="s">
        <v>24935</v>
      </c>
      <c r="BK690" s="76" t="b">
        <v>0</v>
      </c>
      <c r="BL690" s="76"/>
      <c r="BM690" s="76" t="s">
        <v>66</v>
      </c>
      <c r="BN690" s="76" t="s">
        <v>24937</v>
      </c>
      <c r="BO690" s="83" t="str">
        <f>HYPERLINK("https://twitter.com/simoneafiliada")</f>
        <v>https://twitter.com/simoneafiliada</v>
      </c>
      <c r="BP690" s="2"/>
    </row>
    <row r="691" spans="1:68" x14ac:dyDescent="0.25">
      <c r="A691" s="62" t="s">
        <v>880</v>
      </c>
      <c r="B691" s="63"/>
      <c r="C691" s="63"/>
      <c r="D691" s="64"/>
      <c r="E691" s="66"/>
      <c r="F691" s="102" t="str">
        <f>HYPERLINK("https://pbs.twimg.com/profile_images/1686426470900518912/LGWvHK_9_normal.jpg")</f>
        <v>https://pbs.twimg.com/profile_images/1686426470900518912/LGWvHK_9_normal.jpg</v>
      </c>
      <c r="G691" s="63"/>
      <c r="H691" s="67"/>
      <c r="I691" s="68"/>
      <c r="J691" s="68"/>
      <c r="K691" s="67" t="s">
        <v>25625</v>
      </c>
      <c r="L691" s="71"/>
      <c r="M691" s="72"/>
      <c r="N691" s="72"/>
      <c r="O691" s="73"/>
      <c r="P691" s="74"/>
      <c r="Q691" s="74"/>
      <c r="R691" s="86"/>
      <c r="S691" s="86"/>
      <c r="T691" s="86"/>
      <c r="U691" s="86"/>
      <c r="V691" s="48"/>
      <c r="W691" s="48"/>
      <c r="X691" s="48"/>
      <c r="Y691" s="48"/>
      <c r="Z691" s="47"/>
      <c r="AA691" s="69">
        <v>691</v>
      </c>
      <c r="AB691" s="69"/>
      <c r="AC691" s="70"/>
      <c r="AD691" s="76" t="s">
        <v>22489</v>
      </c>
      <c r="AE691" s="81" t="s">
        <v>21500</v>
      </c>
      <c r="AF691" s="76">
        <v>4</v>
      </c>
      <c r="AG691" s="76">
        <v>70</v>
      </c>
      <c r="AH691" s="76">
        <v>71</v>
      </c>
      <c r="AI691" s="76">
        <v>0</v>
      </c>
      <c r="AJ691" s="76">
        <v>3</v>
      </c>
      <c r="AK691" s="76">
        <v>49</v>
      </c>
      <c r="AL691" s="76" t="b">
        <v>0</v>
      </c>
      <c r="AM691" s="78">
        <v>44917.136284722219</v>
      </c>
      <c r="AN691" s="76" t="s">
        <v>14033</v>
      </c>
      <c r="AO691" s="76" t="s">
        <v>23940</v>
      </c>
      <c r="AP691" s="83" t="str">
        <f>HYPERLINK("https://t.co/qFI091rbU2")</f>
        <v>https://t.co/qFI091rbU2</v>
      </c>
      <c r="AQ691" s="83" t="str">
        <f>HYPERLINK("https://instagram.com/rainha.das.promocoes?igshid=MzRlODBiNWFlZA==")</f>
        <v>https://instagram.com/rainha.das.promocoes?igshid=MzRlODBiNWFlZA==</v>
      </c>
      <c r="AR691" s="76" t="s">
        <v>24628</v>
      </c>
      <c r="AS691" s="76"/>
      <c r="AT691" s="76"/>
      <c r="AU691" s="76"/>
      <c r="AV691" s="76"/>
      <c r="AW691" s="83" t="str">
        <f>HYPERLINK("https://t.co/qFI091rbU2")</f>
        <v>https://t.co/qFI091rbU2</v>
      </c>
      <c r="AX691" s="76" t="b">
        <v>0</v>
      </c>
      <c r="AY691" s="76"/>
      <c r="AZ691" s="76"/>
      <c r="BA691" s="76" t="b">
        <v>0</v>
      </c>
      <c r="BB691" s="76" t="b">
        <v>1</v>
      </c>
      <c r="BC691" s="76" t="b">
        <v>1</v>
      </c>
      <c r="BD691" s="76" t="b">
        <v>0</v>
      </c>
      <c r="BE691" s="76" t="b">
        <v>0</v>
      </c>
      <c r="BF691" s="76" t="b">
        <v>0</v>
      </c>
      <c r="BG691" s="76" t="b">
        <v>0</v>
      </c>
      <c r="BH691" s="83" t="str">
        <f>HYPERLINK("https://pbs.twimg.com/profile_banners/1605763930344853510/1690898155")</f>
        <v>https://pbs.twimg.com/profile_banners/1605763930344853510/1690898155</v>
      </c>
      <c r="BI691" s="76"/>
      <c r="BJ691" s="76" t="s">
        <v>24935</v>
      </c>
      <c r="BK691" s="76" t="b">
        <v>0</v>
      </c>
      <c r="BL691" s="76"/>
      <c r="BM691" s="76" t="s">
        <v>66</v>
      </c>
      <c r="BN691" s="76" t="s">
        <v>24937</v>
      </c>
      <c r="BO691" s="83" t="str">
        <f>HYPERLINK("https://twitter.com/rayanneadran")</f>
        <v>https://twitter.com/rayanneadran</v>
      </c>
      <c r="BP691" s="2"/>
    </row>
    <row r="692" spans="1:68" x14ac:dyDescent="0.25">
      <c r="A692" s="62" t="s">
        <v>881</v>
      </c>
      <c r="B692" s="63"/>
      <c r="C692" s="63"/>
      <c r="D692" s="64"/>
      <c r="E692" s="66"/>
      <c r="F692" s="102" t="str">
        <f>HYPERLINK("https://pbs.twimg.com/profile_images/1598461408886284288/m6oFYqP4_normal.jpg")</f>
        <v>https://pbs.twimg.com/profile_images/1598461408886284288/m6oFYqP4_normal.jpg</v>
      </c>
      <c r="G692" s="63"/>
      <c r="H692" s="67"/>
      <c r="I692" s="68"/>
      <c r="J692" s="68"/>
      <c r="K692" s="67" t="s">
        <v>25626</v>
      </c>
      <c r="L692" s="71"/>
      <c r="M692" s="72"/>
      <c r="N692" s="72"/>
      <c r="O692" s="73"/>
      <c r="P692" s="74"/>
      <c r="Q692" s="74"/>
      <c r="R692" s="86"/>
      <c r="S692" s="86"/>
      <c r="T692" s="86"/>
      <c r="U692" s="86"/>
      <c r="V692" s="48"/>
      <c r="W692" s="48"/>
      <c r="X692" s="48"/>
      <c r="Y692" s="48"/>
      <c r="Z692" s="47"/>
      <c r="AA692" s="69">
        <v>692</v>
      </c>
      <c r="AB692" s="69"/>
      <c r="AC692" s="70"/>
      <c r="AD692" s="76" t="s">
        <v>22490</v>
      </c>
      <c r="AE692" s="81" t="s">
        <v>21501</v>
      </c>
      <c r="AF692" s="76">
        <v>56</v>
      </c>
      <c r="AG692" s="76">
        <v>522</v>
      </c>
      <c r="AH692" s="76">
        <v>254</v>
      </c>
      <c r="AI692" s="76">
        <v>0</v>
      </c>
      <c r="AJ692" s="76">
        <v>193</v>
      </c>
      <c r="AK692" s="76">
        <v>110</v>
      </c>
      <c r="AL692" s="76" t="b">
        <v>0</v>
      </c>
      <c r="AM692" s="78">
        <v>44671.263553240744</v>
      </c>
      <c r="AN692" s="76"/>
      <c r="AO692" s="76" t="s">
        <v>23941</v>
      </c>
      <c r="AP692" s="76"/>
      <c r="AQ692" s="76"/>
      <c r="AR692" s="76"/>
      <c r="AS692" s="76"/>
      <c r="AT692" s="76"/>
      <c r="AU692" s="76"/>
      <c r="AV692" s="76">
        <v>1.5984619434631401E+18</v>
      </c>
      <c r="AW692" s="76"/>
      <c r="AX692" s="76" t="b">
        <v>0</v>
      </c>
      <c r="AY692" s="76"/>
      <c r="AZ692" s="76"/>
      <c r="BA692" s="76" t="b">
        <v>0</v>
      </c>
      <c r="BB692" s="76" t="b">
        <v>1</v>
      </c>
      <c r="BC692" s="76" t="b">
        <v>1</v>
      </c>
      <c r="BD692" s="76" t="b">
        <v>0</v>
      </c>
      <c r="BE692" s="76" t="b">
        <v>0</v>
      </c>
      <c r="BF692" s="76" t="b">
        <v>0</v>
      </c>
      <c r="BG692" s="76" t="b">
        <v>0</v>
      </c>
      <c r="BH692" s="83" t="str">
        <f>HYPERLINK("https://pbs.twimg.com/profile_banners/1516662765527748611/1669592538")</f>
        <v>https://pbs.twimg.com/profile_banners/1516662765527748611/1669592538</v>
      </c>
      <c r="BI692" s="76"/>
      <c r="BJ692" s="76" t="s">
        <v>24935</v>
      </c>
      <c r="BK692" s="76" t="b">
        <v>0</v>
      </c>
      <c r="BL692" s="76"/>
      <c r="BM692" s="76" t="s">
        <v>66</v>
      </c>
      <c r="BN692" s="76" t="s">
        <v>24937</v>
      </c>
      <c r="BO692" s="83" t="str">
        <f>HYPERLINK("https://twitter.com/juancarlostips")</f>
        <v>https://twitter.com/juancarlostips</v>
      </c>
      <c r="BP692" s="2"/>
    </row>
    <row r="693" spans="1:68" x14ac:dyDescent="0.25">
      <c r="A693" s="62" t="s">
        <v>882</v>
      </c>
      <c r="B693" s="63"/>
      <c r="C693" s="63"/>
      <c r="D693" s="64"/>
      <c r="E693" s="66"/>
      <c r="F693" s="102" t="str">
        <f>HYPERLINK("https://pbs.twimg.com/profile_images/1656356274378776577/dg1qKHlf_normal.jpg")</f>
        <v>https://pbs.twimg.com/profile_images/1656356274378776577/dg1qKHlf_normal.jpg</v>
      </c>
      <c r="G693" s="63"/>
      <c r="H693" s="67"/>
      <c r="I693" s="68"/>
      <c r="J693" s="68"/>
      <c r="K693" s="67" t="s">
        <v>25627</v>
      </c>
      <c r="L693" s="71"/>
      <c r="M693" s="72"/>
      <c r="N693" s="72"/>
      <c r="O693" s="73"/>
      <c r="P693" s="74"/>
      <c r="Q693" s="74"/>
      <c r="R693" s="86"/>
      <c r="S693" s="86"/>
      <c r="T693" s="86"/>
      <c r="U693" s="86"/>
      <c r="V693" s="48"/>
      <c r="W693" s="48"/>
      <c r="X693" s="48"/>
      <c r="Y693" s="48"/>
      <c r="Z693" s="47"/>
      <c r="AA693" s="69">
        <v>693</v>
      </c>
      <c r="AB693" s="69"/>
      <c r="AC693" s="70"/>
      <c r="AD693" s="76" t="s">
        <v>22491</v>
      </c>
      <c r="AE693" s="81" t="s">
        <v>21502</v>
      </c>
      <c r="AF693" s="76">
        <v>9</v>
      </c>
      <c r="AG693" s="76">
        <v>107</v>
      </c>
      <c r="AH693" s="76">
        <v>64</v>
      </c>
      <c r="AI693" s="76">
        <v>0</v>
      </c>
      <c r="AJ693" s="76">
        <v>212</v>
      </c>
      <c r="AK693" s="76">
        <v>4</v>
      </c>
      <c r="AL693" s="76" t="b">
        <v>0</v>
      </c>
      <c r="AM693" s="78">
        <v>44602.013101851851</v>
      </c>
      <c r="AN693" s="76" t="s">
        <v>23254</v>
      </c>
      <c r="AO693" s="76" t="s">
        <v>23942</v>
      </c>
      <c r="AP693" s="76"/>
      <c r="AQ693" s="76"/>
      <c r="AR693" s="76"/>
      <c r="AS693" s="76"/>
      <c r="AT693" s="76"/>
      <c r="AU693" s="76"/>
      <c r="AV693" s="76">
        <v>1.67080799400141E+18</v>
      </c>
      <c r="AW693" s="76"/>
      <c r="AX693" s="76" t="b">
        <v>0</v>
      </c>
      <c r="AY693" s="76"/>
      <c r="AZ693" s="76"/>
      <c r="BA693" s="76" t="b">
        <v>0</v>
      </c>
      <c r="BB693" s="76" t="b">
        <v>1</v>
      </c>
      <c r="BC693" s="76" t="b">
        <v>1</v>
      </c>
      <c r="BD693" s="76" t="b">
        <v>0</v>
      </c>
      <c r="BE693" s="76" t="b">
        <v>0</v>
      </c>
      <c r="BF693" s="76" t="b">
        <v>0</v>
      </c>
      <c r="BG693" s="76" t="b">
        <v>0</v>
      </c>
      <c r="BH693" s="83" t="str">
        <f>HYPERLINK("https://pbs.twimg.com/profile_banners/1491567259042648066/1683741083")</f>
        <v>https://pbs.twimg.com/profile_banners/1491567259042648066/1683741083</v>
      </c>
      <c r="BI693" s="76"/>
      <c r="BJ693" s="76" t="s">
        <v>24935</v>
      </c>
      <c r="BK693" s="76" t="b">
        <v>0</v>
      </c>
      <c r="BL693" s="76"/>
      <c r="BM693" s="76" t="s">
        <v>66</v>
      </c>
      <c r="BN693" s="76" t="s">
        <v>24937</v>
      </c>
      <c r="BO693" s="83" t="str">
        <f>HYPERLINK("https://twitter.com/emanuelcorban_")</f>
        <v>https://twitter.com/emanuelcorban_</v>
      </c>
      <c r="BP693" s="2"/>
    </row>
    <row r="694" spans="1:68" x14ac:dyDescent="0.25">
      <c r="A694" s="62" t="s">
        <v>883</v>
      </c>
      <c r="B694" s="63"/>
      <c r="C694" s="63"/>
      <c r="D694" s="64"/>
      <c r="E694" s="66"/>
      <c r="F694" s="102" t="str">
        <f>HYPERLINK("https://pbs.twimg.com/profile_images/1226620108451217409/7hxuic5__normal.jpg")</f>
        <v>https://pbs.twimg.com/profile_images/1226620108451217409/7hxuic5__normal.jpg</v>
      </c>
      <c r="G694" s="63"/>
      <c r="H694" s="67"/>
      <c r="I694" s="68"/>
      <c r="J694" s="68"/>
      <c r="K694" s="67" t="s">
        <v>25628</v>
      </c>
      <c r="L694" s="71"/>
      <c r="M694" s="72"/>
      <c r="N694" s="72"/>
      <c r="O694" s="73"/>
      <c r="P694" s="74"/>
      <c r="Q694" s="74"/>
      <c r="R694" s="86"/>
      <c r="S694" s="86"/>
      <c r="T694" s="86"/>
      <c r="U694" s="86"/>
      <c r="V694" s="48"/>
      <c r="W694" s="48"/>
      <c r="X694" s="48"/>
      <c r="Y694" s="48"/>
      <c r="Z694" s="47"/>
      <c r="AA694" s="69">
        <v>694</v>
      </c>
      <c r="AB694" s="69"/>
      <c r="AC694" s="70"/>
      <c r="AD694" s="76" t="s">
        <v>22492</v>
      </c>
      <c r="AE694" s="81" t="s">
        <v>22996</v>
      </c>
      <c r="AF694" s="76">
        <v>3094</v>
      </c>
      <c r="AG694" s="76">
        <v>3708</v>
      </c>
      <c r="AH694" s="76">
        <v>3235</v>
      </c>
      <c r="AI694" s="76">
        <v>15</v>
      </c>
      <c r="AJ694" s="76">
        <v>901</v>
      </c>
      <c r="AK694" s="76">
        <v>1571</v>
      </c>
      <c r="AL694" s="76" t="b">
        <v>0</v>
      </c>
      <c r="AM694" s="78">
        <v>40594.984652777777</v>
      </c>
      <c r="AN694" s="76" t="s">
        <v>14041</v>
      </c>
      <c r="AO694" s="76" t="s">
        <v>23943</v>
      </c>
      <c r="AP694" s="76"/>
      <c r="AQ694" s="76"/>
      <c r="AR694" s="76"/>
      <c r="AS694" s="76"/>
      <c r="AT694" s="76"/>
      <c r="AU694" s="76"/>
      <c r="AV694" s="76"/>
      <c r="AW694" s="76"/>
      <c r="AX694" s="76" t="b">
        <v>0</v>
      </c>
      <c r="AY694" s="76"/>
      <c r="AZ694" s="76"/>
      <c r="BA694" s="76" t="b">
        <v>1</v>
      </c>
      <c r="BB694" s="76" t="b">
        <v>0</v>
      </c>
      <c r="BC694" s="76" t="b">
        <v>0</v>
      </c>
      <c r="BD694" s="76" t="b">
        <v>0</v>
      </c>
      <c r="BE694" s="76" t="b">
        <v>1</v>
      </c>
      <c r="BF694" s="76" t="b">
        <v>0</v>
      </c>
      <c r="BG694" s="76" t="b">
        <v>0</v>
      </c>
      <c r="BH694" s="83" t="str">
        <f>HYPERLINK("https://pbs.twimg.com/profile_banners/255237609/1693867354")</f>
        <v>https://pbs.twimg.com/profile_banners/255237609/1693867354</v>
      </c>
      <c r="BI694" s="76"/>
      <c r="BJ694" s="76" t="s">
        <v>24935</v>
      </c>
      <c r="BK694" s="76" t="b">
        <v>0</v>
      </c>
      <c r="BL694" s="76"/>
      <c r="BM694" s="76" t="s">
        <v>66</v>
      </c>
      <c r="BN694" s="76" t="s">
        <v>24937</v>
      </c>
      <c r="BO694" s="83" t="str">
        <f>HYPERLINK("https://twitter.com/vagner_caldas")</f>
        <v>https://twitter.com/vagner_caldas</v>
      </c>
      <c r="BP694" s="2"/>
    </row>
    <row r="695" spans="1:68" x14ac:dyDescent="0.25">
      <c r="A695" s="62" t="s">
        <v>884</v>
      </c>
      <c r="B695" s="63"/>
      <c r="C695" s="63"/>
      <c r="D695" s="64"/>
      <c r="E695" s="66"/>
      <c r="F695" s="102" t="str">
        <f>HYPERLINK("https://pbs.twimg.com/profile_images/1693783433212796928/3Xoj128h_normal.jpg")</f>
        <v>https://pbs.twimg.com/profile_images/1693783433212796928/3Xoj128h_normal.jpg</v>
      </c>
      <c r="G695" s="63"/>
      <c r="H695" s="67"/>
      <c r="I695" s="68"/>
      <c r="J695" s="68"/>
      <c r="K695" s="67" t="s">
        <v>25629</v>
      </c>
      <c r="L695" s="71"/>
      <c r="M695" s="72"/>
      <c r="N695" s="72"/>
      <c r="O695" s="73"/>
      <c r="P695" s="74"/>
      <c r="Q695" s="74"/>
      <c r="R695" s="86"/>
      <c r="S695" s="86"/>
      <c r="T695" s="86"/>
      <c r="U695" s="86"/>
      <c r="V695" s="48"/>
      <c r="W695" s="48"/>
      <c r="X695" s="48"/>
      <c r="Y695" s="48"/>
      <c r="Z695" s="47"/>
      <c r="AA695" s="69">
        <v>695</v>
      </c>
      <c r="AB695" s="69"/>
      <c r="AC695" s="70"/>
      <c r="AD695" s="76" t="s">
        <v>22493</v>
      </c>
      <c r="AE695" s="81" t="s">
        <v>21503</v>
      </c>
      <c r="AF695" s="76">
        <v>1</v>
      </c>
      <c r="AG695" s="76">
        <v>0</v>
      </c>
      <c r="AH695" s="76">
        <v>1</v>
      </c>
      <c r="AI695" s="76">
        <v>0</v>
      </c>
      <c r="AJ695" s="76">
        <v>0</v>
      </c>
      <c r="AK695" s="76">
        <v>1</v>
      </c>
      <c r="AL695" s="76" t="b">
        <v>0</v>
      </c>
      <c r="AM695" s="78">
        <v>45067.16983796296</v>
      </c>
      <c r="AN695" s="76"/>
      <c r="AO695" s="76" t="s">
        <v>23944</v>
      </c>
      <c r="AP695" s="76"/>
      <c r="AQ695" s="76"/>
      <c r="AR695" s="76"/>
      <c r="AS695" s="76"/>
      <c r="AT695" s="76"/>
      <c r="AU695" s="76"/>
      <c r="AV695" s="76"/>
      <c r="AW695" s="76"/>
      <c r="AX695" s="76" t="b">
        <v>0</v>
      </c>
      <c r="AY695" s="76"/>
      <c r="AZ695" s="76"/>
      <c r="BA695" s="76" t="b">
        <v>0</v>
      </c>
      <c r="BB695" s="76" t="b">
        <v>1</v>
      </c>
      <c r="BC695" s="76" t="b">
        <v>1</v>
      </c>
      <c r="BD695" s="76" t="b">
        <v>0</v>
      </c>
      <c r="BE695" s="76" t="b">
        <v>0</v>
      </c>
      <c r="BF695" s="76" t="b">
        <v>0</v>
      </c>
      <c r="BG695" s="76" t="b">
        <v>0</v>
      </c>
      <c r="BH695" s="76"/>
      <c r="BI695" s="76"/>
      <c r="BJ695" s="76" t="s">
        <v>24935</v>
      </c>
      <c r="BK695" s="76" t="b">
        <v>0</v>
      </c>
      <c r="BL695" s="76"/>
      <c r="BM695" s="76" t="s">
        <v>66</v>
      </c>
      <c r="BN695" s="76" t="s">
        <v>24937</v>
      </c>
      <c r="BO695" s="83" t="str">
        <f>HYPERLINK("https://twitter.com/m4rv1_")</f>
        <v>https://twitter.com/m4rv1_</v>
      </c>
      <c r="BP695" s="2"/>
    </row>
    <row r="696" spans="1:68" x14ac:dyDescent="0.25">
      <c r="A696" s="62" t="s">
        <v>885</v>
      </c>
      <c r="B696" s="63"/>
      <c r="C696" s="63"/>
      <c r="D696" s="64"/>
      <c r="E696" s="66"/>
      <c r="F696" s="102" t="str">
        <f>HYPERLINK("https://pbs.twimg.com/profile_images/1654739081677373440/THs7_jaM_normal.jpg")</f>
        <v>https://pbs.twimg.com/profile_images/1654739081677373440/THs7_jaM_normal.jpg</v>
      </c>
      <c r="G696" s="63"/>
      <c r="H696" s="67"/>
      <c r="I696" s="68"/>
      <c r="J696" s="68"/>
      <c r="K696" s="67" t="s">
        <v>25630</v>
      </c>
      <c r="L696" s="71"/>
      <c r="M696" s="72"/>
      <c r="N696" s="72"/>
      <c r="O696" s="73"/>
      <c r="P696" s="74"/>
      <c r="Q696" s="74"/>
      <c r="R696" s="86"/>
      <c r="S696" s="86"/>
      <c r="T696" s="86"/>
      <c r="U696" s="86"/>
      <c r="V696" s="48"/>
      <c r="W696" s="48"/>
      <c r="X696" s="48"/>
      <c r="Y696" s="48"/>
      <c r="Z696" s="47"/>
      <c r="AA696" s="69">
        <v>696</v>
      </c>
      <c r="AB696" s="69"/>
      <c r="AC696" s="70"/>
      <c r="AD696" s="76" t="s">
        <v>22494</v>
      </c>
      <c r="AE696" s="81" t="s">
        <v>21504</v>
      </c>
      <c r="AF696" s="76">
        <v>1</v>
      </c>
      <c r="AG696" s="76">
        <v>0</v>
      </c>
      <c r="AH696" s="76">
        <v>8</v>
      </c>
      <c r="AI696" s="76">
        <v>0</v>
      </c>
      <c r="AJ696" s="76">
        <v>8</v>
      </c>
      <c r="AK696" s="76">
        <v>6</v>
      </c>
      <c r="AL696" s="76" t="b">
        <v>0</v>
      </c>
      <c r="AM696" s="78">
        <v>45052.281006944446</v>
      </c>
      <c r="AN696" s="76"/>
      <c r="AO696" s="76" t="s">
        <v>23945</v>
      </c>
      <c r="AP696" s="83" t="str">
        <f>HYPERLINK("https://t.co/QROLlx0yU5")</f>
        <v>https://t.co/QROLlx0yU5</v>
      </c>
      <c r="AQ696" s="83" t="str">
        <f>HYPERLINK("https://t.me/RoletadoZeq")</f>
        <v>https://t.me/RoletadoZeq</v>
      </c>
      <c r="AR696" s="76" t="s">
        <v>24629</v>
      </c>
      <c r="AS696" s="76"/>
      <c r="AT696" s="76"/>
      <c r="AU696" s="76"/>
      <c r="AV696" s="76"/>
      <c r="AW696" s="83" t="str">
        <f>HYPERLINK("https://t.co/QROLlx0yU5")</f>
        <v>https://t.co/QROLlx0yU5</v>
      </c>
      <c r="AX696" s="76" t="b">
        <v>0</v>
      </c>
      <c r="AY696" s="76"/>
      <c r="AZ696" s="76"/>
      <c r="BA696" s="76" t="b">
        <v>0</v>
      </c>
      <c r="BB696" s="76" t="b">
        <v>1</v>
      </c>
      <c r="BC696" s="76" t="b">
        <v>1</v>
      </c>
      <c r="BD696" s="76" t="b">
        <v>0</v>
      </c>
      <c r="BE696" s="76" t="b">
        <v>0</v>
      </c>
      <c r="BF696" s="76" t="b">
        <v>0</v>
      </c>
      <c r="BG696" s="76" t="b">
        <v>0</v>
      </c>
      <c r="BH696" s="76"/>
      <c r="BI696" s="76"/>
      <c r="BJ696" s="76" t="s">
        <v>24935</v>
      </c>
      <c r="BK696" s="76" t="b">
        <v>0</v>
      </c>
      <c r="BL696" s="76"/>
      <c r="BM696" s="76" t="s">
        <v>66</v>
      </c>
      <c r="BN696" s="76" t="s">
        <v>24937</v>
      </c>
      <c r="BO696" s="83" t="str">
        <f>HYPERLINK("https://twitter.com/roletadozeq")</f>
        <v>https://twitter.com/roletadozeq</v>
      </c>
      <c r="BP696" s="2"/>
    </row>
    <row r="697" spans="1:68" x14ac:dyDescent="0.25">
      <c r="A697" s="62" t="s">
        <v>886</v>
      </c>
      <c r="B697" s="63"/>
      <c r="C697" s="63"/>
      <c r="D697" s="64"/>
      <c r="E697" s="66"/>
      <c r="F697" s="102" t="str">
        <f>HYPERLINK("https://pbs.twimg.com/profile_images/1643304178901475334/x-hhQRWa_normal.jpg")</f>
        <v>https://pbs.twimg.com/profile_images/1643304178901475334/x-hhQRWa_normal.jpg</v>
      </c>
      <c r="G697" s="63"/>
      <c r="H697" s="67"/>
      <c r="I697" s="68"/>
      <c r="J697" s="68"/>
      <c r="K697" s="67" t="s">
        <v>25631</v>
      </c>
      <c r="L697" s="71"/>
      <c r="M697" s="72"/>
      <c r="N697" s="72"/>
      <c r="O697" s="73"/>
      <c r="P697" s="74"/>
      <c r="Q697" s="74"/>
      <c r="R697" s="86"/>
      <c r="S697" s="86"/>
      <c r="T697" s="86"/>
      <c r="U697" s="86"/>
      <c r="V697" s="48"/>
      <c r="W697" s="48"/>
      <c r="X697" s="48"/>
      <c r="Y697" s="48"/>
      <c r="Z697" s="47"/>
      <c r="AA697" s="69">
        <v>697</v>
      </c>
      <c r="AB697" s="69"/>
      <c r="AC697" s="70"/>
      <c r="AD697" s="76" t="s">
        <v>22495</v>
      </c>
      <c r="AE697" s="81" t="s">
        <v>21505</v>
      </c>
      <c r="AF697" s="76">
        <v>5</v>
      </c>
      <c r="AG697" s="76">
        <v>3</v>
      </c>
      <c r="AH697" s="76">
        <v>108</v>
      </c>
      <c r="AI697" s="76">
        <v>0</v>
      </c>
      <c r="AJ697" s="76">
        <v>0</v>
      </c>
      <c r="AK697" s="76">
        <v>107</v>
      </c>
      <c r="AL697" s="76" t="b">
        <v>0</v>
      </c>
      <c r="AM697" s="78">
        <v>44821.025671296295</v>
      </c>
      <c r="AN697" s="76"/>
      <c r="AO697" s="76" t="s">
        <v>23946</v>
      </c>
      <c r="AP697" s="83" t="str">
        <f>HYPERLINK("https://t.co/ZcVBFdPEui")</f>
        <v>https://t.co/ZcVBFdPEui</v>
      </c>
      <c r="AQ697" s="83" t="str">
        <f>HYPERLINK("https://linkr.bio/iniciar_")</f>
        <v>https://linkr.bio/iniciar_</v>
      </c>
      <c r="AR697" s="76" t="s">
        <v>24630</v>
      </c>
      <c r="AS697" s="76"/>
      <c r="AT697" s="76"/>
      <c r="AU697" s="76"/>
      <c r="AV697" s="76"/>
      <c r="AW697" s="83" t="str">
        <f>HYPERLINK("https://t.co/ZcVBFdPEui")</f>
        <v>https://t.co/ZcVBFdPEui</v>
      </c>
      <c r="AX697" s="76" t="b">
        <v>0</v>
      </c>
      <c r="AY697" s="76"/>
      <c r="AZ697" s="76"/>
      <c r="BA697" s="76" t="b">
        <v>0</v>
      </c>
      <c r="BB697" s="76" t="b">
        <v>1</v>
      </c>
      <c r="BC697" s="76" t="b">
        <v>1</v>
      </c>
      <c r="BD697" s="76" t="b">
        <v>0</v>
      </c>
      <c r="BE697" s="76" t="b">
        <v>0</v>
      </c>
      <c r="BF697" s="76" t="b">
        <v>0</v>
      </c>
      <c r="BG697" s="76" t="b">
        <v>0</v>
      </c>
      <c r="BH697" s="83" t="str">
        <f>HYPERLINK("https://pbs.twimg.com/profile_banners/1570934663446683649/1680629834")</f>
        <v>https://pbs.twimg.com/profile_banners/1570934663446683649/1680629834</v>
      </c>
      <c r="BI697" s="76"/>
      <c r="BJ697" s="76" t="s">
        <v>24935</v>
      </c>
      <c r="BK697" s="76" t="b">
        <v>0</v>
      </c>
      <c r="BL697" s="76"/>
      <c r="BM697" s="76" t="s">
        <v>66</v>
      </c>
      <c r="BN697" s="76" t="s">
        <v>24937</v>
      </c>
      <c r="BO697" s="83" t="str">
        <f>HYPERLINK("https://twitter.com/rafaelamorimofc")</f>
        <v>https://twitter.com/rafaelamorimofc</v>
      </c>
      <c r="BP697" s="2"/>
    </row>
    <row r="698" spans="1:68" x14ac:dyDescent="0.25">
      <c r="A698" s="62" t="s">
        <v>887</v>
      </c>
      <c r="B698" s="63"/>
      <c r="C698" s="63"/>
      <c r="D698" s="64"/>
      <c r="E698" s="66"/>
      <c r="F698" s="102" t="str">
        <f>HYPERLINK("https://pbs.twimg.com/profile_images/1704841425546862592/UTwQ_aks_normal.jpg")</f>
        <v>https://pbs.twimg.com/profile_images/1704841425546862592/UTwQ_aks_normal.jpg</v>
      </c>
      <c r="G698" s="63"/>
      <c r="H698" s="67"/>
      <c r="I698" s="68"/>
      <c r="J698" s="68"/>
      <c r="K698" s="67" t="s">
        <v>25632</v>
      </c>
      <c r="L698" s="71"/>
      <c r="M698" s="72"/>
      <c r="N698" s="72"/>
      <c r="O698" s="73"/>
      <c r="P698" s="74"/>
      <c r="Q698" s="74"/>
      <c r="R698" s="86"/>
      <c r="S698" s="86"/>
      <c r="T698" s="86"/>
      <c r="U698" s="86"/>
      <c r="V698" s="48"/>
      <c r="W698" s="48"/>
      <c r="X698" s="48"/>
      <c r="Y698" s="48"/>
      <c r="Z698" s="47"/>
      <c r="AA698" s="69">
        <v>698</v>
      </c>
      <c r="AB698" s="69"/>
      <c r="AC698" s="70"/>
      <c r="AD698" s="76" t="s">
        <v>22496</v>
      </c>
      <c r="AE698" s="81" t="s">
        <v>21506</v>
      </c>
      <c r="AF698" s="76">
        <v>58</v>
      </c>
      <c r="AG698" s="76">
        <v>197</v>
      </c>
      <c r="AH698" s="76">
        <v>4491</v>
      </c>
      <c r="AI698" s="76">
        <v>3</v>
      </c>
      <c r="AJ698" s="76">
        <v>1880</v>
      </c>
      <c r="AK698" s="76">
        <v>1117</v>
      </c>
      <c r="AL698" s="76" t="b">
        <v>0</v>
      </c>
      <c r="AM698" s="78">
        <v>44926.452280092592</v>
      </c>
      <c r="AN698" s="76" t="s">
        <v>14033</v>
      </c>
      <c r="AO698" s="76" t="s">
        <v>23947</v>
      </c>
      <c r="AP698" s="83" t="str">
        <f>HYPERLINK("https://t.co/H7XnrrNrgL")</f>
        <v>https://t.co/H7XnrrNrgL</v>
      </c>
      <c r="AQ698" s="83" t="str">
        <f>HYPERLINK("https://caroljsjsantos.wordpress.com")</f>
        <v>https://caroljsjsantos.wordpress.com</v>
      </c>
      <c r="AR698" s="76" t="s">
        <v>24631</v>
      </c>
      <c r="AS698" s="76"/>
      <c r="AT698" s="76"/>
      <c r="AU698" s="76"/>
      <c r="AV698" s="76">
        <v>1.6925668852697001E+18</v>
      </c>
      <c r="AW698" s="83" t="str">
        <f>HYPERLINK("https://t.co/H7XnrrNrgL")</f>
        <v>https://t.co/H7XnrrNrgL</v>
      </c>
      <c r="AX698" s="76" t="b">
        <v>0</v>
      </c>
      <c r="AY698" s="76"/>
      <c r="AZ698" s="76"/>
      <c r="BA698" s="76" t="b">
        <v>0</v>
      </c>
      <c r="BB698" s="76" t="b">
        <v>1</v>
      </c>
      <c r="BC698" s="76" t="b">
        <v>1</v>
      </c>
      <c r="BD698" s="76" t="b">
        <v>0</v>
      </c>
      <c r="BE698" s="76" t="b">
        <v>0</v>
      </c>
      <c r="BF698" s="76" t="b">
        <v>0</v>
      </c>
      <c r="BG698" s="76" t="b">
        <v>0</v>
      </c>
      <c r="BH698" s="83" t="str">
        <f>HYPERLINK("https://pbs.twimg.com/profile_banners/1609139928935370755/1691894677")</f>
        <v>https://pbs.twimg.com/profile_banners/1609139928935370755/1691894677</v>
      </c>
      <c r="BI698" s="76"/>
      <c r="BJ698" s="76" t="s">
        <v>24935</v>
      </c>
      <c r="BK698" s="76" t="b">
        <v>0</v>
      </c>
      <c r="BL698" s="76"/>
      <c r="BM698" s="76" t="s">
        <v>66</v>
      </c>
      <c r="BN698" s="76" t="s">
        <v>24937</v>
      </c>
      <c r="BO698" s="83" t="str">
        <f>HYPERLINK("https://twitter.com/caroljsjsantos")</f>
        <v>https://twitter.com/caroljsjsantos</v>
      </c>
      <c r="BP698" s="2"/>
    </row>
    <row r="699" spans="1:68" x14ac:dyDescent="0.25">
      <c r="A699" s="62" t="s">
        <v>888</v>
      </c>
      <c r="B699" s="63"/>
      <c r="C699" s="63"/>
      <c r="D699" s="64"/>
      <c r="E699" s="66"/>
      <c r="F699" s="102" t="str">
        <f>HYPERLINK("https://pbs.twimg.com/profile_images/1555740417928331264/4dd5SKLz_normal.jpg")</f>
        <v>https://pbs.twimg.com/profile_images/1555740417928331264/4dd5SKLz_normal.jpg</v>
      </c>
      <c r="G699" s="63"/>
      <c r="H699" s="67"/>
      <c r="I699" s="68"/>
      <c r="J699" s="68"/>
      <c r="K699" s="67" t="s">
        <v>25633</v>
      </c>
      <c r="L699" s="71"/>
      <c r="M699" s="72"/>
      <c r="N699" s="72"/>
      <c r="O699" s="73"/>
      <c r="P699" s="74"/>
      <c r="Q699" s="74"/>
      <c r="R699" s="86"/>
      <c r="S699" s="86"/>
      <c r="T699" s="86"/>
      <c r="U699" s="86"/>
      <c r="V699" s="48"/>
      <c r="W699" s="48"/>
      <c r="X699" s="48"/>
      <c r="Y699" s="48"/>
      <c r="Z699" s="47"/>
      <c r="AA699" s="69">
        <v>699</v>
      </c>
      <c r="AB699" s="69"/>
      <c r="AC699" s="70"/>
      <c r="AD699" s="76" t="s">
        <v>22497</v>
      </c>
      <c r="AE699" s="81" t="s">
        <v>21507</v>
      </c>
      <c r="AF699" s="76">
        <v>415</v>
      </c>
      <c r="AG699" s="76">
        <v>3274</v>
      </c>
      <c r="AH699" s="76">
        <v>76106</v>
      </c>
      <c r="AI699" s="76">
        <v>6</v>
      </c>
      <c r="AJ699" s="76">
        <v>30906</v>
      </c>
      <c r="AK699" s="76">
        <v>1647</v>
      </c>
      <c r="AL699" s="76" t="b">
        <v>0</v>
      </c>
      <c r="AM699" s="78">
        <v>44779.096539351849</v>
      </c>
      <c r="AN699" s="76"/>
      <c r="AO699" s="76" t="s">
        <v>23948</v>
      </c>
      <c r="AP699" s="83" t="str">
        <f>HYPERLINK("https://t.co/Gea4opeZlQ")</f>
        <v>https://t.co/Gea4opeZlQ</v>
      </c>
      <c r="AQ699" s="83" t="str">
        <f>HYPERLINK("https://ntnc.com.br/8d0173c8-de6e-4792-a324-860286311aae")</f>
        <v>https://ntnc.com.br/8d0173c8-de6e-4792-a324-860286311aae</v>
      </c>
      <c r="AR699" s="76" t="s">
        <v>24632</v>
      </c>
      <c r="AS699" s="76"/>
      <c r="AT699" s="76"/>
      <c r="AU699" s="76"/>
      <c r="AV699" s="76">
        <v>1.66224430871869E+18</v>
      </c>
      <c r="AW699" s="83" t="str">
        <f>HYPERLINK("https://t.co/Gea4opeZlQ")</f>
        <v>https://t.co/Gea4opeZlQ</v>
      </c>
      <c r="AX699" s="76" t="b">
        <v>0</v>
      </c>
      <c r="AY699" s="76"/>
      <c r="AZ699" s="76"/>
      <c r="BA699" s="76" t="b">
        <v>0</v>
      </c>
      <c r="BB699" s="76" t="b">
        <v>1</v>
      </c>
      <c r="BC699" s="76" t="b">
        <v>1</v>
      </c>
      <c r="BD699" s="76" t="b">
        <v>0</v>
      </c>
      <c r="BE699" s="76" t="b">
        <v>0</v>
      </c>
      <c r="BF699" s="76" t="b">
        <v>0</v>
      </c>
      <c r="BG699" s="76" t="b">
        <v>0</v>
      </c>
      <c r="BH699" s="83" t="str">
        <f>HYPERLINK("https://pbs.twimg.com/profile_banners/1555740155440291841/1659752513")</f>
        <v>https://pbs.twimg.com/profile_banners/1555740155440291841/1659752513</v>
      </c>
      <c r="BI699" s="76"/>
      <c r="BJ699" s="76" t="s">
        <v>24935</v>
      </c>
      <c r="BK699" s="76" t="b">
        <v>0</v>
      </c>
      <c r="BL699" s="76"/>
      <c r="BM699" s="76" t="s">
        <v>66</v>
      </c>
      <c r="BN699" s="76" t="s">
        <v>24937</v>
      </c>
      <c r="BO699" s="83" t="str">
        <f>HYPERLINK("https://twitter.com/incriptomoedas")</f>
        <v>https://twitter.com/incriptomoedas</v>
      </c>
      <c r="BP699" s="2"/>
    </row>
    <row r="700" spans="1:68" x14ac:dyDescent="0.25">
      <c r="A700" s="62" t="s">
        <v>889</v>
      </c>
      <c r="B700" s="63"/>
      <c r="C700" s="63"/>
      <c r="D700" s="64"/>
      <c r="E700" s="66"/>
      <c r="F700" s="102" t="str">
        <f>HYPERLINK("https://pbs.twimg.com/profile_images/1644098803828400132/q6k4j2QO_normal.jpg")</f>
        <v>https://pbs.twimg.com/profile_images/1644098803828400132/q6k4j2QO_normal.jpg</v>
      </c>
      <c r="G700" s="63"/>
      <c r="H700" s="67"/>
      <c r="I700" s="68"/>
      <c r="J700" s="68"/>
      <c r="K700" s="67" t="s">
        <v>25634</v>
      </c>
      <c r="L700" s="71"/>
      <c r="M700" s="72"/>
      <c r="N700" s="72"/>
      <c r="O700" s="73"/>
      <c r="P700" s="74"/>
      <c r="Q700" s="74"/>
      <c r="R700" s="86"/>
      <c r="S700" s="86"/>
      <c r="T700" s="86"/>
      <c r="U700" s="86"/>
      <c r="V700" s="48"/>
      <c r="W700" s="48"/>
      <c r="X700" s="48"/>
      <c r="Y700" s="48"/>
      <c r="Z700" s="47"/>
      <c r="AA700" s="69">
        <v>700</v>
      </c>
      <c r="AB700" s="69"/>
      <c r="AC700" s="70"/>
      <c r="AD700" s="76" t="s">
        <v>22498</v>
      </c>
      <c r="AE700" s="81" t="s">
        <v>22997</v>
      </c>
      <c r="AF700" s="76">
        <v>50</v>
      </c>
      <c r="AG700" s="76">
        <v>53</v>
      </c>
      <c r="AH700" s="76">
        <v>284</v>
      </c>
      <c r="AI700" s="76">
        <v>0</v>
      </c>
      <c r="AJ700" s="76">
        <v>102</v>
      </c>
      <c r="AK700" s="76">
        <v>66</v>
      </c>
      <c r="AL700" s="76" t="b">
        <v>0</v>
      </c>
      <c r="AM700" s="78">
        <v>40277.003506944442</v>
      </c>
      <c r="AN700" s="76" t="s">
        <v>23255</v>
      </c>
      <c r="AO700" s="76" t="s">
        <v>23949</v>
      </c>
      <c r="AP700" s="83" t="str">
        <f>HYPERLINK("https://t.co/LrrxYPBqmK")</f>
        <v>https://t.co/LrrxYPBqmK</v>
      </c>
      <c r="AQ700" s="83" t="str">
        <f>HYPERLINK("http://www.automasterbr.com")</f>
        <v>http://www.automasterbr.com</v>
      </c>
      <c r="AR700" s="76" t="s">
        <v>24633</v>
      </c>
      <c r="AS700" s="76"/>
      <c r="AT700" s="76"/>
      <c r="AU700" s="76"/>
      <c r="AV700" s="76"/>
      <c r="AW700" s="83" t="str">
        <f>HYPERLINK("https://t.co/LrrxYPBqmK")</f>
        <v>https://t.co/LrrxYPBqmK</v>
      </c>
      <c r="AX700" s="76" t="b">
        <v>0</v>
      </c>
      <c r="AY700" s="76"/>
      <c r="AZ700" s="76"/>
      <c r="BA700" s="76" t="b">
        <v>1</v>
      </c>
      <c r="BB700" s="76" t="b">
        <v>1</v>
      </c>
      <c r="BC700" s="76" t="b">
        <v>0</v>
      </c>
      <c r="BD700" s="76" t="b">
        <v>0</v>
      </c>
      <c r="BE700" s="76" t="b">
        <v>1</v>
      </c>
      <c r="BF700" s="76" t="b">
        <v>0</v>
      </c>
      <c r="BG700" s="76" t="b">
        <v>0</v>
      </c>
      <c r="BH700" s="83" t="str">
        <f>HYPERLINK("https://pbs.twimg.com/profile_banners/130999630/1675139108")</f>
        <v>https://pbs.twimg.com/profile_banners/130999630/1675139108</v>
      </c>
      <c r="BI700" s="76"/>
      <c r="BJ700" s="76" t="s">
        <v>24935</v>
      </c>
      <c r="BK700" s="76" t="b">
        <v>0</v>
      </c>
      <c r="BL700" s="76"/>
      <c r="BM700" s="76" t="s">
        <v>66</v>
      </c>
      <c r="BN700" s="76" t="s">
        <v>24937</v>
      </c>
      <c r="BO700" s="83" t="str">
        <f>HYPERLINK("https://twitter.com/oelberdomingos")</f>
        <v>https://twitter.com/oelberdomingos</v>
      </c>
      <c r="BP700" s="2"/>
    </row>
    <row r="701" spans="1:68" x14ac:dyDescent="0.25">
      <c r="A701" s="62" t="s">
        <v>890</v>
      </c>
      <c r="B701" s="63"/>
      <c r="C701" s="63"/>
      <c r="D701" s="64"/>
      <c r="E701" s="66"/>
      <c r="F701" s="102" t="str">
        <f>HYPERLINK("https://pbs.twimg.com/profile_images/1682963782438461441/4LsqREta_normal.jpg")</f>
        <v>https://pbs.twimg.com/profile_images/1682963782438461441/4LsqREta_normal.jpg</v>
      </c>
      <c r="G701" s="63"/>
      <c r="H701" s="67"/>
      <c r="I701" s="68"/>
      <c r="J701" s="68"/>
      <c r="K701" s="67" t="s">
        <v>25635</v>
      </c>
      <c r="L701" s="71"/>
      <c r="M701" s="72"/>
      <c r="N701" s="72"/>
      <c r="O701" s="73"/>
      <c r="P701" s="74"/>
      <c r="Q701" s="74"/>
      <c r="R701" s="86"/>
      <c r="S701" s="86"/>
      <c r="T701" s="86"/>
      <c r="U701" s="86"/>
      <c r="V701" s="48"/>
      <c r="W701" s="48"/>
      <c r="X701" s="48"/>
      <c r="Y701" s="48"/>
      <c r="Z701" s="47"/>
      <c r="AA701" s="69">
        <v>701</v>
      </c>
      <c r="AB701" s="69"/>
      <c r="AC701" s="70"/>
      <c r="AD701" s="76" t="s">
        <v>22499</v>
      </c>
      <c r="AE701" s="81" t="s">
        <v>21508</v>
      </c>
      <c r="AF701" s="76">
        <v>0</v>
      </c>
      <c r="AG701" s="76">
        <v>6</v>
      </c>
      <c r="AH701" s="76">
        <v>16</v>
      </c>
      <c r="AI701" s="76">
        <v>0</v>
      </c>
      <c r="AJ701" s="76">
        <v>0</v>
      </c>
      <c r="AK701" s="76">
        <v>6</v>
      </c>
      <c r="AL701" s="76" t="b">
        <v>0</v>
      </c>
      <c r="AM701" s="78">
        <v>45126.602638888886</v>
      </c>
      <c r="AN701" s="76" t="s">
        <v>23256</v>
      </c>
      <c r="AO701" s="76" t="s">
        <v>23950</v>
      </c>
      <c r="AP701" s="76"/>
      <c r="AQ701" s="76"/>
      <c r="AR701" s="76"/>
      <c r="AS701" s="76"/>
      <c r="AT701" s="76"/>
      <c r="AU701" s="76"/>
      <c r="AV701" s="76"/>
      <c r="AW701" s="76"/>
      <c r="AX701" s="76" t="b">
        <v>0</v>
      </c>
      <c r="AY701" s="76"/>
      <c r="AZ701" s="76"/>
      <c r="BA701" s="76" t="b">
        <v>0</v>
      </c>
      <c r="BB701" s="76" t="b">
        <v>1</v>
      </c>
      <c r="BC701" s="76" t="b">
        <v>1</v>
      </c>
      <c r="BD701" s="76" t="b">
        <v>0</v>
      </c>
      <c r="BE701" s="76" t="b">
        <v>0</v>
      </c>
      <c r="BF701" s="76" t="b">
        <v>0</v>
      </c>
      <c r="BG701" s="76" t="b">
        <v>0</v>
      </c>
      <c r="BH701" s="83" t="str">
        <f>HYPERLINK("https://pbs.twimg.com/profile_banners/1681672133779267584/1690084836")</f>
        <v>https://pbs.twimg.com/profile_banners/1681672133779267584/1690084836</v>
      </c>
      <c r="BI701" s="76"/>
      <c r="BJ701" s="76" t="s">
        <v>24935</v>
      </c>
      <c r="BK701" s="76" t="b">
        <v>0</v>
      </c>
      <c r="BL701" s="76"/>
      <c r="BM701" s="76" t="s">
        <v>66</v>
      </c>
      <c r="BN701" s="76" t="s">
        <v>24937</v>
      </c>
      <c r="BO701" s="83" t="str">
        <f>HYPERLINK("https://twitter.com/hailsonmkt37825")</f>
        <v>https://twitter.com/hailsonmkt37825</v>
      </c>
      <c r="BP701" s="2"/>
    </row>
    <row r="702" spans="1:68" x14ac:dyDescent="0.25">
      <c r="A702" s="62" t="s">
        <v>891</v>
      </c>
      <c r="B702" s="63"/>
      <c r="C702" s="63"/>
      <c r="D702" s="64"/>
      <c r="E702" s="66"/>
      <c r="F702" s="102" t="str">
        <f>HYPERLINK("https://abs.twimg.com/sticky/default_profile_images/default_profile_normal.png")</f>
        <v>https://abs.twimg.com/sticky/default_profile_images/default_profile_normal.png</v>
      </c>
      <c r="G702" s="63"/>
      <c r="H702" s="67"/>
      <c r="I702" s="68"/>
      <c r="J702" s="68"/>
      <c r="K702" s="67" t="s">
        <v>25636</v>
      </c>
      <c r="L702" s="71"/>
      <c r="M702" s="72"/>
      <c r="N702" s="72"/>
      <c r="O702" s="73"/>
      <c r="P702" s="74"/>
      <c r="Q702" s="74"/>
      <c r="R702" s="86"/>
      <c r="S702" s="86"/>
      <c r="T702" s="86"/>
      <c r="U702" s="86"/>
      <c r="V702" s="48"/>
      <c r="W702" s="48"/>
      <c r="X702" s="48"/>
      <c r="Y702" s="48"/>
      <c r="Z702" s="47"/>
      <c r="AA702" s="69">
        <v>702</v>
      </c>
      <c r="AB702" s="69"/>
      <c r="AC702" s="70"/>
      <c r="AD702" s="76" t="s">
        <v>22500</v>
      </c>
      <c r="AE702" s="81" t="s">
        <v>21509</v>
      </c>
      <c r="AF702" s="76">
        <v>0</v>
      </c>
      <c r="AG702" s="76">
        <v>1</v>
      </c>
      <c r="AH702" s="76">
        <v>1</v>
      </c>
      <c r="AI702" s="76">
        <v>0</v>
      </c>
      <c r="AJ702" s="76">
        <v>0</v>
      </c>
      <c r="AK702" s="76">
        <v>1</v>
      </c>
      <c r="AL702" s="76" t="b">
        <v>0</v>
      </c>
      <c r="AM702" s="78">
        <v>44943.909780092596</v>
      </c>
      <c r="AN702" s="76"/>
      <c r="AO702" s="76"/>
      <c r="AP702" s="76"/>
      <c r="AQ702" s="76"/>
      <c r="AR702" s="76"/>
      <c r="AS702" s="76"/>
      <c r="AT702" s="76"/>
      <c r="AU702" s="76"/>
      <c r="AV702" s="76"/>
      <c r="AW702" s="76"/>
      <c r="AX702" s="76" t="b">
        <v>0</v>
      </c>
      <c r="AY702" s="76"/>
      <c r="AZ702" s="76"/>
      <c r="BA702" s="76" t="b">
        <v>0</v>
      </c>
      <c r="BB702" s="76" t="b">
        <v>1</v>
      </c>
      <c r="BC702" s="76" t="b">
        <v>1</v>
      </c>
      <c r="BD702" s="76" t="b">
        <v>1</v>
      </c>
      <c r="BE702" s="76" t="b">
        <v>0</v>
      </c>
      <c r="BF702" s="76" t="b">
        <v>0</v>
      </c>
      <c r="BG702" s="76" t="b">
        <v>0</v>
      </c>
      <c r="BH702" s="76"/>
      <c r="BI702" s="76"/>
      <c r="BJ702" s="76" t="s">
        <v>24935</v>
      </c>
      <c r="BK702" s="76" t="b">
        <v>0</v>
      </c>
      <c r="BL702" s="76"/>
      <c r="BM702" s="76" t="s">
        <v>66</v>
      </c>
      <c r="BN702" s="76" t="s">
        <v>24937</v>
      </c>
      <c r="BO702" s="83" t="str">
        <f>HYPERLINK("https://twitter.com/dielgo1")</f>
        <v>https://twitter.com/dielgo1</v>
      </c>
      <c r="BP702" s="2"/>
    </row>
    <row r="703" spans="1:68" x14ac:dyDescent="0.25">
      <c r="A703" s="62" t="s">
        <v>892</v>
      </c>
      <c r="B703" s="63"/>
      <c r="C703" s="63"/>
      <c r="D703" s="64"/>
      <c r="E703" s="66"/>
      <c r="F703" s="102" t="str">
        <f>HYPERLINK("https://pbs.twimg.com/profile_images/1655311596065890304/tL_QIh9D_normal.jpg")</f>
        <v>https://pbs.twimg.com/profile_images/1655311596065890304/tL_QIh9D_normal.jpg</v>
      </c>
      <c r="G703" s="63"/>
      <c r="H703" s="67"/>
      <c r="I703" s="68"/>
      <c r="J703" s="68"/>
      <c r="K703" s="67" t="s">
        <v>25637</v>
      </c>
      <c r="L703" s="71"/>
      <c r="M703" s="72"/>
      <c r="N703" s="72"/>
      <c r="O703" s="73"/>
      <c r="P703" s="74"/>
      <c r="Q703" s="74"/>
      <c r="R703" s="86"/>
      <c r="S703" s="86"/>
      <c r="T703" s="86"/>
      <c r="U703" s="86"/>
      <c r="V703" s="48"/>
      <c r="W703" s="48"/>
      <c r="X703" s="48"/>
      <c r="Y703" s="48"/>
      <c r="Z703" s="47"/>
      <c r="AA703" s="69">
        <v>703</v>
      </c>
      <c r="AB703" s="69"/>
      <c r="AC703" s="70"/>
      <c r="AD703" s="76" t="s">
        <v>22501</v>
      </c>
      <c r="AE703" s="81" t="s">
        <v>21510</v>
      </c>
      <c r="AF703" s="76">
        <v>2</v>
      </c>
      <c r="AG703" s="76">
        <v>29</v>
      </c>
      <c r="AH703" s="76">
        <v>63</v>
      </c>
      <c r="AI703" s="76">
        <v>0</v>
      </c>
      <c r="AJ703" s="76">
        <v>19</v>
      </c>
      <c r="AK703" s="76">
        <v>2</v>
      </c>
      <c r="AL703" s="76" t="b">
        <v>0</v>
      </c>
      <c r="AM703" s="78">
        <v>44975.820081018515</v>
      </c>
      <c r="AN703" s="76"/>
      <c r="AO703" s="76" t="s">
        <v>23951</v>
      </c>
      <c r="AP703" s="83" t="str">
        <f>HYPERLINK("https://t.co/m01rgzKamF")</f>
        <v>https://t.co/m01rgzKamF</v>
      </c>
      <c r="AQ703" s="83" t="str">
        <f>HYPERLINK("https://instagram.com/biomed.estetta?igshid=NGExMmI2YTkyZg==")</f>
        <v>https://instagram.com/biomed.estetta?igshid=NGExMmI2YTkyZg==</v>
      </c>
      <c r="AR703" s="76" t="s">
        <v>24634</v>
      </c>
      <c r="AS703" s="76"/>
      <c r="AT703" s="76"/>
      <c r="AU703" s="76"/>
      <c r="AV703" s="76"/>
      <c r="AW703" s="83" t="str">
        <f>HYPERLINK("https://t.co/m01rgzKamF")</f>
        <v>https://t.co/m01rgzKamF</v>
      </c>
      <c r="AX703" s="76" t="b">
        <v>0</v>
      </c>
      <c r="AY703" s="76"/>
      <c r="AZ703" s="76"/>
      <c r="BA703" s="76" t="b">
        <v>0</v>
      </c>
      <c r="BB703" s="76" t="b">
        <v>1</v>
      </c>
      <c r="BC703" s="76" t="b">
        <v>1</v>
      </c>
      <c r="BD703" s="76" t="b">
        <v>0</v>
      </c>
      <c r="BE703" s="76" t="b">
        <v>0</v>
      </c>
      <c r="BF703" s="76" t="b">
        <v>0</v>
      </c>
      <c r="BG703" s="76" t="b">
        <v>0</v>
      </c>
      <c r="BH703" s="83" t="str">
        <f>HYPERLINK("https://pbs.twimg.com/profile_banners/1627030338378809349/1683492012")</f>
        <v>https://pbs.twimg.com/profile_banners/1627030338378809349/1683492012</v>
      </c>
      <c r="BI703" s="76"/>
      <c r="BJ703" s="76" t="s">
        <v>24935</v>
      </c>
      <c r="BK703" s="76" t="b">
        <v>0</v>
      </c>
      <c r="BL703" s="76"/>
      <c r="BM703" s="76" t="s">
        <v>66</v>
      </c>
      <c r="BN703" s="76" t="s">
        <v>24937</v>
      </c>
      <c r="BO703" s="83" t="str">
        <f>HYPERLINK("https://twitter.com/biomedestetta")</f>
        <v>https://twitter.com/biomedestetta</v>
      </c>
      <c r="BP703" s="2"/>
    </row>
    <row r="704" spans="1:68" x14ac:dyDescent="0.25">
      <c r="A704" s="62" t="s">
        <v>893</v>
      </c>
      <c r="B704" s="63"/>
      <c r="C704" s="63"/>
      <c r="D704" s="64"/>
      <c r="E704" s="66"/>
      <c r="F704" s="102" t="str">
        <f>HYPERLINK("https://pbs.twimg.com/profile_images/1670596728368578562/FDWhhw97_normal.jpg")</f>
        <v>https://pbs.twimg.com/profile_images/1670596728368578562/FDWhhw97_normal.jpg</v>
      </c>
      <c r="G704" s="63"/>
      <c r="H704" s="67"/>
      <c r="I704" s="68"/>
      <c r="J704" s="68"/>
      <c r="K704" s="67" t="s">
        <v>25638</v>
      </c>
      <c r="L704" s="71"/>
      <c r="M704" s="72"/>
      <c r="N704" s="72"/>
      <c r="O704" s="73"/>
      <c r="P704" s="74"/>
      <c r="Q704" s="74"/>
      <c r="R704" s="86"/>
      <c r="S704" s="86"/>
      <c r="T704" s="86"/>
      <c r="U704" s="86"/>
      <c r="V704" s="48"/>
      <c r="W704" s="48"/>
      <c r="X704" s="48"/>
      <c r="Y704" s="48"/>
      <c r="Z704" s="47"/>
      <c r="AA704" s="69">
        <v>704</v>
      </c>
      <c r="AB704" s="69"/>
      <c r="AC704" s="70"/>
      <c r="AD704" s="76" t="s">
        <v>22087</v>
      </c>
      <c r="AE704" s="81" t="s">
        <v>21511</v>
      </c>
      <c r="AF704" s="76">
        <v>25</v>
      </c>
      <c r="AG704" s="76">
        <v>244</v>
      </c>
      <c r="AH704" s="76">
        <v>592</v>
      </c>
      <c r="AI704" s="76">
        <v>0</v>
      </c>
      <c r="AJ704" s="76">
        <v>59</v>
      </c>
      <c r="AK704" s="76">
        <v>36</v>
      </c>
      <c r="AL704" s="76" t="b">
        <v>0</v>
      </c>
      <c r="AM704" s="78">
        <v>44554.607685185183</v>
      </c>
      <c r="AN704" s="76" t="s">
        <v>23257</v>
      </c>
      <c r="AO704" s="76"/>
      <c r="AP704" s="83" t="str">
        <f>HYPERLINK("https://t.co/3G6w0A9ugO")</f>
        <v>https://t.co/3G6w0A9ugO</v>
      </c>
      <c r="AQ704" s="83" t="str">
        <f>HYPERLINK("http://Instagram.com/thiagorh1")</f>
        <v>http://Instagram.com/thiagorh1</v>
      </c>
      <c r="AR704" s="76" t="s">
        <v>24635</v>
      </c>
      <c r="AS704" s="76"/>
      <c r="AT704" s="76"/>
      <c r="AU704" s="76"/>
      <c r="AV704" s="76">
        <v>1.48452550393566E+18</v>
      </c>
      <c r="AW704" s="83" t="str">
        <f>HYPERLINK("https://t.co/3G6w0A9ugO")</f>
        <v>https://t.co/3G6w0A9ugO</v>
      </c>
      <c r="AX704" s="76" t="b">
        <v>0</v>
      </c>
      <c r="AY704" s="76"/>
      <c r="AZ704" s="76"/>
      <c r="BA704" s="76" t="b">
        <v>0</v>
      </c>
      <c r="BB704" s="76" t="b">
        <v>1</v>
      </c>
      <c r="BC704" s="76" t="b">
        <v>1</v>
      </c>
      <c r="BD704" s="76" t="b">
        <v>0</v>
      </c>
      <c r="BE704" s="76" t="b">
        <v>0</v>
      </c>
      <c r="BF704" s="76" t="b">
        <v>0</v>
      </c>
      <c r="BG704" s="76" t="b">
        <v>1</v>
      </c>
      <c r="BH704" s="83" t="str">
        <f>HYPERLINK("https://pbs.twimg.com/profile_banners/1474388008069738497/1665473426")</f>
        <v>https://pbs.twimg.com/profile_banners/1474388008069738497/1665473426</v>
      </c>
      <c r="BI704" s="76"/>
      <c r="BJ704" s="76" t="s">
        <v>24935</v>
      </c>
      <c r="BK704" s="76" t="b">
        <v>0</v>
      </c>
      <c r="BL704" s="76"/>
      <c r="BM704" s="76" t="s">
        <v>66</v>
      </c>
      <c r="BN704" s="76" t="s">
        <v>24937</v>
      </c>
      <c r="BO704" s="83" t="str">
        <f>HYPERLINK("https://twitter.com/thiagorh2")</f>
        <v>https://twitter.com/thiagorh2</v>
      </c>
      <c r="BP704" s="2"/>
    </row>
    <row r="705" spans="1:68" x14ac:dyDescent="0.25">
      <c r="A705" s="62" t="s">
        <v>894</v>
      </c>
      <c r="B705" s="63"/>
      <c r="C705" s="63"/>
      <c r="D705" s="64"/>
      <c r="E705" s="66"/>
      <c r="F705" s="102" t="str">
        <f>HYPERLINK("https://pbs.twimg.com/profile_images/1675258874767499264/eHx_M_53_normal.jpg")</f>
        <v>https://pbs.twimg.com/profile_images/1675258874767499264/eHx_M_53_normal.jpg</v>
      </c>
      <c r="G705" s="63"/>
      <c r="H705" s="67"/>
      <c r="I705" s="68"/>
      <c r="J705" s="68"/>
      <c r="K705" s="67" t="s">
        <v>25639</v>
      </c>
      <c r="L705" s="71"/>
      <c r="M705" s="72"/>
      <c r="N705" s="72"/>
      <c r="O705" s="73"/>
      <c r="P705" s="74"/>
      <c r="Q705" s="74"/>
      <c r="R705" s="86"/>
      <c r="S705" s="86"/>
      <c r="T705" s="86"/>
      <c r="U705" s="86"/>
      <c r="V705" s="48"/>
      <c r="W705" s="48"/>
      <c r="X705" s="48"/>
      <c r="Y705" s="48"/>
      <c r="Z705" s="47"/>
      <c r="AA705" s="69">
        <v>705</v>
      </c>
      <c r="AB705" s="69"/>
      <c r="AC705" s="70"/>
      <c r="AD705" s="76" t="s">
        <v>22502</v>
      </c>
      <c r="AE705" s="81" t="s">
        <v>21512</v>
      </c>
      <c r="AF705" s="76">
        <v>0</v>
      </c>
      <c r="AG705" s="76">
        <v>3</v>
      </c>
      <c r="AH705" s="76">
        <v>11</v>
      </c>
      <c r="AI705" s="76">
        <v>0</v>
      </c>
      <c r="AJ705" s="76">
        <v>19</v>
      </c>
      <c r="AK705" s="76">
        <v>8</v>
      </c>
      <c r="AL705" s="76" t="b">
        <v>0</v>
      </c>
      <c r="AM705" s="78">
        <v>43092.932199074072</v>
      </c>
      <c r="AN705" s="76" t="s">
        <v>23258</v>
      </c>
      <c r="AO705" s="76" t="s">
        <v>23952</v>
      </c>
      <c r="AP705" s="83" t="str">
        <f>HYPERLINK("https://t.co/kYSHAStX4n")</f>
        <v>https://t.co/kYSHAStX4n</v>
      </c>
      <c r="AQ705" s="83" t="str">
        <f>HYPERLINK("http://peeked.com.br")</f>
        <v>http://peeked.com.br</v>
      </c>
      <c r="AR705" s="76" t="s">
        <v>24636</v>
      </c>
      <c r="AS705" s="76"/>
      <c r="AT705" s="76"/>
      <c r="AU705" s="76"/>
      <c r="AV705" s="76">
        <v>1.6757340507643799E+18</v>
      </c>
      <c r="AW705" s="83" t="str">
        <f>HYPERLINK("https://t.co/kYSHAStX4n")</f>
        <v>https://t.co/kYSHAStX4n</v>
      </c>
      <c r="AX705" s="76" t="b">
        <v>0</v>
      </c>
      <c r="AY705" s="76"/>
      <c r="AZ705" s="76"/>
      <c r="BA705" s="76" t="b">
        <v>0</v>
      </c>
      <c r="BB705" s="76" t="b">
        <v>1</v>
      </c>
      <c r="BC705" s="76" t="b">
        <v>1</v>
      </c>
      <c r="BD705" s="76" t="b">
        <v>0</v>
      </c>
      <c r="BE705" s="76" t="b">
        <v>0</v>
      </c>
      <c r="BF705" s="76" t="b">
        <v>0</v>
      </c>
      <c r="BG705" s="76" t="b">
        <v>0</v>
      </c>
      <c r="BH705" s="83" t="str">
        <f>HYPERLINK("https://pbs.twimg.com/profile_banners/944694697863405568/1688247816")</f>
        <v>https://pbs.twimg.com/profile_banners/944694697863405568/1688247816</v>
      </c>
      <c r="BI705" s="76"/>
      <c r="BJ705" s="76" t="s">
        <v>24935</v>
      </c>
      <c r="BK705" s="76" t="b">
        <v>0</v>
      </c>
      <c r="BL705" s="76"/>
      <c r="BM705" s="76" t="s">
        <v>66</v>
      </c>
      <c r="BN705" s="76" t="s">
        <v>24937</v>
      </c>
      <c r="BO705" s="83" t="str">
        <f>HYPERLINK("https://twitter.com/peekedoficial")</f>
        <v>https://twitter.com/peekedoficial</v>
      </c>
      <c r="BP705" s="2"/>
    </row>
    <row r="706" spans="1:68" x14ac:dyDescent="0.25">
      <c r="A706" s="62" t="s">
        <v>895</v>
      </c>
      <c r="B706" s="63"/>
      <c r="C706" s="63"/>
      <c r="D706" s="64"/>
      <c r="E706" s="66"/>
      <c r="F706" s="102" t="str">
        <f>HYPERLINK("https://abs.twimg.com/sticky/default_profile_images/default_profile_normal.png")</f>
        <v>https://abs.twimg.com/sticky/default_profile_images/default_profile_normal.png</v>
      </c>
      <c r="G706" s="63"/>
      <c r="H706" s="67"/>
      <c r="I706" s="68"/>
      <c r="J706" s="68"/>
      <c r="K706" s="67" t="s">
        <v>25640</v>
      </c>
      <c r="L706" s="71"/>
      <c r="M706" s="72"/>
      <c r="N706" s="72"/>
      <c r="O706" s="73"/>
      <c r="P706" s="74"/>
      <c r="Q706" s="74"/>
      <c r="R706" s="86"/>
      <c r="S706" s="86"/>
      <c r="T706" s="86"/>
      <c r="U706" s="86"/>
      <c r="V706" s="48"/>
      <c r="W706" s="48"/>
      <c r="X706" s="48"/>
      <c r="Y706" s="48"/>
      <c r="Z706" s="47"/>
      <c r="AA706" s="69">
        <v>706</v>
      </c>
      <c r="AB706" s="69"/>
      <c r="AC706" s="70"/>
      <c r="AD706" s="76" t="s">
        <v>22503</v>
      </c>
      <c r="AE706" s="81" t="s">
        <v>21513</v>
      </c>
      <c r="AF706" s="76">
        <v>0</v>
      </c>
      <c r="AG706" s="76">
        <v>5</v>
      </c>
      <c r="AH706" s="76">
        <v>3</v>
      </c>
      <c r="AI706" s="76">
        <v>0</v>
      </c>
      <c r="AJ706" s="76">
        <v>2</v>
      </c>
      <c r="AK706" s="76">
        <v>3</v>
      </c>
      <c r="AL706" s="76" t="b">
        <v>0</v>
      </c>
      <c r="AM706" s="78">
        <v>45131.929155092592</v>
      </c>
      <c r="AN706" s="76"/>
      <c r="AO706" s="83" t="str">
        <f>HYPERLINK("https://t.co/nzoXjbxjRN")</f>
        <v>https://t.co/nzoXjbxjRN</v>
      </c>
      <c r="AP706" s="76"/>
      <c r="AQ706" s="76"/>
      <c r="AR706" s="76"/>
      <c r="AS706" s="83" t="str">
        <f>HYPERLINK("https://t.co/nzoXjbxjRN")</f>
        <v>https://t.co/nzoXjbxjRN</v>
      </c>
      <c r="AT706" s="83" t="str">
        <f>HYPERLINK("https://brking777.com/#/?invite_code=O92W9V")</f>
        <v>https://brking777.com/#/?invite_code=O92W9V</v>
      </c>
      <c r="AU706" s="76" t="s">
        <v>24900</v>
      </c>
      <c r="AV706" s="76"/>
      <c r="AW706" s="76"/>
      <c r="AX706" s="76" t="b">
        <v>0</v>
      </c>
      <c r="AY706" s="76"/>
      <c r="AZ706" s="76"/>
      <c r="BA706" s="76" t="b">
        <v>0</v>
      </c>
      <c r="BB706" s="76" t="b">
        <v>1</v>
      </c>
      <c r="BC706" s="76" t="b">
        <v>1</v>
      </c>
      <c r="BD706" s="76" t="b">
        <v>1</v>
      </c>
      <c r="BE706" s="76" t="b">
        <v>0</v>
      </c>
      <c r="BF706" s="76" t="b">
        <v>0</v>
      </c>
      <c r="BG706" s="76" t="b">
        <v>0</v>
      </c>
      <c r="BH706" s="76"/>
      <c r="BI706" s="76"/>
      <c r="BJ706" s="76" t="s">
        <v>24935</v>
      </c>
      <c r="BK706" s="76" t="b">
        <v>0</v>
      </c>
      <c r="BL706" s="76"/>
      <c r="BM706" s="76" t="s">
        <v>66</v>
      </c>
      <c r="BN706" s="76" t="s">
        <v>24937</v>
      </c>
      <c r="BO706" s="83" t="str">
        <f>HYPERLINK("https://twitter.com/maayaa665629")</f>
        <v>https://twitter.com/maayaa665629</v>
      </c>
      <c r="BP706" s="2"/>
    </row>
    <row r="707" spans="1:68" x14ac:dyDescent="0.25">
      <c r="A707" s="62" t="s">
        <v>896</v>
      </c>
      <c r="B707" s="63"/>
      <c r="C707" s="63"/>
      <c r="D707" s="64"/>
      <c r="E707" s="66"/>
      <c r="F707" s="102" t="str">
        <f>HYPERLINK("https://pbs.twimg.com/profile_images/1650081833512493057/B86K4vQf_normal.jpg")</f>
        <v>https://pbs.twimg.com/profile_images/1650081833512493057/B86K4vQf_normal.jpg</v>
      </c>
      <c r="G707" s="63"/>
      <c r="H707" s="67"/>
      <c r="I707" s="68"/>
      <c r="J707" s="68"/>
      <c r="K707" s="67" t="s">
        <v>25641</v>
      </c>
      <c r="L707" s="71"/>
      <c r="M707" s="72"/>
      <c r="N707" s="72"/>
      <c r="O707" s="73"/>
      <c r="P707" s="74"/>
      <c r="Q707" s="74"/>
      <c r="R707" s="86"/>
      <c r="S707" s="86"/>
      <c r="T707" s="86"/>
      <c r="U707" s="86"/>
      <c r="V707" s="48"/>
      <c r="W707" s="48"/>
      <c r="X707" s="48"/>
      <c r="Y707" s="48"/>
      <c r="Z707" s="47"/>
      <c r="AA707" s="69">
        <v>707</v>
      </c>
      <c r="AB707" s="69"/>
      <c r="AC707" s="70"/>
      <c r="AD707" s="76" t="s">
        <v>22504</v>
      </c>
      <c r="AE707" s="81" t="s">
        <v>22998</v>
      </c>
      <c r="AF707" s="76">
        <v>8</v>
      </c>
      <c r="AG707" s="76">
        <v>130</v>
      </c>
      <c r="AH707" s="76">
        <v>204</v>
      </c>
      <c r="AI707" s="76">
        <v>0</v>
      </c>
      <c r="AJ707" s="76">
        <v>18</v>
      </c>
      <c r="AK707" s="76">
        <v>11</v>
      </c>
      <c r="AL707" s="76" t="b">
        <v>0</v>
      </c>
      <c r="AM707" s="78">
        <v>41296.050370370373</v>
      </c>
      <c r="AN707" s="76"/>
      <c r="AO707" s="76"/>
      <c r="AP707" s="76"/>
      <c r="AQ707" s="76"/>
      <c r="AR707" s="76"/>
      <c r="AS707" s="76"/>
      <c r="AT707" s="76"/>
      <c r="AU707" s="76"/>
      <c r="AV707" s="76"/>
      <c r="AW707" s="76"/>
      <c r="AX707" s="76" t="b">
        <v>0</v>
      </c>
      <c r="AY707" s="76"/>
      <c r="AZ707" s="76"/>
      <c r="BA707" s="76" t="b">
        <v>1</v>
      </c>
      <c r="BB707" s="76" t="b">
        <v>1</v>
      </c>
      <c r="BC707" s="76" t="b">
        <v>1</v>
      </c>
      <c r="BD707" s="76" t="b">
        <v>0</v>
      </c>
      <c r="BE707" s="76" t="b">
        <v>1</v>
      </c>
      <c r="BF707" s="76" t="b">
        <v>0</v>
      </c>
      <c r="BG707" s="76" t="b">
        <v>0</v>
      </c>
      <c r="BH707" s="76"/>
      <c r="BI707" s="76"/>
      <c r="BJ707" s="76" t="s">
        <v>24935</v>
      </c>
      <c r="BK707" s="76" t="b">
        <v>0</v>
      </c>
      <c r="BL707" s="76"/>
      <c r="BM707" s="76" t="s">
        <v>66</v>
      </c>
      <c r="BN707" s="76" t="s">
        <v>24937</v>
      </c>
      <c r="BO707" s="83" t="str">
        <f>HYPERLINK("https://twitter.com/silashenrique23")</f>
        <v>https://twitter.com/silashenrique23</v>
      </c>
      <c r="BP707" s="2"/>
    </row>
    <row r="708" spans="1:68" x14ac:dyDescent="0.25">
      <c r="A708" s="62" t="s">
        <v>1268</v>
      </c>
      <c r="B708" s="63"/>
      <c r="C708" s="63"/>
      <c r="D708" s="64"/>
      <c r="E708" s="66"/>
      <c r="F708" s="102" t="str">
        <f>HYPERLINK("https://pbs.twimg.com/profile_images/1624042710037299200/_wiCdKIW_normal.jpg")</f>
        <v>https://pbs.twimg.com/profile_images/1624042710037299200/_wiCdKIW_normal.jpg</v>
      </c>
      <c r="G708" s="63"/>
      <c r="H708" s="67"/>
      <c r="I708" s="68"/>
      <c r="J708" s="68"/>
      <c r="K708" s="67" t="s">
        <v>25642</v>
      </c>
      <c r="L708" s="71"/>
      <c r="M708" s="72"/>
      <c r="N708" s="72"/>
      <c r="O708" s="73"/>
      <c r="P708" s="74"/>
      <c r="Q708" s="74"/>
      <c r="R708" s="86"/>
      <c r="S708" s="86"/>
      <c r="T708" s="86"/>
      <c r="U708" s="86"/>
      <c r="V708" s="48"/>
      <c r="W708" s="48"/>
      <c r="X708" s="48"/>
      <c r="Y708" s="48"/>
      <c r="Z708" s="47"/>
      <c r="AA708" s="69">
        <v>708</v>
      </c>
      <c r="AB708" s="69"/>
      <c r="AC708" s="70"/>
      <c r="AD708" s="76" t="s">
        <v>22505</v>
      </c>
      <c r="AE708" s="81" t="s">
        <v>20955</v>
      </c>
      <c r="AF708" s="76">
        <v>6441681</v>
      </c>
      <c r="AG708" s="76">
        <v>7949</v>
      </c>
      <c r="AH708" s="76">
        <v>48998</v>
      </c>
      <c r="AI708" s="76">
        <v>2468</v>
      </c>
      <c r="AJ708" s="76">
        <v>2292</v>
      </c>
      <c r="AK708" s="76">
        <v>35076</v>
      </c>
      <c r="AL708" s="76" t="b">
        <v>0</v>
      </c>
      <c r="AM708" s="78">
        <v>43116.893935185188</v>
      </c>
      <c r="AN708" s="76"/>
      <c r="AO708" s="76" t="s">
        <v>23953</v>
      </c>
      <c r="AP708" s="76"/>
      <c r="AQ708" s="76"/>
      <c r="AR708" s="76"/>
      <c r="AS708" s="76"/>
      <c r="AT708" s="76"/>
      <c r="AU708" s="76"/>
      <c r="AV708" s="76">
        <v>1.7055975965284301E+18</v>
      </c>
      <c r="AW708" s="76"/>
      <c r="AX708" s="76" t="b">
        <v>1</v>
      </c>
      <c r="AY708" s="76"/>
      <c r="AZ708" s="76"/>
      <c r="BA708" s="76" t="b">
        <v>1</v>
      </c>
      <c r="BB708" s="76" t="b">
        <v>0</v>
      </c>
      <c r="BC708" s="76" t="b">
        <v>1</v>
      </c>
      <c r="BD708" s="76" t="b">
        <v>0</v>
      </c>
      <c r="BE708" s="76" t="b">
        <v>1</v>
      </c>
      <c r="BF708" s="76" t="b">
        <v>0</v>
      </c>
      <c r="BG708" s="76" t="b">
        <v>0</v>
      </c>
      <c r="BH708" s="83" t="str">
        <f>HYPERLINK("https://pbs.twimg.com/profile_banners/953378142198161409/1676134162")</f>
        <v>https://pbs.twimg.com/profile_banners/953378142198161409/1676134162</v>
      </c>
      <c r="BI708" s="76"/>
      <c r="BJ708" s="76" t="s">
        <v>24935</v>
      </c>
      <c r="BK708" s="76" t="b">
        <v>0</v>
      </c>
      <c r="BL708" s="76"/>
      <c r="BM708" s="76" t="s">
        <v>65</v>
      </c>
      <c r="BN708" s="76" t="s">
        <v>24937</v>
      </c>
      <c r="BO708" s="83" t="str">
        <f>HYPERLINK("https://twitter.com/choquei")</f>
        <v>https://twitter.com/choquei</v>
      </c>
      <c r="BP708" s="2"/>
    </row>
    <row r="709" spans="1:68" x14ac:dyDescent="0.25">
      <c r="A709" s="62" t="s">
        <v>897</v>
      </c>
      <c r="B709" s="63"/>
      <c r="C709" s="63"/>
      <c r="D709" s="64"/>
      <c r="E709" s="66"/>
      <c r="F709" s="102" t="str">
        <f>HYPERLINK("https://pbs.twimg.com/profile_images/1545744920937467905/TB1L8brD_normal.jpg")</f>
        <v>https://pbs.twimg.com/profile_images/1545744920937467905/TB1L8brD_normal.jpg</v>
      </c>
      <c r="G709" s="63"/>
      <c r="H709" s="67"/>
      <c r="I709" s="68"/>
      <c r="J709" s="68"/>
      <c r="K709" s="67" t="s">
        <v>25643</v>
      </c>
      <c r="L709" s="71"/>
      <c r="M709" s="72"/>
      <c r="N709" s="72"/>
      <c r="O709" s="73"/>
      <c r="P709" s="74"/>
      <c r="Q709" s="74"/>
      <c r="R709" s="86"/>
      <c r="S709" s="86"/>
      <c r="T709" s="86"/>
      <c r="U709" s="86"/>
      <c r="V709" s="48"/>
      <c r="W709" s="48"/>
      <c r="X709" s="48"/>
      <c r="Y709" s="48"/>
      <c r="Z709" s="47"/>
      <c r="AA709" s="69">
        <v>709</v>
      </c>
      <c r="AB709" s="69"/>
      <c r="AC709" s="70"/>
      <c r="AD709" s="76" t="s">
        <v>22506</v>
      </c>
      <c r="AE709" s="81" t="s">
        <v>21514</v>
      </c>
      <c r="AF709" s="76">
        <v>2072</v>
      </c>
      <c r="AG709" s="76">
        <v>2207</v>
      </c>
      <c r="AH709" s="76">
        <v>58929</v>
      </c>
      <c r="AI709" s="76">
        <v>0</v>
      </c>
      <c r="AJ709" s="76">
        <v>37327</v>
      </c>
      <c r="AK709" s="76">
        <v>2690</v>
      </c>
      <c r="AL709" s="76" t="b">
        <v>0</v>
      </c>
      <c r="AM709" s="78">
        <v>44751.507187499999</v>
      </c>
      <c r="AN709" s="76" t="s">
        <v>23259</v>
      </c>
      <c r="AO709" s="76" t="s">
        <v>23954</v>
      </c>
      <c r="AP709" s="83" t="str">
        <f>HYPERLINK("https://t.co/JyFkBbwKKF")</f>
        <v>https://t.co/JyFkBbwKKF</v>
      </c>
      <c r="AQ709" s="83" t="str">
        <f>HYPERLINK("https://ntnc.com.br/92638200-a246-4734-bcc3-c04b59f04323")</f>
        <v>https://ntnc.com.br/92638200-a246-4734-bcc3-c04b59f04323</v>
      </c>
      <c r="AR709" s="76" t="s">
        <v>24637</v>
      </c>
      <c r="AS709" s="76"/>
      <c r="AT709" s="76"/>
      <c r="AU709" s="76"/>
      <c r="AV709" s="76"/>
      <c r="AW709" s="83" t="str">
        <f>HYPERLINK("https://t.co/JyFkBbwKKF")</f>
        <v>https://t.co/JyFkBbwKKF</v>
      </c>
      <c r="AX709" s="76" t="b">
        <v>0</v>
      </c>
      <c r="AY709" s="76"/>
      <c r="AZ709" s="76"/>
      <c r="BA709" s="76" t="b">
        <v>1</v>
      </c>
      <c r="BB709" s="76" t="b">
        <v>1</v>
      </c>
      <c r="BC709" s="76" t="b">
        <v>1</v>
      </c>
      <c r="BD709" s="76" t="b">
        <v>0</v>
      </c>
      <c r="BE709" s="76" t="b">
        <v>0</v>
      </c>
      <c r="BF709" s="76" t="b">
        <v>0</v>
      </c>
      <c r="BG709" s="76" t="b">
        <v>0</v>
      </c>
      <c r="BH709" s="83" t="str">
        <f>HYPERLINK("https://pbs.twimg.com/profile_banners/1545742091023679488/1657369299")</f>
        <v>https://pbs.twimg.com/profile_banners/1545742091023679488/1657369299</v>
      </c>
      <c r="BI709" s="76"/>
      <c r="BJ709" s="76" t="s">
        <v>24935</v>
      </c>
      <c r="BK709" s="76" t="b">
        <v>0</v>
      </c>
      <c r="BL709" s="76"/>
      <c r="BM709" s="76" t="s">
        <v>66</v>
      </c>
      <c r="BN709" s="76" t="s">
        <v>24937</v>
      </c>
      <c r="BO709" s="83" t="str">
        <f>HYPERLINK("https://twitter.com/info_joinville")</f>
        <v>https://twitter.com/info_joinville</v>
      </c>
      <c r="BP709" s="2"/>
    </row>
    <row r="710" spans="1:68" x14ac:dyDescent="0.25">
      <c r="A710" s="62" t="s">
        <v>898</v>
      </c>
      <c r="B710" s="63"/>
      <c r="C710" s="63"/>
      <c r="D710" s="64"/>
      <c r="E710" s="66"/>
      <c r="F710" s="102" t="str">
        <f>HYPERLINK("https://pbs.twimg.com/profile_images/1703079490417524736/Vv_7hwGd_normal.jpg")</f>
        <v>https://pbs.twimg.com/profile_images/1703079490417524736/Vv_7hwGd_normal.jpg</v>
      </c>
      <c r="G710" s="63"/>
      <c r="H710" s="67"/>
      <c r="I710" s="68"/>
      <c r="J710" s="68"/>
      <c r="K710" s="67" t="s">
        <v>25644</v>
      </c>
      <c r="L710" s="71"/>
      <c r="M710" s="72"/>
      <c r="N710" s="72"/>
      <c r="O710" s="73"/>
      <c r="P710" s="74"/>
      <c r="Q710" s="74"/>
      <c r="R710" s="86"/>
      <c r="S710" s="86"/>
      <c r="T710" s="86"/>
      <c r="U710" s="86"/>
      <c r="V710" s="48"/>
      <c r="W710" s="48"/>
      <c r="X710" s="48"/>
      <c r="Y710" s="48"/>
      <c r="Z710" s="47"/>
      <c r="AA710" s="69">
        <v>710</v>
      </c>
      <c r="AB710" s="69"/>
      <c r="AC710" s="70"/>
      <c r="AD710" s="76" t="s">
        <v>22507</v>
      </c>
      <c r="AE710" s="81" t="s">
        <v>21515</v>
      </c>
      <c r="AF710" s="76">
        <v>4</v>
      </c>
      <c r="AG710" s="76">
        <v>31</v>
      </c>
      <c r="AH710" s="76">
        <v>19</v>
      </c>
      <c r="AI710" s="76">
        <v>0</v>
      </c>
      <c r="AJ710" s="76">
        <v>47</v>
      </c>
      <c r="AK710" s="76">
        <v>15</v>
      </c>
      <c r="AL710" s="76" t="b">
        <v>0</v>
      </c>
      <c r="AM710" s="78">
        <v>45185.671273148146</v>
      </c>
      <c r="AN710" s="76" t="s">
        <v>23225</v>
      </c>
      <c r="AO710" s="76" t="s">
        <v>23955</v>
      </c>
      <c r="AP710" s="83" t="str">
        <f>HYPERLINK("https://t.co/EeNng78EZt")</f>
        <v>https://t.co/EeNng78EZt</v>
      </c>
      <c r="AQ710" s="83" t="str">
        <f>HYPERLINK("https://www.magazinevoce.com.br/magazinedelanjos/")</f>
        <v>https://www.magazinevoce.com.br/magazinedelanjos/</v>
      </c>
      <c r="AR710" s="76" t="s">
        <v>24587</v>
      </c>
      <c r="AS710" s="76"/>
      <c r="AT710" s="76"/>
      <c r="AU710" s="76"/>
      <c r="AV710" s="76"/>
      <c r="AW710" s="83" t="str">
        <f>HYPERLINK("https://t.co/EeNng78EZt")</f>
        <v>https://t.co/EeNng78EZt</v>
      </c>
      <c r="AX710" s="76" t="b">
        <v>0</v>
      </c>
      <c r="AY710" s="76"/>
      <c r="AZ710" s="76"/>
      <c r="BA710" s="76" t="b">
        <v>0</v>
      </c>
      <c r="BB710" s="76" t="b">
        <v>1</v>
      </c>
      <c r="BC710" s="76" t="b">
        <v>1</v>
      </c>
      <c r="BD710" s="76" t="b">
        <v>0</v>
      </c>
      <c r="BE710" s="76" t="b">
        <v>0</v>
      </c>
      <c r="BF710" s="76" t="b">
        <v>0</v>
      </c>
      <c r="BG710" s="76" t="b">
        <v>0</v>
      </c>
      <c r="BH710" s="83" t="str">
        <f>HYPERLINK("https://pbs.twimg.com/profile_banners/1703077602011795456/1694883011")</f>
        <v>https://pbs.twimg.com/profile_banners/1703077602011795456/1694883011</v>
      </c>
      <c r="BI710" s="76"/>
      <c r="BJ710" s="76" t="s">
        <v>24935</v>
      </c>
      <c r="BK710" s="76" t="b">
        <v>0</v>
      </c>
      <c r="BL710" s="76"/>
      <c r="BM710" s="76" t="s">
        <v>66</v>
      </c>
      <c r="BN710" s="76" t="s">
        <v>24937</v>
      </c>
      <c r="BO710" s="83" t="str">
        <f>HYPERLINK("https://twitter.com/top_dmais75")</f>
        <v>https://twitter.com/top_dmais75</v>
      </c>
      <c r="BP710" s="2"/>
    </row>
    <row r="711" spans="1:68" x14ac:dyDescent="0.25">
      <c r="A711" s="62" t="s">
        <v>899</v>
      </c>
      <c r="B711" s="63"/>
      <c r="C711" s="63"/>
      <c r="D711" s="64"/>
      <c r="E711" s="66"/>
      <c r="F711" s="102" t="str">
        <f>HYPERLINK("https://pbs.twimg.com/profile_images/1624741493352157184/Ovrh_DKF_normal.jpg")</f>
        <v>https://pbs.twimg.com/profile_images/1624741493352157184/Ovrh_DKF_normal.jpg</v>
      </c>
      <c r="G711" s="63"/>
      <c r="H711" s="67"/>
      <c r="I711" s="68"/>
      <c r="J711" s="68"/>
      <c r="K711" s="67" t="s">
        <v>25645</v>
      </c>
      <c r="L711" s="71"/>
      <c r="M711" s="72"/>
      <c r="N711" s="72"/>
      <c r="O711" s="73"/>
      <c r="P711" s="74"/>
      <c r="Q711" s="74"/>
      <c r="R711" s="86"/>
      <c r="S711" s="86"/>
      <c r="T711" s="86"/>
      <c r="U711" s="86"/>
      <c r="V711" s="48"/>
      <c r="W711" s="48"/>
      <c r="X711" s="48"/>
      <c r="Y711" s="48"/>
      <c r="Z711" s="47"/>
      <c r="AA711" s="69">
        <v>711</v>
      </c>
      <c r="AB711" s="69"/>
      <c r="AC711" s="70"/>
      <c r="AD711" s="76" t="s">
        <v>22508</v>
      </c>
      <c r="AE711" s="81" t="s">
        <v>21516</v>
      </c>
      <c r="AF711" s="76">
        <v>2</v>
      </c>
      <c r="AG711" s="76">
        <v>7</v>
      </c>
      <c r="AH711" s="76">
        <v>138</v>
      </c>
      <c r="AI711" s="76">
        <v>0</v>
      </c>
      <c r="AJ711" s="76">
        <v>27</v>
      </c>
      <c r="AK711" s="76">
        <v>17</v>
      </c>
      <c r="AL711" s="76" t="b">
        <v>0</v>
      </c>
      <c r="AM711" s="78">
        <v>44893.911134259259</v>
      </c>
      <c r="AN711" s="76" t="s">
        <v>23260</v>
      </c>
      <c r="AO711" s="76" t="s">
        <v>23956</v>
      </c>
      <c r="AP711" s="83" t="str">
        <f>HYPERLINK("https://t.co/igvKLKMe9E")</f>
        <v>https://t.co/igvKLKMe9E</v>
      </c>
      <c r="AQ711" s="83" t="str">
        <f>HYPERLINK("https://djgarcia-muzik.blogspot.com/")</f>
        <v>https://djgarcia-muzik.blogspot.com/</v>
      </c>
      <c r="AR711" s="76" t="s">
        <v>24638</v>
      </c>
      <c r="AS711" s="76"/>
      <c r="AT711" s="76"/>
      <c r="AU711" s="76"/>
      <c r="AV711" s="76"/>
      <c r="AW711" s="83" t="str">
        <f>HYPERLINK("https://t.co/igvKLKMe9E")</f>
        <v>https://t.co/igvKLKMe9E</v>
      </c>
      <c r="AX711" s="76" t="b">
        <v>0</v>
      </c>
      <c r="AY711" s="76"/>
      <c r="AZ711" s="76"/>
      <c r="BA711" s="76" t="b">
        <v>0</v>
      </c>
      <c r="BB711" s="76" t="b">
        <v>1</v>
      </c>
      <c r="BC711" s="76" t="b">
        <v>1</v>
      </c>
      <c r="BD711" s="76" t="b">
        <v>0</v>
      </c>
      <c r="BE711" s="76" t="b">
        <v>0</v>
      </c>
      <c r="BF711" s="76" t="b">
        <v>0</v>
      </c>
      <c r="BG711" s="76" t="b">
        <v>0</v>
      </c>
      <c r="BH711" s="83" t="str">
        <f>HYPERLINK("https://pbs.twimg.com/profile_banners/1597347524930637826/1676203536")</f>
        <v>https://pbs.twimg.com/profile_banners/1597347524930637826/1676203536</v>
      </c>
      <c r="BI711" s="76"/>
      <c r="BJ711" s="76" t="s">
        <v>24935</v>
      </c>
      <c r="BK711" s="76" t="b">
        <v>0</v>
      </c>
      <c r="BL711" s="76"/>
      <c r="BM711" s="76" t="s">
        <v>66</v>
      </c>
      <c r="BN711" s="76" t="s">
        <v>24937</v>
      </c>
      <c r="BO711" s="83" t="str">
        <f>HYPERLINK("https://twitter.com/luisbumba5")</f>
        <v>https://twitter.com/luisbumba5</v>
      </c>
      <c r="BP711" s="2"/>
    </row>
    <row r="712" spans="1:68" x14ac:dyDescent="0.25">
      <c r="A712" s="62" t="s">
        <v>900</v>
      </c>
      <c r="B712" s="63"/>
      <c r="C712" s="63"/>
      <c r="D712" s="64"/>
      <c r="E712" s="66"/>
      <c r="F712" s="102" t="str">
        <f>HYPERLINK("https://pbs.twimg.com/profile_images/1341542850522189824/HDriN8Xs_normal.jpg")</f>
        <v>https://pbs.twimg.com/profile_images/1341542850522189824/HDriN8Xs_normal.jpg</v>
      </c>
      <c r="G712" s="63"/>
      <c r="H712" s="67"/>
      <c r="I712" s="68"/>
      <c r="J712" s="68"/>
      <c r="K712" s="67" t="s">
        <v>25646</v>
      </c>
      <c r="L712" s="71"/>
      <c r="M712" s="72"/>
      <c r="N712" s="72"/>
      <c r="O712" s="73"/>
      <c r="P712" s="74"/>
      <c r="Q712" s="74"/>
      <c r="R712" s="86"/>
      <c r="S712" s="86"/>
      <c r="T712" s="86"/>
      <c r="U712" s="86"/>
      <c r="V712" s="48"/>
      <c r="W712" s="48"/>
      <c r="X712" s="48"/>
      <c r="Y712" s="48"/>
      <c r="Z712" s="47"/>
      <c r="AA712" s="69">
        <v>712</v>
      </c>
      <c r="AB712" s="69"/>
      <c r="AC712" s="70"/>
      <c r="AD712" s="76" t="s">
        <v>22509</v>
      </c>
      <c r="AE712" s="81" t="s">
        <v>22999</v>
      </c>
      <c r="AF712" s="76">
        <v>1913</v>
      </c>
      <c r="AG712" s="76">
        <v>4251</v>
      </c>
      <c r="AH712" s="76">
        <v>86684</v>
      </c>
      <c r="AI712" s="76">
        <v>6</v>
      </c>
      <c r="AJ712" s="76">
        <v>265883</v>
      </c>
      <c r="AK712" s="76">
        <v>5412</v>
      </c>
      <c r="AL712" s="76" t="b">
        <v>0</v>
      </c>
      <c r="AM712" s="78">
        <v>40155.560636574075</v>
      </c>
      <c r="AN712" s="76"/>
      <c r="AO712" s="76" t="s">
        <v>23957</v>
      </c>
      <c r="AP712" s="83" t="str">
        <f>HYPERLINK("https://t.co/ePR6S0uQ4k")</f>
        <v>https://t.co/ePR6S0uQ4k</v>
      </c>
      <c r="AQ712" s="83" t="str">
        <f>HYPERLINK("https://www.digasimamonarquia.com.br/monarquia")</f>
        <v>https://www.digasimamonarquia.com.br/monarquia</v>
      </c>
      <c r="AR712" s="76" t="s">
        <v>24639</v>
      </c>
      <c r="AS712" s="76"/>
      <c r="AT712" s="76"/>
      <c r="AU712" s="76"/>
      <c r="AV712" s="76">
        <v>8.4710533857481101E+17</v>
      </c>
      <c r="AW712" s="83" t="str">
        <f>HYPERLINK("https://t.co/ePR6S0uQ4k")</f>
        <v>https://t.co/ePR6S0uQ4k</v>
      </c>
      <c r="AX712" s="76" t="b">
        <v>0</v>
      </c>
      <c r="AY712" s="76"/>
      <c r="AZ712" s="76"/>
      <c r="BA712" s="76" t="b">
        <v>1</v>
      </c>
      <c r="BB712" s="76" t="b">
        <v>1</v>
      </c>
      <c r="BC712" s="76" t="b">
        <v>1</v>
      </c>
      <c r="BD712" s="76" t="b">
        <v>0</v>
      </c>
      <c r="BE712" s="76" t="b">
        <v>1</v>
      </c>
      <c r="BF712" s="76" t="b">
        <v>0</v>
      </c>
      <c r="BG712" s="76" t="b">
        <v>0</v>
      </c>
      <c r="BH712" s="83" t="str">
        <f>HYPERLINK("https://pbs.twimg.com/profile_banners/95419833/1530737092")</f>
        <v>https://pbs.twimg.com/profile_banners/95419833/1530737092</v>
      </c>
      <c r="BI712" s="76"/>
      <c r="BJ712" s="76" t="s">
        <v>24935</v>
      </c>
      <c r="BK712" s="76" t="b">
        <v>0</v>
      </c>
      <c r="BL712" s="76"/>
      <c r="BM712" s="76" t="s">
        <v>66</v>
      </c>
      <c r="BN712" s="76" t="s">
        <v>24937</v>
      </c>
      <c r="BO712" s="83" t="str">
        <f>HYPERLINK("https://twitter.com/gutgot")</f>
        <v>https://twitter.com/gutgot</v>
      </c>
      <c r="BP712" s="2"/>
    </row>
    <row r="713" spans="1:68" x14ac:dyDescent="0.25">
      <c r="A713" s="62" t="s">
        <v>901</v>
      </c>
      <c r="B713" s="63"/>
      <c r="C713" s="63"/>
      <c r="D713" s="64"/>
      <c r="E713" s="66"/>
      <c r="F713" s="102" t="str">
        <f>HYPERLINK("https://pbs.twimg.com/profile_images/1478002768581382145/P0AYssbo_normal.jpg")</f>
        <v>https://pbs.twimg.com/profile_images/1478002768581382145/P0AYssbo_normal.jpg</v>
      </c>
      <c r="G713" s="63"/>
      <c r="H713" s="67"/>
      <c r="I713" s="68"/>
      <c r="J713" s="68"/>
      <c r="K713" s="67" t="s">
        <v>25647</v>
      </c>
      <c r="L713" s="71"/>
      <c r="M713" s="72"/>
      <c r="N713" s="72"/>
      <c r="O713" s="73"/>
      <c r="P713" s="74"/>
      <c r="Q713" s="74"/>
      <c r="R713" s="86"/>
      <c r="S713" s="86"/>
      <c r="T713" s="86"/>
      <c r="U713" s="86"/>
      <c r="V713" s="48"/>
      <c r="W713" s="48"/>
      <c r="X713" s="48"/>
      <c r="Y713" s="48"/>
      <c r="Z713" s="47"/>
      <c r="AA713" s="69">
        <v>713</v>
      </c>
      <c r="AB713" s="69"/>
      <c r="AC713" s="70"/>
      <c r="AD713" s="76" t="s">
        <v>22510</v>
      </c>
      <c r="AE713" s="81" t="s">
        <v>21517</v>
      </c>
      <c r="AF713" s="76">
        <v>37</v>
      </c>
      <c r="AG713" s="76">
        <v>116</v>
      </c>
      <c r="AH713" s="76">
        <v>688</v>
      </c>
      <c r="AI713" s="76">
        <v>1</v>
      </c>
      <c r="AJ713" s="76">
        <v>1150</v>
      </c>
      <c r="AK713" s="76">
        <v>361</v>
      </c>
      <c r="AL713" s="76" t="b">
        <v>0</v>
      </c>
      <c r="AM713" s="78">
        <v>44138.608981481484</v>
      </c>
      <c r="AN713" s="76" t="s">
        <v>14041</v>
      </c>
      <c r="AO713" s="76" t="s">
        <v>23958</v>
      </c>
      <c r="AP713" s="83" t="str">
        <f>HYPERLINK("https://t.co/cL9ZwyunN9")</f>
        <v>https://t.co/cL9ZwyunN9</v>
      </c>
      <c r="AQ713" s="83" t="str">
        <f>HYPERLINK("https://www.solucredito.com.br")</f>
        <v>https://www.solucredito.com.br</v>
      </c>
      <c r="AR713" s="76" t="s">
        <v>24640</v>
      </c>
      <c r="AS713" s="83" t="str">
        <f>HYPERLINK("https://t.co/gS3PagBDX3")</f>
        <v>https://t.co/gS3PagBDX3</v>
      </c>
      <c r="AT713" s="83" t="str">
        <f>HYPERLINK("https://wa.me/message/ET3VGHG")</f>
        <v>https://wa.me/message/ET3VGHG</v>
      </c>
      <c r="AU713" s="76" t="s">
        <v>24901</v>
      </c>
      <c r="AV713" s="76"/>
      <c r="AW713" s="83" t="str">
        <f>HYPERLINK("https://t.co/cL9ZwyunN9")</f>
        <v>https://t.co/cL9ZwyunN9</v>
      </c>
      <c r="AX713" s="76" t="b">
        <v>0</v>
      </c>
      <c r="AY713" s="76"/>
      <c r="AZ713" s="76"/>
      <c r="BA713" s="76" t="b">
        <v>0</v>
      </c>
      <c r="BB713" s="76" t="b">
        <v>1</v>
      </c>
      <c r="BC713" s="76" t="b">
        <v>1</v>
      </c>
      <c r="BD713" s="76" t="b">
        <v>0</v>
      </c>
      <c r="BE713" s="76" t="b">
        <v>0</v>
      </c>
      <c r="BF713" s="76" t="b">
        <v>0</v>
      </c>
      <c r="BG713" s="76" t="b">
        <v>0</v>
      </c>
      <c r="BH713" s="83" t="str">
        <f>HYPERLINK("https://pbs.twimg.com/profile_banners/1323634988282191873/1641218294")</f>
        <v>https://pbs.twimg.com/profile_banners/1323634988282191873/1641218294</v>
      </c>
      <c r="BI713" s="76"/>
      <c r="BJ713" s="76" t="s">
        <v>24935</v>
      </c>
      <c r="BK713" s="76" t="b">
        <v>0</v>
      </c>
      <c r="BL713" s="76"/>
      <c r="BM713" s="76" t="s">
        <v>66</v>
      </c>
      <c r="BN713" s="76" t="s">
        <v>24937</v>
      </c>
      <c r="BO713" s="83" t="str">
        <f>HYPERLINK("https://twitter.com/solu_credito")</f>
        <v>https://twitter.com/solu_credito</v>
      </c>
      <c r="BP713" s="2"/>
    </row>
    <row r="714" spans="1:68" x14ac:dyDescent="0.25">
      <c r="A714" s="62" t="s">
        <v>902</v>
      </c>
      <c r="B714" s="63"/>
      <c r="C714" s="63"/>
      <c r="D714" s="64"/>
      <c r="E714" s="66"/>
      <c r="F714" s="102" t="str">
        <f>HYPERLINK("https://pbs.twimg.com/profile_images/1704297894898012160/6XEfFD0C_normal.jpg")</f>
        <v>https://pbs.twimg.com/profile_images/1704297894898012160/6XEfFD0C_normal.jpg</v>
      </c>
      <c r="G714" s="63"/>
      <c r="H714" s="67"/>
      <c r="I714" s="68"/>
      <c r="J714" s="68"/>
      <c r="K714" s="67" t="s">
        <v>25648</v>
      </c>
      <c r="L714" s="71"/>
      <c r="M714" s="72"/>
      <c r="N714" s="72"/>
      <c r="O714" s="73"/>
      <c r="P714" s="74"/>
      <c r="Q714" s="74"/>
      <c r="R714" s="86"/>
      <c r="S714" s="86"/>
      <c r="T714" s="86"/>
      <c r="U714" s="86"/>
      <c r="V714" s="48"/>
      <c r="W714" s="48"/>
      <c r="X714" s="48"/>
      <c r="Y714" s="48"/>
      <c r="Z714" s="47"/>
      <c r="AA714" s="69">
        <v>714</v>
      </c>
      <c r="AB714" s="69"/>
      <c r="AC714" s="70"/>
      <c r="AD714" s="76" t="s">
        <v>22511</v>
      </c>
      <c r="AE714" s="81" t="s">
        <v>21518</v>
      </c>
      <c r="AF714" s="76">
        <v>5</v>
      </c>
      <c r="AG714" s="76">
        <v>55</v>
      </c>
      <c r="AH714" s="76">
        <v>198</v>
      </c>
      <c r="AI714" s="76">
        <v>0</v>
      </c>
      <c r="AJ714" s="76">
        <v>466</v>
      </c>
      <c r="AK714" s="76">
        <v>60</v>
      </c>
      <c r="AL714" s="76" t="b">
        <v>0</v>
      </c>
      <c r="AM714" s="78">
        <v>44054.549525462964</v>
      </c>
      <c r="AN714" s="76" t="s">
        <v>14033</v>
      </c>
      <c r="AO714" s="76" t="s">
        <v>23959</v>
      </c>
      <c r="AP714" s="83" t="str">
        <f>HYPERLINK("https://t.co/dIYSi9sEaP")</f>
        <v>https://t.co/dIYSi9sEaP</v>
      </c>
      <c r="AQ714" s="83" t="str">
        <f>HYPERLINK("https://youtu.be/OeSusGU_hxU")</f>
        <v>https://youtu.be/OeSusGU_hxU</v>
      </c>
      <c r="AR714" s="76" t="s">
        <v>24641</v>
      </c>
      <c r="AS714" s="76"/>
      <c r="AT714" s="76"/>
      <c r="AU714" s="76"/>
      <c r="AV714" s="76">
        <v>1.66880084585967E+18</v>
      </c>
      <c r="AW714" s="83" t="str">
        <f>HYPERLINK("https://t.co/dIYSi9sEaP")</f>
        <v>https://t.co/dIYSi9sEaP</v>
      </c>
      <c r="AX714" s="76" t="b">
        <v>0</v>
      </c>
      <c r="AY714" s="76"/>
      <c r="AZ714" s="76"/>
      <c r="BA714" s="76" t="b">
        <v>0</v>
      </c>
      <c r="BB714" s="76" t="b">
        <v>1</v>
      </c>
      <c r="BC714" s="76" t="b">
        <v>1</v>
      </c>
      <c r="BD714" s="76" t="b">
        <v>0</v>
      </c>
      <c r="BE714" s="76" t="b">
        <v>1</v>
      </c>
      <c r="BF714" s="76" t="b">
        <v>0</v>
      </c>
      <c r="BG714" s="76" t="b">
        <v>0</v>
      </c>
      <c r="BH714" s="83" t="str">
        <f>HYPERLINK("https://pbs.twimg.com/profile_banners/1293173095667302400/1661640490")</f>
        <v>https://pbs.twimg.com/profile_banners/1293173095667302400/1661640490</v>
      </c>
      <c r="BI714" s="76"/>
      <c r="BJ714" s="76" t="s">
        <v>24935</v>
      </c>
      <c r="BK714" s="76" t="b">
        <v>0</v>
      </c>
      <c r="BL714" s="76"/>
      <c r="BM714" s="76" t="s">
        <v>66</v>
      </c>
      <c r="BN714" s="76" t="s">
        <v>24937</v>
      </c>
      <c r="BO714" s="83" t="str">
        <f>HYPERLINK("https://twitter.com/newsxablau")</f>
        <v>https://twitter.com/newsxablau</v>
      </c>
      <c r="BP714" s="2"/>
    </row>
    <row r="715" spans="1:68" x14ac:dyDescent="0.25">
      <c r="A715" s="62" t="s">
        <v>903</v>
      </c>
      <c r="B715" s="63"/>
      <c r="C715" s="63"/>
      <c r="D715" s="64"/>
      <c r="E715" s="66"/>
      <c r="F715" s="102" t="str">
        <f>HYPERLINK("https://pbs.twimg.com/profile_images/1510199502644420609/EJ7i1UZV_normal.jpg")</f>
        <v>https://pbs.twimg.com/profile_images/1510199502644420609/EJ7i1UZV_normal.jpg</v>
      </c>
      <c r="G715" s="63"/>
      <c r="H715" s="67"/>
      <c r="I715" s="68"/>
      <c r="J715" s="68"/>
      <c r="K715" s="67" t="s">
        <v>25649</v>
      </c>
      <c r="L715" s="71"/>
      <c r="M715" s="72"/>
      <c r="N715" s="72"/>
      <c r="O715" s="73"/>
      <c r="P715" s="74"/>
      <c r="Q715" s="74"/>
      <c r="R715" s="86"/>
      <c r="S715" s="86"/>
      <c r="T715" s="86"/>
      <c r="U715" s="86"/>
      <c r="V715" s="48"/>
      <c r="W715" s="48"/>
      <c r="X715" s="48"/>
      <c r="Y715" s="48"/>
      <c r="Z715" s="47"/>
      <c r="AA715" s="69">
        <v>715</v>
      </c>
      <c r="AB715" s="69"/>
      <c r="AC715" s="70"/>
      <c r="AD715" s="76" t="s">
        <v>22512</v>
      </c>
      <c r="AE715" s="81" t="s">
        <v>21519</v>
      </c>
      <c r="AF715" s="76">
        <v>1970</v>
      </c>
      <c r="AG715" s="76">
        <v>2707</v>
      </c>
      <c r="AH715" s="76">
        <v>53655</v>
      </c>
      <c r="AI715" s="76">
        <v>3</v>
      </c>
      <c r="AJ715" s="76">
        <v>43370</v>
      </c>
      <c r="AK715" s="76">
        <v>2892</v>
      </c>
      <c r="AL715" s="76" t="b">
        <v>0</v>
      </c>
      <c r="AM715" s="78">
        <v>44653.426990740743</v>
      </c>
      <c r="AN715" s="76"/>
      <c r="AO715" s="76" t="s">
        <v>23960</v>
      </c>
      <c r="AP715" s="83" t="str">
        <f>HYPERLINK("https://t.co/9CRY1DvPhL")</f>
        <v>https://t.co/9CRY1DvPhL</v>
      </c>
      <c r="AQ715" s="83" t="str">
        <f>HYPERLINK("https://ntnc.com.br/44e7789a-6b00-4853-a03f-c822ffe810ce")</f>
        <v>https://ntnc.com.br/44e7789a-6b00-4853-a03f-c822ffe810ce</v>
      </c>
      <c r="AR715" s="76" t="s">
        <v>24642</v>
      </c>
      <c r="AS715" s="76"/>
      <c r="AT715" s="76"/>
      <c r="AU715" s="76"/>
      <c r="AV715" s="76"/>
      <c r="AW715" s="83" t="str">
        <f>HYPERLINK("https://t.co/9CRY1DvPhL")</f>
        <v>https://t.co/9CRY1DvPhL</v>
      </c>
      <c r="AX715" s="76" t="b">
        <v>0</v>
      </c>
      <c r="AY715" s="76"/>
      <c r="AZ715" s="76"/>
      <c r="BA715" s="76" t="b">
        <v>0</v>
      </c>
      <c r="BB715" s="76" t="b">
        <v>1</v>
      </c>
      <c r="BC715" s="76" t="b">
        <v>1</v>
      </c>
      <c r="BD715" s="76" t="b">
        <v>0</v>
      </c>
      <c r="BE715" s="76" t="b">
        <v>0</v>
      </c>
      <c r="BF715" s="76" t="b">
        <v>0</v>
      </c>
      <c r="BG715" s="76" t="b">
        <v>0</v>
      </c>
      <c r="BH715" s="83" t="str">
        <f>HYPERLINK("https://pbs.twimg.com/profile_banners/1510198786680922112/1648894605")</f>
        <v>https://pbs.twimg.com/profile_banners/1510198786680922112/1648894605</v>
      </c>
      <c r="BI715" s="76"/>
      <c r="BJ715" s="76" t="s">
        <v>24935</v>
      </c>
      <c r="BK715" s="76" t="b">
        <v>0</v>
      </c>
      <c r="BL715" s="76"/>
      <c r="BM715" s="76" t="s">
        <v>66</v>
      </c>
      <c r="BN715" s="76" t="s">
        <v>24937</v>
      </c>
      <c r="BO715" s="83" t="str">
        <f>HYPERLINK("https://twitter.com/metaversoinfo")</f>
        <v>https://twitter.com/metaversoinfo</v>
      </c>
      <c r="BP715" s="2"/>
    </row>
    <row r="716" spans="1:68" x14ac:dyDescent="0.25">
      <c r="A716" s="62" t="s">
        <v>904</v>
      </c>
      <c r="B716" s="63"/>
      <c r="C716" s="63"/>
      <c r="D716" s="64"/>
      <c r="E716" s="66"/>
      <c r="F716" s="102" t="str">
        <f>HYPERLINK("https://pbs.twimg.com/profile_images/1634766607112126467/RGUCIVaq_normal.jpg")</f>
        <v>https://pbs.twimg.com/profile_images/1634766607112126467/RGUCIVaq_normal.jpg</v>
      </c>
      <c r="G716" s="63"/>
      <c r="H716" s="67"/>
      <c r="I716" s="68"/>
      <c r="J716" s="68"/>
      <c r="K716" s="67" t="s">
        <v>25650</v>
      </c>
      <c r="L716" s="71"/>
      <c r="M716" s="72"/>
      <c r="N716" s="72"/>
      <c r="O716" s="73"/>
      <c r="P716" s="74"/>
      <c r="Q716" s="74"/>
      <c r="R716" s="86"/>
      <c r="S716" s="86"/>
      <c r="T716" s="86"/>
      <c r="U716" s="86"/>
      <c r="V716" s="48"/>
      <c r="W716" s="48"/>
      <c r="X716" s="48"/>
      <c r="Y716" s="48"/>
      <c r="Z716" s="47"/>
      <c r="AA716" s="69">
        <v>716</v>
      </c>
      <c r="AB716" s="69"/>
      <c r="AC716" s="70"/>
      <c r="AD716" s="76" t="s">
        <v>22513</v>
      </c>
      <c r="AE716" s="81" t="s">
        <v>21520</v>
      </c>
      <c r="AF716" s="76">
        <v>0</v>
      </c>
      <c r="AG716" s="76">
        <v>2</v>
      </c>
      <c r="AH716" s="76">
        <v>4</v>
      </c>
      <c r="AI716" s="76">
        <v>0</v>
      </c>
      <c r="AJ716" s="76">
        <v>0</v>
      </c>
      <c r="AK716" s="76">
        <v>2</v>
      </c>
      <c r="AL716" s="76" t="b">
        <v>0</v>
      </c>
      <c r="AM716" s="78">
        <v>44997.167893518519</v>
      </c>
      <c r="AN716" s="76"/>
      <c r="AO716" s="76" t="s">
        <v>23961</v>
      </c>
      <c r="AP716" s="83" t="str">
        <f>HYPERLINK("https://t.co/GzjtOUadHI")</f>
        <v>https://t.co/GzjtOUadHI</v>
      </c>
      <c r="AQ716" s="83" t="str">
        <f>HYPERLINK("https://sites.google.com/view/quitandaemcasa/")</f>
        <v>https://sites.google.com/view/quitandaemcasa/</v>
      </c>
      <c r="AR716" s="76" t="s">
        <v>24643</v>
      </c>
      <c r="AS716" s="76"/>
      <c r="AT716" s="76"/>
      <c r="AU716" s="76"/>
      <c r="AV716" s="76"/>
      <c r="AW716" s="83" t="str">
        <f>HYPERLINK("https://t.co/GzjtOUadHI")</f>
        <v>https://t.co/GzjtOUadHI</v>
      </c>
      <c r="AX716" s="76" t="b">
        <v>0</v>
      </c>
      <c r="AY716" s="76"/>
      <c r="AZ716" s="76"/>
      <c r="BA716" s="76" t="b">
        <v>0</v>
      </c>
      <c r="BB716" s="76" t="b">
        <v>1</v>
      </c>
      <c r="BC716" s="76" t="b">
        <v>1</v>
      </c>
      <c r="BD716" s="76" t="b">
        <v>0</v>
      </c>
      <c r="BE716" s="76" t="b">
        <v>0</v>
      </c>
      <c r="BF716" s="76" t="b">
        <v>0</v>
      </c>
      <c r="BG716" s="76" t="b">
        <v>0</v>
      </c>
      <c r="BH716" s="83" t="str">
        <f>HYPERLINK("https://pbs.twimg.com/profile_banners/1634766530591293440/1680988433")</f>
        <v>https://pbs.twimg.com/profile_banners/1634766530591293440/1680988433</v>
      </c>
      <c r="BI716" s="76"/>
      <c r="BJ716" s="76" t="s">
        <v>24935</v>
      </c>
      <c r="BK716" s="76" t="b">
        <v>0</v>
      </c>
      <c r="BL716" s="76"/>
      <c r="BM716" s="76" t="s">
        <v>66</v>
      </c>
      <c r="BN716" s="76" t="s">
        <v>24937</v>
      </c>
      <c r="BO716" s="83" t="str">
        <f>HYPERLINK("https://twitter.com/hhabilidosos")</f>
        <v>https://twitter.com/hhabilidosos</v>
      </c>
      <c r="BP716" s="2"/>
    </row>
    <row r="717" spans="1:68" x14ac:dyDescent="0.25">
      <c r="A717" s="62" t="s">
        <v>905</v>
      </c>
      <c r="B717" s="63"/>
      <c r="C717" s="63"/>
      <c r="D717" s="64"/>
      <c r="E717" s="66"/>
      <c r="F717" s="102" t="str">
        <f>HYPERLINK("https://pbs.twimg.com/profile_images/1663879588156416003/TjsCOavc_normal.jpg")</f>
        <v>https://pbs.twimg.com/profile_images/1663879588156416003/TjsCOavc_normal.jpg</v>
      </c>
      <c r="G717" s="63"/>
      <c r="H717" s="67"/>
      <c r="I717" s="68"/>
      <c r="J717" s="68"/>
      <c r="K717" s="67" t="s">
        <v>25651</v>
      </c>
      <c r="L717" s="71"/>
      <c r="M717" s="72"/>
      <c r="N717" s="72"/>
      <c r="O717" s="73"/>
      <c r="P717" s="74"/>
      <c r="Q717" s="74"/>
      <c r="R717" s="86"/>
      <c r="S717" s="86"/>
      <c r="T717" s="86"/>
      <c r="U717" s="86"/>
      <c r="V717" s="48"/>
      <c r="W717" s="48"/>
      <c r="X717" s="48"/>
      <c r="Y717" s="48"/>
      <c r="Z717" s="47"/>
      <c r="AA717" s="69">
        <v>717</v>
      </c>
      <c r="AB717" s="69"/>
      <c r="AC717" s="70"/>
      <c r="AD717" s="76" t="s">
        <v>22514</v>
      </c>
      <c r="AE717" s="81" t="s">
        <v>21521</v>
      </c>
      <c r="AF717" s="76">
        <v>3</v>
      </c>
      <c r="AG717" s="76">
        <v>41</v>
      </c>
      <c r="AH717" s="76">
        <v>92</v>
      </c>
      <c r="AI717" s="76">
        <v>0</v>
      </c>
      <c r="AJ717" s="76">
        <v>2</v>
      </c>
      <c r="AK717" s="76">
        <v>32</v>
      </c>
      <c r="AL717" s="76" t="b">
        <v>0</v>
      </c>
      <c r="AM717" s="78">
        <v>45052.837569444448</v>
      </c>
      <c r="AN717" s="76"/>
      <c r="AO717" s="76" t="s">
        <v>23962</v>
      </c>
      <c r="AP717" s="76"/>
      <c r="AQ717" s="76"/>
      <c r="AR717" s="76"/>
      <c r="AS717" s="76"/>
      <c r="AT717" s="76"/>
      <c r="AU717" s="76"/>
      <c r="AV717" s="76"/>
      <c r="AW717" s="76"/>
      <c r="AX717" s="76" t="b">
        <v>0</v>
      </c>
      <c r="AY717" s="76"/>
      <c r="AZ717" s="76"/>
      <c r="BA717" s="76" t="b">
        <v>0</v>
      </c>
      <c r="BB717" s="76" t="b">
        <v>1</v>
      </c>
      <c r="BC717" s="76" t="b">
        <v>1</v>
      </c>
      <c r="BD717" s="76" t="b">
        <v>0</v>
      </c>
      <c r="BE717" s="76" t="b">
        <v>0</v>
      </c>
      <c r="BF717" s="76" t="b">
        <v>0</v>
      </c>
      <c r="BG717" s="76" t="b">
        <v>0</v>
      </c>
      <c r="BH717" s="83" t="str">
        <f>HYPERLINK("https://pbs.twimg.com/profile_banners/1654940114923974662/1683501012")</f>
        <v>https://pbs.twimg.com/profile_banners/1654940114923974662/1683501012</v>
      </c>
      <c r="BI717" s="76"/>
      <c r="BJ717" s="76" t="s">
        <v>24935</v>
      </c>
      <c r="BK717" s="76" t="b">
        <v>0</v>
      </c>
      <c r="BL717" s="76"/>
      <c r="BM717" s="76" t="s">
        <v>66</v>
      </c>
      <c r="BN717" s="76" t="s">
        <v>24937</v>
      </c>
      <c r="BO717" s="83" t="str">
        <f>HYPERLINK("https://twitter.com/geisa046")</f>
        <v>https://twitter.com/geisa046</v>
      </c>
      <c r="BP717" s="2"/>
    </row>
    <row r="718" spans="1:68" x14ac:dyDescent="0.25">
      <c r="A718" s="62" t="s">
        <v>906</v>
      </c>
      <c r="B718" s="63"/>
      <c r="C718" s="63"/>
      <c r="D718" s="64"/>
      <c r="E718" s="66"/>
      <c r="F718" s="102" t="str">
        <f>HYPERLINK("https://pbs.twimg.com/profile_images/1693834763637841920/B6KP1oxk_normal.jpg")</f>
        <v>https://pbs.twimg.com/profile_images/1693834763637841920/B6KP1oxk_normal.jpg</v>
      </c>
      <c r="G718" s="63"/>
      <c r="H718" s="67"/>
      <c r="I718" s="68"/>
      <c r="J718" s="68"/>
      <c r="K718" s="67" t="s">
        <v>25652</v>
      </c>
      <c r="L718" s="71"/>
      <c r="M718" s="72"/>
      <c r="N718" s="72"/>
      <c r="O718" s="73"/>
      <c r="P718" s="74"/>
      <c r="Q718" s="74"/>
      <c r="R718" s="86"/>
      <c r="S718" s="86"/>
      <c r="T718" s="86"/>
      <c r="U718" s="86"/>
      <c r="V718" s="48"/>
      <c r="W718" s="48"/>
      <c r="X718" s="48"/>
      <c r="Y718" s="48"/>
      <c r="Z718" s="47"/>
      <c r="AA718" s="69">
        <v>718</v>
      </c>
      <c r="AB718" s="69"/>
      <c r="AC718" s="70"/>
      <c r="AD718" s="76" t="s">
        <v>22515</v>
      </c>
      <c r="AE718" s="81" t="s">
        <v>21522</v>
      </c>
      <c r="AF718" s="76">
        <v>40</v>
      </c>
      <c r="AG718" s="76">
        <v>217</v>
      </c>
      <c r="AH718" s="76">
        <v>116</v>
      </c>
      <c r="AI718" s="76">
        <v>0</v>
      </c>
      <c r="AJ718" s="76">
        <v>166</v>
      </c>
      <c r="AK718" s="76">
        <v>30</v>
      </c>
      <c r="AL718" s="76" t="b">
        <v>0</v>
      </c>
      <c r="AM718" s="78">
        <v>44196.172407407408</v>
      </c>
      <c r="AN718" s="76" t="s">
        <v>23146</v>
      </c>
      <c r="AO718" s="76" t="s">
        <v>23963</v>
      </c>
      <c r="AP718" s="76"/>
      <c r="AQ718" s="76"/>
      <c r="AR718" s="76"/>
      <c r="AS718" s="83" t="str">
        <f>HYPERLINK("https://t.co/wMztmap4oC")</f>
        <v>https://t.co/wMztmap4oC</v>
      </c>
      <c r="AT718" s="83" t="str">
        <f>HYPERLINK("http://app.monetizze.com.br/r/ATK22942329/")</f>
        <v>http://app.monetizze.com.br/r/ATK22942329/</v>
      </c>
      <c r="AU718" s="76" t="s">
        <v>24902</v>
      </c>
      <c r="AV718" s="76"/>
      <c r="AW718" s="76"/>
      <c r="AX718" s="76" t="b">
        <v>0</v>
      </c>
      <c r="AY718" s="76"/>
      <c r="AZ718" s="76"/>
      <c r="BA718" s="76" t="b">
        <v>1</v>
      </c>
      <c r="BB718" s="76" t="b">
        <v>1</v>
      </c>
      <c r="BC718" s="76" t="b">
        <v>1</v>
      </c>
      <c r="BD718" s="76" t="b">
        <v>0</v>
      </c>
      <c r="BE718" s="76" t="b">
        <v>0</v>
      </c>
      <c r="BF718" s="76" t="b">
        <v>0</v>
      </c>
      <c r="BG718" s="76" t="b">
        <v>0</v>
      </c>
      <c r="BH718" s="76"/>
      <c r="BI718" s="76"/>
      <c r="BJ718" s="76" t="s">
        <v>24935</v>
      </c>
      <c r="BK718" s="76" t="b">
        <v>0</v>
      </c>
      <c r="BL718" s="76"/>
      <c r="BM718" s="76" t="s">
        <v>66</v>
      </c>
      <c r="BN718" s="76" t="s">
        <v>24937</v>
      </c>
      <c r="BO718" s="83" t="str">
        <f>HYPERLINK("https://twitter.com/laudelinoperei2")</f>
        <v>https://twitter.com/laudelinoperei2</v>
      </c>
      <c r="BP718" s="2"/>
    </row>
    <row r="719" spans="1:68" x14ac:dyDescent="0.25">
      <c r="A719" s="62" t="s">
        <v>907</v>
      </c>
      <c r="B719" s="63"/>
      <c r="C719" s="63"/>
      <c r="D719" s="64"/>
      <c r="E719" s="66"/>
      <c r="F719" s="102" t="str">
        <f>HYPERLINK("https://pbs.twimg.com/profile_images/1695789014429683712/kIRGOLD8_normal.jpg")</f>
        <v>https://pbs.twimg.com/profile_images/1695789014429683712/kIRGOLD8_normal.jpg</v>
      </c>
      <c r="G719" s="63"/>
      <c r="H719" s="67"/>
      <c r="I719" s="68"/>
      <c r="J719" s="68"/>
      <c r="K719" s="67" t="s">
        <v>25653</v>
      </c>
      <c r="L719" s="71"/>
      <c r="M719" s="72"/>
      <c r="N719" s="72"/>
      <c r="O719" s="73"/>
      <c r="P719" s="74"/>
      <c r="Q719" s="74"/>
      <c r="R719" s="86"/>
      <c r="S719" s="86"/>
      <c r="T719" s="86"/>
      <c r="U719" s="86"/>
      <c r="V719" s="48"/>
      <c r="W719" s="48"/>
      <c r="X719" s="48"/>
      <c r="Y719" s="48"/>
      <c r="Z719" s="47"/>
      <c r="AA719" s="69">
        <v>719</v>
      </c>
      <c r="AB719" s="69"/>
      <c r="AC719" s="70"/>
      <c r="AD719" s="76" t="s">
        <v>22516</v>
      </c>
      <c r="AE719" s="81" t="s">
        <v>21523</v>
      </c>
      <c r="AF719" s="76">
        <v>0</v>
      </c>
      <c r="AG719" s="76">
        <v>0</v>
      </c>
      <c r="AH719" s="76">
        <v>3</v>
      </c>
      <c r="AI719" s="76">
        <v>0</v>
      </c>
      <c r="AJ719" s="76">
        <v>0</v>
      </c>
      <c r="AK719" s="76">
        <v>3</v>
      </c>
      <c r="AL719" s="76" t="b">
        <v>0</v>
      </c>
      <c r="AM719" s="78">
        <v>45165.548877314817</v>
      </c>
      <c r="AN719" s="76"/>
      <c r="AO719" s="76" t="s">
        <v>23964</v>
      </c>
      <c r="AP719" s="76"/>
      <c r="AQ719" s="76"/>
      <c r="AR719" s="76"/>
      <c r="AS719" s="76"/>
      <c r="AT719" s="76"/>
      <c r="AU719" s="76"/>
      <c r="AV719" s="76"/>
      <c r="AW719" s="76"/>
      <c r="AX719" s="76" t="b">
        <v>0</v>
      </c>
      <c r="AY719" s="76"/>
      <c r="AZ719" s="76"/>
      <c r="BA719" s="76" t="b">
        <v>0</v>
      </c>
      <c r="BB719" s="76" t="b">
        <v>1</v>
      </c>
      <c r="BC719" s="76" t="b">
        <v>1</v>
      </c>
      <c r="BD719" s="76" t="b">
        <v>0</v>
      </c>
      <c r="BE719" s="76" t="b">
        <v>0</v>
      </c>
      <c r="BF719" s="76" t="b">
        <v>0</v>
      </c>
      <c r="BG719" s="76" t="b">
        <v>0</v>
      </c>
      <c r="BH719" s="83" t="str">
        <f>HYPERLINK("https://pbs.twimg.com/profile_banners/1695785378693722112/1693142584")</f>
        <v>https://pbs.twimg.com/profile_banners/1695785378693722112/1693142584</v>
      </c>
      <c r="BI719" s="76"/>
      <c r="BJ719" s="76" t="s">
        <v>24935</v>
      </c>
      <c r="BK719" s="76" t="b">
        <v>0</v>
      </c>
      <c r="BL719" s="76"/>
      <c r="BM719" s="76" t="s">
        <v>66</v>
      </c>
      <c r="BN719" s="76" t="s">
        <v>24937</v>
      </c>
      <c r="BO719" s="83" t="str">
        <f>HYPERLINK("https://twitter.com/rendaextradigit")</f>
        <v>https://twitter.com/rendaextradigit</v>
      </c>
      <c r="BP719" s="2"/>
    </row>
    <row r="720" spans="1:68" x14ac:dyDescent="0.25">
      <c r="A720" s="62" t="s">
        <v>908</v>
      </c>
      <c r="B720" s="63"/>
      <c r="C720" s="63"/>
      <c r="D720" s="64"/>
      <c r="E720" s="66"/>
      <c r="F720" s="102" t="str">
        <f>HYPERLINK("https://pbs.twimg.com/profile_images/1688357268608184320/UdQPC-o7_normal.jpg")</f>
        <v>https://pbs.twimg.com/profile_images/1688357268608184320/UdQPC-o7_normal.jpg</v>
      </c>
      <c r="G720" s="63"/>
      <c r="H720" s="67"/>
      <c r="I720" s="68"/>
      <c r="J720" s="68"/>
      <c r="K720" s="67" t="s">
        <v>25654</v>
      </c>
      <c r="L720" s="71"/>
      <c r="M720" s="72"/>
      <c r="N720" s="72"/>
      <c r="O720" s="73"/>
      <c r="P720" s="74"/>
      <c r="Q720" s="74"/>
      <c r="R720" s="86"/>
      <c r="S720" s="86"/>
      <c r="T720" s="86"/>
      <c r="U720" s="86"/>
      <c r="V720" s="48"/>
      <c r="W720" s="48"/>
      <c r="X720" s="48"/>
      <c r="Y720" s="48"/>
      <c r="Z720" s="47"/>
      <c r="AA720" s="69">
        <v>720</v>
      </c>
      <c r="AB720" s="69"/>
      <c r="AC720" s="70"/>
      <c r="AD720" s="76" t="s">
        <v>22517</v>
      </c>
      <c r="AE720" s="81" t="s">
        <v>23000</v>
      </c>
      <c r="AF720" s="76">
        <v>39</v>
      </c>
      <c r="AG720" s="76">
        <v>125</v>
      </c>
      <c r="AH720" s="76">
        <v>5072</v>
      </c>
      <c r="AI720" s="76">
        <v>0</v>
      </c>
      <c r="AJ720" s="76">
        <v>3604</v>
      </c>
      <c r="AK720" s="76">
        <v>119</v>
      </c>
      <c r="AL720" s="76" t="b">
        <v>0</v>
      </c>
      <c r="AM720" s="78">
        <v>40607.582835648151</v>
      </c>
      <c r="AN720" s="76" t="s">
        <v>23261</v>
      </c>
      <c r="AO720" s="76" t="s">
        <v>23965</v>
      </c>
      <c r="AP720" s="83" t="str">
        <f>HYPERLINK("https://t.co/vRhxkvioZr")</f>
        <v>https://t.co/vRhxkvioZr</v>
      </c>
      <c r="AQ720" s="83" t="str">
        <f>HYPERLINK("https://www.instagram.com/brenosantz")</f>
        <v>https://www.instagram.com/brenosantz</v>
      </c>
      <c r="AR720" s="76" t="s">
        <v>24644</v>
      </c>
      <c r="AS720" s="76"/>
      <c r="AT720" s="76"/>
      <c r="AU720" s="76"/>
      <c r="AV720" s="76"/>
      <c r="AW720" s="83" t="str">
        <f>HYPERLINK("https://t.co/vRhxkvioZr")</f>
        <v>https://t.co/vRhxkvioZr</v>
      </c>
      <c r="AX720" s="76" t="b">
        <v>0</v>
      </c>
      <c r="AY720" s="76"/>
      <c r="AZ720" s="76"/>
      <c r="BA720" s="76" t="b">
        <v>1</v>
      </c>
      <c r="BB720" s="76" t="b">
        <v>1</v>
      </c>
      <c r="BC720" s="76" t="b">
        <v>0</v>
      </c>
      <c r="BD720" s="76" t="b">
        <v>0</v>
      </c>
      <c r="BE720" s="76" t="b">
        <v>1</v>
      </c>
      <c r="BF720" s="76" t="b">
        <v>0</v>
      </c>
      <c r="BG720" s="76" t="b">
        <v>0</v>
      </c>
      <c r="BH720" s="83" t="str">
        <f>HYPERLINK("https://pbs.twimg.com/profile_banners/261216278/1672928228")</f>
        <v>https://pbs.twimg.com/profile_banners/261216278/1672928228</v>
      </c>
      <c r="BI720" s="76"/>
      <c r="BJ720" s="76" t="s">
        <v>24936</v>
      </c>
      <c r="BK720" s="76" t="b">
        <v>0</v>
      </c>
      <c r="BL720" s="76"/>
      <c r="BM720" s="76" t="s">
        <v>66</v>
      </c>
      <c r="BN720" s="76" t="s">
        <v>24937</v>
      </c>
      <c r="BO720" s="83" t="str">
        <f>HYPERLINK("https://twitter.com/brenosantz")</f>
        <v>https://twitter.com/brenosantz</v>
      </c>
      <c r="BP720" s="2"/>
    </row>
    <row r="721" spans="1:68" x14ac:dyDescent="0.25">
      <c r="A721" s="62" t="s">
        <v>909</v>
      </c>
      <c r="B721" s="63"/>
      <c r="C721" s="63"/>
      <c r="D721" s="64"/>
      <c r="E721" s="66"/>
      <c r="F721" s="102" t="str">
        <f>HYPERLINK("https://pbs.twimg.com/profile_images/1556812615380344833/PIdm-LEG_normal.jpg")</f>
        <v>https://pbs.twimg.com/profile_images/1556812615380344833/PIdm-LEG_normal.jpg</v>
      </c>
      <c r="G721" s="63"/>
      <c r="H721" s="67"/>
      <c r="I721" s="68"/>
      <c r="J721" s="68"/>
      <c r="K721" s="67" t="s">
        <v>25655</v>
      </c>
      <c r="L721" s="71"/>
      <c r="M721" s="72"/>
      <c r="N721" s="72"/>
      <c r="O721" s="73"/>
      <c r="P721" s="74"/>
      <c r="Q721" s="74"/>
      <c r="R721" s="86"/>
      <c r="S721" s="86"/>
      <c r="T721" s="86"/>
      <c r="U721" s="86"/>
      <c r="V721" s="48"/>
      <c r="W721" s="48"/>
      <c r="X721" s="48"/>
      <c r="Y721" s="48"/>
      <c r="Z721" s="47"/>
      <c r="AA721" s="69">
        <v>721</v>
      </c>
      <c r="AB721" s="69"/>
      <c r="AC721" s="70"/>
      <c r="AD721" s="76" t="s">
        <v>22518</v>
      </c>
      <c r="AE721" s="81" t="s">
        <v>23001</v>
      </c>
      <c r="AF721" s="76">
        <v>58</v>
      </c>
      <c r="AG721" s="76">
        <v>233</v>
      </c>
      <c r="AH721" s="76">
        <v>871</v>
      </c>
      <c r="AI721" s="76">
        <v>0</v>
      </c>
      <c r="AJ721" s="76">
        <v>900</v>
      </c>
      <c r="AK721" s="76">
        <v>502</v>
      </c>
      <c r="AL721" s="76" t="b">
        <v>0</v>
      </c>
      <c r="AM721" s="78">
        <v>40782.710763888892</v>
      </c>
      <c r="AN721" s="76" t="s">
        <v>23088</v>
      </c>
      <c r="AO721" s="76" t="s">
        <v>23966</v>
      </c>
      <c r="AP721" s="76"/>
      <c r="AQ721" s="76"/>
      <c r="AR721" s="76"/>
      <c r="AS721" s="76"/>
      <c r="AT721" s="76"/>
      <c r="AU721" s="76"/>
      <c r="AV721" s="76"/>
      <c r="AW721" s="76"/>
      <c r="AX721" s="76" t="b">
        <v>0</v>
      </c>
      <c r="AY721" s="76"/>
      <c r="AZ721" s="76"/>
      <c r="BA721" s="76" t="b">
        <v>0</v>
      </c>
      <c r="BB721" s="76" t="b">
        <v>1</v>
      </c>
      <c r="BC721" s="76" t="b">
        <v>0</v>
      </c>
      <c r="BD721" s="76" t="b">
        <v>0</v>
      </c>
      <c r="BE721" s="76" t="b">
        <v>0</v>
      </c>
      <c r="BF721" s="76" t="b">
        <v>0</v>
      </c>
      <c r="BG721" s="76" t="b">
        <v>0</v>
      </c>
      <c r="BH721" s="83" t="str">
        <f>HYPERLINK("https://pbs.twimg.com/profile_banners/363171824/1688940323")</f>
        <v>https://pbs.twimg.com/profile_banners/363171824/1688940323</v>
      </c>
      <c r="BI721" s="76"/>
      <c r="BJ721" s="76" t="s">
        <v>24935</v>
      </c>
      <c r="BK721" s="76" t="b">
        <v>0</v>
      </c>
      <c r="BL721" s="76"/>
      <c r="BM721" s="76" t="s">
        <v>66</v>
      </c>
      <c r="BN721" s="76" t="s">
        <v>24937</v>
      </c>
      <c r="BO721" s="83" t="str">
        <f>HYPERLINK("https://twitter.com/ricardojalesbh")</f>
        <v>https://twitter.com/ricardojalesbh</v>
      </c>
      <c r="BP721" s="2"/>
    </row>
    <row r="722" spans="1:68" x14ac:dyDescent="0.25">
      <c r="A722" s="62" t="s">
        <v>910</v>
      </c>
      <c r="B722" s="63"/>
      <c r="C722" s="63"/>
      <c r="D722" s="64"/>
      <c r="E722" s="66"/>
      <c r="F722" s="102" t="str">
        <f>HYPERLINK("https://pbs.twimg.com/profile_images/1636685661179723776/aT3P5rRi_normal.jpg")</f>
        <v>https://pbs.twimg.com/profile_images/1636685661179723776/aT3P5rRi_normal.jpg</v>
      </c>
      <c r="G722" s="63"/>
      <c r="H722" s="67"/>
      <c r="I722" s="68"/>
      <c r="J722" s="68"/>
      <c r="K722" s="67" t="s">
        <v>25656</v>
      </c>
      <c r="L722" s="71"/>
      <c r="M722" s="72"/>
      <c r="N722" s="72"/>
      <c r="O722" s="73"/>
      <c r="P722" s="74"/>
      <c r="Q722" s="74"/>
      <c r="R722" s="86"/>
      <c r="S722" s="86"/>
      <c r="T722" s="86"/>
      <c r="U722" s="86"/>
      <c r="V722" s="48"/>
      <c r="W722" s="48"/>
      <c r="X722" s="48"/>
      <c r="Y722" s="48"/>
      <c r="Z722" s="47"/>
      <c r="AA722" s="69">
        <v>722</v>
      </c>
      <c r="AB722" s="69"/>
      <c r="AC722" s="70"/>
      <c r="AD722" s="76" t="s">
        <v>22519</v>
      </c>
      <c r="AE722" s="81" t="s">
        <v>21524</v>
      </c>
      <c r="AF722" s="76">
        <v>5</v>
      </c>
      <c r="AG722" s="76">
        <v>7</v>
      </c>
      <c r="AH722" s="76">
        <v>10</v>
      </c>
      <c r="AI722" s="76">
        <v>0</v>
      </c>
      <c r="AJ722" s="76">
        <v>0</v>
      </c>
      <c r="AK722" s="76">
        <v>5</v>
      </c>
      <c r="AL722" s="76" t="b">
        <v>0</v>
      </c>
      <c r="AM722" s="78">
        <v>44932.687534722223</v>
      </c>
      <c r="AN722" s="76" t="s">
        <v>23262</v>
      </c>
      <c r="AO722" s="76" t="s">
        <v>23967</v>
      </c>
      <c r="AP722" s="76"/>
      <c r="AQ722" s="76"/>
      <c r="AR722" s="76"/>
      <c r="AS722" s="76"/>
      <c r="AT722" s="76"/>
      <c r="AU722" s="76"/>
      <c r="AV722" s="76"/>
      <c r="AW722" s="76"/>
      <c r="AX722" s="76" t="b">
        <v>0</v>
      </c>
      <c r="AY722" s="76"/>
      <c r="AZ722" s="76"/>
      <c r="BA722" s="76" t="b">
        <v>0</v>
      </c>
      <c r="BB722" s="76" t="b">
        <v>1</v>
      </c>
      <c r="BC722" s="76" t="b">
        <v>1</v>
      </c>
      <c r="BD722" s="76" t="b">
        <v>0</v>
      </c>
      <c r="BE722" s="76" t="b">
        <v>0</v>
      </c>
      <c r="BF722" s="76" t="b">
        <v>0</v>
      </c>
      <c r="BG722" s="76" t="b">
        <v>0</v>
      </c>
      <c r="BH722" s="83" t="str">
        <f>HYPERLINK("https://pbs.twimg.com/profile_banners/1611399603617677312/1680694236")</f>
        <v>https://pbs.twimg.com/profile_banners/1611399603617677312/1680694236</v>
      </c>
      <c r="BI722" s="76"/>
      <c r="BJ722" s="76" t="s">
        <v>24935</v>
      </c>
      <c r="BK722" s="76" t="b">
        <v>0</v>
      </c>
      <c r="BL722" s="76"/>
      <c r="BM722" s="76" t="s">
        <v>66</v>
      </c>
      <c r="BN722" s="76" t="s">
        <v>24937</v>
      </c>
      <c r="BO722" s="83" t="str">
        <f>HYPERLINK("https://twitter.com/erickssonfer")</f>
        <v>https://twitter.com/erickssonfer</v>
      </c>
      <c r="BP722" s="2"/>
    </row>
    <row r="723" spans="1:68" x14ac:dyDescent="0.25">
      <c r="A723" s="62" t="s">
        <v>911</v>
      </c>
      <c r="B723" s="63"/>
      <c r="C723" s="63"/>
      <c r="D723" s="64"/>
      <c r="E723" s="66"/>
      <c r="F723" s="102" t="str">
        <f>HYPERLINK("https://pbs.twimg.com/profile_images/1637824582106087425/7_0FQJdn_normal.jpg")</f>
        <v>https://pbs.twimg.com/profile_images/1637824582106087425/7_0FQJdn_normal.jpg</v>
      </c>
      <c r="G723" s="63"/>
      <c r="H723" s="67"/>
      <c r="I723" s="68"/>
      <c r="J723" s="68"/>
      <c r="K723" s="67" t="s">
        <v>25657</v>
      </c>
      <c r="L723" s="71"/>
      <c r="M723" s="72"/>
      <c r="N723" s="72"/>
      <c r="O723" s="73"/>
      <c r="P723" s="74"/>
      <c r="Q723" s="74"/>
      <c r="R723" s="86"/>
      <c r="S723" s="86"/>
      <c r="T723" s="86"/>
      <c r="U723" s="86"/>
      <c r="V723" s="48"/>
      <c r="W723" s="48"/>
      <c r="X723" s="48"/>
      <c r="Y723" s="48"/>
      <c r="Z723" s="47"/>
      <c r="AA723" s="69">
        <v>723</v>
      </c>
      <c r="AB723" s="69"/>
      <c r="AC723" s="70"/>
      <c r="AD723" s="76" t="s">
        <v>22520</v>
      </c>
      <c r="AE723" s="81" t="s">
        <v>21525</v>
      </c>
      <c r="AF723" s="76">
        <v>7084</v>
      </c>
      <c r="AG723" s="76">
        <v>2856</v>
      </c>
      <c r="AH723" s="76">
        <v>6784</v>
      </c>
      <c r="AI723" s="76">
        <v>4</v>
      </c>
      <c r="AJ723" s="76">
        <v>4972</v>
      </c>
      <c r="AK723" s="76">
        <v>763</v>
      </c>
      <c r="AL723" s="76" t="b">
        <v>0</v>
      </c>
      <c r="AM723" s="78">
        <v>43711.514374999999</v>
      </c>
      <c r="AN723" s="76"/>
      <c r="AO723" s="76" t="s">
        <v>23968</v>
      </c>
      <c r="AP723" s="83" t="str">
        <f>HYPERLINK("https://t.co/bqwGhMwBxE")</f>
        <v>https://t.co/bqwGhMwBxE</v>
      </c>
      <c r="AQ723" s="83" t="str">
        <f>HYPERLINK("https://beacons.ai/souapenasv")</f>
        <v>https://beacons.ai/souapenasv</v>
      </c>
      <c r="AR723" s="76" t="s">
        <v>24645</v>
      </c>
      <c r="AS723" s="76"/>
      <c r="AT723" s="76"/>
      <c r="AU723" s="76"/>
      <c r="AV723" s="76"/>
      <c r="AW723" s="83" t="str">
        <f>HYPERLINK("https://t.co/bqwGhMwBxE")</f>
        <v>https://t.co/bqwGhMwBxE</v>
      </c>
      <c r="AX723" s="76" t="b">
        <v>0</v>
      </c>
      <c r="AY723" s="76"/>
      <c r="AZ723" s="76"/>
      <c r="BA723" s="76" t="b">
        <v>1</v>
      </c>
      <c r="BB723" s="76" t="b">
        <v>1</v>
      </c>
      <c r="BC723" s="76" t="b">
        <v>1</v>
      </c>
      <c r="BD723" s="76" t="b">
        <v>0</v>
      </c>
      <c r="BE723" s="76" t="b">
        <v>0</v>
      </c>
      <c r="BF723" s="76" t="b">
        <v>0</v>
      </c>
      <c r="BG723" s="76" t="b">
        <v>0</v>
      </c>
      <c r="BH723" s="83" t="str">
        <f>HYPERLINK("https://pbs.twimg.com/profile_banners/1168861327596642304/1682074553")</f>
        <v>https://pbs.twimg.com/profile_banners/1168861327596642304/1682074553</v>
      </c>
      <c r="BI723" s="76"/>
      <c r="BJ723" s="76" t="s">
        <v>24935</v>
      </c>
      <c r="BK723" s="76" t="b">
        <v>0</v>
      </c>
      <c r="BL723" s="76"/>
      <c r="BM723" s="76" t="s">
        <v>66</v>
      </c>
      <c r="BN723" s="76" t="s">
        <v>24937</v>
      </c>
      <c r="BO723" s="83" t="str">
        <f>HYPERLINK("https://twitter.com/souapenasv")</f>
        <v>https://twitter.com/souapenasv</v>
      </c>
      <c r="BP723" s="2"/>
    </row>
    <row r="724" spans="1:68" x14ac:dyDescent="0.25">
      <c r="A724" s="62" t="s">
        <v>912</v>
      </c>
      <c r="B724" s="63"/>
      <c r="C724" s="63"/>
      <c r="D724" s="64"/>
      <c r="E724" s="66"/>
      <c r="F724" s="102" t="str">
        <f>HYPERLINK("https://pbs.twimg.com/profile_images/1472409323/002_normal.jpg")</f>
        <v>https://pbs.twimg.com/profile_images/1472409323/002_normal.jpg</v>
      </c>
      <c r="G724" s="63"/>
      <c r="H724" s="67"/>
      <c r="I724" s="68"/>
      <c r="J724" s="68"/>
      <c r="K724" s="67" t="s">
        <v>25658</v>
      </c>
      <c r="L724" s="71"/>
      <c r="M724" s="72"/>
      <c r="N724" s="72"/>
      <c r="O724" s="73"/>
      <c r="P724" s="74"/>
      <c r="Q724" s="74"/>
      <c r="R724" s="86"/>
      <c r="S724" s="86"/>
      <c r="T724" s="86"/>
      <c r="U724" s="86"/>
      <c r="V724" s="48"/>
      <c r="W724" s="48"/>
      <c r="X724" s="48"/>
      <c r="Y724" s="48"/>
      <c r="Z724" s="47"/>
      <c r="AA724" s="69">
        <v>724</v>
      </c>
      <c r="AB724" s="69"/>
      <c r="AC724" s="70"/>
      <c r="AD724" s="76" t="s">
        <v>22521</v>
      </c>
      <c r="AE724" s="81" t="s">
        <v>23002</v>
      </c>
      <c r="AF724" s="76">
        <v>11</v>
      </c>
      <c r="AG724" s="76">
        <v>66</v>
      </c>
      <c r="AH724" s="76">
        <v>250</v>
      </c>
      <c r="AI724" s="76">
        <v>0</v>
      </c>
      <c r="AJ724" s="76">
        <v>70</v>
      </c>
      <c r="AK724" s="76">
        <v>7</v>
      </c>
      <c r="AL724" s="76" t="b">
        <v>0</v>
      </c>
      <c r="AM724" s="78">
        <v>40750.648865740739</v>
      </c>
      <c r="AN724" s="76"/>
      <c r="AO724" s="76" t="s">
        <v>23969</v>
      </c>
      <c r="AP724" s="76"/>
      <c r="AQ724" s="76"/>
      <c r="AR724" s="76"/>
      <c r="AS724" s="76"/>
      <c r="AT724" s="76"/>
      <c r="AU724" s="76"/>
      <c r="AV724" s="76"/>
      <c r="AW724" s="76"/>
      <c r="AX724" s="76" t="b">
        <v>0</v>
      </c>
      <c r="AY724" s="76"/>
      <c r="AZ724" s="76"/>
      <c r="BA724" s="76" t="b">
        <v>1</v>
      </c>
      <c r="BB724" s="76" t="b">
        <v>0</v>
      </c>
      <c r="BC724" s="76" t="b">
        <v>0</v>
      </c>
      <c r="BD724" s="76" t="b">
        <v>0</v>
      </c>
      <c r="BE724" s="76" t="b">
        <v>0</v>
      </c>
      <c r="BF724" s="76" t="b">
        <v>0</v>
      </c>
      <c r="BG724" s="76" t="b">
        <v>0</v>
      </c>
      <c r="BH724" s="76"/>
      <c r="BI724" s="76"/>
      <c r="BJ724" s="76" t="s">
        <v>24935</v>
      </c>
      <c r="BK724" s="76" t="b">
        <v>0</v>
      </c>
      <c r="BL724" s="76"/>
      <c r="BM724" s="76" t="s">
        <v>66</v>
      </c>
      <c r="BN724" s="76" t="s">
        <v>24937</v>
      </c>
      <c r="BO724" s="83" t="str">
        <f>HYPERLINK("https://twitter.com/rodrigo_itaya")</f>
        <v>https://twitter.com/rodrigo_itaya</v>
      </c>
      <c r="BP724" s="2"/>
    </row>
    <row r="725" spans="1:68" x14ac:dyDescent="0.25">
      <c r="A725" s="62" t="s">
        <v>913</v>
      </c>
      <c r="B725" s="63"/>
      <c r="C725" s="63"/>
      <c r="D725" s="64"/>
      <c r="E725" s="66"/>
      <c r="F725" s="102" t="str">
        <f>HYPERLINK("https://pbs.twimg.com/profile_images/1698015574612209664/hN-F0sZz_normal.jpg")</f>
        <v>https://pbs.twimg.com/profile_images/1698015574612209664/hN-F0sZz_normal.jpg</v>
      </c>
      <c r="G725" s="63"/>
      <c r="H725" s="67"/>
      <c r="I725" s="68"/>
      <c r="J725" s="68"/>
      <c r="K725" s="67" t="s">
        <v>25659</v>
      </c>
      <c r="L725" s="71"/>
      <c r="M725" s="72"/>
      <c r="N725" s="72"/>
      <c r="O725" s="73"/>
      <c r="P725" s="74"/>
      <c r="Q725" s="74"/>
      <c r="R725" s="86"/>
      <c r="S725" s="86"/>
      <c r="T725" s="86"/>
      <c r="U725" s="86"/>
      <c r="V725" s="48"/>
      <c r="W725" s="48"/>
      <c r="X725" s="48"/>
      <c r="Y725" s="48"/>
      <c r="Z725" s="47"/>
      <c r="AA725" s="69">
        <v>725</v>
      </c>
      <c r="AB725" s="69"/>
      <c r="AC725" s="70"/>
      <c r="AD725" s="76" t="s">
        <v>22522</v>
      </c>
      <c r="AE725" s="81" t="s">
        <v>21526</v>
      </c>
      <c r="AF725" s="76">
        <v>0</v>
      </c>
      <c r="AG725" s="76">
        <v>7</v>
      </c>
      <c r="AH725" s="76">
        <v>128</v>
      </c>
      <c r="AI725" s="76">
        <v>0</v>
      </c>
      <c r="AJ725" s="76">
        <v>2</v>
      </c>
      <c r="AK725" s="76">
        <v>119</v>
      </c>
      <c r="AL725" s="76" t="b">
        <v>0</v>
      </c>
      <c r="AM725" s="78">
        <v>45171.701145833336</v>
      </c>
      <c r="AN725" s="76"/>
      <c r="AO725" s="76"/>
      <c r="AP725" s="76"/>
      <c r="AQ725" s="76"/>
      <c r="AR725" s="76"/>
      <c r="AS725" s="76"/>
      <c r="AT725" s="76"/>
      <c r="AU725" s="76"/>
      <c r="AV725" s="76"/>
      <c r="AW725" s="76"/>
      <c r="AX725" s="76" t="b">
        <v>0</v>
      </c>
      <c r="AY725" s="76"/>
      <c r="AZ725" s="76"/>
      <c r="BA725" s="76" t="b">
        <v>0</v>
      </c>
      <c r="BB725" s="76" t="b">
        <v>1</v>
      </c>
      <c r="BC725" s="76" t="b">
        <v>1</v>
      </c>
      <c r="BD725" s="76" t="b">
        <v>0</v>
      </c>
      <c r="BE725" s="76" t="b">
        <v>0</v>
      </c>
      <c r="BF725" s="76" t="b">
        <v>0</v>
      </c>
      <c r="BG725" s="76" t="b">
        <v>0</v>
      </c>
      <c r="BH725" s="76"/>
      <c r="BI725" s="76"/>
      <c r="BJ725" s="76" t="s">
        <v>24935</v>
      </c>
      <c r="BK725" s="76" t="b">
        <v>0</v>
      </c>
      <c r="BL725" s="76"/>
      <c r="BM725" s="76" t="s">
        <v>66</v>
      </c>
      <c r="BN725" s="76" t="s">
        <v>24937</v>
      </c>
      <c r="BO725" s="83" t="str">
        <f>HYPERLINK("https://twitter.com/promodaduda")</f>
        <v>https://twitter.com/promodaduda</v>
      </c>
      <c r="BP725" s="2"/>
    </row>
    <row r="726" spans="1:68" x14ac:dyDescent="0.25">
      <c r="A726" s="62" t="s">
        <v>914</v>
      </c>
      <c r="B726" s="63"/>
      <c r="C726" s="63"/>
      <c r="D726" s="64"/>
      <c r="E726" s="66"/>
      <c r="F726" s="102" t="str">
        <f>HYPERLINK("https://pbs.twimg.com/profile_images/1505606345537511424/6RGCSn95_normal.jpg")</f>
        <v>https://pbs.twimg.com/profile_images/1505606345537511424/6RGCSn95_normal.jpg</v>
      </c>
      <c r="G726" s="63"/>
      <c r="H726" s="67"/>
      <c r="I726" s="68"/>
      <c r="J726" s="68"/>
      <c r="K726" s="67" t="s">
        <v>25660</v>
      </c>
      <c r="L726" s="71"/>
      <c r="M726" s="72"/>
      <c r="N726" s="72"/>
      <c r="O726" s="73"/>
      <c r="P726" s="74"/>
      <c r="Q726" s="74"/>
      <c r="R726" s="86"/>
      <c r="S726" s="86"/>
      <c r="T726" s="86"/>
      <c r="U726" s="86"/>
      <c r="V726" s="48"/>
      <c r="W726" s="48"/>
      <c r="X726" s="48"/>
      <c r="Y726" s="48"/>
      <c r="Z726" s="47"/>
      <c r="AA726" s="69">
        <v>726</v>
      </c>
      <c r="AB726" s="69"/>
      <c r="AC726" s="70"/>
      <c r="AD726" s="76" t="s">
        <v>22523</v>
      </c>
      <c r="AE726" s="81" t="s">
        <v>21527</v>
      </c>
      <c r="AF726" s="76">
        <v>1795</v>
      </c>
      <c r="AG726" s="76">
        <v>3710</v>
      </c>
      <c r="AH726" s="76">
        <v>163442</v>
      </c>
      <c r="AI726" s="76">
        <v>7</v>
      </c>
      <c r="AJ726" s="76">
        <v>70551</v>
      </c>
      <c r="AK726" s="76">
        <v>3601</v>
      </c>
      <c r="AL726" s="76" t="b">
        <v>0</v>
      </c>
      <c r="AM726" s="78">
        <v>43170.718217592592</v>
      </c>
      <c r="AN726" s="76"/>
      <c r="AO726" s="76" t="s">
        <v>23970</v>
      </c>
      <c r="AP726" s="83" t="str">
        <f>HYPERLINK("https://t.co/b5RlDlwwcC")</f>
        <v>https://t.co/b5RlDlwwcC</v>
      </c>
      <c r="AQ726" s="83" t="str">
        <f>HYPERLINK("https://ntnc.com.br/1f961fa7-b913-438c-8e59-c3559a9f02ab")</f>
        <v>https://ntnc.com.br/1f961fa7-b913-438c-8e59-c3559a9f02ab</v>
      </c>
      <c r="AR726" s="76" t="s">
        <v>24646</v>
      </c>
      <c r="AS726" s="76"/>
      <c r="AT726" s="76"/>
      <c r="AU726" s="76"/>
      <c r="AV726" s="76"/>
      <c r="AW726" s="83" t="str">
        <f>HYPERLINK("https://t.co/b5RlDlwwcC")</f>
        <v>https://t.co/b5RlDlwwcC</v>
      </c>
      <c r="AX726" s="76" t="b">
        <v>0</v>
      </c>
      <c r="AY726" s="76"/>
      <c r="AZ726" s="76"/>
      <c r="BA726" s="76" t="b">
        <v>0</v>
      </c>
      <c r="BB726" s="76" t="b">
        <v>1</v>
      </c>
      <c r="BC726" s="76" t="b">
        <v>1</v>
      </c>
      <c r="BD726" s="76" t="b">
        <v>0</v>
      </c>
      <c r="BE726" s="76" t="b">
        <v>0</v>
      </c>
      <c r="BF726" s="76" t="b">
        <v>0</v>
      </c>
      <c r="BG726" s="76" t="b">
        <v>0</v>
      </c>
      <c r="BH726" s="83" t="str">
        <f>HYPERLINK("https://pbs.twimg.com/profile_banners/972883408786423808/1647799501")</f>
        <v>https://pbs.twimg.com/profile_banners/972883408786423808/1647799501</v>
      </c>
      <c r="BI726" s="76"/>
      <c r="BJ726" s="76" t="s">
        <v>24935</v>
      </c>
      <c r="BK726" s="76" t="b">
        <v>0</v>
      </c>
      <c r="BL726" s="76"/>
      <c r="BM726" s="76" t="s">
        <v>66</v>
      </c>
      <c r="BN726" s="76" t="s">
        <v>24937</v>
      </c>
      <c r="BO726" s="83" t="str">
        <f>HYPERLINK("https://twitter.com/tidomundo")</f>
        <v>https://twitter.com/tidomundo</v>
      </c>
      <c r="BP726" s="2"/>
    </row>
    <row r="727" spans="1:68" x14ac:dyDescent="0.25">
      <c r="A727" s="62" t="s">
        <v>915</v>
      </c>
      <c r="B727" s="63"/>
      <c r="C727" s="63"/>
      <c r="D727" s="64"/>
      <c r="E727" s="66"/>
      <c r="F727" s="102" t="str">
        <f>HYPERLINK("https://pbs.twimg.com/profile_images/1615071993128255492/HvgfnXWO_normal.jpg")</f>
        <v>https://pbs.twimg.com/profile_images/1615071993128255492/HvgfnXWO_normal.jpg</v>
      </c>
      <c r="G727" s="63"/>
      <c r="H727" s="67"/>
      <c r="I727" s="68"/>
      <c r="J727" s="68"/>
      <c r="K727" s="67" t="s">
        <v>25661</v>
      </c>
      <c r="L727" s="71"/>
      <c r="M727" s="72"/>
      <c r="N727" s="72"/>
      <c r="O727" s="73"/>
      <c r="P727" s="74"/>
      <c r="Q727" s="74"/>
      <c r="R727" s="86"/>
      <c r="S727" s="86"/>
      <c r="T727" s="86"/>
      <c r="U727" s="86"/>
      <c r="V727" s="48"/>
      <c r="W727" s="48"/>
      <c r="X727" s="48"/>
      <c r="Y727" s="48"/>
      <c r="Z727" s="47"/>
      <c r="AA727" s="69">
        <v>727</v>
      </c>
      <c r="AB727" s="69"/>
      <c r="AC727" s="70"/>
      <c r="AD727" s="76" t="s">
        <v>22524</v>
      </c>
      <c r="AE727" s="81" t="s">
        <v>21528</v>
      </c>
      <c r="AF727" s="76">
        <v>1</v>
      </c>
      <c r="AG727" s="76">
        <v>59</v>
      </c>
      <c r="AH727" s="76">
        <v>62</v>
      </c>
      <c r="AI727" s="76">
        <v>0</v>
      </c>
      <c r="AJ727" s="76">
        <v>31</v>
      </c>
      <c r="AK727" s="76">
        <v>30</v>
      </c>
      <c r="AL727" s="76" t="b">
        <v>0</v>
      </c>
      <c r="AM727" s="78">
        <v>44942.814097222225</v>
      </c>
      <c r="AN727" s="76"/>
      <c r="AO727" s="76" t="s">
        <v>23971</v>
      </c>
      <c r="AP727" s="76"/>
      <c r="AQ727" s="76"/>
      <c r="AR727" s="76"/>
      <c r="AS727" s="76"/>
      <c r="AT727" s="76"/>
      <c r="AU727" s="76"/>
      <c r="AV727" s="76"/>
      <c r="AW727" s="76"/>
      <c r="AX727" s="76" t="b">
        <v>0</v>
      </c>
      <c r="AY727" s="76"/>
      <c r="AZ727" s="76"/>
      <c r="BA727" s="76" t="b">
        <v>0</v>
      </c>
      <c r="BB727" s="76" t="b">
        <v>1</v>
      </c>
      <c r="BC727" s="76" t="b">
        <v>1</v>
      </c>
      <c r="BD727" s="76" t="b">
        <v>0</v>
      </c>
      <c r="BE727" s="76" t="b">
        <v>0</v>
      </c>
      <c r="BF727" s="76" t="b">
        <v>0</v>
      </c>
      <c r="BG727" s="76" t="b">
        <v>0</v>
      </c>
      <c r="BH727" s="83" t="str">
        <f>HYPERLINK("https://pbs.twimg.com/profile_banners/1615069264142024704/1673898383")</f>
        <v>https://pbs.twimg.com/profile_banners/1615069264142024704/1673898383</v>
      </c>
      <c r="BI727" s="76"/>
      <c r="BJ727" s="76" t="s">
        <v>24935</v>
      </c>
      <c r="BK727" s="76" t="b">
        <v>0</v>
      </c>
      <c r="BL727" s="76"/>
      <c r="BM727" s="76" t="s">
        <v>66</v>
      </c>
      <c r="BN727" s="76" t="s">
        <v>24937</v>
      </c>
      <c r="BO727" s="83" t="str">
        <f>HYPERLINK("https://twitter.com/cozinhandoemdd")</f>
        <v>https://twitter.com/cozinhandoemdd</v>
      </c>
      <c r="BP727" s="2"/>
    </row>
    <row r="728" spans="1:68" x14ac:dyDescent="0.25">
      <c r="A728" s="62" t="s">
        <v>916</v>
      </c>
      <c r="B728" s="63"/>
      <c r="C728" s="63"/>
      <c r="D728" s="64"/>
      <c r="E728" s="66"/>
      <c r="F728" s="102" t="str">
        <f>HYPERLINK("https://pbs.twimg.com/profile_images/1656844263945060354/dxq43TrD_normal.jpg")</f>
        <v>https://pbs.twimg.com/profile_images/1656844263945060354/dxq43TrD_normal.jpg</v>
      </c>
      <c r="G728" s="63"/>
      <c r="H728" s="67"/>
      <c r="I728" s="68"/>
      <c r="J728" s="68"/>
      <c r="K728" s="67" t="s">
        <v>25662</v>
      </c>
      <c r="L728" s="71"/>
      <c r="M728" s="72"/>
      <c r="N728" s="72"/>
      <c r="O728" s="73"/>
      <c r="P728" s="74"/>
      <c r="Q728" s="74"/>
      <c r="R728" s="86"/>
      <c r="S728" s="86"/>
      <c r="T728" s="86"/>
      <c r="U728" s="86"/>
      <c r="V728" s="48"/>
      <c r="W728" s="48"/>
      <c r="X728" s="48"/>
      <c r="Y728" s="48"/>
      <c r="Z728" s="47"/>
      <c r="AA728" s="69">
        <v>728</v>
      </c>
      <c r="AB728" s="69"/>
      <c r="AC728" s="70"/>
      <c r="AD728" s="76" t="s">
        <v>22525</v>
      </c>
      <c r="AE728" s="81" t="s">
        <v>21529</v>
      </c>
      <c r="AF728" s="76">
        <v>10</v>
      </c>
      <c r="AG728" s="76">
        <v>37</v>
      </c>
      <c r="AH728" s="76">
        <v>34</v>
      </c>
      <c r="AI728" s="76">
        <v>0</v>
      </c>
      <c r="AJ728" s="76">
        <v>0</v>
      </c>
      <c r="AK728" s="76">
        <v>33</v>
      </c>
      <c r="AL728" s="76" t="b">
        <v>0</v>
      </c>
      <c r="AM728" s="78">
        <v>45058.090613425928</v>
      </c>
      <c r="AN728" s="76"/>
      <c r="AO728" s="76" t="s">
        <v>23972</v>
      </c>
      <c r="AP728" s="83" t="str">
        <f>HYPERLINK("https://t.co/FjwOi08cZd")</f>
        <v>https://t.co/FjwOi08cZd</v>
      </c>
      <c r="AQ728" s="83" t="str">
        <f>HYPERLINK("https://shope.ee/5pdJ39wpVI?share_channel_code=1")</f>
        <v>https://shope.ee/5pdJ39wpVI?share_channel_code=1</v>
      </c>
      <c r="AR728" s="76" t="s">
        <v>24647</v>
      </c>
      <c r="AS728" s="76"/>
      <c r="AT728" s="76"/>
      <c r="AU728" s="76"/>
      <c r="AV728" s="76"/>
      <c r="AW728" s="83" t="str">
        <f>HYPERLINK("https://t.co/FjwOi08cZd")</f>
        <v>https://t.co/FjwOi08cZd</v>
      </c>
      <c r="AX728" s="76" t="b">
        <v>0</v>
      </c>
      <c r="AY728" s="76"/>
      <c r="AZ728" s="76"/>
      <c r="BA728" s="76" t="b">
        <v>0</v>
      </c>
      <c r="BB728" s="76" t="b">
        <v>1</v>
      </c>
      <c r="BC728" s="76" t="b">
        <v>1</v>
      </c>
      <c r="BD728" s="76" t="b">
        <v>0</v>
      </c>
      <c r="BE728" s="76" t="b">
        <v>0</v>
      </c>
      <c r="BF728" s="76" t="b">
        <v>0</v>
      </c>
      <c r="BG728" s="76" t="b">
        <v>0</v>
      </c>
      <c r="BH728" s="76"/>
      <c r="BI728" s="76"/>
      <c r="BJ728" s="76" t="s">
        <v>24935</v>
      </c>
      <c r="BK728" s="76" t="b">
        <v>0</v>
      </c>
      <c r="BL728" s="76"/>
      <c r="BM728" s="76" t="s">
        <v>66</v>
      </c>
      <c r="BN728" s="76" t="s">
        <v>24937</v>
      </c>
      <c r="BO728" s="83" t="str">
        <f>HYPERLINK("https://twitter.com/devmichelly")</f>
        <v>https://twitter.com/devmichelly</v>
      </c>
      <c r="BP728" s="2"/>
    </row>
    <row r="729" spans="1:68" x14ac:dyDescent="0.25">
      <c r="A729" s="62" t="s">
        <v>917</v>
      </c>
      <c r="B729" s="63"/>
      <c r="C729" s="63"/>
      <c r="D729" s="64"/>
      <c r="E729" s="66"/>
      <c r="F729" s="102" t="str">
        <f>HYPERLINK("https://abs.twimg.com/sticky/default_profile_images/default_profile_normal.png")</f>
        <v>https://abs.twimg.com/sticky/default_profile_images/default_profile_normal.png</v>
      </c>
      <c r="G729" s="63"/>
      <c r="H729" s="67"/>
      <c r="I729" s="68"/>
      <c r="J729" s="68"/>
      <c r="K729" s="67" t="s">
        <v>25663</v>
      </c>
      <c r="L729" s="71"/>
      <c r="M729" s="72"/>
      <c r="N729" s="72"/>
      <c r="O729" s="73"/>
      <c r="P729" s="74"/>
      <c r="Q729" s="74"/>
      <c r="R729" s="86"/>
      <c r="S729" s="86"/>
      <c r="T729" s="86"/>
      <c r="U729" s="86"/>
      <c r="V729" s="48"/>
      <c r="W729" s="48"/>
      <c r="X729" s="48"/>
      <c r="Y729" s="48"/>
      <c r="Z729" s="47"/>
      <c r="AA729" s="69">
        <v>729</v>
      </c>
      <c r="AB729" s="69"/>
      <c r="AC729" s="70"/>
      <c r="AD729" s="76" t="s">
        <v>22526</v>
      </c>
      <c r="AE729" s="81" t="s">
        <v>21530</v>
      </c>
      <c r="AF729" s="76">
        <v>0</v>
      </c>
      <c r="AG729" s="76">
        <v>1</v>
      </c>
      <c r="AH729" s="76">
        <v>20</v>
      </c>
      <c r="AI729" s="76">
        <v>0</v>
      </c>
      <c r="AJ729" s="76">
        <v>0</v>
      </c>
      <c r="AK729" s="76">
        <v>20</v>
      </c>
      <c r="AL729" s="76" t="b">
        <v>0</v>
      </c>
      <c r="AM729" s="78">
        <v>45058.078020833331</v>
      </c>
      <c r="AN729" s="76"/>
      <c r="AO729" s="76"/>
      <c r="AP729" s="76"/>
      <c r="AQ729" s="76"/>
      <c r="AR729" s="76"/>
      <c r="AS729" s="76"/>
      <c r="AT729" s="76"/>
      <c r="AU729" s="76"/>
      <c r="AV729" s="76"/>
      <c r="AW729" s="76"/>
      <c r="AX729" s="76" t="b">
        <v>0</v>
      </c>
      <c r="AY729" s="76"/>
      <c r="AZ729" s="76"/>
      <c r="BA729" s="76" t="b">
        <v>0</v>
      </c>
      <c r="BB729" s="76" t="b">
        <v>1</v>
      </c>
      <c r="BC729" s="76" t="b">
        <v>1</v>
      </c>
      <c r="BD729" s="76" t="b">
        <v>1</v>
      </c>
      <c r="BE729" s="76" t="b">
        <v>0</v>
      </c>
      <c r="BF729" s="76" t="b">
        <v>0</v>
      </c>
      <c r="BG729" s="76" t="b">
        <v>0</v>
      </c>
      <c r="BH729" s="76"/>
      <c r="BI729" s="76"/>
      <c r="BJ729" s="76" t="s">
        <v>24935</v>
      </c>
      <c r="BK729" s="76" t="b">
        <v>0</v>
      </c>
      <c r="BL729" s="76"/>
      <c r="BM729" s="76" t="s">
        <v>66</v>
      </c>
      <c r="BN729" s="76" t="s">
        <v>24937</v>
      </c>
      <c r="BO729" s="83" t="str">
        <f>HYPERLINK("https://twitter.com/lunaticasz51690")</f>
        <v>https://twitter.com/lunaticasz51690</v>
      </c>
      <c r="BP729" s="2"/>
    </row>
    <row r="730" spans="1:68" x14ac:dyDescent="0.25">
      <c r="A730" s="62" t="s">
        <v>918</v>
      </c>
      <c r="B730" s="63"/>
      <c r="C730" s="63"/>
      <c r="D730" s="64"/>
      <c r="E730" s="66"/>
      <c r="F730" s="102" t="str">
        <f>HYPERLINK("https://pbs.twimg.com/profile_images/1691215974366609408/3D8jYOBc_normal.jpg")</f>
        <v>https://pbs.twimg.com/profile_images/1691215974366609408/3D8jYOBc_normal.jpg</v>
      </c>
      <c r="G730" s="63"/>
      <c r="H730" s="67"/>
      <c r="I730" s="68"/>
      <c r="J730" s="68"/>
      <c r="K730" s="67" t="s">
        <v>25664</v>
      </c>
      <c r="L730" s="71"/>
      <c r="M730" s="72"/>
      <c r="N730" s="72"/>
      <c r="O730" s="73"/>
      <c r="P730" s="74"/>
      <c r="Q730" s="74"/>
      <c r="R730" s="86"/>
      <c r="S730" s="86"/>
      <c r="T730" s="86"/>
      <c r="U730" s="86"/>
      <c r="V730" s="48"/>
      <c r="W730" s="48"/>
      <c r="X730" s="48"/>
      <c r="Y730" s="48"/>
      <c r="Z730" s="47"/>
      <c r="AA730" s="69">
        <v>730</v>
      </c>
      <c r="AB730" s="69"/>
      <c r="AC730" s="70"/>
      <c r="AD730" s="76" t="s">
        <v>22527</v>
      </c>
      <c r="AE730" s="81" t="s">
        <v>21531</v>
      </c>
      <c r="AF730" s="76">
        <v>0</v>
      </c>
      <c r="AG730" s="76">
        <v>20</v>
      </c>
      <c r="AH730" s="76">
        <v>26</v>
      </c>
      <c r="AI730" s="76">
        <v>0</v>
      </c>
      <c r="AJ730" s="76">
        <v>1</v>
      </c>
      <c r="AK730" s="76">
        <v>14</v>
      </c>
      <c r="AL730" s="76" t="b">
        <v>0</v>
      </c>
      <c r="AM730" s="78">
        <v>45139.986435185187</v>
      </c>
      <c r="AN730" s="76" t="s">
        <v>14033</v>
      </c>
      <c r="AO730" s="76" t="s">
        <v>23973</v>
      </c>
      <c r="AP730" s="83" t="str">
        <f>HYPERLINK("https://t.co/xpUBUCrgSr")</f>
        <v>https://t.co/xpUBUCrgSr</v>
      </c>
      <c r="AQ730" s="83" t="str">
        <f>HYPERLINK("http://wa.me/61992641172")</f>
        <v>http://wa.me/61992641172</v>
      </c>
      <c r="AR730" s="76" t="s">
        <v>24648</v>
      </c>
      <c r="AS730" s="83" t="str">
        <f>HYPERLINK("https://t.co/FF0UzXO2kO")</f>
        <v>https://t.co/FF0UzXO2kO</v>
      </c>
      <c r="AT730" s="83" t="str">
        <f>HYPERLINK("http://multprodutos.com")</f>
        <v>http://multprodutos.com</v>
      </c>
      <c r="AU730" s="76" t="s">
        <v>24903</v>
      </c>
      <c r="AV730" s="76"/>
      <c r="AW730" s="83" t="str">
        <f>HYPERLINK("https://t.co/xpUBUCrgSr")</f>
        <v>https://t.co/xpUBUCrgSr</v>
      </c>
      <c r="AX730" s="76" t="b">
        <v>0</v>
      </c>
      <c r="AY730" s="76"/>
      <c r="AZ730" s="76"/>
      <c r="BA730" s="76" t="b">
        <v>0</v>
      </c>
      <c r="BB730" s="76" t="b">
        <v>1</v>
      </c>
      <c r="BC730" s="76" t="b">
        <v>1</v>
      </c>
      <c r="BD730" s="76" t="b">
        <v>0</v>
      </c>
      <c r="BE730" s="76" t="b">
        <v>0</v>
      </c>
      <c r="BF730" s="76" t="b">
        <v>0</v>
      </c>
      <c r="BG730" s="76" t="b">
        <v>0</v>
      </c>
      <c r="BH730" s="83" t="str">
        <f>HYPERLINK("https://pbs.twimg.com/profile_banners/1686522156874715136/1692052284")</f>
        <v>https://pbs.twimg.com/profile_banners/1686522156874715136/1692052284</v>
      </c>
      <c r="BI730" s="76"/>
      <c r="BJ730" s="76" t="s">
        <v>24935</v>
      </c>
      <c r="BK730" s="76" t="b">
        <v>0</v>
      </c>
      <c r="BL730" s="76"/>
      <c r="BM730" s="76" t="s">
        <v>66</v>
      </c>
      <c r="BN730" s="76" t="s">
        <v>24937</v>
      </c>
      <c r="BO730" s="83" t="str">
        <f>HYPERLINK("https://twitter.com/juliocesar12shp")</f>
        <v>https://twitter.com/juliocesar12shp</v>
      </c>
      <c r="BP730" s="2"/>
    </row>
    <row r="731" spans="1:68" x14ac:dyDescent="0.25">
      <c r="A731" s="62" t="s">
        <v>919</v>
      </c>
      <c r="B731" s="63"/>
      <c r="C731" s="63"/>
      <c r="D731" s="64"/>
      <c r="E731" s="66"/>
      <c r="F731" s="102" t="str">
        <f>HYPERLINK("https://pbs.twimg.com/profile_images/1706409240481366016/qqYezrzl_normal.jpg")</f>
        <v>https://pbs.twimg.com/profile_images/1706409240481366016/qqYezrzl_normal.jpg</v>
      </c>
      <c r="G731" s="63"/>
      <c r="H731" s="67"/>
      <c r="I731" s="68"/>
      <c r="J731" s="68"/>
      <c r="K731" s="67" t="s">
        <v>25665</v>
      </c>
      <c r="L731" s="71"/>
      <c r="M731" s="72"/>
      <c r="N731" s="72"/>
      <c r="O731" s="73"/>
      <c r="P731" s="74"/>
      <c r="Q731" s="74"/>
      <c r="R731" s="86"/>
      <c r="S731" s="86"/>
      <c r="T731" s="86"/>
      <c r="U731" s="86"/>
      <c r="V731" s="48"/>
      <c r="W731" s="48"/>
      <c r="X731" s="48"/>
      <c r="Y731" s="48"/>
      <c r="Z731" s="47"/>
      <c r="AA731" s="69">
        <v>731</v>
      </c>
      <c r="AB731" s="69"/>
      <c r="AC731" s="70"/>
      <c r="AD731" s="76" t="s">
        <v>22528</v>
      </c>
      <c r="AE731" s="81" t="s">
        <v>21532</v>
      </c>
      <c r="AF731" s="76">
        <v>0</v>
      </c>
      <c r="AG731" s="76">
        <v>0</v>
      </c>
      <c r="AH731" s="76">
        <v>8</v>
      </c>
      <c r="AI731" s="76">
        <v>0</v>
      </c>
      <c r="AJ731" s="76">
        <v>7</v>
      </c>
      <c r="AK731" s="76">
        <v>6</v>
      </c>
      <c r="AL731" s="76" t="b">
        <v>0</v>
      </c>
      <c r="AM731" s="78">
        <v>44853.684872685182</v>
      </c>
      <c r="AN731" s="76"/>
      <c r="AO731" s="76" t="s">
        <v>23974</v>
      </c>
      <c r="AP731" s="76"/>
      <c r="AQ731" s="76"/>
      <c r="AR731" s="76"/>
      <c r="AS731" s="76"/>
      <c r="AT731" s="76"/>
      <c r="AU731" s="76"/>
      <c r="AV731" s="76">
        <v>1.66405265302065E+18</v>
      </c>
      <c r="AW731" s="76"/>
      <c r="AX731" s="76" t="b">
        <v>0</v>
      </c>
      <c r="AY731" s="76"/>
      <c r="AZ731" s="76"/>
      <c r="BA731" s="76" t="b">
        <v>0</v>
      </c>
      <c r="BB731" s="76" t="b">
        <v>1</v>
      </c>
      <c r="BC731" s="76" t="b">
        <v>1</v>
      </c>
      <c r="BD731" s="76" t="b">
        <v>0</v>
      </c>
      <c r="BE731" s="76" t="b">
        <v>0</v>
      </c>
      <c r="BF731" s="76" t="b">
        <v>0</v>
      </c>
      <c r="BG731" s="76" t="b">
        <v>1</v>
      </c>
      <c r="BH731" s="83" t="str">
        <f>HYPERLINK("https://pbs.twimg.com/profile_banners/1582769920089231360/1695674652")</f>
        <v>https://pbs.twimg.com/profile_banners/1582769920089231360/1695674652</v>
      </c>
      <c r="BI731" s="76"/>
      <c r="BJ731" s="76" t="s">
        <v>24935</v>
      </c>
      <c r="BK731" s="76" t="b">
        <v>0</v>
      </c>
      <c r="BL731" s="76"/>
      <c r="BM731" s="76" t="s">
        <v>66</v>
      </c>
      <c r="BN731" s="76" t="s">
        <v>24937</v>
      </c>
      <c r="BO731" s="83" t="str">
        <f>HYPERLINK("https://twitter.com/adriano0406038")</f>
        <v>https://twitter.com/adriano0406038</v>
      </c>
      <c r="BP731" s="2"/>
    </row>
    <row r="732" spans="1:68" x14ac:dyDescent="0.25">
      <c r="A732" s="62" t="s">
        <v>920</v>
      </c>
      <c r="B732" s="63"/>
      <c r="C732" s="63"/>
      <c r="D732" s="64"/>
      <c r="E732" s="66"/>
      <c r="F732" s="102" t="str">
        <f>HYPERLINK("https://pbs.twimg.com/profile_images/1474425205640544256/x4DZejck_normal.jpg")</f>
        <v>https://pbs.twimg.com/profile_images/1474425205640544256/x4DZejck_normal.jpg</v>
      </c>
      <c r="G732" s="63"/>
      <c r="H732" s="67"/>
      <c r="I732" s="68"/>
      <c r="J732" s="68"/>
      <c r="K732" s="67" t="s">
        <v>25666</v>
      </c>
      <c r="L732" s="71"/>
      <c r="M732" s="72"/>
      <c r="N732" s="72"/>
      <c r="O732" s="73"/>
      <c r="P732" s="74"/>
      <c r="Q732" s="74"/>
      <c r="R732" s="86"/>
      <c r="S732" s="86"/>
      <c r="T732" s="86"/>
      <c r="U732" s="86"/>
      <c r="V732" s="48"/>
      <c r="W732" s="48"/>
      <c r="X732" s="48"/>
      <c r="Y732" s="48"/>
      <c r="Z732" s="47"/>
      <c r="AA732" s="69">
        <v>732</v>
      </c>
      <c r="AB732" s="69"/>
      <c r="AC732" s="70"/>
      <c r="AD732" s="76" t="s">
        <v>22529</v>
      </c>
      <c r="AE732" s="81" t="s">
        <v>21533</v>
      </c>
      <c r="AF732" s="76">
        <v>504</v>
      </c>
      <c r="AG732" s="76">
        <v>2</v>
      </c>
      <c r="AH732" s="76">
        <v>1939</v>
      </c>
      <c r="AI732" s="76">
        <v>2</v>
      </c>
      <c r="AJ732" s="76">
        <v>2</v>
      </c>
      <c r="AK732" s="76">
        <v>0</v>
      </c>
      <c r="AL732" s="76" t="b">
        <v>0</v>
      </c>
      <c r="AM732" s="78">
        <v>44554.695439814815</v>
      </c>
      <c r="AN732" s="76" t="s">
        <v>14116</v>
      </c>
      <c r="AO732" s="76" t="s">
        <v>23975</v>
      </c>
      <c r="AP732" s="83" t="str">
        <f>HYPERLINK("https://t.co/LAS4NMhgW7")</f>
        <v>https://t.co/LAS4NMhgW7</v>
      </c>
      <c r="AQ732" s="83" t="str">
        <f>HYPERLINK("https://www.cartoesdecredito.me")</f>
        <v>https://www.cartoesdecredito.me</v>
      </c>
      <c r="AR732" s="76" t="s">
        <v>7437</v>
      </c>
      <c r="AS732" s="76"/>
      <c r="AT732" s="76"/>
      <c r="AU732" s="76"/>
      <c r="AV732" s="76"/>
      <c r="AW732" s="83" t="str">
        <f>HYPERLINK("https://t.co/LAS4NMhgW7")</f>
        <v>https://t.co/LAS4NMhgW7</v>
      </c>
      <c r="AX732" s="76" t="b">
        <v>0</v>
      </c>
      <c r="AY732" s="76"/>
      <c r="AZ732" s="76"/>
      <c r="BA732" s="76" t="b">
        <v>0</v>
      </c>
      <c r="BB732" s="76" t="b">
        <v>1</v>
      </c>
      <c r="BC732" s="76" t="b">
        <v>1</v>
      </c>
      <c r="BD732" s="76" t="b">
        <v>0</v>
      </c>
      <c r="BE732" s="76" t="b">
        <v>0</v>
      </c>
      <c r="BF732" s="76" t="b">
        <v>0</v>
      </c>
      <c r="BG732" s="76" t="b">
        <v>0</v>
      </c>
      <c r="BH732" s="83" t="str">
        <f>HYPERLINK("https://pbs.twimg.com/profile_banners/1474419849304711176/1688069090")</f>
        <v>https://pbs.twimg.com/profile_banners/1474419849304711176/1688069090</v>
      </c>
      <c r="BI732" s="76"/>
      <c r="BJ732" s="76" t="s">
        <v>24935</v>
      </c>
      <c r="BK732" s="76" t="b">
        <v>0</v>
      </c>
      <c r="BL732" s="76"/>
      <c r="BM732" s="76" t="s">
        <v>66</v>
      </c>
      <c r="BN732" s="76" t="s">
        <v>24937</v>
      </c>
      <c r="BO732" s="83" t="str">
        <f>HYPERLINK("https://twitter.com/cartoesmilhas")</f>
        <v>https://twitter.com/cartoesmilhas</v>
      </c>
      <c r="BP732" s="2"/>
    </row>
    <row r="733" spans="1:68" x14ac:dyDescent="0.25">
      <c r="A733" s="62" t="s">
        <v>921</v>
      </c>
      <c r="B733" s="63"/>
      <c r="C733" s="63"/>
      <c r="D733" s="64"/>
      <c r="E733" s="66"/>
      <c r="F733" s="102" t="str">
        <f>HYPERLINK("https://pbs.twimg.com/profile_images/1620755537435435013/lrKZ5wHJ_normal.jpg")</f>
        <v>https://pbs.twimg.com/profile_images/1620755537435435013/lrKZ5wHJ_normal.jpg</v>
      </c>
      <c r="G733" s="63"/>
      <c r="H733" s="67"/>
      <c r="I733" s="68"/>
      <c r="J733" s="68"/>
      <c r="K733" s="67" t="s">
        <v>25667</v>
      </c>
      <c r="L733" s="71"/>
      <c r="M733" s="72"/>
      <c r="N733" s="72"/>
      <c r="O733" s="73"/>
      <c r="P733" s="74"/>
      <c r="Q733" s="74"/>
      <c r="R733" s="86"/>
      <c r="S733" s="86"/>
      <c r="T733" s="86"/>
      <c r="U733" s="86"/>
      <c r="V733" s="48"/>
      <c r="W733" s="48"/>
      <c r="X733" s="48"/>
      <c r="Y733" s="48"/>
      <c r="Z733" s="47"/>
      <c r="AA733" s="69">
        <v>733</v>
      </c>
      <c r="AB733" s="69"/>
      <c r="AC733" s="70"/>
      <c r="AD733" s="76" t="s">
        <v>22530</v>
      </c>
      <c r="AE733" s="81" t="s">
        <v>23003</v>
      </c>
      <c r="AF733" s="76">
        <v>17202</v>
      </c>
      <c r="AG733" s="76">
        <v>164</v>
      </c>
      <c r="AH733" s="76">
        <v>1930</v>
      </c>
      <c r="AI733" s="76">
        <v>269</v>
      </c>
      <c r="AJ733" s="76">
        <v>140</v>
      </c>
      <c r="AK733" s="76">
        <v>1690</v>
      </c>
      <c r="AL733" s="76" t="b">
        <v>0</v>
      </c>
      <c r="AM733" s="78">
        <v>41882.819768518515</v>
      </c>
      <c r="AN733" s="76" t="s">
        <v>14040</v>
      </c>
      <c r="AO733" s="76" t="s">
        <v>23976</v>
      </c>
      <c r="AP733" s="83" t="str">
        <f>HYPERLINK("https://t.co/tC72aaZUqI")</f>
        <v>https://t.co/tC72aaZUqI</v>
      </c>
      <c r="AQ733" s="83" t="str">
        <f>HYPERLINK("http://www.clubefii.com.br")</f>
        <v>http://www.clubefii.com.br</v>
      </c>
      <c r="AR733" s="76" t="s">
        <v>24649</v>
      </c>
      <c r="AS733" s="76"/>
      <c r="AT733" s="76"/>
      <c r="AU733" s="76"/>
      <c r="AV733" s="76"/>
      <c r="AW733" s="83" t="str">
        <f>HYPERLINK("https://t.co/tC72aaZUqI")</f>
        <v>https://t.co/tC72aaZUqI</v>
      </c>
      <c r="AX733" s="76" t="b">
        <v>0</v>
      </c>
      <c r="AY733" s="76"/>
      <c r="AZ733" s="76"/>
      <c r="BA733" s="76" t="b">
        <v>0</v>
      </c>
      <c r="BB733" s="76" t="b">
        <v>1</v>
      </c>
      <c r="BC733" s="76" t="b">
        <v>1</v>
      </c>
      <c r="BD733" s="76" t="b">
        <v>0</v>
      </c>
      <c r="BE733" s="76" t="b">
        <v>0</v>
      </c>
      <c r="BF733" s="76" t="b">
        <v>0</v>
      </c>
      <c r="BG733" s="76" t="b">
        <v>0</v>
      </c>
      <c r="BH733" s="83" t="str">
        <f>HYPERLINK("https://pbs.twimg.com/profile_banners/2782850413/1544005725")</f>
        <v>https://pbs.twimg.com/profile_banners/2782850413/1544005725</v>
      </c>
      <c r="BI733" s="76"/>
      <c r="BJ733" s="76" t="s">
        <v>24935</v>
      </c>
      <c r="BK733" s="76" t="b">
        <v>0</v>
      </c>
      <c r="BL733" s="76"/>
      <c r="BM733" s="76" t="s">
        <v>66</v>
      </c>
      <c r="BN733" s="76" t="s">
        <v>24937</v>
      </c>
      <c r="BO733" s="83" t="str">
        <f>HYPERLINK("https://twitter.com/clubefii")</f>
        <v>https://twitter.com/clubefii</v>
      </c>
      <c r="BP733" s="2"/>
    </row>
    <row r="734" spans="1:68" x14ac:dyDescent="0.25">
      <c r="A734" s="62" t="s">
        <v>922</v>
      </c>
      <c r="B734" s="63"/>
      <c r="C734" s="63"/>
      <c r="D734" s="64"/>
      <c r="E734" s="66"/>
      <c r="F734" s="102" t="str">
        <f>HYPERLINK("https://pbs.twimg.com/profile_images/1612063089129652224/33OIY-Z7_normal.jpg")</f>
        <v>https://pbs.twimg.com/profile_images/1612063089129652224/33OIY-Z7_normal.jpg</v>
      </c>
      <c r="G734" s="63"/>
      <c r="H734" s="67"/>
      <c r="I734" s="68"/>
      <c r="J734" s="68"/>
      <c r="K734" s="67" t="s">
        <v>25668</v>
      </c>
      <c r="L734" s="71"/>
      <c r="M734" s="72"/>
      <c r="N734" s="72"/>
      <c r="O734" s="73"/>
      <c r="P734" s="74"/>
      <c r="Q734" s="74"/>
      <c r="R734" s="86"/>
      <c r="S734" s="86"/>
      <c r="T734" s="86"/>
      <c r="U734" s="86"/>
      <c r="V734" s="48"/>
      <c r="W734" s="48"/>
      <c r="X734" s="48"/>
      <c r="Y734" s="48"/>
      <c r="Z734" s="47"/>
      <c r="AA734" s="69">
        <v>734</v>
      </c>
      <c r="AB734" s="69"/>
      <c r="AC734" s="70"/>
      <c r="AD734" s="76" t="s">
        <v>22531</v>
      </c>
      <c r="AE734" s="81" t="s">
        <v>21534</v>
      </c>
      <c r="AF734" s="76">
        <v>16</v>
      </c>
      <c r="AG734" s="76">
        <v>1782</v>
      </c>
      <c r="AH734" s="76">
        <v>811</v>
      </c>
      <c r="AI734" s="76">
        <v>1</v>
      </c>
      <c r="AJ734" s="76">
        <v>1013</v>
      </c>
      <c r="AK734" s="76">
        <v>133</v>
      </c>
      <c r="AL734" s="76" t="b">
        <v>0</v>
      </c>
      <c r="AM734" s="78">
        <v>44219.643275462964</v>
      </c>
      <c r="AN734" s="76" t="s">
        <v>23263</v>
      </c>
      <c r="AO734" s="76" t="s">
        <v>23977</v>
      </c>
      <c r="AP734" s="83" t="str">
        <f>HYPERLINK("https://t.co/C8XZojumvN")</f>
        <v>https://t.co/C8XZojumvN</v>
      </c>
      <c r="AQ734" s="83" t="str">
        <f>HYPERLINK("https://www.magazinevoce.com.br/magazinesmgmarket/")</f>
        <v>https://www.magazinevoce.com.br/magazinesmgmarket/</v>
      </c>
      <c r="AR734" s="76" t="s">
        <v>24650</v>
      </c>
      <c r="AS734" s="76"/>
      <c r="AT734" s="76"/>
      <c r="AU734" s="76"/>
      <c r="AV734" s="76">
        <v>1.6277651040989E+18</v>
      </c>
      <c r="AW734" s="83" t="str">
        <f>HYPERLINK("https://t.co/C8XZojumvN")</f>
        <v>https://t.co/C8XZojumvN</v>
      </c>
      <c r="AX734" s="76" t="b">
        <v>0</v>
      </c>
      <c r="AY734" s="76"/>
      <c r="AZ734" s="76"/>
      <c r="BA734" s="76" t="b">
        <v>0</v>
      </c>
      <c r="BB734" s="76" t="b">
        <v>1</v>
      </c>
      <c r="BC734" s="76" t="b">
        <v>1</v>
      </c>
      <c r="BD734" s="76" t="b">
        <v>0</v>
      </c>
      <c r="BE734" s="76" t="b">
        <v>1</v>
      </c>
      <c r="BF734" s="76" t="b">
        <v>0</v>
      </c>
      <c r="BG734" s="76" t="b">
        <v>0</v>
      </c>
      <c r="BH734" s="83" t="str">
        <f>HYPERLINK("https://pbs.twimg.com/profile_banners/1352999854193209344/1676296951")</f>
        <v>https://pbs.twimg.com/profile_banners/1352999854193209344/1676296951</v>
      </c>
      <c r="BI734" s="76"/>
      <c r="BJ734" s="76" t="s">
        <v>24935</v>
      </c>
      <c r="BK734" s="76" t="b">
        <v>0</v>
      </c>
      <c r="BL734" s="76"/>
      <c r="BM734" s="76" t="s">
        <v>66</v>
      </c>
      <c r="BN734" s="76" t="s">
        <v>24937</v>
      </c>
      <c r="BO734" s="83" t="str">
        <f>HYPERLINK("https://twitter.com/souplatina")</f>
        <v>https://twitter.com/souplatina</v>
      </c>
      <c r="BP734" s="2"/>
    </row>
    <row r="735" spans="1:68" x14ac:dyDescent="0.25">
      <c r="A735" s="62" t="s">
        <v>923</v>
      </c>
      <c r="B735" s="63"/>
      <c r="C735" s="63"/>
      <c r="D735" s="64"/>
      <c r="E735" s="66"/>
      <c r="F735" s="102" t="str">
        <f>HYPERLINK("https://pbs.twimg.com/profile_images/1677348702451630085/DAhPPt7n_normal.png")</f>
        <v>https://pbs.twimg.com/profile_images/1677348702451630085/DAhPPt7n_normal.png</v>
      </c>
      <c r="G735" s="63"/>
      <c r="H735" s="67"/>
      <c r="I735" s="68"/>
      <c r="J735" s="68"/>
      <c r="K735" s="67" t="s">
        <v>25669</v>
      </c>
      <c r="L735" s="71"/>
      <c r="M735" s="72"/>
      <c r="N735" s="72"/>
      <c r="O735" s="73"/>
      <c r="P735" s="74"/>
      <c r="Q735" s="74"/>
      <c r="R735" s="86"/>
      <c r="S735" s="86"/>
      <c r="T735" s="86"/>
      <c r="U735" s="86"/>
      <c r="V735" s="48"/>
      <c r="W735" s="48"/>
      <c r="X735" s="48"/>
      <c r="Y735" s="48"/>
      <c r="Z735" s="47"/>
      <c r="AA735" s="69">
        <v>735</v>
      </c>
      <c r="AB735" s="69"/>
      <c r="AC735" s="70"/>
      <c r="AD735" s="76" t="s">
        <v>22532</v>
      </c>
      <c r="AE735" s="81" t="s">
        <v>21535</v>
      </c>
      <c r="AF735" s="76">
        <v>3</v>
      </c>
      <c r="AG735" s="76">
        <v>105</v>
      </c>
      <c r="AH735" s="76">
        <v>27</v>
      </c>
      <c r="AI735" s="76">
        <v>0</v>
      </c>
      <c r="AJ735" s="76">
        <v>17</v>
      </c>
      <c r="AK735" s="76">
        <v>23</v>
      </c>
      <c r="AL735" s="76" t="b">
        <v>0</v>
      </c>
      <c r="AM735" s="78">
        <v>45114.672083333331</v>
      </c>
      <c r="AN735" s="76" t="s">
        <v>23264</v>
      </c>
      <c r="AO735" s="76" t="s">
        <v>23978</v>
      </c>
      <c r="AP735" s="83" t="str">
        <f>HYPERLINK("https://t.co/OWBM3Nhs6l")</f>
        <v>https://t.co/OWBM3Nhs6l</v>
      </c>
      <c r="AQ735" s="83" t="str">
        <f>HYPERLINK("https://go.hotmart.com/F83317712D")</f>
        <v>https://go.hotmart.com/F83317712D</v>
      </c>
      <c r="AR735" s="76" t="s">
        <v>24651</v>
      </c>
      <c r="AS735" s="76"/>
      <c r="AT735" s="76"/>
      <c r="AU735" s="76"/>
      <c r="AV735" s="76">
        <v>1.67854889836782E+18</v>
      </c>
      <c r="AW735" s="83" t="str">
        <f>HYPERLINK("https://t.co/OWBM3Nhs6l")</f>
        <v>https://t.co/OWBM3Nhs6l</v>
      </c>
      <c r="AX735" s="76" t="b">
        <v>0</v>
      </c>
      <c r="AY735" s="76"/>
      <c r="AZ735" s="76"/>
      <c r="BA735" s="76" t="b">
        <v>0</v>
      </c>
      <c r="BB735" s="76" t="b">
        <v>1</v>
      </c>
      <c r="BC735" s="76" t="b">
        <v>1</v>
      </c>
      <c r="BD735" s="76" t="b">
        <v>0</v>
      </c>
      <c r="BE735" s="76" t="b">
        <v>0</v>
      </c>
      <c r="BF735" s="76" t="b">
        <v>0</v>
      </c>
      <c r="BG735" s="76" t="b">
        <v>0</v>
      </c>
      <c r="BH735" s="83" t="str">
        <f>HYPERLINK("https://pbs.twimg.com/profile_banners/1677348601003929601/1688748056")</f>
        <v>https://pbs.twimg.com/profile_banners/1677348601003929601/1688748056</v>
      </c>
      <c r="BI735" s="76"/>
      <c r="BJ735" s="76" t="s">
        <v>24935</v>
      </c>
      <c r="BK735" s="76" t="b">
        <v>0</v>
      </c>
      <c r="BL735" s="76"/>
      <c r="BM735" s="76" t="s">
        <v>66</v>
      </c>
      <c r="BN735" s="76" t="s">
        <v>24937</v>
      </c>
      <c r="BO735" s="83" t="str">
        <f>HYPERLINK("https://twitter.com/r2premiumnegoci")</f>
        <v>https://twitter.com/r2premiumnegoci</v>
      </c>
      <c r="BP735" s="2"/>
    </row>
    <row r="736" spans="1:68" x14ac:dyDescent="0.25">
      <c r="A736" s="62" t="s">
        <v>924</v>
      </c>
      <c r="B736" s="63"/>
      <c r="C736" s="63"/>
      <c r="D736" s="64"/>
      <c r="E736" s="66"/>
      <c r="F736" s="102" t="str">
        <f>HYPERLINK("https://pbs.twimg.com/profile_images/1333751179814330368/Dez-jO7O_normal.jpg")</f>
        <v>https://pbs.twimg.com/profile_images/1333751179814330368/Dez-jO7O_normal.jpg</v>
      </c>
      <c r="G736" s="63"/>
      <c r="H736" s="67"/>
      <c r="I736" s="68"/>
      <c r="J736" s="68"/>
      <c r="K736" s="67" t="s">
        <v>25670</v>
      </c>
      <c r="L736" s="71"/>
      <c r="M736" s="72"/>
      <c r="N736" s="72"/>
      <c r="O736" s="73"/>
      <c r="P736" s="74"/>
      <c r="Q736" s="74"/>
      <c r="R736" s="86"/>
      <c r="S736" s="86"/>
      <c r="T736" s="86"/>
      <c r="U736" s="86"/>
      <c r="V736" s="48"/>
      <c r="W736" s="48"/>
      <c r="X736" s="48"/>
      <c r="Y736" s="48"/>
      <c r="Z736" s="47"/>
      <c r="AA736" s="69">
        <v>736</v>
      </c>
      <c r="AB736" s="69"/>
      <c r="AC736" s="70"/>
      <c r="AD736" s="76" t="s">
        <v>22533</v>
      </c>
      <c r="AE736" s="81" t="s">
        <v>21536</v>
      </c>
      <c r="AF736" s="76">
        <v>131</v>
      </c>
      <c r="AG736" s="76">
        <v>60</v>
      </c>
      <c r="AH736" s="76">
        <v>2634</v>
      </c>
      <c r="AI736" s="76">
        <v>1</v>
      </c>
      <c r="AJ736" s="76">
        <v>72</v>
      </c>
      <c r="AK736" s="76">
        <v>2575</v>
      </c>
      <c r="AL736" s="76" t="b">
        <v>0</v>
      </c>
      <c r="AM736" s="78">
        <v>43860.753148148149</v>
      </c>
      <c r="AN736" s="76"/>
      <c r="AO736" s="76" t="s">
        <v>23979</v>
      </c>
      <c r="AP736" s="83" t="str">
        <f>HYPERLINK("https://t.co/kcekXRs3Gd")</f>
        <v>https://t.co/kcekXRs3Gd</v>
      </c>
      <c r="AQ736" s="83" t="str">
        <f>HYPERLINK("http://www.forumservicopublicoceara.org.br")</f>
        <v>http://www.forumservicopublicoceara.org.br</v>
      </c>
      <c r="AR736" s="76" t="s">
        <v>24652</v>
      </c>
      <c r="AS736" s="76"/>
      <c r="AT736" s="76"/>
      <c r="AU736" s="76"/>
      <c r="AV736" s="76"/>
      <c r="AW736" s="83" t="str">
        <f>HYPERLINK("https://t.co/kcekXRs3Gd")</f>
        <v>https://t.co/kcekXRs3Gd</v>
      </c>
      <c r="AX736" s="76" t="b">
        <v>0</v>
      </c>
      <c r="AY736" s="76"/>
      <c r="AZ736" s="76"/>
      <c r="BA736" s="76" t="b">
        <v>0</v>
      </c>
      <c r="BB736" s="76" t="b">
        <v>1</v>
      </c>
      <c r="BC736" s="76" t="b">
        <v>1</v>
      </c>
      <c r="BD736" s="76" t="b">
        <v>0</v>
      </c>
      <c r="BE736" s="76" t="b">
        <v>0</v>
      </c>
      <c r="BF736" s="76" t="b">
        <v>0</v>
      </c>
      <c r="BG736" s="76" t="b">
        <v>0</v>
      </c>
      <c r="BH736" s="83" t="str">
        <f>HYPERLINK("https://pbs.twimg.com/profile_banners/1222943466423975936/1606826037")</f>
        <v>https://pbs.twimg.com/profile_banners/1222943466423975936/1606826037</v>
      </c>
      <c r="BI736" s="76"/>
      <c r="BJ736" s="76" t="s">
        <v>24935</v>
      </c>
      <c r="BK736" s="76" t="b">
        <v>0</v>
      </c>
      <c r="BL736" s="76"/>
      <c r="BM736" s="76" t="s">
        <v>66</v>
      </c>
      <c r="BN736" s="76" t="s">
        <v>24937</v>
      </c>
      <c r="BO736" s="83" t="str">
        <f>HYPERLINK("https://twitter.com/forumdefesa")</f>
        <v>https://twitter.com/forumdefesa</v>
      </c>
      <c r="BP736" s="2"/>
    </row>
    <row r="737" spans="1:68" x14ac:dyDescent="0.25">
      <c r="A737" s="62" t="s">
        <v>925</v>
      </c>
      <c r="B737" s="63"/>
      <c r="C737" s="63"/>
      <c r="D737" s="64"/>
      <c r="E737" s="66"/>
      <c r="F737" s="102" t="str">
        <f>HYPERLINK("https://pbs.twimg.com/profile_images/1691665507714215938/cYSBvKUT_normal.jpg")</f>
        <v>https://pbs.twimg.com/profile_images/1691665507714215938/cYSBvKUT_normal.jpg</v>
      </c>
      <c r="G737" s="63"/>
      <c r="H737" s="67"/>
      <c r="I737" s="68"/>
      <c r="J737" s="68"/>
      <c r="K737" s="67" t="s">
        <v>25671</v>
      </c>
      <c r="L737" s="71"/>
      <c r="M737" s="72"/>
      <c r="N737" s="72"/>
      <c r="O737" s="73"/>
      <c r="P737" s="74"/>
      <c r="Q737" s="74"/>
      <c r="R737" s="86"/>
      <c r="S737" s="86"/>
      <c r="T737" s="86"/>
      <c r="U737" s="86"/>
      <c r="V737" s="48"/>
      <c r="W737" s="48"/>
      <c r="X737" s="48"/>
      <c r="Y737" s="48"/>
      <c r="Z737" s="47"/>
      <c r="AA737" s="69">
        <v>737</v>
      </c>
      <c r="AB737" s="69"/>
      <c r="AC737" s="70"/>
      <c r="AD737" s="76" t="s">
        <v>22534</v>
      </c>
      <c r="AE737" s="81" t="s">
        <v>23004</v>
      </c>
      <c r="AF737" s="76">
        <v>366</v>
      </c>
      <c r="AG737" s="76">
        <v>320</v>
      </c>
      <c r="AH737" s="76">
        <v>15480</v>
      </c>
      <c r="AI737" s="76">
        <v>4</v>
      </c>
      <c r="AJ737" s="76">
        <v>60775</v>
      </c>
      <c r="AK737" s="76">
        <v>1322</v>
      </c>
      <c r="AL737" s="76" t="b">
        <v>0</v>
      </c>
      <c r="AM737" s="78">
        <v>39944.780138888891</v>
      </c>
      <c r="AN737" s="76"/>
      <c r="AO737" s="76" t="s">
        <v>23980</v>
      </c>
      <c r="AP737" s="83" t="str">
        <f>HYPERLINK("https://t.co/SepVCcv6wj")</f>
        <v>https://t.co/SepVCcv6wj</v>
      </c>
      <c r="AQ737" s="83" t="str">
        <f>HYPERLINK("https://natas.studio/")</f>
        <v>https://natas.studio/</v>
      </c>
      <c r="AR737" s="76" t="s">
        <v>24653</v>
      </c>
      <c r="AS737" s="76"/>
      <c r="AT737" s="76"/>
      <c r="AU737" s="76"/>
      <c r="AV737" s="76">
        <v>1.65934621473791E+18</v>
      </c>
      <c r="AW737" s="83" t="str">
        <f>HYPERLINK("https://t.co/SepVCcv6wj")</f>
        <v>https://t.co/SepVCcv6wj</v>
      </c>
      <c r="AX737" s="76" t="b">
        <v>0</v>
      </c>
      <c r="AY737" s="76"/>
      <c r="AZ737" s="76"/>
      <c r="BA737" s="76" t="b">
        <v>0</v>
      </c>
      <c r="BB737" s="76" t="b">
        <v>0</v>
      </c>
      <c r="BC737" s="76" t="b">
        <v>0</v>
      </c>
      <c r="BD737" s="76" t="b">
        <v>0</v>
      </c>
      <c r="BE737" s="76" t="b">
        <v>1</v>
      </c>
      <c r="BF737" s="76" t="b">
        <v>0</v>
      </c>
      <c r="BG737" s="76" t="b">
        <v>0</v>
      </c>
      <c r="BH737" s="83" t="str">
        <f>HYPERLINK("https://pbs.twimg.com/profile_banners/39311052/1692704769")</f>
        <v>https://pbs.twimg.com/profile_banners/39311052/1692704769</v>
      </c>
      <c r="BI737" s="76"/>
      <c r="BJ737" s="76" t="s">
        <v>24935</v>
      </c>
      <c r="BK737" s="76" t="b">
        <v>0</v>
      </c>
      <c r="BL737" s="76"/>
      <c r="BM737" s="76" t="s">
        <v>66</v>
      </c>
      <c r="BN737" s="76" t="s">
        <v>24937</v>
      </c>
      <c r="BO737" s="83" t="str">
        <f>HYPERLINK("https://twitter.com/0neightwo")</f>
        <v>https://twitter.com/0neightwo</v>
      </c>
      <c r="BP737" s="2"/>
    </row>
    <row r="738" spans="1:68" x14ac:dyDescent="0.25">
      <c r="A738" s="62" t="s">
        <v>1269</v>
      </c>
      <c r="B738" s="63"/>
      <c r="C738" s="63"/>
      <c r="D738" s="64"/>
      <c r="E738" s="66"/>
      <c r="F738" s="102" t="str">
        <f>HYPERLINK("https://pbs.twimg.com/profile_images/1490674136708001794/XREZ3KNs_normal.jpg")</f>
        <v>https://pbs.twimg.com/profile_images/1490674136708001794/XREZ3KNs_normal.jpg</v>
      </c>
      <c r="G738" s="63"/>
      <c r="H738" s="67"/>
      <c r="I738" s="68"/>
      <c r="J738" s="68"/>
      <c r="K738" s="67" t="s">
        <v>25672</v>
      </c>
      <c r="L738" s="71"/>
      <c r="M738" s="72"/>
      <c r="N738" s="72"/>
      <c r="O738" s="73"/>
      <c r="P738" s="74"/>
      <c r="Q738" s="74"/>
      <c r="R738" s="86"/>
      <c r="S738" s="86"/>
      <c r="T738" s="86"/>
      <c r="U738" s="86"/>
      <c r="V738" s="48"/>
      <c r="W738" s="48"/>
      <c r="X738" s="48"/>
      <c r="Y738" s="48"/>
      <c r="Z738" s="47"/>
      <c r="AA738" s="69">
        <v>738</v>
      </c>
      <c r="AB738" s="69"/>
      <c r="AC738" s="70"/>
      <c r="AD738" s="76" t="s">
        <v>22535</v>
      </c>
      <c r="AE738" s="81" t="s">
        <v>20956</v>
      </c>
      <c r="AF738" s="76">
        <v>95553</v>
      </c>
      <c r="AG738" s="76">
        <v>472</v>
      </c>
      <c r="AH738" s="76">
        <v>45378</v>
      </c>
      <c r="AI738" s="76">
        <v>231</v>
      </c>
      <c r="AJ738" s="76">
        <v>48878</v>
      </c>
      <c r="AK738" s="76">
        <v>2117</v>
      </c>
      <c r="AL738" s="76" t="b">
        <v>0</v>
      </c>
      <c r="AM738" s="78">
        <v>43059.765115740738</v>
      </c>
      <c r="AN738" s="76" t="s">
        <v>14033</v>
      </c>
      <c r="AO738" s="76" t="s">
        <v>23981</v>
      </c>
      <c r="AP738" s="76"/>
      <c r="AQ738" s="76"/>
      <c r="AR738" s="76"/>
      <c r="AS738" s="76"/>
      <c r="AT738" s="76"/>
      <c r="AU738" s="76"/>
      <c r="AV738" s="76"/>
      <c r="AW738" s="76"/>
      <c r="AX738" s="76" t="b">
        <v>0</v>
      </c>
      <c r="AY738" s="76"/>
      <c r="AZ738" s="76"/>
      <c r="BA738" s="76" t="b">
        <v>0</v>
      </c>
      <c r="BB738" s="76" t="b">
        <v>0</v>
      </c>
      <c r="BC738" s="76" t="b">
        <v>0</v>
      </c>
      <c r="BD738" s="76" t="b">
        <v>0</v>
      </c>
      <c r="BE738" s="76" t="b">
        <v>1</v>
      </c>
      <c r="BF738" s="76" t="b">
        <v>0</v>
      </c>
      <c r="BG738" s="76" t="b">
        <v>0</v>
      </c>
      <c r="BH738" s="83" t="str">
        <f>HYPERLINK("https://pbs.twimg.com/profile_banners/932675351913926656/1584967455")</f>
        <v>https://pbs.twimg.com/profile_banners/932675351913926656/1584967455</v>
      </c>
      <c r="BI738" s="76"/>
      <c r="BJ738" s="76" t="s">
        <v>24935</v>
      </c>
      <c r="BK738" s="76" t="b">
        <v>0</v>
      </c>
      <c r="BL738" s="76"/>
      <c r="BM738" s="76" t="s">
        <v>65</v>
      </c>
      <c r="BN738" s="76" t="s">
        <v>24937</v>
      </c>
      <c r="BO738" s="83" t="str">
        <f>HYPERLINK("https://twitter.com/startupdareal")</f>
        <v>https://twitter.com/startupdareal</v>
      </c>
      <c r="BP738" s="2"/>
    </row>
    <row r="739" spans="1:68" x14ac:dyDescent="0.25">
      <c r="A739" s="62" t="s">
        <v>926</v>
      </c>
      <c r="B739" s="63"/>
      <c r="C739" s="63"/>
      <c r="D739" s="64"/>
      <c r="E739" s="66"/>
      <c r="F739" s="102" t="str">
        <f>HYPERLINK("https://pbs.twimg.com/profile_images/1438694931112026113/bJE2aMm__normal.jpg")</f>
        <v>https://pbs.twimg.com/profile_images/1438694931112026113/bJE2aMm__normal.jpg</v>
      </c>
      <c r="G739" s="63"/>
      <c r="H739" s="67"/>
      <c r="I739" s="68"/>
      <c r="J739" s="68"/>
      <c r="K739" s="67" t="s">
        <v>25673</v>
      </c>
      <c r="L739" s="71"/>
      <c r="M739" s="72"/>
      <c r="N739" s="72"/>
      <c r="O739" s="73"/>
      <c r="P739" s="74"/>
      <c r="Q739" s="74"/>
      <c r="R739" s="86"/>
      <c r="S739" s="86"/>
      <c r="T739" s="86"/>
      <c r="U739" s="86"/>
      <c r="V739" s="48"/>
      <c r="W739" s="48"/>
      <c r="X739" s="48"/>
      <c r="Y739" s="48"/>
      <c r="Z739" s="47"/>
      <c r="AA739" s="69">
        <v>739</v>
      </c>
      <c r="AB739" s="69"/>
      <c r="AC739" s="70"/>
      <c r="AD739" s="76" t="s">
        <v>22536</v>
      </c>
      <c r="AE739" s="81" t="s">
        <v>23005</v>
      </c>
      <c r="AF739" s="76">
        <v>1695</v>
      </c>
      <c r="AG739" s="76">
        <v>862</v>
      </c>
      <c r="AH739" s="76">
        <v>12856</v>
      </c>
      <c r="AI739" s="76">
        <v>7</v>
      </c>
      <c r="AJ739" s="76">
        <v>737</v>
      </c>
      <c r="AK739" s="76">
        <v>796</v>
      </c>
      <c r="AL739" s="76" t="b">
        <v>0</v>
      </c>
      <c r="AM739" s="78">
        <v>40133.755057870374</v>
      </c>
      <c r="AN739" s="76" t="s">
        <v>23265</v>
      </c>
      <c r="AO739" s="76" t="s">
        <v>23982</v>
      </c>
      <c r="AP739" s="83" t="str">
        <f>HYPERLINK("https://t.co/TR2oB2UnG4")</f>
        <v>https://t.co/TR2oB2UnG4</v>
      </c>
      <c r="AQ739" s="83" t="str">
        <f>HYPERLINK("https://www.instagram.com/famainfoco/")</f>
        <v>https://www.instagram.com/famainfoco/</v>
      </c>
      <c r="AR739" s="76" t="s">
        <v>24654</v>
      </c>
      <c r="AS739" s="76"/>
      <c r="AT739" s="76"/>
      <c r="AU739" s="76"/>
      <c r="AV739" s="76"/>
      <c r="AW739" s="83" t="str">
        <f>HYPERLINK("https://t.co/TR2oB2UnG4")</f>
        <v>https://t.co/TR2oB2UnG4</v>
      </c>
      <c r="AX739" s="76" t="b">
        <v>0</v>
      </c>
      <c r="AY739" s="76"/>
      <c r="AZ739" s="76"/>
      <c r="BA739" s="76" t="b">
        <v>1</v>
      </c>
      <c r="BB739" s="76" t="b">
        <v>1</v>
      </c>
      <c r="BC739" s="76" t="b">
        <v>0</v>
      </c>
      <c r="BD739" s="76" t="b">
        <v>0</v>
      </c>
      <c r="BE739" s="76" t="b">
        <v>1</v>
      </c>
      <c r="BF739" s="76" t="b">
        <v>0</v>
      </c>
      <c r="BG739" s="76" t="b">
        <v>0</v>
      </c>
      <c r="BH739" s="83" t="str">
        <f>HYPERLINK("https://pbs.twimg.com/profile_banners/90447850/1642029341")</f>
        <v>https://pbs.twimg.com/profile_banners/90447850/1642029341</v>
      </c>
      <c r="BI739" s="76"/>
      <c r="BJ739" s="76" t="s">
        <v>24935</v>
      </c>
      <c r="BK739" s="76" t="b">
        <v>0</v>
      </c>
      <c r="BL739" s="76"/>
      <c r="BM739" s="76" t="s">
        <v>66</v>
      </c>
      <c r="BN739" s="76" t="s">
        <v>24937</v>
      </c>
      <c r="BO739" s="83" t="str">
        <f>HYPERLINK("https://twitter.com/famainfoco")</f>
        <v>https://twitter.com/famainfoco</v>
      </c>
      <c r="BP739" s="2"/>
    </row>
    <row r="740" spans="1:68" x14ac:dyDescent="0.25">
      <c r="A740" s="62" t="s">
        <v>927</v>
      </c>
      <c r="B740" s="63"/>
      <c r="C740" s="63"/>
      <c r="D740" s="64"/>
      <c r="E740" s="66"/>
      <c r="F740" s="102" t="str">
        <f>HYPERLINK("https://pbs.twimg.com/profile_images/1482569510821543937/fz1RLKAe_normal.jpg")</f>
        <v>https://pbs.twimg.com/profile_images/1482569510821543937/fz1RLKAe_normal.jpg</v>
      </c>
      <c r="G740" s="63"/>
      <c r="H740" s="67"/>
      <c r="I740" s="68"/>
      <c r="J740" s="68"/>
      <c r="K740" s="67" t="s">
        <v>25674</v>
      </c>
      <c r="L740" s="71"/>
      <c r="M740" s="72"/>
      <c r="N740" s="72"/>
      <c r="O740" s="73"/>
      <c r="P740" s="74"/>
      <c r="Q740" s="74"/>
      <c r="R740" s="86"/>
      <c r="S740" s="86"/>
      <c r="T740" s="86"/>
      <c r="U740" s="86"/>
      <c r="V740" s="48"/>
      <c r="W740" s="48"/>
      <c r="X740" s="48"/>
      <c r="Y740" s="48"/>
      <c r="Z740" s="47"/>
      <c r="AA740" s="69">
        <v>740</v>
      </c>
      <c r="AB740" s="69"/>
      <c r="AC740" s="70"/>
      <c r="AD740" s="76" t="s">
        <v>22537</v>
      </c>
      <c r="AE740" s="81" t="s">
        <v>23006</v>
      </c>
      <c r="AF740" s="76">
        <v>72</v>
      </c>
      <c r="AG740" s="76">
        <v>76</v>
      </c>
      <c r="AH740" s="76">
        <v>110</v>
      </c>
      <c r="AI740" s="76">
        <v>1</v>
      </c>
      <c r="AJ740" s="76">
        <v>152</v>
      </c>
      <c r="AK740" s="76">
        <v>9</v>
      </c>
      <c r="AL740" s="76" t="b">
        <v>0</v>
      </c>
      <c r="AM740" s="78">
        <v>39995.06386574074</v>
      </c>
      <c r="AN740" s="76" t="s">
        <v>23266</v>
      </c>
      <c r="AO740" s="76" t="s">
        <v>23983</v>
      </c>
      <c r="AP740" s="83" t="str">
        <f>HYPERLINK("https://t.co/tCN2cyWGoJ")</f>
        <v>https://t.co/tCN2cyWGoJ</v>
      </c>
      <c r="AQ740" s="83" t="str">
        <f>HYPERLINK("https://linktr.ee/demetriusteixeira")</f>
        <v>https://linktr.ee/demetriusteixeira</v>
      </c>
      <c r="AR740" s="76" t="s">
        <v>24655</v>
      </c>
      <c r="AS740" s="76"/>
      <c r="AT740" s="76"/>
      <c r="AU740" s="76"/>
      <c r="AV740" s="76"/>
      <c r="AW740" s="83" t="str">
        <f>HYPERLINK("https://t.co/tCN2cyWGoJ")</f>
        <v>https://t.co/tCN2cyWGoJ</v>
      </c>
      <c r="AX740" s="76" t="b">
        <v>0</v>
      </c>
      <c r="AY740" s="76"/>
      <c r="AZ740" s="76"/>
      <c r="BA740" s="76" t="b">
        <v>0</v>
      </c>
      <c r="BB740" s="76" t="b">
        <v>1</v>
      </c>
      <c r="BC740" s="76" t="b">
        <v>0</v>
      </c>
      <c r="BD740" s="76" t="b">
        <v>0</v>
      </c>
      <c r="BE740" s="76" t="b">
        <v>0</v>
      </c>
      <c r="BF740" s="76" t="b">
        <v>0</v>
      </c>
      <c r="BG740" s="76" t="b">
        <v>0</v>
      </c>
      <c r="BH740" s="83" t="str">
        <f>HYPERLINK("https://pbs.twimg.com/profile_banners/52590661/1399475087")</f>
        <v>https://pbs.twimg.com/profile_banners/52590661/1399475087</v>
      </c>
      <c r="BI740" s="76"/>
      <c r="BJ740" s="76" t="s">
        <v>24935</v>
      </c>
      <c r="BK740" s="76" t="b">
        <v>0</v>
      </c>
      <c r="BL740" s="76"/>
      <c r="BM740" s="76" t="s">
        <v>66</v>
      </c>
      <c r="BN740" s="76" t="s">
        <v>24937</v>
      </c>
      <c r="BO740" s="83" t="str">
        <f>HYPERLINK("https://twitter.com/demetriusbrasil")</f>
        <v>https://twitter.com/demetriusbrasil</v>
      </c>
      <c r="BP740" s="2"/>
    </row>
    <row r="741" spans="1:68" x14ac:dyDescent="0.25">
      <c r="A741" s="62" t="s">
        <v>929</v>
      </c>
      <c r="B741" s="63"/>
      <c r="C741" s="63"/>
      <c r="D741" s="64"/>
      <c r="E741" s="66"/>
      <c r="F741" s="102" t="str">
        <f>HYPERLINK("https://pbs.twimg.com/profile_images/1614333091874590721/_Amsh_Y5_normal.png")</f>
        <v>https://pbs.twimg.com/profile_images/1614333091874590721/_Amsh_Y5_normal.png</v>
      </c>
      <c r="G741" s="63"/>
      <c r="H741" s="67"/>
      <c r="I741" s="68"/>
      <c r="J741" s="68"/>
      <c r="K741" s="67" t="s">
        <v>25675</v>
      </c>
      <c r="L741" s="71"/>
      <c r="M741" s="72"/>
      <c r="N741" s="72"/>
      <c r="O741" s="73"/>
      <c r="P741" s="74"/>
      <c r="Q741" s="74"/>
      <c r="R741" s="86"/>
      <c r="S741" s="86"/>
      <c r="T741" s="86"/>
      <c r="U741" s="86"/>
      <c r="V741" s="48"/>
      <c r="W741" s="48"/>
      <c r="X741" s="48"/>
      <c r="Y741" s="48"/>
      <c r="Z741" s="47"/>
      <c r="AA741" s="69">
        <v>741</v>
      </c>
      <c r="AB741" s="69"/>
      <c r="AC741" s="70"/>
      <c r="AD741" s="76" t="s">
        <v>22538</v>
      </c>
      <c r="AE741" s="81" t="s">
        <v>21537</v>
      </c>
      <c r="AF741" s="76">
        <v>0</v>
      </c>
      <c r="AG741" s="76">
        <v>7</v>
      </c>
      <c r="AH741" s="76">
        <v>9</v>
      </c>
      <c r="AI741" s="76">
        <v>0</v>
      </c>
      <c r="AJ741" s="76">
        <v>0</v>
      </c>
      <c r="AK741" s="76">
        <v>9</v>
      </c>
      <c r="AL741" s="76" t="b">
        <v>0</v>
      </c>
      <c r="AM741" s="78">
        <v>44940.782129629632</v>
      </c>
      <c r="AN741" s="76" t="s">
        <v>14115</v>
      </c>
      <c r="AO741" s="76" t="s">
        <v>23984</v>
      </c>
      <c r="AP741" s="76"/>
      <c r="AQ741" s="76"/>
      <c r="AR741" s="76"/>
      <c r="AS741" s="76"/>
      <c r="AT741" s="76"/>
      <c r="AU741" s="76"/>
      <c r="AV741" s="76"/>
      <c r="AW741" s="76"/>
      <c r="AX741" s="76" t="b">
        <v>0</v>
      </c>
      <c r="AY741" s="76"/>
      <c r="AZ741" s="76"/>
      <c r="BA741" s="76" t="b">
        <v>0</v>
      </c>
      <c r="BB741" s="76" t="b">
        <v>1</v>
      </c>
      <c r="BC741" s="76" t="b">
        <v>1</v>
      </c>
      <c r="BD741" s="76" t="b">
        <v>0</v>
      </c>
      <c r="BE741" s="76" t="b">
        <v>0</v>
      </c>
      <c r="BF741" s="76" t="b">
        <v>0</v>
      </c>
      <c r="BG741" s="76" t="b">
        <v>0</v>
      </c>
      <c r="BH741" s="83" t="str">
        <f>HYPERLINK("https://pbs.twimg.com/profile_banners/1614332974815641600/1674778047")</f>
        <v>https://pbs.twimg.com/profile_banners/1614332974815641600/1674778047</v>
      </c>
      <c r="BI741" s="76"/>
      <c r="BJ741" s="76" t="s">
        <v>24935</v>
      </c>
      <c r="BK741" s="76" t="b">
        <v>0</v>
      </c>
      <c r="BL741" s="76"/>
      <c r="BM741" s="76" t="s">
        <v>66</v>
      </c>
      <c r="BN741" s="76" t="s">
        <v>24937</v>
      </c>
      <c r="BO741" s="83" t="str">
        <f>HYPERLINK("https://twitter.com/zahrah_br")</f>
        <v>https://twitter.com/zahrah_br</v>
      </c>
      <c r="BP741" s="2"/>
    </row>
    <row r="742" spans="1:68" x14ac:dyDescent="0.25">
      <c r="A742" s="62" t="s">
        <v>930</v>
      </c>
      <c r="B742" s="63"/>
      <c r="C742" s="63"/>
      <c r="D742" s="64"/>
      <c r="E742" s="66"/>
      <c r="F742" s="102" t="str">
        <f>HYPERLINK("https://pbs.twimg.com/profile_images/1681701874523688960/S9d0JGS3_normal.jpg")</f>
        <v>https://pbs.twimg.com/profile_images/1681701874523688960/S9d0JGS3_normal.jpg</v>
      </c>
      <c r="G742" s="63"/>
      <c r="H742" s="67"/>
      <c r="I742" s="68"/>
      <c r="J742" s="68"/>
      <c r="K742" s="67" t="s">
        <v>25676</v>
      </c>
      <c r="L742" s="71"/>
      <c r="M742" s="72"/>
      <c r="N742" s="72"/>
      <c r="O742" s="73"/>
      <c r="P742" s="74"/>
      <c r="Q742" s="74"/>
      <c r="R742" s="86"/>
      <c r="S742" s="86"/>
      <c r="T742" s="86"/>
      <c r="U742" s="86"/>
      <c r="V742" s="48"/>
      <c r="W742" s="48"/>
      <c r="X742" s="48"/>
      <c r="Y742" s="48"/>
      <c r="Z742" s="47"/>
      <c r="AA742" s="69">
        <v>742</v>
      </c>
      <c r="AB742" s="69"/>
      <c r="AC742" s="70"/>
      <c r="AD742" s="76" t="s">
        <v>22539</v>
      </c>
      <c r="AE742" s="81" t="s">
        <v>21538</v>
      </c>
      <c r="AF742" s="76">
        <v>2</v>
      </c>
      <c r="AG742" s="76">
        <v>12</v>
      </c>
      <c r="AH742" s="76">
        <v>4</v>
      </c>
      <c r="AI742" s="76">
        <v>0</v>
      </c>
      <c r="AJ742" s="76">
        <v>1</v>
      </c>
      <c r="AK742" s="76">
        <v>4</v>
      </c>
      <c r="AL742" s="76" t="b">
        <v>0</v>
      </c>
      <c r="AM742" s="78">
        <v>45126.677812499998</v>
      </c>
      <c r="AN742" s="76" t="s">
        <v>23267</v>
      </c>
      <c r="AO742" s="76" t="s">
        <v>23985</v>
      </c>
      <c r="AP742" s="83" t="str">
        <f>HYPERLINK("https://t.co/yRGXmu5J85")</f>
        <v>https://t.co/yRGXmu5J85</v>
      </c>
      <c r="AQ742" s="83" t="str">
        <f>HYPERLINK("https://bit.ly/3K0nD8j")</f>
        <v>https://bit.ly/3K0nD8j</v>
      </c>
      <c r="AR742" s="76" t="s">
        <v>24656</v>
      </c>
      <c r="AS742" s="76"/>
      <c r="AT742" s="76"/>
      <c r="AU742" s="76"/>
      <c r="AV742" s="76"/>
      <c r="AW742" s="83" t="str">
        <f>HYPERLINK("https://t.co/yRGXmu5J85")</f>
        <v>https://t.co/yRGXmu5J85</v>
      </c>
      <c r="AX742" s="76" t="b">
        <v>0</v>
      </c>
      <c r="AY742" s="76"/>
      <c r="AZ742" s="76"/>
      <c r="BA742" s="76" t="b">
        <v>0</v>
      </c>
      <c r="BB742" s="76" t="b">
        <v>1</v>
      </c>
      <c r="BC742" s="76" t="b">
        <v>1</v>
      </c>
      <c r="BD742" s="76" t="b">
        <v>0</v>
      </c>
      <c r="BE742" s="76" t="b">
        <v>0</v>
      </c>
      <c r="BF742" s="76" t="b">
        <v>0</v>
      </c>
      <c r="BG742" s="76" t="b">
        <v>0</v>
      </c>
      <c r="BH742" s="76"/>
      <c r="BI742" s="76"/>
      <c r="BJ742" s="76" t="s">
        <v>24935</v>
      </c>
      <c r="BK742" s="76" t="b">
        <v>0</v>
      </c>
      <c r="BL742" s="76"/>
      <c r="BM742" s="76" t="s">
        <v>66</v>
      </c>
      <c r="BN742" s="76" t="s">
        <v>24937</v>
      </c>
      <c r="BO742" s="83" t="str">
        <f>HYPERLINK("https://twitter.com/bruno_n23")</f>
        <v>https://twitter.com/bruno_n23</v>
      </c>
      <c r="BP742" s="2"/>
    </row>
    <row r="743" spans="1:68" x14ac:dyDescent="0.25">
      <c r="A743" s="62" t="s">
        <v>931</v>
      </c>
      <c r="B743" s="63"/>
      <c r="C743" s="63"/>
      <c r="D743" s="64"/>
      <c r="E743" s="66"/>
      <c r="F743" s="102" t="str">
        <f>HYPERLINK("https://pbs.twimg.com/profile_images/1634180052798656515/H0A4Btyh_normal.jpg")</f>
        <v>https://pbs.twimg.com/profile_images/1634180052798656515/H0A4Btyh_normal.jpg</v>
      </c>
      <c r="G743" s="63"/>
      <c r="H743" s="67"/>
      <c r="I743" s="68"/>
      <c r="J743" s="68"/>
      <c r="K743" s="67" t="s">
        <v>25677</v>
      </c>
      <c r="L743" s="71"/>
      <c r="M743" s="72"/>
      <c r="N743" s="72"/>
      <c r="O743" s="73"/>
      <c r="P743" s="74"/>
      <c r="Q743" s="74"/>
      <c r="R743" s="86"/>
      <c r="S743" s="86"/>
      <c r="T743" s="86"/>
      <c r="U743" s="86"/>
      <c r="V743" s="48"/>
      <c r="W743" s="48"/>
      <c r="X743" s="48"/>
      <c r="Y743" s="48"/>
      <c r="Z743" s="47"/>
      <c r="AA743" s="69">
        <v>743</v>
      </c>
      <c r="AB743" s="69"/>
      <c r="AC743" s="70"/>
      <c r="AD743" s="76" t="s">
        <v>22540</v>
      </c>
      <c r="AE743" s="81" t="s">
        <v>21539</v>
      </c>
      <c r="AF743" s="76">
        <v>0</v>
      </c>
      <c r="AG743" s="76">
        <v>15</v>
      </c>
      <c r="AH743" s="76">
        <v>244</v>
      </c>
      <c r="AI743" s="76">
        <v>0</v>
      </c>
      <c r="AJ743" s="76">
        <v>30</v>
      </c>
      <c r="AK743" s="76">
        <v>12</v>
      </c>
      <c r="AL743" s="76" t="b">
        <v>0</v>
      </c>
      <c r="AM743" s="78">
        <v>43840.221990740742</v>
      </c>
      <c r="AN743" s="76"/>
      <c r="AO743" s="83" t="str">
        <f>HYPERLINK("https://t.co/R25EeVuPZm")</f>
        <v>https://t.co/R25EeVuPZm</v>
      </c>
      <c r="AP743" s="76"/>
      <c r="AQ743" s="76"/>
      <c r="AR743" s="76"/>
      <c r="AS743" s="83" t="str">
        <f>HYPERLINK("https://t.co/R25EeVuPZm")</f>
        <v>https://t.co/R25EeVuPZm</v>
      </c>
      <c r="AT743" s="83" t="str">
        <f>HYPERLINK("https://bc.ai/i-brlc850c0mx-n/?p=https://raf.bc.ai/")</f>
        <v>https://bc.ai/i-brlc850c0mx-n/?p=https://raf.bc.ai/</v>
      </c>
      <c r="AU743" s="76" t="s">
        <v>24904</v>
      </c>
      <c r="AV743" s="76"/>
      <c r="AW743" s="76"/>
      <c r="AX743" s="76" t="b">
        <v>0</v>
      </c>
      <c r="AY743" s="76"/>
      <c r="AZ743" s="76"/>
      <c r="BA743" s="76" t="b">
        <v>1</v>
      </c>
      <c r="BB743" s="76" t="b">
        <v>0</v>
      </c>
      <c r="BC743" s="76" t="b">
        <v>1</v>
      </c>
      <c r="BD743" s="76" t="b">
        <v>0</v>
      </c>
      <c r="BE743" s="76" t="b">
        <v>1</v>
      </c>
      <c r="BF743" s="76" t="b">
        <v>0</v>
      </c>
      <c r="BG743" s="76" t="b">
        <v>0</v>
      </c>
      <c r="BH743" s="76"/>
      <c r="BI743" s="76"/>
      <c r="BJ743" s="76" t="s">
        <v>24935</v>
      </c>
      <c r="BK743" s="76" t="b">
        <v>0</v>
      </c>
      <c r="BL743" s="76"/>
      <c r="BM743" s="76" t="s">
        <v>66</v>
      </c>
      <c r="BN743" s="76" t="s">
        <v>24937</v>
      </c>
      <c r="BO743" s="83" t="str">
        <f>HYPERLINK("https://twitter.com/afbv2020")</f>
        <v>https://twitter.com/afbv2020</v>
      </c>
      <c r="BP743" s="2"/>
    </row>
    <row r="744" spans="1:68" x14ac:dyDescent="0.25">
      <c r="A744" s="62" t="s">
        <v>932</v>
      </c>
      <c r="B744" s="63"/>
      <c r="C744" s="63"/>
      <c r="D744" s="64"/>
      <c r="E744" s="66"/>
      <c r="F744" s="102" t="str">
        <f>HYPERLINK("https://pbs.twimg.com/profile_images/1694751186727890949/-dr57oUM_normal.jpg")</f>
        <v>https://pbs.twimg.com/profile_images/1694751186727890949/-dr57oUM_normal.jpg</v>
      </c>
      <c r="G744" s="63"/>
      <c r="H744" s="67"/>
      <c r="I744" s="68"/>
      <c r="J744" s="68"/>
      <c r="K744" s="67" t="s">
        <v>25678</v>
      </c>
      <c r="L744" s="71"/>
      <c r="M744" s="72"/>
      <c r="N744" s="72"/>
      <c r="O744" s="73"/>
      <c r="P744" s="74"/>
      <c r="Q744" s="74"/>
      <c r="R744" s="86"/>
      <c r="S744" s="86"/>
      <c r="T744" s="86"/>
      <c r="U744" s="86"/>
      <c r="V744" s="48"/>
      <c r="W744" s="48"/>
      <c r="X744" s="48"/>
      <c r="Y744" s="48"/>
      <c r="Z744" s="47"/>
      <c r="AA744" s="69">
        <v>744</v>
      </c>
      <c r="AB744" s="69"/>
      <c r="AC744" s="70"/>
      <c r="AD744" s="76" t="s">
        <v>22541</v>
      </c>
      <c r="AE744" s="81" t="s">
        <v>21540</v>
      </c>
      <c r="AF744" s="76">
        <v>119</v>
      </c>
      <c r="AG744" s="76">
        <v>651</v>
      </c>
      <c r="AH744" s="76">
        <v>143</v>
      </c>
      <c r="AI744" s="76">
        <v>0</v>
      </c>
      <c r="AJ744" s="76">
        <v>143</v>
      </c>
      <c r="AK744" s="76">
        <v>73</v>
      </c>
      <c r="AL744" s="76" t="b">
        <v>0</v>
      </c>
      <c r="AM744" s="78">
        <v>43234.974849537037</v>
      </c>
      <c r="AN744" s="76"/>
      <c r="AO744" s="76" t="s">
        <v>23986</v>
      </c>
      <c r="AP744" s="83" t="str">
        <f>HYPERLINK("https://t.co/VOImQGOVEP")</f>
        <v>https://t.co/VOImQGOVEP</v>
      </c>
      <c r="AQ744" s="83" t="str">
        <f>HYPERLINK("https://m.calica777slots.com/?gfs=369zwsyp")</f>
        <v>https://m.calica777slots.com/?gfs=369zwsyp</v>
      </c>
      <c r="AR744" s="76" t="s">
        <v>24657</v>
      </c>
      <c r="AS744" s="76"/>
      <c r="AT744" s="76"/>
      <c r="AU744" s="76"/>
      <c r="AV744" s="76"/>
      <c r="AW744" s="83" t="str">
        <f>HYPERLINK("https://t.co/VOImQGOVEP")</f>
        <v>https://t.co/VOImQGOVEP</v>
      </c>
      <c r="AX744" s="76" t="b">
        <v>0</v>
      </c>
      <c r="AY744" s="76"/>
      <c r="AZ744" s="76"/>
      <c r="BA744" s="76" t="b">
        <v>0</v>
      </c>
      <c r="BB744" s="76" t="b">
        <v>1</v>
      </c>
      <c r="BC744" s="76" t="b">
        <v>1</v>
      </c>
      <c r="BD744" s="76" t="b">
        <v>0</v>
      </c>
      <c r="BE744" s="76" t="b">
        <v>0</v>
      </c>
      <c r="BF744" s="76" t="b">
        <v>0</v>
      </c>
      <c r="BG744" s="76" t="b">
        <v>0</v>
      </c>
      <c r="BH744" s="83" t="str">
        <f>HYPERLINK("https://pbs.twimg.com/profile_banners/996169231849918465/1692895146")</f>
        <v>https://pbs.twimg.com/profile_banners/996169231849918465/1692895146</v>
      </c>
      <c r="BI744" s="76"/>
      <c r="BJ744" s="76" t="s">
        <v>24935</v>
      </c>
      <c r="BK744" s="76" t="b">
        <v>0</v>
      </c>
      <c r="BL744" s="76"/>
      <c r="BM744" s="76" t="s">
        <v>66</v>
      </c>
      <c r="BN744" s="76" t="s">
        <v>24937</v>
      </c>
      <c r="BO744" s="83" t="str">
        <f>HYPERLINK("https://twitter.com/ofertazinhas")</f>
        <v>https://twitter.com/ofertazinhas</v>
      </c>
      <c r="BP744" s="2"/>
    </row>
    <row r="745" spans="1:68" x14ac:dyDescent="0.25">
      <c r="A745" s="62" t="s">
        <v>933</v>
      </c>
      <c r="B745" s="63"/>
      <c r="C745" s="63"/>
      <c r="D745" s="64"/>
      <c r="E745" s="66"/>
      <c r="F745" s="102" t="str">
        <f>HYPERLINK("https://pbs.twimg.com/profile_images/1590890469814321154/CK1LuncK_normal.jpg")</f>
        <v>https://pbs.twimg.com/profile_images/1590890469814321154/CK1LuncK_normal.jpg</v>
      </c>
      <c r="G745" s="63"/>
      <c r="H745" s="67"/>
      <c r="I745" s="68"/>
      <c r="J745" s="68"/>
      <c r="K745" s="67" t="s">
        <v>25679</v>
      </c>
      <c r="L745" s="71"/>
      <c r="M745" s="72"/>
      <c r="N745" s="72"/>
      <c r="O745" s="73"/>
      <c r="P745" s="74"/>
      <c r="Q745" s="74"/>
      <c r="R745" s="86"/>
      <c r="S745" s="86"/>
      <c r="T745" s="86"/>
      <c r="U745" s="86"/>
      <c r="V745" s="48"/>
      <c r="W745" s="48"/>
      <c r="X745" s="48"/>
      <c r="Y745" s="48"/>
      <c r="Z745" s="47"/>
      <c r="AA745" s="69">
        <v>745</v>
      </c>
      <c r="AB745" s="69"/>
      <c r="AC745" s="70"/>
      <c r="AD745" s="76" t="s">
        <v>22542</v>
      </c>
      <c r="AE745" s="81" t="s">
        <v>23007</v>
      </c>
      <c r="AF745" s="76">
        <v>129</v>
      </c>
      <c r="AG745" s="76">
        <v>800</v>
      </c>
      <c r="AH745" s="76">
        <v>976</v>
      </c>
      <c r="AI745" s="76">
        <v>0</v>
      </c>
      <c r="AJ745" s="76">
        <v>8</v>
      </c>
      <c r="AK745" s="76">
        <v>650</v>
      </c>
      <c r="AL745" s="76" t="b">
        <v>0</v>
      </c>
      <c r="AM745" s="78">
        <v>40768.830520833333</v>
      </c>
      <c r="AN745" s="76" t="s">
        <v>14033</v>
      </c>
      <c r="AO745" s="76" t="s">
        <v>23987</v>
      </c>
      <c r="AP745" s="76"/>
      <c r="AQ745" s="76"/>
      <c r="AR745" s="76"/>
      <c r="AS745" s="83" t="str">
        <f>HYPERLINK("https://t.co/SJnd4OGk05")</f>
        <v>https://t.co/SJnd4OGk05</v>
      </c>
      <c r="AT745" s="83" t="str">
        <f>HYPERLINK("https://www.instagram.com/achadosdabe22/")</f>
        <v>https://www.instagram.com/achadosdabe22/</v>
      </c>
      <c r="AU745" s="76" t="s">
        <v>24905</v>
      </c>
      <c r="AV745" s="76"/>
      <c r="AW745" s="76"/>
      <c r="AX745" s="76" t="b">
        <v>0</v>
      </c>
      <c r="AY745" s="76"/>
      <c r="AZ745" s="76"/>
      <c r="BA745" s="76" t="b">
        <v>0</v>
      </c>
      <c r="BB745" s="76" t="b">
        <v>1</v>
      </c>
      <c r="BC745" s="76" t="b">
        <v>0</v>
      </c>
      <c r="BD745" s="76" t="b">
        <v>0</v>
      </c>
      <c r="BE745" s="76" t="b">
        <v>0</v>
      </c>
      <c r="BF745" s="76" t="b">
        <v>0</v>
      </c>
      <c r="BG745" s="76" t="b">
        <v>0</v>
      </c>
      <c r="BH745" s="83" t="str">
        <f>HYPERLINK("https://pbs.twimg.com/profile_banners/354479827/1668132818")</f>
        <v>https://pbs.twimg.com/profile_banners/354479827/1668132818</v>
      </c>
      <c r="BI745" s="76"/>
      <c r="BJ745" s="76" t="s">
        <v>24935</v>
      </c>
      <c r="BK745" s="76" t="b">
        <v>0</v>
      </c>
      <c r="BL745" s="76"/>
      <c r="BM745" s="76" t="s">
        <v>66</v>
      </c>
      <c r="BN745" s="76" t="s">
        <v>24937</v>
      </c>
      <c r="BO745" s="83" t="str">
        <f>HYPERLINK("https://twitter.com/elainebelicia")</f>
        <v>https://twitter.com/elainebelicia</v>
      </c>
      <c r="BP745" s="2"/>
    </row>
    <row r="746" spans="1:68" x14ac:dyDescent="0.25">
      <c r="A746" s="62" t="s">
        <v>934</v>
      </c>
      <c r="B746" s="63"/>
      <c r="C746" s="63"/>
      <c r="D746" s="64"/>
      <c r="E746" s="66"/>
      <c r="F746" s="102" t="str">
        <f>HYPERLINK("https://pbs.twimg.com/profile_images/1637429485430616067/D8L-FlkO_normal.jpg")</f>
        <v>https://pbs.twimg.com/profile_images/1637429485430616067/D8L-FlkO_normal.jpg</v>
      </c>
      <c r="G746" s="63"/>
      <c r="H746" s="67"/>
      <c r="I746" s="68"/>
      <c r="J746" s="68"/>
      <c r="K746" s="67" t="s">
        <v>25680</v>
      </c>
      <c r="L746" s="71"/>
      <c r="M746" s="72"/>
      <c r="N746" s="72"/>
      <c r="O746" s="73"/>
      <c r="P746" s="74"/>
      <c r="Q746" s="74"/>
      <c r="R746" s="86"/>
      <c r="S746" s="86"/>
      <c r="T746" s="86"/>
      <c r="U746" s="86"/>
      <c r="V746" s="48"/>
      <c r="W746" s="48"/>
      <c r="X746" s="48"/>
      <c r="Y746" s="48"/>
      <c r="Z746" s="47"/>
      <c r="AA746" s="69">
        <v>746</v>
      </c>
      <c r="AB746" s="69"/>
      <c r="AC746" s="70"/>
      <c r="AD746" s="76" t="s">
        <v>934</v>
      </c>
      <c r="AE746" s="81" t="s">
        <v>21541</v>
      </c>
      <c r="AF746" s="76">
        <v>1</v>
      </c>
      <c r="AG746" s="76">
        <v>8</v>
      </c>
      <c r="AH746" s="76">
        <v>23</v>
      </c>
      <c r="AI746" s="76">
        <v>0</v>
      </c>
      <c r="AJ746" s="76">
        <v>0</v>
      </c>
      <c r="AK746" s="76">
        <v>19</v>
      </c>
      <c r="AL746" s="76" t="b">
        <v>0</v>
      </c>
      <c r="AM746" s="78">
        <v>45004.515879629631</v>
      </c>
      <c r="AN746" s="76"/>
      <c r="AO746" s="76" t="s">
        <v>23988</v>
      </c>
      <c r="AP746" s="83" t="str">
        <f>HYPERLINK("https://t.co/dhaWsHmOUp")</f>
        <v>https://t.co/dhaWsHmOUp</v>
      </c>
      <c r="AQ746" s="83" t="str">
        <f>HYPERLINK("http://magridtonini.com.br/consultoria-plano-de-acao")</f>
        <v>http://magridtonini.com.br/consultoria-plano-de-acao</v>
      </c>
      <c r="AR746" s="76" t="s">
        <v>24658</v>
      </c>
      <c r="AS746" s="76"/>
      <c r="AT746" s="76"/>
      <c r="AU746" s="76"/>
      <c r="AV746" s="76"/>
      <c r="AW746" s="83" t="str">
        <f>HYPERLINK("https://t.co/dhaWsHmOUp")</f>
        <v>https://t.co/dhaWsHmOUp</v>
      </c>
      <c r="AX746" s="76" t="b">
        <v>0</v>
      </c>
      <c r="AY746" s="76"/>
      <c r="AZ746" s="76"/>
      <c r="BA746" s="76" t="b">
        <v>0</v>
      </c>
      <c r="BB746" s="76" t="b">
        <v>1</v>
      </c>
      <c r="BC746" s="76" t="b">
        <v>1</v>
      </c>
      <c r="BD746" s="76" t="b">
        <v>0</v>
      </c>
      <c r="BE746" s="76" t="b">
        <v>0</v>
      </c>
      <c r="BF746" s="76" t="b">
        <v>0</v>
      </c>
      <c r="BG746" s="76" t="b">
        <v>0</v>
      </c>
      <c r="BH746" s="83" t="str">
        <f>HYPERLINK("https://pbs.twimg.com/profile_banners/1637429235974299648/1679228871")</f>
        <v>https://pbs.twimg.com/profile_banners/1637429235974299648/1679228871</v>
      </c>
      <c r="BI746" s="76"/>
      <c r="BJ746" s="76" t="s">
        <v>24935</v>
      </c>
      <c r="BK746" s="76" t="b">
        <v>0</v>
      </c>
      <c r="BL746" s="76"/>
      <c r="BM746" s="76" t="s">
        <v>66</v>
      </c>
      <c r="BN746" s="76" t="s">
        <v>24937</v>
      </c>
      <c r="BO746" s="83" t="str">
        <f>HYPERLINK("https://twitter.com/magridtonini")</f>
        <v>https://twitter.com/magridtonini</v>
      </c>
      <c r="BP746" s="2"/>
    </row>
    <row r="747" spans="1:68" x14ac:dyDescent="0.25">
      <c r="A747" s="62" t="s">
        <v>935</v>
      </c>
      <c r="B747" s="63"/>
      <c r="C747" s="63"/>
      <c r="D747" s="64"/>
      <c r="E747" s="66"/>
      <c r="F747" s="102" t="str">
        <f>HYPERLINK("https://pbs.twimg.com/profile_images/1506694956630835200/JtOx4VFQ_normal.jpg")</f>
        <v>https://pbs.twimg.com/profile_images/1506694956630835200/JtOx4VFQ_normal.jpg</v>
      </c>
      <c r="G747" s="63"/>
      <c r="H747" s="67"/>
      <c r="I747" s="68"/>
      <c r="J747" s="68"/>
      <c r="K747" s="67" t="s">
        <v>25681</v>
      </c>
      <c r="L747" s="71"/>
      <c r="M747" s="72"/>
      <c r="N747" s="72"/>
      <c r="O747" s="73"/>
      <c r="P747" s="74"/>
      <c r="Q747" s="74"/>
      <c r="R747" s="86"/>
      <c r="S747" s="86"/>
      <c r="T747" s="86"/>
      <c r="U747" s="86"/>
      <c r="V747" s="48"/>
      <c r="W747" s="48"/>
      <c r="X747" s="48"/>
      <c r="Y747" s="48"/>
      <c r="Z747" s="47"/>
      <c r="AA747" s="69">
        <v>747</v>
      </c>
      <c r="AB747" s="69"/>
      <c r="AC747" s="70"/>
      <c r="AD747" s="76" t="s">
        <v>22543</v>
      </c>
      <c r="AE747" s="81" t="s">
        <v>21542</v>
      </c>
      <c r="AF747" s="76">
        <v>2168</v>
      </c>
      <c r="AG747" s="76">
        <v>459</v>
      </c>
      <c r="AH747" s="76">
        <v>1781</v>
      </c>
      <c r="AI747" s="76">
        <v>3</v>
      </c>
      <c r="AJ747" s="76">
        <v>112774</v>
      </c>
      <c r="AK747" s="76">
        <v>221</v>
      </c>
      <c r="AL747" s="76" t="b">
        <v>0</v>
      </c>
      <c r="AM747" s="78">
        <v>44270.211238425924</v>
      </c>
      <c r="AN747" s="76"/>
      <c r="AO747" s="76" t="s">
        <v>23989</v>
      </c>
      <c r="AP747" s="83" t="str">
        <f>HYPERLINK("https://t.co/2DX0n2oDST")</f>
        <v>https://t.co/2DX0n2oDST</v>
      </c>
      <c r="AQ747" s="83" t="str">
        <f>HYPERLINK("http://gigdoll.com/youtube")</f>
        <v>http://gigdoll.com/youtube</v>
      </c>
      <c r="AR747" s="76" t="s">
        <v>24659</v>
      </c>
      <c r="AS747" s="76"/>
      <c r="AT747" s="76"/>
      <c r="AU747" s="76"/>
      <c r="AV747" s="76">
        <v>1.6445758176731E+18</v>
      </c>
      <c r="AW747" s="83" t="str">
        <f>HYPERLINK("https://t.co/2DX0n2oDST")</f>
        <v>https://t.co/2DX0n2oDST</v>
      </c>
      <c r="AX747" s="76" t="b">
        <v>0</v>
      </c>
      <c r="AY747" s="76"/>
      <c r="AZ747" s="76"/>
      <c r="BA747" s="76" t="b">
        <v>1</v>
      </c>
      <c r="BB747" s="76" t="b">
        <v>1</v>
      </c>
      <c r="BC747" s="76" t="b">
        <v>1</v>
      </c>
      <c r="BD747" s="76" t="b">
        <v>0</v>
      </c>
      <c r="BE747" s="76" t="b">
        <v>1</v>
      </c>
      <c r="BF747" s="76" t="b">
        <v>0</v>
      </c>
      <c r="BG747" s="76" t="b">
        <v>0</v>
      </c>
      <c r="BH747" s="83" t="str">
        <f>HYPERLINK("https://pbs.twimg.com/profile_banners/1371326295158661124/1662765543")</f>
        <v>https://pbs.twimg.com/profile_banners/1371326295158661124/1662765543</v>
      </c>
      <c r="BI747" s="76"/>
      <c r="BJ747" s="76" t="s">
        <v>24935</v>
      </c>
      <c r="BK747" s="76" t="b">
        <v>0</v>
      </c>
      <c r="BL747" s="76"/>
      <c r="BM747" s="76" t="s">
        <v>66</v>
      </c>
      <c r="BN747" s="76" t="s">
        <v>24937</v>
      </c>
      <c r="BO747" s="83" t="str">
        <f>HYPERLINK("https://twitter.com/gigdoll24")</f>
        <v>https://twitter.com/gigdoll24</v>
      </c>
      <c r="BP747" s="2"/>
    </row>
    <row r="748" spans="1:68" x14ac:dyDescent="0.25">
      <c r="A748" s="62" t="s">
        <v>936</v>
      </c>
      <c r="B748" s="63"/>
      <c r="C748" s="63"/>
      <c r="D748" s="64"/>
      <c r="E748" s="66"/>
      <c r="F748" s="102" t="str">
        <f>HYPERLINK("https://pbs.twimg.com/profile_images/1628185029837832193/Qb7BI_Jj_normal.jpg")</f>
        <v>https://pbs.twimg.com/profile_images/1628185029837832193/Qb7BI_Jj_normal.jpg</v>
      </c>
      <c r="G748" s="63"/>
      <c r="H748" s="67"/>
      <c r="I748" s="68"/>
      <c r="J748" s="68"/>
      <c r="K748" s="67" t="s">
        <v>25682</v>
      </c>
      <c r="L748" s="71"/>
      <c r="M748" s="72"/>
      <c r="N748" s="72"/>
      <c r="O748" s="73"/>
      <c r="P748" s="74"/>
      <c r="Q748" s="74"/>
      <c r="R748" s="86"/>
      <c r="S748" s="86"/>
      <c r="T748" s="86"/>
      <c r="U748" s="86"/>
      <c r="V748" s="48"/>
      <c r="W748" s="48"/>
      <c r="X748" s="48"/>
      <c r="Y748" s="48"/>
      <c r="Z748" s="47"/>
      <c r="AA748" s="69">
        <v>748</v>
      </c>
      <c r="AB748" s="69"/>
      <c r="AC748" s="70"/>
      <c r="AD748" s="76" t="s">
        <v>22544</v>
      </c>
      <c r="AE748" s="81" t="s">
        <v>21543</v>
      </c>
      <c r="AF748" s="76">
        <v>3</v>
      </c>
      <c r="AG748" s="76">
        <v>70</v>
      </c>
      <c r="AH748" s="76">
        <v>69</v>
      </c>
      <c r="AI748" s="76">
        <v>1</v>
      </c>
      <c r="AJ748" s="76">
        <v>50</v>
      </c>
      <c r="AK748" s="76">
        <v>50</v>
      </c>
      <c r="AL748" s="76" t="b">
        <v>0</v>
      </c>
      <c r="AM748" s="78">
        <v>44978.99019675926</v>
      </c>
      <c r="AN748" s="76"/>
      <c r="AO748" s="76" t="s">
        <v>23990</v>
      </c>
      <c r="AP748" s="76"/>
      <c r="AQ748" s="76"/>
      <c r="AR748" s="76"/>
      <c r="AS748" s="76"/>
      <c r="AT748" s="76"/>
      <c r="AU748" s="76"/>
      <c r="AV748" s="76"/>
      <c r="AW748" s="76"/>
      <c r="AX748" s="76" t="b">
        <v>0</v>
      </c>
      <c r="AY748" s="76"/>
      <c r="AZ748" s="76"/>
      <c r="BA748" s="76" t="b">
        <v>0</v>
      </c>
      <c r="BB748" s="76" t="b">
        <v>1</v>
      </c>
      <c r="BC748" s="76" t="b">
        <v>1</v>
      </c>
      <c r="BD748" s="76" t="b">
        <v>0</v>
      </c>
      <c r="BE748" s="76" t="b">
        <v>1</v>
      </c>
      <c r="BF748" s="76" t="b">
        <v>0</v>
      </c>
      <c r="BG748" s="76" t="b">
        <v>0</v>
      </c>
      <c r="BH748" s="76"/>
      <c r="BI748" s="76"/>
      <c r="BJ748" s="76" t="s">
        <v>24935</v>
      </c>
      <c r="BK748" s="76" t="b">
        <v>0</v>
      </c>
      <c r="BL748" s="76"/>
      <c r="BM748" s="76" t="s">
        <v>66</v>
      </c>
      <c r="BN748" s="76" t="s">
        <v>24937</v>
      </c>
      <c r="BO748" s="83" t="str">
        <f>HYPERLINK("https://twitter.com/lucaspereira_ef")</f>
        <v>https://twitter.com/lucaspereira_ef</v>
      </c>
      <c r="BP748" s="2"/>
    </row>
    <row r="749" spans="1:68" x14ac:dyDescent="0.25">
      <c r="A749" s="62" t="s">
        <v>937</v>
      </c>
      <c r="B749" s="63"/>
      <c r="C749" s="63"/>
      <c r="D749" s="64"/>
      <c r="E749" s="66"/>
      <c r="F749" s="102" t="str">
        <f>HYPERLINK("https://pbs.twimg.com/profile_images/1644456701423235074/sLj3tD50_normal.jpg")</f>
        <v>https://pbs.twimg.com/profile_images/1644456701423235074/sLj3tD50_normal.jpg</v>
      </c>
      <c r="G749" s="63"/>
      <c r="H749" s="67"/>
      <c r="I749" s="68"/>
      <c r="J749" s="68"/>
      <c r="K749" s="67" t="s">
        <v>25683</v>
      </c>
      <c r="L749" s="71"/>
      <c r="M749" s="72"/>
      <c r="N749" s="72"/>
      <c r="O749" s="73"/>
      <c r="P749" s="74"/>
      <c r="Q749" s="74"/>
      <c r="R749" s="86"/>
      <c r="S749" s="86"/>
      <c r="T749" s="86"/>
      <c r="U749" s="86"/>
      <c r="V749" s="48"/>
      <c r="W749" s="48"/>
      <c r="X749" s="48"/>
      <c r="Y749" s="48"/>
      <c r="Z749" s="47"/>
      <c r="AA749" s="69">
        <v>749</v>
      </c>
      <c r="AB749" s="69"/>
      <c r="AC749" s="70"/>
      <c r="AD749" s="76" t="s">
        <v>22545</v>
      </c>
      <c r="AE749" s="81" t="s">
        <v>21544</v>
      </c>
      <c r="AF749" s="76">
        <v>0</v>
      </c>
      <c r="AG749" s="76">
        <v>23</v>
      </c>
      <c r="AH749" s="76">
        <v>31</v>
      </c>
      <c r="AI749" s="76">
        <v>0</v>
      </c>
      <c r="AJ749" s="76">
        <v>1</v>
      </c>
      <c r="AK749" s="76">
        <v>20</v>
      </c>
      <c r="AL749" s="76" t="b">
        <v>0</v>
      </c>
      <c r="AM749" s="78">
        <v>45023.907453703701</v>
      </c>
      <c r="AN749" s="76"/>
      <c r="AO749" s="76"/>
      <c r="AP749" s="76"/>
      <c r="AQ749" s="76"/>
      <c r="AR749" s="76"/>
      <c r="AS749" s="76"/>
      <c r="AT749" s="76"/>
      <c r="AU749" s="76"/>
      <c r="AV749" s="76"/>
      <c r="AW749" s="76"/>
      <c r="AX749" s="76" t="b">
        <v>0</v>
      </c>
      <c r="AY749" s="76"/>
      <c r="AZ749" s="76"/>
      <c r="BA749" s="76" t="b">
        <v>0</v>
      </c>
      <c r="BB749" s="76" t="b">
        <v>1</v>
      </c>
      <c r="BC749" s="76" t="b">
        <v>1</v>
      </c>
      <c r="BD749" s="76" t="b">
        <v>0</v>
      </c>
      <c r="BE749" s="76" t="b">
        <v>0</v>
      </c>
      <c r="BF749" s="76" t="b">
        <v>0</v>
      </c>
      <c r="BG749" s="76" t="b">
        <v>0</v>
      </c>
      <c r="BH749" s="76"/>
      <c r="BI749" s="76"/>
      <c r="BJ749" s="76" t="s">
        <v>24935</v>
      </c>
      <c r="BK749" s="76" t="b">
        <v>0</v>
      </c>
      <c r="BL749" s="76"/>
      <c r="BM749" s="76" t="s">
        <v>66</v>
      </c>
      <c r="BN749" s="76" t="s">
        <v>24937</v>
      </c>
      <c r="BO749" s="83" t="str">
        <f>HYPERLINK("https://twitter.com/fsouza2545")</f>
        <v>https://twitter.com/fsouza2545</v>
      </c>
      <c r="BP749" s="2"/>
    </row>
    <row r="750" spans="1:68" x14ac:dyDescent="0.25">
      <c r="A750" s="62" t="s">
        <v>938</v>
      </c>
      <c r="B750" s="63"/>
      <c r="C750" s="63"/>
      <c r="D750" s="64"/>
      <c r="E750" s="66"/>
      <c r="F750" s="102" t="str">
        <f>HYPERLINK("https://pbs.twimg.com/profile_images/1651084188836134912/WD54Eg2L_normal.jpg")</f>
        <v>https://pbs.twimg.com/profile_images/1651084188836134912/WD54Eg2L_normal.jpg</v>
      </c>
      <c r="G750" s="63"/>
      <c r="H750" s="67"/>
      <c r="I750" s="68"/>
      <c r="J750" s="68"/>
      <c r="K750" s="67" t="s">
        <v>25684</v>
      </c>
      <c r="L750" s="71"/>
      <c r="M750" s="72"/>
      <c r="N750" s="72"/>
      <c r="O750" s="73"/>
      <c r="P750" s="74"/>
      <c r="Q750" s="74"/>
      <c r="R750" s="86"/>
      <c r="S750" s="86"/>
      <c r="T750" s="86"/>
      <c r="U750" s="86"/>
      <c r="V750" s="48"/>
      <c r="W750" s="48"/>
      <c r="X750" s="48"/>
      <c r="Y750" s="48"/>
      <c r="Z750" s="47"/>
      <c r="AA750" s="69">
        <v>750</v>
      </c>
      <c r="AB750" s="69"/>
      <c r="AC750" s="70"/>
      <c r="AD750" s="76" t="s">
        <v>22546</v>
      </c>
      <c r="AE750" s="81" t="s">
        <v>21545</v>
      </c>
      <c r="AF750" s="76">
        <v>0</v>
      </c>
      <c r="AG750" s="76">
        <v>5</v>
      </c>
      <c r="AH750" s="76">
        <v>1</v>
      </c>
      <c r="AI750" s="76">
        <v>0</v>
      </c>
      <c r="AJ750" s="76">
        <v>0</v>
      </c>
      <c r="AK750" s="76">
        <v>1</v>
      </c>
      <c r="AL750" s="76" t="b">
        <v>0</v>
      </c>
      <c r="AM750" s="78">
        <v>45042.195833333331</v>
      </c>
      <c r="AN750" s="76"/>
      <c r="AO750" s="76"/>
      <c r="AP750" s="76"/>
      <c r="AQ750" s="76"/>
      <c r="AR750" s="76"/>
      <c r="AS750" s="76"/>
      <c r="AT750" s="76"/>
      <c r="AU750" s="76"/>
      <c r="AV750" s="76"/>
      <c r="AW750" s="76"/>
      <c r="AX750" s="76" t="b">
        <v>0</v>
      </c>
      <c r="AY750" s="76"/>
      <c r="AZ750" s="76"/>
      <c r="BA750" s="76" t="b">
        <v>0</v>
      </c>
      <c r="BB750" s="76" t="b">
        <v>1</v>
      </c>
      <c r="BC750" s="76" t="b">
        <v>1</v>
      </c>
      <c r="BD750" s="76" t="b">
        <v>0</v>
      </c>
      <c r="BE750" s="76" t="b">
        <v>0</v>
      </c>
      <c r="BF750" s="76" t="b">
        <v>0</v>
      </c>
      <c r="BG750" s="76" t="b">
        <v>0</v>
      </c>
      <c r="BH750" s="76"/>
      <c r="BI750" s="76"/>
      <c r="BJ750" s="76" t="s">
        <v>24935</v>
      </c>
      <c r="BK750" s="76" t="b">
        <v>0</v>
      </c>
      <c r="BL750" s="76"/>
      <c r="BM750" s="76" t="s">
        <v>66</v>
      </c>
      <c r="BN750" s="76" t="s">
        <v>24937</v>
      </c>
      <c r="BO750" s="83" t="str">
        <f>HYPERLINK("https://twitter.com/sjcley")</f>
        <v>https://twitter.com/sjcley</v>
      </c>
      <c r="BP750" s="2"/>
    </row>
    <row r="751" spans="1:68" x14ac:dyDescent="0.25">
      <c r="A751" s="62" t="s">
        <v>939</v>
      </c>
      <c r="B751" s="63"/>
      <c r="C751" s="63"/>
      <c r="D751" s="64"/>
      <c r="E751" s="66"/>
      <c r="F751" s="102" t="str">
        <f>HYPERLINK("https://pbs.twimg.com/profile_images/1643817541238951937/iBMls49O_normal.jpg")</f>
        <v>https://pbs.twimg.com/profile_images/1643817541238951937/iBMls49O_normal.jpg</v>
      </c>
      <c r="G751" s="63"/>
      <c r="H751" s="67"/>
      <c r="I751" s="68"/>
      <c r="J751" s="68"/>
      <c r="K751" s="67" t="s">
        <v>25685</v>
      </c>
      <c r="L751" s="71"/>
      <c r="M751" s="72"/>
      <c r="N751" s="72"/>
      <c r="O751" s="73"/>
      <c r="P751" s="74"/>
      <c r="Q751" s="74"/>
      <c r="R751" s="86"/>
      <c r="S751" s="86"/>
      <c r="T751" s="86"/>
      <c r="U751" s="86"/>
      <c r="V751" s="48"/>
      <c r="W751" s="48"/>
      <c r="X751" s="48"/>
      <c r="Y751" s="48"/>
      <c r="Z751" s="47"/>
      <c r="AA751" s="69">
        <v>751</v>
      </c>
      <c r="AB751" s="69"/>
      <c r="AC751" s="70"/>
      <c r="AD751" s="76" t="s">
        <v>22547</v>
      </c>
      <c r="AE751" s="81" t="s">
        <v>21546</v>
      </c>
      <c r="AF751" s="76">
        <v>0</v>
      </c>
      <c r="AG751" s="76">
        <v>1</v>
      </c>
      <c r="AH751" s="76">
        <v>6</v>
      </c>
      <c r="AI751" s="76">
        <v>0</v>
      </c>
      <c r="AJ751" s="76">
        <v>3</v>
      </c>
      <c r="AK751" s="76">
        <v>6</v>
      </c>
      <c r="AL751" s="76" t="b">
        <v>0</v>
      </c>
      <c r="AM751" s="78">
        <v>45022.143703703703</v>
      </c>
      <c r="AN751" s="76"/>
      <c r="AO751" s="76"/>
      <c r="AP751" s="76"/>
      <c r="AQ751" s="76"/>
      <c r="AR751" s="76"/>
      <c r="AS751" s="76"/>
      <c r="AT751" s="76"/>
      <c r="AU751" s="76"/>
      <c r="AV751" s="76"/>
      <c r="AW751" s="76"/>
      <c r="AX751" s="76" t="b">
        <v>0</v>
      </c>
      <c r="AY751" s="76"/>
      <c r="AZ751" s="76"/>
      <c r="BA751" s="76" t="b">
        <v>0</v>
      </c>
      <c r="BB751" s="76" t="b">
        <v>1</v>
      </c>
      <c r="BC751" s="76" t="b">
        <v>1</v>
      </c>
      <c r="BD751" s="76" t="b">
        <v>0</v>
      </c>
      <c r="BE751" s="76" t="b">
        <v>0</v>
      </c>
      <c r="BF751" s="76" t="b">
        <v>0</v>
      </c>
      <c r="BG751" s="76" t="b">
        <v>0</v>
      </c>
      <c r="BH751" s="76"/>
      <c r="BI751" s="76"/>
      <c r="BJ751" s="76" t="s">
        <v>24935</v>
      </c>
      <c r="BK751" s="76" t="b">
        <v>0</v>
      </c>
      <c r="BL751" s="76"/>
      <c r="BM751" s="76" t="s">
        <v>66</v>
      </c>
      <c r="BN751" s="76" t="s">
        <v>24937</v>
      </c>
      <c r="BO751" s="83" t="str">
        <f>HYPERLINK("https://twitter.com/maestriariqueza")</f>
        <v>https://twitter.com/maestriariqueza</v>
      </c>
      <c r="BP751" s="2"/>
    </row>
    <row r="752" spans="1:68" x14ac:dyDescent="0.25">
      <c r="A752" s="62" t="s">
        <v>940</v>
      </c>
      <c r="B752" s="63"/>
      <c r="C752" s="63"/>
      <c r="D752" s="64"/>
      <c r="E752" s="66"/>
      <c r="F752" s="102" t="str">
        <f>HYPERLINK("https://pbs.twimg.com/profile_images/1610470988243681280/71MY9W-H_normal.jpg")</f>
        <v>https://pbs.twimg.com/profile_images/1610470988243681280/71MY9W-H_normal.jpg</v>
      </c>
      <c r="G752" s="63"/>
      <c r="H752" s="67"/>
      <c r="I752" s="68"/>
      <c r="J752" s="68"/>
      <c r="K752" s="67" t="s">
        <v>25686</v>
      </c>
      <c r="L752" s="71"/>
      <c r="M752" s="72"/>
      <c r="N752" s="72"/>
      <c r="O752" s="73"/>
      <c r="P752" s="74"/>
      <c r="Q752" s="74"/>
      <c r="R752" s="86"/>
      <c r="S752" s="86"/>
      <c r="T752" s="86"/>
      <c r="U752" s="86"/>
      <c r="V752" s="48"/>
      <c r="W752" s="48"/>
      <c r="X752" s="48"/>
      <c r="Y752" s="48"/>
      <c r="Z752" s="47"/>
      <c r="AA752" s="69">
        <v>752</v>
      </c>
      <c r="AB752" s="69"/>
      <c r="AC752" s="70"/>
      <c r="AD752" s="76" t="s">
        <v>22548</v>
      </c>
      <c r="AE752" s="81" t="s">
        <v>23008</v>
      </c>
      <c r="AF752" s="76">
        <v>639</v>
      </c>
      <c r="AG752" s="76">
        <v>418</v>
      </c>
      <c r="AH752" s="76">
        <v>17213</v>
      </c>
      <c r="AI752" s="76">
        <v>3</v>
      </c>
      <c r="AJ752" s="76">
        <v>117</v>
      </c>
      <c r="AK752" s="76">
        <v>419</v>
      </c>
      <c r="AL752" s="76" t="b">
        <v>0</v>
      </c>
      <c r="AM752" s="78">
        <v>40813.701701388891</v>
      </c>
      <c r="AN752" s="76" t="s">
        <v>23268</v>
      </c>
      <c r="AO752" s="76" t="s">
        <v>23991</v>
      </c>
      <c r="AP752" s="83" t="str">
        <f>HYPERLINK("https://t.co/hYGtIMcdZH")</f>
        <v>https://t.co/hYGtIMcdZH</v>
      </c>
      <c r="AQ752" s="83" t="str">
        <f>HYPERLINK("https://www.facebook.com/alexsandra.carolliny")</f>
        <v>https://www.facebook.com/alexsandra.carolliny</v>
      </c>
      <c r="AR752" s="76" t="s">
        <v>24660</v>
      </c>
      <c r="AS752" s="83" t="str">
        <f>HYPERLINK("https://t.co/Envu8sKkKm")</f>
        <v>https://t.co/Envu8sKkKm</v>
      </c>
      <c r="AT752" s="83" t="str">
        <f>HYPERLINK("http://curiouscat.me")</f>
        <v>http://curiouscat.me</v>
      </c>
      <c r="AU752" s="76" t="s">
        <v>24906</v>
      </c>
      <c r="AV752" s="76"/>
      <c r="AW752" s="83" t="str">
        <f>HYPERLINK("https://t.co/hYGtIMcdZH")</f>
        <v>https://t.co/hYGtIMcdZH</v>
      </c>
      <c r="AX752" s="76" t="b">
        <v>0</v>
      </c>
      <c r="AY752" s="76"/>
      <c r="AZ752" s="76"/>
      <c r="BA752" s="76" t="b">
        <v>1</v>
      </c>
      <c r="BB752" s="76" t="b">
        <v>1</v>
      </c>
      <c r="BC752" s="76" t="b">
        <v>0</v>
      </c>
      <c r="BD752" s="76" t="b">
        <v>0</v>
      </c>
      <c r="BE752" s="76" t="b">
        <v>1</v>
      </c>
      <c r="BF752" s="76" t="b">
        <v>0</v>
      </c>
      <c r="BG752" s="76" t="b">
        <v>0</v>
      </c>
      <c r="BH752" s="83" t="str">
        <f>HYPERLINK("https://pbs.twimg.com/profile_banners/381033244/1672801192")</f>
        <v>https://pbs.twimg.com/profile_banners/381033244/1672801192</v>
      </c>
      <c r="BI752" s="76"/>
      <c r="BJ752" s="76" t="s">
        <v>24935</v>
      </c>
      <c r="BK752" s="76" t="b">
        <v>0</v>
      </c>
      <c r="BL752" s="76"/>
      <c r="BM752" s="76" t="s">
        <v>66</v>
      </c>
      <c r="BN752" s="76" t="s">
        <v>24937</v>
      </c>
      <c r="BO752" s="83" t="str">
        <f>HYPERLINK("https://twitter.com/alexsandracms")</f>
        <v>https://twitter.com/alexsandracms</v>
      </c>
      <c r="BP752" s="2"/>
    </row>
    <row r="753" spans="1:68" x14ac:dyDescent="0.25">
      <c r="A753" s="62" t="s">
        <v>941</v>
      </c>
      <c r="B753" s="63"/>
      <c r="C753" s="63"/>
      <c r="D753" s="64"/>
      <c r="E753" s="66"/>
      <c r="F753" s="102" t="str">
        <f>HYPERLINK("https://pbs.twimg.com/profile_images/1685845786557362176/qA1-Do-8_normal.jpg")</f>
        <v>https://pbs.twimg.com/profile_images/1685845786557362176/qA1-Do-8_normal.jpg</v>
      </c>
      <c r="G753" s="63"/>
      <c r="H753" s="67"/>
      <c r="I753" s="68"/>
      <c r="J753" s="68"/>
      <c r="K753" s="67" t="s">
        <v>25687</v>
      </c>
      <c r="L753" s="71"/>
      <c r="M753" s="72"/>
      <c r="N753" s="72"/>
      <c r="O753" s="73"/>
      <c r="P753" s="74"/>
      <c r="Q753" s="74"/>
      <c r="R753" s="86"/>
      <c r="S753" s="86"/>
      <c r="T753" s="86"/>
      <c r="U753" s="86"/>
      <c r="V753" s="48"/>
      <c r="W753" s="48"/>
      <c r="X753" s="48"/>
      <c r="Y753" s="48"/>
      <c r="Z753" s="47"/>
      <c r="AA753" s="69">
        <v>753</v>
      </c>
      <c r="AB753" s="69"/>
      <c r="AC753" s="70"/>
      <c r="AD753" s="76" t="s">
        <v>22549</v>
      </c>
      <c r="AE753" s="81" t="s">
        <v>21547</v>
      </c>
      <c r="AF753" s="76">
        <v>0</v>
      </c>
      <c r="AG753" s="76">
        <v>5</v>
      </c>
      <c r="AH753" s="76">
        <v>14</v>
      </c>
      <c r="AI753" s="76">
        <v>0</v>
      </c>
      <c r="AJ753" s="76">
        <v>1</v>
      </c>
      <c r="AK753" s="76">
        <v>9</v>
      </c>
      <c r="AL753" s="76" t="b">
        <v>0</v>
      </c>
      <c r="AM753" s="78">
        <v>45138.08699074074</v>
      </c>
      <c r="AN753" s="76"/>
      <c r="AO753" s="76" t="s">
        <v>23992</v>
      </c>
      <c r="AP753" s="83" t="str">
        <f>HYPERLINK("https://t.co/yQgjH36ou0")</f>
        <v>https://t.co/yQgjH36ou0</v>
      </c>
      <c r="AQ753" s="83" t="str">
        <f>HYPERLINK("https://t.me/iadoubleprofree")</f>
        <v>https://t.me/iadoubleprofree</v>
      </c>
      <c r="AR753" s="76" t="s">
        <v>24661</v>
      </c>
      <c r="AS753" s="76"/>
      <c r="AT753" s="76"/>
      <c r="AU753" s="76"/>
      <c r="AV753" s="76"/>
      <c r="AW753" s="83" t="str">
        <f>HYPERLINK("https://t.co/yQgjH36ou0")</f>
        <v>https://t.co/yQgjH36ou0</v>
      </c>
      <c r="AX753" s="76" t="b">
        <v>0</v>
      </c>
      <c r="AY753" s="76"/>
      <c r="AZ753" s="76"/>
      <c r="BA753" s="76" t="b">
        <v>0</v>
      </c>
      <c r="BB753" s="76" t="b">
        <v>1</v>
      </c>
      <c r="BC753" s="76" t="b">
        <v>1</v>
      </c>
      <c r="BD753" s="76" t="b">
        <v>0</v>
      </c>
      <c r="BE753" s="76" t="b">
        <v>0</v>
      </c>
      <c r="BF753" s="76" t="b">
        <v>0</v>
      </c>
      <c r="BG753" s="76" t="b">
        <v>0</v>
      </c>
      <c r="BH753" s="83" t="str">
        <f>HYPERLINK("https://pbs.twimg.com/profile_banners/1685833903171313664/1690772890")</f>
        <v>https://pbs.twimg.com/profile_banners/1685833903171313664/1690772890</v>
      </c>
      <c r="BI753" s="76"/>
      <c r="BJ753" s="76" t="s">
        <v>24935</v>
      </c>
      <c r="BK753" s="76" t="b">
        <v>0</v>
      </c>
      <c r="BL753" s="76"/>
      <c r="BM753" s="76" t="s">
        <v>66</v>
      </c>
      <c r="BN753" s="76" t="s">
        <v>24937</v>
      </c>
      <c r="BO753" s="83" t="str">
        <f>HYPERLINK("https://twitter.com/ia_double_pro")</f>
        <v>https://twitter.com/ia_double_pro</v>
      </c>
      <c r="BP753" s="2"/>
    </row>
    <row r="754" spans="1:68" x14ac:dyDescent="0.25">
      <c r="A754" s="62" t="s">
        <v>942</v>
      </c>
      <c r="B754" s="63"/>
      <c r="C754" s="63"/>
      <c r="D754" s="64"/>
      <c r="E754" s="66"/>
      <c r="F754" s="102" t="str">
        <f>HYPERLINK("https://pbs.twimg.com/profile_images/1700947671891013632/xGqlr6a9_normal.jpg")</f>
        <v>https://pbs.twimg.com/profile_images/1700947671891013632/xGqlr6a9_normal.jpg</v>
      </c>
      <c r="G754" s="63"/>
      <c r="H754" s="67"/>
      <c r="I754" s="68"/>
      <c r="J754" s="68"/>
      <c r="K754" s="67" t="s">
        <v>25688</v>
      </c>
      <c r="L754" s="71"/>
      <c r="M754" s="72"/>
      <c r="N754" s="72"/>
      <c r="O754" s="73"/>
      <c r="P754" s="74"/>
      <c r="Q754" s="74"/>
      <c r="R754" s="86"/>
      <c r="S754" s="86"/>
      <c r="T754" s="86"/>
      <c r="U754" s="86"/>
      <c r="V754" s="48"/>
      <c r="W754" s="48"/>
      <c r="X754" s="48"/>
      <c r="Y754" s="48"/>
      <c r="Z754" s="47"/>
      <c r="AA754" s="69">
        <v>754</v>
      </c>
      <c r="AB754" s="69"/>
      <c r="AC754" s="70"/>
      <c r="AD754" s="76" t="s">
        <v>22550</v>
      </c>
      <c r="AE754" s="81" t="s">
        <v>23009</v>
      </c>
      <c r="AF754" s="76">
        <v>74</v>
      </c>
      <c r="AG754" s="76">
        <v>442</v>
      </c>
      <c r="AH754" s="76">
        <v>364</v>
      </c>
      <c r="AI754" s="76">
        <v>0</v>
      </c>
      <c r="AJ754" s="76">
        <v>62</v>
      </c>
      <c r="AK754" s="76">
        <v>23</v>
      </c>
      <c r="AL754" s="76" t="b">
        <v>0</v>
      </c>
      <c r="AM754" s="78">
        <v>40818.908715277779</v>
      </c>
      <c r="AN754" s="76" t="s">
        <v>14033</v>
      </c>
      <c r="AO754" s="76" t="s">
        <v>23993</v>
      </c>
      <c r="AP754" s="83" t="str">
        <f>HYPERLINK("https://t.co/q60qMJrRPP")</f>
        <v>https://t.co/q60qMJrRPP</v>
      </c>
      <c r="AQ754" s="83" t="str">
        <f>HYPERLINK("https://www.instagram.com/yvedeoliveira/")</f>
        <v>https://www.instagram.com/yvedeoliveira/</v>
      </c>
      <c r="AR754" s="76" t="s">
        <v>24662</v>
      </c>
      <c r="AS754" s="83" t="str">
        <f>HYPERLINK("https://t.co/7NJ2WdLpar")</f>
        <v>https://t.co/7NJ2WdLpar</v>
      </c>
      <c r="AT754" s="83" t="str">
        <f>HYPERLINK("http://linktr.ee/yvedeoliveirap")</f>
        <v>http://linktr.ee/yvedeoliveirap</v>
      </c>
      <c r="AU754" s="76" t="s">
        <v>24907</v>
      </c>
      <c r="AV754" s="76"/>
      <c r="AW754" s="83" t="str">
        <f>HYPERLINK("https://t.co/q60qMJrRPP")</f>
        <v>https://t.co/q60qMJrRPP</v>
      </c>
      <c r="AX754" s="76" t="b">
        <v>0</v>
      </c>
      <c r="AY754" s="76"/>
      <c r="AZ754" s="76"/>
      <c r="BA754" s="76" t="b">
        <v>0</v>
      </c>
      <c r="BB754" s="76" t="b">
        <v>1</v>
      </c>
      <c r="BC754" s="76" t="b">
        <v>0</v>
      </c>
      <c r="BD754" s="76" t="b">
        <v>0</v>
      </c>
      <c r="BE754" s="76" t="b">
        <v>0</v>
      </c>
      <c r="BF754" s="76" t="b">
        <v>0</v>
      </c>
      <c r="BG754" s="76" t="b">
        <v>0</v>
      </c>
      <c r="BH754" s="83" t="str">
        <f>HYPERLINK("https://pbs.twimg.com/profile_banners/383995178/1693444897")</f>
        <v>https://pbs.twimg.com/profile_banners/383995178/1693444897</v>
      </c>
      <c r="BI754" s="76"/>
      <c r="BJ754" s="76" t="s">
        <v>24935</v>
      </c>
      <c r="BK754" s="76" t="b">
        <v>0</v>
      </c>
      <c r="BL754" s="76"/>
      <c r="BM754" s="76" t="s">
        <v>66</v>
      </c>
      <c r="BN754" s="76" t="s">
        <v>24937</v>
      </c>
      <c r="BO754" s="83" t="str">
        <f>HYPERLINK("https://twitter.com/yvedeoliveira")</f>
        <v>https://twitter.com/yvedeoliveira</v>
      </c>
      <c r="BP754" s="2"/>
    </row>
    <row r="755" spans="1:68" x14ac:dyDescent="0.25">
      <c r="A755" s="62" t="s">
        <v>943</v>
      </c>
      <c r="B755" s="63"/>
      <c r="C755" s="63"/>
      <c r="D755" s="64"/>
      <c r="E755" s="66"/>
      <c r="F755" s="102" t="str">
        <f>HYPERLINK("https://pbs.twimg.com/profile_images/1686163878537752576/OVdOC0bK_normal.jpg")</f>
        <v>https://pbs.twimg.com/profile_images/1686163878537752576/OVdOC0bK_normal.jpg</v>
      </c>
      <c r="G755" s="63"/>
      <c r="H755" s="67"/>
      <c r="I755" s="68"/>
      <c r="J755" s="68"/>
      <c r="K755" s="67" t="s">
        <v>25689</v>
      </c>
      <c r="L755" s="71"/>
      <c r="M755" s="72"/>
      <c r="N755" s="72"/>
      <c r="O755" s="73"/>
      <c r="P755" s="74"/>
      <c r="Q755" s="74"/>
      <c r="R755" s="86"/>
      <c r="S755" s="86"/>
      <c r="T755" s="86"/>
      <c r="U755" s="86"/>
      <c r="V755" s="48"/>
      <c r="W755" s="48"/>
      <c r="X755" s="48"/>
      <c r="Y755" s="48"/>
      <c r="Z755" s="47"/>
      <c r="AA755" s="69">
        <v>755</v>
      </c>
      <c r="AB755" s="69"/>
      <c r="AC755" s="70"/>
      <c r="AD755" s="76" t="s">
        <v>22551</v>
      </c>
      <c r="AE755" s="81" t="s">
        <v>21548</v>
      </c>
      <c r="AF755" s="76">
        <v>42</v>
      </c>
      <c r="AG755" s="76">
        <v>132</v>
      </c>
      <c r="AH755" s="76">
        <v>574</v>
      </c>
      <c r="AI755" s="76">
        <v>1</v>
      </c>
      <c r="AJ755" s="76">
        <v>912</v>
      </c>
      <c r="AK755" s="76">
        <v>4</v>
      </c>
      <c r="AL755" s="76" t="b">
        <v>0</v>
      </c>
      <c r="AM755" s="78">
        <v>45137.817175925928</v>
      </c>
      <c r="AN755" s="76"/>
      <c r="AO755" s="76" t="s">
        <v>23994</v>
      </c>
      <c r="AP755" s="83" t="str">
        <f>HYPERLINK("https://t.co/QmrEp2xXKN")</f>
        <v>https://t.co/QmrEp2xXKN</v>
      </c>
      <c r="AQ755" s="83" t="str">
        <f>HYPERLINK("https://ocapital.digital")</f>
        <v>https://ocapital.digital</v>
      </c>
      <c r="AR755" s="76" t="s">
        <v>7443</v>
      </c>
      <c r="AS755" s="76"/>
      <c r="AT755" s="76"/>
      <c r="AU755" s="76"/>
      <c r="AV755" s="76">
        <v>1.69908026765727E+18</v>
      </c>
      <c r="AW755" s="83" t="str">
        <f>HYPERLINK("https://t.co/QmrEp2xXKN")</f>
        <v>https://t.co/QmrEp2xXKN</v>
      </c>
      <c r="AX755" s="76" t="b">
        <v>0</v>
      </c>
      <c r="AY755" s="76"/>
      <c r="AZ755" s="76"/>
      <c r="BA755" s="76" t="b">
        <v>0</v>
      </c>
      <c r="BB755" s="76" t="b">
        <v>1</v>
      </c>
      <c r="BC755" s="76" t="b">
        <v>1</v>
      </c>
      <c r="BD755" s="76" t="b">
        <v>0</v>
      </c>
      <c r="BE755" s="76" t="b">
        <v>0</v>
      </c>
      <c r="BF755" s="76" t="b">
        <v>0</v>
      </c>
      <c r="BG755" s="76" t="b">
        <v>0</v>
      </c>
      <c r="BH755" s="83" t="str">
        <f>HYPERLINK("https://pbs.twimg.com/profile_banners/1685736119474786304/1690760538")</f>
        <v>https://pbs.twimg.com/profile_banners/1685736119474786304/1690760538</v>
      </c>
      <c r="BI755" s="76"/>
      <c r="BJ755" s="76" t="s">
        <v>24935</v>
      </c>
      <c r="BK755" s="76" t="b">
        <v>0</v>
      </c>
      <c r="BL755" s="76"/>
      <c r="BM755" s="76" t="s">
        <v>66</v>
      </c>
      <c r="BN755" s="76" t="s">
        <v>24937</v>
      </c>
      <c r="BO755" s="83" t="str">
        <f>HYPERLINK("https://twitter.com/ocapitaldigital")</f>
        <v>https://twitter.com/ocapitaldigital</v>
      </c>
      <c r="BP755" s="2"/>
    </row>
    <row r="756" spans="1:68" x14ac:dyDescent="0.25">
      <c r="A756" s="62" t="s">
        <v>944</v>
      </c>
      <c r="B756" s="63"/>
      <c r="C756" s="63"/>
      <c r="D756" s="64"/>
      <c r="E756" s="66"/>
      <c r="F756" s="102" t="str">
        <f>HYPERLINK("https://pbs.twimg.com/profile_images/1621139177944518665/rgq6lY8i_normal.jpg")</f>
        <v>https://pbs.twimg.com/profile_images/1621139177944518665/rgq6lY8i_normal.jpg</v>
      </c>
      <c r="G756" s="63"/>
      <c r="H756" s="67"/>
      <c r="I756" s="68"/>
      <c r="J756" s="68"/>
      <c r="K756" s="67" t="s">
        <v>25690</v>
      </c>
      <c r="L756" s="71"/>
      <c r="M756" s="72"/>
      <c r="N756" s="72"/>
      <c r="O756" s="73"/>
      <c r="P756" s="74"/>
      <c r="Q756" s="74"/>
      <c r="R756" s="86"/>
      <c r="S756" s="86"/>
      <c r="T756" s="86"/>
      <c r="U756" s="86"/>
      <c r="V756" s="48"/>
      <c r="W756" s="48"/>
      <c r="X756" s="48"/>
      <c r="Y756" s="48"/>
      <c r="Z756" s="47"/>
      <c r="AA756" s="69">
        <v>756</v>
      </c>
      <c r="AB756" s="69"/>
      <c r="AC756" s="70"/>
      <c r="AD756" s="76" t="s">
        <v>22552</v>
      </c>
      <c r="AE756" s="81" t="s">
        <v>21549</v>
      </c>
      <c r="AF756" s="76">
        <v>1</v>
      </c>
      <c r="AG756" s="76">
        <v>2</v>
      </c>
      <c r="AH756" s="76">
        <v>13</v>
      </c>
      <c r="AI756" s="76">
        <v>0</v>
      </c>
      <c r="AJ756" s="76">
        <v>1</v>
      </c>
      <c r="AK756" s="76">
        <v>13</v>
      </c>
      <c r="AL756" s="76" t="b">
        <v>0</v>
      </c>
      <c r="AM756" s="78">
        <v>44958.1325462963</v>
      </c>
      <c r="AN756" s="76"/>
      <c r="AO756" s="76"/>
      <c r="AP756" s="76"/>
      <c r="AQ756" s="76"/>
      <c r="AR756" s="76"/>
      <c r="AS756" s="76"/>
      <c r="AT756" s="76"/>
      <c r="AU756" s="76"/>
      <c r="AV756" s="76"/>
      <c r="AW756" s="76"/>
      <c r="AX756" s="76" t="b">
        <v>0</v>
      </c>
      <c r="AY756" s="76"/>
      <c r="AZ756" s="76"/>
      <c r="BA756" s="76" t="b">
        <v>0</v>
      </c>
      <c r="BB756" s="76" t="b">
        <v>1</v>
      </c>
      <c r="BC756" s="76" t="b">
        <v>1</v>
      </c>
      <c r="BD756" s="76" t="b">
        <v>0</v>
      </c>
      <c r="BE756" s="76" t="b">
        <v>0</v>
      </c>
      <c r="BF756" s="76" t="b">
        <v>0</v>
      </c>
      <c r="BG756" s="76" t="b">
        <v>0</v>
      </c>
      <c r="BH756" s="76"/>
      <c r="BI756" s="76"/>
      <c r="BJ756" s="76" t="s">
        <v>24935</v>
      </c>
      <c r="BK756" s="76" t="b">
        <v>0</v>
      </c>
      <c r="BL756" s="76"/>
      <c r="BM756" s="76" t="s">
        <v>66</v>
      </c>
      <c r="BN756" s="76" t="s">
        <v>24937</v>
      </c>
      <c r="BO756" s="83" t="str">
        <f>HYPERLINK("https://twitter.com/extrafluxo")</f>
        <v>https://twitter.com/extrafluxo</v>
      </c>
      <c r="BP756" s="2"/>
    </row>
    <row r="757" spans="1:68" x14ac:dyDescent="0.25">
      <c r="A757" s="62" t="s">
        <v>945</v>
      </c>
      <c r="B757" s="63"/>
      <c r="C757" s="63"/>
      <c r="D757" s="64"/>
      <c r="E757" s="66"/>
      <c r="F757" s="102" t="str">
        <f>HYPERLINK("https://pbs.twimg.com/profile_images/1285676375572176898/2HjRJd46_normal.jpg")</f>
        <v>https://pbs.twimg.com/profile_images/1285676375572176898/2HjRJd46_normal.jpg</v>
      </c>
      <c r="G757" s="63"/>
      <c r="H757" s="67"/>
      <c r="I757" s="68"/>
      <c r="J757" s="68"/>
      <c r="K757" s="67" t="s">
        <v>25691</v>
      </c>
      <c r="L757" s="71"/>
      <c r="M757" s="72"/>
      <c r="N757" s="72"/>
      <c r="O757" s="73"/>
      <c r="P757" s="74"/>
      <c r="Q757" s="74"/>
      <c r="R757" s="86"/>
      <c r="S757" s="86"/>
      <c r="T757" s="86"/>
      <c r="U757" s="86"/>
      <c r="V757" s="48"/>
      <c r="W757" s="48"/>
      <c r="X757" s="48"/>
      <c r="Y757" s="48"/>
      <c r="Z757" s="47"/>
      <c r="AA757" s="69">
        <v>757</v>
      </c>
      <c r="AB757" s="69"/>
      <c r="AC757" s="70"/>
      <c r="AD757" s="76" t="s">
        <v>22553</v>
      </c>
      <c r="AE757" s="81" t="s">
        <v>21550</v>
      </c>
      <c r="AF757" s="76">
        <v>3</v>
      </c>
      <c r="AG757" s="76">
        <v>23</v>
      </c>
      <c r="AH757" s="76">
        <v>85</v>
      </c>
      <c r="AI757" s="76">
        <v>0</v>
      </c>
      <c r="AJ757" s="76">
        <v>57</v>
      </c>
      <c r="AK757" s="76">
        <v>31</v>
      </c>
      <c r="AL757" s="76" t="b">
        <v>0</v>
      </c>
      <c r="AM757" s="78">
        <v>43965.931215277778</v>
      </c>
      <c r="AN757" s="76"/>
      <c r="AO757" s="76" t="s">
        <v>23995</v>
      </c>
      <c r="AP757" s="76"/>
      <c r="AQ757" s="76"/>
      <c r="AR757" s="76"/>
      <c r="AS757" s="76"/>
      <c r="AT757" s="76"/>
      <c r="AU757" s="76"/>
      <c r="AV757" s="76"/>
      <c r="AW757" s="76"/>
      <c r="AX757" s="76" t="b">
        <v>0</v>
      </c>
      <c r="AY757" s="76"/>
      <c r="AZ757" s="76"/>
      <c r="BA757" s="76" t="b">
        <v>0</v>
      </c>
      <c r="BB757" s="76" t="b">
        <v>1</v>
      </c>
      <c r="BC757" s="76" t="b">
        <v>1</v>
      </c>
      <c r="BD757" s="76" t="b">
        <v>0</v>
      </c>
      <c r="BE757" s="76" t="b">
        <v>0</v>
      </c>
      <c r="BF757" s="76" t="b">
        <v>0</v>
      </c>
      <c r="BG757" s="76" t="b">
        <v>0</v>
      </c>
      <c r="BH757" s="83" t="str">
        <f>HYPERLINK("https://pbs.twimg.com/profile_banners/1261058913664892931/1595364111")</f>
        <v>https://pbs.twimg.com/profile_banners/1261058913664892931/1595364111</v>
      </c>
      <c r="BI757" s="76"/>
      <c r="BJ757" s="76" t="s">
        <v>24935</v>
      </c>
      <c r="BK757" s="76" t="b">
        <v>0</v>
      </c>
      <c r="BL757" s="76"/>
      <c r="BM757" s="76" t="s">
        <v>66</v>
      </c>
      <c r="BN757" s="76" t="s">
        <v>24937</v>
      </c>
      <c r="BO757" s="83" t="str">
        <f>HYPERLINK("https://twitter.com/home_office26")</f>
        <v>https://twitter.com/home_office26</v>
      </c>
      <c r="BP757" s="2"/>
    </row>
    <row r="758" spans="1:68" x14ac:dyDescent="0.25">
      <c r="A758" s="62" t="s">
        <v>946</v>
      </c>
      <c r="B758" s="63"/>
      <c r="C758" s="63"/>
      <c r="D758" s="64"/>
      <c r="E758" s="66"/>
      <c r="F758" s="102" t="str">
        <f>HYPERLINK("https://pbs.twimg.com/profile_images/1297877005644582912/RHlYwGJG_normal.jpg")</f>
        <v>https://pbs.twimg.com/profile_images/1297877005644582912/RHlYwGJG_normal.jpg</v>
      </c>
      <c r="G758" s="63"/>
      <c r="H758" s="67"/>
      <c r="I758" s="68"/>
      <c r="J758" s="68"/>
      <c r="K758" s="67" t="s">
        <v>25692</v>
      </c>
      <c r="L758" s="71"/>
      <c r="M758" s="72"/>
      <c r="N758" s="72"/>
      <c r="O758" s="73"/>
      <c r="P758" s="74"/>
      <c r="Q758" s="74"/>
      <c r="R758" s="86"/>
      <c r="S758" s="86"/>
      <c r="T758" s="86"/>
      <c r="U758" s="86"/>
      <c r="V758" s="48"/>
      <c r="W758" s="48"/>
      <c r="X758" s="48"/>
      <c r="Y758" s="48"/>
      <c r="Z758" s="47"/>
      <c r="AA758" s="69">
        <v>758</v>
      </c>
      <c r="AB758" s="69"/>
      <c r="AC758" s="70"/>
      <c r="AD758" s="76" t="s">
        <v>22554</v>
      </c>
      <c r="AE758" s="81" t="s">
        <v>23010</v>
      </c>
      <c r="AF758" s="76">
        <v>1779</v>
      </c>
      <c r="AG758" s="76">
        <v>502</v>
      </c>
      <c r="AH758" s="76">
        <v>45850</v>
      </c>
      <c r="AI758" s="76">
        <v>12</v>
      </c>
      <c r="AJ758" s="76">
        <v>37</v>
      </c>
      <c r="AK758" s="76">
        <v>32955</v>
      </c>
      <c r="AL758" s="76" t="b">
        <v>0</v>
      </c>
      <c r="AM758" s="78">
        <v>40239.534386574072</v>
      </c>
      <c r="AN758" s="76" t="s">
        <v>23269</v>
      </c>
      <c r="AO758" s="76" t="s">
        <v>23996</v>
      </c>
      <c r="AP758" s="83" t="str">
        <f>HYPERLINK("https://t.co/JKol0Vx7aI")</f>
        <v>https://t.co/JKol0Vx7aI</v>
      </c>
      <c r="AQ758" s="83" t="str">
        <f>HYPERLINK("http://www.correiodeminas.com.br")</f>
        <v>http://www.correiodeminas.com.br</v>
      </c>
      <c r="AR758" s="76" t="s">
        <v>24663</v>
      </c>
      <c r="AS758" s="76"/>
      <c r="AT758" s="76"/>
      <c r="AU758" s="76"/>
      <c r="AV758" s="76"/>
      <c r="AW758" s="83" t="str">
        <f>HYPERLINK("https://t.co/JKol0Vx7aI")</f>
        <v>https://t.co/JKol0Vx7aI</v>
      </c>
      <c r="AX758" s="76" t="b">
        <v>0</v>
      </c>
      <c r="AY758" s="76"/>
      <c r="AZ758" s="76"/>
      <c r="BA758" s="76" t="b">
        <v>0</v>
      </c>
      <c r="BB758" s="76" t="b">
        <v>1</v>
      </c>
      <c r="BC758" s="76" t="b">
        <v>0</v>
      </c>
      <c r="BD758" s="76" t="b">
        <v>0</v>
      </c>
      <c r="BE758" s="76" t="b">
        <v>1</v>
      </c>
      <c r="BF758" s="76" t="b">
        <v>0</v>
      </c>
      <c r="BG758" s="76" t="b">
        <v>0</v>
      </c>
      <c r="BH758" s="83" t="str">
        <f>HYPERLINK("https://pbs.twimg.com/profile_banners/119024617/1644316510")</f>
        <v>https://pbs.twimg.com/profile_banners/119024617/1644316510</v>
      </c>
      <c r="BI758" s="76"/>
      <c r="BJ758" s="76" t="s">
        <v>24935</v>
      </c>
      <c r="BK758" s="76" t="b">
        <v>0</v>
      </c>
      <c r="BL758" s="76"/>
      <c r="BM758" s="76" t="s">
        <v>66</v>
      </c>
      <c r="BN758" s="76" t="s">
        <v>24937</v>
      </c>
      <c r="BO758" s="83" t="str">
        <f>HYPERLINK("https://twitter.com/correiodeminas")</f>
        <v>https://twitter.com/correiodeminas</v>
      </c>
      <c r="BP758" s="2"/>
    </row>
    <row r="759" spans="1:68" x14ac:dyDescent="0.25">
      <c r="A759" s="62" t="s">
        <v>947</v>
      </c>
      <c r="B759" s="63"/>
      <c r="C759" s="63"/>
      <c r="D759" s="64"/>
      <c r="E759" s="66"/>
      <c r="F759" s="102" t="str">
        <f>HYPERLINK("https://pbs.twimg.com/profile_images/1503744248713289729/rgNlU3JJ_normal.png")</f>
        <v>https://pbs.twimg.com/profile_images/1503744248713289729/rgNlU3JJ_normal.png</v>
      </c>
      <c r="G759" s="63"/>
      <c r="H759" s="67"/>
      <c r="I759" s="68"/>
      <c r="J759" s="68"/>
      <c r="K759" s="67" t="s">
        <v>25693</v>
      </c>
      <c r="L759" s="71"/>
      <c r="M759" s="72"/>
      <c r="N759" s="72"/>
      <c r="O759" s="73"/>
      <c r="P759" s="74"/>
      <c r="Q759" s="74"/>
      <c r="R759" s="86"/>
      <c r="S759" s="86"/>
      <c r="T759" s="86"/>
      <c r="U759" s="86"/>
      <c r="V759" s="48"/>
      <c r="W759" s="48"/>
      <c r="X759" s="48"/>
      <c r="Y759" s="48"/>
      <c r="Z759" s="47"/>
      <c r="AA759" s="69">
        <v>759</v>
      </c>
      <c r="AB759" s="69"/>
      <c r="AC759" s="70"/>
      <c r="AD759" s="76" t="s">
        <v>22555</v>
      </c>
      <c r="AE759" s="81" t="s">
        <v>21551</v>
      </c>
      <c r="AF759" s="76">
        <v>0</v>
      </c>
      <c r="AG759" s="76">
        <v>2</v>
      </c>
      <c r="AH759" s="76">
        <v>1</v>
      </c>
      <c r="AI759" s="76">
        <v>0</v>
      </c>
      <c r="AJ759" s="76">
        <v>0</v>
      </c>
      <c r="AK759" s="76">
        <v>0</v>
      </c>
      <c r="AL759" s="76" t="b">
        <v>0</v>
      </c>
      <c r="AM759" s="78">
        <v>44635.615057870367</v>
      </c>
      <c r="AN759" s="76"/>
      <c r="AO759" s="76" t="s">
        <v>23997</v>
      </c>
      <c r="AP759" s="76"/>
      <c r="AQ759" s="76"/>
      <c r="AR759" s="76"/>
      <c r="AS759" s="76"/>
      <c r="AT759" s="76"/>
      <c r="AU759" s="76"/>
      <c r="AV759" s="76"/>
      <c r="AW759" s="76"/>
      <c r="AX759" s="76" t="b">
        <v>0</v>
      </c>
      <c r="AY759" s="76"/>
      <c r="AZ759" s="76"/>
      <c r="BA759" s="76" t="b">
        <v>0</v>
      </c>
      <c r="BB759" s="76" t="b">
        <v>1</v>
      </c>
      <c r="BC759" s="76" t="b">
        <v>1</v>
      </c>
      <c r="BD759" s="76" t="b">
        <v>0</v>
      </c>
      <c r="BE759" s="76" t="b">
        <v>0</v>
      </c>
      <c r="BF759" s="76" t="b">
        <v>0</v>
      </c>
      <c r="BG759" s="76" t="b">
        <v>0</v>
      </c>
      <c r="BH759" s="76"/>
      <c r="BI759" s="76"/>
      <c r="BJ759" s="76" t="s">
        <v>24935</v>
      </c>
      <c r="BK759" s="76" t="b">
        <v>0</v>
      </c>
      <c r="BL759" s="76"/>
      <c r="BM759" s="76" t="s">
        <v>66</v>
      </c>
      <c r="BN759" s="76" t="s">
        <v>24937</v>
      </c>
      <c r="BO759" s="83" t="str">
        <f>HYPERLINK("https://twitter.com/matheuspradode4")</f>
        <v>https://twitter.com/matheuspradode4</v>
      </c>
      <c r="BP759" s="2"/>
    </row>
    <row r="760" spans="1:68" x14ac:dyDescent="0.25">
      <c r="A760" s="62" t="s">
        <v>948</v>
      </c>
      <c r="B760" s="63"/>
      <c r="C760" s="63"/>
      <c r="D760" s="64"/>
      <c r="E760" s="66"/>
      <c r="F760" s="102" t="str">
        <f>HYPERLINK("https://pbs.twimg.com/profile_images/1619416094510387200/iIGQvcL5_normal.jpg")</f>
        <v>https://pbs.twimg.com/profile_images/1619416094510387200/iIGQvcL5_normal.jpg</v>
      </c>
      <c r="G760" s="63"/>
      <c r="H760" s="67"/>
      <c r="I760" s="68"/>
      <c r="J760" s="68"/>
      <c r="K760" s="67" t="s">
        <v>25694</v>
      </c>
      <c r="L760" s="71"/>
      <c r="M760" s="72"/>
      <c r="N760" s="72"/>
      <c r="O760" s="73"/>
      <c r="P760" s="74"/>
      <c r="Q760" s="74"/>
      <c r="R760" s="86"/>
      <c r="S760" s="86"/>
      <c r="T760" s="86"/>
      <c r="U760" s="86"/>
      <c r="V760" s="48"/>
      <c r="W760" s="48"/>
      <c r="X760" s="48"/>
      <c r="Y760" s="48"/>
      <c r="Z760" s="47"/>
      <c r="AA760" s="69">
        <v>760</v>
      </c>
      <c r="AB760" s="69"/>
      <c r="AC760" s="70"/>
      <c r="AD760" s="76" t="s">
        <v>22556</v>
      </c>
      <c r="AE760" s="81" t="s">
        <v>21552</v>
      </c>
      <c r="AF760" s="76">
        <v>797</v>
      </c>
      <c r="AG760" s="76">
        <v>4023</v>
      </c>
      <c r="AH760" s="76">
        <v>389</v>
      </c>
      <c r="AI760" s="76">
        <v>7</v>
      </c>
      <c r="AJ760" s="76">
        <v>531</v>
      </c>
      <c r="AK760" s="76">
        <v>301</v>
      </c>
      <c r="AL760" s="76" t="b">
        <v>0</v>
      </c>
      <c r="AM760" s="78">
        <v>44575.786597222221</v>
      </c>
      <c r="AN760" s="76" t="s">
        <v>23270</v>
      </c>
      <c r="AO760" s="76" t="s">
        <v>23998</v>
      </c>
      <c r="AP760" s="83" t="str">
        <f>HYPERLINK("https://t.co/pdO78rDy1u")</f>
        <v>https://t.co/pdO78rDy1u</v>
      </c>
      <c r="AQ760" s="83" t="str">
        <f>HYPERLINK("https://youtube.com/channel/UCdTFDpRS6xi2iuBxzdAK62w")</f>
        <v>https://youtube.com/channel/UCdTFDpRS6xi2iuBxzdAK62w</v>
      </c>
      <c r="AR760" s="76" t="s">
        <v>24664</v>
      </c>
      <c r="AS760" s="76" t="s">
        <v>24834</v>
      </c>
      <c r="AT760" s="76" t="s">
        <v>24845</v>
      </c>
      <c r="AU760" s="76" t="s">
        <v>24908</v>
      </c>
      <c r="AV760" s="76">
        <v>1.70414449809421E+18</v>
      </c>
      <c r="AW760" s="83" t="str">
        <f>HYPERLINK("https://t.co/pdO78rDy1u")</f>
        <v>https://t.co/pdO78rDy1u</v>
      </c>
      <c r="AX760" s="76" t="b">
        <v>0</v>
      </c>
      <c r="AY760" s="76"/>
      <c r="AZ760" s="76"/>
      <c r="BA760" s="76" t="b">
        <v>0</v>
      </c>
      <c r="BB760" s="76" t="b">
        <v>1</v>
      </c>
      <c r="BC760" s="76" t="b">
        <v>1</v>
      </c>
      <c r="BD760" s="76" t="b">
        <v>0</v>
      </c>
      <c r="BE760" s="76" t="b">
        <v>0</v>
      </c>
      <c r="BF760" s="76" t="b">
        <v>0</v>
      </c>
      <c r="BG760" s="76" t="b">
        <v>0</v>
      </c>
      <c r="BH760" s="83" t="str">
        <f>HYPERLINK("https://pbs.twimg.com/profile_banners/1482062956548562946/1674934031")</f>
        <v>https://pbs.twimg.com/profile_banners/1482062956548562946/1674934031</v>
      </c>
      <c r="BI760" s="76"/>
      <c r="BJ760" s="76" t="s">
        <v>24935</v>
      </c>
      <c r="BK760" s="76" t="b">
        <v>0</v>
      </c>
      <c r="BL760" s="76"/>
      <c r="BM760" s="76" t="s">
        <v>66</v>
      </c>
      <c r="BN760" s="76" t="s">
        <v>24937</v>
      </c>
      <c r="BO760" s="83" t="str">
        <f>HYPERLINK("https://twitter.com/lipeinveste")</f>
        <v>https://twitter.com/lipeinveste</v>
      </c>
      <c r="BP760" s="2"/>
    </row>
    <row r="761" spans="1:68" x14ac:dyDescent="0.25">
      <c r="A761" s="62" t="s">
        <v>949</v>
      </c>
      <c r="B761" s="63"/>
      <c r="C761" s="63"/>
      <c r="D761" s="64"/>
      <c r="E761" s="66"/>
      <c r="F761" s="102" t="str">
        <f>HYPERLINK("https://pbs.twimg.com/profile_images/1605380523819507714/Z5c9T6sP_normal.jpg")</f>
        <v>https://pbs.twimg.com/profile_images/1605380523819507714/Z5c9T6sP_normal.jpg</v>
      </c>
      <c r="G761" s="63"/>
      <c r="H761" s="67"/>
      <c r="I761" s="68"/>
      <c r="J761" s="68"/>
      <c r="K761" s="67" t="s">
        <v>25695</v>
      </c>
      <c r="L761" s="71"/>
      <c r="M761" s="72"/>
      <c r="N761" s="72"/>
      <c r="O761" s="73"/>
      <c r="P761" s="74"/>
      <c r="Q761" s="74"/>
      <c r="R761" s="86"/>
      <c r="S761" s="86"/>
      <c r="T761" s="86"/>
      <c r="U761" s="86"/>
      <c r="V761" s="48"/>
      <c r="W761" s="48"/>
      <c r="X761" s="48"/>
      <c r="Y761" s="48"/>
      <c r="Z761" s="47"/>
      <c r="AA761" s="69">
        <v>761</v>
      </c>
      <c r="AB761" s="69"/>
      <c r="AC761" s="70"/>
      <c r="AD761" s="76" t="s">
        <v>22557</v>
      </c>
      <c r="AE761" s="81" t="s">
        <v>23011</v>
      </c>
      <c r="AF761" s="76">
        <v>989</v>
      </c>
      <c r="AG761" s="76">
        <v>833</v>
      </c>
      <c r="AH761" s="76">
        <v>58616</v>
      </c>
      <c r="AI761" s="76">
        <v>31</v>
      </c>
      <c r="AJ761" s="76">
        <v>1424</v>
      </c>
      <c r="AK761" s="76">
        <v>26780</v>
      </c>
      <c r="AL761" s="76" t="b">
        <v>0</v>
      </c>
      <c r="AM761" s="78">
        <v>41102.9762962963</v>
      </c>
      <c r="AN761" s="76" t="s">
        <v>23271</v>
      </c>
      <c r="AO761" s="76" t="s">
        <v>23999</v>
      </c>
      <c r="AP761" s="83" t="str">
        <f>HYPERLINK("https://t.co/thJ8G06pVo")</f>
        <v>https://t.co/thJ8G06pVo</v>
      </c>
      <c r="AQ761" s="83" t="str">
        <f>HYPERLINK("https://proeducacional.com/?ref=23")</f>
        <v>https://proeducacional.com/?ref=23</v>
      </c>
      <c r="AR761" s="76" t="s">
        <v>24665</v>
      </c>
      <c r="AS761" s="76"/>
      <c r="AT761" s="76"/>
      <c r="AU761" s="76"/>
      <c r="AV761" s="76"/>
      <c r="AW761" s="83" t="str">
        <f>HYPERLINK("https://t.co/thJ8G06pVo")</f>
        <v>https://t.co/thJ8G06pVo</v>
      </c>
      <c r="AX761" s="76" t="b">
        <v>0</v>
      </c>
      <c r="AY761" s="76"/>
      <c r="AZ761" s="76"/>
      <c r="BA761" s="76" t="b">
        <v>0</v>
      </c>
      <c r="BB761" s="76" t="b">
        <v>0</v>
      </c>
      <c r="BC761" s="76" t="b">
        <v>0</v>
      </c>
      <c r="BD761" s="76" t="b">
        <v>0</v>
      </c>
      <c r="BE761" s="76" t="b">
        <v>0</v>
      </c>
      <c r="BF761" s="76" t="b">
        <v>0</v>
      </c>
      <c r="BG761" s="76" t="b">
        <v>0</v>
      </c>
      <c r="BH761" s="83" t="str">
        <f>HYPERLINK("https://pbs.twimg.com/profile_banners/634133167/1693503589")</f>
        <v>https://pbs.twimg.com/profile_banners/634133167/1693503589</v>
      </c>
      <c r="BI761" s="76"/>
      <c r="BJ761" s="76" t="s">
        <v>24935</v>
      </c>
      <c r="BK761" s="76" t="b">
        <v>0</v>
      </c>
      <c r="BL761" s="76"/>
      <c r="BM761" s="76" t="s">
        <v>66</v>
      </c>
      <c r="BN761" s="76" t="s">
        <v>24937</v>
      </c>
      <c r="BO761" s="83" t="str">
        <f>HYPERLINK("https://twitter.com/eddie_poker")</f>
        <v>https://twitter.com/eddie_poker</v>
      </c>
      <c r="BP761" s="2"/>
    </row>
    <row r="762" spans="1:68" x14ac:dyDescent="0.25">
      <c r="A762" s="62" t="s">
        <v>950</v>
      </c>
      <c r="B762" s="63"/>
      <c r="C762" s="63"/>
      <c r="D762" s="64"/>
      <c r="E762" s="66"/>
      <c r="F762" s="102" t="str">
        <f>HYPERLINK("https://pbs.twimg.com/profile_images/1612778891835281411/TKCWQmpa_normal.jpg")</f>
        <v>https://pbs.twimg.com/profile_images/1612778891835281411/TKCWQmpa_normal.jpg</v>
      </c>
      <c r="G762" s="63"/>
      <c r="H762" s="67"/>
      <c r="I762" s="68"/>
      <c r="J762" s="68"/>
      <c r="K762" s="67" t="s">
        <v>25696</v>
      </c>
      <c r="L762" s="71"/>
      <c r="M762" s="72"/>
      <c r="N762" s="72"/>
      <c r="O762" s="73"/>
      <c r="P762" s="74"/>
      <c r="Q762" s="74"/>
      <c r="R762" s="86"/>
      <c r="S762" s="86"/>
      <c r="T762" s="86"/>
      <c r="U762" s="86"/>
      <c r="V762" s="48"/>
      <c r="W762" s="48"/>
      <c r="X762" s="48"/>
      <c r="Y762" s="48"/>
      <c r="Z762" s="47"/>
      <c r="AA762" s="69">
        <v>762</v>
      </c>
      <c r="AB762" s="69"/>
      <c r="AC762" s="70"/>
      <c r="AD762" s="76" t="s">
        <v>10175</v>
      </c>
      <c r="AE762" s="81" t="s">
        <v>21553</v>
      </c>
      <c r="AF762" s="76">
        <v>93</v>
      </c>
      <c r="AG762" s="76">
        <v>4</v>
      </c>
      <c r="AH762" s="76">
        <v>21298</v>
      </c>
      <c r="AI762" s="76">
        <v>1</v>
      </c>
      <c r="AJ762" s="76">
        <v>8</v>
      </c>
      <c r="AK762" s="76">
        <v>21282</v>
      </c>
      <c r="AL762" s="76" t="b">
        <v>0</v>
      </c>
      <c r="AM762" s="78">
        <v>44935.63925925926</v>
      </c>
      <c r="AN762" s="76"/>
      <c r="AO762" s="76"/>
      <c r="AP762" s="76"/>
      <c r="AQ762" s="76"/>
      <c r="AR762" s="76"/>
      <c r="AS762" s="76"/>
      <c r="AT762" s="76"/>
      <c r="AU762" s="76"/>
      <c r="AV762" s="76"/>
      <c r="AW762" s="76"/>
      <c r="AX762" s="76" t="b">
        <v>0</v>
      </c>
      <c r="AY762" s="76"/>
      <c r="AZ762" s="76"/>
      <c r="BA762" s="76" t="b">
        <v>0</v>
      </c>
      <c r="BB762" s="76" t="b">
        <v>1</v>
      </c>
      <c r="BC762" s="76" t="b">
        <v>1</v>
      </c>
      <c r="BD762" s="76" t="b">
        <v>0</v>
      </c>
      <c r="BE762" s="76" t="b">
        <v>0</v>
      </c>
      <c r="BF762" s="76" t="b">
        <v>0</v>
      </c>
      <c r="BG762" s="76" t="b">
        <v>0</v>
      </c>
      <c r="BH762" s="83" t="str">
        <f>HYPERLINK("https://pbs.twimg.com/profile_banners/1612469315999072256/1673351427")</f>
        <v>https://pbs.twimg.com/profile_banners/1612469315999072256/1673351427</v>
      </c>
      <c r="BI762" s="76"/>
      <c r="BJ762" s="76" t="s">
        <v>24935</v>
      </c>
      <c r="BK762" s="76" t="b">
        <v>0</v>
      </c>
      <c r="BL762" s="76"/>
      <c r="BM762" s="76" t="s">
        <v>66</v>
      </c>
      <c r="BN762" s="76" t="s">
        <v>24937</v>
      </c>
      <c r="BO762" s="83" t="str">
        <f>HYPERLINK("https://twitter.com/discoverrecipes")</f>
        <v>https://twitter.com/discoverrecipes</v>
      </c>
      <c r="BP762" s="2"/>
    </row>
    <row r="763" spans="1:68" x14ac:dyDescent="0.25">
      <c r="A763" s="62" t="s">
        <v>951</v>
      </c>
      <c r="B763" s="63"/>
      <c r="C763" s="63"/>
      <c r="D763" s="64"/>
      <c r="E763" s="66"/>
      <c r="F763" s="102" t="str">
        <f>HYPERLINK("https://pbs.twimg.com/profile_images/1115722625899225094/DA9SzYRC_normal.jpg")</f>
        <v>https://pbs.twimg.com/profile_images/1115722625899225094/DA9SzYRC_normal.jpg</v>
      </c>
      <c r="G763" s="63"/>
      <c r="H763" s="67"/>
      <c r="I763" s="68"/>
      <c r="J763" s="68"/>
      <c r="K763" s="67" t="s">
        <v>25697</v>
      </c>
      <c r="L763" s="71"/>
      <c r="M763" s="72"/>
      <c r="N763" s="72"/>
      <c r="O763" s="73"/>
      <c r="P763" s="74"/>
      <c r="Q763" s="74"/>
      <c r="R763" s="86"/>
      <c r="S763" s="86"/>
      <c r="T763" s="86"/>
      <c r="U763" s="86"/>
      <c r="V763" s="48"/>
      <c r="W763" s="48"/>
      <c r="X763" s="48"/>
      <c r="Y763" s="48"/>
      <c r="Z763" s="47"/>
      <c r="AA763" s="69">
        <v>763</v>
      </c>
      <c r="AB763" s="69"/>
      <c r="AC763" s="70"/>
      <c r="AD763" s="76" t="s">
        <v>22558</v>
      </c>
      <c r="AE763" s="81" t="s">
        <v>23012</v>
      </c>
      <c r="AF763" s="76">
        <v>236</v>
      </c>
      <c r="AG763" s="76">
        <v>153</v>
      </c>
      <c r="AH763" s="76">
        <v>2153</v>
      </c>
      <c r="AI763" s="76">
        <v>1</v>
      </c>
      <c r="AJ763" s="76">
        <v>7</v>
      </c>
      <c r="AK763" s="76">
        <v>145</v>
      </c>
      <c r="AL763" s="76" t="b">
        <v>0</v>
      </c>
      <c r="AM763" s="78">
        <v>39752.555046296293</v>
      </c>
      <c r="AN763" s="76" t="s">
        <v>23130</v>
      </c>
      <c r="AO763" s="76" t="s">
        <v>24000</v>
      </c>
      <c r="AP763" s="83" t="str">
        <f>HYPERLINK("https://t.co/myxhMNThTw")</f>
        <v>https://t.co/myxhMNThTw</v>
      </c>
      <c r="AQ763" s="83" t="str">
        <f>HYPERLINK("http://facebook.com/ricardofabriziooficial")</f>
        <v>http://facebook.com/ricardofabriziooficial</v>
      </c>
      <c r="AR763" s="76" t="s">
        <v>24666</v>
      </c>
      <c r="AS763" s="76"/>
      <c r="AT763" s="76"/>
      <c r="AU763" s="76"/>
      <c r="AV763" s="76"/>
      <c r="AW763" s="83" t="str">
        <f>HYPERLINK("https://t.co/myxhMNThTw")</f>
        <v>https://t.co/myxhMNThTw</v>
      </c>
      <c r="AX763" s="76" t="b">
        <v>0</v>
      </c>
      <c r="AY763" s="76"/>
      <c r="AZ763" s="76"/>
      <c r="BA763" s="76" t="b">
        <v>0</v>
      </c>
      <c r="BB763" s="76" t="b">
        <v>1</v>
      </c>
      <c r="BC763" s="76" t="b">
        <v>0</v>
      </c>
      <c r="BD763" s="76" t="b">
        <v>0</v>
      </c>
      <c r="BE763" s="76" t="b">
        <v>0</v>
      </c>
      <c r="BF763" s="76" t="b">
        <v>0</v>
      </c>
      <c r="BG763" s="76" t="b">
        <v>0</v>
      </c>
      <c r="BH763" s="83" t="str">
        <f>HYPERLINK("https://pbs.twimg.com/profile_banners/17084658/1528396937")</f>
        <v>https://pbs.twimg.com/profile_banners/17084658/1528396937</v>
      </c>
      <c r="BI763" s="76"/>
      <c r="BJ763" s="76" t="s">
        <v>24935</v>
      </c>
      <c r="BK763" s="76" t="b">
        <v>0</v>
      </c>
      <c r="BL763" s="76"/>
      <c r="BM763" s="76" t="s">
        <v>66</v>
      </c>
      <c r="BN763" s="76" t="s">
        <v>24937</v>
      </c>
      <c r="BO763" s="83" t="str">
        <f>HYPERLINK("https://twitter.com/ricardofabrizio")</f>
        <v>https://twitter.com/ricardofabrizio</v>
      </c>
      <c r="BP763" s="2"/>
    </row>
    <row r="764" spans="1:68" x14ac:dyDescent="0.25">
      <c r="A764" s="62" t="s">
        <v>952</v>
      </c>
      <c r="B764" s="63"/>
      <c r="C764" s="63"/>
      <c r="D764" s="64"/>
      <c r="E764" s="66"/>
      <c r="F764" s="102" t="str">
        <f>HYPERLINK("https://pbs.twimg.com/profile_images/1616111839531638784/vy9kpqKg_normal.jpg")</f>
        <v>https://pbs.twimg.com/profile_images/1616111839531638784/vy9kpqKg_normal.jpg</v>
      </c>
      <c r="G764" s="63"/>
      <c r="H764" s="67"/>
      <c r="I764" s="68"/>
      <c r="J764" s="68"/>
      <c r="K764" s="67" t="s">
        <v>25698</v>
      </c>
      <c r="L764" s="71"/>
      <c r="M764" s="72"/>
      <c r="N764" s="72"/>
      <c r="O764" s="73"/>
      <c r="P764" s="74"/>
      <c r="Q764" s="74"/>
      <c r="R764" s="86"/>
      <c r="S764" s="86"/>
      <c r="T764" s="86"/>
      <c r="U764" s="86"/>
      <c r="V764" s="48"/>
      <c r="W764" s="48"/>
      <c r="X764" s="48"/>
      <c r="Y764" s="48"/>
      <c r="Z764" s="47"/>
      <c r="AA764" s="69">
        <v>764</v>
      </c>
      <c r="AB764" s="69"/>
      <c r="AC764" s="70"/>
      <c r="AD764" s="76" t="s">
        <v>22254</v>
      </c>
      <c r="AE764" s="81" t="s">
        <v>21554</v>
      </c>
      <c r="AF764" s="76">
        <v>42</v>
      </c>
      <c r="AG764" s="76">
        <v>447</v>
      </c>
      <c r="AH764" s="76">
        <v>608</v>
      </c>
      <c r="AI764" s="76">
        <v>0</v>
      </c>
      <c r="AJ764" s="76">
        <v>897</v>
      </c>
      <c r="AK764" s="76">
        <v>253</v>
      </c>
      <c r="AL764" s="76" t="b">
        <v>0</v>
      </c>
      <c r="AM764" s="78">
        <v>44914.701377314814</v>
      </c>
      <c r="AN764" s="76" t="s">
        <v>14040</v>
      </c>
      <c r="AO764" s="76" t="s">
        <v>24001</v>
      </c>
      <c r="AP764" s="76"/>
      <c r="AQ764" s="76"/>
      <c r="AR764" s="76"/>
      <c r="AS764" s="76"/>
      <c r="AT764" s="76"/>
      <c r="AU764" s="76"/>
      <c r="AV764" s="76">
        <v>1.6280896323016399E+18</v>
      </c>
      <c r="AW764" s="76"/>
      <c r="AX764" s="76" t="b">
        <v>0</v>
      </c>
      <c r="AY764" s="76"/>
      <c r="AZ764" s="76"/>
      <c r="BA764" s="76" t="b">
        <v>0</v>
      </c>
      <c r="BB764" s="76" t="b">
        <v>1</v>
      </c>
      <c r="BC764" s="76" t="b">
        <v>1</v>
      </c>
      <c r="BD764" s="76" t="b">
        <v>0</v>
      </c>
      <c r="BE764" s="76" t="b">
        <v>0</v>
      </c>
      <c r="BF764" s="76" t="b">
        <v>0</v>
      </c>
      <c r="BG764" s="76" t="b">
        <v>0</v>
      </c>
      <c r="BH764" s="83" t="str">
        <f>HYPERLINK("https://pbs.twimg.com/profile_banners/1604881690756800513/1676140167")</f>
        <v>https://pbs.twimg.com/profile_banners/1604881690756800513/1676140167</v>
      </c>
      <c r="BI764" s="76"/>
      <c r="BJ764" s="76" t="s">
        <v>24935</v>
      </c>
      <c r="BK764" s="76" t="b">
        <v>0</v>
      </c>
      <c r="BL764" s="76"/>
      <c r="BM764" s="76" t="s">
        <v>66</v>
      </c>
      <c r="BN764" s="76" t="s">
        <v>24937</v>
      </c>
      <c r="BO764" s="83" t="str">
        <f>HYPERLINK("https://twitter.com/matheus55233118")</f>
        <v>https://twitter.com/matheus55233118</v>
      </c>
      <c r="BP764" s="2"/>
    </row>
    <row r="765" spans="1:68" x14ac:dyDescent="0.25">
      <c r="A765" s="62" t="s">
        <v>953</v>
      </c>
      <c r="B765" s="63"/>
      <c r="C765" s="63"/>
      <c r="D765" s="64"/>
      <c r="E765" s="66"/>
      <c r="F765" s="102" t="str">
        <f>HYPERLINK("https://pbs.twimg.com/profile_images/1463117324207144972/CC9M20OZ_normal.jpg")</f>
        <v>https://pbs.twimg.com/profile_images/1463117324207144972/CC9M20OZ_normal.jpg</v>
      </c>
      <c r="G765" s="63"/>
      <c r="H765" s="67"/>
      <c r="I765" s="68"/>
      <c r="J765" s="68"/>
      <c r="K765" s="67" t="s">
        <v>25699</v>
      </c>
      <c r="L765" s="71"/>
      <c r="M765" s="72"/>
      <c r="N765" s="72"/>
      <c r="O765" s="73"/>
      <c r="P765" s="74"/>
      <c r="Q765" s="74"/>
      <c r="R765" s="86"/>
      <c r="S765" s="86"/>
      <c r="T765" s="86"/>
      <c r="U765" s="86"/>
      <c r="V765" s="48"/>
      <c r="W765" s="48"/>
      <c r="X765" s="48"/>
      <c r="Y765" s="48"/>
      <c r="Z765" s="47"/>
      <c r="AA765" s="69">
        <v>765</v>
      </c>
      <c r="AB765" s="69"/>
      <c r="AC765" s="70"/>
      <c r="AD765" s="76" t="s">
        <v>22559</v>
      </c>
      <c r="AE765" s="81" t="s">
        <v>21555</v>
      </c>
      <c r="AF765" s="76">
        <v>1243</v>
      </c>
      <c r="AG765" s="76">
        <v>40</v>
      </c>
      <c r="AH765" s="76">
        <v>131</v>
      </c>
      <c r="AI765" s="76">
        <v>0</v>
      </c>
      <c r="AJ765" s="76">
        <v>44</v>
      </c>
      <c r="AK765" s="76">
        <v>123</v>
      </c>
      <c r="AL765" s="76" t="b">
        <v>0</v>
      </c>
      <c r="AM765" s="78">
        <v>44489.692013888889</v>
      </c>
      <c r="AN765" s="76"/>
      <c r="AO765" s="76" t="s">
        <v>24002</v>
      </c>
      <c r="AP765" s="83" t="str">
        <f>HYPERLINK("https://t.co/GdaIfG4bCD")</f>
        <v>https://t.co/GdaIfG4bCD</v>
      </c>
      <c r="AQ765" s="83" t="str">
        <f>HYPERLINK("http://bunnieshole.com")</f>
        <v>http://bunnieshole.com</v>
      </c>
      <c r="AR765" s="76" t="s">
        <v>24667</v>
      </c>
      <c r="AS765" s="76"/>
      <c r="AT765" s="76"/>
      <c r="AU765" s="76"/>
      <c r="AV765" s="76"/>
      <c r="AW765" s="83" t="str">
        <f>HYPERLINK("https://t.co/GdaIfG4bCD")</f>
        <v>https://t.co/GdaIfG4bCD</v>
      </c>
      <c r="AX765" s="76" t="b">
        <v>0</v>
      </c>
      <c r="AY765" s="76"/>
      <c r="AZ765" s="76"/>
      <c r="BA765" s="76" t="b">
        <v>1</v>
      </c>
      <c r="BB765" s="76" t="b">
        <v>1</v>
      </c>
      <c r="BC765" s="76" t="b">
        <v>1</v>
      </c>
      <c r="BD765" s="76" t="b">
        <v>0</v>
      </c>
      <c r="BE765" s="76" t="b">
        <v>0</v>
      </c>
      <c r="BF765" s="76" t="b">
        <v>0</v>
      </c>
      <c r="BG765" s="76" t="b">
        <v>0</v>
      </c>
      <c r="BH765" s="83" t="str">
        <f>HYPERLINK("https://pbs.twimg.com/profile_banners/1450863300531609606/1637669329")</f>
        <v>https://pbs.twimg.com/profile_banners/1450863300531609606/1637669329</v>
      </c>
      <c r="BI765" s="76"/>
      <c r="BJ765" s="76" t="s">
        <v>24935</v>
      </c>
      <c r="BK765" s="76" t="b">
        <v>0</v>
      </c>
      <c r="BL765" s="76"/>
      <c r="BM765" s="76" t="s">
        <v>66</v>
      </c>
      <c r="BN765" s="76" t="s">
        <v>24937</v>
      </c>
      <c r="BO765" s="83" t="str">
        <f>HYPERLINK("https://twitter.com/bunnieshole")</f>
        <v>https://twitter.com/bunnieshole</v>
      </c>
      <c r="BP765" s="2"/>
    </row>
    <row r="766" spans="1:68" x14ac:dyDescent="0.25">
      <c r="A766" s="62" t="s">
        <v>954</v>
      </c>
      <c r="B766" s="63"/>
      <c r="C766" s="63"/>
      <c r="D766" s="64"/>
      <c r="E766" s="66"/>
      <c r="F766" s="102" t="str">
        <f>HYPERLINK("https://pbs.twimg.com/profile_images/1657903557721423883/moLMWPSB_normal.jpg")</f>
        <v>https://pbs.twimg.com/profile_images/1657903557721423883/moLMWPSB_normal.jpg</v>
      </c>
      <c r="G766" s="63"/>
      <c r="H766" s="67"/>
      <c r="I766" s="68"/>
      <c r="J766" s="68"/>
      <c r="K766" s="67" t="s">
        <v>25700</v>
      </c>
      <c r="L766" s="71"/>
      <c r="M766" s="72"/>
      <c r="N766" s="72"/>
      <c r="O766" s="73"/>
      <c r="P766" s="74"/>
      <c r="Q766" s="74"/>
      <c r="R766" s="86"/>
      <c r="S766" s="86"/>
      <c r="T766" s="86"/>
      <c r="U766" s="86"/>
      <c r="V766" s="48"/>
      <c r="W766" s="48"/>
      <c r="X766" s="48"/>
      <c r="Y766" s="48"/>
      <c r="Z766" s="47"/>
      <c r="AA766" s="69">
        <v>766</v>
      </c>
      <c r="AB766" s="69"/>
      <c r="AC766" s="70"/>
      <c r="AD766" s="76" t="s">
        <v>22560</v>
      </c>
      <c r="AE766" s="81" t="s">
        <v>21556</v>
      </c>
      <c r="AF766" s="76">
        <v>47</v>
      </c>
      <c r="AG766" s="76">
        <v>750</v>
      </c>
      <c r="AH766" s="76">
        <v>10</v>
      </c>
      <c r="AI766" s="76">
        <v>0</v>
      </c>
      <c r="AJ766" s="76">
        <v>44</v>
      </c>
      <c r="AK766" s="76">
        <v>8</v>
      </c>
      <c r="AL766" s="76" t="b">
        <v>0</v>
      </c>
      <c r="AM766" s="78">
        <v>44832.959513888891</v>
      </c>
      <c r="AN766" s="76" t="s">
        <v>14033</v>
      </c>
      <c r="AO766" s="76" t="s">
        <v>24003</v>
      </c>
      <c r="AP766" s="76"/>
      <c r="AQ766" s="76"/>
      <c r="AR766" s="76"/>
      <c r="AS766" s="83" t="str">
        <f>HYPERLINK("https://t.co/jFkK9QfB90")</f>
        <v>https://t.co/jFkK9QfB90</v>
      </c>
      <c r="AT766" s="83" t="str">
        <f>HYPERLINK("http://linktr.ee/lucasvieiraofc")</f>
        <v>http://linktr.ee/lucasvieiraofc</v>
      </c>
      <c r="AU766" s="76" t="s">
        <v>24909</v>
      </c>
      <c r="AV766" s="76"/>
      <c r="AW766" s="76"/>
      <c r="AX766" s="76" t="b">
        <v>0</v>
      </c>
      <c r="AY766" s="76"/>
      <c r="AZ766" s="76"/>
      <c r="BA766" s="76" t="b">
        <v>0</v>
      </c>
      <c r="BB766" s="76" t="b">
        <v>1</v>
      </c>
      <c r="BC766" s="76" t="b">
        <v>1</v>
      </c>
      <c r="BD766" s="76" t="b">
        <v>0</v>
      </c>
      <c r="BE766" s="76" t="b">
        <v>0</v>
      </c>
      <c r="BF766" s="76" t="b">
        <v>0</v>
      </c>
      <c r="BG766" s="76" t="b">
        <v>0</v>
      </c>
      <c r="BH766" s="83" t="str">
        <f>HYPERLINK("https://pbs.twimg.com/profile_banners/1575258443270787077/1688346229")</f>
        <v>https://pbs.twimg.com/profile_banners/1575258443270787077/1688346229</v>
      </c>
      <c r="BI766" s="76"/>
      <c r="BJ766" s="76" t="s">
        <v>24935</v>
      </c>
      <c r="BK766" s="76" t="b">
        <v>0</v>
      </c>
      <c r="BL766" s="76"/>
      <c r="BM766" s="76" t="s">
        <v>66</v>
      </c>
      <c r="BN766" s="76" t="s">
        <v>24937</v>
      </c>
      <c r="BO766" s="83" t="str">
        <f>HYPERLINK("https://twitter.com/lucasmkd701")</f>
        <v>https://twitter.com/lucasmkd701</v>
      </c>
      <c r="BP766" s="2"/>
    </row>
    <row r="767" spans="1:68" x14ac:dyDescent="0.25">
      <c r="A767" s="62" t="s">
        <v>955</v>
      </c>
      <c r="B767" s="63"/>
      <c r="C767" s="63"/>
      <c r="D767" s="64"/>
      <c r="E767" s="66"/>
      <c r="F767" s="102" t="str">
        <f>HYPERLINK("https://pbs.twimg.com/profile_images/1611041644429574159/U79TneIP_normal.jpg")</f>
        <v>https://pbs.twimg.com/profile_images/1611041644429574159/U79TneIP_normal.jpg</v>
      </c>
      <c r="G767" s="63"/>
      <c r="H767" s="67"/>
      <c r="I767" s="68"/>
      <c r="J767" s="68"/>
      <c r="K767" s="67" t="s">
        <v>25701</v>
      </c>
      <c r="L767" s="71"/>
      <c r="M767" s="72"/>
      <c r="N767" s="72"/>
      <c r="O767" s="73"/>
      <c r="P767" s="74"/>
      <c r="Q767" s="74"/>
      <c r="R767" s="86"/>
      <c r="S767" s="86"/>
      <c r="T767" s="86"/>
      <c r="U767" s="86"/>
      <c r="V767" s="48"/>
      <c r="W767" s="48"/>
      <c r="X767" s="48"/>
      <c r="Y767" s="48"/>
      <c r="Z767" s="47"/>
      <c r="AA767" s="69">
        <v>767</v>
      </c>
      <c r="AB767" s="69"/>
      <c r="AC767" s="70"/>
      <c r="AD767" s="76" t="s">
        <v>22561</v>
      </c>
      <c r="AE767" s="81" t="s">
        <v>21557</v>
      </c>
      <c r="AF767" s="76">
        <v>22</v>
      </c>
      <c r="AG767" s="76">
        <v>0</v>
      </c>
      <c r="AH767" s="76">
        <v>132</v>
      </c>
      <c r="AI767" s="76">
        <v>0</v>
      </c>
      <c r="AJ767" s="76">
        <v>3</v>
      </c>
      <c r="AK767" s="76">
        <v>85</v>
      </c>
      <c r="AL767" s="76" t="b">
        <v>0</v>
      </c>
      <c r="AM767" s="78">
        <v>44931.699166666665</v>
      </c>
      <c r="AN767" s="76"/>
      <c r="AO767" s="76" t="s">
        <v>24004</v>
      </c>
      <c r="AP767" s="83" t="str">
        <f>HYPERLINK("https://t.co/PLWTedbT99")</f>
        <v>https://t.co/PLWTedbT99</v>
      </c>
      <c r="AQ767" s="83" t="str">
        <f>HYPERLINK("http://b1.bet")</f>
        <v>http://b1.bet</v>
      </c>
      <c r="AR767" s="76" t="s">
        <v>24668</v>
      </c>
      <c r="AS767" s="76"/>
      <c r="AT767" s="76"/>
      <c r="AU767" s="76"/>
      <c r="AV767" s="76"/>
      <c r="AW767" s="83" t="str">
        <f>HYPERLINK("https://t.co/PLWTedbT99")</f>
        <v>https://t.co/PLWTedbT99</v>
      </c>
      <c r="AX767" s="76" t="b">
        <v>0</v>
      </c>
      <c r="AY767" s="76"/>
      <c r="AZ767" s="76"/>
      <c r="BA767" s="76" t="b">
        <v>0</v>
      </c>
      <c r="BB767" s="76" t="b">
        <v>1</v>
      </c>
      <c r="BC767" s="76" t="b">
        <v>1</v>
      </c>
      <c r="BD767" s="76" t="b">
        <v>0</v>
      </c>
      <c r="BE767" s="76" t="b">
        <v>0</v>
      </c>
      <c r="BF767" s="76" t="b">
        <v>0</v>
      </c>
      <c r="BG767" s="76" t="b">
        <v>0</v>
      </c>
      <c r="BH767" s="83" t="str">
        <f>HYPERLINK("https://pbs.twimg.com/profile_banners/1611041208012312577/1692034153")</f>
        <v>https://pbs.twimg.com/profile_banners/1611041208012312577/1692034153</v>
      </c>
      <c r="BI767" s="76"/>
      <c r="BJ767" s="76" t="s">
        <v>24935</v>
      </c>
      <c r="BK767" s="76" t="b">
        <v>0</v>
      </c>
      <c r="BL767" s="76"/>
      <c r="BM767" s="76" t="s">
        <v>66</v>
      </c>
      <c r="BN767" s="76" t="s">
        <v>24937</v>
      </c>
      <c r="BO767" s="83" t="str">
        <f>HYPERLINK("https://twitter.com/b1_bet")</f>
        <v>https://twitter.com/b1_bet</v>
      </c>
      <c r="BP767" s="2"/>
    </row>
    <row r="768" spans="1:68" x14ac:dyDescent="0.25">
      <c r="A768" s="62" t="s">
        <v>956</v>
      </c>
      <c r="B768" s="63"/>
      <c r="C768" s="63"/>
      <c r="D768" s="64"/>
      <c r="E768" s="66"/>
      <c r="F768" s="102" t="str">
        <f>HYPERLINK("https://pbs.twimg.com/profile_images/1643749433325113346/r1dsz00Y_normal.jpg")</f>
        <v>https://pbs.twimg.com/profile_images/1643749433325113346/r1dsz00Y_normal.jpg</v>
      </c>
      <c r="G768" s="63"/>
      <c r="H768" s="67"/>
      <c r="I768" s="68"/>
      <c r="J768" s="68"/>
      <c r="K768" s="67" t="s">
        <v>25702</v>
      </c>
      <c r="L768" s="71"/>
      <c r="M768" s="72"/>
      <c r="N768" s="72"/>
      <c r="O768" s="73"/>
      <c r="P768" s="74"/>
      <c r="Q768" s="74"/>
      <c r="R768" s="86"/>
      <c r="S768" s="86"/>
      <c r="T768" s="86"/>
      <c r="U768" s="86"/>
      <c r="V768" s="48"/>
      <c r="W768" s="48"/>
      <c r="X768" s="48"/>
      <c r="Y768" s="48"/>
      <c r="Z768" s="47"/>
      <c r="AA768" s="69">
        <v>768</v>
      </c>
      <c r="AB768" s="69"/>
      <c r="AC768" s="70"/>
      <c r="AD768" s="76" t="s">
        <v>22562</v>
      </c>
      <c r="AE768" s="81" t="s">
        <v>21558</v>
      </c>
      <c r="AF768" s="76">
        <v>1</v>
      </c>
      <c r="AG768" s="76">
        <v>53</v>
      </c>
      <c r="AH768" s="76">
        <v>83</v>
      </c>
      <c r="AI768" s="76">
        <v>0</v>
      </c>
      <c r="AJ768" s="76">
        <v>0</v>
      </c>
      <c r="AK768" s="76">
        <v>4</v>
      </c>
      <c r="AL768" s="76" t="b">
        <v>0</v>
      </c>
      <c r="AM768" s="78">
        <v>45021.93414351852</v>
      </c>
      <c r="AN768" s="76" t="s">
        <v>23272</v>
      </c>
      <c r="AO768" s="76" t="s">
        <v>24005</v>
      </c>
      <c r="AP768" s="76"/>
      <c r="AQ768" s="76"/>
      <c r="AR768" s="76"/>
      <c r="AS768" s="76"/>
      <c r="AT768" s="76"/>
      <c r="AU768" s="76"/>
      <c r="AV768" s="76"/>
      <c r="AW768" s="76"/>
      <c r="AX768" s="76" t="b">
        <v>0</v>
      </c>
      <c r="AY768" s="76"/>
      <c r="AZ768" s="76"/>
      <c r="BA768" s="76" t="b">
        <v>0</v>
      </c>
      <c r="BB768" s="76" t="b">
        <v>1</v>
      </c>
      <c r="BC768" s="76" t="b">
        <v>1</v>
      </c>
      <c r="BD768" s="76" t="b">
        <v>0</v>
      </c>
      <c r="BE768" s="76" t="b">
        <v>0</v>
      </c>
      <c r="BF768" s="76" t="b">
        <v>0</v>
      </c>
      <c r="BG768" s="76" t="b">
        <v>0</v>
      </c>
      <c r="BH768" s="76"/>
      <c r="BI768" s="76"/>
      <c r="BJ768" s="76" t="s">
        <v>24935</v>
      </c>
      <c r="BK768" s="76" t="b">
        <v>0</v>
      </c>
      <c r="BL768" s="76"/>
      <c r="BM768" s="76" t="s">
        <v>66</v>
      </c>
      <c r="BN768" s="76" t="s">
        <v>24937</v>
      </c>
      <c r="BO768" s="83" t="str">
        <f>HYPERLINK("https://twitter.com/ex_terior")</f>
        <v>https://twitter.com/ex_terior</v>
      </c>
      <c r="BP768" s="2"/>
    </row>
    <row r="769" spans="1:68" x14ac:dyDescent="0.25">
      <c r="A769" s="62" t="s">
        <v>957</v>
      </c>
      <c r="B769" s="63"/>
      <c r="C769" s="63"/>
      <c r="D769" s="64"/>
      <c r="E769" s="66"/>
      <c r="F769" s="102" t="str">
        <f>HYPERLINK("https://pbs.twimg.com/profile_images/1686713603594887169/OW65LBQv_normal.jpg")</f>
        <v>https://pbs.twimg.com/profile_images/1686713603594887169/OW65LBQv_normal.jpg</v>
      </c>
      <c r="G769" s="63"/>
      <c r="H769" s="67"/>
      <c r="I769" s="68"/>
      <c r="J769" s="68"/>
      <c r="K769" s="67" t="s">
        <v>25703</v>
      </c>
      <c r="L769" s="71"/>
      <c r="M769" s="72"/>
      <c r="N769" s="72"/>
      <c r="O769" s="73"/>
      <c r="P769" s="74"/>
      <c r="Q769" s="74"/>
      <c r="R769" s="86"/>
      <c r="S769" s="86"/>
      <c r="T769" s="86"/>
      <c r="U769" s="86"/>
      <c r="V769" s="48"/>
      <c r="W769" s="48"/>
      <c r="X769" s="48"/>
      <c r="Y769" s="48"/>
      <c r="Z769" s="47"/>
      <c r="AA769" s="69">
        <v>769</v>
      </c>
      <c r="AB769" s="69"/>
      <c r="AC769" s="70"/>
      <c r="AD769" s="76" t="s">
        <v>22563</v>
      </c>
      <c r="AE769" s="81" t="s">
        <v>23013</v>
      </c>
      <c r="AF769" s="76">
        <v>37877</v>
      </c>
      <c r="AG769" s="76">
        <v>46</v>
      </c>
      <c r="AH769" s="76">
        <v>80291</v>
      </c>
      <c r="AI769" s="76">
        <v>169</v>
      </c>
      <c r="AJ769" s="76">
        <v>200</v>
      </c>
      <c r="AK769" s="76">
        <v>14324</v>
      </c>
      <c r="AL769" s="76" t="b">
        <v>0</v>
      </c>
      <c r="AM769" s="78">
        <v>40218.761793981481</v>
      </c>
      <c r="AN769" s="76" t="s">
        <v>23273</v>
      </c>
      <c r="AO769" s="76" t="s">
        <v>24006</v>
      </c>
      <c r="AP769" s="83" t="str">
        <f>HYPERLINK("https://t.co/pOc8xwPg9U")</f>
        <v>https://t.co/pOc8xwPg9U</v>
      </c>
      <c r="AQ769" s="83" t="str">
        <f>HYPERLINK("https://tribunapr.com.br/")</f>
        <v>https://tribunapr.com.br/</v>
      </c>
      <c r="AR769" s="76" t="s">
        <v>24669</v>
      </c>
      <c r="AS769" s="76"/>
      <c r="AT769" s="76"/>
      <c r="AU769" s="76"/>
      <c r="AV769" s="76"/>
      <c r="AW769" s="83" t="str">
        <f>HYPERLINK("https://t.co/pOc8xwPg9U")</f>
        <v>https://t.co/pOc8xwPg9U</v>
      </c>
      <c r="AX769" s="76" t="b">
        <v>0</v>
      </c>
      <c r="AY769" s="76"/>
      <c r="AZ769" s="76"/>
      <c r="BA769" s="76" t="b">
        <v>0</v>
      </c>
      <c r="BB769" s="76" t="b">
        <v>1</v>
      </c>
      <c r="BC769" s="76" t="b">
        <v>0</v>
      </c>
      <c r="BD769" s="76" t="b">
        <v>0</v>
      </c>
      <c r="BE769" s="76" t="b">
        <v>1</v>
      </c>
      <c r="BF769" s="76" t="b">
        <v>0</v>
      </c>
      <c r="BG769" s="76" t="b">
        <v>0</v>
      </c>
      <c r="BH769" s="83" t="str">
        <f>HYPERLINK("https://pbs.twimg.com/profile_banners/112786548/1690978836")</f>
        <v>https://pbs.twimg.com/profile_banners/112786548/1690978836</v>
      </c>
      <c r="BI769" s="76"/>
      <c r="BJ769" s="76" t="s">
        <v>24935</v>
      </c>
      <c r="BK769" s="76" t="b">
        <v>0</v>
      </c>
      <c r="BL769" s="76"/>
      <c r="BM769" s="76" t="s">
        <v>66</v>
      </c>
      <c r="BN769" s="76" t="s">
        <v>24937</v>
      </c>
      <c r="BO769" s="83" t="str">
        <f>HYPERLINK("https://twitter.com/tribunapr")</f>
        <v>https://twitter.com/tribunapr</v>
      </c>
      <c r="BP769" s="2"/>
    </row>
    <row r="770" spans="1:68" x14ac:dyDescent="0.25">
      <c r="A770" s="62" t="s">
        <v>958</v>
      </c>
      <c r="B770" s="63"/>
      <c r="C770" s="63"/>
      <c r="D770" s="64"/>
      <c r="E770" s="66"/>
      <c r="F770" s="102" t="str">
        <f>HYPERLINK("https://abs.twimg.com/sticky/default_profile_images/default_profile_normal.png")</f>
        <v>https://abs.twimg.com/sticky/default_profile_images/default_profile_normal.png</v>
      </c>
      <c r="G770" s="63"/>
      <c r="H770" s="67"/>
      <c r="I770" s="68"/>
      <c r="J770" s="68"/>
      <c r="K770" s="67" t="s">
        <v>25704</v>
      </c>
      <c r="L770" s="71"/>
      <c r="M770" s="72"/>
      <c r="N770" s="72"/>
      <c r="O770" s="73"/>
      <c r="P770" s="74"/>
      <c r="Q770" s="74"/>
      <c r="R770" s="86"/>
      <c r="S770" s="86"/>
      <c r="T770" s="86"/>
      <c r="U770" s="86"/>
      <c r="V770" s="48"/>
      <c r="W770" s="48"/>
      <c r="X770" s="48"/>
      <c r="Y770" s="48"/>
      <c r="Z770" s="47"/>
      <c r="AA770" s="69">
        <v>770</v>
      </c>
      <c r="AB770" s="69"/>
      <c r="AC770" s="70"/>
      <c r="AD770" s="76" t="s">
        <v>22564</v>
      </c>
      <c r="AE770" s="81" t="s">
        <v>21559</v>
      </c>
      <c r="AF770" s="76">
        <v>10</v>
      </c>
      <c r="AG770" s="76">
        <v>75</v>
      </c>
      <c r="AH770" s="76">
        <v>7</v>
      </c>
      <c r="AI770" s="76">
        <v>8</v>
      </c>
      <c r="AJ770" s="76">
        <v>0</v>
      </c>
      <c r="AK770" s="76">
        <v>0</v>
      </c>
      <c r="AL770" s="76" t="b">
        <v>0</v>
      </c>
      <c r="AM770" s="78">
        <v>43171.68787037037</v>
      </c>
      <c r="AN770" s="76" t="s">
        <v>23274</v>
      </c>
      <c r="AO770" s="76"/>
      <c r="AP770" s="76"/>
      <c r="AQ770" s="76"/>
      <c r="AR770" s="76"/>
      <c r="AS770" s="76"/>
      <c r="AT770" s="76"/>
      <c r="AU770" s="76"/>
      <c r="AV770" s="76"/>
      <c r="AW770" s="76"/>
      <c r="AX770" s="76" t="b">
        <v>0</v>
      </c>
      <c r="AY770" s="76"/>
      <c r="AZ770" s="76"/>
      <c r="BA770" s="76" t="b">
        <v>0</v>
      </c>
      <c r="BB770" s="76" t="b">
        <v>1</v>
      </c>
      <c r="BC770" s="76" t="b">
        <v>1</v>
      </c>
      <c r="BD770" s="76" t="b">
        <v>1</v>
      </c>
      <c r="BE770" s="76" t="b">
        <v>0</v>
      </c>
      <c r="BF770" s="76" t="b">
        <v>0</v>
      </c>
      <c r="BG770" s="76" t="b">
        <v>0</v>
      </c>
      <c r="BH770" s="76"/>
      <c r="BI770" s="76"/>
      <c r="BJ770" s="76" t="s">
        <v>24935</v>
      </c>
      <c r="BK770" s="76" t="b">
        <v>0</v>
      </c>
      <c r="BL770" s="76"/>
      <c r="BM770" s="76" t="s">
        <v>66</v>
      </c>
      <c r="BN770" s="76" t="s">
        <v>24937</v>
      </c>
      <c r="BO770" s="83" t="str">
        <f>HYPERLINK("https://twitter.com/fpribeiro8383")</f>
        <v>https://twitter.com/fpribeiro8383</v>
      </c>
      <c r="BP770" s="2"/>
    </row>
    <row r="771" spans="1:68" x14ac:dyDescent="0.25">
      <c r="A771" s="62" t="s">
        <v>959</v>
      </c>
      <c r="B771" s="63"/>
      <c r="C771" s="63"/>
      <c r="D771" s="64"/>
      <c r="E771" s="66"/>
      <c r="F771" s="102" t="str">
        <f>HYPERLINK("https://pbs.twimg.com/profile_images/1669305452620906498/vZBAXVIm_normal.jpg")</f>
        <v>https://pbs.twimg.com/profile_images/1669305452620906498/vZBAXVIm_normal.jpg</v>
      </c>
      <c r="G771" s="63"/>
      <c r="H771" s="67"/>
      <c r="I771" s="68"/>
      <c r="J771" s="68"/>
      <c r="K771" s="67" t="s">
        <v>25705</v>
      </c>
      <c r="L771" s="71"/>
      <c r="M771" s="72"/>
      <c r="N771" s="72"/>
      <c r="O771" s="73"/>
      <c r="P771" s="74"/>
      <c r="Q771" s="74"/>
      <c r="R771" s="86"/>
      <c r="S771" s="86"/>
      <c r="T771" s="86"/>
      <c r="U771" s="86"/>
      <c r="V771" s="48"/>
      <c r="W771" s="48"/>
      <c r="X771" s="48"/>
      <c r="Y771" s="48"/>
      <c r="Z771" s="47"/>
      <c r="AA771" s="69">
        <v>771</v>
      </c>
      <c r="AB771" s="69"/>
      <c r="AC771" s="70"/>
      <c r="AD771" s="76" t="s">
        <v>22565</v>
      </c>
      <c r="AE771" s="81" t="s">
        <v>21560</v>
      </c>
      <c r="AF771" s="76">
        <v>8</v>
      </c>
      <c r="AG771" s="76">
        <v>8</v>
      </c>
      <c r="AH771" s="76">
        <v>247</v>
      </c>
      <c r="AI771" s="76">
        <v>0</v>
      </c>
      <c r="AJ771" s="76">
        <v>60</v>
      </c>
      <c r="AK771" s="76">
        <v>57</v>
      </c>
      <c r="AL771" s="76" t="b">
        <v>0</v>
      </c>
      <c r="AM771" s="78">
        <v>42966.73914351852</v>
      </c>
      <c r="AN771" s="76" t="s">
        <v>23275</v>
      </c>
      <c r="AO771" s="76" t="s">
        <v>24007</v>
      </c>
      <c r="AP771" s="76"/>
      <c r="AQ771" s="76"/>
      <c r="AR771" s="76"/>
      <c r="AS771" s="76"/>
      <c r="AT771" s="76"/>
      <c r="AU771" s="76"/>
      <c r="AV771" s="76"/>
      <c r="AW771" s="76"/>
      <c r="AX771" s="76" t="b">
        <v>0</v>
      </c>
      <c r="AY771" s="76"/>
      <c r="AZ771" s="76"/>
      <c r="BA771" s="76" t="b">
        <v>0</v>
      </c>
      <c r="BB771" s="76" t="b">
        <v>1</v>
      </c>
      <c r="BC771" s="76" t="b">
        <v>1</v>
      </c>
      <c r="BD771" s="76" t="b">
        <v>0</v>
      </c>
      <c r="BE771" s="76" t="b">
        <v>1</v>
      </c>
      <c r="BF771" s="76" t="b">
        <v>0</v>
      </c>
      <c r="BG771" s="76" t="b">
        <v>0</v>
      </c>
      <c r="BH771" s="83" t="str">
        <f>HYPERLINK("https://pbs.twimg.com/profile_banners/898963867774181377/1691891316")</f>
        <v>https://pbs.twimg.com/profile_banners/898963867774181377/1691891316</v>
      </c>
      <c r="BI771" s="76"/>
      <c r="BJ771" s="76" t="s">
        <v>24935</v>
      </c>
      <c r="BK771" s="76" t="b">
        <v>0</v>
      </c>
      <c r="BL771" s="76"/>
      <c r="BM771" s="76" t="s">
        <v>66</v>
      </c>
      <c r="BN771" s="76" t="s">
        <v>24937</v>
      </c>
      <c r="BO771" s="83" t="str">
        <f>HYPERLINK("https://twitter.com/edsonbatista205")</f>
        <v>https://twitter.com/edsonbatista205</v>
      </c>
      <c r="BP771" s="2"/>
    </row>
    <row r="772" spans="1:68" x14ac:dyDescent="0.25">
      <c r="A772" s="62" t="s">
        <v>960</v>
      </c>
      <c r="B772" s="63"/>
      <c r="C772" s="63"/>
      <c r="D772" s="64"/>
      <c r="E772" s="66"/>
      <c r="F772" s="102" t="str">
        <f>HYPERLINK("https://pbs.twimg.com/profile_images/1667528547567632385/0tXKa8c5_normal.jpg")</f>
        <v>https://pbs.twimg.com/profile_images/1667528547567632385/0tXKa8c5_normal.jpg</v>
      </c>
      <c r="G772" s="63"/>
      <c r="H772" s="67"/>
      <c r="I772" s="68"/>
      <c r="J772" s="68"/>
      <c r="K772" s="67" t="s">
        <v>25706</v>
      </c>
      <c r="L772" s="71"/>
      <c r="M772" s="72"/>
      <c r="N772" s="72"/>
      <c r="O772" s="73"/>
      <c r="P772" s="74"/>
      <c r="Q772" s="74"/>
      <c r="R772" s="86"/>
      <c r="S772" s="86"/>
      <c r="T772" s="86"/>
      <c r="U772" s="86"/>
      <c r="V772" s="48"/>
      <c r="W772" s="48"/>
      <c r="X772" s="48"/>
      <c r="Y772" s="48"/>
      <c r="Z772" s="47"/>
      <c r="AA772" s="69">
        <v>772</v>
      </c>
      <c r="AB772" s="69"/>
      <c r="AC772" s="70"/>
      <c r="AD772" s="76" t="s">
        <v>22566</v>
      </c>
      <c r="AE772" s="81" t="s">
        <v>21561</v>
      </c>
      <c r="AF772" s="76">
        <v>31</v>
      </c>
      <c r="AG772" s="76">
        <v>214</v>
      </c>
      <c r="AH772" s="76">
        <v>70</v>
      </c>
      <c r="AI772" s="76">
        <v>0</v>
      </c>
      <c r="AJ772" s="76">
        <v>204</v>
      </c>
      <c r="AK772" s="76">
        <v>0</v>
      </c>
      <c r="AL772" s="76" t="b">
        <v>0</v>
      </c>
      <c r="AM772" s="78">
        <v>44531.008611111109</v>
      </c>
      <c r="AN772" s="76"/>
      <c r="AO772" s="76" t="s">
        <v>24008</v>
      </c>
      <c r="AP772" s="83" t="str">
        <f>HYPERLINK("https://t.co/nWwKm7WJ6c")</f>
        <v>https://t.co/nWwKm7WJ6c</v>
      </c>
      <c r="AQ772" s="83" t="str">
        <f>HYPERLINK("https://mycollection.shop/sara_shopee")</f>
        <v>https://mycollection.shop/sara_shopee</v>
      </c>
      <c r="AR772" s="76" t="s">
        <v>24670</v>
      </c>
      <c r="AS772" s="76"/>
      <c r="AT772" s="76"/>
      <c r="AU772" s="76"/>
      <c r="AV772" s="76"/>
      <c r="AW772" s="83" t="str">
        <f>HYPERLINK("https://t.co/nWwKm7WJ6c")</f>
        <v>https://t.co/nWwKm7WJ6c</v>
      </c>
      <c r="AX772" s="76" t="b">
        <v>0</v>
      </c>
      <c r="AY772" s="76"/>
      <c r="AZ772" s="76"/>
      <c r="BA772" s="76" t="b">
        <v>0</v>
      </c>
      <c r="BB772" s="76" t="b">
        <v>1</v>
      </c>
      <c r="BC772" s="76" t="b">
        <v>1</v>
      </c>
      <c r="BD772" s="76" t="b">
        <v>0</v>
      </c>
      <c r="BE772" s="76" t="b">
        <v>1</v>
      </c>
      <c r="BF772" s="76" t="b">
        <v>0</v>
      </c>
      <c r="BG772" s="76" t="b">
        <v>0</v>
      </c>
      <c r="BH772" s="83" t="str">
        <f>HYPERLINK("https://pbs.twimg.com/profile_banners/1465836039956840449/1683755909")</f>
        <v>https://pbs.twimg.com/profile_banners/1465836039956840449/1683755909</v>
      </c>
      <c r="BI772" s="76"/>
      <c r="BJ772" s="76" t="s">
        <v>24935</v>
      </c>
      <c r="BK772" s="76" t="b">
        <v>0</v>
      </c>
      <c r="BL772" s="76"/>
      <c r="BM772" s="76" t="s">
        <v>66</v>
      </c>
      <c r="BN772" s="76" t="s">
        <v>24937</v>
      </c>
      <c r="BO772" s="83" t="str">
        <f>HYPERLINK("https://twitter.com/xcxalessandra")</f>
        <v>https://twitter.com/xcxalessandra</v>
      </c>
      <c r="BP772" s="2"/>
    </row>
    <row r="773" spans="1:68" x14ac:dyDescent="0.25">
      <c r="A773" s="62" t="s">
        <v>961</v>
      </c>
      <c r="B773" s="63"/>
      <c r="C773" s="63"/>
      <c r="D773" s="64"/>
      <c r="E773" s="66"/>
      <c r="F773" s="102" t="str">
        <f>HYPERLINK("https://pbs.twimg.com/profile_images/1628080011679870986/hq8y7FSS_normal.jpg")</f>
        <v>https://pbs.twimg.com/profile_images/1628080011679870986/hq8y7FSS_normal.jpg</v>
      </c>
      <c r="G773" s="63"/>
      <c r="H773" s="67"/>
      <c r="I773" s="68"/>
      <c r="J773" s="68"/>
      <c r="K773" s="67" t="s">
        <v>25707</v>
      </c>
      <c r="L773" s="71"/>
      <c r="M773" s="72"/>
      <c r="N773" s="72"/>
      <c r="O773" s="73"/>
      <c r="P773" s="74"/>
      <c r="Q773" s="74"/>
      <c r="R773" s="86"/>
      <c r="S773" s="86"/>
      <c r="T773" s="86"/>
      <c r="U773" s="86"/>
      <c r="V773" s="48"/>
      <c r="W773" s="48"/>
      <c r="X773" s="48"/>
      <c r="Y773" s="48"/>
      <c r="Z773" s="47"/>
      <c r="AA773" s="69">
        <v>773</v>
      </c>
      <c r="AB773" s="69"/>
      <c r="AC773" s="70"/>
      <c r="AD773" s="76" t="s">
        <v>22567</v>
      </c>
      <c r="AE773" s="81" t="s">
        <v>21562</v>
      </c>
      <c r="AF773" s="76">
        <v>1</v>
      </c>
      <c r="AG773" s="76">
        <v>10</v>
      </c>
      <c r="AH773" s="76">
        <v>164</v>
      </c>
      <c r="AI773" s="76">
        <v>0</v>
      </c>
      <c r="AJ773" s="76">
        <v>241</v>
      </c>
      <c r="AK773" s="76">
        <v>10</v>
      </c>
      <c r="AL773" s="76" t="b">
        <v>0</v>
      </c>
      <c r="AM773" s="78">
        <v>44873.579837962963</v>
      </c>
      <c r="AN773" s="76" t="s">
        <v>14040</v>
      </c>
      <c r="AO773" s="76" t="s">
        <v>24009</v>
      </c>
      <c r="AP773" s="83" t="str">
        <f>HYPERLINK("https://t.co/dz2QXuqKHJ")</f>
        <v>https://t.co/dz2QXuqKHJ</v>
      </c>
      <c r="AQ773" s="83" t="str">
        <f>HYPERLINK("https://beacons.ai/samuelzaim")</f>
        <v>https://beacons.ai/samuelzaim</v>
      </c>
      <c r="AR773" s="76" t="s">
        <v>24671</v>
      </c>
      <c r="AS773" s="76"/>
      <c r="AT773" s="76"/>
      <c r="AU773" s="76"/>
      <c r="AV773" s="76"/>
      <c r="AW773" s="83" t="str">
        <f>HYPERLINK("https://t.co/dz2QXuqKHJ")</f>
        <v>https://t.co/dz2QXuqKHJ</v>
      </c>
      <c r="AX773" s="76" t="b">
        <v>0</v>
      </c>
      <c r="AY773" s="76"/>
      <c r="AZ773" s="76"/>
      <c r="BA773" s="76" t="b">
        <v>0</v>
      </c>
      <c r="BB773" s="76" t="b">
        <v>1</v>
      </c>
      <c r="BC773" s="76" t="b">
        <v>1</v>
      </c>
      <c r="BD773" s="76" t="b">
        <v>0</v>
      </c>
      <c r="BE773" s="76" t="b">
        <v>0</v>
      </c>
      <c r="BF773" s="76" t="b">
        <v>0</v>
      </c>
      <c r="BG773" s="76" t="b">
        <v>0</v>
      </c>
      <c r="BH773" s="83" t="str">
        <f>HYPERLINK("https://pbs.twimg.com/profile_banners/1589979591023673344/1676999533")</f>
        <v>https://pbs.twimg.com/profile_banners/1589979591023673344/1676999533</v>
      </c>
      <c r="BI773" s="76"/>
      <c r="BJ773" s="76" t="s">
        <v>24935</v>
      </c>
      <c r="BK773" s="76" t="b">
        <v>0</v>
      </c>
      <c r="BL773" s="76"/>
      <c r="BM773" s="76" t="s">
        <v>66</v>
      </c>
      <c r="BN773" s="76" t="s">
        <v>24937</v>
      </c>
      <c r="BO773" s="83" t="str">
        <f>HYPERLINK("https://twitter.com/samuelzaim")</f>
        <v>https://twitter.com/samuelzaim</v>
      </c>
      <c r="BP773" s="2"/>
    </row>
    <row r="774" spans="1:68" x14ac:dyDescent="0.25">
      <c r="A774" s="62" t="s">
        <v>962</v>
      </c>
      <c r="B774" s="63"/>
      <c r="C774" s="63"/>
      <c r="D774" s="64"/>
      <c r="E774" s="66"/>
      <c r="F774" s="102" t="str">
        <f>HYPERLINK("https://pbs.twimg.com/profile_images/1570391326964719619/I44-etgP_normal.jpg")</f>
        <v>https://pbs.twimg.com/profile_images/1570391326964719619/I44-etgP_normal.jpg</v>
      </c>
      <c r="G774" s="63"/>
      <c r="H774" s="67"/>
      <c r="I774" s="68"/>
      <c r="J774" s="68"/>
      <c r="K774" s="67" t="s">
        <v>25708</v>
      </c>
      <c r="L774" s="71"/>
      <c r="M774" s="72"/>
      <c r="N774" s="72"/>
      <c r="O774" s="73"/>
      <c r="P774" s="74"/>
      <c r="Q774" s="74"/>
      <c r="R774" s="86"/>
      <c r="S774" s="86"/>
      <c r="T774" s="86"/>
      <c r="U774" s="86"/>
      <c r="V774" s="48"/>
      <c r="W774" s="48"/>
      <c r="X774" s="48"/>
      <c r="Y774" s="48"/>
      <c r="Z774" s="47"/>
      <c r="AA774" s="69">
        <v>774</v>
      </c>
      <c r="AB774" s="69"/>
      <c r="AC774" s="70"/>
      <c r="AD774" s="76" t="s">
        <v>22568</v>
      </c>
      <c r="AE774" s="81" t="s">
        <v>21563</v>
      </c>
      <c r="AF774" s="76">
        <v>6</v>
      </c>
      <c r="AG774" s="76">
        <v>8</v>
      </c>
      <c r="AH774" s="76">
        <v>593</v>
      </c>
      <c r="AI774" s="76">
        <v>0</v>
      </c>
      <c r="AJ774" s="76">
        <v>143</v>
      </c>
      <c r="AK774" s="76">
        <v>3</v>
      </c>
      <c r="AL774" s="76" t="b">
        <v>0</v>
      </c>
      <c r="AM774" s="78">
        <v>44812.020381944443</v>
      </c>
      <c r="AN774" s="76"/>
      <c r="AO774" s="76" t="s">
        <v>24010</v>
      </c>
      <c r="AP774" s="76"/>
      <c r="AQ774" s="76"/>
      <c r="AR774" s="76"/>
      <c r="AS774" s="76"/>
      <c r="AT774" s="76"/>
      <c r="AU774" s="76"/>
      <c r="AV774" s="76">
        <v>1.6765735765000599E+18</v>
      </c>
      <c r="AW774" s="76"/>
      <c r="AX774" s="76" t="b">
        <v>0</v>
      </c>
      <c r="AY774" s="76"/>
      <c r="AZ774" s="76"/>
      <c r="BA774" s="76" t="b">
        <v>0</v>
      </c>
      <c r="BB774" s="76" t="b">
        <v>1</v>
      </c>
      <c r="BC774" s="76" t="b">
        <v>1</v>
      </c>
      <c r="BD774" s="76" t="b">
        <v>0</v>
      </c>
      <c r="BE774" s="76" t="b">
        <v>0</v>
      </c>
      <c r="BF774" s="76" t="b">
        <v>0</v>
      </c>
      <c r="BG774" s="76" t="b">
        <v>0</v>
      </c>
      <c r="BH774" s="83" t="str">
        <f>HYPERLINK("https://pbs.twimg.com/profile_banners/1567671335513460736/1663245462")</f>
        <v>https://pbs.twimg.com/profile_banners/1567671335513460736/1663245462</v>
      </c>
      <c r="BI774" s="76"/>
      <c r="BJ774" s="76" t="s">
        <v>24935</v>
      </c>
      <c r="BK774" s="76" t="b">
        <v>0</v>
      </c>
      <c r="BL774" s="76"/>
      <c r="BM774" s="76" t="s">
        <v>66</v>
      </c>
      <c r="BN774" s="76" t="s">
        <v>24937</v>
      </c>
      <c r="BO774" s="83" t="str">
        <f>HYPERLINK("https://twitter.com/juliana46402600")</f>
        <v>https://twitter.com/juliana46402600</v>
      </c>
      <c r="BP774" s="2"/>
    </row>
    <row r="775" spans="1:68" x14ac:dyDescent="0.25">
      <c r="A775" s="62" t="s">
        <v>963</v>
      </c>
      <c r="B775" s="63"/>
      <c r="C775" s="63"/>
      <c r="D775" s="64"/>
      <c r="E775" s="66"/>
      <c r="F775" s="102" t="str">
        <f>HYPERLINK("https://pbs.twimg.com/profile_images/1686783230811291649/J5HtvRCB_normal.jpg")</f>
        <v>https://pbs.twimg.com/profile_images/1686783230811291649/J5HtvRCB_normal.jpg</v>
      </c>
      <c r="G775" s="63"/>
      <c r="H775" s="67"/>
      <c r="I775" s="68"/>
      <c r="J775" s="68"/>
      <c r="K775" s="67" t="s">
        <v>25709</v>
      </c>
      <c r="L775" s="71"/>
      <c r="M775" s="72"/>
      <c r="N775" s="72"/>
      <c r="O775" s="73"/>
      <c r="P775" s="74"/>
      <c r="Q775" s="74"/>
      <c r="R775" s="86"/>
      <c r="S775" s="86"/>
      <c r="T775" s="86"/>
      <c r="U775" s="86"/>
      <c r="V775" s="48"/>
      <c r="W775" s="48"/>
      <c r="X775" s="48"/>
      <c r="Y775" s="48"/>
      <c r="Z775" s="47"/>
      <c r="AA775" s="69">
        <v>775</v>
      </c>
      <c r="AB775" s="69"/>
      <c r="AC775" s="70"/>
      <c r="AD775" s="76" t="s">
        <v>22569</v>
      </c>
      <c r="AE775" s="81" t="s">
        <v>21564</v>
      </c>
      <c r="AF775" s="76">
        <v>2</v>
      </c>
      <c r="AG775" s="76">
        <v>9</v>
      </c>
      <c r="AH775" s="76">
        <v>8</v>
      </c>
      <c r="AI775" s="76">
        <v>0</v>
      </c>
      <c r="AJ775" s="76">
        <v>0</v>
      </c>
      <c r="AK775" s="76">
        <v>7</v>
      </c>
      <c r="AL775" s="76" t="b">
        <v>0</v>
      </c>
      <c r="AM775" s="78">
        <v>45139.818738425929</v>
      </c>
      <c r="AN775" s="76"/>
      <c r="AO775" s="76" t="s">
        <v>24011</v>
      </c>
      <c r="AP775" s="83" t="str">
        <f>HYPERLINK("https://t.co/9N83Jzsxq1")</f>
        <v>https://t.co/9N83Jzsxq1</v>
      </c>
      <c r="AQ775" s="83" t="str">
        <f>HYPERLINK("http://bbspremios.bet/registrar/EE3C21")</f>
        <v>http://bbspremios.bet/registrar/EE3C21</v>
      </c>
      <c r="AR775" s="76" t="s">
        <v>24672</v>
      </c>
      <c r="AS775" s="76"/>
      <c r="AT775" s="76"/>
      <c r="AU775" s="76"/>
      <c r="AV775" s="76"/>
      <c r="AW775" s="83" t="str">
        <f>HYPERLINK("https://t.co/9N83Jzsxq1")</f>
        <v>https://t.co/9N83Jzsxq1</v>
      </c>
      <c r="AX775" s="76" t="b">
        <v>1</v>
      </c>
      <c r="AY775" s="76"/>
      <c r="AZ775" s="76"/>
      <c r="BA775" s="76" t="b">
        <v>0</v>
      </c>
      <c r="BB775" s="76" t="b">
        <v>1</v>
      </c>
      <c r="BC775" s="76" t="b">
        <v>1</v>
      </c>
      <c r="BD775" s="76" t="b">
        <v>0</v>
      </c>
      <c r="BE775" s="76" t="b">
        <v>0</v>
      </c>
      <c r="BF775" s="76" t="b">
        <v>0</v>
      </c>
      <c r="BG775" s="76" t="b">
        <v>0</v>
      </c>
      <c r="BH775" s="83" t="str">
        <f>HYPERLINK("https://pbs.twimg.com/profile_banners/1686461388733005827/1691001316")</f>
        <v>https://pbs.twimg.com/profile_banners/1686461388733005827/1691001316</v>
      </c>
      <c r="BI775" s="76"/>
      <c r="BJ775" s="76" t="s">
        <v>24935</v>
      </c>
      <c r="BK775" s="76" t="b">
        <v>0</v>
      </c>
      <c r="BL775" s="76"/>
      <c r="BM775" s="76" t="s">
        <v>66</v>
      </c>
      <c r="BN775" s="76" t="s">
        <v>24937</v>
      </c>
      <c r="BO775" s="83" t="str">
        <f>HYPERLINK("https://twitter.com/bbspremios")</f>
        <v>https://twitter.com/bbspremios</v>
      </c>
      <c r="BP775" s="2"/>
    </row>
    <row r="776" spans="1:68" x14ac:dyDescent="0.25">
      <c r="A776" s="62" t="s">
        <v>964</v>
      </c>
      <c r="B776" s="63"/>
      <c r="C776" s="63"/>
      <c r="D776" s="64"/>
      <c r="E776" s="66"/>
      <c r="F776" s="102" t="str">
        <f>HYPERLINK("https://pbs.twimg.com/profile_images/1606278079084728324/L6V7JJ-d_normal.png")</f>
        <v>https://pbs.twimg.com/profile_images/1606278079084728324/L6V7JJ-d_normal.png</v>
      </c>
      <c r="G776" s="63"/>
      <c r="H776" s="67"/>
      <c r="I776" s="68"/>
      <c r="J776" s="68"/>
      <c r="K776" s="67" t="s">
        <v>25710</v>
      </c>
      <c r="L776" s="71"/>
      <c r="M776" s="72"/>
      <c r="N776" s="72"/>
      <c r="O776" s="73"/>
      <c r="P776" s="74"/>
      <c r="Q776" s="74"/>
      <c r="R776" s="86"/>
      <c r="S776" s="86"/>
      <c r="T776" s="86"/>
      <c r="U776" s="86"/>
      <c r="V776" s="48"/>
      <c r="W776" s="48"/>
      <c r="X776" s="48"/>
      <c r="Y776" s="48"/>
      <c r="Z776" s="47"/>
      <c r="AA776" s="69">
        <v>776</v>
      </c>
      <c r="AB776" s="69"/>
      <c r="AC776" s="70"/>
      <c r="AD776" s="76" t="s">
        <v>22570</v>
      </c>
      <c r="AE776" s="81" t="s">
        <v>21565</v>
      </c>
      <c r="AF776" s="76">
        <v>1</v>
      </c>
      <c r="AG776" s="76">
        <v>1</v>
      </c>
      <c r="AH776" s="76">
        <v>2</v>
      </c>
      <c r="AI776" s="76">
        <v>0</v>
      </c>
      <c r="AJ776" s="76">
        <v>102</v>
      </c>
      <c r="AK776" s="76">
        <v>1</v>
      </c>
      <c r="AL776" s="76" t="b">
        <v>0</v>
      </c>
      <c r="AM776" s="78">
        <v>44918.554525462961</v>
      </c>
      <c r="AN776" s="76"/>
      <c r="AO776" s="76"/>
      <c r="AP776" s="76"/>
      <c r="AQ776" s="76"/>
      <c r="AR776" s="76"/>
      <c r="AS776" s="76"/>
      <c r="AT776" s="76"/>
      <c r="AU776" s="76"/>
      <c r="AV776" s="76"/>
      <c r="AW776" s="76"/>
      <c r="AX776" s="76" t="b">
        <v>0</v>
      </c>
      <c r="AY776" s="76"/>
      <c r="AZ776" s="76"/>
      <c r="BA776" s="76" t="b">
        <v>0</v>
      </c>
      <c r="BB776" s="76" t="b">
        <v>1</v>
      </c>
      <c r="BC776" s="76" t="b">
        <v>1</v>
      </c>
      <c r="BD776" s="76" t="b">
        <v>0</v>
      </c>
      <c r="BE776" s="76" t="b">
        <v>0</v>
      </c>
      <c r="BF776" s="76" t="b">
        <v>0</v>
      </c>
      <c r="BG776" s="76" t="b">
        <v>0</v>
      </c>
      <c r="BH776" s="76"/>
      <c r="BI776" s="76"/>
      <c r="BJ776" s="76" t="s">
        <v>24935</v>
      </c>
      <c r="BK776" s="76" t="b">
        <v>0</v>
      </c>
      <c r="BL776" s="76"/>
      <c r="BM776" s="76" t="s">
        <v>66</v>
      </c>
      <c r="BN776" s="76" t="s">
        <v>24937</v>
      </c>
      <c r="BO776" s="83" t="str">
        <f>HYPERLINK("https://twitter.com/ahawblocfarm4")</f>
        <v>https://twitter.com/ahawblocfarm4</v>
      </c>
      <c r="BP776" s="2"/>
    </row>
    <row r="777" spans="1:68" x14ac:dyDescent="0.25">
      <c r="A777" s="62" t="s">
        <v>965</v>
      </c>
      <c r="B777" s="63"/>
      <c r="C777" s="63"/>
      <c r="D777" s="64"/>
      <c r="E777" s="66"/>
      <c r="F777" s="102" t="str">
        <f>HYPERLINK("https://pbs.twimg.com/profile_images/1482162872897703939/ZsnIm8-q_normal.jpg")</f>
        <v>https://pbs.twimg.com/profile_images/1482162872897703939/ZsnIm8-q_normal.jpg</v>
      </c>
      <c r="G777" s="63"/>
      <c r="H777" s="67"/>
      <c r="I777" s="68"/>
      <c r="J777" s="68"/>
      <c r="K777" s="67" t="s">
        <v>25711</v>
      </c>
      <c r="L777" s="71"/>
      <c r="M777" s="72"/>
      <c r="N777" s="72"/>
      <c r="O777" s="73"/>
      <c r="P777" s="74"/>
      <c r="Q777" s="74"/>
      <c r="R777" s="86"/>
      <c r="S777" s="86"/>
      <c r="T777" s="86"/>
      <c r="U777" s="86"/>
      <c r="V777" s="48"/>
      <c r="W777" s="48"/>
      <c r="X777" s="48"/>
      <c r="Y777" s="48"/>
      <c r="Z777" s="47"/>
      <c r="AA777" s="69">
        <v>777</v>
      </c>
      <c r="AB777" s="69"/>
      <c r="AC777" s="70"/>
      <c r="AD777" s="76" t="s">
        <v>22571</v>
      </c>
      <c r="AE777" s="81" t="s">
        <v>21566</v>
      </c>
      <c r="AF777" s="76">
        <v>24</v>
      </c>
      <c r="AG777" s="76">
        <v>148</v>
      </c>
      <c r="AH777" s="76">
        <v>1414</v>
      </c>
      <c r="AI777" s="76">
        <v>0</v>
      </c>
      <c r="AJ777" s="76">
        <v>1634</v>
      </c>
      <c r="AK777" s="76">
        <v>23</v>
      </c>
      <c r="AL777" s="76" t="b">
        <v>0</v>
      </c>
      <c r="AM777" s="78">
        <v>44501.793981481482</v>
      </c>
      <c r="AN777" s="76" t="s">
        <v>23276</v>
      </c>
      <c r="AO777" s="76" t="s">
        <v>24012</v>
      </c>
      <c r="AP777" s="83" t="str">
        <f>HYPERLINK("https://t.co/M3kUJRu3vF")</f>
        <v>https://t.co/M3kUJRu3vF</v>
      </c>
      <c r="AQ777" s="83" t="str">
        <f>HYPERLINK("https://www.soljogo.com/?id=17538800")</f>
        <v>https://www.soljogo.com/?id=17538800</v>
      </c>
      <c r="AR777" s="76" t="s">
        <v>24673</v>
      </c>
      <c r="AS777" s="76"/>
      <c r="AT777" s="76"/>
      <c r="AU777" s="76"/>
      <c r="AV777" s="76">
        <v>1.6961412583123599E+18</v>
      </c>
      <c r="AW777" s="83" t="str">
        <f>HYPERLINK("https://t.co/M3kUJRu3vF")</f>
        <v>https://t.co/M3kUJRu3vF</v>
      </c>
      <c r="AX777" s="76" t="b">
        <v>0</v>
      </c>
      <c r="AY777" s="76"/>
      <c r="AZ777" s="76"/>
      <c r="BA777" s="76" t="b">
        <v>0</v>
      </c>
      <c r="BB777" s="76" t="b">
        <v>0</v>
      </c>
      <c r="BC777" s="76" t="b">
        <v>1</v>
      </c>
      <c r="BD777" s="76" t="b">
        <v>0</v>
      </c>
      <c r="BE777" s="76" t="b">
        <v>1</v>
      </c>
      <c r="BF777" s="76" t="b">
        <v>0</v>
      </c>
      <c r="BG777" s="76" t="b">
        <v>0</v>
      </c>
      <c r="BH777" s="83" t="str">
        <f>HYPERLINK("https://pbs.twimg.com/profile_banners/1455249013943439362/1646144174")</f>
        <v>https://pbs.twimg.com/profile_banners/1455249013943439362/1646144174</v>
      </c>
      <c r="BI777" s="76"/>
      <c r="BJ777" s="76" t="s">
        <v>24935</v>
      </c>
      <c r="BK777" s="76" t="b">
        <v>0</v>
      </c>
      <c r="BL777" s="76"/>
      <c r="BM777" s="76" t="s">
        <v>66</v>
      </c>
      <c r="BN777" s="76" t="s">
        <v>24937</v>
      </c>
      <c r="BO777" s="83" t="str">
        <f>HYPERLINK("https://twitter.com/livinhoo_01")</f>
        <v>https://twitter.com/livinhoo_01</v>
      </c>
      <c r="BP777" s="2"/>
    </row>
    <row r="778" spans="1:68" x14ac:dyDescent="0.25">
      <c r="A778" s="62" t="s">
        <v>966</v>
      </c>
      <c r="B778" s="63"/>
      <c r="C778" s="63"/>
      <c r="D778" s="64"/>
      <c r="E778" s="66"/>
      <c r="F778" s="102" t="str">
        <f>HYPERLINK("https://pbs.twimg.com/profile_images/1699529699154591745/z1cKpPTS_normal.jpg")</f>
        <v>https://pbs.twimg.com/profile_images/1699529699154591745/z1cKpPTS_normal.jpg</v>
      </c>
      <c r="G778" s="63"/>
      <c r="H778" s="67"/>
      <c r="I778" s="68"/>
      <c r="J778" s="68"/>
      <c r="K778" s="67" t="s">
        <v>25712</v>
      </c>
      <c r="L778" s="71"/>
      <c r="M778" s="72"/>
      <c r="N778" s="72"/>
      <c r="O778" s="73"/>
      <c r="P778" s="74"/>
      <c r="Q778" s="74"/>
      <c r="R778" s="86"/>
      <c r="S778" s="86"/>
      <c r="T778" s="86"/>
      <c r="U778" s="86"/>
      <c r="V778" s="48"/>
      <c r="W778" s="48"/>
      <c r="X778" s="48"/>
      <c r="Y778" s="48"/>
      <c r="Z778" s="47"/>
      <c r="AA778" s="69">
        <v>778</v>
      </c>
      <c r="AB778" s="69"/>
      <c r="AC778" s="70"/>
      <c r="AD778" s="76" t="s">
        <v>22572</v>
      </c>
      <c r="AE778" s="81" t="s">
        <v>21567</v>
      </c>
      <c r="AF778" s="76">
        <v>3</v>
      </c>
      <c r="AG778" s="76">
        <v>0</v>
      </c>
      <c r="AH778" s="76">
        <v>330</v>
      </c>
      <c r="AI778" s="76">
        <v>0</v>
      </c>
      <c r="AJ778" s="76">
        <v>0</v>
      </c>
      <c r="AK778" s="76">
        <v>288</v>
      </c>
      <c r="AL778" s="76" t="b">
        <v>0</v>
      </c>
      <c r="AM778" s="78">
        <v>45005.8984375</v>
      </c>
      <c r="AN778" s="76" t="s">
        <v>14033</v>
      </c>
      <c r="AO778" s="76" t="s">
        <v>24013</v>
      </c>
      <c r="AP778" s="83" t="str">
        <f>HYPERLINK("https://t.co/2ryRleczAa")</f>
        <v>https://t.co/2ryRleczAa</v>
      </c>
      <c r="AQ778" s="83" t="str">
        <f>HYPERLINK("https://linktr.ee/Alongamento_de.Unhas")</f>
        <v>https://linktr.ee/Alongamento_de.Unhas</v>
      </c>
      <c r="AR778" s="76" t="s">
        <v>24674</v>
      </c>
      <c r="AS778" s="76"/>
      <c r="AT778" s="76"/>
      <c r="AU778" s="76"/>
      <c r="AV778" s="76">
        <v>1.6780977316323899E+18</v>
      </c>
      <c r="AW778" s="83" t="str">
        <f>HYPERLINK("https://t.co/2ryRleczAa")</f>
        <v>https://t.co/2ryRleczAa</v>
      </c>
      <c r="AX778" s="76" t="b">
        <v>0</v>
      </c>
      <c r="AY778" s="76"/>
      <c r="AZ778" s="76"/>
      <c r="BA778" s="76" t="b">
        <v>1</v>
      </c>
      <c r="BB778" s="76" t="b">
        <v>1</v>
      </c>
      <c r="BC778" s="76" t="b">
        <v>1</v>
      </c>
      <c r="BD778" s="76" t="b">
        <v>0</v>
      </c>
      <c r="BE778" s="76" t="b">
        <v>0</v>
      </c>
      <c r="BF778" s="76" t="b">
        <v>0</v>
      </c>
      <c r="BG778" s="76" t="b">
        <v>0</v>
      </c>
      <c r="BH778" s="83" t="str">
        <f>HYPERLINK("https://pbs.twimg.com/profile_banners/1637929968687513605/1679428077")</f>
        <v>https://pbs.twimg.com/profile_banners/1637929968687513605/1679428077</v>
      </c>
      <c r="BI778" s="76"/>
      <c r="BJ778" s="76" t="s">
        <v>24935</v>
      </c>
      <c r="BK778" s="76" t="b">
        <v>0</v>
      </c>
      <c r="BL778" s="76"/>
      <c r="BM778" s="76" t="s">
        <v>66</v>
      </c>
      <c r="BN778" s="76" t="s">
        <v>24937</v>
      </c>
      <c r="BO778" s="83" t="str">
        <f>HYPERLINK("https://twitter.com/naildesucesso")</f>
        <v>https://twitter.com/naildesucesso</v>
      </c>
      <c r="BP778" s="2"/>
    </row>
    <row r="779" spans="1:68" x14ac:dyDescent="0.25">
      <c r="A779" s="62" t="s">
        <v>967</v>
      </c>
      <c r="B779" s="63"/>
      <c r="C779" s="63"/>
      <c r="D779" s="64"/>
      <c r="E779" s="66"/>
      <c r="F779" s="102" t="str">
        <f>HYPERLINK("https://pbs.twimg.com/profile_images/1630766583256694786/pjecSYuk_normal.jpg")</f>
        <v>https://pbs.twimg.com/profile_images/1630766583256694786/pjecSYuk_normal.jpg</v>
      </c>
      <c r="G779" s="63"/>
      <c r="H779" s="67"/>
      <c r="I779" s="68"/>
      <c r="J779" s="68"/>
      <c r="K779" s="67" t="s">
        <v>25713</v>
      </c>
      <c r="L779" s="71"/>
      <c r="M779" s="72"/>
      <c r="N779" s="72"/>
      <c r="O779" s="73"/>
      <c r="P779" s="74"/>
      <c r="Q779" s="74"/>
      <c r="R779" s="86"/>
      <c r="S779" s="86"/>
      <c r="T779" s="86"/>
      <c r="U779" s="86"/>
      <c r="V779" s="48"/>
      <c r="W779" s="48"/>
      <c r="X779" s="48"/>
      <c r="Y779" s="48"/>
      <c r="Z779" s="47"/>
      <c r="AA779" s="69">
        <v>779</v>
      </c>
      <c r="AB779" s="69"/>
      <c r="AC779" s="70"/>
      <c r="AD779" s="76" t="s">
        <v>22573</v>
      </c>
      <c r="AE779" s="81" t="s">
        <v>23014</v>
      </c>
      <c r="AF779" s="76">
        <v>72</v>
      </c>
      <c r="AG779" s="76">
        <v>150</v>
      </c>
      <c r="AH779" s="76">
        <v>11</v>
      </c>
      <c r="AI779" s="76">
        <v>0</v>
      </c>
      <c r="AJ779" s="76">
        <v>1</v>
      </c>
      <c r="AK779" s="76">
        <v>10</v>
      </c>
      <c r="AL779" s="76" t="b">
        <v>0</v>
      </c>
      <c r="AM779" s="78">
        <v>40421.571504629632</v>
      </c>
      <c r="AN779" s="76" t="s">
        <v>23277</v>
      </c>
      <c r="AO779" s="76" t="s">
        <v>24014</v>
      </c>
      <c r="AP779" s="83" t="str">
        <f>HYPERLINK("https://t.co/LTdqv5QltB")</f>
        <v>https://t.co/LTdqv5QltB</v>
      </c>
      <c r="AQ779" s="83" t="str">
        <f>HYPERLINK("https://escritorio10.hinode.com.br/cadastro/44669152")</f>
        <v>https://escritorio10.hinode.com.br/cadastro/44669152</v>
      </c>
      <c r="AR779" s="76" t="s">
        <v>24675</v>
      </c>
      <c r="AS779" s="76"/>
      <c r="AT779" s="76"/>
      <c r="AU779" s="76"/>
      <c r="AV779" s="76"/>
      <c r="AW779" s="83" t="str">
        <f>HYPERLINK("https://t.co/LTdqv5QltB")</f>
        <v>https://t.co/LTdqv5QltB</v>
      </c>
      <c r="AX779" s="76" t="b">
        <v>0</v>
      </c>
      <c r="AY779" s="76"/>
      <c r="AZ779" s="76"/>
      <c r="BA779" s="76" t="b">
        <v>0</v>
      </c>
      <c r="BB779" s="76" t="b">
        <v>1</v>
      </c>
      <c r="BC779" s="76" t="b">
        <v>1</v>
      </c>
      <c r="BD779" s="76" t="b">
        <v>0</v>
      </c>
      <c r="BE779" s="76" t="b">
        <v>0</v>
      </c>
      <c r="BF779" s="76" t="b">
        <v>0</v>
      </c>
      <c r="BG779" s="76" t="b">
        <v>0</v>
      </c>
      <c r="BH779" s="83" t="str">
        <f>HYPERLINK("https://pbs.twimg.com/profile_banners/185215343/1677640028")</f>
        <v>https://pbs.twimg.com/profile_banners/185215343/1677640028</v>
      </c>
      <c r="BI779" s="76"/>
      <c r="BJ779" s="76" t="s">
        <v>24935</v>
      </c>
      <c r="BK779" s="76" t="b">
        <v>0</v>
      </c>
      <c r="BL779" s="76"/>
      <c r="BM779" s="76" t="s">
        <v>66</v>
      </c>
      <c r="BN779" s="76" t="s">
        <v>24937</v>
      </c>
      <c r="BO779" s="83" t="str">
        <f>HYPERLINK("https://twitter.com/nogueiradioxote")</f>
        <v>https://twitter.com/nogueiradioxote</v>
      </c>
      <c r="BP779" s="2"/>
    </row>
    <row r="780" spans="1:68" x14ac:dyDescent="0.25">
      <c r="A780" s="62" t="s">
        <v>968</v>
      </c>
      <c r="B780" s="63"/>
      <c r="C780" s="63"/>
      <c r="D780" s="64"/>
      <c r="E780" s="66"/>
      <c r="F780" s="102" t="str">
        <f>HYPERLINK("https://pbs.twimg.com/profile_images/1673719465450655745/d4wVe5bC_normal.jpg")</f>
        <v>https://pbs.twimg.com/profile_images/1673719465450655745/d4wVe5bC_normal.jpg</v>
      </c>
      <c r="G780" s="63"/>
      <c r="H780" s="67"/>
      <c r="I780" s="68"/>
      <c r="J780" s="68"/>
      <c r="K780" s="67" t="s">
        <v>25714</v>
      </c>
      <c r="L780" s="71"/>
      <c r="M780" s="72"/>
      <c r="N780" s="72"/>
      <c r="O780" s="73"/>
      <c r="P780" s="74"/>
      <c r="Q780" s="74"/>
      <c r="R780" s="86"/>
      <c r="S780" s="86"/>
      <c r="T780" s="86"/>
      <c r="U780" s="86"/>
      <c r="V780" s="48"/>
      <c r="W780" s="48"/>
      <c r="X780" s="48"/>
      <c r="Y780" s="48"/>
      <c r="Z780" s="47"/>
      <c r="AA780" s="69">
        <v>780</v>
      </c>
      <c r="AB780" s="69"/>
      <c r="AC780" s="70"/>
      <c r="AD780" s="76" t="s">
        <v>22574</v>
      </c>
      <c r="AE780" s="81" t="s">
        <v>21568</v>
      </c>
      <c r="AF780" s="76">
        <v>5</v>
      </c>
      <c r="AG780" s="76">
        <v>15</v>
      </c>
      <c r="AH780" s="76">
        <v>203</v>
      </c>
      <c r="AI780" s="76">
        <v>0</v>
      </c>
      <c r="AJ780" s="76">
        <v>184</v>
      </c>
      <c r="AK780" s="76">
        <v>118</v>
      </c>
      <c r="AL780" s="76" t="b">
        <v>0</v>
      </c>
      <c r="AM780" s="78">
        <v>44473.935115740744</v>
      </c>
      <c r="AN780" s="76" t="s">
        <v>23278</v>
      </c>
      <c r="AO780" s="76" t="s">
        <v>24015</v>
      </c>
      <c r="AP780" s="83" t="str">
        <f>HYPERLINK("https://t.co/xndmt5q5IT")</f>
        <v>https://t.co/xndmt5q5IT</v>
      </c>
      <c r="AQ780" s="83" t="str">
        <f>HYPERLINK("https://www.avon.com.br/institucional/seja-representante/cadastro?codigo-self-appointment=62265837")</f>
        <v>https://www.avon.com.br/institucional/seja-representante/cadastro?codigo-self-appointment=62265837</v>
      </c>
      <c r="AR780" s="76" t="s">
        <v>24676</v>
      </c>
      <c r="AS780" s="76"/>
      <c r="AT780" s="76"/>
      <c r="AU780" s="76"/>
      <c r="AV780" s="76">
        <v>1.6737154290831501E+18</v>
      </c>
      <c r="AW780" s="83" t="str">
        <f>HYPERLINK("https://t.co/xndmt5q5IT")</f>
        <v>https://t.co/xndmt5q5IT</v>
      </c>
      <c r="AX780" s="76" t="b">
        <v>0</v>
      </c>
      <c r="AY780" s="76"/>
      <c r="AZ780" s="76"/>
      <c r="BA780" s="76" t="b">
        <v>0</v>
      </c>
      <c r="BB780" s="76" t="b">
        <v>1</v>
      </c>
      <c r="BC780" s="76" t="b">
        <v>1</v>
      </c>
      <c r="BD780" s="76" t="b">
        <v>0</v>
      </c>
      <c r="BE780" s="76" t="b">
        <v>0</v>
      </c>
      <c r="BF780" s="76" t="b">
        <v>0</v>
      </c>
      <c r="BG780" s="76" t="b">
        <v>0</v>
      </c>
      <c r="BH780" s="83" t="str">
        <f>HYPERLINK("https://pbs.twimg.com/profile_banners/1445153161401016323/1645925302")</f>
        <v>https://pbs.twimg.com/profile_banners/1445153161401016323/1645925302</v>
      </c>
      <c r="BI780" s="76"/>
      <c r="BJ780" s="76" t="s">
        <v>24935</v>
      </c>
      <c r="BK780" s="76" t="b">
        <v>0</v>
      </c>
      <c r="BL780" s="76"/>
      <c r="BM780" s="76" t="s">
        <v>66</v>
      </c>
      <c r="BN780" s="76" t="s">
        <v>24937</v>
      </c>
      <c r="BO780" s="83" t="str">
        <f>HYPERLINK("https://twitter.com/aline_avon")</f>
        <v>https://twitter.com/aline_avon</v>
      </c>
      <c r="BP780" s="2"/>
    </row>
    <row r="781" spans="1:68" x14ac:dyDescent="0.25">
      <c r="A781" s="62" t="s">
        <v>969</v>
      </c>
      <c r="B781" s="63"/>
      <c r="C781" s="63"/>
      <c r="D781" s="64"/>
      <c r="E781" s="66"/>
      <c r="F781" s="102" t="str">
        <f>HYPERLINK("https://pbs.twimg.com/profile_images/1679497931638939650/0_pvzkOj_normal.jpg")</f>
        <v>https://pbs.twimg.com/profile_images/1679497931638939650/0_pvzkOj_normal.jpg</v>
      </c>
      <c r="G781" s="63"/>
      <c r="H781" s="67"/>
      <c r="I781" s="68"/>
      <c r="J781" s="68"/>
      <c r="K781" s="67" t="s">
        <v>25715</v>
      </c>
      <c r="L781" s="71"/>
      <c r="M781" s="72"/>
      <c r="N781" s="72"/>
      <c r="O781" s="73"/>
      <c r="P781" s="74"/>
      <c r="Q781" s="74"/>
      <c r="R781" s="86"/>
      <c r="S781" s="86"/>
      <c r="T781" s="86"/>
      <c r="U781" s="86"/>
      <c r="V781" s="48"/>
      <c r="W781" s="48"/>
      <c r="X781" s="48"/>
      <c r="Y781" s="48"/>
      <c r="Z781" s="47"/>
      <c r="AA781" s="69">
        <v>781</v>
      </c>
      <c r="AB781" s="69"/>
      <c r="AC781" s="70"/>
      <c r="AD781" s="76" t="s">
        <v>22575</v>
      </c>
      <c r="AE781" s="81" t="s">
        <v>20957</v>
      </c>
      <c r="AF781" s="76">
        <v>0</v>
      </c>
      <c r="AG781" s="76">
        <v>8</v>
      </c>
      <c r="AH781" s="76">
        <v>19</v>
      </c>
      <c r="AI781" s="76">
        <v>0</v>
      </c>
      <c r="AJ781" s="76">
        <v>2</v>
      </c>
      <c r="AK781" s="76">
        <v>6</v>
      </c>
      <c r="AL781" s="76" t="b">
        <v>0</v>
      </c>
      <c r="AM781" s="78">
        <v>45115.635659722226</v>
      </c>
      <c r="AN781" s="76" t="s">
        <v>14033</v>
      </c>
      <c r="AO781" s="76" t="s">
        <v>24016</v>
      </c>
      <c r="AP781" s="83" t="str">
        <f>HYPERLINK("https://t.co/rSUnKjA3Gk")</f>
        <v>https://t.co/rSUnKjA3Gk</v>
      </c>
      <c r="AQ781" s="83" t="str">
        <f>HYPERLINK("https://pay.kiwify.com.br/L8KhVhV?afid=ahOr8n0o")</f>
        <v>https://pay.kiwify.com.br/L8KhVhV?afid=ahOr8n0o</v>
      </c>
      <c r="AR781" s="76" t="s">
        <v>24677</v>
      </c>
      <c r="AS781" s="76"/>
      <c r="AT781" s="76"/>
      <c r="AU781" s="76"/>
      <c r="AV781" s="76"/>
      <c r="AW781" s="83" t="str">
        <f>HYPERLINK("https://t.co/rSUnKjA3Gk")</f>
        <v>https://t.co/rSUnKjA3Gk</v>
      </c>
      <c r="AX781" s="76" t="b">
        <v>0</v>
      </c>
      <c r="AY781" s="76"/>
      <c r="AZ781" s="76"/>
      <c r="BA781" s="76" t="b">
        <v>0</v>
      </c>
      <c r="BB781" s="76" t="b">
        <v>1</v>
      </c>
      <c r="BC781" s="76" t="b">
        <v>1</v>
      </c>
      <c r="BD781" s="76" t="b">
        <v>0</v>
      </c>
      <c r="BE781" s="76" t="b">
        <v>0</v>
      </c>
      <c r="BF781" s="76" t="b">
        <v>0</v>
      </c>
      <c r="BG781" s="76" t="b">
        <v>0</v>
      </c>
      <c r="BH781" s="83" t="str">
        <f>HYPERLINK("https://pbs.twimg.com/profile_banners/1677697835087679488/1689258540")</f>
        <v>https://pbs.twimg.com/profile_banners/1677697835087679488/1689258540</v>
      </c>
      <c r="BI781" s="76"/>
      <c r="BJ781" s="76" t="s">
        <v>24935</v>
      </c>
      <c r="BK781" s="76" t="b">
        <v>0</v>
      </c>
      <c r="BL781" s="76"/>
      <c r="BM781" s="76" t="s">
        <v>66</v>
      </c>
      <c r="BN781" s="76" t="s">
        <v>24937</v>
      </c>
      <c r="BO781" s="83" t="str">
        <f>HYPERLINK("https://twitter.com/onlinedealmaker")</f>
        <v>https://twitter.com/onlinedealmaker</v>
      </c>
      <c r="BP781" s="2"/>
    </row>
    <row r="782" spans="1:68" x14ac:dyDescent="0.25">
      <c r="A782" s="62" t="s">
        <v>970</v>
      </c>
      <c r="B782" s="63"/>
      <c r="C782" s="63"/>
      <c r="D782" s="64"/>
      <c r="E782" s="66"/>
      <c r="F782" s="102" t="str">
        <f>HYPERLINK("https://pbs.twimg.com/profile_images/1624300961064800256/XR9nmo3f_normal.jpg")</f>
        <v>https://pbs.twimg.com/profile_images/1624300961064800256/XR9nmo3f_normal.jpg</v>
      </c>
      <c r="G782" s="63"/>
      <c r="H782" s="67"/>
      <c r="I782" s="68"/>
      <c r="J782" s="68"/>
      <c r="K782" s="67" t="s">
        <v>25716</v>
      </c>
      <c r="L782" s="71"/>
      <c r="M782" s="72"/>
      <c r="N782" s="72"/>
      <c r="O782" s="73"/>
      <c r="P782" s="74"/>
      <c r="Q782" s="74"/>
      <c r="R782" s="86"/>
      <c r="S782" s="86"/>
      <c r="T782" s="86"/>
      <c r="U782" s="86"/>
      <c r="V782" s="48"/>
      <c r="W782" s="48"/>
      <c r="X782" s="48"/>
      <c r="Y782" s="48"/>
      <c r="Z782" s="47"/>
      <c r="AA782" s="69">
        <v>782</v>
      </c>
      <c r="AB782" s="69"/>
      <c r="AC782" s="70"/>
      <c r="AD782" s="76" t="s">
        <v>22576</v>
      </c>
      <c r="AE782" s="81" t="s">
        <v>21569</v>
      </c>
      <c r="AF782" s="76">
        <v>4</v>
      </c>
      <c r="AG782" s="76">
        <v>0</v>
      </c>
      <c r="AH782" s="76">
        <v>113</v>
      </c>
      <c r="AI782" s="76">
        <v>0</v>
      </c>
      <c r="AJ782" s="76">
        <v>4</v>
      </c>
      <c r="AK782" s="76">
        <v>49</v>
      </c>
      <c r="AL782" s="76" t="b">
        <v>0</v>
      </c>
      <c r="AM782" s="78">
        <v>44714.652951388889</v>
      </c>
      <c r="AN782" s="76"/>
      <c r="AO782" s="76" t="s">
        <v>24017</v>
      </c>
      <c r="AP782" s="76"/>
      <c r="AQ782" s="76"/>
      <c r="AR782" s="76"/>
      <c r="AS782" s="76"/>
      <c r="AT782" s="76"/>
      <c r="AU782" s="76"/>
      <c r="AV782" s="76"/>
      <c r="AW782" s="76"/>
      <c r="AX782" s="76" t="b">
        <v>0</v>
      </c>
      <c r="AY782" s="76"/>
      <c r="AZ782" s="76"/>
      <c r="BA782" s="76" t="b">
        <v>1</v>
      </c>
      <c r="BB782" s="76" t="b">
        <v>1</v>
      </c>
      <c r="BC782" s="76" t="b">
        <v>1</v>
      </c>
      <c r="BD782" s="76" t="b">
        <v>0</v>
      </c>
      <c r="BE782" s="76" t="b">
        <v>1</v>
      </c>
      <c r="BF782" s="76" t="b">
        <v>0</v>
      </c>
      <c r="BG782" s="76" t="b">
        <v>0</v>
      </c>
      <c r="BH782" s="76"/>
      <c r="BI782" s="76"/>
      <c r="BJ782" s="76" t="s">
        <v>24935</v>
      </c>
      <c r="BK782" s="76" t="b">
        <v>0</v>
      </c>
      <c r="BL782" s="76"/>
      <c r="BM782" s="76" t="s">
        <v>66</v>
      </c>
      <c r="BN782" s="76" t="s">
        <v>24937</v>
      </c>
      <c r="BO782" s="83" t="str">
        <f>HYPERLINK("https://twitter.com/rafael97393")</f>
        <v>https://twitter.com/rafael97393</v>
      </c>
      <c r="BP782" s="2"/>
    </row>
    <row r="783" spans="1:68" x14ac:dyDescent="0.25">
      <c r="A783" s="62" t="s">
        <v>971</v>
      </c>
      <c r="B783" s="63"/>
      <c r="C783" s="63"/>
      <c r="D783" s="64"/>
      <c r="E783" s="66"/>
      <c r="F783" s="102" t="str">
        <f>HYPERLINK("https://pbs.twimg.com/profile_images/1684013047206105089/Z31jRvI5_normal.jpg")</f>
        <v>https://pbs.twimg.com/profile_images/1684013047206105089/Z31jRvI5_normal.jpg</v>
      </c>
      <c r="G783" s="63"/>
      <c r="H783" s="67"/>
      <c r="I783" s="68"/>
      <c r="J783" s="68"/>
      <c r="K783" s="67" t="s">
        <v>25717</v>
      </c>
      <c r="L783" s="71"/>
      <c r="M783" s="72"/>
      <c r="N783" s="72"/>
      <c r="O783" s="73"/>
      <c r="P783" s="74"/>
      <c r="Q783" s="74"/>
      <c r="R783" s="86"/>
      <c r="S783" s="86"/>
      <c r="T783" s="86"/>
      <c r="U783" s="86"/>
      <c r="V783" s="48"/>
      <c r="W783" s="48"/>
      <c r="X783" s="48"/>
      <c r="Y783" s="48"/>
      <c r="Z783" s="47"/>
      <c r="AA783" s="69">
        <v>783</v>
      </c>
      <c r="AB783" s="69"/>
      <c r="AC783" s="70"/>
      <c r="AD783" s="76" t="s">
        <v>22577</v>
      </c>
      <c r="AE783" s="81" t="s">
        <v>21570</v>
      </c>
      <c r="AF783" s="76">
        <v>0</v>
      </c>
      <c r="AG783" s="76">
        <v>0</v>
      </c>
      <c r="AH783" s="76">
        <v>22</v>
      </c>
      <c r="AI783" s="76">
        <v>0</v>
      </c>
      <c r="AJ783" s="76">
        <v>6</v>
      </c>
      <c r="AK783" s="76">
        <v>2</v>
      </c>
      <c r="AL783" s="76" t="b">
        <v>0</v>
      </c>
      <c r="AM783" s="78">
        <v>45133.060833333337</v>
      </c>
      <c r="AN783" s="76"/>
      <c r="AO783" s="76" t="s">
        <v>24018</v>
      </c>
      <c r="AP783" s="76"/>
      <c r="AQ783" s="76"/>
      <c r="AR783" s="76"/>
      <c r="AS783" s="76"/>
      <c r="AT783" s="76"/>
      <c r="AU783" s="76"/>
      <c r="AV783" s="76"/>
      <c r="AW783" s="76"/>
      <c r="AX783" s="76" t="b">
        <v>0</v>
      </c>
      <c r="AY783" s="76"/>
      <c r="AZ783" s="76"/>
      <c r="BA783" s="76" t="b">
        <v>1</v>
      </c>
      <c r="BB783" s="76" t="b">
        <v>1</v>
      </c>
      <c r="BC783" s="76" t="b">
        <v>1</v>
      </c>
      <c r="BD783" s="76" t="b">
        <v>0</v>
      </c>
      <c r="BE783" s="76" t="b">
        <v>0</v>
      </c>
      <c r="BF783" s="76" t="b">
        <v>0</v>
      </c>
      <c r="BG783" s="76" t="b">
        <v>0</v>
      </c>
      <c r="BH783" s="83" t="str">
        <f>HYPERLINK("https://pbs.twimg.com/profile_banners/1684012417187995649/1690335894")</f>
        <v>https://pbs.twimg.com/profile_banners/1684012417187995649/1690335894</v>
      </c>
      <c r="BI783" s="76"/>
      <c r="BJ783" s="76" t="s">
        <v>24935</v>
      </c>
      <c r="BK783" s="76" t="b">
        <v>0</v>
      </c>
      <c r="BL783" s="76"/>
      <c r="BM783" s="76" t="s">
        <v>66</v>
      </c>
      <c r="BN783" s="76" t="s">
        <v>24937</v>
      </c>
      <c r="BO783" s="83" t="str">
        <f>HYPERLINK("https://twitter.com/geracaogm")</f>
        <v>https://twitter.com/geracaogm</v>
      </c>
      <c r="BP783" s="2"/>
    </row>
    <row r="784" spans="1:68" x14ac:dyDescent="0.25">
      <c r="A784" s="62" t="s">
        <v>972</v>
      </c>
      <c r="B784" s="63"/>
      <c r="C784" s="63"/>
      <c r="D784" s="64"/>
      <c r="E784" s="66"/>
      <c r="F784" s="102" t="str">
        <f>HYPERLINK("https://pbs.twimg.com/profile_images/1639621641582911490/56x4X6_-_normal.jpg")</f>
        <v>https://pbs.twimg.com/profile_images/1639621641582911490/56x4X6_-_normal.jpg</v>
      </c>
      <c r="G784" s="63"/>
      <c r="H784" s="67"/>
      <c r="I784" s="68"/>
      <c r="J784" s="68"/>
      <c r="K784" s="67" t="s">
        <v>25718</v>
      </c>
      <c r="L784" s="71"/>
      <c r="M784" s="72"/>
      <c r="N784" s="72"/>
      <c r="O784" s="73"/>
      <c r="P784" s="74"/>
      <c r="Q784" s="74"/>
      <c r="R784" s="86"/>
      <c r="S784" s="86"/>
      <c r="T784" s="86"/>
      <c r="U784" s="86"/>
      <c r="V784" s="48"/>
      <c r="W784" s="48"/>
      <c r="X784" s="48"/>
      <c r="Y784" s="48"/>
      <c r="Z784" s="47"/>
      <c r="AA784" s="69">
        <v>784</v>
      </c>
      <c r="AB784" s="69"/>
      <c r="AC784" s="70"/>
      <c r="AD784" s="76" t="s">
        <v>22578</v>
      </c>
      <c r="AE784" s="81" t="s">
        <v>21571</v>
      </c>
      <c r="AF784" s="76">
        <v>24</v>
      </c>
      <c r="AG784" s="76">
        <v>87</v>
      </c>
      <c r="AH784" s="76">
        <v>148</v>
      </c>
      <c r="AI784" s="76">
        <v>0</v>
      </c>
      <c r="AJ784" s="76">
        <v>532</v>
      </c>
      <c r="AK784" s="76">
        <v>76</v>
      </c>
      <c r="AL784" s="76" t="b">
        <v>0</v>
      </c>
      <c r="AM784" s="78">
        <v>45010.564826388887</v>
      </c>
      <c r="AN784" s="76" t="s">
        <v>14034</v>
      </c>
      <c r="AO784" s="76" t="s">
        <v>24019</v>
      </c>
      <c r="AP784" s="83" t="str">
        <f>HYPERLINK("https://t.co/E2QX09Omzg")</f>
        <v>https://t.co/E2QX09Omzg</v>
      </c>
      <c r="AQ784" s="83" t="str">
        <f>HYPERLINK("https://linktr.ee/larissacamposs")</f>
        <v>https://linktr.ee/larissacamposs</v>
      </c>
      <c r="AR784" s="76" t="s">
        <v>24678</v>
      </c>
      <c r="AS784" s="76"/>
      <c r="AT784" s="76"/>
      <c r="AU784" s="76"/>
      <c r="AV784" s="76"/>
      <c r="AW784" s="83" t="str">
        <f>HYPERLINK("https://t.co/E2QX09Omzg")</f>
        <v>https://t.co/E2QX09Omzg</v>
      </c>
      <c r="AX784" s="76" t="b">
        <v>0</v>
      </c>
      <c r="AY784" s="76"/>
      <c r="AZ784" s="76"/>
      <c r="BA784" s="76" t="b">
        <v>1</v>
      </c>
      <c r="BB784" s="76" t="b">
        <v>0</v>
      </c>
      <c r="BC784" s="76" t="b">
        <v>1</v>
      </c>
      <c r="BD784" s="76" t="b">
        <v>0</v>
      </c>
      <c r="BE784" s="76" t="b">
        <v>0</v>
      </c>
      <c r="BF784" s="76" t="b">
        <v>0</v>
      </c>
      <c r="BG784" s="76" t="b">
        <v>1</v>
      </c>
      <c r="BH784" s="76"/>
      <c r="BI784" s="76" t="s">
        <v>24934</v>
      </c>
      <c r="BJ784" s="76" t="s">
        <v>24935</v>
      </c>
      <c r="BK784" s="76" t="b">
        <v>0</v>
      </c>
      <c r="BL784" s="76"/>
      <c r="BM784" s="76" t="s">
        <v>66</v>
      </c>
      <c r="BN784" s="76" t="s">
        <v>24937</v>
      </c>
      <c r="BO784" s="83" t="str">
        <f>HYPERLINK("https://twitter.com/campossecrett")</f>
        <v>https://twitter.com/campossecrett</v>
      </c>
      <c r="BP784" s="2"/>
    </row>
    <row r="785" spans="1:68" x14ac:dyDescent="0.25">
      <c r="A785" s="62" t="s">
        <v>973</v>
      </c>
      <c r="B785" s="63"/>
      <c r="C785" s="63"/>
      <c r="D785" s="64"/>
      <c r="E785" s="66"/>
      <c r="F785" s="102" t="str">
        <f>HYPERLINK("https://pbs.twimg.com/profile_images/1625876422047961088/evqi2iHL_normal.jpg")</f>
        <v>https://pbs.twimg.com/profile_images/1625876422047961088/evqi2iHL_normal.jpg</v>
      </c>
      <c r="G785" s="63"/>
      <c r="H785" s="67"/>
      <c r="I785" s="68"/>
      <c r="J785" s="68"/>
      <c r="K785" s="67" t="s">
        <v>25719</v>
      </c>
      <c r="L785" s="71"/>
      <c r="M785" s="72"/>
      <c r="N785" s="72"/>
      <c r="O785" s="73"/>
      <c r="P785" s="74"/>
      <c r="Q785" s="74"/>
      <c r="R785" s="86"/>
      <c r="S785" s="86"/>
      <c r="T785" s="86"/>
      <c r="U785" s="86"/>
      <c r="V785" s="48"/>
      <c r="W785" s="48"/>
      <c r="X785" s="48"/>
      <c r="Y785" s="48"/>
      <c r="Z785" s="47"/>
      <c r="AA785" s="69">
        <v>785</v>
      </c>
      <c r="AB785" s="69"/>
      <c r="AC785" s="70"/>
      <c r="AD785" s="76" t="s">
        <v>22579</v>
      </c>
      <c r="AE785" s="81" t="s">
        <v>21572</v>
      </c>
      <c r="AF785" s="76">
        <v>46</v>
      </c>
      <c r="AG785" s="76">
        <v>128</v>
      </c>
      <c r="AH785" s="76">
        <v>108</v>
      </c>
      <c r="AI785" s="76">
        <v>1</v>
      </c>
      <c r="AJ785" s="76">
        <v>10</v>
      </c>
      <c r="AK785" s="76">
        <v>108</v>
      </c>
      <c r="AL785" s="76" t="b">
        <v>0</v>
      </c>
      <c r="AM785" s="78">
        <v>44825.71199074074</v>
      </c>
      <c r="AN785" s="76" t="s">
        <v>23279</v>
      </c>
      <c r="AO785" s="76" t="s">
        <v>24020</v>
      </c>
      <c r="AP785" s="83" t="str">
        <f>HYPERLINK("https://t.co/DmrJulMFar")</f>
        <v>https://t.co/DmrJulMFar</v>
      </c>
      <c r="AQ785" s="83" t="str">
        <f>HYPERLINK("http://www.jittudesign.com")</f>
        <v>http://www.jittudesign.com</v>
      </c>
      <c r="AR785" s="76" t="s">
        <v>24679</v>
      </c>
      <c r="AS785" s="76"/>
      <c r="AT785" s="76"/>
      <c r="AU785" s="76"/>
      <c r="AV785" s="76"/>
      <c r="AW785" s="83" t="str">
        <f>HYPERLINK("https://t.co/DmrJulMFar")</f>
        <v>https://t.co/DmrJulMFar</v>
      </c>
      <c r="AX785" s="76" t="b">
        <v>0</v>
      </c>
      <c r="AY785" s="76"/>
      <c r="AZ785" s="76"/>
      <c r="BA785" s="76" t="b">
        <v>0</v>
      </c>
      <c r="BB785" s="76" t="b">
        <v>1</v>
      </c>
      <c r="BC785" s="76" t="b">
        <v>1</v>
      </c>
      <c r="BD785" s="76" t="b">
        <v>0</v>
      </c>
      <c r="BE785" s="76" t="b">
        <v>0</v>
      </c>
      <c r="BF785" s="76" t="b">
        <v>0</v>
      </c>
      <c r="BG785" s="76" t="b">
        <v>0</v>
      </c>
      <c r="BH785" s="83" t="str">
        <f>HYPERLINK("https://pbs.twimg.com/profile_banners/1572633013607075841/1666365480")</f>
        <v>https://pbs.twimg.com/profile_banners/1572633013607075841/1666365480</v>
      </c>
      <c r="BI785" s="76"/>
      <c r="BJ785" s="76" t="s">
        <v>24935</v>
      </c>
      <c r="BK785" s="76" t="b">
        <v>0</v>
      </c>
      <c r="BL785" s="76"/>
      <c r="BM785" s="76" t="s">
        <v>66</v>
      </c>
      <c r="BN785" s="76" t="s">
        <v>24937</v>
      </c>
      <c r="BO785" s="83" t="str">
        <f>HYPERLINK("https://twitter.com/jittudesign01")</f>
        <v>https://twitter.com/jittudesign01</v>
      </c>
      <c r="BP785" s="2"/>
    </row>
    <row r="786" spans="1:68" x14ac:dyDescent="0.25">
      <c r="A786" s="62" t="s">
        <v>974</v>
      </c>
      <c r="B786" s="63"/>
      <c r="C786" s="63"/>
      <c r="D786" s="64"/>
      <c r="E786" s="66"/>
      <c r="F786" s="102" t="str">
        <f>HYPERLINK("https://pbs.twimg.com/profile_images/1698533728450961408/QfniagiY_normal.jpg")</f>
        <v>https://pbs.twimg.com/profile_images/1698533728450961408/QfniagiY_normal.jpg</v>
      </c>
      <c r="G786" s="63"/>
      <c r="H786" s="67"/>
      <c r="I786" s="68"/>
      <c r="J786" s="68"/>
      <c r="K786" s="67" t="s">
        <v>25720</v>
      </c>
      <c r="L786" s="71"/>
      <c r="M786" s="72"/>
      <c r="N786" s="72"/>
      <c r="O786" s="73"/>
      <c r="P786" s="74"/>
      <c r="Q786" s="74"/>
      <c r="R786" s="86"/>
      <c r="S786" s="86"/>
      <c r="T786" s="86"/>
      <c r="U786" s="86"/>
      <c r="V786" s="48"/>
      <c r="W786" s="48"/>
      <c r="X786" s="48"/>
      <c r="Y786" s="48"/>
      <c r="Z786" s="47"/>
      <c r="AA786" s="69">
        <v>786</v>
      </c>
      <c r="AB786" s="69"/>
      <c r="AC786" s="70"/>
      <c r="AD786" s="76" t="s">
        <v>22580</v>
      </c>
      <c r="AE786" s="81" t="s">
        <v>21573</v>
      </c>
      <c r="AF786" s="76">
        <v>0</v>
      </c>
      <c r="AG786" s="76">
        <v>8</v>
      </c>
      <c r="AH786" s="76">
        <v>2</v>
      </c>
      <c r="AI786" s="76">
        <v>0</v>
      </c>
      <c r="AJ786" s="76">
        <v>0</v>
      </c>
      <c r="AK786" s="76">
        <v>2</v>
      </c>
      <c r="AL786" s="76" t="b">
        <v>0</v>
      </c>
      <c r="AM786" s="78">
        <v>45173.130416666667</v>
      </c>
      <c r="AN786" s="76"/>
      <c r="AO786" s="76" t="s">
        <v>24021</v>
      </c>
      <c r="AP786" s="83" t="str">
        <f>HYPERLINK("https://t.co/AwkQwej7qs")</f>
        <v>https://t.co/AwkQwej7qs</v>
      </c>
      <c r="AQ786" s="83" t="str">
        <f>HYPERLINK("https://linktr.ee/murilo.satler")</f>
        <v>https://linktr.ee/murilo.satler</v>
      </c>
      <c r="AR786" s="76" t="s">
        <v>24680</v>
      </c>
      <c r="AS786" s="76"/>
      <c r="AT786" s="76"/>
      <c r="AU786" s="76"/>
      <c r="AV786" s="76"/>
      <c r="AW786" s="83" t="str">
        <f>HYPERLINK("https://t.co/AwkQwej7qs")</f>
        <v>https://t.co/AwkQwej7qs</v>
      </c>
      <c r="AX786" s="76" t="b">
        <v>0</v>
      </c>
      <c r="AY786" s="76"/>
      <c r="AZ786" s="76"/>
      <c r="BA786" s="76" t="b">
        <v>0</v>
      </c>
      <c r="BB786" s="76" t="b">
        <v>1</v>
      </c>
      <c r="BC786" s="76" t="b">
        <v>1</v>
      </c>
      <c r="BD786" s="76" t="b">
        <v>0</v>
      </c>
      <c r="BE786" s="76" t="b">
        <v>0</v>
      </c>
      <c r="BF786" s="76" t="b">
        <v>0</v>
      </c>
      <c r="BG786" s="76" t="b">
        <v>0</v>
      </c>
      <c r="BH786" s="83" t="str">
        <f>HYPERLINK("https://pbs.twimg.com/profile_banners/1698533227873423360/1693796997")</f>
        <v>https://pbs.twimg.com/profile_banners/1698533227873423360/1693796997</v>
      </c>
      <c r="BI786" s="76"/>
      <c r="BJ786" s="76" t="s">
        <v>24935</v>
      </c>
      <c r="BK786" s="76" t="b">
        <v>0</v>
      </c>
      <c r="BL786" s="76"/>
      <c r="BM786" s="76" t="s">
        <v>66</v>
      </c>
      <c r="BN786" s="76" t="s">
        <v>24937</v>
      </c>
      <c r="BO786" s="83" t="str">
        <f>HYPERLINK("https://twitter.com/murilo_business")</f>
        <v>https://twitter.com/murilo_business</v>
      </c>
      <c r="BP786" s="2"/>
    </row>
    <row r="787" spans="1:68" x14ac:dyDescent="0.25">
      <c r="A787" s="62" t="s">
        <v>975</v>
      </c>
      <c r="B787" s="63"/>
      <c r="C787" s="63"/>
      <c r="D787" s="64"/>
      <c r="E787" s="66"/>
      <c r="F787" s="102" t="str">
        <f>HYPERLINK("https://abs.twimg.com/sticky/default_profile_images/default_profile_normal.png")</f>
        <v>https://abs.twimg.com/sticky/default_profile_images/default_profile_normal.png</v>
      </c>
      <c r="G787" s="63"/>
      <c r="H787" s="67"/>
      <c r="I787" s="68"/>
      <c r="J787" s="68"/>
      <c r="K787" s="67" t="s">
        <v>25721</v>
      </c>
      <c r="L787" s="71"/>
      <c r="M787" s="72"/>
      <c r="N787" s="72"/>
      <c r="O787" s="73"/>
      <c r="P787" s="74"/>
      <c r="Q787" s="74"/>
      <c r="R787" s="86"/>
      <c r="S787" s="86"/>
      <c r="T787" s="86"/>
      <c r="U787" s="86"/>
      <c r="V787" s="48"/>
      <c r="W787" s="48"/>
      <c r="X787" s="48"/>
      <c r="Y787" s="48"/>
      <c r="Z787" s="47"/>
      <c r="AA787" s="69">
        <v>787</v>
      </c>
      <c r="AB787" s="69"/>
      <c r="AC787" s="70"/>
      <c r="AD787" s="76" t="s">
        <v>975</v>
      </c>
      <c r="AE787" s="81" t="s">
        <v>21574</v>
      </c>
      <c r="AF787" s="76">
        <v>0</v>
      </c>
      <c r="AG787" s="76">
        <v>7</v>
      </c>
      <c r="AH787" s="76">
        <v>6</v>
      </c>
      <c r="AI787" s="76">
        <v>0</v>
      </c>
      <c r="AJ787" s="76">
        <v>0</v>
      </c>
      <c r="AK787" s="76">
        <v>1</v>
      </c>
      <c r="AL787" s="76" t="b">
        <v>0</v>
      </c>
      <c r="AM787" s="78">
        <v>44561.573391203703</v>
      </c>
      <c r="AN787" s="76"/>
      <c r="AO787" s="76"/>
      <c r="AP787" s="76"/>
      <c r="AQ787" s="76"/>
      <c r="AR787" s="76"/>
      <c r="AS787" s="76"/>
      <c r="AT787" s="76"/>
      <c r="AU787" s="76"/>
      <c r="AV787" s="76"/>
      <c r="AW787" s="76"/>
      <c r="AX787" s="76" t="b">
        <v>0</v>
      </c>
      <c r="AY787" s="76"/>
      <c r="AZ787" s="76"/>
      <c r="BA787" s="76" t="b">
        <v>0</v>
      </c>
      <c r="BB787" s="76" t="b">
        <v>1</v>
      </c>
      <c r="BC787" s="76" t="b">
        <v>1</v>
      </c>
      <c r="BD787" s="76" t="b">
        <v>1</v>
      </c>
      <c r="BE787" s="76" t="b">
        <v>0</v>
      </c>
      <c r="BF787" s="76" t="b">
        <v>0</v>
      </c>
      <c r="BG787" s="76" t="b">
        <v>0</v>
      </c>
      <c r="BH787" s="76"/>
      <c r="BI787" s="76"/>
      <c r="BJ787" s="76" t="s">
        <v>24935</v>
      </c>
      <c r="BK787" s="76" t="b">
        <v>0</v>
      </c>
      <c r="BL787" s="76"/>
      <c r="BM787" s="76" t="s">
        <v>66</v>
      </c>
      <c r="BN787" s="76" t="s">
        <v>24937</v>
      </c>
      <c r="BO787" s="83" t="str">
        <f>HYPERLINK("https://twitter.com/wsleyslva")</f>
        <v>https://twitter.com/wsleyslva</v>
      </c>
      <c r="BP787" s="2"/>
    </row>
    <row r="788" spans="1:68" x14ac:dyDescent="0.25">
      <c r="A788" s="62" t="s">
        <v>976</v>
      </c>
      <c r="B788" s="63"/>
      <c r="C788" s="63"/>
      <c r="D788" s="64"/>
      <c r="E788" s="66"/>
      <c r="F788" s="102" t="str">
        <f>HYPERLINK("https://pbs.twimg.com/profile_images/1539603702721437697/-dwK4uK5_normal.jpg")</f>
        <v>https://pbs.twimg.com/profile_images/1539603702721437697/-dwK4uK5_normal.jpg</v>
      </c>
      <c r="G788" s="63"/>
      <c r="H788" s="67"/>
      <c r="I788" s="68"/>
      <c r="J788" s="68"/>
      <c r="K788" s="67" t="s">
        <v>25722</v>
      </c>
      <c r="L788" s="71"/>
      <c r="M788" s="72"/>
      <c r="N788" s="72"/>
      <c r="O788" s="73"/>
      <c r="P788" s="74"/>
      <c r="Q788" s="74"/>
      <c r="R788" s="86"/>
      <c r="S788" s="86"/>
      <c r="T788" s="86"/>
      <c r="U788" s="86"/>
      <c r="V788" s="48"/>
      <c r="W788" s="48"/>
      <c r="X788" s="48"/>
      <c r="Y788" s="48"/>
      <c r="Z788" s="47"/>
      <c r="AA788" s="69">
        <v>788</v>
      </c>
      <c r="AB788" s="69"/>
      <c r="AC788" s="70"/>
      <c r="AD788" s="76" t="s">
        <v>22581</v>
      </c>
      <c r="AE788" s="81" t="s">
        <v>21575</v>
      </c>
      <c r="AF788" s="76">
        <v>80</v>
      </c>
      <c r="AG788" s="76">
        <v>0</v>
      </c>
      <c r="AH788" s="76">
        <v>411</v>
      </c>
      <c r="AI788" s="76">
        <v>0</v>
      </c>
      <c r="AJ788" s="76">
        <v>44</v>
      </c>
      <c r="AK788" s="76">
        <v>306</v>
      </c>
      <c r="AL788" s="76" t="b">
        <v>0</v>
      </c>
      <c r="AM788" s="78">
        <v>43508.949097222219</v>
      </c>
      <c r="AN788" s="76" t="s">
        <v>14115</v>
      </c>
      <c r="AO788" s="76" t="s">
        <v>24022</v>
      </c>
      <c r="AP788" s="83" t="str">
        <f>HYPERLINK("https://t.co/hxXQ8HP655")</f>
        <v>https://t.co/hxXQ8HP655</v>
      </c>
      <c r="AQ788" s="83" t="str">
        <f>HYPERLINK("https://www.drpimenta.com")</f>
        <v>https://www.drpimenta.com</v>
      </c>
      <c r="AR788" s="76" t="s">
        <v>24681</v>
      </c>
      <c r="AS788" s="76"/>
      <c r="AT788" s="76"/>
      <c r="AU788" s="76"/>
      <c r="AV788" s="76"/>
      <c r="AW788" s="83" t="str">
        <f>HYPERLINK("https://t.co/hxXQ8HP655")</f>
        <v>https://t.co/hxXQ8HP655</v>
      </c>
      <c r="AX788" s="76" t="b">
        <v>0</v>
      </c>
      <c r="AY788" s="76"/>
      <c r="AZ788" s="76"/>
      <c r="BA788" s="76" t="b">
        <v>0</v>
      </c>
      <c r="BB788" s="76" t="b">
        <v>1</v>
      </c>
      <c r="BC788" s="76" t="b">
        <v>1</v>
      </c>
      <c r="BD788" s="76" t="b">
        <v>0</v>
      </c>
      <c r="BE788" s="76" t="b">
        <v>0</v>
      </c>
      <c r="BF788" s="76" t="b">
        <v>0</v>
      </c>
      <c r="BG788" s="76" t="b">
        <v>0</v>
      </c>
      <c r="BH788" s="83" t="str">
        <f>HYPERLINK("https://pbs.twimg.com/profile_banners/1095454173162889216/1655905102")</f>
        <v>https://pbs.twimg.com/profile_banners/1095454173162889216/1655905102</v>
      </c>
      <c r="BI788" s="76"/>
      <c r="BJ788" s="76" t="s">
        <v>24935</v>
      </c>
      <c r="BK788" s="76" t="b">
        <v>0</v>
      </c>
      <c r="BL788" s="76"/>
      <c r="BM788" s="76" t="s">
        <v>66</v>
      </c>
      <c r="BN788" s="76" t="s">
        <v>24937</v>
      </c>
      <c r="BO788" s="83" t="str">
        <f>HYPERLINK("https://twitter.com/eudrpimenta")</f>
        <v>https://twitter.com/eudrpimenta</v>
      </c>
      <c r="BP788" s="2"/>
    </row>
    <row r="789" spans="1:68" x14ac:dyDescent="0.25">
      <c r="A789" s="62" t="s">
        <v>977</v>
      </c>
      <c r="B789" s="63"/>
      <c r="C789" s="63"/>
      <c r="D789" s="64"/>
      <c r="E789" s="66"/>
      <c r="F789" s="102" t="str">
        <f>HYPERLINK("https://pbs.twimg.com/profile_images/1663983306101145616/8YmbU-t7_normal.jpg")</f>
        <v>https://pbs.twimg.com/profile_images/1663983306101145616/8YmbU-t7_normal.jpg</v>
      </c>
      <c r="G789" s="63"/>
      <c r="H789" s="67"/>
      <c r="I789" s="68"/>
      <c r="J789" s="68"/>
      <c r="K789" s="67" t="s">
        <v>25723</v>
      </c>
      <c r="L789" s="71"/>
      <c r="M789" s="72"/>
      <c r="N789" s="72"/>
      <c r="O789" s="73"/>
      <c r="P789" s="74"/>
      <c r="Q789" s="74"/>
      <c r="R789" s="86"/>
      <c r="S789" s="86"/>
      <c r="T789" s="86"/>
      <c r="U789" s="86"/>
      <c r="V789" s="48"/>
      <c r="W789" s="48"/>
      <c r="X789" s="48"/>
      <c r="Y789" s="48"/>
      <c r="Z789" s="47"/>
      <c r="AA789" s="69">
        <v>789</v>
      </c>
      <c r="AB789" s="69"/>
      <c r="AC789" s="70"/>
      <c r="AD789" s="76" t="s">
        <v>22582</v>
      </c>
      <c r="AE789" s="81" t="s">
        <v>21576</v>
      </c>
      <c r="AF789" s="76">
        <v>74</v>
      </c>
      <c r="AG789" s="76">
        <v>175</v>
      </c>
      <c r="AH789" s="76">
        <v>2237</v>
      </c>
      <c r="AI789" s="76">
        <v>3</v>
      </c>
      <c r="AJ789" s="76">
        <v>26</v>
      </c>
      <c r="AK789" s="76">
        <v>1104</v>
      </c>
      <c r="AL789" s="76" t="b">
        <v>0</v>
      </c>
      <c r="AM789" s="78">
        <v>44508.013842592591</v>
      </c>
      <c r="AN789" s="76" t="s">
        <v>23182</v>
      </c>
      <c r="AO789" s="76" t="s">
        <v>24023</v>
      </c>
      <c r="AP789" s="83" t="str">
        <f>HYPERLINK("https://t.co/sVKYR4OK3L")</f>
        <v>https://t.co/sVKYR4OK3L</v>
      </c>
      <c r="AQ789" s="83" t="str">
        <f>HYPERLINK("https://www.youtube.com/c/PenseRicoDicas/videos")</f>
        <v>https://www.youtube.com/c/PenseRicoDicas/videos</v>
      </c>
      <c r="AR789" s="76" t="s">
        <v>24682</v>
      </c>
      <c r="AS789" s="83" t="str">
        <f>HYPERLINK("https://t.co/IQZIX7BLIe")</f>
        <v>https://t.co/IQZIX7BLIe</v>
      </c>
      <c r="AT789" s="83" t="str">
        <f>HYPERLINK("https://youup.me/penserico")</f>
        <v>https://youup.me/penserico</v>
      </c>
      <c r="AU789" s="76" t="s">
        <v>24910</v>
      </c>
      <c r="AV789" s="76"/>
      <c r="AW789" s="83" t="str">
        <f>HYPERLINK("https://t.co/sVKYR4OK3L")</f>
        <v>https://t.co/sVKYR4OK3L</v>
      </c>
      <c r="AX789" s="76" t="b">
        <v>0</v>
      </c>
      <c r="AY789" s="76"/>
      <c r="AZ789" s="76"/>
      <c r="BA789" s="76" t="b">
        <v>0</v>
      </c>
      <c r="BB789" s="76" t="b">
        <v>1</v>
      </c>
      <c r="BC789" s="76" t="b">
        <v>1</v>
      </c>
      <c r="BD789" s="76" t="b">
        <v>0</v>
      </c>
      <c r="BE789" s="76" t="b">
        <v>0</v>
      </c>
      <c r="BF789" s="76" t="b">
        <v>0</v>
      </c>
      <c r="BG789" s="76" t="b">
        <v>0</v>
      </c>
      <c r="BH789" s="83" t="str">
        <f>HYPERLINK("https://pbs.twimg.com/profile_banners/1457503002613403651/1659364372")</f>
        <v>https://pbs.twimg.com/profile_banners/1457503002613403651/1659364372</v>
      </c>
      <c r="BI789" s="76"/>
      <c r="BJ789" s="76" t="s">
        <v>24935</v>
      </c>
      <c r="BK789" s="76" t="b">
        <v>0</v>
      </c>
      <c r="BL789" s="76"/>
      <c r="BM789" s="76" t="s">
        <v>66</v>
      </c>
      <c r="BN789" s="76" t="s">
        <v>24937</v>
      </c>
      <c r="BO789" s="83" t="str">
        <f>HYPERLINK("https://twitter.com/pense_rico")</f>
        <v>https://twitter.com/pense_rico</v>
      </c>
      <c r="BP789" s="2"/>
    </row>
    <row r="790" spans="1:68" x14ac:dyDescent="0.25">
      <c r="A790" s="62" t="s">
        <v>978</v>
      </c>
      <c r="B790" s="63"/>
      <c r="C790" s="63"/>
      <c r="D790" s="64"/>
      <c r="E790" s="66"/>
      <c r="F790" s="102" t="str">
        <f>HYPERLINK("https://pbs.twimg.com/profile_images/1636420776835334148/pFUQD1TZ_normal.jpg")</f>
        <v>https://pbs.twimg.com/profile_images/1636420776835334148/pFUQD1TZ_normal.jpg</v>
      </c>
      <c r="G790" s="63"/>
      <c r="H790" s="67"/>
      <c r="I790" s="68"/>
      <c r="J790" s="68"/>
      <c r="K790" s="67" t="s">
        <v>25724</v>
      </c>
      <c r="L790" s="71"/>
      <c r="M790" s="72"/>
      <c r="N790" s="72"/>
      <c r="O790" s="73"/>
      <c r="P790" s="74"/>
      <c r="Q790" s="74"/>
      <c r="R790" s="86"/>
      <c r="S790" s="86"/>
      <c r="T790" s="86"/>
      <c r="U790" s="86"/>
      <c r="V790" s="48"/>
      <c r="W790" s="48"/>
      <c r="X790" s="48"/>
      <c r="Y790" s="48"/>
      <c r="Z790" s="47"/>
      <c r="AA790" s="69">
        <v>790</v>
      </c>
      <c r="AB790" s="69"/>
      <c r="AC790" s="70"/>
      <c r="AD790" s="76" t="s">
        <v>22583</v>
      </c>
      <c r="AE790" s="81" t="s">
        <v>21577</v>
      </c>
      <c r="AF790" s="76">
        <v>62</v>
      </c>
      <c r="AG790" s="76">
        <v>105</v>
      </c>
      <c r="AH790" s="76">
        <v>6988</v>
      </c>
      <c r="AI790" s="76">
        <v>1</v>
      </c>
      <c r="AJ790" s="76">
        <v>15969</v>
      </c>
      <c r="AK790" s="76">
        <v>465</v>
      </c>
      <c r="AL790" s="76" t="b">
        <v>0</v>
      </c>
      <c r="AM790" s="78">
        <v>43889.168298611112</v>
      </c>
      <c r="AN790" s="76" t="s">
        <v>14051</v>
      </c>
      <c r="AO790" s="76" t="s">
        <v>24024</v>
      </c>
      <c r="AP790" s="83" t="str">
        <f>HYPERLINK("https://t.co/ej8MHLUfOK")</f>
        <v>https://t.co/ej8MHLUfOK</v>
      </c>
      <c r="AQ790" s="83" t="str">
        <f>HYPERLINK("http://instagram.com/ogabreu_")</f>
        <v>http://instagram.com/ogabreu_</v>
      </c>
      <c r="AR790" s="76" t="s">
        <v>24683</v>
      </c>
      <c r="AS790" s="76"/>
      <c r="AT790" s="76"/>
      <c r="AU790" s="76"/>
      <c r="AV790" s="76">
        <v>1.30574379259151E+18</v>
      </c>
      <c r="AW790" s="83" t="str">
        <f>HYPERLINK("https://t.co/ej8MHLUfOK")</f>
        <v>https://t.co/ej8MHLUfOK</v>
      </c>
      <c r="AX790" s="76" t="b">
        <v>0</v>
      </c>
      <c r="AY790" s="76"/>
      <c r="AZ790" s="76"/>
      <c r="BA790" s="76" t="b">
        <v>0</v>
      </c>
      <c r="BB790" s="76" t="b">
        <v>0</v>
      </c>
      <c r="BC790" s="76" t="b">
        <v>1</v>
      </c>
      <c r="BD790" s="76" t="b">
        <v>0</v>
      </c>
      <c r="BE790" s="76" t="b">
        <v>1</v>
      </c>
      <c r="BF790" s="76" t="b">
        <v>0</v>
      </c>
      <c r="BG790" s="76" t="b">
        <v>0</v>
      </c>
      <c r="BH790" s="83" t="str">
        <f>HYPERLINK("https://pbs.twimg.com/profile_banners/1233240956582973440/1614144214")</f>
        <v>https://pbs.twimg.com/profile_banners/1233240956582973440/1614144214</v>
      </c>
      <c r="BI790" s="76"/>
      <c r="BJ790" s="76" t="s">
        <v>24935</v>
      </c>
      <c r="BK790" s="76" t="b">
        <v>0</v>
      </c>
      <c r="BL790" s="76"/>
      <c r="BM790" s="76" t="s">
        <v>66</v>
      </c>
      <c r="BN790" s="76" t="s">
        <v>24937</v>
      </c>
      <c r="BO790" s="83" t="str">
        <f>HYPERLINK("https://twitter.com/ogabreu_")</f>
        <v>https://twitter.com/ogabreu_</v>
      </c>
      <c r="BP790" s="2"/>
    </row>
    <row r="791" spans="1:68" x14ac:dyDescent="0.25">
      <c r="A791" s="62" t="s">
        <v>979</v>
      </c>
      <c r="B791" s="63"/>
      <c r="C791" s="63"/>
      <c r="D791" s="64"/>
      <c r="E791" s="66"/>
      <c r="F791" s="102" t="str">
        <f>HYPERLINK("https://pbs.twimg.com/profile_images/1645774771143991297/Q8Ko0M-w_normal.jpg")</f>
        <v>https://pbs.twimg.com/profile_images/1645774771143991297/Q8Ko0M-w_normal.jpg</v>
      </c>
      <c r="G791" s="63"/>
      <c r="H791" s="67"/>
      <c r="I791" s="68"/>
      <c r="J791" s="68"/>
      <c r="K791" s="67" t="s">
        <v>25725</v>
      </c>
      <c r="L791" s="71"/>
      <c r="M791" s="72"/>
      <c r="N791" s="72"/>
      <c r="O791" s="73"/>
      <c r="P791" s="74"/>
      <c r="Q791" s="74"/>
      <c r="R791" s="86"/>
      <c r="S791" s="86"/>
      <c r="T791" s="86"/>
      <c r="U791" s="86"/>
      <c r="V791" s="48"/>
      <c r="W791" s="48"/>
      <c r="X791" s="48"/>
      <c r="Y791" s="48"/>
      <c r="Z791" s="47"/>
      <c r="AA791" s="69">
        <v>791</v>
      </c>
      <c r="AB791" s="69"/>
      <c r="AC791" s="70"/>
      <c r="AD791" s="76" t="s">
        <v>22584</v>
      </c>
      <c r="AE791" s="81" t="s">
        <v>21578</v>
      </c>
      <c r="AF791" s="76">
        <v>0</v>
      </c>
      <c r="AG791" s="76">
        <v>1</v>
      </c>
      <c r="AH791" s="76">
        <v>1</v>
      </c>
      <c r="AI791" s="76">
        <v>0</v>
      </c>
      <c r="AJ791" s="76">
        <v>0</v>
      </c>
      <c r="AK791" s="76">
        <v>1</v>
      </c>
      <c r="AL791" s="76" t="b">
        <v>0</v>
      </c>
      <c r="AM791" s="78">
        <v>45027.544629629629</v>
      </c>
      <c r="AN791" s="76"/>
      <c r="AO791" s="76"/>
      <c r="AP791" s="76"/>
      <c r="AQ791" s="76"/>
      <c r="AR791" s="76"/>
      <c r="AS791" s="76"/>
      <c r="AT791" s="76"/>
      <c r="AU791" s="76"/>
      <c r="AV791" s="76"/>
      <c r="AW791" s="76"/>
      <c r="AX791" s="76" t="b">
        <v>0</v>
      </c>
      <c r="AY791" s="76"/>
      <c r="AZ791" s="76"/>
      <c r="BA791" s="76" t="b">
        <v>0</v>
      </c>
      <c r="BB791" s="76" t="b">
        <v>1</v>
      </c>
      <c r="BC791" s="76" t="b">
        <v>1</v>
      </c>
      <c r="BD791" s="76" t="b">
        <v>0</v>
      </c>
      <c r="BE791" s="76" t="b">
        <v>0</v>
      </c>
      <c r="BF791" s="76" t="b">
        <v>0</v>
      </c>
      <c r="BG791" s="76" t="b">
        <v>0</v>
      </c>
      <c r="BH791" s="76"/>
      <c r="BI791" s="76"/>
      <c r="BJ791" s="76" t="s">
        <v>24935</v>
      </c>
      <c r="BK791" s="76" t="b">
        <v>0</v>
      </c>
      <c r="BL791" s="76"/>
      <c r="BM791" s="76" t="s">
        <v>66</v>
      </c>
      <c r="BN791" s="76" t="s">
        <v>24937</v>
      </c>
      <c r="BO791" s="83" t="str">
        <f>HYPERLINK("https://twitter.com/wendell56720540")</f>
        <v>https://twitter.com/wendell56720540</v>
      </c>
      <c r="BP791" s="2"/>
    </row>
    <row r="792" spans="1:68" x14ac:dyDescent="0.25">
      <c r="A792" s="62" t="s">
        <v>980</v>
      </c>
      <c r="B792" s="63"/>
      <c r="C792" s="63"/>
      <c r="D792" s="64"/>
      <c r="E792" s="66"/>
      <c r="F792" s="102" t="str">
        <f>HYPERLINK("https://pbs.twimg.com/profile_images/1641815269000527876/l4Z8Njig_normal.jpg")</f>
        <v>https://pbs.twimg.com/profile_images/1641815269000527876/l4Z8Njig_normal.jpg</v>
      </c>
      <c r="G792" s="63"/>
      <c r="H792" s="67"/>
      <c r="I792" s="68"/>
      <c r="J792" s="68"/>
      <c r="K792" s="67" t="s">
        <v>25726</v>
      </c>
      <c r="L792" s="71"/>
      <c r="M792" s="72"/>
      <c r="N792" s="72"/>
      <c r="O792" s="73"/>
      <c r="P792" s="74"/>
      <c r="Q792" s="74"/>
      <c r="R792" s="86"/>
      <c r="S792" s="86"/>
      <c r="T792" s="86"/>
      <c r="U792" s="86"/>
      <c r="V792" s="48"/>
      <c r="W792" s="48"/>
      <c r="X792" s="48"/>
      <c r="Y792" s="48"/>
      <c r="Z792" s="47"/>
      <c r="AA792" s="69">
        <v>792</v>
      </c>
      <c r="AB792" s="69"/>
      <c r="AC792" s="70"/>
      <c r="AD792" s="76" t="s">
        <v>22585</v>
      </c>
      <c r="AE792" s="81" t="s">
        <v>21579</v>
      </c>
      <c r="AF792" s="76">
        <v>0</v>
      </c>
      <c r="AG792" s="76">
        <v>0</v>
      </c>
      <c r="AH792" s="76">
        <v>2</v>
      </c>
      <c r="AI792" s="76">
        <v>0</v>
      </c>
      <c r="AJ792" s="76">
        <v>0</v>
      </c>
      <c r="AK792" s="76">
        <v>1</v>
      </c>
      <c r="AL792" s="76" t="b">
        <v>0</v>
      </c>
      <c r="AM792" s="78">
        <v>45016.61513888889</v>
      </c>
      <c r="AN792" s="76" t="s">
        <v>14033</v>
      </c>
      <c r="AO792" s="76" t="s">
        <v>24025</v>
      </c>
      <c r="AP792" s="83" t="str">
        <f>HYPERLINK("https://t.co/4im1sqDK7j")</f>
        <v>https://t.co/4im1sqDK7j</v>
      </c>
      <c r="AQ792" s="83" t="str">
        <f>HYPERLINK("http://instagram.com/patroamiilionaria.br")</f>
        <v>http://instagram.com/patroamiilionaria.br</v>
      </c>
      <c r="AR792" s="76" t="s">
        <v>24684</v>
      </c>
      <c r="AS792" s="76"/>
      <c r="AT792" s="76"/>
      <c r="AU792" s="76"/>
      <c r="AV792" s="76"/>
      <c r="AW792" s="83" t="str">
        <f>HYPERLINK("https://t.co/4im1sqDK7j")</f>
        <v>https://t.co/4im1sqDK7j</v>
      </c>
      <c r="AX792" s="76" t="b">
        <v>0</v>
      </c>
      <c r="AY792" s="76"/>
      <c r="AZ792" s="76"/>
      <c r="BA792" s="76" t="b">
        <v>0</v>
      </c>
      <c r="BB792" s="76" t="b">
        <v>1</v>
      </c>
      <c r="BC792" s="76" t="b">
        <v>1</v>
      </c>
      <c r="BD792" s="76" t="b">
        <v>0</v>
      </c>
      <c r="BE792" s="76" t="b">
        <v>0</v>
      </c>
      <c r="BF792" s="76" t="b">
        <v>0</v>
      </c>
      <c r="BG792" s="76" t="b">
        <v>0</v>
      </c>
      <c r="BH792" s="83" t="str">
        <f>HYPERLINK("https://pbs.twimg.com/profile_banners/1641813863581491201/1680274766")</f>
        <v>https://pbs.twimg.com/profile_banners/1641813863581491201/1680274766</v>
      </c>
      <c r="BI792" s="76"/>
      <c r="BJ792" s="76" t="s">
        <v>24935</v>
      </c>
      <c r="BK792" s="76" t="b">
        <v>0</v>
      </c>
      <c r="BL792" s="76"/>
      <c r="BM792" s="76" t="s">
        <v>66</v>
      </c>
      <c r="BN792" s="76" t="s">
        <v>24937</v>
      </c>
      <c r="BO792" s="83" t="str">
        <f>HYPERLINK("https://twitter.com/milionaria_br")</f>
        <v>https://twitter.com/milionaria_br</v>
      </c>
      <c r="BP792" s="2"/>
    </row>
    <row r="793" spans="1:68" x14ac:dyDescent="0.25">
      <c r="A793" s="62" t="s">
        <v>981</v>
      </c>
      <c r="B793" s="63"/>
      <c r="C793" s="63"/>
      <c r="D793" s="64"/>
      <c r="E793" s="66"/>
      <c r="F793" s="102" t="str">
        <f>HYPERLINK("https://pbs.twimg.com/profile_images/1691964982525575168/EDSS_T6d_normal.jpg")</f>
        <v>https://pbs.twimg.com/profile_images/1691964982525575168/EDSS_T6d_normal.jpg</v>
      </c>
      <c r="G793" s="63"/>
      <c r="H793" s="67"/>
      <c r="I793" s="68"/>
      <c r="J793" s="68"/>
      <c r="K793" s="67" t="s">
        <v>25727</v>
      </c>
      <c r="L793" s="71"/>
      <c r="M793" s="72"/>
      <c r="N793" s="72"/>
      <c r="O793" s="73"/>
      <c r="P793" s="74"/>
      <c r="Q793" s="74"/>
      <c r="R793" s="86"/>
      <c r="S793" s="86"/>
      <c r="T793" s="86"/>
      <c r="U793" s="86"/>
      <c r="V793" s="48"/>
      <c r="W793" s="48"/>
      <c r="X793" s="48"/>
      <c r="Y793" s="48"/>
      <c r="Z793" s="47"/>
      <c r="AA793" s="69">
        <v>793</v>
      </c>
      <c r="AB793" s="69"/>
      <c r="AC793" s="70"/>
      <c r="AD793" s="76" t="s">
        <v>22586</v>
      </c>
      <c r="AE793" s="81" t="s">
        <v>21580</v>
      </c>
      <c r="AF793" s="76">
        <v>5</v>
      </c>
      <c r="AG793" s="76">
        <v>10</v>
      </c>
      <c r="AH793" s="76">
        <v>42</v>
      </c>
      <c r="AI793" s="76">
        <v>0</v>
      </c>
      <c r="AJ793" s="76">
        <v>62</v>
      </c>
      <c r="AK793" s="76">
        <v>35</v>
      </c>
      <c r="AL793" s="76" t="b">
        <v>0</v>
      </c>
      <c r="AM793" s="78">
        <v>45155.001527777778</v>
      </c>
      <c r="AN793" s="76"/>
      <c r="AO793" s="76" t="s">
        <v>24026</v>
      </c>
      <c r="AP793" s="83" t="str">
        <f>HYPERLINK("https://t.co/h4trIUyIc2")</f>
        <v>https://t.co/h4trIUyIc2</v>
      </c>
      <c r="AQ793" s="83" t="str">
        <f>HYPERLINK("https://linkfly.to/cortescomestiloofc")</f>
        <v>https://linkfly.to/cortescomestiloofc</v>
      </c>
      <c r="AR793" s="76" t="s">
        <v>24685</v>
      </c>
      <c r="AS793" s="76"/>
      <c r="AT793" s="76"/>
      <c r="AU793" s="76"/>
      <c r="AV793" s="76"/>
      <c r="AW793" s="83" t="str">
        <f>HYPERLINK("https://t.co/h4trIUyIc2")</f>
        <v>https://t.co/h4trIUyIc2</v>
      </c>
      <c r="AX793" s="76" t="b">
        <v>0</v>
      </c>
      <c r="AY793" s="76"/>
      <c r="AZ793" s="76"/>
      <c r="BA793" s="76" t="b">
        <v>0</v>
      </c>
      <c r="BB793" s="76" t="b">
        <v>1</v>
      </c>
      <c r="BC793" s="76" t="b">
        <v>1</v>
      </c>
      <c r="BD793" s="76" t="b">
        <v>0</v>
      </c>
      <c r="BE793" s="76" t="b">
        <v>0</v>
      </c>
      <c r="BF793" s="76" t="b">
        <v>0</v>
      </c>
      <c r="BG793" s="76" t="b">
        <v>0</v>
      </c>
      <c r="BH793" s="83" t="str">
        <f>HYPERLINK("https://pbs.twimg.com/profile_banners/1691963472916127744/1692230861")</f>
        <v>https://pbs.twimg.com/profile_banners/1691963472916127744/1692230861</v>
      </c>
      <c r="BI793" s="76"/>
      <c r="BJ793" s="76" t="s">
        <v>24935</v>
      </c>
      <c r="BK793" s="76" t="b">
        <v>0</v>
      </c>
      <c r="BL793" s="76"/>
      <c r="BM793" s="76" t="s">
        <v>66</v>
      </c>
      <c r="BN793" s="76" t="s">
        <v>24937</v>
      </c>
      <c r="BO793" s="83" t="str">
        <f>HYPERLINK("https://twitter.com/cortescomestilo")</f>
        <v>https://twitter.com/cortescomestilo</v>
      </c>
      <c r="BP793" s="2"/>
    </row>
    <row r="794" spans="1:68" x14ac:dyDescent="0.25">
      <c r="A794" s="62" t="s">
        <v>982</v>
      </c>
      <c r="B794" s="63"/>
      <c r="C794" s="63"/>
      <c r="D794" s="64"/>
      <c r="E794" s="66"/>
      <c r="F794" s="102" t="str">
        <f>HYPERLINK("https://pbs.twimg.com/profile_images/1682222635420200961/0vts2dPb_normal.jpg")</f>
        <v>https://pbs.twimg.com/profile_images/1682222635420200961/0vts2dPb_normal.jpg</v>
      </c>
      <c r="G794" s="63"/>
      <c r="H794" s="67"/>
      <c r="I794" s="68"/>
      <c r="J794" s="68"/>
      <c r="K794" s="67" t="s">
        <v>25728</v>
      </c>
      <c r="L794" s="71"/>
      <c r="M794" s="72"/>
      <c r="N794" s="72"/>
      <c r="O794" s="73"/>
      <c r="P794" s="74"/>
      <c r="Q794" s="74"/>
      <c r="R794" s="86"/>
      <c r="S794" s="86"/>
      <c r="T794" s="86"/>
      <c r="U794" s="86"/>
      <c r="V794" s="48"/>
      <c r="W794" s="48"/>
      <c r="X794" s="48"/>
      <c r="Y794" s="48"/>
      <c r="Z794" s="47"/>
      <c r="AA794" s="69">
        <v>794</v>
      </c>
      <c r="AB794" s="69"/>
      <c r="AC794" s="70"/>
      <c r="AD794" s="76" t="s">
        <v>22587</v>
      </c>
      <c r="AE794" s="81" t="s">
        <v>21581</v>
      </c>
      <c r="AF794" s="76">
        <v>2</v>
      </c>
      <c r="AG794" s="76">
        <v>4</v>
      </c>
      <c r="AH794" s="76">
        <v>6</v>
      </c>
      <c r="AI794" s="76">
        <v>0</v>
      </c>
      <c r="AJ794" s="76">
        <v>0</v>
      </c>
      <c r="AK794" s="76">
        <v>6</v>
      </c>
      <c r="AL794" s="76" t="b">
        <v>0</v>
      </c>
      <c r="AM794" s="78">
        <v>45127.941180555557</v>
      </c>
      <c r="AN794" s="76"/>
      <c r="AO794" s="76" t="s">
        <v>24027</v>
      </c>
      <c r="AP794" s="76"/>
      <c r="AQ794" s="76"/>
      <c r="AR794" s="76"/>
      <c r="AS794" s="83" t="str">
        <f>HYPERLINK("https://t.co/Rx1Xd0BSoI")</f>
        <v>https://t.co/Rx1Xd0BSoI</v>
      </c>
      <c r="AT794" s="83" t="str">
        <f>HYPERLINK("https://www.bbrbet.com/c-DXjPDbkB?lang=pt")</f>
        <v>https://www.bbrbet.com/c-DXjPDbkB?lang=pt</v>
      </c>
      <c r="AU794" s="76" t="s">
        <v>24911</v>
      </c>
      <c r="AV794" s="76"/>
      <c r="AW794" s="76"/>
      <c r="AX794" s="76" t="b">
        <v>0</v>
      </c>
      <c r="AY794" s="76"/>
      <c r="AZ794" s="76"/>
      <c r="BA794" s="76" t="b">
        <v>0</v>
      </c>
      <c r="BB794" s="76" t="b">
        <v>1</v>
      </c>
      <c r="BC794" s="76" t="b">
        <v>1</v>
      </c>
      <c r="BD794" s="76" t="b">
        <v>0</v>
      </c>
      <c r="BE794" s="76" t="b">
        <v>0</v>
      </c>
      <c r="BF794" s="76" t="b">
        <v>0</v>
      </c>
      <c r="BG794" s="76" t="b">
        <v>0</v>
      </c>
      <c r="BH794" s="76"/>
      <c r="BI794" s="76"/>
      <c r="BJ794" s="76" t="s">
        <v>24935</v>
      </c>
      <c r="BK794" s="76" t="b">
        <v>0</v>
      </c>
      <c r="BL794" s="76"/>
      <c r="BM794" s="76" t="s">
        <v>66</v>
      </c>
      <c r="BN794" s="76" t="s">
        <v>24937</v>
      </c>
      <c r="BO794" s="83" t="str">
        <f>HYPERLINK("https://twitter.com/paulasouza48562")</f>
        <v>https://twitter.com/paulasouza48562</v>
      </c>
      <c r="BP794" s="2"/>
    </row>
    <row r="795" spans="1:68" x14ac:dyDescent="0.25">
      <c r="A795" s="62" t="s">
        <v>983</v>
      </c>
      <c r="B795" s="63"/>
      <c r="C795" s="63"/>
      <c r="D795" s="64"/>
      <c r="E795" s="66"/>
      <c r="F795" s="102" t="str">
        <f>HYPERLINK("https://pbs.twimg.com/profile_images/1656872092481060865/2pdhvtW1_normal.jpg")</f>
        <v>https://pbs.twimg.com/profile_images/1656872092481060865/2pdhvtW1_normal.jpg</v>
      </c>
      <c r="G795" s="63"/>
      <c r="H795" s="67"/>
      <c r="I795" s="68"/>
      <c r="J795" s="68"/>
      <c r="K795" s="67" t="s">
        <v>25729</v>
      </c>
      <c r="L795" s="71"/>
      <c r="M795" s="72"/>
      <c r="N795" s="72"/>
      <c r="O795" s="73"/>
      <c r="P795" s="74"/>
      <c r="Q795" s="74"/>
      <c r="R795" s="86"/>
      <c r="S795" s="86"/>
      <c r="T795" s="86"/>
      <c r="U795" s="86"/>
      <c r="V795" s="48"/>
      <c r="W795" s="48"/>
      <c r="X795" s="48"/>
      <c r="Y795" s="48"/>
      <c r="Z795" s="47"/>
      <c r="AA795" s="69">
        <v>795</v>
      </c>
      <c r="AB795" s="69"/>
      <c r="AC795" s="70"/>
      <c r="AD795" s="76" t="s">
        <v>22588</v>
      </c>
      <c r="AE795" s="81" t="s">
        <v>20958</v>
      </c>
      <c r="AF795" s="76">
        <v>9087</v>
      </c>
      <c r="AG795" s="76">
        <v>287</v>
      </c>
      <c r="AH795" s="76">
        <v>8318</v>
      </c>
      <c r="AI795" s="76">
        <v>3</v>
      </c>
      <c r="AJ795" s="76">
        <v>13099</v>
      </c>
      <c r="AK795" s="76">
        <v>1392</v>
      </c>
      <c r="AL795" s="76" t="b">
        <v>0</v>
      </c>
      <c r="AM795" s="78">
        <v>44553.244849537034</v>
      </c>
      <c r="AN795" s="76"/>
      <c r="AO795" s="76" t="s">
        <v>24028</v>
      </c>
      <c r="AP795" s="83" t="str">
        <f>HYPERLINK("https://t.co/tXCJRL307w")</f>
        <v>https://t.co/tXCJRL307w</v>
      </c>
      <c r="AQ795" s="83" t="str">
        <f>HYPERLINK("https://www.instagram.com/coreanasfrases/")</f>
        <v>https://www.instagram.com/coreanasfrases/</v>
      </c>
      <c r="AR795" s="76" t="s">
        <v>24686</v>
      </c>
      <c r="AS795" s="76"/>
      <c r="AT795" s="76"/>
      <c r="AU795" s="76"/>
      <c r="AV795" s="76">
        <v>1.65417706220093E+18</v>
      </c>
      <c r="AW795" s="83" t="str">
        <f>HYPERLINK("https://t.co/tXCJRL307w")</f>
        <v>https://t.co/tXCJRL307w</v>
      </c>
      <c r="AX795" s="76" t="b">
        <v>1</v>
      </c>
      <c r="AY795" s="76"/>
      <c r="AZ795" s="76"/>
      <c r="BA795" s="76" t="b">
        <v>1</v>
      </c>
      <c r="BB795" s="76" t="b">
        <v>1</v>
      </c>
      <c r="BC795" s="76" t="b">
        <v>1</v>
      </c>
      <c r="BD795" s="76" t="b">
        <v>0</v>
      </c>
      <c r="BE795" s="76" t="b">
        <v>1</v>
      </c>
      <c r="BF795" s="76" t="b">
        <v>0</v>
      </c>
      <c r="BG795" s="76" t="b">
        <v>0</v>
      </c>
      <c r="BH795" s="83" t="str">
        <f>HYPERLINK("https://pbs.twimg.com/profile_banners/1473894237678751750/1682532133")</f>
        <v>https://pbs.twimg.com/profile_banners/1473894237678751750/1682532133</v>
      </c>
      <c r="BI795" s="76"/>
      <c r="BJ795" s="76" t="s">
        <v>24935</v>
      </c>
      <c r="BK795" s="76" t="b">
        <v>0</v>
      </c>
      <c r="BL795" s="76"/>
      <c r="BM795" s="76" t="s">
        <v>66</v>
      </c>
      <c r="BN795" s="76" t="s">
        <v>24937</v>
      </c>
      <c r="BO795" s="83" t="str">
        <f>HYPERLINK("https://twitter.com/coreanasfrases_")</f>
        <v>https://twitter.com/coreanasfrases_</v>
      </c>
      <c r="BP795" s="2"/>
    </row>
    <row r="796" spans="1:68" x14ac:dyDescent="0.25">
      <c r="A796" s="62" t="s">
        <v>984</v>
      </c>
      <c r="B796" s="63"/>
      <c r="C796" s="63"/>
      <c r="D796" s="64"/>
      <c r="E796" s="66"/>
      <c r="F796" s="102" t="str">
        <f>HYPERLINK("https://pbs.twimg.com/profile_images/1326569189495156739/itFNtyIK_normal.jpg")</f>
        <v>https://pbs.twimg.com/profile_images/1326569189495156739/itFNtyIK_normal.jpg</v>
      </c>
      <c r="G796" s="63"/>
      <c r="H796" s="67"/>
      <c r="I796" s="68"/>
      <c r="J796" s="68"/>
      <c r="K796" s="67" t="s">
        <v>25730</v>
      </c>
      <c r="L796" s="71"/>
      <c r="M796" s="72"/>
      <c r="N796" s="72"/>
      <c r="O796" s="73"/>
      <c r="P796" s="74"/>
      <c r="Q796" s="74"/>
      <c r="R796" s="86"/>
      <c r="S796" s="86"/>
      <c r="T796" s="86"/>
      <c r="U796" s="86"/>
      <c r="V796" s="48"/>
      <c r="W796" s="48"/>
      <c r="X796" s="48"/>
      <c r="Y796" s="48"/>
      <c r="Z796" s="47"/>
      <c r="AA796" s="69">
        <v>796</v>
      </c>
      <c r="AB796" s="69"/>
      <c r="AC796" s="70"/>
      <c r="AD796" s="76" t="s">
        <v>22589</v>
      </c>
      <c r="AE796" s="81" t="s">
        <v>21582</v>
      </c>
      <c r="AF796" s="76">
        <v>0</v>
      </c>
      <c r="AG796" s="76">
        <v>16</v>
      </c>
      <c r="AH796" s="76">
        <v>46</v>
      </c>
      <c r="AI796" s="76">
        <v>0</v>
      </c>
      <c r="AJ796" s="76">
        <v>8</v>
      </c>
      <c r="AK796" s="76">
        <v>32</v>
      </c>
      <c r="AL796" s="76" t="b">
        <v>0</v>
      </c>
      <c r="AM796" s="78">
        <v>44134.841134259259</v>
      </c>
      <c r="AN796" s="76" t="s">
        <v>23280</v>
      </c>
      <c r="AO796" s="76" t="s">
        <v>24029</v>
      </c>
      <c r="AP796" s="83" t="str">
        <f>HYPERLINK("https://t.co/cqya8hZort")</f>
        <v>https://t.co/cqya8hZort</v>
      </c>
      <c r="AQ796" s="83" t="str">
        <f>HYPERLINK("https://carvalhoempreende.com.br/")</f>
        <v>https://carvalhoempreende.com.br/</v>
      </c>
      <c r="AR796" s="76" t="s">
        <v>24687</v>
      </c>
      <c r="AS796" s="76"/>
      <c r="AT796" s="76"/>
      <c r="AU796" s="76"/>
      <c r="AV796" s="76"/>
      <c r="AW796" s="83" t="str">
        <f>HYPERLINK("https://t.co/cqya8hZort")</f>
        <v>https://t.co/cqya8hZort</v>
      </c>
      <c r="AX796" s="76" t="b">
        <v>0</v>
      </c>
      <c r="AY796" s="76"/>
      <c r="AZ796" s="76"/>
      <c r="BA796" s="76" t="b">
        <v>0</v>
      </c>
      <c r="BB796" s="76" t="b">
        <v>1</v>
      </c>
      <c r="BC796" s="76" t="b">
        <v>1</v>
      </c>
      <c r="BD796" s="76" t="b">
        <v>0</v>
      </c>
      <c r="BE796" s="76" t="b">
        <v>0</v>
      </c>
      <c r="BF796" s="76" t="b">
        <v>0</v>
      </c>
      <c r="BG796" s="76" t="b">
        <v>0</v>
      </c>
      <c r="BH796" s="83" t="str">
        <f>HYPERLINK("https://pbs.twimg.com/profile_banners/1322269788194877442/1605113018")</f>
        <v>https://pbs.twimg.com/profile_banners/1322269788194877442/1605113018</v>
      </c>
      <c r="BI796" s="76"/>
      <c r="BJ796" s="76" t="s">
        <v>24935</v>
      </c>
      <c r="BK796" s="76" t="b">
        <v>0</v>
      </c>
      <c r="BL796" s="76"/>
      <c r="BM796" s="76" t="s">
        <v>66</v>
      </c>
      <c r="BN796" s="76" t="s">
        <v>24937</v>
      </c>
      <c r="BO796" s="83" t="str">
        <f>HYPERLINK("https://twitter.com/cempreende")</f>
        <v>https://twitter.com/cempreende</v>
      </c>
      <c r="BP796" s="2"/>
    </row>
    <row r="797" spans="1:68" x14ac:dyDescent="0.25">
      <c r="A797" s="62" t="s">
        <v>985</v>
      </c>
      <c r="B797" s="63"/>
      <c r="C797" s="63"/>
      <c r="D797" s="64"/>
      <c r="E797" s="66"/>
      <c r="F797" s="102" t="str">
        <f>HYPERLINK("https://pbs.twimg.com/profile_images/1655273177784672258/e0GmLX0C_normal.jpg")</f>
        <v>https://pbs.twimg.com/profile_images/1655273177784672258/e0GmLX0C_normal.jpg</v>
      </c>
      <c r="G797" s="63"/>
      <c r="H797" s="67"/>
      <c r="I797" s="68"/>
      <c r="J797" s="68"/>
      <c r="K797" s="67" t="s">
        <v>25731</v>
      </c>
      <c r="L797" s="71"/>
      <c r="M797" s="72"/>
      <c r="N797" s="72"/>
      <c r="O797" s="73"/>
      <c r="P797" s="74"/>
      <c r="Q797" s="74"/>
      <c r="R797" s="86"/>
      <c r="S797" s="86"/>
      <c r="T797" s="86"/>
      <c r="U797" s="86"/>
      <c r="V797" s="48"/>
      <c r="W797" s="48"/>
      <c r="X797" s="48"/>
      <c r="Y797" s="48"/>
      <c r="Z797" s="47"/>
      <c r="AA797" s="69">
        <v>797</v>
      </c>
      <c r="AB797" s="69"/>
      <c r="AC797" s="70"/>
      <c r="AD797" s="76" t="s">
        <v>22590</v>
      </c>
      <c r="AE797" s="81" t="s">
        <v>21583</v>
      </c>
      <c r="AF797" s="76">
        <v>2</v>
      </c>
      <c r="AG797" s="76">
        <v>13</v>
      </c>
      <c r="AH797" s="76">
        <v>22</v>
      </c>
      <c r="AI797" s="76">
        <v>0</v>
      </c>
      <c r="AJ797" s="76">
        <v>15</v>
      </c>
      <c r="AK797" s="76">
        <v>22</v>
      </c>
      <c r="AL797" s="76" t="b">
        <v>0</v>
      </c>
      <c r="AM797" s="78">
        <v>45053.745300925926</v>
      </c>
      <c r="AN797" s="76"/>
      <c r="AO797" s="76" t="s">
        <v>24030</v>
      </c>
      <c r="AP797" s="83" t="str">
        <f>HYPERLINK("https://t.co/JzD6XzkfdC")</f>
        <v>https://t.co/JzD6XzkfdC</v>
      </c>
      <c r="AQ797" s="83" t="str">
        <f>HYPERLINK("https://go.hotmart.com/W82447078J")</f>
        <v>https://go.hotmart.com/W82447078J</v>
      </c>
      <c r="AR797" s="76" t="s">
        <v>24688</v>
      </c>
      <c r="AS797" s="76"/>
      <c r="AT797" s="76"/>
      <c r="AU797" s="76"/>
      <c r="AV797" s="76"/>
      <c r="AW797" s="83" t="str">
        <f>HYPERLINK("https://t.co/JzD6XzkfdC")</f>
        <v>https://t.co/JzD6XzkfdC</v>
      </c>
      <c r="AX797" s="76" t="b">
        <v>0</v>
      </c>
      <c r="AY797" s="76"/>
      <c r="AZ797" s="76"/>
      <c r="BA797" s="76" t="b">
        <v>0</v>
      </c>
      <c r="BB797" s="76" t="b">
        <v>1</v>
      </c>
      <c r="BC797" s="76" t="b">
        <v>1</v>
      </c>
      <c r="BD797" s="76" t="b">
        <v>0</v>
      </c>
      <c r="BE797" s="76" t="b">
        <v>0</v>
      </c>
      <c r="BF797" s="76" t="b">
        <v>0</v>
      </c>
      <c r="BG797" s="76" t="b">
        <v>0</v>
      </c>
      <c r="BH797" s="83" t="str">
        <f>HYPERLINK("https://pbs.twimg.com/profile_banners/1655269457147600896/1683482853")</f>
        <v>https://pbs.twimg.com/profile_banners/1655269457147600896/1683482853</v>
      </c>
      <c r="BI797" s="76"/>
      <c r="BJ797" s="76" t="s">
        <v>24935</v>
      </c>
      <c r="BK797" s="76" t="b">
        <v>0</v>
      </c>
      <c r="BL797" s="76"/>
      <c r="BM797" s="76" t="s">
        <v>66</v>
      </c>
      <c r="BN797" s="76" t="s">
        <v>24937</v>
      </c>
      <c r="BO797" s="83" t="str">
        <f>HYPERLINK("https://twitter.com/sobrancelhas_id")</f>
        <v>https://twitter.com/sobrancelhas_id</v>
      </c>
      <c r="BP797" s="2"/>
    </row>
    <row r="798" spans="1:68" x14ac:dyDescent="0.25">
      <c r="A798" s="62" t="s">
        <v>986</v>
      </c>
      <c r="B798" s="63"/>
      <c r="C798" s="63"/>
      <c r="D798" s="64"/>
      <c r="E798" s="66"/>
      <c r="F798" s="102" t="str">
        <f>HYPERLINK("https://pbs.twimg.com/profile_images/1655600991885045766/4GdIelYZ_normal.jpg")</f>
        <v>https://pbs.twimg.com/profile_images/1655600991885045766/4GdIelYZ_normal.jpg</v>
      </c>
      <c r="G798" s="63"/>
      <c r="H798" s="67"/>
      <c r="I798" s="68"/>
      <c r="J798" s="68"/>
      <c r="K798" s="67" t="s">
        <v>25732</v>
      </c>
      <c r="L798" s="71"/>
      <c r="M798" s="72"/>
      <c r="N798" s="72"/>
      <c r="O798" s="73"/>
      <c r="P798" s="74"/>
      <c r="Q798" s="74"/>
      <c r="R798" s="86"/>
      <c r="S798" s="86"/>
      <c r="T798" s="86"/>
      <c r="U798" s="86"/>
      <c r="V798" s="48"/>
      <c r="W798" s="48"/>
      <c r="X798" s="48"/>
      <c r="Y798" s="48"/>
      <c r="Z798" s="47"/>
      <c r="AA798" s="69">
        <v>798</v>
      </c>
      <c r="AB798" s="69"/>
      <c r="AC798" s="70"/>
      <c r="AD798" s="76" t="s">
        <v>22591</v>
      </c>
      <c r="AE798" s="81" t="s">
        <v>21584</v>
      </c>
      <c r="AF798" s="76">
        <v>6</v>
      </c>
      <c r="AG798" s="76">
        <v>10</v>
      </c>
      <c r="AH798" s="76">
        <v>134</v>
      </c>
      <c r="AI798" s="76">
        <v>0</v>
      </c>
      <c r="AJ798" s="76">
        <v>20</v>
      </c>
      <c r="AK798" s="76">
        <v>125</v>
      </c>
      <c r="AL798" s="76" t="b">
        <v>0</v>
      </c>
      <c r="AM798" s="78">
        <v>44989.7112037037</v>
      </c>
      <c r="AN798" s="76"/>
      <c r="AO798" s="76" t="s">
        <v>24031</v>
      </c>
      <c r="AP798" s="83" t="str">
        <f>HYPERLINK("https://t.co/ZkrW1ZmEAT")</f>
        <v>https://t.co/ZkrW1ZmEAT</v>
      </c>
      <c r="AQ798" s="83" t="str">
        <f>HYPERLINK("https://bit.ly/happyhairvendaoficial")</f>
        <v>https://bit.ly/happyhairvendaoficial</v>
      </c>
      <c r="AR798" s="76" t="s">
        <v>24689</v>
      </c>
      <c r="AS798" s="76"/>
      <c r="AT798" s="76"/>
      <c r="AU798" s="76"/>
      <c r="AV798" s="76"/>
      <c r="AW798" s="83" t="str">
        <f>HYPERLINK("https://t.co/ZkrW1ZmEAT")</f>
        <v>https://t.co/ZkrW1ZmEAT</v>
      </c>
      <c r="AX798" s="76" t="b">
        <v>0</v>
      </c>
      <c r="AY798" s="76"/>
      <c r="AZ798" s="76"/>
      <c r="BA798" s="76" t="b">
        <v>0</v>
      </c>
      <c r="BB798" s="76" t="b">
        <v>1</v>
      </c>
      <c r="BC798" s="76" t="b">
        <v>1</v>
      </c>
      <c r="BD798" s="76" t="b">
        <v>0</v>
      </c>
      <c r="BE798" s="76" t="b">
        <v>0</v>
      </c>
      <c r="BF798" s="76" t="b">
        <v>0</v>
      </c>
      <c r="BG798" s="76" t="b">
        <v>0</v>
      </c>
      <c r="BH798" s="83" t="str">
        <f>HYPERLINK("https://pbs.twimg.com/profile_banners/1632064224741449734/1681858963")</f>
        <v>https://pbs.twimg.com/profile_banners/1632064224741449734/1681858963</v>
      </c>
      <c r="BI798" s="76"/>
      <c r="BJ798" s="76" t="s">
        <v>24935</v>
      </c>
      <c r="BK798" s="76" t="b">
        <v>0</v>
      </c>
      <c r="BL798" s="76"/>
      <c r="BM798" s="76" t="s">
        <v>66</v>
      </c>
      <c r="BN798" s="76" t="s">
        <v>24937</v>
      </c>
      <c r="BO798" s="83" t="str">
        <f>HYPERLINK("https://twitter.com/eu_danieleanile")</f>
        <v>https://twitter.com/eu_danieleanile</v>
      </c>
      <c r="BP798" s="2"/>
    </row>
    <row r="799" spans="1:68" x14ac:dyDescent="0.25">
      <c r="A799" s="62" t="s">
        <v>987</v>
      </c>
      <c r="B799" s="63"/>
      <c r="C799" s="63"/>
      <c r="D799" s="64"/>
      <c r="E799" s="66"/>
      <c r="F799" s="102" t="str">
        <f>HYPERLINK("https://pbs.twimg.com/profile_images/1669472881753858050/LhOo9dZ3_normal.jpg")</f>
        <v>https://pbs.twimg.com/profile_images/1669472881753858050/LhOo9dZ3_normal.jpg</v>
      </c>
      <c r="G799" s="63"/>
      <c r="H799" s="67"/>
      <c r="I799" s="68"/>
      <c r="J799" s="68"/>
      <c r="K799" s="67" t="s">
        <v>25733</v>
      </c>
      <c r="L799" s="71"/>
      <c r="M799" s="72"/>
      <c r="N799" s="72"/>
      <c r="O799" s="73"/>
      <c r="P799" s="74"/>
      <c r="Q799" s="74"/>
      <c r="R799" s="86"/>
      <c r="S799" s="86"/>
      <c r="T799" s="86"/>
      <c r="U799" s="86"/>
      <c r="V799" s="48"/>
      <c r="W799" s="48"/>
      <c r="X799" s="48"/>
      <c r="Y799" s="48"/>
      <c r="Z799" s="47"/>
      <c r="AA799" s="69">
        <v>799</v>
      </c>
      <c r="AB799" s="69"/>
      <c r="AC799" s="70"/>
      <c r="AD799" s="76" t="s">
        <v>22592</v>
      </c>
      <c r="AE799" s="81" t="s">
        <v>21585</v>
      </c>
      <c r="AF799" s="76">
        <v>280</v>
      </c>
      <c r="AG799" s="76">
        <v>354</v>
      </c>
      <c r="AH799" s="76">
        <v>329</v>
      </c>
      <c r="AI799" s="76">
        <v>0</v>
      </c>
      <c r="AJ799" s="76">
        <v>302</v>
      </c>
      <c r="AK799" s="76">
        <v>99</v>
      </c>
      <c r="AL799" s="76" t="b">
        <v>0</v>
      </c>
      <c r="AM799" s="78">
        <v>45051.660567129627</v>
      </c>
      <c r="AN799" s="76"/>
      <c r="AO799" s="76" t="s">
        <v>24032</v>
      </c>
      <c r="AP799" s="83" t="str">
        <f>HYPERLINK("https://t.co/NDJgSnRCsT")</f>
        <v>https://t.co/NDJgSnRCsT</v>
      </c>
      <c r="AQ799" s="83" t="str">
        <f>HYPERLINK("https://bit.ly/formula5kvma")</f>
        <v>https://bit.ly/formula5kvma</v>
      </c>
      <c r="AR799" s="76" t="s">
        <v>24690</v>
      </c>
      <c r="AS799" s="76"/>
      <c r="AT799" s="76"/>
      <c r="AU799" s="76"/>
      <c r="AV799" s="76"/>
      <c r="AW799" s="83" t="str">
        <f>HYPERLINK("https://t.co/NDJgSnRCsT")</f>
        <v>https://t.co/NDJgSnRCsT</v>
      </c>
      <c r="AX799" s="76" t="b">
        <v>0</v>
      </c>
      <c r="AY799" s="76"/>
      <c r="AZ799" s="76"/>
      <c r="BA799" s="76" t="b">
        <v>0</v>
      </c>
      <c r="BB799" s="76" t="b">
        <v>1</v>
      </c>
      <c r="BC799" s="76" t="b">
        <v>1</v>
      </c>
      <c r="BD799" s="76" t="b">
        <v>0</v>
      </c>
      <c r="BE799" s="76" t="b">
        <v>0</v>
      </c>
      <c r="BF799" s="76" t="b">
        <v>0</v>
      </c>
      <c r="BG799" s="76" t="b">
        <v>0</v>
      </c>
      <c r="BH799" s="83" t="str">
        <f>HYPERLINK("https://pbs.twimg.com/profile_banners/1654513995104104449/1686868328")</f>
        <v>https://pbs.twimg.com/profile_banners/1654513995104104449/1686868328</v>
      </c>
      <c r="BI799" s="76"/>
      <c r="BJ799" s="76" t="s">
        <v>24935</v>
      </c>
      <c r="BK799" s="76" t="b">
        <v>0</v>
      </c>
      <c r="BL799" s="76"/>
      <c r="BM799" s="76" t="s">
        <v>66</v>
      </c>
      <c r="BN799" s="76" t="s">
        <v>24937</v>
      </c>
      <c r="BO799" s="83" t="str">
        <f>HYPERLINK("https://twitter.com/ardennessi93834")</f>
        <v>https://twitter.com/ardennessi93834</v>
      </c>
      <c r="BP799" s="2"/>
    </row>
    <row r="800" spans="1:68" x14ac:dyDescent="0.25">
      <c r="A800" s="62" t="s">
        <v>988</v>
      </c>
      <c r="B800" s="63"/>
      <c r="C800" s="63"/>
      <c r="D800" s="64"/>
      <c r="E800" s="66"/>
      <c r="F800" s="102" t="str">
        <f>HYPERLINK("https://pbs.twimg.com/profile_images/1596671918794588162/eo6CJJ-u_normal.jpg")</f>
        <v>https://pbs.twimg.com/profile_images/1596671918794588162/eo6CJJ-u_normal.jpg</v>
      </c>
      <c r="G800" s="63"/>
      <c r="H800" s="67"/>
      <c r="I800" s="68"/>
      <c r="J800" s="68"/>
      <c r="K800" s="67" t="s">
        <v>25734</v>
      </c>
      <c r="L800" s="71"/>
      <c r="M800" s="72"/>
      <c r="N800" s="72"/>
      <c r="O800" s="73"/>
      <c r="P800" s="74"/>
      <c r="Q800" s="74"/>
      <c r="R800" s="86"/>
      <c r="S800" s="86"/>
      <c r="T800" s="86"/>
      <c r="U800" s="86"/>
      <c r="V800" s="48"/>
      <c r="W800" s="48"/>
      <c r="X800" s="48"/>
      <c r="Y800" s="48"/>
      <c r="Z800" s="47"/>
      <c r="AA800" s="69">
        <v>800</v>
      </c>
      <c r="AB800" s="69"/>
      <c r="AC800" s="70"/>
      <c r="AD800" s="76" t="s">
        <v>22593</v>
      </c>
      <c r="AE800" s="81" t="s">
        <v>21586</v>
      </c>
      <c r="AF800" s="76">
        <v>105</v>
      </c>
      <c r="AG800" s="76">
        <v>0</v>
      </c>
      <c r="AH800" s="76">
        <v>1120</v>
      </c>
      <c r="AI800" s="76">
        <v>0</v>
      </c>
      <c r="AJ800" s="76">
        <v>0</v>
      </c>
      <c r="AK800" s="76">
        <v>1004</v>
      </c>
      <c r="AL800" s="76" t="b">
        <v>0</v>
      </c>
      <c r="AM800" s="78">
        <v>44892.042581018519</v>
      </c>
      <c r="AN800" s="76"/>
      <c r="AO800" s="76" t="s">
        <v>24033</v>
      </c>
      <c r="AP800" s="83" t="str">
        <f>HYPERLINK("https://t.co/xgTYdBWwHT")</f>
        <v>https://t.co/xgTYdBWwHT</v>
      </c>
      <c r="AQ800" s="83" t="str">
        <f>HYPERLINK("http://www.telegrupos.com.br")</f>
        <v>http://www.telegrupos.com.br</v>
      </c>
      <c r="AR800" s="76" t="s">
        <v>24691</v>
      </c>
      <c r="AS800" s="76"/>
      <c r="AT800" s="76"/>
      <c r="AU800" s="76"/>
      <c r="AV800" s="76"/>
      <c r="AW800" s="83" t="str">
        <f>HYPERLINK("https://t.co/xgTYdBWwHT")</f>
        <v>https://t.co/xgTYdBWwHT</v>
      </c>
      <c r="AX800" s="76" t="b">
        <v>0</v>
      </c>
      <c r="AY800" s="76"/>
      <c r="AZ800" s="76"/>
      <c r="BA800" s="76" t="b">
        <v>0</v>
      </c>
      <c r="BB800" s="76" t="b">
        <v>1</v>
      </c>
      <c r="BC800" s="76" t="b">
        <v>1</v>
      </c>
      <c r="BD800" s="76" t="b">
        <v>0</v>
      </c>
      <c r="BE800" s="76" t="b">
        <v>0</v>
      </c>
      <c r="BF800" s="76" t="b">
        <v>0</v>
      </c>
      <c r="BG800" s="76" t="b">
        <v>0</v>
      </c>
      <c r="BH800" s="83" t="str">
        <f>HYPERLINK("https://pbs.twimg.com/profile_banners/1596670411927916551/1669511099")</f>
        <v>https://pbs.twimg.com/profile_banners/1596670411927916551/1669511099</v>
      </c>
      <c r="BI800" s="76"/>
      <c r="BJ800" s="76" t="s">
        <v>24935</v>
      </c>
      <c r="BK800" s="76" t="b">
        <v>0</v>
      </c>
      <c r="BL800" s="76"/>
      <c r="BM800" s="76" t="s">
        <v>66</v>
      </c>
      <c r="BN800" s="76" t="s">
        <v>24937</v>
      </c>
      <c r="BO800" s="83" t="str">
        <f>HYPERLINK("https://twitter.com/telegrupos")</f>
        <v>https://twitter.com/telegrupos</v>
      </c>
      <c r="BP800" s="2"/>
    </row>
    <row r="801" spans="1:68" x14ac:dyDescent="0.25">
      <c r="A801" s="62" t="s">
        <v>989</v>
      </c>
      <c r="B801" s="63"/>
      <c r="C801" s="63"/>
      <c r="D801" s="64"/>
      <c r="E801" s="66"/>
      <c r="F801" s="102" t="str">
        <f>HYPERLINK("https://pbs.twimg.com/profile_images/1641421733096747010/meKUBsGi_normal.jpg")</f>
        <v>https://pbs.twimg.com/profile_images/1641421733096747010/meKUBsGi_normal.jpg</v>
      </c>
      <c r="G801" s="63"/>
      <c r="H801" s="67"/>
      <c r="I801" s="68"/>
      <c r="J801" s="68"/>
      <c r="K801" s="67" t="s">
        <v>25735</v>
      </c>
      <c r="L801" s="71"/>
      <c r="M801" s="72"/>
      <c r="N801" s="72"/>
      <c r="O801" s="73"/>
      <c r="P801" s="74"/>
      <c r="Q801" s="74"/>
      <c r="R801" s="86"/>
      <c r="S801" s="86"/>
      <c r="T801" s="86"/>
      <c r="U801" s="86"/>
      <c r="V801" s="48"/>
      <c r="W801" s="48"/>
      <c r="X801" s="48"/>
      <c r="Y801" s="48"/>
      <c r="Z801" s="47"/>
      <c r="AA801" s="69">
        <v>801</v>
      </c>
      <c r="AB801" s="69"/>
      <c r="AC801" s="70"/>
      <c r="AD801" s="76" t="s">
        <v>22594</v>
      </c>
      <c r="AE801" s="81" t="s">
        <v>21587</v>
      </c>
      <c r="AF801" s="76">
        <v>4</v>
      </c>
      <c r="AG801" s="76">
        <v>2</v>
      </c>
      <c r="AH801" s="76">
        <v>347</v>
      </c>
      <c r="AI801" s="76">
        <v>0</v>
      </c>
      <c r="AJ801" s="76">
        <v>2</v>
      </c>
      <c r="AK801" s="76">
        <v>9</v>
      </c>
      <c r="AL801" s="76" t="b">
        <v>0</v>
      </c>
      <c r="AM801" s="78">
        <v>44509.572488425925</v>
      </c>
      <c r="AN801" s="76" t="s">
        <v>14033</v>
      </c>
      <c r="AO801" s="76" t="s">
        <v>24034</v>
      </c>
      <c r="AP801" s="83" t="str">
        <f>HYPERLINK("https://t.co/QEauS1z4tD")</f>
        <v>https://t.co/QEauS1z4tD</v>
      </c>
      <c r="AQ801" s="83" t="str">
        <f>HYPERLINK("https://olhargreen.com.br/")</f>
        <v>https://olhargreen.com.br/</v>
      </c>
      <c r="AR801" s="76" t="s">
        <v>24692</v>
      </c>
      <c r="AS801" s="76"/>
      <c r="AT801" s="76"/>
      <c r="AU801" s="76"/>
      <c r="AV801" s="76"/>
      <c r="AW801" s="83" t="str">
        <f>HYPERLINK("https://t.co/QEauS1z4tD")</f>
        <v>https://t.co/QEauS1z4tD</v>
      </c>
      <c r="AX801" s="76" t="b">
        <v>0</v>
      </c>
      <c r="AY801" s="76"/>
      <c r="AZ801" s="76"/>
      <c r="BA801" s="76" t="b">
        <v>0</v>
      </c>
      <c r="BB801" s="76" t="b">
        <v>1</v>
      </c>
      <c r="BC801" s="76" t="b">
        <v>1</v>
      </c>
      <c r="BD801" s="76" t="b">
        <v>0</v>
      </c>
      <c r="BE801" s="76" t="b">
        <v>0</v>
      </c>
      <c r="BF801" s="76" t="b">
        <v>0</v>
      </c>
      <c r="BG801" s="76" t="b">
        <v>0</v>
      </c>
      <c r="BH801" s="83" t="str">
        <f>HYPERLINK("https://pbs.twimg.com/profile_banners/1458067770806083588/1680180469")</f>
        <v>https://pbs.twimg.com/profile_banners/1458067770806083588/1680180469</v>
      </c>
      <c r="BI801" s="76"/>
      <c r="BJ801" s="76" t="s">
        <v>24935</v>
      </c>
      <c r="BK801" s="76" t="b">
        <v>0</v>
      </c>
      <c r="BL801" s="76"/>
      <c r="BM801" s="76" t="s">
        <v>66</v>
      </c>
      <c r="BN801" s="76" t="s">
        <v>24937</v>
      </c>
      <c r="BO801" s="83" t="str">
        <f>HYPERLINK("https://twitter.com/olhargreen")</f>
        <v>https://twitter.com/olhargreen</v>
      </c>
      <c r="BP801" s="2"/>
    </row>
    <row r="802" spans="1:68" x14ac:dyDescent="0.25">
      <c r="A802" s="62" t="s">
        <v>990</v>
      </c>
      <c r="B802" s="63"/>
      <c r="C802" s="63"/>
      <c r="D802" s="64"/>
      <c r="E802" s="66"/>
      <c r="F802" s="102" t="str">
        <f>HYPERLINK("https://pbs.twimg.com/profile_images/1653491699581169664/00R5R7vN_normal.jpg")</f>
        <v>https://pbs.twimg.com/profile_images/1653491699581169664/00R5R7vN_normal.jpg</v>
      </c>
      <c r="G802" s="63"/>
      <c r="H802" s="67"/>
      <c r="I802" s="68"/>
      <c r="J802" s="68"/>
      <c r="K802" s="67" t="s">
        <v>25736</v>
      </c>
      <c r="L802" s="71"/>
      <c r="M802" s="72"/>
      <c r="N802" s="72"/>
      <c r="O802" s="73"/>
      <c r="P802" s="74"/>
      <c r="Q802" s="74"/>
      <c r="R802" s="86"/>
      <c r="S802" s="86"/>
      <c r="T802" s="86"/>
      <c r="U802" s="86"/>
      <c r="V802" s="48"/>
      <c r="W802" s="48"/>
      <c r="X802" s="48"/>
      <c r="Y802" s="48"/>
      <c r="Z802" s="47"/>
      <c r="AA802" s="69">
        <v>802</v>
      </c>
      <c r="AB802" s="69"/>
      <c r="AC802" s="70"/>
      <c r="AD802" s="76" t="s">
        <v>22595</v>
      </c>
      <c r="AE802" s="81" t="s">
        <v>21588</v>
      </c>
      <c r="AF802" s="76">
        <v>1</v>
      </c>
      <c r="AG802" s="76">
        <v>12</v>
      </c>
      <c r="AH802" s="76">
        <v>11</v>
      </c>
      <c r="AI802" s="76">
        <v>0</v>
      </c>
      <c r="AJ802" s="76">
        <v>1</v>
      </c>
      <c r="AK802" s="76">
        <v>11</v>
      </c>
      <c r="AL802" s="76" t="b">
        <v>0</v>
      </c>
      <c r="AM802" s="78">
        <v>45010.884641203702</v>
      </c>
      <c r="AN802" s="76" t="s">
        <v>14033</v>
      </c>
      <c r="AO802" s="76" t="s">
        <v>24035</v>
      </c>
      <c r="AP802" s="83" t="str">
        <f>HYPERLINK("https://t.co/giU5aYTi5b")</f>
        <v>https://t.co/giU5aYTi5b</v>
      </c>
      <c r="AQ802" s="83" t="str">
        <f>HYPERLINK("https://www.youtube.com/channel/UCI5ruwNvCyzQT4QvF-miBQw")</f>
        <v>https://www.youtube.com/channel/UCI5ruwNvCyzQT4QvF-miBQw</v>
      </c>
      <c r="AR802" s="76" t="s">
        <v>24693</v>
      </c>
      <c r="AS802" s="76"/>
      <c r="AT802" s="76"/>
      <c r="AU802" s="76"/>
      <c r="AV802" s="76"/>
      <c r="AW802" s="83" t="str">
        <f>HYPERLINK("https://t.co/giU5aYTi5b")</f>
        <v>https://t.co/giU5aYTi5b</v>
      </c>
      <c r="AX802" s="76" t="b">
        <v>0</v>
      </c>
      <c r="AY802" s="76"/>
      <c r="AZ802" s="76"/>
      <c r="BA802" s="76" t="b">
        <v>0</v>
      </c>
      <c r="BB802" s="76" t="b">
        <v>1</v>
      </c>
      <c r="BC802" s="76" t="b">
        <v>1</v>
      </c>
      <c r="BD802" s="76" t="b">
        <v>0</v>
      </c>
      <c r="BE802" s="76" t="b">
        <v>0</v>
      </c>
      <c r="BF802" s="76" t="b">
        <v>0</v>
      </c>
      <c r="BG802" s="76" t="b">
        <v>0</v>
      </c>
      <c r="BH802" s="83" t="str">
        <f>HYPERLINK("https://pbs.twimg.com/profile_banners/1639737308206317568/1683058168")</f>
        <v>https://pbs.twimg.com/profile_banners/1639737308206317568/1683058168</v>
      </c>
      <c r="BI802" s="76"/>
      <c r="BJ802" s="76" t="s">
        <v>24935</v>
      </c>
      <c r="BK802" s="76" t="b">
        <v>0</v>
      </c>
      <c r="BL802" s="76"/>
      <c r="BM802" s="76" t="s">
        <v>66</v>
      </c>
      <c r="BN802" s="76" t="s">
        <v>24937</v>
      </c>
      <c r="BO802" s="83" t="str">
        <f>HYPERLINK("https://twitter.com/canal7ag")</f>
        <v>https://twitter.com/canal7ag</v>
      </c>
      <c r="BP802" s="2"/>
    </row>
    <row r="803" spans="1:68" x14ac:dyDescent="0.25">
      <c r="A803" s="62" t="s">
        <v>991</v>
      </c>
      <c r="B803" s="63"/>
      <c r="C803" s="63"/>
      <c r="D803" s="64"/>
      <c r="E803" s="66"/>
      <c r="F803" s="102" t="str">
        <f>HYPERLINK("https://pbs.twimg.com/profile_images/1544332235284832258/j-6CK29S_normal.jpg")</f>
        <v>https://pbs.twimg.com/profile_images/1544332235284832258/j-6CK29S_normal.jpg</v>
      </c>
      <c r="G803" s="63"/>
      <c r="H803" s="67"/>
      <c r="I803" s="68"/>
      <c r="J803" s="68"/>
      <c r="K803" s="67" t="s">
        <v>25737</v>
      </c>
      <c r="L803" s="71"/>
      <c r="M803" s="72"/>
      <c r="N803" s="72"/>
      <c r="O803" s="73"/>
      <c r="P803" s="74"/>
      <c r="Q803" s="74"/>
      <c r="R803" s="86"/>
      <c r="S803" s="86"/>
      <c r="T803" s="86"/>
      <c r="U803" s="86"/>
      <c r="V803" s="48"/>
      <c r="W803" s="48"/>
      <c r="X803" s="48"/>
      <c r="Y803" s="48"/>
      <c r="Z803" s="47"/>
      <c r="AA803" s="69">
        <v>803</v>
      </c>
      <c r="AB803" s="69"/>
      <c r="AC803" s="70"/>
      <c r="AD803" s="76" t="s">
        <v>22596</v>
      </c>
      <c r="AE803" s="81" t="s">
        <v>21589</v>
      </c>
      <c r="AF803" s="76">
        <v>33</v>
      </c>
      <c r="AG803" s="76">
        <v>17</v>
      </c>
      <c r="AH803" s="76">
        <v>584</v>
      </c>
      <c r="AI803" s="76">
        <v>0</v>
      </c>
      <c r="AJ803" s="76">
        <v>3</v>
      </c>
      <c r="AK803" s="76">
        <v>492</v>
      </c>
      <c r="AL803" s="76" t="b">
        <v>0</v>
      </c>
      <c r="AM803" s="78">
        <v>43396.934814814813</v>
      </c>
      <c r="AN803" s="76" t="s">
        <v>23281</v>
      </c>
      <c r="AO803" s="76" t="s">
        <v>24036</v>
      </c>
      <c r="AP803" s="83" t="str">
        <f>HYPERLINK("https://t.co/tEBZU8yByx")</f>
        <v>https://t.co/tEBZU8yByx</v>
      </c>
      <c r="AQ803" s="83" t="str">
        <f>HYPERLINK("https://www.youtube.com/channel/UCNqChDJibFwpEDkfERmo00A")</f>
        <v>https://www.youtube.com/channel/UCNqChDJibFwpEDkfERmo00A</v>
      </c>
      <c r="AR803" s="76" t="s">
        <v>24694</v>
      </c>
      <c r="AS803" s="76"/>
      <c r="AT803" s="76"/>
      <c r="AU803" s="76"/>
      <c r="AV803" s="76"/>
      <c r="AW803" s="83" t="str">
        <f>HYPERLINK("https://t.co/tEBZU8yByx")</f>
        <v>https://t.co/tEBZU8yByx</v>
      </c>
      <c r="AX803" s="76" t="b">
        <v>0</v>
      </c>
      <c r="AY803" s="76"/>
      <c r="AZ803" s="76"/>
      <c r="BA803" s="76" t="b">
        <v>0</v>
      </c>
      <c r="BB803" s="76" t="b">
        <v>1</v>
      </c>
      <c r="BC803" s="76" t="b">
        <v>1</v>
      </c>
      <c r="BD803" s="76" t="b">
        <v>0</v>
      </c>
      <c r="BE803" s="76" t="b">
        <v>0</v>
      </c>
      <c r="BF803" s="76" t="b">
        <v>0</v>
      </c>
      <c r="BG803" s="76" t="b">
        <v>0</v>
      </c>
      <c r="BH803" s="83" t="str">
        <f>HYPERLINK("https://pbs.twimg.com/profile_banners/1054861559296675841/1613508269")</f>
        <v>https://pbs.twimg.com/profile_banners/1054861559296675841/1613508269</v>
      </c>
      <c r="BI803" s="76"/>
      <c r="BJ803" s="76" t="s">
        <v>24935</v>
      </c>
      <c r="BK803" s="76" t="b">
        <v>0</v>
      </c>
      <c r="BL803" s="76"/>
      <c r="BM803" s="76" t="s">
        <v>66</v>
      </c>
      <c r="BN803" s="76" t="s">
        <v>24937</v>
      </c>
      <c r="BO803" s="83" t="str">
        <f>HYPERLINK("https://twitter.com/jfugice")</f>
        <v>https://twitter.com/jfugice</v>
      </c>
      <c r="BP803" s="2"/>
    </row>
    <row r="804" spans="1:68" x14ac:dyDescent="0.25">
      <c r="A804" s="62" t="s">
        <v>992</v>
      </c>
      <c r="B804" s="63"/>
      <c r="C804" s="63"/>
      <c r="D804" s="64"/>
      <c r="E804" s="66"/>
      <c r="F804" s="102" t="str">
        <f>HYPERLINK("https://pbs.twimg.com/profile_images/1487943892238540802/t6D505q0_normal.jpg")</f>
        <v>https://pbs.twimg.com/profile_images/1487943892238540802/t6D505q0_normal.jpg</v>
      </c>
      <c r="G804" s="63"/>
      <c r="H804" s="67"/>
      <c r="I804" s="68"/>
      <c r="J804" s="68"/>
      <c r="K804" s="67" t="s">
        <v>25738</v>
      </c>
      <c r="L804" s="71"/>
      <c r="M804" s="72"/>
      <c r="N804" s="72"/>
      <c r="O804" s="73"/>
      <c r="P804" s="74"/>
      <c r="Q804" s="74"/>
      <c r="R804" s="86"/>
      <c r="S804" s="86"/>
      <c r="T804" s="86"/>
      <c r="U804" s="86"/>
      <c r="V804" s="48"/>
      <c r="W804" s="48"/>
      <c r="X804" s="48"/>
      <c r="Y804" s="48"/>
      <c r="Z804" s="47"/>
      <c r="AA804" s="69">
        <v>804</v>
      </c>
      <c r="AB804" s="69"/>
      <c r="AC804" s="70"/>
      <c r="AD804" s="76" t="s">
        <v>22597</v>
      </c>
      <c r="AE804" s="81" t="s">
        <v>23015</v>
      </c>
      <c r="AF804" s="76">
        <v>18</v>
      </c>
      <c r="AG804" s="76">
        <v>88</v>
      </c>
      <c r="AH804" s="76">
        <v>125</v>
      </c>
      <c r="AI804" s="76">
        <v>0</v>
      </c>
      <c r="AJ804" s="76">
        <v>637</v>
      </c>
      <c r="AK804" s="76">
        <v>27</v>
      </c>
      <c r="AL804" s="76" t="b">
        <v>0</v>
      </c>
      <c r="AM804" s="78">
        <v>41032.097974537035</v>
      </c>
      <c r="AN804" s="76" t="s">
        <v>14040</v>
      </c>
      <c r="AO804" s="76" t="s">
        <v>24037</v>
      </c>
      <c r="AP804" s="83" t="str">
        <f>HYPERLINK("https://t.co/F2pvjqWU2i")</f>
        <v>https://t.co/F2pvjqWU2i</v>
      </c>
      <c r="AQ804" s="83" t="str">
        <f>HYPERLINK("http://mpago.li/1ADqCyH")</f>
        <v>http://mpago.li/1ADqCyH</v>
      </c>
      <c r="AR804" s="76" t="s">
        <v>24695</v>
      </c>
      <c r="AS804" s="76"/>
      <c r="AT804" s="76"/>
      <c r="AU804" s="76"/>
      <c r="AV804" s="76">
        <v>1.70549788604831E+18</v>
      </c>
      <c r="AW804" s="83" t="str">
        <f>HYPERLINK("https://t.co/F2pvjqWU2i")</f>
        <v>https://t.co/F2pvjqWU2i</v>
      </c>
      <c r="AX804" s="76" t="b">
        <v>0</v>
      </c>
      <c r="AY804" s="76"/>
      <c r="AZ804" s="76"/>
      <c r="BA804" s="76" t="b">
        <v>0</v>
      </c>
      <c r="BB804" s="76" t="b">
        <v>1</v>
      </c>
      <c r="BC804" s="76" t="b">
        <v>0</v>
      </c>
      <c r="BD804" s="76" t="b">
        <v>0</v>
      </c>
      <c r="BE804" s="76" t="b">
        <v>0</v>
      </c>
      <c r="BF804" s="76" t="b">
        <v>0</v>
      </c>
      <c r="BG804" s="76" t="b">
        <v>0</v>
      </c>
      <c r="BH804" s="83" t="str">
        <f>HYPERLINK("https://pbs.twimg.com/profile_banners/569614540/1460511336")</f>
        <v>https://pbs.twimg.com/profile_banners/569614540/1460511336</v>
      </c>
      <c r="BI804" s="76"/>
      <c r="BJ804" s="76" t="s">
        <v>24935</v>
      </c>
      <c r="BK804" s="76" t="b">
        <v>0</v>
      </c>
      <c r="BL804" s="76"/>
      <c r="BM804" s="76" t="s">
        <v>66</v>
      </c>
      <c r="BN804" s="76" t="s">
        <v>24937</v>
      </c>
      <c r="BO804" s="83" t="str">
        <f>HYPERLINK("https://twitter.com/tamiscosta_")</f>
        <v>https://twitter.com/tamiscosta_</v>
      </c>
      <c r="BP804" s="2"/>
    </row>
    <row r="805" spans="1:68" x14ac:dyDescent="0.25">
      <c r="A805" s="62" t="s">
        <v>993</v>
      </c>
      <c r="B805" s="63"/>
      <c r="C805" s="63"/>
      <c r="D805" s="64"/>
      <c r="E805" s="66"/>
      <c r="F805" s="102" t="str">
        <f>HYPERLINK("https://pbs.twimg.com/profile_images/1472713028827291651/jop1q8v8_normal.jpg")</f>
        <v>https://pbs.twimg.com/profile_images/1472713028827291651/jop1q8v8_normal.jpg</v>
      </c>
      <c r="G805" s="63"/>
      <c r="H805" s="67"/>
      <c r="I805" s="68"/>
      <c r="J805" s="68"/>
      <c r="K805" s="67" t="s">
        <v>25739</v>
      </c>
      <c r="L805" s="71"/>
      <c r="M805" s="72"/>
      <c r="N805" s="72"/>
      <c r="O805" s="73"/>
      <c r="P805" s="74"/>
      <c r="Q805" s="74"/>
      <c r="R805" s="86"/>
      <c r="S805" s="86"/>
      <c r="T805" s="86"/>
      <c r="U805" s="86"/>
      <c r="V805" s="48"/>
      <c r="W805" s="48"/>
      <c r="X805" s="48"/>
      <c r="Y805" s="48"/>
      <c r="Z805" s="47"/>
      <c r="AA805" s="69">
        <v>805</v>
      </c>
      <c r="AB805" s="69"/>
      <c r="AC805" s="70"/>
      <c r="AD805" s="76" t="s">
        <v>22598</v>
      </c>
      <c r="AE805" s="81" t="s">
        <v>21590</v>
      </c>
      <c r="AF805" s="76">
        <v>4</v>
      </c>
      <c r="AG805" s="76">
        <v>35</v>
      </c>
      <c r="AH805" s="76">
        <v>57</v>
      </c>
      <c r="AI805" s="76">
        <v>0</v>
      </c>
      <c r="AJ805" s="76">
        <v>27</v>
      </c>
      <c r="AK805" s="76">
        <v>7</v>
      </c>
      <c r="AL805" s="76" t="b">
        <v>0</v>
      </c>
      <c r="AM805" s="78">
        <v>44549.985208333332</v>
      </c>
      <c r="AN805" s="76"/>
      <c r="AO805" s="76"/>
      <c r="AP805" s="76"/>
      <c r="AQ805" s="76"/>
      <c r="AR805" s="76"/>
      <c r="AS805" s="76"/>
      <c r="AT805" s="76"/>
      <c r="AU805" s="76"/>
      <c r="AV805" s="76">
        <v>1.48633420981598E+18</v>
      </c>
      <c r="AW805" s="76"/>
      <c r="AX805" s="76" t="b">
        <v>0</v>
      </c>
      <c r="AY805" s="76"/>
      <c r="AZ805" s="76"/>
      <c r="BA805" s="76" t="b">
        <v>0</v>
      </c>
      <c r="BB805" s="76" t="b">
        <v>1</v>
      </c>
      <c r="BC805" s="76" t="b">
        <v>1</v>
      </c>
      <c r="BD805" s="76" t="b">
        <v>0</v>
      </c>
      <c r="BE805" s="76" t="b">
        <v>0</v>
      </c>
      <c r="BF805" s="76" t="b">
        <v>0</v>
      </c>
      <c r="BG805" s="76" t="b">
        <v>0</v>
      </c>
      <c r="BH805" s="76"/>
      <c r="BI805" s="76"/>
      <c r="BJ805" s="76" t="s">
        <v>24935</v>
      </c>
      <c r="BK805" s="76" t="b">
        <v>0</v>
      </c>
      <c r="BL805" s="76"/>
      <c r="BM805" s="76" t="s">
        <v>66</v>
      </c>
      <c r="BN805" s="76" t="s">
        <v>24937</v>
      </c>
      <c r="BO805" s="83" t="str">
        <f>HYPERLINK("https://twitter.com/tchoyasilva1")</f>
        <v>https://twitter.com/tchoyasilva1</v>
      </c>
      <c r="BP805" s="2"/>
    </row>
    <row r="806" spans="1:68" x14ac:dyDescent="0.25">
      <c r="A806" s="62" t="s">
        <v>994</v>
      </c>
      <c r="B806" s="63"/>
      <c r="C806" s="63"/>
      <c r="D806" s="64"/>
      <c r="E806" s="66"/>
      <c r="F806" s="102" t="str">
        <f>HYPERLINK("https://pbs.twimg.com/profile_images/1703222095239364608/zv9eOoJK_normal.jpg")</f>
        <v>https://pbs.twimg.com/profile_images/1703222095239364608/zv9eOoJK_normal.jpg</v>
      </c>
      <c r="G806" s="63"/>
      <c r="H806" s="67"/>
      <c r="I806" s="68"/>
      <c r="J806" s="68"/>
      <c r="K806" s="67" t="s">
        <v>25740</v>
      </c>
      <c r="L806" s="71"/>
      <c r="M806" s="72"/>
      <c r="N806" s="72"/>
      <c r="O806" s="73"/>
      <c r="P806" s="74"/>
      <c r="Q806" s="74"/>
      <c r="R806" s="86"/>
      <c r="S806" s="86"/>
      <c r="T806" s="86"/>
      <c r="U806" s="86"/>
      <c r="V806" s="48"/>
      <c r="W806" s="48"/>
      <c r="X806" s="48"/>
      <c r="Y806" s="48"/>
      <c r="Z806" s="47"/>
      <c r="AA806" s="69">
        <v>806</v>
      </c>
      <c r="AB806" s="69"/>
      <c r="AC806" s="70"/>
      <c r="AD806" s="76" t="s">
        <v>22599</v>
      </c>
      <c r="AE806" s="81" t="s">
        <v>21591</v>
      </c>
      <c r="AF806" s="76">
        <v>0</v>
      </c>
      <c r="AG806" s="76">
        <v>2</v>
      </c>
      <c r="AH806" s="76">
        <v>13</v>
      </c>
      <c r="AI806" s="76">
        <v>0</v>
      </c>
      <c r="AJ806" s="76">
        <v>0</v>
      </c>
      <c r="AK806" s="76">
        <v>13</v>
      </c>
      <c r="AL806" s="76" t="b">
        <v>0</v>
      </c>
      <c r="AM806" s="78">
        <v>45186.068379629629</v>
      </c>
      <c r="AN806" s="76"/>
      <c r="AO806" s="76" t="s">
        <v>24038</v>
      </c>
      <c r="AP806" s="83" t="str">
        <f>HYPERLINK("https://t.co/uWtCWghw1z")</f>
        <v>https://t.co/uWtCWghw1z</v>
      </c>
      <c r="AQ806" s="83" t="str">
        <f>HYPERLINK("https://chat.whatsapp.com/Fgiy4LHdXwp3ETEoGTC6Vl")</f>
        <v>https://chat.whatsapp.com/Fgiy4LHdXwp3ETEoGTC6Vl</v>
      </c>
      <c r="AR806" s="76" t="s">
        <v>24696</v>
      </c>
      <c r="AS806" s="76"/>
      <c r="AT806" s="76"/>
      <c r="AU806" s="76"/>
      <c r="AV806" s="76"/>
      <c r="AW806" s="83" t="str">
        <f>HYPERLINK("https://t.co/uWtCWghw1z")</f>
        <v>https://t.co/uWtCWghw1z</v>
      </c>
      <c r="AX806" s="76" t="b">
        <v>0</v>
      </c>
      <c r="AY806" s="76"/>
      <c r="AZ806" s="76"/>
      <c r="BA806" s="76" t="b">
        <v>1</v>
      </c>
      <c r="BB806" s="76" t="b">
        <v>1</v>
      </c>
      <c r="BC806" s="76" t="b">
        <v>1</v>
      </c>
      <c r="BD806" s="76" t="b">
        <v>0</v>
      </c>
      <c r="BE806" s="76" t="b">
        <v>0</v>
      </c>
      <c r="BF806" s="76" t="b">
        <v>0</v>
      </c>
      <c r="BG806" s="76" t="b">
        <v>0</v>
      </c>
      <c r="BH806" s="83" t="str">
        <f>HYPERLINK("https://pbs.twimg.com/profile_banners/1703221795225001984/1694915352")</f>
        <v>https://pbs.twimg.com/profile_banners/1703221795225001984/1694915352</v>
      </c>
      <c r="BI806" s="76"/>
      <c r="BJ806" s="76" t="s">
        <v>24935</v>
      </c>
      <c r="BK806" s="76" t="b">
        <v>0</v>
      </c>
      <c r="BL806" s="76"/>
      <c r="BM806" s="76" t="s">
        <v>66</v>
      </c>
      <c r="BN806" s="76" t="s">
        <v>24937</v>
      </c>
      <c r="BO806" s="83" t="str">
        <f>HYPERLINK("https://twitter.com/slotsdazuzu")</f>
        <v>https://twitter.com/slotsdazuzu</v>
      </c>
      <c r="BP806" s="2"/>
    </row>
    <row r="807" spans="1:68" x14ac:dyDescent="0.25">
      <c r="A807" s="62" t="s">
        <v>995</v>
      </c>
      <c r="B807" s="63"/>
      <c r="C807" s="63"/>
      <c r="D807" s="64"/>
      <c r="E807" s="66"/>
      <c r="F807" s="102" t="str">
        <f>HYPERLINK("https://pbs.twimg.com/profile_images/1692630860581785601/Sgapxxwx_normal.jpg")</f>
        <v>https://pbs.twimg.com/profile_images/1692630860581785601/Sgapxxwx_normal.jpg</v>
      </c>
      <c r="G807" s="63"/>
      <c r="H807" s="67"/>
      <c r="I807" s="68"/>
      <c r="J807" s="68"/>
      <c r="K807" s="67" t="s">
        <v>25741</v>
      </c>
      <c r="L807" s="71"/>
      <c r="M807" s="72"/>
      <c r="N807" s="72"/>
      <c r="O807" s="73"/>
      <c r="P807" s="74"/>
      <c r="Q807" s="74"/>
      <c r="R807" s="86"/>
      <c r="S807" s="86"/>
      <c r="T807" s="86"/>
      <c r="U807" s="86"/>
      <c r="V807" s="48"/>
      <c r="W807" s="48"/>
      <c r="X807" s="48"/>
      <c r="Y807" s="48"/>
      <c r="Z807" s="47"/>
      <c r="AA807" s="69">
        <v>807</v>
      </c>
      <c r="AB807" s="69"/>
      <c r="AC807" s="70"/>
      <c r="AD807" s="76" t="s">
        <v>22600</v>
      </c>
      <c r="AE807" s="81" t="s">
        <v>23016</v>
      </c>
      <c r="AF807" s="76">
        <v>181</v>
      </c>
      <c r="AG807" s="76">
        <v>335</v>
      </c>
      <c r="AH807" s="76">
        <v>5858</v>
      </c>
      <c r="AI807" s="76">
        <v>1</v>
      </c>
      <c r="AJ807" s="76">
        <v>10148</v>
      </c>
      <c r="AK807" s="76">
        <v>144</v>
      </c>
      <c r="AL807" s="76" t="b">
        <v>0</v>
      </c>
      <c r="AM807" s="78">
        <v>41969.416886574072</v>
      </c>
      <c r="AN807" s="76" t="s">
        <v>23282</v>
      </c>
      <c r="AO807" s="76" t="s">
        <v>24039</v>
      </c>
      <c r="AP807" s="83" t="str">
        <f>HYPERLINK("https://t.co/B7voBt1fQQ")</f>
        <v>https://t.co/B7voBt1fQQ</v>
      </c>
      <c r="AQ807" s="83" t="str">
        <f>HYPERLINK("https://instagram.com/loohcarolline?igshid=YmMyMTA2M2Y=")</f>
        <v>https://instagram.com/loohcarolline?igshid=YmMyMTA2M2Y=</v>
      </c>
      <c r="AR807" s="76" t="s">
        <v>24697</v>
      </c>
      <c r="AS807" s="76"/>
      <c r="AT807" s="76"/>
      <c r="AU807" s="76"/>
      <c r="AV807" s="76"/>
      <c r="AW807" s="83" t="str">
        <f>HYPERLINK("https://t.co/B7voBt1fQQ")</f>
        <v>https://t.co/B7voBt1fQQ</v>
      </c>
      <c r="AX807" s="76" t="b">
        <v>0</v>
      </c>
      <c r="AY807" s="76"/>
      <c r="AZ807" s="76"/>
      <c r="BA807" s="76" t="b">
        <v>1</v>
      </c>
      <c r="BB807" s="76" t="b">
        <v>0</v>
      </c>
      <c r="BC807" s="76" t="b">
        <v>0</v>
      </c>
      <c r="BD807" s="76" t="b">
        <v>0</v>
      </c>
      <c r="BE807" s="76" t="b">
        <v>0</v>
      </c>
      <c r="BF807" s="76" t="b">
        <v>0</v>
      </c>
      <c r="BG807" s="76" t="b">
        <v>0</v>
      </c>
      <c r="BH807" s="83" t="str">
        <f>HYPERLINK("https://pbs.twimg.com/profile_banners/2893182514/1691522342")</f>
        <v>https://pbs.twimg.com/profile_banners/2893182514/1691522342</v>
      </c>
      <c r="BI807" s="76"/>
      <c r="BJ807" s="76" t="s">
        <v>24935</v>
      </c>
      <c r="BK807" s="76" t="b">
        <v>0</v>
      </c>
      <c r="BL807" s="76"/>
      <c r="BM807" s="76" t="s">
        <v>66</v>
      </c>
      <c r="BN807" s="76" t="s">
        <v>24937</v>
      </c>
      <c r="BO807" s="83" t="str">
        <f>HYPERLINK("https://twitter.com/loohcarolline")</f>
        <v>https://twitter.com/loohcarolline</v>
      </c>
      <c r="BP807" s="2"/>
    </row>
    <row r="808" spans="1:68" x14ac:dyDescent="0.25">
      <c r="A808" s="62" t="s">
        <v>996</v>
      </c>
      <c r="B808" s="63"/>
      <c r="C808" s="63"/>
      <c r="D808" s="64"/>
      <c r="E808" s="66"/>
      <c r="F808" s="102" t="str">
        <f>HYPERLINK("https://pbs.twimg.com/profile_images/1596938044225060866/GyxS2nJR_normal.jpg")</f>
        <v>https://pbs.twimg.com/profile_images/1596938044225060866/GyxS2nJR_normal.jpg</v>
      </c>
      <c r="G808" s="63"/>
      <c r="H808" s="67"/>
      <c r="I808" s="68"/>
      <c r="J808" s="68"/>
      <c r="K808" s="67" t="s">
        <v>25742</v>
      </c>
      <c r="L808" s="71"/>
      <c r="M808" s="72"/>
      <c r="N808" s="72"/>
      <c r="O808" s="73"/>
      <c r="P808" s="74"/>
      <c r="Q808" s="74"/>
      <c r="R808" s="86"/>
      <c r="S808" s="86"/>
      <c r="T808" s="86"/>
      <c r="U808" s="86"/>
      <c r="V808" s="48"/>
      <c r="W808" s="48"/>
      <c r="X808" s="48"/>
      <c r="Y808" s="48"/>
      <c r="Z808" s="47"/>
      <c r="AA808" s="69">
        <v>808</v>
      </c>
      <c r="AB808" s="69"/>
      <c r="AC808" s="70"/>
      <c r="AD808" s="76" t="s">
        <v>22601</v>
      </c>
      <c r="AE808" s="81" t="s">
        <v>23017</v>
      </c>
      <c r="AF808" s="76">
        <v>915</v>
      </c>
      <c r="AG808" s="76">
        <v>840</v>
      </c>
      <c r="AH808" s="76">
        <v>15122</v>
      </c>
      <c r="AI808" s="76">
        <v>1</v>
      </c>
      <c r="AJ808" s="76">
        <v>66513</v>
      </c>
      <c r="AK808" s="76">
        <v>583</v>
      </c>
      <c r="AL808" s="76" t="b">
        <v>0</v>
      </c>
      <c r="AM808" s="78">
        <v>40488.080034722225</v>
      </c>
      <c r="AN808" s="76"/>
      <c r="AO808" s="76" t="s">
        <v>24040</v>
      </c>
      <c r="AP808" s="76"/>
      <c r="AQ808" s="76"/>
      <c r="AR808" s="76"/>
      <c r="AS808" s="76"/>
      <c r="AT808" s="76"/>
      <c r="AU808" s="76"/>
      <c r="AV808" s="76"/>
      <c r="AW808" s="76"/>
      <c r="AX808" s="76" t="b">
        <v>0</v>
      </c>
      <c r="AY808" s="76"/>
      <c r="AZ808" s="76"/>
      <c r="BA808" s="76" t="b">
        <v>0</v>
      </c>
      <c r="BB808" s="76" t="b">
        <v>1</v>
      </c>
      <c r="BC808" s="76" t="b">
        <v>0</v>
      </c>
      <c r="BD808" s="76" t="b">
        <v>0</v>
      </c>
      <c r="BE808" s="76" t="b">
        <v>1</v>
      </c>
      <c r="BF808" s="76" t="b">
        <v>0</v>
      </c>
      <c r="BG808" s="76" t="b">
        <v>0</v>
      </c>
      <c r="BH808" s="83" t="str">
        <f>HYPERLINK("https://pbs.twimg.com/profile_banners/212431065/1644589424")</f>
        <v>https://pbs.twimg.com/profile_banners/212431065/1644589424</v>
      </c>
      <c r="BI808" s="76"/>
      <c r="BJ808" s="76" t="s">
        <v>24935</v>
      </c>
      <c r="BK808" s="76" t="b">
        <v>0</v>
      </c>
      <c r="BL808" s="76"/>
      <c r="BM808" s="76" t="s">
        <v>66</v>
      </c>
      <c r="BN808" s="76" t="s">
        <v>24937</v>
      </c>
      <c r="BO808" s="83" t="str">
        <f>HYPERLINK("https://twitter.com/jobsonpacheco")</f>
        <v>https://twitter.com/jobsonpacheco</v>
      </c>
      <c r="BP808" s="2"/>
    </row>
    <row r="809" spans="1:68" x14ac:dyDescent="0.25">
      <c r="A809" s="62" t="s">
        <v>997</v>
      </c>
      <c r="B809" s="63"/>
      <c r="C809" s="63"/>
      <c r="D809" s="64"/>
      <c r="E809" s="66"/>
      <c r="F809" s="102" t="str">
        <f>HYPERLINK("https://pbs.twimg.com/profile_images/1621156735762440193/bCL5YVwT_normal.jpg")</f>
        <v>https://pbs.twimg.com/profile_images/1621156735762440193/bCL5YVwT_normal.jpg</v>
      </c>
      <c r="G809" s="63"/>
      <c r="H809" s="67"/>
      <c r="I809" s="68"/>
      <c r="J809" s="68"/>
      <c r="K809" s="67" t="s">
        <v>25743</v>
      </c>
      <c r="L809" s="71"/>
      <c r="M809" s="72"/>
      <c r="N809" s="72"/>
      <c r="O809" s="73"/>
      <c r="P809" s="74"/>
      <c r="Q809" s="74"/>
      <c r="R809" s="86"/>
      <c r="S809" s="86"/>
      <c r="T809" s="86"/>
      <c r="U809" s="86"/>
      <c r="V809" s="48"/>
      <c r="W809" s="48"/>
      <c r="X809" s="48"/>
      <c r="Y809" s="48"/>
      <c r="Z809" s="47"/>
      <c r="AA809" s="69">
        <v>809</v>
      </c>
      <c r="AB809" s="69"/>
      <c r="AC809" s="70"/>
      <c r="AD809" s="76" t="s">
        <v>22602</v>
      </c>
      <c r="AE809" s="81" t="s">
        <v>21592</v>
      </c>
      <c r="AF809" s="76">
        <v>0</v>
      </c>
      <c r="AG809" s="76">
        <v>1</v>
      </c>
      <c r="AH809" s="76">
        <v>9</v>
      </c>
      <c r="AI809" s="76">
        <v>0</v>
      </c>
      <c r="AJ809" s="76">
        <v>0</v>
      </c>
      <c r="AK809" s="76">
        <v>7</v>
      </c>
      <c r="AL809" s="76" t="b">
        <v>0</v>
      </c>
      <c r="AM809" s="78">
        <v>44959.611793981479</v>
      </c>
      <c r="AN809" s="76"/>
      <c r="AO809" s="76"/>
      <c r="AP809" s="76"/>
      <c r="AQ809" s="76"/>
      <c r="AR809" s="76"/>
      <c r="AS809" s="76"/>
      <c r="AT809" s="76"/>
      <c r="AU809" s="76"/>
      <c r="AV809" s="76"/>
      <c r="AW809" s="76"/>
      <c r="AX809" s="76" t="b">
        <v>0</v>
      </c>
      <c r="AY809" s="76"/>
      <c r="AZ809" s="76"/>
      <c r="BA809" s="76" t="b">
        <v>0</v>
      </c>
      <c r="BB809" s="76" t="b">
        <v>1</v>
      </c>
      <c r="BC809" s="76" t="b">
        <v>1</v>
      </c>
      <c r="BD809" s="76" t="b">
        <v>0</v>
      </c>
      <c r="BE809" s="76" t="b">
        <v>0</v>
      </c>
      <c r="BF809" s="76" t="b">
        <v>0</v>
      </c>
      <c r="BG809" s="76" t="b">
        <v>0</v>
      </c>
      <c r="BH809" s="76"/>
      <c r="BI809" s="76"/>
      <c r="BJ809" s="76" t="s">
        <v>24935</v>
      </c>
      <c r="BK809" s="76" t="b">
        <v>0</v>
      </c>
      <c r="BL809" s="76"/>
      <c r="BM809" s="76" t="s">
        <v>66</v>
      </c>
      <c r="BN809" s="76" t="s">
        <v>24937</v>
      </c>
      <c r="BO809" s="83" t="str">
        <f>HYPERLINK("https://twitter.com/renatamontezz")</f>
        <v>https://twitter.com/renatamontezz</v>
      </c>
      <c r="BP809" s="2"/>
    </row>
    <row r="810" spans="1:68" x14ac:dyDescent="0.25">
      <c r="A810" s="62" t="s">
        <v>998</v>
      </c>
      <c r="B810" s="63"/>
      <c r="C810" s="63"/>
      <c r="D810" s="64"/>
      <c r="E810" s="66"/>
      <c r="F810" s="102" t="str">
        <f>HYPERLINK("https://pbs.twimg.com/profile_images/1634665630799462400/6i5ih7KB_normal.jpg")</f>
        <v>https://pbs.twimg.com/profile_images/1634665630799462400/6i5ih7KB_normal.jpg</v>
      </c>
      <c r="G810" s="63"/>
      <c r="H810" s="67"/>
      <c r="I810" s="68"/>
      <c r="J810" s="68"/>
      <c r="K810" s="67" t="s">
        <v>25744</v>
      </c>
      <c r="L810" s="71"/>
      <c r="M810" s="72"/>
      <c r="N810" s="72"/>
      <c r="O810" s="73"/>
      <c r="P810" s="74"/>
      <c r="Q810" s="74"/>
      <c r="R810" s="86"/>
      <c r="S810" s="86"/>
      <c r="T810" s="86"/>
      <c r="U810" s="86"/>
      <c r="V810" s="48"/>
      <c r="W810" s="48"/>
      <c r="X810" s="48"/>
      <c r="Y810" s="48"/>
      <c r="Z810" s="47"/>
      <c r="AA810" s="69">
        <v>810</v>
      </c>
      <c r="AB810" s="69"/>
      <c r="AC810" s="70"/>
      <c r="AD810" s="76" t="s">
        <v>22603</v>
      </c>
      <c r="AE810" s="81" t="s">
        <v>21593</v>
      </c>
      <c r="AF810" s="76">
        <v>2</v>
      </c>
      <c r="AG810" s="76">
        <v>4</v>
      </c>
      <c r="AH810" s="76">
        <v>6</v>
      </c>
      <c r="AI810" s="76">
        <v>0</v>
      </c>
      <c r="AJ810" s="76">
        <v>5</v>
      </c>
      <c r="AK810" s="76">
        <v>3</v>
      </c>
      <c r="AL810" s="76" t="b">
        <v>0</v>
      </c>
      <c r="AM810" s="78">
        <v>44996.887349537035</v>
      </c>
      <c r="AN810" s="76"/>
      <c r="AO810" s="76" t="s">
        <v>24041</v>
      </c>
      <c r="AP810" s="83" t="str">
        <f>HYPERLINK("https://t.co/9ChYwTtOqk")</f>
        <v>https://t.co/9ChYwTtOqk</v>
      </c>
      <c r="AQ810" s="83" t="str">
        <f>HYPERLINK("http://prateleiraonline.shop/")</f>
        <v>http://prateleiraonline.shop/</v>
      </c>
      <c r="AR810" s="76" t="s">
        <v>7453</v>
      </c>
      <c r="AS810" s="76"/>
      <c r="AT810" s="76"/>
      <c r="AU810" s="76"/>
      <c r="AV810" s="76"/>
      <c r="AW810" s="83" t="str">
        <f>HYPERLINK("https://t.co/9ChYwTtOqk")</f>
        <v>https://t.co/9ChYwTtOqk</v>
      </c>
      <c r="AX810" s="76" t="b">
        <v>0</v>
      </c>
      <c r="AY810" s="76"/>
      <c r="AZ810" s="76"/>
      <c r="BA810" s="76" t="b">
        <v>0</v>
      </c>
      <c r="BB810" s="76" t="b">
        <v>1</v>
      </c>
      <c r="BC810" s="76" t="b">
        <v>1</v>
      </c>
      <c r="BD810" s="76" t="b">
        <v>0</v>
      </c>
      <c r="BE810" s="76" t="b">
        <v>0</v>
      </c>
      <c r="BF810" s="76" t="b">
        <v>0</v>
      </c>
      <c r="BG810" s="76" t="b">
        <v>0</v>
      </c>
      <c r="BH810" s="83" t="str">
        <f>HYPERLINK("https://pbs.twimg.com/profile_banners/1634664848687521792/1678569633")</f>
        <v>https://pbs.twimg.com/profile_banners/1634664848687521792/1678569633</v>
      </c>
      <c r="BI810" s="76"/>
      <c r="BJ810" s="76" t="s">
        <v>24935</v>
      </c>
      <c r="BK810" s="76" t="b">
        <v>0</v>
      </c>
      <c r="BL810" s="76"/>
      <c r="BM810" s="76" t="s">
        <v>66</v>
      </c>
      <c r="BN810" s="76" t="s">
        <v>24937</v>
      </c>
      <c r="BO810" s="83" t="str">
        <f>HYPERLINK("https://twitter.com/prateleirao")</f>
        <v>https://twitter.com/prateleirao</v>
      </c>
      <c r="BP810" s="2"/>
    </row>
    <row r="811" spans="1:68" x14ac:dyDescent="0.25">
      <c r="A811" s="62" t="s">
        <v>999</v>
      </c>
      <c r="B811" s="63"/>
      <c r="C811" s="63"/>
      <c r="D811" s="64"/>
      <c r="E811" s="66"/>
      <c r="F811" s="102" t="str">
        <f>HYPERLINK("https://pbs.twimg.com/profile_images/1648138603778768897/IAG5KGbp_normal.jpg")</f>
        <v>https://pbs.twimg.com/profile_images/1648138603778768897/IAG5KGbp_normal.jpg</v>
      </c>
      <c r="G811" s="63"/>
      <c r="H811" s="67"/>
      <c r="I811" s="68"/>
      <c r="J811" s="68"/>
      <c r="K811" s="67" t="s">
        <v>25745</v>
      </c>
      <c r="L811" s="71"/>
      <c r="M811" s="72"/>
      <c r="N811" s="72"/>
      <c r="O811" s="73"/>
      <c r="P811" s="74"/>
      <c r="Q811" s="74"/>
      <c r="R811" s="86"/>
      <c r="S811" s="86"/>
      <c r="T811" s="86"/>
      <c r="U811" s="86"/>
      <c r="V811" s="48"/>
      <c r="W811" s="48"/>
      <c r="X811" s="48"/>
      <c r="Y811" s="48"/>
      <c r="Z811" s="47"/>
      <c r="AA811" s="69">
        <v>811</v>
      </c>
      <c r="AB811" s="69"/>
      <c r="AC811" s="70"/>
      <c r="AD811" s="76" t="s">
        <v>22604</v>
      </c>
      <c r="AE811" s="81" t="s">
        <v>23018</v>
      </c>
      <c r="AF811" s="76">
        <v>1</v>
      </c>
      <c r="AG811" s="76">
        <v>111</v>
      </c>
      <c r="AH811" s="76">
        <v>14</v>
      </c>
      <c r="AI811" s="76">
        <v>0</v>
      </c>
      <c r="AJ811" s="76">
        <v>16</v>
      </c>
      <c r="AK811" s="76">
        <v>3</v>
      </c>
      <c r="AL811" s="76" t="b">
        <v>0</v>
      </c>
      <c r="AM811" s="78">
        <v>42263.108981481484</v>
      </c>
      <c r="AN811" s="76" t="s">
        <v>23253</v>
      </c>
      <c r="AO811" s="76" t="s">
        <v>24042</v>
      </c>
      <c r="AP811" s="76"/>
      <c r="AQ811" s="76"/>
      <c r="AR811" s="76"/>
      <c r="AS811" s="83" t="str">
        <f>HYPERLINK("https://t.co/qI6cy7tfb9")</f>
        <v>https://t.co/qI6cy7tfb9</v>
      </c>
      <c r="AT811" s="83" t="str">
        <f>HYPERLINK("https://edzz.la/NFHPA?a=64604500")</f>
        <v>https://edzz.la/NFHPA?a=64604500</v>
      </c>
      <c r="AU811" s="76" t="s">
        <v>24912</v>
      </c>
      <c r="AV811" s="76"/>
      <c r="AW811" s="76"/>
      <c r="AX811" s="76" t="b">
        <v>0</v>
      </c>
      <c r="AY811" s="76"/>
      <c r="AZ811" s="76"/>
      <c r="BA811" s="76" t="b">
        <v>0</v>
      </c>
      <c r="BB811" s="76" t="b">
        <v>0</v>
      </c>
      <c r="BC811" s="76" t="b">
        <v>1</v>
      </c>
      <c r="BD811" s="76" t="b">
        <v>0</v>
      </c>
      <c r="BE811" s="76" t="b">
        <v>0</v>
      </c>
      <c r="BF811" s="76" t="b">
        <v>0</v>
      </c>
      <c r="BG811" s="76" t="b">
        <v>0</v>
      </c>
      <c r="BH811" s="83" t="str">
        <f>HYPERLINK("https://pbs.twimg.com/profile_banners/3670197507/1442404724")</f>
        <v>https://pbs.twimg.com/profile_banners/3670197507/1442404724</v>
      </c>
      <c r="BI811" s="76"/>
      <c r="BJ811" s="76" t="s">
        <v>24935</v>
      </c>
      <c r="BK811" s="76" t="b">
        <v>0</v>
      </c>
      <c r="BL811" s="76"/>
      <c r="BM811" s="76" t="s">
        <v>66</v>
      </c>
      <c r="BN811" s="76" t="s">
        <v>24937</v>
      </c>
      <c r="BO811" s="83" t="str">
        <f>HYPERLINK("https://twitter.com/patriciafini")</f>
        <v>https://twitter.com/patriciafini</v>
      </c>
      <c r="BP811" s="2"/>
    </row>
    <row r="812" spans="1:68" x14ac:dyDescent="0.25">
      <c r="A812" s="62" t="s">
        <v>1000</v>
      </c>
      <c r="B812" s="63"/>
      <c r="C812" s="63"/>
      <c r="D812" s="64"/>
      <c r="E812" s="66"/>
      <c r="F812" s="102" t="str">
        <f>HYPERLINK("https://pbs.twimg.com/profile_images/1647353869880422401/-cnH8jhj_normal.jpg")</f>
        <v>https://pbs.twimg.com/profile_images/1647353869880422401/-cnH8jhj_normal.jpg</v>
      </c>
      <c r="G812" s="63"/>
      <c r="H812" s="67"/>
      <c r="I812" s="68"/>
      <c r="J812" s="68"/>
      <c r="K812" s="67" t="s">
        <v>25746</v>
      </c>
      <c r="L812" s="71"/>
      <c r="M812" s="72"/>
      <c r="N812" s="72"/>
      <c r="O812" s="73"/>
      <c r="P812" s="74"/>
      <c r="Q812" s="74"/>
      <c r="R812" s="86"/>
      <c r="S812" s="86"/>
      <c r="T812" s="86"/>
      <c r="U812" s="86"/>
      <c r="V812" s="48"/>
      <c r="W812" s="48"/>
      <c r="X812" s="48"/>
      <c r="Y812" s="48"/>
      <c r="Z812" s="47"/>
      <c r="AA812" s="69">
        <v>812</v>
      </c>
      <c r="AB812" s="69"/>
      <c r="AC812" s="70"/>
      <c r="AD812" s="76" t="s">
        <v>22605</v>
      </c>
      <c r="AE812" s="81" t="s">
        <v>23019</v>
      </c>
      <c r="AF812" s="76">
        <v>127</v>
      </c>
      <c r="AG812" s="76">
        <v>77</v>
      </c>
      <c r="AH812" s="76">
        <v>931</v>
      </c>
      <c r="AI812" s="76">
        <v>3</v>
      </c>
      <c r="AJ812" s="76">
        <v>85</v>
      </c>
      <c r="AK812" s="76">
        <v>74</v>
      </c>
      <c r="AL812" s="76" t="b">
        <v>0</v>
      </c>
      <c r="AM812" s="78">
        <v>40091.076284722221</v>
      </c>
      <c r="AN812" s="76" t="s">
        <v>23283</v>
      </c>
      <c r="AO812" s="76" t="s">
        <v>24043</v>
      </c>
      <c r="AP812" s="83" t="str">
        <f>HYPERLINK("https://t.co/HwOW7W5BTZ")</f>
        <v>https://t.co/HwOW7W5BTZ</v>
      </c>
      <c r="AQ812" s="83" t="str">
        <f>HYPERLINK("https://invistaelucre.com.br/dominando-os-investimentos-imobiliarios/")</f>
        <v>https://invistaelucre.com.br/dominando-os-investimentos-imobiliarios/</v>
      </c>
      <c r="AR812" s="76" t="s">
        <v>24698</v>
      </c>
      <c r="AS812" s="76"/>
      <c r="AT812" s="76"/>
      <c r="AU812" s="76"/>
      <c r="AV812" s="76"/>
      <c r="AW812" s="83" t="str">
        <f>HYPERLINK("https://t.co/HwOW7W5BTZ")</f>
        <v>https://t.co/HwOW7W5BTZ</v>
      </c>
      <c r="AX812" s="76" t="b">
        <v>0</v>
      </c>
      <c r="AY812" s="76"/>
      <c r="AZ812" s="76"/>
      <c r="BA812" s="76" t="b">
        <v>0</v>
      </c>
      <c r="BB812" s="76" t="b">
        <v>1</v>
      </c>
      <c r="BC812" s="76" t="b">
        <v>0</v>
      </c>
      <c r="BD812" s="76" t="b">
        <v>0</v>
      </c>
      <c r="BE812" s="76" t="b">
        <v>1</v>
      </c>
      <c r="BF812" s="76" t="b">
        <v>0</v>
      </c>
      <c r="BG812" s="76" t="b">
        <v>0</v>
      </c>
      <c r="BH812" s="76"/>
      <c r="BI812" s="76"/>
      <c r="BJ812" s="76" t="s">
        <v>24935</v>
      </c>
      <c r="BK812" s="76" t="b">
        <v>0</v>
      </c>
      <c r="BL812" s="76"/>
      <c r="BM812" s="76" t="s">
        <v>66</v>
      </c>
      <c r="BN812" s="76" t="s">
        <v>24937</v>
      </c>
      <c r="BO812" s="83" t="str">
        <f>HYPERLINK("https://twitter.com/engdaniloarruda")</f>
        <v>https://twitter.com/engdaniloarruda</v>
      </c>
      <c r="BP812" s="2"/>
    </row>
    <row r="813" spans="1:68" x14ac:dyDescent="0.25">
      <c r="A813" s="62" t="s">
        <v>1001</v>
      </c>
      <c r="B813" s="63"/>
      <c r="C813" s="63"/>
      <c r="D813" s="64"/>
      <c r="E813" s="66"/>
      <c r="F813" s="102" t="str">
        <f>HYPERLINK("https://pbs.twimg.com/profile_images/1661792653275529219/5z96qGOm_normal.jpg")</f>
        <v>https://pbs.twimg.com/profile_images/1661792653275529219/5z96qGOm_normal.jpg</v>
      </c>
      <c r="G813" s="63"/>
      <c r="H813" s="67"/>
      <c r="I813" s="68"/>
      <c r="J813" s="68"/>
      <c r="K813" s="67" t="s">
        <v>25747</v>
      </c>
      <c r="L813" s="71"/>
      <c r="M813" s="72"/>
      <c r="N813" s="72"/>
      <c r="O813" s="73"/>
      <c r="P813" s="74"/>
      <c r="Q813" s="74"/>
      <c r="R813" s="86"/>
      <c r="S813" s="86"/>
      <c r="T813" s="86"/>
      <c r="U813" s="86"/>
      <c r="V813" s="48"/>
      <c r="W813" s="48"/>
      <c r="X813" s="48"/>
      <c r="Y813" s="48"/>
      <c r="Z813" s="47"/>
      <c r="AA813" s="69">
        <v>813</v>
      </c>
      <c r="AB813" s="69"/>
      <c r="AC813" s="70"/>
      <c r="AD813" s="76" t="s">
        <v>22606</v>
      </c>
      <c r="AE813" s="81" t="s">
        <v>21594</v>
      </c>
      <c r="AF813" s="76">
        <v>5</v>
      </c>
      <c r="AG813" s="76">
        <v>24</v>
      </c>
      <c r="AH813" s="76">
        <v>29</v>
      </c>
      <c r="AI813" s="76">
        <v>0</v>
      </c>
      <c r="AJ813" s="76">
        <v>1628</v>
      </c>
      <c r="AK813" s="76">
        <v>23</v>
      </c>
      <c r="AL813" s="76" t="b">
        <v>0</v>
      </c>
      <c r="AM813" s="78">
        <v>44565.81659722222</v>
      </c>
      <c r="AN813" s="76"/>
      <c r="AO813" s="76" t="s">
        <v>24044</v>
      </c>
      <c r="AP813" s="76"/>
      <c r="AQ813" s="76"/>
      <c r="AR813" s="76"/>
      <c r="AS813" s="76"/>
      <c r="AT813" s="76"/>
      <c r="AU813" s="76"/>
      <c r="AV813" s="76"/>
      <c r="AW813" s="76"/>
      <c r="AX813" s="76" t="b">
        <v>0</v>
      </c>
      <c r="AY813" s="76"/>
      <c r="AZ813" s="76"/>
      <c r="BA813" s="76" t="b">
        <v>0</v>
      </c>
      <c r="BB813" s="76" t="b">
        <v>1</v>
      </c>
      <c r="BC813" s="76" t="b">
        <v>1</v>
      </c>
      <c r="BD813" s="76" t="b">
        <v>0</v>
      </c>
      <c r="BE813" s="76" t="b">
        <v>0</v>
      </c>
      <c r="BF813" s="76" t="b">
        <v>0</v>
      </c>
      <c r="BG813" s="76" t="b">
        <v>0</v>
      </c>
      <c r="BH813" s="83" t="str">
        <f>HYPERLINK("https://pbs.twimg.com/profile_banners/1478450029337665538/1685037230")</f>
        <v>https://pbs.twimg.com/profile_banners/1478450029337665538/1685037230</v>
      </c>
      <c r="BI813" s="76"/>
      <c r="BJ813" s="76" t="s">
        <v>24935</v>
      </c>
      <c r="BK813" s="76" t="b">
        <v>0</v>
      </c>
      <c r="BL813" s="76"/>
      <c r="BM813" s="76" t="s">
        <v>66</v>
      </c>
      <c r="BN813" s="76" t="s">
        <v>24937</v>
      </c>
      <c r="BO813" s="83" t="str">
        <f>HYPERLINK("https://twitter.com/mtalham2019")</f>
        <v>https://twitter.com/mtalham2019</v>
      </c>
      <c r="BP813" s="2"/>
    </row>
    <row r="814" spans="1:68" x14ac:dyDescent="0.25">
      <c r="A814" s="62" t="s">
        <v>1002</v>
      </c>
      <c r="B814" s="63"/>
      <c r="C814" s="63"/>
      <c r="D814" s="64"/>
      <c r="E814" s="66"/>
      <c r="F814" s="102" t="str">
        <f>HYPERLINK("https://pbs.twimg.com/profile_images/1563578581971636228/27Qj1QsN_normal.jpg")</f>
        <v>https://pbs.twimg.com/profile_images/1563578581971636228/27Qj1QsN_normal.jpg</v>
      </c>
      <c r="G814" s="63"/>
      <c r="H814" s="67"/>
      <c r="I814" s="68"/>
      <c r="J814" s="68"/>
      <c r="K814" s="67" t="s">
        <v>25748</v>
      </c>
      <c r="L814" s="71"/>
      <c r="M814" s="72"/>
      <c r="N814" s="72"/>
      <c r="O814" s="73"/>
      <c r="P814" s="74"/>
      <c r="Q814" s="74"/>
      <c r="R814" s="86"/>
      <c r="S814" s="86"/>
      <c r="T814" s="86"/>
      <c r="U814" s="86"/>
      <c r="V814" s="48"/>
      <c r="W814" s="48"/>
      <c r="X814" s="48"/>
      <c r="Y814" s="48"/>
      <c r="Z814" s="47"/>
      <c r="AA814" s="69">
        <v>814</v>
      </c>
      <c r="AB814" s="69"/>
      <c r="AC814" s="70"/>
      <c r="AD814" s="76" t="s">
        <v>22607</v>
      </c>
      <c r="AE814" s="81" t="s">
        <v>23020</v>
      </c>
      <c r="AF814" s="76">
        <v>3031</v>
      </c>
      <c r="AG814" s="76">
        <v>3759</v>
      </c>
      <c r="AH814" s="76">
        <v>8658</v>
      </c>
      <c r="AI814" s="76">
        <v>58</v>
      </c>
      <c r="AJ814" s="76">
        <v>19725</v>
      </c>
      <c r="AK814" s="76">
        <v>627</v>
      </c>
      <c r="AL814" s="76" t="b">
        <v>0</v>
      </c>
      <c r="AM814" s="78">
        <v>39999.942233796297</v>
      </c>
      <c r="AN814" s="76" t="s">
        <v>23284</v>
      </c>
      <c r="AO814" s="76" t="s">
        <v>24045</v>
      </c>
      <c r="AP814" s="83" t="str">
        <f>HYPERLINK("https://t.co/uCV5LBYl5l")</f>
        <v>https://t.co/uCV5LBYl5l</v>
      </c>
      <c r="AQ814" s="83" t="str">
        <f>HYPERLINK("http://www.agrobayer.com.br")</f>
        <v>http://www.agrobayer.com.br</v>
      </c>
      <c r="AR814" s="76" t="s">
        <v>24699</v>
      </c>
      <c r="AS814" s="76"/>
      <c r="AT814" s="76"/>
      <c r="AU814" s="76"/>
      <c r="AV814" s="76"/>
      <c r="AW814" s="83" t="str">
        <f>HYPERLINK("https://t.co/uCV5LBYl5l")</f>
        <v>https://t.co/uCV5LBYl5l</v>
      </c>
      <c r="AX814" s="76" t="b">
        <v>0</v>
      </c>
      <c r="AY814" s="76"/>
      <c r="AZ814" s="76"/>
      <c r="BA814" s="76" t="b">
        <v>1</v>
      </c>
      <c r="BB814" s="76" t="b">
        <v>1</v>
      </c>
      <c r="BC814" s="76" t="b">
        <v>0</v>
      </c>
      <c r="BD814" s="76" t="b">
        <v>0</v>
      </c>
      <c r="BE814" s="76" t="b">
        <v>1</v>
      </c>
      <c r="BF814" s="76" t="b">
        <v>0</v>
      </c>
      <c r="BG814" s="76" t="b">
        <v>0</v>
      </c>
      <c r="BH814" s="83" t="str">
        <f>HYPERLINK("https://pbs.twimg.com/profile_banners/54028630/1602636710")</f>
        <v>https://pbs.twimg.com/profile_banners/54028630/1602636710</v>
      </c>
      <c r="BI814" s="76"/>
      <c r="BJ814" s="76" t="s">
        <v>24935</v>
      </c>
      <c r="BK814" s="76" t="b">
        <v>0</v>
      </c>
      <c r="BL814" s="76"/>
      <c r="BM814" s="76" t="s">
        <v>66</v>
      </c>
      <c r="BN814" s="76" t="s">
        <v>24937</v>
      </c>
      <c r="BO814" s="83" t="str">
        <f>HYPERLINK("https://twitter.com/trajano85")</f>
        <v>https://twitter.com/trajano85</v>
      </c>
      <c r="BP814" s="2"/>
    </row>
    <row r="815" spans="1:68" x14ac:dyDescent="0.25">
      <c r="A815" s="62" t="s">
        <v>1003</v>
      </c>
      <c r="B815" s="63"/>
      <c r="C815" s="63"/>
      <c r="D815" s="64"/>
      <c r="E815" s="66"/>
      <c r="F815" s="102" t="str">
        <f>HYPERLINK("https://abs.twimg.com/sticky/default_profile_images/default_profile_normal.png")</f>
        <v>https://abs.twimg.com/sticky/default_profile_images/default_profile_normal.png</v>
      </c>
      <c r="G815" s="63"/>
      <c r="H815" s="67"/>
      <c r="I815" s="68"/>
      <c r="J815" s="68"/>
      <c r="K815" s="67" t="s">
        <v>25749</v>
      </c>
      <c r="L815" s="71"/>
      <c r="M815" s="72"/>
      <c r="N815" s="72"/>
      <c r="O815" s="73"/>
      <c r="P815" s="74"/>
      <c r="Q815" s="74"/>
      <c r="R815" s="86"/>
      <c r="S815" s="86"/>
      <c r="T815" s="86"/>
      <c r="U815" s="86"/>
      <c r="V815" s="48"/>
      <c r="W815" s="48"/>
      <c r="X815" s="48"/>
      <c r="Y815" s="48"/>
      <c r="Z815" s="47"/>
      <c r="AA815" s="69">
        <v>815</v>
      </c>
      <c r="AB815" s="69"/>
      <c r="AC815" s="70"/>
      <c r="AD815" s="76" t="s">
        <v>22608</v>
      </c>
      <c r="AE815" s="81" t="s">
        <v>21595</v>
      </c>
      <c r="AF815" s="76">
        <v>8</v>
      </c>
      <c r="AG815" s="76">
        <v>155</v>
      </c>
      <c r="AH815" s="76">
        <v>925</v>
      </c>
      <c r="AI815" s="76">
        <v>0</v>
      </c>
      <c r="AJ815" s="76">
        <v>14595</v>
      </c>
      <c r="AK815" s="76">
        <v>653</v>
      </c>
      <c r="AL815" s="76" t="b">
        <v>0</v>
      </c>
      <c r="AM815" s="78">
        <v>44257.910543981481</v>
      </c>
      <c r="AN815" s="76"/>
      <c r="AO815" s="76"/>
      <c r="AP815" s="76"/>
      <c r="AQ815" s="76"/>
      <c r="AR815" s="76"/>
      <c r="AS815" s="76"/>
      <c r="AT815" s="76"/>
      <c r="AU815" s="76"/>
      <c r="AV815" s="76"/>
      <c r="AW815" s="76"/>
      <c r="AX815" s="76" t="b">
        <v>0</v>
      </c>
      <c r="AY815" s="76"/>
      <c r="AZ815" s="76"/>
      <c r="BA815" s="76" t="b">
        <v>0</v>
      </c>
      <c r="BB815" s="76" t="b">
        <v>1</v>
      </c>
      <c r="BC815" s="76" t="b">
        <v>1</v>
      </c>
      <c r="BD815" s="76" t="b">
        <v>1</v>
      </c>
      <c r="BE815" s="76" t="b">
        <v>0</v>
      </c>
      <c r="BF815" s="76" t="b">
        <v>0</v>
      </c>
      <c r="BG815" s="76" t="b">
        <v>0</v>
      </c>
      <c r="BH815" s="76"/>
      <c r="BI815" s="76"/>
      <c r="BJ815" s="76" t="s">
        <v>24935</v>
      </c>
      <c r="BK815" s="76" t="b">
        <v>0</v>
      </c>
      <c r="BL815" s="76"/>
      <c r="BM815" s="76" t="s">
        <v>66</v>
      </c>
      <c r="BN815" s="76" t="s">
        <v>24937</v>
      </c>
      <c r="BO815" s="83" t="str">
        <f>HYPERLINK("https://twitter.com/produtosdivulg2")</f>
        <v>https://twitter.com/produtosdivulg2</v>
      </c>
      <c r="BP815" s="2"/>
    </row>
    <row r="816" spans="1:68" x14ac:dyDescent="0.25">
      <c r="A816" s="62" t="s">
        <v>1004</v>
      </c>
      <c r="B816" s="63"/>
      <c r="C816" s="63"/>
      <c r="D816" s="64"/>
      <c r="E816" s="66"/>
      <c r="F816" s="102" t="str">
        <f>HYPERLINK("https://pbs.twimg.com/profile_images/1474167314610372612/f2uYpmem_normal.jpg")</f>
        <v>https://pbs.twimg.com/profile_images/1474167314610372612/f2uYpmem_normal.jpg</v>
      </c>
      <c r="G816" s="63"/>
      <c r="H816" s="67"/>
      <c r="I816" s="68"/>
      <c r="J816" s="68"/>
      <c r="K816" s="67" t="s">
        <v>25750</v>
      </c>
      <c r="L816" s="71"/>
      <c r="M816" s="72"/>
      <c r="N816" s="72"/>
      <c r="O816" s="73"/>
      <c r="P816" s="74"/>
      <c r="Q816" s="74"/>
      <c r="R816" s="86"/>
      <c r="S816" s="86"/>
      <c r="T816" s="86"/>
      <c r="U816" s="86"/>
      <c r="V816" s="48"/>
      <c r="W816" s="48"/>
      <c r="X816" s="48"/>
      <c r="Y816" s="48"/>
      <c r="Z816" s="47"/>
      <c r="AA816" s="69">
        <v>816</v>
      </c>
      <c r="AB816" s="69"/>
      <c r="AC816" s="70"/>
      <c r="AD816" s="76" t="s">
        <v>22609</v>
      </c>
      <c r="AE816" s="81" t="s">
        <v>20959</v>
      </c>
      <c r="AF816" s="76">
        <v>27</v>
      </c>
      <c r="AG816" s="76">
        <v>176</v>
      </c>
      <c r="AH816" s="76">
        <v>1163</v>
      </c>
      <c r="AI816" s="76">
        <v>0</v>
      </c>
      <c r="AJ816" s="76">
        <v>548</v>
      </c>
      <c r="AK816" s="76">
        <v>40</v>
      </c>
      <c r="AL816" s="76" t="b">
        <v>0</v>
      </c>
      <c r="AM816" s="78">
        <v>41925.076527777775</v>
      </c>
      <c r="AN816" s="76" t="s">
        <v>14043</v>
      </c>
      <c r="AO816" s="76" t="s">
        <v>24046</v>
      </c>
      <c r="AP816" s="76"/>
      <c r="AQ816" s="76"/>
      <c r="AR816" s="76"/>
      <c r="AS816" s="76"/>
      <c r="AT816" s="76"/>
      <c r="AU816" s="76"/>
      <c r="AV816" s="76"/>
      <c r="AW816" s="76"/>
      <c r="AX816" s="76" t="b">
        <v>0</v>
      </c>
      <c r="AY816" s="76"/>
      <c r="AZ816" s="76"/>
      <c r="BA816" s="76" t="b">
        <v>0</v>
      </c>
      <c r="BB816" s="76" t="b">
        <v>1</v>
      </c>
      <c r="BC816" s="76" t="b">
        <v>1</v>
      </c>
      <c r="BD816" s="76" t="b">
        <v>0</v>
      </c>
      <c r="BE816" s="76" t="b">
        <v>0</v>
      </c>
      <c r="BF816" s="76" t="b">
        <v>0</v>
      </c>
      <c r="BG816" s="76" t="b">
        <v>0</v>
      </c>
      <c r="BH816" s="76"/>
      <c r="BI816" s="76"/>
      <c r="BJ816" s="76" t="s">
        <v>24935</v>
      </c>
      <c r="BK816" s="76" t="b">
        <v>0</v>
      </c>
      <c r="BL816" s="76"/>
      <c r="BM816" s="76" t="s">
        <v>66</v>
      </c>
      <c r="BN816" s="76" t="s">
        <v>24937</v>
      </c>
      <c r="BO816" s="83" t="str">
        <f>HYPERLINK("https://twitter.com/fdcabral14")</f>
        <v>https://twitter.com/fdcabral14</v>
      </c>
      <c r="BP816" s="2"/>
    </row>
    <row r="817" spans="1:68" x14ac:dyDescent="0.25">
      <c r="A817" s="62" t="s">
        <v>1005</v>
      </c>
      <c r="B817" s="63"/>
      <c r="C817" s="63"/>
      <c r="D817" s="64"/>
      <c r="E817" s="66"/>
      <c r="F817" s="102" t="str">
        <f>HYPERLINK("https://pbs.twimg.com/profile_images/1658036595587526657/iFqI1oRr_normal.jpg")</f>
        <v>https://pbs.twimg.com/profile_images/1658036595587526657/iFqI1oRr_normal.jpg</v>
      </c>
      <c r="G817" s="63"/>
      <c r="H817" s="67"/>
      <c r="I817" s="68"/>
      <c r="J817" s="68"/>
      <c r="K817" s="67" t="s">
        <v>25751</v>
      </c>
      <c r="L817" s="71"/>
      <c r="M817" s="72"/>
      <c r="N817" s="72"/>
      <c r="O817" s="73"/>
      <c r="P817" s="74"/>
      <c r="Q817" s="74"/>
      <c r="R817" s="86"/>
      <c r="S817" s="86"/>
      <c r="T817" s="86"/>
      <c r="U817" s="86"/>
      <c r="V817" s="48"/>
      <c r="W817" s="48"/>
      <c r="X817" s="48"/>
      <c r="Y817" s="48"/>
      <c r="Z817" s="47"/>
      <c r="AA817" s="69">
        <v>817</v>
      </c>
      <c r="AB817" s="69"/>
      <c r="AC817" s="70"/>
      <c r="AD817" s="76" t="s">
        <v>22610</v>
      </c>
      <c r="AE817" s="81" t="s">
        <v>21596</v>
      </c>
      <c r="AF817" s="76">
        <v>3</v>
      </c>
      <c r="AG817" s="76">
        <v>8</v>
      </c>
      <c r="AH817" s="76">
        <v>226</v>
      </c>
      <c r="AI817" s="76">
        <v>0</v>
      </c>
      <c r="AJ817" s="76">
        <v>22</v>
      </c>
      <c r="AK817" s="76">
        <v>211</v>
      </c>
      <c r="AL817" s="76" t="b">
        <v>0</v>
      </c>
      <c r="AM817" s="78">
        <v>45027.126932870371</v>
      </c>
      <c r="AN817" s="76"/>
      <c r="AO817" s="76"/>
      <c r="AP817" s="76"/>
      <c r="AQ817" s="76"/>
      <c r="AR817" s="76"/>
      <c r="AS817" s="76"/>
      <c r="AT817" s="76"/>
      <c r="AU817" s="76"/>
      <c r="AV817" s="76"/>
      <c r="AW817" s="76"/>
      <c r="AX817" s="76" t="b">
        <v>0</v>
      </c>
      <c r="AY817" s="76"/>
      <c r="AZ817" s="76"/>
      <c r="BA817" s="76" t="b">
        <v>0</v>
      </c>
      <c r="BB817" s="76" t="b">
        <v>1</v>
      </c>
      <c r="BC817" s="76" t="b">
        <v>1</v>
      </c>
      <c r="BD817" s="76" t="b">
        <v>0</v>
      </c>
      <c r="BE817" s="76" t="b">
        <v>0</v>
      </c>
      <c r="BF817" s="76" t="b">
        <v>0</v>
      </c>
      <c r="BG817" s="76" t="b">
        <v>0</v>
      </c>
      <c r="BH817" s="83" t="str">
        <f>HYPERLINK("https://pbs.twimg.com/profile_banners/1645623147998113796/1684141704")</f>
        <v>https://pbs.twimg.com/profile_banners/1645623147998113796/1684141704</v>
      </c>
      <c r="BI817" s="76"/>
      <c r="BJ817" s="76" t="s">
        <v>24935</v>
      </c>
      <c r="BK817" s="76" t="b">
        <v>0</v>
      </c>
      <c r="BL817" s="76"/>
      <c r="BM817" s="76" t="s">
        <v>66</v>
      </c>
      <c r="BN817" s="76" t="s">
        <v>24937</v>
      </c>
      <c r="BO817" s="83" t="str">
        <f>HYPERLINK("https://twitter.com/sabrina63789572")</f>
        <v>https://twitter.com/sabrina63789572</v>
      </c>
      <c r="BP817" s="2"/>
    </row>
    <row r="818" spans="1:68" x14ac:dyDescent="0.25">
      <c r="A818" s="62" t="s">
        <v>1006</v>
      </c>
      <c r="B818" s="63"/>
      <c r="C818" s="63"/>
      <c r="D818" s="64"/>
      <c r="E818" s="66"/>
      <c r="F818" s="102" t="str">
        <f>HYPERLINK("https://pbs.twimg.com/profile_images/1609913148584169477/c1Nk68WT_normal.jpg")</f>
        <v>https://pbs.twimg.com/profile_images/1609913148584169477/c1Nk68WT_normal.jpg</v>
      </c>
      <c r="G818" s="63"/>
      <c r="H818" s="67"/>
      <c r="I818" s="68"/>
      <c r="J818" s="68"/>
      <c r="K818" s="67" t="s">
        <v>25752</v>
      </c>
      <c r="L818" s="71"/>
      <c r="M818" s="72"/>
      <c r="N818" s="72"/>
      <c r="O818" s="73"/>
      <c r="P818" s="74"/>
      <c r="Q818" s="74"/>
      <c r="R818" s="86"/>
      <c r="S818" s="86"/>
      <c r="T818" s="86"/>
      <c r="U818" s="86"/>
      <c r="V818" s="48"/>
      <c r="W818" s="48"/>
      <c r="X818" s="48"/>
      <c r="Y818" s="48"/>
      <c r="Z818" s="47"/>
      <c r="AA818" s="69">
        <v>818</v>
      </c>
      <c r="AB818" s="69"/>
      <c r="AC818" s="70"/>
      <c r="AD818" s="76" t="s">
        <v>22611</v>
      </c>
      <c r="AE818" s="81" t="s">
        <v>21597</v>
      </c>
      <c r="AF818" s="76">
        <v>422</v>
      </c>
      <c r="AG818" s="76">
        <v>23</v>
      </c>
      <c r="AH818" s="76">
        <v>1492</v>
      </c>
      <c r="AI818" s="76">
        <v>6</v>
      </c>
      <c r="AJ818" s="76">
        <v>32</v>
      </c>
      <c r="AK818" s="76">
        <v>1034</v>
      </c>
      <c r="AL818" s="76" t="b">
        <v>0</v>
      </c>
      <c r="AM818" s="78">
        <v>43809.72351851852</v>
      </c>
      <c r="AN818" s="76"/>
      <c r="AO818" s="76" t="s">
        <v>24047</v>
      </c>
      <c r="AP818" s="83" t="str">
        <f>HYPERLINK("https://t.co/KKu5psCUu0")</f>
        <v>https://t.co/KKu5psCUu0</v>
      </c>
      <c r="AQ818" s="83" t="str">
        <f>HYPERLINK("https://imperiodasmilhas.com/")</f>
        <v>https://imperiodasmilhas.com/</v>
      </c>
      <c r="AR818" s="76" t="s">
        <v>24700</v>
      </c>
      <c r="AS818" s="76"/>
      <c r="AT818" s="76"/>
      <c r="AU818" s="76"/>
      <c r="AV818" s="76"/>
      <c r="AW818" s="83" t="str">
        <f>HYPERLINK("https://t.co/KKu5psCUu0")</f>
        <v>https://t.co/KKu5psCUu0</v>
      </c>
      <c r="AX818" s="76" t="b">
        <v>0</v>
      </c>
      <c r="AY818" s="76"/>
      <c r="AZ818" s="76"/>
      <c r="BA818" s="76" t="b">
        <v>0</v>
      </c>
      <c r="BB818" s="76" t="b">
        <v>1</v>
      </c>
      <c r="BC818" s="76" t="b">
        <v>1</v>
      </c>
      <c r="BD818" s="76" t="b">
        <v>0</v>
      </c>
      <c r="BE818" s="76" t="b">
        <v>0</v>
      </c>
      <c r="BF818" s="76" t="b">
        <v>0</v>
      </c>
      <c r="BG818" s="76" t="b">
        <v>0</v>
      </c>
      <c r="BH818" s="83" t="str">
        <f>HYPERLINK("https://pbs.twimg.com/profile_banners/1204451137912528897/1672667594")</f>
        <v>https://pbs.twimg.com/profile_banners/1204451137912528897/1672667594</v>
      </c>
      <c r="BI818" s="76"/>
      <c r="BJ818" s="76" t="s">
        <v>24935</v>
      </c>
      <c r="BK818" s="76" t="b">
        <v>0</v>
      </c>
      <c r="BL818" s="76"/>
      <c r="BM818" s="76" t="s">
        <v>66</v>
      </c>
      <c r="BN818" s="76" t="s">
        <v>24937</v>
      </c>
      <c r="BO818" s="83" t="str">
        <f>HYPERLINK("https://twitter.com/imdasmilhas")</f>
        <v>https://twitter.com/imdasmilhas</v>
      </c>
      <c r="BP818" s="2"/>
    </row>
    <row r="819" spans="1:68" x14ac:dyDescent="0.25">
      <c r="A819" s="62" t="s">
        <v>1007</v>
      </c>
      <c r="B819" s="63"/>
      <c r="C819" s="63"/>
      <c r="D819" s="64"/>
      <c r="E819" s="66"/>
      <c r="F819" s="102" t="str">
        <f>HYPERLINK("https://pbs.twimg.com/profile_images/1549488431142768640/L3bSDgC6_normal.jpg")</f>
        <v>https://pbs.twimg.com/profile_images/1549488431142768640/L3bSDgC6_normal.jpg</v>
      </c>
      <c r="G819" s="63"/>
      <c r="H819" s="67"/>
      <c r="I819" s="68"/>
      <c r="J819" s="68"/>
      <c r="K819" s="67" t="s">
        <v>25753</v>
      </c>
      <c r="L819" s="71"/>
      <c r="M819" s="72"/>
      <c r="N819" s="72"/>
      <c r="O819" s="73"/>
      <c r="P819" s="74"/>
      <c r="Q819" s="74"/>
      <c r="R819" s="86"/>
      <c r="S819" s="86"/>
      <c r="T819" s="86"/>
      <c r="U819" s="86"/>
      <c r="V819" s="48"/>
      <c r="W819" s="48"/>
      <c r="X819" s="48"/>
      <c r="Y819" s="48"/>
      <c r="Z819" s="47"/>
      <c r="AA819" s="69">
        <v>819</v>
      </c>
      <c r="AB819" s="69"/>
      <c r="AC819" s="70"/>
      <c r="AD819" s="76" t="s">
        <v>22612</v>
      </c>
      <c r="AE819" s="81" t="s">
        <v>21598</v>
      </c>
      <c r="AF819" s="76">
        <v>9</v>
      </c>
      <c r="AG819" s="76">
        <v>31</v>
      </c>
      <c r="AH819" s="76">
        <v>41</v>
      </c>
      <c r="AI819" s="76">
        <v>0</v>
      </c>
      <c r="AJ819" s="76">
        <v>34</v>
      </c>
      <c r="AK819" s="76">
        <v>24</v>
      </c>
      <c r="AL819" s="76" t="b">
        <v>0</v>
      </c>
      <c r="AM819" s="78">
        <v>42871.704155092593</v>
      </c>
      <c r="AN819" s="76" t="s">
        <v>14040</v>
      </c>
      <c r="AO819" s="76" t="s">
        <v>24048</v>
      </c>
      <c r="AP819" s="76"/>
      <c r="AQ819" s="76"/>
      <c r="AR819" s="76"/>
      <c r="AS819" s="76"/>
      <c r="AT819" s="76"/>
      <c r="AU819" s="76"/>
      <c r="AV819" s="76">
        <v>1.6916156380394299E+18</v>
      </c>
      <c r="AW819" s="76"/>
      <c r="AX819" s="76" t="b">
        <v>0</v>
      </c>
      <c r="AY819" s="76"/>
      <c r="AZ819" s="76"/>
      <c r="BA819" s="76" t="b">
        <v>0</v>
      </c>
      <c r="BB819" s="76" t="b">
        <v>1</v>
      </c>
      <c r="BC819" s="76" t="b">
        <v>0</v>
      </c>
      <c r="BD819" s="76" t="b">
        <v>0</v>
      </c>
      <c r="BE819" s="76" t="b">
        <v>1</v>
      </c>
      <c r="BF819" s="76" t="b">
        <v>0</v>
      </c>
      <c r="BG819" s="76" t="b">
        <v>0</v>
      </c>
      <c r="BH819" s="83" t="str">
        <f>HYPERLINK("https://pbs.twimg.com/profile_banners/864524338686545921/1494954629")</f>
        <v>https://pbs.twimg.com/profile_banners/864524338686545921/1494954629</v>
      </c>
      <c r="BI819" s="76"/>
      <c r="BJ819" s="76" t="s">
        <v>24935</v>
      </c>
      <c r="BK819" s="76" t="b">
        <v>0</v>
      </c>
      <c r="BL819" s="76"/>
      <c r="BM819" s="76" t="s">
        <v>66</v>
      </c>
      <c r="BN819" s="76" t="s">
        <v>24937</v>
      </c>
      <c r="BO819" s="83" t="str">
        <f>HYPERLINK("https://twitter.com/glauvendramini")</f>
        <v>https://twitter.com/glauvendramini</v>
      </c>
      <c r="BP819" s="2"/>
    </row>
    <row r="820" spans="1:68" x14ac:dyDescent="0.25">
      <c r="A820" s="62" t="s">
        <v>1008</v>
      </c>
      <c r="B820" s="63"/>
      <c r="C820" s="63"/>
      <c r="D820" s="64"/>
      <c r="E820" s="66"/>
      <c r="F820" s="102" t="str">
        <f>HYPERLINK("https://pbs.twimg.com/profile_images/1702739222589833216/WXEr7b1a_normal.jpg")</f>
        <v>https://pbs.twimg.com/profile_images/1702739222589833216/WXEr7b1a_normal.jpg</v>
      </c>
      <c r="G820" s="63"/>
      <c r="H820" s="67"/>
      <c r="I820" s="68"/>
      <c r="J820" s="68"/>
      <c r="K820" s="67" t="s">
        <v>25754</v>
      </c>
      <c r="L820" s="71"/>
      <c r="M820" s="72"/>
      <c r="N820" s="72"/>
      <c r="O820" s="73"/>
      <c r="P820" s="74"/>
      <c r="Q820" s="74"/>
      <c r="R820" s="86"/>
      <c r="S820" s="86"/>
      <c r="T820" s="86"/>
      <c r="U820" s="86"/>
      <c r="V820" s="48"/>
      <c r="W820" s="48"/>
      <c r="X820" s="48"/>
      <c r="Y820" s="48"/>
      <c r="Z820" s="47"/>
      <c r="AA820" s="69">
        <v>820</v>
      </c>
      <c r="AB820" s="69"/>
      <c r="AC820" s="70"/>
      <c r="AD820" s="76" t="s">
        <v>22613</v>
      </c>
      <c r="AE820" s="81" t="s">
        <v>21599</v>
      </c>
      <c r="AF820" s="76">
        <v>0</v>
      </c>
      <c r="AG820" s="76">
        <v>28</v>
      </c>
      <c r="AH820" s="76">
        <v>16</v>
      </c>
      <c r="AI820" s="76">
        <v>0</v>
      </c>
      <c r="AJ820" s="76">
        <v>0</v>
      </c>
      <c r="AK820" s="76">
        <v>15</v>
      </c>
      <c r="AL820" s="76" t="b">
        <v>0</v>
      </c>
      <c r="AM820" s="78">
        <v>45184.736574074072</v>
      </c>
      <c r="AN820" s="76"/>
      <c r="AO820" s="76" t="s">
        <v>24049</v>
      </c>
      <c r="AP820" s="83" t="str">
        <f>HYPERLINK("https://t.co/ZyQ5d766Db")</f>
        <v>https://t.co/ZyQ5d766Db</v>
      </c>
      <c r="AQ820" s="83" t="str">
        <f>HYPERLINK("https://wa.link/1xqiyn")</f>
        <v>https://wa.link/1xqiyn</v>
      </c>
      <c r="AR820" s="76" t="s">
        <v>24701</v>
      </c>
      <c r="AS820" s="76"/>
      <c r="AT820" s="76"/>
      <c r="AU820" s="76"/>
      <c r="AV820" s="76"/>
      <c r="AW820" s="83" t="str">
        <f>HYPERLINK("https://t.co/ZyQ5d766Db")</f>
        <v>https://t.co/ZyQ5d766Db</v>
      </c>
      <c r="AX820" s="76" t="b">
        <v>0</v>
      </c>
      <c r="AY820" s="76"/>
      <c r="AZ820" s="76"/>
      <c r="BA820" s="76" t="b">
        <v>0</v>
      </c>
      <c r="BB820" s="76" t="b">
        <v>1</v>
      </c>
      <c r="BC820" s="76" t="b">
        <v>1</v>
      </c>
      <c r="BD820" s="76" t="b">
        <v>0</v>
      </c>
      <c r="BE820" s="76" t="b">
        <v>0</v>
      </c>
      <c r="BF820" s="76" t="b">
        <v>0</v>
      </c>
      <c r="BG820" s="76" t="b">
        <v>0</v>
      </c>
      <c r="BH820" s="83" t="str">
        <f>HYPERLINK("https://pbs.twimg.com/profile_banners/1702739011691741184/1694800134")</f>
        <v>https://pbs.twimg.com/profile_banners/1702739011691741184/1694800134</v>
      </c>
      <c r="BI820" s="76"/>
      <c r="BJ820" s="76" t="s">
        <v>24935</v>
      </c>
      <c r="BK820" s="76" t="b">
        <v>0</v>
      </c>
      <c r="BL820" s="76"/>
      <c r="BM820" s="76" t="s">
        <v>66</v>
      </c>
      <c r="BN820" s="76" t="s">
        <v>24937</v>
      </c>
      <c r="BO820" s="83" t="str">
        <f>HYPERLINK("https://twitter.com/dolarbusinesia")</f>
        <v>https://twitter.com/dolarbusinesia</v>
      </c>
      <c r="BP820" s="2"/>
    </row>
    <row r="821" spans="1:68" x14ac:dyDescent="0.25">
      <c r="A821" s="62" t="s">
        <v>1009</v>
      </c>
      <c r="B821" s="63"/>
      <c r="C821" s="63"/>
      <c r="D821" s="64"/>
      <c r="E821" s="66"/>
      <c r="F821" s="102" t="str">
        <f>HYPERLINK("https://pbs.twimg.com/profile_images/1659819873038368768/Pf-O2X7x_normal.jpg")</f>
        <v>https://pbs.twimg.com/profile_images/1659819873038368768/Pf-O2X7x_normal.jpg</v>
      </c>
      <c r="G821" s="63"/>
      <c r="H821" s="67"/>
      <c r="I821" s="68"/>
      <c r="J821" s="68"/>
      <c r="K821" s="67" t="s">
        <v>25755</v>
      </c>
      <c r="L821" s="71"/>
      <c r="M821" s="72"/>
      <c r="N821" s="72"/>
      <c r="O821" s="73"/>
      <c r="P821" s="74"/>
      <c r="Q821" s="74"/>
      <c r="R821" s="86"/>
      <c r="S821" s="86"/>
      <c r="T821" s="86"/>
      <c r="U821" s="86"/>
      <c r="V821" s="48"/>
      <c r="W821" s="48"/>
      <c r="X821" s="48"/>
      <c r="Y821" s="48"/>
      <c r="Z821" s="47"/>
      <c r="AA821" s="69">
        <v>821</v>
      </c>
      <c r="AB821" s="69"/>
      <c r="AC821" s="70"/>
      <c r="AD821" s="76" t="s">
        <v>22614</v>
      </c>
      <c r="AE821" s="81" t="s">
        <v>21600</v>
      </c>
      <c r="AF821" s="76">
        <v>0</v>
      </c>
      <c r="AG821" s="76">
        <v>4</v>
      </c>
      <c r="AH821" s="76">
        <v>5</v>
      </c>
      <c r="AI821" s="76">
        <v>0</v>
      </c>
      <c r="AJ821" s="76">
        <v>2</v>
      </c>
      <c r="AK821" s="76">
        <v>3</v>
      </c>
      <c r="AL821" s="76" t="b">
        <v>0</v>
      </c>
      <c r="AM821" s="78">
        <v>45066.301504629628</v>
      </c>
      <c r="AN821" s="76" t="s">
        <v>14049</v>
      </c>
      <c r="AO821" s="76" t="s">
        <v>24050</v>
      </c>
      <c r="AP821" s="76"/>
      <c r="AQ821" s="76"/>
      <c r="AR821" s="76"/>
      <c r="AS821" s="76"/>
      <c r="AT821" s="76"/>
      <c r="AU821" s="76"/>
      <c r="AV821" s="76"/>
      <c r="AW821" s="76"/>
      <c r="AX821" s="76" t="b">
        <v>0</v>
      </c>
      <c r="AY821" s="76"/>
      <c r="AZ821" s="76"/>
      <c r="BA821" s="76" t="b">
        <v>0</v>
      </c>
      <c r="BB821" s="76" t="b">
        <v>1</v>
      </c>
      <c r="BC821" s="76" t="b">
        <v>1</v>
      </c>
      <c r="BD821" s="76" t="b">
        <v>0</v>
      </c>
      <c r="BE821" s="76" t="b">
        <v>0</v>
      </c>
      <c r="BF821" s="76" t="b">
        <v>0</v>
      </c>
      <c r="BG821" s="76" t="b">
        <v>0</v>
      </c>
      <c r="BH821" s="76"/>
      <c r="BI821" s="76"/>
      <c r="BJ821" s="76" t="s">
        <v>24935</v>
      </c>
      <c r="BK821" s="76" t="b">
        <v>0</v>
      </c>
      <c r="BL821" s="76"/>
      <c r="BM821" s="76" t="s">
        <v>66</v>
      </c>
      <c r="BN821" s="76" t="s">
        <v>24937</v>
      </c>
      <c r="BO821" s="83" t="str">
        <f>HYPERLINK("https://twitter.com/p23matheus")</f>
        <v>https://twitter.com/p23matheus</v>
      </c>
      <c r="BP821" s="2"/>
    </row>
    <row r="822" spans="1:68" x14ac:dyDescent="0.25">
      <c r="A822" s="62" t="s">
        <v>1010</v>
      </c>
      <c r="B822" s="63"/>
      <c r="C822" s="63"/>
      <c r="D822" s="64"/>
      <c r="E822" s="66"/>
      <c r="F822" s="102" t="str">
        <f>HYPERLINK("https://pbs.twimg.com/profile_images/1633627009103409152/iQNVUFDS_normal.jpg")</f>
        <v>https://pbs.twimg.com/profile_images/1633627009103409152/iQNVUFDS_normal.jpg</v>
      </c>
      <c r="G822" s="63"/>
      <c r="H822" s="67"/>
      <c r="I822" s="68"/>
      <c r="J822" s="68"/>
      <c r="K822" s="67" t="s">
        <v>25756</v>
      </c>
      <c r="L822" s="71"/>
      <c r="M822" s="72"/>
      <c r="N822" s="72"/>
      <c r="O822" s="73"/>
      <c r="P822" s="74"/>
      <c r="Q822" s="74"/>
      <c r="R822" s="86"/>
      <c r="S822" s="86"/>
      <c r="T822" s="86"/>
      <c r="U822" s="86"/>
      <c r="V822" s="48"/>
      <c r="W822" s="48"/>
      <c r="X822" s="48"/>
      <c r="Y822" s="48"/>
      <c r="Z822" s="47"/>
      <c r="AA822" s="69">
        <v>822</v>
      </c>
      <c r="AB822" s="69"/>
      <c r="AC822" s="70"/>
      <c r="AD822" s="76" t="s">
        <v>22615</v>
      </c>
      <c r="AE822" s="81" t="s">
        <v>21601</v>
      </c>
      <c r="AF822" s="76">
        <v>1</v>
      </c>
      <c r="AG822" s="76">
        <v>22</v>
      </c>
      <c r="AH822" s="76">
        <v>12</v>
      </c>
      <c r="AI822" s="76">
        <v>0</v>
      </c>
      <c r="AJ822" s="76">
        <v>9</v>
      </c>
      <c r="AK822" s="76">
        <v>10</v>
      </c>
      <c r="AL822" s="76" t="b">
        <v>0</v>
      </c>
      <c r="AM822" s="78">
        <v>44536.674270833333</v>
      </c>
      <c r="AN822" s="76"/>
      <c r="AO822" s="76" t="s">
        <v>24051</v>
      </c>
      <c r="AP822" s="76"/>
      <c r="AQ822" s="76"/>
      <c r="AR822" s="76"/>
      <c r="AS822" s="76"/>
      <c r="AT822" s="76"/>
      <c r="AU822" s="76"/>
      <c r="AV822" s="76">
        <v>1.60262852002224E+18</v>
      </c>
      <c r="AW822" s="76"/>
      <c r="AX822" s="76" t="b">
        <v>0</v>
      </c>
      <c r="AY822" s="76"/>
      <c r="AZ822" s="76"/>
      <c r="BA822" s="76" t="b">
        <v>0</v>
      </c>
      <c r="BB822" s="76" t="b">
        <v>1</v>
      </c>
      <c r="BC822" s="76" t="b">
        <v>1</v>
      </c>
      <c r="BD822" s="76" t="b">
        <v>0</v>
      </c>
      <c r="BE822" s="76" t="b">
        <v>0</v>
      </c>
      <c r="BF822" s="76" t="b">
        <v>0</v>
      </c>
      <c r="BG822" s="76" t="b">
        <v>0</v>
      </c>
      <c r="BH822" s="83" t="str">
        <f>HYPERLINK("https://pbs.twimg.com/profile_banners/1467889183335370756/1678322005")</f>
        <v>https://pbs.twimg.com/profile_banners/1467889183335370756/1678322005</v>
      </c>
      <c r="BI822" s="76"/>
      <c r="BJ822" s="76" t="s">
        <v>24935</v>
      </c>
      <c r="BK822" s="76" t="b">
        <v>0</v>
      </c>
      <c r="BL822" s="76"/>
      <c r="BM822" s="76" t="s">
        <v>66</v>
      </c>
      <c r="BN822" s="76" t="s">
        <v>24937</v>
      </c>
      <c r="BO822" s="83" t="str">
        <f>HYPERLINK("https://twitter.com/tamires89333921")</f>
        <v>https://twitter.com/tamires89333921</v>
      </c>
      <c r="BP822" s="2"/>
    </row>
    <row r="823" spans="1:68" x14ac:dyDescent="0.25">
      <c r="A823" s="62" t="s">
        <v>1011</v>
      </c>
      <c r="B823" s="63"/>
      <c r="C823" s="63"/>
      <c r="D823" s="64"/>
      <c r="E823" s="66"/>
      <c r="F823" s="102" t="str">
        <f>HYPERLINK("https://pbs.twimg.com/profile_images/1630227098504777731/HDLWEeMi_normal.jpg")</f>
        <v>https://pbs.twimg.com/profile_images/1630227098504777731/HDLWEeMi_normal.jpg</v>
      </c>
      <c r="G823" s="63"/>
      <c r="H823" s="67"/>
      <c r="I823" s="68"/>
      <c r="J823" s="68"/>
      <c r="K823" s="67" t="s">
        <v>25757</v>
      </c>
      <c r="L823" s="71"/>
      <c r="M823" s="72"/>
      <c r="N823" s="72"/>
      <c r="O823" s="73"/>
      <c r="P823" s="74"/>
      <c r="Q823" s="74"/>
      <c r="R823" s="86"/>
      <c r="S823" s="86"/>
      <c r="T823" s="86"/>
      <c r="U823" s="86"/>
      <c r="V823" s="48"/>
      <c r="W823" s="48"/>
      <c r="X823" s="48"/>
      <c r="Y823" s="48"/>
      <c r="Z823" s="47"/>
      <c r="AA823" s="69">
        <v>823</v>
      </c>
      <c r="AB823" s="69"/>
      <c r="AC823" s="70"/>
      <c r="AD823" s="76" t="s">
        <v>22616</v>
      </c>
      <c r="AE823" s="81" t="s">
        <v>21602</v>
      </c>
      <c r="AF823" s="76">
        <v>1</v>
      </c>
      <c r="AG823" s="76">
        <v>7</v>
      </c>
      <c r="AH823" s="76">
        <v>19</v>
      </c>
      <c r="AI823" s="76">
        <v>0</v>
      </c>
      <c r="AJ823" s="76">
        <v>2</v>
      </c>
      <c r="AK823" s="76">
        <v>5</v>
      </c>
      <c r="AL823" s="76" t="b">
        <v>0</v>
      </c>
      <c r="AM823" s="78">
        <v>44984.603541666664</v>
      </c>
      <c r="AN823" s="76" t="s">
        <v>23285</v>
      </c>
      <c r="AO823" s="76" t="s">
        <v>24052</v>
      </c>
      <c r="AP823" s="83" t="str">
        <f>HYPERLINK("https://t.co/b2B0mIFKX4")</f>
        <v>https://t.co/b2B0mIFKX4</v>
      </c>
      <c r="AQ823" s="83" t="str">
        <f>HYPERLINK("https://www.icligo.com/?utm_source=zaLRtlVr")</f>
        <v>https://www.icligo.com/?utm_source=zaLRtlVr</v>
      </c>
      <c r="AR823" s="76" t="s">
        <v>24702</v>
      </c>
      <c r="AS823" s="76"/>
      <c r="AT823" s="76"/>
      <c r="AU823" s="76"/>
      <c r="AV823" s="76">
        <v>1.6302213217234099E+18</v>
      </c>
      <c r="AW823" s="83" t="str">
        <f>HYPERLINK("https://t.co/b2B0mIFKX4")</f>
        <v>https://t.co/b2B0mIFKX4</v>
      </c>
      <c r="AX823" s="76" t="b">
        <v>0</v>
      </c>
      <c r="AY823" s="76"/>
      <c r="AZ823" s="76"/>
      <c r="BA823" s="76" t="b">
        <v>1</v>
      </c>
      <c r="BB823" s="76" t="b">
        <v>1</v>
      </c>
      <c r="BC823" s="76" t="b">
        <v>1</v>
      </c>
      <c r="BD823" s="76" t="b">
        <v>0</v>
      </c>
      <c r="BE823" s="76" t="b">
        <v>0</v>
      </c>
      <c r="BF823" s="76" t="b">
        <v>0</v>
      </c>
      <c r="BG823" s="76" t="b">
        <v>0</v>
      </c>
      <c r="BH823" s="83" t="str">
        <f>HYPERLINK("https://pbs.twimg.com/profile_banners/1630213364151361537/1677511404")</f>
        <v>https://pbs.twimg.com/profile_banners/1630213364151361537/1677511404</v>
      </c>
      <c r="BI823" s="76"/>
      <c r="BJ823" s="76" t="s">
        <v>24935</v>
      </c>
      <c r="BK823" s="76" t="b">
        <v>0</v>
      </c>
      <c r="BL823" s="76"/>
      <c r="BM823" s="76" t="s">
        <v>66</v>
      </c>
      <c r="BN823" s="76" t="s">
        <v>24937</v>
      </c>
      <c r="BO823" s="83" t="str">
        <f>HYPERLINK("https://twitter.com/patriciacunha70")</f>
        <v>https://twitter.com/patriciacunha70</v>
      </c>
      <c r="BP823" s="2"/>
    </row>
    <row r="824" spans="1:68" x14ac:dyDescent="0.25">
      <c r="A824" s="62" t="s">
        <v>1013</v>
      </c>
      <c r="B824" s="63"/>
      <c r="C824" s="63"/>
      <c r="D824" s="64"/>
      <c r="E824" s="66"/>
      <c r="F824" s="102" t="str">
        <f>HYPERLINK("https://pbs.twimg.com/profile_images/1342121836688117760/sBwXm2k6_normal.jpg")</f>
        <v>https://pbs.twimg.com/profile_images/1342121836688117760/sBwXm2k6_normal.jpg</v>
      </c>
      <c r="G824" s="63"/>
      <c r="H824" s="67"/>
      <c r="I824" s="68"/>
      <c r="J824" s="68"/>
      <c r="K824" s="67" t="s">
        <v>25758</v>
      </c>
      <c r="L824" s="71"/>
      <c r="M824" s="72"/>
      <c r="N824" s="72"/>
      <c r="O824" s="73"/>
      <c r="P824" s="74"/>
      <c r="Q824" s="74"/>
      <c r="R824" s="86"/>
      <c r="S824" s="86"/>
      <c r="T824" s="86"/>
      <c r="U824" s="86"/>
      <c r="V824" s="48"/>
      <c r="W824" s="48"/>
      <c r="X824" s="48"/>
      <c r="Y824" s="48"/>
      <c r="Z824" s="47"/>
      <c r="AA824" s="69">
        <v>824</v>
      </c>
      <c r="AB824" s="69"/>
      <c r="AC824" s="70"/>
      <c r="AD824" s="76" t="s">
        <v>22617</v>
      </c>
      <c r="AE824" s="81" t="s">
        <v>23021</v>
      </c>
      <c r="AF824" s="76">
        <v>94</v>
      </c>
      <c r="AG824" s="76">
        <v>426</v>
      </c>
      <c r="AH824" s="76">
        <v>9306</v>
      </c>
      <c r="AI824" s="76">
        <v>0</v>
      </c>
      <c r="AJ824" s="76">
        <v>11723</v>
      </c>
      <c r="AK824" s="76">
        <v>796</v>
      </c>
      <c r="AL824" s="76" t="b">
        <v>0</v>
      </c>
      <c r="AM824" s="78">
        <v>39987.079618055555</v>
      </c>
      <c r="AN824" s="76" t="s">
        <v>14071</v>
      </c>
      <c r="AO824" s="76" t="s">
        <v>24053</v>
      </c>
      <c r="AP824" s="76"/>
      <c r="AQ824" s="76"/>
      <c r="AR824" s="76"/>
      <c r="AS824" s="76"/>
      <c r="AT824" s="76"/>
      <c r="AU824" s="76"/>
      <c r="AV824" s="76"/>
      <c r="AW824" s="76"/>
      <c r="AX824" s="76" t="b">
        <v>0</v>
      </c>
      <c r="AY824" s="76"/>
      <c r="AZ824" s="76"/>
      <c r="BA824" s="76" t="b">
        <v>1</v>
      </c>
      <c r="BB824" s="76" t="b">
        <v>1</v>
      </c>
      <c r="BC824" s="76" t="b">
        <v>0</v>
      </c>
      <c r="BD824" s="76" t="b">
        <v>0</v>
      </c>
      <c r="BE824" s="76" t="b">
        <v>1</v>
      </c>
      <c r="BF824" s="76" t="b">
        <v>0</v>
      </c>
      <c r="BG824" s="76" t="b">
        <v>0</v>
      </c>
      <c r="BH824" s="83" t="str">
        <f>HYPERLINK("https://pbs.twimg.com/profile_banners/49847318/1587791760")</f>
        <v>https://pbs.twimg.com/profile_banners/49847318/1587791760</v>
      </c>
      <c r="BI824" s="76"/>
      <c r="BJ824" s="76" t="s">
        <v>24935</v>
      </c>
      <c r="BK824" s="76" t="b">
        <v>0</v>
      </c>
      <c r="BL824" s="76"/>
      <c r="BM824" s="76" t="s">
        <v>66</v>
      </c>
      <c r="BN824" s="76" t="s">
        <v>24937</v>
      </c>
      <c r="BO824" s="83" t="str">
        <f>HYPERLINK("https://twitter.com/kapituka")</f>
        <v>https://twitter.com/kapituka</v>
      </c>
      <c r="BP824" s="2"/>
    </row>
    <row r="825" spans="1:68" x14ac:dyDescent="0.25">
      <c r="A825" s="62" t="s">
        <v>1014</v>
      </c>
      <c r="B825" s="63"/>
      <c r="C825" s="63"/>
      <c r="D825" s="64"/>
      <c r="E825" s="66"/>
      <c r="F825" s="102" t="str">
        <f>HYPERLINK("https://pbs.twimg.com/profile_images/1637199146254848003/H9v_xVGf_normal.jpg")</f>
        <v>https://pbs.twimg.com/profile_images/1637199146254848003/H9v_xVGf_normal.jpg</v>
      </c>
      <c r="G825" s="63"/>
      <c r="H825" s="67"/>
      <c r="I825" s="68"/>
      <c r="J825" s="68"/>
      <c r="K825" s="67" t="s">
        <v>25759</v>
      </c>
      <c r="L825" s="71"/>
      <c r="M825" s="72"/>
      <c r="N825" s="72"/>
      <c r="O825" s="73"/>
      <c r="P825" s="74"/>
      <c r="Q825" s="74"/>
      <c r="R825" s="86"/>
      <c r="S825" s="86"/>
      <c r="T825" s="86"/>
      <c r="U825" s="86"/>
      <c r="V825" s="48"/>
      <c r="W825" s="48"/>
      <c r="X825" s="48"/>
      <c r="Y825" s="48"/>
      <c r="Z825" s="47"/>
      <c r="AA825" s="69">
        <v>825</v>
      </c>
      <c r="AB825" s="69"/>
      <c r="AC825" s="70"/>
      <c r="AD825" s="76" t="s">
        <v>22618</v>
      </c>
      <c r="AE825" s="81" t="s">
        <v>21604</v>
      </c>
      <c r="AF825" s="76">
        <v>0</v>
      </c>
      <c r="AG825" s="76">
        <v>11</v>
      </c>
      <c r="AH825" s="76">
        <v>41</v>
      </c>
      <c r="AI825" s="76">
        <v>0</v>
      </c>
      <c r="AJ825" s="76">
        <v>25</v>
      </c>
      <c r="AK825" s="76">
        <v>29</v>
      </c>
      <c r="AL825" s="76" t="b">
        <v>0</v>
      </c>
      <c r="AM825" s="78">
        <v>45003.872546296298</v>
      </c>
      <c r="AN825" s="76"/>
      <c r="AO825" s="76" t="s">
        <v>24054</v>
      </c>
      <c r="AP825" s="83" t="str">
        <f>HYPERLINK("https://t.co/yM2P7ivmDC")</f>
        <v>https://t.co/yM2P7ivmDC</v>
      </c>
      <c r="AQ825" s="83" t="str">
        <f>HYPERLINK("https://go.hotmart.com/Q79813452Y")</f>
        <v>https://go.hotmart.com/Q79813452Y</v>
      </c>
      <c r="AR825" s="76" t="s">
        <v>24703</v>
      </c>
      <c r="AS825" s="76"/>
      <c r="AT825" s="76"/>
      <c r="AU825" s="76"/>
      <c r="AV825" s="76"/>
      <c r="AW825" s="83" t="str">
        <f>HYPERLINK("https://t.co/yM2P7ivmDC")</f>
        <v>https://t.co/yM2P7ivmDC</v>
      </c>
      <c r="AX825" s="76" t="b">
        <v>0</v>
      </c>
      <c r="AY825" s="76"/>
      <c r="AZ825" s="76"/>
      <c r="BA825" s="76" t="b">
        <v>0</v>
      </c>
      <c r="BB825" s="76" t="b">
        <v>1</v>
      </c>
      <c r="BC825" s="76" t="b">
        <v>1</v>
      </c>
      <c r="BD825" s="76" t="b">
        <v>0</v>
      </c>
      <c r="BE825" s="76" t="b">
        <v>0</v>
      </c>
      <c r="BF825" s="76" t="b">
        <v>0</v>
      </c>
      <c r="BG825" s="76" t="b">
        <v>0</v>
      </c>
      <c r="BH825" s="83" t="str">
        <f>HYPERLINK("https://pbs.twimg.com/profile_banners/1637195904741515265/1679611064")</f>
        <v>https://pbs.twimg.com/profile_banners/1637195904741515265/1679611064</v>
      </c>
      <c r="BI825" s="76"/>
      <c r="BJ825" s="76" t="s">
        <v>24935</v>
      </c>
      <c r="BK825" s="76" t="b">
        <v>0</v>
      </c>
      <c r="BL825" s="76"/>
      <c r="BM825" s="76" t="s">
        <v>66</v>
      </c>
      <c r="BN825" s="76" t="s">
        <v>24937</v>
      </c>
      <c r="BO825" s="83" t="str">
        <f>HYPERLINK("https://twitter.com/marmatstore")</f>
        <v>https://twitter.com/marmatstore</v>
      </c>
      <c r="BP825" s="2"/>
    </row>
    <row r="826" spans="1:68" x14ac:dyDescent="0.25">
      <c r="A826" s="62" t="s">
        <v>1015</v>
      </c>
      <c r="B826" s="63"/>
      <c r="C826" s="63"/>
      <c r="D826" s="64"/>
      <c r="E826" s="66"/>
      <c r="F826" s="102" t="str">
        <f>HYPERLINK("https://pbs.twimg.com/profile_images/1700083582344015872/MEsvUIya_normal.jpg")</f>
        <v>https://pbs.twimg.com/profile_images/1700083582344015872/MEsvUIya_normal.jpg</v>
      </c>
      <c r="G826" s="63"/>
      <c r="H826" s="67"/>
      <c r="I826" s="68"/>
      <c r="J826" s="68"/>
      <c r="K826" s="67" t="s">
        <v>25760</v>
      </c>
      <c r="L826" s="71"/>
      <c r="M826" s="72"/>
      <c r="N826" s="72"/>
      <c r="O826" s="73"/>
      <c r="P826" s="74"/>
      <c r="Q826" s="74"/>
      <c r="R826" s="86"/>
      <c r="S826" s="86"/>
      <c r="T826" s="86"/>
      <c r="U826" s="86"/>
      <c r="V826" s="48"/>
      <c r="W826" s="48"/>
      <c r="X826" s="48"/>
      <c r="Y826" s="48"/>
      <c r="Z826" s="47"/>
      <c r="AA826" s="69">
        <v>826</v>
      </c>
      <c r="AB826" s="69"/>
      <c r="AC826" s="70"/>
      <c r="AD826" s="76" t="s">
        <v>22619</v>
      </c>
      <c r="AE826" s="81" t="s">
        <v>21605</v>
      </c>
      <c r="AF826" s="76">
        <v>2</v>
      </c>
      <c r="AG826" s="76">
        <v>1</v>
      </c>
      <c r="AH826" s="76">
        <v>13</v>
      </c>
      <c r="AI826" s="76">
        <v>0</v>
      </c>
      <c r="AJ826" s="76">
        <v>4</v>
      </c>
      <c r="AK826" s="76">
        <v>9</v>
      </c>
      <c r="AL826" s="76" t="b">
        <v>0</v>
      </c>
      <c r="AM826" s="78">
        <v>45080.050208333334</v>
      </c>
      <c r="AN826" s="76"/>
      <c r="AO826" s="76" t="s">
        <v>24055</v>
      </c>
      <c r="AP826" s="83" t="str">
        <f>HYPERLINK("https://t.co/CP0CtwVyua")</f>
        <v>https://t.co/CP0CtwVyua</v>
      </c>
      <c r="AQ826" s="83" t="str">
        <f>HYPERLINK("https://wa.me/5583988612820")</f>
        <v>https://wa.me/5583988612820</v>
      </c>
      <c r="AR826" s="76" t="s">
        <v>24704</v>
      </c>
      <c r="AS826" s="76"/>
      <c r="AT826" s="76"/>
      <c r="AU826" s="76"/>
      <c r="AV826" s="76"/>
      <c r="AW826" s="83" t="str">
        <f>HYPERLINK("https://t.co/CP0CtwVyua")</f>
        <v>https://t.co/CP0CtwVyua</v>
      </c>
      <c r="AX826" s="76" t="b">
        <v>0</v>
      </c>
      <c r="AY826" s="76"/>
      <c r="AZ826" s="76"/>
      <c r="BA826" s="76" t="b">
        <v>0</v>
      </c>
      <c r="BB826" s="76" t="b">
        <v>1</v>
      </c>
      <c r="BC826" s="76" t="b">
        <v>1</v>
      </c>
      <c r="BD826" s="76" t="b">
        <v>0</v>
      </c>
      <c r="BE826" s="76" t="b">
        <v>0</v>
      </c>
      <c r="BF826" s="76" t="b">
        <v>0</v>
      </c>
      <c r="BG826" s="76" t="b">
        <v>0</v>
      </c>
      <c r="BH826" s="76"/>
      <c r="BI826" s="76"/>
      <c r="BJ826" s="76" t="s">
        <v>24935</v>
      </c>
      <c r="BK826" s="76" t="b">
        <v>0</v>
      </c>
      <c r="BL826" s="76"/>
      <c r="BM826" s="76" t="s">
        <v>66</v>
      </c>
      <c r="BN826" s="76" t="s">
        <v>24937</v>
      </c>
      <c r="BO826" s="83" t="str">
        <f>HYPERLINK("https://twitter.com/sandrinnis19082")</f>
        <v>https://twitter.com/sandrinnis19082</v>
      </c>
      <c r="BP826" s="2"/>
    </row>
    <row r="827" spans="1:68" x14ac:dyDescent="0.25">
      <c r="A827" s="62" t="s">
        <v>1016</v>
      </c>
      <c r="B827" s="63"/>
      <c r="C827" s="63"/>
      <c r="D827" s="64"/>
      <c r="E827" s="66"/>
      <c r="F827" s="102" t="str">
        <f>HYPERLINK("https://pbs.twimg.com/profile_images/1611395590008479745/_6uCxw8f_normal.jpg")</f>
        <v>https://pbs.twimg.com/profile_images/1611395590008479745/_6uCxw8f_normal.jpg</v>
      </c>
      <c r="G827" s="63"/>
      <c r="H827" s="67"/>
      <c r="I827" s="68"/>
      <c r="J827" s="68"/>
      <c r="K827" s="67" t="s">
        <v>25761</v>
      </c>
      <c r="L827" s="71"/>
      <c r="M827" s="72"/>
      <c r="N827" s="72"/>
      <c r="O827" s="73"/>
      <c r="P827" s="74"/>
      <c r="Q827" s="74"/>
      <c r="R827" s="86"/>
      <c r="S827" s="86"/>
      <c r="T827" s="86"/>
      <c r="U827" s="86"/>
      <c r="V827" s="48"/>
      <c r="W827" s="48"/>
      <c r="X827" s="48"/>
      <c r="Y827" s="48"/>
      <c r="Z827" s="47"/>
      <c r="AA827" s="69">
        <v>827</v>
      </c>
      <c r="AB827" s="69"/>
      <c r="AC827" s="70"/>
      <c r="AD827" s="76" t="s">
        <v>22620</v>
      </c>
      <c r="AE827" s="81" t="s">
        <v>21606</v>
      </c>
      <c r="AF827" s="76">
        <v>0</v>
      </c>
      <c r="AG827" s="76">
        <v>1</v>
      </c>
      <c r="AH827" s="76">
        <v>15</v>
      </c>
      <c r="AI827" s="76">
        <v>0</v>
      </c>
      <c r="AJ827" s="76">
        <v>0</v>
      </c>
      <c r="AK827" s="76">
        <v>15</v>
      </c>
      <c r="AL827" s="76" t="b">
        <v>0</v>
      </c>
      <c r="AM827" s="78">
        <v>44932.676168981481</v>
      </c>
      <c r="AN827" s="76"/>
      <c r="AO827" s="76"/>
      <c r="AP827" s="76"/>
      <c r="AQ827" s="76"/>
      <c r="AR827" s="76"/>
      <c r="AS827" s="76"/>
      <c r="AT827" s="76"/>
      <c r="AU827" s="76"/>
      <c r="AV827" s="76"/>
      <c r="AW827" s="76"/>
      <c r="AX827" s="76" t="b">
        <v>0</v>
      </c>
      <c r="AY827" s="76"/>
      <c r="AZ827" s="76"/>
      <c r="BA827" s="76" t="b">
        <v>0</v>
      </c>
      <c r="BB827" s="76" t="b">
        <v>1</v>
      </c>
      <c r="BC827" s="76" t="b">
        <v>1</v>
      </c>
      <c r="BD827" s="76" t="b">
        <v>0</v>
      </c>
      <c r="BE827" s="76" t="b">
        <v>0</v>
      </c>
      <c r="BF827" s="76" t="b">
        <v>0</v>
      </c>
      <c r="BG827" s="76" t="b">
        <v>0</v>
      </c>
      <c r="BH827" s="76"/>
      <c r="BI827" s="76"/>
      <c r="BJ827" s="76" t="s">
        <v>24935</v>
      </c>
      <c r="BK827" s="76" t="b">
        <v>0</v>
      </c>
      <c r="BL827" s="76"/>
      <c r="BM827" s="76" t="s">
        <v>66</v>
      </c>
      <c r="BN827" s="76" t="s">
        <v>24937</v>
      </c>
      <c r="BO827" s="83" t="str">
        <f>HYPERLINK("https://twitter.com/reviewautocon")</f>
        <v>https://twitter.com/reviewautocon</v>
      </c>
      <c r="BP827" s="2"/>
    </row>
    <row r="828" spans="1:68" x14ac:dyDescent="0.25">
      <c r="A828" s="62" t="s">
        <v>1017</v>
      </c>
      <c r="B828" s="63"/>
      <c r="C828" s="63"/>
      <c r="D828" s="64"/>
      <c r="E828" s="66"/>
      <c r="F828" s="102" t="str">
        <f>HYPERLINK("https://pbs.twimg.com/profile_images/1639806268259934209/UCHyQhXR_normal.jpg")</f>
        <v>https://pbs.twimg.com/profile_images/1639806268259934209/UCHyQhXR_normal.jpg</v>
      </c>
      <c r="G828" s="63"/>
      <c r="H828" s="67"/>
      <c r="I828" s="68"/>
      <c r="J828" s="68"/>
      <c r="K828" s="67" t="s">
        <v>25762</v>
      </c>
      <c r="L828" s="71"/>
      <c r="M828" s="72"/>
      <c r="N828" s="72"/>
      <c r="O828" s="73"/>
      <c r="P828" s="74"/>
      <c r="Q828" s="74"/>
      <c r="R828" s="86"/>
      <c r="S828" s="86"/>
      <c r="T828" s="86"/>
      <c r="U828" s="86"/>
      <c r="V828" s="48"/>
      <c r="W828" s="48"/>
      <c r="X828" s="48"/>
      <c r="Y828" s="48"/>
      <c r="Z828" s="47"/>
      <c r="AA828" s="69">
        <v>828</v>
      </c>
      <c r="AB828" s="69"/>
      <c r="AC828" s="70"/>
      <c r="AD828" s="76" t="s">
        <v>22621</v>
      </c>
      <c r="AE828" s="81" t="s">
        <v>21607</v>
      </c>
      <c r="AF828" s="76">
        <v>1</v>
      </c>
      <c r="AG828" s="76">
        <v>0</v>
      </c>
      <c r="AH828" s="76">
        <v>54</v>
      </c>
      <c r="AI828" s="76">
        <v>0</v>
      </c>
      <c r="AJ828" s="76">
        <v>3</v>
      </c>
      <c r="AK828" s="76">
        <v>54</v>
      </c>
      <c r="AL828" s="76" t="b">
        <v>0</v>
      </c>
      <c r="AM828" s="78">
        <v>45008.655856481484</v>
      </c>
      <c r="AN828" s="76"/>
      <c r="AO828" s="76" t="s">
        <v>24056</v>
      </c>
      <c r="AP828" s="83" t="str">
        <f>HYPERLINK("https://t.co/y3dVXtcUKz")</f>
        <v>https://t.co/y3dVXtcUKz</v>
      </c>
      <c r="AQ828" s="83" t="str">
        <f>HYPERLINK("https://linkr.bio/atacadaodescontos")</f>
        <v>https://linkr.bio/atacadaodescontos</v>
      </c>
      <c r="AR828" s="76" t="s">
        <v>24705</v>
      </c>
      <c r="AS828" s="76"/>
      <c r="AT828" s="76"/>
      <c r="AU828" s="76"/>
      <c r="AV828" s="76"/>
      <c r="AW828" s="83" t="str">
        <f>HYPERLINK("https://t.co/y3dVXtcUKz")</f>
        <v>https://t.co/y3dVXtcUKz</v>
      </c>
      <c r="AX828" s="76" t="b">
        <v>0</v>
      </c>
      <c r="AY828" s="76"/>
      <c r="AZ828" s="76"/>
      <c r="BA828" s="76" t="b">
        <v>0</v>
      </c>
      <c r="BB828" s="76" t="b">
        <v>1</v>
      </c>
      <c r="BC828" s="76" t="b">
        <v>1</v>
      </c>
      <c r="BD828" s="76" t="b">
        <v>0</v>
      </c>
      <c r="BE828" s="76" t="b">
        <v>0</v>
      </c>
      <c r="BF828" s="76" t="b">
        <v>0</v>
      </c>
      <c r="BG828" s="76" t="b">
        <v>0</v>
      </c>
      <c r="BH828" s="83" t="str">
        <f>HYPERLINK("https://pbs.twimg.com/profile_banners/1638929654609330178/1679795257")</f>
        <v>https://pbs.twimg.com/profile_banners/1638929654609330178/1679795257</v>
      </c>
      <c r="BI828" s="76"/>
      <c r="BJ828" s="76" t="s">
        <v>24935</v>
      </c>
      <c r="BK828" s="76" t="b">
        <v>0</v>
      </c>
      <c r="BL828" s="76"/>
      <c r="BM828" s="76" t="s">
        <v>66</v>
      </c>
      <c r="BN828" s="76" t="s">
        <v>24937</v>
      </c>
      <c r="BO828" s="83" t="str">
        <f>HYPERLINK("https://twitter.com/atacadodes31049")</f>
        <v>https://twitter.com/atacadodes31049</v>
      </c>
      <c r="BP828" s="2"/>
    </row>
    <row r="829" spans="1:68" x14ac:dyDescent="0.25">
      <c r="A829" s="62" t="s">
        <v>1018</v>
      </c>
      <c r="B829" s="63"/>
      <c r="C829" s="63"/>
      <c r="D829" s="64"/>
      <c r="E829" s="66"/>
      <c r="F829" s="102" t="str">
        <f>HYPERLINK("https://pbs.twimg.com/profile_images/1574763230995648513/Pleog974_normal.jpg")</f>
        <v>https://pbs.twimg.com/profile_images/1574763230995648513/Pleog974_normal.jpg</v>
      </c>
      <c r="G829" s="63"/>
      <c r="H829" s="67"/>
      <c r="I829" s="68"/>
      <c r="J829" s="68"/>
      <c r="K829" s="67" t="s">
        <v>25763</v>
      </c>
      <c r="L829" s="71"/>
      <c r="M829" s="72"/>
      <c r="N829" s="72"/>
      <c r="O829" s="73"/>
      <c r="P829" s="74"/>
      <c r="Q829" s="74"/>
      <c r="R829" s="86"/>
      <c r="S829" s="86"/>
      <c r="T829" s="86"/>
      <c r="U829" s="86"/>
      <c r="V829" s="48"/>
      <c r="W829" s="48"/>
      <c r="X829" s="48"/>
      <c r="Y829" s="48"/>
      <c r="Z829" s="47"/>
      <c r="AA829" s="69">
        <v>829</v>
      </c>
      <c r="AB829" s="69"/>
      <c r="AC829" s="70"/>
      <c r="AD829" s="76" t="s">
        <v>22622</v>
      </c>
      <c r="AE829" s="81" t="s">
        <v>23022</v>
      </c>
      <c r="AF829" s="76">
        <v>1118</v>
      </c>
      <c r="AG829" s="76">
        <v>4864</v>
      </c>
      <c r="AH829" s="76">
        <v>6367</v>
      </c>
      <c r="AI829" s="76">
        <v>1</v>
      </c>
      <c r="AJ829" s="76">
        <v>13110</v>
      </c>
      <c r="AK829" s="76">
        <v>1498</v>
      </c>
      <c r="AL829" s="76" t="b">
        <v>0</v>
      </c>
      <c r="AM829" s="78">
        <v>40308.998055555552</v>
      </c>
      <c r="AN829" s="76" t="s">
        <v>23286</v>
      </c>
      <c r="AO829" s="76" t="s">
        <v>24057</v>
      </c>
      <c r="AP829" s="76"/>
      <c r="AQ829" s="76"/>
      <c r="AR829" s="76"/>
      <c r="AS829" s="76"/>
      <c r="AT829" s="76"/>
      <c r="AU829" s="76"/>
      <c r="AV829" s="76"/>
      <c r="AW829" s="76"/>
      <c r="AX829" s="76" t="b">
        <v>0</v>
      </c>
      <c r="AY829" s="76"/>
      <c r="AZ829" s="76"/>
      <c r="BA829" s="76" t="b">
        <v>0</v>
      </c>
      <c r="BB829" s="76" t="b">
        <v>1</v>
      </c>
      <c r="BC829" s="76" t="b">
        <v>0</v>
      </c>
      <c r="BD829" s="76" t="b">
        <v>0</v>
      </c>
      <c r="BE829" s="76" t="b">
        <v>1</v>
      </c>
      <c r="BF829" s="76" t="b">
        <v>0</v>
      </c>
      <c r="BG829" s="76" t="b">
        <v>0</v>
      </c>
      <c r="BH829" s="76"/>
      <c r="BI829" s="76"/>
      <c r="BJ829" s="76" t="s">
        <v>24935</v>
      </c>
      <c r="BK829" s="76" t="b">
        <v>0</v>
      </c>
      <c r="BL829" s="76"/>
      <c r="BM829" s="76" t="s">
        <v>66</v>
      </c>
      <c r="BN829" s="76" t="s">
        <v>24937</v>
      </c>
      <c r="BO829" s="83" t="str">
        <f>HYPERLINK("https://twitter.com/juninhobraguim")</f>
        <v>https://twitter.com/juninhobraguim</v>
      </c>
      <c r="BP829" s="2"/>
    </row>
    <row r="830" spans="1:68" x14ac:dyDescent="0.25">
      <c r="A830" s="62" t="s">
        <v>1019</v>
      </c>
      <c r="B830" s="63"/>
      <c r="C830" s="63"/>
      <c r="D830" s="64"/>
      <c r="E830" s="66"/>
      <c r="F830" s="102" t="str">
        <f>HYPERLINK("https://pbs.twimg.com/profile_images/1684536652071419904/WKZTa77u_normal.jpg")</f>
        <v>https://pbs.twimg.com/profile_images/1684536652071419904/WKZTa77u_normal.jpg</v>
      </c>
      <c r="G830" s="63"/>
      <c r="H830" s="67"/>
      <c r="I830" s="68"/>
      <c r="J830" s="68"/>
      <c r="K830" s="67" t="s">
        <v>25764</v>
      </c>
      <c r="L830" s="71"/>
      <c r="M830" s="72"/>
      <c r="N830" s="72"/>
      <c r="O830" s="73"/>
      <c r="P830" s="74"/>
      <c r="Q830" s="74"/>
      <c r="R830" s="86"/>
      <c r="S830" s="86"/>
      <c r="T830" s="86"/>
      <c r="U830" s="86"/>
      <c r="V830" s="48"/>
      <c r="W830" s="48"/>
      <c r="X830" s="48"/>
      <c r="Y830" s="48"/>
      <c r="Z830" s="47"/>
      <c r="AA830" s="69">
        <v>830</v>
      </c>
      <c r="AB830" s="69"/>
      <c r="AC830" s="70"/>
      <c r="AD830" s="76" t="s">
        <v>22623</v>
      </c>
      <c r="AE830" s="81" t="s">
        <v>21608</v>
      </c>
      <c r="AF830" s="76">
        <v>82</v>
      </c>
      <c r="AG830" s="76">
        <v>66</v>
      </c>
      <c r="AH830" s="76">
        <v>4112</v>
      </c>
      <c r="AI830" s="76">
        <v>0</v>
      </c>
      <c r="AJ830" s="76">
        <v>445</v>
      </c>
      <c r="AK830" s="76">
        <v>1131</v>
      </c>
      <c r="AL830" s="76" t="b">
        <v>0</v>
      </c>
      <c r="AM830" s="78">
        <v>42934.918402777781</v>
      </c>
      <c r="AN830" s="76" t="s">
        <v>23287</v>
      </c>
      <c r="AO830" s="76" t="s">
        <v>24058</v>
      </c>
      <c r="AP830" s="83" t="str">
        <f>HYPERLINK("https://t.co/mu1dYm9aoq")</f>
        <v>https://t.co/mu1dYm9aoq</v>
      </c>
      <c r="AQ830" s="83" t="str">
        <f>HYPERLINK("https://linktr.ee/diegoskda")</f>
        <v>https://linktr.ee/diegoskda</v>
      </c>
      <c r="AR830" s="76" t="s">
        <v>24706</v>
      </c>
      <c r="AS830" s="76"/>
      <c r="AT830" s="76"/>
      <c r="AU830" s="76"/>
      <c r="AV830" s="76"/>
      <c r="AW830" s="83" t="str">
        <f>HYPERLINK("https://t.co/mu1dYm9aoq")</f>
        <v>https://t.co/mu1dYm9aoq</v>
      </c>
      <c r="AX830" s="76" t="b">
        <v>0</v>
      </c>
      <c r="AY830" s="76"/>
      <c r="AZ830" s="76"/>
      <c r="BA830" s="76" t="b">
        <v>0</v>
      </c>
      <c r="BB830" s="76" t="b">
        <v>1</v>
      </c>
      <c r="BC830" s="76" t="b">
        <v>1</v>
      </c>
      <c r="BD830" s="76" t="b">
        <v>0</v>
      </c>
      <c r="BE830" s="76" t="b">
        <v>1</v>
      </c>
      <c r="BF830" s="76" t="b">
        <v>0</v>
      </c>
      <c r="BG830" s="76" t="b">
        <v>0</v>
      </c>
      <c r="BH830" s="83" t="str">
        <f>HYPERLINK("https://pbs.twimg.com/profile_banners/887432414972301313/1647634996")</f>
        <v>https://pbs.twimg.com/profile_banners/887432414972301313/1647634996</v>
      </c>
      <c r="BI830" s="76"/>
      <c r="BJ830" s="76" t="s">
        <v>24935</v>
      </c>
      <c r="BK830" s="76" t="b">
        <v>0</v>
      </c>
      <c r="BL830" s="76"/>
      <c r="BM830" s="76" t="s">
        <v>66</v>
      </c>
      <c r="BN830" s="76" t="s">
        <v>24937</v>
      </c>
      <c r="BO830" s="83" t="str">
        <f>HYPERLINK("https://twitter.com/diegoskda")</f>
        <v>https://twitter.com/diegoskda</v>
      </c>
      <c r="BP830" s="2"/>
    </row>
    <row r="831" spans="1:68" x14ac:dyDescent="0.25">
      <c r="A831" s="62" t="s">
        <v>1020</v>
      </c>
      <c r="B831" s="63"/>
      <c r="C831" s="63"/>
      <c r="D831" s="64"/>
      <c r="E831" s="66"/>
      <c r="F831" s="102" t="str">
        <f>HYPERLINK("https://pbs.twimg.com/profile_images/1645967703654498304/35EvZSXd_normal.jpg")</f>
        <v>https://pbs.twimg.com/profile_images/1645967703654498304/35EvZSXd_normal.jpg</v>
      </c>
      <c r="G831" s="63"/>
      <c r="H831" s="67"/>
      <c r="I831" s="68"/>
      <c r="J831" s="68"/>
      <c r="K831" s="67" t="s">
        <v>25765</v>
      </c>
      <c r="L831" s="71"/>
      <c r="M831" s="72"/>
      <c r="N831" s="72"/>
      <c r="O831" s="73"/>
      <c r="P831" s="74"/>
      <c r="Q831" s="74"/>
      <c r="R831" s="86"/>
      <c r="S831" s="86"/>
      <c r="T831" s="86"/>
      <c r="U831" s="86"/>
      <c r="V831" s="48"/>
      <c r="W831" s="48"/>
      <c r="X831" s="48"/>
      <c r="Y831" s="48"/>
      <c r="Z831" s="47"/>
      <c r="AA831" s="69">
        <v>831</v>
      </c>
      <c r="AB831" s="69"/>
      <c r="AC831" s="70"/>
      <c r="AD831" s="76" t="s">
        <v>22624</v>
      </c>
      <c r="AE831" s="81" t="s">
        <v>21609</v>
      </c>
      <c r="AF831" s="76">
        <v>2</v>
      </c>
      <c r="AG831" s="76">
        <v>21</v>
      </c>
      <c r="AH831" s="76">
        <v>2</v>
      </c>
      <c r="AI831" s="76">
        <v>0</v>
      </c>
      <c r="AJ831" s="76">
        <v>1</v>
      </c>
      <c r="AK831" s="76">
        <v>2</v>
      </c>
      <c r="AL831" s="76" t="b">
        <v>0</v>
      </c>
      <c r="AM831" s="78">
        <v>45028.076747685183</v>
      </c>
      <c r="AN831" s="76"/>
      <c r="AO831" s="76" t="s">
        <v>24059</v>
      </c>
      <c r="AP831" s="76"/>
      <c r="AQ831" s="76"/>
      <c r="AR831" s="76"/>
      <c r="AS831" s="76"/>
      <c r="AT831" s="76"/>
      <c r="AU831" s="76"/>
      <c r="AV831" s="76"/>
      <c r="AW831" s="76"/>
      <c r="AX831" s="76" t="b">
        <v>0</v>
      </c>
      <c r="AY831" s="76"/>
      <c r="AZ831" s="76"/>
      <c r="BA831" s="76" t="b">
        <v>0</v>
      </c>
      <c r="BB831" s="76" t="b">
        <v>1</v>
      </c>
      <c r="BC831" s="76" t="b">
        <v>1</v>
      </c>
      <c r="BD831" s="76" t="b">
        <v>0</v>
      </c>
      <c r="BE831" s="76" t="b">
        <v>0</v>
      </c>
      <c r="BF831" s="76" t="b">
        <v>0</v>
      </c>
      <c r="BG831" s="76" t="b">
        <v>0</v>
      </c>
      <c r="BH831" s="83" t="str">
        <f>HYPERLINK("https://pbs.twimg.com/profile_banners/1645967551141216258/1681265742")</f>
        <v>https://pbs.twimg.com/profile_banners/1645967551141216258/1681265742</v>
      </c>
      <c r="BI831" s="76"/>
      <c r="BJ831" s="76" t="s">
        <v>24935</v>
      </c>
      <c r="BK831" s="76" t="b">
        <v>0</v>
      </c>
      <c r="BL831" s="76"/>
      <c r="BM831" s="76" t="s">
        <v>66</v>
      </c>
      <c r="BN831" s="76" t="s">
        <v>24937</v>
      </c>
      <c r="BO831" s="83" t="str">
        <f>HYPERLINK("https://twitter.com/flavmartiins")</f>
        <v>https://twitter.com/flavmartiins</v>
      </c>
      <c r="BP831" s="2"/>
    </row>
    <row r="832" spans="1:68" x14ac:dyDescent="0.25">
      <c r="A832" s="62" t="s">
        <v>1021</v>
      </c>
      <c r="B832" s="63"/>
      <c r="C832" s="63"/>
      <c r="D832" s="64"/>
      <c r="E832" s="66"/>
      <c r="F832" s="102" t="str">
        <f>HYPERLINK("https://pbs.twimg.com/profile_images/1688965831105863680/HCWLZsCa_normal.jpg")</f>
        <v>https://pbs.twimg.com/profile_images/1688965831105863680/HCWLZsCa_normal.jpg</v>
      </c>
      <c r="G832" s="63"/>
      <c r="H832" s="67"/>
      <c r="I832" s="68"/>
      <c r="J832" s="68"/>
      <c r="K832" s="67" t="s">
        <v>25766</v>
      </c>
      <c r="L832" s="71"/>
      <c r="M832" s="72"/>
      <c r="N832" s="72"/>
      <c r="O832" s="73"/>
      <c r="P832" s="74"/>
      <c r="Q832" s="74"/>
      <c r="R832" s="86"/>
      <c r="S832" s="86"/>
      <c r="T832" s="86"/>
      <c r="U832" s="86"/>
      <c r="V832" s="48"/>
      <c r="W832" s="48"/>
      <c r="X832" s="48"/>
      <c r="Y832" s="48"/>
      <c r="Z832" s="47"/>
      <c r="AA832" s="69">
        <v>832</v>
      </c>
      <c r="AB832" s="69"/>
      <c r="AC832" s="70"/>
      <c r="AD832" s="76" t="s">
        <v>22625</v>
      </c>
      <c r="AE832" s="81" t="s">
        <v>21610</v>
      </c>
      <c r="AF832" s="76">
        <v>34</v>
      </c>
      <c r="AG832" s="76">
        <v>218</v>
      </c>
      <c r="AH832" s="76">
        <v>301</v>
      </c>
      <c r="AI832" s="76">
        <v>0</v>
      </c>
      <c r="AJ832" s="76">
        <v>205</v>
      </c>
      <c r="AK832" s="76">
        <v>216</v>
      </c>
      <c r="AL832" s="76" t="b">
        <v>0</v>
      </c>
      <c r="AM832" s="78">
        <v>44461.68178240741</v>
      </c>
      <c r="AN832" s="76" t="s">
        <v>14033</v>
      </c>
      <c r="AO832" s="76" t="s">
        <v>24060</v>
      </c>
      <c r="AP832" s="83" t="str">
        <f>HYPERLINK("https://t.co/5HEALlF7u6")</f>
        <v>https://t.co/5HEALlF7u6</v>
      </c>
      <c r="AQ832" s="83" t="str">
        <f>HYPERLINK("https://tinyurl.com/3c24mhd5")</f>
        <v>https://tinyurl.com/3c24mhd5</v>
      </c>
      <c r="AR832" s="76" t="s">
        <v>24707</v>
      </c>
      <c r="AS832" s="76" t="s">
        <v>24835</v>
      </c>
      <c r="AT832" s="76" t="s">
        <v>24846</v>
      </c>
      <c r="AU832" s="76" t="s">
        <v>24913</v>
      </c>
      <c r="AV832" s="76"/>
      <c r="AW832" s="83" t="str">
        <f>HYPERLINK("https://t.co/5HEALlF7u6")</f>
        <v>https://t.co/5HEALlF7u6</v>
      </c>
      <c r="AX832" s="76" t="b">
        <v>0</v>
      </c>
      <c r="AY832" s="76"/>
      <c r="AZ832" s="76"/>
      <c r="BA832" s="76" t="b">
        <v>0</v>
      </c>
      <c r="BB832" s="76" t="b">
        <v>1</v>
      </c>
      <c r="BC832" s="76" t="b">
        <v>1</v>
      </c>
      <c r="BD832" s="76" t="b">
        <v>0</v>
      </c>
      <c r="BE832" s="76" t="b">
        <v>0</v>
      </c>
      <c r="BF832" s="76" t="b">
        <v>0</v>
      </c>
      <c r="BG832" s="76" t="b">
        <v>1</v>
      </c>
      <c r="BH832" s="83" t="str">
        <f>HYPERLINK("https://pbs.twimg.com/profile_banners/1440712853728555009/1691517026")</f>
        <v>https://pbs.twimg.com/profile_banners/1440712853728555009/1691517026</v>
      </c>
      <c r="BI832" s="76"/>
      <c r="BJ832" s="76" t="s">
        <v>24935</v>
      </c>
      <c r="BK832" s="76" t="b">
        <v>0</v>
      </c>
      <c r="BL832" s="76"/>
      <c r="BM832" s="76" t="s">
        <v>66</v>
      </c>
      <c r="BN832" s="76" t="s">
        <v>24937</v>
      </c>
      <c r="BO832" s="83" t="str">
        <f>HYPERLINK("https://twitter.com/tbccrypto")</f>
        <v>https://twitter.com/tbccrypto</v>
      </c>
      <c r="BP832" s="2"/>
    </row>
    <row r="833" spans="1:68" x14ac:dyDescent="0.25">
      <c r="A833" s="62" t="s">
        <v>1022</v>
      </c>
      <c r="B833" s="63"/>
      <c r="C833" s="63"/>
      <c r="D833" s="64"/>
      <c r="E833" s="66"/>
      <c r="F833" s="102" t="str">
        <f>HYPERLINK("https://pbs.twimg.com/profile_images/1705626175765188608/5CUN6rUN_normal.jpg")</f>
        <v>https://pbs.twimg.com/profile_images/1705626175765188608/5CUN6rUN_normal.jpg</v>
      </c>
      <c r="G833" s="63"/>
      <c r="H833" s="67"/>
      <c r="I833" s="68"/>
      <c r="J833" s="68"/>
      <c r="K833" s="67" t="s">
        <v>25767</v>
      </c>
      <c r="L833" s="71"/>
      <c r="M833" s="72"/>
      <c r="N833" s="72"/>
      <c r="O833" s="73"/>
      <c r="P833" s="74"/>
      <c r="Q833" s="74"/>
      <c r="R833" s="86"/>
      <c r="S833" s="86"/>
      <c r="T833" s="86"/>
      <c r="U833" s="86"/>
      <c r="V833" s="48"/>
      <c r="W833" s="48"/>
      <c r="X833" s="48"/>
      <c r="Y833" s="48"/>
      <c r="Z833" s="47"/>
      <c r="AA833" s="69">
        <v>833</v>
      </c>
      <c r="AB833" s="69"/>
      <c r="AC833" s="70"/>
      <c r="AD833" s="76" t="s">
        <v>22626</v>
      </c>
      <c r="AE833" s="81" t="s">
        <v>21611</v>
      </c>
      <c r="AF833" s="76">
        <v>0</v>
      </c>
      <c r="AG833" s="76">
        <v>1</v>
      </c>
      <c r="AH833" s="76">
        <v>10</v>
      </c>
      <c r="AI833" s="76">
        <v>0</v>
      </c>
      <c r="AJ833" s="76">
        <v>0</v>
      </c>
      <c r="AK833" s="76">
        <v>6</v>
      </c>
      <c r="AL833" s="76" t="b">
        <v>0</v>
      </c>
      <c r="AM833" s="78">
        <v>45192.702800925923</v>
      </c>
      <c r="AN833" s="76"/>
      <c r="AO833" s="76"/>
      <c r="AP833" s="76"/>
      <c r="AQ833" s="76"/>
      <c r="AR833" s="76"/>
      <c r="AS833" s="76"/>
      <c r="AT833" s="76"/>
      <c r="AU833" s="76"/>
      <c r="AV833" s="76"/>
      <c r="AW833" s="76"/>
      <c r="AX833" s="76" t="b">
        <v>0</v>
      </c>
      <c r="AY833" s="76"/>
      <c r="AZ833" s="76"/>
      <c r="BA833" s="76" t="b">
        <v>0</v>
      </c>
      <c r="BB833" s="76" t="b">
        <v>1</v>
      </c>
      <c r="BC833" s="76" t="b">
        <v>1</v>
      </c>
      <c r="BD833" s="76" t="b">
        <v>0</v>
      </c>
      <c r="BE833" s="76" t="b">
        <v>0</v>
      </c>
      <c r="BF833" s="76" t="b">
        <v>0</v>
      </c>
      <c r="BG833" s="76" t="b">
        <v>0</v>
      </c>
      <c r="BH833" s="76"/>
      <c r="BI833" s="76"/>
      <c r="BJ833" s="76" t="s">
        <v>24935</v>
      </c>
      <c r="BK833" s="76" t="b">
        <v>0</v>
      </c>
      <c r="BL833" s="76"/>
      <c r="BM833" s="76" t="s">
        <v>66</v>
      </c>
      <c r="BN833" s="76" t="s">
        <v>24937</v>
      </c>
      <c r="BO833" s="83" t="str">
        <f>HYPERLINK("https://twitter.com/shaderman_")</f>
        <v>https://twitter.com/shaderman_</v>
      </c>
      <c r="BP833" s="2"/>
    </row>
    <row r="834" spans="1:68" x14ac:dyDescent="0.25">
      <c r="A834" s="62" t="s">
        <v>1023</v>
      </c>
      <c r="B834" s="63"/>
      <c r="C834" s="63"/>
      <c r="D834" s="64"/>
      <c r="E834" s="66"/>
      <c r="F834" s="102" t="str">
        <f>HYPERLINK("https://pbs.twimg.com/profile_images/1648353016011948035/gBkjLd-h_normal.jpg")</f>
        <v>https://pbs.twimg.com/profile_images/1648353016011948035/gBkjLd-h_normal.jpg</v>
      </c>
      <c r="G834" s="63"/>
      <c r="H834" s="67"/>
      <c r="I834" s="68"/>
      <c r="J834" s="68"/>
      <c r="K834" s="67" t="s">
        <v>25768</v>
      </c>
      <c r="L834" s="71"/>
      <c r="M834" s="72"/>
      <c r="N834" s="72"/>
      <c r="O834" s="73"/>
      <c r="P834" s="74"/>
      <c r="Q834" s="74"/>
      <c r="R834" s="86"/>
      <c r="S834" s="86"/>
      <c r="T834" s="86"/>
      <c r="U834" s="86"/>
      <c r="V834" s="48"/>
      <c r="W834" s="48"/>
      <c r="X834" s="48"/>
      <c r="Y834" s="48"/>
      <c r="Z834" s="47"/>
      <c r="AA834" s="69">
        <v>834</v>
      </c>
      <c r="AB834" s="69"/>
      <c r="AC834" s="70"/>
      <c r="AD834" s="76" t="s">
        <v>22627</v>
      </c>
      <c r="AE834" s="81" t="s">
        <v>21612</v>
      </c>
      <c r="AF834" s="76">
        <v>1</v>
      </c>
      <c r="AG834" s="76">
        <v>5</v>
      </c>
      <c r="AH834" s="76">
        <v>5</v>
      </c>
      <c r="AI834" s="76">
        <v>0</v>
      </c>
      <c r="AJ834" s="76">
        <v>2</v>
      </c>
      <c r="AK834" s="76">
        <v>4</v>
      </c>
      <c r="AL834" s="76" t="b">
        <v>0</v>
      </c>
      <c r="AM834" s="78">
        <v>45030.992048611108</v>
      </c>
      <c r="AN834" s="76"/>
      <c r="AO834" s="76" t="s">
        <v>24061</v>
      </c>
      <c r="AP834" s="83" t="str">
        <f>HYPERLINK("https://t.co/WPte3cRUYp")</f>
        <v>https://t.co/WPte3cRUYp</v>
      </c>
      <c r="AQ834" s="83" t="str">
        <f>HYPERLINK("https://bio.site/milionarianofuturo.br")</f>
        <v>https://bio.site/milionarianofuturo.br</v>
      </c>
      <c r="AR834" s="76" t="s">
        <v>24708</v>
      </c>
      <c r="AS834" s="76"/>
      <c r="AT834" s="76"/>
      <c r="AU834" s="76"/>
      <c r="AV834" s="76"/>
      <c r="AW834" s="83" t="str">
        <f>HYPERLINK("https://t.co/WPte3cRUYp")</f>
        <v>https://t.co/WPte3cRUYp</v>
      </c>
      <c r="AX834" s="76" t="b">
        <v>0</v>
      </c>
      <c r="AY834" s="76"/>
      <c r="AZ834" s="76"/>
      <c r="BA834" s="76" t="b">
        <v>0</v>
      </c>
      <c r="BB834" s="76" t="b">
        <v>1</v>
      </c>
      <c r="BC834" s="76" t="b">
        <v>1</v>
      </c>
      <c r="BD834" s="76" t="b">
        <v>0</v>
      </c>
      <c r="BE834" s="76" t="b">
        <v>0</v>
      </c>
      <c r="BF834" s="76" t="b">
        <v>0</v>
      </c>
      <c r="BG834" s="76" t="b">
        <v>0</v>
      </c>
      <c r="BH834" s="76"/>
      <c r="BI834" s="76"/>
      <c r="BJ834" s="76" t="s">
        <v>24935</v>
      </c>
      <c r="BK834" s="76" t="b">
        <v>0</v>
      </c>
      <c r="BL834" s="76"/>
      <c r="BM834" s="76" t="s">
        <v>66</v>
      </c>
      <c r="BN834" s="76" t="s">
        <v>24937</v>
      </c>
      <c r="BO834" s="83" t="str">
        <f>HYPERLINK("https://twitter.com/taniacsilvaa07")</f>
        <v>https://twitter.com/taniacsilvaa07</v>
      </c>
      <c r="BP834" s="2"/>
    </row>
    <row r="835" spans="1:68" x14ac:dyDescent="0.25">
      <c r="A835" s="62" t="s">
        <v>1024</v>
      </c>
      <c r="B835" s="63"/>
      <c r="C835" s="63"/>
      <c r="D835" s="64"/>
      <c r="E835" s="66"/>
      <c r="F835" s="102" t="str">
        <f>HYPERLINK("https://pbs.twimg.com/profile_images/1637903484266721284/1NmYtqIP_normal.jpg")</f>
        <v>https://pbs.twimg.com/profile_images/1637903484266721284/1NmYtqIP_normal.jpg</v>
      </c>
      <c r="G835" s="63"/>
      <c r="H835" s="67"/>
      <c r="I835" s="68"/>
      <c r="J835" s="68"/>
      <c r="K835" s="67" t="s">
        <v>25769</v>
      </c>
      <c r="L835" s="71"/>
      <c r="M835" s="72"/>
      <c r="N835" s="72"/>
      <c r="O835" s="73"/>
      <c r="P835" s="74"/>
      <c r="Q835" s="74"/>
      <c r="R835" s="86"/>
      <c r="S835" s="86"/>
      <c r="T835" s="86"/>
      <c r="U835" s="86"/>
      <c r="V835" s="48"/>
      <c r="W835" s="48"/>
      <c r="X835" s="48"/>
      <c r="Y835" s="48"/>
      <c r="Z835" s="47"/>
      <c r="AA835" s="69">
        <v>835</v>
      </c>
      <c r="AB835" s="69"/>
      <c r="AC835" s="70"/>
      <c r="AD835" s="76" t="s">
        <v>22628</v>
      </c>
      <c r="AE835" s="81" t="s">
        <v>21613</v>
      </c>
      <c r="AF835" s="76">
        <v>90</v>
      </c>
      <c r="AG835" s="76">
        <v>10</v>
      </c>
      <c r="AH835" s="76">
        <v>7</v>
      </c>
      <c r="AI835" s="76">
        <v>0</v>
      </c>
      <c r="AJ835" s="76">
        <v>10</v>
      </c>
      <c r="AK835" s="76">
        <v>5</v>
      </c>
      <c r="AL835" s="76" t="b">
        <v>0</v>
      </c>
      <c r="AM835" s="78">
        <v>44216.036736111113</v>
      </c>
      <c r="AN835" s="76"/>
      <c r="AO835" s="76" t="s">
        <v>24062</v>
      </c>
      <c r="AP835" s="83" t="str">
        <f>HYPERLINK("https://t.co/hxPGdOL7aL")</f>
        <v>https://t.co/hxPGdOL7aL</v>
      </c>
      <c r="AQ835" s="83" t="str">
        <f>HYPERLINK("http://www.migxs.com")</f>
        <v>http://www.migxs.com</v>
      </c>
      <c r="AR835" s="76" t="s">
        <v>7457</v>
      </c>
      <c r="AS835" s="83" t="str">
        <f>HYPERLINK("https://t.co/A6X8L2BuLM")</f>
        <v>https://t.co/A6X8L2BuLM</v>
      </c>
      <c r="AT835" s="83" t="str">
        <f>HYPERLINK("http://migxs.com/about")</f>
        <v>http://migxs.com/about</v>
      </c>
      <c r="AU835" s="76" t="s">
        <v>24914</v>
      </c>
      <c r="AV835" s="76">
        <v>1.43154489663312E+18</v>
      </c>
      <c r="AW835" s="83" t="str">
        <f>HYPERLINK("https://t.co/hxPGdOL7aL")</f>
        <v>https://t.co/hxPGdOL7aL</v>
      </c>
      <c r="AX835" s="76" t="b">
        <v>0</v>
      </c>
      <c r="AY835" s="76"/>
      <c r="AZ835" s="76"/>
      <c r="BA835" s="76" t="b">
        <v>1</v>
      </c>
      <c r="BB835" s="76" t="b">
        <v>1</v>
      </c>
      <c r="BC835" s="76" t="b">
        <v>1</v>
      </c>
      <c r="BD835" s="76" t="b">
        <v>0</v>
      </c>
      <c r="BE835" s="76" t="b">
        <v>0</v>
      </c>
      <c r="BF835" s="76" t="b">
        <v>0</v>
      </c>
      <c r="BG835" s="76" t="b">
        <v>0</v>
      </c>
      <c r="BH835" s="83" t="str">
        <f>HYPERLINK("https://pbs.twimg.com/profile_banners/1351693776574672899/1679341599")</f>
        <v>https://pbs.twimg.com/profile_banners/1351693776574672899/1679341599</v>
      </c>
      <c r="BI835" s="76"/>
      <c r="BJ835" s="76" t="s">
        <v>24935</v>
      </c>
      <c r="BK835" s="76" t="b">
        <v>0</v>
      </c>
      <c r="BL835" s="76"/>
      <c r="BM835" s="76" t="s">
        <v>66</v>
      </c>
      <c r="BN835" s="76" t="s">
        <v>24937</v>
      </c>
      <c r="BO835" s="83" t="str">
        <f>HYPERLINK("https://twitter.com/migxs")</f>
        <v>https://twitter.com/migxs</v>
      </c>
      <c r="BP835" s="2"/>
    </row>
    <row r="836" spans="1:68" x14ac:dyDescent="0.25">
      <c r="A836" s="62" t="s">
        <v>1025</v>
      </c>
      <c r="B836" s="63"/>
      <c r="C836" s="63"/>
      <c r="D836" s="64"/>
      <c r="E836" s="66"/>
      <c r="F836" s="102" t="str">
        <f>HYPERLINK("https://pbs.twimg.com/profile_images/482867542117978115/lFZmWFLg_normal.jpeg")</f>
        <v>https://pbs.twimg.com/profile_images/482867542117978115/lFZmWFLg_normal.jpeg</v>
      </c>
      <c r="G836" s="63"/>
      <c r="H836" s="67"/>
      <c r="I836" s="68"/>
      <c r="J836" s="68"/>
      <c r="K836" s="67" t="s">
        <v>25770</v>
      </c>
      <c r="L836" s="71"/>
      <c r="M836" s="72"/>
      <c r="N836" s="72"/>
      <c r="O836" s="73"/>
      <c r="P836" s="74"/>
      <c r="Q836" s="74"/>
      <c r="R836" s="86"/>
      <c r="S836" s="86"/>
      <c r="T836" s="86"/>
      <c r="U836" s="86"/>
      <c r="V836" s="48"/>
      <c r="W836" s="48"/>
      <c r="X836" s="48"/>
      <c r="Y836" s="48"/>
      <c r="Z836" s="47"/>
      <c r="AA836" s="69">
        <v>836</v>
      </c>
      <c r="AB836" s="69"/>
      <c r="AC836" s="70"/>
      <c r="AD836" s="76" t="s">
        <v>22629</v>
      </c>
      <c r="AE836" s="81" t="s">
        <v>23023</v>
      </c>
      <c r="AF836" s="76">
        <v>2789</v>
      </c>
      <c r="AG836" s="76">
        <v>586</v>
      </c>
      <c r="AH836" s="76">
        <v>5602</v>
      </c>
      <c r="AI836" s="76">
        <v>20</v>
      </c>
      <c r="AJ836" s="76">
        <v>3298</v>
      </c>
      <c r="AK836" s="76">
        <v>3195</v>
      </c>
      <c r="AL836" s="76" t="b">
        <v>0</v>
      </c>
      <c r="AM836" s="78">
        <v>40026.038703703707</v>
      </c>
      <c r="AN836" s="76" t="s">
        <v>23288</v>
      </c>
      <c r="AO836" s="76" t="s">
        <v>24063</v>
      </c>
      <c r="AP836" s="83" t="str">
        <f>HYPERLINK("https://t.co/BEKRWNvigP")</f>
        <v>https://t.co/BEKRWNvigP</v>
      </c>
      <c r="AQ836" s="83" t="str">
        <f>HYPERLINK("https://www.folhadocondomino.com.br")</f>
        <v>https://www.folhadocondomino.com.br</v>
      </c>
      <c r="AR836" s="76" t="s">
        <v>24709</v>
      </c>
      <c r="AS836" s="76"/>
      <c r="AT836" s="76"/>
      <c r="AU836" s="76"/>
      <c r="AV836" s="76"/>
      <c r="AW836" s="83" t="str">
        <f>HYPERLINK("https://t.co/BEKRWNvigP")</f>
        <v>https://t.co/BEKRWNvigP</v>
      </c>
      <c r="AX836" s="76" t="b">
        <v>0</v>
      </c>
      <c r="AY836" s="76"/>
      <c r="AZ836" s="76"/>
      <c r="BA836" s="76" t="b">
        <v>0</v>
      </c>
      <c r="BB836" s="76" t="b">
        <v>1</v>
      </c>
      <c r="BC836" s="76" t="b">
        <v>0</v>
      </c>
      <c r="BD836" s="76" t="b">
        <v>0</v>
      </c>
      <c r="BE836" s="76" t="b">
        <v>1</v>
      </c>
      <c r="BF836" s="76" t="b">
        <v>0</v>
      </c>
      <c r="BG836" s="76" t="b">
        <v>0</v>
      </c>
      <c r="BH836" s="83" t="str">
        <f>HYPERLINK("https://pbs.twimg.com/profile_banners/61920432/1571962156")</f>
        <v>https://pbs.twimg.com/profile_banners/61920432/1571962156</v>
      </c>
      <c r="BI836" s="76"/>
      <c r="BJ836" s="76" t="s">
        <v>24935</v>
      </c>
      <c r="BK836" s="76" t="b">
        <v>0</v>
      </c>
      <c r="BL836" s="76"/>
      <c r="BM836" s="76" t="s">
        <v>66</v>
      </c>
      <c r="BN836" s="76" t="s">
        <v>24937</v>
      </c>
      <c r="BO836" s="83" t="str">
        <f>HYPERLINK("https://twitter.com/folhacondominio")</f>
        <v>https://twitter.com/folhacondominio</v>
      </c>
      <c r="BP836" s="2"/>
    </row>
    <row r="837" spans="1:68" x14ac:dyDescent="0.25">
      <c r="A837" s="62" t="s">
        <v>1026</v>
      </c>
      <c r="B837" s="63"/>
      <c r="C837" s="63"/>
      <c r="D837" s="64"/>
      <c r="E837" s="66"/>
      <c r="F837" s="102" t="str">
        <f>HYPERLINK("https://pbs.twimg.com/profile_images/1653058194329985030/YMM0Zj-J_normal.jpg")</f>
        <v>https://pbs.twimg.com/profile_images/1653058194329985030/YMM0Zj-J_normal.jpg</v>
      </c>
      <c r="G837" s="63"/>
      <c r="H837" s="67"/>
      <c r="I837" s="68"/>
      <c r="J837" s="68"/>
      <c r="K837" s="67" t="s">
        <v>25771</v>
      </c>
      <c r="L837" s="71"/>
      <c r="M837" s="72"/>
      <c r="N837" s="72"/>
      <c r="O837" s="73"/>
      <c r="P837" s="74"/>
      <c r="Q837" s="74"/>
      <c r="R837" s="86"/>
      <c r="S837" s="86"/>
      <c r="T837" s="86"/>
      <c r="U837" s="86"/>
      <c r="V837" s="48"/>
      <c r="W837" s="48"/>
      <c r="X837" s="48"/>
      <c r="Y837" s="48"/>
      <c r="Z837" s="47"/>
      <c r="AA837" s="69">
        <v>837</v>
      </c>
      <c r="AB837" s="69"/>
      <c r="AC837" s="70"/>
      <c r="AD837" s="76" t="s">
        <v>22630</v>
      </c>
      <c r="AE837" s="81" t="s">
        <v>21614</v>
      </c>
      <c r="AF837" s="76">
        <v>0</v>
      </c>
      <c r="AG837" s="76">
        <v>6</v>
      </c>
      <c r="AH837" s="76">
        <v>2</v>
      </c>
      <c r="AI837" s="76">
        <v>0</v>
      </c>
      <c r="AJ837" s="76">
        <v>1</v>
      </c>
      <c r="AK837" s="76">
        <v>2</v>
      </c>
      <c r="AL837" s="76" t="b">
        <v>0</v>
      </c>
      <c r="AM837" s="78">
        <v>44867.943668981483</v>
      </c>
      <c r="AN837" s="76" t="s">
        <v>23289</v>
      </c>
      <c r="AO837" s="76" t="s">
        <v>24064</v>
      </c>
      <c r="AP837" s="83" t="str">
        <f>HYPERLINK("https://t.co/ZEPdPnQHlZ")</f>
        <v>https://t.co/ZEPdPnQHlZ</v>
      </c>
      <c r="AQ837" s="83" t="str">
        <f>HYPERLINK("http://tiktok.com/@achadinhodamah")</f>
        <v>http://tiktok.com/@achadinhodamah</v>
      </c>
      <c r="AR837" s="76" t="s">
        <v>24710</v>
      </c>
      <c r="AS837" s="76"/>
      <c r="AT837" s="76"/>
      <c r="AU837" s="76"/>
      <c r="AV837" s="76"/>
      <c r="AW837" s="83" t="str">
        <f>HYPERLINK("https://t.co/ZEPdPnQHlZ")</f>
        <v>https://t.co/ZEPdPnQHlZ</v>
      </c>
      <c r="AX837" s="76" t="b">
        <v>0</v>
      </c>
      <c r="AY837" s="76"/>
      <c r="AZ837" s="76"/>
      <c r="BA837" s="76" t="b">
        <v>1</v>
      </c>
      <c r="BB837" s="76" t="b">
        <v>1</v>
      </c>
      <c r="BC837" s="76" t="b">
        <v>1</v>
      </c>
      <c r="BD837" s="76" t="b">
        <v>0</v>
      </c>
      <c r="BE837" s="76" t="b">
        <v>0</v>
      </c>
      <c r="BF837" s="76" t="b">
        <v>0</v>
      </c>
      <c r="BG837" s="76" t="b">
        <v>0</v>
      </c>
      <c r="BH837" s="83" t="str">
        <f>HYPERLINK("https://pbs.twimg.com/profile_banners/1587937191266770945/1682954763")</f>
        <v>https://pbs.twimg.com/profile_banners/1587937191266770945/1682954763</v>
      </c>
      <c r="BI837" s="76"/>
      <c r="BJ837" s="76" t="s">
        <v>24935</v>
      </c>
      <c r="BK837" s="76" t="b">
        <v>0</v>
      </c>
      <c r="BL837" s="76"/>
      <c r="BM837" s="76" t="s">
        <v>66</v>
      </c>
      <c r="BN837" s="76" t="s">
        <v>24937</v>
      </c>
      <c r="BO837" s="83" t="str">
        <f>HYPERLINK("https://twitter.com/marciapapf")</f>
        <v>https://twitter.com/marciapapf</v>
      </c>
      <c r="BP837" s="2"/>
    </row>
    <row r="838" spans="1:68" x14ac:dyDescent="0.25">
      <c r="A838" s="62" t="s">
        <v>1027</v>
      </c>
      <c r="B838" s="63"/>
      <c r="C838" s="63"/>
      <c r="D838" s="64"/>
      <c r="E838" s="66"/>
      <c r="F838" s="102" t="str">
        <f>HYPERLINK("https://pbs.twimg.com/profile_images/1660757495395098625/RoWAitZu_normal.jpg")</f>
        <v>https://pbs.twimg.com/profile_images/1660757495395098625/RoWAitZu_normal.jpg</v>
      </c>
      <c r="G838" s="63"/>
      <c r="H838" s="67"/>
      <c r="I838" s="68"/>
      <c r="J838" s="68"/>
      <c r="K838" s="67" t="s">
        <v>25772</v>
      </c>
      <c r="L838" s="71"/>
      <c r="M838" s="72"/>
      <c r="N838" s="72"/>
      <c r="O838" s="73"/>
      <c r="P838" s="74"/>
      <c r="Q838" s="74"/>
      <c r="R838" s="86"/>
      <c r="S838" s="86"/>
      <c r="T838" s="86"/>
      <c r="U838" s="86"/>
      <c r="V838" s="48"/>
      <c r="W838" s="48"/>
      <c r="X838" s="48"/>
      <c r="Y838" s="48"/>
      <c r="Z838" s="47"/>
      <c r="AA838" s="69">
        <v>838</v>
      </c>
      <c r="AB838" s="69"/>
      <c r="AC838" s="70"/>
      <c r="AD838" s="76" t="s">
        <v>22631</v>
      </c>
      <c r="AE838" s="81" t="s">
        <v>21615</v>
      </c>
      <c r="AF838" s="76">
        <v>195</v>
      </c>
      <c r="AG838" s="76">
        <v>18</v>
      </c>
      <c r="AH838" s="76">
        <v>62</v>
      </c>
      <c r="AI838" s="76">
        <v>0</v>
      </c>
      <c r="AJ838" s="76">
        <v>91</v>
      </c>
      <c r="AK838" s="76">
        <v>4</v>
      </c>
      <c r="AL838" s="76" t="b">
        <v>0</v>
      </c>
      <c r="AM838" s="78">
        <v>45068.888854166667</v>
      </c>
      <c r="AN838" s="76"/>
      <c r="AO838" s="76" t="s">
        <v>24065</v>
      </c>
      <c r="AP838" s="83" t="str">
        <f>HYPERLINK("https://t.co/yXytK6vZmC")</f>
        <v>https://t.co/yXytK6vZmC</v>
      </c>
      <c r="AQ838" s="83" t="str">
        <f>HYPERLINK("http://www.youtube.com/@bladedaquebrada")</f>
        <v>http://www.youtube.com/@bladedaquebrada</v>
      </c>
      <c r="AR838" s="76" t="s">
        <v>24711</v>
      </c>
      <c r="AS838" s="76"/>
      <c r="AT838" s="76"/>
      <c r="AU838" s="76"/>
      <c r="AV838" s="76"/>
      <c r="AW838" s="83" t="str">
        <f>HYPERLINK("https://t.co/yXytK6vZmC")</f>
        <v>https://t.co/yXytK6vZmC</v>
      </c>
      <c r="AX838" s="76" t="b">
        <v>0</v>
      </c>
      <c r="AY838" s="76"/>
      <c r="AZ838" s="76"/>
      <c r="BA838" s="76" t="b">
        <v>0</v>
      </c>
      <c r="BB838" s="76" t="b">
        <v>1</v>
      </c>
      <c r="BC838" s="76" t="b">
        <v>1</v>
      </c>
      <c r="BD838" s="76" t="b">
        <v>0</v>
      </c>
      <c r="BE838" s="76" t="b">
        <v>0</v>
      </c>
      <c r="BF838" s="76" t="b">
        <v>0</v>
      </c>
      <c r="BG838" s="76" t="b">
        <v>0</v>
      </c>
      <c r="BH838" s="83" t="str">
        <f>HYPERLINK("https://pbs.twimg.com/profile_banners/1660757349080899584/1684790737")</f>
        <v>https://pbs.twimg.com/profile_banners/1660757349080899584/1684790737</v>
      </c>
      <c r="BI838" s="76"/>
      <c r="BJ838" s="76" t="s">
        <v>24935</v>
      </c>
      <c r="BK838" s="76" t="b">
        <v>0</v>
      </c>
      <c r="BL838" s="76"/>
      <c r="BM838" s="76" t="s">
        <v>66</v>
      </c>
      <c r="BN838" s="76" t="s">
        <v>24937</v>
      </c>
      <c r="BO838" s="83" t="str">
        <f>HYPERLINK("https://twitter.com/bladedaquebrada")</f>
        <v>https://twitter.com/bladedaquebrada</v>
      </c>
      <c r="BP838" s="2"/>
    </row>
    <row r="839" spans="1:68" x14ac:dyDescent="0.25">
      <c r="A839" s="62" t="s">
        <v>1270</v>
      </c>
      <c r="B839" s="63"/>
      <c r="C839" s="63"/>
      <c r="D839" s="64"/>
      <c r="E839" s="66"/>
      <c r="F839" s="102" t="str">
        <f>HYPERLINK("https://pbs.twimg.com/profile_images/1412003782192472066/-I2a8aCs_normal.jpg")</f>
        <v>https://pbs.twimg.com/profile_images/1412003782192472066/-I2a8aCs_normal.jpg</v>
      </c>
      <c r="G839" s="63"/>
      <c r="H839" s="67"/>
      <c r="I839" s="68"/>
      <c r="J839" s="68"/>
      <c r="K839" s="67" t="s">
        <v>25773</v>
      </c>
      <c r="L839" s="71"/>
      <c r="M839" s="72"/>
      <c r="N839" s="72"/>
      <c r="O839" s="73"/>
      <c r="P839" s="74"/>
      <c r="Q839" s="74"/>
      <c r="R839" s="86"/>
      <c r="S839" s="86"/>
      <c r="T839" s="86"/>
      <c r="U839" s="86"/>
      <c r="V839" s="48"/>
      <c r="W839" s="48"/>
      <c r="X839" s="48"/>
      <c r="Y839" s="48"/>
      <c r="Z839" s="47"/>
      <c r="AA839" s="69">
        <v>839</v>
      </c>
      <c r="AB839" s="69"/>
      <c r="AC839" s="70"/>
      <c r="AD839" s="76" t="s">
        <v>10177</v>
      </c>
      <c r="AE839" s="81" t="s">
        <v>23024</v>
      </c>
      <c r="AF839" s="76">
        <v>49503</v>
      </c>
      <c r="AG839" s="76">
        <v>3866</v>
      </c>
      <c r="AH839" s="76">
        <v>20560</v>
      </c>
      <c r="AI839" s="76">
        <v>764</v>
      </c>
      <c r="AJ839" s="76">
        <v>6588</v>
      </c>
      <c r="AK839" s="76">
        <v>2325</v>
      </c>
      <c r="AL839" s="76" t="b">
        <v>0</v>
      </c>
      <c r="AM839" s="78">
        <v>39997.7966087963</v>
      </c>
      <c r="AN839" s="76" t="s">
        <v>23290</v>
      </c>
      <c r="AO839" s="76" t="s">
        <v>24066</v>
      </c>
      <c r="AP839" s="83" t="str">
        <f>HYPERLINK("https://t.co/dxhtyZ6j55")</f>
        <v>https://t.co/dxhtyZ6j55</v>
      </c>
      <c r="AQ839" s="83" t="str">
        <f>HYPERLINK("https://linktr.ee/spreaker")</f>
        <v>https://linktr.ee/spreaker</v>
      </c>
      <c r="AR839" s="76" t="s">
        <v>24712</v>
      </c>
      <c r="AS839" s="76"/>
      <c r="AT839" s="76"/>
      <c r="AU839" s="76"/>
      <c r="AV839" s="76"/>
      <c r="AW839" s="83" t="str">
        <f>HYPERLINK("https://t.co/dxhtyZ6j55")</f>
        <v>https://t.co/dxhtyZ6j55</v>
      </c>
      <c r="AX839" s="76" t="b">
        <v>0</v>
      </c>
      <c r="AY839" s="76"/>
      <c r="AZ839" s="76"/>
      <c r="BA839" s="76" t="b">
        <v>0</v>
      </c>
      <c r="BB839" s="76" t="b">
        <v>1</v>
      </c>
      <c r="BC839" s="76" t="b">
        <v>0</v>
      </c>
      <c r="BD839" s="76" t="b">
        <v>0</v>
      </c>
      <c r="BE839" s="76" t="b">
        <v>0</v>
      </c>
      <c r="BF839" s="76" t="b">
        <v>0</v>
      </c>
      <c r="BG839" s="76" t="b">
        <v>0</v>
      </c>
      <c r="BH839" s="83" t="str">
        <f>HYPERLINK("https://pbs.twimg.com/profile_banners/53469538/1656604190")</f>
        <v>https://pbs.twimg.com/profile_banners/53469538/1656604190</v>
      </c>
      <c r="BI839" s="76"/>
      <c r="BJ839" s="76" t="s">
        <v>24935</v>
      </c>
      <c r="BK839" s="76" t="b">
        <v>0</v>
      </c>
      <c r="BL839" s="76"/>
      <c r="BM839" s="76" t="s">
        <v>65</v>
      </c>
      <c r="BN839" s="76" t="s">
        <v>24937</v>
      </c>
      <c r="BO839" s="83" t="str">
        <f>HYPERLINK("https://twitter.com/spreaker")</f>
        <v>https://twitter.com/spreaker</v>
      </c>
      <c r="BP839" s="2"/>
    </row>
    <row r="840" spans="1:68" x14ac:dyDescent="0.25">
      <c r="A840" s="62" t="s">
        <v>1028</v>
      </c>
      <c r="B840" s="63"/>
      <c r="C840" s="63"/>
      <c r="D840" s="64"/>
      <c r="E840" s="66"/>
      <c r="F840" s="102" t="str">
        <f>HYPERLINK("https://pbs.twimg.com/profile_images/1689465261282230273/dcAlO4aC_normal.jpg")</f>
        <v>https://pbs.twimg.com/profile_images/1689465261282230273/dcAlO4aC_normal.jpg</v>
      </c>
      <c r="G840" s="63"/>
      <c r="H840" s="67"/>
      <c r="I840" s="68"/>
      <c r="J840" s="68"/>
      <c r="K840" s="67" t="s">
        <v>25774</v>
      </c>
      <c r="L840" s="71"/>
      <c r="M840" s="72"/>
      <c r="N840" s="72"/>
      <c r="O840" s="73"/>
      <c r="P840" s="74"/>
      <c r="Q840" s="74"/>
      <c r="R840" s="86"/>
      <c r="S840" s="86"/>
      <c r="T840" s="86"/>
      <c r="U840" s="86"/>
      <c r="V840" s="48"/>
      <c r="W840" s="48"/>
      <c r="X840" s="48"/>
      <c r="Y840" s="48"/>
      <c r="Z840" s="47"/>
      <c r="AA840" s="69">
        <v>840</v>
      </c>
      <c r="AB840" s="69"/>
      <c r="AC840" s="70"/>
      <c r="AD840" s="76" t="s">
        <v>22632</v>
      </c>
      <c r="AE840" s="81" t="s">
        <v>21616</v>
      </c>
      <c r="AF840" s="76">
        <v>1</v>
      </c>
      <c r="AG840" s="76">
        <v>6</v>
      </c>
      <c r="AH840" s="76">
        <v>84</v>
      </c>
      <c r="AI840" s="76">
        <v>0</v>
      </c>
      <c r="AJ840" s="76">
        <v>5</v>
      </c>
      <c r="AK840" s="76">
        <v>83</v>
      </c>
      <c r="AL840" s="76" t="b">
        <v>0</v>
      </c>
      <c r="AM840" s="78">
        <v>45148.106979166667</v>
      </c>
      <c r="AN840" s="76"/>
      <c r="AO840" s="76" t="s">
        <v>24067</v>
      </c>
      <c r="AP840" s="76"/>
      <c r="AQ840" s="76"/>
      <c r="AR840" s="76"/>
      <c r="AS840" s="83" t="str">
        <f>HYPERLINK("https://t.co/Pk9K55lWZZ")</f>
        <v>https://t.co/Pk9K55lWZZ</v>
      </c>
      <c r="AT840" s="83" t="str">
        <f>HYPERLINK("https://bit.ly/3P4yXn9")</f>
        <v>https://bit.ly/3P4yXn9</v>
      </c>
      <c r="AU840" s="76" t="s">
        <v>24915</v>
      </c>
      <c r="AV840" s="76"/>
      <c r="AW840" s="76"/>
      <c r="AX840" s="76" t="b">
        <v>0</v>
      </c>
      <c r="AY840" s="76"/>
      <c r="AZ840" s="76"/>
      <c r="BA840" s="76" t="b">
        <v>0</v>
      </c>
      <c r="BB840" s="76" t="b">
        <v>1</v>
      </c>
      <c r="BC840" s="76" t="b">
        <v>1</v>
      </c>
      <c r="BD840" s="76" t="b">
        <v>0</v>
      </c>
      <c r="BE840" s="76" t="b">
        <v>0</v>
      </c>
      <c r="BF840" s="76" t="b">
        <v>0</v>
      </c>
      <c r="BG840" s="76" t="b">
        <v>0</v>
      </c>
      <c r="BH840" s="83" t="str">
        <f>HYPERLINK("https://pbs.twimg.com/profile_banners/1689464926551547904/1691635238")</f>
        <v>https://pbs.twimg.com/profile_banners/1689464926551547904/1691635238</v>
      </c>
      <c r="BI840" s="76"/>
      <c r="BJ840" s="76" t="s">
        <v>24935</v>
      </c>
      <c r="BK840" s="76" t="b">
        <v>0</v>
      </c>
      <c r="BL840" s="76"/>
      <c r="BM840" s="76" t="s">
        <v>66</v>
      </c>
      <c r="BN840" s="76" t="s">
        <v>24937</v>
      </c>
      <c r="BO840" s="83" t="str">
        <f>HYPERLINK("https://twitter.com/cortesmillion")</f>
        <v>https://twitter.com/cortesmillion</v>
      </c>
      <c r="BP840" s="2"/>
    </row>
    <row r="841" spans="1:68" x14ac:dyDescent="0.25">
      <c r="A841" s="62" t="s">
        <v>1029</v>
      </c>
      <c r="B841" s="63"/>
      <c r="C841" s="63"/>
      <c r="D841" s="64"/>
      <c r="E841" s="66"/>
      <c r="F841" s="102" t="str">
        <f>HYPERLINK("https://pbs.twimg.com/profile_images/1514740305299484678/ggdA4ZOj_normal.jpg")</f>
        <v>https://pbs.twimg.com/profile_images/1514740305299484678/ggdA4ZOj_normal.jpg</v>
      </c>
      <c r="G841" s="63"/>
      <c r="H841" s="67"/>
      <c r="I841" s="68"/>
      <c r="J841" s="68"/>
      <c r="K841" s="67" t="s">
        <v>25775</v>
      </c>
      <c r="L841" s="71"/>
      <c r="M841" s="72"/>
      <c r="N841" s="72"/>
      <c r="O841" s="73"/>
      <c r="P841" s="74"/>
      <c r="Q841" s="74"/>
      <c r="R841" s="86"/>
      <c r="S841" s="86"/>
      <c r="T841" s="86"/>
      <c r="U841" s="86"/>
      <c r="V841" s="48"/>
      <c r="W841" s="48"/>
      <c r="X841" s="48"/>
      <c r="Y841" s="48"/>
      <c r="Z841" s="47"/>
      <c r="AA841" s="69">
        <v>841</v>
      </c>
      <c r="AB841" s="69"/>
      <c r="AC841" s="70"/>
      <c r="AD841" s="76" t="s">
        <v>22633</v>
      </c>
      <c r="AE841" s="81" t="s">
        <v>21617</v>
      </c>
      <c r="AF841" s="76">
        <v>0</v>
      </c>
      <c r="AG841" s="76">
        <v>14</v>
      </c>
      <c r="AH841" s="76">
        <v>14</v>
      </c>
      <c r="AI841" s="76">
        <v>0</v>
      </c>
      <c r="AJ841" s="76">
        <v>0</v>
      </c>
      <c r="AK841" s="76">
        <v>2</v>
      </c>
      <c r="AL841" s="76" t="b">
        <v>0</v>
      </c>
      <c r="AM841" s="78">
        <v>44665.957592592589</v>
      </c>
      <c r="AN841" s="76" t="s">
        <v>23291</v>
      </c>
      <c r="AO841" s="76" t="s">
        <v>24068</v>
      </c>
      <c r="AP841" s="83" t="str">
        <f>HYPERLINK("https://t.co/SZuNo9rYmD")</f>
        <v>https://t.co/SZuNo9rYmD</v>
      </c>
      <c r="AQ841" s="83" t="str">
        <f>HYPERLINK("https://shopibeauty.lojavirtualnuvem.com.br")</f>
        <v>https://shopibeauty.lojavirtualnuvem.com.br</v>
      </c>
      <c r="AR841" s="76" t="s">
        <v>24713</v>
      </c>
      <c r="AS841" s="76"/>
      <c r="AT841" s="76"/>
      <c r="AU841" s="76"/>
      <c r="AV841" s="76"/>
      <c r="AW841" s="83" t="str">
        <f>HYPERLINK("https://t.co/SZuNo9rYmD")</f>
        <v>https://t.co/SZuNo9rYmD</v>
      </c>
      <c r="AX841" s="76" t="b">
        <v>0</v>
      </c>
      <c r="AY841" s="76"/>
      <c r="AZ841" s="76"/>
      <c r="BA841" s="76" t="b">
        <v>0</v>
      </c>
      <c r="BB841" s="76" t="b">
        <v>1</v>
      </c>
      <c r="BC841" s="76" t="b">
        <v>1</v>
      </c>
      <c r="BD841" s="76" t="b">
        <v>0</v>
      </c>
      <c r="BE841" s="76" t="b">
        <v>0</v>
      </c>
      <c r="BF841" s="76" t="b">
        <v>0</v>
      </c>
      <c r="BG841" s="76" t="b">
        <v>0</v>
      </c>
      <c r="BH841" s="83" t="str">
        <f>HYPERLINK("https://pbs.twimg.com/profile_banners/1514739975165775880/1663328539")</f>
        <v>https://pbs.twimg.com/profile_banners/1514739975165775880/1663328539</v>
      </c>
      <c r="BI841" s="76"/>
      <c r="BJ841" s="76" t="s">
        <v>24935</v>
      </c>
      <c r="BK841" s="76" t="b">
        <v>0</v>
      </c>
      <c r="BL841" s="76"/>
      <c r="BM841" s="76" t="s">
        <v>66</v>
      </c>
      <c r="BN841" s="76" t="s">
        <v>24937</v>
      </c>
      <c r="BO841" s="83" t="str">
        <f>HYPERLINK("https://twitter.com/danicl81776310")</f>
        <v>https://twitter.com/danicl81776310</v>
      </c>
      <c r="BP841" s="2"/>
    </row>
    <row r="842" spans="1:68" x14ac:dyDescent="0.25">
      <c r="A842" s="62" t="s">
        <v>1030</v>
      </c>
      <c r="B842" s="63"/>
      <c r="C842" s="63"/>
      <c r="D842" s="64"/>
      <c r="E842" s="66"/>
      <c r="F842" s="102" t="str">
        <f>HYPERLINK("https://pbs.twimg.com/profile_images/1685438250758844422/sCqEaPNb_normal.jpg")</f>
        <v>https://pbs.twimg.com/profile_images/1685438250758844422/sCqEaPNb_normal.jpg</v>
      </c>
      <c r="G842" s="63"/>
      <c r="H842" s="67"/>
      <c r="I842" s="68"/>
      <c r="J842" s="68"/>
      <c r="K842" s="67" t="s">
        <v>25776</v>
      </c>
      <c r="L842" s="71"/>
      <c r="M842" s="72"/>
      <c r="N842" s="72"/>
      <c r="O842" s="73"/>
      <c r="P842" s="74"/>
      <c r="Q842" s="74"/>
      <c r="R842" s="86"/>
      <c r="S842" s="86"/>
      <c r="T842" s="86"/>
      <c r="U842" s="86"/>
      <c r="V842" s="48"/>
      <c r="W842" s="48"/>
      <c r="X842" s="48"/>
      <c r="Y842" s="48"/>
      <c r="Z842" s="47"/>
      <c r="AA842" s="69">
        <v>842</v>
      </c>
      <c r="AB842" s="69"/>
      <c r="AC842" s="70"/>
      <c r="AD842" s="76" t="s">
        <v>22634</v>
      </c>
      <c r="AE842" s="81" t="s">
        <v>20960</v>
      </c>
      <c r="AF842" s="76">
        <v>2409</v>
      </c>
      <c r="AG842" s="76">
        <v>1041</v>
      </c>
      <c r="AH842" s="76">
        <v>14741</v>
      </c>
      <c r="AI842" s="76">
        <v>0</v>
      </c>
      <c r="AJ842" s="76">
        <v>19099</v>
      </c>
      <c r="AK842" s="76">
        <v>1898</v>
      </c>
      <c r="AL842" s="76" t="b">
        <v>0</v>
      </c>
      <c r="AM842" s="78">
        <v>44104.546284722222</v>
      </c>
      <c r="AN842" s="76" t="s">
        <v>14041</v>
      </c>
      <c r="AO842" s="76" t="s">
        <v>24069</v>
      </c>
      <c r="AP842" s="76"/>
      <c r="AQ842" s="76"/>
      <c r="AR842" s="76"/>
      <c r="AS842" s="76"/>
      <c r="AT842" s="76"/>
      <c r="AU842" s="76"/>
      <c r="AV842" s="76">
        <v>1.6312286501995799E+18</v>
      </c>
      <c r="AW842" s="76"/>
      <c r="AX842" s="76" t="b">
        <v>0</v>
      </c>
      <c r="AY842" s="76"/>
      <c r="AZ842" s="76"/>
      <c r="BA842" s="76" t="b">
        <v>1</v>
      </c>
      <c r="BB842" s="76" t="b">
        <v>0</v>
      </c>
      <c r="BC842" s="76" t="b">
        <v>1</v>
      </c>
      <c r="BD842" s="76" t="b">
        <v>0</v>
      </c>
      <c r="BE842" s="76" t="b">
        <v>1</v>
      </c>
      <c r="BF842" s="76" t="b">
        <v>0</v>
      </c>
      <c r="BG842" s="76" t="b">
        <v>0</v>
      </c>
      <c r="BH842" s="83" t="str">
        <f>HYPERLINK("https://pbs.twimg.com/profile_banners/1311291296775114752/1642765455")</f>
        <v>https://pbs.twimg.com/profile_banners/1311291296775114752/1642765455</v>
      </c>
      <c r="BI842" s="76"/>
      <c r="BJ842" s="76" t="s">
        <v>24935</v>
      </c>
      <c r="BK842" s="76" t="b">
        <v>0</v>
      </c>
      <c r="BL842" s="76"/>
      <c r="BM842" s="76" t="s">
        <v>66</v>
      </c>
      <c r="BN842" s="76" t="s">
        <v>24937</v>
      </c>
      <c r="BO842" s="83" t="str">
        <f>HYPERLINK("https://twitter.com/badjuh_")</f>
        <v>https://twitter.com/badjuh_</v>
      </c>
      <c r="BP842" s="2"/>
    </row>
    <row r="843" spans="1:68" x14ac:dyDescent="0.25">
      <c r="A843" s="62" t="s">
        <v>1031</v>
      </c>
      <c r="B843" s="63"/>
      <c r="C843" s="63"/>
      <c r="D843" s="64"/>
      <c r="E843" s="66"/>
      <c r="F843" s="102" t="str">
        <f>HYPERLINK("https://pbs.twimg.com/profile_images/1697278648988880896/nCL_jGY8_normal.jpg")</f>
        <v>https://pbs.twimg.com/profile_images/1697278648988880896/nCL_jGY8_normal.jpg</v>
      </c>
      <c r="G843" s="63"/>
      <c r="H843" s="67"/>
      <c r="I843" s="68"/>
      <c r="J843" s="68"/>
      <c r="K843" s="67" t="s">
        <v>25777</v>
      </c>
      <c r="L843" s="71"/>
      <c r="M843" s="72"/>
      <c r="N843" s="72"/>
      <c r="O843" s="73"/>
      <c r="P843" s="74"/>
      <c r="Q843" s="74"/>
      <c r="R843" s="86"/>
      <c r="S843" s="86"/>
      <c r="T843" s="86"/>
      <c r="U843" s="86"/>
      <c r="V843" s="48"/>
      <c r="W843" s="48"/>
      <c r="X843" s="48"/>
      <c r="Y843" s="48"/>
      <c r="Z843" s="47"/>
      <c r="AA843" s="69">
        <v>843</v>
      </c>
      <c r="AB843" s="69"/>
      <c r="AC843" s="70"/>
      <c r="AD843" s="76" t="s">
        <v>22635</v>
      </c>
      <c r="AE843" s="81" t="s">
        <v>21618</v>
      </c>
      <c r="AF843" s="76">
        <v>405</v>
      </c>
      <c r="AG843" s="76">
        <v>541</v>
      </c>
      <c r="AH843" s="76">
        <v>6891</v>
      </c>
      <c r="AI843" s="76">
        <v>3</v>
      </c>
      <c r="AJ843" s="76">
        <v>220873</v>
      </c>
      <c r="AK843" s="76">
        <v>347</v>
      </c>
      <c r="AL843" s="76" t="b">
        <v>0</v>
      </c>
      <c r="AM843" s="78">
        <v>43486.809594907405</v>
      </c>
      <c r="AN843" s="76" t="s">
        <v>23276</v>
      </c>
      <c r="AO843" s="76" t="s">
        <v>24070</v>
      </c>
      <c r="AP843" s="83" t="str">
        <f>HYPERLINK("https://t.co/Gu2DiE8Bpp")</f>
        <v>https://t.co/Gu2DiE8Bpp</v>
      </c>
      <c r="AQ843" s="83" t="str">
        <f>HYPERLINK("https://vendah.com.br/thai.lo")</f>
        <v>https://vendah.com.br/thai.lo</v>
      </c>
      <c r="AR843" s="76" t="s">
        <v>24714</v>
      </c>
      <c r="AS843" s="76"/>
      <c r="AT843" s="76"/>
      <c r="AU843" s="76"/>
      <c r="AV843" s="76">
        <v>1.68176612736865E+18</v>
      </c>
      <c r="AW843" s="83" t="str">
        <f>HYPERLINK("https://t.co/Gu2DiE8Bpp")</f>
        <v>https://t.co/Gu2DiE8Bpp</v>
      </c>
      <c r="AX843" s="76" t="b">
        <v>0</v>
      </c>
      <c r="AY843" s="76"/>
      <c r="AZ843" s="76"/>
      <c r="BA843" s="76" t="b">
        <v>0</v>
      </c>
      <c r="BB843" s="76" t="b">
        <v>1</v>
      </c>
      <c r="BC843" s="76" t="b">
        <v>1</v>
      </c>
      <c r="BD843" s="76" t="b">
        <v>0</v>
      </c>
      <c r="BE843" s="76" t="b">
        <v>1</v>
      </c>
      <c r="BF843" s="76" t="b">
        <v>0</v>
      </c>
      <c r="BG843" s="76" t="b">
        <v>0</v>
      </c>
      <c r="BH843" s="83" t="str">
        <f>HYPERLINK("https://pbs.twimg.com/profile_banners/1087431086899113986/1688942788")</f>
        <v>https://pbs.twimg.com/profile_banners/1087431086899113986/1688942788</v>
      </c>
      <c r="BI843" s="76"/>
      <c r="BJ843" s="76" t="s">
        <v>24935</v>
      </c>
      <c r="BK843" s="76" t="b">
        <v>0</v>
      </c>
      <c r="BL843" s="76"/>
      <c r="BM843" s="76" t="s">
        <v>66</v>
      </c>
      <c r="BN843" s="76" t="s">
        <v>24937</v>
      </c>
      <c r="BO843" s="83" t="str">
        <f>HYPERLINK("https://twitter.com/thaiacosveganos")</f>
        <v>https://twitter.com/thaiacosveganos</v>
      </c>
      <c r="BP843" s="2"/>
    </row>
    <row r="844" spans="1:68" x14ac:dyDescent="0.25">
      <c r="A844" s="62" t="s">
        <v>1032</v>
      </c>
      <c r="B844" s="63"/>
      <c r="C844" s="63"/>
      <c r="D844" s="64"/>
      <c r="E844" s="66"/>
      <c r="F844" s="102" t="str">
        <f>HYPERLINK("https://pbs.twimg.com/profile_images/1633283706239565827/yK1IOkRl_normal.jpg")</f>
        <v>https://pbs.twimg.com/profile_images/1633283706239565827/yK1IOkRl_normal.jpg</v>
      </c>
      <c r="G844" s="63"/>
      <c r="H844" s="67"/>
      <c r="I844" s="68"/>
      <c r="J844" s="68"/>
      <c r="K844" s="67" t="s">
        <v>25778</v>
      </c>
      <c r="L844" s="71"/>
      <c r="M844" s="72"/>
      <c r="N844" s="72"/>
      <c r="O844" s="73"/>
      <c r="P844" s="74"/>
      <c r="Q844" s="74"/>
      <c r="R844" s="86"/>
      <c r="S844" s="86"/>
      <c r="T844" s="86"/>
      <c r="U844" s="86"/>
      <c r="V844" s="48"/>
      <c r="W844" s="48"/>
      <c r="X844" s="48"/>
      <c r="Y844" s="48"/>
      <c r="Z844" s="47"/>
      <c r="AA844" s="69">
        <v>844</v>
      </c>
      <c r="AB844" s="69"/>
      <c r="AC844" s="70"/>
      <c r="AD844" s="76" t="s">
        <v>22636</v>
      </c>
      <c r="AE844" s="81" t="s">
        <v>23025</v>
      </c>
      <c r="AF844" s="76">
        <v>0</v>
      </c>
      <c r="AG844" s="76">
        <v>14</v>
      </c>
      <c r="AH844" s="76">
        <v>17</v>
      </c>
      <c r="AI844" s="76">
        <v>0</v>
      </c>
      <c r="AJ844" s="76">
        <v>11</v>
      </c>
      <c r="AK844" s="76">
        <v>10</v>
      </c>
      <c r="AL844" s="76" t="b">
        <v>0</v>
      </c>
      <c r="AM844" s="78">
        <v>41956.115416666667</v>
      </c>
      <c r="AN844" s="76"/>
      <c r="AO844" s="76" t="s">
        <v>24071</v>
      </c>
      <c r="AP844" s="76"/>
      <c r="AQ844" s="76"/>
      <c r="AR844" s="76"/>
      <c r="AS844" s="76"/>
      <c r="AT844" s="76"/>
      <c r="AU844" s="76"/>
      <c r="AV844" s="76"/>
      <c r="AW844" s="76"/>
      <c r="AX844" s="76" t="b">
        <v>0</v>
      </c>
      <c r="AY844" s="76"/>
      <c r="AZ844" s="76"/>
      <c r="BA844" s="76" t="b">
        <v>0</v>
      </c>
      <c r="BB844" s="76" t="b">
        <v>1</v>
      </c>
      <c r="BC844" s="76" t="b">
        <v>1</v>
      </c>
      <c r="BD844" s="76" t="b">
        <v>0</v>
      </c>
      <c r="BE844" s="76" t="b">
        <v>0</v>
      </c>
      <c r="BF844" s="76" t="b">
        <v>0</v>
      </c>
      <c r="BG844" s="76" t="b">
        <v>0</v>
      </c>
      <c r="BH844" s="83" t="str">
        <f>HYPERLINK("https://pbs.twimg.com/profile_banners/2874590999/1678240179")</f>
        <v>https://pbs.twimg.com/profile_banners/2874590999/1678240179</v>
      </c>
      <c r="BI844" s="76"/>
      <c r="BJ844" s="76" t="s">
        <v>24935</v>
      </c>
      <c r="BK844" s="76" t="b">
        <v>0</v>
      </c>
      <c r="BL844" s="76"/>
      <c r="BM844" s="76" t="s">
        <v>66</v>
      </c>
      <c r="BN844" s="76" t="s">
        <v>24937</v>
      </c>
      <c r="BO844" s="83" t="str">
        <f>HYPERLINK("https://twitter.com/kelitamuniz")</f>
        <v>https://twitter.com/kelitamuniz</v>
      </c>
      <c r="BP844" s="2"/>
    </row>
    <row r="845" spans="1:68" x14ac:dyDescent="0.25">
      <c r="A845" s="62" t="s">
        <v>1033</v>
      </c>
      <c r="B845" s="63"/>
      <c r="C845" s="63"/>
      <c r="D845" s="64"/>
      <c r="E845" s="66"/>
      <c r="F845" s="102" t="str">
        <f>HYPERLINK("https://pbs.twimg.com/profile_images/1464735524992831488/D8sk-DBM_normal.jpg")</f>
        <v>https://pbs.twimg.com/profile_images/1464735524992831488/D8sk-DBM_normal.jpg</v>
      </c>
      <c r="G845" s="63"/>
      <c r="H845" s="67"/>
      <c r="I845" s="68"/>
      <c r="J845" s="68"/>
      <c r="K845" s="67" t="s">
        <v>25779</v>
      </c>
      <c r="L845" s="71"/>
      <c r="M845" s="72"/>
      <c r="N845" s="72"/>
      <c r="O845" s="73"/>
      <c r="P845" s="74"/>
      <c r="Q845" s="74"/>
      <c r="R845" s="86"/>
      <c r="S845" s="86"/>
      <c r="T845" s="86"/>
      <c r="U845" s="86"/>
      <c r="V845" s="48"/>
      <c r="W845" s="48"/>
      <c r="X845" s="48"/>
      <c r="Y845" s="48"/>
      <c r="Z845" s="47"/>
      <c r="AA845" s="69">
        <v>845</v>
      </c>
      <c r="AB845" s="69"/>
      <c r="AC845" s="70"/>
      <c r="AD845" s="76" t="s">
        <v>22637</v>
      </c>
      <c r="AE845" s="81" t="s">
        <v>21619</v>
      </c>
      <c r="AF845" s="76">
        <v>0</v>
      </c>
      <c r="AG845" s="76">
        <v>20</v>
      </c>
      <c r="AH845" s="76">
        <v>40</v>
      </c>
      <c r="AI845" s="76">
        <v>0</v>
      </c>
      <c r="AJ845" s="76">
        <v>8</v>
      </c>
      <c r="AK845" s="76">
        <v>0</v>
      </c>
      <c r="AL845" s="76" t="b">
        <v>0</v>
      </c>
      <c r="AM845" s="78">
        <v>44527.971493055556</v>
      </c>
      <c r="AN845" s="76"/>
      <c r="AO845" s="76"/>
      <c r="AP845" s="76"/>
      <c r="AQ845" s="76"/>
      <c r="AR845" s="76"/>
      <c r="AS845" s="76"/>
      <c r="AT845" s="76"/>
      <c r="AU845" s="76"/>
      <c r="AV845" s="76"/>
      <c r="AW845" s="76"/>
      <c r="AX845" s="76" t="b">
        <v>0</v>
      </c>
      <c r="AY845" s="76"/>
      <c r="AZ845" s="76"/>
      <c r="BA845" s="76" t="b">
        <v>0</v>
      </c>
      <c r="BB845" s="76" t="b">
        <v>1</v>
      </c>
      <c r="BC845" s="76" t="b">
        <v>1</v>
      </c>
      <c r="BD845" s="76" t="b">
        <v>0</v>
      </c>
      <c r="BE845" s="76" t="b">
        <v>0</v>
      </c>
      <c r="BF845" s="76" t="b">
        <v>0</v>
      </c>
      <c r="BG845" s="76" t="b">
        <v>0</v>
      </c>
      <c r="BH845" s="76"/>
      <c r="BI845" s="76"/>
      <c r="BJ845" s="76" t="s">
        <v>24935</v>
      </c>
      <c r="BK845" s="76" t="b">
        <v>0</v>
      </c>
      <c r="BL845" s="76"/>
      <c r="BM845" s="76" t="s">
        <v>66</v>
      </c>
      <c r="BN845" s="76" t="s">
        <v>24937</v>
      </c>
      <c r="BO845" s="83" t="str">
        <f>HYPERLINK("https://twitter.com/tiojuniorgames1")</f>
        <v>https://twitter.com/tiojuniorgames1</v>
      </c>
      <c r="BP845" s="2"/>
    </row>
    <row r="846" spans="1:68" x14ac:dyDescent="0.25">
      <c r="A846" s="62" t="s">
        <v>1034</v>
      </c>
      <c r="B846" s="63"/>
      <c r="C846" s="63"/>
      <c r="D846" s="64"/>
      <c r="E846" s="66"/>
      <c r="F846" s="102" t="str">
        <f>HYPERLINK("https://pbs.twimg.com/profile_images/1659032674042871808/fdFlB43T_normal.jpg")</f>
        <v>https://pbs.twimg.com/profile_images/1659032674042871808/fdFlB43T_normal.jpg</v>
      </c>
      <c r="G846" s="63"/>
      <c r="H846" s="67"/>
      <c r="I846" s="68"/>
      <c r="J846" s="68"/>
      <c r="K846" s="67" t="s">
        <v>25780</v>
      </c>
      <c r="L846" s="71"/>
      <c r="M846" s="72"/>
      <c r="N846" s="72"/>
      <c r="O846" s="73"/>
      <c r="P846" s="74"/>
      <c r="Q846" s="74"/>
      <c r="R846" s="86"/>
      <c r="S846" s="86"/>
      <c r="T846" s="86"/>
      <c r="U846" s="86"/>
      <c r="V846" s="48"/>
      <c r="W846" s="48"/>
      <c r="X846" s="48"/>
      <c r="Y846" s="48"/>
      <c r="Z846" s="47"/>
      <c r="AA846" s="69">
        <v>846</v>
      </c>
      <c r="AB846" s="69"/>
      <c r="AC846" s="70"/>
      <c r="AD846" s="76" t="s">
        <v>22638</v>
      </c>
      <c r="AE846" s="81" t="s">
        <v>21620</v>
      </c>
      <c r="AF846" s="76">
        <v>1</v>
      </c>
      <c r="AG846" s="76">
        <v>39</v>
      </c>
      <c r="AH846" s="76">
        <v>121</v>
      </c>
      <c r="AI846" s="76">
        <v>0</v>
      </c>
      <c r="AJ846" s="76">
        <v>381</v>
      </c>
      <c r="AK846" s="76">
        <v>2</v>
      </c>
      <c r="AL846" s="76" t="b">
        <v>0</v>
      </c>
      <c r="AM846" s="78">
        <v>44649.979791666665</v>
      </c>
      <c r="AN846" s="76" t="s">
        <v>23292</v>
      </c>
      <c r="AO846" s="76" t="s">
        <v>24072</v>
      </c>
      <c r="AP846" s="83" t="str">
        <f>HYPERLINK("https://t.co/BFS1Xmr5Fc")</f>
        <v>https://t.co/BFS1Xmr5Fc</v>
      </c>
      <c r="AQ846" s="83" t="str">
        <f>HYPERLINK("https://go.hotmart.com/K82962804P")</f>
        <v>https://go.hotmart.com/K82962804P</v>
      </c>
      <c r="AR846" s="76" t="s">
        <v>24715</v>
      </c>
      <c r="AS846" s="76"/>
      <c r="AT846" s="76"/>
      <c r="AU846" s="76"/>
      <c r="AV846" s="76">
        <v>1.6590325050082299E+18</v>
      </c>
      <c r="AW846" s="83" t="str">
        <f>HYPERLINK("https://t.co/BFS1Xmr5Fc")</f>
        <v>https://t.co/BFS1Xmr5Fc</v>
      </c>
      <c r="AX846" s="76" t="b">
        <v>0</v>
      </c>
      <c r="AY846" s="76"/>
      <c r="AZ846" s="76"/>
      <c r="BA846" s="76" t="b">
        <v>0</v>
      </c>
      <c r="BB846" s="76" t="b">
        <v>1</v>
      </c>
      <c r="BC846" s="76" t="b">
        <v>1</v>
      </c>
      <c r="BD846" s="76" t="b">
        <v>0</v>
      </c>
      <c r="BE846" s="76" t="b">
        <v>1</v>
      </c>
      <c r="BF846" s="76" t="b">
        <v>0</v>
      </c>
      <c r="BG846" s="76" t="b">
        <v>0</v>
      </c>
      <c r="BH846" s="83" t="str">
        <f>HYPERLINK("https://pbs.twimg.com/profile_banners/1508949787009290244/1684378783")</f>
        <v>https://pbs.twimg.com/profile_banners/1508949787009290244/1684378783</v>
      </c>
      <c r="BI846" s="76"/>
      <c r="BJ846" s="76" t="s">
        <v>24935</v>
      </c>
      <c r="BK846" s="76" t="b">
        <v>0</v>
      </c>
      <c r="BL846" s="76"/>
      <c r="BM846" s="76" t="s">
        <v>66</v>
      </c>
      <c r="BN846" s="76" t="s">
        <v>24937</v>
      </c>
      <c r="BO846" s="83" t="str">
        <f>HYPERLINK("https://twitter.com/rendaextra_a")</f>
        <v>https://twitter.com/rendaextra_a</v>
      </c>
      <c r="BP846" s="2"/>
    </row>
    <row r="847" spans="1:68" x14ac:dyDescent="0.25">
      <c r="A847" s="62" t="s">
        <v>1035</v>
      </c>
      <c r="B847" s="63"/>
      <c r="C847" s="63"/>
      <c r="D847" s="64"/>
      <c r="E847" s="66"/>
      <c r="F847" s="102" t="str">
        <f>HYPERLINK("https://pbs.twimg.com/profile_images/1649927042203365381/afLiNEuT_normal.jpg")</f>
        <v>https://pbs.twimg.com/profile_images/1649927042203365381/afLiNEuT_normal.jpg</v>
      </c>
      <c r="G847" s="63"/>
      <c r="H847" s="67"/>
      <c r="I847" s="68"/>
      <c r="J847" s="68"/>
      <c r="K847" s="67" t="s">
        <v>25781</v>
      </c>
      <c r="L847" s="71"/>
      <c r="M847" s="72"/>
      <c r="N847" s="72"/>
      <c r="O847" s="73"/>
      <c r="P847" s="74"/>
      <c r="Q847" s="74"/>
      <c r="R847" s="86"/>
      <c r="S847" s="86"/>
      <c r="T847" s="86"/>
      <c r="U847" s="86"/>
      <c r="V847" s="48"/>
      <c r="W847" s="48"/>
      <c r="X847" s="48"/>
      <c r="Y847" s="48"/>
      <c r="Z847" s="47"/>
      <c r="AA847" s="69">
        <v>847</v>
      </c>
      <c r="AB847" s="69"/>
      <c r="AC847" s="70"/>
      <c r="AD847" s="76" t="s">
        <v>22639</v>
      </c>
      <c r="AE847" s="81" t="s">
        <v>21621</v>
      </c>
      <c r="AF847" s="76">
        <v>4</v>
      </c>
      <c r="AG847" s="76">
        <v>33</v>
      </c>
      <c r="AH847" s="76">
        <v>170</v>
      </c>
      <c r="AI847" s="76">
        <v>0</v>
      </c>
      <c r="AJ847" s="76">
        <v>2</v>
      </c>
      <c r="AK847" s="76">
        <v>162</v>
      </c>
      <c r="AL847" s="76" t="b">
        <v>0</v>
      </c>
      <c r="AM847" s="78">
        <v>45038.885185185187</v>
      </c>
      <c r="AN847" s="76" t="s">
        <v>14033</v>
      </c>
      <c r="AO847" s="76" t="s">
        <v>24073</v>
      </c>
      <c r="AP847" s="83" t="str">
        <f>HYPERLINK("https://t.co/cSrxOrXiV7")</f>
        <v>https://t.co/cSrxOrXiV7</v>
      </c>
      <c r="AQ847" s="83" t="str">
        <f>HYPERLINK("https://affiliates.gbctlatina.com/links/?btag=1149234")</f>
        <v>https://affiliates.gbctlatina.com/links/?btag=1149234</v>
      </c>
      <c r="AR847" s="76" t="s">
        <v>24716</v>
      </c>
      <c r="AS847" s="76"/>
      <c r="AT847" s="76"/>
      <c r="AU847" s="76"/>
      <c r="AV847" s="76"/>
      <c r="AW847" s="83" t="str">
        <f>HYPERLINK("https://t.co/cSrxOrXiV7")</f>
        <v>https://t.co/cSrxOrXiV7</v>
      </c>
      <c r="AX847" s="76" t="b">
        <v>0</v>
      </c>
      <c r="AY847" s="76"/>
      <c r="AZ847" s="76"/>
      <c r="BA847" s="76" t="b">
        <v>0</v>
      </c>
      <c r="BB847" s="76" t="b">
        <v>1</v>
      </c>
      <c r="BC847" s="76" t="b">
        <v>1</v>
      </c>
      <c r="BD847" s="76" t="b">
        <v>0</v>
      </c>
      <c r="BE847" s="76" t="b">
        <v>0</v>
      </c>
      <c r="BF847" s="76" t="b">
        <v>0</v>
      </c>
      <c r="BG847" s="76" t="b">
        <v>0</v>
      </c>
      <c r="BH847" s="83" t="str">
        <f>HYPERLINK("https://pbs.twimg.com/profile_banners/1649884337272246272/1686011867")</f>
        <v>https://pbs.twimg.com/profile_banners/1649884337272246272/1686011867</v>
      </c>
      <c r="BI847" s="76"/>
      <c r="BJ847" s="76" t="s">
        <v>24935</v>
      </c>
      <c r="BK847" s="76" t="b">
        <v>0</v>
      </c>
      <c r="BL847" s="76"/>
      <c r="BM847" s="76" t="s">
        <v>66</v>
      </c>
      <c r="BN847" s="76" t="s">
        <v>24937</v>
      </c>
      <c r="BO847" s="83" t="str">
        <f>HYPERLINK("https://twitter.com/lineleals76936")</f>
        <v>https://twitter.com/lineleals76936</v>
      </c>
      <c r="BP847" s="2"/>
    </row>
    <row r="848" spans="1:68" x14ac:dyDescent="0.25">
      <c r="A848" s="62" t="s">
        <v>1036</v>
      </c>
      <c r="B848" s="63"/>
      <c r="C848" s="63"/>
      <c r="D848" s="64"/>
      <c r="E848" s="66"/>
      <c r="F848" s="102" t="str">
        <f>HYPERLINK("https://pbs.twimg.com/profile_images/1678106229149777927/3RLQvONM_normal.jpg")</f>
        <v>https://pbs.twimg.com/profile_images/1678106229149777927/3RLQvONM_normal.jpg</v>
      </c>
      <c r="G848" s="63"/>
      <c r="H848" s="67"/>
      <c r="I848" s="68"/>
      <c r="J848" s="68"/>
      <c r="K848" s="67" t="s">
        <v>25782</v>
      </c>
      <c r="L848" s="71"/>
      <c r="M848" s="72"/>
      <c r="N848" s="72"/>
      <c r="O848" s="73"/>
      <c r="P848" s="74"/>
      <c r="Q848" s="74"/>
      <c r="R848" s="86"/>
      <c r="S848" s="86"/>
      <c r="T848" s="86"/>
      <c r="U848" s="86"/>
      <c r="V848" s="48"/>
      <c r="W848" s="48"/>
      <c r="X848" s="48"/>
      <c r="Y848" s="48"/>
      <c r="Z848" s="47"/>
      <c r="AA848" s="69">
        <v>848</v>
      </c>
      <c r="AB848" s="69"/>
      <c r="AC848" s="70"/>
      <c r="AD848" s="76" t="s">
        <v>22640</v>
      </c>
      <c r="AE848" s="81" t="s">
        <v>21622</v>
      </c>
      <c r="AF848" s="76">
        <v>0</v>
      </c>
      <c r="AG848" s="76">
        <v>1</v>
      </c>
      <c r="AH848" s="76">
        <v>6</v>
      </c>
      <c r="AI848" s="76">
        <v>0</v>
      </c>
      <c r="AJ848" s="76">
        <v>0</v>
      </c>
      <c r="AK848" s="76">
        <v>6</v>
      </c>
      <c r="AL848" s="76" t="b">
        <v>0</v>
      </c>
      <c r="AM848" s="78">
        <v>44904.607928240737</v>
      </c>
      <c r="AN848" s="76" t="s">
        <v>14040</v>
      </c>
      <c r="AO848" s="76" t="s">
        <v>24074</v>
      </c>
      <c r="AP848" s="83" t="str">
        <f>HYPERLINK("https://t.co/DWEIl8E1j0")</f>
        <v>https://t.co/DWEIl8E1j0</v>
      </c>
      <c r="AQ848" s="83" t="str">
        <f>HYPERLINK("https://pay.kiwify.com.br/Ud81dpH")</f>
        <v>https://pay.kiwify.com.br/Ud81dpH</v>
      </c>
      <c r="AR848" s="76" t="s">
        <v>24717</v>
      </c>
      <c r="AS848" s="76"/>
      <c r="AT848" s="76"/>
      <c r="AU848" s="76"/>
      <c r="AV848" s="76"/>
      <c r="AW848" s="83" t="str">
        <f>HYPERLINK("https://t.co/DWEIl8E1j0")</f>
        <v>https://t.co/DWEIl8E1j0</v>
      </c>
      <c r="AX848" s="76" t="b">
        <v>0</v>
      </c>
      <c r="AY848" s="76"/>
      <c r="AZ848" s="76"/>
      <c r="BA848" s="76" t="b">
        <v>0</v>
      </c>
      <c r="BB848" s="76" t="b">
        <v>1</v>
      </c>
      <c r="BC848" s="76" t="b">
        <v>1</v>
      </c>
      <c r="BD848" s="76" t="b">
        <v>0</v>
      </c>
      <c r="BE848" s="76" t="b">
        <v>0</v>
      </c>
      <c r="BF848" s="76" t="b">
        <v>0</v>
      </c>
      <c r="BG848" s="76" t="b">
        <v>0</v>
      </c>
      <c r="BH848" s="83" t="str">
        <f>HYPERLINK("https://pbs.twimg.com/profile_banners/1601223966475141123/1689088465")</f>
        <v>https://pbs.twimg.com/profile_banners/1601223966475141123/1689088465</v>
      </c>
      <c r="BI848" s="76"/>
      <c r="BJ848" s="76" t="s">
        <v>24935</v>
      </c>
      <c r="BK848" s="76" t="b">
        <v>0</v>
      </c>
      <c r="BL848" s="76"/>
      <c r="BM848" s="76" t="s">
        <v>66</v>
      </c>
      <c r="BN848" s="76" t="s">
        <v>24937</v>
      </c>
      <c r="BO848" s="83" t="str">
        <f>HYPERLINK("https://twitter.com/suporteebook")</f>
        <v>https://twitter.com/suporteebook</v>
      </c>
      <c r="BP848" s="2"/>
    </row>
    <row r="849" spans="1:68" x14ac:dyDescent="0.25">
      <c r="A849" s="62" t="s">
        <v>1037</v>
      </c>
      <c r="B849" s="63"/>
      <c r="C849" s="63"/>
      <c r="D849" s="64"/>
      <c r="E849" s="66"/>
      <c r="F849" s="102" t="str">
        <f>HYPERLINK("https://pbs.twimg.com/profile_images/1662271100120707072/8iSL-u3r_normal.jpg")</f>
        <v>https://pbs.twimg.com/profile_images/1662271100120707072/8iSL-u3r_normal.jpg</v>
      </c>
      <c r="G849" s="63"/>
      <c r="H849" s="67"/>
      <c r="I849" s="68"/>
      <c r="J849" s="68"/>
      <c r="K849" s="67" t="s">
        <v>25783</v>
      </c>
      <c r="L849" s="71"/>
      <c r="M849" s="72"/>
      <c r="N849" s="72"/>
      <c r="O849" s="73"/>
      <c r="P849" s="74"/>
      <c r="Q849" s="74"/>
      <c r="R849" s="86"/>
      <c r="S849" s="86"/>
      <c r="T849" s="86"/>
      <c r="U849" s="86"/>
      <c r="V849" s="48"/>
      <c r="W849" s="48"/>
      <c r="X849" s="48"/>
      <c r="Y849" s="48"/>
      <c r="Z849" s="47"/>
      <c r="AA849" s="69">
        <v>849</v>
      </c>
      <c r="AB849" s="69"/>
      <c r="AC849" s="70"/>
      <c r="AD849" s="76" t="s">
        <v>22641</v>
      </c>
      <c r="AE849" s="81" t="s">
        <v>21623</v>
      </c>
      <c r="AF849" s="76">
        <v>1</v>
      </c>
      <c r="AG849" s="76">
        <v>4</v>
      </c>
      <c r="AH849" s="76">
        <v>157</v>
      </c>
      <c r="AI849" s="76">
        <v>0</v>
      </c>
      <c r="AJ849" s="76">
        <v>1</v>
      </c>
      <c r="AK849" s="76">
        <v>154</v>
      </c>
      <c r="AL849" s="76" t="b">
        <v>0</v>
      </c>
      <c r="AM849" s="78">
        <v>45073.064791666664</v>
      </c>
      <c r="AN849" s="76"/>
      <c r="AO849" s="76" t="s">
        <v>24075</v>
      </c>
      <c r="AP849" s="76"/>
      <c r="AQ849" s="76"/>
      <c r="AR849" s="76"/>
      <c r="AS849" s="76"/>
      <c r="AT849" s="76"/>
      <c r="AU849" s="76"/>
      <c r="AV849" s="76"/>
      <c r="AW849" s="76"/>
      <c r="AX849" s="76" t="b">
        <v>0</v>
      </c>
      <c r="AY849" s="76"/>
      <c r="AZ849" s="76"/>
      <c r="BA849" s="76" t="b">
        <v>0</v>
      </c>
      <c r="BB849" s="76" t="b">
        <v>1</v>
      </c>
      <c r="BC849" s="76" t="b">
        <v>1</v>
      </c>
      <c r="BD849" s="76" t="b">
        <v>0</v>
      </c>
      <c r="BE849" s="76" t="b">
        <v>0</v>
      </c>
      <c r="BF849" s="76" t="b">
        <v>0</v>
      </c>
      <c r="BG849" s="76" t="b">
        <v>0</v>
      </c>
      <c r="BH849" s="83" t="str">
        <f>HYPERLINK("https://pbs.twimg.com/profile_banners/1662270660817702912/1685151890")</f>
        <v>https://pbs.twimg.com/profile_banners/1662270660817702912/1685151890</v>
      </c>
      <c r="BI849" s="76"/>
      <c r="BJ849" s="76" t="s">
        <v>24935</v>
      </c>
      <c r="BK849" s="76" t="b">
        <v>0</v>
      </c>
      <c r="BL849" s="76"/>
      <c r="BM849" s="76" t="s">
        <v>66</v>
      </c>
      <c r="BN849" s="76" t="s">
        <v>24937</v>
      </c>
      <c r="BO849" s="83" t="str">
        <f>HYPERLINK("https://twitter.com/cabanadesalem")</f>
        <v>https://twitter.com/cabanadesalem</v>
      </c>
      <c r="BP849" s="2"/>
    </row>
    <row r="850" spans="1:68" x14ac:dyDescent="0.25">
      <c r="A850" s="62" t="s">
        <v>1038</v>
      </c>
      <c r="B850" s="63"/>
      <c r="C850" s="63"/>
      <c r="D850" s="64"/>
      <c r="E850" s="66"/>
      <c r="F850" s="102" t="str">
        <f>HYPERLINK("https://pbs.twimg.com/profile_images/1657332163086262272/PsRFkBci_normal.jpg")</f>
        <v>https://pbs.twimg.com/profile_images/1657332163086262272/PsRFkBci_normal.jpg</v>
      </c>
      <c r="G850" s="63"/>
      <c r="H850" s="67"/>
      <c r="I850" s="68"/>
      <c r="J850" s="68"/>
      <c r="K850" s="67" t="s">
        <v>25784</v>
      </c>
      <c r="L850" s="71"/>
      <c r="M850" s="72"/>
      <c r="N850" s="72"/>
      <c r="O850" s="73"/>
      <c r="P850" s="74"/>
      <c r="Q850" s="74"/>
      <c r="R850" s="86"/>
      <c r="S850" s="86"/>
      <c r="T850" s="86"/>
      <c r="U850" s="86"/>
      <c r="V850" s="48"/>
      <c r="W850" s="48"/>
      <c r="X850" s="48"/>
      <c r="Y850" s="48"/>
      <c r="Z850" s="47"/>
      <c r="AA850" s="69">
        <v>850</v>
      </c>
      <c r="AB850" s="69"/>
      <c r="AC850" s="70"/>
      <c r="AD850" s="76" t="s">
        <v>22642</v>
      </c>
      <c r="AE850" s="81" t="s">
        <v>21624</v>
      </c>
      <c r="AF850" s="76">
        <v>0</v>
      </c>
      <c r="AG850" s="76">
        <v>2</v>
      </c>
      <c r="AH850" s="76">
        <v>2</v>
      </c>
      <c r="AI850" s="76">
        <v>0</v>
      </c>
      <c r="AJ850" s="76">
        <v>5</v>
      </c>
      <c r="AK850" s="76">
        <v>2</v>
      </c>
      <c r="AL850" s="76" t="b">
        <v>0</v>
      </c>
      <c r="AM850" s="78">
        <v>45059.43377314815</v>
      </c>
      <c r="AN850" s="76"/>
      <c r="AO850" s="76" t="s">
        <v>24076</v>
      </c>
      <c r="AP850" s="76"/>
      <c r="AQ850" s="76"/>
      <c r="AR850" s="76"/>
      <c r="AS850" s="76"/>
      <c r="AT850" s="76"/>
      <c r="AU850" s="76"/>
      <c r="AV850" s="76"/>
      <c r="AW850" s="76"/>
      <c r="AX850" s="76" t="b">
        <v>0</v>
      </c>
      <c r="AY850" s="76"/>
      <c r="AZ850" s="76"/>
      <c r="BA850" s="76" t="b">
        <v>0</v>
      </c>
      <c r="BB850" s="76" t="b">
        <v>1</v>
      </c>
      <c r="BC850" s="76" t="b">
        <v>1</v>
      </c>
      <c r="BD850" s="76" t="b">
        <v>0</v>
      </c>
      <c r="BE850" s="76" t="b">
        <v>0</v>
      </c>
      <c r="BF850" s="76" t="b">
        <v>0</v>
      </c>
      <c r="BG850" s="76" t="b">
        <v>0</v>
      </c>
      <c r="BH850" s="76"/>
      <c r="BI850" s="76"/>
      <c r="BJ850" s="76" t="s">
        <v>24935</v>
      </c>
      <c r="BK850" s="76" t="b">
        <v>0</v>
      </c>
      <c r="BL850" s="76"/>
      <c r="BM850" s="76" t="s">
        <v>66</v>
      </c>
      <c r="BN850" s="76" t="s">
        <v>24937</v>
      </c>
      <c r="BO850" s="83" t="str">
        <f>HYPERLINK("https://twitter.com/dicasdeslots")</f>
        <v>https://twitter.com/dicasdeslots</v>
      </c>
      <c r="BP850" s="2"/>
    </row>
    <row r="851" spans="1:68" x14ac:dyDescent="0.25">
      <c r="A851" s="62" t="s">
        <v>1039</v>
      </c>
      <c r="B851" s="63"/>
      <c r="C851" s="63"/>
      <c r="D851" s="64"/>
      <c r="E851" s="66"/>
      <c r="F851" s="102" t="str">
        <f>HYPERLINK("https://pbs.twimg.com/profile_images/1549740539100233728/l93LvzL1_normal.jpg")</f>
        <v>https://pbs.twimg.com/profile_images/1549740539100233728/l93LvzL1_normal.jpg</v>
      </c>
      <c r="G851" s="63"/>
      <c r="H851" s="67"/>
      <c r="I851" s="68"/>
      <c r="J851" s="68"/>
      <c r="K851" s="67" t="s">
        <v>25785</v>
      </c>
      <c r="L851" s="71"/>
      <c r="M851" s="72"/>
      <c r="N851" s="72"/>
      <c r="O851" s="73"/>
      <c r="P851" s="74"/>
      <c r="Q851" s="74"/>
      <c r="R851" s="86"/>
      <c r="S851" s="86"/>
      <c r="T851" s="86"/>
      <c r="U851" s="86"/>
      <c r="V851" s="48"/>
      <c r="W851" s="48"/>
      <c r="X851" s="48"/>
      <c r="Y851" s="48"/>
      <c r="Z851" s="47"/>
      <c r="AA851" s="69">
        <v>851</v>
      </c>
      <c r="AB851" s="69"/>
      <c r="AC851" s="70"/>
      <c r="AD851" s="76" t="s">
        <v>22643</v>
      </c>
      <c r="AE851" s="81" t="s">
        <v>21625</v>
      </c>
      <c r="AF851" s="76">
        <v>1</v>
      </c>
      <c r="AG851" s="76">
        <v>25</v>
      </c>
      <c r="AH851" s="76">
        <v>595</v>
      </c>
      <c r="AI851" s="76">
        <v>1</v>
      </c>
      <c r="AJ851" s="76">
        <v>5957</v>
      </c>
      <c r="AK851" s="76">
        <v>2</v>
      </c>
      <c r="AL851" s="76" t="b">
        <v>0</v>
      </c>
      <c r="AM851" s="78">
        <v>44422.826874999999</v>
      </c>
      <c r="AN851" s="76"/>
      <c r="AO851" s="76"/>
      <c r="AP851" s="76"/>
      <c r="AQ851" s="76"/>
      <c r="AR851" s="76"/>
      <c r="AS851" s="76"/>
      <c r="AT851" s="76"/>
      <c r="AU851" s="76"/>
      <c r="AV851" s="76"/>
      <c r="AW851" s="76"/>
      <c r="AX851" s="76" t="b">
        <v>0</v>
      </c>
      <c r="AY851" s="76"/>
      <c r="AZ851" s="76"/>
      <c r="BA851" s="76" t="b">
        <v>0</v>
      </c>
      <c r="BB851" s="76" t="b">
        <v>1</v>
      </c>
      <c r="BC851" s="76" t="b">
        <v>1</v>
      </c>
      <c r="BD851" s="76" t="b">
        <v>0</v>
      </c>
      <c r="BE851" s="76" t="b">
        <v>0</v>
      </c>
      <c r="BF851" s="76" t="b">
        <v>0</v>
      </c>
      <c r="BG851" s="76" t="b">
        <v>0</v>
      </c>
      <c r="BH851" s="76"/>
      <c r="BI851" s="76"/>
      <c r="BJ851" s="76" t="s">
        <v>24935</v>
      </c>
      <c r="BK851" s="76" t="b">
        <v>0</v>
      </c>
      <c r="BL851" s="76"/>
      <c r="BM851" s="76" t="s">
        <v>66</v>
      </c>
      <c r="BN851" s="76" t="s">
        <v>24937</v>
      </c>
      <c r="BO851" s="83" t="str">
        <f>HYPERLINK("https://twitter.com/giomendes628")</f>
        <v>https://twitter.com/giomendes628</v>
      </c>
      <c r="BP851" s="2"/>
    </row>
    <row r="852" spans="1:68" x14ac:dyDescent="0.25">
      <c r="A852" s="62" t="s">
        <v>1040</v>
      </c>
      <c r="B852" s="63"/>
      <c r="C852" s="63"/>
      <c r="D852" s="64"/>
      <c r="E852" s="66"/>
      <c r="F852" s="102" t="str">
        <f>HYPERLINK("https://pbs.twimg.com/profile_images/1054721762972319746/MbtjqUBS_normal.jpg")</f>
        <v>https://pbs.twimg.com/profile_images/1054721762972319746/MbtjqUBS_normal.jpg</v>
      </c>
      <c r="G852" s="63"/>
      <c r="H852" s="67"/>
      <c r="I852" s="68"/>
      <c r="J852" s="68"/>
      <c r="K852" s="67" t="s">
        <v>25786</v>
      </c>
      <c r="L852" s="71"/>
      <c r="M852" s="72"/>
      <c r="N852" s="72"/>
      <c r="O852" s="73"/>
      <c r="P852" s="74"/>
      <c r="Q852" s="74"/>
      <c r="R852" s="86"/>
      <c r="S852" s="86"/>
      <c r="T852" s="86"/>
      <c r="U852" s="86"/>
      <c r="V852" s="48"/>
      <c r="W852" s="48"/>
      <c r="X852" s="48"/>
      <c r="Y852" s="48"/>
      <c r="Z852" s="47"/>
      <c r="AA852" s="69">
        <v>852</v>
      </c>
      <c r="AB852" s="69"/>
      <c r="AC852" s="70"/>
      <c r="AD852" s="76" t="s">
        <v>22644</v>
      </c>
      <c r="AE852" s="81" t="s">
        <v>21626</v>
      </c>
      <c r="AF852" s="76">
        <v>2</v>
      </c>
      <c r="AG852" s="76">
        <v>0</v>
      </c>
      <c r="AH852" s="76">
        <v>60</v>
      </c>
      <c r="AI852" s="76">
        <v>0</v>
      </c>
      <c r="AJ852" s="76">
        <v>45</v>
      </c>
      <c r="AK852" s="76">
        <v>50</v>
      </c>
      <c r="AL852" s="76" t="b">
        <v>0</v>
      </c>
      <c r="AM852" s="78">
        <v>43396.548449074071</v>
      </c>
      <c r="AN852" s="76" t="s">
        <v>14040</v>
      </c>
      <c r="AO852" s="76" t="s">
        <v>24077</v>
      </c>
      <c r="AP852" s="83" t="str">
        <f>HYPERLINK("https://t.co/7vaqk0nfv8")</f>
        <v>https://t.co/7vaqk0nfv8</v>
      </c>
      <c r="AQ852" s="83" t="str">
        <f>HYPERLINK("https://leonildobevilaqua.com.br")</f>
        <v>https://leonildobevilaqua.com.br</v>
      </c>
      <c r="AR852" s="76" t="s">
        <v>24718</v>
      </c>
      <c r="AS852" s="76"/>
      <c r="AT852" s="76"/>
      <c r="AU852" s="76"/>
      <c r="AV852" s="76">
        <v>1.05807976924019E+18</v>
      </c>
      <c r="AW852" s="83" t="str">
        <f>HYPERLINK("https://t.co/7vaqk0nfv8")</f>
        <v>https://t.co/7vaqk0nfv8</v>
      </c>
      <c r="AX852" s="76" t="b">
        <v>0</v>
      </c>
      <c r="AY852" s="76"/>
      <c r="AZ852" s="76"/>
      <c r="BA852" s="76" t="b">
        <v>0</v>
      </c>
      <c r="BB852" s="76" t="b">
        <v>1</v>
      </c>
      <c r="BC852" s="76" t="b">
        <v>1</v>
      </c>
      <c r="BD852" s="76" t="b">
        <v>0</v>
      </c>
      <c r="BE852" s="76" t="b">
        <v>0</v>
      </c>
      <c r="BF852" s="76" t="b">
        <v>0</v>
      </c>
      <c r="BG852" s="76" t="b">
        <v>0</v>
      </c>
      <c r="BH852" s="83" t="str">
        <f>HYPERLINK("https://pbs.twimg.com/profile_banners/1054721544767844353/1540386823")</f>
        <v>https://pbs.twimg.com/profile_banners/1054721544767844353/1540386823</v>
      </c>
      <c r="BI852" s="76"/>
      <c r="BJ852" s="76" t="s">
        <v>24935</v>
      </c>
      <c r="BK852" s="76" t="b">
        <v>0</v>
      </c>
      <c r="BL852" s="76"/>
      <c r="BM852" s="76" t="s">
        <v>66</v>
      </c>
      <c r="BN852" s="76" t="s">
        <v>24937</v>
      </c>
      <c r="BO852" s="83" t="str">
        <f>HYPERLINK("https://twitter.com/leobevilaqua10")</f>
        <v>https://twitter.com/leobevilaqua10</v>
      </c>
      <c r="BP852" s="2"/>
    </row>
    <row r="853" spans="1:68" x14ac:dyDescent="0.25">
      <c r="A853" s="62" t="s">
        <v>1041</v>
      </c>
      <c r="B853" s="63"/>
      <c r="C853" s="63"/>
      <c r="D853" s="64"/>
      <c r="E853" s="66"/>
      <c r="F853" s="102" t="str">
        <f>HYPERLINK("https://pbs.twimg.com/profile_images/1532413256043732996/XaWlcw3k_normal.jpg")</f>
        <v>https://pbs.twimg.com/profile_images/1532413256043732996/XaWlcw3k_normal.jpg</v>
      </c>
      <c r="G853" s="63"/>
      <c r="H853" s="67"/>
      <c r="I853" s="68"/>
      <c r="J853" s="68"/>
      <c r="K853" s="67" t="s">
        <v>25787</v>
      </c>
      <c r="L853" s="71"/>
      <c r="M853" s="72"/>
      <c r="N853" s="72"/>
      <c r="O853" s="73"/>
      <c r="P853" s="74"/>
      <c r="Q853" s="74"/>
      <c r="R853" s="86"/>
      <c r="S853" s="86"/>
      <c r="T853" s="86"/>
      <c r="U853" s="86"/>
      <c r="V853" s="48"/>
      <c r="W853" s="48"/>
      <c r="X853" s="48"/>
      <c r="Y853" s="48"/>
      <c r="Z853" s="47"/>
      <c r="AA853" s="69">
        <v>853</v>
      </c>
      <c r="AB853" s="69"/>
      <c r="AC853" s="70"/>
      <c r="AD853" s="76" t="s">
        <v>22645</v>
      </c>
      <c r="AE853" s="81" t="s">
        <v>20961</v>
      </c>
      <c r="AF853" s="76">
        <v>4111</v>
      </c>
      <c r="AG853" s="76">
        <v>180</v>
      </c>
      <c r="AH853" s="76">
        <v>306</v>
      </c>
      <c r="AI853" s="76">
        <v>51</v>
      </c>
      <c r="AJ853" s="76">
        <v>225</v>
      </c>
      <c r="AK853" s="76">
        <v>28</v>
      </c>
      <c r="AL853" s="76" t="b">
        <v>0</v>
      </c>
      <c r="AM853" s="78">
        <v>40825.068287037036</v>
      </c>
      <c r="AN853" s="76"/>
      <c r="AO853" s="76" t="s">
        <v>24078</v>
      </c>
      <c r="AP853" s="83" t="str">
        <f>HYPERLINK("https://t.co/tbI3qhoMdt")</f>
        <v>https://t.co/tbI3qhoMdt</v>
      </c>
      <c r="AQ853" s="83" t="str">
        <f>HYPERLINK("http://www.instagram.com/marcelofayh/")</f>
        <v>http://www.instagram.com/marcelofayh/</v>
      </c>
      <c r="AR853" s="76" t="s">
        <v>24719</v>
      </c>
      <c r="AS853" s="76"/>
      <c r="AT853" s="76"/>
      <c r="AU853" s="76"/>
      <c r="AV853" s="76">
        <v>1.7038216178711301E+18</v>
      </c>
      <c r="AW853" s="83" t="str">
        <f>HYPERLINK("https://t.co/tbI3qhoMdt")</f>
        <v>https://t.co/tbI3qhoMdt</v>
      </c>
      <c r="AX853" s="76" t="b">
        <v>1</v>
      </c>
      <c r="AY853" s="76"/>
      <c r="AZ853" s="76"/>
      <c r="BA853" s="76" t="b">
        <v>0</v>
      </c>
      <c r="BB853" s="76" t="b">
        <v>1</v>
      </c>
      <c r="BC853" s="76" t="b">
        <v>1</v>
      </c>
      <c r="BD853" s="76" t="b">
        <v>0</v>
      </c>
      <c r="BE853" s="76" t="b">
        <v>1</v>
      </c>
      <c r="BF853" s="76" t="b">
        <v>0</v>
      </c>
      <c r="BG853" s="76" t="b">
        <v>0</v>
      </c>
      <c r="BH853" s="83" t="str">
        <f>HYPERLINK("https://pbs.twimg.com/profile_banners/387424333/1652735744")</f>
        <v>https://pbs.twimg.com/profile_banners/387424333/1652735744</v>
      </c>
      <c r="BI853" s="76"/>
      <c r="BJ853" s="76" t="s">
        <v>24935</v>
      </c>
      <c r="BK853" s="76" t="b">
        <v>0</v>
      </c>
      <c r="BL853" s="76"/>
      <c r="BM853" s="76" t="s">
        <v>66</v>
      </c>
      <c r="BN853" s="76" t="s">
        <v>24937</v>
      </c>
      <c r="BO853" s="83" t="str">
        <f>HYPERLINK("https://twitter.com/marcelofayh")</f>
        <v>https://twitter.com/marcelofayh</v>
      </c>
      <c r="BP853" s="2"/>
    </row>
    <row r="854" spans="1:68" x14ac:dyDescent="0.25">
      <c r="A854" s="62" t="s">
        <v>1042</v>
      </c>
      <c r="B854" s="63"/>
      <c r="C854" s="63"/>
      <c r="D854" s="64"/>
      <c r="E854" s="66"/>
      <c r="F854" s="102" t="str">
        <f>HYPERLINK("https://pbs.twimg.com/profile_images/1552213876485365760/dECIgr97_normal.jpg")</f>
        <v>https://pbs.twimg.com/profile_images/1552213876485365760/dECIgr97_normal.jpg</v>
      </c>
      <c r="G854" s="63"/>
      <c r="H854" s="67"/>
      <c r="I854" s="68"/>
      <c r="J854" s="68"/>
      <c r="K854" s="67" t="s">
        <v>25788</v>
      </c>
      <c r="L854" s="71"/>
      <c r="M854" s="72"/>
      <c r="N854" s="72"/>
      <c r="O854" s="73"/>
      <c r="P854" s="74"/>
      <c r="Q854" s="74"/>
      <c r="R854" s="86"/>
      <c r="S854" s="86"/>
      <c r="T854" s="86"/>
      <c r="U854" s="86"/>
      <c r="V854" s="48"/>
      <c r="W854" s="48"/>
      <c r="X854" s="48"/>
      <c r="Y854" s="48"/>
      <c r="Z854" s="47"/>
      <c r="AA854" s="69">
        <v>854</v>
      </c>
      <c r="AB854" s="69"/>
      <c r="AC854" s="70"/>
      <c r="AD854" s="76" t="s">
        <v>22646</v>
      </c>
      <c r="AE854" s="81" t="s">
        <v>21627</v>
      </c>
      <c r="AF854" s="76">
        <v>5</v>
      </c>
      <c r="AG854" s="76">
        <v>106</v>
      </c>
      <c r="AH854" s="76">
        <v>354</v>
      </c>
      <c r="AI854" s="76">
        <v>0</v>
      </c>
      <c r="AJ854" s="76">
        <v>17</v>
      </c>
      <c r="AK854" s="76">
        <v>4</v>
      </c>
      <c r="AL854" s="76" t="b">
        <v>0</v>
      </c>
      <c r="AM854" s="78">
        <v>44754.025752314818</v>
      </c>
      <c r="AN854" s="76"/>
      <c r="AO854" s="76"/>
      <c r="AP854" s="76"/>
      <c r="AQ854" s="76"/>
      <c r="AR854" s="76"/>
      <c r="AS854" s="76"/>
      <c r="AT854" s="76"/>
      <c r="AU854" s="76"/>
      <c r="AV854" s="76"/>
      <c r="AW854" s="76"/>
      <c r="AX854" s="76" t="b">
        <v>0</v>
      </c>
      <c r="AY854" s="76"/>
      <c r="AZ854" s="76"/>
      <c r="BA854" s="76" t="b">
        <v>0</v>
      </c>
      <c r="BB854" s="76" t="b">
        <v>1</v>
      </c>
      <c r="BC854" s="76" t="b">
        <v>1</v>
      </c>
      <c r="BD854" s="76" t="b">
        <v>0</v>
      </c>
      <c r="BE854" s="76" t="b">
        <v>0</v>
      </c>
      <c r="BF854" s="76" t="b">
        <v>0</v>
      </c>
      <c r="BG854" s="76" t="b">
        <v>0</v>
      </c>
      <c r="BH854" s="83" t="str">
        <f>HYPERLINK("https://pbs.twimg.com/profile_banners/1546654763844001792/1658911602")</f>
        <v>https://pbs.twimg.com/profile_banners/1546654763844001792/1658911602</v>
      </c>
      <c r="BI854" s="76"/>
      <c r="BJ854" s="76" t="s">
        <v>24935</v>
      </c>
      <c r="BK854" s="76" t="b">
        <v>0</v>
      </c>
      <c r="BL854" s="76"/>
      <c r="BM854" s="76" t="s">
        <v>66</v>
      </c>
      <c r="BN854" s="76" t="s">
        <v>24937</v>
      </c>
      <c r="BO854" s="83" t="str">
        <f>HYPERLINK("https://twitter.com/gamenft18")</f>
        <v>https://twitter.com/gamenft18</v>
      </c>
      <c r="BP854" s="2"/>
    </row>
    <row r="855" spans="1:68" x14ac:dyDescent="0.25">
      <c r="A855" s="62" t="s">
        <v>1043</v>
      </c>
      <c r="B855" s="63"/>
      <c r="C855" s="63"/>
      <c r="D855" s="64"/>
      <c r="E855" s="66"/>
      <c r="F855" s="102" t="str">
        <f>HYPERLINK("https://pbs.twimg.com/profile_images/1213557036325191685/AT1QD1Kh_normal.jpg")</f>
        <v>https://pbs.twimg.com/profile_images/1213557036325191685/AT1QD1Kh_normal.jpg</v>
      </c>
      <c r="G855" s="63"/>
      <c r="H855" s="67"/>
      <c r="I855" s="68"/>
      <c r="J855" s="68"/>
      <c r="K855" s="67" t="s">
        <v>25789</v>
      </c>
      <c r="L855" s="71"/>
      <c r="M855" s="72"/>
      <c r="N855" s="72"/>
      <c r="O855" s="73"/>
      <c r="P855" s="74"/>
      <c r="Q855" s="74"/>
      <c r="R855" s="86"/>
      <c r="S855" s="86"/>
      <c r="T855" s="86"/>
      <c r="U855" s="86"/>
      <c r="V855" s="48"/>
      <c r="W855" s="48"/>
      <c r="X855" s="48"/>
      <c r="Y855" s="48"/>
      <c r="Z855" s="47"/>
      <c r="AA855" s="69">
        <v>855</v>
      </c>
      <c r="AB855" s="69"/>
      <c r="AC855" s="70"/>
      <c r="AD855" s="76" t="s">
        <v>22647</v>
      </c>
      <c r="AE855" s="81" t="s">
        <v>23026</v>
      </c>
      <c r="AF855" s="76">
        <v>45</v>
      </c>
      <c r="AG855" s="76">
        <v>180</v>
      </c>
      <c r="AH855" s="76">
        <v>1281</v>
      </c>
      <c r="AI855" s="76">
        <v>0</v>
      </c>
      <c r="AJ855" s="76">
        <v>4</v>
      </c>
      <c r="AK855" s="76">
        <v>75</v>
      </c>
      <c r="AL855" s="76" t="b">
        <v>0</v>
      </c>
      <c r="AM855" s="78">
        <v>41858.598287037035</v>
      </c>
      <c r="AN855" s="76" t="s">
        <v>23293</v>
      </c>
      <c r="AO855" s="76"/>
      <c r="AP855" s="83" t="str">
        <f>HYPERLINK("https://t.co/yATqczLyrx")</f>
        <v>https://t.co/yATqczLyrx</v>
      </c>
      <c r="AQ855" s="83" t="str">
        <f>HYPERLINK("https://upwards2015.blogspot.com")</f>
        <v>https://upwards2015.blogspot.com</v>
      </c>
      <c r="AR855" s="76" t="s">
        <v>24720</v>
      </c>
      <c r="AS855" s="76"/>
      <c r="AT855" s="76"/>
      <c r="AU855" s="76"/>
      <c r="AV855" s="76"/>
      <c r="AW855" s="83" t="str">
        <f>HYPERLINK("https://t.co/yATqczLyrx")</f>
        <v>https://t.co/yATqczLyrx</v>
      </c>
      <c r="AX855" s="76" t="b">
        <v>0</v>
      </c>
      <c r="AY855" s="76"/>
      <c r="AZ855" s="76"/>
      <c r="BA855" s="76" t="b">
        <v>0</v>
      </c>
      <c r="BB855" s="76" t="b">
        <v>1</v>
      </c>
      <c r="BC855" s="76" t="b">
        <v>0</v>
      </c>
      <c r="BD855" s="76" t="b">
        <v>0</v>
      </c>
      <c r="BE855" s="76" t="b">
        <v>0</v>
      </c>
      <c r="BF855" s="76" t="b">
        <v>0</v>
      </c>
      <c r="BG855" s="76" t="b">
        <v>0</v>
      </c>
      <c r="BH855" s="83" t="str">
        <f>HYPERLINK("https://pbs.twimg.com/profile_banners/2714628744/1522683091")</f>
        <v>https://pbs.twimg.com/profile_banners/2714628744/1522683091</v>
      </c>
      <c r="BI855" s="76"/>
      <c r="BJ855" s="76" t="s">
        <v>24935</v>
      </c>
      <c r="BK855" s="76" t="b">
        <v>0</v>
      </c>
      <c r="BL855" s="76"/>
      <c r="BM855" s="76" t="s">
        <v>66</v>
      </c>
      <c r="BN855" s="76" t="s">
        <v>24937</v>
      </c>
      <c r="BO855" s="83" t="str">
        <f>HYPERLINK("https://twitter.com/airton19711")</f>
        <v>https://twitter.com/airton19711</v>
      </c>
      <c r="BP855" s="2"/>
    </row>
    <row r="856" spans="1:68" x14ac:dyDescent="0.25">
      <c r="A856" s="62" t="s">
        <v>1044</v>
      </c>
      <c r="B856" s="63"/>
      <c r="C856" s="63"/>
      <c r="D856" s="64"/>
      <c r="E856" s="66"/>
      <c r="F856" s="102" t="str">
        <f>HYPERLINK("https://pbs.twimg.com/profile_images/1698177740636049408/bdZ5J9tf_normal.jpg")</f>
        <v>https://pbs.twimg.com/profile_images/1698177740636049408/bdZ5J9tf_normal.jpg</v>
      </c>
      <c r="G856" s="63"/>
      <c r="H856" s="67"/>
      <c r="I856" s="68"/>
      <c r="J856" s="68"/>
      <c r="K856" s="67" t="s">
        <v>25790</v>
      </c>
      <c r="L856" s="71"/>
      <c r="M856" s="72"/>
      <c r="N856" s="72"/>
      <c r="O856" s="73"/>
      <c r="P856" s="74"/>
      <c r="Q856" s="74"/>
      <c r="R856" s="86"/>
      <c r="S856" s="86"/>
      <c r="T856" s="86"/>
      <c r="U856" s="86"/>
      <c r="V856" s="48"/>
      <c r="W856" s="48"/>
      <c r="X856" s="48"/>
      <c r="Y856" s="48"/>
      <c r="Z856" s="47"/>
      <c r="AA856" s="69">
        <v>856</v>
      </c>
      <c r="AB856" s="69"/>
      <c r="AC856" s="70"/>
      <c r="AD856" s="76" t="s">
        <v>22648</v>
      </c>
      <c r="AE856" s="81" t="s">
        <v>21628</v>
      </c>
      <c r="AF856" s="76">
        <v>0</v>
      </c>
      <c r="AG856" s="76">
        <v>10</v>
      </c>
      <c r="AH856" s="76">
        <v>11</v>
      </c>
      <c r="AI856" s="76">
        <v>0</v>
      </c>
      <c r="AJ856" s="76">
        <v>14</v>
      </c>
      <c r="AK856" s="76">
        <v>9</v>
      </c>
      <c r="AL856" s="76" t="b">
        <v>0</v>
      </c>
      <c r="AM856" s="78">
        <v>45172.147488425922</v>
      </c>
      <c r="AN856" s="76"/>
      <c r="AO856" s="76" t="s">
        <v>24079</v>
      </c>
      <c r="AP856" s="76"/>
      <c r="AQ856" s="76"/>
      <c r="AR856" s="76"/>
      <c r="AS856" s="76"/>
      <c r="AT856" s="76"/>
      <c r="AU856" s="76"/>
      <c r="AV856" s="76"/>
      <c r="AW856" s="76"/>
      <c r="AX856" s="76" t="b">
        <v>0</v>
      </c>
      <c r="AY856" s="76"/>
      <c r="AZ856" s="76"/>
      <c r="BA856" s="76" t="b">
        <v>0</v>
      </c>
      <c r="BB856" s="76" t="b">
        <v>1</v>
      </c>
      <c r="BC856" s="76" t="b">
        <v>1</v>
      </c>
      <c r="BD856" s="76" t="b">
        <v>0</v>
      </c>
      <c r="BE856" s="76" t="b">
        <v>0</v>
      </c>
      <c r="BF856" s="76" t="b">
        <v>0</v>
      </c>
      <c r="BG856" s="76" t="b">
        <v>0</v>
      </c>
      <c r="BH856" s="83" t="str">
        <f>HYPERLINK("https://pbs.twimg.com/profile_banners/1698177024840409088/1693712099")</f>
        <v>https://pbs.twimg.com/profile_banners/1698177024840409088/1693712099</v>
      </c>
      <c r="BI856" s="76"/>
      <c r="BJ856" s="76" t="s">
        <v>24935</v>
      </c>
      <c r="BK856" s="76" t="b">
        <v>0</v>
      </c>
      <c r="BL856" s="76"/>
      <c r="BM856" s="76" t="s">
        <v>66</v>
      </c>
      <c r="BN856" s="76" t="s">
        <v>24937</v>
      </c>
      <c r="BO856" s="83" t="str">
        <f>HYPERLINK("https://twitter.com/jonthebestt")</f>
        <v>https://twitter.com/jonthebestt</v>
      </c>
      <c r="BP856" s="2"/>
    </row>
    <row r="857" spans="1:68" x14ac:dyDescent="0.25">
      <c r="A857" s="62" t="s">
        <v>1045</v>
      </c>
      <c r="B857" s="63"/>
      <c r="C857" s="63"/>
      <c r="D857" s="64"/>
      <c r="E857" s="66"/>
      <c r="F857" s="102" t="str">
        <f>HYPERLINK("https://pbs.twimg.com/profile_images/1674553433351770117/_lDm-YYg_normal.jpg")</f>
        <v>https://pbs.twimg.com/profile_images/1674553433351770117/_lDm-YYg_normal.jpg</v>
      </c>
      <c r="G857" s="63"/>
      <c r="H857" s="67"/>
      <c r="I857" s="68"/>
      <c r="J857" s="68"/>
      <c r="K857" s="67" t="s">
        <v>25791</v>
      </c>
      <c r="L857" s="71"/>
      <c r="M857" s="72"/>
      <c r="N857" s="72"/>
      <c r="O857" s="73"/>
      <c r="P857" s="74"/>
      <c r="Q857" s="74"/>
      <c r="R857" s="86"/>
      <c r="S857" s="86"/>
      <c r="T857" s="86"/>
      <c r="U857" s="86"/>
      <c r="V857" s="48"/>
      <c r="W857" s="48"/>
      <c r="X857" s="48"/>
      <c r="Y857" s="48"/>
      <c r="Z857" s="47"/>
      <c r="AA857" s="69">
        <v>857</v>
      </c>
      <c r="AB857" s="69"/>
      <c r="AC857" s="70"/>
      <c r="AD857" s="76" t="s">
        <v>22649</v>
      </c>
      <c r="AE857" s="81" t="s">
        <v>21629</v>
      </c>
      <c r="AF857" s="76">
        <v>84</v>
      </c>
      <c r="AG857" s="76">
        <v>233</v>
      </c>
      <c r="AH857" s="76">
        <v>43</v>
      </c>
      <c r="AI857" s="76">
        <v>0</v>
      </c>
      <c r="AJ857" s="76">
        <v>0</v>
      </c>
      <c r="AK857" s="76">
        <v>43</v>
      </c>
      <c r="AL857" s="76" t="b">
        <v>0</v>
      </c>
      <c r="AM857" s="78">
        <v>45106.954652777778</v>
      </c>
      <c r="AN857" s="76" t="s">
        <v>14033</v>
      </c>
      <c r="AO857" s="76" t="s">
        <v>24080</v>
      </c>
      <c r="AP857" s="83" t="str">
        <f>HYPERLINK("https://t.co/juYHV8wqmd")</f>
        <v>https://t.co/juYHV8wqmd</v>
      </c>
      <c r="AQ857" s="83" t="str">
        <f>HYPERLINK("https://kiwify.app/LJaXYlB")</f>
        <v>https://kiwify.app/LJaXYlB</v>
      </c>
      <c r="AR857" s="76" t="s">
        <v>24721</v>
      </c>
      <c r="AS857" s="76"/>
      <c r="AT857" s="76"/>
      <c r="AU857" s="76"/>
      <c r="AV857" s="76"/>
      <c r="AW857" s="83" t="str">
        <f>HYPERLINK("https://t.co/juYHV8wqmd")</f>
        <v>https://t.co/juYHV8wqmd</v>
      </c>
      <c r="AX857" s="76" t="b">
        <v>0</v>
      </c>
      <c r="AY857" s="76"/>
      <c r="AZ857" s="76"/>
      <c r="BA857" s="76" t="b">
        <v>0</v>
      </c>
      <c r="BB857" s="76" t="b">
        <v>1</v>
      </c>
      <c r="BC857" s="76" t="b">
        <v>1</v>
      </c>
      <c r="BD857" s="76" t="b">
        <v>0</v>
      </c>
      <c r="BE857" s="76" t="b">
        <v>0</v>
      </c>
      <c r="BF857" s="76" t="b">
        <v>0</v>
      </c>
      <c r="BG857" s="76" t="b">
        <v>0</v>
      </c>
      <c r="BH857" s="83" t="str">
        <f>HYPERLINK("https://pbs.twimg.com/profile_banners/1674551834323607557/1688079628")</f>
        <v>https://pbs.twimg.com/profile_banners/1674551834323607557/1688079628</v>
      </c>
      <c r="BI857" s="76"/>
      <c r="BJ857" s="76" t="s">
        <v>24935</v>
      </c>
      <c r="BK857" s="76" t="b">
        <v>0</v>
      </c>
      <c r="BL857" s="76"/>
      <c r="BM857" s="76" t="s">
        <v>66</v>
      </c>
      <c r="BN857" s="76" t="s">
        <v>24937</v>
      </c>
      <c r="BO857" s="83" t="str">
        <f>HYPERLINK("https://twitter.com/homeprofissao")</f>
        <v>https://twitter.com/homeprofissao</v>
      </c>
      <c r="BP857" s="2"/>
    </row>
    <row r="858" spans="1:68" x14ac:dyDescent="0.25">
      <c r="A858" s="62" t="s">
        <v>1046</v>
      </c>
      <c r="B858" s="63"/>
      <c r="C858" s="63"/>
      <c r="D858" s="64"/>
      <c r="E858" s="66"/>
      <c r="F858" s="102" t="str">
        <f>HYPERLINK("https://pbs.twimg.com/profile_images/1625144247719690240/kA_bIqSw_normal.jpg")</f>
        <v>https://pbs.twimg.com/profile_images/1625144247719690240/kA_bIqSw_normal.jpg</v>
      </c>
      <c r="G858" s="63"/>
      <c r="H858" s="67"/>
      <c r="I858" s="68"/>
      <c r="J858" s="68"/>
      <c r="K858" s="67" t="s">
        <v>25792</v>
      </c>
      <c r="L858" s="71"/>
      <c r="M858" s="72"/>
      <c r="N858" s="72"/>
      <c r="O858" s="73"/>
      <c r="P858" s="74"/>
      <c r="Q858" s="74"/>
      <c r="R858" s="86"/>
      <c r="S858" s="86"/>
      <c r="T858" s="86"/>
      <c r="U858" s="86"/>
      <c r="V858" s="48"/>
      <c r="W858" s="48"/>
      <c r="X858" s="48"/>
      <c r="Y858" s="48"/>
      <c r="Z858" s="47"/>
      <c r="AA858" s="69">
        <v>858</v>
      </c>
      <c r="AB858" s="69"/>
      <c r="AC858" s="70"/>
      <c r="AD858" s="76" t="s">
        <v>22650</v>
      </c>
      <c r="AE858" s="81" t="s">
        <v>21630</v>
      </c>
      <c r="AF858" s="76">
        <v>275</v>
      </c>
      <c r="AG858" s="76">
        <v>1250</v>
      </c>
      <c r="AH858" s="76">
        <v>123</v>
      </c>
      <c r="AI858" s="76">
        <v>0</v>
      </c>
      <c r="AJ858" s="76">
        <v>108</v>
      </c>
      <c r="AK858" s="76">
        <v>4</v>
      </c>
      <c r="AL858" s="76" t="b">
        <v>0</v>
      </c>
      <c r="AM858" s="78">
        <v>44970.615115740744</v>
      </c>
      <c r="AN858" s="76"/>
      <c r="AO858" s="76" t="s">
        <v>24081</v>
      </c>
      <c r="AP858" s="83" t="str">
        <f>HYPERLINK("https://t.co/Z4iyzfxGcQ")</f>
        <v>https://t.co/Z4iyzfxGcQ</v>
      </c>
      <c r="AQ858" s="83" t="str">
        <f>HYPERLINK("https://linktr.ee/aprendaavencer")</f>
        <v>https://linktr.ee/aprendaavencer</v>
      </c>
      <c r="AR858" s="76" t="s">
        <v>24722</v>
      </c>
      <c r="AS858" s="76"/>
      <c r="AT858" s="76"/>
      <c r="AU858" s="76"/>
      <c r="AV858" s="76"/>
      <c r="AW858" s="83" t="str">
        <f>HYPERLINK("https://t.co/Z4iyzfxGcQ")</f>
        <v>https://t.co/Z4iyzfxGcQ</v>
      </c>
      <c r="AX858" s="76" t="b">
        <v>0</v>
      </c>
      <c r="AY858" s="76"/>
      <c r="AZ858" s="76"/>
      <c r="BA858" s="76" t="b">
        <v>0</v>
      </c>
      <c r="BB858" s="76" t="b">
        <v>1</v>
      </c>
      <c r="BC858" s="76" t="b">
        <v>1</v>
      </c>
      <c r="BD858" s="76" t="b">
        <v>0</v>
      </c>
      <c r="BE858" s="76" t="b">
        <v>0</v>
      </c>
      <c r="BF858" s="76" t="b">
        <v>0</v>
      </c>
      <c r="BG858" s="76" t="b">
        <v>0</v>
      </c>
      <c r="BH858" s="83" t="str">
        <f>HYPERLINK("https://pbs.twimg.com/profile_banners/1625144176605032449/1676323741")</f>
        <v>https://pbs.twimg.com/profile_banners/1625144176605032449/1676323741</v>
      </c>
      <c r="BI858" s="76"/>
      <c r="BJ858" s="76" t="s">
        <v>24935</v>
      </c>
      <c r="BK858" s="76" t="b">
        <v>0</v>
      </c>
      <c r="BL858" s="76"/>
      <c r="BM858" s="76" t="s">
        <v>66</v>
      </c>
      <c r="BN858" s="76" t="s">
        <v>24937</v>
      </c>
      <c r="BO858" s="83" t="str">
        <f>HYPERLINK("https://twitter.com/aprendaavencer_")</f>
        <v>https://twitter.com/aprendaavencer_</v>
      </c>
      <c r="BP858" s="2"/>
    </row>
    <row r="859" spans="1:68" x14ac:dyDescent="0.25">
      <c r="A859" s="62" t="s">
        <v>1047</v>
      </c>
      <c r="B859" s="63"/>
      <c r="C859" s="63"/>
      <c r="D859" s="64"/>
      <c r="E859" s="66"/>
      <c r="F859" s="102" t="str">
        <f>HYPERLINK("https://pbs.twimg.com/profile_images/1626293539616292864/B0EVm_Ll_normal.png")</f>
        <v>https://pbs.twimg.com/profile_images/1626293539616292864/B0EVm_Ll_normal.png</v>
      </c>
      <c r="G859" s="63"/>
      <c r="H859" s="67"/>
      <c r="I859" s="68"/>
      <c r="J859" s="68"/>
      <c r="K859" s="67" t="s">
        <v>25793</v>
      </c>
      <c r="L859" s="71"/>
      <c r="M859" s="72"/>
      <c r="N859" s="72"/>
      <c r="O859" s="73"/>
      <c r="P859" s="74"/>
      <c r="Q859" s="74"/>
      <c r="R859" s="86"/>
      <c r="S859" s="86"/>
      <c r="T859" s="86"/>
      <c r="U859" s="86"/>
      <c r="V859" s="48"/>
      <c r="W859" s="48"/>
      <c r="X859" s="48"/>
      <c r="Y859" s="48"/>
      <c r="Z859" s="47"/>
      <c r="AA859" s="69">
        <v>859</v>
      </c>
      <c r="AB859" s="69"/>
      <c r="AC859" s="70"/>
      <c r="AD859" s="76" t="s">
        <v>22651</v>
      </c>
      <c r="AE859" s="81" t="s">
        <v>20962</v>
      </c>
      <c r="AF859" s="76">
        <v>9</v>
      </c>
      <c r="AG859" s="76">
        <v>95</v>
      </c>
      <c r="AH859" s="76">
        <v>103</v>
      </c>
      <c r="AI859" s="76">
        <v>0</v>
      </c>
      <c r="AJ859" s="76">
        <v>119</v>
      </c>
      <c r="AK859" s="76">
        <v>78</v>
      </c>
      <c r="AL859" s="76" t="b">
        <v>0</v>
      </c>
      <c r="AM859" s="78">
        <v>44973.786666666667</v>
      </c>
      <c r="AN859" s="76" t="s">
        <v>23294</v>
      </c>
      <c r="AO859" s="76" t="s">
        <v>24082</v>
      </c>
      <c r="AP859" s="83" t="str">
        <f>HYPERLINK("https://t.co/z8NmIPjsHV")</f>
        <v>https://t.co/z8NmIPjsHV</v>
      </c>
      <c r="AQ859" s="83" t="str">
        <f>HYPERLINK("https://go.hotmart.com/B75535013D?dp=1")</f>
        <v>https://go.hotmart.com/B75535013D?dp=1</v>
      </c>
      <c r="AR859" s="76" t="s">
        <v>24723</v>
      </c>
      <c r="AS859" s="76"/>
      <c r="AT859" s="76"/>
      <c r="AU859" s="76"/>
      <c r="AV859" s="76"/>
      <c r="AW859" s="83" t="str">
        <f>HYPERLINK("https://t.co/z8NmIPjsHV")</f>
        <v>https://t.co/z8NmIPjsHV</v>
      </c>
      <c r="AX859" s="76" t="b">
        <v>0</v>
      </c>
      <c r="AY859" s="76"/>
      <c r="AZ859" s="76"/>
      <c r="BA859" s="76" t="b">
        <v>0</v>
      </c>
      <c r="BB859" s="76" t="b">
        <v>1</v>
      </c>
      <c r="BC859" s="76" t="b">
        <v>1</v>
      </c>
      <c r="BD859" s="76" t="b">
        <v>0</v>
      </c>
      <c r="BE859" s="76" t="b">
        <v>0</v>
      </c>
      <c r="BF859" s="76" t="b">
        <v>0</v>
      </c>
      <c r="BG859" s="76" t="b">
        <v>0</v>
      </c>
      <c r="BH859" s="83" t="str">
        <f>HYPERLINK("https://pbs.twimg.com/profile_banners/1626293141253808128/1676685005")</f>
        <v>https://pbs.twimg.com/profile_banners/1626293141253808128/1676685005</v>
      </c>
      <c r="BI859" s="76"/>
      <c r="BJ859" s="76" t="s">
        <v>24935</v>
      </c>
      <c r="BK859" s="76" t="b">
        <v>0</v>
      </c>
      <c r="BL859" s="76"/>
      <c r="BM859" s="76" t="s">
        <v>66</v>
      </c>
      <c r="BN859" s="76" t="s">
        <v>24937</v>
      </c>
      <c r="BO859" s="83" t="str">
        <f>HYPERLINK("https://twitter.com/marye_sena")</f>
        <v>https://twitter.com/marye_sena</v>
      </c>
      <c r="BP859" s="2"/>
    </row>
    <row r="860" spans="1:68" x14ac:dyDescent="0.25">
      <c r="A860" s="62" t="s">
        <v>1048</v>
      </c>
      <c r="B860" s="63"/>
      <c r="C860" s="63"/>
      <c r="D860" s="64"/>
      <c r="E860" s="66"/>
      <c r="F860" s="102" t="str">
        <f>HYPERLINK("https://pbs.twimg.com/profile_images/1604856653727371264/C4dpo19k_normal.jpg")</f>
        <v>https://pbs.twimg.com/profile_images/1604856653727371264/C4dpo19k_normal.jpg</v>
      </c>
      <c r="G860" s="63"/>
      <c r="H860" s="67"/>
      <c r="I860" s="68"/>
      <c r="J860" s="68"/>
      <c r="K860" s="67" t="s">
        <v>25794</v>
      </c>
      <c r="L860" s="71"/>
      <c r="M860" s="72"/>
      <c r="N860" s="72"/>
      <c r="O860" s="73"/>
      <c r="P860" s="74"/>
      <c r="Q860" s="74"/>
      <c r="R860" s="86"/>
      <c r="S860" s="86"/>
      <c r="T860" s="86"/>
      <c r="U860" s="86"/>
      <c r="V860" s="48"/>
      <c r="W860" s="48"/>
      <c r="X860" s="48"/>
      <c r="Y860" s="48"/>
      <c r="Z860" s="47"/>
      <c r="AA860" s="69">
        <v>860</v>
      </c>
      <c r="AB860" s="69"/>
      <c r="AC860" s="70"/>
      <c r="AD860" s="76" t="s">
        <v>22652</v>
      </c>
      <c r="AE860" s="81" t="s">
        <v>23027</v>
      </c>
      <c r="AF860" s="76">
        <v>4730</v>
      </c>
      <c r="AG860" s="76">
        <v>195</v>
      </c>
      <c r="AH860" s="76">
        <v>4190</v>
      </c>
      <c r="AI860" s="76">
        <v>45</v>
      </c>
      <c r="AJ860" s="76">
        <v>167</v>
      </c>
      <c r="AK860" s="76">
        <v>3000</v>
      </c>
      <c r="AL860" s="76" t="b">
        <v>0</v>
      </c>
      <c r="AM860" s="78">
        <v>40045.685706018521</v>
      </c>
      <c r="AN860" s="76"/>
      <c r="AO860" s="76" t="s">
        <v>24083</v>
      </c>
      <c r="AP860" s="83" t="str">
        <f>HYPERLINK("https://t.co/uJ8DmEph5B")</f>
        <v>https://t.co/uJ8DmEph5B</v>
      </c>
      <c r="AQ860" s="83" t="str">
        <f>HYPERLINK("https://www.vivalocal.com/blog")</f>
        <v>https://www.vivalocal.com/blog</v>
      </c>
      <c r="AR860" s="76" t="s">
        <v>24724</v>
      </c>
      <c r="AS860" s="76"/>
      <c r="AT860" s="76"/>
      <c r="AU860" s="76"/>
      <c r="AV860" s="76">
        <v>1.6972052106978701E+18</v>
      </c>
      <c r="AW860" s="83" t="str">
        <f>HYPERLINK("https://t.co/uJ8DmEph5B")</f>
        <v>https://t.co/uJ8DmEph5B</v>
      </c>
      <c r="AX860" s="76" t="b">
        <v>1</v>
      </c>
      <c r="AY860" s="76"/>
      <c r="AZ860" s="76"/>
      <c r="BA860" s="76" t="b">
        <v>1</v>
      </c>
      <c r="BB860" s="76" t="b">
        <v>0</v>
      </c>
      <c r="BC860" s="76" t="b">
        <v>0</v>
      </c>
      <c r="BD860" s="76" t="b">
        <v>0</v>
      </c>
      <c r="BE860" s="76" t="b">
        <v>1</v>
      </c>
      <c r="BF860" s="76" t="b">
        <v>0</v>
      </c>
      <c r="BG860" s="76" t="b">
        <v>0</v>
      </c>
      <c r="BH860" s="83" t="str">
        <f>HYPERLINK("https://pbs.twimg.com/profile_banners/67352317/1690885767")</f>
        <v>https://pbs.twimg.com/profile_banners/67352317/1690885767</v>
      </c>
      <c r="BI860" s="76"/>
      <c r="BJ860" s="76" t="s">
        <v>24935</v>
      </c>
      <c r="BK860" s="76" t="b">
        <v>0</v>
      </c>
      <c r="BL860" s="76"/>
      <c r="BM860" s="76" t="s">
        <v>66</v>
      </c>
      <c r="BN860" s="76" t="s">
        <v>24937</v>
      </c>
      <c r="BO860" s="83" t="str">
        <f>HYPERLINK("https://twitter.com/vivalocal")</f>
        <v>https://twitter.com/vivalocal</v>
      </c>
      <c r="BP860" s="2"/>
    </row>
    <row r="861" spans="1:68" x14ac:dyDescent="0.25">
      <c r="A861" s="62" t="s">
        <v>1049</v>
      </c>
      <c r="B861" s="63"/>
      <c r="C861" s="63"/>
      <c r="D861" s="64"/>
      <c r="E861" s="66"/>
      <c r="F861" s="102" t="str">
        <f>HYPERLINK("https://pbs.twimg.com/profile_images/1620876828524089352/eUOKMokw_normal.jpg")</f>
        <v>https://pbs.twimg.com/profile_images/1620876828524089352/eUOKMokw_normal.jpg</v>
      </c>
      <c r="G861" s="63"/>
      <c r="H861" s="67"/>
      <c r="I861" s="68"/>
      <c r="J861" s="68"/>
      <c r="K861" s="67" t="s">
        <v>25795</v>
      </c>
      <c r="L861" s="71"/>
      <c r="M861" s="72"/>
      <c r="N861" s="72"/>
      <c r="O861" s="73"/>
      <c r="P861" s="74"/>
      <c r="Q861" s="74"/>
      <c r="R861" s="86"/>
      <c r="S861" s="86"/>
      <c r="T861" s="86"/>
      <c r="U861" s="86"/>
      <c r="V861" s="48"/>
      <c r="W861" s="48"/>
      <c r="X861" s="48"/>
      <c r="Y861" s="48"/>
      <c r="Z861" s="47"/>
      <c r="AA861" s="69">
        <v>861</v>
      </c>
      <c r="AB861" s="69"/>
      <c r="AC861" s="70"/>
      <c r="AD861" s="76" t="s">
        <v>22653</v>
      </c>
      <c r="AE861" s="81" t="s">
        <v>21631</v>
      </c>
      <c r="AF861" s="76">
        <v>19</v>
      </c>
      <c r="AG861" s="76">
        <v>193</v>
      </c>
      <c r="AH861" s="76">
        <v>119</v>
      </c>
      <c r="AI861" s="76">
        <v>2</v>
      </c>
      <c r="AJ861" s="76">
        <v>17</v>
      </c>
      <c r="AK861" s="76">
        <v>0</v>
      </c>
      <c r="AL861" s="76" t="b">
        <v>0</v>
      </c>
      <c r="AM861" s="78">
        <v>44958.83699074074</v>
      </c>
      <c r="AN861" s="76" t="s">
        <v>14033</v>
      </c>
      <c r="AO861" s="76" t="s">
        <v>24084</v>
      </c>
      <c r="AP861" s="76"/>
      <c r="AQ861" s="76"/>
      <c r="AR861" s="76"/>
      <c r="AS861" s="76"/>
      <c r="AT861" s="76"/>
      <c r="AU861" s="76"/>
      <c r="AV861" s="76">
        <v>1.6385424976923799E+18</v>
      </c>
      <c r="AW861" s="76"/>
      <c r="AX861" s="76" t="b">
        <v>0</v>
      </c>
      <c r="AY861" s="76"/>
      <c r="AZ861" s="76"/>
      <c r="BA861" s="76" t="b">
        <v>0</v>
      </c>
      <c r="BB861" s="76" t="b">
        <v>1</v>
      </c>
      <c r="BC861" s="76" t="b">
        <v>1</v>
      </c>
      <c r="BD861" s="76" t="b">
        <v>0</v>
      </c>
      <c r="BE861" s="76" t="b">
        <v>0</v>
      </c>
      <c r="BF861" s="76" t="b">
        <v>0</v>
      </c>
      <c r="BG861" s="76" t="b">
        <v>0</v>
      </c>
      <c r="BH861" s="83" t="str">
        <f>HYPERLINK("https://pbs.twimg.com/profile_banners/1620875889817882625/1679560107")</f>
        <v>https://pbs.twimg.com/profile_banners/1620875889817882625/1679560107</v>
      </c>
      <c r="BI861" s="76"/>
      <c r="BJ861" s="76" t="s">
        <v>24935</v>
      </c>
      <c r="BK861" s="76" t="b">
        <v>0</v>
      </c>
      <c r="BL861" s="76"/>
      <c r="BM861" s="76" t="s">
        <v>66</v>
      </c>
      <c r="BN861" s="76" t="s">
        <v>24937</v>
      </c>
      <c r="BO861" s="83" t="str">
        <f>HYPERLINK("https://twitter.com/grm88765974grm")</f>
        <v>https://twitter.com/grm88765974grm</v>
      </c>
      <c r="BP861" s="2"/>
    </row>
    <row r="862" spans="1:68" x14ac:dyDescent="0.25">
      <c r="A862" s="62" t="s">
        <v>1050</v>
      </c>
      <c r="B862" s="63"/>
      <c r="C862" s="63"/>
      <c r="D862" s="64"/>
      <c r="E862" s="66"/>
      <c r="F862" s="102" t="str">
        <f>HYPERLINK("https://pbs.twimg.com/profile_images/1632490533061885952/m7Zl7oud_normal.jpg")</f>
        <v>https://pbs.twimg.com/profile_images/1632490533061885952/m7Zl7oud_normal.jpg</v>
      </c>
      <c r="G862" s="63"/>
      <c r="H862" s="67"/>
      <c r="I862" s="68"/>
      <c r="J862" s="68"/>
      <c r="K862" s="67" t="s">
        <v>25796</v>
      </c>
      <c r="L862" s="71"/>
      <c r="M862" s="72"/>
      <c r="N862" s="72"/>
      <c r="O862" s="73"/>
      <c r="P862" s="74"/>
      <c r="Q862" s="74"/>
      <c r="R862" s="86"/>
      <c r="S862" s="86"/>
      <c r="T862" s="86"/>
      <c r="U862" s="86"/>
      <c r="V862" s="48"/>
      <c r="W862" s="48"/>
      <c r="X862" s="48"/>
      <c r="Y862" s="48"/>
      <c r="Z862" s="47"/>
      <c r="AA862" s="69">
        <v>862</v>
      </c>
      <c r="AB862" s="69"/>
      <c r="AC862" s="70"/>
      <c r="AD862" s="76" t="s">
        <v>22654</v>
      </c>
      <c r="AE862" s="81" t="s">
        <v>23028</v>
      </c>
      <c r="AF862" s="76">
        <v>145</v>
      </c>
      <c r="AG862" s="76">
        <v>2886</v>
      </c>
      <c r="AH862" s="76">
        <v>218</v>
      </c>
      <c r="AI862" s="76">
        <v>3</v>
      </c>
      <c r="AJ862" s="76">
        <v>135</v>
      </c>
      <c r="AK862" s="76">
        <v>119</v>
      </c>
      <c r="AL862" s="76" t="b">
        <v>0</v>
      </c>
      <c r="AM862" s="78">
        <v>42271.854155092595</v>
      </c>
      <c r="AN862" s="76" t="s">
        <v>23295</v>
      </c>
      <c r="AO862" s="76" t="s">
        <v>24085</v>
      </c>
      <c r="AP862" s="83" t="str">
        <f>HYPERLINK("https://t.co/b4z3O1f96S")</f>
        <v>https://t.co/b4z3O1f96S</v>
      </c>
      <c r="AQ862" s="83" t="str">
        <f>HYPERLINK("https://amzn.to/3ZoOX5T")</f>
        <v>https://amzn.to/3ZoOX5T</v>
      </c>
      <c r="AR862" s="76" t="s">
        <v>24725</v>
      </c>
      <c r="AS862" s="76" t="s">
        <v>24836</v>
      </c>
      <c r="AT862" s="76" t="s">
        <v>24847</v>
      </c>
      <c r="AU862" s="76" t="s">
        <v>24916</v>
      </c>
      <c r="AV862" s="76"/>
      <c r="AW862" s="83" t="str">
        <f>HYPERLINK("https://t.co/b4z3O1f96S")</f>
        <v>https://t.co/b4z3O1f96S</v>
      </c>
      <c r="AX862" s="76" t="b">
        <v>0</v>
      </c>
      <c r="AY862" s="76"/>
      <c r="AZ862" s="76"/>
      <c r="BA862" s="76" t="b">
        <v>0</v>
      </c>
      <c r="BB862" s="76" t="b">
        <v>1</v>
      </c>
      <c r="BC862" s="76" t="b">
        <v>1</v>
      </c>
      <c r="BD862" s="76" t="b">
        <v>0</v>
      </c>
      <c r="BE862" s="76" t="b">
        <v>0</v>
      </c>
      <c r="BF862" s="76" t="b">
        <v>0</v>
      </c>
      <c r="BG862" s="76" t="b">
        <v>0</v>
      </c>
      <c r="BH862" s="83" t="str">
        <f>HYPERLINK("https://pbs.twimg.com/profile_banners/3763727003/1688595008")</f>
        <v>https://pbs.twimg.com/profile_banners/3763727003/1688595008</v>
      </c>
      <c r="BI862" s="76"/>
      <c r="BJ862" s="76" t="s">
        <v>24935</v>
      </c>
      <c r="BK862" s="76" t="b">
        <v>0</v>
      </c>
      <c r="BL862" s="76"/>
      <c r="BM862" s="76" t="s">
        <v>66</v>
      </c>
      <c r="BN862" s="76" t="s">
        <v>24937</v>
      </c>
      <c r="BO862" s="83" t="str">
        <f>HYPERLINK("https://twitter.com/ghenifer1")</f>
        <v>https://twitter.com/ghenifer1</v>
      </c>
      <c r="BP862" s="2"/>
    </row>
    <row r="863" spans="1:68" x14ac:dyDescent="0.25">
      <c r="A863" s="62" t="s">
        <v>1051</v>
      </c>
      <c r="B863" s="63"/>
      <c r="C863" s="63"/>
      <c r="D863" s="64"/>
      <c r="E863" s="66"/>
      <c r="F863" s="102" t="str">
        <f>HYPERLINK("https://pbs.twimg.com/profile_images/1354815333480112136/__Xek8qx_normal.jpg")</f>
        <v>https://pbs.twimg.com/profile_images/1354815333480112136/__Xek8qx_normal.jpg</v>
      </c>
      <c r="G863" s="63"/>
      <c r="H863" s="67"/>
      <c r="I863" s="68"/>
      <c r="J863" s="68"/>
      <c r="K863" s="67" t="s">
        <v>25797</v>
      </c>
      <c r="L863" s="71"/>
      <c r="M863" s="72"/>
      <c r="N863" s="72"/>
      <c r="O863" s="73"/>
      <c r="P863" s="74"/>
      <c r="Q863" s="74"/>
      <c r="R863" s="86"/>
      <c r="S863" s="86"/>
      <c r="T863" s="86"/>
      <c r="U863" s="86"/>
      <c r="V863" s="48"/>
      <c r="W863" s="48"/>
      <c r="X863" s="48"/>
      <c r="Y863" s="48"/>
      <c r="Z863" s="47"/>
      <c r="AA863" s="69">
        <v>863</v>
      </c>
      <c r="AB863" s="69"/>
      <c r="AC863" s="70"/>
      <c r="AD863" s="76" t="s">
        <v>22655</v>
      </c>
      <c r="AE863" s="81" t="s">
        <v>21632</v>
      </c>
      <c r="AF863" s="76">
        <v>1</v>
      </c>
      <c r="AG863" s="76">
        <v>49</v>
      </c>
      <c r="AH863" s="76">
        <v>2</v>
      </c>
      <c r="AI863" s="76">
        <v>0</v>
      </c>
      <c r="AJ863" s="76">
        <v>74</v>
      </c>
      <c r="AK863" s="76">
        <v>2</v>
      </c>
      <c r="AL863" s="76" t="b">
        <v>0</v>
      </c>
      <c r="AM863" s="78">
        <v>44223.048726851855</v>
      </c>
      <c r="AN863" s="76" t="s">
        <v>23296</v>
      </c>
      <c r="AO863" s="76"/>
      <c r="AP863" s="76"/>
      <c r="AQ863" s="76"/>
      <c r="AR863" s="76"/>
      <c r="AS863" s="76"/>
      <c r="AT863" s="76"/>
      <c r="AU863" s="76"/>
      <c r="AV863" s="76"/>
      <c r="AW863" s="76"/>
      <c r="AX863" s="76" t="b">
        <v>0</v>
      </c>
      <c r="AY863" s="76"/>
      <c r="AZ863" s="76"/>
      <c r="BA863" s="76" t="b">
        <v>0</v>
      </c>
      <c r="BB863" s="76" t="b">
        <v>1</v>
      </c>
      <c r="BC863" s="76" t="b">
        <v>1</v>
      </c>
      <c r="BD863" s="76" t="b">
        <v>0</v>
      </c>
      <c r="BE863" s="76" t="b">
        <v>1</v>
      </c>
      <c r="BF863" s="76" t="b">
        <v>0</v>
      </c>
      <c r="BG863" s="76" t="b">
        <v>0</v>
      </c>
      <c r="BH863" s="83" t="str">
        <f>HYPERLINK("https://pbs.twimg.com/profile_banners/1354235122443292673/1611848195")</f>
        <v>https://pbs.twimg.com/profile_banners/1354235122443292673/1611848195</v>
      </c>
      <c r="BI863" s="76"/>
      <c r="BJ863" s="76" t="s">
        <v>24935</v>
      </c>
      <c r="BK863" s="76" t="b">
        <v>0</v>
      </c>
      <c r="BL863" s="76"/>
      <c r="BM863" s="76" t="s">
        <v>66</v>
      </c>
      <c r="BN863" s="76" t="s">
        <v>24937</v>
      </c>
      <c r="BO863" s="83" t="str">
        <f>HYPERLINK("https://twitter.com/andrluiznunes14")</f>
        <v>https://twitter.com/andrluiznunes14</v>
      </c>
      <c r="BP863" s="2"/>
    </row>
    <row r="864" spans="1:68" x14ac:dyDescent="0.25">
      <c r="A864" s="62" t="s">
        <v>1052</v>
      </c>
      <c r="B864" s="63"/>
      <c r="C864" s="63"/>
      <c r="D864" s="64"/>
      <c r="E864" s="66"/>
      <c r="F864" s="102" t="str">
        <f>HYPERLINK("https://pbs.twimg.com/profile_images/1624070793347977225/iJ8H4CkW_normal.png")</f>
        <v>https://pbs.twimg.com/profile_images/1624070793347977225/iJ8H4CkW_normal.png</v>
      </c>
      <c r="G864" s="63"/>
      <c r="H864" s="67"/>
      <c r="I864" s="68"/>
      <c r="J864" s="68"/>
      <c r="K864" s="67" t="s">
        <v>25798</v>
      </c>
      <c r="L864" s="71"/>
      <c r="M864" s="72"/>
      <c r="N864" s="72"/>
      <c r="O864" s="73"/>
      <c r="P864" s="74"/>
      <c r="Q864" s="74"/>
      <c r="R864" s="86"/>
      <c r="S864" s="86"/>
      <c r="T864" s="86"/>
      <c r="U864" s="86"/>
      <c r="V864" s="48"/>
      <c r="W864" s="48"/>
      <c r="X864" s="48"/>
      <c r="Y864" s="48"/>
      <c r="Z864" s="47"/>
      <c r="AA864" s="69">
        <v>864</v>
      </c>
      <c r="AB864" s="69"/>
      <c r="AC864" s="70"/>
      <c r="AD864" s="76" t="s">
        <v>22656</v>
      </c>
      <c r="AE864" s="81" t="s">
        <v>21633</v>
      </c>
      <c r="AF864" s="76">
        <v>0</v>
      </c>
      <c r="AG864" s="76">
        <v>3</v>
      </c>
      <c r="AH864" s="76">
        <v>1</v>
      </c>
      <c r="AI864" s="76">
        <v>0</v>
      </c>
      <c r="AJ864" s="76">
        <v>0</v>
      </c>
      <c r="AK864" s="76">
        <v>0</v>
      </c>
      <c r="AL864" s="76" t="b">
        <v>0</v>
      </c>
      <c r="AM864" s="78">
        <v>44967.653067129628</v>
      </c>
      <c r="AN864" s="76"/>
      <c r="AO864" s="76"/>
      <c r="AP864" s="76"/>
      <c r="AQ864" s="76"/>
      <c r="AR864" s="76"/>
      <c r="AS864" s="76"/>
      <c r="AT864" s="76"/>
      <c r="AU864" s="76"/>
      <c r="AV864" s="76"/>
      <c r="AW864" s="76"/>
      <c r="AX864" s="76" t="b">
        <v>0</v>
      </c>
      <c r="AY864" s="76"/>
      <c r="AZ864" s="76"/>
      <c r="BA864" s="76" t="b">
        <v>0</v>
      </c>
      <c r="BB864" s="76" t="b">
        <v>1</v>
      </c>
      <c r="BC864" s="76" t="b">
        <v>1</v>
      </c>
      <c r="BD864" s="76" t="b">
        <v>0</v>
      </c>
      <c r="BE864" s="76" t="b">
        <v>0</v>
      </c>
      <c r="BF864" s="76" t="b">
        <v>0</v>
      </c>
      <c r="BG864" s="76" t="b">
        <v>0</v>
      </c>
      <c r="BH864" s="76"/>
      <c r="BI864" s="76"/>
      <c r="BJ864" s="76" t="s">
        <v>24935</v>
      </c>
      <c r="BK864" s="76" t="b">
        <v>0</v>
      </c>
      <c r="BL864" s="76"/>
      <c r="BM864" s="76" t="s">
        <v>66</v>
      </c>
      <c r="BN864" s="76" t="s">
        <v>24937</v>
      </c>
      <c r="BO864" s="83" t="str">
        <f>HYPERLINK("https://twitter.com/raissaalves0987")</f>
        <v>https://twitter.com/raissaalves0987</v>
      </c>
      <c r="BP864" s="2"/>
    </row>
    <row r="865" spans="1:68" x14ac:dyDescent="0.25">
      <c r="A865" s="62" t="s">
        <v>1053</v>
      </c>
      <c r="B865" s="63"/>
      <c r="C865" s="63"/>
      <c r="D865" s="64"/>
      <c r="E865" s="66"/>
      <c r="F865" s="102" t="str">
        <f>HYPERLINK("https://pbs.twimg.com/profile_images/1130931586059448320/J8lXhG_K_normal.png")</f>
        <v>https://pbs.twimg.com/profile_images/1130931586059448320/J8lXhG_K_normal.png</v>
      </c>
      <c r="G865" s="63"/>
      <c r="H865" s="67"/>
      <c r="I865" s="68"/>
      <c r="J865" s="68"/>
      <c r="K865" s="67" t="s">
        <v>25799</v>
      </c>
      <c r="L865" s="71"/>
      <c r="M865" s="72"/>
      <c r="N865" s="72"/>
      <c r="O865" s="73"/>
      <c r="P865" s="74"/>
      <c r="Q865" s="74"/>
      <c r="R865" s="86"/>
      <c r="S865" s="86"/>
      <c r="T865" s="86"/>
      <c r="U865" s="86"/>
      <c r="V865" s="48"/>
      <c r="W865" s="48"/>
      <c r="X865" s="48"/>
      <c r="Y865" s="48"/>
      <c r="Z865" s="47"/>
      <c r="AA865" s="69">
        <v>865</v>
      </c>
      <c r="AB865" s="69"/>
      <c r="AC865" s="70"/>
      <c r="AD865" s="76" t="s">
        <v>22657</v>
      </c>
      <c r="AE865" s="81" t="s">
        <v>21634</v>
      </c>
      <c r="AF865" s="76">
        <v>2820</v>
      </c>
      <c r="AG865" s="76">
        <v>10</v>
      </c>
      <c r="AH865" s="76">
        <v>13453</v>
      </c>
      <c r="AI865" s="76">
        <v>43</v>
      </c>
      <c r="AJ865" s="76">
        <v>1</v>
      </c>
      <c r="AK865" s="76">
        <v>8744</v>
      </c>
      <c r="AL865" s="76" t="b">
        <v>0</v>
      </c>
      <c r="AM865" s="78">
        <v>43588.224351851852</v>
      </c>
      <c r="AN865" s="76" t="s">
        <v>14033</v>
      </c>
      <c r="AO865" s="76" t="s">
        <v>24086</v>
      </c>
      <c r="AP865" s="76"/>
      <c r="AQ865" s="76"/>
      <c r="AR865" s="76"/>
      <c r="AS865" s="76"/>
      <c r="AT865" s="76"/>
      <c r="AU865" s="76"/>
      <c r="AV865" s="76">
        <v>1.33089669199474E+18</v>
      </c>
      <c r="AW865" s="76"/>
      <c r="AX865" s="76" t="b">
        <v>0</v>
      </c>
      <c r="AY865" s="76"/>
      <c r="AZ865" s="76"/>
      <c r="BA865" s="76" t="b">
        <v>0</v>
      </c>
      <c r="BB865" s="76" t="b">
        <v>1</v>
      </c>
      <c r="BC865" s="76" t="b">
        <v>1</v>
      </c>
      <c r="BD865" s="76" t="b">
        <v>0</v>
      </c>
      <c r="BE865" s="76" t="b">
        <v>0</v>
      </c>
      <c r="BF865" s="76" t="b">
        <v>0</v>
      </c>
      <c r="BG865" s="76" t="b">
        <v>0</v>
      </c>
      <c r="BH865" s="83" t="str">
        <f>HYPERLINK("https://pbs.twimg.com/profile_banners/1124182565592752128/1556861340")</f>
        <v>https://pbs.twimg.com/profile_banners/1124182565592752128/1556861340</v>
      </c>
      <c r="BI865" s="76"/>
      <c r="BJ865" s="76" t="s">
        <v>24935</v>
      </c>
      <c r="BK865" s="76" t="b">
        <v>0</v>
      </c>
      <c r="BL865" s="76"/>
      <c r="BM865" s="76" t="s">
        <v>66</v>
      </c>
      <c r="BN865" s="76" t="s">
        <v>24937</v>
      </c>
      <c r="BO865" s="83" t="str">
        <f>HYPERLINK("https://twitter.com/meusfii")</f>
        <v>https://twitter.com/meusfii</v>
      </c>
      <c r="BP865" s="2"/>
    </row>
    <row r="866" spans="1:68" x14ac:dyDescent="0.25">
      <c r="A866" s="62" t="s">
        <v>1054</v>
      </c>
      <c r="B866" s="63"/>
      <c r="C866" s="63"/>
      <c r="D866" s="64"/>
      <c r="E866" s="66"/>
      <c r="F866" s="102" t="str">
        <f>HYPERLINK("https://pbs.twimg.com/profile_images/1487962394529828865/2aGL7vzi_normal.jpg")</f>
        <v>https://pbs.twimg.com/profile_images/1487962394529828865/2aGL7vzi_normal.jpg</v>
      </c>
      <c r="G866" s="63"/>
      <c r="H866" s="67"/>
      <c r="I866" s="68"/>
      <c r="J866" s="68"/>
      <c r="K866" s="67" t="s">
        <v>25800</v>
      </c>
      <c r="L866" s="71"/>
      <c r="M866" s="72"/>
      <c r="N866" s="72"/>
      <c r="O866" s="73"/>
      <c r="P866" s="74"/>
      <c r="Q866" s="74"/>
      <c r="R866" s="86"/>
      <c r="S866" s="86"/>
      <c r="T866" s="86"/>
      <c r="U866" s="86"/>
      <c r="V866" s="48"/>
      <c r="W866" s="48"/>
      <c r="X866" s="48"/>
      <c r="Y866" s="48"/>
      <c r="Z866" s="47"/>
      <c r="AA866" s="69">
        <v>866</v>
      </c>
      <c r="AB866" s="69"/>
      <c r="AC866" s="70"/>
      <c r="AD866" s="76" t="s">
        <v>22658</v>
      </c>
      <c r="AE866" s="81" t="s">
        <v>21635</v>
      </c>
      <c r="AF866" s="76">
        <v>2272</v>
      </c>
      <c r="AG866" s="76">
        <v>602</v>
      </c>
      <c r="AH866" s="76">
        <v>20938</v>
      </c>
      <c r="AI866" s="76">
        <v>5</v>
      </c>
      <c r="AJ866" s="76">
        <v>79849</v>
      </c>
      <c r="AK866" s="76">
        <v>3156</v>
      </c>
      <c r="AL866" s="76" t="b">
        <v>0</v>
      </c>
      <c r="AM866" s="78">
        <v>44428.762152777781</v>
      </c>
      <c r="AN866" s="76"/>
      <c r="AO866" s="76" t="s">
        <v>24087</v>
      </c>
      <c r="AP866" s="76"/>
      <c r="AQ866" s="76"/>
      <c r="AR866" s="76"/>
      <c r="AS866" s="76"/>
      <c r="AT866" s="76"/>
      <c r="AU866" s="76"/>
      <c r="AV866" s="76">
        <v>1.44084528671315E+18</v>
      </c>
      <c r="AW866" s="76"/>
      <c r="AX866" s="76" t="b">
        <v>0</v>
      </c>
      <c r="AY866" s="76"/>
      <c r="AZ866" s="76"/>
      <c r="BA866" s="76" t="b">
        <v>0</v>
      </c>
      <c r="BB866" s="76" t="b">
        <v>1</v>
      </c>
      <c r="BC866" s="76" t="b">
        <v>1</v>
      </c>
      <c r="BD866" s="76" t="b">
        <v>0</v>
      </c>
      <c r="BE866" s="76" t="b">
        <v>1</v>
      </c>
      <c r="BF866" s="76" t="b">
        <v>0</v>
      </c>
      <c r="BG866" s="76" t="b">
        <v>0</v>
      </c>
      <c r="BH866" s="76"/>
      <c r="BI866" s="76"/>
      <c r="BJ866" s="76" t="s">
        <v>24935</v>
      </c>
      <c r="BK866" s="76" t="b">
        <v>0</v>
      </c>
      <c r="BL866" s="76"/>
      <c r="BM866" s="76" t="s">
        <v>66</v>
      </c>
      <c r="BN866" s="76" t="s">
        <v>24937</v>
      </c>
      <c r="BO866" s="83" t="str">
        <f>HYPERLINK("https://twitter.com/ocarapuca")</f>
        <v>https://twitter.com/ocarapuca</v>
      </c>
      <c r="BP866" s="2"/>
    </row>
    <row r="867" spans="1:68" x14ac:dyDescent="0.25">
      <c r="A867" s="62" t="s">
        <v>1055</v>
      </c>
      <c r="B867" s="63"/>
      <c r="C867" s="63"/>
      <c r="D867" s="64"/>
      <c r="E867" s="66"/>
      <c r="F867" s="102" t="str">
        <f>HYPERLINK("https://pbs.twimg.com/profile_images/1702415409339600896/cSLWfXsV_normal.jpg")</f>
        <v>https://pbs.twimg.com/profile_images/1702415409339600896/cSLWfXsV_normal.jpg</v>
      </c>
      <c r="G867" s="63"/>
      <c r="H867" s="67"/>
      <c r="I867" s="68"/>
      <c r="J867" s="68"/>
      <c r="K867" s="67" t="s">
        <v>25801</v>
      </c>
      <c r="L867" s="71"/>
      <c r="M867" s="72"/>
      <c r="N867" s="72"/>
      <c r="O867" s="73"/>
      <c r="P867" s="74"/>
      <c r="Q867" s="74"/>
      <c r="R867" s="86"/>
      <c r="S867" s="86"/>
      <c r="T867" s="86"/>
      <c r="U867" s="86"/>
      <c r="V867" s="48"/>
      <c r="W867" s="48"/>
      <c r="X867" s="48"/>
      <c r="Y867" s="48"/>
      <c r="Z867" s="47"/>
      <c r="AA867" s="69">
        <v>867</v>
      </c>
      <c r="AB867" s="69"/>
      <c r="AC867" s="70"/>
      <c r="AD867" s="76" t="s">
        <v>22659</v>
      </c>
      <c r="AE867" s="81" t="s">
        <v>21636</v>
      </c>
      <c r="AF867" s="76">
        <v>1</v>
      </c>
      <c r="AG867" s="76">
        <v>14</v>
      </c>
      <c r="AH867" s="76">
        <v>2</v>
      </c>
      <c r="AI867" s="76">
        <v>0</v>
      </c>
      <c r="AJ867" s="76">
        <v>10</v>
      </c>
      <c r="AK867" s="76">
        <v>2</v>
      </c>
      <c r="AL867" s="76" t="b">
        <v>0</v>
      </c>
      <c r="AM867" s="78">
        <v>43004.069641203707</v>
      </c>
      <c r="AN867" s="76"/>
      <c r="AO867" s="76" t="s">
        <v>24088</v>
      </c>
      <c r="AP867" s="83" t="str">
        <f>HYPERLINK("https://t.co/LDaPg8LvCW")</f>
        <v>https://t.co/LDaPg8LvCW</v>
      </c>
      <c r="AQ867" s="83" t="str">
        <f>HYPERLINK("https://kiwify.app/JGzjGmT?afid=lcL4P9pE")</f>
        <v>https://kiwify.app/JGzjGmT?afid=lcL4P9pE</v>
      </c>
      <c r="AR867" s="76" t="s">
        <v>24726</v>
      </c>
      <c r="AS867" s="76"/>
      <c r="AT867" s="76"/>
      <c r="AU867" s="76"/>
      <c r="AV867" s="76"/>
      <c r="AW867" s="83" t="str">
        <f>HYPERLINK("https://t.co/LDaPg8LvCW")</f>
        <v>https://t.co/LDaPg8LvCW</v>
      </c>
      <c r="AX867" s="76" t="b">
        <v>0</v>
      </c>
      <c r="AY867" s="76"/>
      <c r="AZ867" s="76"/>
      <c r="BA867" s="76" t="b">
        <v>0</v>
      </c>
      <c r="BB867" s="76" t="b">
        <v>1</v>
      </c>
      <c r="BC867" s="76" t="b">
        <v>1</v>
      </c>
      <c r="BD867" s="76" t="b">
        <v>0</v>
      </c>
      <c r="BE867" s="76" t="b">
        <v>0</v>
      </c>
      <c r="BF867" s="76" t="b">
        <v>0</v>
      </c>
      <c r="BG867" s="76" t="b">
        <v>0</v>
      </c>
      <c r="BH867" s="83" t="str">
        <f>HYPERLINK("https://pbs.twimg.com/profile_banners/912491987718279168/1694722438")</f>
        <v>https://pbs.twimg.com/profile_banners/912491987718279168/1694722438</v>
      </c>
      <c r="BI867" s="76"/>
      <c r="BJ867" s="76" t="s">
        <v>24935</v>
      </c>
      <c r="BK867" s="76" t="b">
        <v>0</v>
      </c>
      <c r="BL867" s="76"/>
      <c r="BM867" s="76" t="s">
        <v>66</v>
      </c>
      <c r="BN867" s="76" t="s">
        <v>24937</v>
      </c>
      <c r="BO867" s="83" t="str">
        <f>HYPERLINK("https://twitter.com/tudonodigital23")</f>
        <v>https://twitter.com/tudonodigital23</v>
      </c>
      <c r="BP867" s="2"/>
    </row>
    <row r="868" spans="1:68" x14ac:dyDescent="0.25">
      <c r="A868" s="62" t="s">
        <v>1056</v>
      </c>
      <c r="B868" s="63"/>
      <c r="C868" s="63"/>
      <c r="D868" s="64"/>
      <c r="E868" s="66"/>
      <c r="F868" s="102" t="str">
        <f>HYPERLINK("https://pbs.twimg.com/profile_images/1616180559012577292/WKG8rg6A_normal.jpg")</f>
        <v>https://pbs.twimg.com/profile_images/1616180559012577292/WKG8rg6A_normal.jpg</v>
      </c>
      <c r="G868" s="63"/>
      <c r="H868" s="67"/>
      <c r="I868" s="68"/>
      <c r="J868" s="68"/>
      <c r="K868" s="67" t="s">
        <v>25802</v>
      </c>
      <c r="L868" s="71"/>
      <c r="M868" s="72"/>
      <c r="N868" s="72"/>
      <c r="O868" s="73"/>
      <c r="P868" s="74"/>
      <c r="Q868" s="74"/>
      <c r="R868" s="86"/>
      <c r="S868" s="86"/>
      <c r="T868" s="86"/>
      <c r="U868" s="86"/>
      <c r="V868" s="48"/>
      <c r="W868" s="48"/>
      <c r="X868" s="48"/>
      <c r="Y868" s="48"/>
      <c r="Z868" s="47"/>
      <c r="AA868" s="69">
        <v>868</v>
      </c>
      <c r="AB868" s="69"/>
      <c r="AC868" s="70"/>
      <c r="AD868" s="76" t="s">
        <v>22660</v>
      </c>
      <c r="AE868" s="81" t="s">
        <v>23029</v>
      </c>
      <c r="AF868" s="76">
        <v>50</v>
      </c>
      <c r="AG868" s="76">
        <v>295</v>
      </c>
      <c r="AH868" s="76">
        <v>206</v>
      </c>
      <c r="AI868" s="76">
        <v>0</v>
      </c>
      <c r="AJ868" s="76">
        <v>43</v>
      </c>
      <c r="AK868" s="76">
        <v>139</v>
      </c>
      <c r="AL868" s="76" t="b">
        <v>0</v>
      </c>
      <c r="AM868" s="78">
        <v>41571.0625</v>
      </c>
      <c r="AN868" s="76"/>
      <c r="AO868" s="76" t="s">
        <v>24089</v>
      </c>
      <c r="AP868" s="83" t="str">
        <f>HYPERLINK("https://t.co/ta3AAVAuZK")</f>
        <v>https://t.co/ta3AAVAuZK</v>
      </c>
      <c r="AQ868" s="83" t="str">
        <f>HYPERLINK("https://www.youtube.com/c/JoacyTrajanoOficial")</f>
        <v>https://www.youtube.com/c/JoacyTrajanoOficial</v>
      </c>
      <c r="AR868" s="76" t="s">
        <v>24727</v>
      </c>
      <c r="AS868" s="76"/>
      <c r="AT868" s="76"/>
      <c r="AU868" s="76"/>
      <c r="AV868" s="76">
        <v>1.6687337994404401E+18</v>
      </c>
      <c r="AW868" s="83" t="str">
        <f>HYPERLINK("https://t.co/ta3AAVAuZK")</f>
        <v>https://t.co/ta3AAVAuZK</v>
      </c>
      <c r="AX868" s="76" t="b">
        <v>0</v>
      </c>
      <c r="AY868" s="76"/>
      <c r="AZ868" s="76"/>
      <c r="BA868" s="76" t="b">
        <v>0</v>
      </c>
      <c r="BB868" s="76" t="b">
        <v>1</v>
      </c>
      <c r="BC868" s="76" t="b">
        <v>1</v>
      </c>
      <c r="BD868" s="76" t="b">
        <v>0</v>
      </c>
      <c r="BE868" s="76" t="b">
        <v>0</v>
      </c>
      <c r="BF868" s="76" t="b">
        <v>0</v>
      </c>
      <c r="BG868" s="76" t="b">
        <v>0</v>
      </c>
      <c r="BH868" s="83" t="str">
        <f>HYPERLINK("https://pbs.twimg.com/profile_banners/2150320763/1686691623")</f>
        <v>https://pbs.twimg.com/profile_banners/2150320763/1686691623</v>
      </c>
      <c r="BI868" s="76"/>
      <c r="BJ868" s="76" t="s">
        <v>24935</v>
      </c>
      <c r="BK868" s="76" t="b">
        <v>0</v>
      </c>
      <c r="BL868" s="76"/>
      <c r="BM868" s="76" t="s">
        <v>66</v>
      </c>
      <c r="BN868" s="76" t="s">
        <v>24937</v>
      </c>
      <c r="BO868" s="83" t="str">
        <f>HYPERLINK("https://twitter.com/joacytrajano")</f>
        <v>https://twitter.com/joacytrajano</v>
      </c>
      <c r="BP868" s="2"/>
    </row>
    <row r="869" spans="1:68" x14ac:dyDescent="0.25">
      <c r="A869" s="62" t="s">
        <v>1057</v>
      </c>
      <c r="B869" s="63"/>
      <c r="C869" s="63"/>
      <c r="D869" s="64"/>
      <c r="E869" s="66"/>
      <c r="F869" s="102" t="str">
        <f>HYPERLINK("https://pbs.twimg.com/profile_images/1611158010662993922/ntZY_9-c_normal.jpg")</f>
        <v>https://pbs.twimg.com/profile_images/1611158010662993922/ntZY_9-c_normal.jpg</v>
      </c>
      <c r="G869" s="63"/>
      <c r="H869" s="67"/>
      <c r="I869" s="68"/>
      <c r="J869" s="68"/>
      <c r="K869" s="67" t="s">
        <v>25803</v>
      </c>
      <c r="L869" s="71"/>
      <c r="M869" s="72"/>
      <c r="N869" s="72"/>
      <c r="O869" s="73"/>
      <c r="P869" s="74"/>
      <c r="Q869" s="74"/>
      <c r="R869" s="86"/>
      <c r="S869" s="86"/>
      <c r="T869" s="86"/>
      <c r="U869" s="86"/>
      <c r="V869" s="48"/>
      <c r="W869" s="48"/>
      <c r="X869" s="48"/>
      <c r="Y869" s="48"/>
      <c r="Z869" s="47"/>
      <c r="AA869" s="69">
        <v>869</v>
      </c>
      <c r="AB869" s="69"/>
      <c r="AC869" s="70"/>
      <c r="AD869" s="76" t="s">
        <v>22661</v>
      </c>
      <c r="AE869" s="81" t="s">
        <v>21637</v>
      </c>
      <c r="AF869" s="76">
        <v>455</v>
      </c>
      <c r="AG869" s="76">
        <v>123</v>
      </c>
      <c r="AH869" s="76">
        <v>2191</v>
      </c>
      <c r="AI869" s="76">
        <v>3</v>
      </c>
      <c r="AJ869" s="76">
        <v>423</v>
      </c>
      <c r="AK869" s="76">
        <v>1433</v>
      </c>
      <c r="AL869" s="76" t="b">
        <v>0</v>
      </c>
      <c r="AM869" s="78">
        <v>44826.015532407408</v>
      </c>
      <c r="AN869" s="76" t="s">
        <v>23297</v>
      </c>
      <c r="AO869" s="76" t="s">
        <v>24090</v>
      </c>
      <c r="AP869" s="83" t="str">
        <f>HYPERLINK("https://t.co/Sb6tG5ajWN")</f>
        <v>https://t.co/Sb6tG5ajWN</v>
      </c>
      <c r="AQ869" s="83" t="str">
        <f>HYPERLINK("http://evoluacrypto.com.br")</f>
        <v>http://evoluacrypto.com.br</v>
      </c>
      <c r="AR869" s="76" t="s">
        <v>24728</v>
      </c>
      <c r="AS869" s="83" t="str">
        <f>HYPERLINK("https://t.co/DQe7isQwiz")</f>
        <v>https://t.co/DQe7isQwiz</v>
      </c>
      <c r="AT869" s="83" t="str">
        <f>HYPERLINK("https://t.me/criptoico")</f>
        <v>https://t.me/criptoico</v>
      </c>
      <c r="AU869" s="76" t="s">
        <v>24917</v>
      </c>
      <c r="AV869" s="76"/>
      <c r="AW869" s="83" t="str">
        <f>HYPERLINK("https://t.co/Sb6tG5ajWN")</f>
        <v>https://t.co/Sb6tG5ajWN</v>
      </c>
      <c r="AX869" s="76" t="b">
        <v>1</v>
      </c>
      <c r="AY869" s="76"/>
      <c r="AZ869" s="76"/>
      <c r="BA869" s="76" t="b">
        <v>0</v>
      </c>
      <c r="BB869" s="76" t="b">
        <v>1</v>
      </c>
      <c r="BC869" s="76" t="b">
        <v>1</v>
      </c>
      <c r="BD869" s="76" t="b">
        <v>0</v>
      </c>
      <c r="BE869" s="76" t="b">
        <v>1</v>
      </c>
      <c r="BF869" s="76" t="b">
        <v>0</v>
      </c>
      <c r="BG869" s="76" t="b">
        <v>0</v>
      </c>
      <c r="BH869" s="83" t="str">
        <f>HYPERLINK("https://pbs.twimg.com/profile_banners/1572743018070917120/1672966003")</f>
        <v>https://pbs.twimg.com/profile_banners/1572743018070917120/1672966003</v>
      </c>
      <c r="BI869" s="76"/>
      <c r="BJ869" s="76" t="s">
        <v>24935</v>
      </c>
      <c r="BK869" s="76" t="b">
        <v>0</v>
      </c>
      <c r="BL869" s="76"/>
      <c r="BM869" s="76" t="s">
        <v>66</v>
      </c>
      <c r="BN869" s="76" t="s">
        <v>24937</v>
      </c>
      <c r="BO869" s="83" t="str">
        <f>HYPERLINK("https://twitter.com/criptoicobr")</f>
        <v>https://twitter.com/criptoicobr</v>
      </c>
      <c r="BP869" s="2"/>
    </row>
    <row r="870" spans="1:68" x14ac:dyDescent="0.25">
      <c r="A870" s="62" t="s">
        <v>1058</v>
      </c>
      <c r="B870" s="63"/>
      <c r="C870" s="63"/>
      <c r="D870" s="64"/>
      <c r="E870" s="66"/>
      <c r="F870" s="102" t="str">
        <f>HYPERLINK("https://pbs.twimg.com/profile_images/1653949912290033664/nPr2myVY_normal.jpg")</f>
        <v>https://pbs.twimg.com/profile_images/1653949912290033664/nPr2myVY_normal.jpg</v>
      </c>
      <c r="G870" s="63"/>
      <c r="H870" s="67"/>
      <c r="I870" s="68"/>
      <c r="J870" s="68"/>
      <c r="K870" s="67" t="s">
        <v>25804</v>
      </c>
      <c r="L870" s="71"/>
      <c r="M870" s="72"/>
      <c r="N870" s="72"/>
      <c r="O870" s="73"/>
      <c r="P870" s="74"/>
      <c r="Q870" s="74"/>
      <c r="R870" s="86"/>
      <c r="S870" s="86"/>
      <c r="T870" s="86"/>
      <c r="U870" s="86"/>
      <c r="V870" s="48"/>
      <c r="W870" s="48"/>
      <c r="X870" s="48"/>
      <c r="Y870" s="48"/>
      <c r="Z870" s="47"/>
      <c r="AA870" s="69">
        <v>870</v>
      </c>
      <c r="AB870" s="69"/>
      <c r="AC870" s="70"/>
      <c r="AD870" s="76" t="s">
        <v>22662</v>
      </c>
      <c r="AE870" s="81" t="s">
        <v>21638</v>
      </c>
      <c r="AF870" s="76">
        <v>2</v>
      </c>
      <c r="AG870" s="76">
        <v>56</v>
      </c>
      <c r="AH870" s="76">
        <v>3</v>
      </c>
      <c r="AI870" s="76">
        <v>0</v>
      </c>
      <c r="AJ870" s="76">
        <v>0</v>
      </c>
      <c r="AK870" s="76">
        <v>3</v>
      </c>
      <c r="AL870" s="76" t="b">
        <v>0</v>
      </c>
      <c r="AM870" s="78">
        <v>45033.723587962966</v>
      </c>
      <c r="AN870" s="76"/>
      <c r="AO870" s="76" t="s">
        <v>24091</v>
      </c>
      <c r="AP870" s="83" t="str">
        <f>HYPERLINK("https://t.co/1ZjEGi5JfD")</f>
        <v>https://t.co/1ZjEGi5JfD</v>
      </c>
      <c r="AQ870" s="83" t="str">
        <f>HYPERLINK("https://linktr.ee/PotedaFelicidade1")</f>
        <v>https://linktr.ee/PotedaFelicidade1</v>
      </c>
      <c r="AR870" s="76" t="s">
        <v>24729</v>
      </c>
      <c r="AS870" s="76"/>
      <c r="AT870" s="76"/>
      <c r="AU870" s="76"/>
      <c r="AV870" s="76"/>
      <c r="AW870" s="83" t="str">
        <f>HYPERLINK("https://t.co/1ZjEGi5JfD")</f>
        <v>https://t.co/1ZjEGi5JfD</v>
      </c>
      <c r="AX870" s="76" t="b">
        <v>0</v>
      </c>
      <c r="AY870" s="76"/>
      <c r="AZ870" s="76"/>
      <c r="BA870" s="76" t="b">
        <v>0</v>
      </c>
      <c r="BB870" s="76" t="b">
        <v>1</v>
      </c>
      <c r="BC870" s="76" t="b">
        <v>1</v>
      </c>
      <c r="BD870" s="76" t="b">
        <v>0</v>
      </c>
      <c r="BE870" s="76" t="b">
        <v>0</v>
      </c>
      <c r="BF870" s="76" t="b">
        <v>0</v>
      </c>
      <c r="BG870" s="76" t="b">
        <v>0</v>
      </c>
      <c r="BH870" s="83" t="str">
        <f>HYPERLINK("https://pbs.twimg.com/profile_banners/1648013790619770898/1683167362")</f>
        <v>https://pbs.twimg.com/profile_banners/1648013790619770898/1683167362</v>
      </c>
      <c r="BI870" s="76"/>
      <c r="BJ870" s="76" t="s">
        <v>24935</v>
      </c>
      <c r="BK870" s="76" t="b">
        <v>0</v>
      </c>
      <c r="BL870" s="76"/>
      <c r="BM870" s="76" t="s">
        <v>66</v>
      </c>
      <c r="BN870" s="76" t="s">
        <v>24937</v>
      </c>
      <c r="BO870" s="83" t="str">
        <f>HYPERLINK("https://twitter.com/receitas3145191")</f>
        <v>https://twitter.com/receitas3145191</v>
      </c>
      <c r="BP870" s="2"/>
    </row>
    <row r="871" spans="1:68" x14ac:dyDescent="0.25">
      <c r="A871" s="62" t="s">
        <v>1059</v>
      </c>
      <c r="B871" s="63"/>
      <c r="C871" s="63"/>
      <c r="D871" s="64"/>
      <c r="E871" s="66"/>
      <c r="F871" s="102" t="str">
        <f>HYPERLINK("https://pbs.twimg.com/profile_images/1639664399995613184/i8A3ysfY_normal.jpg")</f>
        <v>https://pbs.twimg.com/profile_images/1639664399995613184/i8A3ysfY_normal.jpg</v>
      </c>
      <c r="G871" s="63"/>
      <c r="H871" s="67"/>
      <c r="I871" s="68"/>
      <c r="J871" s="68"/>
      <c r="K871" s="67" t="s">
        <v>25805</v>
      </c>
      <c r="L871" s="71"/>
      <c r="M871" s="72"/>
      <c r="N871" s="72"/>
      <c r="O871" s="73"/>
      <c r="P871" s="74"/>
      <c r="Q871" s="74"/>
      <c r="R871" s="86"/>
      <c r="S871" s="86"/>
      <c r="T871" s="86"/>
      <c r="U871" s="86"/>
      <c r="V871" s="48"/>
      <c r="W871" s="48"/>
      <c r="X871" s="48"/>
      <c r="Y871" s="48"/>
      <c r="Z871" s="47"/>
      <c r="AA871" s="69">
        <v>871</v>
      </c>
      <c r="AB871" s="69"/>
      <c r="AC871" s="70"/>
      <c r="AD871" s="76" t="s">
        <v>22663</v>
      </c>
      <c r="AE871" s="81" t="s">
        <v>21639</v>
      </c>
      <c r="AF871" s="76">
        <v>0</v>
      </c>
      <c r="AG871" s="76">
        <v>6</v>
      </c>
      <c r="AH871" s="76">
        <v>7</v>
      </c>
      <c r="AI871" s="76">
        <v>0</v>
      </c>
      <c r="AJ871" s="76">
        <v>10</v>
      </c>
      <c r="AK871" s="76">
        <v>0</v>
      </c>
      <c r="AL871" s="76" t="b">
        <v>0</v>
      </c>
      <c r="AM871" s="78">
        <v>45010.67832175926</v>
      </c>
      <c r="AN871" s="76"/>
      <c r="AO871" s="76" t="s">
        <v>24092</v>
      </c>
      <c r="AP871" s="83" t="str">
        <f>HYPERLINK("https://t.co/imENPZsIJW")</f>
        <v>https://t.co/imENPZsIJW</v>
      </c>
      <c r="AQ871" s="83" t="str">
        <f>HYPERLINK("https://cutt.ly/acervoplr")</f>
        <v>https://cutt.ly/acervoplr</v>
      </c>
      <c r="AR871" s="76" t="s">
        <v>24730</v>
      </c>
      <c r="AS871" s="76"/>
      <c r="AT871" s="76"/>
      <c r="AU871" s="76"/>
      <c r="AV871" s="76"/>
      <c r="AW871" s="83" t="str">
        <f>HYPERLINK("https://t.co/imENPZsIJW")</f>
        <v>https://t.co/imENPZsIJW</v>
      </c>
      <c r="AX871" s="76" t="b">
        <v>0</v>
      </c>
      <c r="AY871" s="76"/>
      <c r="AZ871" s="76"/>
      <c r="BA871" s="76" t="b">
        <v>0</v>
      </c>
      <c r="BB871" s="76" t="b">
        <v>1</v>
      </c>
      <c r="BC871" s="76" t="b">
        <v>1</v>
      </c>
      <c r="BD871" s="76" t="b">
        <v>0</v>
      </c>
      <c r="BE871" s="76" t="b">
        <v>0</v>
      </c>
      <c r="BF871" s="76" t="b">
        <v>0</v>
      </c>
      <c r="BG871" s="76" t="b">
        <v>0</v>
      </c>
      <c r="BH871" s="83" t="str">
        <f>HYPERLINK("https://pbs.twimg.com/profile_banners/1639662558813487104/1679761845")</f>
        <v>https://pbs.twimg.com/profile_banners/1639662558813487104/1679761845</v>
      </c>
      <c r="BI871" s="76"/>
      <c r="BJ871" s="76" t="s">
        <v>24935</v>
      </c>
      <c r="BK871" s="76" t="b">
        <v>0</v>
      </c>
      <c r="BL871" s="76"/>
      <c r="BM871" s="76" t="s">
        <v>66</v>
      </c>
      <c r="BN871" s="76" t="s">
        <v>24937</v>
      </c>
      <c r="BO871" s="83" t="str">
        <f>HYPERLINK("https://twitter.com/robert52770")</f>
        <v>https://twitter.com/robert52770</v>
      </c>
      <c r="BP871" s="2"/>
    </row>
    <row r="872" spans="1:68" x14ac:dyDescent="0.25">
      <c r="A872" s="62" t="s">
        <v>1060</v>
      </c>
      <c r="B872" s="63"/>
      <c r="C872" s="63"/>
      <c r="D872" s="64"/>
      <c r="E872" s="66"/>
      <c r="F872" s="102" t="str">
        <f>HYPERLINK("https://pbs.twimg.com/profile_images/1655040740244717568/bIozefM4_normal.jpg")</f>
        <v>https://pbs.twimg.com/profile_images/1655040740244717568/bIozefM4_normal.jpg</v>
      </c>
      <c r="G872" s="63"/>
      <c r="H872" s="67"/>
      <c r="I872" s="68"/>
      <c r="J872" s="68"/>
      <c r="K872" s="67" t="s">
        <v>25806</v>
      </c>
      <c r="L872" s="71"/>
      <c r="M872" s="72"/>
      <c r="N872" s="72"/>
      <c r="O872" s="73"/>
      <c r="P872" s="74"/>
      <c r="Q872" s="74"/>
      <c r="R872" s="86"/>
      <c r="S872" s="86"/>
      <c r="T872" s="86"/>
      <c r="U872" s="86"/>
      <c r="V872" s="48"/>
      <c r="W872" s="48"/>
      <c r="X872" s="48"/>
      <c r="Y872" s="48"/>
      <c r="Z872" s="47"/>
      <c r="AA872" s="69">
        <v>872</v>
      </c>
      <c r="AB872" s="69"/>
      <c r="AC872" s="70"/>
      <c r="AD872" s="76" t="s">
        <v>22664</v>
      </c>
      <c r="AE872" s="81" t="s">
        <v>21640</v>
      </c>
      <c r="AF872" s="76">
        <v>0</v>
      </c>
      <c r="AG872" s="76">
        <v>15</v>
      </c>
      <c r="AH872" s="76">
        <v>11</v>
      </c>
      <c r="AI872" s="76">
        <v>0</v>
      </c>
      <c r="AJ872" s="76">
        <v>30</v>
      </c>
      <c r="AK872" s="76">
        <v>3</v>
      </c>
      <c r="AL872" s="76" t="b">
        <v>0</v>
      </c>
      <c r="AM872" s="78">
        <v>45053.113229166665</v>
      </c>
      <c r="AN872" s="76"/>
      <c r="AO872" s="76" t="s">
        <v>24093</v>
      </c>
      <c r="AP872" s="76"/>
      <c r="AQ872" s="76"/>
      <c r="AR872" s="76"/>
      <c r="AS872" s="76"/>
      <c r="AT872" s="76"/>
      <c r="AU872" s="76"/>
      <c r="AV872" s="76"/>
      <c r="AW872" s="76"/>
      <c r="AX872" s="76" t="b">
        <v>0</v>
      </c>
      <c r="AY872" s="76"/>
      <c r="AZ872" s="76"/>
      <c r="BA872" s="76" t="b">
        <v>0</v>
      </c>
      <c r="BB872" s="76" t="b">
        <v>1</v>
      </c>
      <c r="BC872" s="76" t="b">
        <v>1</v>
      </c>
      <c r="BD872" s="76" t="b">
        <v>0</v>
      </c>
      <c r="BE872" s="76" t="b">
        <v>0</v>
      </c>
      <c r="BF872" s="76" t="b">
        <v>0</v>
      </c>
      <c r="BG872" s="76" t="b">
        <v>0</v>
      </c>
      <c r="BH872" s="83" t="str">
        <f>HYPERLINK("https://pbs.twimg.com/profile_banners/1655040454574891010/1685625549")</f>
        <v>https://pbs.twimg.com/profile_banners/1655040454574891010/1685625549</v>
      </c>
      <c r="BI872" s="76"/>
      <c r="BJ872" s="76" t="s">
        <v>24935</v>
      </c>
      <c r="BK872" s="76" t="b">
        <v>0</v>
      </c>
      <c r="BL872" s="76"/>
      <c r="BM872" s="76" t="s">
        <v>66</v>
      </c>
      <c r="BN872" s="76" t="s">
        <v>24937</v>
      </c>
      <c r="BO872" s="83" t="str">
        <f>HYPERLINK("https://twitter.com/elivansantos_18")</f>
        <v>https://twitter.com/elivansantos_18</v>
      </c>
      <c r="BP872" s="2"/>
    </row>
    <row r="873" spans="1:68" x14ac:dyDescent="0.25">
      <c r="A873" s="62" t="s">
        <v>1061</v>
      </c>
      <c r="B873" s="63"/>
      <c r="C873" s="63"/>
      <c r="D873" s="64"/>
      <c r="E873" s="66"/>
      <c r="F873" s="102" t="str">
        <f>HYPERLINK("https://pbs.twimg.com/profile_images/1354088096166514691/7JjwT6s9_normal.jpg")</f>
        <v>https://pbs.twimg.com/profile_images/1354088096166514691/7JjwT6s9_normal.jpg</v>
      </c>
      <c r="G873" s="63"/>
      <c r="H873" s="67"/>
      <c r="I873" s="68"/>
      <c r="J873" s="68"/>
      <c r="K873" s="67" t="s">
        <v>25807</v>
      </c>
      <c r="L873" s="71"/>
      <c r="M873" s="72"/>
      <c r="N873" s="72"/>
      <c r="O873" s="73"/>
      <c r="P873" s="74"/>
      <c r="Q873" s="74"/>
      <c r="R873" s="86"/>
      <c r="S873" s="86"/>
      <c r="T873" s="86"/>
      <c r="U873" s="86"/>
      <c r="V873" s="48"/>
      <c r="W873" s="48"/>
      <c r="X873" s="48"/>
      <c r="Y873" s="48"/>
      <c r="Z873" s="47"/>
      <c r="AA873" s="69">
        <v>873</v>
      </c>
      <c r="AB873" s="69"/>
      <c r="AC873" s="70"/>
      <c r="AD873" s="76" t="s">
        <v>22665</v>
      </c>
      <c r="AE873" s="81" t="s">
        <v>23030</v>
      </c>
      <c r="AF873" s="76">
        <v>84</v>
      </c>
      <c r="AG873" s="76">
        <v>216</v>
      </c>
      <c r="AH873" s="76">
        <v>767</v>
      </c>
      <c r="AI873" s="76">
        <v>8</v>
      </c>
      <c r="AJ873" s="76">
        <v>3094</v>
      </c>
      <c r="AK873" s="76">
        <v>76</v>
      </c>
      <c r="AL873" s="76" t="b">
        <v>0</v>
      </c>
      <c r="AM873" s="78">
        <v>41533.852766203701</v>
      </c>
      <c r="AN873" s="76"/>
      <c r="AO873" s="76" t="s">
        <v>24094</v>
      </c>
      <c r="AP873" s="76"/>
      <c r="AQ873" s="76"/>
      <c r="AR873" s="76"/>
      <c r="AS873" s="76"/>
      <c r="AT873" s="76"/>
      <c r="AU873" s="76"/>
      <c r="AV873" s="76"/>
      <c r="AW873" s="76"/>
      <c r="AX873" s="76" t="b">
        <v>0</v>
      </c>
      <c r="AY873" s="76"/>
      <c r="AZ873" s="76"/>
      <c r="BA873" s="76" t="b">
        <v>0</v>
      </c>
      <c r="BB873" s="76" t="b">
        <v>1</v>
      </c>
      <c r="BC873" s="76" t="b">
        <v>0</v>
      </c>
      <c r="BD873" s="76" t="b">
        <v>0</v>
      </c>
      <c r="BE873" s="76" t="b">
        <v>1</v>
      </c>
      <c r="BF873" s="76" t="b">
        <v>0</v>
      </c>
      <c r="BG873" s="76" t="b">
        <v>0</v>
      </c>
      <c r="BH873" s="83" t="str">
        <f>HYPERLINK("https://pbs.twimg.com/profile_banners/1872930812/1568178289")</f>
        <v>https://pbs.twimg.com/profile_banners/1872930812/1568178289</v>
      </c>
      <c r="BI873" s="76"/>
      <c r="BJ873" s="76" t="s">
        <v>24935</v>
      </c>
      <c r="BK873" s="76" t="b">
        <v>0</v>
      </c>
      <c r="BL873" s="76"/>
      <c r="BM873" s="76" t="s">
        <v>66</v>
      </c>
      <c r="BN873" s="76" t="s">
        <v>24937</v>
      </c>
      <c r="BO873" s="83" t="str">
        <f>HYPERLINK("https://twitter.com/gabisjesse")</f>
        <v>https://twitter.com/gabisjesse</v>
      </c>
      <c r="BP873" s="2"/>
    </row>
    <row r="874" spans="1:68" x14ac:dyDescent="0.25">
      <c r="A874" s="62" t="s">
        <v>1062</v>
      </c>
      <c r="B874" s="63"/>
      <c r="C874" s="63"/>
      <c r="D874" s="64"/>
      <c r="E874" s="66"/>
      <c r="F874" s="102" t="str">
        <f>HYPERLINK("https://pbs.twimg.com/profile_images/1691622145137201152/w7ziSMw1_normal.jpg")</f>
        <v>https://pbs.twimg.com/profile_images/1691622145137201152/w7ziSMw1_normal.jpg</v>
      </c>
      <c r="G874" s="63"/>
      <c r="H874" s="67"/>
      <c r="I874" s="68"/>
      <c r="J874" s="68"/>
      <c r="K874" s="67" t="s">
        <v>25808</v>
      </c>
      <c r="L874" s="71"/>
      <c r="M874" s="72"/>
      <c r="N874" s="72"/>
      <c r="O874" s="73"/>
      <c r="P874" s="74"/>
      <c r="Q874" s="74"/>
      <c r="R874" s="86"/>
      <c r="S874" s="86"/>
      <c r="T874" s="86"/>
      <c r="U874" s="86"/>
      <c r="V874" s="48"/>
      <c r="W874" s="48"/>
      <c r="X874" s="48"/>
      <c r="Y874" s="48"/>
      <c r="Z874" s="47"/>
      <c r="AA874" s="69">
        <v>874</v>
      </c>
      <c r="AB874" s="69"/>
      <c r="AC874" s="70"/>
      <c r="AD874" s="76" t="s">
        <v>22666</v>
      </c>
      <c r="AE874" s="81" t="s">
        <v>21641</v>
      </c>
      <c r="AF874" s="76">
        <v>5</v>
      </c>
      <c r="AG874" s="76">
        <v>20</v>
      </c>
      <c r="AH874" s="76">
        <v>3</v>
      </c>
      <c r="AI874" s="76">
        <v>0</v>
      </c>
      <c r="AJ874" s="76">
        <v>5</v>
      </c>
      <c r="AK874" s="76">
        <v>2</v>
      </c>
      <c r="AL874" s="76" t="b">
        <v>0</v>
      </c>
      <c r="AM874" s="78">
        <v>44840.057939814818</v>
      </c>
      <c r="AN874" s="76"/>
      <c r="AO874" s="76" t="s">
        <v>24095</v>
      </c>
      <c r="AP874" s="83" t="str">
        <f>HYPERLINK("https://t.co/9KKeK0BI2W")</f>
        <v>https://t.co/9KKeK0BI2W</v>
      </c>
      <c r="AQ874" s="83" t="str">
        <f>HYPERLINK("https://pay.kiwify.com.br/AfzLeQP?afid=5Dj65e3O")</f>
        <v>https://pay.kiwify.com.br/AfzLeQP?afid=5Dj65e3O</v>
      </c>
      <c r="AR874" s="76" t="s">
        <v>24731</v>
      </c>
      <c r="AS874" s="76"/>
      <c r="AT874" s="76"/>
      <c r="AU874" s="76"/>
      <c r="AV874" s="76"/>
      <c r="AW874" s="83" t="str">
        <f>HYPERLINK("https://t.co/9KKeK0BI2W")</f>
        <v>https://t.co/9KKeK0BI2W</v>
      </c>
      <c r="AX874" s="76" t="b">
        <v>0</v>
      </c>
      <c r="AY874" s="76"/>
      <c r="AZ874" s="76"/>
      <c r="BA874" s="76" t="b">
        <v>0</v>
      </c>
      <c r="BB874" s="76" t="b">
        <v>1</v>
      </c>
      <c r="BC874" s="76" t="b">
        <v>1</v>
      </c>
      <c r="BD874" s="76" t="b">
        <v>0</v>
      </c>
      <c r="BE874" s="76" t="b">
        <v>0</v>
      </c>
      <c r="BF874" s="76" t="b">
        <v>0</v>
      </c>
      <c r="BG874" s="76" t="b">
        <v>0</v>
      </c>
      <c r="BH874" s="83" t="str">
        <f>HYPERLINK("https://pbs.twimg.com/profile_banners/1577831711844585472/1692149437")</f>
        <v>https://pbs.twimg.com/profile_banners/1577831711844585472/1692149437</v>
      </c>
      <c r="BI874" s="76"/>
      <c r="BJ874" s="76" t="s">
        <v>24935</v>
      </c>
      <c r="BK874" s="76" t="b">
        <v>0</v>
      </c>
      <c r="BL874" s="76"/>
      <c r="BM874" s="76" t="s">
        <v>66</v>
      </c>
      <c r="BN874" s="76" t="s">
        <v>24937</v>
      </c>
      <c r="BO874" s="83" t="str">
        <f>HYPERLINK("https://twitter.com/iasdmedinheiro")</f>
        <v>https://twitter.com/iasdmedinheiro</v>
      </c>
      <c r="BP874" s="2"/>
    </row>
    <row r="875" spans="1:68" x14ac:dyDescent="0.25">
      <c r="A875" s="62" t="s">
        <v>1063</v>
      </c>
      <c r="B875" s="63"/>
      <c r="C875" s="63"/>
      <c r="D875" s="64"/>
      <c r="E875" s="66"/>
      <c r="F875" s="102" t="str">
        <f>HYPERLINK("https://pbs.twimg.com/profile_images/1492171635734061058/Oz5FchEX_normal.jpg")</f>
        <v>https://pbs.twimg.com/profile_images/1492171635734061058/Oz5FchEX_normal.jpg</v>
      </c>
      <c r="G875" s="63"/>
      <c r="H875" s="67"/>
      <c r="I875" s="68"/>
      <c r="J875" s="68"/>
      <c r="K875" s="67" t="s">
        <v>25809</v>
      </c>
      <c r="L875" s="71"/>
      <c r="M875" s="72"/>
      <c r="N875" s="72"/>
      <c r="O875" s="73"/>
      <c r="P875" s="74"/>
      <c r="Q875" s="74"/>
      <c r="R875" s="86"/>
      <c r="S875" s="86"/>
      <c r="T875" s="86"/>
      <c r="U875" s="86"/>
      <c r="V875" s="48"/>
      <c r="W875" s="48"/>
      <c r="X875" s="48"/>
      <c r="Y875" s="48"/>
      <c r="Z875" s="47"/>
      <c r="AA875" s="69">
        <v>875</v>
      </c>
      <c r="AB875" s="69"/>
      <c r="AC875" s="70"/>
      <c r="AD875" s="76" t="s">
        <v>22667</v>
      </c>
      <c r="AE875" s="81" t="s">
        <v>23031</v>
      </c>
      <c r="AF875" s="76">
        <v>110</v>
      </c>
      <c r="AG875" s="76">
        <v>772</v>
      </c>
      <c r="AH875" s="76">
        <v>471</v>
      </c>
      <c r="AI875" s="76">
        <v>6</v>
      </c>
      <c r="AJ875" s="76">
        <v>5971</v>
      </c>
      <c r="AK875" s="76">
        <v>50</v>
      </c>
      <c r="AL875" s="76" t="b">
        <v>0</v>
      </c>
      <c r="AM875" s="78">
        <v>39694.971516203703</v>
      </c>
      <c r="AN875" s="76" t="s">
        <v>23298</v>
      </c>
      <c r="AO875" s="76" t="s">
        <v>24096</v>
      </c>
      <c r="AP875" s="83" t="str">
        <f>HYPERLINK("https://t.co/NyPQb4hdej")</f>
        <v>https://t.co/NyPQb4hdej</v>
      </c>
      <c r="AQ875" s="83" t="str">
        <f>HYPERLINK("http://www.marraquexe.com.br")</f>
        <v>http://www.marraquexe.com.br</v>
      </c>
      <c r="AR875" s="76" t="s">
        <v>24732</v>
      </c>
      <c r="AS875" s="83" t="str">
        <f>HYPERLINK("https://t.co/JQRRCYm5o8")</f>
        <v>https://t.co/JQRRCYm5o8</v>
      </c>
      <c r="AT875" s="83" t="str">
        <f>HYPERLINK("https://t.me/duarteafo")</f>
        <v>https://t.me/duarteafo</v>
      </c>
      <c r="AU875" s="76" t="s">
        <v>24918</v>
      </c>
      <c r="AV875" s="76">
        <v>1.3189070811692101E+18</v>
      </c>
      <c r="AW875" s="83" t="str">
        <f>HYPERLINK("https://t.co/NyPQb4hdej")</f>
        <v>https://t.co/NyPQb4hdej</v>
      </c>
      <c r="AX875" s="76" t="b">
        <v>0</v>
      </c>
      <c r="AY875" s="76"/>
      <c r="AZ875" s="76"/>
      <c r="BA875" s="76" t="b">
        <v>0</v>
      </c>
      <c r="BB875" s="76" t="b">
        <v>1</v>
      </c>
      <c r="BC875" s="76" t="b">
        <v>0</v>
      </c>
      <c r="BD875" s="76" t="b">
        <v>0</v>
      </c>
      <c r="BE875" s="76" t="b">
        <v>1</v>
      </c>
      <c r="BF875" s="76" t="b">
        <v>0</v>
      </c>
      <c r="BG875" s="76" t="b">
        <v>0</v>
      </c>
      <c r="BH875" s="83" t="str">
        <f>HYPERLINK("https://pbs.twimg.com/profile_banners/16121462/1458157668")</f>
        <v>https://pbs.twimg.com/profile_banners/16121462/1458157668</v>
      </c>
      <c r="BI875" s="76"/>
      <c r="BJ875" s="76" t="s">
        <v>24935</v>
      </c>
      <c r="BK875" s="76" t="b">
        <v>0</v>
      </c>
      <c r="BL875" s="76"/>
      <c r="BM875" s="76" t="s">
        <v>66</v>
      </c>
      <c r="BN875" s="76" t="s">
        <v>24937</v>
      </c>
      <c r="BO875" s="83" t="str">
        <f>HYPERLINK("https://twitter.com/duarteafo")</f>
        <v>https://twitter.com/duarteafo</v>
      </c>
      <c r="BP875" s="2"/>
    </row>
    <row r="876" spans="1:68" x14ac:dyDescent="0.25">
      <c r="A876" s="62" t="s">
        <v>1064</v>
      </c>
      <c r="B876" s="63"/>
      <c r="C876" s="63"/>
      <c r="D876" s="64"/>
      <c r="E876" s="66"/>
      <c r="F876" s="102" t="str">
        <f>HYPERLINK("https://pbs.twimg.com/profile_images/1620184349835497472/SOrH_z0q_normal.jpg")</f>
        <v>https://pbs.twimg.com/profile_images/1620184349835497472/SOrH_z0q_normal.jpg</v>
      </c>
      <c r="G876" s="63"/>
      <c r="H876" s="67"/>
      <c r="I876" s="68"/>
      <c r="J876" s="68"/>
      <c r="K876" s="67" t="s">
        <v>25810</v>
      </c>
      <c r="L876" s="71"/>
      <c r="M876" s="72"/>
      <c r="N876" s="72"/>
      <c r="O876" s="73"/>
      <c r="P876" s="74"/>
      <c r="Q876" s="74"/>
      <c r="R876" s="86"/>
      <c r="S876" s="86"/>
      <c r="T876" s="86"/>
      <c r="U876" s="86"/>
      <c r="V876" s="48"/>
      <c r="W876" s="48"/>
      <c r="X876" s="48"/>
      <c r="Y876" s="48"/>
      <c r="Z876" s="47"/>
      <c r="AA876" s="69">
        <v>876</v>
      </c>
      <c r="AB876" s="69"/>
      <c r="AC876" s="70"/>
      <c r="AD876" s="76" t="s">
        <v>22668</v>
      </c>
      <c r="AE876" s="81" t="s">
        <v>23032</v>
      </c>
      <c r="AF876" s="76">
        <v>256</v>
      </c>
      <c r="AG876" s="76">
        <v>980</v>
      </c>
      <c r="AH876" s="76">
        <v>7328</v>
      </c>
      <c r="AI876" s="76">
        <v>0</v>
      </c>
      <c r="AJ876" s="76">
        <v>27121</v>
      </c>
      <c r="AK876" s="76">
        <v>74</v>
      </c>
      <c r="AL876" s="76" t="b">
        <v>0</v>
      </c>
      <c r="AM876" s="78">
        <v>41311.464768518519</v>
      </c>
      <c r="AN876" s="76" t="s">
        <v>23299</v>
      </c>
      <c r="AO876" s="76" t="s">
        <v>24097</v>
      </c>
      <c r="AP876" s="83" t="str">
        <f>HYPERLINK("https://t.co/fBWGgxM8II")</f>
        <v>https://t.co/fBWGgxM8II</v>
      </c>
      <c r="AQ876" s="83" t="str">
        <f>HYPERLINK("https://hotm.art/iH0jiS")</f>
        <v>https://hotm.art/iH0jiS</v>
      </c>
      <c r="AR876" s="76" t="s">
        <v>24733</v>
      </c>
      <c r="AS876" s="76"/>
      <c r="AT876" s="76"/>
      <c r="AU876" s="76"/>
      <c r="AV876" s="76">
        <v>1.6561209031330099E+18</v>
      </c>
      <c r="AW876" s="83" t="str">
        <f>HYPERLINK("https://t.co/fBWGgxM8II")</f>
        <v>https://t.co/fBWGgxM8II</v>
      </c>
      <c r="AX876" s="76" t="b">
        <v>0</v>
      </c>
      <c r="AY876" s="76"/>
      <c r="AZ876" s="76"/>
      <c r="BA876" s="76" t="b">
        <v>0</v>
      </c>
      <c r="BB876" s="76" t="b">
        <v>0</v>
      </c>
      <c r="BC876" s="76" t="b">
        <v>0</v>
      </c>
      <c r="BD876" s="76" t="b">
        <v>0</v>
      </c>
      <c r="BE876" s="76" t="b">
        <v>1</v>
      </c>
      <c r="BF876" s="76" t="b">
        <v>0</v>
      </c>
      <c r="BG876" s="76" t="b">
        <v>0</v>
      </c>
      <c r="BH876" s="83" t="str">
        <f>HYPERLINK("https://pbs.twimg.com/profile_banners/1153707991/1586740681")</f>
        <v>https://pbs.twimg.com/profile_banners/1153707991/1586740681</v>
      </c>
      <c r="BI876" s="76"/>
      <c r="BJ876" s="76" t="s">
        <v>24935</v>
      </c>
      <c r="BK876" s="76" t="b">
        <v>0</v>
      </c>
      <c r="BL876" s="76"/>
      <c r="BM876" s="76" t="s">
        <v>66</v>
      </c>
      <c r="BN876" s="76" t="s">
        <v>24937</v>
      </c>
      <c r="BO876" s="83" t="str">
        <f>HYPERLINK("https://twitter.com/paulladaudt5")</f>
        <v>https://twitter.com/paulladaudt5</v>
      </c>
      <c r="BP876" s="2"/>
    </row>
    <row r="877" spans="1:68" x14ac:dyDescent="0.25">
      <c r="A877" s="62" t="s">
        <v>1065</v>
      </c>
      <c r="B877" s="63"/>
      <c r="C877" s="63"/>
      <c r="D877" s="64"/>
      <c r="E877" s="66"/>
      <c r="F877" s="102" t="str">
        <f>HYPERLINK("https://pbs.twimg.com/profile_images/1605991335466524673/B4VLqmcC_normal.jpg")</f>
        <v>https://pbs.twimg.com/profile_images/1605991335466524673/B4VLqmcC_normal.jpg</v>
      </c>
      <c r="G877" s="63"/>
      <c r="H877" s="67"/>
      <c r="I877" s="68"/>
      <c r="J877" s="68"/>
      <c r="K877" s="67" t="s">
        <v>25811</v>
      </c>
      <c r="L877" s="71"/>
      <c r="M877" s="72"/>
      <c r="N877" s="72"/>
      <c r="O877" s="73"/>
      <c r="P877" s="74"/>
      <c r="Q877" s="74"/>
      <c r="R877" s="86"/>
      <c r="S877" s="86"/>
      <c r="T877" s="86"/>
      <c r="U877" s="86"/>
      <c r="V877" s="48"/>
      <c r="W877" s="48"/>
      <c r="X877" s="48"/>
      <c r="Y877" s="48"/>
      <c r="Z877" s="47"/>
      <c r="AA877" s="69">
        <v>877</v>
      </c>
      <c r="AB877" s="69"/>
      <c r="AC877" s="70"/>
      <c r="AD877" s="76" t="s">
        <v>22669</v>
      </c>
      <c r="AE877" s="81" t="s">
        <v>21642</v>
      </c>
      <c r="AF877" s="76">
        <v>94</v>
      </c>
      <c r="AG877" s="76">
        <v>205</v>
      </c>
      <c r="AH877" s="76">
        <v>34</v>
      </c>
      <c r="AI877" s="76">
        <v>0</v>
      </c>
      <c r="AJ877" s="76">
        <v>20</v>
      </c>
      <c r="AK877" s="76">
        <v>14</v>
      </c>
      <c r="AL877" s="76" t="b">
        <v>0</v>
      </c>
      <c r="AM877" s="78">
        <v>44047.023055555554</v>
      </c>
      <c r="AN877" s="76" t="s">
        <v>14115</v>
      </c>
      <c r="AO877" s="76" t="s">
        <v>24098</v>
      </c>
      <c r="AP877" s="83" t="str">
        <f>HYPERLINK("https://t.co/exIp8Runlt")</f>
        <v>https://t.co/exIp8Runlt</v>
      </c>
      <c r="AQ877" s="83" t="str">
        <f>HYPERLINK("https://linktr.ee/taroguiandoo")</f>
        <v>https://linktr.ee/taroguiandoo</v>
      </c>
      <c r="AR877" s="76" t="s">
        <v>24734</v>
      </c>
      <c r="AS877" s="76"/>
      <c r="AT877" s="76"/>
      <c r="AU877" s="76"/>
      <c r="AV877" s="76">
        <v>1.6749394821291899E+18</v>
      </c>
      <c r="AW877" s="83" t="str">
        <f>HYPERLINK("https://t.co/exIp8Runlt")</f>
        <v>https://t.co/exIp8Runlt</v>
      </c>
      <c r="AX877" s="76" t="b">
        <v>0</v>
      </c>
      <c r="AY877" s="76"/>
      <c r="AZ877" s="76"/>
      <c r="BA877" s="76" t="b">
        <v>1</v>
      </c>
      <c r="BB877" s="76" t="b">
        <v>0</v>
      </c>
      <c r="BC877" s="76" t="b">
        <v>1</v>
      </c>
      <c r="BD877" s="76" t="b">
        <v>0</v>
      </c>
      <c r="BE877" s="76" t="b">
        <v>0</v>
      </c>
      <c r="BF877" s="76" t="b">
        <v>0</v>
      </c>
      <c r="BG877" s="76" t="b">
        <v>0</v>
      </c>
      <c r="BH877" s="83" t="str">
        <f>HYPERLINK("https://pbs.twimg.com/profile_banners/1290445573477347328/1653094343")</f>
        <v>https://pbs.twimg.com/profile_banners/1290445573477347328/1653094343</v>
      </c>
      <c r="BI877" s="76"/>
      <c r="BJ877" s="76" t="s">
        <v>24935</v>
      </c>
      <c r="BK877" s="76" t="b">
        <v>0</v>
      </c>
      <c r="BL877" s="76"/>
      <c r="BM877" s="76" t="s">
        <v>66</v>
      </c>
      <c r="BN877" s="76" t="s">
        <v>24937</v>
      </c>
      <c r="BO877" s="83" t="str">
        <f>HYPERLINK("https://twitter.com/taroguiando")</f>
        <v>https://twitter.com/taroguiando</v>
      </c>
      <c r="BP877" s="2"/>
    </row>
    <row r="878" spans="1:68" x14ac:dyDescent="0.25">
      <c r="A878" s="62" t="s">
        <v>1066</v>
      </c>
      <c r="B878" s="63"/>
      <c r="C878" s="63"/>
      <c r="D878" s="64"/>
      <c r="E878" s="66"/>
      <c r="F878" s="102" t="str">
        <f>HYPERLINK("https://pbs.twimg.com/profile_images/1673450041774678017/YBneAEI4_normal.png")</f>
        <v>https://pbs.twimg.com/profile_images/1673450041774678017/YBneAEI4_normal.png</v>
      </c>
      <c r="G878" s="63"/>
      <c r="H878" s="67"/>
      <c r="I878" s="68"/>
      <c r="J878" s="68"/>
      <c r="K878" s="67" t="s">
        <v>25812</v>
      </c>
      <c r="L878" s="71"/>
      <c r="M878" s="72"/>
      <c r="N878" s="72"/>
      <c r="O878" s="73"/>
      <c r="P878" s="74"/>
      <c r="Q878" s="74"/>
      <c r="R878" s="86"/>
      <c r="S878" s="86"/>
      <c r="T878" s="86"/>
      <c r="U878" s="86"/>
      <c r="V878" s="48"/>
      <c r="W878" s="48"/>
      <c r="X878" s="48"/>
      <c r="Y878" s="48"/>
      <c r="Z878" s="47"/>
      <c r="AA878" s="69">
        <v>878</v>
      </c>
      <c r="AB878" s="69"/>
      <c r="AC878" s="70"/>
      <c r="AD878" s="76" t="s">
        <v>22670</v>
      </c>
      <c r="AE878" s="81" t="s">
        <v>21643</v>
      </c>
      <c r="AF878" s="76">
        <v>0</v>
      </c>
      <c r="AG878" s="76">
        <v>0</v>
      </c>
      <c r="AH878" s="76">
        <v>16</v>
      </c>
      <c r="AI878" s="76">
        <v>0</v>
      </c>
      <c r="AJ878" s="76">
        <v>0</v>
      </c>
      <c r="AK878" s="76">
        <v>14</v>
      </c>
      <c r="AL878" s="76" t="b">
        <v>0</v>
      </c>
      <c r="AM878" s="78">
        <v>45103.913831018515</v>
      </c>
      <c r="AN878" s="76"/>
      <c r="AO878" s="76"/>
      <c r="AP878" s="76"/>
      <c r="AQ878" s="76"/>
      <c r="AR878" s="76"/>
      <c r="AS878" s="76"/>
      <c r="AT878" s="76"/>
      <c r="AU878" s="76"/>
      <c r="AV878" s="76"/>
      <c r="AW878" s="76"/>
      <c r="AX878" s="76" t="b">
        <v>0</v>
      </c>
      <c r="AY878" s="76"/>
      <c r="AZ878" s="76"/>
      <c r="BA878" s="76" t="b">
        <v>0</v>
      </c>
      <c r="BB878" s="76" t="b">
        <v>1</v>
      </c>
      <c r="BC878" s="76" t="b">
        <v>1</v>
      </c>
      <c r="BD878" s="76" t="b">
        <v>0</v>
      </c>
      <c r="BE878" s="76" t="b">
        <v>0</v>
      </c>
      <c r="BF878" s="76" t="b">
        <v>0</v>
      </c>
      <c r="BG878" s="76" t="b">
        <v>0</v>
      </c>
      <c r="BH878" s="76"/>
      <c r="BI878" s="76"/>
      <c r="BJ878" s="76" t="s">
        <v>24935</v>
      </c>
      <c r="BK878" s="76" t="b">
        <v>0</v>
      </c>
      <c r="BL878" s="76"/>
      <c r="BM878" s="76" t="s">
        <v>66</v>
      </c>
      <c r="BN878" s="76" t="s">
        <v>24937</v>
      </c>
      <c r="BO878" s="83" t="str">
        <f>HYPERLINK("https://twitter.com/mah_munis79513")</f>
        <v>https://twitter.com/mah_munis79513</v>
      </c>
      <c r="BP878" s="2"/>
    </row>
    <row r="879" spans="1:68" x14ac:dyDescent="0.25">
      <c r="A879" s="62" t="s">
        <v>1067</v>
      </c>
      <c r="B879" s="63"/>
      <c r="C879" s="63"/>
      <c r="D879" s="64"/>
      <c r="E879" s="66"/>
      <c r="F879" s="102" t="str">
        <f>HYPERLINK("https://pbs.twimg.com/profile_images/1559877697052049409/TISOJTpB_normal.jpg")</f>
        <v>https://pbs.twimg.com/profile_images/1559877697052049409/TISOJTpB_normal.jpg</v>
      </c>
      <c r="G879" s="63"/>
      <c r="H879" s="67"/>
      <c r="I879" s="68"/>
      <c r="J879" s="68"/>
      <c r="K879" s="67" t="s">
        <v>25813</v>
      </c>
      <c r="L879" s="71"/>
      <c r="M879" s="72"/>
      <c r="N879" s="72"/>
      <c r="O879" s="73"/>
      <c r="P879" s="74"/>
      <c r="Q879" s="74"/>
      <c r="R879" s="86"/>
      <c r="S879" s="86"/>
      <c r="T879" s="86"/>
      <c r="U879" s="86"/>
      <c r="V879" s="48"/>
      <c r="W879" s="48"/>
      <c r="X879" s="48"/>
      <c r="Y879" s="48"/>
      <c r="Z879" s="47"/>
      <c r="AA879" s="69">
        <v>879</v>
      </c>
      <c r="AB879" s="69"/>
      <c r="AC879" s="70"/>
      <c r="AD879" s="76" t="s">
        <v>22671</v>
      </c>
      <c r="AE879" s="81" t="s">
        <v>21644</v>
      </c>
      <c r="AF879" s="76">
        <v>0</v>
      </c>
      <c r="AG879" s="76">
        <v>0</v>
      </c>
      <c r="AH879" s="76">
        <v>22</v>
      </c>
      <c r="AI879" s="76">
        <v>0</v>
      </c>
      <c r="AJ879" s="76">
        <v>1</v>
      </c>
      <c r="AK879" s="76">
        <v>9</v>
      </c>
      <c r="AL879" s="76" t="b">
        <v>0</v>
      </c>
      <c r="AM879" s="78">
        <v>44790.513865740744</v>
      </c>
      <c r="AN879" s="76"/>
      <c r="AO879" s="76" t="s">
        <v>24099</v>
      </c>
      <c r="AP879" s="83" t="str">
        <f>HYPERLINK("https://t.co/b56MwR8wRS")</f>
        <v>https://t.co/b56MwR8wRS</v>
      </c>
      <c r="AQ879" s="83" t="str">
        <f>HYPERLINK("https://pixione.com/?v=5EKAUBUMSVN")</f>
        <v>https://pixione.com/?v=5EKAUBUMSVN</v>
      </c>
      <c r="AR879" s="76" t="s">
        <v>24735</v>
      </c>
      <c r="AS879" s="76"/>
      <c r="AT879" s="76"/>
      <c r="AU879" s="76"/>
      <c r="AV879" s="76">
        <v>1.66138015487298E+18</v>
      </c>
      <c r="AW879" s="83" t="str">
        <f>HYPERLINK("https://t.co/b56MwR8wRS")</f>
        <v>https://t.co/b56MwR8wRS</v>
      </c>
      <c r="AX879" s="76" t="b">
        <v>0</v>
      </c>
      <c r="AY879" s="76"/>
      <c r="AZ879" s="76"/>
      <c r="BA879" s="76" t="b">
        <v>0</v>
      </c>
      <c r="BB879" s="76" t="b">
        <v>1</v>
      </c>
      <c r="BC879" s="76" t="b">
        <v>1</v>
      </c>
      <c r="BD879" s="76" t="b">
        <v>0</v>
      </c>
      <c r="BE879" s="76" t="b">
        <v>0</v>
      </c>
      <c r="BF879" s="76" t="b">
        <v>0</v>
      </c>
      <c r="BG879" s="76" t="b">
        <v>0</v>
      </c>
      <c r="BH879" s="76"/>
      <c r="BI879" s="76"/>
      <c r="BJ879" s="76" t="s">
        <v>24935</v>
      </c>
      <c r="BK879" s="76" t="b">
        <v>0</v>
      </c>
      <c r="BL879" s="76"/>
      <c r="BM879" s="76" t="s">
        <v>66</v>
      </c>
      <c r="BN879" s="76" t="s">
        <v>24937</v>
      </c>
      <c r="BO879" s="83" t="str">
        <f>HYPERLINK("https://twitter.com/daycosta31")</f>
        <v>https://twitter.com/daycosta31</v>
      </c>
      <c r="BP879" s="2"/>
    </row>
    <row r="880" spans="1:68" x14ac:dyDescent="0.25">
      <c r="A880" s="62" t="s">
        <v>1068</v>
      </c>
      <c r="B880" s="63"/>
      <c r="C880" s="63"/>
      <c r="D880" s="64"/>
      <c r="E880" s="66"/>
      <c r="F880" s="102" t="str">
        <f>HYPERLINK("https://pbs.twimg.com/profile_images/1701930377621676032/89bhASIm_normal.jpg")</f>
        <v>https://pbs.twimg.com/profile_images/1701930377621676032/89bhASIm_normal.jpg</v>
      </c>
      <c r="G880" s="63"/>
      <c r="H880" s="67"/>
      <c r="I880" s="68"/>
      <c r="J880" s="68"/>
      <c r="K880" s="67" t="s">
        <v>25814</v>
      </c>
      <c r="L880" s="71"/>
      <c r="M880" s="72"/>
      <c r="N880" s="72"/>
      <c r="O880" s="73"/>
      <c r="P880" s="74"/>
      <c r="Q880" s="74"/>
      <c r="R880" s="86"/>
      <c r="S880" s="86"/>
      <c r="T880" s="86"/>
      <c r="U880" s="86"/>
      <c r="V880" s="48"/>
      <c r="W880" s="48"/>
      <c r="X880" s="48"/>
      <c r="Y880" s="48"/>
      <c r="Z880" s="47"/>
      <c r="AA880" s="69">
        <v>880</v>
      </c>
      <c r="AB880" s="69"/>
      <c r="AC880" s="70"/>
      <c r="AD880" s="76" t="s">
        <v>22672</v>
      </c>
      <c r="AE880" s="81" t="s">
        <v>21645</v>
      </c>
      <c r="AF880" s="76">
        <v>24</v>
      </c>
      <c r="AG880" s="76">
        <v>82</v>
      </c>
      <c r="AH880" s="76">
        <v>3013</v>
      </c>
      <c r="AI880" s="76">
        <v>0</v>
      </c>
      <c r="AJ880" s="76">
        <v>2064</v>
      </c>
      <c r="AK880" s="76">
        <v>347</v>
      </c>
      <c r="AL880" s="76" t="b">
        <v>0</v>
      </c>
      <c r="AM880" s="78">
        <v>44662.727997685186</v>
      </c>
      <c r="AN880" s="76"/>
      <c r="AO880" s="76" t="s">
        <v>24100</v>
      </c>
      <c r="AP880" s="76"/>
      <c r="AQ880" s="76"/>
      <c r="AR880" s="76"/>
      <c r="AS880" s="76"/>
      <c r="AT880" s="76"/>
      <c r="AU880" s="76"/>
      <c r="AV880" s="76"/>
      <c r="AW880" s="76"/>
      <c r="AX880" s="76" t="b">
        <v>0</v>
      </c>
      <c r="AY880" s="76"/>
      <c r="AZ880" s="76"/>
      <c r="BA880" s="76" t="b">
        <v>0</v>
      </c>
      <c r="BB880" s="76" t="b">
        <v>1</v>
      </c>
      <c r="BC880" s="76" t="b">
        <v>1</v>
      </c>
      <c r="BD880" s="76" t="b">
        <v>0</v>
      </c>
      <c r="BE880" s="76" t="b">
        <v>1</v>
      </c>
      <c r="BF880" s="76" t="b">
        <v>0</v>
      </c>
      <c r="BG880" s="76" t="b">
        <v>0</v>
      </c>
      <c r="BH880" s="83" t="str">
        <f>HYPERLINK("https://pbs.twimg.com/profile_banners/1513569616190185473/1692899790")</f>
        <v>https://pbs.twimg.com/profile_banners/1513569616190185473/1692899790</v>
      </c>
      <c r="BI880" s="76"/>
      <c r="BJ880" s="76" t="s">
        <v>24935</v>
      </c>
      <c r="BK880" s="76" t="b">
        <v>0</v>
      </c>
      <c r="BL880" s="76"/>
      <c r="BM880" s="76" t="s">
        <v>66</v>
      </c>
      <c r="BN880" s="76" t="s">
        <v>24937</v>
      </c>
      <c r="BO880" s="83" t="str">
        <f>HYPERLINK("https://twitter.com/peidarnamao")</f>
        <v>https://twitter.com/peidarnamao</v>
      </c>
      <c r="BP880" s="2"/>
    </row>
    <row r="881" spans="1:68" x14ac:dyDescent="0.25">
      <c r="A881" s="62" t="s">
        <v>1069</v>
      </c>
      <c r="B881" s="63"/>
      <c r="C881" s="63"/>
      <c r="D881" s="64"/>
      <c r="E881" s="66"/>
      <c r="F881" s="102" t="str">
        <f>HYPERLINK("https://pbs.twimg.com/profile_images/1677776614753533955/RG1kX32a_normal.jpg")</f>
        <v>https://pbs.twimg.com/profile_images/1677776614753533955/RG1kX32a_normal.jpg</v>
      </c>
      <c r="G881" s="63"/>
      <c r="H881" s="67"/>
      <c r="I881" s="68"/>
      <c r="J881" s="68"/>
      <c r="K881" s="67" t="s">
        <v>25815</v>
      </c>
      <c r="L881" s="71"/>
      <c r="M881" s="72"/>
      <c r="N881" s="72"/>
      <c r="O881" s="73"/>
      <c r="P881" s="74"/>
      <c r="Q881" s="74"/>
      <c r="R881" s="86"/>
      <c r="S881" s="86"/>
      <c r="T881" s="86"/>
      <c r="U881" s="86"/>
      <c r="V881" s="48"/>
      <c r="W881" s="48"/>
      <c r="X881" s="48"/>
      <c r="Y881" s="48"/>
      <c r="Z881" s="47"/>
      <c r="AA881" s="69">
        <v>881</v>
      </c>
      <c r="AB881" s="69"/>
      <c r="AC881" s="70"/>
      <c r="AD881" s="76" t="s">
        <v>22673</v>
      </c>
      <c r="AE881" s="81" t="s">
        <v>21646</v>
      </c>
      <c r="AF881" s="76">
        <v>22</v>
      </c>
      <c r="AG881" s="76">
        <v>418</v>
      </c>
      <c r="AH881" s="76">
        <v>255</v>
      </c>
      <c r="AI881" s="76">
        <v>1</v>
      </c>
      <c r="AJ881" s="76">
        <v>146</v>
      </c>
      <c r="AK881" s="76">
        <v>19</v>
      </c>
      <c r="AL881" s="76" t="b">
        <v>0</v>
      </c>
      <c r="AM881" s="78">
        <v>44988.610833333332</v>
      </c>
      <c r="AN881" s="76" t="s">
        <v>14115</v>
      </c>
      <c r="AO881" s="76" t="s">
        <v>24101</v>
      </c>
      <c r="AP881" s="83" t="str">
        <f>HYPERLINK("https://t.co/PcUR6litfg")</f>
        <v>https://t.co/PcUR6litfg</v>
      </c>
      <c r="AQ881" s="83" t="str">
        <f>HYPERLINK("https://www.otimoestar.com")</f>
        <v>https://www.otimoestar.com</v>
      </c>
      <c r="AR881" s="76" t="s">
        <v>7466</v>
      </c>
      <c r="AS881" s="76"/>
      <c r="AT881" s="76"/>
      <c r="AU881" s="76"/>
      <c r="AV881" s="76">
        <v>1.6614201109453199E+18</v>
      </c>
      <c r="AW881" s="83" t="str">
        <f>HYPERLINK("https://t.co/PcUR6litfg")</f>
        <v>https://t.co/PcUR6litfg</v>
      </c>
      <c r="AX881" s="76" t="b">
        <v>0</v>
      </c>
      <c r="AY881" s="76"/>
      <c r="AZ881" s="76"/>
      <c r="BA881" s="76" t="b">
        <v>0</v>
      </c>
      <c r="BB881" s="76" t="b">
        <v>1</v>
      </c>
      <c r="BC881" s="76" t="b">
        <v>1</v>
      </c>
      <c r="BD881" s="76" t="b">
        <v>0</v>
      </c>
      <c r="BE881" s="76" t="b">
        <v>0</v>
      </c>
      <c r="BF881" s="76" t="b">
        <v>0</v>
      </c>
      <c r="BG881" s="76" t="b">
        <v>0</v>
      </c>
      <c r="BH881" s="83" t="str">
        <f>HYPERLINK("https://pbs.twimg.com/profile_banners/1631665534172364801/1688434988")</f>
        <v>https://pbs.twimg.com/profile_banners/1631665534172364801/1688434988</v>
      </c>
      <c r="BI881" s="76"/>
      <c r="BJ881" s="76" t="s">
        <v>24935</v>
      </c>
      <c r="BK881" s="76" t="b">
        <v>0</v>
      </c>
      <c r="BL881" s="76"/>
      <c r="BM881" s="76" t="s">
        <v>66</v>
      </c>
      <c r="BN881" s="76" t="s">
        <v>24937</v>
      </c>
      <c r="BO881" s="83" t="str">
        <f>HYPERLINK("https://twitter.com/otimoassim")</f>
        <v>https://twitter.com/otimoassim</v>
      </c>
      <c r="BP881" s="2"/>
    </row>
    <row r="882" spans="1:68" x14ac:dyDescent="0.25">
      <c r="A882" s="62" t="s">
        <v>1070</v>
      </c>
      <c r="B882" s="63"/>
      <c r="C882" s="63"/>
      <c r="D882" s="64"/>
      <c r="E882" s="66"/>
      <c r="F882" s="102" t="str">
        <f>HYPERLINK("https://pbs.twimg.com/profile_images/1696371359079620608/xhmm7PnA_normal.jpg")</f>
        <v>https://pbs.twimg.com/profile_images/1696371359079620608/xhmm7PnA_normal.jpg</v>
      </c>
      <c r="G882" s="63"/>
      <c r="H882" s="67"/>
      <c r="I882" s="68"/>
      <c r="J882" s="68"/>
      <c r="K882" s="67" t="s">
        <v>25816</v>
      </c>
      <c r="L882" s="71"/>
      <c r="M882" s="72"/>
      <c r="N882" s="72"/>
      <c r="O882" s="73"/>
      <c r="P882" s="74"/>
      <c r="Q882" s="74"/>
      <c r="R882" s="86"/>
      <c r="S882" s="86"/>
      <c r="T882" s="86"/>
      <c r="U882" s="86"/>
      <c r="V882" s="48"/>
      <c r="W882" s="48"/>
      <c r="X882" s="48"/>
      <c r="Y882" s="48"/>
      <c r="Z882" s="47"/>
      <c r="AA882" s="69">
        <v>882</v>
      </c>
      <c r="AB882" s="69"/>
      <c r="AC882" s="70"/>
      <c r="AD882" s="76" t="s">
        <v>1070</v>
      </c>
      <c r="AE882" s="81" t="s">
        <v>21647</v>
      </c>
      <c r="AF882" s="76">
        <v>0</v>
      </c>
      <c r="AG882" s="76">
        <v>2</v>
      </c>
      <c r="AH882" s="76">
        <v>9</v>
      </c>
      <c r="AI882" s="76">
        <v>0</v>
      </c>
      <c r="AJ882" s="76">
        <v>0</v>
      </c>
      <c r="AK882" s="76">
        <v>9</v>
      </c>
      <c r="AL882" s="76" t="b">
        <v>0</v>
      </c>
      <c r="AM882" s="78">
        <v>45167.164375</v>
      </c>
      <c r="AN882" s="76"/>
      <c r="AO882" s="76"/>
      <c r="AP882" s="76"/>
      <c r="AQ882" s="76"/>
      <c r="AR882" s="76"/>
      <c r="AS882" s="76"/>
      <c r="AT882" s="76"/>
      <c r="AU882" s="76"/>
      <c r="AV882" s="76"/>
      <c r="AW882" s="76"/>
      <c r="AX882" s="76" t="b">
        <v>0</v>
      </c>
      <c r="AY882" s="76"/>
      <c r="AZ882" s="76"/>
      <c r="BA882" s="76" t="b">
        <v>0</v>
      </c>
      <c r="BB882" s="76" t="b">
        <v>1</v>
      </c>
      <c r="BC882" s="76" t="b">
        <v>1</v>
      </c>
      <c r="BD882" s="76" t="b">
        <v>0</v>
      </c>
      <c r="BE882" s="76" t="b">
        <v>0</v>
      </c>
      <c r="BF882" s="76" t="b">
        <v>0</v>
      </c>
      <c r="BG882" s="76" t="b">
        <v>0</v>
      </c>
      <c r="BH882" s="76"/>
      <c r="BI882" s="76"/>
      <c r="BJ882" s="76" t="s">
        <v>24935</v>
      </c>
      <c r="BK882" s="76" t="b">
        <v>0</v>
      </c>
      <c r="BL882" s="76"/>
      <c r="BM882" s="76" t="s">
        <v>66</v>
      </c>
      <c r="BN882" s="76" t="s">
        <v>24937</v>
      </c>
      <c r="BO882" s="83" t="str">
        <f>HYPERLINK("https://twitter.com/mundogebe")</f>
        <v>https://twitter.com/mundogebe</v>
      </c>
      <c r="BP882" s="2"/>
    </row>
    <row r="883" spans="1:68" x14ac:dyDescent="0.25">
      <c r="A883" s="62" t="s">
        <v>1071</v>
      </c>
      <c r="B883" s="63"/>
      <c r="C883" s="63"/>
      <c r="D883" s="64"/>
      <c r="E883" s="66"/>
      <c r="F883" s="102" t="str">
        <f>HYPERLINK("https://pbs.twimg.com/profile_images/644512409642737664/PQIZ0YU3_normal.jpg")</f>
        <v>https://pbs.twimg.com/profile_images/644512409642737664/PQIZ0YU3_normal.jpg</v>
      </c>
      <c r="G883" s="63"/>
      <c r="H883" s="67"/>
      <c r="I883" s="68"/>
      <c r="J883" s="68"/>
      <c r="K883" s="67" t="s">
        <v>25817</v>
      </c>
      <c r="L883" s="71"/>
      <c r="M883" s="72"/>
      <c r="N883" s="72"/>
      <c r="O883" s="73"/>
      <c r="P883" s="74"/>
      <c r="Q883" s="74"/>
      <c r="R883" s="86"/>
      <c r="S883" s="86"/>
      <c r="T883" s="86"/>
      <c r="U883" s="86"/>
      <c r="V883" s="48"/>
      <c r="W883" s="48"/>
      <c r="X883" s="48"/>
      <c r="Y883" s="48"/>
      <c r="Z883" s="47"/>
      <c r="AA883" s="69">
        <v>883</v>
      </c>
      <c r="AB883" s="69"/>
      <c r="AC883" s="70"/>
      <c r="AD883" s="76" t="s">
        <v>22674</v>
      </c>
      <c r="AE883" s="81" t="s">
        <v>23033</v>
      </c>
      <c r="AF883" s="76">
        <v>37</v>
      </c>
      <c r="AG883" s="76">
        <v>118</v>
      </c>
      <c r="AH883" s="76">
        <v>33</v>
      </c>
      <c r="AI883" s="76">
        <v>0</v>
      </c>
      <c r="AJ883" s="76">
        <v>28</v>
      </c>
      <c r="AK883" s="76">
        <v>7</v>
      </c>
      <c r="AL883" s="76" t="b">
        <v>0</v>
      </c>
      <c r="AM883" s="78">
        <v>42264.580706018518</v>
      </c>
      <c r="AN883" s="76"/>
      <c r="AO883" s="76"/>
      <c r="AP883" s="76"/>
      <c r="AQ883" s="76"/>
      <c r="AR883" s="76"/>
      <c r="AS883" s="76"/>
      <c r="AT883" s="76"/>
      <c r="AU883" s="76"/>
      <c r="AV883" s="76"/>
      <c r="AW883" s="76"/>
      <c r="AX883" s="76" t="b">
        <v>0</v>
      </c>
      <c r="AY883" s="76"/>
      <c r="AZ883" s="76"/>
      <c r="BA883" s="76" t="b">
        <v>0</v>
      </c>
      <c r="BB883" s="76" t="b">
        <v>1</v>
      </c>
      <c r="BC883" s="76" t="b">
        <v>1</v>
      </c>
      <c r="BD883" s="76" t="b">
        <v>0</v>
      </c>
      <c r="BE883" s="76" t="b">
        <v>1</v>
      </c>
      <c r="BF883" s="76" t="b">
        <v>0</v>
      </c>
      <c r="BG883" s="76" t="b">
        <v>0</v>
      </c>
      <c r="BH883" s="76"/>
      <c r="BI883" s="76"/>
      <c r="BJ883" s="76" t="s">
        <v>24935</v>
      </c>
      <c r="BK883" s="76" t="b">
        <v>0</v>
      </c>
      <c r="BL883" s="76"/>
      <c r="BM883" s="76" t="s">
        <v>66</v>
      </c>
      <c r="BN883" s="76" t="s">
        <v>24937</v>
      </c>
      <c r="BO883" s="83" t="str">
        <f>HYPERLINK("https://twitter.com/amiljoelson")</f>
        <v>https://twitter.com/amiljoelson</v>
      </c>
      <c r="BP883" s="2"/>
    </row>
    <row r="884" spans="1:68" x14ac:dyDescent="0.25">
      <c r="A884" s="62" t="s">
        <v>1072</v>
      </c>
      <c r="B884" s="63"/>
      <c r="C884" s="63"/>
      <c r="D884" s="64"/>
      <c r="E884" s="66"/>
      <c r="F884" s="102" t="str">
        <f>HYPERLINK("https://pbs.twimg.com/profile_images/1678092748967084035/xYC8_iOR_normal.jpg")</f>
        <v>https://pbs.twimg.com/profile_images/1678092748967084035/xYC8_iOR_normal.jpg</v>
      </c>
      <c r="G884" s="63"/>
      <c r="H884" s="67"/>
      <c r="I884" s="68"/>
      <c r="J884" s="68"/>
      <c r="K884" s="67" t="s">
        <v>25818</v>
      </c>
      <c r="L884" s="71"/>
      <c r="M884" s="72"/>
      <c r="N884" s="72"/>
      <c r="O884" s="73"/>
      <c r="P884" s="74"/>
      <c r="Q884" s="74"/>
      <c r="R884" s="86"/>
      <c r="S884" s="86"/>
      <c r="T884" s="86"/>
      <c r="U884" s="86"/>
      <c r="V884" s="48"/>
      <c r="W884" s="48"/>
      <c r="X884" s="48"/>
      <c r="Y884" s="48"/>
      <c r="Z884" s="47"/>
      <c r="AA884" s="69">
        <v>884</v>
      </c>
      <c r="AB884" s="69"/>
      <c r="AC884" s="70"/>
      <c r="AD884" s="76" t="s">
        <v>22675</v>
      </c>
      <c r="AE884" s="81" t="s">
        <v>21648</v>
      </c>
      <c r="AF884" s="76">
        <v>3</v>
      </c>
      <c r="AG884" s="76">
        <v>45</v>
      </c>
      <c r="AH884" s="76">
        <v>28</v>
      </c>
      <c r="AI884" s="76">
        <v>0</v>
      </c>
      <c r="AJ884" s="76">
        <v>3</v>
      </c>
      <c r="AK884" s="76">
        <v>14</v>
      </c>
      <c r="AL884" s="76" t="b">
        <v>0</v>
      </c>
      <c r="AM884" s="78">
        <v>45116.725115740737</v>
      </c>
      <c r="AN884" s="76"/>
      <c r="AO884" s="76" t="s">
        <v>24102</v>
      </c>
      <c r="AP884" s="83" t="str">
        <f>HYPERLINK("https://t.co/ttNcc71bAs")</f>
        <v>https://t.co/ttNcc71bAs</v>
      </c>
      <c r="AQ884" s="83" t="str">
        <f>HYPERLINK("https://linkfly.to/expertdigitamls")</f>
        <v>https://linkfly.to/expertdigitamls</v>
      </c>
      <c r="AR884" s="76" t="s">
        <v>24736</v>
      </c>
      <c r="AS884" s="76"/>
      <c r="AT884" s="76"/>
      <c r="AU884" s="76"/>
      <c r="AV884" s="76">
        <v>1.6788971202904499E+18</v>
      </c>
      <c r="AW884" s="83" t="str">
        <f>HYPERLINK("https://t.co/ttNcc71bAs")</f>
        <v>https://t.co/ttNcc71bAs</v>
      </c>
      <c r="AX884" s="76" t="b">
        <v>0</v>
      </c>
      <c r="AY884" s="76"/>
      <c r="AZ884" s="76"/>
      <c r="BA884" s="76" t="b">
        <v>0</v>
      </c>
      <c r="BB884" s="76" t="b">
        <v>1</v>
      </c>
      <c r="BC884" s="76" t="b">
        <v>1</v>
      </c>
      <c r="BD884" s="76" t="b">
        <v>0</v>
      </c>
      <c r="BE884" s="76" t="b">
        <v>0</v>
      </c>
      <c r="BF884" s="76" t="b">
        <v>0</v>
      </c>
      <c r="BG884" s="76" t="b">
        <v>0</v>
      </c>
      <c r="BH884" s="76"/>
      <c r="BI884" s="76"/>
      <c r="BJ884" s="76" t="s">
        <v>24935</v>
      </c>
      <c r="BK884" s="76" t="b">
        <v>0</v>
      </c>
      <c r="BL884" s="76"/>
      <c r="BM884" s="76" t="s">
        <v>66</v>
      </c>
      <c r="BN884" s="76" t="s">
        <v>24937</v>
      </c>
      <c r="BO884" s="83" t="str">
        <f>HYPERLINK("https://twitter.com/expertdigitalms")</f>
        <v>https://twitter.com/expertdigitalms</v>
      </c>
      <c r="BP884" s="2"/>
    </row>
    <row r="885" spans="1:68" x14ac:dyDescent="0.25">
      <c r="A885" s="62" t="s">
        <v>1073</v>
      </c>
      <c r="B885" s="63"/>
      <c r="C885" s="63"/>
      <c r="D885" s="64"/>
      <c r="E885" s="66"/>
      <c r="F885" s="102" t="str">
        <f>HYPERLINK("https://pbs.twimg.com/profile_images/1496451424997281796/pzgn7lxl_normal.jpg")</f>
        <v>https://pbs.twimg.com/profile_images/1496451424997281796/pzgn7lxl_normal.jpg</v>
      </c>
      <c r="G885" s="63"/>
      <c r="H885" s="67"/>
      <c r="I885" s="68"/>
      <c r="J885" s="68"/>
      <c r="K885" s="67" t="s">
        <v>25819</v>
      </c>
      <c r="L885" s="71"/>
      <c r="M885" s="72"/>
      <c r="N885" s="72"/>
      <c r="O885" s="73"/>
      <c r="P885" s="74"/>
      <c r="Q885" s="74"/>
      <c r="R885" s="86"/>
      <c r="S885" s="86"/>
      <c r="T885" s="86"/>
      <c r="U885" s="86"/>
      <c r="V885" s="48"/>
      <c r="W885" s="48"/>
      <c r="X885" s="48"/>
      <c r="Y885" s="48"/>
      <c r="Z885" s="47"/>
      <c r="AA885" s="69">
        <v>885</v>
      </c>
      <c r="AB885" s="69"/>
      <c r="AC885" s="70"/>
      <c r="AD885" s="76" t="s">
        <v>22676</v>
      </c>
      <c r="AE885" s="81" t="s">
        <v>23034</v>
      </c>
      <c r="AF885" s="76">
        <v>197</v>
      </c>
      <c r="AG885" s="76">
        <v>492</v>
      </c>
      <c r="AH885" s="76">
        <v>2117</v>
      </c>
      <c r="AI885" s="76">
        <v>0</v>
      </c>
      <c r="AJ885" s="76">
        <v>12238</v>
      </c>
      <c r="AK885" s="76">
        <v>124</v>
      </c>
      <c r="AL885" s="76" t="b">
        <v>0</v>
      </c>
      <c r="AM885" s="78">
        <v>40536.012314814812</v>
      </c>
      <c r="AN885" s="76" t="s">
        <v>23300</v>
      </c>
      <c r="AO885" s="76" t="s">
        <v>24103</v>
      </c>
      <c r="AP885" s="83" t="str">
        <f>HYPERLINK("https://t.co/H2WqW0ytA8")</f>
        <v>https://t.co/H2WqW0ytA8</v>
      </c>
      <c r="AQ885" s="83" t="str">
        <f>HYPERLINK("http://www.fabiooliveirafinancas.com.br")</f>
        <v>http://www.fabiooliveirafinancas.com.br</v>
      </c>
      <c r="AR885" s="76" t="s">
        <v>24737</v>
      </c>
      <c r="AS885" s="76"/>
      <c r="AT885" s="76"/>
      <c r="AU885" s="76"/>
      <c r="AV885" s="76"/>
      <c r="AW885" s="83" t="str">
        <f>HYPERLINK("https://t.co/H2WqW0ytA8")</f>
        <v>https://t.co/H2WqW0ytA8</v>
      </c>
      <c r="AX885" s="76" t="b">
        <v>0</v>
      </c>
      <c r="AY885" s="76"/>
      <c r="AZ885" s="76"/>
      <c r="BA885" s="76" t="b">
        <v>0</v>
      </c>
      <c r="BB885" s="76" t="b">
        <v>1</v>
      </c>
      <c r="BC885" s="76" t="b">
        <v>0</v>
      </c>
      <c r="BD885" s="76" t="b">
        <v>0</v>
      </c>
      <c r="BE885" s="76" t="b">
        <v>1</v>
      </c>
      <c r="BF885" s="76" t="b">
        <v>0</v>
      </c>
      <c r="BG885" s="76" t="b">
        <v>0</v>
      </c>
      <c r="BH885" s="83" t="str">
        <f>HYPERLINK("https://pbs.twimg.com/profile_banners/230005777/1654125293")</f>
        <v>https://pbs.twimg.com/profile_banners/230005777/1654125293</v>
      </c>
      <c r="BI885" s="76"/>
      <c r="BJ885" s="76" t="s">
        <v>24935</v>
      </c>
      <c r="BK885" s="76" t="b">
        <v>0</v>
      </c>
      <c r="BL885" s="76"/>
      <c r="BM885" s="76" t="s">
        <v>66</v>
      </c>
      <c r="BN885" s="76" t="s">
        <v>24937</v>
      </c>
      <c r="BO885" s="83" t="str">
        <f>HYPERLINK("https://twitter.com/fabiooliveira18")</f>
        <v>https://twitter.com/fabiooliveira18</v>
      </c>
      <c r="BP885" s="2"/>
    </row>
    <row r="886" spans="1:68" x14ac:dyDescent="0.25">
      <c r="A886" s="62" t="s">
        <v>1074</v>
      </c>
      <c r="B886" s="63"/>
      <c r="C886" s="63"/>
      <c r="D886" s="64"/>
      <c r="E886" s="66"/>
      <c r="F886" s="102" t="str">
        <f>HYPERLINK("https://pbs.twimg.com/profile_images/1569468309736677376/h9RmNTVE_normal.jpg")</f>
        <v>https://pbs.twimg.com/profile_images/1569468309736677376/h9RmNTVE_normal.jpg</v>
      </c>
      <c r="G886" s="63"/>
      <c r="H886" s="67"/>
      <c r="I886" s="68"/>
      <c r="J886" s="68"/>
      <c r="K886" s="67" t="s">
        <v>25820</v>
      </c>
      <c r="L886" s="71"/>
      <c r="M886" s="72"/>
      <c r="N886" s="72"/>
      <c r="O886" s="73"/>
      <c r="P886" s="74"/>
      <c r="Q886" s="74"/>
      <c r="R886" s="86"/>
      <c r="S886" s="86"/>
      <c r="T886" s="86"/>
      <c r="U886" s="86"/>
      <c r="V886" s="48"/>
      <c r="W886" s="48"/>
      <c r="X886" s="48"/>
      <c r="Y886" s="48"/>
      <c r="Z886" s="47"/>
      <c r="AA886" s="69">
        <v>886</v>
      </c>
      <c r="AB886" s="69"/>
      <c r="AC886" s="70"/>
      <c r="AD886" s="76" t="s">
        <v>22677</v>
      </c>
      <c r="AE886" s="81" t="s">
        <v>21649</v>
      </c>
      <c r="AF886" s="76">
        <v>16</v>
      </c>
      <c r="AG886" s="76">
        <v>28</v>
      </c>
      <c r="AH886" s="76">
        <v>3161</v>
      </c>
      <c r="AI886" s="76">
        <v>0</v>
      </c>
      <c r="AJ886" s="76">
        <v>3859</v>
      </c>
      <c r="AK886" s="76">
        <v>237</v>
      </c>
      <c r="AL886" s="76" t="b">
        <v>0</v>
      </c>
      <c r="AM886" s="78">
        <v>44300.041481481479</v>
      </c>
      <c r="AN886" s="76" t="s">
        <v>23301</v>
      </c>
      <c r="AO886" s="76"/>
      <c r="AP886" s="76"/>
      <c r="AQ886" s="76"/>
      <c r="AR886" s="76"/>
      <c r="AS886" s="76"/>
      <c r="AT886" s="76"/>
      <c r="AU886" s="76"/>
      <c r="AV886" s="76"/>
      <c r="AW886" s="76"/>
      <c r="AX886" s="76" t="b">
        <v>0</v>
      </c>
      <c r="AY886" s="76"/>
      <c r="AZ886" s="76"/>
      <c r="BA886" s="76" t="b">
        <v>1</v>
      </c>
      <c r="BB886" s="76" t="b">
        <v>1</v>
      </c>
      <c r="BC886" s="76" t="b">
        <v>1</v>
      </c>
      <c r="BD886" s="76" t="b">
        <v>0</v>
      </c>
      <c r="BE886" s="76" t="b">
        <v>0</v>
      </c>
      <c r="BF886" s="76" t="b">
        <v>0</v>
      </c>
      <c r="BG886" s="76" t="b">
        <v>0</v>
      </c>
      <c r="BH886" s="83" t="str">
        <f>HYPERLINK("https://pbs.twimg.com/profile_banners/1382136386720034826/1618512848")</f>
        <v>https://pbs.twimg.com/profile_banners/1382136386720034826/1618512848</v>
      </c>
      <c r="BI886" s="76"/>
      <c r="BJ886" s="76" t="s">
        <v>24935</v>
      </c>
      <c r="BK886" s="76" t="b">
        <v>0</v>
      </c>
      <c r="BL886" s="76"/>
      <c r="BM886" s="76" t="s">
        <v>66</v>
      </c>
      <c r="BN886" s="76" t="s">
        <v>24937</v>
      </c>
      <c r="BO886" s="83" t="str">
        <f>HYPERLINK("https://twitter.com/aline_ta_on")</f>
        <v>https://twitter.com/aline_ta_on</v>
      </c>
      <c r="BP886" s="2"/>
    </row>
    <row r="887" spans="1:68" x14ac:dyDescent="0.25">
      <c r="A887" s="62" t="s">
        <v>1075</v>
      </c>
      <c r="B887" s="63"/>
      <c r="C887" s="63"/>
      <c r="D887" s="64"/>
      <c r="E887" s="66"/>
      <c r="F887" s="102" t="str">
        <f>HYPERLINK("https://pbs.twimg.com/profile_images/1705936200060538880/Hua1DL6Y_normal.jpg")</f>
        <v>https://pbs.twimg.com/profile_images/1705936200060538880/Hua1DL6Y_normal.jpg</v>
      </c>
      <c r="G887" s="63"/>
      <c r="H887" s="67"/>
      <c r="I887" s="68"/>
      <c r="J887" s="68"/>
      <c r="K887" s="67" t="s">
        <v>25821</v>
      </c>
      <c r="L887" s="71"/>
      <c r="M887" s="72"/>
      <c r="N887" s="72"/>
      <c r="O887" s="73"/>
      <c r="P887" s="74"/>
      <c r="Q887" s="74"/>
      <c r="R887" s="86"/>
      <c r="S887" s="86"/>
      <c r="T887" s="86"/>
      <c r="U887" s="86"/>
      <c r="V887" s="48"/>
      <c r="W887" s="48"/>
      <c r="X887" s="48"/>
      <c r="Y887" s="48"/>
      <c r="Z887" s="47"/>
      <c r="AA887" s="69">
        <v>887</v>
      </c>
      <c r="AB887" s="69"/>
      <c r="AC887" s="70"/>
      <c r="AD887" s="76" t="s">
        <v>22678</v>
      </c>
      <c r="AE887" s="81" t="s">
        <v>21650</v>
      </c>
      <c r="AF887" s="76">
        <v>1</v>
      </c>
      <c r="AG887" s="76">
        <v>12</v>
      </c>
      <c r="AH887" s="76">
        <v>4</v>
      </c>
      <c r="AI887" s="76">
        <v>0</v>
      </c>
      <c r="AJ887" s="76">
        <v>3</v>
      </c>
      <c r="AK887" s="76">
        <v>3</v>
      </c>
      <c r="AL887" s="76" t="b">
        <v>0</v>
      </c>
      <c r="AM887" s="78">
        <v>44591.919594907406</v>
      </c>
      <c r="AN887" s="76"/>
      <c r="AO887" s="76" t="s">
        <v>24104</v>
      </c>
      <c r="AP887" s="76"/>
      <c r="AQ887" s="76"/>
      <c r="AR887" s="76"/>
      <c r="AS887" s="76"/>
      <c r="AT887" s="76"/>
      <c r="AU887" s="76"/>
      <c r="AV887" s="76"/>
      <c r="AW887" s="76"/>
      <c r="AX887" s="76" t="b">
        <v>0</v>
      </c>
      <c r="AY887" s="76"/>
      <c r="AZ887" s="76"/>
      <c r="BA887" s="76" t="b">
        <v>0</v>
      </c>
      <c r="BB887" s="76" t="b">
        <v>1</v>
      </c>
      <c r="BC887" s="76" t="b">
        <v>1</v>
      </c>
      <c r="BD887" s="76" t="b">
        <v>0</v>
      </c>
      <c r="BE887" s="76" t="b">
        <v>1</v>
      </c>
      <c r="BF887" s="76" t="b">
        <v>0</v>
      </c>
      <c r="BG887" s="76" t="b">
        <v>0</v>
      </c>
      <c r="BH887" s="76"/>
      <c r="BI887" s="76"/>
      <c r="BJ887" s="76" t="s">
        <v>24935</v>
      </c>
      <c r="BK887" s="76" t="b">
        <v>0</v>
      </c>
      <c r="BL887" s="76"/>
      <c r="BM887" s="76" t="s">
        <v>66</v>
      </c>
      <c r="BN887" s="76" t="s">
        <v>24937</v>
      </c>
      <c r="BO887" s="83" t="str">
        <f>HYPERLINK("https://twitter.com/viniciusgpro")</f>
        <v>https://twitter.com/viniciusgpro</v>
      </c>
      <c r="BP887" s="2"/>
    </row>
    <row r="888" spans="1:68" x14ac:dyDescent="0.25">
      <c r="A888" s="62" t="s">
        <v>1076</v>
      </c>
      <c r="B888" s="63"/>
      <c r="C888" s="63"/>
      <c r="D888" s="64"/>
      <c r="E888" s="66"/>
      <c r="F888" s="102" t="str">
        <f>HYPERLINK("https://pbs.twimg.com/profile_images/1671289019525656577/FGH0CnRu_normal.jpg")</f>
        <v>https://pbs.twimg.com/profile_images/1671289019525656577/FGH0CnRu_normal.jpg</v>
      </c>
      <c r="G888" s="63"/>
      <c r="H888" s="67"/>
      <c r="I888" s="68"/>
      <c r="J888" s="68"/>
      <c r="K888" s="67" t="s">
        <v>25822</v>
      </c>
      <c r="L888" s="71"/>
      <c r="M888" s="72"/>
      <c r="N888" s="72"/>
      <c r="O888" s="73"/>
      <c r="P888" s="74"/>
      <c r="Q888" s="74"/>
      <c r="R888" s="86"/>
      <c r="S888" s="86"/>
      <c r="T888" s="86"/>
      <c r="U888" s="86"/>
      <c r="V888" s="48"/>
      <c r="W888" s="48"/>
      <c r="X888" s="48"/>
      <c r="Y888" s="48"/>
      <c r="Z888" s="47"/>
      <c r="AA888" s="69">
        <v>888</v>
      </c>
      <c r="AB888" s="69"/>
      <c r="AC888" s="70"/>
      <c r="AD888" s="76" t="s">
        <v>22679</v>
      </c>
      <c r="AE888" s="81" t="s">
        <v>21651</v>
      </c>
      <c r="AF888" s="76">
        <v>110</v>
      </c>
      <c r="AG888" s="76">
        <v>6</v>
      </c>
      <c r="AH888" s="76">
        <v>1718</v>
      </c>
      <c r="AI888" s="76">
        <v>0</v>
      </c>
      <c r="AJ888" s="76">
        <v>46</v>
      </c>
      <c r="AK888" s="76">
        <v>1073</v>
      </c>
      <c r="AL888" s="76" t="b">
        <v>0</v>
      </c>
      <c r="AM888" s="78">
        <v>43730.57916666667</v>
      </c>
      <c r="AN888" s="76"/>
      <c r="AO888" s="76" t="s">
        <v>24105</v>
      </c>
      <c r="AP888" s="83" t="str">
        <f>HYPERLINK("https://t.co/dZyBFP06mn")</f>
        <v>https://t.co/dZyBFP06mn</v>
      </c>
      <c r="AQ888" s="83" t="str">
        <f>HYPERLINK("https://linktr.ee/jonpadilha")</f>
        <v>https://linktr.ee/jonpadilha</v>
      </c>
      <c r="AR888" s="76" t="s">
        <v>24738</v>
      </c>
      <c r="AS888" s="76"/>
      <c r="AT888" s="76"/>
      <c r="AU888" s="76"/>
      <c r="AV888" s="76">
        <v>1.68134288372975E+18</v>
      </c>
      <c r="AW888" s="83" t="str">
        <f>HYPERLINK("https://t.co/dZyBFP06mn")</f>
        <v>https://t.co/dZyBFP06mn</v>
      </c>
      <c r="AX888" s="76" t="b">
        <v>0</v>
      </c>
      <c r="AY888" s="76"/>
      <c r="AZ888" s="76"/>
      <c r="BA888" s="76" t="b">
        <v>0</v>
      </c>
      <c r="BB888" s="76" t="b">
        <v>1</v>
      </c>
      <c r="BC888" s="76" t="b">
        <v>1</v>
      </c>
      <c r="BD888" s="76" t="b">
        <v>0</v>
      </c>
      <c r="BE888" s="76" t="b">
        <v>0</v>
      </c>
      <c r="BF888" s="76" t="b">
        <v>0</v>
      </c>
      <c r="BG888" s="76" t="b">
        <v>0</v>
      </c>
      <c r="BH888" s="76"/>
      <c r="BI888" s="76"/>
      <c r="BJ888" s="76" t="s">
        <v>24935</v>
      </c>
      <c r="BK888" s="76" t="b">
        <v>0</v>
      </c>
      <c r="BL888" s="76"/>
      <c r="BM888" s="76" t="s">
        <v>66</v>
      </c>
      <c r="BN888" s="76" t="s">
        <v>24937</v>
      </c>
      <c r="BO888" s="83" t="str">
        <f>HYPERLINK("https://twitter.com/jonpadilha")</f>
        <v>https://twitter.com/jonpadilha</v>
      </c>
      <c r="BP888" s="2"/>
    </row>
    <row r="889" spans="1:68" x14ac:dyDescent="0.25">
      <c r="A889" s="62" t="s">
        <v>1077</v>
      </c>
      <c r="B889" s="63"/>
      <c r="C889" s="63"/>
      <c r="D889" s="64"/>
      <c r="E889" s="66"/>
      <c r="F889" s="102" t="str">
        <f>HYPERLINK("https://pbs.twimg.com/profile_images/1660305393917083654/_j66x1rN_normal.png")</f>
        <v>https://pbs.twimg.com/profile_images/1660305393917083654/_j66x1rN_normal.png</v>
      </c>
      <c r="G889" s="63"/>
      <c r="H889" s="67"/>
      <c r="I889" s="68"/>
      <c r="J889" s="68"/>
      <c r="K889" s="67" t="s">
        <v>25823</v>
      </c>
      <c r="L889" s="71"/>
      <c r="M889" s="72"/>
      <c r="N889" s="72"/>
      <c r="O889" s="73"/>
      <c r="P889" s="74"/>
      <c r="Q889" s="74"/>
      <c r="R889" s="86"/>
      <c r="S889" s="86"/>
      <c r="T889" s="86"/>
      <c r="U889" s="86"/>
      <c r="V889" s="48"/>
      <c r="W889" s="48"/>
      <c r="X889" s="48"/>
      <c r="Y889" s="48"/>
      <c r="Z889" s="47"/>
      <c r="AA889" s="69">
        <v>889</v>
      </c>
      <c r="AB889" s="69"/>
      <c r="AC889" s="70"/>
      <c r="AD889" s="76" t="s">
        <v>22680</v>
      </c>
      <c r="AE889" s="81" t="s">
        <v>21652</v>
      </c>
      <c r="AF889" s="76">
        <v>7</v>
      </c>
      <c r="AG889" s="76">
        <v>7</v>
      </c>
      <c r="AH889" s="76">
        <v>18</v>
      </c>
      <c r="AI889" s="76">
        <v>0</v>
      </c>
      <c r="AJ889" s="76">
        <v>9</v>
      </c>
      <c r="AK889" s="76">
        <v>1</v>
      </c>
      <c r="AL889" s="76" t="b">
        <v>0</v>
      </c>
      <c r="AM889" s="78">
        <v>45067.641516203701</v>
      </c>
      <c r="AN889" s="76"/>
      <c r="AO889" s="76" t="s">
        <v>24106</v>
      </c>
      <c r="AP889" s="83" t="str">
        <f>HYPERLINK("https://t.co/pUWabxH9ym")</f>
        <v>https://t.co/pUWabxH9ym</v>
      </c>
      <c r="AQ889" s="83" t="str">
        <f>HYPERLINK("https://hotm.art/Zk02iJv")</f>
        <v>https://hotm.art/Zk02iJv</v>
      </c>
      <c r="AR889" s="76" t="s">
        <v>24739</v>
      </c>
      <c r="AS889" s="76"/>
      <c r="AT889" s="76"/>
      <c r="AU889" s="76"/>
      <c r="AV889" s="76"/>
      <c r="AW889" s="83" t="str">
        <f>HYPERLINK("https://t.co/pUWabxH9ym")</f>
        <v>https://t.co/pUWabxH9ym</v>
      </c>
      <c r="AX889" s="76" t="b">
        <v>0</v>
      </c>
      <c r="AY889" s="76"/>
      <c r="AZ889" s="76"/>
      <c r="BA889" s="76" t="b">
        <v>0</v>
      </c>
      <c r="BB889" s="76" t="b">
        <v>1</v>
      </c>
      <c r="BC889" s="76" t="b">
        <v>1</v>
      </c>
      <c r="BD889" s="76" t="b">
        <v>0</v>
      </c>
      <c r="BE889" s="76" t="b">
        <v>0</v>
      </c>
      <c r="BF889" s="76" t="b">
        <v>0</v>
      </c>
      <c r="BG889" s="76" t="b">
        <v>0</v>
      </c>
      <c r="BH889" s="76"/>
      <c r="BI889" s="76"/>
      <c r="BJ889" s="76" t="s">
        <v>24935</v>
      </c>
      <c r="BK889" s="76" t="b">
        <v>0</v>
      </c>
      <c r="BL889" s="76"/>
      <c r="BM889" s="76" t="s">
        <v>66</v>
      </c>
      <c r="BN889" s="76" t="s">
        <v>24937</v>
      </c>
      <c r="BO889" s="83" t="str">
        <f>HYPERLINK("https://twitter.com/mi32395")</f>
        <v>https://twitter.com/mi32395</v>
      </c>
      <c r="BP889" s="2"/>
    </row>
    <row r="890" spans="1:68" x14ac:dyDescent="0.25">
      <c r="A890" s="62" t="s">
        <v>1078</v>
      </c>
      <c r="B890" s="63"/>
      <c r="C890" s="63"/>
      <c r="D890" s="64"/>
      <c r="E890" s="66"/>
      <c r="F890" s="102" t="str">
        <f>HYPERLINK("https://pbs.twimg.com/profile_images/1625906759800958999/5ZaeEwkB_normal.jpg")</f>
        <v>https://pbs.twimg.com/profile_images/1625906759800958999/5ZaeEwkB_normal.jpg</v>
      </c>
      <c r="G890" s="63"/>
      <c r="H890" s="67"/>
      <c r="I890" s="68"/>
      <c r="J890" s="68"/>
      <c r="K890" s="67" t="s">
        <v>25824</v>
      </c>
      <c r="L890" s="71"/>
      <c r="M890" s="72"/>
      <c r="N890" s="72"/>
      <c r="O890" s="73"/>
      <c r="P890" s="74"/>
      <c r="Q890" s="74"/>
      <c r="R890" s="86"/>
      <c r="S890" s="86"/>
      <c r="T890" s="86"/>
      <c r="U890" s="86"/>
      <c r="V890" s="48"/>
      <c r="W890" s="48"/>
      <c r="X890" s="48"/>
      <c r="Y890" s="48"/>
      <c r="Z890" s="47"/>
      <c r="AA890" s="69">
        <v>890</v>
      </c>
      <c r="AB890" s="69"/>
      <c r="AC890" s="70"/>
      <c r="AD890" s="76" t="s">
        <v>22681</v>
      </c>
      <c r="AE890" s="81" t="s">
        <v>21653</v>
      </c>
      <c r="AF890" s="76">
        <v>9</v>
      </c>
      <c r="AG890" s="76">
        <v>61</v>
      </c>
      <c r="AH890" s="76">
        <v>28</v>
      </c>
      <c r="AI890" s="76">
        <v>0</v>
      </c>
      <c r="AJ890" s="76">
        <v>7</v>
      </c>
      <c r="AK890" s="76">
        <v>12</v>
      </c>
      <c r="AL890" s="76" t="b">
        <v>0</v>
      </c>
      <c r="AM890" s="78">
        <v>44112.996527777781</v>
      </c>
      <c r="AN890" s="76"/>
      <c r="AO890" s="76" t="s">
        <v>24107</v>
      </c>
      <c r="AP890" s="83" t="str">
        <f>HYPERLINK("https://t.co/jL5iEEOtPw")</f>
        <v>https://t.co/jL5iEEOtPw</v>
      </c>
      <c r="AQ890" s="83" t="str">
        <f>HYPERLINK("https://www.grupoalpha7.tk/")</f>
        <v>https://www.grupoalpha7.tk/</v>
      </c>
      <c r="AR890" s="76" t="s">
        <v>24740</v>
      </c>
      <c r="AS890" s="76"/>
      <c r="AT890" s="76"/>
      <c r="AU890" s="76"/>
      <c r="AV890" s="76"/>
      <c r="AW890" s="83" t="str">
        <f>HYPERLINK("https://t.co/jL5iEEOtPw")</f>
        <v>https://t.co/jL5iEEOtPw</v>
      </c>
      <c r="AX890" s="76" t="b">
        <v>0</v>
      </c>
      <c r="AY890" s="76"/>
      <c r="AZ890" s="76"/>
      <c r="BA890" s="76" t="b">
        <v>0</v>
      </c>
      <c r="BB890" s="76" t="b">
        <v>1</v>
      </c>
      <c r="BC890" s="76" t="b">
        <v>1</v>
      </c>
      <c r="BD890" s="76" t="b">
        <v>0</v>
      </c>
      <c r="BE890" s="76" t="b">
        <v>0</v>
      </c>
      <c r="BF890" s="76" t="b">
        <v>0</v>
      </c>
      <c r="BG890" s="76" t="b">
        <v>0</v>
      </c>
      <c r="BH890" s="83" t="str">
        <f>HYPERLINK("https://pbs.twimg.com/profile_banners/1314353538349363206/1676481357")</f>
        <v>https://pbs.twimg.com/profile_banners/1314353538349363206/1676481357</v>
      </c>
      <c r="BI890" s="76"/>
      <c r="BJ890" s="76" t="s">
        <v>24935</v>
      </c>
      <c r="BK890" s="76" t="b">
        <v>0</v>
      </c>
      <c r="BL890" s="76"/>
      <c r="BM890" s="76" t="s">
        <v>66</v>
      </c>
      <c r="BN890" s="76" t="s">
        <v>24937</v>
      </c>
      <c r="BO890" s="83" t="str">
        <f>HYPERLINK("https://twitter.com/pfeufferalpha7")</f>
        <v>https://twitter.com/pfeufferalpha7</v>
      </c>
      <c r="BP890" s="2"/>
    </row>
    <row r="891" spans="1:68" x14ac:dyDescent="0.25">
      <c r="A891" s="62" t="s">
        <v>1080</v>
      </c>
      <c r="B891" s="63"/>
      <c r="C891" s="63"/>
      <c r="D891" s="64"/>
      <c r="E891" s="66"/>
      <c r="F891" s="102" t="str">
        <f>HYPERLINK("https://pbs.twimg.com/profile_images/1610842481490280449/P30fzdOf_normal.jpg")</f>
        <v>https://pbs.twimg.com/profile_images/1610842481490280449/P30fzdOf_normal.jpg</v>
      </c>
      <c r="G891" s="63"/>
      <c r="H891" s="67"/>
      <c r="I891" s="68"/>
      <c r="J891" s="68"/>
      <c r="K891" s="67" t="s">
        <v>25825</v>
      </c>
      <c r="L891" s="71"/>
      <c r="M891" s="72"/>
      <c r="N891" s="72"/>
      <c r="O891" s="73"/>
      <c r="P891" s="74"/>
      <c r="Q891" s="74"/>
      <c r="R891" s="86"/>
      <c r="S891" s="86"/>
      <c r="T891" s="86"/>
      <c r="U891" s="86"/>
      <c r="V891" s="48"/>
      <c r="W891" s="48"/>
      <c r="X891" s="48"/>
      <c r="Y891" s="48"/>
      <c r="Z891" s="47"/>
      <c r="AA891" s="69">
        <v>891</v>
      </c>
      <c r="AB891" s="69"/>
      <c r="AC891" s="70"/>
      <c r="AD891" s="76" t="s">
        <v>22682</v>
      </c>
      <c r="AE891" s="81" t="s">
        <v>21654</v>
      </c>
      <c r="AF891" s="76">
        <v>356</v>
      </c>
      <c r="AG891" s="76">
        <v>1263</v>
      </c>
      <c r="AH891" s="76">
        <v>5674</v>
      </c>
      <c r="AI891" s="76">
        <v>0</v>
      </c>
      <c r="AJ891" s="76">
        <v>12705</v>
      </c>
      <c r="AK891" s="76">
        <v>544</v>
      </c>
      <c r="AL891" s="76" t="b">
        <v>0</v>
      </c>
      <c r="AM891" s="78">
        <v>42663.711099537039</v>
      </c>
      <c r="AN891" s="76" t="s">
        <v>14048</v>
      </c>
      <c r="AO891" s="76" t="s">
        <v>24108</v>
      </c>
      <c r="AP891" s="83" t="str">
        <f>HYPERLINK("https://t.co/qzLPYop4bR")</f>
        <v>https://t.co/qzLPYop4bR</v>
      </c>
      <c r="AQ891" s="83" t="str">
        <f>HYPERLINK("https://www.instagram.com/bistecozord/?hl=pt-br")</f>
        <v>https://www.instagram.com/bistecozord/?hl=pt-br</v>
      </c>
      <c r="AR891" s="76" t="s">
        <v>24741</v>
      </c>
      <c r="AS891" s="76"/>
      <c r="AT891" s="76"/>
      <c r="AU891" s="76"/>
      <c r="AV891" s="76">
        <v>1.46028720544063E+18</v>
      </c>
      <c r="AW891" s="83" t="str">
        <f>HYPERLINK("https://t.co/qzLPYop4bR")</f>
        <v>https://t.co/qzLPYop4bR</v>
      </c>
      <c r="AX891" s="76" t="b">
        <v>0</v>
      </c>
      <c r="AY891" s="76"/>
      <c r="AZ891" s="76"/>
      <c r="BA891" s="76" t="b">
        <v>0</v>
      </c>
      <c r="BB891" s="76" t="b">
        <v>1</v>
      </c>
      <c r="BC891" s="76" t="b">
        <v>1</v>
      </c>
      <c r="BD891" s="76" t="b">
        <v>0</v>
      </c>
      <c r="BE891" s="76" t="b">
        <v>0</v>
      </c>
      <c r="BF891" s="76" t="b">
        <v>0</v>
      </c>
      <c r="BG891" s="76" t="b">
        <v>0</v>
      </c>
      <c r="BH891" s="83" t="str">
        <f>HYPERLINK("https://pbs.twimg.com/profile_banners/789150181522571264/1680838377")</f>
        <v>https://pbs.twimg.com/profile_banners/789150181522571264/1680838377</v>
      </c>
      <c r="BI891" s="76"/>
      <c r="BJ891" s="76" t="s">
        <v>24935</v>
      </c>
      <c r="BK891" s="76" t="b">
        <v>0</v>
      </c>
      <c r="BL891" s="76"/>
      <c r="BM891" s="76" t="s">
        <v>66</v>
      </c>
      <c r="BN891" s="76" t="s">
        <v>24937</v>
      </c>
      <c r="BO891" s="83" t="str">
        <f>HYPERLINK("https://twitter.com/brun0__0")</f>
        <v>https://twitter.com/brun0__0</v>
      </c>
      <c r="BP891" s="2"/>
    </row>
    <row r="892" spans="1:68" x14ac:dyDescent="0.25">
      <c r="A892" s="62" t="s">
        <v>1271</v>
      </c>
      <c r="B892" s="63"/>
      <c r="C892" s="63"/>
      <c r="D892" s="64"/>
      <c r="E892" s="66"/>
      <c r="F892" s="102" t="str">
        <f>HYPERLINK("https://pbs.twimg.com/profile_images/1593708854453346304/OOxeaUe9_normal.jpg")</f>
        <v>https://pbs.twimg.com/profile_images/1593708854453346304/OOxeaUe9_normal.jpg</v>
      </c>
      <c r="G892" s="63"/>
      <c r="H892" s="67"/>
      <c r="I892" s="68"/>
      <c r="J892" s="68"/>
      <c r="K892" s="67" t="s">
        <v>25826</v>
      </c>
      <c r="L892" s="71"/>
      <c r="M892" s="72"/>
      <c r="N892" s="72"/>
      <c r="O892" s="73"/>
      <c r="P892" s="74"/>
      <c r="Q892" s="74"/>
      <c r="R892" s="86"/>
      <c r="S892" s="86"/>
      <c r="T892" s="86"/>
      <c r="U892" s="86"/>
      <c r="V892" s="48"/>
      <c r="W892" s="48"/>
      <c r="X892" s="48"/>
      <c r="Y892" s="48"/>
      <c r="Z892" s="47"/>
      <c r="AA892" s="69">
        <v>892</v>
      </c>
      <c r="AB892" s="69"/>
      <c r="AC892" s="70"/>
      <c r="AD892" s="76" t="s">
        <v>22683</v>
      </c>
      <c r="AE892" s="81" t="s">
        <v>20963</v>
      </c>
      <c r="AF892" s="76">
        <v>487313</v>
      </c>
      <c r="AG892" s="76">
        <v>1462</v>
      </c>
      <c r="AH892" s="76">
        <v>92404</v>
      </c>
      <c r="AI892" s="76">
        <v>558</v>
      </c>
      <c r="AJ892" s="76">
        <v>21776</v>
      </c>
      <c r="AK892" s="76">
        <v>18452</v>
      </c>
      <c r="AL892" s="76" t="b">
        <v>0</v>
      </c>
      <c r="AM892" s="78">
        <v>42282.957268518519</v>
      </c>
      <c r="AN892" s="76" t="s">
        <v>14033</v>
      </c>
      <c r="AO892" s="76" t="s">
        <v>24109</v>
      </c>
      <c r="AP892" s="83" t="str">
        <f>HYPERLINK("https://t.co/1KN62Wdkai")</f>
        <v>https://t.co/1KN62Wdkai</v>
      </c>
      <c r="AQ892" s="83" t="str">
        <f>HYPERLINK("https://linktr.ee/legadaodamassa")</f>
        <v>https://linktr.ee/legadaodamassa</v>
      </c>
      <c r="AR892" s="76" t="s">
        <v>24742</v>
      </c>
      <c r="AS892" s="76"/>
      <c r="AT892" s="76"/>
      <c r="AU892" s="76"/>
      <c r="AV892" s="76"/>
      <c r="AW892" s="83" t="str">
        <f>HYPERLINK("https://t.co/1KN62Wdkai")</f>
        <v>https://t.co/1KN62Wdkai</v>
      </c>
      <c r="AX892" s="76" t="b">
        <v>0</v>
      </c>
      <c r="AY892" s="76"/>
      <c r="AZ892" s="76"/>
      <c r="BA892" s="76" t="b">
        <v>1</v>
      </c>
      <c r="BB892" s="76" t="b">
        <v>0</v>
      </c>
      <c r="BC892" s="76" t="b">
        <v>1</v>
      </c>
      <c r="BD892" s="76" t="b">
        <v>0</v>
      </c>
      <c r="BE892" s="76" t="b">
        <v>1</v>
      </c>
      <c r="BF892" s="76" t="b">
        <v>0</v>
      </c>
      <c r="BG892" s="76" t="b">
        <v>0</v>
      </c>
      <c r="BH892" s="83" t="str">
        <f>HYPERLINK("https://pbs.twimg.com/profile_banners/3875236456/1684946744")</f>
        <v>https://pbs.twimg.com/profile_banners/3875236456/1684946744</v>
      </c>
      <c r="BI892" s="76"/>
      <c r="BJ892" s="76" t="s">
        <v>24935</v>
      </c>
      <c r="BK892" s="76" t="b">
        <v>0</v>
      </c>
      <c r="BL892" s="76"/>
      <c r="BM892" s="76" t="s">
        <v>65</v>
      </c>
      <c r="BN892" s="76" t="s">
        <v>24937</v>
      </c>
      <c r="BO892" s="83" t="str">
        <f>HYPERLINK("https://twitter.com/legadaodamassa")</f>
        <v>https://twitter.com/legadaodamassa</v>
      </c>
      <c r="BP892" s="2"/>
    </row>
    <row r="893" spans="1:68" x14ac:dyDescent="0.25">
      <c r="A893" s="62" t="s">
        <v>1081</v>
      </c>
      <c r="B893" s="63"/>
      <c r="C893" s="63"/>
      <c r="D893" s="64"/>
      <c r="E893" s="66"/>
      <c r="F893" s="102" t="str">
        <f>HYPERLINK("https://pbs.twimg.com/profile_images/1576867942536544256/mH6Xz2q7_normal.jpg")</f>
        <v>https://pbs.twimg.com/profile_images/1576867942536544256/mH6Xz2q7_normal.jpg</v>
      </c>
      <c r="G893" s="63"/>
      <c r="H893" s="67"/>
      <c r="I893" s="68"/>
      <c r="J893" s="68"/>
      <c r="K893" s="67" t="s">
        <v>25827</v>
      </c>
      <c r="L893" s="71"/>
      <c r="M893" s="72"/>
      <c r="N893" s="72"/>
      <c r="O893" s="73"/>
      <c r="P893" s="74"/>
      <c r="Q893" s="74"/>
      <c r="R893" s="86"/>
      <c r="S893" s="86"/>
      <c r="T893" s="86"/>
      <c r="U893" s="86"/>
      <c r="V893" s="48"/>
      <c r="W893" s="48"/>
      <c r="X893" s="48"/>
      <c r="Y893" s="48"/>
      <c r="Z893" s="47"/>
      <c r="AA893" s="69">
        <v>893</v>
      </c>
      <c r="AB893" s="69"/>
      <c r="AC893" s="70"/>
      <c r="AD893" s="76" t="s">
        <v>22684</v>
      </c>
      <c r="AE893" s="81" t="s">
        <v>21655</v>
      </c>
      <c r="AF893" s="76">
        <v>1722</v>
      </c>
      <c r="AG893" s="76">
        <v>2683</v>
      </c>
      <c r="AH893" s="76">
        <v>579</v>
      </c>
      <c r="AI893" s="76">
        <v>0</v>
      </c>
      <c r="AJ893" s="76">
        <v>204</v>
      </c>
      <c r="AK893" s="76">
        <v>4</v>
      </c>
      <c r="AL893" s="76" t="b">
        <v>0</v>
      </c>
      <c r="AM893" s="78">
        <v>43987.772118055553</v>
      </c>
      <c r="AN893" s="76" t="s">
        <v>23302</v>
      </c>
      <c r="AO893" s="76" t="s">
        <v>24110</v>
      </c>
      <c r="AP893" s="76"/>
      <c r="AQ893" s="76"/>
      <c r="AR893" s="76"/>
      <c r="AS893" s="76" t="s">
        <v>24837</v>
      </c>
      <c r="AT893" s="76" t="s">
        <v>24848</v>
      </c>
      <c r="AU893" s="76" t="s">
        <v>24919</v>
      </c>
      <c r="AV893" s="76">
        <v>1.5515386494178801E+18</v>
      </c>
      <c r="AW893" s="76"/>
      <c r="AX893" s="76" t="b">
        <v>0</v>
      </c>
      <c r="AY893" s="76"/>
      <c r="AZ893" s="76"/>
      <c r="BA893" s="76" t="b">
        <v>1</v>
      </c>
      <c r="BB893" s="76" t="b">
        <v>0</v>
      </c>
      <c r="BC893" s="76" t="b">
        <v>1</v>
      </c>
      <c r="BD893" s="76" t="b">
        <v>0</v>
      </c>
      <c r="BE893" s="76" t="b">
        <v>1</v>
      </c>
      <c r="BF893" s="76" t="b">
        <v>0</v>
      </c>
      <c r="BG893" s="76" t="b">
        <v>1</v>
      </c>
      <c r="BH893" s="83" t="str">
        <f>HYPERLINK("https://pbs.twimg.com/profile_banners/1268973775095238668/1661614908")</f>
        <v>https://pbs.twimg.com/profile_banners/1268973775095238668/1661614908</v>
      </c>
      <c r="BI893" s="76"/>
      <c r="BJ893" s="76" t="s">
        <v>24935</v>
      </c>
      <c r="BK893" s="76" t="b">
        <v>0</v>
      </c>
      <c r="BL893" s="76"/>
      <c r="BM893" s="76" t="s">
        <v>66</v>
      </c>
      <c r="BN893" s="76" t="s">
        <v>24937</v>
      </c>
      <c r="BO893" s="83" t="str">
        <f>HYPERLINK("https://twitter.com/amorim_divino")</f>
        <v>https://twitter.com/amorim_divino</v>
      </c>
      <c r="BP893" s="2"/>
    </row>
    <row r="894" spans="1:68" x14ac:dyDescent="0.25">
      <c r="A894" s="62" t="s">
        <v>1082</v>
      </c>
      <c r="B894" s="63"/>
      <c r="C894" s="63"/>
      <c r="D894" s="64"/>
      <c r="E894" s="66"/>
      <c r="F894" s="102" t="str">
        <f>HYPERLINK("https://abs.twimg.com/sticky/default_profile_images/default_profile_normal.png")</f>
        <v>https://abs.twimg.com/sticky/default_profile_images/default_profile_normal.png</v>
      </c>
      <c r="G894" s="63"/>
      <c r="H894" s="67"/>
      <c r="I894" s="68"/>
      <c r="J894" s="68"/>
      <c r="K894" s="67" t="s">
        <v>25828</v>
      </c>
      <c r="L894" s="71"/>
      <c r="M894" s="72"/>
      <c r="N894" s="72"/>
      <c r="O894" s="73"/>
      <c r="P894" s="74"/>
      <c r="Q894" s="74"/>
      <c r="R894" s="86"/>
      <c r="S894" s="86"/>
      <c r="T894" s="86"/>
      <c r="U894" s="86"/>
      <c r="V894" s="48"/>
      <c r="W894" s="48"/>
      <c r="X894" s="48"/>
      <c r="Y894" s="48"/>
      <c r="Z894" s="47"/>
      <c r="AA894" s="69">
        <v>894</v>
      </c>
      <c r="AB894" s="69"/>
      <c r="AC894" s="70"/>
      <c r="AD894" s="76" t="s">
        <v>22685</v>
      </c>
      <c r="AE894" s="81" t="s">
        <v>21656</v>
      </c>
      <c r="AF894" s="76">
        <v>0</v>
      </c>
      <c r="AG894" s="76">
        <v>3</v>
      </c>
      <c r="AH894" s="76">
        <v>9</v>
      </c>
      <c r="AI894" s="76">
        <v>0</v>
      </c>
      <c r="AJ894" s="76">
        <v>6</v>
      </c>
      <c r="AK894" s="76">
        <v>0</v>
      </c>
      <c r="AL894" s="76" t="b">
        <v>0</v>
      </c>
      <c r="AM894" s="78">
        <v>45007.914340277777</v>
      </c>
      <c r="AN894" s="76"/>
      <c r="AO894" s="76"/>
      <c r="AP894" s="76"/>
      <c r="AQ894" s="76"/>
      <c r="AR894" s="76"/>
      <c r="AS894" s="76"/>
      <c r="AT894" s="76"/>
      <c r="AU894" s="76"/>
      <c r="AV894" s="76"/>
      <c r="AW894" s="76"/>
      <c r="AX894" s="76" t="b">
        <v>0</v>
      </c>
      <c r="AY894" s="76"/>
      <c r="AZ894" s="76"/>
      <c r="BA894" s="76" t="b">
        <v>0</v>
      </c>
      <c r="BB894" s="76" t="b">
        <v>1</v>
      </c>
      <c r="BC894" s="76" t="b">
        <v>1</v>
      </c>
      <c r="BD894" s="76" t="b">
        <v>1</v>
      </c>
      <c r="BE894" s="76" t="b">
        <v>0</v>
      </c>
      <c r="BF894" s="76" t="b">
        <v>0</v>
      </c>
      <c r="BG894" s="76" t="b">
        <v>0</v>
      </c>
      <c r="BH894" s="76"/>
      <c r="BI894" s="76"/>
      <c r="BJ894" s="76" t="s">
        <v>24935</v>
      </c>
      <c r="BK894" s="76" t="b">
        <v>0</v>
      </c>
      <c r="BL894" s="76"/>
      <c r="BM894" s="76" t="s">
        <v>66</v>
      </c>
      <c r="BN894" s="76" t="s">
        <v>24937</v>
      </c>
      <c r="BO894" s="83" t="str">
        <f>HYPERLINK("https://twitter.com/tainara04763621")</f>
        <v>https://twitter.com/tainara04763621</v>
      </c>
      <c r="BP894" s="2"/>
    </row>
    <row r="895" spans="1:68" x14ac:dyDescent="0.25">
      <c r="A895" s="62" t="s">
        <v>1083</v>
      </c>
      <c r="B895" s="63"/>
      <c r="C895" s="63"/>
      <c r="D895" s="64"/>
      <c r="E895" s="66"/>
      <c r="F895" s="102" t="str">
        <f>HYPERLINK("https://pbs.twimg.com/profile_images/1704886799087087616/Drvw_j3L_normal.jpg")</f>
        <v>https://pbs.twimg.com/profile_images/1704886799087087616/Drvw_j3L_normal.jpg</v>
      </c>
      <c r="G895" s="63"/>
      <c r="H895" s="67"/>
      <c r="I895" s="68"/>
      <c r="J895" s="68"/>
      <c r="K895" s="67" t="s">
        <v>25829</v>
      </c>
      <c r="L895" s="71"/>
      <c r="M895" s="72"/>
      <c r="N895" s="72"/>
      <c r="O895" s="73"/>
      <c r="P895" s="74"/>
      <c r="Q895" s="74"/>
      <c r="R895" s="86"/>
      <c r="S895" s="86"/>
      <c r="T895" s="86"/>
      <c r="U895" s="86"/>
      <c r="V895" s="48"/>
      <c r="W895" s="48"/>
      <c r="X895" s="48"/>
      <c r="Y895" s="48"/>
      <c r="Z895" s="47"/>
      <c r="AA895" s="69">
        <v>895</v>
      </c>
      <c r="AB895" s="69"/>
      <c r="AC895" s="70"/>
      <c r="AD895" s="76" t="s">
        <v>22686</v>
      </c>
      <c r="AE895" s="81" t="s">
        <v>21657</v>
      </c>
      <c r="AF895" s="76">
        <v>32270</v>
      </c>
      <c r="AG895" s="76">
        <v>139</v>
      </c>
      <c r="AH895" s="76">
        <v>5122</v>
      </c>
      <c r="AI895" s="76">
        <v>447</v>
      </c>
      <c r="AJ895" s="76">
        <v>5797</v>
      </c>
      <c r="AK895" s="76">
        <v>1478</v>
      </c>
      <c r="AL895" s="76" t="b">
        <v>0</v>
      </c>
      <c r="AM895" s="78">
        <v>42693.126157407409</v>
      </c>
      <c r="AN895" s="76" t="s">
        <v>14041</v>
      </c>
      <c r="AO895" s="76" t="s">
        <v>24111</v>
      </c>
      <c r="AP895" s="76"/>
      <c r="AQ895" s="76"/>
      <c r="AR895" s="76"/>
      <c r="AS895" s="76"/>
      <c r="AT895" s="76"/>
      <c r="AU895" s="76"/>
      <c r="AV895" s="76"/>
      <c r="AW895" s="76"/>
      <c r="AX895" s="76" t="b">
        <v>0</v>
      </c>
      <c r="AY895" s="76"/>
      <c r="AZ895" s="76"/>
      <c r="BA895" s="76" t="b">
        <v>1</v>
      </c>
      <c r="BB895" s="76" t="b">
        <v>1</v>
      </c>
      <c r="BC895" s="76" t="b">
        <v>1</v>
      </c>
      <c r="BD895" s="76" t="b">
        <v>0</v>
      </c>
      <c r="BE895" s="76" t="b">
        <v>0</v>
      </c>
      <c r="BF895" s="76" t="b">
        <v>0</v>
      </c>
      <c r="BG895" s="76" t="b">
        <v>0</v>
      </c>
      <c r="BH895" s="76"/>
      <c r="BI895" s="76"/>
      <c r="BJ895" s="76" t="s">
        <v>24935</v>
      </c>
      <c r="BK895" s="76" t="b">
        <v>0</v>
      </c>
      <c r="BL895" s="76"/>
      <c r="BM895" s="76" t="s">
        <v>66</v>
      </c>
      <c r="BN895" s="76" t="s">
        <v>24937</v>
      </c>
      <c r="BO895" s="83" t="str">
        <f>HYPERLINK("https://twitter.com/dicadehoje7")</f>
        <v>https://twitter.com/dicadehoje7</v>
      </c>
      <c r="BP895" s="2"/>
    </row>
    <row r="896" spans="1:68" x14ac:dyDescent="0.25">
      <c r="A896" s="62" t="s">
        <v>1084</v>
      </c>
      <c r="B896" s="63"/>
      <c r="C896" s="63"/>
      <c r="D896" s="64"/>
      <c r="E896" s="66"/>
      <c r="F896" s="102" t="str">
        <f>HYPERLINK("https://pbs.twimg.com/profile_images/1647040809550721025/H07cuilt_normal.jpg")</f>
        <v>https://pbs.twimg.com/profile_images/1647040809550721025/H07cuilt_normal.jpg</v>
      </c>
      <c r="G896" s="63"/>
      <c r="H896" s="67"/>
      <c r="I896" s="68"/>
      <c r="J896" s="68"/>
      <c r="K896" s="67" t="s">
        <v>25830</v>
      </c>
      <c r="L896" s="71"/>
      <c r="M896" s="72"/>
      <c r="N896" s="72"/>
      <c r="O896" s="73"/>
      <c r="P896" s="74"/>
      <c r="Q896" s="74"/>
      <c r="R896" s="86"/>
      <c r="S896" s="86"/>
      <c r="T896" s="86"/>
      <c r="U896" s="86"/>
      <c r="V896" s="48"/>
      <c r="W896" s="48"/>
      <c r="X896" s="48"/>
      <c r="Y896" s="48"/>
      <c r="Z896" s="47"/>
      <c r="AA896" s="69">
        <v>896</v>
      </c>
      <c r="AB896" s="69"/>
      <c r="AC896" s="70"/>
      <c r="AD896" s="76" t="s">
        <v>22687</v>
      </c>
      <c r="AE896" s="81" t="s">
        <v>21658</v>
      </c>
      <c r="AF896" s="76">
        <v>0</v>
      </c>
      <c r="AG896" s="76">
        <v>17</v>
      </c>
      <c r="AH896" s="76">
        <v>31</v>
      </c>
      <c r="AI896" s="76">
        <v>0</v>
      </c>
      <c r="AJ896" s="76">
        <v>1</v>
      </c>
      <c r="AK896" s="76">
        <v>2</v>
      </c>
      <c r="AL896" s="76" t="b">
        <v>0</v>
      </c>
      <c r="AM896" s="78">
        <v>45031.023726851854</v>
      </c>
      <c r="AN896" s="76"/>
      <c r="AO896" s="76" t="s">
        <v>24112</v>
      </c>
      <c r="AP896" s="76"/>
      <c r="AQ896" s="76"/>
      <c r="AR896" s="76"/>
      <c r="AS896" s="76"/>
      <c r="AT896" s="76"/>
      <c r="AU896" s="76"/>
      <c r="AV896" s="76"/>
      <c r="AW896" s="76"/>
      <c r="AX896" s="76" t="b">
        <v>0</v>
      </c>
      <c r="AY896" s="76"/>
      <c r="AZ896" s="76"/>
      <c r="BA896" s="76" t="b">
        <v>0</v>
      </c>
      <c r="BB896" s="76" t="b">
        <v>1</v>
      </c>
      <c r="BC896" s="76" t="b">
        <v>1</v>
      </c>
      <c r="BD896" s="76" t="b">
        <v>0</v>
      </c>
      <c r="BE896" s="76" t="b">
        <v>0</v>
      </c>
      <c r="BF896" s="76" t="b">
        <v>0</v>
      </c>
      <c r="BG896" s="76" t="b">
        <v>0</v>
      </c>
      <c r="BH896" s="83" t="str">
        <f>HYPERLINK("https://pbs.twimg.com/profile_banners/1647035406712446976/1681520115")</f>
        <v>https://pbs.twimg.com/profile_banners/1647035406712446976/1681520115</v>
      </c>
      <c r="BI896" s="76"/>
      <c r="BJ896" s="76" t="s">
        <v>24935</v>
      </c>
      <c r="BK896" s="76" t="b">
        <v>0</v>
      </c>
      <c r="BL896" s="76"/>
      <c r="BM896" s="76" t="s">
        <v>66</v>
      </c>
      <c r="BN896" s="76" t="s">
        <v>24937</v>
      </c>
      <c r="BO896" s="83" t="str">
        <f>HYPERLINK("https://twitter.com/si_luna_")</f>
        <v>https://twitter.com/si_luna_</v>
      </c>
      <c r="BP896" s="2"/>
    </row>
    <row r="897" spans="1:68" x14ac:dyDescent="0.25">
      <c r="A897" s="62" t="s">
        <v>1085</v>
      </c>
      <c r="B897" s="63"/>
      <c r="C897" s="63"/>
      <c r="D897" s="64"/>
      <c r="E897" s="66"/>
      <c r="F897" s="102" t="str">
        <f>HYPERLINK("https://pbs.twimg.com/profile_images/1641378663403868162/ANsyzDom_normal.jpg")</f>
        <v>https://pbs.twimg.com/profile_images/1641378663403868162/ANsyzDom_normal.jpg</v>
      </c>
      <c r="G897" s="63"/>
      <c r="H897" s="67"/>
      <c r="I897" s="68"/>
      <c r="J897" s="68"/>
      <c r="K897" s="67" t="s">
        <v>25831</v>
      </c>
      <c r="L897" s="71"/>
      <c r="M897" s="72"/>
      <c r="N897" s="72"/>
      <c r="O897" s="73"/>
      <c r="P897" s="74"/>
      <c r="Q897" s="74"/>
      <c r="R897" s="86"/>
      <c r="S897" s="86"/>
      <c r="T897" s="86"/>
      <c r="U897" s="86"/>
      <c r="V897" s="48"/>
      <c r="W897" s="48"/>
      <c r="X897" s="48"/>
      <c r="Y897" s="48"/>
      <c r="Z897" s="47"/>
      <c r="AA897" s="69">
        <v>897</v>
      </c>
      <c r="AB897" s="69"/>
      <c r="AC897" s="70"/>
      <c r="AD897" s="76" t="s">
        <v>22688</v>
      </c>
      <c r="AE897" s="81" t="s">
        <v>21659</v>
      </c>
      <c r="AF897" s="76">
        <v>2</v>
      </c>
      <c r="AG897" s="76">
        <v>4</v>
      </c>
      <c r="AH897" s="76">
        <v>5</v>
      </c>
      <c r="AI897" s="76">
        <v>0</v>
      </c>
      <c r="AJ897" s="76">
        <v>4</v>
      </c>
      <c r="AK897" s="76">
        <v>4</v>
      </c>
      <c r="AL897" s="76" t="b">
        <v>0</v>
      </c>
      <c r="AM897" s="78">
        <v>44676.927349537036</v>
      </c>
      <c r="AN897" s="76" t="s">
        <v>23199</v>
      </c>
      <c r="AO897" s="76" t="s">
        <v>24113</v>
      </c>
      <c r="AP897" s="76"/>
      <c r="AQ897" s="76"/>
      <c r="AR897" s="76"/>
      <c r="AS897" s="76"/>
      <c r="AT897" s="76"/>
      <c r="AU897" s="76"/>
      <c r="AV897" s="76"/>
      <c r="AW897" s="76"/>
      <c r="AX897" s="76" t="b">
        <v>0</v>
      </c>
      <c r="AY897" s="76"/>
      <c r="AZ897" s="76"/>
      <c r="BA897" s="76" t="b">
        <v>0</v>
      </c>
      <c r="BB897" s="76" t="b">
        <v>1</v>
      </c>
      <c r="BC897" s="76" t="b">
        <v>1</v>
      </c>
      <c r="BD897" s="76" t="b">
        <v>0</v>
      </c>
      <c r="BE897" s="76" t="b">
        <v>0</v>
      </c>
      <c r="BF897" s="76" t="b">
        <v>0</v>
      </c>
      <c r="BG897" s="76" t="b">
        <v>0</v>
      </c>
      <c r="BH897" s="83" t="str">
        <f>HYPERLINK("https://pbs.twimg.com/profile_banners/1518715252761841666/1682266217")</f>
        <v>https://pbs.twimg.com/profile_banners/1518715252761841666/1682266217</v>
      </c>
      <c r="BI897" s="76"/>
      <c r="BJ897" s="76" t="s">
        <v>24935</v>
      </c>
      <c r="BK897" s="76" t="b">
        <v>0</v>
      </c>
      <c r="BL897" s="76"/>
      <c r="BM897" s="76" t="s">
        <v>66</v>
      </c>
      <c r="BN897" s="76" t="s">
        <v>24937</v>
      </c>
      <c r="BO897" s="83" t="str">
        <f>HYPERLINK("https://twitter.com/arthurceo")</f>
        <v>https://twitter.com/arthurceo</v>
      </c>
      <c r="BP897" s="2"/>
    </row>
    <row r="898" spans="1:68" x14ac:dyDescent="0.25">
      <c r="A898" s="62" t="s">
        <v>1086</v>
      </c>
      <c r="B898" s="63"/>
      <c r="C898" s="63"/>
      <c r="D898" s="64"/>
      <c r="E898" s="66"/>
      <c r="F898" s="102" t="str">
        <f>HYPERLINK("https://pbs.twimg.com/profile_images/1643040673183027200/uaCyuEYJ_normal.jpg")</f>
        <v>https://pbs.twimg.com/profile_images/1643040673183027200/uaCyuEYJ_normal.jpg</v>
      </c>
      <c r="G898" s="63"/>
      <c r="H898" s="67"/>
      <c r="I898" s="68"/>
      <c r="J898" s="68"/>
      <c r="K898" s="67" t="s">
        <v>25832</v>
      </c>
      <c r="L898" s="71"/>
      <c r="M898" s="72"/>
      <c r="N898" s="72"/>
      <c r="O898" s="73"/>
      <c r="P898" s="74"/>
      <c r="Q898" s="74"/>
      <c r="R898" s="86"/>
      <c r="S898" s="86"/>
      <c r="T898" s="86"/>
      <c r="U898" s="86"/>
      <c r="V898" s="48"/>
      <c r="W898" s="48"/>
      <c r="X898" s="48"/>
      <c r="Y898" s="48"/>
      <c r="Z898" s="47"/>
      <c r="AA898" s="69">
        <v>898</v>
      </c>
      <c r="AB898" s="69"/>
      <c r="AC898" s="70"/>
      <c r="AD898" s="76" t="s">
        <v>22689</v>
      </c>
      <c r="AE898" s="81" t="s">
        <v>21660</v>
      </c>
      <c r="AF898" s="76">
        <v>5</v>
      </c>
      <c r="AG898" s="76">
        <v>121</v>
      </c>
      <c r="AH898" s="76">
        <v>8</v>
      </c>
      <c r="AI898" s="76">
        <v>0</v>
      </c>
      <c r="AJ898" s="76">
        <v>9</v>
      </c>
      <c r="AK898" s="76">
        <v>7</v>
      </c>
      <c r="AL898" s="76" t="b">
        <v>0</v>
      </c>
      <c r="AM898" s="78">
        <v>45019.999143518522</v>
      </c>
      <c r="AN898" s="76"/>
      <c r="AO898" s="76"/>
      <c r="AP898" s="76"/>
      <c r="AQ898" s="76"/>
      <c r="AR898" s="76"/>
      <c r="AS898" s="76"/>
      <c r="AT898" s="76"/>
      <c r="AU898" s="76"/>
      <c r="AV898" s="76"/>
      <c r="AW898" s="76"/>
      <c r="AX898" s="76" t="b">
        <v>0</v>
      </c>
      <c r="AY898" s="76"/>
      <c r="AZ898" s="76"/>
      <c r="BA898" s="76" t="b">
        <v>0</v>
      </c>
      <c r="BB898" s="76" t="b">
        <v>1</v>
      </c>
      <c r="BC898" s="76" t="b">
        <v>1</v>
      </c>
      <c r="BD898" s="76" t="b">
        <v>0</v>
      </c>
      <c r="BE898" s="76" t="b">
        <v>0</v>
      </c>
      <c r="BF898" s="76" t="b">
        <v>0</v>
      </c>
      <c r="BG898" s="76" t="b">
        <v>0</v>
      </c>
      <c r="BH898" s="76"/>
      <c r="BI898" s="76"/>
      <c r="BJ898" s="76" t="s">
        <v>24935</v>
      </c>
      <c r="BK898" s="76" t="b">
        <v>0</v>
      </c>
      <c r="BL898" s="76"/>
      <c r="BM898" s="76" t="s">
        <v>66</v>
      </c>
      <c r="BN898" s="76" t="s">
        <v>24937</v>
      </c>
      <c r="BO898" s="83" t="str">
        <f>HYPERLINK("https://twitter.com/aliuwayu")</f>
        <v>https://twitter.com/aliuwayu</v>
      </c>
      <c r="BP898" s="2"/>
    </row>
    <row r="899" spans="1:68" x14ac:dyDescent="0.25">
      <c r="A899" s="62" t="s">
        <v>1087</v>
      </c>
      <c r="B899" s="63"/>
      <c r="C899" s="63"/>
      <c r="D899" s="64"/>
      <c r="E899" s="66"/>
      <c r="F899" s="102" t="str">
        <f>HYPERLINK("https://pbs.twimg.com/profile_images/1237470144349310976/gwofr6dr_normal.jpg")</f>
        <v>https://pbs.twimg.com/profile_images/1237470144349310976/gwofr6dr_normal.jpg</v>
      </c>
      <c r="G899" s="63"/>
      <c r="H899" s="67"/>
      <c r="I899" s="68"/>
      <c r="J899" s="68"/>
      <c r="K899" s="67" t="s">
        <v>25833</v>
      </c>
      <c r="L899" s="71"/>
      <c r="M899" s="72"/>
      <c r="N899" s="72"/>
      <c r="O899" s="73"/>
      <c r="P899" s="74"/>
      <c r="Q899" s="74"/>
      <c r="R899" s="86"/>
      <c r="S899" s="86"/>
      <c r="T899" s="86"/>
      <c r="U899" s="86"/>
      <c r="V899" s="48"/>
      <c r="W899" s="48"/>
      <c r="X899" s="48"/>
      <c r="Y899" s="48"/>
      <c r="Z899" s="47"/>
      <c r="AA899" s="69">
        <v>899</v>
      </c>
      <c r="AB899" s="69"/>
      <c r="AC899" s="70"/>
      <c r="AD899" s="76" t="s">
        <v>22690</v>
      </c>
      <c r="AE899" s="81" t="s">
        <v>23035</v>
      </c>
      <c r="AF899" s="76">
        <v>23</v>
      </c>
      <c r="AG899" s="76">
        <v>241</v>
      </c>
      <c r="AH899" s="76">
        <v>94</v>
      </c>
      <c r="AI899" s="76">
        <v>3</v>
      </c>
      <c r="AJ899" s="76">
        <v>350</v>
      </c>
      <c r="AK899" s="76">
        <v>10</v>
      </c>
      <c r="AL899" s="76" t="b">
        <v>0</v>
      </c>
      <c r="AM899" s="78">
        <v>42110.937465277777</v>
      </c>
      <c r="AN899" s="76"/>
      <c r="AO899" s="76"/>
      <c r="AP899" s="76"/>
      <c r="AQ899" s="76"/>
      <c r="AR899" s="76"/>
      <c r="AS899" s="76"/>
      <c r="AT899" s="76"/>
      <c r="AU899" s="76"/>
      <c r="AV899" s="76"/>
      <c r="AW899" s="76"/>
      <c r="AX899" s="76" t="b">
        <v>0</v>
      </c>
      <c r="AY899" s="76"/>
      <c r="AZ899" s="76"/>
      <c r="BA899" s="76" t="b">
        <v>0</v>
      </c>
      <c r="BB899" s="76" t="b">
        <v>1</v>
      </c>
      <c r="BC899" s="76" t="b">
        <v>1</v>
      </c>
      <c r="BD899" s="76" t="b">
        <v>0</v>
      </c>
      <c r="BE899" s="76" t="b">
        <v>1</v>
      </c>
      <c r="BF899" s="76" t="b">
        <v>0</v>
      </c>
      <c r="BG899" s="76" t="b">
        <v>0</v>
      </c>
      <c r="BH899" s="83" t="str">
        <f>HYPERLINK("https://pbs.twimg.com/profile_banners/3174267771/1583870902")</f>
        <v>https://pbs.twimg.com/profile_banners/3174267771/1583870902</v>
      </c>
      <c r="BI899" s="76"/>
      <c r="BJ899" s="76" t="s">
        <v>24935</v>
      </c>
      <c r="BK899" s="76" t="b">
        <v>0</v>
      </c>
      <c r="BL899" s="76"/>
      <c r="BM899" s="76" t="s">
        <v>66</v>
      </c>
      <c r="BN899" s="76" t="s">
        <v>24937</v>
      </c>
      <c r="BO899" s="83" t="str">
        <f>HYPERLINK("https://twitter.com/filipeveiga1992")</f>
        <v>https://twitter.com/filipeveiga1992</v>
      </c>
      <c r="BP899" s="2"/>
    </row>
    <row r="900" spans="1:68" x14ac:dyDescent="0.25">
      <c r="A900" s="62" t="s">
        <v>1088</v>
      </c>
      <c r="B900" s="63"/>
      <c r="C900" s="63"/>
      <c r="D900" s="64"/>
      <c r="E900" s="66"/>
      <c r="F900" s="102" t="str">
        <f>HYPERLINK("https://pbs.twimg.com/profile_images/1697200606312607744/JFIYrC5Z_normal.jpg")</f>
        <v>https://pbs.twimg.com/profile_images/1697200606312607744/JFIYrC5Z_normal.jpg</v>
      </c>
      <c r="G900" s="63"/>
      <c r="H900" s="67"/>
      <c r="I900" s="68"/>
      <c r="J900" s="68"/>
      <c r="K900" s="67" t="s">
        <v>25834</v>
      </c>
      <c r="L900" s="71"/>
      <c r="M900" s="72"/>
      <c r="N900" s="72"/>
      <c r="O900" s="73"/>
      <c r="P900" s="74"/>
      <c r="Q900" s="74"/>
      <c r="R900" s="86"/>
      <c r="S900" s="86"/>
      <c r="T900" s="86"/>
      <c r="U900" s="86"/>
      <c r="V900" s="48"/>
      <c r="W900" s="48"/>
      <c r="X900" s="48"/>
      <c r="Y900" s="48"/>
      <c r="Z900" s="47"/>
      <c r="AA900" s="69">
        <v>900</v>
      </c>
      <c r="AB900" s="69"/>
      <c r="AC900" s="70"/>
      <c r="AD900" s="76" t="s">
        <v>22691</v>
      </c>
      <c r="AE900" s="81" t="s">
        <v>21661</v>
      </c>
      <c r="AF900" s="76">
        <v>1</v>
      </c>
      <c r="AG900" s="76">
        <v>7</v>
      </c>
      <c r="AH900" s="76">
        <v>22</v>
      </c>
      <c r="AI900" s="76">
        <v>0</v>
      </c>
      <c r="AJ900" s="76">
        <v>44</v>
      </c>
      <c r="AK900" s="76">
        <v>9</v>
      </c>
      <c r="AL900" s="76" t="b">
        <v>0</v>
      </c>
      <c r="AM900" s="78">
        <v>45160.859976851854</v>
      </c>
      <c r="AN900" s="76" t="s">
        <v>14033</v>
      </c>
      <c r="AO900" s="76" t="s">
        <v>24114</v>
      </c>
      <c r="AP900" s="83" t="str">
        <f>HYPERLINK("https://t.co/XAYkGyN16U")</f>
        <v>https://t.co/XAYkGyN16U</v>
      </c>
      <c r="AQ900" s="83" t="str">
        <f>HYPERLINK("https://www.basicosstore.com.br/")</f>
        <v>https://www.basicosstore.com.br/</v>
      </c>
      <c r="AR900" s="76" t="s">
        <v>24743</v>
      </c>
      <c r="AS900" s="76"/>
      <c r="AT900" s="76"/>
      <c r="AU900" s="76"/>
      <c r="AV900" s="76"/>
      <c r="AW900" s="83" t="str">
        <f>HYPERLINK("https://t.co/XAYkGyN16U")</f>
        <v>https://t.co/XAYkGyN16U</v>
      </c>
      <c r="AX900" s="76" t="b">
        <v>0</v>
      </c>
      <c r="AY900" s="76"/>
      <c r="AZ900" s="76"/>
      <c r="BA900" s="76" t="b">
        <v>0</v>
      </c>
      <c r="BB900" s="76" t="b">
        <v>1</v>
      </c>
      <c r="BC900" s="76" t="b">
        <v>1</v>
      </c>
      <c r="BD900" s="76" t="b">
        <v>0</v>
      </c>
      <c r="BE900" s="76" t="b">
        <v>0</v>
      </c>
      <c r="BF900" s="76" t="b">
        <v>0</v>
      </c>
      <c r="BG900" s="76" t="b">
        <v>0</v>
      </c>
      <c r="BH900" s="83" t="str">
        <f>HYPERLINK("https://pbs.twimg.com/profile_banners/1694086446498414594/1693480183")</f>
        <v>https://pbs.twimg.com/profile_banners/1694086446498414594/1693480183</v>
      </c>
      <c r="BI900" s="76"/>
      <c r="BJ900" s="76" t="s">
        <v>24935</v>
      </c>
      <c r="BK900" s="76" t="b">
        <v>0</v>
      </c>
      <c r="BL900" s="76"/>
      <c r="BM900" s="76" t="s">
        <v>66</v>
      </c>
      <c r="BN900" s="76" t="s">
        <v>24937</v>
      </c>
      <c r="BO900" s="83" t="str">
        <f>HYPERLINK("https://twitter.com/divulgabasicos")</f>
        <v>https://twitter.com/divulgabasicos</v>
      </c>
      <c r="BP900" s="2"/>
    </row>
    <row r="901" spans="1:68" x14ac:dyDescent="0.25">
      <c r="A901" s="62" t="s">
        <v>1089</v>
      </c>
      <c r="B901" s="63"/>
      <c r="C901" s="63"/>
      <c r="D901" s="64"/>
      <c r="E901" s="66"/>
      <c r="F901" s="102" t="str">
        <f>HYPERLINK("https://pbs.twimg.com/profile_images/1692337315782205440/TsUiNV-a_normal.jpg")</f>
        <v>https://pbs.twimg.com/profile_images/1692337315782205440/TsUiNV-a_normal.jpg</v>
      </c>
      <c r="G901" s="63"/>
      <c r="H901" s="67"/>
      <c r="I901" s="68"/>
      <c r="J901" s="68"/>
      <c r="K901" s="67" t="s">
        <v>25835</v>
      </c>
      <c r="L901" s="71"/>
      <c r="M901" s="72"/>
      <c r="N901" s="72"/>
      <c r="O901" s="73"/>
      <c r="P901" s="74"/>
      <c r="Q901" s="74"/>
      <c r="R901" s="86"/>
      <c r="S901" s="86"/>
      <c r="T901" s="86"/>
      <c r="U901" s="86"/>
      <c r="V901" s="48"/>
      <c r="W901" s="48"/>
      <c r="X901" s="48"/>
      <c r="Y901" s="48"/>
      <c r="Z901" s="47"/>
      <c r="AA901" s="69">
        <v>901</v>
      </c>
      <c r="AB901" s="69"/>
      <c r="AC901" s="70"/>
      <c r="AD901" s="76" t="s">
        <v>22692</v>
      </c>
      <c r="AE901" s="81" t="s">
        <v>23036</v>
      </c>
      <c r="AF901" s="76">
        <v>8</v>
      </c>
      <c r="AG901" s="76">
        <v>51</v>
      </c>
      <c r="AH901" s="76">
        <v>8</v>
      </c>
      <c r="AI901" s="76">
        <v>0</v>
      </c>
      <c r="AJ901" s="76">
        <v>1</v>
      </c>
      <c r="AK901" s="76">
        <v>1</v>
      </c>
      <c r="AL901" s="76" t="b">
        <v>0</v>
      </c>
      <c r="AM901" s="78">
        <v>40623.114687499998</v>
      </c>
      <c r="AN901" s="76" t="s">
        <v>14040</v>
      </c>
      <c r="AO901" s="76" t="s">
        <v>24115</v>
      </c>
      <c r="AP901" s="83" t="str">
        <f>HYPERLINK("https://t.co/W1VGY1G12B")</f>
        <v>https://t.co/W1VGY1G12B</v>
      </c>
      <c r="AQ901" s="83" t="str">
        <f>HYPERLINK("https://wa.me/message/XL5K5F5HERTVO1")</f>
        <v>https://wa.me/message/XL5K5F5HERTVO1</v>
      </c>
      <c r="AR901" s="76" t="s">
        <v>24744</v>
      </c>
      <c r="AS901" s="76"/>
      <c r="AT901" s="76"/>
      <c r="AU901" s="76"/>
      <c r="AV901" s="76"/>
      <c r="AW901" s="83" t="str">
        <f>HYPERLINK("https://t.co/W1VGY1G12B")</f>
        <v>https://t.co/W1VGY1G12B</v>
      </c>
      <c r="AX901" s="76" t="b">
        <v>0</v>
      </c>
      <c r="AY901" s="76"/>
      <c r="AZ901" s="76"/>
      <c r="BA901" s="76" t="b">
        <v>0</v>
      </c>
      <c r="BB901" s="76" t="b">
        <v>1</v>
      </c>
      <c r="BC901" s="76" t="b">
        <v>0</v>
      </c>
      <c r="BD901" s="76" t="b">
        <v>0</v>
      </c>
      <c r="BE901" s="76" t="b">
        <v>0</v>
      </c>
      <c r="BF901" s="76" t="b">
        <v>0</v>
      </c>
      <c r="BG901" s="76" t="b">
        <v>0</v>
      </c>
      <c r="BH901" s="83" t="str">
        <f>HYPERLINK("https://pbs.twimg.com/profile_banners/269591829/1692319729")</f>
        <v>https://pbs.twimg.com/profile_banners/269591829/1692319729</v>
      </c>
      <c r="BI901" s="76"/>
      <c r="BJ901" s="76" t="s">
        <v>24935</v>
      </c>
      <c r="BK901" s="76" t="b">
        <v>0</v>
      </c>
      <c r="BL901" s="76"/>
      <c r="BM901" s="76" t="s">
        <v>66</v>
      </c>
      <c r="BN901" s="76" t="s">
        <v>24937</v>
      </c>
      <c r="BO901" s="83" t="str">
        <f>HYPERLINK("https://twitter.com/michaelgodoy")</f>
        <v>https://twitter.com/michaelgodoy</v>
      </c>
      <c r="BP901" s="2"/>
    </row>
    <row r="902" spans="1:68" x14ac:dyDescent="0.25">
      <c r="A902" s="62" t="s">
        <v>1090</v>
      </c>
      <c r="B902" s="63"/>
      <c r="C902" s="63"/>
      <c r="D902" s="64"/>
      <c r="E902" s="66"/>
      <c r="F902" s="102" t="str">
        <f>HYPERLINK("https://pbs.twimg.com/profile_images/1671232583709892609/nbNLComo_normal.jpg")</f>
        <v>https://pbs.twimg.com/profile_images/1671232583709892609/nbNLComo_normal.jpg</v>
      </c>
      <c r="G902" s="63"/>
      <c r="H902" s="67"/>
      <c r="I902" s="68"/>
      <c r="J902" s="68"/>
      <c r="K902" s="67" t="s">
        <v>25836</v>
      </c>
      <c r="L902" s="71"/>
      <c r="M902" s="72"/>
      <c r="N902" s="72"/>
      <c r="O902" s="73"/>
      <c r="P902" s="74"/>
      <c r="Q902" s="74"/>
      <c r="R902" s="86"/>
      <c r="S902" s="86"/>
      <c r="T902" s="86"/>
      <c r="U902" s="86"/>
      <c r="V902" s="48"/>
      <c r="W902" s="48"/>
      <c r="X902" s="48"/>
      <c r="Y902" s="48"/>
      <c r="Z902" s="47"/>
      <c r="AA902" s="69">
        <v>902</v>
      </c>
      <c r="AB902" s="69"/>
      <c r="AC902" s="70"/>
      <c r="AD902" s="76" t="s">
        <v>22693</v>
      </c>
      <c r="AE902" s="81" t="s">
        <v>23037</v>
      </c>
      <c r="AF902" s="76">
        <v>99</v>
      </c>
      <c r="AG902" s="76">
        <v>117</v>
      </c>
      <c r="AH902" s="76">
        <v>3376</v>
      </c>
      <c r="AI902" s="76">
        <v>1</v>
      </c>
      <c r="AJ902" s="76">
        <v>4716</v>
      </c>
      <c r="AK902" s="76">
        <v>450</v>
      </c>
      <c r="AL902" s="76" t="b">
        <v>0</v>
      </c>
      <c r="AM902" s="78">
        <v>41167.744398148148</v>
      </c>
      <c r="AN902" s="76" t="s">
        <v>23303</v>
      </c>
      <c r="AO902" s="76" t="s">
        <v>24116</v>
      </c>
      <c r="AP902" s="83" t="str">
        <f>HYPERLINK("https://t.co/f0Jv9XOp2F")</f>
        <v>https://t.co/f0Jv9XOp2F</v>
      </c>
      <c r="AQ902" s="83" t="str">
        <f>HYPERLINK("https://www.youtube.com/user/ROCKERCWB")</f>
        <v>https://www.youtube.com/user/ROCKERCWB</v>
      </c>
      <c r="AR902" s="76" t="s">
        <v>24745</v>
      </c>
      <c r="AS902" s="76"/>
      <c r="AT902" s="76"/>
      <c r="AU902" s="76"/>
      <c r="AV902" s="76"/>
      <c r="AW902" s="83" t="str">
        <f>HYPERLINK("https://t.co/f0Jv9XOp2F")</f>
        <v>https://t.co/f0Jv9XOp2F</v>
      </c>
      <c r="AX902" s="76" t="b">
        <v>0</v>
      </c>
      <c r="AY902" s="76"/>
      <c r="AZ902" s="76"/>
      <c r="BA902" s="76" t="b">
        <v>1</v>
      </c>
      <c r="BB902" s="76" t="b">
        <v>1</v>
      </c>
      <c r="BC902" s="76" t="b">
        <v>0</v>
      </c>
      <c r="BD902" s="76" t="b">
        <v>0</v>
      </c>
      <c r="BE902" s="76" t="b">
        <v>1</v>
      </c>
      <c r="BF902" s="76" t="b">
        <v>0</v>
      </c>
      <c r="BG902" s="76" t="b">
        <v>0</v>
      </c>
      <c r="BH902" s="83" t="str">
        <f>HYPERLINK("https://pbs.twimg.com/profile_banners/825690463/1467434412")</f>
        <v>https://pbs.twimg.com/profile_banners/825690463/1467434412</v>
      </c>
      <c r="BI902" s="76"/>
      <c r="BJ902" s="76" t="s">
        <v>24935</v>
      </c>
      <c r="BK902" s="76" t="b">
        <v>0</v>
      </c>
      <c r="BL902" s="76"/>
      <c r="BM902" s="76" t="s">
        <v>66</v>
      </c>
      <c r="BN902" s="76" t="s">
        <v>24937</v>
      </c>
      <c r="BO902" s="83" t="str">
        <f>HYPERLINK("https://twitter.com/air_rocha")</f>
        <v>https://twitter.com/air_rocha</v>
      </c>
      <c r="BP902" s="2"/>
    </row>
    <row r="903" spans="1:68" x14ac:dyDescent="0.25">
      <c r="A903" s="62" t="s">
        <v>1091</v>
      </c>
      <c r="B903" s="63"/>
      <c r="C903" s="63"/>
      <c r="D903" s="64"/>
      <c r="E903" s="66"/>
      <c r="F903" s="102" t="str">
        <f>HYPERLINK("https://pbs.twimg.com/profile_images/1426399737230548992/1ZC_M2BK_normal.jpg")</f>
        <v>https://pbs.twimg.com/profile_images/1426399737230548992/1ZC_M2BK_normal.jpg</v>
      </c>
      <c r="G903" s="63"/>
      <c r="H903" s="67"/>
      <c r="I903" s="68"/>
      <c r="J903" s="68"/>
      <c r="K903" s="67" t="s">
        <v>25837</v>
      </c>
      <c r="L903" s="71"/>
      <c r="M903" s="72"/>
      <c r="N903" s="72"/>
      <c r="O903" s="73"/>
      <c r="P903" s="74"/>
      <c r="Q903" s="74"/>
      <c r="R903" s="86"/>
      <c r="S903" s="86"/>
      <c r="T903" s="86"/>
      <c r="U903" s="86"/>
      <c r="V903" s="48"/>
      <c r="W903" s="48"/>
      <c r="X903" s="48"/>
      <c r="Y903" s="48"/>
      <c r="Z903" s="47"/>
      <c r="AA903" s="69">
        <v>903</v>
      </c>
      <c r="AB903" s="69"/>
      <c r="AC903" s="70"/>
      <c r="AD903" s="76" t="s">
        <v>22694</v>
      </c>
      <c r="AE903" s="81" t="s">
        <v>21662</v>
      </c>
      <c r="AF903" s="76">
        <v>9</v>
      </c>
      <c r="AG903" s="76">
        <v>16</v>
      </c>
      <c r="AH903" s="76">
        <v>70</v>
      </c>
      <c r="AI903" s="76">
        <v>1</v>
      </c>
      <c r="AJ903" s="76">
        <v>70</v>
      </c>
      <c r="AK903" s="76">
        <v>4</v>
      </c>
      <c r="AL903" s="76" t="b">
        <v>0</v>
      </c>
      <c r="AM903" s="78">
        <v>44422.159513888888</v>
      </c>
      <c r="AN903" s="76" t="s">
        <v>23304</v>
      </c>
      <c r="AO903" s="76" t="s">
        <v>24117</v>
      </c>
      <c r="AP903" s="83" t="str">
        <f>HYPERLINK("https://t.co/HWBPRvz6jg")</f>
        <v>https://t.co/HWBPRvz6jg</v>
      </c>
      <c r="AQ903" s="83" t="str">
        <f>HYPERLINK("https://jeff.buillderall.online")</f>
        <v>https://jeff.buillderall.online</v>
      </c>
      <c r="AR903" s="76" t="s">
        <v>24746</v>
      </c>
      <c r="AS903" s="76"/>
      <c r="AT903" s="76"/>
      <c r="AU903" s="76"/>
      <c r="AV903" s="76"/>
      <c r="AW903" s="83" t="str">
        <f>HYPERLINK("https://t.co/HWBPRvz6jg")</f>
        <v>https://t.co/HWBPRvz6jg</v>
      </c>
      <c r="AX903" s="76" t="b">
        <v>0</v>
      </c>
      <c r="AY903" s="76"/>
      <c r="AZ903" s="76"/>
      <c r="BA903" s="76" t="b">
        <v>0</v>
      </c>
      <c r="BB903" s="76" t="b">
        <v>1</v>
      </c>
      <c r="BC903" s="76" t="b">
        <v>1</v>
      </c>
      <c r="BD903" s="76" t="b">
        <v>0</v>
      </c>
      <c r="BE903" s="76" t="b">
        <v>0</v>
      </c>
      <c r="BF903" s="76" t="b">
        <v>0</v>
      </c>
      <c r="BG903" s="76" t="b">
        <v>0</v>
      </c>
      <c r="BH903" s="83" t="str">
        <f>HYPERLINK("https://pbs.twimg.com/profile_banners/1426390286234800128/1628915648")</f>
        <v>https://pbs.twimg.com/profile_banners/1426390286234800128/1628915648</v>
      </c>
      <c r="BI903" s="76"/>
      <c r="BJ903" s="76" t="s">
        <v>24935</v>
      </c>
      <c r="BK903" s="76" t="b">
        <v>0</v>
      </c>
      <c r="BL903" s="76"/>
      <c r="BM903" s="76" t="s">
        <v>66</v>
      </c>
      <c r="BN903" s="76" t="s">
        <v>24937</v>
      </c>
      <c r="BO903" s="83" t="str">
        <f>HYPERLINK("https://twitter.com/zanettijeff")</f>
        <v>https://twitter.com/zanettijeff</v>
      </c>
      <c r="BP903" s="2"/>
    </row>
    <row r="904" spans="1:68" x14ac:dyDescent="0.25">
      <c r="A904" s="62" t="s">
        <v>1092</v>
      </c>
      <c r="B904" s="63"/>
      <c r="C904" s="63"/>
      <c r="D904" s="64"/>
      <c r="E904" s="66"/>
      <c r="F904" s="102" t="str">
        <f>HYPERLINK("https://pbs.twimg.com/profile_images/1663297438252146689/5UywxchL_normal.jpg")</f>
        <v>https://pbs.twimg.com/profile_images/1663297438252146689/5UywxchL_normal.jpg</v>
      </c>
      <c r="G904" s="63"/>
      <c r="H904" s="67"/>
      <c r="I904" s="68"/>
      <c r="J904" s="68"/>
      <c r="K904" s="67" t="s">
        <v>25838</v>
      </c>
      <c r="L904" s="71"/>
      <c r="M904" s="72"/>
      <c r="N904" s="72"/>
      <c r="O904" s="73"/>
      <c r="P904" s="74"/>
      <c r="Q904" s="74"/>
      <c r="R904" s="86"/>
      <c r="S904" s="86"/>
      <c r="T904" s="86"/>
      <c r="U904" s="86"/>
      <c r="V904" s="48"/>
      <c r="W904" s="48"/>
      <c r="X904" s="48"/>
      <c r="Y904" s="48"/>
      <c r="Z904" s="47"/>
      <c r="AA904" s="69">
        <v>904</v>
      </c>
      <c r="AB904" s="69"/>
      <c r="AC904" s="70"/>
      <c r="AD904" s="76" t="s">
        <v>22695</v>
      </c>
      <c r="AE904" s="81" t="s">
        <v>21663</v>
      </c>
      <c r="AF904" s="76">
        <v>20</v>
      </c>
      <c r="AG904" s="76">
        <v>64</v>
      </c>
      <c r="AH904" s="76">
        <v>767</v>
      </c>
      <c r="AI904" s="76">
        <v>0</v>
      </c>
      <c r="AJ904" s="76">
        <v>6227</v>
      </c>
      <c r="AK904" s="76">
        <v>181</v>
      </c>
      <c r="AL904" s="76" t="b">
        <v>0</v>
      </c>
      <c r="AM904" s="78">
        <v>45049.585972222223</v>
      </c>
      <c r="AN904" s="76" t="s">
        <v>23305</v>
      </c>
      <c r="AO904" s="76" t="s">
        <v>24118</v>
      </c>
      <c r="AP904" s="83" t="str">
        <f>HYPERLINK("https://t.co/mKYRR6KHFN")</f>
        <v>https://t.co/mKYRR6KHFN</v>
      </c>
      <c r="AQ904" s="83" t="str">
        <f>HYPERLINK("https://www.youtube.com/@binx0101")</f>
        <v>https://www.youtube.com/@binx0101</v>
      </c>
      <c r="AR904" s="76" t="s">
        <v>24747</v>
      </c>
      <c r="AS904" s="76"/>
      <c r="AT904" s="76"/>
      <c r="AU904" s="76"/>
      <c r="AV904" s="76"/>
      <c r="AW904" s="83" t="str">
        <f>HYPERLINK("https://t.co/mKYRR6KHFN")</f>
        <v>https://t.co/mKYRR6KHFN</v>
      </c>
      <c r="AX904" s="76" t="b">
        <v>0</v>
      </c>
      <c r="AY904" s="76"/>
      <c r="AZ904" s="76"/>
      <c r="BA904" s="76" t="b">
        <v>0</v>
      </c>
      <c r="BB904" s="76" t="b">
        <v>0</v>
      </c>
      <c r="BC904" s="76" t="b">
        <v>1</v>
      </c>
      <c r="BD904" s="76" t="b">
        <v>0</v>
      </c>
      <c r="BE904" s="76" t="b">
        <v>0</v>
      </c>
      <c r="BF904" s="76" t="b">
        <v>0</v>
      </c>
      <c r="BG904" s="76" t="b">
        <v>0</v>
      </c>
      <c r="BH904" s="83" t="str">
        <f>HYPERLINK("https://pbs.twimg.com/profile_banners/1653762249813635073/1695688488")</f>
        <v>https://pbs.twimg.com/profile_banners/1653762249813635073/1695688488</v>
      </c>
      <c r="BI904" s="76"/>
      <c r="BJ904" s="76" t="s">
        <v>24935</v>
      </c>
      <c r="BK904" s="76" t="b">
        <v>0</v>
      </c>
      <c r="BL904" s="76"/>
      <c r="BM904" s="76" t="s">
        <v>66</v>
      </c>
      <c r="BN904" s="76" t="s">
        <v>24937</v>
      </c>
      <c r="BO904" s="83" t="str">
        <f>HYPERLINK("https://twitter.com/binx_0101")</f>
        <v>https://twitter.com/binx_0101</v>
      </c>
      <c r="BP904" s="2"/>
    </row>
    <row r="905" spans="1:68" x14ac:dyDescent="0.25">
      <c r="A905" s="62" t="s">
        <v>1272</v>
      </c>
      <c r="B905" s="63"/>
      <c r="C905" s="63"/>
      <c r="D905" s="64"/>
      <c r="E905" s="66"/>
      <c r="F905" s="102" t="str">
        <f>HYPERLINK("https://pbs.twimg.com/profile_images/1654646700852510721/ynIHvuDO_normal.jpg")</f>
        <v>https://pbs.twimg.com/profile_images/1654646700852510721/ynIHvuDO_normal.jpg</v>
      </c>
      <c r="G905" s="63"/>
      <c r="H905" s="67"/>
      <c r="I905" s="68"/>
      <c r="J905" s="68"/>
      <c r="K905" s="67" t="s">
        <v>25839</v>
      </c>
      <c r="L905" s="71"/>
      <c r="M905" s="72"/>
      <c r="N905" s="72"/>
      <c r="O905" s="73"/>
      <c r="P905" s="74"/>
      <c r="Q905" s="74"/>
      <c r="R905" s="86"/>
      <c r="S905" s="86"/>
      <c r="T905" s="86"/>
      <c r="U905" s="86"/>
      <c r="V905" s="48"/>
      <c r="W905" s="48"/>
      <c r="X905" s="48"/>
      <c r="Y905" s="48"/>
      <c r="Z905" s="47"/>
      <c r="AA905" s="69">
        <v>905</v>
      </c>
      <c r="AB905" s="69"/>
      <c r="AC905" s="70"/>
      <c r="AD905" s="76" t="s">
        <v>22696</v>
      </c>
      <c r="AE905" s="81" t="s">
        <v>20964</v>
      </c>
      <c r="AF905" s="76">
        <v>52514</v>
      </c>
      <c r="AG905" s="76">
        <v>21</v>
      </c>
      <c r="AH905" s="76">
        <v>5087</v>
      </c>
      <c r="AI905" s="76">
        <v>14</v>
      </c>
      <c r="AJ905" s="76">
        <v>7181</v>
      </c>
      <c r="AK905" s="76">
        <v>1147</v>
      </c>
      <c r="AL905" s="76" t="b">
        <v>0</v>
      </c>
      <c r="AM905" s="78">
        <v>43996.993935185186</v>
      </c>
      <c r="AN905" s="76"/>
      <c r="AO905" s="76" t="s">
        <v>24119</v>
      </c>
      <c r="AP905" s="76"/>
      <c r="AQ905" s="76"/>
      <c r="AR905" s="76"/>
      <c r="AS905" s="76"/>
      <c r="AT905" s="76"/>
      <c r="AU905" s="76"/>
      <c r="AV905" s="76">
        <v>1.33276209251712E+18</v>
      </c>
      <c r="AW905" s="76"/>
      <c r="AX905" s="76" t="b">
        <v>1</v>
      </c>
      <c r="AY905" s="76"/>
      <c r="AZ905" s="76"/>
      <c r="BA905" s="76" t="b">
        <v>1</v>
      </c>
      <c r="BB905" s="76" t="b">
        <v>1</v>
      </c>
      <c r="BC905" s="76" t="b">
        <v>1</v>
      </c>
      <c r="BD905" s="76" t="b">
        <v>0</v>
      </c>
      <c r="BE905" s="76" t="b">
        <v>1</v>
      </c>
      <c r="BF905" s="76" t="b">
        <v>0</v>
      </c>
      <c r="BG905" s="76" t="b">
        <v>0</v>
      </c>
      <c r="BH905" s="83" t="str">
        <f>HYPERLINK("https://pbs.twimg.com/profile_banners/1272315669980368897/1682911995")</f>
        <v>https://pbs.twimg.com/profile_banners/1272315669980368897/1682911995</v>
      </c>
      <c r="BI905" s="76"/>
      <c r="BJ905" s="76" t="s">
        <v>24935</v>
      </c>
      <c r="BK905" s="76" t="b">
        <v>0</v>
      </c>
      <c r="BL905" s="76"/>
      <c r="BM905" s="76" t="s">
        <v>65</v>
      </c>
      <c r="BN905" s="76" t="s">
        <v>24937</v>
      </c>
      <c r="BO905" s="83" t="str">
        <f>HYPERLINK("https://twitter.com/tio_gin")</f>
        <v>https://twitter.com/tio_gin</v>
      </c>
      <c r="BP905" s="2"/>
    </row>
    <row r="906" spans="1:68" x14ac:dyDescent="0.25">
      <c r="A906" s="62" t="s">
        <v>1093</v>
      </c>
      <c r="B906" s="63"/>
      <c r="C906" s="63"/>
      <c r="D906" s="64"/>
      <c r="E906" s="66"/>
      <c r="F906" s="102" t="str">
        <f>HYPERLINK("https://pbs.twimg.com/profile_images/888489338069274624/Y8E8faiN_normal.jpg")</f>
        <v>https://pbs.twimg.com/profile_images/888489338069274624/Y8E8faiN_normal.jpg</v>
      </c>
      <c r="G906" s="63"/>
      <c r="H906" s="67"/>
      <c r="I906" s="68"/>
      <c r="J906" s="68"/>
      <c r="K906" s="67" t="s">
        <v>25840</v>
      </c>
      <c r="L906" s="71"/>
      <c r="M906" s="72"/>
      <c r="N906" s="72"/>
      <c r="O906" s="73"/>
      <c r="P906" s="74"/>
      <c r="Q906" s="74"/>
      <c r="R906" s="86"/>
      <c r="S906" s="86"/>
      <c r="T906" s="86"/>
      <c r="U906" s="86"/>
      <c r="V906" s="48"/>
      <c r="W906" s="48"/>
      <c r="X906" s="48"/>
      <c r="Y906" s="48"/>
      <c r="Z906" s="47"/>
      <c r="AA906" s="69">
        <v>906</v>
      </c>
      <c r="AB906" s="69"/>
      <c r="AC906" s="70"/>
      <c r="AD906" s="76" t="s">
        <v>22697</v>
      </c>
      <c r="AE906" s="81" t="s">
        <v>21664</v>
      </c>
      <c r="AF906" s="76">
        <v>176</v>
      </c>
      <c r="AG906" s="76">
        <v>663</v>
      </c>
      <c r="AH906" s="76">
        <v>2865</v>
      </c>
      <c r="AI906" s="76">
        <v>0</v>
      </c>
      <c r="AJ906" s="76">
        <v>2827</v>
      </c>
      <c r="AK906" s="76">
        <v>741</v>
      </c>
      <c r="AL906" s="76" t="b">
        <v>0</v>
      </c>
      <c r="AM906" s="78">
        <v>42930.61042824074</v>
      </c>
      <c r="AN906" s="76" t="s">
        <v>23306</v>
      </c>
      <c r="AO906" s="76" t="s">
        <v>24120</v>
      </c>
      <c r="AP906" s="83" t="str">
        <f>HYPERLINK("https://t.co/5Iz3oCIAih")</f>
        <v>https://t.co/5Iz3oCIAih</v>
      </c>
      <c r="AQ906" s="83" t="str">
        <f>HYPERLINK("http://www.sendasdoconhecimento.com.br/")</f>
        <v>http://www.sendasdoconhecimento.com.br/</v>
      </c>
      <c r="AR906" s="76" t="s">
        <v>24748</v>
      </c>
      <c r="AS906" s="76"/>
      <c r="AT906" s="76"/>
      <c r="AU906" s="76"/>
      <c r="AV906" s="76"/>
      <c r="AW906" s="83" t="str">
        <f>HYPERLINK("https://t.co/5Iz3oCIAih")</f>
        <v>https://t.co/5Iz3oCIAih</v>
      </c>
      <c r="AX906" s="76" t="b">
        <v>0</v>
      </c>
      <c r="AY906" s="76"/>
      <c r="AZ906" s="76"/>
      <c r="BA906" s="76" t="b">
        <v>0</v>
      </c>
      <c r="BB906" s="76" t="b">
        <v>1</v>
      </c>
      <c r="BC906" s="76" t="b">
        <v>0</v>
      </c>
      <c r="BD906" s="76" t="b">
        <v>0</v>
      </c>
      <c r="BE906" s="76" t="b">
        <v>1</v>
      </c>
      <c r="BF906" s="76" t="b">
        <v>0</v>
      </c>
      <c r="BG906" s="76" t="b">
        <v>0</v>
      </c>
      <c r="BH906" s="76"/>
      <c r="BI906" s="76"/>
      <c r="BJ906" s="76" t="s">
        <v>24935</v>
      </c>
      <c r="BK906" s="76" t="b">
        <v>0</v>
      </c>
      <c r="BL906" s="76"/>
      <c r="BM906" s="76" t="s">
        <v>66</v>
      </c>
      <c r="BN906" s="76" t="s">
        <v>24937</v>
      </c>
      <c r="BO906" s="83" t="str">
        <f>HYPERLINK("https://twitter.com/sendascontato")</f>
        <v>https://twitter.com/sendascontato</v>
      </c>
      <c r="BP906" s="2"/>
    </row>
    <row r="907" spans="1:68" x14ac:dyDescent="0.25">
      <c r="A907" s="62" t="s">
        <v>1094</v>
      </c>
      <c r="B907" s="63"/>
      <c r="C907" s="63"/>
      <c r="D907" s="64"/>
      <c r="E907" s="66"/>
      <c r="F907" s="102" t="str">
        <f>HYPERLINK("https://pbs.twimg.com/profile_images/1299482663116562434/KVJ7rp0M_normal.jpg")</f>
        <v>https://pbs.twimg.com/profile_images/1299482663116562434/KVJ7rp0M_normal.jpg</v>
      </c>
      <c r="G907" s="63"/>
      <c r="H907" s="67"/>
      <c r="I907" s="68"/>
      <c r="J907" s="68"/>
      <c r="K907" s="67" t="s">
        <v>25841</v>
      </c>
      <c r="L907" s="71"/>
      <c r="M907" s="72"/>
      <c r="N907" s="72"/>
      <c r="O907" s="73"/>
      <c r="P907" s="74"/>
      <c r="Q907" s="74"/>
      <c r="R907" s="86"/>
      <c r="S907" s="86"/>
      <c r="T907" s="86"/>
      <c r="U907" s="86"/>
      <c r="V907" s="48"/>
      <c r="W907" s="48"/>
      <c r="X907" s="48"/>
      <c r="Y907" s="48"/>
      <c r="Z907" s="47"/>
      <c r="AA907" s="69">
        <v>907</v>
      </c>
      <c r="AB907" s="69"/>
      <c r="AC907" s="70"/>
      <c r="AD907" s="76" t="s">
        <v>22698</v>
      </c>
      <c r="AE907" s="81" t="s">
        <v>21665</v>
      </c>
      <c r="AF907" s="76">
        <v>97</v>
      </c>
      <c r="AG907" s="76">
        <v>71</v>
      </c>
      <c r="AH907" s="76">
        <v>856</v>
      </c>
      <c r="AI907" s="76">
        <v>0</v>
      </c>
      <c r="AJ907" s="76">
        <v>97</v>
      </c>
      <c r="AK907" s="76">
        <v>68</v>
      </c>
      <c r="AL907" s="76" t="b">
        <v>0</v>
      </c>
      <c r="AM907" s="78">
        <v>43928.193194444444</v>
      </c>
      <c r="AN907" s="76" t="s">
        <v>23129</v>
      </c>
      <c r="AO907" s="76" t="s">
        <v>24121</v>
      </c>
      <c r="AP907" s="83" t="str">
        <f>HYPERLINK("https://t.co/pcTiSoVLrF")</f>
        <v>https://t.co/pcTiSoVLrF</v>
      </c>
      <c r="AQ907" s="83" t="str">
        <f>HYPERLINK("https://youtube.com/gunslingercenter")</f>
        <v>https://youtube.com/gunslingercenter</v>
      </c>
      <c r="AR907" s="76" t="s">
        <v>24749</v>
      </c>
      <c r="AS907" s="76"/>
      <c r="AT907" s="76"/>
      <c r="AU907" s="76"/>
      <c r="AV907" s="76"/>
      <c r="AW907" s="83" t="str">
        <f>HYPERLINK("https://t.co/pcTiSoVLrF")</f>
        <v>https://t.co/pcTiSoVLrF</v>
      </c>
      <c r="AX907" s="76" t="b">
        <v>0</v>
      </c>
      <c r="AY907" s="76"/>
      <c r="AZ907" s="76"/>
      <c r="BA907" s="76" t="b">
        <v>0</v>
      </c>
      <c r="BB907" s="76" t="b">
        <v>1</v>
      </c>
      <c r="BC907" s="76" t="b">
        <v>1</v>
      </c>
      <c r="BD907" s="76" t="b">
        <v>0</v>
      </c>
      <c r="BE907" s="76" t="b">
        <v>0</v>
      </c>
      <c r="BF907" s="76" t="b">
        <v>0</v>
      </c>
      <c r="BG907" s="76" t="b">
        <v>0</v>
      </c>
      <c r="BH907" s="83" t="str">
        <f>HYPERLINK("https://pbs.twimg.com/profile_banners/1247383113027801088/1681756916")</f>
        <v>https://pbs.twimg.com/profile_banners/1247383113027801088/1681756916</v>
      </c>
      <c r="BI907" s="76"/>
      <c r="BJ907" s="76" t="s">
        <v>24935</v>
      </c>
      <c r="BK907" s="76" t="b">
        <v>0</v>
      </c>
      <c r="BL907" s="76"/>
      <c r="BM907" s="76" t="s">
        <v>66</v>
      </c>
      <c r="BN907" s="76" t="s">
        <v>24937</v>
      </c>
      <c r="BO907" s="83" t="str">
        <f>HYPERLINK("https://twitter.com/gunscenter")</f>
        <v>https://twitter.com/gunscenter</v>
      </c>
      <c r="BP907" s="2"/>
    </row>
    <row r="908" spans="1:68" x14ac:dyDescent="0.25">
      <c r="A908" s="62" t="s">
        <v>1095</v>
      </c>
      <c r="B908" s="63"/>
      <c r="C908" s="63"/>
      <c r="D908" s="64"/>
      <c r="E908" s="66"/>
      <c r="F908" s="102" t="str">
        <f>HYPERLINK("https://pbs.twimg.com/profile_images/1599268701278191616/7jBh4n4l_normal.jpg")</f>
        <v>https://pbs.twimg.com/profile_images/1599268701278191616/7jBh4n4l_normal.jpg</v>
      </c>
      <c r="G908" s="63"/>
      <c r="H908" s="67"/>
      <c r="I908" s="68"/>
      <c r="J908" s="68"/>
      <c r="K908" s="67" t="s">
        <v>25842</v>
      </c>
      <c r="L908" s="71"/>
      <c r="M908" s="72"/>
      <c r="N908" s="72"/>
      <c r="O908" s="73"/>
      <c r="P908" s="74"/>
      <c r="Q908" s="74"/>
      <c r="R908" s="86"/>
      <c r="S908" s="86"/>
      <c r="T908" s="86"/>
      <c r="U908" s="86"/>
      <c r="V908" s="48"/>
      <c r="W908" s="48"/>
      <c r="X908" s="48"/>
      <c r="Y908" s="48"/>
      <c r="Z908" s="47"/>
      <c r="AA908" s="69">
        <v>908</v>
      </c>
      <c r="AB908" s="69"/>
      <c r="AC908" s="70"/>
      <c r="AD908" s="76" t="s">
        <v>22699</v>
      </c>
      <c r="AE908" s="81" t="s">
        <v>21666</v>
      </c>
      <c r="AF908" s="76">
        <v>345</v>
      </c>
      <c r="AG908" s="76">
        <v>830</v>
      </c>
      <c r="AH908" s="76">
        <v>349</v>
      </c>
      <c r="AI908" s="76">
        <v>1</v>
      </c>
      <c r="AJ908" s="76">
        <v>2173</v>
      </c>
      <c r="AK908" s="76">
        <v>21</v>
      </c>
      <c r="AL908" s="76" t="b">
        <v>0</v>
      </c>
      <c r="AM908" s="78">
        <v>44632.954942129632</v>
      </c>
      <c r="AN908" s="76"/>
      <c r="AO908" s="76" t="s">
        <v>24122</v>
      </c>
      <c r="AP908" s="76"/>
      <c r="AQ908" s="76"/>
      <c r="AR908" s="76"/>
      <c r="AS908" s="76"/>
      <c r="AT908" s="76"/>
      <c r="AU908" s="76"/>
      <c r="AV908" s="76">
        <v>1.62312135634162E+18</v>
      </c>
      <c r="AW908" s="76"/>
      <c r="AX908" s="76" t="b">
        <v>0</v>
      </c>
      <c r="AY908" s="76"/>
      <c r="AZ908" s="76"/>
      <c r="BA908" s="76" t="b">
        <v>0</v>
      </c>
      <c r="BB908" s="76" t="b">
        <v>1</v>
      </c>
      <c r="BC908" s="76" t="b">
        <v>1</v>
      </c>
      <c r="BD908" s="76" t="b">
        <v>0</v>
      </c>
      <c r="BE908" s="76" t="b">
        <v>1</v>
      </c>
      <c r="BF908" s="76" t="b">
        <v>0</v>
      </c>
      <c r="BG908" s="76" t="b">
        <v>0</v>
      </c>
      <c r="BH908" s="83" t="str">
        <f>HYPERLINK("https://pbs.twimg.com/profile_banners/1502780073954455556/1670956078")</f>
        <v>https://pbs.twimg.com/profile_banners/1502780073954455556/1670956078</v>
      </c>
      <c r="BI908" s="76"/>
      <c r="BJ908" s="76" t="s">
        <v>24935</v>
      </c>
      <c r="BK908" s="76" t="b">
        <v>0</v>
      </c>
      <c r="BL908" s="76"/>
      <c r="BM908" s="76" t="s">
        <v>66</v>
      </c>
      <c r="BN908" s="76" t="s">
        <v>24937</v>
      </c>
      <c r="BO908" s="83" t="str">
        <f>HYPERLINK("https://twitter.com/ana_rica2")</f>
        <v>https://twitter.com/ana_rica2</v>
      </c>
      <c r="BP908" s="2"/>
    </row>
    <row r="909" spans="1:68" x14ac:dyDescent="0.25">
      <c r="A909" s="62" t="s">
        <v>1096</v>
      </c>
      <c r="B909" s="63"/>
      <c r="C909" s="63"/>
      <c r="D909" s="64"/>
      <c r="E909" s="66"/>
      <c r="F909" s="102" t="str">
        <f>HYPERLINK("https://pbs.twimg.com/profile_images/1677775578903003136/GsOO5viQ_normal.jpg")</f>
        <v>https://pbs.twimg.com/profile_images/1677775578903003136/GsOO5viQ_normal.jpg</v>
      </c>
      <c r="G909" s="63"/>
      <c r="H909" s="67"/>
      <c r="I909" s="68"/>
      <c r="J909" s="68"/>
      <c r="K909" s="67" t="s">
        <v>25843</v>
      </c>
      <c r="L909" s="71"/>
      <c r="M909" s="72"/>
      <c r="N909" s="72"/>
      <c r="O909" s="73"/>
      <c r="P909" s="74"/>
      <c r="Q909" s="74"/>
      <c r="R909" s="86"/>
      <c r="S909" s="86"/>
      <c r="T909" s="86"/>
      <c r="U909" s="86"/>
      <c r="V909" s="48"/>
      <c r="W909" s="48"/>
      <c r="X909" s="48"/>
      <c r="Y909" s="48"/>
      <c r="Z909" s="47"/>
      <c r="AA909" s="69">
        <v>909</v>
      </c>
      <c r="AB909" s="69"/>
      <c r="AC909" s="70"/>
      <c r="AD909" s="76" t="s">
        <v>22700</v>
      </c>
      <c r="AE909" s="81" t="s">
        <v>21667</v>
      </c>
      <c r="AF909" s="76">
        <v>1</v>
      </c>
      <c r="AG909" s="76">
        <v>12</v>
      </c>
      <c r="AH909" s="76">
        <v>38</v>
      </c>
      <c r="AI909" s="76">
        <v>0</v>
      </c>
      <c r="AJ909" s="76">
        <v>0</v>
      </c>
      <c r="AK909" s="76">
        <v>13</v>
      </c>
      <c r="AL909" s="76" t="b">
        <v>0</v>
      </c>
      <c r="AM909" s="78">
        <v>43848.114224537036</v>
      </c>
      <c r="AN909" s="76" t="s">
        <v>14033</v>
      </c>
      <c r="AO909" s="83" t="str">
        <f>HYPERLINK("https://t.co/PLjY2X3soX")</f>
        <v>https://t.co/PLjY2X3soX</v>
      </c>
      <c r="AP909" s="83" t="str">
        <f>HYPERLINK("https://t.co/33oureO6Sc")</f>
        <v>https://t.co/33oureO6Sc</v>
      </c>
      <c r="AQ909" s="83" t="str">
        <f>HYPERLINK("https://biolivre.com.br/startstorehr")</f>
        <v>https://biolivre.com.br/startstorehr</v>
      </c>
      <c r="AR909" s="76" t="s">
        <v>24750</v>
      </c>
      <c r="AS909" s="83" t="str">
        <f>HYPERLINK("https://t.co/PLjY2X3soX")</f>
        <v>https://t.co/PLjY2X3soX</v>
      </c>
      <c r="AT909" s="83" t="str">
        <f>HYPERLINK("https://mycollection.shop/infohenri?share_channel_code=7")</f>
        <v>https://mycollection.shop/infohenri?share_channel_code=7</v>
      </c>
      <c r="AU909" s="76" t="s">
        <v>24920</v>
      </c>
      <c r="AV909" s="76"/>
      <c r="AW909" s="83" t="str">
        <f>HYPERLINK("https://t.co/33oureO6Sc")</f>
        <v>https://t.co/33oureO6Sc</v>
      </c>
      <c r="AX909" s="76" t="b">
        <v>0</v>
      </c>
      <c r="AY909" s="76"/>
      <c r="AZ909" s="76"/>
      <c r="BA909" s="76" t="b">
        <v>0</v>
      </c>
      <c r="BB909" s="76" t="b">
        <v>1</v>
      </c>
      <c r="BC909" s="76" t="b">
        <v>1</v>
      </c>
      <c r="BD909" s="76" t="b">
        <v>0</v>
      </c>
      <c r="BE909" s="76" t="b">
        <v>1</v>
      </c>
      <c r="BF909" s="76" t="b">
        <v>0</v>
      </c>
      <c r="BG909" s="76" t="b">
        <v>0</v>
      </c>
      <c r="BH909" s="83" t="str">
        <f>HYPERLINK("https://pbs.twimg.com/profile_banners/1218363417079304192/1582687916")</f>
        <v>https://pbs.twimg.com/profile_banners/1218363417079304192/1582687916</v>
      </c>
      <c r="BI909" s="76"/>
      <c r="BJ909" s="76" t="s">
        <v>24935</v>
      </c>
      <c r="BK909" s="76" t="b">
        <v>0</v>
      </c>
      <c r="BL909" s="76"/>
      <c r="BM909" s="76" t="s">
        <v>66</v>
      </c>
      <c r="BN909" s="76" t="s">
        <v>24937</v>
      </c>
      <c r="BO909" s="83" t="str">
        <f>HYPERLINK("https://twitter.com/henriquer2020")</f>
        <v>https://twitter.com/henriquer2020</v>
      </c>
      <c r="BP909" s="2"/>
    </row>
    <row r="910" spans="1:68" x14ac:dyDescent="0.25">
      <c r="A910" s="62" t="s">
        <v>1097</v>
      </c>
      <c r="B910" s="63"/>
      <c r="C910" s="63"/>
      <c r="D910" s="64"/>
      <c r="E910" s="66"/>
      <c r="F910" s="102" t="str">
        <f>HYPERLINK("https://pbs.twimg.com/profile_images/1688030612458803200/Hr9XH0Ju_normal.jpg")</f>
        <v>https://pbs.twimg.com/profile_images/1688030612458803200/Hr9XH0Ju_normal.jpg</v>
      </c>
      <c r="G910" s="63"/>
      <c r="H910" s="67"/>
      <c r="I910" s="68"/>
      <c r="J910" s="68"/>
      <c r="K910" s="67" t="s">
        <v>25844</v>
      </c>
      <c r="L910" s="71"/>
      <c r="M910" s="72"/>
      <c r="N910" s="72"/>
      <c r="O910" s="73"/>
      <c r="P910" s="74"/>
      <c r="Q910" s="74"/>
      <c r="R910" s="86"/>
      <c r="S910" s="86"/>
      <c r="T910" s="86"/>
      <c r="U910" s="86"/>
      <c r="V910" s="48"/>
      <c r="W910" s="48"/>
      <c r="X910" s="48"/>
      <c r="Y910" s="48"/>
      <c r="Z910" s="47"/>
      <c r="AA910" s="69">
        <v>910</v>
      </c>
      <c r="AB910" s="69"/>
      <c r="AC910" s="70"/>
      <c r="AD910" s="76" t="s">
        <v>22701</v>
      </c>
      <c r="AE910" s="81" t="s">
        <v>21668</v>
      </c>
      <c r="AF910" s="76">
        <v>2</v>
      </c>
      <c r="AG910" s="76">
        <v>2</v>
      </c>
      <c r="AH910" s="76">
        <v>426</v>
      </c>
      <c r="AI910" s="76">
        <v>0</v>
      </c>
      <c r="AJ910" s="76">
        <v>6</v>
      </c>
      <c r="AK910" s="76">
        <v>287</v>
      </c>
      <c r="AL910" s="76" t="b">
        <v>0</v>
      </c>
      <c r="AM910" s="78">
        <v>45119.538784722223</v>
      </c>
      <c r="AN910" s="76"/>
      <c r="AO910" s="76"/>
      <c r="AP910" s="76"/>
      <c r="AQ910" s="76"/>
      <c r="AR910" s="76"/>
      <c r="AS910" s="76"/>
      <c r="AT910" s="76"/>
      <c r="AU910" s="76"/>
      <c r="AV910" s="76"/>
      <c r="AW910" s="76"/>
      <c r="AX910" s="76" t="b">
        <v>0</v>
      </c>
      <c r="AY910" s="76"/>
      <c r="AZ910" s="76"/>
      <c r="BA910" s="76" t="b">
        <v>0</v>
      </c>
      <c r="BB910" s="76" t="b">
        <v>1</v>
      </c>
      <c r="BC910" s="76" t="b">
        <v>1</v>
      </c>
      <c r="BD910" s="76" t="b">
        <v>0</v>
      </c>
      <c r="BE910" s="76" t="b">
        <v>0</v>
      </c>
      <c r="BF910" s="76" t="b">
        <v>0</v>
      </c>
      <c r="BG910" s="76" t="b">
        <v>0</v>
      </c>
      <c r="BH910" s="76"/>
      <c r="BI910" s="76"/>
      <c r="BJ910" s="76" t="s">
        <v>24935</v>
      </c>
      <c r="BK910" s="76" t="b">
        <v>0</v>
      </c>
      <c r="BL910" s="76"/>
      <c r="BM910" s="76" t="s">
        <v>66</v>
      </c>
      <c r="BN910" s="76" t="s">
        <v>24937</v>
      </c>
      <c r="BO910" s="83" t="str">
        <f>HYPERLINK("https://twitter.com/marcosmano63653")</f>
        <v>https://twitter.com/marcosmano63653</v>
      </c>
      <c r="BP910" s="2"/>
    </row>
    <row r="911" spans="1:68" x14ac:dyDescent="0.25">
      <c r="A911" s="62" t="s">
        <v>1098</v>
      </c>
      <c r="B911" s="63"/>
      <c r="C911" s="63"/>
      <c r="D911" s="64"/>
      <c r="E911" s="66"/>
      <c r="F911" s="102" t="str">
        <f>HYPERLINK("https://pbs.twimg.com/profile_images/1617718463283298306/RDqkDWOT_normal.jpg")</f>
        <v>https://pbs.twimg.com/profile_images/1617718463283298306/RDqkDWOT_normal.jpg</v>
      </c>
      <c r="G911" s="63"/>
      <c r="H911" s="67"/>
      <c r="I911" s="68"/>
      <c r="J911" s="68"/>
      <c r="K911" s="67" t="s">
        <v>25845</v>
      </c>
      <c r="L911" s="71"/>
      <c r="M911" s="72"/>
      <c r="N911" s="72"/>
      <c r="O911" s="73"/>
      <c r="P911" s="74"/>
      <c r="Q911" s="74"/>
      <c r="R911" s="86"/>
      <c r="S911" s="86"/>
      <c r="T911" s="86"/>
      <c r="U911" s="86"/>
      <c r="V911" s="48"/>
      <c r="W911" s="48"/>
      <c r="X911" s="48"/>
      <c r="Y911" s="48"/>
      <c r="Z911" s="47"/>
      <c r="AA911" s="69">
        <v>911</v>
      </c>
      <c r="AB911" s="69"/>
      <c r="AC911" s="70"/>
      <c r="AD911" s="76" t="s">
        <v>22702</v>
      </c>
      <c r="AE911" s="81" t="s">
        <v>21669</v>
      </c>
      <c r="AF911" s="76">
        <v>0</v>
      </c>
      <c r="AG911" s="76">
        <v>1</v>
      </c>
      <c r="AH911" s="76">
        <v>2</v>
      </c>
      <c r="AI911" s="76">
        <v>0</v>
      </c>
      <c r="AJ911" s="76">
        <v>0</v>
      </c>
      <c r="AK911" s="76">
        <v>2</v>
      </c>
      <c r="AL911" s="76" t="b">
        <v>0</v>
      </c>
      <c r="AM911" s="78">
        <v>44950.123969907407</v>
      </c>
      <c r="AN911" s="76"/>
      <c r="AO911" s="76"/>
      <c r="AP911" s="76"/>
      <c r="AQ911" s="76"/>
      <c r="AR911" s="76"/>
      <c r="AS911" s="76"/>
      <c r="AT911" s="76"/>
      <c r="AU911" s="76"/>
      <c r="AV911" s="76"/>
      <c r="AW911" s="76"/>
      <c r="AX911" s="76" t="b">
        <v>0</v>
      </c>
      <c r="AY911" s="76"/>
      <c r="AZ911" s="76"/>
      <c r="BA911" s="76" t="b">
        <v>0</v>
      </c>
      <c r="BB911" s="76" t="b">
        <v>1</v>
      </c>
      <c r="BC911" s="76" t="b">
        <v>1</v>
      </c>
      <c r="BD911" s="76" t="b">
        <v>0</v>
      </c>
      <c r="BE911" s="76" t="b">
        <v>0</v>
      </c>
      <c r="BF911" s="76" t="b">
        <v>0</v>
      </c>
      <c r="BG911" s="76" t="b">
        <v>0</v>
      </c>
      <c r="BH911" s="76"/>
      <c r="BI911" s="76"/>
      <c r="BJ911" s="76" t="s">
        <v>24935</v>
      </c>
      <c r="BK911" s="76" t="b">
        <v>0</v>
      </c>
      <c r="BL911" s="76"/>
      <c r="BM911" s="76" t="s">
        <v>66</v>
      </c>
      <c r="BN911" s="76" t="s">
        <v>24937</v>
      </c>
      <c r="BO911" s="83" t="str">
        <f>HYPERLINK("https://twitter.com/mariana01790550")</f>
        <v>https://twitter.com/mariana01790550</v>
      </c>
      <c r="BP911" s="2"/>
    </row>
    <row r="912" spans="1:68" x14ac:dyDescent="0.25">
      <c r="A912" s="62" t="s">
        <v>1099</v>
      </c>
      <c r="B912" s="63"/>
      <c r="C912" s="63"/>
      <c r="D912" s="64"/>
      <c r="E912" s="66"/>
      <c r="F912" s="102" t="str">
        <f>HYPERLINK("https://pbs.twimg.com/profile_images/1674386319303122947/duQvD13b_normal.jpg")</f>
        <v>https://pbs.twimg.com/profile_images/1674386319303122947/duQvD13b_normal.jpg</v>
      </c>
      <c r="G912" s="63"/>
      <c r="H912" s="67"/>
      <c r="I912" s="68"/>
      <c r="J912" s="68"/>
      <c r="K912" s="67" t="s">
        <v>25846</v>
      </c>
      <c r="L912" s="71"/>
      <c r="M912" s="72"/>
      <c r="N912" s="72"/>
      <c r="O912" s="73"/>
      <c r="P912" s="74"/>
      <c r="Q912" s="74"/>
      <c r="R912" s="86"/>
      <c r="S912" s="86"/>
      <c r="T912" s="86"/>
      <c r="U912" s="86"/>
      <c r="V912" s="48"/>
      <c r="W912" s="48"/>
      <c r="X912" s="48"/>
      <c r="Y912" s="48"/>
      <c r="Z912" s="47"/>
      <c r="AA912" s="69">
        <v>912</v>
      </c>
      <c r="AB912" s="69"/>
      <c r="AC912" s="70"/>
      <c r="AD912" s="76" t="s">
        <v>22703</v>
      </c>
      <c r="AE912" s="81" t="s">
        <v>21670</v>
      </c>
      <c r="AF912" s="76">
        <v>2</v>
      </c>
      <c r="AG912" s="76">
        <v>20</v>
      </c>
      <c r="AH912" s="76">
        <v>80</v>
      </c>
      <c r="AI912" s="76">
        <v>0</v>
      </c>
      <c r="AJ912" s="76">
        <v>100</v>
      </c>
      <c r="AK912" s="76">
        <v>58</v>
      </c>
      <c r="AL912" s="76" t="b">
        <v>0</v>
      </c>
      <c r="AM912" s="78">
        <v>45099.991678240738</v>
      </c>
      <c r="AN912" s="76" t="s">
        <v>23307</v>
      </c>
      <c r="AO912" s="76" t="s">
        <v>24123</v>
      </c>
      <c r="AP912" s="83" t="str">
        <f>HYPERLINK("https://t.co/QnaUFiFVRC")</f>
        <v>https://t.co/QnaUFiFVRC</v>
      </c>
      <c r="AQ912" s="83" t="str">
        <f>HYPERLINK("https://superln.blogspot.com/")</f>
        <v>https://superln.blogspot.com/</v>
      </c>
      <c r="AR912" s="76" t="s">
        <v>24751</v>
      </c>
      <c r="AS912" s="76"/>
      <c r="AT912" s="76"/>
      <c r="AU912" s="76"/>
      <c r="AV912" s="76">
        <v>1.6733131858210099E+18</v>
      </c>
      <c r="AW912" s="83" t="str">
        <f>HYPERLINK("https://t.co/QnaUFiFVRC")</f>
        <v>https://t.co/QnaUFiFVRC</v>
      </c>
      <c r="AX912" s="76" t="b">
        <v>0</v>
      </c>
      <c r="AY912" s="76"/>
      <c r="AZ912" s="76"/>
      <c r="BA912" s="76" t="b">
        <v>0</v>
      </c>
      <c r="BB912" s="76" t="b">
        <v>1</v>
      </c>
      <c r="BC912" s="76" t="b">
        <v>1</v>
      </c>
      <c r="BD912" s="76" t="b">
        <v>0</v>
      </c>
      <c r="BE912" s="76" t="b">
        <v>0</v>
      </c>
      <c r="BF912" s="76" t="b">
        <v>0</v>
      </c>
      <c r="BG912" s="76" t="b">
        <v>0</v>
      </c>
      <c r="BH912" s="83" t="str">
        <f>HYPERLINK("https://pbs.twimg.com/profile_banners/1672028403602432001/1688039856")</f>
        <v>https://pbs.twimg.com/profile_banners/1672028403602432001/1688039856</v>
      </c>
      <c r="BI912" s="76"/>
      <c r="BJ912" s="76" t="s">
        <v>24935</v>
      </c>
      <c r="BK912" s="76" t="b">
        <v>0</v>
      </c>
      <c r="BL912" s="76"/>
      <c r="BM912" s="76" t="s">
        <v>66</v>
      </c>
      <c r="BN912" s="76" t="s">
        <v>24937</v>
      </c>
      <c r="BO912" s="83" t="str">
        <f>HYPERLINK("https://twitter.com/leticialeite023")</f>
        <v>https://twitter.com/leticialeite023</v>
      </c>
      <c r="BP912" s="2"/>
    </row>
    <row r="913" spans="1:68" x14ac:dyDescent="0.25">
      <c r="A913" s="62" t="s">
        <v>1100</v>
      </c>
      <c r="B913" s="63"/>
      <c r="C913" s="63"/>
      <c r="D913" s="64"/>
      <c r="E913" s="66"/>
      <c r="F913" s="102" t="str">
        <f>HYPERLINK("https://pbs.twimg.com/profile_images/1681049803063451649/EpcRfaGI_normal.jpg")</f>
        <v>https://pbs.twimg.com/profile_images/1681049803063451649/EpcRfaGI_normal.jpg</v>
      </c>
      <c r="G913" s="63"/>
      <c r="H913" s="67"/>
      <c r="I913" s="68"/>
      <c r="J913" s="68"/>
      <c r="K913" s="67" t="s">
        <v>25847</v>
      </c>
      <c r="L913" s="71"/>
      <c r="M913" s="72"/>
      <c r="N913" s="72"/>
      <c r="O913" s="73"/>
      <c r="P913" s="74"/>
      <c r="Q913" s="74"/>
      <c r="R913" s="86"/>
      <c r="S913" s="86"/>
      <c r="T913" s="86"/>
      <c r="U913" s="86"/>
      <c r="V913" s="48"/>
      <c r="W913" s="48"/>
      <c r="X913" s="48"/>
      <c r="Y913" s="48"/>
      <c r="Z913" s="47"/>
      <c r="AA913" s="69">
        <v>913</v>
      </c>
      <c r="AB913" s="69"/>
      <c r="AC913" s="70"/>
      <c r="AD913" s="76" t="s">
        <v>22704</v>
      </c>
      <c r="AE913" s="81" t="s">
        <v>21671</v>
      </c>
      <c r="AF913" s="76">
        <v>234</v>
      </c>
      <c r="AG913" s="76">
        <v>453</v>
      </c>
      <c r="AH913" s="76">
        <v>9592</v>
      </c>
      <c r="AI913" s="76">
        <v>0</v>
      </c>
      <c r="AJ913" s="76">
        <v>17130</v>
      </c>
      <c r="AK913" s="76">
        <v>701</v>
      </c>
      <c r="AL913" s="76" t="b">
        <v>0</v>
      </c>
      <c r="AM913" s="78">
        <v>43473.675011574072</v>
      </c>
      <c r="AN913" s="76" t="s">
        <v>23308</v>
      </c>
      <c r="AO913" s="81" t="s">
        <v>24124</v>
      </c>
      <c r="AP913" s="83" t="str">
        <f>HYPERLINK("https://t.co/ceb7aM181f")</f>
        <v>https://t.co/ceb7aM181f</v>
      </c>
      <c r="AQ913" s="83" t="str">
        <f>HYPERLINK("https://linktr.ee/eliasisi")</f>
        <v>https://linktr.ee/eliasisi</v>
      </c>
      <c r="AR913" s="76" t="s">
        <v>24752</v>
      </c>
      <c r="AS913" s="76"/>
      <c r="AT913" s="76"/>
      <c r="AU913" s="76"/>
      <c r="AV913" s="76">
        <v>1.55322185338415E+18</v>
      </c>
      <c r="AW913" s="83" t="str">
        <f>HYPERLINK("https://t.co/ceb7aM181f")</f>
        <v>https://t.co/ceb7aM181f</v>
      </c>
      <c r="AX913" s="76" t="b">
        <v>0</v>
      </c>
      <c r="AY913" s="76"/>
      <c r="AZ913" s="76"/>
      <c r="BA913" s="76" t="b">
        <v>1</v>
      </c>
      <c r="BB913" s="76" t="b">
        <v>0</v>
      </c>
      <c r="BC913" s="76" t="b">
        <v>1</v>
      </c>
      <c r="BD913" s="76" t="b">
        <v>0</v>
      </c>
      <c r="BE913" s="76" t="b">
        <v>1</v>
      </c>
      <c r="BF913" s="76" t="b">
        <v>0</v>
      </c>
      <c r="BG913" s="76" t="b">
        <v>0</v>
      </c>
      <c r="BH913" s="83" t="str">
        <f>HYPERLINK("https://pbs.twimg.com/profile_banners/1082671273124212736/1669937709")</f>
        <v>https://pbs.twimg.com/profile_banners/1082671273124212736/1669937709</v>
      </c>
      <c r="BI913" s="76"/>
      <c r="BJ913" s="76" t="s">
        <v>24935</v>
      </c>
      <c r="BK913" s="76" t="b">
        <v>0</v>
      </c>
      <c r="BL913" s="76"/>
      <c r="BM913" s="76" t="s">
        <v>66</v>
      </c>
      <c r="BN913" s="76" t="s">
        <v>24937</v>
      </c>
      <c r="BO913" s="83" t="str">
        <f>HYPERLINK("https://twitter.com/eliasisi")</f>
        <v>https://twitter.com/eliasisi</v>
      </c>
      <c r="BP913" s="2"/>
    </row>
    <row r="914" spans="1:68" x14ac:dyDescent="0.25">
      <c r="A914" s="62" t="s">
        <v>1273</v>
      </c>
      <c r="B914" s="63"/>
      <c r="C914" s="63"/>
      <c r="D914" s="64"/>
      <c r="E914" s="66"/>
      <c r="F914" s="102" t="str">
        <f>HYPERLINK("https://pbs.twimg.com/profile_images/1695088132453023744/xIWvHVh2_normal.jpg")</f>
        <v>https://pbs.twimg.com/profile_images/1695088132453023744/xIWvHVh2_normal.jpg</v>
      </c>
      <c r="G914" s="63"/>
      <c r="H914" s="67"/>
      <c r="I914" s="68"/>
      <c r="J914" s="68"/>
      <c r="K914" s="67" t="s">
        <v>25848</v>
      </c>
      <c r="L914" s="71"/>
      <c r="M914" s="72"/>
      <c r="N914" s="72"/>
      <c r="O914" s="73"/>
      <c r="P914" s="74"/>
      <c r="Q914" s="74"/>
      <c r="R914" s="86"/>
      <c r="S914" s="86"/>
      <c r="T914" s="86"/>
      <c r="U914" s="86"/>
      <c r="V914" s="48"/>
      <c r="W914" s="48"/>
      <c r="X914" s="48"/>
      <c r="Y914" s="48"/>
      <c r="Z914" s="47"/>
      <c r="AA914" s="69">
        <v>914</v>
      </c>
      <c r="AB914" s="69"/>
      <c r="AC914" s="70"/>
      <c r="AD914" s="76" t="s">
        <v>22705</v>
      </c>
      <c r="AE914" s="81" t="s">
        <v>20965</v>
      </c>
      <c r="AF914" s="76">
        <v>21</v>
      </c>
      <c r="AG914" s="76">
        <v>117</v>
      </c>
      <c r="AH914" s="76">
        <v>3234</v>
      </c>
      <c r="AI914" s="76">
        <v>0</v>
      </c>
      <c r="AJ914" s="76">
        <v>6128</v>
      </c>
      <c r="AK914" s="76">
        <v>149</v>
      </c>
      <c r="AL914" s="76" t="b">
        <v>0</v>
      </c>
      <c r="AM914" s="78">
        <v>43575.97388888889</v>
      </c>
      <c r="AN914" s="76" t="s">
        <v>23309</v>
      </c>
      <c r="AO914" s="76" t="s">
        <v>24125</v>
      </c>
      <c r="AP914" s="76"/>
      <c r="AQ914" s="76"/>
      <c r="AR914" s="76"/>
      <c r="AS914" s="76"/>
      <c r="AT914" s="76"/>
      <c r="AU914" s="76"/>
      <c r="AV914" s="76">
        <v>1.61148275293053E+18</v>
      </c>
      <c r="AW914" s="76"/>
      <c r="AX914" s="76" t="b">
        <v>0</v>
      </c>
      <c r="AY914" s="76"/>
      <c r="AZ914" s="76"/>
      <c r="BA914" s="76" t="b">
        <v>1</v>
      </c>
      <c r="BB914" s="76" t="b">
        <v>0</v>
      </c>
      <c r="BC914" s="76" t="b">
        <v>1</v>
      </c>
      <c r="BD914" s="76" t="b">
        <v>0</v>
      </c>
      <c r="BE914" s="76" t="b">
        <v>1</v>
      </c>
      <c r="BF914" s="76" t="b">
        <v>0</v>
      </c>
      <c r="BG914" s="76" t="b">
        <v>0</v>
      </c>
      <c r="BH914" s="83" t="str">
        <f>HYPERLINK("https://pbs.twimg.com/profile_banners/1119743146500476928/1680013505")</f>
        <v>https://pbs.twimg.com/profile_banners/1119743146500476928/1680013505</v>
      </c>
      <c r="BI914" s="76"/>
      <c r="BJ914" s="76" t="s">
        <v>24935</v>
      </c>
      <c r="BK914" s="76" t="b">
        <v>0</v>
      </c>
      <c r="BL914" s="76"/>
      <c r="BM914" s="76" t="s">
        <v>65</v>
      </c>
      <c r="BN914" s="76" t="s">
        <v>24937</v>
      </c>
      <c r="BO914" s="83" t="str">
        <f>HYPERLINK("https://twitter.com/gpbbeloti")</f>
        <v>https://twitter.com/gpbbeloti</v>
      </c>
      <c r="BP914" s="2"/>
    </row>
    <row r="915" spans="1:68" x14ac:dyDescent="0.25">
      <c r="A915" s="62" t="s">
        <v>1101</v>
      </c>
      <c r="B915" s="63"/>
      <c r="C915" s="63"/>
      <c r="D915" s="64"/>
      <c r="E915" s="66"/>
      <c r="F915" s="102" t="str">
        <f>HYPERLINK("https://pbs.twimg.com/profile_images/1630704780514402304/gS1FBfd1_normal.jpg")</f>
        <v>https://pbs.twimg.com/profile_images/1630704780514402304/gS1FBfd1_normal.jpg</v>
      </c>
      <c r="G915" s="63"/>
      <c r="H915" s="67"/>
      <c r="I915" s="68"/>
      <c r="J915" s="68"/>
      <c r="K915" s="67" t="s">
        <v>25849</v>
      </c>
      <c r="L915" s="71"/>
      <c r="M915" s="72"/>
      <c r="N915" s="72"/>
      <c r="O915" s="73"/>
      <c r="P915" s="74"/>
      <c r="Q915" s="74"/>
      <c r="R915" s="86"/>
      <c r="S915" s="86"/>
      <c r="T915" s="86"/>
      <c r="U915" s="86"/>
      <c r="V915" s="48"/>
      <c r="W915" s="48"/>
      <c r="X915" s="48"/>
      <c r="Y915" s="48"/>
      <c r="Z915" s="47"/>
      <c r="AA915" s="69">
        <v>915</v>
      </c>
      <c r="AB915" s="69"/>
      <c r="AC915" s="70"/>
      <c r="AD915" s="76" t="s">
        <v>22706</v>
      </c>
      <c r="AE915" s="81" t="s">
        <v>23038</v>
      </c>
      <c r="AF915" s="76">
        <v>6</v>
      </c>
      <c r="AG915" s="76">
        <v>86</v>
      </c>
      <c r="AH915" s="76">
        <v>21</v>
      </c>
      <c r="AI915" s="76">
        <v>0</v>
      </c>
      <c r="AJ915" s="76">
        <v>52</v>
      </c>
      <c r="AK915" s="76">
        <v>2</v>
      </c>
      <c r="AL915" s="76" t="b">
        <v>0</v>
      </c>
      <c r="AM915" s="78">
        <v>40499.012025462966</v>
      </c>
      <c r="AN915" s="76"/>
      <c r="AO915" s="76" t="s">
        <v>24126</v>
      </c>
      <c r="AP915" s="76"/>
      <c r="AQ915" s="76"/>
      <c r="AR915" s="76"/>
      <c r="AS915" s="76"/>
      <c r="AT915" s="76"/>
      <c r="AU915" s="76"/>
      <c r="AV915" s="76"/>
      <c r="AW915" s="76"/>
      <c r="AX915" s="76" t="b">
        <v>0</v>
      </c>
      <c r="AY915" s="76"/>
      <c r="AZ915" s="76"/>
      <c r="BA915" s="76" t="b">
        <v>0</v>
      </c>
      <c r="BB915" s="76" t="b">
        <v>1</v>
      </c>
      <c r="BC915" s="76" t="b">
        <v>1</v>
      </c>
      <c r="BD915" s="76" t="b">
        <v>0</v>
      </c>
      <c r="BE915" s="76" t="b">
        <v>0</v>
      </c>
      <c r="BF915" s="76" t="b">
        <v>0</v>
      </c>
      <c r="BG915" s="76" t="b">
        <v>0</v>
      </c>
      <c r="BH915" s="76"/>
      <c r="BI915" s="76"/>
      <c r="BJ915" s="76" t="s">
        <v>24935</v>
      </c>
      <c r="BK915" s="76" t="b">
        <v>0</v>
      </c>
      <c r="BL915" s="76"/>
      <c r="BM915" s="76" t="s">
        <v>66</v>
      </c>
      <c r="BN915" s="76" t="s">
        <v>24937</v>
      </c>
      <c r="BO915" s="83" t="str">
        <f>HYPERLINK("https://twitter.com/murilodahmer")</f>
        <v>https://twitter.com/murilodahmer</v>
      </c>
      <c r="BP915" s="2"/>
    </row>
    <row r="916" spans="1:68" x14ac:dyDescent="0.25">
      <c r="A916" s="62" t="s">
        <v>1102</v>
      </c>
      <c r="B916" s="63"/>
      <c r="C916" s="63"/>
      <c r="D916" s="64"/>
      <c r="E916" s="66"/>
      <c r="F916" s="102" t="str">
        <f>HYPERLINK("https://pbs.twimg.com/profile_images/1659579797008183299/59tyGAz8_normal.jpg")</f>
        <v>https://pbs.twimg.com/profile_images/1659579797008183299/59tyGAz8_normal.jpg</v>
      </c>
      <c r="G916" s="63"/>
      <c r="H916" s="67"/>
      <c r="I916" s="68"/>
      <c r="J916" s="68"/>
      <c r="K916" s="67" t="s">
        <v>25850</v>
      </c>
      <c r="L916" s="71"/>
      <c r="M916" s="72"/>
      <c r="N916" s="72"/>
      <c r="O916" s="73"/>
      <c r="P916" s="74"/>
      <c r="Q916" s="74"/>
      <c r="R916" s="86"/>
      <c r="S916" s="86"/>
      <c r="T916" s="86"/>
      <c r="U916" s="86"/>
      <c r="V916" s="48"/>
      <c r="W916" s="48"/>
      <c r="X916" s="48"/>
      <c r="Y916" s="48"/>
      <c r="Z916" s="47"/>
      <c r="AA916" s="69">
        <v>916</v>
      </c>
      <c r="AB916" s="69"/>
      <c r="AC916" s="70"/>
      <c r="AD916" s="76" t="s">
        <v>22707</v>
      </c>
      <c r="AE916" s="81" t="s">
        <v>21672</v>
      </c>
      <c r="AF916" s="76">
        <v>464</v>
      </c>
      <c r="AG916" s="76">
        <v>28</v>
      </c>
      <c r="AH916" s="76">
        <v>254</v>
      </c>
      <c r="AI916" s="76">
        <v>0</v>
      </c>
      <c r="AJ916" s="76">
        <v>209</v>
      </c>
      <c r="AK916" s="76">
        <v>121</v>
      </c>
      <c r="AL916" s="76" t="b">
        <v>0</v>
      </c>
      <c r="AM916" s="78">
        <v>44446.463495370372</v>
      </c>
      <c r="AN916" s="76" t="s">
        <v>14073</v>
      </c>
      <c r="AO916" s="76" t="s">
        <v>24127</v>
      </c>
      <c r="AP916" s="83" t="str">
        <f>HYPERLINK("https://t.co/cC0Y8hQYAS")</f>
        <v>https://t.co/cC0Y8hQYAS</v>
      </c>
      <c r="AQ916" s="83" t="str">
        <f>HYPERLINK("https://linkfly.to/cursosgratisonline")</f>
        <v>https://linkfly.to/cursosgratisonline</v>
      </c>
      <c r="AR916" s="76" t="s">
        <v>24753</v>
      </c>
      <c r="AS916" s="76"/>
      <c r="AT916" s="76"/>
      <c r="AU916" s="76"/>
      <c r="AV916" s="76">
        <v>1.69651505291503E+18</v>
      </c>
      <c r="AW916" s="83" t="str">
        <f>HYPERLINK("https://t.co/cC0Y8hQYAS")</f>
        <v>https://t.co/cC0Y8hQYAS</v>
      </c>
      <c r="AX916" s="76" t="b">
        <v>0</v>
      </c>
      <c r="AY916" s="76"/>
      <c r="AZ916" s="76"/>
      <c r="BA916" s="76" t="b">
        <v>0</v>
      </c>
      <c r="BB916" s="76" t="b">
        <v>1</v>
      </c>
      <c r="BC916" s="76" t="b">
        <v>1</v>
      </c>
      <c r="BD916" s="76" t="b">
        <v>0</v>
      </c>
      <c r="BE916" s="76" t="b">
        <v>0</v>
      </c>
      <c r="BF916" s="76" t="b">
        <v>0</v>
      </c>
      <c r="BG916" s="76" t="b">
        <v>0</v>
      </c>
      <c r="BH916" s="83" t="str">
        <f>HYPERLINK("https://pbs.twimg.com/profile_banners/1435197297286074373/1688599922")</f>
        <v>https://pbs.twimg.com/profile_banners/1435197297286074373/1688599922</v>
      </c>
      <c r="BI916" s="76"/>
      <c r="BJ916" s="76" t="s">
        <v>24935</v>
      </c>
      <c r="BK916" s="76" t="b">
        <v>0</v>
      </c>
      <c r="BL916" s="76"/>
      <c r="BM916" s="76" t="s">
        <v>66</v>
      </c>
      <c r="BN916" s="76" t="s">
        <v>24937</v>
      </c>
      <c r="BO916" s="83" t="str">
        <f>HYPERLINK("https://twitter.com/cgo_cursos")</f>
        <v>https://twitter.com/cgo_cursos</v>
      </c>
      <c r="BP916" s="2"/>
    </row>
    <row r="917" spans="1:68" x14ac:dyDescent="0.25">
      <c r="A917" s="62" t="s">
        <v>1103</v>
      </c>
      <c r="B917" s="63"/>
      <c r="C917" s="63"/>
      <c r="D917" s="64"/>
      <c r="E917" s="66"/>
      <c r="F917" s="102" t="str">
        <f>HYPERLINK("https://pbs.twimg.com/profile_images/1278548193178013696/z5y56s3n_normal.jpg")</f>
        <v>https://pbs.twimg.com/profile_images/1278548193178013696/z5y56s3n_normal.jpg</v>
      </c>
      <c r="G917" s="63"/>
      <c r="H917" s="67"/>
      <c r="I917" s="68"/>
      <c r="J917" s="68"/>
      <c r="K917" s="67" t="s">
        <v>25851</v>
      </c>
      <c r="L917" s="71"/>
      <c r="M917" s="72"/>
      <c r="N917" s="72"/>
      <c r="O917" s="73"/>
      <c r="P917" s="74"/>
      <c r="Q917" s="74"/>
      <c r="R917" s="86"/>
      <c r="S917" s="86"/>
      <c r="T917" s="86"/>
      <c r="U917" s="86"/>
      <c r="V917" s="48"/>
      <c r="W917" s="48"/>
      <c r="X917" s="48"/>
      <c r="Y917" s="48"/>
      <c r="Z917" s="47"/>
      <c r="AA917" s="69">
        <v>917</v>
      </c>
      <c r="AB917" s="69"/>
      <c r="AC917" s="70"/>
      <c r="AD917" s="76" t="s">
        <v>22708</v>
      </c>
      <c r="AE917" s="81" t="s">
        <v>21673</v>
      </c>
      <c r="AF917" s="76">
        <v>9</v>
      </c>
      <c r="AG917" s="76">
        <v>35</v>
      </c>
      <c r="AH917" s="76">
        <v>12</v>
      </c>
      <c r="AI917" s="76">
        <v>0</v>
      </c>
      <c r="AJ917" s="76">
        <v>19</v>
      </c>
      <c r="AK917" s="76">
        <v>2</v>
      </c>
      <c r="AL917" s="76" t="b">
        <v>0</v>
      </c>
      <c r="AM917" s="78">
        <v>43679.793680555558</v>
      </c>
      <c r="AN917" s="76" t="s">
        <v>23310</v>
      </c>
      <c r="AO917" s="76" t="s">
        <v>24128</v>
      </c>
      <c r="AP917" s="76"/>
      <c r="AQ917" s="76"/>
      <c r="AR917" s="76"/>
      <c r="AS917" s="76"/>
      <c r="AT917" s="76"/>
      <c r="AU917" s="76"/>
      <c r="AV917" s="76"/>
      <c r="AW917" s="76"/>
      <c r="AX917" s="76" t="b">
        <v>0</v>
      </c>
      <c r="AY917" s="76"/>
      <c r="AZ917" s="76"/>
      <c r="BA917" s="76" t="b">
        <v>0</v>
      </c>
      <c r="BB917" s="76" t="b">
        <v>1</v>
      </c>
      <c r="BC917" s="76" t="b">
        <v>1</v>
      </c>
      <c r="BD917" s="76" t="b">
        <v>0</v>
      </c>
      <c r="BE917" s="76" t="b">
        <v>0</v>
      </c>
      <c r="BF917" s="76" t="b">
        <v>0</v>
      </c>
      <c r="BG917" s="76" t="b">
        <v>0</v>
      </c>
      <c r="BH917" s="83" t="str">
        <f>HYPERLINK("https://pbs.twimg.com/profile_banners/1157366179775823872/1566281194")</f>
        <v>https://pbs.twimg.com/profile_banners/1157366179775823872/1566281194</v>
      </c>
      <c r="BI917" s="76"/>
      <c r="BJ917" s="76" t="s">
        <v>24935</v>
      </c>
      <c r="BK917" s="76" t="b">
        <v>0</v>
      </c>
      <c r="BL917" s="76"/>
      <c r="BM917" s="76" t="s">
        <v>66</v>
      </c>
      <c r="BN917" s="76" t="s">
        <v>24937</v>
      </c>
      <c r="BO917" s="83" t="str">
        <f>HYPERLINK("https://twitter.com/50niggazsergio")</f>
        <v>https://twitter.com/50niggazsergio</v>
      </c>
      <c r="BP917" s="2"/>
    </row>
    <row r="918" spans="1:68" x14ac:dyDescent="0.25">
      <c r="A918" s="62" t="s">
        <v>1104</v>
      </c>
      <c r="B918" s="63"/>
      <c r="C918" s="63"/>
      <c r="D918" s="64"/>
      <c r="E918" s="66"/>
      <c r="F918" s="102" t="str">
        <f>HYPERLINK("https://pbs.twimg.com/profile_images/1358155775252791303/jd7qCS6S_normal.jpg")</f>
        <v>https://pbs.twimg.com/profile_images/1358155775252791303/jd7qCS6S_normal.jpg</v>
      </c>
      <c r="G918" s="63"/>
      <c r="H918" s="67"/>
      <c r="I918" s="68"/>
      <c r="J918" s="68"/>
      <c r="K918" s="67" t="s">
        <v>25852</v>
      </c>
      <c r="L918" s="71"/>
      <c r="M918" s="72"/>
      <c r="N918" s="72"/>
      <c r="O918" s="73"/>
      <c r="P918" s="74"/>
      <c r="Q918" s="74"/>
      <c r="R918" s="86"/>
      <c r="S918" s="86"/>
      <c r="T918" s="86"/>
      <c r="U918" s="86"/>
      <c r="V918" s="48"/>
      <c r="W918" s="48"/>
      <c r="X918" s="48"/>
      <c r="Y918" s="48"/>
      <c r="Z918" s="47"/>
      <c r="AA918" s="69">
        <v>918</v>
      </c>
      <c r="AB918" s="69"/>
      <c r="AC918" s="70"/>
      <c r="AD918" s="76" t="s">
        <v>22709</v>
      </c>
      <c r="AE918" s="81" t="s">
        <v>23039</v>
      </c>
      <c r="AF918" s="76">
        <v>1975</v>
      </c>
      <c r="AG918" s="76">
        <v>372</v>
      </c>
      <c r="AH918" s="76">
        <v>25444</v>
      </c>
      <c r="AI918" s="76">
        <v>6</v>
      </c>
      <c r="AJ918" s="76">
        <v>2407</v>
      </c>
      <c r="AK918" s="76">
        <v>2531</v>
      </c>
      <c r="AL918" s="76" t="b">
        <v>0</v>
      </c>
      <c r="AM918" s="78">
        <v>40101.464305555557</v>
      </c>
      <c r="AN918" s="76" t="s">
        <v>23311</v>
      </c>
      <c r="AO918" s="76" t="s">
        <v>24129</v>
      </c>
      <c r="AP918" s="83" t="str">
        <f>HYPERLINK("https://t.co/T85IBzKfCy")</f>
        <v>https://t.co/T85IBzKfCy</v>
      </c>
      <c r="AQ918" s="83" t="str">
        <f>HYPERLINK("https://www.atilalemos.com.br")</f>
        <v>https://www.atilalemos.com.br</v>
      </c>
      <c r="AR918" s="76" t="s">
        <v>24754</v>
      </c>
      <c r="AS918" s="83" t="str">
        <f>HYPERLINK("https://t.co/UAKet1PKBW")</f>
        <v>https://t.co/UAKet1PKBW</v>
      </c>
      <c r="AT918" s="83" t="str">
        <f>HYPERLINK("http://atilalemos.com.br")</f>
        <v>http://atilalemos.com.br</v>
      </c>
      <c r="AU918" s="76" t="s">
        <v>24754</v>
      </c>
      <c r="AV918" s="76"/>
      <c r="AW918" s="83" t="str">
        <f>HYPERLINK("https://t.co/T85IBzKfCy")</f>
        <v>https://t.co/T85IBzKfCy</v>
      </c>
      <c r="AX918" s="76" t="b">
        <v>0</v>
      </c>
      <c r="AY918" s="76"/>
      <c r="AZ918" s="76"/>
      <c r="BA918" s="76" t="b">
        <v>0</v>
      </c>
      <c r="BB918" s="76" t="b">
        <v>1</v>
      </c>
      <c r="BC918" s="76" t="b">
        <v>0</v>
      </c>
      <c r="BD918" s="76" t="b">
        <v>0</v>
      </c>
      <c r="BE918" s="76" t="b">
        <v>0</v>
      </c>
      <c r="BF918" s="76" t="b">
        <v>0</v>
      </c>
      <c r="BG918" s="76" t="b">
        <v>0</v>
      </c>
      <c r="BH918" s="83" t="str">
        <f>HYPERLINK("https://pbs.twimg.com/profile_banners/82592371/1671068187")</f>
        <v>https://pbs.twimg.com/profile_banners/82592371/1671068187</v>
      </c>
      <c r="BI918" s="76"/>
      <c r="BJ918" s="76" t="s">
        <v>24935</v>
      </c>
      <c r="BK918" s="76" t="b">
        <v>0</v>
      </c>
      <c r="BL918" s="76"/>
      <c r="BM918" s="76" t="s">
        <v>66</v>
      </c>
      <c r="BN918" s="76" t="s">
        <v>24937</v>
      </c>
      <c r="BO918" s="83" t="str">
        <f>HYPERLINK("https://twitter.com/atilalemos10")</f>
        <v>https://twitter.com/atilalemos10</v>
      </c>
      <c r="BP918" s="2"/>
    </row>
    <row r="919" spans="1:68" x14ac:dyDescent="0.25">
      <c r="A919" s="62" t="s">
        <v>1105</v>
      </c>
      <c r="B919" s="63"/>
      <c r="C919" s="63"/>
      <c r="D919" s="64"/>
      <c r="E919" s="66"/>
      <c r="F919" s="102" t="str">
        <f>HYPERLINK("https://pbs.twimg.com/profile_images/1291457516912738307/ghQFnP8r_normal.jpg")</f>
        <v>https://pbs.twimg.com/profile_images/1291457516912738307/ghQFnP8r_normal.jpg</v>
      </c>
      <c r="G919" s="63"/>
      <c r="H919" s="67"/>
      <c r="I919" s="68"/>
      <c r="J919" s="68"/>
      <c r="K919" s="67" t="s">
        <v>25853</v>
      </c>
      <c r="L919" s="71"/>
      <c r="M919" s="72"/>
      <c r="N919" s="72"/>
      <c r="O919" s="73"/>
      <c r="P919" s="74"/>
      <c r="Q919" s="74"/>
      <c r="R919" s="86"/>
      <c r="S919" s="86"/>
      <c r="T919" s="86"/>
      <c r="U919" s="86"/>
      <c r="V919" s="48"/>
      <c r="W919" s="48"/>
      <c r="X919" s="48"/>
      <c r="Y919" s="48"/>
      <c r="Z919" s="47"/>
      <c r="AA919" s="69">
        <v>919</v>
      </c>
      <c r="AB919" s="69"/>
      <c r="AC919" s="70"/>
      <c r="AD919" s="76" t="s">
        <v>22710</v>
      </c>
      <c r="AE919" s="81" t="s">
        <v>23040</v>
      </c>
      <c r="AF919" s="76">
        <v>58</v>
      </c>
      <c r="AG919" s="76">
        <v>639</v>
      </c>
      <c r="AH919" s="76">
        <v>1452</v>
      </c>
      <c r="AI919" s="76">
        <v>0</v>
      </c>
      <c r="AJ919" s="76">
        <v>341</v>
      </c>
      <c r="AK919" s="76">
        <v>291</v>
      </c>
      <c r="AL919" s="76" t="b">
        <v>0</v>
      </c>
      <c r="AM919" s="78">
        <v>39963.569050925929</v>
      </c>
      <c r="AN919" s="76" t="s">
        <v>23312</v>
      </c>
      <c r="AO919" s="76" t="s">
        <v>24130</v>
      </c>
      <c r="AP919" s="83" t="str">
        <f>HYPERLINK("https://t.co/BeT2nO23fP")</f>
        <v>https://t.co/BeT2nO23fP</v>
      </c>
      <c r="AQ919" s="83" t="str">
        <f>HYPERLINK("http://joerdsonrodrigues.com.br")</f>
        <v>http://joerdsonrodrigues.com.br</v>
      </c>
      <c r="AR919" s="76" t="s">
        <v>24755</v>
      </c>
      <c r="AS919" s="76"/>
      <c r="AT919" s="76"/>
      <c r="AU919" s="76"/>
      <c r="AV919" s="76"/>
      <c r="AW919" s="83" t="str">
        <f>HYPERLINK("https://t.co/BeT2nO23fP")</f>
        <v>https://t.co/BeT2nO23fP</v>
      </c>
      <c r="AX919" s="76" t="b">
        <v>0</v>
      </c>
      <c r="AY919" s="76"/>
      <c r="AZ919" s="76"/>
      <c r="BA919" s="76" t="b">
        <v>0</v>
      </c>
      <c r="BB919" s="76" t="b">
        <v>1</v>
      </c>
      <c r="BC919" s="76" t="b">
        <v>0</v>
      </c>
      <c r="BD919" s="76" t="b">
        <v>0</v>
      </c>
      <c r="BE919" s="76" t="b">
        <v>0</v>
      </c>
      <c r="BF919" s="76" t="b">
        <v>0</v>
      </c>
      <c r="BG919" s="76" t="b">
        <v>1</v>
      </c>
      <c r="BH919" s="83" t="str">
        <f>HYPERLINK("https://pbs.twimg.com/profile_banners/43528661/1596742443")</f>
        <v>https://pbs.twimg.com/profile_banners/43528661/1596742443</v>
      </c>
      <c r="BI919" s="76"/>
      <c r="BJ919" s="76" t="s">
        <v>24935</v>
      </c>
      <c r="BK919" s="76" t="b">
        <v>0</v>
      </c>
      <c r="BL919" s="76"/>
      <c r="BM919" s="76" t="s">
        <v>66</v>
      </c>
      <c r="BN919" s="76" t="s">
        <v>24937</v>
      </c>
      <c r="BO919" s="83" t="str">
        <f>HYPERLINK("https://twitter.com/joerdson")</f>
        <v>https://twitter.com/joerdson</v>
      </c>
      <c r="BP919" s="2"/>
    </row>
    <row r="920" spans="1:68" x14ac:dyDescent="0.25">
      <c r="A920" s="62" t="s">
        <v>1106</v>
      </c>
      <c r="B920" s="63"/>
      <c r="C920" s="63"/>
      <c r="D920" s="64"/>
      <c r="E920" s="66"/>
      <c r="F920" s="102" t="str">
        <f>HYPERLINK("https://pbs.twimg.com/profile_images/1668964936976875522/lf5K_oVi_normal.png")</f>
        <v>https://pbs.twimg.com/profile_images/1668964936976875522/lf5K_oVi_normal.png</v>
      </c>
      <c r="G920" s="63"/>
      <c r="H920" s="67"/>
      <c r="I920" s="68"/>
      <c r="J920" s="68"/>
      <c r="K920" s="67" t="s">
        <v>25854</v>
      </c>
      <c r="L920" s="71"/>
      <c r="M920" s="72"/>
      <c r="N920" s="72"/>
      <c r="O920" s="73"/>
      <c r="P920" s="74"/>
      <c r="Q920" s="74"/>
      <c r="R920" s="86"/>
      <c r="S920" s="86"/>
      <c r="T920" s="86"/>
      <c r="U920" s="86"/>
      <c r="V920" s="48"/>
      <c r="W920" s="48"/>
      <c r="X920" s="48"/>
      <c r="Y920" s="48"/>
      <c r="Z920" s="47"/>
      <c r="AA920" s="69">
        <v>920</v>
      </c>
      <c r="AB920" s="69"/>
      <c r="AC920" s="70"/>
      <c r="AD920" s="76" t="s">
        <v>22711</v>
      </c>
      <c r="AE920" s="81" t="s">
        <v>21674</v>
      </c>
      <c r="AF920" s="76">
        <v>0</v>
      </c>
      <c r="AG920" s="76">
        <v>1</v>
      </c>
      <c r="AH920" s="76">
        <v>7</v>
      </c>
      <c r="AI920" s="76">
        <v>0</v>
      </c>
      <c r="AJ920" s="76">
        <v>7</v>
      </c>
      <c r="AK920" s="76">
        <v>7</v>
      </c>
      <c r="AL920" s="76" t="b">
        <v>0</v>
      </c>
      <c r="AM920" s="78">
        <v>45091.537303240744</v>
      </c>
      <c r="AN920" s="76"/>
      <c r="AO920" s="76"/>
      <c r="AP920" s="76"/>
      <c r="AQ920" s="76"/>
      <c r="AR920" s="76"/>
      <c r="AS920" s="76"/>
      <c r="AT920" s="76"/>
      <c r="AU920" s="76"/>
      <c r="AV920" s="76"/>
      <c r="AW920" s="76"/>
      <c r="AX920" s="76" t="b">
        <v>0</v>
      </c>
      <c r="AY920" s="76"/>
      <c r="AZ920" s="76"/>
      <c r="BA920" s="76" t="b">
        <v>0</v>
      </c>
      <c r="BB920" s="76" t="b">
        <v>1</v>
      </c>
      <c r="BC920" s="76" t="b">
        <v>1</v>
      </c>
      <c r="BD920" s="76" t="b">
        <v>0</v>
      </c>
      <c r="BE920" s="76" t="b">
        <v>0</v>
      </c>
      <c r="BF920" s="76" t="b">
        <v>0</v>
      </c>
      <c r="BG920" s="76" t="b">
        <v>0</v>
      </c>
      <c r="BH920" s="76"/>
      <c r="BI920" s="76"/>
      <c r="BJ920" s="76" t="s">
        <v>24935</v>
      </c>
      <c r="BK920" s="76" t="b">
        <v>0</v>
      </c>
      <c r="BL920" s="76"/>
      <c r="BM920" s="76" t="s">
        <v>66</v>
      </c>
      <c r="BN920" s="76" t="s">
        <v>24937</v>
      </c>
      <c r="BO920" s="83" t="str">
        <f>HYPERLINK("https://twitter.com/gustavoo_eu")</f>
        <v>https://twitter.com/gustavoo_eu</v>
      </c>
      <c r="BP920" s="2"/>
    </row>
    <row r="921" spans="1:68" x14ac:dyDescent="0.25">
      <c r="A921" s="62" t="s">
        <v>1107</v>
      </c>
      <c r="B921" s="63"/>
      <c r="C921" s="63"/>
      <c r="D921" s="64"/>
      <c r="E921" s="66"/>
      <c r="F921" s="102" t="str">
        <f>HYPERLINK("https://pbs.twimg.com/profile_images/1492139170789269508/4HGYgZwF_normal.jpg")</f>
        <v>https://pbs.twimg.com/profile_images/1492139170789269508/4HGYgZwF_normal.jpg</v>
      </c>
      <c r="G921" s="63"/>
      <c r="H921" s="67"/>
      <c r="I921" s="68"/>
      <c r="J921" s="68"/>
      <c r="K921" s="67" t="s">
        <v>25855</v>
      </c>
      <c r="L921" s="71"/>
      <c r="M921" s="72"/>
      <c r="N921" s="72"/>
      <c r="O921" s="73"/>
      <c r="P921" s="74"/>
      <c r="Q921" s="74"/>
      <c r="R921" s="86"/>
      <c r="S921" s="86"/>
      <c r="T921" s="86"/>
      <c r="U921" s="86"/>
      <c r="V921" s="48"/>
      <c r="W921" s="48"/>
      <c r="X921" s="48"/>
      <c r="Y921" s="48"/>
      <c r="Z921" s="47"/>
      <c r="AA921" s="69">
        <v>921</v>
      </c>
      <c r="AB921" s="69"/>
      <c r="AC921" s="70"/>
      <c r="AD921" s="76" t="s">
        <v>22712</v>
      </c>
      <c r="AE921" s="81" t="s">
        <v>21675</v>
      </c>
      <c r="AF921" s="76">
        <v>879</v>
      </c>
      <c r="AG921" s="76">
        <v>3775</v>
      </c>
      <c r="AH921" s="76">
        <v>70993</v>
      </c>
      <c r="AI921" s="76">
        <v>2</v>
      </c>
      <c r="AJ921" s="76">
        <v>56728</v>
      </c>
      <c r="AK921" s="76">
        <v>8846</v>
      </c>
      <c r="AL921" s="76" t="b">
        <v>0</v>
      </c>
      <c r="AM921" s="78">
        <v>44603.590092592596</v>
      </c>
      <c r="AN921" s="76"/>
      <c r="AO921" s="76" t="s">
        <v>24131</v>
      </c>
      <c r="AP921" s="76"/>
      <c r="AQ921" s="76"/>
      <c r="AR921" s="76"/>
      <c r="AS921" s="76"/>
      <c r="AT921" s="76"/>
      <c r="AU921" s="76"/>
      <c r="AV921" s="76"/>
      <c r="AW921" s="76"/>
      <c r="AX921" s="76" t="b">
        <v>0</v>
      </c>
      <c r="AY921" s="76"/>
      <c r="AZ921" s="76"/>
      <c r="BA921" s="76" t="b">
        <v>0</v>
      </c>
      <c r="BB921" s="76" t="b">
        <v>1</v>
      </c>
      <c r="BC921" s="76" t="b">
        <v>1</v>
      </c>
      <c r="BD921" s="76" t="b">
        <v>0</v>
      </c>
      <c r="BE921" s="76" t="b">
        <v>0</v>
      </c>
      <c r="BF921" s="76" t="b">
        <v>0</v>
      </c>
      <c r="BG921" s="76" t="b">
        <v>0</v>
      </c>
      <c r="BH921" s="83" t="str">
        <f>HYPERLINK("https://pbs.twimg.com/profile_banners/1492138737354121219/1644588697")</f>
        <v>https://pbs.twimg.com/profile_banners/1492138737354121219/1644588697</v>
      </c>
      <c r="BI921" s="76"/>
      <c r="BJ921" s="76" t="s">
        <v>24935</v>
      </c>
      <c r="BK921" s="76" t="b">
        <v>0</v>
      </c>
      <c r="BL921" s="76"/>
      <c r="BM921" s="76" t="s">
        <v>66</v>
      </c>
      <c r="BN921" s="76" t="s">
        <v>24937</v>
      </c>
      <c r="BO921" s="83" t="str">
        <f>HYPERLINK("https://twitter.com/tubeyoutrends")</f>
        <v>https://twitter.com/tubeyoutrends</v>
      </c>
      <c r="BP921" s="2"/>
    </row>
    <row r="922" spans="1:68" x14ac:dyDescent="0.25">
      <c r="A922" s="62" t="s">
        <v>1108</v>
      </c>
      <c r="B922" s="63"/>
      <c r="C922" s="63"/>
      <c r="D922" s="64"/>
      <c r="E922" s="66"/>
      <c r="F922" s="102" t="str">
        <f>HYPERLINK("https://pbs.twimg.com/profile_images/1633605469196435457/s_nsHCNm_normal.jpg")</f>
        <v>https://pbs.twimg.com/profile_images/1633605469196435457/s_nsHCNm_normal.jpg</v>
      </c>
      <c r="G922" s="63"/>
      <c r="H922" s="67"/>
      <c r="I922" s="68"/>
      <c r="J922" s="68"/>
      <c r="K922" s="67" t="s">
        <v>25856</v>
      </c>
      <c r="L922" s="71"/>
      <c r="M922" s="72"/>
      <c r="N922" s="72"/>
      <c r="O922" s="73"/>
      <c r="P922" s="74"/>
      <c r="Q922" s="74"/>
      <c r="R922" s="86"/>
      <c r="S922" s="86"/>
      <c r="T922" s="86"/>
      <c r="U922" s="86"/>
      <c r="V922" s="48"/>
      <c r="W922" s="48"/>
      <c r="X922" s="48"/>
      <c r="Y922" s="48"/>
      <c r="Z922" s="47"/>
      <c r="AA922" s="69">
        <v>922</v>
      </c>
      <c r="AB922" s="69"/>
      <c r="AC922" s="70"/>
      <c r="AD922" s="76" t="s">
        <v>22713</v>
      </c>
      <c r="AE922" s="81" t="s">
        <v>21676</v>
      </c>
      <c r="AF922" s="76">
        <v>2</v>
      </c>
      <c r="AG922" s="76">
        <v>13</v>
      </c>
      <c r="AH922" s="76">
        <v>72</v>
      </c>
      <c r="AI922" s="76">
        <v>0</v>
      </c>
      <c r="AJ922" s="76">
        <v>0</v>
      </c>
      <c r="AK922" s="76">
        <v>32</v>
      </c>
      <c r="AL922" s="76" t="b">
        <v>0</v>
      </c>
      <c r="AM922" s="78">
        <v>44993.96329861111</v>
      </c>
      <c r="AN922" s="76" t="s">
        <v>23313</v>
      </c>
      <c r="AO922" s="76" t="s">
        <v>24132</v>
      </c>
      <c r="AP922" s="83" t="str">
        <f>HYPERLINK("https://t.co/nEjZ2UVnHu")</f>
        <v>https://t.co/nEjZ2UVnHu</v>
      </c>
      <c r="AQ922" s="83" t="str">
        <f>HYPERLINK("https://instagram.com/brunovalenteoficial?igshid=YmMyMTA2M2Y=")</f>
        <v>https://instagram.com/brunovalenteoficial?igshid=YmMyMTA2M2Y=</v>
      </c>
      <c r="AR922" s="76" t="s">
        <v>24756</v>
      </c>
      <c r="AS922" s="76"/>
      <c r="AT922" s="76"/>
      <c r="AU922" s="76"/>
      <c r="AV922" s="76"/>
      <c r="AW922" s="83" t="str">
        <f>HYPERLINK("https://t.co/nEjZ2UVnHu")</f>
        <v>https://t.co/nEjZ2UVnHu</v>
      </c>
      <c r="AX922" s="76" t="b">
        <v>0</v>
      </c>
      <c r="AY922" s="76"/>
      <c r="AZ922" s="76"/>
      <c r="BA922" s="76" t="b">
        <v>0</v>
      </c>
      <c r="BB922" s="76" t="b">
        <v>1</v>
      </c>
      <c r="BC922" s="76" t="b">
        <v>1</v>
      </c>
      <c r="BD922" s="76" t="b">
        <v>0</v>
      </c>
      <c r="BE922" s="76" t="b">
        <v>0</v>
      </c>
      <c r="BF922" s="76" t="b">
        <v>0</v>
      </c>
      <c r="BG922" s="76" t="b">
        <v>0</v>
      </c>
      <c r="BH922" s="83" t="str">
        <f>HYPERLINK("https://pbs.twimg.com/profile_banners/1633605186823258112/1678317599")</f>
        <v>https://pbs.twimg.com/profile_banners/1633605186823258112/1678317599</v>
      </c>
      <c r="BI922" s="76"/>
      <c r="BJ922" s="76" t="s">
        <v>24935</v>
      </c>
      <c r="BK922" s="76" t="b">
        <v>0</v>
      </c>
      <c r="BL922" s="76"/>
      <c r="BM922" s="76" t="s">
        <v>66</v>
      </c>
      <c r="BN922" s="76" t="s">
        <v>24937</v>
      </c>
      <c r="BO922" s="83" t="str">
        <f>HYPERLINK("https://twitter.com/brunova56701023")</f>
        <v>https://twitter.com/brunova56701023</v>
      </c>
      <c r="BP922" s="2"/>
    </row>
    <row r="923" spans="1:68" x14ac:dyDescent="0.25">
      <c r="A923" s="62" t="s">
        <v>1109</v>
      </c>
      <c r="B923" s="63"/>
      <c r="C923" s="63"/>
      <c r="D923" s="64"/>
      <c r="E923" s="66"/>
      <c r="F923" s="102" t="str">
        <f>HYPERLINK("https://pbs.twimg.com/profile_images/1622912092935229441/H2oFtCqg_normal.jpg")</f>
        <v>https://pbs.twimg.com/profile_images/1622912092935229441/H2oFtCqg_normal.jpg</v>
      </c>
      <c r="G923" s="63"/>
      <c r="H923" s="67"/>
      <c r="I923" s="68"/>
      <c r="J923" s="68"/>
      <c r="K923" s="67" t="s">
        <v>25857</v>
      </c>
      <c r="L923" s="71"/>
      <c r="M923" s="72"/>
      <c r="N923" s="72"/>
      <c r="O923" s="73"/>
      <c r="P923" s="74"/>
      <c r="Q923" s="74"/>
      <c r="R923" s="86"/>
      <c r="S923" s="86"/>
      <c r="T923" s="86"/>
      <c r="U923" s="86"/>
      <c r="V923" s="48"/>
      <c r="W923" s="48"/>
      <c r="X923" s="48"/>
      <c r="Y923" s="48"/>
      <c r="Z923" s="47"/>
      <c r="AA923" s="69">
        <v>923</v>
      </c>
      <c r="AB923" s="69"/>
      <c r="AC923" s="70"/>
      <c r="AD923" s="76" t="s">
        <v>22714</v>
      </c>
      <c r="AE923" s="81" t="s">
        <v>21677</v>
      </c>
      <c r="AF923" s="76">
        <v>88</v>
      </c>
      <c r="AG923" s="76">
        <v>240</v>
      </c>
      <c r="AH923" s="76">
        <v>3969</v>
      </c>
      <c r="AI923" s="76">
        <v>0</v>
      </c>
      <c r="AJ923" s="76">
        <v>10167</v>
      </c>
      <c r="AK923" s="76">
        <v>113</v>
      </c>
      <c r="AL923" s="76" t="b">
        <v>0</v>
      </c>
      <c r="AM923" s="78">
        <v>44928.731412037036</v>
      </c>
      <c r="AN923" s="76"/>
      <c r="AO923" s="76" t="s">
        <v>24133</v>
      </c>
      <c r="AP923" s="76"/>
      <c r="AQ923" s="76"/>
      <c r="AR923" s="76"/>
      <c r="AS923" s="76"/>
      <c r="AT923" s="76"/>
      <c r="AU923" s="76"/>
      <c r="AV923" s="76">
        <v>1.64280870770781E+18</v>
      </c>
      <c r="AW923" s="76"/>
      <c r="AX923" s="76" t="b">
        <v>0</v>
      </c>
      <c r="AY923" s="76"/>
      <c r="AZ923" s="76"/>
      <c r="BA923" s="76" t="b">
        <v>0</v>
      </c>
      <c r="BB923" s="76" t="b">
        <v>1</v>
      </c>
      <c r="BC923" s="76" t="b">
        <v>1</v>
      </c>
      <c r="BD923" s="76" t="b">
        <v>0</v>
      </c>
      <c r="BE923" s="76" t="b">
        <v>1</v>
      </c>
      <c r="BF923" s="76" t="b">
        <v>0</v>
      </c>
      <c r="BG923" s="76" t="b">
        <v>0</v>
      </c>
      <c r="BH923" s="83" t="str">
        <f>HYPERLINK("https://pbs.twimg.com/profile_banners/1609966005656211467/1675767370")</f>
        <v>https://pbs.twimg.com/profile_banners/1609966005656211467/1675767370</v>
      </c>
      <c r="BI923" s="76"/>
      <c r="BJ923" s="76" t="s">
        <v>24935</v>
      </c>
      <c r="BK923" s="76" t="b">
        <v>0</v>
      </c>
      <c r="BL923" s="76"/>
      <c r="BM923" s="76" t="s">
        <v>66</v>
      </c>
      <c r="BN923" s="76" t="s">
        <v>24937</v>
      </c>
      <c r="BO923" s="83" t="str">
        <f>HYPERLINK("https://twitter.com/inimigodonft5")</f>
        <v>https://twitter.com/inimigodonft5</v>
      </c>
      <c r="BP923" s="2"/>
    </row>
    <row r="924" spans="1:68" x14ac:dyDescent="0.25">
      <c r="A924" s="62" t="s">
        <v>1274</v>
      </c>
      <c r="B924" s="63"/>
      <c r="C924" s="63"/>
      <c r="D924" s="64"/>
      <c r="E924" s="66"/>
      <c r="F924" s="102" t="str">
        <f>HYPERLINK("https://pbs.twimg.com/profile_images/1687968565901619200/jos7Sod9_normal.jpg")</f>
        <v>https://pbs.twimg.com/profile_images/1687968565901619200/jos7Sod9_normal.jpg</v>
      </c>
      <c r="G924" s="63"/>
      <c r="H924" s="67"/>
      <c r="I924" s="68"/>
      <c r="J924" s="68"/>
      <c r="K924" s="67" t="s">
        <v>25858</v>
      </c>
      <c r="L924" s="71"/>
      <c r="M924" s="72"/>
      <c r="N924" s="72"/>
      <c r="O924" s="73"/>
      <c r="P924" s="74"/>
      <c r="Q924" s="74"/>
      <c r="R924" s="86"/>
      <c r="S924" s="86"/>
      <c r="T924" s="86"/>
      <c r="U924" s="86"/>
      <c r="V924" s="48"/>
      <c r="W924" s="48"/>
      <c r="X924" s="48"/>
      <c r="Y924" s="48"/>
      <c r="Z924" s="47"/>
      <c r="AA924" s="69">
        <v>924</v>
      </c>
      <c r="AB924" s="69"/>
      <c r="AC924" s="70"/>
      <c r="AD924" s="76" t="s">
        <v>22715</v>
      </c>
      <c r="AE924" s="81" t="s">
        <v>20966</v>
      </c>
      <c r="AF924" s="76">
        <v>2474</v>
      </c>
      <c r="AG924" s="76">
        <v>2945</v>
      </c>
      <c r="AH924" s="76">
        <v>41029</v>
      </c>
      <c r="AI924" s="76">
        <v>4</v>
      </c>
      <c r="AJ924" s="76">
        <v>42619</v>
      </c>
      <c r="AK924" s="76">
        <v>2984</v>
      </c>
      <c r="AL924" s="76" t="b">
        <v>0</v>
      </c>
      <c r="AM924" s="78">
        <v>42576.195694444446</v>
      </c>
      <c r="AN924" s="76" t="s">
        <v>23314</v>
      </c>
      <c r="AO924" s="76" t="s">
        <v>24134</v>
      </c>
      <c r="AP924" s="83" t="str">
        <f>HYPERLINK("https://t.co/uQ9nn1wmIr")</f>
        <v>https://t.co/uQ9nn1wmIr</v>
      </c>
      <c r="AQ924" s="83" t="str">
        <f>HYPERLINK("https://bsky.app/profile/gatasovietica.bsky.social")</f>
        <v>https://bsky.app/profile/gatasovietica.bsky.social</v>
      </c>
      <c r="AR924" s="76" t="s">
        <v>24757</v>
      </c>
      <c r="AS924" s="76"/>
      <c r="AT924" s="76"/>
      <c r="AU924" s="76"/>
      <c r="AV924" s="76">
        <v>1.61981719963987E+18</v>
      </c>
      <c r="AW924" s="83" t="str">
        <f>HYPERLINK("https://t.co/uQ9nn1wmIr")</f>
        <v>https://t.co/uQ9nn1wmIr</v>
      </c>
      <c r="AX924" s="76" t="b">
        <v>0</v>
      </c>
      <c r="AY924" s="76"/>
      <c r="AZ924" s="76"/>
      <c r="BA924" s="76" t="b">
        <v>1</v>
      </c>
      <c r="BB924" s="76" t="b">
        <v>0</v>
      </c>
      <c r="BC924" s="76" t="b">
        <v>1</v>
      </c>
      <c r="BD924" s="76" t="b">
        <v>0</v>
      </c>
      <c r="BE924" s="76" t="b">
        <v>1</v>
      </c>
      <c r="BF924" s="76" t="b">
        <v>0</v>
      </c>
      <c r="BG924" s="76" t="b">
        <v>0</v>
      </c>
      <c r="BH924" s="83" t="str">
        <f>HYPERLINK("https://pbs.twimg.com/profile_banners/757435660718444544/1694964207")</f>
        <v>https://pbs.twimg.com/profile_banners/757435660718444544/1694964207</v>
      </c>
      <c r="BI924" s="76"/>
      <c r="BJ924" s="76" t="s">
        <v>24935</v>
      </c>
      <c r="BK924" s="76" t="b">
        <v>0</v>
      </c>
      <c r="BL924" s="76"/>
      <c r="BM924" s="76" t="s">
        <v>65</v>
      </c>
      <c r="BN924" s="76" t="s">
        <v>24937</v>
      </c>
      <c r="BO924" s="83" t="str">
        <f>HYPERLINK("https://twitter.com/gatasovietica")</f>
        <v>https://twitter.com/gatasovietica</v>
      </c>
      <c r="BP924" s="2"/>
    </row>
    <row r="925" spans="1:68" x14ac:dyDescent="0.25">
      <c r="A925" s="62" t="s">
        <v>1110</v>
      </c>
      <c r="B925" s="63"/>
      <c r="C925" s="63"/>
      <c r="D925" s="64"/>
      <c r="E925" s="66"/>
      <c r="F925" s="102" t="str">
        <f>HYPERLINK("https://pbs.twimg.com/profile_images/1701742753221120000/2Nxda95M_normal.jpg")</f>
        <v>https://pbs.twimg.com/profile_images/1701742753221120000/2Nxda95M_normal.jpg</v>
      </c>
      <c r="G925" s="63"/>
      <c r="H925" s="67"/>
      <c r="I925" s="68"/>
      <c r="J925" s="68"/>
      <c r="K925" s="67" t="s">
        <v>25859</v>
      </c>
      <c r="L925" s="71"/>
      <c r="M925" s="72"/>
      <c r="N925" s="72"/>
      <c r="O925" s="73"/>
      <c r="P925" s="74"/>
      <c r="Q925" s="74"/>
      <c r="R925" s="86"/>
      <c r="S925" s="86"/>
      <c r="T925" s="86"/>
      <c r="U925" s="86"/>
      <c r="V925" s="48"/>
      <c r="W925" s="48"/>
      <c r="X925" s="48"/>
      <c r="Y925" s="48"/>
      <c r="Z925" s="47"/>
      <c r="AA925" s="69">
        <v>925</v>
      </c>
      <c r="AB925" s="69"/>
      <c r="AC925" s="70"/>
      <c r="AD925" s="76" t="s">
        <v>22716</v>
      </c>
      <c r="AE925" s="81" t="s">
        <v>21678</v>
      </c>
      <c r="AF925" s="76">
        <v>17</v>
      </c>
      <c r="AG925" s="76">
        <v>322</v>
      </c>
      <c r="AH925" s="76">
        <v>43</v>
      </c>
      <c r="AI925" s="76">
        <v>0</v>
      </c>
      <c r="AJ925" s="76">
        <v>0</v>
      </c>
      <c r="AK925" s="76">
        <v>20</v>
      </c>
      <c r="AL925" s="76" t="b">
        <v>0</v>
      </c>
      <c r="AM925" s="78">
        <v>45042.733460648145</v>
      </c>
      <c r="AN925" s="76" t="s">
        <v>23315</v>
      </c>
      <c r="AO925" s="76" t="s">
        <v>24135</v>
      </c>
      <c r="AP925" s="83" t="str">
        <f>HYPERLINK("https://t.co/gH0r8mmHWJ")</f>
        <v>https://t.co/gH0r8mmHWJ</v>
      </c>
      <c r="AQ925" s="83" t="str">
        <f>HYPERLINK("https://www.tiktok.com/@moneyvibelife")</f>
        <v>https://www.tiktok.com/@moneyvibelife</v>
      </c>
      <c r="AR925" s="76" t="s">
        <v>24758</v>
      </c>
      <c r="AS925" s="76"/>
      <c r="AT925" s="76"/>
      <c r="AU925" s="76"/>
      <c r="AV925" s="76"/>
      <c r="AW925" s="83" t="str">
        <f>HYPERLINK("https://t.co/gH0r8mmHWJ")</f>
        <v>https://t.co/gH0r8mmHWJ</v>
      </c>
      <c r="AX925" s="76" t="b">
        <v>0</v>
      </c>
      <c r="AY925" s="76"/>
      <c r="AZ925" s="76"/>
      <c r="BA925" s="76" t="b">
        <v>0</v>
      </c>
      <c r="BB925" s="76" t="b">
        <v>1</v>
      </c>
      <c r="BC925" s="76" t="b">
        <v>1</v>
      </c>
      <c r="BD925" s="76" t="b">
        <v>0</v>
      </c>
      <c r="BE925" s="76" t="b">
        <v>0</v>
      </c>
      <c r="BF925" s="76" t="b">
        <v>0</v>
      </c>
      <c r="BG925" s="76" t="b">
        <v>0</v>
      </c>
      <c r="BH925" s="83" t="str">
        <f>HYPERLINK("https://pbs.twimg.com/profile_banners/1651278979821715497/1694564440")</f>
        <v>https://pbs.twimg.com/profile_banners/1651278979821715497/1694564440</v>
      </c>
      <c r="BI925" s="76"/>
      <c r="BJ925" s="76" t="s">
        <v>24935</v>
      </c>
      <c r="BK925" s="76" t="b">
        <v>0</v>
      </c>
      <c r="BL925" s="76"/>
      <c r="BM925" s="76" t="s">
        <v>66</v>
      </c>
      <c r="BN925" s="76" t="s">
        <v>24937</v>
      </c>
      <c r="BO925" s="83" t="str">
        <f>HYPERLINK("https://twitter.com/sanches92512")</f>
        <v>https://twitter.com/sanches92512</v>
      </c>
      <c r="BP925" s="2"/>
    </row>
    <row r="926" spans="1:68" x14ac:dyDescent="0.25">
      <c r="A926" s="62" t="s">
        <v>1275</v>
      </c>
      <c r="B926" s="63"/>
      <c r="C926" s="63"/>
      <c r="D926" s="64"/>
      <c r="E926" s="66"/>
      <c r="F926" s="102" t="str">
        <f>HYPERLINK("https://pbs.twimg.com/profile_images/561256494822608896/oIx2Jh9b_normal.jpeg")</f>
        <v>https://pbs.twimg.com/profile_images/561256494822608896/oIx2Jh9b_normal.jpeg</v>
      </c>
      <c r="G926" s="63"/>
      <c r="H926" s="67"/>
      <c r="I926" s="68"/>
      <c r="J926" s="68"/>
      <c r="K926" s="67" t="s">
        <v>25860</v>
      </c>
      <c r="L926" s="71"/>
      <c r="M926" s="72"/>
      <c r="N926" s="72"/>
      <c r="O926" s="73"/>
      <c r="P926" s="74"/>
      <c r="Q926" s="74"/>
      <c r="R926" s="86"/>
      <c r="S926" s="86"/>
      <c r="T926" s="86"/>
      <c r="U926" s="86"/>
      <c r="V926" s="48"/>
      <c r="W926" s="48"/>
      <c r="X926" s="48"/>
      <c r="Y926" s="48"/>
      <c r="Z926" s="47"/>
      <c r="AA926" s="69">
        <v>926</v>
      </c>
      <c r="AB926" s="69"/>
      <c r="AC926" s="70"/>
      <c r="AD926" s="76" t="s">
        <v>22717</v>
      </c>
      <c r="AE926" s="81" t="s">
        <v>23041</v>
      </c>
      <c r="AF926" s="76">
        <v>32737</v>
      </c>
      <c r="AG926" s="76">
        <v>31</v>
      </c>
      <c r="AH926" s="76">
        <v>1202</v>
      </c>
      <c r="AI926" s="76">
        <v>38</v>
      </c>
      <c r="AJ926" s="76">
        <v>3</v>
      </c>
      <c r="AK926" s="76">
        <v>257</v>
      </c>
      <c r="AL926" s="76" t="b">
        <v>0</v>
      </c>
      <c r="AM926" s="78">
        <v>40211.906331018516</v>
      </c>
      <c r="AN926" s="76" t="s">
        <v>23316</v>
      </c>
      <c r="AO926" s="76" t="s">
        <v>24136</v>
      </c>
      <c r="AP926" s="76"/>
      <c r="AQ926" s="76"/>
      <c r="AR926" s="76"/>
      <c r="AS926" s="76"/>
      <c r="AT926" s="76"/>
      <c r="AU926" s="76"/>
      <c r="AV926" s="76"/>
      <c r="AW926" s="76"/>
      <c r="AX926" s="76" t="b">
        <v>0</v>
      </c>
      <c r="AY926" s="76"/>
      <c r="AZ926" s="76"/>
      <c r="BA926" s="76" t="b">
        <v>0</v>
      </c>
      <c r="BB926" s="76" t="b">
        <v>1</v>
      </c>
      <c r="BC926" s="76" t="b">
        <v>0</v>
      </c>
      <c r="BD926" s="76" t="b">
        <v>0</v>
      </c>
      <c r="BE926" s="76" t="b">
        <v>0</v>
      </c>
      <c r="BF926" s="76" t="b">
        <v>0</v>
      </c>
      <c r="BG926" s="76" t="b">
        <v>0</v>
      </c>
      <c r="BH926" s="83" t="str">
        <f>HYPERLINK("https://pbs.twimg.com/profile_banners/110817330/1422647832")</f>
        <v>https://pbs.twimg.com/profile_banners/110817330/1422647832</v>
      </c>
      <c r="BI926" s="76"/>
      <c r="BJ926" s="76" t="s">
        <v>24935</v>
      </c>
      <c r="BK926" s="76" t="b">
        <v>0</v>
      </c>
      <c r="BL926" s="76"/>
      <c r="BM926" s="76" t="s">
        <v>65</v>
      </c>
      <c r="BN926" s="76" t="s">
        <v>24937</v>
      </c>
      <c r="BO926" s="83" t="str">
        <f>HYPERLINK("https://twitter.com/felipetitto")</f>
        <v>https://twitter.com/felipetitto</v>
      </c>
      <c r="BP926" s="2"/>
    </row>
    <row r="927" spans="1:68" x14ac:dyDescent="0.25">
      <c r="A927" s="62" t="s">
        <v>1111</v>
      </c>
      <c r="B927" s="63"/>
      <c r="C927" s="63"/>
      <c r="D927" s="64"/>
      <c r="E927" s="66"/>
      <c r="F927" s="102" t="str">
        <f>HYPERLINK("https://pbs.twimg.com/profile_images/1479504305015205892/z9LtNU8X_normal.jpg")</f>
        <v>https://pbs.twimg.com/profile_images/1479504305015205892/z9LtNU8X_normal.jpg</v>
      </c>
      <c r="G927" s="63"/>
      <c r="H927" s="67"/>
      <c r="I927" s="68"/>
      <c r="J927" s="68"/>
      <c r="K927" s="67" t="s">
        <v>25861</v>
      </c>
      <c r="L927" s="71"/>
      <c r="M927" s="72"/>
      <c r="N927" s="72"/>
      <c r="O927" s="73"/>
      <c r="P927" s="74"/>
      <c r="Q927" s="74"/>
      <c r="R927" s="86"/>
      <c r="S927" s="86"/>
      <c r="T927" s="86"/>
      <c r="U927" s="86"/>
      <c r="V927" s="48"/>
      <c r="W927" s="48"/>
      <c r="X927" s="48"/>
      <c r="Y927" s="48"/>
      <c r="Z927" s="47"/>
      <c r="AA927" s="69">
        <v>927</v>
      </c>
      <c r="AB927" s="69"/>
      <c r="AC927" s="70"/>
      <c r="AD927" s="76" t="s">
        <v>22718</v>
      </c>
      <c r="AE927" s="81" t="s">
        <v>21679</v>
      </c>
      <c r="AF927" s="76">
        <v>52</v>
      </c>
      <c r="AG927" s="76">
        <v>1</v>
      </c>
      <c r="AH927" s="76">
        <v>7391</v>
      </c>
      <c r="AI927" s="76">
        <v>0</v>
      </c>
      <c r="AJ927" s="76">
        <v>12</v>
      </c>
      <c r="AK927" s="76">
        <v>6</v>
      </c>
      <c r="AL927" s="76" t="b">
        <v>0</v>
      </c>
      <c r="AM927" s="78">
        <v>44397.742939814816</v>
      </c>
      <c r="AN927" s="76"/>
      <c r="AO927" s="76" t="s">
        <v>24137</v>
      </c>
      <c r="AP927" s="83" t="str">
        <f>HYPERLINK("https://t.co/Dy9Dgauu4I")</f>
        <v>https://t.co/Dy9Dgauu4I</v>
      </c>
      <c r="AQ927" s="83" t="str">
        <f>HYPERLINK("https://reviewprodutos.com")</f>
        <v>https://reviewprodutos.com</v>
      </c>
      <c r="AR927" s="76" t="s">
        <v>7472</v>
      </c>
      <c r="AS927" s="83" t="str">
        <f>HYPERLINK("https://t.co/tmENzg9uQA")</f>
        <v>https://t.co/tmENzg9uQA</v>
      </c>
      <c r="AT927" s="83" t="str">
        <f>HYPERLINK("http://reviewprodutos.com")</f>
        <v>http://reviewprodutos.com</v>
      </c>
      <c r="AU927" s="76" t="s">
        <v>7472</v>
      </c>
      <c r="AV927" s="76"/>
      <c r="AW927" s="83" t="str">
        <f>HYPERLINK("https://t.co/Dy9Dgauu4I")</f>
        <v>https://t.co/Dy9Dgauu4I</v>
      </c>
      <c r="AX927" s="76" t="b">
        <v>0</v>
      </c>
      <c r="AY927" s="76"/>
      <c r="AZ927" s="76"/>
      <c r="BA927" s="76" t="b">
        <v>0</v>
      </c>
      <c r="BB927" s="76" t="b">
        <v>1</v>
      </c>
      <c r="BC927" s="76" t="b">
        <v>1</v>
      </c>
      <c r="BD927" s="76" t="b">
        <v>0</v>
      </c>
      <c r="BE927" s="76" t="b">
        <v>0</v>
      </c>
      <c r="BF927" s="76" t="b">
        <v>0</v>
      </c>
      <c r="BG927" s="76" t="b">
        <v>0</v>
      </c>
      <c r="BH927" s="83" t="str">
        <f>HYPERLINK("https://pbs.twimg.com/profile_banners/1417542239841103875/1641576291")</f>
        <v>https://pbs.twimg.com/profile_banners/1417542239841103875/1641576291</v>
      </c>
      <c r="BI927" s="76"/>
      <c r="BJ927" s="76" t="s">
        <v>24935</v>
      </c>
      <c r="BK927" s="76" t="b">
        <v>0</v>
      </c>
      <c r="BL927" s="76"/>
      <c r="BM927" s="76" t="s">
        <v>66</v>
      </c>
      <c r="BN927" s="76" t="s">
        <v>24937</v>
      </c>
      <c r="BO927" s="83" t="str">
        <f>HYPERLINK("https://twitter.com/bytresloucado")</f>
        <v>https://twitter.com/bytresloucado</v>
      </c>
      <c r="BP927" s="2"/>
    </row>
    <row r="928" spans="1:68" x14ac:dyDescent="0.25">
      <c r="A928" s="62" t="s">
        <v>1112</v>
      </c>
      <c r="B928" s="63"/>
      <c r="C928" s="63"/>
      <c r="D928" s="64"/>
      <c r="E928" s="66"/>
      <c r="F928" s="102" t="str">
        <f>HYPERLINK("https://pbs.twimg.com/profile_images/1630199769036406785/oeBPTKqt_normal.jpg")</f>
        <v>https://pbs.twimg.com/profile_images/1630199769036406785/oeBPTKqt_normal.jpg</v>
      </c>
      <c r="G928" s="63"/>
      <c r="H928" s="67"/>
      <c r="I928" s="68"/>
      <c r="J928" s="68"/>
      <c r="K928" s="67" t="s">
        <v>25862</v>
      </c>
      <c r="L928" s="71"/>
      <c r="M928" s="72"/>
      <c r="N928" s="72"/>
      <c r="O928" s="73"/>
      <c r="P928" s="74"/>
      <c r="Q928" s="74"/>
      <c r="R928" s="86"/>
      <c r="S928" s="86"/>
      <c r="T928" s="86"/>
      <c r="U928" s="86"/>
      <c r="V928" s="48"/>
      <c r="W928" s="48"/>
      <c r="X928" s="48"/>
      <c r="Y928" s="48"/>
      <c r="Z928" s="47"/>
      <c r="AA928" s="69">
        <v>928</v>
      </c>
      <c r="AB928" s="69"/>
      <c r="AC928" s="70"/>
      <c r="AD928" s="76" t="s">
        <v>22719</v>
      </c>
      <c r="AE928" s="81" t="s">
        <v>21680</v>
      </c>
      <c r="AF928" s="76">
        <v>0</v>
      </c>
      <c r="AG928" s="76">
        <v>18</v>
      </c>
      <c r="AH928" s="76">
        <v>14</v>
      </c>
      <c r="AI928" s="76">
        <v>0</v>
      </c>
      <c r="AJ928" s="76">
        <v>1</v>
      </c>
      <c r="AK928" s="76">
        <v>6</v>
      </c>
      <c r="AL928" s="76" t="b">
        <v>0</v>
      </c>
      <c r="AM928" s="78">
        <v>44984.565810185188</v>
      </c>
      <c r="AN928" s="76"/>
      <c r="AO928" s="76"/>
      <c r="AP928" s="76"/>
      <c r="AQ928" s="76"/>
      <c r="AR928" s="76"/>
      <c r="AS928" s="76"/>
      <c r="AT928" s="76"/>
      <c r="AU928" s="76"/>
      <c r="AV928" s="76"/>
      <c r="AW928" s="76"/>
      <c r="AX928" s="76" t="b">
        <v>0</v>
      </c>
      <c r="AY928" s="76"/>
      <c r="AZ928" s="76"/>
      <c r="BA928" s="76" t="b">
        <v>0</v>
      </c>
      <c r="BB928" s="76" t="b">
        <v>1</v>
      </c>
      <c r="BC928" s="76" t="b">
        <v>1</v>
      </c>
      <c r="BD928" s="76" t="b">
        <v>0</v>
      </c>
      <c r="BE928" s="76" t="b">
        <v>0</v>
      </c>
      <c r="BF928" s="76" t="b">
        <v>0</v>
      </c>
      <c r="BG928" s="76" t="b">
        <v>0</v>
      </c>
      <c r="BH928" s="76"/>
      <c r="BI928" s="76"/>
      <c r="BJ928" s="76" t="s">
        <v>24935</v>
      </c>
      <c r="BK928" s="76" t="b">
        <v>0</v>
      </c>
      <c r="BL928" s="76"/>
      <c r="BM928" s="76" t="s">
        <v>66</v>
      </c>
      <c r="BN928" s="76" t="s">
        <v>24937</v>
      </c>
      <c r="BO928" s="83" t="str">
        <f>HYPERLINK("https://twitter.com/alanvictormato1")</f>
        <v>https://twitter.com/alanvictormato1</v>
      </c>
      <c r="BP928" s="2"/>
    </row>
    <row r="929" spans="1:68" x14ac:dyDescent="0.25">
      <c r="A929" s="62" t="s">
        <v>1113</v>
      </c>
      <c r="B929" s="63"/>
      <c r="C929" s="63"/>
      <c r="D929" s="64"/>
      <c r="E929" s="66"/>
      <c r="F929" s="102" t="str">
        <f>HYPERLINK("https://pbs.twimg.com/profile_images/1629021398361427968/ChehGsFz_normal.jpg")</f>
        <v>https://pbs.twimg.com/profile_images/1629021398361427968/ChehGsFz_normal.jpg</v>
      </c>
      <c r="G929" s="63"/>
      <c r="H929" s="67"/>
      <c r="I929" s="68"/>
      <c r="J929" s="68"/>
      <c r="K929" s="67" t="s">
        <v>25863</v>
      </c>
      <c r="L929" s="71"/>
      <c r="M929" s="72"/>
      <c r="N929" s="72"/>
      <c r="O929" s="73"/>
      <c r="P929" s="74"/>
      <c r="Q929" s="74"/>
      <c r="R929" s="86"/>
      <c r="S929" s="86"/>
      <c r="T929" s="86"/>
      <c r="U929" s="86"/>
      <c r="V929" s="48"/>
      <c r="W929" s="48"/>
      <c r="X929" s="48"/>
      <c r="Y929" s="48"/>
      <c r="Z929" s="47"/>
      <c r="AA929" s="69">
        <v>929</v>
      </c>
      <c r="AB929" s="69"/>
      <c r="AC929" s="70"/>
      <c r="AD929" s="76" t="s">
        <v>22159</v>
      </c>
      <c r="AE929" s="81" t="s">
        <v>21681</v>
      </c>
      <c r="AF929" s="76">
        <v>3</v>
      </c>
      <c r="AG929" s="76">
        <v>125</v>
      </c>
      <c r="AH929" s="76">
        <v>73</v>
      </c>
      <c r="AI929" s="76">
        <v>0</v>
      </c>
      <c r="AJ929" s="76">
        <v>127</v>
      </c>
      <c r="AK929" s="76">
        <v>18</v>
      </c>
      <c r="AL929" s="76" t="b">
        <v>0</v>
      </c>
      <c r="AM929" s="78">
        <v>44547.821030092593</v>
      </c>
      <c r="AN929" s="76"/>
      <c r="AO929" s="76" t="s">
        <v>24138</v>
      </c>
      <c r="AP929" s="83" t="str">
        <f>HYPERLINK("https://t.co/4QVOhWC5YH")</f>
        <v>https://t.co/4QVOhWC5YH</v>
      </c>
      <c r="AQ929" s="83" t="str">
        <f>HYPERLINK("https://go.hotmart.com/T79988995C")</f>
        <v>https://go.hotmart.com/T79988995C</v>
      </c>
      <c r="AR929" s="76" t="s">
        <v>24759</v>
      </c>
      <c r="AS929" s="76"/>
      <c r="AT929" s="76"/>
      <c r="AU929" s="76"/>
      <c r="AV929" s="76">
        <v>1.62859375351346E+18</v>
      </c>
      <c r="AW929" s="83" t="str">
        <f>HYPERLINK("https://t.co/4QVOhWC5YH")</f>
        <v>https://t.co/4QVOhWC5YH</v>
      </c>
      <c r="AX929" s="76" t="b">
        <v>0</v>
      </c>
      <c r="AY929" s="76"/>
      <c r="AZ929" s="76"/>
      <c r="BA929" s="76" t="b">
        <v>0</v>
      </c>
      <c r="BB929" s="76" t="b">
        <v>1</v>
      </c>
      <c r="BC929" s="76" t="b">
        <v>1</v>
      </c>
      <c r="BD929" s="76" t="b">
        <v>0</v>
      </c>
      <c r="BE929" s="76" t="b">
        <v>1</v>
      </c>
      <c r="BF929" s="76" t="b">
        <v>0</v>
      </c>
      <c r="BG929" s="76" t="b">
        <v>0</v>
      </c>
      <c r="BH929" s="83" t="str">
        <f>HYPERLINK("https://pbs.twimg.com/profile_banners/1471928629445730311/1677223974")</f>
        <v>https://pbs.twimg.com/profile_banners/1471928629445730311/1677223974</v>
      </c>
      <c r="BI929" s="76"/>
      <c r="BJ929" s="76" t="s">
        <v>24935</v>
      </c>
      <c r="BK929" s="76" t="b">
        <v>0</v>
      </c>
      <c r="BL929" s="76"/>
      <c r="BM929" s="76" t="s">
        <v>66</v>
      </c>
      <c r="BN929" s="76" t="s">
        <v>24937</v>
      </c>
      <c r="BO929" s="83" t="str">
        <f>HYPERLINK("https://twitter.com/henriquebenede3")</f>
        <v>https://twitter.com/henriquebenede3</v>
      </c>
      <c r="BP929" s="2"/>
    </row>
    <row r="930" spans="1:68" x14ac:dyDescent="0.25">
      <c r="A930" s="62" t="s">
        <v>1114</v>
      </c>
      <c r="B930" s="63"/>
      <c r="C930" s="63"/>
      <c r="D930" s="64"/>
      <c r="E930" s="66"/>
      <c r="F930" s="102" t="str">
        <f>HYPERLINK("https://pbs.twimg.com/profile_images/1684162716930281472/WgZEbaxH_normal.jpg")</f>
        <v>https://pbs.twimg.com/profile_images/1684162716930281472/WgZEbaxH_normal.jpg</v>
      </c>
      <c r="G930" s="63"/>
      <c r="H930" s="67"/>
      <c r="I930" s="68"/>
      <c r="J930" s="68"/>
      <c r="K930" s="67" t="s">
        <v>25864</v>
      </c>
      <c r="L930" s="71"/>
      <c r="M930" s="72"/>
      <c r="N930" s="72"/>
      <c r="O930" s="73"/>
      <c r="P930" s="74"/>
      <c r="Q930" s="74"/>
      <c r="R930" s="86"/>
      <c r="S930" s="86"/>
      <c r="T930" s="86"/>
      <c r="U930" s="86"/>
      <c r="V930" s="48"/>
      <c r="W930" s="48"/>
      <c r="X930" s="48"/>
      <c r="Y930" s="48"/>
      <c r="Z930" s="47"/>
      <c r="AA930" s="69">
        <v>930</v>
      </c>
      <c r="AB930" s="69"/>
      <c r="AC930" s="70"/>
      <c r="AD930" s="76" t="s">
        <v>22720</v>
      </c>
      <c r="AE930" s="81" t="s">
        <v>23042</v>
      </c>
      <c r="AF930" s="76">
        <v>2168</v>
      </c>
      <c r="AG930" s="76">
        <v>3453</v>
      </c>
      <c r="AH930" s="76">
        <v>9707</v>
      </c>
      <c r="AI930" s="76">
        <v>7</v>
      </c>
      <c r="AJ930" s="76">
        <v>414</v>
      </c>
      <c r="AK930" s="76">
        <v>2176</v>
      </c>
      <c r="AL930" s="76" t="b">
        <v>0</v>
      </c>
      <c r="AM930" s="78">
        <v>42192.77002314815</v>
      </c>
      <c r="AN930" s="76" t="s">
        <v>14040</v>
      </c>
      <c r="AO930" s="76" t="s">
        <v>24139</v>
      </c>
      <c r="AP930" s="83" t="str">
        <f>HYPERLINK("https://t.co/0ZsSFO87nr")</f>
        <v>https://t.co/0ZsSFO87nr</v>
      </c>
      <c r="AQ930" s="83" t="str">
        <f>HYPERLINK("https://linktr.ee/newsshd")</f>
        <v>https://linktr.ee/newsshd</v>
      </c>
      <c r="AR930" s="76" t="s">
        <v>24760</v>
      </c>
      <c r="AS930" s="76"/>
      <c r="AT930" s="76"/>
      <c r="AU930" s="76"/>
      <c r="AV930" s="76"/>
      <c r="AW930" s="83" t="str">
        <f>HYPERLINK("https://t.co/0ZsSFO87nr")</f>
        <v>https://t.co/0ZsSFO87nr</v>
      </c>
      <c r="AX930" s="76" t="b">
        <v>0</v>
      </c>
      <c r="AY930" s="76"/>
      <c r="AZ930" s="76"/>
      <c r="BA930" s="76" t="b">
        <v>0</v>
      </c>
      <c r="BB930" s="76" t="b">
        <v>1</v>
      </c>
      <c r="BC930" s="76" t="b">
        <v>0</v>
      </c>
      <c r="BD930" s="76" t="b">
        <v>0</v>
      </c>
      <c r="BE930" s="76" t="b">
        <v>0</v>
      </c>
      <c r="BF930" s="76" t="b">
        <v>0</v>
      </c>
      <c r="BG930" s="76" t="b">
        <v>0</v>
      </c>
      <c r="BH930" s="83" t="str">
        <f>HYPERLINK("https://pbs.twimg.com/profile_banners/3364562657/1670857943")</f>
        <v>https://pbs.twimg.com/profile_banners/3364562657/1670857943</v>
      </c>
      <c r="BI930" s="76"/>
      <c r="BJ930" s="76" t="s">
        <v>24935</v>
      </c>
      <c r="BK930" s="76" t="b">
        <v>0</v>
      </c>
      <c r="BL930" s="76"/>
      <c r="BM930" s="76" t="s">
        <v>66</v>
      </c>
      <c r="BN930" s="76" t="s">
        <v>24937</v>
      </c>
      <c r="BO930" s="83" t="str">
        <f>HYPERLINK("https://twitter.com/newsshd")</f>
        <v>https://twitter.com/newsshd</v>
      </c>
      <c r="BP930" s="2"/>
    </row>
    <row r="931" spans="1:68" x14ac:dyDescent="0.25">
      <c r="A931" s="62" t="s">
        <v>1115</v>
      </c>
      <c r="B931" s="63"/>
      <c r="C931" s="63"/>
      <c r="D931" s="64"/>
      <c r="E931" s="66"/>
      <c r="F931" s="102" t="str">
        <f>HYPERLINK("https://pbs.twimg.com/profile_images/1175050939851563008/r-fNtcSu_normal.jpg")</f>
        <v>https://pbs.twimg.com/profile_images/1175050939851563008/r-fNtcSu_normal.jpg</v>
      </c>
      <c r="G931" s="63"/>
      <c r="H931" s="67"/>
      <c r="I931" s="68"/>
      <c r="J931" s="68"/>
      <c r="K931" s="67" t="s">
        <v>25865</v>
      </c>
      <c r="L931" s="71"/>
      <c r="M931" s="72"/>
      <c r="N931" s="72"/>
      <c r="O931" s="73"/>
      <c r="P931" s="74"/>
      <c r="Q931" s="74"/>
      <c r="R931" s="86"/>
      <c r="S931" s="86"/>
      <c r="T931" s="86"/>
      <c r="U931" s="86"/>
      <c r="V931" s="48"/>
      <c r="W931" s="48"/>
      <c r="X931" s="48"/>
      <c r="Y931" s="48"/>
      <c r="Z931" s="47"/>
      <c r="AA931" s="69">
        <v>931</v>
      </c>
      <c r="AB931" s="69"/>
      <c r="AC931" s="70"/>
      <c r="AD931" s="76" t="s">
        <v>22721</v>
      </c>
      <c r="AE931" s="81" t="s">
        <v>23043</v>
      </c>
      <c r="AF931" s="76">
        <v>7</v>
      </c>
      <c r="AG931" s="76">
        <v>63</v>
      </c>
      <c r="AH931" s="76">
        <v>42</v>
      </c>
      <c r="AI931" s="76">
        <v>0</v>
      </c>
      <c r="AJ931" s="76">
        <v>158</v>
      </c>
      <c r="AK931" s="76">
        <v>6</v>
      </c>
      <c r="AL931" s="76" t="b">
        <v>0</v>
      </c>
      <c r="AM931" s="78">
        <v>42214.715601851851</v>
      </c>
      <c r="AN931" s="76" t="s">
        <v>14072</v>
      </c>
      <c r="AO931" s="76" t="s">
        <v>24140</v>
      </c>
      <c r="AP931" s="83" t="str">
        <f>HYPERLINK("https://t.co/7ghrTYKFbw")</f>
        <v>https://t.co/7ghrTYKFbw</v>
      </c>
      <c r="AQ931" s="83" t="str">
        <f>HYPERLINK("https://linktr.ee/afeducacao")</f>
        <v>https://linktr.ee/afeducacao</v>
      </c>
      <c r="AR931" s="76" t="s">
        <v>24761</v>
      </c>
      <c r="AS931" s="76"/>
      <c r="AT931" s="76"/>
      <c r="AU931" s="76"/>
      <c r="AV931" s="76"/>
      <c r="AW931" s="83" t="str">
        <f>HYPERLINK("https://t.co/7ghrTYKFbw")</f>
        <v>https://t.co/7ghrTYKFbw</v>
      </c>
      <c r="AX931" s="76" t="b">
        <v>0</v>
      </c>
      <c r="AY931" s="76"/>
      <c r="AZ931" s="76"/>
      <c r="BA931" s="76" t="b">
        <v>0</v>
      </c>
      <c r="BB931" s="76" t="b">
        <v>1</v>
      </c>
      <c r="BC931" s="76" t="b">
        <v>1</v>
      </c>
      <c r="BD931" s="76" t="b">
        <v>0</v>
      </c>
      <c r="BE931" s="76" t="b">
        <v>1</v>
      </c>
      <c r="BF931" s="76" t="b">
        <v>0</v>
      </c>
      <c r="BG931" s="76" t="b">
        <v>0</v>
      </c>
      <c r="BH931" s="76"/>
      <c r="BI931" s="76"/>
      <c r="BJ931" s="76" t="s">
        <v>24935</v>
      </c>
      <c r="BK931" s="76" t="b">
        <v>0</v>
      </c>
      <c r="BL931" s="76"/>
      <c r="BM931" s="76" t="s">
        <v>66</v>
      </c>
      <c r="BN931" s="76" t="s">
        <v>24937</v>
      </c>
      <c r="BO931" s="83" t="str">
        <f>HYPERLINK("https://twitter.com/afalcao93")</f>
        <v>https://twitter.com/afalcao93</v>
      </c>
      <c r="BP931" s="2"/>
    </row>
    <row r="932" spans="1:68" x14ac:dyDescent="0.25">
      <c r="A932" s="62" t="s">
        <v>1116</v>
      </c>
      <c r="B932" s="63"/>
      <c r="C932" s="63"/>
      <c r="D932" s="64"/>
      <c r="E932" s="66"/>
      <c r="F932" s="102" t="str">
        <f>HYPERLINK("https://pbs.twimg.com/profile_images/1704172277229621248/iCel-ZU0_normal.jpg")</f>
        <v>https://pbs.twimg.com/profile_images/1704172277229621248/iCel-ZU0_normal.jpg</v>
      </c>
      <c r="G932" s="63"/>
      <c r="H932" s="67"/>
      <c r="I932" s="68"/>
      <c r="J932" s="68"/>
      <c r="K932" s="67" t="s">
        <v>25866</v>
      </c>
      <c r="L932" s="71"/>
      <c r="M932" s="72"/>
      <c r="N932" s="72"/>
      <c r="O932" s="73"/>
      <c r="P932" s="74"/>
      <c r="Q932" s="74"/>
      <c r="R932" s="86"/>
      <c r="S932" s="86"/>
      <c r="T932" s="86"/>
      <c r="U932" s="86"/>
      <c r="V932" s="48"/>
      <c r="W932" s="48"/>
      <c r="X932" s="48"/>
      <c r="Y932" s="48"/>
      <c r="Z932" s="47"/>
      <c r="AA932" s="69">
        <v>932</v>
      </c>
      <c r="AB932" s="69"/>
      <c r="AC932" s="70"/>
      <c r="AD932" s="76" t="s">
        <v>22722</v>
      </c>
      <c r="AE932" s="81" t="s">
        <v>21682</v>
      </c>
      <c r="AF932" s="76">
        <v>18</v>
      </c>
      <c r="AG932" s="76">
        <v>78</v>
      </c>
      <c r="AH932" s="76">
        <v>239</v>
      </c>
      <c r="AI932" s="76">
        <v>0</v>
      </c>
      <c r="AJ932" s="76">
        <v>117</v>
      </c>
      <c r="AK932" s="76">
        <v>202</v>
      </c>
      <c r="AL932" s="76" t="b">
        <v>0</v>
      </c>
      <c r="AM932" s="78">
        <v>44836.214942129627</v>
      </c>
      <c r="AN932" s="76"/>
      <c r="AO932" s="76" t="s">
        <v>24141</v>
      </c>
      <c r="AP932" s="83" t="str">
        <f>HYPERLINK("https://t.co/WQpbYZDIM9")</f>
        <v>https://t.co/WQpbYZDIM9</v>
      </c>
      <c r="AQ932" s="83" t="str">
        <f>HYPERLINK("https://www.magazinevoce.com.br/magazinedelanjos/")</f>
        <v>https://www.magazinevoce.com.br/magazinedelanjos/</v>
      </c>
      <c r="AR932" s="76" t="s">
        <v>24587</v>
      </c>
      <c r="AS932" s="76"/>
      <c r="AT932" s="76"/>
      <c r="AU932" s="76"/>
      <c r="AV932" s="76"/>
      <c r="AW932" s="83" t="str">
        <f>HYPERLINK("https://t.co/WQpbYZDIM9")</f>
        <v>https://t.co/WQpbYZDIM9</v>
      </c>
      <c r="AX932" s="76" t="b">
        <v>0</v>
      </c>
      <c r="AY932" s="76"/>
      <c r="AZ932" s="76"/>
      <c r="BA932" s="76" t="b">
        <v>0</v>
      </c>
      <c r="BB932" s="76" t="b">
        <v>1</v>
      </c>
      <c r="BC932" s="76" t="b">
        <v>1</v>
      </c>
      <c r="BD932" s="76" t="b">
        <v>0</v>
      </c>
      <c r="BE932" s="76" t="b">
        <v>0</v>
      </c>
      <c r="BF932" s="76" t="b">
        <v>0</v>
      </c>
      <c r="BG932" s="76" t="b">
        <v>0</v>
      </c>
      <c r="BH932" s="83" t="str">
        <f>HYPERLINK("https://pbs.twimg.com/profile_banners/1576438977653088256/1693681362")</f>
        <v>https://pbs.twimg.com/profile_banners/1576438977653088256/1693681362</v>
      </c>
      <c r="BI932" s="76"/>
      <c r="BJ932" s="76" t="s">
        <v>24935</v>
      </c>
      <c r="BK932" s="76" t="b">
        <v>0</v>
      </c>
      <c r="BL932" s="76"/>
      <c r="BM932" s="76" t="s">
        <v>66</v>
      </c>
      <c r="BN932" s="76" t="s">
        <v>24937</v>
      </c>
      <c r="BO932" s="83" t="str">
        <f>HYPERLINK("https://twitter.com/jardelanjos75")</f>
        <v>https://twitter.com/jardelanjos75</v>
      </c>
      <c r="BP932" s="2"/>
    </row>
    <row r="933" spans="1:68" x14ac:dyDescent="0.25">
      <c r="A933" s="62" t="s">
        <v>1117</v>
      </c>
      <c r="B933" s="63"/>
      <c r="C933" s="63"/>
      <c r="D933" s="64"/>
      <c r="E933" s="66"/>
      <c r="F933" s="102" t="str">
        <f>HYPERLINK("https://pbs.twimg.com/profile_images/1687994007874342913/3eVFHc0P_normal.jpg")</f>
        <v>https://pbs.twimg.com/profile_images/1687994007874342913/3eVFHc0P_normal.jpg</v>
      </c>
      <c r="G933" s="63"/>
      <c r="H933" s="67"/>
      <c r="I933" s="68"/>
      <c r="J933" s="68"/>
      <c r="K933" s="67" t="s">
        <v>25867</v>
      </c>
      <c r="L933" s="71"/>
      <c r="M933" s="72"/>
      <c r="N933" s="72"/>
      <c r="O933" s="73"/>
      <c r="P933" s="74"/>
      <c r="Q933" s="74"/>
      <c r="R933" s="86"/>
      <c r="S933" s="86"/>
      <c r="T933" s="86"/>
      <c r="U933" s="86"/>
      <c r="V933" s="48"/>
      <c r="W933" s="48"/>
      <c r="X933" s="48"/>
      <c r="Y933" s="48"/>
      <c r="Z933" s="47"/>
      <c r="AA933" s="69">
        <v>933</v>
      </c>
      <c r="AB933" s="69"/>
      <c r="AC933" s="70"/>
      <c r="AD933" s="76" t="s">
        <v>22723</v>
      </c>
      <c r="AE933" s="81" t="s">
        <v>21683</v>
      </c>
      <c r="AF933" s="76">
        <v>14</v>
      </c>
      <c r="AG933" s="76">
        <v>225</v>
      </c>
      <c r="AH933" s="76">
        <v>18</v>
      </c>
      <c r="AI933" s="76">
        <v>0</v>
      </c>
      <c r="AJ933" s="76">
        <v>352</v>
      </c>
      <c r="AK933" s="76">
        <v>3</v>
      </c>
      <c r="AL933" s="76" t="b">
        <v>0</v>
      </c>
      <c r="AM933" s="78">
        <v>42955.48065972222</v>
      </c>
      <c r="AN933" s="76"/>
      <c r="AO933" s="76" t="s">
        <v>24142</v>
      </c>
      <c r="AP933" s="76"/>
      <c r="AQ933" s="76"/>
      <c r="AR933" s="76"/>
      <c r="AS933" s="76"/>
      <c r="AT933" s="76"/>
      <c r="AU933" s="76"/>
      <c r="AV933" s="76"/>
      <c r="AW933" s="76"/>
      <c r="AX933" s="76" t="b">
        <v>0</v>
      </c>
      <c r="AY933" s="76"/>
      <c r="AZ933" s="76"/>
      <c r="BA933" s="76" t="b">
        <v>0</v>
      </c>
      <c r="BB933" s="76" t="b">
        <v>0</v>
      </c>
      <c r="BC933" s="76" t="b">
        <v>1</v>
      </c>
      <c r="BD933" s="76" t="b">
        <v>0</v>
      </c>
      <c r="BE933" s="76" t="b">
        <v>1</v>
      </c>
      <c r="BF933" s="76" t="b">
        <v>0</v>
      </c>
      <c r="BG933" s="76" t="b">
        <v>0</v>
      </c>
      <c r="BH933" s="83" t="str">
        <f>HYPERLINK("https://pbs.twimg.com/profile_banners/894883928292691968/1691284107")</f>
        <v>https://pbs.twimg.com/profile_banners/894883928292691968/1691284107</v>
      </c>
      <c r="BI933" s="76"/>
      <c r="BJ933" s="76" t="s">
        <v>24935</v>
      </c>
      <c r="BK933" s="76" t="b">
        <v>0</v>
      </c>
      <c r="BL933" s="76"/>
      <c r="BM933" s="76" t="s">
        <v>66</v>
      </c>
      <c r="BN933" s="76" t="s">
        <v>24937</v>
      </c>
      <c r="BO933" s="83" t="str">
        <f>HYPERLINK("https://twitter.com/anonima_asz")</f>
        <v>https://twitter.com/anonima_asz</v>
      </c>
      <c r="BP933" s="2"/>
    </row>
    <row r="934" spans="1:68" x14ac:dyDescent="0.25">
      <c r="A934" s="62" t="s">
        <v>1118</v>
      </c>
      <c r="B934" s="63"/>
      <c r="C934" s="63"/>
      <c r="D934" s="64"/>
      <c r="E934" s="66"/>
      <c r="F934" s="102" t="str">
        <f>HYPERLINK("https://pbs.twimg.com/profile_images/1618283478902095872/IIOe-OIG_normal.png")</f>
        <v>https://pbs.twimg.com/profile_images/1618283478902095872/IIOe-OIG_normal.png</v>
      </c>
      <c r="G934" s="63"/>
      <c r="H934" s="67"/>
      <c r="I934" s="68"/>
      <c r="J934" s="68"/>
      <c r="K934" s="67" t="s">
        <v>25868</v>
      </c>
      <c r="L934" s="71"/>
      <c r="M934" s="72"/>
      <c r="N934" s="72"/>
      <c r="O934" s="73"/>
      <c r="P934" s="74"/>
      <c r="Q934" s="74"/>
      <c r="R934" s="86"/>
      <c r="S934" s="86"/>
      <c r="T934" s="86"/>
      <c r="U934" s="86"/>
      <c r="V934" s="48"/>
      <c r="W934" s="48"/>
      <c r="X934" s="48"/>
      <c r="Y934" s="48"/>
      <c r="Z934" s="47"/>
      <c r="AA934" s="69">
        <v>934</v>
      </c>
      <c r="AB934" s="69"/>
      <c r="AC934" s="70"/>
      <c r="AD934" s="76" t="s">
        <v>22724</v>
      </c>
      <c r="AE934" s="81" t="s">
        <v>21684</v>
      </c>
      <c r="AF934" s="76">
        <v>4</v>
      </c>
      <c r="AG934" s="76">
        <v>9</v>
      </c>
      <c r="AH934" s="76">
        <v>44</v>
      </c>
      <c r="AI934" s="76">
        <v>0</v>
      </c>
      <c r="AJ934" s="76">
        <v>1</v>
      </c>
      <c r="AK934" s="76">
        <v>32</v>
      </c>
      <c r="AL934" s="76" t="b">
        <v>0</v>
      </c>
      <c r="AM934" s="78">
        <v>44949.804212962961</v>
      </c>
      <c r="AN934" s="76" t="s">
        <v>14116</v>
      </c>
      <c r="AO934" s="76" t="s">
        <v>24143</v>
      </c>
      <c r="AP934" s="83" t="str">
        <f>HYPERLINK("https://t.co/8dB0xhSLtR")</f>
        <v>https://t.co/8dB0xhSLtR</v>
      </c>
      <c r="AQ934" s="83" t="str">
        <f>HYPERLINK("http://www.minum.com.br")</f>
        <v>http://www.minum.com.br</v>
      </c>
      <c r="AR934" s="76" t="s">
        <v>24762</v>
      </c>
      <c r="AS934" s="76"/>
      <c r="AT934" s="76"/>
      <c r="AU934" s="76"/>
      <c r="AV934" s="76"/>
      <c r="AW934" s="83" t="str">
        <f>HYPERLINK("https://t.co/8dB0xhSLtR")</f>
        <v>https://t.co/8dB0xhSLtR</v>
      </c>
      <c r="AX934" s="76" t="b">
        <v>0</v>
      </c>
      <c r="AY934" s="76"/>
      <c r="AZ934" s="76"/>
      <c r="BA934" s="76" t="b">
        <v>0</v>
      </c>
      <c r="BB934" s="76" t="b">
        <v>1</v>
      </c>
      <c r="BC934" s="76" t="b">
        <v>1</v>
      </c>
      <c r="BD934" s="76" t="b">
        <v>0</v>
      </c>
      <c r="BE934" s="76" t="b">
        <v>0</v>
      </c>
      <c r="BF934" s="76" t="b">
        <v>0</v>
      </c>
      <c r="BG934" s="76" t="b">
        <v>0</v>
      </c>
      <c r="BH934" s="83" t="str">
        <f>HYPERLINK("https://pbs.twimg.com/profile_banners/1617602488475033601/1688585769")</f>
        <v>https://pbs.twimg.com/profile_banners/1617602488475033601/1688585769</v>
      </c>
      <c r="BI934" s="76"/>
      <c r="BJ934" s="76" t="s">
        <v>24935</v>
      </c>
      <c r="BK934" s="76" t="b">
        <v>0</v>
      </c>
      <c r="BL934" s="76"/>
      <c r="BM934" s="76" t="s">
        <v>66</v>
      </c>
      <c r="BN934" s="76" t="s">
        <v>24937</v>
      </c>
      <c r="BO934" s="83" t="str">
        <f>HYPERLINK("https://twitter.com/minumenergia")</f>
        <v>https://twitter.com/minumenergia</v>
      </c>
      <c r="BP934" s="2"/>
    </row>
    <row r="935" spans="1:68" x14ac:dyDescent="0.25">
      <c r="A935" s="62" t="s">
        <v>1119</v>
      </c>
      <c r="B935" s="63"/>
      <c r="C935" s="63"/>
      <c r="D935" s="64"/>
      <c r="E935" s="66"/>
      <c r="F935" s="102" t="str">
        <f>HYPERLINK("https://pbs.twimg.com/profile_images/1699413516623527936/z_Qwv-Fg_normal.jpg")</f>
        <v>https://pbs.twimg.com/profile_images/1699413516623527936/z_Qwv-Fg_normal.jpg</v>
      </c>
      <c r="G935" s="63"/>
      <c r="H935" s="67"/>
      <c r="I935" s="68"/>
      <c r="J935" s="68"/>
      <c r="K935" s="67" t="s">
        <v>25869</v>
      </c>
      <c r="L935" s="71"/>
      <c r="M935" s="72"/>
      <c r="N935" s="72"/>
      <c r="O935" s="73"/>
      <c r="P935" s="74"/>
      <c r="Q935" s="74"/>
      <c r="R935" s="86"/>
      <c r="S935" s="86"/>
      <c r="T935" s="86"/>
      <c r="U935" s="86"/>
      <c r="V935" s="48"/>
      <c r="W935" s="48"/>
      <c r="X935" s="48"/>
      <c r="Y935" s="48"/>
      <c r="Z935" s="47"/>
      <c r="AA935" s="69">
        <v>935</v>
      </c>
      <c r="AB935" s="69"/>
      <c r="AC935" s="70"/>
      <c r="AD935" s="76" t="s">
        <v>22725</v>
      </c>
      <c r="AE935" s="81" t="s">
        <v>21685</v>
      </c>
      <c r="AF935" s="76">
        <v>54</v>
      </c>
      <c r="AG935" s="76">
        <v>50</v>
      </c>
      <c r="AH935" s="76">
        <v>2168</v>
      </c>
      <c r="AI935" s="76">
        <v>0</v>
      </c>
      <c r="AJ935" s="76">
        <v>2540</v>
      </c>
      <c r="AK935" s="76">
        <v>123</v>
      </c>
      <c r="AL935" s="76" t="b">
        <v>0</v>
      </c>
      <c r="AM935" s="78">
        <v>44315.903263888889</v>
      </c>
      <c r="AN935" s="76"/>
      <c r="AO935" s="76" t="s">
        <v>24144</v>
      </c>
      <c r="AP935" s="76"/>
      <c r="AQ935" s="76"/>
      <c r="AR935" s="76"/>
      <c r="AS935" s="76"/>
      <c r="AT935" s="76"/>
      <c r="AU935" s="76"/>
      <c r="AV935" s="76"/>
      <c r="AW935" s="76"/>
      <c r="AX935" s="76" t="b">
        <v>0</v>
      </c>
      <c r="AY935" s="76"/>
      <c r="AZ935" s="76"/>
      <c r="BA935" s="76" t="b">
        <v>1</v>
      </c>
      <c r="BB935" s="76" t="b">
        <v>0</v>
      </c>
      <c r="BC935" s="76" t="b">
        <v>1</v>
      </c>
      <c r="BD935" s="76" t="b">
        <v>0</v>
      </c>
      <c r="BE935" s="76" t="b">
        <v>0</v>
      </c>
      <c r="BF935" s="76" t="b">
        <v>0</v>
      </c>
      <c r="BG935" s="76" t="b">
        <v>0</v>
      </c>
      <c r="BH935" s="83" t="str">
        <f>HYPERLINK("https://pbs.twimg.com/profile_banners/1387884497493020681/1642981201")</f>
        <v>https://pbs.twimg.com/profile_banners/1387884497493020681/1642981201</v>
      </c>
      <c r="BI935" s="76"/>
      <c r="BJ935" s="76" t="s">
        <v>24935</v>
      </c>
      <c r="BK935" s="76" t="b">
        <v>0</v>
      </c>
      <c r="BL935" s="76"/>
      <c r="BM935" s="76" t="s">
        <v>66</v>
      </c>
      <c r="BN935" s="76" t="s">
        <v>24937</v>
      </c>
      <c r="BO935" s="83" t="str">
        <f>HYPERLINK("https://twitter.com/notproudm")</f>
        <v>https://twitter.com/notproudm</v>
      </c>
      <c r="BP935" s="2"/>
    </row>
    <row r="936" spans="1:68" x14ac:dyDescent="0.25">
      <c r="A936" s="62" t="s">
        <v>1120</v>
      </c>
      <c r="B936" s="63"/>
      <c r="C936" s="63"/>
      <c r="D936" s="64"/>
      <c r="E936" s="66"/>
      <c r="F936" s="102" t="str">
        <f>HYPERLINK("https://pbs.twimg.com/profile_images/1695463347905273856/sOF1E5F7_normal.jpg")</f>
        <v>https://pbs.twimg.com/profile_images/1695463347905273856/sOF1E5F7_normal.jpg</v>
      </c>
      <c r="G936" s="63"/>
      <c r="H936" s="67"/>
      <c r="I936" s="68"/>
      <c r="J936" s="68"/>
      <c r="K936" s="67" t="s">
        <v>25870</v>
      </c>
      <c r="L936" s="71"/>
      <c r="M936" s="72"/>
      <c r="N936" s="72"/>
      <c r="O936" s="73"/>
      <c r="P936" s="74"/>
      <c r="Q936" s="74"/>
      <c r="R936" s="86"/>
      <c r="S936" s="86"/>
      <c r="T936" s="86"/>
      <c r="U936" s="86"/>
      <c r="V936" s="48"/>
      <c r="W936" s="48"/>
      <c r="X936" s="48"/>
      <c r="Y936" s="48"/>
      <c r="Z936" s="47"/>
      <c r="AA936" s="69">
        <v>936</v>
      </c>
      <c r="AB936" s="69"/>
      <c r="AC936" s="70"/>
      <c r="AD936" s="76" t="s">
        <v>22726</v>
      </c>
      <c r="AE936" s="81" t="s">
        <v>21686</v>
      </c>
      <c r="AF936" s="76">
        <v>3</v>
      </c>
      <c r="AG936" s="76">
        <v>205</v>
      </c>
      <c r="AH936" s="76">
        <v>85</v>
      </c>
      <c r="AI936" s="76">
        <v>0</v>
      </c>
      <c r="AJ936" s="76">
        <v>69</v>
      </c>
      <c r="AK936" s="76">
        <v>16</v>
      </c>
      <c r="AL936" s="76" t="b">
        <v>0</v>
      </c>
      <c r="AM936" s="78">
        <v>45138.754571759258</v>
      </c>
      <c r="AN936" s="76" t="s">
        <v>14033</v>
      </c>
      <c r="AO936" s="76" t="s">
        <v>24145</v>
      </c>
      <c r="AP936" s="76"/>
      <c r="AQ936" s="76"/>
      <c r="AR936" s="76"/>
      <c r="AS936" s="76"/>
      <c r="AT936" s="76"/>
      <c r="AU936" s="76"/>
      <c r="AV936" s="76"/>
      <c r="AW936" s="76"/>
      <c r="AX936" s="76" t="b">
        <v>0</v>
      </c>
      <c r="AY936" s="76"/>
      <c r="AZ936" s="76"/>
      <c r="BA936" s="76" t="b">
        <v>0</v>
      </c>
      <c r="BB936" s="76" t="b">
        <v>1</v>
      </c>
      <c r="BC936" s="76" t="b">
        <v>1</v>
      </c>
      <c r="BD936" s="76" t="b">
        <v>0</v>
      </c>
      <c r="BE936" s="76" t="b">
        <v>0</v>
      </c>
      <c r="BF936" s="76" t="b">
        <v>0</v>
      </c>
      <c r="BG936" s="76" t="b">
        <v>0</v>
      </c>
      <c r="BH936" s="83" t="str">
        <f>HYPERLINK("https://pbs.twimg.com/profile_banners/1686075625692413954/1690912756")</f>
        <v>https://pbs.twimg.com/profile_banners/1686075625692413954/1690912756</v>
      </c>
      <c r="BI936" s="76"/>
      <c r="BJ936" s="76" t="s">
        <v>24935</v>
      </c>
      <c r="BK936" s="76" t="b">
        <v>0</v>
      </c>
      <c r="BL936" s="76"/>
      <c r="BM936" s="76" t="s">
        <v>66</v>
      </c>
      <c r="BN936" s="76" t="s">
        <v>24937</v>
      </c>
      <c r="BO936" s="83" t="str">
        <f>HYPERLINK("https://twitter.com/marcosmentoria")</f>
        <v>https://twitter.com/marcosmentoria</v>
      </c>
      <c r="BP936" s="2"/>
    </row>
    <row r="937" spans="1:68" x14ac:dyDescent="0.25">
      <c r="A937" s="62" t="s">
        <v>1121</v>
      </c>
      <c r="B937" s="63"/>
      <c r="C937" s="63"/>
      <c r="D937" s="64"/>
      <c r="E937" s="66"/>
      <c r="F937" s="102" t="str">
        <f>HYPERLINK("https://pbs.twimg.com/profile_images/1639348004225155072/lMAiB5KE_normal.jpg")</f>
        <v>https://pbs.twimg.com/profile_images/1639348004225155072/lMAiB5KE_normal.jpg</v>
      </c>
      <c r="G937" s="63"/>
      <c r="H937" s="67"/>
      <c r="I937" s="68"/>
      <c r="J937" s="68"/>
      <c r="K937" s="67" t="s">
        <v>25871</v>
      </c>
      <c r="L937" s="71"/>
      <c r="M937" s="72"/>
      <c r="N937" s="72"/>
      <c r="O937" s="73"/>
      <c r="P937" s="74"/>
      <c r="Q937" s="74"/>
      <c r="R937" s="86"/>
      <c r="S937" s="86"/>
      <c r="T937" s="86"/>
      <c r="U937" s="86"/>
      <c r="V937" s="48"/>
      <c r="W937" s="48"/>
      <c r="X937" s="48"/>
      <c r="Y937" s="48"/>
      <c r="Z937" s="47"/>
      <c r="AA937" s="69">
        <v>937</v>
      </c>
      <c r="AB937" s="69"/>
      <c r="AC937" s="70"/>
      <c r="AD937" s="76" t="s">
        <v>22727</v>
      </c>
      <c r="AE937" s="81" t="s">
        <v>21687</v>
      </c>
      <c r="AF937" s="76">
        <v>0</v>
      </c>
      <c r="AG937" s="76">
        <v>9</v>
      </c>
      <c r="AH937" s="76">
        <v>16</v>
      </c>
      <c r="AI937" s="76">
        <v>0</v>
      </c>
      <c r="AJ937" s="76">
        <v>0</v>
      </c>
      <c r="AK937" s="76">
        <v>0</v>
      </c>
      <c r="AL937" s="76" t="b">
        <v>0</v>
      </c>
      <c r="AM937" s="78">
        <v>45009.80091435185</v>
      </c>
      <c r="AN937" s="76" t="s">
        <v>23145</v>
      </c>
      <c r="AO937" s="76" t="s">
        <v>24146</v>
      </c>
      <c r="AP937" s="83" t="str">
        <f>HYPERLINK("https://t.co/RGcuGEDCYS")</f>
        <v>https://t.co/RGcuGEDCYS</v>
      </c>
      <c r="AQ937" s="83" t="str">
        <f>HYPERLINK("https://sites.google.com/view/aprendaaserumtraderesportivo/in%C3%ADcio")</f>
        <v>https://sites.google.com/view/aprendaaserumtraderesportivo/in%C3%ADcio</v>
      </c>
      <c r="AR937" s="76" t="s">
        <v>24763</v>
      </c>
      <c r="AS937" s="83" t="str">
        <f>HYPERLINK("https://t.co/MGHzRDeGYt")</f>
        <v>https://t.co/MGHzRDeGYt</v>
      </c>
      <c r="AT937" s="83" t="str">
        <f>HYPERLINK("http://app.monetizze.com.br/r/AHC22391548")</f>
        <v>http://app.monetizze.com.br/r/AHC22391548</v>
      </c>
      <c r="AU937" s="76" t="s">
        <v>24921</v>
      </c>
      <c r="AV937" s="76"/>
      <c r="AW937" s="83" t="str">
        <f>HYPERLINK("https://t.co/RGcuGEDCYS")</f>
        <v>https://t.co/RGcuGEDCYS</v>
      </c>
      <c r="AX937" s="76" t="b">
        <v>0</v>
      </c>
      <c r="AY937" s="76"/>
      <c r="AZ937" s="76"/>
      <c r="BA937" s="76" t="b">
        <v>0</v>
      </c>
      <c r="BB937" s="76" t="b">
        <v>1</v>
      </c>
      <c r="BC937" s="76" t="b">
        <v>1</v>
      </c>
      <c r="BD937" s="76" t="b">
        <v>0</v>
      </c>
      <c r="BE937" s="76" t="b">
        <v>0</v>
      </c>
      <c r="BF937" s="76" t="b">
        <v>0</v>
      </c>
      <c r="BG937" s="76" t="b">
        <v>0</v>
      </c>
      <c r="BH937" s="83" t="str">
        <f>HYPERLINK("https://pbs.twimg.com/profile_banners/1639344233281728513/1679685998")</f>
        <v>https://pbs.twimg.com/profile_banners/1639344233281728513/1679685998</v>
      </c>
      <c r="BI937" s="76"/>
      <c r="BJ937" s="76" t="s">
        <v>24935</v>
      </c>
      <c r="BK937" s="76" t="b">
        <v>0</v>
      </c>
      <c r="BL937" s="76"/>
      <c r="BM937" s="76" t="s">
        <v>66</v>
      </c>
      <c r="BN937" s="76" t="s">
        <v>24937</v>
      </c>
      <c r="BO937" s="83" t="str">
        <f>HYPERLINK("https://twitter.com/donuts4brazil")</f>
        <v>https://twitter.com/donuts4brazil</v>
      </c>
      <c r="BP937" s="2"/>
    </row>
    <row r="938" spans="1:68" x14ac:dyDescent="0.25">
      <c r="A938" s="62" t="s">
        <v>1122</v>
      </c>
      <c r="B938" s="63"/>
      <c r="C938" s="63"/>
      <c r="D938" s="64"/>
      <c r="E938" s="66"/>
      <c r="F938" s="102" t="str">
        <f>HYPERLINK("https://pbs.twimg.com/profile_images/1646634314015158278/mWuqBM9b_normal.png")</f>
        <v>https://pbs.twimg.com/profile_images/1646634314015158278/mWuqBM9b_normal.png</v>
      </c>
      <c r="G938" s="63"/>
      <c r="H938" s="67"/>
      <c r="I938" s="68"/>
      <c r="J938" s="68"/>
      <c r="K938" s="67" t="s">
        <v>25872</v>
      </c>
      <c r="L938" s="71"/>
      <c r="M938" s="72"/>
      <c r="N938" s="72"/>
      <c r="O938" s="73"/>
      <c r="P938" s="74"/>
      <c r="Q938" s="74"/>
      <c r="R938" s="86"/>
      <c r="S938" s="86"/>
      <c r="T938" s="86"/>
      <c r="U938" s="86"/>
      <c r="V938" s="48"/>
      <c r="W938" s="48"/>
      <c r="X938" s="48"/>
      <c r="Y938" s="48"/>
      <c r="Z938" s="47"/>
      <c r="AA938" s="69">
        <v>938</v>
      </c>
      <c r="AB938" s="69"/>
      <c r="AC938" s="70"/>
      <c r="AD938" s="76" t="s">
        <v>22728</v>
      </c>
      <c r="AE938" s="81" t="s">
        <v>21688</v>
      </c>
      <c r="AF938" s="76">
        <v>1</v>
      </c>
      <c r="AG938" s="76">
        <v>5</v>
      </c>
      <c r="AH938" s="76">
        <v>7</v>
      </c>
      <c r="AI938" s="76">
        <v>0</v>
      </c>
      <c r="AJ938" s="76">
        <v>0</v>
      </c>
      <c r="AK938" s="76">
        <v>7</v>
      </c>
      <c r="AL938" s="76" t="b">
        <v>0</v>
      </c>
      <c r="AM938" s="78">
        <v>45029.916516203702</v>
      </c>
      <c r="AN938" s="76"/>
      <c r="AO938" s="76" t="s">
        <v>24147</v>
      </c>
      <c r="AP938" s="83" t="str">
        <f>HYPERLINK("https://t.co/RDwm4dlfax")</f>
        <v>https://t.co/RDwm4dlfax</v>
      </c>
      <c r="AQ938" s="83" t="str">
        <f>HYPERLINK("https://linktr.ee/Saberdigitalonline")</f>
        <v>https://linktr.ee/Saberdigitalonline</v>
      </c>
      <c r="AR938" s="76" t="s">
        <v>24764</v>
      </c>
      <c r="AS938" s="76"/>
      <c r="AT938" s="76"/>
      <c r="AU938" s="76"/>
      <c r="AV938" s="76"/>
      <c r="AW938" s="83" t="str">
        <f>HYPERLINK("https://t.co/RDwm4dlfax")</f>
        <v>https://t.co/RDwm4dlfax</v>
      </c>
      <c r="AX938" s="76" t="b">
        <v>0</v>
      </c>
      <c r="AY938" s="76"/>
      <c r="AZ938" s="76"/>
      <c r="BA938" s="76" t="b">
        <v>0</v>
      </c>
      <c r="BB938" s="76" t="b">
        <v>1</v>
      </c>
      <c r="BC938" s="76" t="b">
        <v>1</v>
      </c>
      <c r="BD938" s="76" t="b">
        <v>0</v>
      </c>
      <c r="BE938" s="76" t="b">
        <v>0</v>
      </c>
      <c r="BF938" s="76" t="b">
        <v>0</v>
      </c>
      <c r="BG938" s="76" t="b">
        <v>0</v>
      </c>
      <c r="BH938" s="83" t="str">
        <f>HYPERLINK("https://pbs.twimg.com/profile_banners/1646634203209973760/1681425180")</f>
        <v>https://pbs.twimg.com/profile_banners/1646634203209973760/1681425180</v>
      </c>
      <c r="BI938" s="76"/>
      <c r="BJ938" s="76" t="s">
        <v>24935</v>
      </c>
      <c r="BK938" s="76" t="b">
        <v>0</v>
      </c>
      <c r="BL938" s="76"/>
      <c r="BM938" s="76" t="s">
        <v>66</v>
      </c>
      <c r="BN938" s="76" t="s">
        <v>24937</v>
      </c>
      <c r="BO938" s="83" t="str">
        <f>HYPERLINK("https://twitter.com/saberdigitall")</f>
        <v>https://twitter.com/saberdigitall</v>
      </c>
      <c r="BP938" s="2"/>
    </row>
    <row r="939" spans="1:68" x14ac:dyDescent="0.25">
      <c r="A939" s="62" t="s">
        <v>1123</v>
      </c>
      <c r="B939" s="63"/>
      <c r="C939" s="63"/>
      <c r="D939" s="64"/>
      <c r="E939" s="66"/>
      <c r="F939" s="102" t="str">
        <f>HYPERLINK("https://pbs.twimg.com/profile_images/1703899155863601152/8McMepTl_normal.jpg")</f>
        <v>https://pbs.twimg.com/profile_images/1703899155863601152/8McMepTl_normal.jpg</v>
      </c>
      <c r="G939" s="63"/>
      <c r="H939" s="67"/>
      <c r="I939" s="68"/>
      <c r="J939" s="68"/>
      <c r="K939" s="67" t="s">
        <v>25873</v>
      </c>
      <c r="L939" s="71"/>
      <c r="M939" s="72"/>
      <c r="N939" s="72"/>
      <c r="O939" s="73"/>
      <c r="P939" s="74"/>
      <c r="Q939" s="74"/>
      <c r="R939" s="86"/>
      <c r="S939" s="86"/>
      <c r="T939" s="86"/>
      <c r="U939" s="86"/>
      <c r="V939" s="48"/>
      <c r="W939" s="48"/>
      <c r="X939" s="48"/>
      <c r="Y939" s="48"/>
      <c r="Z939" s="47"/>
      <c r="AA939" s="69">
        <v>939</v>
      </c>
      <c r="AB939" s="69"/>
      <c r="AC939" s="70"/>
      <c r="AD939" s="76" t="s">
        <v>22729</v>
      </c>
      <c r="AE939" s="81" t="s">
        <v>23044</v>
      </c>
      <c r="AF939" s="76">
        <v>431</v>
      </c>
      <c r="AG939" s="76">
        <v>361</v>
      </c>
      <c r="AH939" s="76">
        <v>695</v>
      </c>
      <c r="AI939" s="76">
        <v>1</v>
      </c>
      <c r="AJ939" s="76">
        <v>33806</v>
      </c>
      <c r="AK939" s="76">
        <v>11</v>
      </c>
      <c r="AL939" s="76" t="b">
        <v>0</v>
      </c>
      <c r="AM939" s="78">
        <v>41696.476018518515</v>
      </c>
      <c r="AN939" s="76" t="s">
        <v>23317</v>
      </c>
      <c r="AO939" s="76" t="s">
        <v>24148</v>
      </c>
      <c r="AP939" s="76"/>
      <c r="AQ939" s="76"/>
      <c r="AR939" s="76"/>
      <c r="AS939" s="76"/>
      <c r="AT939" s="76"/>
      <c r="AU939" s="76"/>
      <c r="AV939" s="76"/>
      <c r="AW939" s="76"/>
      <c r="AX939" s="76" t="b">
        <v>0</v>
      </c>
      <c r="AY939" s="76"/>
      <c r="AZ939" s="76"/>
      <c r="BA939" s="76" t="b">
        <v>0</v>
      </c>
      <c r="BB939" s="76" t="b">
        <v>1</v>
      </c>
      <c r="BC939" s="76" t="b">
        <v>0</v>
      </c>
      <c r="BD939" s="76" t="b">
        <v>0</v>
      </c>
      <c r="BE939" s="76" t="b">
        <v>1</v>
      </c>
      <c r="BF939" s="76" t="b">
        <v>0</v>
      </c>
      <c r="BG939" s="76" t="b">
        <v>0</v>
      </c>
      <c r="BH939" s="83" t="str">
        <f>HYPERLINK("https://pbs.twimg.com/profile_banners/2366791588/1667828702")</f>
        <v>https://pbs.twimg.com/profile_banners/2366791588/1667828702</v>
      </c>
      <c r="BI939" s="76"/>
      <c r="BJ939" s="76" t="s">
        <v>24935</v>
      </c>
      <c r="BK939" s="76" t="b">
        <v>0</v>
      </c>
      <c r="BL939" s="76"/>
      <c r="BM939" s="76" t="s">
        <v>66</v>
      </c>
      <c r="BN939" s="76" t="s">
        <v>24937</v>
      </c>
      <c r="BO939" s="83" t="str">
        <f>HYPERLINK("https://twitter.com/talagadabruta")</f>
        <v>https://twitter.com/talagadabruta</v>
      </c>
      <c r="BP939" s="2"/>
    </row>
    <row r="940" spans="1:68" x14ac:dyDescent="0.25">
      <c r="A940" s="62" t="s">
        <v>1124</v>
      </c>
      <c r="B940" s="63"/>
      <c r="C940" s="63"/>
      <c r="D940" s="64"/>
      <c r="E940" s="66"/>
      <c r="F940" s="102" t="str">
        <f>HYPERLINK("https://pbs.twimg.com/profile_images/1646078565593624578/a1qrlQb6_normal.jpg")</f>
        <v>https://pbs.twimg.com/profile_images/1646078565593624578/a1qrlQb6_normal.jpg</v>
      </c>
      <c r="G940" s="63"/>
      <c r="H940" s="67"/>
      <c r="I940" s="68"/>
      <c r="J940" s="68"/>
      <c r="K940" s="67" t="s">
        <v>25874</v>
      </c>
      <c r="L940" s="71"/>
      <c r="M940" s="72"/>
      <c r="N940" s="72"/>
      <c r="O940" s="73"/>
      <c r="P940" s="74"/>
      <c r="Q940" s="74"/>
      <c r="R940" s="86"/>
      <c r="S940" s="86"/>
      <c r="T940" s="86"/>
      <c r="U940" s="86"/>
      <c r="V940" s="48"/>
      <c r="W940" s="48"/>
      <c r="X940" s="48"/>
      <c r="Y940" s="48"/>
      <c r="Z940" s="47"/>
      <c r="AA940" s="69">
        <v>940</v>
      </c>
      <c r="AB940" s="69"/>
      <c r="AC940" s="70"/>
      <c r="AD940" s="76" t="s">
        <v>22730</v>
      </c>
      <c r="AE940" s="81" t="s">
        <v>21689</v>
      </c>
      <c r="AF940" s="76">
        <v>44</v>
      </c>
      <c r="AG940" s="76">
        <v>265</v>
      </c>
      <c r="AH940" s="76">
        <v>137</v>
      </c>
      <c r="AI940" s="76">
        <v>0</v>
      </c>
      <c r="AJ940" s="76">
        <v>410</v>
      </c>
      <c r="AK940" s="76">
        <v>43</v>
      </c>
      <c r="AL940" s="76" t="b">
        <v>0</v>
      </c>
      <c r="AM940" s="78">
        <v>45026.617523148147</v>
      </c>
      <c r="AN940" s="76" t="s">
        <v>23318</v>
      </c>
      <c r="AO940" s="76" t="s">
        <v>24149</v>
      </c>
      <c r="AP940" s="83" t="str">
        <f>HYPERLINK("https://t.co/lyaLox4wHl")</f>
        <v>https://t.co/lyaLox4wHl</v>
      </c>
      <c r="AQ940" s="83" t="str">
        <f>HYPERLINK("https://www.betrebels.com/pt/")</f>
        <v>https://www.betrebels.com/pt/</v>
      </c>
      <c r="AR940" s="76" t="s">
        <v>24765</v>
      </c>
      <c r="AS940" s="76"/>
      <c r="AT940" s="76"/>
      <c r="AU940" s="76"/>
      <c r="AV940" s="76">
        <v>1.6460808931848599E+18</v>
      </c>
      <c r="AW940" s="83" t="str">
        <f>HYPERLINK("https://t.co/lyaLox4wHl")</f>
        <v>https://t.co/lyaLox4wHl</v>
      </c>
      <c r="AX940" s="76" t="b">
        <v>0</v>
      </c>
      <c r="AY940" s="76"/>
      <c r="AZ940" s="76"/>
      <c r="BA940" s="76" t="b">
        <v>0</v>
      </c>
      <c r="BB940" s="76" t="b">
        <v>1</v>
      </c>
      <c r="BC940" s="76" t="b">
        <v>1</v>
      </c>
      <c r="BD940" s="76" t="b">
        <v>0</v>
      </c>
      <c r="BE940" s="76" t="b">
        <v>0</v>
      </c>
      <c r="BF940" s="76" t="b">
        <v>0</v>
      </c>
      <c r="BG940" s="76" t="b">
        <v>0</v>
      </c>
      <c r="BH940" s="83" t="str">
        <f>HYPERLINK("https://pbs.twimg.com/profile_banners/1645438631274766337/1681811910")</f>
        <v>https://pbs.twimg.com/profile_banners/1645438631274766337/1681811910</v>
      </c>
      <c r="BI940" s="76"/>
      <c r="BJ940" s="76" t="s">
        <v>24935</v>
      </c>
      <c r="BK940" s="76" t="b">
        <v>0</v>
      </c>
      <c r="BL940" s="76"/>
      <c r="BM940" s="76" t="s">
        <v>66</v>
      </c>
      <c r="BN940" s="76" t="s">
        <v>24937</v>
      </c>
      <c r="BO940" s="83" t="str">
        <f>HYPERLINK("https://twitter.com/betrebels_bra")</f>
        <v>https://twitter.com/betrebels_bra</v>
      </c>
      <c r="BP940" s="2"/>
    </row>
    <row r="941" spans="1:68" x14ac:dyDescent="0.25">
      <c r="A941" s="62" t="s">
        <v>1125</v>
      </c>
      <c r="B941" s="63"/>
      <c r="C941" s="63"/>
      <c r="D941" s="64"/>
      <c r="E941" s="66"/>
      <c r="F941" s="102" t="str">
        <f>HYPERLINK("https://pbs.twimg.com/profile_images/1665453437457137664/HkWqdyK5_normal.jpg")</f>
        <v>https://pbs.twimg.com/profile_images/1665453437457137664/HkWqdyK5_normal.jpg</v>
      </c>
      <c r="G941" s="63"/>
      <c r="H941" s="67"/>
      <c r="I941" s="68"/>
      <c r="J941" s="68"/>
      <c r="K941" s="67" t="s">
        <v>25875</v>
      </c>
      <c r="L941" s="71"/>
      <c r="M941" s="72"/>
      <c r="N941" s="72"/>
      <c r="O941" s="73"/>
      <c r="P941" s="74"/>
      <c r="Q941" s="74"/>
      <c r="R941" s="86"/>
      <c r="S941" s="86"/>
      <c r="T941" s="86"/>
      <c r="U941" s="86"/>
      <c r="V941" s="48"/>
      <c r="W941" s="48"/>
      <c r="X941" s="48"/>
      <c r="Y941" s="48"/>
      <c r="Z941" s="47"/>
      <c r="AA941" s="69">
        <v>941</v>
      </c>
      <c r="AB941" s="69"/>
      <c r="AC941" s="70"/>
      <c r="AD941" s="76" t="s">
        <v>22731</v>
      </c>
      <c r="AE941" s="81" t="s">
        <v>21690</v>
      </c>
      <c r="AF941" s="76">
        <v>93</v>
      </c>
      <c r="AG941" s="76">
        <v>38</v>
      </c>
      <c r="AH941" s="76">
        <v>81</v>
      </c>
      <c r="AI941" s="76">
        <v>2</v>
      </c>
      <c r="AJ941" s="76">
        <v>211</v>
      </c>
      <c r="AK941" s="76">
        <v>32</v>
      </c>
      <c r="AL941" s="76" t="b">
        <v>0</v>
      </c>
      <c r="AM941" s="78">
        <v>45081.844907407409</v>
      </c>
      <c r="AN941" s="76" t="s">
        <v>23319</v>
      </c>
      <c r="AO941" s="76" t="s">
        <v>24150</v>
      </c>
      <c r="AP941" s="83" t="str">
        <f>HYPERLINK("https://t.co/o2zRZJBDeo")</f>
        <v>https://t.co/o2zRZJBDeo</v>
      </c>
      <c r="AQ941" s="83" t="str">
        <f>HYPERLINK("https://instagram.com/gildasallesoficiall?igshid=NTc4MTIwNjQ2YQ==")</f>
        <v>https://instagram.com/gildasallesoficiall?igshid=NTc4MTIwNjQ2YQ==</v>
      </c>
      <c r="AR941" s="76" t="s">
        <v>24766</v>
      </c>
      <c r="AS941" s="76"/>
      <c r="AT941" s="76"/>
      <c r="AU941" s="76"/>
      <c r="AV941" s="76">
        <v>1.6690348569934999E+18</v>
      </c>
      <c r="AW941" s="83" t="str">
        <f>HYPERLINK("https://t.co/o2zRZJBDeo")</f>
        <v>https://t.co/o2zRZJBDeo</v>
      </c>
      <c r="AX941" s="76" t="b">
        <v>0</v>
      </c>
      <c r="AY941" s="76"/>
      <c r="AZ941" s="76"/>
      <c r="BA941" s="76" t="b">
        <v>0</v>
      </c>
      <c r="BB941" s="76" t="b">
        <v>1</v>
      </c>
      <c r="BC941" s="76" t="b">
        <v>1</v>
      </c>
      <c r="BD941" s="76" t="b">
        <v>0</v>
      </c>
      <c r="BE941" s="76" t="b">
        <v>0</v>
      </c>
      <c r="BF941" s="76" t="b">
        <v>0</v>
      </c>
      <c r="BG941" s="76" t="b">
        <v>1</v>
      </c>
      <c r="BH941" s="83" t="str">
        <f>HYPERLINK("https://pbs.twimg.com/profile_banners/1665452471089545216/1685921461")</f>
        <v>https://pbs.twimg.com/profile_banners/1665452471089545216/1685921461</v>
      </c>
      <c r="BI941" s="76"/>
      <c r="BJ941" s="76" t="s">
        <v>24935</v>
      </c>
      <c r="BK941" s="76" t="b">
        <v>0</v>
      </c>
      <c r="BL941" s="76"/>
      <c r="BM941" s="76" t="s">
        <v>66</v>
      </c>
      <c r="BN941" s="76" t="s">
        <v>24937</v>
      </c>
      <c r="BO941" s="83" t="str">
        <f>HYPERLINK("https://twitter.com/graca_duarte_")</f>
        <v>https://twitter.com/graca_duarte_</v>
      </c>
      <c r="BP941" s="2"/>
    </row>
    <row r="942" spans="1:68" x14ac:dyDescent="0.25">
      <c r="A942" s="62" t="s">
        <v>1126</v>
      </c>
      <c r="B942" s="63"/>
      <c r="C942" s="63"/>
      <c r="D942" s="64"/>
      <c r="E942" s="66"/>
      <c r="F942" s="102" t="str">
        <f>HYPERLINK("https://pbs.twimg.com/profile_images/1264737386262642693/eMIKN_0M_normal.jpg")</f>
        <v>https://pbs.twimg.com/profile_images/1264737386262642693/eMIKN_0M_normal.jpg</v>
      </c>
      <c r="G942" s="63"/>
      <c r="H942" s="67"/>
      <c r="I942" s="68"/>
      <c r="J942" s="68"/>
      <c r="K942" s="67" t="s">
        <v>25876</v>
      </c>
      <c r="L942" s="71"/>
      <c r="M942" s="72"/>
      <c r="N942" s="72"/>
      <c r="O942" s="73"/>
      <c r="P942" s="74"/>
      <c r="Q942" s="74"/>
      <c r="R942" s="86"/>
      <c r="S942" s="86"/>
      <c r="T942" s="86"/>
      <c r="U942" s="86"/>
      <c r="V942" s="48"/>
      <c r="W942" s="48"/>
      <c r="X942" s="48"/>
      <c r="Y942" s="48"/>
      <c r="Z942" s="47"/>
      <c r="AA942" s="69">
        <v>942</v>
      </c>
      <c r="AB942" s="69"/>
      <c r="AC942" s="70"/>
      <c r="AD942" s="76" t="s">
        <v>22732</v>
      </c>
      <c r="AE942" s="81" t="s">
        <v>23045</v>
      </c>
      <c r="AF942" s="76">
        <v>55</v>
      </c>
      <c r="AG942" s="76">
        <v>1598</v>
      </c>
      <c r="AH942" s="76">
        <v>944</v>
      </c>
      <c r="AI942" s="76">
        <v>0</v>
      </c>
      <c r="AJ942" s="76">
        <v>9</v>
      </c>
      <c r="AK942" s="76">
        <v>247</v>
      </c>
      <c r="AL942" s="76" t="b">
        <v>0</v>
      </c>
      <c r="AM942" s="78">
        <v>40716.007916666669</v>
      </c>
      <c r="AN942" s="76"/>
      <c r="AO942" s="76"/>
      <c r="AP942" s="83" t="str">
        <f>HYPERLINK("https://t.co/oDrgttp6EV")</f>
        <v>https://t.co/oDrgttp6EV</v>
      </c>
      <c r="AQ942" s="83" t="str">
        <f>HYPERLINK("http://djmagope.blogspot.com.br")</f>
        <v>http://djmagope.blogspot.com.br</v>
      </c>
      <c r="AR942" s="76" t="s">
        <v>24767</v>
      </c>
      <c r="AS942" s="76"/>
      <c r="AT942" s="76"/>
      <c r="AU942" s="76"/>
      <c r="AV942" s="76"/>
      <c r="AW942" s="83" t="str">
        <f>HYPERLINK("https://t.co/oDrgttp6EV")</f>
        <v>https://t.co/oDrgttp6EV</v>
      </c>
      <c r="AX942" s="76" t="b">
        <v>0</v>
      </c>
      <c r="AY942" s="76"/>
      <c r="AZ942" s="76"/>
      <c r="BA942" s="76" t="b">
        <v>0</v>
      </c>
      <c r="BB942" s="76" t="b">
        <v>1</v>
      </c>
      <c r="BC942" s="76" t="b">
        <v>0</v>
      </c>
      <c r="BD942" s="76" t="b">
        <v>0</v>
      </c>
      <c r="BE942" s="76" t="b">
        <v>1</v>
      </c>
      <c r="BF942" s="76" t="b">
        <v>0</v>
      </c>
      <c r="BG942" s="76" t="b">
        <v>0</v>
      </c>
      <c r="BH942" s="83" t="str">
        <f>HYPERLINK("https://pbs.twimg.com/profile_banners/321693215/1509116542")</f>
        <v>https://pbs.twimg.com/profile_banners/321693215/1509116542</v>
      </c>
      <c r="BI942" s="76"/>
      <c r="BJ942" s="76" t="s">
        <v>24935</v>
      </c>
      <c r="BK942" s="76" t="b">
        <v>0</v>
      </c>
      <c r="BL942" s="76"/>
      <c r="BM942" s="76" t="s">
        <v>66</v>
      </c>
      <c r="BN942" s="76" t="s">
        <v>24937</v>
      </c>
      <c r="BO942" s="83" t="str">
        <f>HYPERLINK("https://twitter.com/andersonpmt")</f>
        <v>https://twitter.com/andersonpmt</v>
      </c>
      <c r="BP942" s="2"/>
    </row>
    <row r="943" spans="1:68" x14ac:dyDescent="0.25">
      <c r="A943" s="62" t="s">
        <v>1127</v>
      </c>
      <c r="B943" s="63"/>
      <c r="C943" s="63"/>
      <c r="D943" s="64"/>
      <c r="E943" s="66"/>
      <c r="F943" s="102" t="str">
        <f>HYPERLINK("https://pbs.twimg.com/profile_images/1699436783010750464/EdxlnxDc_normal.jpg")</f>
        <v>https://pbs.twimg.com/profile_images/1699436783010750464/EdxlnxDc_normal.jpg</v>
      </c>
      <c r="G943" s="63"/>
      <c r="H943" s="67"/>
      <c r="I943" s="68"/>
      <c r="J943" s="68"/>
      <c r="K943" s="67" t="s">
        <v>25877</v>
      </c>
      <c r="L943" s="71"/>
      <c r="M943" s="72"/>
      <c r="N943" s="72"/>
      <c r="O943" s="73"/>
      <c r="P943" s="74"/>
      <c r="Q943" s="74"/>
      <c r="R943" s="86"/>
      <c r="S943" s="86"/>
      <c r="T943" s="86"/>
      <c r="U943" s="86"/>
      <c r="V943" s="48"/>
      <c r="W943" s="48"/>
      <c r="X943" s="48"/>
      <c r="Y943" s="48"/>
      <c r="Z943" s="47"/>
      <c r="AA943" s="69">
        <v>943</v>
      </c>
      <c r="AB943" s="69"/>
      <c r="AC943" s="70"/>
      <c r="AD943" s="76" t="s">
        <v>22733</v>
      </c>
      <c r="AE943" s="81" t="s">
        <v>21691</v>
      </c>
      <c r="AF943" s="76">
        <v>520</v>
      </c>
      <c r="AG943" s="76">
        <v>51</v>
      </c>
      <c r="AH943" s="76">
        <v>49</v>
      </c>
      <c r="AI943" s="76">
        <v>0</v>
      </c>
      <c r="AJ943" s="76">
        <v>8</v>
      </c>
      <c r="AK943" s="76">
        <v>17</v>
      </c>
      <c r="AL943" s="76" t="b">
        <v>0</v>
      </c>
      <c r="AM943" s="78">
        <v>45154.560428240744</v>
      </c>
      <c r="AN943" s="76" t="s">
        <v>23225</v>
      </c>
      <c r="AO943" s="76" t="s">
        <v>24151</v>
      </c>
      <c r="AP943" s="76"/>
      <c r="AQ943" s="76"/>
      <c r="AR943" s="76"/>
      <c r="AS943" s="76"/>
      <c r="AT943" s="76"/>
      <c r="AU943" s="76"/>
      <c r="AV943" s="76">
        <v>1.69548016185919E+18</v>
      </c>
      <c r="AW943" s="76"/>
      <c r="AX943" s="76" t="b">
        <v>0</v>
      </c>
      <c r="AY943" s="76"/>
      <c r="AZ943" s="76"/>
      <c r="BA943" s="76" t="b">
        <v>0</v>
      </c>
      <c r="BB943" s="76" t="b">
        <v>0</v>
      </c>
      <c r="BC943" s="76" t="b">
        <v>1</v>
      </c>
      <c r="BD943" s="76" t="b">
        <v>0</v>
      </c>
      <c r="BE943" s="76" t="b">
        <v>0</v>
      </c>
      <c r="BF943" s="76" t="b">
        <v>0</v>
      </c>
      <c r="BG943" s="76" t="b">
        <v>0</v>
      </c>
      <c r="BH943" s="83" t="str">
        <f>HYPERLINK("https://pbs.twimg.com/profile_banners/1691803665684672512/1694012315")</f>
        <v>https://pbs.twimg.com/profile_banners/1691803665684672512/1694012315</v>
      </c>
      <c r="BI943" s="76"/>
      <c r="BJ943" s="76" t="s">
        <v>24935</v>
      </c>
      <c r="BK943" s="76" t="b">
        <v>0</v>
      </c>
      <c r="BL943" s="76"/>
      <c r="BM943" s="76" t="s">
        <v>66</v>
      </c>
      <c r="BN943" s="76" t="s">
        <v>24937</v>
      </c>
      <c r="BO943" s="83" t="str">
        <f>HYPERLINK("https://twitter.com/ratinhamilgrau")</f>
        <v>https://twitter.com/ratinhamilgrau</v>
      </c>
      <c r="BP943" s="2"/>
    </row>
    <row r="944" spans="1:68" x14ac:dyDescent="0.25">
      <c r="A944" s="62" t="s">
        <v>1128</v>
      </c>
      <c r="B944" s="63"/>
      <c r="C944" s="63"/>
      <c r="D944" s="64"/>
      <c r="E944" s="66"/>
      <c r="F944" s="102" t="str">
        <f>HYPERLINK("https://pbs.twimg.com/profile_images/1659277782646419460/fXPUAJYW_normal.jpg")</f>
        <v>https://pbs.twimg.com/profile_images/1659277782646419460/fXPUAJYW_normal.jpg</v>
      </c>
      <c r="G944" s="63"/>
      <c r="H944" s="67"/>
      <c r="I944" s="68"/>
      <c r="J944" s="68"/>
      <c r="K944" s="67" t="s">
        <v>25878</v>
      </c>
      <c r="L944" s="71"/>
      <c r="M944" s="72"/>
      <c r="N944" s="72"/>
      <c r="O944" s="73"/>
      <c r="P944" s="74"/>
      <c r="Q944" s="74"/>
      <c r="R944" s="86"/>
      <c r="S944" s="86"/>
      <c r="T944" s="86"/>
      <c r="U944" s="86"/>
      <c r="V944" s="48"/>
      <c r="W944" s="48"/>
      <c r="X944" s="48"/>
      <c r="Y944" s="48"/>
      <c r="Z944" s="47"/>
      <c r="AA944" s="69">
        <v>944</v>
      </c>
      <c r="AB944" s="69"/>
      <c r="AC944" s="70"/>
      <c r="AD944" s="76" t="s">
        <v>22734</v>
      </c>
      <c r="AE944" s="81" t="s">
        <v>21692</v>
      </c>
      <c r="AF944" s="76">
        <v>0</v>
      </c>
      <c r="AG944" s="76">
        <v>5</v>
      </c>
      <c r="AH944" s="76">
        <v>31</v>
      </c>
      <c r="AI944" s="76">
        <v>0</v>
      </c>
      <c r="AJ944" s="76">
        <v>2</v>
      </c>
      <c r="AK944" s="76">
        <v>15</v>
      </c>
      <c r="AL944" s="76" t="b">
        <v>0</v>
      </c>
      <c r="AM944" s="78">
        <v>45064.804699074077</v>
      </c>
      <c r="AN944" s="76"/>
      <c r="AO944" s="76" t="s">
        <v>24152</v>
      </c>
      <c r="AP944" s="83" t="str">
        <f>HYPERLINK("https://t.co/vOVAavcjlc")</f>
        <v>https://t.co/vOVAavcjlc</v>
      </c>
      <c r="AQ944" s="83" t="str">
        <f>HYPERLINK("https://jtrsolucoes.com/")</f>
        <v>https://jtrsolucoes.com/</v>
      </c>
      <c r="AR944" s="76" t="s">
        <v>24768</v>
      </c>
      <c r="AS944" s="83" t="str">
        <f>HYPERLINK("https://t.co/aMhWEIxymr")</f>
        <v>https://t.co/aMhWEIxymr</v>
      </c>
      <c r="AT944" s="83" t="str">
        <f>HYPERLINK("http://bot.typebot.pro/millioncall")</f>
        <v>http://bot.typebot.pro/millioncall</v>
      </c>
      <c r="AU944" s="76" t="s">
        <v>24922</v>
      </c>
      <c r="AV944" s="76"/>
      <c r="AW944" s="83" t="str">
        <f>HYPERLINK("https://t.co/vOVAavcjlc")</f>
        <v>https://t.co/vOVAavcjlc</v>
      </c>
      <c r="AX944" s="76" t="b">
        <v>0</v>
      </c>
      <c r="AY944" s="76"/>
      <c r="AZ944" s="76"/>
      <c r="BA944" s="76" t="b">
        <v>0</v>
      </c>
      <c r="BB944" s="76" t="b">
        <v>1</v>
      </c>
      <c r="BC944" s="76" t="b">
        <v>1</v>
      </c>
      <c r="BD944" s="76" t="b">
        <v>0</v>
      </c>
      <c r="BE944" s="76" t="b">
        <v>0</v>
      </c>
      <c r="BF944" s="76" t="b">
        <v>0</v>
      </c>
      <c r="BG944" s="76" t="b">
        <v>0</v>
      </c>
      <c r="BH944" s="83" t="str">
        <f>HYPERLINK("https://pbs.twimg.com/profile_banners/1659277307108814857/1692077664")</f>
        <v>https://pbs.twimg.com/profile_banners/1659277307108814857/1692077664</v>
      </c>
      <c r="BI944" s="76"/>
      <c r="BJ944" s="76" t="s">
        <v>24935</v>
      </c>
      <c r="BK944" s="76" t="b">
        <v>0</v>
      </c>
      <c r="BL944" s="76"/>
      <c r="BM944" s="76" t="s">
        <v>66</v>
      </c>
      <c r="BN944" s="76" t="s">
        <v>24937</v>
      </c>
      <c r="BO944" s="83" t="str">
        <f>HYPERLINK("https://twitter.com/jtr0nline")</f>
        <v>https://twitter.com/jtr0nline</v>
      </c>
      <c r="BP944" s="2"/>
    </row>
    <row r="945" spans="1:68" x14ac:dyDescent="0.25">
      <c r="A945" s="62" t="s">
        <v>1129</v>
      </c>
      <c r="B945" s="63"/>
      <c r="C945" s="63"/>
      <c r="D945" s="64"/>
      <c r="E945" s="66"/>
      <c r="F945" s="102" t="str">
        <f>HYPERLINK("https://pbs.twimg.com/profile_images/1337307094890983424/kQ-fFFLo_normal.jpg")</f>
        <v>https://pbs.twimg.com/profile_images/1337307094890983424/kQ-fFFLo_normal.jpg</v>
      </c>
      <c r="G945" s="63"/>
      <c r="H945" s="67"/>
      <c r="I945" s="68"/>
      <c r="J945" s="68"/>
      <c r="K945" s="67" t="s">
        <v>25879</v>
      </c>
      <c r="L945" s="71"/>
      <c r="M945" s="72"/>
      <c r="N945" s="72"/>
      <c r="O945" s="73"/>
      <c r="P945" s="74"/>
      <c r="Q945" s="74"/>
      <c r="R945" s="86"/>
      <c r="S945" s="86"/>
      <c r="T945" s="86"/>
      <c r="U945" s="86"/>
      <c r="V945" s="48"/>
      <c r="W945" s="48"/>
      <c r="X945" s="48"/>
      <c r="Y945" s="48"/>
      <c r="Z945" s="47"/>
      <c r="AA945" s="69">
        <v>945</v>
      </c>
      <c r="AB945" s="69"/>
      <c r="AC945" s="70"/>
      <c r="AD945" s="76" t="s">
        <v>22735</v>
      </c>
      <c r="AE945" s="81" t="s">
        <v>21693</v>
      </c>
      <c r="AF945" s="76">
        <v>4</v>
      </c>
      <c r="AG945" s="76">
        <v>49</v>
      </c>
      <c r="AH945" s="76">
        <v>285</v>
      </c>
      <c r="AI945" s="76">
        <v>0</v>
      </c>
      <c r="AJ945" s="76">
        <v>431</v>
      </c>
      <c r="AK945" s="76">
        <v>0</v>
      </c>
      <c r="AL945" s="76" t="b">
        <v>0</v>
      </c>
      <c r="AM945" s="78">
        <v>43646.711712962962</v>
      </c>
      <c r="AN945" s="76"/>
      <c r="AO945" s="76" t="s">
        <v>24153</v>
      </c>
      <c r="AP945" s="76"/>
      <c r="AQ945" s="76"/>
      <c r="AR945" s="76"/>
      <c r="AS945" s="76"/>
      <c r="AT945" s="76"/>
      <c r="AU945" s="76"/>
      <c r="AV945" s="76"/>
      <c r="AW945" s="76"/>
      <c r="AX945" s="76" t="b">
        <v>0</v>
      </c>
      <c r="AY945" s="76"/>
      <c r="AZ945" s="76"/>
      <c r="BA945" s="76" t="b">
        <v>0</v>
      </c>
      <c r="BB945" s="76" t="b">
        <v>0</v>
      </c>
      <c r="BC945" s="76" t="b">
        <v>1</v>
      </c>
      <c r="BD945" s="76" t="b">
        <v>0</v>
      </c>
      <c r="BE945" s="76" t="b">
        <v>1</v>
      </c>
      <c r="BF945" s="76" t="b">
        <v>0</v>
      </c>
      <c r="BG945" s="76" t="b">
        <v>0</v>
      </c>
      <c r="BH945" s="76"/>
      <c r="BI945" s="76"/>
      <c r="BJ945" s="76" t="s">
        <v>24935</v>
      </c>
      <c r="BK945" s="76" t="b">
        <v>0</v>
      </c>
      <c r="BL945" s="76"/>
      <c r="BM945" s="76" t="s">
        <v>66</v>
      </c>
      <c r="BN945" s="76" t="s">
        <v>24937</v>
      </c>
      <c r="BO945" s="83" t="str">
        <f>HYPERLINK("https://twitter.com/anabeatrizfoll8")</f>
        <v>https://twitter.com/anabeatrizfoll8</v>
      </c>
      <c r="BP945" s="2"/>
    </row>
    <row r="946" spans="1:68" x14ac:dyDescent="0.25">
      <c r="A946" s="62" t="s">
        <v>1130</v>
      </c>
      <c r="B946" s="63"/>
      <c r="C946" s="63"/>
      <c r="D946" s="64"/>
      <c r="E946" s="66"/>
      <c r="F946" s="102" t="str">
        <f>HYPERLINK("https://pbs.twimg.com/profile_images/906055543319650304/vve-yUjh_normal.jpg")</f>
        <v>https://pbs.twimg.com/profile_images/906055543319650304/vve-yUjh_normal.jpg</v>
      </c>
      <c r="G946" s="63"/>
      <c r="H946" s="67"/>
      <c r="I946" s="68"/>
      <c r="J946" s="68"/>
      <c r="K946" s="67" t="s">
        <v>25880</v>
      </c>
      <c r="L946" s="71"/>
      <c r="M946" s="72"/>
      <c r="N946" s="72"/>
      <c r="O946" s="73"/>
      <c r="P946" s="74"/>
      <c r="Q946" s="74"/>
      <c r="R946" s="86"/>
      <c r="S946" s="86"/>
      <c r="T946" s="86"/>
      <c r="U946" s="86"/>
      <c r="V946" s="48"/>
      <c r="W946" s="48"/>
      <c r="X946" s="48"/>
      <c r="Y946" s="48"/>
      <c r="Z946" s="47"/>
      <c r="AA946" s="69">
        <v>946</v>
      </c>
      <c r="AB946" s="69"/>
      <c r="AC946" s="70"/>
      <c r="AD946" s="76" t="s">
        <v>22736</v>
      </c>
      <c r="AE946" s="81" t="s">
        <v>21694</v>
      </c>
      <c r="AF946" s="76">
        <v>764</v>
      </c>
      <c r="AG946" s="76">
        <v>165</v>
      </c>
      <c r="AH946" s="76">
        <v>4745</v>
      </c>
      <c r="AI946" s="76">
        <v>14</v>
      </c>
      <c r="AJ946" s="76">
        <v>5404</v>
      </c>
      <c r="AK946" s="76">
        <v>1299</v>
      </c>
      <c r="AL946" s="76" t="b">
        <v>0</v>
      </c>
      <c r="AM946" s="78">
        <v>42986.287685185183</v>
      </c>
      <c r="AN946" s="76" t="s">
        <v>23320</v>
      </c>
      <c r="AO946" s="76" t="s">
        <v>24154</v>
      </c>
      <c r="AP946" s="83" t="str">
        <f>HYPERLINK("https://t.co/3EcaCiSgbO")</f>
        <v>https://t.co/3EcaCiSgbO</v>
      </c>
      <c r="AQ946" s="83" t="str">
        <f>HYPERLINK("http://www.bisbatsantfeliu.cat")</f>
        <v>http://www.bisbatsantfeliu.cat</v>
      </c>
      <c r="AR946" s="76" t="s">
        <v>24769</v>
      </c>
      <c r="AS946" s="76"/>
      <c r="AT946" s="76"/>
      <c r="AU946" s="76"/>
      <c r="AV946" s="76"/>
      <c r="AW946" s="83" t="str">
        <f>HYPERLINK("https://t.co/3EcaCiSgbO")</f>
        <v>https://t.co/3EcaCiSgbO</v>
      </c>
      <c r="AX946" s="76" t="b">
        <v>0</v>
      </c>
      <c r="AY946" s="76"/>
      <c r="AZ946" s="76"/>
      <c r="BA946" s="76" t="b">
        <v>0</v>
      </c>
      <c r="BB946" s="76" t="b">
        <v>1</v>
      </c>
      <c r="BC946" s="76" t="b">
        <v>0</v>
      </c>
      <c r="BD946" s="76" t="b">
        <v>0</v>
      </c>
      <c r="BE946" s="76" t="b">
        <v>0</v>
      </c>
      <c r="BF946" s="76" t="b">
        <v>0</v>
      </c>
      <c r="BG946" s="76" t="b">
        <v>0</v>
      </c>
      <c r="BH946" s="83" t="str">
        <f>HYPERLINK("https://pbs.twimg.com/profile_banners/906048019300265985/1504853925")</f>
        <v>https://pbs.twimg.com/profile_banners/906048019300265985/1504853925</v>
      </c>
      <c r="BI946" s="76"/>
      <c r="BJ946" s="76" t="s">
        <v>24935</v>
      </c>
      <c r="BK946" s="76" t="b">
        <v>0</v>
      </c>
      <c r="BL946" s="76"/>
      <c r="BM946" s="76" t="s">
        <v>66</v>
      </c>
      <c r="BN946" s="76" t="s">
        <v>24937</v>
      </c>
      <c r="BO946" s="83" t="str">
        <f>HYPERLINK("https://twitter.com/bisbatsantfeliu")</f>
        <v>https://twitter.com/bisbatsantfeliu</v>
      </c>
      <c r="BP946" s="2"/>
    </row>
    <row r="947" spans="1:68" x14ac:dyDescent="0.25">
      <c r="A947" s="62" t="s">
        <v>1131</v>
      </c>
      <c r="B947" s="63"/>
      <c r="C947" s="63"/>
      <c r="D947" s="64"/>
      <c r="E947" s="66"/>
      <c r="F947" s="102" t="str">
        <f>HYPERLINK("https://pbs.twimg.com/profile_images/1632418521438117888/KHcf4e7k_normal.jpg")</f>
        <v>https://pbs.twimg.com/profile_images/1632418521438117888/KHcf4e7k_normal.jpg</v>
      </c>
      <c r="G947" s="63"/>
      <c r="H947" s="67"/>
      <c r="I947" s="68"/>
      <c r="J947" s="68"/>
      <c r="K947" s="67" t="s">
        <v>25881</v>
      </c>
      <c r="L947" s="71"/>
      <c r="M947" s="72"/>
      <c r="N947" s="72"/>
      <c r="O947" s="73"/>
      <c r="P947" s="74"/>
      <c r="Q947" s="74"/>
      <c r="R947" s="86"/>
      <c r="S947" s="86"/>
      <c r="T947" s="86"/>
      <c r="U947" s="86"/>
      <c r="V947" s="48"/>
      <c r="W947" s="48"/>
      <c r="X947" s="48"/>
      <c r="Y947" s="48"/>
      <c r="Z947" s="47"/>
      <c r="AA947" s="69">
        <v>947</v>
      </c>
      <c r="AB947" s="69"/>
      <c r="AC947" s="70"/>
      <c r="AD947" s="76" t="s">
        <v>22737</v>
      </c>
      <c r="AE947" s="81" t="s">
        <v>23046</v>
      </c>
      <c r="AF947" s="76">
        <v>549</v>
      </c>
      <c r="AG947" s="76">
        <v>239</v>
      </c>
      <c r="AH947" s="76">
        <v>17432</v>
      </c>
      <c r="AI947" s="76">
        <v>9</v>
      </c>
      <c r="AJ947" s="76">
        <v>2343</v>
      </c>
      <c r="AK947" s="76">
        <v>371</v>
      </c>
      <c r="AL947" s="76" t="b">
        <v>0</v>
      </c>
      <c r="AM947" s="78">
        <v>40489.767465277779</v>
      </c>
      <c r="AN947" s="76" t="s">
        <v>14041</v>
      </c>
      <c r="AO947" s="76" t="s">
        <v>24155</v>
      </c>
      <c r="AP947" s="83" t="str">
        <f>HYPERLINK("https://t.co/TcV7o0DLrX")</f>
        <v>https://t.co/TcV7o0DLrX</v>
      </c>
      <c r="AQ947" s="83" t="str">
        <f>HYPERLINK("http://ask.fm/Kahsensualizee")</f>
        <v>http://ask.fm/Kahsensualizee</v>
      </c>
      <c r="AR947" s="76" t="s">
        <v>24770</v>
      </c>
      <c r="AS947" s="76"/>
      <c r="AT947" s="76"/>
      <c r="AU947" s="76"/>
      <c r="AV947" s="76">
        <v>7.9323100107807104E+17</v>
      </c>
      <c r="AW947" s="83" t="str">
        <f>HYPERLINK("https://t.co/TcV7o0DLrX")</f>
        <v>https://t.co/TcV7o0DLrX</v>
      </c>
      <c r="AX947" s="76" t="b">
        <v>0</v>
      </c>
      <c r="AY947" s="76"/>
      <c r="AZ947" s="76"/>
      <c r="BA947" s="76" t="b">
        <v>1</v>
      </c>
      <c r="BB947" s="76" t="b">
        <v>1</v>
      </c>
      <c r="BC947" s="76" t="b">
        <v>0</v>
      </c>
      <c r="BD947" s="76" t="b">
        <v>0</v>
      </c>
      <c r="BE947" s="76" t="b">
        <v>1</v>
      </c>
      <c r="BF947" s="76" t="b">
        <v>0</v>
      </c>
      <c r="BG947" s="76" t="b">
        <v>0</v>
      </c>
      <c r="BH947" s="83" t="str">
        <f>HYPERLINK("https://pbs.twimg.com/profile_banners/213012326/1678033685")</f>
        <v>https://pbs.twimg.com/profile_banners/213012326/1678033685</v>
      </c>
      <c r="BI947" s="76"/>
      <c r="BJ947" s="76" t="s">
        <v>24935</v>
      </c>
      <c r="BK947" s="76" t="b">
        <v>0</v>
      </c>
      <c r="BL947" s="76"/>
      <c r="BM947" s="76" t="s">
        <v>66</v>
      </c>
      <c r="BN947" s="76" t="s">
        <v>24937</v>
      </c>
      <c r="BO947" s="83" t="str">
        <f>HYPERLINK("https://twitter.com/fs_karoliny")</f>
        <v>https://twitter.com/fs_karoliny</v>
      </c>
      <c r="BP947" s="2"/>
    </row>
    <row r="948" spans="1:68" x14ac:dyDescent="0.25">
      <c r="A948" s="62" t="s">
        <v>1132</v>
      </c>
      <c r="B948" s="63"/>
      <c r="C948" s="63"/>
      <c r="D948" s="64"/>
      <c r="E948" s="66"/>
      <c r="F948" s="102" t="str">
        <f>HYPERLINK("https://pbs.twimg.com/profile_images/1613886008034004997/2L2NCFze_normal.jpg")</f>
        <v>https://pbs.twimg.com/profile_images/1613886008034004997/2L2NCFze_normal.jpg</v>
      </c>
      <c r="G948" s="63"/>
      <c r="H948" s="67"/>
      <c r="I948" s="68"/>
      <c r="J948" s="68"/>
      <c r="K948" s="67" t="s">
        <v>25882</v>
      </c>
      <c r="L948" s="71"/>
      <c r="M948" s="72"/>
      <c r="N948" s="72"/>
      <c r="O948" s="73"/>
      <c r="P948" s="74"/>
      <c r="Q948" s="74"/>
      <c r="R948" s="86"/>
      <c r="S948" s="86"/>
      <c r="T948" s="86"/>
      <c r="U948" s="86"/>
      <c r="V948" s="48"/>
      <c r="W948" s="48"/>
      <c r="X948" s="48"/>
      <c r="Y948" s="48"/>
      <c r="Z948" s="47"/>
      <c r="AA948" s="69">
        <v>948</v>
      </c>
      <c r="AB948" s="69"/>
      <c r="AC948" s="70"/>
      <c r="AD948" s="76" t="s">
        <v>22738</v>
      </c>
      <c r="AE948" s="81" t="s">
        <v>23047</v>
      </c>
      <c r="AF948" s="76">
        <v>15</v>
      </c>
      <c r="AG948" s="76">
        <v>267</v>
      </c>
      <c r="AH948" s="76">
        <v>211</v>
      </c>
      <c r="AI948" s="76">
        <v>4</v>
      </c>
      <c r="AJ948" s="76">
        <v>122</v>
      </c>
      <c r="AK948" s="76">
        <v>46</v>
      </c>
      <c r="AL948" s="76" t="b">
        <v>0</v>
      </c>
      <c r="AM948" s="78">
        <v>40308.962037037039</v>
      </c>
      <c r="AN948" s="76"/>
      <c r="AO948" s="76" t="s">
        <v>24156</v>
      </c>
      <c r="AP948" s="76"/>
      <c r="AQ948" s="76"/>
      <c r="AR948" s="76"/>
      <c r="AS948" s="76"/>
      <c r="AT948" s="76"/>
      <c r="AU948" s="76"/>
      <c r="AV948" s="76"/>
      <c r="AW948" s="76"/>
      <c r="AX948" s="76" t="b">
        <v>0</v>
      </c>
      <c r="AY948" s="76"/>
      <c r="AZ948" s="76"/>
      <c r="BA948" s="76" t="b">
        <v>0</v>
      </c>
      <c r="BB948" s="76" t="b">
        <v>1</v>
      </c>
      <c r="BC948" s="76" t="b">
        <v>1</v>
      </c>
      <c r="BD948" s="76" t="b">
        <v>0</v>
      </c>
      <c r="BE948" s="76" t="b">
        <v>0</v>
      </c>
      <c r="BF948" s="76" t="b">
        <v>0</v>
      </c>
      <c r="BG948" s="76" t="b">
        <v>0</v>
      </c>
      <c r="BH948" s="83" t="str">
        <f>HYPERLINK("https://pbs.twimg.com/profile_banners/142453632/1631058748")</f>
        <v>https://pbs.twimg.com/profile_banners/142453632/1631058748</v>
      </c>
      <c r="BI948" s="76"/>
      <c r="BJ948" s="76" t="s">
        <v>24935</v>
      </c>
      <c r="BK948" s="76" t="b">
        <v>0</v>
      </c>
      <c r="BL948" s="76"/>
      <c r="BM948" s="76" t="s">
        <v>66</v>
      </c>
      <c r="BN948" s="76" t="s">
        <v>24937</v>
      </c>
      <c r="BO948" s="83" t="str">
        <f>HYPERLINK("https://twitter.com/fabim_felix")</f>
        <v>https://twitter.com/fabim_felix</v>
      </c>
      <c r="BP948" s="2"/>
    </row>
    <row r="949" spans="1:68" x14ac:dyDescent="0.25">
      <c r="A949" s="62" t="s">
        <v>1133</v>
      </c>
      <c r="B949" s="63"/>
      <c r="C949" s="63"/>
      <c r="D949" s="64"/>
      <c r="E949" s="66"/>
      <c r="F949" s="102" t="str">
        <f>HYPERLINK("https://pbs.twimg.com/profile_images/1689830318134435840/o5GeGzCh_normal.jpg")</f>
        <v>https://pbs.twimg.com/profile_images/1689830318134435840/o5GeGzCh_normal.jpg</v>
      </c>
      <c r="G949" s="63"/>
      <c r="H949" s="67"/>
      <c r="I949" s="68"/>
      <c r="J949" s="68"/>
      <c r="K949" s="67" t="s">
        <v>25883</v>
      </c>
      <c r="L949" s="71"/>
      <c r="M949" s="72"/>
      <c r="N949" s="72"/>
      <c r="O949" s="73"/>
      <c r="P949" s="74"/>
      <c r="Q949" s="74"/>
      <c r="R949" s="86"/>
      <c r="S949" s="86"/>
      <c r="T949" s="86"/>
      <c r="U949" s="86"/>
      <c r="V949" s="48"/>
      <c r="W949" s="48"/>
      <c r="X949" s="48"/>
      <c r="Y949" s="48"/>
      <c r="Z949" s="47"/>
      <c r="AA949" s="69">
        <v>949</v>
      </c>
      <c r="AB949" s="69"/>
      <c r="AC949" s="70"/>
      <c r="AD949" s="76" t="s">
        <v>22739</v>
      </c>
      <c r="AE949" s="81" t="s">
        <v>21695</v>
      </c>
      <c r="AF949" s="76">
        <v>35</v>
      </c>
      <c r="AG949" s="76">
        <v>210</v>
      </c>
      <c r="AH949" s="76">
        <v>399</v>
      </c>
      <c r="AI949" s="76">
        <v>0</v>
      </c>
      <c r="AJ949" s="76">
        <v>583</v>
      </c>
      <c r="AK949" s="76">
        <v>163</v>
      </c>
      <c r="AL949" s="76" t="b">
        <v>0</v>
      </c>
      <c r="AM949" s="78">
        <v>43748.931400462963</v>
      </c>
      <c r="AN949" s="76" t="s">
        <v>23321</v>
      </c>
      <c r="AO949" s="76" t="s">
        <v>24157</v>
      </c>
      <c r="AP949" s="83" t="str">
        <f>HYPERLINK("https://t.co/ofcMoF4E4I")</f>
        <v>https://t.co/ofcMoF4E4I</v>
      </c>
      <c r="AQ949" s="83" t="str">
        <f>HYPERLINK("https://linkme.bio/queroorobo")</f>
        <v>https://linkme.bio/queroorobo</v>
      </c>
      <c r="AR949" s="76" t="s">
        <v>24771</v>
      </c>
      <c r="AS949" s="76"/>
      <c r="AT949" s="76"/>
      <c r="AU949" s="76"/>
      <c r="AV949" s="76">
        <v>1.51750283474019E+18</v>
      </c>
      <c r="AW949" s="83" t="str">
        <f>HYPERLINK("https://t.co/ofcMoF4E4I")</f>
        <v>https://t.co/ofcMoF4E4I</v>
      </c>
      <c r="AX949" s="76" t="b">
        <v>0</v>
      </c>
      <c r="AY949" s="76"/>
      <c r="AZ949" s="76"/>
      <c r="BA949" s="76" t="b">
        <v>0</v>
      </c>
      <c r="BB949" s="76" t="b">
        <v>0</v>
      </c>
      <c r="BC949" s="76" t="b">
        <v>1</v>
      </c>
      <c r="BD949" s="76" t="b">
        <v>0</v>
      </c>
      <c r="BE949" s="76" t="b">
        <v>1</v>
      </c>
      <c r="BF949" s="76" t="b">
        <v>0</v>
      </c>
      <c r="BG949" s="76" t="b">
        <v>0</v>
      </c>
      <c r="BH949" s="83" t="str">
        <f>HYPERLINK("https://pbs.twimg.com/profile_banners/1182420770850529281/1690672946")</f>
        <v>https://pbs.twimg.com/profile_banners/1182420770850529281/1690672946</v>
      </c>
      <c r="BI949" s="76"/>
      <c r="BJ949" s="76" t="s">
        <v>24935</v>
      </c>
      <c r="BK949" s="76" t="b">
        <v>0</v>
      </c>
      <c r="BL949" s="76"/>
      <c r="BM949" s="76" t="s">
        <v>66</v>
      </c>
      <c r="BN949" s="76" t="s">
        <v>24937</v>
      </c>
      <c r="BO949" s="83" t="str">
        <f>HYPERLINK("https://twitter.com/cleonilsonofc")</f>
        <v>https://twitter.com/cleonilsonofc</v>
      </c>
      <c r="BP949" s="2"/>
    </row>
    <row r="950" spans="1:68" x14ac:dyDescent="0.25">
      <c r="A950" s="62" t="s">
        <v>1134</v>
      </c>
      <c r="B950" s="63"/>
      <c r="C950" s="63"/>
      <c r="D950" s="64"/>
      <c r="E950" s="66"/>
      <c r="F950" s="102" t="str">
        <f>HYPERLINK("https://pbs.twimg.com/profile_images/1677544992758169600/rXqsfTHZ_normal.jpg")</f>
        <v>https://pbs.twimg.com/profile_images/1677544992758169600/rXqsfTHZ_normal.jpg</v>
      </c>
      <c r="G950" s="63"/>
      <c r="H950" s="67"/>
      <c r="I950" s="68"/>
      <c r="J950" s="68"/>
      <c r="K950" s="67" t="s">
        <v>25884</v>
      </c>
      <c r="L950" s="71"/>
      <c r="M950" s="72"/>
      <c r="N950" s="72"/>
      <c r="O950" s="73"/>
      <c r="P950" s="74"/>
      <c r="Q950" s="74"/>
      <c r="R950" s="86"/>
      <c r="S950" s="86"/>
      <c r="T950" s="86"/>
      <c r="U950" s="86"/>
      <c r="V950" s="48"/>
      <c r="W950" s="48"/>
      <c r="X950" s="48"/>
      <c r="Y950" s="48"/>
      <c r="Z950" s="47"/>
      <c r="AA950" s="69">
        <v>950</v>
      </c>
      <c r="AB950" s="69"/>
      <c r="AC950" s="70"/>
      <c r="AD950" s="76" t="s">
        <v>22740</v>
      </c>
      <c r="AE950" s="81" t="s">
        <v>20967</v>
      </c>
      <c r="AF950" s="76">
        <v>27</v>
      </c>
      <c r="AG950" s="76">
        <v>116</v>
      </c>
      <c r="AH950" s="76">
        <v>798</v>
      </c>
      <c r="AI950" s="76">
        <v>0</v>
      </c>
      <c r="AJ950" s="76">
        <v>496</v>
      </c>
      <c r="AK950" s="76">
        <v>41</v>
      </c>
      <c r="AL950" s="76" t="b">
        <v>0</v>
      </c>
      <c r="AM950" s="78">
        <v>44682.62090277778</v>
      </c>
      <c r="AN950" s="76"/>
      <c r="AO950" s="76" t="s">
        <v>24158</v>
      </c>
      <c r="AP950" s="83" t="str">
        <f>HYPERLINK("https://t.co/5sCUT6wfKE")</f>
        <v>https://t.co/5sCUT6wfKE</v>
      </c>
      <c r="AQ950" s="83" t="str">
        <f>HYPERLINK("https://t.me/filmesseriesaplicativosgratis")</f>
        <v>https://t.me/filmesseriesaplicativosgratis</v>
      </c>
      <c r="AR950" s="76" t="s">
        <v>24772</v>
      </c>
      <c r="AS950" s="76"/>
      <c r="AT950" s="76"/>
      <c r="AU950" s="76"/>
      <c r="AV950" s="76">
        <v>1.67730923068705E+18</v>
      </c>
      <c r="AW950" s="83" t="str">
        <f>HYPERLINK("https://t.co/5sCUT6wfKE")</f>
        <v>https://t.co/5sCUT6wfKE</v>
      </c>
      <c r="AX950" s="76" t="b">
        <v>0</v>
      </c>
      <c r="AY950" s="76"/>
      <c r="AZ950" s="76"/>
      <c r="BA950" s="76" t="b">
        <v>1</v>
      </c>
      <c r="BB950" s="76" t="b">
        <v>1</v>
      </c>
      <c r="BC950" s="76" t="b">
        <v>1</v>
      </c>
      <c r="BD950" s="76" t="b">
        <v>0</v>
      </c>
      <c r="BE950" s="76" t="b">
        <v>1</v>
      </c>
      <c r="BF950" s="76" t="b">
        <v>0</v>
      </c>
      <c r="BG950" s="76" t="b">
        <v>0</v>
      </c>
      <c r="BH950" s="83" t="str">
        <f>HYPERLINK("https://pbs.twimg.com/profile_banners/1520778542249918466/1688793022")</f>
        <v>https://pbs.twimg.com/profile_banners/1520778542249918466/1688793022</v>
      </c>
      <c r="BI950" s="76"/>
      <c r="BJ950" s="76" t="s">
        <v>24935</v>
      </c>
      <c r="BK950" s="76" t="b">
        <v>0</v>
      </c>
      <c r="BL950" s="76"/>
      <c r="BM950" s="76" t="s">
        <v>66</v>
      </c>
      <c r="BN950" s="76" t="s">
        <v>24937</v>
      </c>
      <c r="BO950" s="83" t="str">
        <f>HYPERLINK("https://twitter.com/cosmi0c")</f>
        <v>https://twitter.com/cosmi0c</v>
      </c>
      <c r="BP950" s="2"/>
    </row>
    <row r="951" spans="1:68" x14ac:dyDescent="0.25">
      <c r="A951" s="62" t="s">
        <v>1135</v>
      </c>
      <c r="B951" s="63"/>
      <c r="C951" s="63"/>
      <c r="D951" s="64"/>
      <c r="E951" s="66"/>
      <c r="F951" s="102" t="str">
        <f>HYPERLINK("https://pbs.twimg.com/profile_images/1699065343329927168/dhEjSe8U_normal.jpg")</f>
        <v>https://pbs.twimg.com/profile_images/1699065343329927168/dhEjSe8U_normal.jpg</v>
      </c>
      <c r="G951" s="63"/>
      <c r="H951" s="67"/>
      <c r="I951" s="68"/>
      <c r="J951" s="68"/>
      <c r="K951" s="67" t="s">
        <v>25885</v>
      </c>
      <c r="L951" s="71"/>
      <c r="M951" s="72"/>
      <c r="N951" s="72"/>
      <c r="O951" s="73"/>
      <c r="P951" s="74"/>
      <c r="Q951" s="74"/>
      <c r="R951" s="86"/>
      <c r="S951" s="86"/>
      <c r="T951" s="86"/>
      <c r="U951" s="86"/>
      <c r="V951" s="48"/>
      <c r="W951" s="48"/>
      <c r="X951" s="48"/>
      <c r="Y951" s="48"/>
      <c r="Z951" s="47"/>
      <c r="AA951" s="69">
        <v>951</v>
      </c>
      <c r="AB951" s="69"/>
      <c r="AC951" s="70"/>
      <c r="AD951" s="76" t="s">
        <v>22741</v>
      </c>
      <c r="AE951" s="81" t="s">
        <v>21696</v>
      </c>
      <c r="AF951" s="76">
        <v>6</v>
      </c>
      <c r="AG951" s="76">
        <v>2</v>
      </c>
      <c r="AH951" s="76">
        <v>33</v>
      </c>
      <c r="AI951" s="76">
        <v>0</v>
      </c>
      <c r="AJ951" s="76">
        <v>0</v>
      </c>
      <c r="AK951" s="76">
        <v>31</v>
      </c>
      <c r="AL951" s="76" t="b">
        <v>0</v>
      </c>
      <c r="AM951" s="78">
        <v>45165.519409722219</v>
      </c>
      <c r="AN951" s="76"/>
      <c r="AO951" s="76" t="s">
        <v>24159</v>
      </c>
      <c r="AP951" s="76"/>
      <c r="AQ951" s="76"/>
      <c r="AR951" s="76"/>
      <c r="AS951" s="83" t="str">
        <f>HYPERLINK("https://t.co/UKfucx0JMm")</f>
        <v>https://t.co/UKfucx0JMm</v>
      </c>
      <c r="AT951" s="83" t="str">
        <f>HYPERLINK("https://www.bbrbet.com/c-RNtHJGaM?lang=pt")</f>
        <v>https://www.bbrbet.com/c-RNtHJGaM?lang=pt</v>
      </c>
      <c r="AU951" s="76" t="s">
        <v>24923</v>
      </c>
      <c r="AV951" s="76"/>
      <c r="AW951" s="76"/>
      <c r="AX951" s="76" t="b">
        <v>0</v>
      </c>
      <c r="AY951" s="76"/>
      <c r="AZ951" s="76"/>
      <c r="BA951" s="76" t="b">
        <v>0</v>
      </c>
      <c r="BB951" s="76" t="b">
        <v>1</v>
      </c>
      <c r="BC951" s="76" t="b">
        <v>1</v>
      </c>
      <c r="BD951" s="76" t="b">
        <v>0</v>
      </c>
      <c r="BE951" s="76" t="b">
        <v>0</v>
      </c>
      <c r="BF951" s="76" t="b">
        <v>0</v>
      </c>
      <c r="BG951" s="76" t="b">
        <v>0</v>
      </c>
      <c r="BH951" s="76"/>
      <c r="BI951" s="76"/>
      <c r="BJ951" s="76" t="s">
        <v>24935</v>
      </c>
      <c r="BK951" s="76" t="b">
        <v>0</v>
      </c>
      <c r="BL951" s="76"/>
      <c r="BM951" s="76" t="s">
        <v>66</v>
      </c>
      <c r="BN951" s="76" t="s">
        <v>24937</v>
      </c>
      <c r="BO951" s="83" t="str">
        <f>HYPERLINK("https://twitter.com/clarice_1122")</f>
        <v>https://twitter.com/clarice_1122</v>
      </c>
      <c r="BP951" s="2"/>
    </row>
    <row r="952" spans="1:68" x14ac:dyDescent="0.25">
      <c r="A952" s="62" t="s">
        <v>1136</v>
      </c>
      <c r="B952" s="63"/>
      <c r="C952" s="63"/>
      <c r="D952" s="64"/>
      <c r="E952" s="66"/>
      <c r="F952" s="102" t="str">
        <f>HYPERLINK("https://pbs.twimg.com/profile_images/1639234430085525505/wxCAIfhP_normal.jpg")</f>
        <v>https://pbs.twimg.com/profile_images/1639234430085525505/wxCAIfhP_normal.jpg</v>
      </c>
      <c r="G952" s="63"/>
      <c r="H952" s="67"/>
      <c r="I952" s="68"/>
      <c r="J952" s="68"/>
      <c r="K952" s="67" t="s">
        <v>25886</v>
      </c>
      <c r="L952" s="71"/>
      <c r="M952" s="72"/>
      <c r="N952" s="72"/>
      <c r="O952" s="73"/>
      <c r="P952" s="74"/>
      <c r="Q952" s="74"/>
      <c r="R952" s="86"/>
      <c r="S952" s="86"/>
      <c r="T952" s="86"/>
      <c r="U952" s="86"/>
      <c r="V952" s="48"/>
      <c r="W952" s="48"/>
      <c r="X952" s="48"/>
      <c r="Y952" s="48"/>
      <c r="Z952" s="47"/>
      <c r="AA952" s="69">
        <v>952</v>
      </c>
      <c r="AB952" s="69"/>
      <c r="AC952" s="70"/>
      <c r="AD952" s="76" t="s">
        <v>22742</v>
      </c>
      <c r="AE952" s="81" t="s">
        <v>21697</v>
      </c>
      <c r="AF952" s="76">
        <v>1</v>
      </c>
      <c r="AG952" s="76">
        <v>3</v>
      </c>
      <c r="AH952" s="76">
        <v>89</v>
      </c>
      <c r="AI952" s="76">
        <v>0</v>
      </c>
      <c r="AJ952" s="76">
        <v>17</v>
      </c>
      <c r="AK952" s="76">
        <v>30</v>
      </c>
      <c r="AL952" s="76" t="b">
        <v>0</v>
      </c>
      <c r="AM952" s="78">
        <v>45009.496192129627</v>
      </c>
      <c r="AN952" s="76"/>
      <c r="AO952" s="76"/>
      <c r="AP952" s="76"/>
      <c r="AQ952" s="76"/>
      <c r="AR952" s="76"/>
      <c r="AS952" s="76"/>
      <c r="AT952" s="76"/>
      <c r="AU952" s="76"/>
      <c r="AV952" s="76"/>
      <c r="AW952" s="76"/>
      <c r="AX952" s="76" t="b">
        <v>0</v>
      </c>
      <c r="AY952" s="76"/>
      <c r="AZ952" s="76"/>
      <c r="BA952" s="76" t="b">
        <v>0</v>
      </c>
      <c r="BB952" s="76" t="b">
        <v>1</v>
      </c>
      <c r="BC952" s="76" t="b">
        <v>1</v>
      </c>
      <c r="BD952" s="76" t="b">
        <v>0</v>
      </c>
      <c r="BE952" s="76" t="b">
        <v>1</v>
      </c>
      <c r="BF952" s="76" t="b">
        <v>0</v>
      </c>
      <c r="BG952" s="76" t="b">
        <v>0</v>
      </c>
      <c r="BH952" s="76"/>
      <c r="BI952" s="76"/>
      <c r="BJ952" s="76" t="s">
        <v>24935</v>
      </c>
      <c r="BK952" s="76" t="b">
        <v>0</v>
      </c>
      <c r="BL952" s="76"/>
      <c r="BM952" s="76" t="s">
        <v>66</v>
      </c>
      <c r="BN952" s="76" t="s">
        <v>24937</v>
      </c>
      <c r="BO952" s="83" t="str">
        <f>HYPERLINK("https://twitter.com/clicksh11623271")</f>
        <v>https://twitter.com/clicksh11623271</v>
      </c>
      <c r="BP952" s="2"/>
    </row>
    <row r="953" spans="1:68" x14ac:dyDescent="0.25">
      <c r="A953" s="62" t="s">
        <v>1137</v>
      </c>
      <c r="B953" s="63"/>
      <c r="C953" s="63"/>
      <c r="D953" s="64"/>
      <c r="E953" s="66"/>
      <c r="F953" s="102" t="str">
        <f>HYPERLINK("https://pbs.twimg.com/profile_images/1636232805179969542/Knko7x5a_normal.jpg")</f>
        <v>https://pbs.twimg.com/profile_images/1636232805179969542/Knko7x5a_normal.jpg</v>
      </c>
      <c r="G953" s="63"/>
      <c r="H953" s="67"/>
      <c r="I953" s="68"/>
      <c r="J953" s="68"/>
      <c r="K953" s="67" t="s">
        <v>25887</v>
      </c>
      <c r="L953" s="71"/>
      <c r="M953" s="72"/>
      <c r="N953" s="72"/>
      <c r="O953" s="73"/>
      <c r="P953" s="74"/>
      <c r="Q953" s="74"/>
      <c r="R953" s="86"/>
      <c r="S953" s="86"/>
      <c r="T953" s="86"/>
      <c r="U953" s="86"/>
      <c r="V953" s="48"/>
      <c r="W953" s="48"/>
      <c r="X953" s="48"/>
      <c r="Y953" s="48"/>
      <c r="Z953" s="47"/>
      <c r="AA953" s="69">
        <v>953</v>
      </c>
      <c r="AB953" s="69"/>
      <c r="AC953" s="70"/>
      <c r="AD953" s="76" t="s">
        <v>22743</v>
      </c>
      <c r="AE953" s="81" t="s">
        <v>23048</v>
      </c>
      <c r="AF953" s="76">
        <v>49</v>
      </c>
      <c r="AG953" s="76">
        <v>398</v>
      </c>
      <c r="AH953" s="76">
        <v>394</v>
      </c>
      <c r="AI953" s="76">
        <v>0</v>
      </c>
      <c r="AJ953" s="76">
        <v>1466</v>
      </c>
      <c r="AK953" s="76">
        <v>54</v>
      </c>
      <c r="AL953" s="76" t="b">
        <v>0</v>
      </c>
      <c r="AM953" s="78">
        <v>41854.798472222225</v>
      </c>
      <c r="AN953" s="76"/>
      <c r="AO953" s="76" t="s">
        <v>24142</v>
      </c>
      <c r="AP953" s="76"/>
      <c r="AQ953" s="76"/>
      <c r="AR953" s="76"/>
      <c r="AS953" s="76"/>
      <c r="AT953" s="76"/>
      <c r="AU953" s="76"/>
      <c r="AV953" s="76"/>
      <c r="AW953" s="76"/>
      <c r="AX953" s="76" t="b">
        <v>0</v>
      </c>
      <c r="AY953" s="76"/>
      <c r="AZ953" s="76"/>
      <c r="BA953" s="76" t="b">
        <v>0</v>
      </c>
      <c r="BB953" s="76" t="b">
        <v>1</v>
      </c>
      <c r="BC953" s="76" t="b">
        <v>1</v>
      </c>
      <c r="BD953" s="76" t="b">
        <v>0</v>
      </c>
      <c r="BE953" s="76" t="b">
        <v>0</v>
      </c>
      <c r="BF953" s="76" t="b">
        <v>0</v>
      </c>
      <c r="BG953" s="76" t="b">
        <v>0</v>
      </c>
      <c r="BH953" s="76"/>
      <c r="BI953" s="76"/>
      <c r="BJ953" s="76" t="s">
        <v>24935</v>
      </c>
      <c r="BK953" s="76" t="b">
        <v>0</v>
      </c>
      <c r="BL953" s="76"/>
      <c r="BM953" s="76" t="s">
        <v>66</v>
      </c>
      <c r="BN953" s="76" t="s">
        <v>24937</v>
      </c>
      <c r="BO953" s="83" t="str">
        <f>HYPERLINK("https://twitter.com/renan_11fla")</f>
        <v>https://twitter.com/renan_11fla</v>
      </c>
      <c r="BP953" s="2"/>
    </row>
    <row r="954" spans="1:68" x14ac:dyDescent="0.25">
      <c r="A954" s="62" t="s">
        <v>1138</v>
      </c>
      <c r="B954" s="63"/>
      <c r="C954" s="63"/>
      <c r="D954" s="64"/>
      <c r="E954" s="66"/>
      <c r="F954" s="102" t="str">
        <f>HYPERLINK("https://pbs.twimg.com/profile_images/1520008153932476416/Eyi91wgh_normal.jpg")</f>
        <v>https://pbs.twimg.com/profile_images/1520008153932476416/Eyi91wgh_normal.jpg</v>
      </c>
      <c r="G954" s="63"/>
      <c r="H954" s="67"/>
      <c r="I954" s="68"/>
      <c r="J954" s="68"/>
      <c r="K954" s="67" t="s">
        <v>25888</v>
      </c>
      <c r="L954" s="71"/>
      <c r="M954" s="72"/>
      <c r="N954" s="72"/>
      <c r="O954" s="73"/>
      <c r="P954" s="74"/>
      <c r="Q954" s="74"/>
      <c r="R954" s="86"/>
      <c r="S954" s="86"/>
      <c r="T954" s="86"/>
      <c r="U954" s="86"/>
      <c r="V954" s="48"/>
      <c r="W954" s="48"/>
      <c r="X954" s="48"/>
      <c r="Y954" s="48"/>
      <c r="Z954" s="47"/>
      <c r="AA954" s="69">
        <v>954</v>
      </c>
      <c r="AB954" s="69"/>
      <c r="AC954" s="70"/>
      <c r="AD954" s="76" t="s">
        <v>22744</v>
      </c>
      <c r="AE954" s="81" t="s">
        <v>21698</v>
      </c>
      <c r="AF954" s="76">
        <v>12</v>
      </c>
      <c r="AG954" s="76">
        <v>50</v>
      </c>
      <c r="AH954" s="76">
        <v>160</v>
      </c>
      <c r="AI954" s="76">
        <v>0</v>
      </c>
      <c r="AJ954" s="76">
        <v>62</v>
      </c>
      <c r="AK954" s="76">
        <v>11</v>
      </c>
      <c r="AL954" s="76" t="b">
        <v>0</v>
      </c>
      <c r="AM954" s="78">
        <v>44680.486956018518</v>
      </c>
      <c r="AN954" s="76" t="s">
        <v>23322</v>
      </c>
      <c r="AO954" s="76" t="s">
        <v>24160</v>
      </c>
      <c r="AP954" s="76"/>
      <c r="AQ954" s="76"/>
      <c r="AR954" s="76"/>
      <c r="AS954" s="76"/>
      <c r="AT954" s="76"/>
      <c r="AU954" s="76"/>
      <c r="AV954" s="76"/>
      <c r="AW954" s="76"/>
      <c r="AX954" s="76" t="b">
        <v>0</v>
      </c>
      <c r="AY954" s="76"/>
      <c r="AZ954" s="76"/>
      <c r="BA954" s="76" t="b">
        <v>0</v>
      </c>
      <c r="BB954" s="76" t="b">
        <v>1</v>
      </c>
      <c r="BC954" s="76" t="b">
        <v>1</v>
      </c>
      <c r="BD954" s="76" t="b">
        <v>0</v>
      </c>
      <c r="BE954" s="76" t="b">
        <v>0</v>
      </c>
      <c r="BF954" s="76" t="b">
        <v>0</v>
      </c>
      <c r="BG954" s="76" t="b">
        <v>0</v>
      </c>
      <c r="BH954" s="83" t="str">
        <f>HYPERLINK("https://pbs.twimg.com/profile_banners/1520005172801454081/1651233160")</f>
        <v>https://pbs.twimg.com/profile_banners/1520005172801454081/1651233160</v>
      </c>
      <c r="BI954" s="76"/>
      <c r="BJ954" s="76" t="s">
        <v>24935</v>
      </c>
      <c r="BK954" s="76" t="b">
        <v>0</v>
      </c>
      <c r="BL954" s="76"/>
      <c r="BM954" s="76" t="s">
        <v>66</v>
      </c>
      <c r="BN954" s="76" t="s">
        <v>24937</v>
      </c>
      <c r="BO954" s="83" t="str">
        <f>HYPERLINK("https://twitter.com/saul_invest")</f>
        <v>https://twitter.com/saul_invest</v>
      </c>
      <c r="BP954" s="2"/>
    </row>
    <row r="955" spans="1:68" x14ac:dyDescent="0.25">
      <c r="A955" s="62" t="s">
        <v>1139</v>
      </c>
      <c r="B955" s="63"/>
      <c r="C955" s="63"/>
      <c r="D955" s="64"/>
      <c r="E955" s="66"/>
      <c r="F955" s="102" t="str">
        <f>HYPERLINK("https://pbs.twimg.com/profile_images/1687462101218979840/Z8DI2awI_normal.jpg")</f>
        <v>https://pbs.twimg.com/profile_images/1687462101218979840/Z8DI2awI_normal.jpg</v>
      </c>
      <c r="G955" s="63"/>
      <c r="H955" s="67"/>
      <c r="I955" s="68"/>
      <c r="J955" s="68"/>
      <c r="K955" s="67" t="s">
        <v>25889</v>
      </c>
      <c r="L955" s="71"/>
      <c r="M955" s="72"/>
      <c r="N955" s="72"/>
      <c r="O955" s="73"/>
      <c r="P955" s="74"/>
      <c r="Q955" s="74"/>
      <c r="R955" s="86"/>
      <c r="S955" s="86"/>
      <c r="T955" s="86"/>
      <c r="U955" s="86"/>
      <c r="V955" s="48"/>
      <c r="W955" s="48"/>
      <c r="X955" s="48"/>
      <c r="Y955" s="48"/>
      <c r="Z955" s="47"/>
      <c r="AA955" s="69">
        <v>955</v>
      </c>
      <c r="AB955" s="69"/>
      <c r="AC955" s="70"/>
      <c r="AD955" s="76" t="s">
        <v>22745</v>
      </c>
      <c r="AE955" s="81" t="s">
        <v>21699</v>
      </c>
      <c r="AF955" s="76">
        <v>3</v>
      </c>
      <c r="AG955" s="76">
        <v>5</v>
      </c>
      <c r="AH955" s="76">
        <v>26</v>
      </c>
      <c r="AI955" s="76">
        <v>0</v>
      </c>
      <c r="AJ955" s="76">
        <v>36</v>
      </c>
      <c r="AK955" s="76">
        <v>2</v>
      </c>
      <c r="AL955" s="76" t="b">
        <v>0</v>
      </c>
      <c r="AM955" s="78">
        <v>45142.57571759259</v>
      </c>
      <c r="AN955" s="76"/>
      <c r="AO955" s="76" t="s">
        <v>24161</v>
      </c>
      <c r="AP955" s="83" t="str">
        <f>HYPERLINK("https://t.co/Rq9ay7IPLs")</f>
        <v>https://t.co/Rq9ay7IPLs</v>
      </c>
      <c r="AQ955" s="83" t="str">
        <f>HYPERLINK("https://www.instagram.com/sor4z__/")</f>
        <v>https://www.instagram.com/sor4z__/</v>
      </c>
      <c r="AR955" s="76" t="s">
        <v>24773</v>
      </c>
      <c r="AS955" s="76" t="s">
        <v>24838</v>
      </c>
      <c r="AT955" s="76" t="s">
        <v>24849</v>
      </c>
      <c r="AU955" s="76" t="s">
        <v>24924</v>
      </c>
      <c r="AV955" s="76"/>
      <c r="AW955" s="83" t="str">
        <f>HYPERLINK("https://t.co/Rq9ay7IPLs")</f>
        <v>https://t.co/Rq9ay7IPLs</v>
      </c>
      <c r="AX955" s="76" t="b">
        <v>0</v>
      </c>
      <c r="AY955" s="76"/>
      <c r="AZ955" s="76"/>
      <c r="BA955" s="76" t="b">
        <v>1</v>
      </c>
      <c r="BB955" s="76" t="b">
        <v>1</v>
      </c>
      <c r="BC955" s="76" t="b">
        <v>1</v>
      </c>
      <c r="BD955" s="76" t="b">
        <v>0</v>
      </c>
      <c r="BE955" s="76" t="b">
        <v>0</v>
      </c>
      <c r="BF955" s="76" t="b">
        <v>0</v>
      </c>
      <c r="BG955" s="76" t="b">
        <v>0</v>
      </c>
      <c r="BH955" s="76"/>
      <c r="BI955" s="76"/>
      <c r="BJ955" s="76" t="s">
        <v>24935</v>
      </c>
      <c r="BK955" s="76" t="b">
        <v>0</v>
      </c>
      <c r="BL955" s="76"/>
      <c r="BM955" s="76" t="s">
        <v>66</v>
      </c>
      <c r="BN955" s="76" t="s">
        <v>24937</v>
      </c>
      <c r="BO955" s="83" t="str">
        <f>HYPERLINK("https://twitter.com/plrs_sora")</f>
        <v>https://twitter.com/plrs_sora</v>
      </c>
      <c r="BP955" s="2"/>
    </row>
    <row r="956" spans="1:68" x14ac:dyDescent="0.25">
      <c r="A956" s="62" t="s">
        <v>1140</v>
      </c>
      <c r="B956" s="63"/>
      <c r="C956" s="63"/>
      <c r="D956" s="64"/>
      <c r="E956" s="66"/>
      <c r="F956" s="102" t="str">
        <f>HYPERLINK("https://pbs.twimg.com/profile_images/1624924784474656768/KwgIoTAm_normal.jpg")</f>
        <v>https://pbs.twimg.com/profile_images/1624924784474656768/KwgIoTAm_normal.jpg</v>
      </c>
      <c r="G956" s="63"/>
      <c r="H956" s="67"/>
      <c r="I956" s="68"/>
      <c r="J956" s="68"/>
      <c r="K956" s="67" t="s">
        <v>25890</v>
      </c>
      <c r="L956" s="71"/>
      <c r="M956" s="72"/>
      <c r="N956" s="72"/>
      <c r="O956" s="73"/>
      <c r="P956" s="74"/>
      <c r="Q956" s="74"/>
      <c r="R956" s="86"/>
      <c r="S956" s="86"/>
      <c r="T956" s="86"/>
      <c r="U956" s="86"/>
      <c r="V956" s="48"/>
      <c r="W956" s="48"/>
      <c r="X956" s="48"/>
      <c r="Y956" s="48"/>
      <c r="Z956" s="47"/>
      <c r="AA956" s="69">
        <v>956</v>
      </c>
      <c r="AB956" s="69"/>
      <c r="AC956" s="70"/>
      <c r="AD956" s="76" t="s">
        <v>22746</v>
      </c>
      <c r="AE956" s="81" t="s">
        <v>21700</v>
      </c>
      <c r="AF956" s="76">
        <v>0</v>
      </c>
      <c r="AG956" s="76">
        <v>0</v>
      </c>
      <c r="AH956" s="76">
        <v>19</v>
      </c>
      <c r="AI956" s="76">
        <v>0</v>
      </c>
      <c r="AJ956" s="76">
        <v>0</v>
      </c>
      <c r="AK956" s="76">
        <v>2</v>
      </c>
      <c r="AL956" s="76" t="b">
        <v>0</v>
      </c>
      <c r="AM956" s="78">
        <v>44970.008831018517</v>
      </c>
      <c r="AN956" s="76"/>
      <c r="AO956" s="76"/>
      <c r="AP956" s="76"/>
      <c r="AQ956" s="76"/>
      <c r="AR956" s="76"/>
      <c r="AS956" s="76"/>
      <c r="AT956" s="76"/>
      <c r="AU956" s="76"/>
      <c r="AV956" s="76"/>
      <c r="AW956" s="76"/>
      <c r="AX956" s="76" t="b">
        <v>0</v>
      </c>
      <c r="AY956" s="76"/>
      <c r="AZ956" s="76"/>
      <c r="BA956" s="76" t="b">
        <v>0</v>
      </c>
      <c r="BB956" s="76" t="b">
        <v>1</v>
      </c>
      <c r="BC956" s="76" t="b">
        <v>1</v>
      </c>
      <c r="BD956" s="76" t="b">
        <v>0</v>
      </c>
      <c r="BE956" s="76" t="b">
        <v>1</v>
      </c>
      <c r="BF956" s="76" t="b">
        <v>0</v>
      </c>
      <c r="BG956" s="76" t="b">
        <v>0</v>
      </c>
      <c r="BH956" s="76"/>
      <c r="BI956" s="76"/>
      <c r="BJ956" s="76" t="s">
        <v>24935</v>
      </c>
      <c r="BK956" s="76" t="b">
        <v>0</v>
      </c>
      <c r="BL956" s="76"/>
      <c r="BM956" s="76" t="s">
        <v>66</v>
      </c>
      <c r="BN956" s="76" t="s">
        <v>24937</v>
      </c>
      <c r="BO956" s="83" t="str">
        <f>HYPERLINK("https://twitter.com/carolin86516164")</f>
        <v>https://twitter.com/carolin86516164</v>
      </c>
      <c r="BP956" s="2"/>
    </row>
    <row r="957" spans="1:68" x14ac:dyDescent="0.25">
      <c r="A957" s="62" t="s">
        <v>1141</v>
      </c>
      <c r="B957" s="63"/>
      <c r="C957" s="63"/>
      <c r="D957" s="64"/>
      <c r="E957" s="66"/>
      <c r="F957" s="102" t="str">
        <f>HYPERLINK("https://pbs.twimg.com/profile_images/1633310731062976512/oBf4LzGZ_normal.jpg")</f>
        <v>https://pbs.twimg.com/profile_images/1633310731062976512/oBf4LzGZ_normal.jpg</v>
      </c>
      <c r="G957" s="63"/>
      <c r="H957" s="67"/>
      <c r="I957" s="68"/>
      <c r="J957" s="68"/>
      <c r="K957" s="67" t="s">
        <v>25891</v>
      </c>
      <c r="L957" s="71"/>
      <c r="M957" s="72"/>
      <c r="N957" s="72"/>
      <c r="O957" s="73"/>
      <c r="P957" s="74"/>
      <c r="Q957" s="74"/>
      <c r="R957" s="86"/>
      <c r="S957" s="86"/>
      <c r="T957" s="86"/>
      <c r="U957" s="86"/>
      <c r="V957" s="48"/>
      <c r="W957" s="48"/>
      <c r="X957" s="48"/>
      <c r="Y957" s="48"/>
      <c r="Z957" s="47"/>
      <c r="AA957" s="69">
        <v>957</v>
      </c>
      <c r="AB957" s="69"/>
      <c r="AC957" s="70"/>
      <c r="AD957" s="76" t="s">
        <v>22747</v>
      </c>
      <c r="AE957" s="81" t="s">
        <v>21701</v>
      </c>
      <c r="AF957" s="76">
        <v>0</v>
      </c>
      <c r="AG957" s="76">
        <v>71</v>
      </c>
      <c r="AH957" s="76">
        <v>2</v>
      </c>
      <c r="AI957" s="76">
        <v>0</v>
      </c>
      <c r="AJ957" s="76">
        <v>8</v>
      </c>
      <c r="AK957" s="76">
        <v>2</v>
      </c>
      <c r="AL957" s="76" t="b">
        <v>0</v>
      </c>
      <c r="AM957" s="78">
        <v>44617.53292824074</v>
      </c>
      <c r="AN957" s="76"/>
      <c r="AO957" s="76" t="s">
        <v>24162</v>
      </c>
      <c r="AP957" s="83" t="str">
        <f>HYPERLINK("https://t.co/JoZ63eyitF")</f>
        <v>https://t.co/JoZ63eyitF</v>
      </c>
      <c r="AQ957" s="83" t="str">
        <f>HYPERLINK("https://instagram.com/vivivasconcelosmkt?igshid=ZDdkNTZiNTM=")</f>
        <v>https://instagram.com/vivivasconcelosmkt?igshid=ZDdkNTZiNTM=</v>
      </c>
      <c r="AR957" s="76" t="s">
        <v>24774</v>
      </c>
      <c r="AS957" s="76"/>
      <c r="AT957" s="76"/>
      <c r="AU957" s="76"/>
      <c r="AV957" s="76"/>
      <c r="AW957" s="83" t="str">
        <f>HYPERLINK("https://t.co/JoZ63eyitF")</f>
        <v>https://t.co/JoZ63eyitF</v>
      </c>
      <c r="AX957" s="76" t="b">
        <v>0</v>
      </c>
      <c r="AY957" s="76"/>
      <c r="AZ957" s="76"/>
      <c r="BA957" s="76" t="b">
        <v>0</v>
      </c>
      <c r="BB957" s="76" t="b">
        <v>1</v>
      </c>
      <c r="BC957" s="76" t="b">
        <v>1</v>
      </c>
      <c r="BD957" s="76" t="b">
        <v>0</v>
      </c>
      <c r="BE957" s="76" t="b">
        <v>0</v>
      </c>
      <c r="BF957" s="76" t="b">
        <v>0</v>
      </c>
      <c r="BG957" s="76" t="b">
        <v>0</v>
      </c>
      <c r="BH957" s="83" t="str">
        <f>HYPERLINK("https://pbs.twimg.com/profile_banners/1497191461615509513/1678156446")</f>
        <v>https://pbs.twimg.com/profile_banners/1497191461615509513/1678156446</v>
      </c>
      <c r="BI957" s="76"/>
      <c r="BJ957" s="76" t="s">
        <v>24935</v>
      </c>
      <c r="BK957" s="76" t="b">
        <v>0</v>
      </c>
      <c r="BL957" s="76"/>
      <c r="BM957" s="76" t="s">
        <v>66</v>
      </c>
      <c r="BN957" s="76" t="s">
        <v>24937</v>
      </c>
      <c r="BO957" s="83" t="str">
        <f>HYPERLINK("https://twitter.com/tijiomo")</f>
        <v>https://twitter.com/tijiomo</v>
      </c>
      <c r="BP957" s="2"/>
    </row>
    <row r="958" spans="1:68" x14ac:dyDescent="0.25">
      <c r="A958" s="62" t="s">
        <v>1142</v>
      </c>
      <c r="B958" s="63"/>
      <c r="C958" s="63"/>
      <c r="D958" s="64"/>
      <c r="E958" s="66"/>
      <c r="F958" s="102" t="str">
        <f>HYPERLINK("https://pbs.twimg.com/profile_images/1673468753915289603/riDo021R_normal.jpg")</f>
        <v>https://pbs.twimg.com/profile_images/1673468753915289603/riDo021R_normal.jpg</v>
      </c>
      <c r="G958" s="63"/>
      <c r="H958" s="67"/>
      <c r="I958" s="68"/>
      <c r="J958" s="68"/>
      <c r="K958" s="67" t="s">
        <v>25892</v>
      </c>
      <c r="L958" s="71"/>
      <c r="M958" s="72"/>
      <c r="N958" s="72"/>
      <c r="O958" s="73"/>
      <c r="P958" s="74"/>
      <c r="Q958" s="74"/>
      <c r="R958" s="86"/>
      <c r="S958" s="86"/>
      <c r="T958" s="86"/>
      <c r="U958" s="86"/>
      <c r="V958" s="48"/>
      <c r="W958" s="48"/>
      <c r="X958" s="48"/>
      <c r="Y958" s="48"/>
      <c r="Z958" s="47"/>
      <c r="AA958" s="69">
        <v>958</v>
      </c>
      <c r="AB958" s="69"/>
      <c r="AC958" s="70"/>
      <c r="AD958" s="76" t="s">
        <v>22748</v>
      </c>
      <c r="AE958" s="81" t="s">
        <v>21702</v>
      </c>
      <c r="AF958" s="76">
        <v>0</v>
      </c>
      <c r="AG958" s="76">
        <v>7</v>
      </c>
      <c r="AH958" s="76">
        <v>191</v>
      </c>
      <c r="AI958" s="76">
        <v>0</v>
      </c>
      <c r="AJ958" s="76">
        <v>1</v>
      </c>
      <c r="AK958" s="76">
        <v>100</v>
      </c>
      <c r="AL958" s="76" t="b">
        <v>0</v>
      </c>
      <c r="AM958" s="78">
        <v>45095.887499999997</v>
      </c>
      <c r="AN958" s="76"/>
      <c r="AO958" s="76" t="s">
        <v>24163</v>
      </c>
      <c r="AP958" s="76"/>
      <c r="AQ958" s="76"/>
      <c r="AR958" s="76"/>
      <c r="AS958" s="76"/>
      <c r="AT958" s="76"/>
      <c r="AU958" s="76"/>
      <c r="AV958" s="76"/>
      <c r="AW958" s="76"/>
      <c r="AX958" s="76" t="b">
        <v>0</v>
      </c>
      <c r="AY958" s="76"/>
      <c r="AZ958" s="76"/>
      <c r="BA958" s="76" t="b">
        <v>0</v>
      </c>
      <c r="BB958" s="76" t="b">
        <v>1</v>
      </c>
      <c r="BC958" s="76" t="b">
        <v>1</v>
      </c>
      <c r="BD958" s="76" t="b">
        <v>0</v>
      </c>
      <c r="BE958" s="76" t="b">
        <v>0</v>
      </c>
      <c r="BF958" s="76" t="b">
        <v>0</v>
      </c>
      <c r="BG958" s="76" t="b">
        <v>0</v>
      </c>
      <c r="BH958" s="76"/>
      <c r="BI958" s="76"/>
      <c r="BJ958" s="76" t="s">
        <v>24935</v>
      </c>
      <c r="BK958" s="76" t="b">
        <v>0</v>
      </c>
      <c r="BL958" s="76"/>
      <c r="BM958" s="76" t="s">
        <v>66</v>
      </c>
      <c r="BN958" s="76" t="s">
        <v>24937</v>
      </c>
      <c r="BO958" s="83" t="str">
        <f>HYPERLINK("https://twitter.com/meguilhermem")</f>
        <v>https://twitter.com/meguilhermem</v>
      </c>
      <c r="BP958" s="2"/>
    </row>
    <row r="959" spans="1:68" x14ac:dyDescent="0.25">
      <c r="A959" s="62" t="s">
        <v>1143</v>
      </c>
      <c r="B959" s="63"/>
      <c r="C959" s="63"/>
      <c r="D959" s="64"/>
      <c r="E959" s="66"/>
      <c r="F959" s="102" t="str">
        <f>HYPERLINK("https://pbs.twimg.com/profile_images/1600719968538185729/50mdxBm1_normal.jpg")</f>
        <v>https://pbs.twimg.com/profile_images/1600719968538185729/50mdxBm1_normal.jpg</v>
      </c>
      <c r="G959" s="63"/>
      <c r="H959" s="67"/>
      <c r="I959" s="68"/>
      <c r="J959" s="68"/>
      <c r="K959" s="67" t="s">
        <v>25893</v>
      </c>
      <c r="L959" s="71"/>
      <c r="M959" s="72"/>
      <c r="N959" s="72"/>
      <c r="O959" s="73"/>
      <c r="P959" s="74"/>
      <c r="Q959" s="74"/>
      <c r="R959" s="86"/>
      <c r="S959" s="86"/>
      <c r="T959" s="86"/>
      <c r="U959" s="86"/>
      <c r="V959" s="48"/>
      <c r="W959" s="48"/>
      <c r="X959" s="48"/>
      <c r="Y959" s="48"/>
      <c r="Z959" s="47"/>
      <c r="AA959" s="69">
        <v>959</v>
      </c>
      <c r="AB959" s="69"/>
      <c r="AC959" s="70"/>
      <c r="AD959" s="76" t="s">
        <v>22749</v>
      </c>
      <c r="AE959" s="81" t="s">
        <v>21703</v>
      </c>
      <c r="AF959" s="76">
        <v>9</v>
      </c>
      <c r="AG959" s="76">
        <v>38</v>
      </c>
      <c r="AH959" s="76">
        <v>16</v>
      </c>
      <c r="AI959" s="76">
        <v>0</v>
      </c>
      <c r="AJ959" s="76">
        <v>9</v>
      </c>
      <c r="AK959" s="76">
        <v>8</v>
      </c>
      <c r="AL959" s="76" t="b">
        <v>0</v>
      </c>
      <c r="AM959" s="78">
        <v>44642.069849537038</v>
      </c>
      <c r="AN959" s="76" t="s">
        <v>23323</v>
      </c>
      <c r="AO959" s="76" t="s">
        <v>24164</v>
      </c>
      <c r="AP959" s="83" t="str">
        <f>HYPERLINK("https://t.co/aV3Tj6Kv1B")</f>
        <v>https://t.co/aV3Tj6Kv1B</v>
      </c>
      <c r="AQ959" s="83" t="str">
        <f>HYPERLINK("https://www.cryptosniper.com.br/")</f>
        <v>https://www.cryptosniper.com.br/</v>
      </c>
      <c r="AR959" s="76" t="s">
        <v>24775</v>
      </c>
      <c r="AS959" s="76"/>
      <c r="AT959" s="76"/>
      <c r="AU959" s="76"/>
      <c r="AV959" s="76">
        <v>1.6452584927967099E+18</v>
      </c>
      <c r="AW959" s="83" t="str">
        <f>HYPERLINK("https://t.co/aV3Tj6Kv1B")</f>
        <v>https://t.co/aV3Tj6Kv1B</v>
      </c>
      <c r="AX959" s="76" t="b">
        <v>0</v>
      </c>
      <c r="AY959" s="76"/>
      <c r="AZ959" s="76"/>
      <c r="BA959" s="76" t="b">
        <v>0</v>
      </c>
      <c r="BB959" s="76" t="b">
        <v>1</v>
      </c>
      <c r="BC959" s="76" t="b">
        <v>1</v>
      </c>
      <c r="BD959" s="76" t="b">
        <v>0</v>
      </c>
      <c r="BE959" s="76" t="b">
        <v>0</v>
      </c>
      <c r="BF959" s="76" t="b">
        <v>0</v>
      </c>
      <c r="BG959" s="76" t="b">
        <v>0</v>
      </c>
      <c r="BH959" s="83" t="str">
        <f>HYPERLINK("https://pbs.twimg.com/profile_banners/1506081705265934337/1673670437")</f>
        <v>https://pbs.twimg.com/profile_banners/1506081705265934337/1673670437</v>
      </c>
      <c r="BI959" s="76"/>
      <c r="BJ959" s="76" t="s">
        <v>24935</v>
      </c>
      <c r="BK959" s="76" t="b">
        <v>0</v>
      </c>
      <c r="BL959" s="76"/>
      <c r="BM959" s="76" t="s">
        <v>66</v>
      </c>
      <c r="BN959" s="76" t="s">
        <v>24937</v>
      </c>
      <c r="BO959" s="83" t="str">
        <f>HYPERLINK("https://twitter.com/cryptobotsniper")</f>
        <v>https://twitter.com/cryptobotsniper</v>
      </c>
      <c r="BP959" s="2"/>
    </row>
    <row r="960" spans="1:68" x14ac:dyDescent="0.25">
      <c r="A960" s="62" t="s">
        <v>1144</v>
      </c>
      <c r="B960" s="63"/>
      <c r="C960" s="63"/>
      <c r="D960" s="64"/>
      <c r="E960" s="66"/>
      <c r="F960" s="102" t="str">
        <f>HYPERLINK("https://pbs.twimg.com/profile_images/1504709210180837400/okKkFMhc_normal.jpg")</f>
        <v>https://pbs.twimg.com/profile_images/1504709210180837400/okKkFMhc_normal.jpg</v>
      </c>
      <c r="G960" s="63"/>
      <c r="H960" s="67"/>
      <c r="I960" s="68"/>
      <c r="J960" s="68"/>
      <c r="K960" s="67" t="s">
        <v>25894</v>
      </c>
      <c r="L960" s="71"/>
      <c r="M960" s="72"/>
      <c r="N960" s="72"/>
      <c r="O960" s="73"/>
      <c r="P960" s="74"/>
      <c r="Q960" s="74"/>
      <c r="R960" s="86"/>
      <c r="S960" s="86"/>
      <c r="T960" s="86"/>
      <c r="U960" s="86"/>
      <c r="V960" s="48"/>
      <c r="W960" s="48"/>
      <c r="X960" s="48"/>
      <c r="Y960" s="48"/>
      <c r="Z960" s="47"/>
      <c r="AA960" s="69">
        <v>960</v>
      </c>
      <c r="AB960" s="69"/>
      <c r="AC960" s="70"/>
      <c r="AD960" s="76" t="s">
        <v>22750</v>
      </c>
      <c r="AE960" s="81" t="s">
        <v>23049</v>
      </c>
      <c r="AF960" s="76">
        <v>21091</v>
      </c>
      <c r="AG960" s="76">
        <v>68</v>
      </c>
      <c r="AH960" s="76">
        <v>19957</v>
      </c>
      <c r="AI960" s="76">
        <v>5</v>
      </c>
      <c r="AJ960" s="76">
        <v>343</v>
      </c>
      <c r="AK960" s="76">
        <v>18584</v>
      </c>
      <c r="AL960" s="76" t="b">
        <v>0</v>
      </c>
      <c r="AM960" s="78">
        <v>40856.603136574071</v>
      </c>
      <c r="AN960" s="76" t="s">
        <v>14033</v>
      </c>
      <c r="AO960" s="76" t="s">
        <v>24165</v>
      </c>
      <c r="AP960" s="83" t="str">
        <f>HYPERLINK("https://t.co/eI2hASPczh")</f>
        <v>https://t.co/eI2hASPczh</v>
      </c>
      <c r="AQ960" s="83" t="str">
        <f>HYPERLINK("https://www.linkedin.com/in/dan-mendes-br")</f>
        <v>https://www.linkedin.com/in/dan-mendes-br</v>
      </c>
      <c r="AR960" s="76" t="s">
        <v>24776</v>
      </c>
      <c r="AS960" s="76"/>
      <c r="AT960" s="76"/>
      <c r="AU960" s="76"/>
      <c r="AV960" s="76">
        <v>1.3475929281814899E+18</v>
      </c>
      <c r="AW960" s="83" t="str">
        <f>HYPERLINK("https://t.co/eI2hASPczh")</f>
        <v>https://t.co/eI2hASPczh</v>
      </c>
      <c r="AX960" s="76" t="b">
        <v>0</v>
      </c>
      <c r="AY960" s="76"/>
      <c r="AZ960" s="76"/>
      <c r="BA960" s="76" t="b">
        <v>0</v>
      </c>
      <c r="BB960" s="76" t="b">
        <v>1</v>
      </c>
      <c r="BC960" s="76" t="b">
        <v>0</v>
      </c>
      <c r="BD960" s="76" t="b">
        <v>0</v>
      </c>
      <c r="BE960" s="76" t="b">
        <v>1</v>
      </c>
      <c r="BF960" s="76" t="b">
        <v>0</v>
      </c>
      <c r="BG960" s="76" t="b">
        <v>0</v>
      </c>
      <c r="BH960" s="83" t="str">
        <f>HYPERLINK("https://pbs.twimg.com/profile_banners/408509697/1647585695")</f>
        <v>https://pbs.twimg.com/profile_banners/408509697/1647585695</v>
      </c>
      <c r="BI960" s="76"/>
      <c r="BJ960" s="76" t="s">
        <v>24935</v>
      </c>
      <c r="BK960" s="76" t="b">
        <v>0</v>
      </c>
      <c r="BL960" s="76"/>
      <c r="BM960" s="76" t="s">
        <v>66</v>
      </c>
      <c r="BN960" s="76" t="s">
        <v>24937</v>
      </c>
      <c r="BO960" s="83" t="str">
        <f>HYPERLINK("https://twitter.com/apenasdanmendes")</f>
        <v>https://twitter.com/apenasdanmendes</v>
      </c>
      <c r="BP960" s="2"/>
    </row>
    <row r="961" spans="1:68" x14ac:dyDescent="0.25">
      <c r="A961" s="62" t="s">
        <v>1145</v>
      </c>
      <c r="B961" s="63"/>
      <c r="C961" s="63"/>
      <c r="D961" s="64"/>
      <c r="E961" s="66"/>
      <c r="F961" s="102" t="str">
        <f>HYPERLINK("https://pbs.twimg.com/profile_images/1629800143691153413/gV-0HHMM_normal.jpg")</f>
        <v>https://pbs.twimg.com/profile_images/1629800143691153413/gV-0HHMM_normal.jpg</v>
      </c>
      <c r="G961" s="63"/>
      <c r="H961" s="67"/>
      <c r="I961" s="68"/>
      <c r="J961" s="68"/>
      <c r="K961" s="67" t="s">
        <v>25895</v>
      </c>
      <c r="L961" s="71"/>
      <c r="M961" s="72"/>
      <c r="N961" s="72"/>
      <c r="O961" s="73"/>
      <c r="P961" s="74"/>
      <c r="Q961" s="74"/>
      <c r="R961" s="86"/>
      <c r="S961" s="86"/>
      <c r="T961" s="86"/>
      <c r="U961" s="86"/>
      <c r="V961" s="48"/>
      <c r="W961" s="48"/>
      <c r="X961" s="48"/>
      <c r="Y961" s="48"/>
      <c r="Z961" s="47"/>
      <c r="AA961" s="69">
        <v>961</v>
      </c>
      <c r="AB961" s="69"/>
      <c r="AC961" s="70"/>
      <c r="AD961" s="76" t="s">
        <v>22751</v>
      </c>
      <c r="AE961" s="81" t="s">
        <v>21704</v>
      </c>
      <c r="AF961" s="76">
        <v>0</v>
      </c>
      <c r="AG961" s="76">
        <v>13</v>
      </c>
      <c r="AH961" s="76">
        <v>32</v>
      </c>
      <c r="AI961" s="76">
        <v>0</v>
      </c>
      <c r="AJ961" s="76">
        <v>0</v>
      </c>
      <c r="AK961" s="76">
        <v>12</v>
      </c>
      <c r="AL961" s="76" t="b">
        <v>0</v>
      </c>
      <c r="AM961" s="78">
        <v>44966.77202546296</v>
      </c>
      <c r="AN961" s="76"/>
      <c r="AO961" s="76" t="s">
        <v>24166</v>
      </c>
      <c r="AP961" s="83" t="str">
        <f>HYPERLINK("https://t.co/mcpnFbQtTS")</f>
        <v>https://t.co/mcpnFbQtTS</v>
      </c>
      <c r="AQ961" s="83" t="str">
        <f>HYPERLINK("https://bit.ly/41u5qYc")</f>
        <v>https://bit.ly/41u5qYc</v>
      </c>
      <c r="AR961" s="76" t="s">
        <v>24777</v>
      </c>
      <c r="AS961" s="83" t="str">
        <f>HYPERLINK("https://t.co/mcpnFbQtTS")</f>
        <v>https://t.co/mcpnFbQtTS</v>
      </c>
      <c r="AT961" s="83" t="str">
        <f>HYPERLINK("https://bit.ly/41u5qYc")</f>
        <v>https://bit.ly/41u5qYc</v>
      </c>
      <c r="AU961" s="76" t="s">
        <v>24777</v>
      </c>
      <c r="AV961" s="76"/>
      <c r="AW961" s="83" t="str">
        <f>HYPERLINK("https://t.co/mcpnFbQtTS")</f>
        <v>https://t.co/mcpnFbQtTS</v>
      </c>
      <c r="AX961" s="76" t="b">
        <v>0</v>
      </c>
      <c r="AY961" s="76"/>
      <c r="AZ961" s="76"/>
      <c r="BA961" s="76" t="b">
        <v>0</v>
      </c>
      <c r="BB961" s="76" t="b">
        <v>1</v>
      </c>
      <c r="BC961" s="76" t="b">
        <v>1</v>
      </c>
      <c r="BD961" s="76" t="b">
        <v>0</v>
      </c>
      <c r="BE961" s="76" t="b">
        <v>0</v>
      </c>
      <c r="BF961" s="76" t="b">
        <v>0</v>
      </c>
      <c r="BG961" s="76" t="b">
        <v>0</v>
      </c>
      <c r="BH961" s="76"/>
      <c r="BI961" s="76"/>
      <c r="BJ961" s="76" t="s">
        <v>24935</v>
      </c>
      <c r="BK961" s="76" t="b">
        <v>0</v>
      </c>
      <c r="BL961" s="76"/>
      <c r="BM961" s="76" t="s">
        <v>66</v>
      </c>
      <c r="BN961" s="76" t="s">
        <v>24937</v>
      </c>
      <c r="BO961" s="83" t="str">
        <f>HYPERLINK("https://twitter.com/decorando_ld")</f>
        <v>https://twitter.com/decorando_ld</v>
      </c>
      <c r="BP961" s="2"/>
    </row>
    <row r="962" spans="1:68" x14ac:dyDescent="0.25">
      <c r="A962" s="62" t="s">
        <v>1146</v>
      </c>
      <c r="B962" s="63"/>
      <c r="C962" s="63"/>
      <c r="D962" s="64"/>
      <c r="E962" s="66"/>
      <c r="F962" s="102" t="str">
        <f>HYPERLINK("https://pbs.twimg.com/profile_images/1656797389892591616/hUeiNqk__normal.jpg")</f>
        <v>https://pbs.twimg.com/profile_images/1656797389892591616/hUeiNqk__normal.jpg</v>
      </c>
      <c r="G962" s="63"/>
      <c r="H962" s="67"/>
      <c r="I962" s="68"/>
      <c r="J962" s="68"/>
      <c r="K962" s="67" t="s">
        <v>25896</v>
      </c>
      <c r="L962" s="71"/>
      <c r="M962" s="72"/>
      <c r="N962" s="72"/>
      <c r="O962" s="73"/>
      <c r="P962" s="74"/>
      <c r="Q962" s="74"/>
      <c r="R962" s="86"/>
      <c r="S962" s="86"/>
      <c r="T962" s="86"/>
      <c r="U962" s="86"/>
      <c r="V962" s="48"/>
      <c r="W962" s="48"/>
      <c r="X962" s="48"/>
      <c r="Y962" s="48"/>
      <c r="Z962" s="47"/>
      <c r="AA962" s="69">
        <v>962</v>
      </c>
      <c r="AB962" s="69"/>
      <c r="AC962" s="70"/>
      <c r="AD962" s="76" t="s">
        <v>22752</v>
      </c>
      <c r="AE962" s="81" t="s">
        <v>21705</v>
      </c>
      <c r="AF962" s="76">
        <v>0</v>
      </c>
      <c r="AG962" s="76">
        <v>1</v>
      </c>
      <c r="AH962" s="76">
        <v>4</v>
      </c>
      <c r="AI962" s="76">
        <v>0</v>
      </c>
      <c r="AJ962" s="76">
        <v>0</v>
      </c>
      <c r="AK962" s="76">
        <v>2</v>
      </c>
      <c r="AL962" s="76" t="b">
        <v>0</v>
      </c>
      <c r="AM962" s="78">
        <v>45057.95888888889</v>
      </c>
      <c r="AN962" s="76"/>
      <c r="AO962" s="76" t="s">
        <v>24167</v>
      </c>
      <c r="AP962" s="83" t="str">
        <f>HYPERLINK("https://t.co/4ySUI5adRd")</f>
        <v>https://t.co/4ySUI5adRd</v>
      </c>
      <c r="AQ962" s="83" t="str">
        <f>HYPERLINK("https://api.whatsapp.com/send?phone=5531990710542&amp;text=oii%20Raphael%20quero%20aprender%20sobre")</f>
        <v>https://api.whatsapp.com/send?phone=5531990710542&amp;text=oii%20Raphael%20quero%20aprender%20sobre</v>
      </c>
      <c r="AR962" s="76" t="s">
        <v>24778</v>
      </c>
      <c r="AS962" s="83" t="str">
        <f>HYPERLINK("https://t.co/WMQBFZlXGo")</f>
        <v>https://t.co/WMQBFZlXGo</v>
      </c>
      <c r="AT962" s="83" t="str">
        <f>HYPERLINK("http://linkr.bio/iniciar_a.goraa")</f>
        <v>http://linkr.bio/iniciar_a.goraa</v>
      </c>
      <c r="AU962" s="76" t="s">
        <v>24925</v>
      </c>
      <c r="AV962" s="76"/>
      <c r="AW962" s="83" t="str">
        <f>HYPERLINK("https://t.co/4ySUI5adRd")</f>
        <v>https://t.co/4ySUI5adRd</v>
      </c>
      <c r="AX962" s="76" t="b">
        <v>0</v>
      </c>
      <c r="AY962" s="76"/>
      <c r="AZ962" s="76"/>
      <c r="BA962" s="76" t="b">
        <v>0</v>
      </c>
      <c r="BB962" s="76" t="b">
        <v>1</v>
      </c>
      <c r="BC962" s="76" t="b">
        <v>1</v>
      </c>
      <c r="BD962" s="76" t="b">
        <v>0</v>
      </c>
      <c r="BE962" s="76" t="b">
        <v>0</v>
      </c>
      <c r="BF962" s="76" t="b">
        <v>0</v>
      </c>
      <c r="BG962" s="76" t="b">
        <v>0</v>
      </c>
      <c r="BH962" s="83" t="str">
        <f>HYPERLINK("https://pbs.twimg.com/profile_banners/1656796477874659328/1683848381")</f>
        <v>https://pbs.twimg.com/profile_banners/1656796477874659328/1683848381</v>
      </c>
      <c r="BI962" s="76"/>
      <c r="BJ962" s="76" t="s">
        <v>24935</v>
      </c>
      <c r="BK962" s="76" t="b">
        <v>0</v>
      </c>
      <c r="BL962" s="76"/>
      <c r="BM962" s="76" t="s">
        <v>66</v>
      </c>
      <c r="BN962" s="76" t="s">
        <v>24937</v>
      </c>
      <c r="BO962" s="83" t="str">
        <f>HYPERLINK("https://twitter.com/jovememprendedo")</f>
        <v>https://twitter.com/jovememprendedo</v>
      </c>
      <c r="BP962" s="2"/>
    </row>
    <row r="963" spans="1:68" x14ac:dyDescent="0.25">
      <c r="A963" s="62" t="s">
        <v>1147</v>
      </c>
      <c r="B963" s="63"/>
      <c r="C963" s="63"/>
      <c r="D963" s="64"/>
      <c r="E963" s="66"/>
      <c r="F963" s="102" t="str">
        <f>HYPERLINK("https://pbs.twimg.com/profile_images/1686533816276398080/1GgnlYcW_normal.jpg")</f>
        <v>https://pbs.twimg.com/profile_images/1686533816276398080/1GgnlYcW_normal.jpg</v>
      </c>
      <c r="G963" s="63"/>
      <c r="H963" s="67"/>
      <c r="I963" s="68"/>
      <c r="J963" s="68"/>
      <c r="K963" s="67" t="s">
        <v>25897</v>
      </c>
      <c r="L963" s="71"/>
      <c r="M963" s="72"/>
      <c r="N963" s="72"/>
      <c r="O963" s="73"/>
      <c r="P963" s="74"/>
      <c r="Q963" s="74"/>
      <c r="R963" s="86"/>
      <c r="S963" s="86"/>
      <c r="T963" s="86"/>
      <c r="U963" s="86"/>
      <c r="V963" s="48"/>
      <c r="W963" s="48"/>
      <c r="X963" s="48"/>
      <c r="Y963" s="48"/>
      <c r="Z963" s="47"/>
      <c r="AA963" s="69">
        <v>963</v>
      </c>
      <c r="AB963" s="69"/>
      <c r="AC963" s="70"/>
      <c r="AD963" s="76" t="s">
        <v>22753</v>
      </c>
      <c r="AE963" s="81" t="s">
        <v>23050</v>
      </c>
      <c r="AF963" s="76">
        <v>528</v>
      </c>
      <c r="AG963" s="76">
        <v>1027</v>
      </c>
      <c r="AH963" s="76">
        <v>101080</v>
      </c>
      <c r="AI963" s="76">
        <v>4</v>
      </c>
      <c r="AJ963" s="76">
        <v>146687</v>
      </c>
      <c r="AK963" s="76">
        <v>2075</v>
      </c>
      <c r="AL963" s="76" t="b">
        <v>0</v>
      </c>
      <c r="AM963" s="78">
        <v>39919.952152777776</v>
      </c>
      <c r="AN963" s="76" t="s">
        <v>23324</v>
      </c>
      <c r="AO963" s="76" t="s">
        <v>24168</v>
      </c>
      <c r="AP963" s="76"/>
      <c r="AQ963" s="76"/>
      <c r="AR963" s="76"/>
      <c r="AS963" s="76"/>
      <c r="AT963" s="76"/>
      <c r="AU963" s="76"/>
      <c r="AV963" s="76">
        <v>1.5656777336146801E+18</v>
      </c>
      <c r="AW963" s="76"/>
      <c r="AX963" s="76" t="b">
        <v>0</v>
      </c>
      <c r="AY963" s="76"/>
      <c r="AZ963" s="76"/>
      <c r="BA963" s="76" t="b">
        <v>0</v>
      </c>
      <c r="BB963" s="76" t="b">
        <v>0</v>
      </c>
      <c r="BC963" s="76" t="b">
        <v>0</v>
      </c>
      <c r="BD963" s="76" t="b">
        <v>0</v>
      </c>
      <c r="BE963" s="76" t="b">
        <v>1</v>
      </c>
      <c r="BF963" s="76" t="b">
        <v>0</v>
      </c>
      <c r="BG963" s="76" t="b">
        <v>0</v>
      </c>
      <c r="BH963" s="83" t="str">
        <f>HYPERLINK("https://pbs.twimg.com/profile_banners/32189106/1452870012")</f>
        <v>https://pbs.twimg.com/profile_banners/32189106/1452870012</v>
      </c>
      <c r="BI963" s="76"/>
      <c r="BJ963" s="76" t="s">
        <v>24935</v>
      </c>
      <c r="BK963" s="76" t="b">
        <v>0</v>
      </c>
      <c r="BL963" s="76"/>
      <c r="BM963" s="76" t="s">
        <v>66</v>
      </c>
      <c r="BN963" s="76" t="s">
        <v>24937</v>
      </c>
      <c r="BO963" s="83" t="str">
        <f>HYPERLINK("https://twitter.com/camaradaeduh")</f>
        <v>https://twitter.com/camaradaeduh</v>
      </c>
      <c r="BP963" s="2"/>
    </row>
    <row r="964" spans="1:68" x14ac:dyDescent="0.25">
      <c r="A964" s="62" t="s">
        <v>1276</v>
      </c>
      <c r="B964" s="63"/>
      <c r="C964" s="63"/>
      <c r="D964" s="64"/>
      <c r="E964" s="66"/>
      <c r="F964" s="102" t="str">
        <f>HYPERLINK("https://pbs.twimg.com/profile_images/1546920686047870976/DbvhK2Ey_normal.jpg")</f>
        <v>https://pbs.twimg.com/profile_images/1546920686047870976/DbvhK2Ey_normal.jpg</v>
      </c>
      <c r="G964" s="63"/>
      <c r="H964" s="67"/>
      <c r="I964" s="68"/>
      <c r="J964" s="68"/>
      <c r="K964" s="67" t="s">
        <v>25898</v>
      </c>
      <c r="L964" s="71"/>
      <c r="M964" s="72"/>
      <c r="N964" s="72"/>
      <c r="O964" s="73"/>
      <c r="P964" s="74"/>
      <c r="Q964" s="74"/>
      <c r="R964" s="86"/>
      <c r="S964" s="86"/>
      <c r="T964" s="86"/>
      <c r="U964" s="86"/>
      <c r="V964" s="48"/>
      <c r="W964" s="48"/>
      <c r="X964" s="48"/>
      <c r="Y964" s="48"/>
      <c r="Z964" s="47"/>
      <c r="AA964" s="69">
        <v>964</v>
      </c>
      <c r="AB964" s="69"/>
      <c r="AC964" s="70"/>
      <c r="AD964" s="76" t="s">
        <v>22754</v>
      </c>
      <c r="AE964" s="81" t="s">
        <v>23051</v>
      </c>
      <c r="AF964" s="76">
        <v>6032</v>
      </c>
      <c r="AG964" s="76">
        <v>7</v>
      </c>
      <c r="AH964" s="76">
        <v>468</v>
      </c>
      <c r="AI964" s="76">
        <v>2</v>
      </c>
      <c r="AJ964" s="76">
        <v>148</v>
      </c>
      <c r="AK964" s="76">
        <v>280</v>
      </c>
      <c r="AL964" s="76" t="b">
        <v>0</v>
      </c>
      <c r="AM964" s="78">
        <v>44754.754212962966</v>
      </c>
      <c r="AN964" s="76"/>
      <c r="AO964" s="76" t="s">
        <v>24169</v>
      </c>
      <c r="AP964" s="83" t="str">
        <f>HYPERLINK("https://t.co/SiFG4EIa10")</f>
        <v>https://t.co/SiFG4EIa10</v>
      </c>
      <c r="AQ964" s="83" t="str">
        <f>HYPERLINK("https://www.youtube.com/@broxadasinistra")</f>
        <v>https://www.youtube.com/@broxadasinistra</v>
      </c>
      <c r="AR964" s="76" t="s">
        <v>24779</v>
      </c>
      <c r="AS964" s="76"/>
      <c r="AT964" s="76"/>
      <c r="AU964" s="76"/>
      <c r="AV964" s="76"/>
      <c r="AW964" s="83" t="str">
        <f>HYPERLINK("https://t.co/SiFG4EIa10")</f>
        <v>https://t.co/SiFG4EIa10</v>
      </c>
      <c r="AX964" s="76" t="b">
        <v>0</v>
      </c>
      <c r="AY964" s="76"/>
      <c r="AZ964" s="76"/>
      <c r="BA964" s="76" t="b">
        <v>0</v>
      </c>
      <c r="BB964" s="76" t="b">
        <v>1</v>
      </c>
      <c r="BC964" s="76" t="b">
        <v>1</v>
      </c>
      <c r="BD964" s="76" t="b">
        <v>0</v>
      </c>
      <c r="BE964" s="76" t="b">
        <v>0</v>
      </c>
      <c r="BF964" s="76" t="b">
        <v>0</v>
      </c>
      <c r="BG964" s="76" t="b">
        <v>0</v>
      </c>
      <c r="BH964" s="83" t="str">
        <f>HYPERLINK("https://pbs.twimg.com/profile_banners/1546918721985421312/1661189821")</f>
        <v>https://pbs.twimg.com/profile_banners/1546918721985421312/1661189821</v>
      </c>
      <c r="BI964" s="76"/>
      <c r="BJ964" s="76" t="s">
        <v>24935</v>
      </c>
      <c r="BK964" s="76" t="b">
        <v>0</v>
      </c>
      <c r="BL964" s="76"/>
      <c r="BM964" s="76" t="s">
        <v>65</v>
      </c>
      <c r="BN964" s="76" t="s">
        <v>24937</v>
      </c>
      <c r="BO964" s="83" t="str">
        <f>HYPERLINK("https://twitter.com/broxadasinistra")</f>
        <v>https://twitter.com/broxadasinistra</v>
      </c>
      <c r="BP964" s="2"/>
    </row>
    <row r="965" spans="1:68" x14ac:dyDescent="0.25">
      <c r="A965" s="62" t="s">
        <v>1148</v>
      </c>
      <c r="B965" s="63"/>
      <c r="C965" s="63"/>
      <c r="D965" s="64"/>
      <c r="E965" s="66"/>
      <c r="F965" s="102" t="str">
        <f>HYPERLINK("https://pbs.twimg.com/profile_images/1674401456609173504/bGcTSSKu_normal.jpg")</f>
        <v>https://pbs.twimg.com/profile_images/1674401456609173504/bGcTSSKu_normal.jpg</v>
      </c>
      <c r="G965" s="63"/>
      <c r="H965" s="67"/>
      <c r="I965" s="68"/>
      <c r="J965" s="68"/>
      <c r="K965" s="67" t="s">
        <v>25899</v>
      </c>
      <c r="L965" s="71"/>
      <c r="M965" s="72"/>
      <c r="N965" s="72"/>
      <c r="O965" s="73"/>
      <c r="P965" s="74"/>
      <c r="Q965" s="74"/>
      <c r="R965" s="86"/>
      <c r="S965" s="86"/>
      <c r="T965" s="86"/>
      <c r="U965" s="86"/>
      <c r="V965" s="48"/>
      <c r="W965" s="48"/>
      <c r="X965" s="48"/>
      <c r="Y965" s="48"/>
      <c r="Z965" s="47"/>
      <c r="AA965" s="69">
        <v>965</v>
      </c>
      <c r="AB965" s="69"/>
      <c r="AC965" s="70"/>
      <c r="AD965" s="76" t="s">
        <v>22755</v>
      </c>
      <c r="AE965" s="81" t="s">
        <v>21706</v>
      </c>
      <c r="AF965" s="76">
        <v>1</v>
      </c>
      <c r="AG965" s="76">
        <v>8</v>
      </c>
      <c r="AH965" s="76">
        <v>24</v>
      </c>
      <c r="AI965" s="76">
        <v>0</v>
      </c>
      <c r="AJ965" s="76">
        <v>0</v>
      </c>
      <c r="AK965" s="76">
        <v>4</v>
      </c>
      <c r="AL965" s="76" t="b">
        <v>0</v>
      </c>
      <c r="AM965" s="78">
        <v>45105.79960648148</v>
      </c>
      <c r="AN965" s="76"/>
      <c r="AO965" s="76" t="s">
        <v>24170</v>
      </c>
      <c r="AP965" s="83" t="str">
        <f>HYPERLINK("https://t.co/QbnbyUOd5h")</f>
        <v>https://t.co/QbnbyUOd5h</v>
      </c>
      <c r="AQ965" s="83" t="str">
        <f>HYPERLINK("https://www.magazinevoce.com.br/magazinemiguelitosbazar/")</f>
        <v>https://www.magazinevoce.com.br/magazinemiguelitosbazar/</v>
      </c>
      <c r="AR965" s="76" t="s">
        <v>24780</v>
      </c>
      <c r="AS965" s="76"/>
      <c r="AT965" s="76"/>
      <c r="AU965" s="76"/>
      <c r="AV965" s="76"/>
      <c r="AW965" s="83" t="str">
        <f>HYPERLINK("https://t.co/QbnbyUOd5h")</f>
        <v>https://t.co/QbnbyUOd5h</v>
      </c>
      <c r="AX965" s="76" t="b">
        <v>0</v>
      </c>
      <c r="AY965" s="76"/>
      <c r="AZ965" s="76"/>
      <c r="BA965" s="76" t="b">
        <v>0</v>
      </c>
      <c r="BB965" s="76" t="b">
        <v>1</v>
      </c>
      <c r="BC965" s="76" t="b">
        <v>1</v>
      </c>
      <c r="BD965" s="76" t="b">
        <v>0</v>
      </c>
      <c r="BE965" s="76" t="b">
        <v>0</v>
      </c>
      <c r="BF965" s="76" t="b">
        <v>0</v>
      </c>
      <c r="BG965" s="76" t="b">
        <v>0</v>
      </c>
      <c r="BH965" s="83" t="str">
        <f>HYPERLINK("https://pbs.twimg.com/profile_banners/1674132815842103300/1688045511")</f>
        <v>https://pbs.twimg.com/profile_banners/1674132815842103300/1688045511</v>
      </c>
      <c r="BI965" s="76"/>
      <c r="BJ965" s="76" t="s">
        <v>24935</v>
      </c>
      <c r="BK965" s="76" t="b">
        <v>0</v>
      </c>
      <c r="BL965" s="76"/>
      <c r="BM965" s="76" t="s">
        <v>66</v>
      </c>
      <c r="BN965" s="76" t="s">
        <v>24937</v>
      </c>
      <c r="BO965" s="83" t="str">
        <f>HYPERLINK("https://twitter.com/tamylima89")</f>
        <v>https://twitter.com/tamylima89</v>
      </c>
      <c r="BP965" s="2"/>
    </row>
    <row r="966" spans="1:68" x14ac:dyDescent="0.25">
      <c r="A966" s="62" t="s">
        <v>1149</v>
      </c>
      <c r="B966" s="63"/>
      <c r="C966" s="63"/>
      <c r="D966" s="64"/>
      <c r="E966" s="66"/>
      <c r="F966" s="102" t="str">
        <f>HYPERLINK("https://pbs.twimg.com/profile_images/1621863840999768064/oJwRZQj1_normal.jpg")</f>
        <v>https://pbs.twimg.com/profile_images/1621863840999768064/oJwRZQj1_normal.jpg</v>
      </c>
      <c r="G966" s="63"/>
      <c r="H966" s="67"/>
      <c r="I966" s="68"/>
      <c r="J966" s="68"/>
      <c r="K966" s="67" t="s">
        <v>25900</v>
      </c>
      <c r="L966" s="71"/>
      <c r="M966" s="72"/>
      <c r="N966" s="72"/>
      <c r="O966" s="73"/>
      <c r="P966" s="74"/>
      <c r="Q966" s="74"/>
      <c r="R966" s="86"/>
      <c r="S966" s="86"/>
      <c r="T966" s="86"/>
      <c r="U966" s="86"/>
      <c r="V966" s="48"/>
      <c r="W966" s="48"/>
      <c r="X966" s="48"/>
      <c r="Y966" s="48"/>
      <c r="Z966" s="47"/>
      <c r="AA966" s="69">
        <v>966</v>
      </c>
      <c r="AB966" s="69"/>
      <c r="AC966" s="70"/>
      <c r="AD966" s="76" t="s">
        <v>22756</v>
      </c>
      <c r="AE966" s="81" t="s">
        <v>23052</v>
      </c>
      <c r="AF966" s="76">
        <v>1048</v>
      </c>
      <c r="AG966" s="76">
        <v>1661</v>
      </c>
      <c r="AH966" s="76">
        <v>55255</v>
      </c>
      <c r="AI966" s="76">
        <v>15</v>
      </c>
      <c r="AJ966" s="76">
        <v>16512</v>
      </c>
      <c r="AK966" s="76">
        <v>238</v>
      </c>
      <c r="AL966" s="76" t="b">
        <v>0</v>
      </c>
      <c r="AM966" s="78">
        <v>40224.694178240738</v>
      </c>
      <c r="AN966" s="76" t="s">
        <v>14040</v>
      </c>
      <c r="AO966" s="76" t="s">
        <v>24171</v>
      </c>
      <c r="AP966" s="83" t="str">
        <f>HYPERLINK("https://t.co/Xico3XeCUT")</f>
        <v>https://t.co/Xico3XeCUT</v>
      </c>
      <c r="AQ966" s="83" t="str">
        <f>HYPERLINK("https://precadastro.eublack.com/rosanaalfaro")</f>
        <v>https://precadastro.eublack.com/rosanaalfaro</v>
      </c>
      <c r="AR966" s="76" t="s">
        <v>24781</v>
      </c>
      <c r="AS966" s="76"/>
      <c r="AT966" s="76"/>
      <c r="AU966" s="76"/>
      <c r="AV966" s="76"/>
      <c r="AW966" s="83" t="str">
        <f>HYPERLINK("https://t.co/Xico3XeCUT")</f>
        <v>https://t.co/Xico3XeCUT</v>
      </c>
      <c r="AX966" s="76" t="b">
        <v>0</v>
      </c>
      <c r="AY966" s="76"/>
      <c r="AZ966" s="76"/>
      <c r="BA966" s="76" t="b">
        <v>0</v>
      </c>
      <c r="BB966" s="76" t="b">
        <v>1</v>
      </c>
      <c r="BC966" s="76" t="b">
        <v>0</v>
      </c>
      <c r="BD966" s="76" t="b">
        <v>0</v>
      </c>
      <c r="BE966" s="76" t="b">
        <v>1</v>
      </c>
      <c r="BF966" s="76" t="b">
        <v>0</v>
      </c>
      <c r="BG966" s="76" t="b">
        <v>0</v>
      </c>
      <c r="BH966" s="83" t="str">
        <f>HYPERLINK("https://pbs.twimg.com/profile_banners/114500744/1676508148")</f>
        <v>https://pbs.twimg.com/profile_banners/114500744/1676508148</v>
      </c>
      <c r="BI966" s="76"/>
      <c r="BJ966" s="76" t="s">
        <v>24935</v>
      </c>
      <c r="BK966" s="76" t="b">
        <v>0</v>
      </c>
      <c r="BL966" s="76"/>
      <c r="BM966" s="76" t="s">
        <v>66</v>
      </c>
      <c r="BN966" s="76" t="s">
        <v>24937</v>
      </c>
      <c r="BO966" s="83" t="str">
        <f>HYPERLINK("https://twitter.com/rosana_alfaro")</f>
        <v>https://twitter.com/rosana_alfaro</v>
      </c>
      <c r="BP966" s="2"/>
    </row>
    <row r="967" spans="1:68" x14ac:dyDescent="0.25">
      <c r="A967" s="62" t="s">
        <v>1150</v>
      </c>
      <c r="B967" s="63"/>
      <c r="C967" s="63"/>
      <c r="D967" s="64"/>
      <c r="E967" s="66"/>
      <c r="F967" s="102" t="str">
        <f>HYPERLINK("https://pbs.twimg.com/profile_images/1594320169676988417/43Pe10GZ_normal.jpg")</f>
        <v>https://pbs.twimg.com/profile_images/1594320169676988417/43Pe10GZ_normal.jpg</v>
      </c>
      <c r="G967" s="63"/>
      <c r="H967" s="67"/>
      <c r="I967" s="68"/>
      <c r="J967" s="68"/>
      <c r="K967" s="67" t="s">
        <v>25901</v>
      </c>
      <c r="L967" s="71"/>
      <c r="M967" s="72"/>
      <c r="N967" s="72"/>
      <c r="O967" s="73"/>
      <c r="P967" s="74"/>
      <c r="Q967" s="74"/>
      <c r="R967" s="86"/>
      <c r="S967" s="86"/>
      <c r="T967" s="86"/>
      <c r="U967" s="86"/>
      <c r="V967" s="48"/>
      <c r="W967" s="48"/>
      <c r="X967" s="48"/>
      <c r="Y967" s="48"/>
      <c r="Z967" s="47"/>
      <c r="AA967" s="69">
        <v>967</v>
      </c>
      <c r="AB967" s="69"/>
      <c r="AC967" s="70"/>
      <c r="AD967" s="76" t="s">
        <v>22757</v>
      </c>
      <c r="AE967" s="81" t="s">
        <v>23053</v>
      </c>
      <c r="AF967" s="76">
        <v>4095</v>
      </c>
      <c r="AG967" s="76">
        <v>4137</v>
      </c>
      <c r="AH967" s="76">
        <v>801</v>
      </c>
      <c r="AI967" s="76">
        <v>2</v>
      </c>
      <c r="AJ967" s="76">
        <v>2142</v>
      </c>
      <c r="AK967" s="76">
        <v>100</v>
      </c>
      <c r="AL967" s="76" t="b">
        <v>0</v>
      </c>
      <c r="AM967" s="78">
        <v>41116.616550925923</v>
      </c>
      <c r="AN967" s="76" t="s">
        <v>14033</v>
      </c>
      <c r="AO967" s="76" t="s">
        <v>24172</v>
      </c>
      <c r="AP967" s="83" t="str">
        <f>HYPERLINK("https://t.co/DqqTl5tT3f")</f>
        <v>https://t.co/DqqTl5tT3f</v>
      </c>
      <c r="AQ967" s="83" t="str">
        <f>HYPERLINK("https://scavuzzi.com.br/oconvite")</f>
        <v>https://scavuzzi.com.br/oconvite</v>
      </c>
      <c r="AR967" s="76" t="s">
        <v>24782</v>
      </c>
      <c r="AS967" s="76"/>
      <c r="AT967" s="76"/>
      <c r="AU967" s="76"/>
      <c r="AV967" s="76"/>
      <c r="AW967" s="83" t="str">
        <f>HYPERLINK("https://t.co/DqqTl5tT3f")</f>
        <v>https://t.co/DqqTl5tT3f</v>
      </c>
      <c r="AX967" s="76" t="b">
        <v>0</v>
      </c>
      <c r="AY967" s="76"/>
      <c r="AZ967" s="76"/>
      <c r="BA967" s="76" t="b">
        <v>1</v>
      </c>
      <c r="BB967" s="76" t="b">
        <v>0</v>
      </c>
      <c r="BC967" s="76" t="b">
        <v>0</v>
      </c>
      <c r="BD967" s="76" t="b">
        <v>0</v>
      </c>
      <c r="BE967" s="76" t="b">
        <v>0</v>
      </c>
      <c r="BF967" s="76" t="b">
        <v>0</v>
      </c>
      <c r="BG967" s="76" t="b">
        <v>0</v>
      </c>
      <c r="BH967" s="83" t="str">
        <f>HYPERLINK("https://pbs.twimg.com/profile_banners/718250155/1693868809")</f>
        <v>https://pbs.twimg.com/profile_banners/718250155/1693868809</v>
      </c>
      <c r="BI967" s="76"/>
      <c r="BJ967" s="76" t="s">
        <v>24935</v>
      </c>
      <c r="BK967" s="76" t="b">
        <v>0</v>
      </c>
      <c r="BL967" s="76"/>
      <c r="BM967" s="76" t="s">
        <v>66</v>
      </c>
      <c r="BN967" s="76" t="s">
        <v>24937</v>
      </c>
      <c r="BO967" s="83" t="str">
        <f>HYPERLINK("https://twitter.com/xscavuzzi")</f>
        <v>https://twitter.com/xscavuzzi</v>
      </c>
      <c r="BP967" s="2"/>
    </row>
    <row r="968" spans="1:68" x14ac:dyDescent="0.25">
      <c r="A968" s="62" t="s">
        <v>1151</v>
      </c>
      <c r="B968" s="63"/>
      <c r="C968" s="63"/>
      <c r="D968" s="64"/>
      <c r="E968" s="66"/>
      <c r="F968" s="102" t="str">
        <f>HYPERLINK("https://pbs.twimg.com/profile_images/1676588425661632514/Ta4bvLT8_normal.jpg")</f>
        <v>https://pbs.twimg.com/profile_images/1676588425661632514/Ta4bvLT8_normal.jpg</v>
      </c>
      <c r="G968" s="63"/>
      <c r="H968" s="67"/>
      <c r="I968" s="68"/>
      <c r="J968" s="68"/>
      <c r="K968" s="67" t="s">
        <v>25902</v>
      </c>
      <c r="L968" s="71"/>
      <c r="M968" s="72"/>
      <c r="N968" s="72"/>
      <c r="O968" s="73"/>
      <c r="P968" s="74"/>
      <c r="Q968" s="74"/>
      <c r="R968" s="86"/>
      <c r="S968" s="86"/>
      <c r="T968" s="86"/>
      <c r="U968" s="86"/>
      <c r="V968" s="48"/>
      <c r="W968" s="48"/>
      <c r="X968" s="48"/>
      <c r="Y968" s="48"/>
      <c r="Z968" s="47"/>
      <c r="AA968" s="69">
        <v>968</v>
      </c>
      <c r="AB968" s="69"/>
      <c r="AC968" s="70"/>
      <c r="AD968" s="76" t="s">
        <v>22758</v>
      </c>
      <c r="AE968" s="81" t="s">
        <v>21707</v>
      </c>
      <c r="AF968" s="76">
        <v>4</v>
      </c>
      <c r="AG968" s="76">
        <v>29</v>
      </c>
      <c r="AH968" s="76">
        <v>438</v>
      </c>
      <c r="AI968" s="76">
        <v>0</v>
      </c>
      <c r="AJ968" s="76">
        <v>41</v>
      </c>
      <c r="AK968" s="76">
        <v>343</v>
      </c>
      <c r="AL968" s="76" t="b">
        <v>0</v>
      </c>
      <c r="AM968" s="78">
        <v>44937.709791666668</v>
      </c>
      <c r="AN968" s="76"/>
      <c r="AO968" s="76" t="s">
        <v>24173</v>
      </c>
      <c r="AP968" s="83" t="str">
        <f>HYPERLINK("https://t.co/un53pAzyE3")</f>
        <v>https://t.co/un53pAzyE3</v>
      </c>
      <c r="AQ968" s="83" t="str">
        <f>HYPERLINK("https://www.guiajurosabusivos.com.br/")</f>
        <v>https://www.guiajurosabusivos.com.br/</v>
      </c>
      <c r="AR968" s="76" t="s">
        <v>24783</v>
      </c>
      <c r="AS968" s="76"/>
      <c r="AT968" s="76"/>
      <c r="AU968" s="76"/>
      <c r="AV968" s="76"/>
      <c r="AW968" s="83" t="str">
        <f>HYPERLINK("https://t.co/un53pAzyE3")</f>
        <v>https://t.co/un53pAzyE3</v>
      </c>
      <c r="AX968" s="76" t="b">
        <v>0</v>
      </c>
      <c r="AY968" s="76"/>
      <c r="AZ968" s="76"/>
      <c r="BA968" s="76" t="b">
        <v>0</v>
      </c>
      <c r="BB968" s="76" t="b">
        <v>1</v>
      </c>
      <c r="BC968" s="76" t="b">
        <v>1</v>
      </c>
      <c r="BD968" s="76" t="b">
        <v>0</v>
      </c>
      <c r="BE968" s="76" t="b">
        <v>0</v>
      </c>
      <c r="BF968" s="76" t="b">
        <v>0</v>
      </c>
      <c r="BG968" s="76" t="b">
        <v>0</v>
      </c>
      <c r="BH968" s="83" t="str">
        <f>HYPERLINK("https://pbs.twimg.com/profile_banners/1613219659888660493/1688564805")</f>
        <v>https://pbs.twimg.com/profile_banners/1613219659888660493/1688564805</v>
      </c>
      <c r="BI968" s="76"/>
      <c r="BJ968" s="76" t="s">
        <v>24935</v>
      </c>
      <c r="BK968" s="76" t="b">
        <v>0</v>
      </c>
      <c r="BL968" s="76"/>
      <c r="BM968" s="76" t="s">
        <v>66</v>
      </c>
      <c r="BN968" s="76" t="s">
        <v>24937</v>
      </c>
      <c r="BO968" s="83" t="str">
        <f>HYPERLINK("https://twitter.com/mentoriajurosa")</f>
        <v>https://twitter.com/mentoriajurosa</v>
      </c>
      <c r="BP968" s="2"/>
    </row>
    <row r="969" spans="1:68" x14ac:dyDescent="0.25">
      <c r="A969" s="62" t="s">
        <v>1152</v>
      </c>
      <c r="B969" s="63"/>
      <c r="C969" s="63"/>
      <c r="D969" s="64"/>
      <c r="E969" s="66"/>
      <c r="F969" s="102" t="str">
        <f>HYPERLINK("https://pbs.twimg.com/profile_images/1685833841376735233/sLFY7bm3_normal.jpg")</f>
        <v>https://pbs.twimg.com/profile_images/1685833841376735233/sLFY7bm3_normal.jpg</v>
      </c>
      <c r="G969" s="63"/>
      <c r="H969" s="67"/>
      <c r="I969" s="68"/>
      <c r="J969" s="68"/>
      <c r="K969" s="67" t="s">
        <v>25903</v>
      </c>
      <c r="L969" s="71"/>
      <c r="M969" s="72"/>
      <c r="N969" s="72"/>
      <c r="O969" s="73"/>
      <c r="P969" s="74"/>
      <c r="Q969" s="74"/>
      <c r="R969" s="86"/>
      <c r="S969" s="86"/>
      <c r="T969" s="86"/>
      <c r="U969" s="86"/>
      <c r="V969" s="48"/>
      <c r="W969" s="48"/>
      <c r="X969" s="48"/>
      <c r="Y969" s="48"/>
      <c r="Z969" s="47"/>
      <c r="AA969" s="69">
        <v>969</v>
      </c>
      <c r="AB969" s="69"/>
      <c r="AC969" s="70"/>
      <c r="AD969" s="76" t="s">
        <v>22759</v>
      </c>
      <c r="AE969" s="81" t="s">
        <v>21708</v>
      </c>
      <c r="AF969" s="76">
        <v>81</v>
      </c>
      <c r="AG969" s="76">
        <v>264</v>
      </c>
      <c r="AH969" s="76">
        <v>1996</v>
      </c>
      <c r="AI969" s="76">
        <v>0</v>
      </c>
      <c r="AJ969" s="76">
        <v>3580</v>
      </c>
      <c r="AK969" s="76">
        <v>10</v>
      </c>
      <c r="AL969" s="76" t="b">
        <v>0</v>
      </c>
      <c r="AM969" s="78">
        <v>44665.064652777779</v>
      </c>
      <c r="AN969" s="76"/>
      <c r="AO969" s="76" t="s">
        <v>24174</v>
      </c>
      <c r="AP969" s="83" t="str">
        <f>HYPERLINK("https://t.co/u5mJeSlRbY")</f>
        <v>https://t.co/u5mJeSlRbY</v>
      </c>
      <c r="AQ969" s="83" t="str">
        <f>HYPERLINK("https://instagram.com/iniccolas")</f>
        <v>https://instagram.com/iniccolas</v>
      </c>
      <c r="AR969" s="76" t="s">
        <v>24784</v>
      </c>
      <c r="AS969" s="76"/>
      <c r="AT969" s="76"/>
      <c r="AU969" s="76"/>
      <c r="AV969" s="76">
        <v>1.6673167052556401E+18</v>
      </c>
      <c r="AW969" s="83" t="str">
        <f>HYPERLINK("https://t.co/u5mJeSlRbY")</f>
        <v>https://t.co/u5mJeSlRbY</v>
      </c>
      <c r="AX969" s="76" t="b">
        <v>0</v>
      </c>
      <c r="AY969" s="76"/>
      <c r="AZ969" s="76"/>
      <c r="BA969" s="76" t="b">
        <v>1</v>
      </c>
      <c r="BB969" s="76" t="b">
        <v>0</v>
      </c>
      <c r="BC969" s="76" t="b">
        <v>1</v>
      </c>
      <c r="BD969" s="76" t="b">
        <v>0</v>
      </c>
      <c r="BE969" s="76" t="b">
        <v>0</v>
      </c>
      <c r="BF969" s="76" t="b">
        <v>0</v>
      </c>
      <c r="BG969" s="76" t="b">
        <v>0</v>
      </c>
      <c r="BH969" s="83" t="str">
        <f>HYPERLINK("https://pbs.twimg.com/profile_banners/1514416355864363016/1695130911")</f>
        <v>https://pbs.twimg.com/profile_banners/1514416355864363016/1695130911</v>
      </c>
      <c r="BI969" s="76"/>
      <c r="BJ969" s="76" t="s">
        <v>24935</v>
      </c>
      <c r="BK969" s="76" t="b">
        <v>0</v>
      </c>
      <c r="BL969" s="76"/>
      <c r="BM969" s="76" t="s">
        <v>66</v>
      </c>
      <c r="BN969" s="76" t="s">
        <v>24937</v>
      </c>
      <c r="BO969" s="83" t="str">
        <f>HYPERLINK("https://twitter.com/iniccolaz")</f>
        <v>https://twitter.com/iniccolaz</v>
      </c>
      <c r="BP969" s="2"/>
    </row>
    <row r="970" spans="1:68" x14ac:dyDescent="0.25">
      <c r="A970" s="62" t="s">
        <v>1153</v>
      </c>
      <c r="B970" s="63"/>
      <c r="C970" s="63"/>
      <c r="D970" s="64"/>
      <c r="E970" s="66"/>
      <c r="F970" s="102" t="str">
        <f>HYPERLINK("https://pbs.twimg.com/profile_images/1593216558242856961/i42s2atu_normal.jpg")</f>
        <v>https://pbs.twimg.com/profile_images/1593216558242856961/i42s2atu_normal.jpg</v>
      </c>
      <c r="G970" s="63"/>
      <c r="H970" s="67"/>
      <c r="I970" s="68"/>
      <c r="J970" s="68"/>
      <c r="K970" s="67" t="s">
        <v>25904</v>
      </c>
      <c r="L970" s="71"/>
      <c r="M970" s="72"/>
      <c r="N970" s="72"/>
      <c r="O970" s="73"/>
      <c r="P970" s="74"/>
      <c r="Q970" s="74"/>
      <c r="R970" s="86"/>
      <c r="S970" s="86"/>
      <c r="T970" s="86"/>
      <c r="U970" s="86"/>
      <c r="V970" s="48"/>
      <c r="W970" s="48"/>
      <c r="X970" s="48"/>
      <c r="Y970" s="48"/>
      <c r="Z970" s="47"/>
      <c r="AA970" s="69">
        <v>970</v>
      </c>
      <c r="AB970" s="69"/>
      <c r="AC970" s="70"/>
      <c r="AD970" s="76" t="s">
        <v>22760</v>
      </c>
      <c r="AE970" s="81" t="s">
        <v>21709</v>
      </c>
      <c r="AF970" s="76">
        <v>31</v>
      </c>
      <c r="AG970" s="76">
        <v>61</v>
      </c>
      <c r="AH970" s="76">
        <v>351</v>
      </c>
      <c r="AI970" s="76">
        <v>0</v>
      </c>
      <c r="AJ970" s="76">
        <v>27</v>
      </c>
      <c r="AK970" s="76">
        <v>310</v>
      </c>
      <c r="AL970" s="76" t="b">
        <v>0</v>
      </c>
      <c r="AM970" s="78">
        <v>43159.683067129627</v>
      </c>
      <c r="AN970" s="76" t="s">
        <v>23325</v>
      </c>
      <c r="AO970" s="76" t="s">
        <v>24175</v>
      </c>
      <c r="AP970" s="76"/>
      <c r="AQ970" s="76"/>
      <c r="AR970" s="76"/>
      <c r="AS970" s="76"/>
      <c r="AT970" s="76"/>
      <c r="AU970" s="76"/>
      <c r="AV970" s="76"/>
      <c r="AW970" s="76"/>
      <c r="AX970" s="76" t="b">
        <v>0</v>
      </c>
      <c r="AY970" s="76"/>
      <c r="AZ970" s="76"/>
      <c r="BA970" s="76" t="b">
        <v>1</v>
      </c>
      <c r="BB970" s="76" t="b">
        <v>1</v>
      </c>
      <c r="BC970" s="76" t="b">
        <v>0</v>
      </c>
      <c r="BD970" s="76" t="b">
        <v>0</v>
      </c>
      <c r="BE970" s="76" t="b">
        <v>0</v>
      </c>
      <c r="BF970" s="76" t="b">
        <v>0</v>
      </c>
      <c r="BG970" s="76" t="b">
        <v>0</v>
      </c>
      <c r="BH970" s="83" t="str">
        <f>HYPERLINK("https://pbs.twimg.com/profile_banners/968884402687180802/1519845573")</f>
        <v>https://pbs.twimg.com/profile_banners/968884402687180802/1519845573</v>
      </c>
      <c r="BI970" s="76"/>
      <c r="BJ970" s="76" t="s">
        <v>24935</v>
      </c>
      <c r="BK970" s="76" t="b">
        <v>0</v>
      </c>
      <c r="BL970" s="76"/>
      <c r="BM970" s="76" t="s">
        <v>66</v>
      </c>
      <c r="BN970" s="76" t="s">
        <v>24937</v>
      </c>
      <c r="BO970" s="83" t="str">
        <f>HYPERLINK("https://twitter.com/portalimoveisij")</f>
        <v>https://twitter.com/portalimoveisij</v>
      </c>
      <c r="BP970" s="2"/>
    </row>
    <row r="971" spans="1:68" x14ac:dyDescent="0.25">
      <c r="A971" s="62" t="s">
        <v>1154</v>
      </c>
      <c r="B971" s="63"/>
      <c r="C971" s="63"/>
      <c r="D971" s="64"/>
      <c r="E971" s="66"/>
      <c r="F971" s="102" t="str">
        <f>HYPERLINK("https://pbs.twimg.com/profile_images/1684026334165581827/W4teApN8_normal.jpg")</f>
        <v>https://pbs.twimg.com/profile_images/1684026334165581827/W4teApN8_normal.jpg</v>
      </c>
      <c r="G971" s="63"/>
      <c r="H971" s="67"/>
      <c r="I971" s="68"/>
      <c r="J971" s="68"/>
      <c r="K971" s="67" t="s">
        <v>25905</v>
      </c>
      <c r="L971" s="71"/>
      <c r="M971" s="72"/>
      <c r="N971" s="72"/>
      <c r="O971" s="73"/>
      <c r="P971" s="74"/>
      <c r="Q971" s="74"/>
      <c r="R971" s="86"/>
      <c r="S971" s="86"/>
      <c r="T971" s="86"/>
      <c r="U971" s="86"/>
      <c r="V971" s="48"/>
      <c r="W971" s="48"/>
      <c r="X971" s="48"/>
      <c r="Y971" s="48"/>
      <c r="Z971" s="47"/>
      <c r="AA971" s="69">
        <v>971</v>
      </c>
      <c r="AB971" s="69"/>
      <c r="AC971" s="70"/>
      <c r="AD971" s="76" t="s">
        <v>22761</v>
      </c>
      <c r="AE971" s="81" t="s">
        <v>21710</v>
      </c>
      <c r="AF971" s="76">
        <v>1</v>
      </c>
      <c r="AG971" s="76">
        <v>1</v>
      </c>
      <c r="AH971" s="76">
        <v>28</v>
      </c>
      <c r="AI971" s="76">
        <v>0</v>
      </c>
      <c r="AJ971" s="76">
        <v>4</v>
      </c>
      <c r="AK971" s="76">
        <v>2</v>
      </c>
      <c r="AL971" s="76" t="b">
        <v>0</v>
      </c>
      <c r="AM971" s="78">
        <v>45133.093101851853</v>
      </c>
      <c r="AN971" s="76"/>
      <c r="AO971" s="76"/>
      <c r="AP971" s="76"/>
      <c r="AQ971" s="76"/>
      <c r="AR971" s="76"/>
      <c r="AS971" s="76"/>
      <c r="AT971" s="76"/>
      <c r="AU971" s="76"/>
      <c r="AV971" s="76"/>
      <c r="AW971" s="76"/>
      <c r="AX971" s="76" t="b">
        <v>0</v>
      </c>
      <c r="AY971" s="76"/>
      <c r="AZ971" s="76"/>
      <c r="BA971" s="76" t="b">
        <v>0</v>
      </c>
      <c r="BB971" s="76" t="b">
        <v>1</v>
      </c>
      <c r="BC971" s="76" t="b">
        <v>1</v>
      </c>
      <c r="BD971" s="76" t="b">
        <v>0</v>
      </c>
      <c r="BE971" s="76" t="b">
        <v>0</v>
      </c>
      <c r="BF971" s="76" t="b">
        <v>0</v>
      </c>
      <c r="BG971" s="76" t="b">
        <v>0</v>
      </c>
      <c r="BH971" s="76"/>
      <c r="BI971" s="76"/>
      <c r="BJ971" s="76" t="s">
        <v>24935</v>
      </c>
      <c r="BK971" s="76" t="b">
        <v>0</v>
      </c>
      <c r="BL971" s="76"/>
      <c r="BM971" s="76" t="s">
        <v>66</v>
      </c>
      <c r="BN971" s="76" t="s">
        <v>24937</v>
      </c>
      <c r="BO971" s="83" t="str">
        <f>HYPERLINK("https://twitter.com/livrodigital1")</f>
        <v>https://twitter.com/livrodigital1</v>
      </c>
      <c r="BP971" s="2"/>
    </row>
    <row r="972" spans="1:68" x14ac:dyDescent="0.25">
      <c r="A972" s="62" t="s">
        <v>1155</v>
      </c>
      <c r="B972" s="63"/>
      <c r="C972" s="63"/>
      <c r="D972" s="64"/>
      <c r="E972" s="66"/>
      <c r="F972" s="102" t="str">
        <f>HYPERLINK("https://pbs.twimg.com/profile_images/1626670608535674891/_7cr3y2l_normal.jpg")</f>
        <v>https://pbs.twimg.com/profile_images/1626670608535674891/_7cr3y2l_normal.jpg</v>
      </c>
      <c r="G972" s="63"/>
      <c r="H972" s="67"/>
      <c r="I972" s="68"/>
      <c r="J972" s="68"/>
      <c r="K972" s="67" t="s">
        <v>25906</v>
      </c>
      <c r="L972" s="71"/>
      <c r="M972" s="72"/>
      <c r="N972" s="72"/>
      <c r="O972" s="73"/>
      <c r="P972" s="74"/>
      <c r="Q972" s="74"/>
      <c r="R972" s="86"/>
      <c r="S972" s="86"/>
      <c r="T972" s="86"/>
      <c r="U972" s="86"/>
      <c r="V972" s="48"/>
      <c r="W972" s="48"/>
      <c r="X972" s="48"/>
      <c r="Y972" s="48"/>
      <c r="Z972" s="47"/>
      <c r="AA972" s="69">
        <v>972</v>
      </c>
      <c r="AB972" s="69"/>
      <c r="AC972" s="70"/>
      <c r="AD972" s="76" t="s">
        <v>22762</v>
      </c>
      <c r="AE972" s="81" t="s">
        <v>21711</v>
      </c>
      <c r="AF972" s="76">
        <v>0</v>
      </c>
      <c r="AG972" s="76">
        <v>12</v>
      </c>
      <c r="AH972" s="76">
        <v>25</v>
      </c>
      <c r="AI972" s="76">
        <v>0</v>
      </c>
      <c r="AJ972" s="76">
        <v>2</v>
      </c>
      <c r="AK972" s="76">
        <v>22</v>
      </c>
      <c r="AL972" s="76" t="b">
        <v>0</v>
      </c>
      <c r="AM972" s="78">
        <v>44974.826597222222</v>
      </c>
      <c r="AN972" s="76" t="s">
        <v>14116</v>
      </c>
      <c r="AO972" s="76" t="s">
        <v>24176</v>
      </c>
      <c r="AP972" s="83" t="str">
        <f>HYPERLINK("https://t.co/9pBq41Oz1Y")</f>
        <v>https://t.co/9pBq41Oz1Y</v>
      </c>
      <c r="AQ972" s="83" t="str">
        <f>HYPERLINK("https://cursos.escoladevencedores.net")</f>
        <v>https://cursos.escoladevencedores.net</v>
      </c>
      <c r="AR972" s="76" t="s">
        <v>24785</v>
      </c>
      <c r="AS972" s="76"/>
      <c r="AT972" s="76"/>
      <c r="AU972" s="76"/>
      <c r="AV972" s="76">
        <v>1.6316564787749E+18</v>
      </c>
      <c r="AW972" s="83" t="str">
        <f>HYPERLINK("https://t.co/9pBq41Oz1Y")</f>
        <v>https://t.co/9pBq41Oz1Y</v>
      </c>
      <c r="AX972" s="76" t="b">
        <v>0</v>
      </c>
      <c r="AY972" s="76"/>
      <c r="AZ972" s="76"/>
      <c r="BA972" s="76" t="b">
        <v>0</v>
      </c>
      <c r="BB972" s="76" t="b">
        <v>1</v>
      </c>
      <c r="BC972" s="76" t="b">
        <v>1</v>
      </c>
      <c r="BD972" s="76" t="b">
        <v>0</v>
      </c>
      <c r="BE972" s="76" t="b">
        <v>0</v>
      </c>
      <c r="BF972" s="76" t="b">
        <v>0</v>
      </c>
      <c r="BG972" s="76" t="b">
        <v>0</v>
      </c>
      <c r="BH972" s="83" t="str">
        <f>HYPERLINK("https://pbs.twimg.com/profile_banners/1626670354193080336/1676663823")</f>
        <v>https://pbs.twimg.com/profile_banners/1626670354193080336/1676663823</v>
      </c>
      <c r="BI972" s="76"/>
      <c r="BJ972" s="76" t="s">
        <v>24935</v>
      </c>
      <c r="BK972" s="76" t="b">
        <v>0</v>
      </c>
      <c r="BL972" s="76"/>
      <c r="BM972" s="76" t="s">
        <v>66</v>
      </c>
      <c r="BN972" s="76" t="s">
        <v>24937</v>
      </c>
      <c r="BO972" s="83" t="str">
        <f>HYPERLINK("https://twitter.com/marcos_s_goes")</f>
        <v>https://twitter.com/marcos_s_goes</v>
      </c>
      <c r="BP972" s="2"/>
    </row>
    <row r="973" spans="1:68" x14ac:dyDescent="0.25">
      <c r="A973" s="62" t="s">
        <v>1156</v>
      </c>
      <c r="B973" s="63"/>
      <c r="C973" s="63"/>
      <c r="D973" s="64"/>
      <c r="E973" s="66"/>
      <c r="F973" s="102" t="str">
        <f>HYPERLINK("https://pbs.twimg.com/profile_images/1610705889765343243/7C4SraH0_normal.jpg")</f>
        <v>https://pbs.twimg.com/profile_images/1610705889765343243/7C4SraH0_normal.jpg</v>
      </c>
      <c r="G973" s="63"/>
      <c r="H973" s="67"/>
      <c r="I973" s="68"/>
      <c r="J973" s="68"/>
      <c r="K973" s="67" t="s">
        <v>25907</v>
      </c>
      <c r="L973" s="71"/>
      <c r="M973" s="72"/>
      <c r="N973" s="72"/>
      <c r="O973" s="73"/>
      <c r="P973" s="74"/>
      <c r="Q973" s="74"/>
      <c r="R973" s="86"/>
      <c r="S973" s="86"/>
      <c r="T973" s="86"/>
      <c r="U973" s="86"/>
      <c r="V973" s="48"/>
      <c r="W973" s="48"/>
      <c r="X973" s="48"/>
      <c r="Y973" s="48"/>
      <c r="Z973" s="47"/>
      <c r="AA973" s="69">
        <v>973</v>
      </c>
      <c r="AB973" s="69"/>
      <c r="AC973" s="70"/>
      <c r="AD973" s="76" t="s">
        <v>22763</v>
      </c>
      <c r="AE973" s="81" t="s">
        <v>21712</v>
      </c>
      <c r="AF973" s="76">
        <v>9</v>
      </c>
      <c r="AG973" s="76">
        <v>72</v>
      </c>
      <c r="AH973" s="76">
        <v>80</v>
      </c>
      <c r="AI973" s="76">
        <v>1</v>
      </c>
      <c r="AJ973" s="76">
        <v>0</v>
      </c>
      <c r="AK973" s="76">
        <v>60</v>
      </c>
      <c r="AL973" s="76" t="b">
        <v>0</v>
      </c>
      <c r="AM973" s="78">
        <v>44930.640208333331</v>
      </c>
      <c r="AN973" s="76"/>
      <c r="AO973" s="76" t="s">
        <v>24177</v>
      </c>
      <c r="AP973" s="76"/>
      <c r="AQ973" s="76"/>
      <c r="AR973" s="76"/>
      <c r="AS973" s="76"/>
      <c r="AT973" s="76"/>
      <c r="AU973" s="76"/>
      <c r="AV973" s="76"/>
      <c r="AW973" s="76"/>
      <c r="AX973" s="76" t="b">
        <v>0</v>
      </c>
      <c r="AY973" s="76"/>
      <c r="AZ973" s="76"/>
      <c r="BA973" s="76" t="b">
        <v>0</v>
      </c>
      <c r="BB973" s="76" t="b">
        <v>1</v>
      </c>
      <c r="BC973" s="76" t="b">
        <v>1</v>
      </c>
      <c r="BD973" s="76" t="b">
        <v>0</v>
      </c>
      <c r="BE973" s="76" t="b">
        <v>0</v>
      </c>
      <c r="BF973" s="76" t="b">
        <v>0</v>
      </c>
      <c r="BG973" s="76" t="b">
        <v>0</v>
      </c>
      <c r="BH973" s="76"/>
      <c r="BI973" s="76"/>
      <c r="BJ973" s="76" t="s">
        <v>24935</v>
      </c>
      <c r="BK973" s="76" t="b">
        <v>0</v>
      </c>
      <c r="BL973" s="76"/>
      <c r="BM973" s="76" t="s">
        <v>66</v>
      </c>
      <c r="BN973" s="76" t="s">
        <v>24937</v>
      </c>
      <c r="BO973" s="83" t="str">
        <f>HYPERLINK("https://twitter.com/cleitonfinancas")</f>
        <v>https://twitter.com/cleitonfinancas</v>
      </c>
      <c r="BP973" s="2"/>
    </row>
    <row r="974" spans="1:68" x14ac:dyDescent="0.25">
      <c r="A974" s="62" t="s">
        <v>1157</v>
      </c>
      <c r="B974" s="63"/>
      <c r="C974" s="63"/>
      <c r="D974" s="64"/>
      <c r="E974" s="66"/>
      <c r="F974" s="102" t="str">
        <f>HYPERLINK("https://pbs.twimg.com/profile_images/1664405189422448640/083tAnj4_normal.jpg")</f>
        <v>https://pbs.twimg.com/profile_images/1664405189422448640/083tAnj4_normal.jpg</v>
      </c>
      <c r="G974" s="63"/>
      <c r="H974" s="67"/>
      <c r="I974" s="68"/>
      <c r="J974" s="68"/>
      <c r="K974" s="67" t="s">
        <v>25908</v>
      </c>
      <c r="L974" s="71"/>
      <c r="M974" s="72"/>
      <c r="N974" s="72"/>
      <c r="O974" s="73"/>
      <c r="P974" s="74"/>
      <c r="Q974" s="74"/>
      <c r="R974" s="86"/>
      <c r="S974" s="86"/>
      <c r="T974" s="86"/>
      <c r="U974" s="86"/>
      <c r="V974" s="48"/>
      <c r="W974" s="48"/>
      <c r="X974" s="48"/>
      <c r="Y974" s="48"/>
      <c r="Z974" s="47"/>
      <c r="AA974" s="69">
        <v>974</v>
      </c>
      <c r="AB974" s="69"/>
      <c r="AC974" s="70"/>
      <c r="AD974" s="76" t="s">
        <v>22764</v>
      </c>
      <c r="AE974" s="81" t="s">
        <v>23054</v>
      </c>
      <c r="AF974" s="76">
        <v>48</v>
      </c>
      <c r="AG974" s="76">
        <v>185</v>
      </c>
      <c r="AH974" s="76">
        <v>568</v>
      </c>
      <c r="AI974" s="76">
        <v>0</v>
      </c>
      <c r="AJ974" s="76">
        <v>40</v>
      </c>
      <c r="AK974" s="76">
        <v>62</v>
      </c>
      <c r="AL974" s="76" t="b">
        <v>0</v>
      </c>
      <c r="AM974" s="78">
        <v>39990.833935185183</v>
      </c>
      <c r="AN974" s="76"/>
      <c r="AO974" s="76"/>
      <c r="AP974" s="76"/>
      <c r="AQ974" s="76"/>
      <c r="AR974" s="76"/>
      <c r="AS974" s="76"/>
      <c r="AT974" s="76"/>
      <c r="AU974" s="76"/>
      <c r="AV974" s="76"/>
      <c r="AW974" s="76"/>
      <c r="AX974" s="76" t="b">
        <v>0</v>
      </c>
      <c r="AY974" s="76"/>
      <c r="AZ974" s="76"/>
      <c r="BA974" s="76" t="b">
        <v>0</v>
      </c>
      <c r="BB974" s="76" t="b">
        <v>0</v>
      </c>
      <c r="BC974" s="76" t="b">
        <v>0</v>
      </c>
      <c r="BD974" s="76" t="b">
        <v>0</v>
      </c>
      <c r="BE974" s="76" t="b">
        <v>1</v>
      </c>
      <c r="BF974" s="76" t="b">
        <v>0</v>
      </c>
      <c r="BG974" s="76" t="b">
        <v>0</v>
      </c>
      <c r="BH974" s="76"/>
      <c r="BI974" s="76"/>
      <c r="BJ974" s="76" t="s">
        <v>24935</v>
      </c>
      <c r="BK974" s="76" t="b">
        <v>0</v>
      </c>
      <c r="BL974" s="76"/>
      <c r="BM974" s="76" t="s">
        <v>66</v>
      </c>
      <c r="BN974" s="76" t="s">
        <v>24937</v>
      </c>
      <c r="BO974" s="83" t="str">
        <f>HYPERLINK("https://twitter.com/wellington271")</f>
        <v>https://twitter.com/wellington271</v>
      </c>
      <c r="BP974" s="2"/>
    </row>
    <row r="975" spans="1:68" x14ac:dyDescent="0.25">
      <c r="A975" s="62" t="s">
        <v>1158</v>
      </c>
      <c r="B975" s="63"/>
      <c r="C975" s="63"/>
      <c r="D975" s="64"/>
      <c r="E975" s="66"/>
      <c r="F975" s="102" t="str">
        <f>HYPERLINK("https://pbs.twimg.com/profile_images/1648325989213122560/mLGKu1J4_normal.jpg")</f>
        <v>https://pbs.twimg.com/profile_images/1648325989213122560/mLGKu1J4_normal.jpg</v>
      </c>
      <c r="G975" s="63"/>
      <c r="H975" s="67"/>
      <c r="I975" s="68"/>
      <c r="J975" s="68"/>
      <c r="K975" s="67" t="s">
        <v>25909</v>
      </c>
      <c r="L975" s="71"/>
      <c r="M975" s="72"/>
      <c r="N975" s="72"/>
      <c r="O975" s="73"/>
      <c r="P975" s="74"/>
      <c r="Q975" s="74"/>
      <c r="R975" s="86"/>
      <c r="S975" s="86"/>
      <c r="T975" s="86"/>
      <c r="U975" s="86"/>
      <c r="V975" s="48"/>
      <c r="W975" s="48"/>
      <c r="X975" s="48"/>
      <c r="Y975" s="48"/>
      <c r="Z975" s="47"/>
      <c r="AA975" s="69">
        <v>975</v>
      </c>
      <c r="AB975" s="69"/>
      <c r="AC975" s="70"/>
      <c r="AD975" s="76" t="s">
        <v>22765</v>
      </c>
      <c r="AE975" s="81" t="s">
        <v>21713</v>
      </c>
      <c r="AF975" s="76">
        <v>0</v>
      </c>
      <c r="AG975" s="76">
        <v>11</v>
      </c>
      <c r="AH975" s="76">
        <v>19</v>
      </c>
      <c r="AI975" s="76">
        <v>0</v>
      </c>
      <c r="AJ975" s="76">
        <v>0</v>
      </c>
      <c r="AK975" s="76">
        <v>19</v>
      </c>
      <c r="AL975" s="76" t="b">
        <v>0</v>
      </c>
      <c r="AM975" s="78">
        <v>45034.582870370374</v>
      </c>
      <c r="AN975" s="76"/>
      <c r="AO975" s="76" t="s">
        <v>24178</v>
      </c>
      <c r="AP975" s="76"/>
      <c r="AQ975" s="76"/>
      <c r="AR975" s="76"/>
      <c r="AS975" s="83" t="str">
        <f>HYPERLINK("https://t.co/9EkyK8r3yc")</f>
        <v>https://t.co/9EkyK8r3yc</v>
      </c>
      <c r="AT975" s="83" t="str">
        <f>HYPERLINK("https://www.ouubet.com/?code=KPRYF")</f>
        <v>https://www.ouubet.com/?code=KPRYF</v>
      </c>
      <c r="AU975" s="76" t="s">
        <v>24926</v>
      </c>
      <c r="AV975" s="76"/>
      <c r="AW975" s="76"/>
      <c r="AX975" s="76" t="b">
        <v>0</v>
      </c>
      <c r="AY975" s="76"/>
      <c r="AZ975" s="76"/>
      <c r="BA975" s="76" t="b">
        <v>0</v>
      </c>
      <c r="BB975" s="76" t="b">
        <v>1</v>
      </c>
      <c r="BC975" s="76" t="b">
        <v>1</v>
      </c>
      <c r="BD975" s="76" t="b">
        <v>0</v>
      </c>
      <c r="BE975" s="76" t="b">
        <v>0</v>
      </c>
      <c r="BF975" s="76" t="b">
        <v>0</v>
      </c>
      <c r="BG975" s="76" t="b">
        <v>0</v>
      </c>
      <c r="BH975" s="76"/>
      <c r="BI975" s="76"/>
      <c r="BJ975" s="76" t="s">
        <v>24935</v>
      </c>
      <c r="BK975" s="76" t="b">
        <v>0</v>
      </c>
      <c r="BL975" s="76"/>
      <c r="BM975" s="76" t="s">
        <v>66</v>
      </c>
      <c r="BN975" s="76" t="s">
        <v>24937</v>
      </c>
      <c r="BO975" s="83" t="str">
        <f>HYPERLINK("https://twitter.com/fortunewolf88")</f>
        <v>https://twitter.com/fortunewolf88</v>
      </c>
      <c r="BP975" s="2"/>
    </row>
    <row r="976" spans="1:68" x14ac:dyDescent="0.25">
      <c r="A976" s="62" t="s">
        <v>1159</v>
      </c>
      <c r="B976" s="63"/>
      <c r="C976" s="63"/>
      <c r="D976" s="64"/>
      <c r="E976" s="66"/>
      <c r="F976" s="102" t="str">
        <f>HYPERLINK("https://pbs.twimg.com/profile_images/1640481216871661568/Nzt61KFb_normal.png")</f>
        <v>https://pbs.twimg.com/profile_images/1640481216871661568/Nzt61KFb_normal.png</v>
      </c>
      <c r="G976" s="63"/>
      <c r="H976" s="67"/>
      <c r="I976" s="68"/>
      <c r="J976" s="68"/>
      <c r="K976" s="67" t="s">
        <v>25910</v>
      </c>
      <c r="L976" s="71"/>
      <c r="M976" s="72"/>
      <c r="N976" s="72"/>
      <c r="O976" s="73"/>
      <c r="P976" s="74"/>
      <c r="Q976" s="74"/>
      <c r="R976" s="86"/>
      <c r="S976" s="86"/>
      <c r="T976" s="86"/>
      <c r="U976" s="86"/>
      <c r="V976" s="48"/>
      <c r="W976" s="48"/>
      <c r="X976" s="48"/>
      <c r="Y976" s="48"/>
      <c r="Z976" s="47"/>
      <c r="AA976" s="69">
        <v>976</v>
      </c>
      <c r="AB976" s="69"/>
      <c r="AC976" s="70"/>
      <c r="AD976" s="76" t="s">
        <v>22766</v>
      </c>
      <c r="AE976" s="81" t="s">
        <v>21714</v>
      </c>
      <c r="AF976" s="76">
        <v>2</v>
      </c>
      <c r="AG976" s="76">
        <v>0</v>
      </c>
      <c r="AH976" s="76">
        <v>7</v>
      </c>
      <c r="AI976" s="76">
        <v>0</v>
      </c>
      <c r="AJ976" s="76">
        <v>0</v>
      </c>
      <c r="AK976" s="76">
        <v>6</v>
      </c>
      <c r="AL976" s="76" t="b">
        <v>0</v>
      </c>
      <c r="AM976" s="78">
        <v>45012.937210648146</v>
      </c>
      <c r="AN976" s="76"/>
      <c r="AO976" s="76" t="s">
        <v>24179</v>
      </c>
      <c r="AP976" s="83" t="str">
        <f>HYPERLINK("https://t.co/flDPCV3yvs")</f>
        <v>https://t.co/flDPCV3yvs</v>
      </c>
      <c r="AQ976" s="83" t="str">
        <f>HYPERLINK("https://linktr.ee/mesadinha.extra")</f>
        <v>https://linktr.ee/mesadinha.extra</v>
      </c>
      <c r="AR976" s="76" t="s">
        <v>24786</v>
      </c>
      <c r="AS976" s="76"/>
      <c r="AT976" s="76"/>
      <c r="AU976" s="76"/>
      <c r="AV976" s="76"/>
      <c r="AW976" s="83" t="str">
        <f>HYPERLINK("https://t.co/flDPCV3yvs")</f>
        <v>https://t.co/flDPCV3yvs</v>
      </c>
      <c r="AX976" s="76" t="b">
        <v>0</v>
      </c>
      <c r="AY976" s="76"/>
      <c r="AZ976" s="76"/>
      <c r="BA976" s="76" t="b">
        <v>0</v>
      </c>
      <c r="BB976" s="76" t="b">
        <v>1</v>
      </c>
      <c r="BC976" s="76" t="b">
        <v>1</v>
      </c>
      <c r="BD976" s="76" t="b">
        <v>0</v>
      </c>
      <c r="BE976" s="76" t="b">
        <v>0</v>
      </c>
      <c r="BF976" s="76" t="b">
        <v>0</v>
      </c>
      <c r="BG976" s="76" t="b">
        <v>0</v>
      </c>
      <c r="BH976" s="83" t="str">
        <f>HYPERLINK("https://pbs.twimg.com/profile_banners/1640481070784077826/1679956732")</f>
        <v>https://pbs.twimg.com/profile_banners/1640481070784077826/1679956732</v>
      </c>
      <c r="BI976" s="76"/>
      <c r="BJ976" s="76" t="s">
        <v>24935</v>
      </c>
      <c r="BK976" s="76" t="b">
        <v>0</v>
      </c>
      <c r="BL976" s="76"/>
      <c r="BM976" s="76" t="s">
        <v>66</v>
      </c>
      <c r="BN976" s="76" t="s">
        <v>24937</v>
      </c>
      <c r="BO976" s="83" t="str">
        <f>HYPERLINK("https://twitter.com/mesadinhaextra")</f>
        <v>https://twitter.com/mesadinhaextra</v>
      </c>
      <c r="BP976" s="2"/>
    </row>
    <row r="977" spans="1:68" x14ac:dyDescent="0.25">
      <c r="A977" s="62" t="s">
        <v>1160</v>
      </c>
      <c r="B977" s="63"/>
      <c r="C977" s="63"/>
      <c r="D977" s="64"/>
      <c r="E977" s="66"/>
      <c r="F977" s="102" t="str">
        <f>HYPERLINK("https://pbs.twimg.com/profile_images/1589957451809525760/-PSamV7K_normal.png")</f>
        <v>https://pbs.twimg.com/profile_images/1589957451809525760/-PSamV7K_normal.png</v>
      </c>
      <c r="G977" s="63"/>
      <c r="H977" s="67"/>
      <c r="I977" s="68"/>
      <c r="J977" s="68"/>
      <c r="K977" s="67" t="s">
        <v>25911</v>
      </c>
      <c r="L977" s="71"/>
      <c r="M977" s="72"/>
      <c r="N977" s="72"/>
      <c r="O977" s="73"/>
      <c r="P977" s="74"/>
      <c r="Q977" s="74"/>
      <c r="R977" s="86"/>
      <c r="S977" s="86"/>
      <c r="T977" s="86"/>
      <c r="U977" s="86"/>
      <c r="V977" s="48"/>
      <c r="W977" s="48"/>
      <c r="X977" s="48"/>
      <c r="Y977" s="48"/>
      <c r="Z977" s="47"/>
      <c r="AA977" s="69">
        <v>977</v>
      </c>
      <c r="AB977" s="69"/>
      <c r="AC977" s="70"/>
      <c r="AD977" s="76" t="s">
        <v>22767</v>
      </c>
      <c r="AE977" s="81" t="s">
        <v>21715</v>
      </c>
      <c r="AF977" s="76">
        <v>0</v>
      </c>
      <c r="AG977" s="76">
        <v>12</v>
      </c>
      <c r="AH977" s="76">
        <v>3</v>
      </c>
      <c r="AI977" s="76">
        <v>0</v>
      </c>
      <c r="AJ977" s="76">
        <v>0</v>
      </c>
      <c r="AK977" s="76">
        <v>2</v>
      </c>
      <c r="AL977" s="76" t="b">
        <v>0</v>
      </c>
      <c r="AM977" s="78">
        <v>44873.518171296295</v>
      </c>
      <c r="AN977" s="76"/>
      <c r="AO977" s="76"/>
      <c r="AP977" s="76"/>
      <c r="AQ977" s="76"/>
      <c r="AR977" s="76"/>
      <c r="AS977" s="76"/>
      <c r="AT977" s="76"/>
      <c r="AU977" s="76"/>
      <c r="AV977" s="76"/>
      <c r="AW977" s="76"/>
      <c r="AX977" s="76" t="b">
        <v>0</v>
      </c>
      <c r="AY977" s="76"/>
      <c r="AZ977" s="76"/>
      <c r="BA977" s="76" t="b">
        <v>0</v>
      </c>
      <c r="BB977" s="76" t="b">
        <v>1</v>
      </c>
      <c r="BC977" s="76" t="b">
        <v>1</v>
      </c>
      <c r="BD977" s="76" t="b">
        <v>0</v>
      </c>
      <c r="BE977" s="76" t="b">
        <v>0</v>
      </c>
      <c r="BF977" s="76" t="b">
        <v>0</v>
      </c>
      <c r="BG977" s="76" t="b">
        <v>0</v>
      </c>
      <c r="BH977" s="76"/>
      <c r="BI977" s="76"/>
      <c r="BJ977" s="76" t="s">
        <v>24935</v>
      </c>
      <c r="BK977" s="76" t="b">
        <v>0</v>
      </c>
      <c r="BL977" s="76"/>
      <c r="BM977" s="76" t="s">
        <v>66</v>
      </c>
      <c r="BN977" s="76" t="s">
        <v>24937</v>
      </c>
      <c r="BO977" s="83" t="str">
        <f>HYPERLINK("https://twitter.com/rivelyfuchs")</f>
        <v>https://twitter.com/rivelyfuchs</v>
      </c>
      <c r="BP977" s="2"/>
    </row>
    <row r="978" spans="1:68" x14ac:dyDescent="0.25">
      <c r="A978" s="62" t="s">
        <v>1161</v>
      </c>
      <c r="B978" s="63"/>
      <c r="C978" s="63"/>
      <c r="D978" s="64"/>
      <c r="E978" s="66"/>
      <c r="F978" s="102" t="str">
        <f>HYPERLINK("https://pbs.twimg.com/profile_images/1633087548229664770/V8AL_dJx_normal.jpg")</f>
        <v>https://pbs.twimg.com/profile_images/1633087548229664770/V8AL_dJx_normal.jpg</v>
      </c>
      <c r="G978" s="63"/>
      <c r="H978" s="67"/>
      <c r="I978" s="68"/>
      <c r="J978" s="68"/>
      <c r="K978" s="67" t="s">
        <v>25912</v>
      </c>
      <c r="L978" s="71"/>
      <c r="M978" s="72"/>
      <c r="N978" s="72"/>
      <c r="O978" s="73"/>
      <c r="P978" s="74"/>
      <c r="Q978" s="74"/>
      <c r="R978" s="86"/>
      <c r="S978" s="86"/>
      <c r="T978" s="86"/>
      <c r="U978" s="86"/>
      <c r="V978" s="48"/>
      <c r="W978" s="48"/>
      <c r="X978" s="48"/>
      <c r="Y978" s="48"/>
      <c r="Z978" s="47"/>
      <c r="AA978" s="69">
        <v>978</v>
      </c>
      <c r="AB978" s="69"/>
      <c r="AC978" s="70"/>
      <c r="AD978" s="76" t="s">
        <v>22768</v>
      </c>
      <c r="AE978" s="81" t="s">
        <v>21716</v>
      </c>
      <c r="AF978" s="76">
        <v>582</v>
      </c>
      <c r="AG978" s="76">
        <v>0</v>
      </c>
      <c r="AH978" s="76">
        <v>72</v>
      </c>
      <c r="AI978" s="76">
        <v>0</v>
      </c>
      <c r="AJ978" s="76">
        <v>13</v>
      </c>
      <c r="AK978" s="76">
        <v>49</v>
      </c>
      <c r="AL978" s="76" t="b">
        <v>0</v>
      </c>
      <c r="AM978" s="78">
        <v>44860.37809027778</v>
      </c>
      <c r="AN978" s="76"/>
      <c r="AO978" s="76" t="s">
        <v>24180</v>
      </c>
      <c r="AP978" s="83" t="str">
        <f>HYPERLINK("https://t.co/g8RftK0dij")</f>
        <v>https://t.co/g8RftK0dij</v>
      </c>
      <c r="AQ978" s="83" t="str">
        <f>HYPERLINK("http://kash777.com")</f>
        <v>http://kash777.com</v>
      </c>
      <c r="AR978" s="76" t="s">
        <v>24787</v>
      </c>
      <c r="AS978" s="83" t="str">
        <f>HYPERLINK("https://t.co/GhpGdoDTKb")</f>
        <v>https://t.co/GhpGdoDTKb</v>
      </c>
      <c r="AT978" s="83" t="str">
        <f>HYPERLINK("http://allmylinks.com/kash777offici")</f>
        <v>http://allmylinks.com/kash777offici</v>
      </c>
      <c r="AU978" s="76" t="s">
        <v>24927</v>
      </c>
      <c r="AV978" s="76"/>
      <c r="AW978" s="83" t="str">
        <f>HYPERLINK("https://t.co/g8RftK0dij")</f>
        <v>https://t.co/g8RftK0dij</v>
      </c>
      <c r="AX978" s="76" t="b">
        <v>0</v>
      </c>
      <c r="AY978" s="76"/>
      <c r="AZ978" s="76"/>
      <c r="BA978" s="76" t="b">
        <v>0</v>
      </c>
      <c r="BB978" s="76" t="b">
        <v>1</v>
      </c>
      <c r="BC978" s="76" t="b">
        <v>1</v>
      </c>
      <c r="BD978" s="76" t="b">
        <v>0</v>
      </c>
      <c r="BE978" s="76" t="b">
        <v>0</v>
      </c>
      <c r="BF978" s="76" t="b">
        <v>0</v>
      </c>
      <c r="BG978" s="76" t="b">
        <v>0</v>
      </c>
      <c r="BH978" s="83" t="str">
        <f>HYPERLINK("https://pbs.twimg.com/profile_banners/1585195570125148162/1676309358")</f>
        <v>https://pbs.twimg.com/profile_banners/1585195570125148162/1676309358</v>
      </c>
      <c r="BI978" s="76"/>
      <c r="BJ978" s="76" t="s">
        <v>24935</v>
      </c>
      <c r="BK978" s="76" t="b">
        <v>0</v>
      </c>
      <c r="BL978" s="76"/>
      <c r="BM978" s="76" t="s">
        <v>66</v>
      </c>
      <c r="BN978" s="76" t="s">
        <v>24937</v>
      </c>
      <c r="BO978" s="83" t="str">
        <f>HYPERLINK("https://twitter.com/kash777official")</f>
        <v>https://twitter.com/kash777official</v>
      </c>
      <c r="BP978" s="2"/>
    </row>
    <row r="979" spans="1:68" x14ac:dyDescent="0.25">
      <c r="A979" s="62" t="s">
        <v>1162</v>
      </c>
      <c r="B979" s="63"/>
      <c r="C979" s="63"/>
      <c r="D979" s="64"/>
      <c r="E979" s="66"/>
      <c r="F979" s="102" t="str">
        <f>HYPERLINK("https://pbs.twimg.com/profile_images/993479284856709121/ZQpy2w-j_normal.jpg")</f>
        <v>https://pbs.twimg.com/profile_images/993479284856709121/ZQpy2w-j_normal.jpg</v>
      </c>
      <c r="G979" s="63"/>
      <c r="H979" s="67"/>
      <c r="I979" s="68"/>
      <c r="J979" s="68"/>
      <c r="K979" s="67" t="s">
        <v>25913</v>
      </c>
      <c r="L979" s="71"/>
      <c r="M979" s="72"/>
      <c r="N979" s="72"/>
      <c r="O979" s="73"/>
      <c r="P979" s="74"/>
      <c r="Q979" s="74"/>
      <c r="R979" s="86"/>
      <c r="S979" s="86"/>
      <c r="T979" s="86"/>
      <c r="U979" s="86"/>
      <c r="V979" s="48"/>
      <c r="W979" s="48"/>
      <c r="X979" s="48"/>
      <c r="Y979" s="48"/>
      <c r="Z979" s="47"/>
      <c r="AA979" s="69">
        <v>979</v>
      </c>
      <c r="AB979" s="69"/>
      <c r="AC979" s="70"/>
      <c r="AD979" s="76" t="s">
        <v>22769</v>
      </c>
      <c r="AE979" s="81" t="s">
        <v>23055</v>
      </c>
      <c r="AF979" s="76">
        <v>3340</v>
      </c>
      <c r="AG979" s="76">
        <v>215</v>
      </c>
      <c r="AH979" s="76">
        <v>28095</v>
      </c>
      <c r="AI979" s="76">
        <v>124</v>
      </c>
      <c r="AJ979" s="76">
        <v>6</v>
      </c>
      <c r="AK979" s="76">
        <v>2071</v>
      </c>
      <c r="AL979" s="76" t="b">
        <v>0</v>
      </c>
      <c r="AM979" s="78">
        <v>39891.830208333333</v>
      </c>
      <c r="AN979" s="76" t="s">
        <v>23326</v>
      </c>
      <c r="AO979" s="76" t="s">
        <v>24181</v>
      </c>
      <c r="AP979" s="76"/>
      <c r="AQ979" s="76"/>
      <c r="AR979" s="76"/>
      <c r="AS979" s="76"/>
      <c r="AT979" s="76"/>
      <c r="AU979" s="76"/>
      <c r="AV979" s="76"/>
      <c r="AW979" s="76"/>
      <c r="AX979" s="76" t="b">
        <v>0</v>
      </c>
      <c r="AY979" s="76"/>
      <c r="AZ979" s="76"/>
      <c r="BA979" s="76" t="b">
        <v>0</v>
      </c>
      <c r="BB979" s="76" t="b">
        <v>1</v>
      </c>
      <c r="BC979" s="76" t="b">
        <v>0</v>
      </c>
      <c r="BD979" s="76" t="b">
        <v>0</v>
      </c>
      <c r="BE979" s="76" t="b">
        <v>0</v>
      </c>
      <c r="BF979" s="76" t="b">
        <v>0</v>
      </c>
      <c r="BG979" s="76" t="b">
        <v>0</v>
      </c>
      <c r="BH979" s="76"/>
      <c r="BI979" s="76"/>
      <c r="BJ979" s="76" t="s">
        <v>24935</v>
      </c>
      <c r="BK979" s="76" t="b">
        <v>0</v>
      </c>
      <c r="BL979" s="76"/>
      <c r="BM979" s="76" t="s">
        <v>66</v>
      </c>
      <c r="BN979" s="76" t="s">
        <v>24937</v>
      </c>
      <c r="BO979" s="83" t="str">
        <f>HYPERLINK("https://twitter.com/financas")</f>
        <v>https://twitter.com/financas</v>
      </c>
      <c r="BP979" s="2"/>
    </row>
    <row r="980" spans="1:68" x14ac:dyDescent="0.25">
      <c r="A980" s="62" t="s">
        <v>1163</v>
      </c>
      <c r="B980" s="63"/>
      <c r="C980" s="63"/>
      <c r="D980" s="64"/>
      <c r="E980" s="66"/>
      <c r="F980" s="102" t="str">
        <f>HYPERLINK("https://pbs.twimg.com/profile_images/1641890814782590990/W6oGK9te_normal.jpg")</f>
        <v>https://pbs.twimg.com/profile_images/1641890814782590990/W6oGK9te_normal.jpg</v>
      </c>
      <c r="G980" s="63"/>
      <c r="H980" s="67"/>
      <c r="I980" s="68"/>
      <c r="J980" s="68"/>
      <c r="K980" s="67" t="s">
        <v>25914</v>
      </c>
      <c r="L980" s="71"/>
      <c r="M980" s="72"/>
      <c r="N980" s="72"/>
      <c r="O980" s="73"/>
      <c r="P980" s="74"/>
      <c r="Q980" s="74"/>
      <c r="R980" s="86"/>
      <c r="S980" s="86"/>
      <c r="T980" s="86"/>
      <c r="U980" s="86"/>
      <c r="V980" s="48"/>
      <c r="W980" s="48"/>
      <c r="X980" s="48"/>
      <c r="Y980" s="48"/>
      <c r="Z980" s="47"/>
      <c r="AA980" s="69">
        <v>980</v>
      </c>
      <c r="AB980" s="69"/>
      <c r="AC980" s="70"/>
      <c r="AD980" s="76" t="s">
        <v>22770</v>
      </c>
      <c r="AE980" s="81" t="s">
        <v>23056</v>
      </c>
      <c r="AF980" s="76">
        <v>1749</v>
      </c>
      <c r="AG980" s="76">
        <v>207</v>
      </c>
      <c r="AH980" s="76">
        <v>11515</v>
      </c>
      <c r="AI980" s="76">
        <v>12</v>
      </c>
      <c r="AJ980" s="76">
        <v>951</v>
      </c>
      <c r="AK980" s="76">
        <v>4816</v>
      </c>
      <c r="AL980" s="76" t="b">
        <v>0</v>
      </c>
      <c r="AM980" s="78">
        <v>41018.79142361111</v>
      </c>
      <c r="AN980" s="76"/>
      <c r="AO980" s="76" t="s">
        <v>24182</v>
      </c>
      <c r="AP980" s="83" t="str">
        <f>HYPERLINK("https://t.co/fW3eHy24UJ")</f>
        <v>https://t.co/fW3eHy24UJ</v>
      </c>
      <c r="AQ980" s="83" t="str">
        <f>HYPERLINK("http://www.sistemafaemg.org.br")</f>
        <v>http://www.sistemafaemg.org.br</v>
      </c>
      <c r="AR980" s="76" t="s">
        <v>24788</v>
      </c>
      <c r="AS980" s="76"/>
      <c r="AT980" s="76"/>
      <c r="AU980" s="76"/>
      <c r="AV980" s="76"/>
      <c r="AW980" s="83" t="str">
        <f>HYPERLINK("https://t.co/fW3eHy24UJ")</f>
        <v>https://t.co/fW3eHy24UJ</v>
      </c>
      <c r="AX980" s="76" t="b">
        <v>0</v>
      </c>
      <c r="AY980" s="76"/>
      <c r="AZ980" s="76"/>
      <c r="BA980" s="76" t="b">
        <v>0</v>
      </c>
      <c r="BB980" s="76" t="b">
        <v>1</v>
      </c>
      <c r="BC980" s="76" t="b">
        <v>0</v>
      </c>
      <c r="BD980" s="76" t="b">
        <v>0</v>
      </c>
      <c r="BE980" s="76" t="b">
        <v>0</v>
      </c>
      <c r="BF980" s="76" t="b">
        <v>0</v>
      </c>
      <c r="BG980" s="76" t="b">
        <v>0</v>
      </c>
      <c r="BH980" s="83" t="str">
        <f>HYPERLINK("https://pbs.twimg.com/profile_banners/557963849/1680292251")</f>
        <v>https://pbs.twimg.com/profile_banners/557963849/1680292251</v>
      </c>
      <c r="BI980" s="76"/>
      <c r="BJ980" s="76" t="s">
        <v>24935</v>
      </c>
      <c r="BK980" s="76" t="b">
        <v>0</v>
      </c>
      <c r="BL980" s="76"/>
      <c r="BM980" s="76" t="s">
        <v>66</v>
      </c>
      <c r="BN980" s="76" t="s">
        <v>24937</v>
      </c>
      <c r="BO980" s="83" t="str">
        <f>HYPERLINK("https://twitter.com/sistemafaemg")</f>
        <v>https://twitter.com/sistemafaemg</v>
      </c>
      <c r="BP980" s="2"/>
    </row>
    <row r="981" spans="1:68" x14ac:dyDescent="0.25">
      <c r="A981" s="62" t="s">
        <v>1164</v>
      </c>
      <c r="B981" s="63"/>
      <c r="C981" s="63"/>
      <c r="D981" s="64"/>
      <c r="E981" s="66"/>
      <c r="F981" s="102" t="str">
        <f>HYPERLINK("https://pbs.twimg.com/profile_images/1604293399519133697/_jXXVUwO_normal.jpg")</f>
        <v>https://pbs.twimg.com/profile_images/1604293399519133697/_jXXVUwO_normal.jpg</v>
      </c>
      <c r="G981" s="63"/>
      <c r="H981" s="67"/>
      <c r="I981" s="68"/>
      <c r="J981" s="68"/>
      <c r="K981" s="67" t="s">
        <v>25915</v>
      </c>
      <c r="L981" s="71"/>
      <c r="M981" s="72"/>
      <c r="N981" s="72"/>
      <c r="O981" s="73"/>
      <c r="P981" s="74"/>
      <c r="Q981" s="74"/>
      <c r="R981" s="86"/>
      <c r="S981" s="86"/>
      <c r="T981" s="86"/>
      <c r="U981" s="86"/>
      <c r="V981" s="48"/>
      <c r="W981" s="48"/>
      <c r="X981" s="48"/>
      <c r="Y981" s="48"/>
      <c r="Z981" s="47"/>
      <c r="AA981" s="69">
        <v>981</v>
      </c>
      <c r="AB981" s="69"/>
      <c r="AC981" s="70"/>
      <c r="AD981" s="76" t="s">
        <v>22771</v>
      </c>
      <c r="AE981" s="81" t="s">
        <v>21717</v>
      </c>
      <c r="AF981" s="76">
        <v>0</v>
      </c>
      <c r="AG981" s="76">
        <v>9</v>
      </c>
      <c r="AH981" s="76">
        <v>12</v>
      </c>
      <c r="AI981" s="76">
        <v>0</v>
      </c>
      <c r="AJ981" s="76">
        <v>6</v>
      </c>
      <c r="AK981" s="76">
        <v>3</v>
      </c>
      <c r="AL981" s="76" t="b">
        <v>0</v>
      </c>
      <c r="AM981" s="78">
        <v>44383.491157407407</v>
      </c>
      <c r="AN981" s="76"/>
      <c r="AO981" s="76" t="s">
        <v>24183</v>
      </c>
      <c r="AP981" s="83" t="str">
        <f>HYPERLINK("https://t.co/reJ8GQqsOY")</f>
        <v>https://t.co/reJ8GQqsOY</v>
      </c>
      <c r="AQ981" s="83" t="str">
        <f>HYPERLINK("https://msha.ke/naterciamanuela")</f>
        <v>https://msha.ke/naterciamanuela</v>
      </c>
      <c r="AR981" s="76" t="s">
        <v>24789</v>
      </c>
      <c r="AS981" s="83" t="str">
        <f>HYPERLINK("https://t.co/reJ8GQqsOY")</f>
        <v>https://t.co/reJ8GQqsOY</v>
      </c>
      <c r="AT981" s="83" t="str">
        <f>HYPERLINK("https://msha.ke/naterciamanuela")</f>
        <v>https://msha.ke/naterciamanuela</v>
      </c>
      <c r="AU981" s="76" t="s">
        <v>24789</v>
      </c>
      <c r="AV981" s="76"/>
      <c r="AW981" s="83" t="str">
        <f>HYPERLINK("https://t.co/reJ8GQqsOY")</f>
        <v>https://t.co/reJ8GQqsOY</v>
      </c>
      <c r="AX981" s="76" t="b">
        <v>0</v>
      </c>
      <c r="AY981" s="76"/>
      <c r="AZ981" s="76"/>
      <c r="BA981" s="76" t="b">
        <v>0</v>
      </c>
      <c r="BB981" s="76" t="b">
        <v>1</v>
      </c>
      <c r="BC981" s="76" t="b">
        <v>1</v>
      </c>
      <c r="BD981" s="76" t="b">
        <v>0</v>
      </c>
      <c r="BE981" s="76" t="b">
        <v>0</v>
      </c>
      <c r="BF981" s="76" t="b">
        <v>0</v>
      </c>
      <c r="BG981" s="76" t="b">
        <v>0</v>
      </c>
      <c r="BH981" s="76"/>
      <c r="BI981" s="76"/>
      <c r="BJ981" s="76" t="s">
        <v>24935</v>
      </c>
      <c r="BK981" s="76" t="b">
        <v>0</v>
      </c>
      <c r="BL981" s="76"/>
      <c r="BM981" s="76" t="s">
        <v>66</v>
      </c>
      <c r="BN981" s="76" t="s">
        <v>24937</v>
      </c>
      <c r="BO981" s="83" t="str">
        <f>HYPERLINK("https://twitter.com/naterciamanuel1")</f>
        <v>https://twitter.com/naterciamanuel1</v>
      </c>
      <c r="BP981" s="2"/>
    </row>
    <row r="982" spans="1:68" x14ac:dyDescent="0.25">
      <c r="A982" s="62" t="s">
        <v>1165</v>
      </c>
      <c r="B982" s="63"/>
      <c r="C982" s="63"/>
      <c r="D982" s="64"/>
      <c r="E982" s="66"/>
      <c r="F982" s="102" t="str">
        <f>HYPERLINK("https://pbs.twimg.com/profile_images/1393238870112735235/dRIsOuJc_normal.jpg")</f>
        <v>https://pbs.twimg.com/profile_images/1393238870112735235/dRIsOuJc_normal.jpg</v>
      </c>
      <c r="G982" s="63"/>
      <c r="H982" s="67"/>
      <c r="I982" s="68"/>
      <c r="J982" s="68"/>
      <c r="K982" s="67" t="s">
        <v>25916</v>
      </c>
      <c r="L982" s="71"/>
      <c r="M982" s="72"/>
      <c r="N982" s="72"/>
      <c r="O982" s="73"/>
      <c r="P982" s="74"/>
      <c r="Q982" s="74"/>
      <c r="R982" s="86"/>
      <c r="S982" s="86"/>
      <c r="T982" s="86"/>
      <c r="U982" s="86"/>
      <c r="V982" s="48"/>
      <c r="W982" s="48"/>
      <c r="X982" s="48"/>
      <c r="Y982" s="48"/>
      <c r="Z982" s="47"/>
      <c r="AA982" s="69">
        <v>982</v>
      </c>
      <c r="AB982" s="69"/>
      <c r="AC982" s="70"/>
      <c r="AD982" s="76" t="s">
        <v>22772</v>
      </c>
      <c r="AE982" s="81" t="s">
        <v>21718</v>
      </c>
      <c r="AF982" s="76">
        <v>11</v>
      </c>
      <c r="AG982" s="76">
        <v>43</v>
      </c>
      <c r="AH982" s="76">
        <v>211</v>
      </c>
      <c r="AI982" s="76">
        <v>0</v>
      </c>
      <c r="AJ982" s="76">
        <v>262</v>
      </c>
      <c r="AK982" s="76">
        <v>34</v>
      </c>
      <c r="AL982" s="76" t="b">
        <v>0</v>
      </c>
      <c r="AM982" s="78">
        <v>43760.943773148145</v>
      </c>
      <c r="AN982" s="76" t="s">
        <v>14033</v>
      </c>
      <c r="AO982" s="76" t="s">
        <v>24184</v>
      </c>
      <c r="AP982" s="83" t="str">
        <f>HYPERLINK("https://t.co/spbMPqzDgB")</f>
        <v>https://t.co/spbMPqzDgB</v>
      </c>
      <c r="AQ982" s="83" t="str">
        <f>HYPERLINK("https://engenheiroeco.com?utm_source=twitter&amp;utm_medium=twitterperfil")</f>
        <v>https://engenheiroeco.com?utm_source=twitter&amp;utm_medium=twitterperfil</v>
      </c>
      <c r="AR982" s="76" t="s">
        <v>24790</v>
      </c>
      <c r="AS982" s="76"/>
      <c r="AT982" s="76"/>
      <c r="AU982" s="76"/>
      <c r="AV982" s="76"/>
      <c r="AW982" s="83" t="str">
        <f>HYPERLINK("https://t.co/spbMPqzDgB")</f>
        <v>https://t.co/spbMPqzDgB</v>
      </c>
      <c r="AX982" s="76" t="b">
        <v>0</v>
      </c>
      <c r="AY982" s="76"/>
      <c r="AZ982" s="76"/>
      <c r="BA982" s="76" t="b">
        <v>0</v>
      </c>
      <c r="BB982" s="76" t="b">
        <v>1</v>
      </c>
      <c r="BC982" s="76" t="b">
        <v>1</v>
      </c>
      <c r="BD982" s="76" t="b">
        <v>0</v>
      </c>
      <c r="BE982" s="76" t="b">
        <v>1</v>
      </c>
      <c r="BF982" s="76" t="b">
        <v>0</v>
      </c>
      <c r="BG982" s="76" t="b">
        <v>0</v>
      </c>
      <c r="BH982" s="83" t="str">
        <f>HYPERLINK("https://pbs.twimg.com/profile_banners/1186773936194895873/1591078314")</f>
        <v>https://pbs.twimg.com/profile_banners/1186773936194895873/1591078314</v>
      </c>
      <c r="BI982" s="76"/>
      <c r="BJ982" s="76" t="s">
        <v>24935</v>
      </c>
      <c r="BK982" s="76" t="b">
        <v>0</v>
      </c>
      <c r="BL982" s="76"/>
      <c r="BM982" s="76" t="s">
        <v>66</v>
      </c>
      <c r="BN982" s="76" t="s">
        <v>24937</v>
      </c>
      <c r="BO982" s="83" t="str">
        <f>HYPERLINK("https://twitter.com/ecoengenheiro")</f>
        <v>https://twitter.com/ecoengenheiro</v>
      </c>
      <c r="BP982" s="2"/>
    </row>
    <row r="983" spans="1:68" x14ac:dyDescent="0.25">
      <c r="A983" s="62" t="s">
        <v>1166</v>
      </c>
      <c r="B983" s="63"/>
      <c r="C983" s="63"/>
      <c r="D983" s="64"/>
      <c r="E983" s="66"/>
      <c r="F983" s="102" t="str">
        <f>HYPERLINK("https://pbs.twimg.com/profile_images/1428360757628964874/egNx1lTb_normal.jpg")</f>
        <v>https://pbs.twimg.com/profile_images/1428360757628964874/egNx1lTb_normal.jpg</v>
      </c>
      <c r="G983" s="63"/>
      <c r="H983" s="67"/>
      <c r="I983" s="68"/>
      <c r="J983" s="68"/>
      <c r="K983" s="67" t="s">
        <v>25917</v>
      </c>
      <c r="L983" s="71"/>
      <c r="M983" s="72"/>
      <c r="N983" s="72"/>
      <c r="O983" s="73"/>
      <c r="P983" s="74"/>
      <c r="Q983" s="74"/>
      <c r="R983" s="86"/>
      <c r="S983" s="86"/>
      <c r="T983" s="86"/>
      <c r="U983" s="86"/>
      <c r="V983" s="48"/>
      <c r="W983" s="48"/>
      <c r="X983" s="48"/>
      <c r="Y983" s="48"/>
      <c r="Z983" s="47"/>
      <c r="AA983" s="69">
        <v>983</v>
      </c>
      <c r="AB983" s="69"/>
      <c r="AC983" s="70"/>
      <c r="AD983" s="76" t="s">
        <v>22773</v>
      </c>
      <c r="AE983" s="81" t="s">
        <v>21719</v>
      </c>
      <c r="AF983" s="76">
        <v>8</v>
      </c>
      <c r="AG983" s="76">
        <v>39</v>
      </c>
      <c r="AH983" s="76">
        <v>220</v>
      </c>
      <c r="AI983" s="76">
        <v>5</v>
      </c>
      <c r="AJ983" s="76">
        <v>18</v>
      </c>
      <c r="AK983" s="76">
        <v>167</v>
      </c>
      <c r="AL983" s="76" t="b">
        <v>0</v>
      </c>
      <c r="AM983" s="78">
        <v>44427.581655092596</v>
      </c>
      <c r="AN983" s="76"/>
      <c r="AO983" s="76" t="s">
        <v>24185</v>
      </c>
      <c r="AP983" s="76"/>
      <c r="AQ983" s="76"/>
      <c r="AR983" s="76"/>
      <c r="AS983" s="76"/>
      <c r="AT983" s="76"/>
      <c r="AU983" s="76"/>
      <c r="AV983" s="76"/>
      <c r="AW983" s="76"/>
      <c r="AX983" s="76" t="b">
        <v>0</v>
      </c>
      <c r="AY983" s="76"/>
      <c r="AZ983" s="76"/>
      <c r="BA983" s="76" t="b">
        <v>0</v>
      </c>
      <c r="BB983" s="76" t="b">
        <v>1</v>
      </c>
      <c r="BC983" s="76" t="b">
        <v>1</v>
      </c>
      <c r="BD983" s="76" t="b">
        <v>0</v>
      </c>
      <c r="BE983" s="76" t="b">
        <v>0</v>
      </c>
      <c r="BF983" s="76" t="b">
        <v>0</v>
      </c>
      <c r="BG983" s="76" t="b">
        <v>0</v>
      </c>
      <c r="BH983" s="76"/>
      <c r="BI983" s="76"/>
      <c r="BJ983" s="76" t="s">
        <v>24935</v>
      </c>
      <c r="BK983" s="76" t="b">
        <v>0</v>
      </c>
      <c r="BL983" s="76"/>
      <c r="BM983" s="76" t="s">
        <v>66</v>
      </c>
      <c r="BN983" s="76" t="s">
        <v>24937</v>
      </c>
      <c r="BO983" s="83" t="str">
        <f>HYPERLINK("https://twitter.com/vitorsantosvag1")</f>
        <v>https://twitter.com/vitorsantosvag1</v>
      </c>
      <c r="BP983" s="2"/>
    </row>
    <row r="984" spans="1:68" x14ac:dyDescent="0.25">
      <c r="A984" s="62" t="s">
        <v>1167</v>
      </c>
      <c r="B984" s="63"/>
      <c r="C984" s="63"/>
      <c r="D984" s="64"/>
      <c r="E984" s="66"/>
      <c r="F984" s="102" t="str">
        <f>HYPERLINK("https://pbs.twimg.com/profile_images/1653768821465923584/5EfSu94l_normal.jpg")</f>
        <v>https://pbs.twimg.com/profile_images/1653768821465923584/5EfSu94l_normal.jpg</v>
      </c>
      <c r="G984" s="63"/>
      <c r="H984" s="67"/>
      <c r="I984" s="68"/>
      <c r="J984" s="68"/>
      <c r="K984" s="67" t="s">
        <v>25918</v>
      </c>
      <c r="L984" s="71"/>
      <c r="M984" s="72"/>
      <c r="N984" s="72"/>
      <c r="O984" s="73"/>
      <c r="P984" s="74"/>
      <c r="Q984" s="74"/>
      <c r="R984" s="86"/>
      <c r="S984" s="86"/>
      <c r="T984" s="86"/>
      <c r="U984" s="86"/>
      <c r="V984" s="48"/>
      <c r="W984" s="48"/>
      <c r="X984" s="48"/>
      <c r="Y984" s="48"/>
      <c r="Z984" s="47"/>
      <c r="AA984" s="69">
        <v>984</v>
      </c>
      <c r="AB984" s="69"/>
      <c r="AC984" s="70"/>
      <c r="AD984" s="76" t="s">
        <v>22774</v>
      </c>
      <c r="AE984" s="81" t="s">
        <v>21720</v>
      </c>
      <c r="AF984" s="76">
        <v>0</v>
      </c>
      <c r="AG984" s="76">
        <v>17</v>
      </c>
      <c r="AH984" s="76">
        <v>47</v>
      </c>
      <c r="AI984" s="76">
        <v>0</v>
      </c>
      <c r="AJ984" s="76">
        <v>90</v>
      </c>
      <c r="AK984" s="76">
        <v>18</v>
      </c>
      <c r="AL984" s="76" t="b">
        <v>0</v>
      </c>
      <c r="AM984" s="78">
        <v>44585.435682870368</v>
      </c>
      <c r="AN984" s="76"/>
      <c r="AO984" s="76" t="s">
        <v>24186</v>
      </c>
      <c r="AP984" s="83" t="str">
        <f>HYPERLINK("https://t.co/GprGhKqf6O")</f>
        <v>https://t.co/GprGhKqf6O</v>
      </c>
      <c r="AQ984" s="83" t="str">
        <f>HYPERLINK("https://mycollection.shop/_shopee1_")</f>
        <v>https://mycollection.shop/_shopee1_</v>
      </c>
      <c r="AR984" s="76" t="s">
        <v>24791</v>
      </c>
      <c r="AS984" s="76"/>
      <c r="AT984" s="76"/>
      <c r="AU984" s="76"/>
      <c r="AV984" s="76">
        <v>1.65334489884049E+18</v>
      </c>
      <c r="AW984" s="83" t="str">
        <f>HYPERLINK("https://t.co/GprGhKqf6O")</f>
        <v>https://t.co/GprGhKqf6O</v>
      </c>
      <c r="AX984" s="76" t="b">
        <v>0</v>
      </c>
      <c r="AY984" s="76"/>
      <c r="AZ984" s="76"/>
      <c r="BA984" s="76" t="b">
        <v>0</v>
      </c>
      <c r="BB984" s="76" t="b">
        <v>1</v>
      </c>
      <c r="BC984" s="76" t="b">
        <v>1</v>
      </c>
      <c r="BD984" s="76" t="b">
        <v>0</v>
      </c>
      <c r="BE984" s="76" t="b">
        <v>0</v>
      </c>
      <c r="BF984" s="76" t="b">
        <v>0</v>
      </c>
      <c r="BG984" s="76" t="b">
        <v>0</v>
      </c>
      <c r="BH984" s="83" t="str">
        <f>HYPERLINK("https://pbs.twimg.com/profile_banners/1485559708488454145/1683124187")</f>
        <v>https://pbs.twimg.com/profile_banners/1485559708488454145/1683124187</v>
      </c>
      <c r="BI984" s="76"/>
      <c r="BJ984" s="76" t="s">
        <v>24935</v>
      </c>
      <c r="BK984" s="76" t="b">
        <v>0</v>
      </c>
      <c r="BL984" s="76"/>
      <c r="BM984" s="76" t="s">
        <v>66</v>
      </c>
      <c r="BN984" s="76" t="s">
        <v>24937</v>
      </c>
      <c r="BO984" s="83" t="str">
        <f>HYPERLINK("https://twitter.com/luisper26600465")</f>
        <v>https://twitter.com/luisper26600465</v>
      </c>
      <c r="BP984" s="2"/>
    </row>
    <row r="985" spans="1:68" x14ac:dyDescent="0.25">
      <c r="A985" s="62" t="s">
        <v>1168</v>
      </c>
      <c r="B985" s="63"/>
      <c r="C985" s="63"/>
      <c r="D985" s="64"/>
      <c r="E985" s="66"/>
      <c r="F985" s="102" t="str">
        <f>HYPERLINK("https://pbs.twimg.com/profile_images/1627358494365044736/5K5uaFB5_normal.jpg")</f>
        <v>https://pbs.twimg.com/profile_images/1627358494365044736/5K5uaFB5_normal.jpg</v>
      </c>
      <c r="G985" s="63"/>
      <c r="H985" s="67"/>
      <c r="I985" s="68"/>
      <c r="J985" s="68"/>
      <c r="K985" s="67" t="s">
        <v>25919</v>
      </c>
      <c r="L985" s="71"/>
      <c r="M985" s="72"/>
      <c r="N985" s="72"/>
      <c r="O985" s="73"/>
      <c r="P985" s="74"/>
      <c r="Q985" s="74"/>
      <c r="R985" s="86"/>
      <c r="S985" s="86"/>
      <c r="T985" s="86"/>
      <c r="U985" s="86"/>
      <c r="V985" s="48"/>
      <c r="W985" s="48"/>
      <c r="X985" s="48"/>
      <c r="Y985" s="48"/>
      <c r="Z985" s="47"/>
      <c r="AA985" s="69">
        <v>985</v>
      </c>
      <c r="AB985" s="69"/>
      <c r="AC985" s="70"/>
      <c r="AD985" s="76" t="s">
        <v>22775</v>
      </c>
      <c r="AE985" s="81" t="s">
        <v>21721</v>
      </c>
      <c r="AF985" s="76">
        <v>0</v>
      </c>
      <c r="AG985" s="76">
        <v>7</v>
      </c>
      <c r="AH985" s="76">
        <v>87</v>
      </c>
      <c r="AI985" s="76">
        <v>0</v>
      </c>
      <c r="AJ985" s="76">
        <v>14</v>
      </c>
      <c r="AK985" s="76">
        <v>79</v>
      </c>
      <c r="AL985" s="76" t="b">
        <v>0</v>
      </c>
      <c r="AM985" s="78">
        <v>44976.71980324074</v>
      </c>
      <c r="AN985" s="76" t="s">
        <v>23327</v>
      </c>
      <c r="AO985" s="76" t="s">
        <v>24187</v>
      </c>
      <c r="AP985" s="83" t="str">
        <f>HYPERLINK("https://t.co/U3TJ5UZy4X")</f>
        <v>https://t.co/U3TJ5UZy4X</v>
      </c>
      <c r="AQ985" s="83" t="str">
        <f>HYPERLINK("https://lojasacaxavi.com.br")</f>
        <v>https://lojasacaxavi.com.br</v>
      </c>
      <c r="AR985" s="76" t="s">
        <v>24792</v>
      </c>
      <c r="AS985" s="76" t="s">
        <v>24839</v>
      </c>
      <c r="AT985" s="76" t="s">
        <v>24850</v>
      </c>
      <c r="AU985" s="76" t="s">
        <v>24928</v>
      </c>
      <c r="AV985" s="76">
        <v>1.62735933601505E+18</v>
      </c>
      <c r="AW985" s="83" t="str">
        <f>HYPERLINK("https://t.co/U3TJ5UZy4X")</f>
        <v>https://t.co/U3TJ5UZy4X</v>
      </c>
      <c r="AX985" s="76" t="b">
        <v>0</v>
      </c>
      <c r="AY985" s="76"/>
      <c r="AZ985" s="76"/>
      <c r="BA985" s="76" t="b">
        <v>0</v>
      </c>
      <c r="BB985" s="76" t="b">
        <v>1</v>
      </c>
      <c r="BC985" s="76" t="b">
        <v>1</v>
      </c>
      <c r="BD985" s="76" t="b">
        <v>0</v>
      </c>
      <c r="BE985" s="76" t="b">
        <v>0</v>
      </c>
      <c r="BF985" s="76" t="b">
        <v>0</v>
      </c>
      <c r="BG985" s="76" t="b">
        <v>0</v>
      </c>
      <c r="BH985" s="83" t="str">
        <f>HYPERLINK("https://pbs.twimg.com/profile_banners/1627356375788429316/1676827474")</f>
        <v>https://pbs.twimg.com/profile_banners/1627356375788429316/1676827474</v>
      </c>
      <c r="BI985" s="76"/>
      <c r="BJ985" s="76" t="s">
        <v>24935</v>
      </c>
      <c r="BK985" s="76" t="b">
        <v>0</v>
      </c>
      <c r="BL985" s="76"/>
      <c r="BM985" s="76" t="s">
        <v>66</v>
      </c>
      <c r="BN985" s="76" t="s">
        <v>24937</v>
      </c>
      <c r="BO985" s="83" t="str">
        <f>HYPERLINK("https://twitter.com/caxavil")</f>
        <v>https://twitter.com/caxavil</v>
      </c>
      <c r="BP985" s="2"/>
    </row>
    <row r="986" spans="1:68" x14ac:dyDescent="0.25">
      <c r="A986" s="62" t="s">
        <v>1169</v>
      </c>
      <c r="B986" s="63"/>
      <c r="C986" s="63"/>
      <c r="D986" s="64"/>
      <c r="E986" s="66"/>
      <c r="F986" s="102" t="str">
        <f>HYPERLINK("https://pbs.twimg.com/profile_images/1463825904870871041/EuJzAmcS_normal.jpg")</f>
        <v>https://pbs.twimg.com/profile_images/1463825904870871041/EuJzAmcS_normal.jpg</v>
      </c>
      <c r="G986" s="63"/>
      <c r="H986" s="67"/>
      <c r="I986" s="68"/>
      <c r="J986" s="68"/>
      <c r="K986" s="67" t="s">
        <v>25920</v>
      </c>
      <c r="L986" s="71"/>
      <c r="M986" s="72"/>
      <c r="N986" s="72"/>
      <c r="O986" s="73"/>
      <c r="P986" s="74"/>
      <c r="Q986" s="74"/>
      <c r="R986" s="86"/>
      <c r="S986" s="86"/>
      <c r="T986" s="86"/>
      <c r="U986" s="86"/>
      <c r="V986" s="48"/>
      <c r="W986" s="48"/>
      <c r="X986" s="48"/>
      <c r="Y986" s="48"/>
      <c r="Z986" s="47"/>
      <c r="AA986" s="69">
        <v>986</v>
      </c>
      <c r="AB986" s="69"/>
      <c r="AC986" s="70"/>
      <c r="AD986" s="76" t="s">
        <v>22776</v>
      </c>
      <c r="AE986" s="81" t="s">
        <v>23057</v>
      </c>
      <c r="AF986" s="76">
        <v>9256</v>
      </c>
      <c r="AG986" s="76">
        <v>9304</v>
      </c>
      <c r="AH986" s="76">
        <v>3652</v>
      </c>
      <c r="AI986" s="76">
        <v>6</v>
      </c>
      <c r="AJ986" s="76">
        <v>3110</v>
      </c>
      <c r="AK986" s="76">
        <v>324</v>
      </c>
      <c r="AL986" s="76" t="b">
        <v>0</v>
      </c>
      <c r="AM986" s="78">
        <v>40508.516840277778</v>
      </c>
      <c r="AN986" s="76" t="s">
        <v>23328</v>
      </c>
      <c r="AO986" s="76" t="s">
        <v>24188</v>
      </c>
      <c r="AP986" s="83" t="str">
        <f>HYPERLINK("https://t.co/givGSrgfsH")</f>
        <v>https://t.co/givGSrgfsH</v>
      </c>
      <c r="AQ986" s="83" t="str">
        <f>HYPERLINK("https://www.gotchosen.com/@guillergs007/invite/SYDFYSG")</f>
        <v>https://www.gotchosen.com/@guillergs007/invite/SYDFYSG</v>
      </c>
      <c r="AR986" s="76" t="s">
        <v>24793</v>
      </c>
      <c r="AS986" s="76"/>
      <c r="AT986" s="76"/>
      <c r="AU986" s="76"/>
      <c r="AV986" s="76">
        <v>9.2785383556500595E+17</v>
      </c>
      <c r="AW986" s="83" t="str">
        <f>HYPERLINK("https://t.co/givGSrgfsH")</f>
        <v>https://t.co/givGSrgfsH</v>
      </c>
      <c r="AX986" s="76" t="b">
        <v>0</v>
      </c>
      <c r="AY986" s="76"/>
      <c r="AZ986" s="76"/>
      <c r="BA986" s="76" t="b">
        <v>1</v>
      </c>
      <c r="BB986" s="76" t="b">
        <v>1</v>
      </c>
      <c r="BC986" s="76" t="b">
        <v>0</v>
      </c>
      <c r="BD986" s="76" t="b">
        <v>0</v>
      </c>
      <c r="BE986" s="76" t="b">
        <v>0</v>
      </c>
      <c r="BF986" s="76" t="b">
        <v>0</v>
      </c>
      <c r="BG986" s="76" t="b">
        <v>0</v>
      </c>
      <c r="BH986" s="83" t="str">
        <f>HYPERLINK("https://pbs.twimg.com/profile_banners/219974739/1638669721")</f>
        <v>https://pbs.twimg.com/profile_banners/219974739/1638669721</v>
      </c>
      <c r="BI986" s="76"/>
      <c r="BJ986" s="76" t="s">
        <v>24935</v>
      </c>
      <c r="BK986" s="76" t="b">
        <v>0</v>
      </c>
      <c r="BL986" s="76"/>
      <c r="BM986" s="76" t="s">
        <v>66</v>
      </c>
      <c r="BN986" s="76" t="s">
        <v>24937</v>
      </c>
      <c r="BO986" s="83" t="str">
        <f>HYPERLINK("https://twitter.com/guillergs007")</f>
        <v>https://twitter.com/guillergs007</v>
      </c>
      <c r="BP986" s="2"/>
    </row>
    <row r="987" spans="1:68" x14ac:dyDescent="0.25">
      <c r="A987" s="62" t="s">
        <v>1170</v>
      </c>
      <c r="B987" s="63"/>
      <c r="C987" s="63"/>
      <c r="D987" s="64"/>
      <c r="E987" s="66"/>
      <c r="F987" s="102" t="str">
        <f>HYPERLINK("https://pbs.twimg.com/profile_images/1652085091680616448/nHjnifNa_normal.jpg")</f>
        <v>https://pbs.twimg.com/profile_images/1652085091680616448/nHjnifNa_normal.jpg</v>
      </c>
      <c r="G987" s="63"/>
      <c r="H987" s="67"/>
      <c r="I987" s="68"/>
      <c r="J987" s="68"/>
      <c r="K987" s="67" t="s">
        <v>25921</v>
      </c>
      <c r="L987" s="71"/>
      <c r="M987" s="72"/>
      <c r="N987" s="72"/>
      <c r="O987" s="73"/>
      <c r="P987" s="74"/>
      <c r="Q987" s="74"/>
      <c r="R987" s="86"/>
      <c r="S987" s="86"/>
      <c r="T987" s="86"/>
      <c r="U987" s="86"/>
      <c r="V987" s="48"/>
      <c r="W987" s="48"/>
      <c r="X987" s="48"/>
      <c r="Y987" s="48"/>
      <c r="Z987" s="47"/>
      <c r="AA987" s="69">
        <v>987</v>
      </c>
      <c r="AB987" s="69"/>
      <c r="AC987" s="70"/>
      <c r="AD987" s="76" t="s">
        <v>22777</v>
      </c>
      <c r="AE987" s="81" t="s">
        <v>21722</v>
      </c>
      <c r="AF987" s="76">
        <v>1</v>
      </c>
      <c r="AG987" s="76">
        <v>0</v>
      </c>
      <c r="AH987" s="76">
        <v>35</v>
      </c>
      <c r="AI987" s="76">
        <v>0</v>
      </c>
      <c r="AJ987" s="76">
        <v>0</v>
      </c>
      <c r="AK987" s="76">
        <v>35</v>
      </c>
      <c r="AL987" s="76" t="b">
        <v>0</v>
      </c>
      <c r="AM987" s="78">
        <v>45044.947071759256</v>
      </c>
      <c r="AN987" s="76"/>
      <c r="AO987" s="76" t="s">
        <v>24189</v>
      </c>
      <c r="AP987" s="83" t="str">
        <f>HYPERLINK("https://t.co/TPfaEupfQ7")</f>
        <v>https://t.co/TPfaEupfQ7</v>
      </c>
      <c r="AQ987" s="83" t="str">
        <f>HYPERLINK("http://linkr.bio/E-book.gateway")</f>
        <v>http://linkr.bio/E-book.gateway</v>
      </c>
      <c r="AR987" s="76" t="s">
        <v>24794</v>
      </c>
      <c r="AS987" s="76"/>
      <c r="AT987" s="76"/>
      <c r="AU987" s="76"/>
      <c r="AV987" s="76"/>
      <c r="AW987" s="83" t="str">
        <f>HYPERLINK("https://t.co/TPfaEupfQ7")</f>
        <v>https://t.co/TPfaEupfQ7</v>
      </c>
      <c r="AX987" s="76" t="b">
        <v>0</v>
      </c>
      <c r="AY987" s="76"/>
      <c r="AZ987" s="76"/>
      <c r="BA987" s="76" t="b">
        <v>0</v>
      </c>
      <c r="BB987" s="76" t="b">
        <v>1</v>
      </c>
      <c r="BC987" s="76" t="b">
        <v>1</v>
      </c>
      <c r="BD987" s="76" t="b">
        <v>0</v>
      </c>
      <c r="BE987" s="76" t="b">
        <v>0</v>
      </c>
      <c r="BF987" s="76" t="b">
        <v>0</v>
      </c>
      <c r="BG987" s="76" t="b">
        <v>0</v>
      </c>
      <c r="BH987" s="83" t="str">
        <f>HYPERLINK("https://pbs.twimg.com/profile_banners/1652080887146708994/1682722756")</f>
        <v>https://pbs.twimg.com/profile_banners/1652080887146708994/1682722756</v>
      </c>
      <c r="BI987" s="76"/>
      <c r="BJ987" s="76" t="s">
        <v>24935</v>
      </c>
      <c r="BK987" s="76" t="b">
        <v>0</v>
      </c>
      <c r="BL987" s="76"/>
      <c r="BM987" s="76" t="s">
        <v>66</v>
      </c>
      <c r="BN987" s="76" t="s">
        <v>24937</v>
      </c>
      <c r="BO987" s="83" t="str">
        <f>HYPERLINK("https://twitter.com/braip_afil73309")</f>
        <v>https://twitter.com/braip_afil73309</v>
      </c>
      <c r="BP987" s="2"/>
    </row>
    <row r="988" spans="1:68" x14ac:dyDescent="0.25">
      <c r="A988" s="62" t="s">
        <v>1171</v>
      </c>
      <c r="B988" s="63"/>
      <c r="C988" s="63"/>
      <c r="D988" s="64"/>
      <c r="E988" s="66"/>
      <c r="F988" s="102" t="str">
        <f>HYPERLINK("https://pbs.twimg.com/profile_images/1387104873666293761/g0yovqsz_normal.jpg")</f>
        <v>https://pbs.twimg.com/profile_images/1387104873666293761/g0yovqsz_normal.jpg</v>
      </c>
      <c r="G988" s="63"/>
      <c r="H988" s="67"/>
      <c r="I988" s="68"/>
      <c r="J988" s="68"/>
      <c r="K988" s="67" t="s">
        <v>25922</v>
      </c>
      <c r="L988" s="71"/>
      <c r="M988" s="72"/>
      <c r="N988" s="72"/>
      <c r="O988" s="73"/>
      <c r="P988" s="74"/>
      <c r="Q988" s="74"/>
      <c r="R988" s="86"/>
      <c r="S988" s="86"/>
      <c r="T988" s="86"/>
      <c r="U988" s="86"/>
      <c r="V988" s="48"/>
      <c r="W988" s="48"/>
      <c r="X988" s="48"/>
      <c r="Y988" s="48"/>
      <c r="Z988" s="47"/>
      <c r="AA988" s="69">
        <v>988</v>
      </c>
      <c r="AB988" s="69"/>
      <c r="AC988" s="70"/>
      <c r="AD988" s="76" t="s">
        <v>22778</v>
      </c>
      <c r="AE988" s="81" t="s">
        <v>21723</v>
      </c>
      <c r="AF988" s="76">
        <v>759</v>
      </c>
      <c r="AG988" s="76">
        <v>940</v>
      </c>
      <c r="AH988" s="76">
        <v>9106</v>
      </c>
      <c r="AI988" s="76">
        <v>0</v>
      </c>
      <c r="AJ988" s="76">
        <v>24686</v>
      </c>
      <c r="AK988" s="76">
        <v>1451</v>
      </c>
      <c r="AL988" s="76" t="b">
        <v>0</v>
      </c>
      <c r="AM988" s="78">
        <v>43863.865439814814</v>
      </c>
      <c r="AN988" s="76"/>
      <c r="AO988" s="76" t="s">
        <v>24190</v>
      </c>
      <c r="AP988" s="76"/>
      <c r="AQ988" s="76"/>
      <c r="AR988" s="76"/>
      <c r="AS988" s="76"/>
      <c r="AT988" s="76"/>
      <c r="AU988" s="76"/>
      <c r="AV988" s="76">
        <v>1.49374525112256E+18</v>
      </c>
      <c r="AW988" s="76"/>
      <c r="AX988" s="76" t="b">
        <v>0</v>
      </c>
      <c r="AY988" s="76"/>
      <c r="AZ988" s="76"/>
      <c r="BA988" s="76" t="b">
        <v>1</v>
      </c>
      <c r="BB988" s="76" t="b">
        <v>0</v>
      </c>
      <c r="BC988" s="76" t="b">
        <v>1</v>
      </c>
      <c r="BD988" s="76" t="b">
        <v>0</v>
      </c>
      <c r="BE988" s="76" t="b">
        <v>1</v>
      </c>
      <c r="BF988" s="76" t="b">
        <v>0</v>
      </c>
      <c r="BG988" s="76" t="b">
        <v>1</v>
      </c>
      <c r="BH988" s="83" t="str">
        <f>HYPERLINK("https://pbs.twimg.com/profile_banners/1224071505740550144/1669170716")</f>
        <v>https://pbs.twimg.com/profile_banners/1224071505740550144/1669170716</v>
      </c>
      <c r="BI988" s="76"/>
      <c r="BJ988" s="76" t="s">
        <v>24935</v>
      </c>
      <c r="BK988" s="76" t="b">
        <v>0</v>
      </c>
      <c r="BL988" s="76"/>
      <c r="BM988" s="76" t="s">
        <v>66</v>
      </c>
      <c r="BN988" s="76" t="s">
        <v>24937</v>
      </c>
      <c r="BO988" s="83" t="str">
        <f>HYPERLINK("https://twitter.com/comentandotret1")</f>
        <v>https://twitter.com/comentandotret1</v>
      </c>
      <c r="BP988" s="2"/>
    </row>
    <row r="989" spans="1:68" x14ac:dyDescent="0.25">
      <c r="A989" s="62" t="s">
        <v>1277</v>
      </c>
      <c r="B989" s="63"/>
      <c r="C989" s="63"/>
      <c r="D989" s="64"/>
      <c r="E989" s="66"/>
      <c r="F989" s="102" t="str">
        <f>HYPERLINK("https://pbs.twimg.com/profile_images/1065795808711385088/090MvzbC_normal.jpg")</f>
        <v>https://pbs.twimg.com/profile_images/1065795808711385088/090MvzbC_normal.jpg</v>
      </c>
      <c r="G989" s="63"/>
      <c r="H989" s="67"/>
      <c r="I989" s="68"/>
      <c r="J989" s="68"/>
      <c r="K989" s="67" t="s">
        <v>25923</v>
      </c>
      <c r="L989" s="71"/>
      <c r="M989" s="72"/>
      <c r="N989" s="72"/>
      <c r="O989" s="73"/>
      <c r="P989" s="74"/>
      <c r="Q989" s="74"/>
      <c r="R989" s="86"/>
      <c r="S989" s="86"/>
      <c r="T989" s="86"/>
      <c r="U989" s="86"/>
      <c r="V989" s="48"/>
      <c r="W989" s="48"/>
      <c r="X989" s="48"/>
      <c r="Y989" s="48"/>
      <c r="Z989" s="47"/>
      <c r="AA989" s="69">
        <v>989</v>
      </c>
      <c r="AB989" s="69"/>
      <c r="AC989" s="70"/>
      <c r="AD989" s="76" t="s">
        <v>22779</v>
      </c>
      <c r="AE989" s="81" t="s">
        <v>23058</v>
      </c>
      <c r="AF989" s="76">
        <v>67418</v>
      </c>
      <c r="AG989" s="76">
        <v>6</v>
      </c>
      <c r="AH989" s="76">
        <v>2482</v>
      </c>
      <c r="AI989" s="76">
        <v>6</v>
      </c>
      <c r="AJ989" s="76">
        <v>701</v>
      </c>
      <c r="AK989" s="76">
        <v>582</v>
      </c>
      <c r="AL989" s="76" t="b">
        <v>0</v>
      </c>
      <c r="AM989" s="78">
        <v>43401.164629629631</v>
      </c>
      <c r="AN989" s="76" t="s">
        <v>23329</v>
      </c>
      <c r="AO989" s="76" t="s">
        <v>24191</v>
      </c>
      <c r="AP989" s="83" t="str">
        <f>HYPERLINK("https://t.co/oCtEsUVuEB")</f>
        <v>https://t.co/oCtEsUVuEB</v>
      </c>
      <c r="AQ989" s="83" t="str">
        <f>HYPERLINK("http://blaze.com/twbr")</f>
        <v>http://blaze.com/twbr</v>
      </c>
      <c r="AR989" s="76" t="s">
        <v>24795</v>
      </c>
      <c r="AS989" s="76"/>
      <c r="AT989" s="76"/>
      <c r="AU989" s="76"/>
      <c r="AV989" s="76">
        <v>1.6991041351848699E+18</v>
      </c>
      <c r="AW989" s="83" t="str">
        <f>HYPERLINK("https://t.co/oCtEsUVuEB")</f>
        <v>https://t.co/oCtEsUVuEB</v>
      </c>
      <c r="AX989" s="76" t="b">
        <v>1</v>
      </c>
      <c r="AY989" s="76"/>
      <c r="AZ989" s="76"/>
      <c r="BA989" s="76" t="b">
        <v>1</v>
      </c>
      <c r="BB989" s="76" t="b">
        <v>1</v>
      </c>
      <c r="BC989" s="76" t="b">
        <v>0</v>
      </c>
      <c r="BD989" s="76" t="b">
        <v>0</v>
      </c>
      <c r="BE989" s="76" t="b">
        <v>0</v>
      </c>
      <c r="BF989" s="76" t="b">
        <v>0</v>
      </c>
      <c r="BG989" s="76" t="b">
        <v>0</v>
      </c>
      <c r="BH989" s="83" t="str">
        <f>HYPERLINK("https://pbs.twimg.com/profile_banners/1056394392775340032/1677500783")</f>
        <v>https://pbs.twimg.com/profile_banners/1056394392775340032/1677500783</v>
      </c>
      <c r="BI989" s="76"/>
      <c r="BJ989" s="76" t="s">
        <v>24935</v>
      </c>
      <c r="BK989" s="76" t="b">
        <v>0</v>
      </c>
      <c r="BL989" s="76"/>
      <c r="BM989" s="76" t="s">
        <v>65</v>
      </c>
      <c r="BN989" s="76" t="s">
        <v>24937</v>
      </c>
      <c r="BO989" s="83" t="str">
        <f>HYPERLINK("https://twitter.com/blazecombr")</f>
        <v>https://twitter.com/blazecombr</v>
      </c>
      <c r="BP989" s="2"/>
    </row>
    <row r="990" spans="1:68" x14ac:dyDescent="0.25">
      <c r="A990" s="62" t="s">
        <v>1172</v>
      </c>
      <c r="B990" s="63"/>
      <c r="C990" s="63"/>
      <c r="D990" s="64"/>
      <c r="E990" s="66"/>
      <c r="F990" s="102" t="str">
        <f>HYPERLINK("https://pbs.twimg.com/profile_images/1334305100190380034/VrPrMycz_normal.jpg")</f>
        <v>https://pbs.twimg.com/profile_images/1334305100190380034/VrPrMycz_normal.jpg</v>
      </c>
      <c r="G990" s="63"/>
      <c r="H990" s="67"/>
      <c r="I990" s="68"/>
      <c r="J990" s="68"/>
      <c r="K990" s="67" t="s">
        <v>25924</v>
      </c>
      <c r="L990" s="71"/>
      <c r="M990" s="72"/>
      <c r="N990" s="72"/>
      <c r="O990" s="73"/>
      <c r="P990" s="74"/>
      <c r="Q990" s="74"/>
      <c r="R990" s="86"/>
      <c r="S990" s="86"/>
      <c r="T990" s="86"/>
      <c r="U990" s="86"/>
      <c r="V990" s="48"/>
      <c r="W990" s="48"/>
      <c r="X990" s="48"/>
      <c r="Y990" s="48"/>
      <c r="Z990" s="47"/>
      <c r="AA990" s="69">
        <v>990</v>
      </c>
      <c r="AB990" s="69"/>
      <c r="AC990" s="70"/>
      <c r="AD990" s="76" t="s">
        <v>22780</v>
      </c>
      <c r="AE990" s="81" t="s">
        <v>21724</v>
      </c>
      <c r="AF990" s="76">
        <v>132</v>
      </c>
      <c r="AG990" s="76">
        <v>667</v>
      </c>
      <c r="AH990" s="76">
        <v>943</v>
      </c>
      <c r="AI990" s="76">
        <v>2</v>
      </c>
      <c r="AJ990" s="76">
        <v>688</v>
      </c>
      <c r="AK990" s="76">
        <v>20</v>
      </c>
      <c r="AL990" s="76" t="b">
        <v>0</v>
      </c>
      <c r="AM990" s="78">
        <v>44168.051793981482</v>
      </c>
      <c r="AN990" s="76" t="s">
        <v>23330</v>
      </c>
      <c r="AO990" s="76" t="s">
        <v>24192</v>
      </c>
      <c r="AP990" s="83" t="str">
        <f>HYPERLINK("https://t.co/baDGT9PiBt")</f>
        <v>https://t.co/baDGT9PiBt</v>
      </c>
      <c r="AQ990" s="83" t="str">
        <f>HYPERLINK("https://opensea.io/collection/monkeys-fernandofreitas")</f>
        <v>https://opensea.io/collection/monkeys-fernandofreitas</v>
      </c>
      <c r="AR990" s="76" t="s">
        <v>24796</v>
      </c>
      <c r="AS990" s="76"/>
      <c r="AT990" s="76"/>
      <c r="AU990" s="76"/>
      <c r="AV990" s="76">
        <v>1.6059377231472499E+18</v>
      </c>
      <c r="AW990" s="83" t="str">
        <f>HYPERLINK("https://t.co/baDGT9PiBt")</f>
        <v>https://t.co/baDGT9PiBt</v>
      </c>
      <c r="AX990" s="76" t="b">
        <v>0</v>
      </c>
      <c r="AY990" s="76"/>
      <c r="AZ990" s="76"/>
      <c r="BA990" s="76" t="b">
        <v>0</v>
      </c>
      <c r="BB990" s="76" t="b">
        <v>1</v>
      </c>
      <c r="BC990" s="76" t="b">
        <v>1</v>
      </c>
      <c r="BD990" s="76" t="b">
        <v>0</v>
      </c>
      <c r="BE990" s="76" t="b">
        <v>1</v>
      </c>
      <c r="BF990" s="76" t="b">
        <v>0</v>
      </c>
      <c r="BG990" s="76" t="b">
        <v>0</v>
      </c>
      <c r="BH990" s="83" t="str">
        <f>HYPERLINK("https://pbs.twimg.com/profile_banners/1334304930182688768/1606958394")</f>
        <v>https://pbs.twimg.com/profile_banners/1334304930182688768/1606958394</v>
      </c>
      <c r="BI990" s="76"/>
      <c r="BJ990" s="76" t="s">
        <v>24935</v>
      </c>
      <c r="BK990" s="76" t="b">
        <v>0</v>
      </c>
      <c r="BL990" s="76"/>
      <c r="BM990" s="76" t="s">
        <v>66</v>
      </c>
      <c r="BN990" s="76" t="s">
        <v>24937</v>
      </c>
      <c r="BO990" s="83" t="str">
        <f>HYPERLINK("https://twitter.com/bitprofit2")</f>
        <v>https://twitter.com/bitprofit2</v>
      </c>
      <c r="BP990" s="2"/>
    </row>
    <row r="991" spans="1:68" x14ac:dyDescent="0.25">
      <c r="A991" s="62" t="s">
        <v>1173</v>
      </c>
      <c r="B991" s="63"/>
      <c r="C991" s="63"/>
      <c r="D991" s="64"/>
      <c r="E991" s="66"/>
      <c r="F991" s="102" t="str">
        <f>HYPERLINK("https://pbs.twimg.com/profile_images/1364443602148069378/PJ8JyFN-_normal.jpg")</f>
        <v>https://pbs.twimg.com/profile_images/1364443602148069378/PJ8JyFN-_normal.jpg</v>
      </c>
      <c r="G991" s="63"/>
      <c r="H991" s="67"/>
      <c r="I991" s="68"/>
      <c r="J991" s="68"/>
      <c r="K991" s="67" t="s">
        <v>25925</v>
      </c>
      <c r="L991" s="71"/>
      <c r="M991" s="72"/>
      <c r="N991" s="72"/>
      <c r="O991" s="73"/>
      <c r="P991" s="74"/>
      <c r="Q991" s="74"/>
      <c r="R991" s="86"/>
      <c r="S991" s="86"/>
      <c r="T991" s="86"/>
      <c r="U991" s="86"/>
      <c r="V991" s="48"/>
      <c r="W991" s="48"/>
      <c r="X991" s="48"/>
      <c r="Y991" s="48"/>
      <c r="Z991" s="47"/>
      <c r="AA991" s="69">
        <v>991</v>
      </c>
      <c r="AB991" s="69"/>
      <c r="AC991" s="70"/>
      <c r="AD991" s="76" t="s">
        <v>22781</v>
      </c>
      <c r="AE991" s="81" t="s">
        <v>23059</v>
      </c>
      <c r="AF991" s="76">
        <v>2674</v>
      </c>
      <c r="AG991" s="76">
        <v>2396</v>
      </c>
      <c r="AH991" s="76">
        <v>903</v>
      </c>
      <c r="AI991" s="76">
        <v>1</v>
      </c>
      <c r="AJ991" s="76">
        <v>251</v>
      </c>
      <c r="AK991" s="76">
        <v>210</v>
      </c>
      <c r="AL991" s="76" t="b">
        <v>0</v>
      </c>
      <c r="AM991" s="78">
        <v>40491.175613425927</v>
      </c>
      <c r="AN991" s="76" t="s">
        <v>23081</v>
      </c>
      <c r="AO991" s="76" t="s">
        <v>24193</v>
      </c>
      <c r="AP991" s="76"/>
      <c r="AQ991" s="76"/>
      <c r="AR991" s="76"/>
      <c r="AS991" s="76"/>
      <c r="AT991" s="76"/>
      <c r="AU991" s="76"/>
      <c r="AV991" s="76"/>
      <c r="AW991" s="76"/>
      <c r="AX991" s="76" t="b">
        <v>0</v>
      </c>
      <c r="AY991" s="76"/>
      <c r="AZ991" s="76"/>
      <c r="BA991" s="76" t="b">
        <v>0</v>
      </c>
      <c r="BB991" s="76" t="b">
        <v>1</v>
      </c>
      <c r="BC991" s="76" t="b">
        <v>1</v>
      </c>
      <c r="BD991" s="76" t="b">
        <v>0</v>
      </c>
      <c r="BE991" s="76" t="b">
        <v>0</v>
      </c>
      <c r="BF991" s="76" t="b">
        <v>0</v>
      </c>
      <c r="BG991" s="76" t="b">
        <v>0</v>
      </c>
      <c r="BH991" s="76"/>
      <c r="BI991" s="76"/>
      <c r="BJ991" s="76" t="s">
        <v>24935</v>
      </c>
      <c r="BK991" s="76" t="b">
        <v>0</v>
      </c>
      <c r="BL991" s="76"/>
      <c r="BM991" s="76" t="s">
        <v>66</v>
      </c>
      <c r="BN991" s="76" t="s">
        <v>24937</v>
      </c>
      <c r="BO991" s="83" t="str">
        <f>HYPERLINK("https://twitter.com/kbcaxxx")</f>
        <v>https://twitter.com/kbcaxxx</v>
      </c>
      <c r="BP991" s="2"/>
    </row>
    <row r="992" spans="1:68" x14ac:dyDescent="0.25">
      <c r="A992" s="62" t="s">
        <v>1174</v>
      </c>
      <c r="B992" s="63"/>
      <c r="C992" s="63"/>
      <c r="D992" s="64"/>
      <c r="E992" s="66"/>
      <c r="F992" s="102" t="str">
        <f>HYPERLINK("https://pbs.twimg.com/profile_images/1620840896164921358/so4CdJUj_normal.jpg")</f>
        <v>https://pbs.twimg.com/profile_images/1620840896164921358/so4CdJUj_normal.jpg</v>
      </c>
      <c r="G992" s="63"/>
      <c r="H992" s="67"/>
      <c r="I992" s="68"/>
      <c r="J992" s="68"/>
      <c r="K992" s="67" t="s">
        <v>25926</v>
      </c>
      <c r="L992" s="71"/>
      <c r="M992" s="72"/>
      <c r="N992" s="72"/>
      <c r="O992" s="73"/>
      <c r="P992" s="74"/>
      <c r="Q992" s="74"/>
      <c r="R992" s="86"/>
      <c r="S992" s="86"/>
      <c r="T992" s="86"/>
      <c r="U992" s="86"/>
      <c r="V992" s="48"/>
      <c r="W992" s="48"/>
      <c r="X992" s="48"/>
      <c r="Y992" s="48"/>
      <c r="Z992" s="47"/>
      <c r="AA992" s="69">
        <v>992</v>
      </c>
      <c r="AB992" s="69"/>
      <c r="AC992" s="70"/>
      <c r="AD992" s="76" t="s">
        <v>22782</v>
      </c>
      <c r="AE992" s="81" t="s">
        <v>21725</v>
      </c>
      <c r="AF992" s="76">
        <v>5</v>
      </c>
      <c r="AG992" s="76">
        <v>27</v>
      </c>
      <c r="AH992" s="76">
        <v>30</v>
      </c>
      <c r="AI992" s="76">
        <v>0</v>
      </c>
      <c r="AJ992" s="76">
        <v>24</v>
      </c>
      <c r="AK992" s="76">
        <v>22</v>
      </c>
      <c r="AL992" s="76" t="b">
        <v>0</v>
      </c>
      <c r="AM992" s="78">
        <v>44958.739305555559</v>
      </c>
      <c r="AN992" s="76" t="s">
        <v>23331</v>
      </c>
      <c r="AO992" s="76" t="s">
        <v>24194</v>
      </c>
      <c r="AP992" s="83" t="str">
        <f>HYPERLINK("https://t.co/Si7XZ5jIKA")</f>
        <v>https://t.co/Si7XZ5jIKA</v>
      </c>
      <c r="AQ992" s="83" t="str">
        <f>HYPERLINK("https://warriorplus.com/o2/a/hgtjdk/0")</f>
        <v>https://warriorplus.com/o2/a/hgtjdk/0</v>
      </c>
      <c r="AR992" s="76" t="s">
        <v>24797</v>
      </c>
      <c r="AS992" s="76"/>
      <c r="AT992" s="76"/>
      <c r="AU992" s="76"/>
      <c r="AV992" s="76">
        <v>1.6251009912541E+18</v>
      </c>
      <c r="AW992" s="83" t="str">
        <f>HYPERLINK("https://t.co/Si7XZ5jIKA")</f>
        <v>https://t.co/Si7XZ5jIKA</v>
      </c>
      <c r="AX992" s="76" t="b">
        <v>0</v>
      </c>
      <c r="AY992" s="76"/>
      <c r="AZ992" s="76"/>
      <c r="BA992" s="76" t="b">
        <v>0</v>
      </c>
      <c r="BB992" s="76" t="b">
        <v>1</v>
      </c>
      <c r="BC992" s="76" t="b">
        <v>1</v>
      </c>
      <c r="BD992" s="76" t="b">
        <v>0</v>
      </c>
      <c r="BE992" s="76" t="b">
        <v>0</v>
      </c>
      <c r="BF992" s="76" t="b">
        <v>0</v>
      </c>
      <c r="BG992" s="76" t="b">
        <v>0</v>
      </c>
      <c r="BH992" s="83" t="str">
        <f>HYPERLINK("https://pbs.twimg.com/profile_banners/1620840494392541186/1675852960")</f>
        <v>https://pbs.twimg.com/profile_banners/1620840494392541186/1675852960</v>
      </c>
      <c r="BI992" s="76"/>
      <c r="BJ992" s="76" t="s">
        <v>24935</v>
      </c>
      <c r="BK992" s="76" t="b">
        <v>0</v>
      </c>
      <c r="BL992" s="76"/>
      <c r="BM992" s="76" t="s">
        <v>66</v>
      </c>
      <c r="BN992" s="76" t="s">
        <v>24937</v>
      </c>
      <c r="BO992" s="83" t="str">
        <f>HYPERLINK("https://twitter.com/limahanelio")</f>
        <v>https://twitter.com/limahanelio</v>
      </c>
      <c r="BP992" s="2"/>
    </row>
    <row r="993" spans="1:68" x14ac:dyDescent="0.25">
      <c r="A993" s="62" t="s">
        <v>1175</v>
      </c>
      <c r="B993" s="63"/>
      <c r="C993" s="63"/>
      <c r="D993" s="64"/>
      <c r="E993" s="66"/>
      <c r="F993" s="102" t="str">
        <f>HYPERLINK("https://pbs.twimg.com/profile_images/1118884808267055106/Cli7G2x9_normal.jpg")</f>
        <v>https://pbs.twimg.com/profile_images/1118884808267055106/Cli7G2x9_normal.jpg</v>
      </c>
      <c r="G993" s="63"/>
      <c r="H993" s="67"/>
      <c r="I993" s="68"/>
      <c r="J993" s="68"/>
      <c r="K993" s="67" t="s">
        <v>25927</v>
      </c>
      <c r="L993" s="71"/>
      <c r="M993" s="72"/>
      <c r="N993" s="72"/>
      <c r="O993" s="73"/>
      <c r="P993" s="74"/>
      <c r="Q993" s="74"/>
      <c r="R993" s="86"/>
      <c r="S993" s="86"/>
      <c r="T993" s="86"/>
      <c r="U993" s="86"/>
      <c r="V993" s="48"/>
      <c r="W993" s="48"/>
      <c r="X993" s="48"/>
      <c r="Y993" s="48"/>
      <c r="Z993" s="47"/>
      <c r="AA993" s="69">
        <v>993</v>
      </c>
      <c r="AB993" s="69"/>
      <c r="AC993" s="70"/>
      <c r="AD993" s="76" t="s">
        <v>22783</v>
      </c>
      <c r="AE993" s="81" t="s">
        <v>21726</v>
      </c>
      <c r="AF993" s="76">
        <v>6</v>
      </c>
      <c r="AG993" s="76">
        <v>21</v>
      </c>
      <c r="AH993" s="76">
        <v>21</v>
      </c>
      <c r="AI993" s="76">
        <v>0</v>
      </c>
      <c r="AJ993" s="76">
        <v>15</v>
      </c>
      <c r="AK993" s="76">
        <v>2</v>
      </c>
      <c r="AL993" s="76" t="b">
        <v>0</v>
      </c>
      <c r="AM993" s="78">
        <v>42542.192800925928</v>
      </c>
      <c r="AN993" s="76" t="s">
        <v>23332</v>
      </c>
      <c r="AO993" s="76" t="s">
        <v>24195</v>
      </c>
      <c r="AP993" s="76"/>
      <c r="AQ993" s="76"/>
      <c r="AR993" s="76"/>
      <c r="AS993" s="76"/>
      <c r="AT993" s="76"/>
      <c r="AU993" s="76"/>
      <c r="AV993" s="76"/>
      <c r="AW993" s="76"/>
      <c r="AX993" s="76" t="b">
        <v>0</v>
      </c>
      <c r="AY993" s="76"/>
      <c r="AZ993" s="76"/>
      <c r="BA993" s="76" t="b">
        <v>0</v>
      </c>
      <c r="BB993" s="76" t="b">
        <v>1</v>
      </c>
      <c r="BC993" s="76" t="b">
        <v>1</v>
      </c>
      <c r="BD993" s="76" t="b">
        <v>0</v>
      </c>
      <c r="BE993" s="76" t="b">
        <v>0</v>
      </c>
      <c r="BF993" s="76" t="b">
        <v>0</v>
      </c>
      <c r="BG993" s="76" t="b">
        <v>0</v>
      </c>
      <c r="BH993" s="83" t="str">
        <f>HYPERLINK("https://pbs.twimg.com/profile_banners/745113423759839232/1555597904")</f>
        <v>https://pbs.twimg.com/profile_banners/745113423759839232/1555597904</v>
      </c>
      <c r="BI993" s="76"/>
      <c r="BJ993" s="76" t="s">
        <v>24935</v>
      </c>
      <c r="BK993" s="76" t="b">
        <v>0</v>
      </c>
      <c r="BL993" s="76"/>
      <c r="BM993" s="76" t="s">
        <v>66</v>
      </c>
      <c r="BN993" s="76" t="s">
        <v>24937</v>
      </c>
      <c r="BO993" s="83" t="str">
        <f>HYPERLINK("https://twitter.com/alexselhorst")</f>
        <v>https://twitter.com/alexselhorst</v>
      </c>
      <c r="BP993" s="2"/>
    </row>
    <row r="994" spans="1:68" x14ac:dyDescent="0.25">
      <c r="A994" s="62" t="s">
        <v>1176</v>
      </c>
      <c r="B994" s="63"/>
      <c r="C994" s="63"/>
      <c r="D994" s="64"/>
      <c r="E994" s="66"/>
      <c r="F994" s="102" t="str">
        <f>HYPERLINK("https://pbs.twimg.com/profile_images/1616968850850942978/YcvSsLaa_normal.jpg")</f>
        <v>https://pbs.twimg.com/profile_images/1616968850850942978/YcvSsLaa_normal.jpg</v>
      </c>
      <c r="G994" s="63"/>
      <c r="H994" s="67"/>
      <c r="I994" s="68"/>
      <c r="J994" s="68"/>
      <c r="K994" s="67" t="s">
        <v>25928</v>
      </c>
      <c r="L994" s="71"/>
      <c r="M994" s="72"/>
      <c r="N994" s="72"/>
      <c r="O994" s="73"/>
      <c r="P994" s="74"/>
      <c r="Q994" s="74"/>
      <c r="R994" s="86"/>
      <c r="S994" s="86"/>
      <c r="T994" s="86"/>
      <c r="U994" s="86"/>
      <c r="V994" s="48"/>
      <c r="W994" s="48"/>
      <c r="X994" s="48"/>
      <c r="Y994" s="48"/>
      <c r="Z994" s="47"/>
      <c r="AA994" s="69">
        <v>994</v>
      </c>
      <c r="AB994" s="69"/>
      <c r="AC994" s="70"/>
      <c r="AD994" s="76" t="s">
        <v>22784</v>
      </c>
      <c r="AE994" s="81" t="s">
        <v>21727</v>
      </c>
      <c r="AF994" s="76">
        <v>0</v>
      </c>
      <c r="AG994" s="76">
        <v>81</v>
      </c>
      <c r="AH994" s="76">
        <v>10</v>
      </c>
      <c r="AI994" s="76">
        <v>0</v>
      </c>
      <c r="AJ994" s="76">
        <v>0</v>
      </c>
      <c r="AK994" s="76">
        <v>8</v>
      </c>
      <c r="AL994" s="76" t="b">
        <v>0</v>
      </c>
      <c r="AM994" s="78">
        <v>44947.923981481479</v>
      </c>
      <c r="AN994" s="76"/>
      <c r="AO994" s="76"/>
      <c r="AP994" s="76"/>
      <c r="AQ994" s="76"/>
      <c r="AR994" s="76"/>
      <c r="AS994" s="76"/>
      <c r="AT994" s="76"/>
      <c r="AU994" s="76"/>
      <c r="AV994" s="76"/>
      <c r="AW994" s="76"/>
      <c r="AX994" s="76" t="b">
        <v>0</v>
      </c>
      <c r="AY994" s="76"/>
      <c r="AZ994" s="76"/>
      <c r="BA994" s="76" t="b">
        <v>0</v>
      </c>
      <c r="BB994" s="76" t="b">
        <v>1</v>
      </c>
      <c r="BC994" s="76" t="b">
        <v>1</v>
      </c>
      <c r="BD994" s="76" t="b">
        <v>0</v>
      </c>
      <c r="BE994" s="76" t="b">
        <v>0</v>
      </c>
      <c r="BF994" s="76" t="b">
        <v>0</v>
      </c>
      <c r="BG994" s="76" t="b">
        <v>0</v>
      </c>
      <c r="BH994" s="76"/>
      <c r="BI994" s="76"/>
      <c r="BJ994" s="76" t="s">
        <v>24935</v>
      </c>
      <c r="BK994" s="76" t="b">
        <v>0</v>
      </c>
      <c r="BL994" s="76"/>
      <c r="BM994" s="76" t="s">
        <v>66</v>
      </c>
      <c r="BN994" s="76" t="s">
        <v>24937</v>
      </c>
      <c r="BO994" s="83" t="str">
        <f>HYPERLINK("https://twitter.com/adriana44006527")</f>
        <v>https://twitter.com/adriana44006527</v>
      </c>
      <c r="BP994" s="2"/>
    </row>
    <row r="995" spans="1:68" x14ac:dyDescent="0.25">
      <c r="A995" s="62" t="s">
        <v>1177</v>
      </c>
      <c r="B995" s="63"/>
      <c r="C995" s="63"/>
      <c r="D995" s="64"/>
      <c r="E995" s="66"/>
      <c r="F995" s="102" t="str">
        <f>HYPERLINK("https://pbs.twimg.com/profile_images/1573828580118773760/NzMGuPCO_normal.jpg")</f>
        <v>https://pbs.twimg.com/profile_images/1573828580118773760/NzMGuPCO_normal.jpg</v>
      </c>
      <c r="G995" s="63"/>
      <c r="H995" s="67"/>
      <c r="I995" s="68"/>
      <c r="J995" s="68"/>
      <c r="K995" s="67" t="s">
        <v>25929</v>
      </c>
      <c r="L995" s="71"/>
      <c r="M995" s="72"/>
      <c r="N995" s="72"/>
      <c r="O995" s="73"/>
      <c r="P995" s="74"/>
      <c r="Q995" s="74"/>
      <c r="R995" s="86"/>
      <c r="S995" s="86"/>
      <c r="T995" s="86"/>
      <c r="U995" s="86"/>
      <c r="V995" s="48"/>
      <c r="W995" s="48"/>
      <c r="X995" s="48"/>
      <c r="Y995" s="48"/>
      <c r="Z995" s="47"/>
      <c r="AA995" s="69">
        <v>995</v>
      </c>
      <c r="AB995" s="69"/>
      <c r="AC995" s="70"/>
      <c r="AD995" s="76" t="s">
        <v>22785</v>
      </c>
      <c r="AE995" s="81" t="s">
        <v>21728</v>
      </c>
      <c r="AF995" s="76">
        <v>0</v>
      </c>
      <c r="AG995" s="76">
        <v>2</v>
      </c>
      <c r="AH995" s="76">
        <v>40</v>
      </c>
      <c r="AI995" s="76">
        <v>0</v>
      </c>
      <c r="AJ995" s="76">
        <v>1</v>
      </c>
      <c r="AK995" s="76">
        <v>4</v>
      </c>
      <c r="AL995" s="76" t="b">
        <v>0</v>
      </c>
      <c r="AM995" s="78">
        <v>44829.010972222219</v>
      </c>
      <c r="AN995" s="76"/>
      <c r="AO995" s="76" t="s">
        <v>24196</v>
      </c>
      <c r="AP995" s="76"/>
      <c r="AQ995" s="76"/>
      <c r="AR995" s="76"/>
      <c r="AS995" s="76"/>
      <c r="AT995" s="76"/>
      <c r="AU995" s="76"/>
      <c r="AV995" s="76"/>
      <c r="AW995" s="76"/>
      <c r="AX995" s="76" t="b">
        <v>0</v>
      </c>
      <c r="AY995" s="76"/>
      <c r="AZ995" s="76"/>
      <c r="BA995" s="76" t="b">
        <v>1</v>
      </c>
      <c r="BB995" s="76" t="b">
        <v>1</v>
      </c>
      <c r="BC995" s="76" t="b">
        <v>1</v>
      </c>
      <c r="BD995" s="76" t="b">
        <v>0</v>
      </c>
      <c r="BE995" s="76" t="b">
        <v>0</v>
      </c>
      <c r="BF995" s="76" t="b">
        <v>0</v>
      </c>
      <c r="BG995" s="76" t="b">
        <v>0</v>
      </c>
      <c r="BH995" s="83" t="str">
        <f>HYPERLINK("https://pbs.twimg.com/profile_banners/1573828475152207873/1666755899")</f>
        <v>https://pbs.twimg.com/profile_banners/1573828475152207873/1666755899</v>
      </c>
      <c r="BI995" s="76"/>
      <c r="BJ995" s="76" t="s">
        <v>24935</v>
      </c>
      <c r="BK995" s="76" t="b">
        <v>0</v>
      </c>
      <c r="BL995" s="76"/>
      <c r="BM995" s="76" t="s">
        <v>66</v>
      </c>
      <c r="BN995" s="76" t="s">
        <v>24937</v>
      </c>
      <c r="BO995" s="83" t="str">
        <f>HYPERLINK("https://twitter.com/taufagundes")</f>
        <v>https://twitter.com/taufagundes</v>
      </c>
      <c r="BP995" s="2"/>
    </row>
    <row r="996" spans="1:68" x14ac:dyDescent="0.25">
      <c r="A996" s="62" t="s">
        <v>1178</v>
      </c>
      <c r="B996" s="63"/>
      <c r="C996" s="63"/>
      <c r="D996" s="64"/>
      <c r="E996" s="66"/>
      <c r="F996" s="102" t="str">
        <f>HYPERLINK("https://pbs.twimg.com/profile_images/1686270885060132864/QXU8ykqk_normal.jpg")</f>
        <v>https://pbs.twimg.com/profile_images/1686270885060132864/QXU8ykqk_normal.jpg</v>
      </c>
      <c r="G996" s="63"/>
      <c r="H996" s="67"/>
      <c r="I996" s="68"/>
      <c r="J996" s="68"/>
      <c r="K996" s="67" t="s">
        <v>25930</v>
      </c>
      <c r="L996" s="71"/>
      <c r="M996" s="72"/>
      <c r="N996" s="72"/>
      <c r="O996" s="73"/>
      <c r="P996" s="74"/>
      <c r="Q996" s="74"/>
      <c r="R996" s="86"/>
      <c r="S996" s="86"/>
      <c r="T996" s="86"/>
      <c r="U996" s="86"/>
      <c r="V996" s="48"/>
      <c r="W996" s="48"/>
      <c r="X996" s="48"/>
      <c r="Y996" s="48"/>
      <c r="Z996" s="47"/>
      <c r="AA996" s="69">
        <v>996</v>
      </c>
      <c r="AB996" s="69"/>
      <c r="AC996" s="70"/>
      <c r="AD996" s="76" t="s">
        <v>22786</v>
      </c>
      <c r="AE996" s="81" t="s">
        <v>21729</v>
      </c>
      <c r="AF996" s="76">
        <v>1</v>
      </c>
      <c r="AG996" s="76">
        <v>57</v>
      </c>
      <c r="AH996" s="76">
        <v>2</v>
      </c>
      <c r="AI996" s="76">
        <v>0</v>
      </c>
      <c r="AJ996" s="76">
        <v>0</v>
      </c>
      <c r="AK996" s="76">
        <v>2</v>
      </c>
      <c r="AL996" s="76" t="b">
        <v>0</v>
      </c>
      <c r="AM996" s="78">
        <v>45139.290451388886</v>
      </c>
      <c r="AN996" s="76"/>
      <c r="AO996" s="76" t="s">
        <v>24197</v>
      </c>
      <c r="AP996" s="83" t="str">
        <f>HYPERLINK("https://t.co/tHgvy8SRSa")</f>
        <v>https://t.co/tHgvy8SRSa</v>
      </c>
      <c r="AQ996" s="83" t="str">
        <f>HYPERLINK("https://chat.whatsapp.com/GOoB4ZsDdctBLQ68zSl9WZ")</f>
        <v>https://chat.whatsapp.com/GOoB4ZsDdctBLQ68zSl9WZ</v>
      </c>
      <c r="AR996" s="76" t="s">
        <v>24798</v>
      </c>
      <c r="AS996" s="76"/>
      <c r="AT996" s="76"/>
      <c r="AU996" s="76"/>
      <c r="AV996" s="76"/>
      <c r="AW996" s="83" t="str">
        <f>HYPERLINK("https://t.co/tHgvy8SRSa")</f>
        <v>https://t.co/tHgvy8SRSa</v>
      </c>
      <c r="AX996" s="76" t="b">
        <v>0</v>
      </c>
      <c r="AY996" s="76"/>
      <c r="AZ996" s="76"/>
      <c r="BA996" s="76" t="b">
        <v>0</v>
      </c>
      <c r="BB996" s="76" t="b">
        <v>1</v>
      </c>
      <c r="BC996" s="76" t="b">
        <v>1</v>
      </c>
      <c r="BD996" s="76" t="b">
        <v>0</v>
      </c>
      <c r="BE996" s="76" t="b">
        <v>0</v>
      </c>
      <c r="BF996" s="76" t="b">
        <v>0</v>
      </c>
      <c r="BG996" s="76" t="b">
        <v>0</v>
      </c>
      <c r="BH996" s="83" t="str">
        <f>HYPERLINK("https://pbs.twimg.com/profile_banners/1686269979786620928/1692162403")</f>
        <v>https://pbs.twimg.com/profile_banners/1686269979786620928/1692162403</v>
      </c>
      <c r="BI996" s="76"/>
      <c r="BJ996" s="76" t="s">
        <v>24935</v>
      </c>
      <c r="BK996" s="76" t="b">
        <v>0</v>
      </c>
      <c r="BL996" s="76"/>
      <c r="BM996" s="76" t="s">
        <v>66</v>
      </c>
      <c r="BN996" s="76" t="s">
        <v>24937</v>
      </c>
      <c r="BO996" s="83" t="str">
        <f>HYPERLINK("https://twitter.com/marirecrutarora")</f>
        <v>https://twitter.com/marirecrutarora</v>
      </c>
      <c r="BP996" s="2"/>
    </row>
    <row r="997" spans="1:68" x14ac:dyDescent="0.25">
      <c r="A997" s="62" t="s">
        <v>1179</v>
      </c>
      <c r="B997" s="63"/>
      <c r="C997" s="63"/>
      <c r="D997" s="64"/>
      <c r="E997" s="66"/>
      <c r="F997" s="102" t="str">
        <f>HYPERLINK("https://pbs.twimg.com/profile_images/1635713488164093973/X4lJcHCO_normal.jpg")</f>
        <v>https://pbs.twimg.com/profile_images/1635713488164093973/X4lJcHCO_normal.jpg</v>
      </c>
      <c r="G997" s="63"/>
      <c r="H997" s="67"/>
      <c r="I997" s="68"/>
      <c r="J997" s="68"/>
      <c r="K997" s="67" t="s">
        <v>25931</v>
      </c>
      <c r="L997" s="71"/>
      <c r="M997" s="72"/>
      <c r="N997" s="72"/>
      <c r="O997" s="73"/>
      <c r="P997" s="74"/>
      <c r="Q997" s="74"/>
      <c r="R997" s="86"/>
      <c r="S997" s="86"/>
      <c r="T997" s="86"/>
      <c r="U997" s="86"/>
      <c r="V997" s="48"/>
      <c r="W997" s="48"/>
      <c r="X997" s="48"/>
      <c r="Y997" s="48"/>
      <c r="Z997" s="47"/>
      <c r="AA997" s="69">
        <v>997</v>
      </c>
      <c r="AB997" s="69"/>
      <c r="AC997" s="70"/>
      <c r="AD997" s="76" t="s">
        <v>22787</v>
      </c>
      <c r="AE997" s="81" t="s">
        <v>21730</v>
      </c>
      <c r="AF997" s="76">
        <v>1</v>
      </c>
      <c r="AG997" s="76">
        <v>0</v>
      </c>
      <c r="AH997" s="76">
        <v>1</v>
      </c>
      <c r="AI997" s="76">
        <v>0</v>
      </c>
      <c r="AJ997" s="76">
        <v>0</v>
      </c>
      <c r="AK997" s="76">
        <v>0</v>
      </c>
      <c r="AL997" s="76" t="b">
        <v>0</v>
      </c>
      <c r="AM997" s="78">
        <v>44999.780474537038</v>
      </c>
      <c r="AN997" s="76"/>
      <c r="AO997" s="76"/>
      <c r="AP997" s="76"/>
      <c r="AQ997" s="76"/>
      <c r="AR997" s="76"/>
      <c r="AS997" s="76"/>
      <c r="AT997" s="76"/>
      <c r="AU997" s="76"/>
      <c r="AV997" s="76"/>
      <c r="AW997" s="76"/>
      <c r="AX997" s="76" t="b">
        <v>0</v>
      </c>
      <c r="AY997" s="76"/>
      <c r="AZ997" s="76"/>
      <c r="BA997" s="76" t="b">
        <v>0</v>
      </c>
      <c r="BB997" s="76" t="b">
        <v>1</v>
      </c>
      <c r="BC997" s="76" t="b">
        <v>1</v>
      </c>
      <c r="BD997" s="76" t="b">
        <v>0</v>
      </c>
      <c r="BE997" s="76" t="b">
        <v>0</v>
      </c>
      <c r="BF997" s="76" t="b">
        <v>0</v>
      </c>
      <c r="BG997" s="76" t="b">
        <v>0</v>
      </c>
      <c r="BH997" s="76"/>
      <c r="BI997" s="76"/>
      <c r="BJ997" s="76" t="s">
        <v>24935</v>
      </c>
      <c r="BK997" s="76" t="b">
        <v>0</v>
      </c>
      <c r="BL997" s="76"/>
      <c r="BM997" s="76" t="s">
        <v>66</v>
      </c>
      <c r="BN997" s="76" t="s">
        <v>24937</v>
      </c>
      <c r="BO997" s="83" t="str">
        <f>HYPERLINK("https://twitter.com/dennerramo86286")</f>
        <v>https://twitter.com/dennerramo86286</v>
      </c>
      <c r="BP997" s="2"/>
    </row>
    <row r="998" spans="1:68" x14ac:dyDescent="0.25">
      <c r="A998" s="62" t="s">
        <v>1180</v>
      </c>
      <c r="B998" s="63"/>
      <c r="C998" s="63"/>
      <c r="D998" s="64"/>
      <c r="E998" s="66"/>
      <c r="F998" s="102" t="str">
        <f>HYPERLINK("https://pbs.twimg.com/profile_images/1632100473590231040/ITDONnb__normal.jpg")</f>
        <v>https://pbs.twimg.com/profile_images/1632100473590231040/ITDONnb__normal.jpg</v>
      </c>
      <c r="G998" s="63"/>
      <c r="H998" s="67"/>
      <c r="I998" s="68"/>
      <c r="J998" s="68"/>
      <c r="K998" s="67" t="s">
        <v>25932</v>
      </c>
      <c r="L998" s="71"/>
      <c r="M998" s="72"/>
      <c r="N998" s="72"/>
      <c r="O998" s="73"/>
      <c r="P998" s="74"/>
      <c r="Q998" s="74"/>
      <c r="R998" s="86"/>
      <c r="S998" s="86"/>
      <c r="T998" s="86"/>
      <c r="U998" s="86"/>
      <c r="V998" s="48"/>
      <c r="W998" s="48"/>
      <c r="X998" s="48"/>
      <c r="Y998" s="48"/>
      <c r="Z998" s="47"/>
      <c r="AA998" s="69">
        <v>998</v>
      </c>
      <c r="AB998" s="69"/>
      <c r="AC998" s="70"/>
      <c r="AD998" s="76" t="s">
        <v>22788</v>
      </c>
      <c r="AE998" s="81" t="s">
        <v>21731</v>
      </c>
      <c r="AF998" s="76">
        <v>4</v>
      </c>
      <c r="AG998" s="76">
        <v>17</v>
      </c>
      <c r="AH998" s="76">
        <v>3351</v>
      </c>
      <c r="AI998" s="76">
        <v>0</v>
      </c>
      <c r="AJ998" s="76">
        <v>137</v>
      </c>
      <c r="AK998" s="76">
        <v>2863</v>
      </c>
      <c r="AL998" s="76" t="b">
        <v>0</v>
      </c>
      <c r="AM998" s="78">
        <v>44989.810763888891</v>
      </c>
      <c r="AN998" s="76"/>
      <c r="AO998" s="76"/>
      <c r="AP998" s="76"/>
      <c r="AQ998" s="76"/>
      <c r="AR998" s="76"/>
      <c r="AS998" s="76"/>
      <c r="AT998" s="76"/>
      <c r="AU998" s="76"/>
      <c r="AV998" s="76"/>
      <c r="AW998" s="76"/>
      <c r="AX998" s="76" t="b">
        <v>0</v>
      </c>
      <c r="AY998" s="76"/>
      <c r="AZ998" s="76"/>
      <c r="BA998" s="76" t="b">
        <v>0</v>
      </c>
      <c r="BB998" s="76" t="b">
        <v>1</v>
      </c>
      <c r="BC998" s="76" t="b">
        <v>1</v>
      </c>
      <c r="BD998" s="76" t="b">
        <v>0</v>
      </c>
      <c r="BE998" s="76" t="b">
        <v>0</v>
      </c>
      <c r="BF998" s="76" t="b">
        <v>0</v>
      </c>
      <c r="BG998" s="76" t="b">
        <v>0</v>
      </c>
      <c r="BH998" s="76"/>
      <c r="BI998" s="76"/>
      <c r="BJ998" s="76" t="s">
        <v>24935</v>
      </c>
      <c r="BK998" s="76" t="b">
        <v>0</v>
      </c>
      <c r="BL998" s="76"/>
      <c r="BM998" s="76" t="s">
        <v>66</v>
      </c>
      <c r="BN998" s="76" t="s">
        <v>24937</v>
      </c>
      <c r="BO998" s="83" t="str">
        <f>HYPERLINK("https://twitter.com/karra_opire")</f>
        <v>https://twitter.com/karra_opire</v>
      </c>
      <c r="BP998" s="2"/>
    </row>
    <row r="999" spans="1:68" x14ac:dyDescent="0.25">
      <c r="A999" s="62" t="s">
        <v>1181</v>
      </c>
      <c r="B999" s="63"/>
      <c r="C999" s="63"/>
      <c r="D999" s="64"/>
      <c r="E999" s="66"/>
      <c r="F999" s="102" t="str">
        <f>HYPERLINK("https://pbs.twimg.com/profile_images/1599480468356927489/hoAVSJCE_normal.jpg")</f>
        <v>https://pbs.twimg.com/profile_images/1599480468356927489/hoAVSJCE_normal.jpg</v>
      </c>
      <c r="G999" s="63"/>
      <c r="H999" s="67"/>
      <c r="I999" s="68"/>
      <c r="J999" s="68"/>
      <c r="K999" s="67" t="s">
        <v>25933</v>
      </c>
      <c r="L999" s="71"/>
      <c r="M999" s="72"/>
      <c r="N999" s="72"/>
      <c r="O999" s="73"/>
      <c r="P999" s="74"/>
      <c r="Q999" s="74"/>
      <c r="R999" s="86"/>
      <c r="S999" s="86"/>
      <c r="T999" s="86"/>
      <c r="U999" s="86"/>
      <c r="V999" s="48"/>
      <c r="W999" s="48"/>
      <c r="X999" s="48"/>
      <c r="Y999" s="48"/>
      <c r="Z999" s="47"/>
      <c r="AA999" s="69">
        <v>999</v>
      </c>
      <c r="AB999" s="69"/>
      <c r="AC999" s="70"/>
      <c r="AD999" s="76" t="s">
        <v>22789</v>
      </c>
      <c r="AE999" s="81" t="s">
        <v>21732</v>
      </c>
      <c r="AF999" s="76">
        <v>0</v>
      </c>
      <c r="AG999" s="76">
        <v>4</v>
      </c>
      <c r="AH999" s="76">
        <v>1</v>
      </c>
      <c r="AI999" s="76">
        <v>0</v>
      </c>
      <c r="AJ999" s="76">
        <v>0</v>
      </c>
      <c r="AK999" s="76">
        <v>1</v>
      </c>
      <c r="AL999" s="76" t="b">
        <v>0</v>
      </c>
      <c r="AM999" s="78">
        <v>44899.793819444443</v>
      </c>
      <c r="AN999" s="76"/>
      <c r="AO999" s="76"/>
      <c r="AP999" s="76"/>
      <c r="AQ999" s="76"/>
      <c r="AR999" s="76"/>
      <c r="AS999" s="76"/>
      <c r="AT999" s="76"/>
      <c r="AU999" s="76"/>
      <c r="AV999" s="76"/>
      <c r="AW999" s="76"/>
      <c r="AX999" s="76" t="b">
        <v>0</v>
      </c>
      <c r="AY999" s="76"/>
      <c r="AZ999" s="76"/>
      <c r="BA999" s="76" t="b">
        <v>0</v>
      </c>
      <c r="BB999" s="76" t="b">
        <v>1</v>
      </c>
      <c r="BC999" s="76" t="b">
        <v>1</v>
      </c>
      <c r="BD999" s="76" t="b">
        <v>0</v>
      </c>
      <c r="BE999" s="76" t="b">
        <v>0</v>
      </c>
      <c r="BF999" s="76" t="b">
        <v>0</v>
      </c>
      <c r="BG999" s="76" t="b">
        <v>0</v>
      </c>
      <c r="BH999" s="76"/>
      <c r="BI999" s="76"/>
      <c r="BJ999" s="76" t="s">
        <v>24935</v>
      </c>
      <c r="BK999" s="76" t="b">
        <v>0</v>
      </c>
      <c r="BL999" s="76"/>
      <c r="BM999" s="76" t="s">
        <v>66</v>
      </c>
      <c r="BN999" s="76" t="s">
        <v>24937</v>
      </c>
      <c r="BO999" s="83" t="str">
        <f>HYPERLINK("https://twitter.com/janaynna_js")</f>
        <v>https://twitter.com/janaynna_js</v>
      </c>
      <c r="BP999" s="2"/>
    </row>
    <row r="1000" spans="1:68" x14ac:dyDescent="0.25">
      <c r="A1000" s="62" t="s">
        <v>1182</v>
      </c>
      <c r="B1000" s="63"/>
      <c r="C1000" s="63"/>
      <c r="D1000" s="64"/>
      <c r="E1000" s="66"/>
      <c r="F1000" s="102" t="str">
        <f>HYPERLINK("https://pbs.twimg.com/profile_images/1646989454341537792/9K4sazPC_normal.jpg")</f>
        <v>https://pbs.twimg.com/profile_images/1646989454341537792/9K4sazPC_normal.jpg</v>
      </c>
      <c r="G1000" s="63"/>
      <c r="H1000" s="67"/>
      <c r="I1000" s="68"/>
      <c r="J1000" s="68"/>
      <c r="K1000" s="67" t="s">
        <v>25934</v>
      </c>
      <c r="L1000" s="71"/>
      <c r="M1000" s="72"/>
      <c r="N1000" s="72"/>
      <c r="O1000" s="73"/>
      <c r="P1000" s="74"/>
      <c r="Q1000" s="74"/>
      <c r="R1000" s="86"/>
      <c r="S1000" s="86"/>
      <c r="T1000" s="86"/>
      <c r="U1000" s="86"/>
      <c r="V1000" s="48"/>
      <c r="W1000" s="48"/>
      <c r="X1000" s="48"/>
      <c r="Y1000" s="48"/>
      <c r="Z1000" s="47"/>
      <c r="AA1000" s="69">
        <v>1000</v>
      </c>
      <c r="AB1000" s="69"/>
      <c r="AC1000" s="70"/>
      <c r="AD1000" s="76" t="s">
        <v>22790</v>
      </c>
      <c r="AE1000" s="81" t="s">
        <v>21733</v>
      </c>
      <c r="AF1000" s="76">
        <v>2</v>
      </c>
      <c r="AG1000" s="76">
        <v>4</v>
      </c>
      <c r="AH1000" s="76">
        <v>10</v>
      </c>
      <c r="AI1000" s="76">
        <v>0</v>
      </c>
      <c r="AJ1000" s="76">
        <v>379</v>
      </c>
      <c r="AK1000" s="76">
        <v>3</v>
      </c>
      <c r="AL1000" s="76" t="b">
        <v>0</v>
      </c>
      <c r="AM1000" s="78">
        <v>44636.591134259259</v>
      </c>
      <c r="AN1000" s="76"/>
      <c r="AO1000" s="76" t="s">
        <v>24198</v>
      </c>
      <c r="AP1000" s="83" t="str">
        <f>HYPERLINK("https://t.co/CYFXNXQDSl")</f>
        <v>https://t.co/CYFXNXQDSl</v>
      </c>
      <c r="AQ1000" s="83" t="str">
        <f>HYPERLINK("https://edzz.la/MXSWB?a=52415071")</f>
        <v>https://edzz.la/MXSWB?a=52415071</v>
      </c>
      <c r="AR1000" s="76" t="s">
        <v>24799</v>
      </c>
      <c r="AS1000" s="76"/>
      <c r="AT1000" s="76"/>
      <c r="AU1000" s="76"/>
      <c r="AV1000" s="76">
        <v>1.6284169654244201E+18</v>
      </c>
      <c r="AW1000" s="83" t="str">
        <f>HYPERLINK("https://t.co/CYFXNXQDSl")</f>
        <v>https://t.co/CYFXNXQDSl</v>
      </c>
      <c r="AX1000" s="76" t="b">
        <v>0</v>
      </c>
      <c r="AY1000" s="76"/>
      <c r="AZ1000" s="76"/>
      <c r="BA1000" s="76" t="b">
        <v>0</v>
      </c>
      <c r="BB1000" s="76" t="b">
        <v>1</v>
      </c>
      <c r="BC1000" s="76" t="b">
        <v>1</v>
      </c>
      <c r="BD1000" s="76" t="b">
        <v>0</v>
      </c>
      <c r="BE1000" s="76" t="b">
        <v>0</v>
      </c>
      <c r="BF1000" s="76" t="b">
        <v>0</v>
      </c>
      <c r="BG1000" s="76" t="b">
        <v>0</v>
      </c>
      <c r="BH1000" s="76"/>
      <c r="BI1000" s="76"/>
      <c r="BJ1000" s="76" t="s">
        <v>24935</v>
      </c>
      <c r="BK1000" s="76" t="b">
        <v>0</v>
      </c>
      <c r="BL1000" s="76"/>
      <c r="BM1000" s="76" t="s">
        <v>66</v>
      </c>
      <c r="BN1000" s="76" t="s">
        <v>24937</v>
      </c>
      <c r="BO1000" s="83" t="str">
        <f>HYPERLINK("https://twitter.com/raquelkayllanny")</f>
        <v>https://twitter.com/raquelkayllanny</v>
      </c>
      <c r="BP1000" s="2"/>
    </row>
    <row r="1001" spans="1:68" x14ac:dyDescent="0.25">
      <c r="A1001" s="62" t="s">
        <v>1183</v>
      </c>
      <c r="B1001" s="63"/>
      <c r="C1001" s="63"/>
      <c r="D1001" s="64"/>
      <c r="E1001" s="66"/>
      <c r="F1001" s="102" t="str">
        <f>HYPERLINK("https://pbs.twimg.com/profile_images/1640484026250059777/bas-fjQE_normal.jpg")</f>
        <v>https://pbs.twimg.com/profile_images/1640484026250059777/bas-fjQE_normal.jpg</v>
      </c>
      <c r="G1001" s="63"/>
      <c r="H1001" s="67"/>
      <c r="I1001" s="68"/>
      <c r="J1001" s="68"/>
      <c r="K1001" s="67" t="s">
        <v>25935</v>
      </c>
      <c r="L1001" s="71"/>
      <c r="M1001" s="72"/>
      <c r="N1001" s="72"/>
      <c r="O1001" s="73"/>
      <c r="P1001" s="74"/>
      <c r="Q1001" s="74"/>
      <c r="R1001" s="86"/>
      <c r="S1001" s="86"/>
      <c r="T1001" s="86"/>
      <c r="U1001" s="86"/>
      <c r="V1001" s="48"/>
      <c r="W1001" s="48"/>
      <c r="X1001" s="48"/>
      <c r="Y1001" s="48"/>
      <c r="Z1001" s="47"/>
      <c r="AA1001" s="69">
        <v>1001</v>
      </c>
      <c r="AB1001" s="69"/>
      <c r="AC1001" s="70"/>
      <c r="AD1001" s="76" t="s">
        <v>22791</v>
      </c>
      <c r="AE1001" s="81" t="s">
        <v>21734</v>
      </c>
      <c r="AF1001" s="76">
        <v>115</v>
      </c>
      <c r="AG1001" s="76">
        <v>531</v>
      </c>
      <c r="AH1001" s="76">
        <v>28760</v>
      </c>
      <c r="AI1001" s="76">
        <v>2</v>
      </c>
      <c r="AJ1001" s="76">
        <v>17704</v>
      </c>
      <c r="AK1001" s="76">
        <v>661</v>
      </c>
      <c r="AL1001" s="76" t="b">
        <v>0</v>
      </c>
      <c r="AM1001" s="78">
        <v>43114.804085648146</v>
      </c>
      <c r="AN1001" s="76"/>
      <c r="AO1001" s="76" t="s">
        <v>24199</v>
      </c>
      <c r="AP1001" s="76"/>
      <c r="AQ1001" s="76"/>
      <c r="AR1001" s="76"/>
      <c r="AS1001" s="76"/>
      <c r="AT1001" s="76"/>
      <c r="AU1001" s="76"/>
      <c r="AV1001" s="76"/>
      <c r="AW1001" s="76"/>
      <c r="AX1001" s="76" t="b">
        <v>0</v>
      </c>
      <c r="AY1001" s="76"/>
      <c r="AZ1001" s="76"/>
      <c r="BA1001" s="76" t="b">
        <v>1</v>
      </c>
      <c r="BB1001" s="76" t="b">
        <v>0</v>
      </c>
      <c r="BC1001" s="76" t="b">
        <v>1</v>
      </c>
      <c r="BD1001" s="76" t="b">
        <v>0</v>
      </c>
      <c r="BE1001" s="76" t="b">
        <v>1</v>
      </c>
      <c r="BF1001" s="76" t="b">
        <v>0</v>
      </c>
      <c r="BG1001" s="76" t="b">
        <v>0</v>
      </c>
      <c r="BH1001" s="76"/>
      <c r="BI1001" s="76"/>
      <c r="BJ1001" s="76" t="s">
        <v>24935</v>
      </c>
      <c r="BK1001" s="76" t="b">
        <v>0</v>
      </c>
      <c r="BL1001" s="76"/>
      <c r="BM1001" s="76" t="s">
        <v>66</v>
      </c>
      <c r="BN1001" s="76" t="s">
        <v>24937</v>
      </c>
      <c r="BO1001" s="83" t="str">
        <f>HYPERLINK("https://twitter.com/lucastrndd_")</f>
        <v>https://twitter.com/lucastrndd_</v>
      </c>
      <c r="BP1001" s="2"/>
    </row>
    <row r="1002" spans="1:68" x14ac:dyDescent="0.25">
      <c r="A1002" s="62" t="s">
        <v>1278</v>
      </c>
      <c r="B1002" s="63"/>
      <c r="C1002" s="63"/>
      <c r="D1002" s="64"/>
      <c r="E1002" s="66"/>
      <c r="F1002" s="102" t="str">
        <f>HYPERLINK("https://pbs.twimg.com/profile_images/1587290224442449920/1knJgUZU_normal.jpg")</f>
        <v>https://pbs.twimg.com/profile_images/1587290224442449920/1knJgUZU_normal.jpg</v>
      </c>
      <c r="G1002" s="63"/>
      <c r="H1002" s="67"/>
      <c r="I1002" s="68"/>
      <c r="J1002" s="68"/>
      <c r="K1002" s="67" t="s">
        <v>25936</v>
      </c>
      <c r="L1002" s="71"/>
      <c r="M1002" s="72"/>
      <c r="N1002" s="72"/>
      <c r="O1002" s="73"/>
      <c r="P1002" s="74"/>
      <c r="Q1002" s="74"/>
      <c r="R1002" s="86"/>
      <c r="S1002" s="86"/>
      <c r="T1002" s="86"/>
      <c r="U1002" s="86"/>
      <c r="V1002" s="48"/>
      <c r="W1002" s="48"/>
      <c r="X1002" s="48"/>
      <c r="Y1002" s="48"/>
      <c r="Z1002" s="47"/>
      <c r="AA1002" s="69">
        <v>1002</v>
      </c>
      <c r="AB1002" s="69"/>
      <c r="AC1002" s="70"/>
      <c r="AD1002" s="76" t="s">
        <v>22792</v>
      </c>
      <c r="AE1002" s="81" t="s">
        <v>23060</v>
      </c>
      <c r="AF1002" s="76">
        <v>1851867</v>
      </c>
      <c r="AG1002" s="76">
        <v>1</v>
      </c>
      <c r="AH1002" s="76">
        <v>19864</v>
      </c>
      <c r="AI1002" s="76">
        <v>969</v>
      </c>
      <c r="AJ1002" s="76">
        <v>16748</v>
      </c>
      <c r="AK1002" s="76">
        <v>13393</v>
      </c>
      <c r="AL1002" s="76" t="b">
        <v>0</v>
      </c>
      <c r="AM1002" s="78">
        <v>43719.884305555555</v>
      </c>
      <c r="AN1002" s="76" t="s">
        <v>23333</v>
      </c>
      <c r="AO1002" s="76" t="s">
        <v>24200</v>
      </c>
      <c r="AP1002" s="83" t="str">
        <f>HYPERLINK("https://t.co/7Ckanjp0xv")</f>
        <v>https://t.co/7Ckanjp0xv</v>
      </c>
      <c r="AQ1002" s="83" t="str">
        <f>HYPERLINK("http://Instagram.com/crimesreaisoficial")</f>
        <v>http://Instagram.com/crimesreaisoficial</v>
      </c>
      <c r="AR1002" s="76" t="s">
        <v>24800</v>
      </c>
      <c r="AS1002" s="76"/>
      <c r="AT1002" s="76"/>
      <c r="AU1002" s="76"/>
      <c r="AV1002" s="76">
        <v>1.70497970616705E+18</v>
      </c>
      <c r="AW1002" s="83" t="str">
        <f>HYPERLINK("https://t.co/7Ckanjp0xv")</f>
        <v>https://t.co/7Ckanjp0xv</v>
      </c>
      <c r="AX1002" s="76" t="b">
        <v>1</v>
      </c>
      <c r="AY1002" s="76"/>
      <c r="AZ1002" s="76"/>
      <c r="BA1002" s="76" t="b">
        <v>1</v>
      </c>
      <c r="BB1002" s="76" t="b">
        <v>0</v>
      </c>
      <c r="BC1002" s="76" t="b">
        <v>1</v>
      </c>
      <c r="BD1002" s="76" t="b">
        <v>0</v>
      </c>
      <c r="BE1002" s="76" t="b">
        <v>1</v>
      </c>
      <c r="BF1002" s="76" t="b">
        <v>0</v>
      </c>
      <c r="BG1002" s="76" t="b">
        <v>0</v>
      </c>
      <c r="BH1002" s="83" t="str">
        <f>HYPERLINK("https://pbs.twimg.com/profile_banners/1171894501587247104/1685033948")</f>
        <v>https://pbs.twimg.com/profile_banners/1171894501587247104/1685033948</v>
      </c>
      <c r="BI1002" s="76"/>
      <c r="BJ1002" s="76" t="s">
        <v>24935</v>
      </c>
      <c r="BK1002" s="76" t="b">
        <v>0</v>
      </c>
      <c r="BL1002" s="76"/>
      <c r="BM1002" s="76" t="s">
        <v>65</v>
      </c>
      <c r="BN1002" s="76" t="s">
        <v>24937</v>
      </c>
      <c r="BO1002" s="83" t="str">
        <f>HYPERLINK("https://twitter.com/crimesreais")</f>
        <v>https://twitter.com/crimesreais</v>
      </c>
      <c r="BP1002" s="2"/>
    </row>
    <row r="1003" spans="1:68" x14ac:dyDescent="0.25">
      <c r="A1003" s="62" t="s">
        <v>1279</v>
      </c>
      <c r="B1003" s="63"/>
      <c r="C1003" s="63"/>
      <c r="D1003" s="64"/>
      <c r="E1003" s="66"/>
      <c r="F1003" s="102" t="str">
        <f>HYPERLINK("https://pbs.twimg.com/profile_images/1707154688032817152/v75X5ZkB_normal.jpg")</f>
        <v>https://pbs.twimg.com/profile_images/1707154688032817152/v75X5ZkB_normal.jpg</v>
      </c>
      <c r="G1003" s="63"/>
      <c r="H1003" s="67"/>
      <c r="I1003" s="68"/>
      <c r="J1003" s="68"/>
      <c r="K1003" s="67" t="s">
        <v>25937</v>
      </c>
      <c r="L1003" s="71"/>
      <c r="M1003" s="72"/>
      <c r="N1003" s="72"/>
      <c r="O1003" s="73"/>
      <c r="P1003" s="74"/>
      <c r="Q1003" s="74"/>
      <c r="R1003" s="86"/>
      <c r="S1003" s="86"/>
      <c r="T1003" s="86"/>
      <c r="U1003" s="86"/>
      <c r="V1003" s="48"/>
      <c r="W1003" s="48"/>
      <c r="X1003" s="48"/>
      <c r="Y1003" s="48"/>
      <c r="Z1003" s="47"/>
      <c r="AA1003" s="69">
        <v>1003</v>
      </c>
      <c r="AB1003" s="69"/>
      <c r="AC1003" s="70"/>
      <c r="AD1003" s="76" t="s">
        <v>22793</v>
      </c>
      <c r="AE1003" s="81" t="s">
        <v>20968</v>
      </c>
      <c r="AF1003" s="76">
        <v>8241</v>
      </c>
      <c r="AG1003" s="76">
        <v>3670</v>
      </c>
      <c r="AH1003" s="76">
        <v>78101</v>
      </c>
      <c r="AI1003" s="76">
        <v>112</v>
      </c>
      <c r="AJ1003" s="76">
        <v>45707</v>
      </c>
      <c r="AK1003" s="76">
        <v>6708</v>
      </c>
      <c r="AL1003" s="76" t="b">
        <v>0</v>
      </c>
      <c r="AM1003" s="78">
        <v>40433.613217592596</v>
      </c>
      <c r="AN1003" s="76" t="s">
        <v>23334</v>
      </c>
      <c r="AO1003" s="76" t="s">
        <v>24201</v>
      </c>
      <c r="AP1003" s="76"/>
      <c r="AQ1003" s="76"/>
      <c r="AR1003" s="76"/>
      <c r="AS1003" s="76"/>
      <c r="AT1003" s="76"/>
      <c r="AU1003" s="76"/>
      <c r="AV1003" s="76"/>
      <c r="AW1003" s="76"/>
      <c r="AX1003" s="76" t="b">
        <v>0</v>
      </c>
      <c r="AY1003" s="76"/>
      <c r="AZ1003" s="76"/>
      <c r="BA1003" s="76" t="b">
        <v>0</v>
      </c>
      <c r="BB1003" s="76" t="b">
        <v>0</v>
      </c>
      <c r="BC1003" s="76" t="b">
        <v>0</v>
      </c>
      <c r="BD1003" s="76" t="b">
        <v>0</v>
      </c>
      <c r="BE1003" s="76" t="b">
        <v>1</v>
      </c>
      <c r="BF1003" s="76" t="b">
        <v>0</v>
      </c>
      <c r="BG1003" s="76" t="b">
        <v>0</v>
      </c>
      <c r="BH1003" s="83" t="str">
        <f>HYPERLINK("https://pbs.twimg.com/profile_banners/189895054/1695852470")</f>
        <v>https://pbs.twimg.com/profile_banners/189895054/1695852470</v>
      </c>
      <c r="BI1003" s="76"/>
      <c r="BJ1003" s="76" t="s">
        <v>24935</v>
      </c>
      <c r="BK1003" s="76" t="b">
        <v>0</v>
      </c>
      <c r="BL1003" s="76"/>
      <c r="BM1003" s="76" t="s">
        <v>65</v>
      </c>
      <c r="BN1003" s="76" t="s">
        <v>24937</v>
      </c>
      <c r="BO1003" s="83" t="str">
        <f>HYPERLINK("https://twitter.com/storyhorror_ak")</f>
        <v>https://twitter.com/storyhorror_ak</v>
      </c>
      <c r="BP1003" s="2"/>
    </row>
    <row r="1004" spans="1:68" x14ac:dyDescent="0.25">
      <c r="A1004" s="62" t="s">
        <v>1184</v>
      </c>
      <c r="B1004" s="63"/>
      <c r="C1004" s="63"/>
      <c r="D1004" s="64"/>
      <c r="E1004" s="66"/>
      <c r="F1004" s="102" t="str">
        <f>HYPERLINK("https://pbs.twimg.com/profile_images/1671185563494277123/t56dmJES_normal.jpg")</f>
        <v>https://pbs.twimg.com/profile_images/1671185563494277123/t56dmJES_normal.jpg</v>
      </c>
      <c r="G1004" s="63"/>
      <c r="H1004" s="67"/>
      <c r="I1004" s="68"/>
      <c r="J1004" s="68"/>
      <c r="K1004" s="67" t="s">
        <v>25938</v>
      </c>
      <c r="L1004" s="71"/>
      <c r="M1004" s="72"/>
      <c r="N1004" s="72"/>
      <c r="O1004" s="73"/>
      <c r="P1004" s="74"/>
      <c r="Q1004" s="74"/>
      <c r="R1004" s="86"/>
      <c r="S1004" s="86"/>
      <c r="T1004" s="86"/>
      <c r="U1004" s="86"/>
      <c r="V1004" s="48"/>
      <c r="W1004" s="48"/>
      <c r="X1004" s="48"/>
      <c r="Y1004" s="48"/>
      <c r="Z1004" s="47"/>
      <c r="AA1004" s="69">
        <v>1004</v>
      </c>
      <c r="AB1004" s="69"/>
      <c r="AC1004" s="70"/>
      <c r="AD1004" s="76" t="s">
        <v>22794</v>
      </c>
      <c r="AE1004" s="81" t="s">
        <v>21735</v>
      </c>
      <c r="AF1004" s="76">
        <v>0</v>
      </c>
      <c r="AG1004" s="76">
        <v>2</v>
      </c>
      <c r="AH1004" s="76">
        <v>3</v>
      </c>
      <c r="AI1004" s="76">
        <v>0</v>
      </c>
      <c r="AJ1004" s="76">
        <v>5</v>
      </c>
      <c r="AK1004" s="76">
        <v>2</v>
      </c>
      <c r="AL1004" s="76" t="b">
        <v>0</v>
      </c>
      <c r="AM1004" s="78">
        <v>45097.664606481485</v>
      </c>
      <c r="AN1004" s="76"/>
      <c r="AO1004" s="76"/>
      <c r="AP1004" s="76"/>
      <c r="AQ1004" s="76"/>
      <c r="AR1004" s="76"/>
      <c r="AS1004" s="76"/>
      <c r="AT1004" s="76"/>
      <c r="AU1004" s="76"/>
      <c r="AV1004" s="76"/>
      <c r="AW1004" s="76"/>
      <c r="AX1004" s="76" t="b">
        <v>0</v>
      </c>
      <c r="AY1004" s="76"/>
      <c r="AZ1004" s="76"/>
      <c r="BA1004" s="76" t="b">
        <v>0</v>
      </c>
      <c r="BB1004" s="76" t="b">
        <v>1</v>
      </c>
      <c r="BC1004" s="76" t="b">
        <v>1</v>
      </c>
      <c r="BD1004" s="76" t="b">
        <v>0</v>
      </c>
      <c r="BE1004" s="76" t="b">
        <v>0</v>
      </c>
      <c r="BF1004" s="76" t="b">
        <v>0</v>
      </c>
      <c r="BG1004" s="76" t="b">
        <v>0</v>
      </c>
      <c r="BH1004" s="76"/>
      <c r="BI1004" s="76"/>
      <c r="BJ1004" s="76" t="s">
        <v>24935</v>
      </c>
      <c r="BK1004" s="76" t="b">
        <v>0</v>
      </c>
      <c r="BL1004" s="76"/>
      <c r="BM1004" s="76" t="s">
        <v>66</v>
      </c>
      <c r="BN1004" s="76" t="s">
        <v>24937</v>
      </c>
      <c r="BO1004" s="83" t="str">
        <f>HYPERLINK("https://twitter.com/nataniellemelo")</f>
        <v>https://twitter.com/nataniellemelo</v>
      </c>
      <c r="BP1004" s="2"/>
    </row>
    <row r="1005" spans="1:68" x14ac:dyDescent="0.25">
      <c r="A1005" s="62" t="s">
        <v>1185</v>
      </c>
      <c r="B1005" s="63"/>
      <c r="C1005" s="63"/>
      <c r="D1005" s="64"/>
      <c r="E1005" s="66"/>
      <c r="F1005" s="102" t="str">
        <f>HYPERLINK("https://pbs.twimg.com/profile_images/1679403164032720896/8QoP3Xel_normal.png")</f>
        <v>https://pbs.twimg.com/profile_images/1679403164032720896/8QoP3Xel_normal.png</v>
      </c>
      <c r="G1005" s="63"/>
      <c r="H1005" s="67"/>
      <c r="I1005" s="68"/>
      <c r="J1005" s="68"/>
      <c r="K1005" s="67" t="s">
        <v>25939</v>
      </c>
      <c r="L1005" s="71"/>
      <c r="M1005" s="72"/>
      <c r="N1005" s="72"/>
      <c r="O1005" s="73"/>
      <c r="P1005" s="74"/>
      <c r="Q1005" s="74"/>
      <c r="R1005" s="86"/>
      <c r="S1005" s="86"/>
      <c r="T1005" s="86"/>
      <c r="U1005" s="86"/>
      <c r="V1005" s="48"/>
      <c r="W1005" s="48"/>
      <c r="X1005" s="48"/>
      <c r="Y1005" s="48"/>
      <c r="Z1005" s="47"/>
      <c r="AA1005" s="69">
        <v>1005</v>
      </c>
      <c r="AB1005" s="69"/>
      <c r="AC1005" s="70"/>
      <c r="AD1005" s="76" t="s">
        <v>22795</v>
      </c>
      <c r="AE1005" s="81" t="s">
        <v>21736</v>
      </c>
      <c r="AF1005" s="76">
        <v>1</v>
      </c>
      <c r="AG1005" s="76">
        <v>32</v>
      </c>
      <c r="AH1005" s="76">
        <v>35</v>
      </c>
      <c r="AI1005" s="76">
        <v>0</v>
      </c>
      <c r="AJ1005" s="76">
        <v>40</v>
      </c>
      <c r="AK1005" s="76">
        <v>2</v>
      </c>
      <c r="AL1005" s="76" t="b">
        <v>0</v>
      </c>
      <c r="AM1005" s="78">
        <v>45120.341319444444</v>
      </c>
      <c r="AN1005" s="76" t="s">
        <v>23335</v>
      </c>
      <c r="AO1005" s="76" t="s">
        <v>24202</v>
      </c>
      <c r="AP1005" s="76"/>
      <c r="AQ1005" s="76"/>
      <c r="AR1005" s="76"/>
      <c r="AS1005" s="76"/>
      <c r="AT1005" s="76"/>
      <c r="AU1005" s="76"/>
      <c r="AV1005" s="76">
        <v>1.68135430793171E+18</v>
      </c>
      <c r="AW1005" s="76"/>
      <c r="AX1005" s="76" t="b">
        <v>0</v>
      </c>
      <c r="AY1005" s="76"/>
      <c r="AZ1005" s="76"/>
      <c r="BA1005" s="76" t="b">
        <v>0</v>
      </c>
      <c r="BB1005" s="76" t="b">
        <v>1</v>
      </c>
      <c r="BC1005" s="76" t="b">
        <v>1</v>
      </c>
      <c r="BD1005" s="76" t="b">
        <v>0</v>
      </c>
      <c r="BE1005" s="76" t="b">
        <v>0</v>
      </c>
      <c r="BF1005" s="76" t="b">
        <v>0</v>
      </c>
      <c r="BG1005" s="76" t="b">
        <v>0</v>
      </c>
      <c r="BH1005" s="83" t="str">
        <f>HYPERLINK("https://pbs.twimg.com/profile_banners/1679403094264754176/1689236959")</f>
        <v>https://pbs.twimg.com/profile_banners/1679403094264754176/1689236959</v>
      </c>
      <c r="BI1005" s="76"/>
      <c r="BJ1005" s="76" t="s">
        <v>24935</v>
      </c>
      <c r="BK1005" s="76" t="b">
        <v>0</v>
      </c>
      <c r="BL1005" s="76"/>
      <c r="BM1005" s="76" t="s">
        <v>66</v>
      </c>
      <c r="BN1005" s="76" t="s">
        <v>24937</v>
      </c>
      <c r="BO1005" s="83" t="str">
        <f>HYPERLINK("https://twitter.com/rcelcoin")</f>
        <v>https://twitter.com/rcelcoin</v>
      </c>
      <c r="BP1005" s="2"/>
    </row>
    <row r="1006" spans="1:68" x14ac:dyDescent="0.25">
      <c r="A1006" s="62" t="s">
        <v>1280</v>
      </c>
      <c r="B1006" s="63"/>
      <c r="C1006" s="63"/>
      <c r="D1006" s="64"/>
      <c r="E1006" s="66"/>
      <c r="F1006" s="102" t="str">
        <f>HYPERLINK("https://pbs.twimg.com/profile_images/1609933607006519297/JfQLdV9q_normal.jpg")</f>
        <v>https://pbs.twimg.com/profile_images/1609933607006519297/JfQLdV9q_normal.jpg</v>
      </c>
      <c r="G1006" s="63"/>
      <c r="H1006" s="67"/>
      <c r="I1006" s="68"/>
      <c r="J1006" s="68"/>
      <c r="K1006" s="67" t="s">
        <v>25940</v>
      </c>
      <c r="L1006" s="71"/>
      <c r="M1006" s="72"/>
      <c r="N1006" s="72"/>
      <c r="O1006" s="73"/>
      <c r="P1006" s="74"/>
      <c r="Q1006" s="74"/>
      <c r="R1006" s="86"/>
      <c r="S1006" s="86"/>
      <c r="T1006" s="86"/>
      <c r="U1006" s="86"/>
      <c r="V1006" s="48"/>
      <c r="W1006" s="48"/>
      <c r="X1006" s="48"/>
      <c r="Y1006" s="48"/>
      <c r="Z1006" s="47"/>
      <c r="AA1006" s="69">
        <v>1006</v>
      </c>
      <c r="AB1006" s="69"/>
      <c r="AC1006" s="70"/>
      <c r="AD1006" s="76" t="s">
        <v>22796</v>
      </c>
      <c r="AE1006" s="81" t="s">
        <v>23061</v>
      </c>
      <c r="AF1006" s="76">
        <v>185635</v>
      </c>
      <c r="AG1006" s="76">
        <v>22</v>
      </c>
      <c r="AH1006" s="76">
        <v>189874</v>
      </c>
      <c r="AI1006" s="76">
        <v>248</v>
      </c>
      <c r="AJ1006" s="76">
        <v>1290</v>
      </c>
      <c r="AK1006" s="76">
        <v>536</v>
      </c>
      <c r="AL1006" s="76" t="b">
        <v>0</v>
      </c>
      <c r="AM1006" s="78">
        <v>39610.352268518516</v>
      </c>
      <c r="AN1006" s="76" t="s">
        <v>23336</v>
      </c>
      <c r="AO1006" s="76" t="s">
        <v>24203</v>
      </c>
      <c r="AP1006" s="83" t="str">
        <f>HYPERLINK("https://t.co/YhIseFCXkJ")</f>
        <v>https://t.co/YhIseFCXkJ</v>
      </c>
      <c r="AQ1006" s="83" t="str">
        <f>HYPERLINK("https://www.mercadopago.com.ar/")</f>
        <v>https://www.mercadopago.com.ar/</v>
      </c>
      <c r="AR1006" s="76" t="s">
        <v>24801</v>
      </c>
      <c r="AS1006" s="83" t="str">
        <f>HYPERLINK("https://t.co/Jrqpmium7I")</f>
        <v>https://t.co/Jrqpmium7I</v>
      </c>
      <c r="AT1006" s="83" t="str">
        <f>HYPERLINK("https://www.mercadopago.com.ar/ayuda/21527")</f>
        <v>https://www.mercadopago.com.ar/ayuda/21527</v>
      </c>
      <c r="AU1006" s="76" t="s">
        <v>24929</v>
      </c>
      <c r="AV1006" s="76"/>
      <c r="AW1006" s="83" t="str">
        <f>HYPERLINK("https://t.co/YhIseFCXkJ")</f>
        <v>https://t.co/YhIseFCXkJ</v>
      </c>
      <c r="AX1006" s="76" t="b">
        <v>1</v>
      </c>
      <c r="AY1006" s="76"/>
      <c r="AZ1006" s="76"/>
      <c r="BA1006" s="76" t="b">
        <v>1</v>
      </c>
      <c r="BB1006" s="76" t="b">
        <v>1</v>
      </c>
      <c r="BC1006" s="76" t="b">
        <v>0</v>
      </c>
      <c r="BD1006" s="76" t="b">
        <v>0</v>
      </c>
      <c r="BE1006" s="76" t="b">
        <v>1</v>
      </c>
      <c r="BF1006" s="76" t="b">
        <v>0</v>
      </c>
      <c r="BG1006" s="76" t="b">
        <v>0</v>
      </c>
      <c r="BH1006" s="83" t="str">
        <f>HYPERLINK("https://pbs.twimg.com/profile_banners/15082918/1638806136")</f>
        <v>https://pbs.twimg.com/profile_banners/15082918/1638806136</v>
      </c>
      <c r="BI1006" s="76"/>
      <c r="BJ1006" s="76" t="s">
        <v>24935</v>
      </c>
      <c r="BK1006" s="76" t="b">
        <v>0</v>
      </c>
      <c r="BL1006" s="76"/>
      <c r="BM1006" s="76" t="s">
        <v>65</v>
      </c>
      <c r="BN1006" s="76" t="s">
        <v>24937</v>
      </c>
      <c r="BO1006" s="83" t="str">
        <f>HYPERLINK("https://twitter.com/mercadopago")</f>
        <v>https://twitter.com/mercadopago</v>
      </c>
      <c r="BP1006" s="2"/>
    </row>
    <row r="1007" spans="1:68" x14ac:dyDescent="0.25">
      <c r="A1007" s="62" t="s">
        <v>1281</v>
      </c>
      <c r="B1007" s="63"/>
      <c r="C1007" s="63"/>
      <c r="D1007" s="64"/>
      <c r="E1007" s="66"/>
      <c r="F1007" s="102" t="str">
        <f>HYPERLINK("https://pbs.twimg.com/profile_images/1467835721541160967/pkJuEbeD_normal.jpg")</f>
        <v>https://pbs.twimg.com/profile_images/1467835721541160967/pkJuEbeD_normal.jpg</v>
      </c>
      <c r="G1007" s="63"/>
      <c r="H1007" s="67"/>
      <c r="I1007" s="68"/>
      <c r="J1007" s="68"/>
      <c r="K1007" s="67" t="s">
        <v>25941</v>
      </c>
      <c r="L1007" s="71"/>
      <c r="M1007" s="72"/>
      <c r="N1007" s="72"/>
      <c r="O1007" s="73"/>
      <c r="P1007" s="74"/>
      <c r="Q1007" s="74"/>
      <c r="R1007" s="86"/>
      <c r="S1007" s="86"/>
      <c r="T1007" s="86"/>
      <c r="U1007" s="86"/>
      <c r="V1007" s="48"/>
      <c r="W1007" s="48"/>
      <c r="X1007" s="48"/>
      <c r="Y1007" s="48"/>
      <c r="Z1007" s="47"/>
      <c r="AA1007" s="69">
        <v>1007</v>
      </c>
      <c r="AB1007" s="69"/>
      <c r="AC1007" s="70"/>
      <c r="AD1007" s="76" t="s">
        <v>22797</v>
      </c>
      <c r="AE1007" s="81" t="s">
        <v>23062</v>
      </c>
      <c r="AF1007" s="76">
        <v>228335</v>
      </c>
      <c r="AG1007" s="76">
        <v>32</v>
      </c>
      <c r="AH1007" s="76">
        <v>220031</v>
      </c>
      <c r="AI1007" s="76">
        <v>467</v>
      </c>
      <c r="AJ1007" s="76">
        <v>2928</v>
      </c>
      <c r="AK1007" s="76">
        <v>1836</v>
      </c>
      <c r="AL1007" s="76" t="b">
        <v>0</v>
      </c>
      <c r="AM1007" s="78">
        <v>39618.201701388891</v>
      </c>
      <c r="AN1007" s="76"/>
      <c r="AO1007" s="76" t="s">
        <v>24204</v>
      </c>
      <c r="AP1007" s="83" t="str">
        <f>HYPERLINK("https://t.co/yGhl7TQwb1")</f>
        <v>https://t.co/yGhl7TQwb1</v>
      </c>
      <c r="AQ1007" s="83" t="str">
        <f>HYPERLINK("https://biolivre.com.br/mercadolivrebr")</f>
        <v>https://biolivre.com.br/mercadolivrebr</v>
      </c>
      <c r="AR1007" s="76" t="s">
        <v>24802</v>
      </c>
      <c r="AS1007" s="76"/>
      <c r="AT1007" s="76"/>
      <c r="AU1007" s="76"/>
      <c r="AV1007" s="76">
        <v>1.6966437622172001E+18</v>
      </c>
      <c r="AW1007" s="83" t="str">
        <f>HYPERLINK("https://t.co/yGhl7TQwb1")</f>
        <v>https://t.co/yGhl7TQwb1</v>
      </c>
      <c r="AX1007" s="76" t="b">
        <v>0</v>
      </c>
      <c r="AY1007" s="76"/>
      <c r="AZ1007" s="76"/>
      <c r="BA1007" s="76" t="b">
        <v>1</v>
      </c>
      <c r="BB1007" s="76" t="b">
        <v>0</v>
      </c>
      <c r="BC1007" s="76" t="b">
        <v>0</v>
      </c>
      <c r="BD1007" s="76" t="b">
        <v>0</v>
      </c>
      <c r="BE1007" s="76" t="b">
        <v>1</v>
      </c>
      <c r="BF1007" s="76" t="b">
        <v>0</v>
      </c>
      <c r="BG1007" s="76" t="b">
        <v>0</v>
      </c>
      <c r="BH1007" s="83" t="str">
        <f>HYPERLINK("https://pbs.twimg.com/profile_banners/15166137/1682627252")</f>
        <v>https://pbs.twimg.com/profile_banners/15166137/1682627252</v>
      </c>
      <c r="BI1007" s="76"/>
      <c r="BJ1007" s="76" t="s">
        <v>24935</v>
      </c>
      <c r="BK1007" s="76" t="b">
        <v>0</v>
      </c>
      <c r="BL1007" s="76"/>
      <c r="BM1007" s="76" t="s">
        <v>65</v>
      </c>
      <c r="BN1007" s="76" t="s">
        <v>24937</v>
      </c>
      <c r="BO1007" s="83" t="str">
        <f>HYPERLINK("https://twitter.com/mercadolivre")</f>
        <v>https://twitter.com/mercadolivre</v>
      </c>
      <c r="BP1007" s="2"/>
    </row>
    <row r="1008" spans="1:68" x14ac:dyDescent="0.25">
      <c r="A1008" s="62" t="s">
        <v>1186</v>
      </c>
      <c r="B1008" s="63"/>
      <c r="C1008" s="63"/>
      <c r="D1008" s="64"/>
      <c r="E1008" s="66"/>
      <c r="F1008" s="102" t="str">
        <f>HYPERLINK("https://pbs.twimg.com/profile_images/1699641741370937344/0y5p0u3j_normal.jpg")</f>
        <v>https://pbs.twimg.com/profile_images/1699641741370937344/0y5p0u3j_normal.jpg</v>
      </c>
      <c r="G1008" s="63"/>
      <c r="H1008" s="67"/>
      <c r="I1008" s="68"/>
      <c r="J1008" s="68"/>
      <c r="K1008" s="67" t="s">
        <v>25942</v>
      </c>
      <c r="L1008" s="71"/>
      <c r="M1008" s="72"/>
      <c r="N1008" s="72"/>
      <c r="O1008" s="73"/>
      <c r="P1008" s="74"/>
      <c r="Q1008" s="74"/>
      <c r="R1008" s="86"/>
      <c r="S1008" s="86"/>
      <c r="T1008" s="86"/>
      <c r="U1008" s="86"/>
      <c r="V1008" s="48"/>
      <c r="W1008" s="48"/>
      <c r="X1008" s="48"/>
      <c r="Y1008" s="48"/>
      <c r="Z1008" s="47"/>
      <c r="AA1008" s="69">
        <v>1008</v>
      </c>
      <c r="AB1008" s="69"/>
      <c r="AC1008" s="70"/>
      <c r="AD1008" s="76" t="s">
        <v>22798</v>
      </c>
      <c r="AE1008" s="81" t="s">
        <v>21737</v>
      </c>
      <c r="AF1008" s="76">
        <v>2</v>
      </c>
      <c r="AG1008" s="76">
        <v>4</v>
      </c>
      <c r="AH1008" s="76">
        <v>34</v>
      </c>
      <c r="AI1008" s="76">
        <v>0</v>
      </c>
      <c r="AJ1008" s="76">
        <v>14</v>
      </c>
      <c r="AK1008" s="76">
        <v>26</v>
      </c>
      <c r="AL1008" s="76" t="b">
        <v>0</v>
      </c>
      <c r="AM1008" s="78">
        <v>45169.378425925926</v>
      </c>
      <c r="AN1008" s="76" t="s">
        <v>23337</v>
      </c>
      <c r="AO1008" s="76" t="s">
        <v>24205</v>
      </c>
      <c r="AP1008" s="83" t="str">
        <f>HYPERLINK("https://t.co/2fzya5QGMy")</f>
        <v>https://t.co/2fzya5QGMy</v>
      </c>
      <c r="AQ1008" s="83" t="str">
        <f>HYPERLINK("https://bit.ly/Victorcartie")</f>
        <v>https://bit.ly/Victorcartie</v>
      </c>
      <c r="AR1008" s="76" t="s">
        <v>24803</v>
      </c>
      <c r="AS1008" s="76"/>
      <c r="AT1008" s="76"/>
      <c r="AU1008" s="76"/>
      <c r="AV1008" s="76">
        <v>1.7002498728496799E+18</v>
      </c>
      <c r="AW1008" s="83" t="str">
        <f>HYPERLINK("https://t.co/2fzya5QGMy")</f>
        <v>https://t.co/2fzya5QGMy</v>
      </c>
      <c r="AX1008" s="76" t="b">
        <v>0</v>
      </c>
      <c r="AY1008" s="76"/>
      <c r="AZ1008" s="76"/>
      <c r="BA1008" s="76" t="b">
        <v>0</v>
      </c>
      <c r="BB1008" s="76" t="b">
        <v>1</v>
      </c>
      <c r="BC1008" s="76" t="b">
        <v>1</v>
      </c>
      <c r="BD1008" s="76" t="b">
        <v>0</v>
      </c>
      <c r="BE1008" s="76" t="b">
        <v>0</v>
      </c>
      <c r="BF1008" s="76" t="b">
        <v>0</v>
      </c>
      <c r="BG1008" s="76" t="b">
        <v>0</v>
      </c>
      <c r="BH1008" s="83" t="str">
        <f>HYPERLINK("https://pbs.twimg.com/profile_banners/1697173495069671424/1694314137")</f>
        <v>https://pbs.twimg.com/profile_banners/1697173495069671424/1694314137</v>
      </c>
      <c r="BI1008" s="76"/>
      <c r="BJ1008" s="76" t="s">
        <v>24935</v>
      </c>
      <c r="BK1008" s="76" t="b">
        <v>0</v>
      </c>
      <c r="BL1008" s="76"/>
      <c r="BM1008" s="76" t="s">
        <v>66</v>
      </c>
      <c r="BN1008" s="76" t="s">
        <v>24937</v>
      </c>
      <c r="BO1008" s="83" t="str">
        <f>HYPERLINK("https://twitter.com/victorcartie")</f>
        <v>https://twitter.com/victorcartie</v>
      </c>
      <c r="BP1008" s="2"/>
    </row>
    <row r="1009" spans="1:68" x14ac:dyDescent="0.25">
      <c r="A1009" s="62" t="s">
        <v>1187</v>
      </c>
      <c r="B1009" s="63"/>
      <c r="C1009" s="63"/>
      <c r="D1009" s="64"/>
      <c r="E1009" s="66"/>
      <c r="F1009" s="102" t="str">
        <f>HYPERLINK("https://pbs.twimg.com/profile_images/1674215241222176770/IN39U-VN_normal.png")</f>
        <v>https://pbs.twimg.com/profile_images/1674215241222176770/IN39U-VN_normal.png</v>
      </c>
      <c r="G1009" s="63"/>
      <c r="H1009" s="67"/>
      <c r="I1009" s="68"/>
      <c r="J1009" s="68"/>
      <c r="K1009" s="67" t="s">
        <v>25943</v>
      </c>
      <c r="L1009" s="71"/>
      <c r="M1009" s="72"/>
      <c r="N1009" s="72"/>
      <c r="O1009" s="73"/>
      <c r="P1009" s="74"/>
      <c r="Q1009" s="74"/>
      <c r="R1009" s="86"/>
      <c r="S1009" s="86"/>
      <c r="T1009" s="86"/>
      <c r="U1009" s="86"/>
      <c r="V1009" s="48"/>
      <c r="W1009" s="48"/>
      <c r="X1009" s="48"/>
      <c r="Y1009" s="48"/>
      <c r="Z1009" s="47"/>
      <c r="AA1009" s="69">
        <v>1009</v>
      </c>
      <c r="AB1009" s="69"/>
      <c r="AC1009" s="70"/>
      <c r="AD1009" s="76" t="s">
        <v>22799</v>
      </c>
      <c r="AE1009" s="81" t="s">
        <v>21738</v>
      </c>
      <c r="AF1009" s="76">
        <v>2</v>
      </c>
      <c r="AG1009" s="76">
        <v>9</v>
      </c>
      <c r="AH1009" s="76">
        <v>226</v>
      </c>
      <c r="AI1009" s="76">
        <v>0</v>
      </c>
      <c r="AJ1009" s="76">
        <v>0</v>
      </c>
      <c r="AK1009" s="76">
        <v>118</v>
      </c>
      <c r="AL1009" s="76" t="b">
        <v>0</v>
      </c>
      <c r="AM1009" s="78">
        <v>45106.025381944448</v>
      </c>
      <c r="AN1009" s="76" t="s">
        <v>14033</v>
      </c>
      <c r="AO1009" s="76" t="s">
        <v>24206</v>
      </c>
      <c r="AP1009" s="83" t="str">
        <f>HYPERLINK("https://t.co/u7zKQVTosV")</f>
        <v>https://t.co/u7zKQVTosV</v>
      </c>
      <c r="AQ1009" s="83" t="str">
        <f>HYPERLINK("https://instagram.com/achadinhosdaallexia?igshid=MzNlNGNkZWQ4Mg==")</f>
        <v>https://instagram.com/achadinhosdaallexia?igshid=MzNlNGNkZWQ4Mg==</v>
      </c>
      <c r="AR1009" s="76" t="s">
        <v>24804</v>
      </c>
      <c r="AS1009" s="76"/>
      <c r="AT1009" s="76"/>
      <c r="AU1009" s="76"/>
      <c r="AV1009" s="76"/>
      <c r="AW1009" s="83" t="str">
        <f>HYPERLINK("https://t.co/u7zKQVTosV")</f>
        <v>https://t.co/u7zKQVTosV</v>
      </c>
      <c r="AX1009" s="76" t="b">
        <v>0</v>
      </c>
      <c r="AY1009" s="76"/>
      <c r="AZ1009" s="76"/>
      <c r="BA1009" s="76" t="b">
        <v>0</v>
      </c>
      <c r="BB1009" s="76" t="b">
        <v>1</v>
      </c>
      <c r="BC1009" s="76" t="b">
        <v>1</v>
      </c>
      <c r="BD1009" s="76" t="b">
        <v>0</v>
      </c>
      <c r="BE1009" s="76" t="b">
        <v>0</v>
      </c>
      <c r="BF1009" s="76" t="b">
        <v>0</v>
      </c>
      <c r="BG1009" s="76" t="b">
        <v>0</v>
      </c>
      <c r="BH1009" s="76"/>
      <c r="BI1009" s="76"/>
      <c r="BJ1009" s="76" t="s">
        <v>24935</v>
      </c>
      <c r="BK1009" s="76" t="b">
        <v>0</v>
      </c>
      <c r="BL1009" s="76"/>
      <c r="BM1009" s="76" t="s">
        <v>66</v>
      </c>
      <c r="BN1009" s="76" t="s">
        <v>24937</v>
      </c>
      <c r="BO1009" s="83" t="str">
        <f>HYPERLINK("https://twitter.com/achadinhosdaall")</f>
        <v>https://twitter.com/achadinhosdaall</v>
      </c>
      <c r="BP1009" s="2"/>
    </row>
    <row r="1010" spans="1:68" x14ac:dyDescent="0.25">
      <c r="A1010" s="62" t="s">
        <v>1188</v>
      </c>
      <c r="B1010" s="63"/>
      <c r="C1010" s="63"/>
      <c r="D1010" s="64"/>
      <c r="E1010" s="66"/>
      <c r="F1010" s="102" t="str">
        <f>HYPERLINK("https://pbs.twimg.com/profile_images/1612877715727650823/INf15xeF_normal.jpg")</f>
        <v>https://pbs.twimg.com/profile_images/1612877715727650823/INf15xeF_normal.jpg</v>
      </c>
      <c r="G1010" s="63"/>
      <c r="H1010" s="67"/>
      <c r="I1010" s="68"/>
      <c r="J1010" s="68"/>
      <c r="K1010" s="67" t="s">
        <v>25944</v>
      </c>
      <c r="L1010" s="71"/>
      <c r="M1010" s="72"/>
      <c r="N1010" s="72"/>
      <c r="O1010" s="73"/>
      <c r="P1010" s="74"/>
      <c r="Q1010" s="74"/>
      <c r="R1010" s="86"/>
      <c r="S1010" s="86"/>
      <c r="T1010" s="86"/>
      <c r="U1010" s="86"/>
      <c r="V1010" s="48"/>
      <c r="W1010" s="48"/>
      <c r="X1010" s="48"/>
      <c r="Y1010" s="48"/>
      <c r="Z1010" s="47"/>
      <c r="AA1010" s="69">
        <v>1010</v>
      </c>
      <c r="AB1010" s="69"/>
      <c r="AC1010" s="70"/>
      <c r="AD1010" s="76" t="s">
        <v>22800</v>
      </c>
      <c r="AE1010" s="81" t="s">
        <v>21739</v>
      </c>
      <c r="AF1010" s="76">
        <v>1</v>
      </c>
      <c r="AG1010" s="76">
        <v>10</v>
      </c>
      <c r="AH1010" s="76">
        <v>39</v>
      </c>
      <c r="AI1010" s="76">
        <v>0</v>
      </c>
      <c r="AJ1010" s="76">
        <v>42</v>
      </c>
      <c r="AK1010" s="76">
        <v>1</v>
      </c>
      <c r="AL1010" s="76" t="b">
        <v>0</v>
      </c>
      <c r="AM1010" s="78">
        <v>44936.765960648147</v>
      </c>
      <c r="AN1010" s="76"/>
      <c r="AO1010" s="76" t="s">
        <v>24207</v>
      </c>
      <c r="AP1010" s="76"/>
      <c r="AQ1010" s="76"/>
      <c r="AR1010" s="76"/>
      <c r="AS1010" s="76"/>
      <c r="AT1010" s="76"/>
      <c r="AU1010" s="76"/>
      <c r="AV1010" s="76"/>
      <c r="AW1010" s="76"/>
      <c r="AX1010" s="76" t="b">
        <v>0</v>
      </c>
      <c r="AY1010" s="76"/>
      <c r="AZ1010" s="76"/>
      <c r="BA1010" s="76" t="b">
        <v>1</v>
      </c>
      <c r="BB1010" s="76" t="b">
        <v>1</v>
      </c>
      <c r="BC1010" s="76" t="b">
        <v>1</v>
      </c>
      <c r="BD1010" s="76" t="b">
        <v>0</v>
      </c>
      <c r="BE1010" s="76" t="b">
        <v>0</v>
      </c>
      <c r="BF1010" s="76" t="b">
        <v>0</v>
      </c>
      <c r="BG1010" s="76" t="b">
        <v>0</v>
      </c>
      <c r="BH1010" s="76"/>
      <c r="BI1010" s="76"/>
      <c r="BJ1010" s="76" t="s">
        <v>24935</v>
      </c>
      <c r="BK1010" s="76" t="b">
        <v>0</v>
      </c>
      <c r="BL1010" s="76"/>
      <c r="BM1010" s="76" t="s">
        <v>66</v>
      </c>
      <c r="BN1010" s="76" t="s">
        <v>24937</v>
      </c>
      <c r="BO1010" s="83" t="str">
        <f>HYPERLINK("https://twitter.com/recrutatalento2")</f>
        <v>https://twitter.com/recrutatalento2</v>
      </c>
      <c r="BP1010" s="2"/>
    </row>
    <row r="1011" spans="1:68" x14ac:dyDescent="0.25">
      <c r="A1011" s="62" t="s">
        <v>1189</v>
      </c>
      <c r="B1011" s="63"/>
      <c r="C1011" s="63"/>
      <c r="D1011" s="64"/>
      <c r="E1011" s="66"/>
      <c r="F1011" s="102" t="str">
        <f>HYPERLINK("https://pbs.twimg.com/profile_images/1694382446232391680/c_hrlvnu_normal.jpg")</f>
        <v>https://pbs.twimg.com/profile_images/1694382446232391680/c_hrlvnu_normal.jpg</v>
      </c>
      <c r="G1011" s="63"/>
      <c r="H1011" s="67"/>
      <c r="I1011" s="68"/>
      <c r="J1011" s="68"/>
      <c r="K1011" s="67" t="s">
        <v>25945</v>
      </c>
      <c r="L1011" s="71"/>
      <c r="M1011" s="72"/>
      <c r="N1011" s="72"/>
      <c r="O1011" s="73"/>
      <c r="P1011" s="74"/>
      <c r="Q1011" s="74"/>
      <c r="R1011" s="86"/>
      <c r="S1011" s="86"/>
      <c r="T1011" s="86"/>
      <c r="U1011" s="86"/>
      <c r="V1011" s="48"/>
      <c r="W1011" s="48"/>
      <c r="X1011" s="48"/>
      <c r="Y1011" s="48"/>
      <c r="Z1011" s="47"/>
      <c r="AA1011" s="69">
        <v>1011</v>
      </c>
      <c r="AB1011" s="69"/>
      <c r="AC1011" s="70"/>
      <c r="AD1011" s="76" t="s">
        <v>22801</v>
      </c>
      <c r="AE1011" s="81" t="s">
        <v>21740</v>
      </c>
      <c r="AF1011" s="76">
        <v>0</v>
      </c>
      <c r="AG1011" s="76">
        <v>2</v>
      </c>
      <c r="AH1011" s="76">
        <v>19</v>
      </c>
      <c r="AI1011" s="76">
        <v>0</v>
      </c>
      <c r="AJ1011" s="76">
        <v>0</v>
      </c>
      <c r="AK1011" s="76">
        <v>19</v>
      </c>
      <c r="AL1011" s="76" t="b">
        <v>0</v>
      </c>
      <c r="AM1011" s="78">
        <v>44969.695613425924</v>
      </c>
      <c r="AN1011" s="76"/>
      <c r="AO1011" s="76" t="s">
        <v>24208</v>
      </c>
      <c r="AP1011" s="83" t="str">
        <f>HYPERLINK("https://t.co/SlxuSWhxry")</f>
        <v>https://t.co/SlxuSWhxry</v>
      </c>
      <c r="AQ1011" s="83" t="str">
        <f>HYPERLINK("https://fotossexy.my.canva.site/")</f>
        <v>https://fotossexy.my.canva.site/</v>
      </c>
      <c r="AR1011" s="76" t="s">
        <v>24805</v>
      </c>
      <c r="AS1011" s="76"/>
      <c r="AT1011" s="76"/>
      <c r="AU1011" s="76"/>
      <c r="AV1011" s="76"/>
      <c r="AW1011" s="83" t="str">
        <f>HYPERLINK("https://t.co/SlxuSWhxry")</f>
        <v>https://t.co/SlxuSWhxry</v>
      </c>
      <c r="AX1011" s="76" t="b">
        <v>0</v>
      </c>
      <c r="AY1011" s="76"/>
      <c r="AZ1011" s="76"/>
      <c r="BA1011" s="76" t="b">
        <v>0</v>
      </c>
      <c r="BB1011" s="76" t="b">
        <v>1</v>
      </c>
      <c r="BC1011" s="76" t="b">
        <v>1</v>
      </c>
      <c r="BD1011" s="76" t="b">
        <v>0</v>
      </c>
      <c r="BE1011" s="76" t="b">
        <v>0</v>
      </c>
      <c r="BF1011" s="76" t="b">
        <v>0</v>
      </c>
      <c r="BG1011" s="76" t="b">
        <v>0</v>
      </c>
      <c r="BH1011" s="83" t="str">
        <f>HYPERLINK("https://pbs.twimg.com/profile_banners/1624810893530767362/1692807231")</f>
        <v>https://pbs.twimg.com/profile_banners/1624810893530767362/1692807231</v>
      </c>
      <c r="BI1011" s="76"/>
      <c r="BJ1011" s="76" t="s">
        <v>24935</v>
      </c>
      <c r="BK1011" s="76" t="b">
        <v>0</v>
      </c>
      <c r="BL1011" s="76"/>
      <c r="BM1011" s="76" t="s">
        <v>66</v>
      </c>
      <c r="BN1011" s="76" t="s">
        <v>24937</v>
      </c>
      <c r="BO1011" s="83" t="str">
        <f>HYPERLINK("https://twitter.com/abzimports")</f>
        <v>https://twitter.com/abzimports</v>
      </c>
      <c r="BP1011" s="2"/>
    </row>
    <row r="1012" spans="1:68" x14ac:dyDescent="0.25">
      <c r="A1012" s="62" t="s">
        <v>1190</v>
      </c>
      <c r="B1012" s="63"/>
      <c r="C1012" s="63"/>
      <c r="D1012" s="64"/>
      <c r="E1012" s="66"/>
      <c r="F1012" s="102" t="str">
        <f>HYPERLINK("https://pbs.twimg.com/profile_images/1113962920352866304/8-EX_z28_normal.jpg")</f>
        <v>https://pbs.twimg.com/profile_images/1113962920352866304/8-EX_z28_normal.jpg</v>
      </c>
      <c r="G1012" s="63"/>
      <c r="H1012" s="67"/>
      <c r="I1012" s="68"/>
      <c r="J1012" s="68"/>
      <c r="K1012" s="67" t="s">
        <v>25946</v>
      </c>
      <c r="L1012" s="71"/>
      <c r="M1012" s="72"/>
      <c r="N1012" s="72"/>
      <c r="O1012" s="73"/>
      <c r="P1012" s="74"/>
      <c r="Q1012" s="74"/>
      <c r="R1012" s="86"/>
      <c r="S1012" s="86"/>
      <c r="T1012" s="86"/>
      <c r="U1012" s="86"/>
      <c r="V1012" s="48"/>
      <c r="W1012" s="48"/>
      <c r="X1012" s="48"/>
      <c r="Y1012" s="48"/>
      <c r="Z1012" s="47"/>
      <c r="AA1012" s="69">
        <v>1012</v>
      </c>
      <c r="AB1012" s="69"/>
      <c r="AC1012" s="70"/>
      <c r="AD1012" s="76" t="s">
        <v>22802</v>
      </c>
      <c r="AE1012" s="81" t="s">
        <v>23063</v>
      </c>
      <c r="AF1012" s="76">
        <v>5</v>
      </c>
      <c r="AG1012" s="76">
        <v>54</v>
      </c>
      <c r="AH1012" s="76">
        <v>25</v>
      </c>
      <c r="AI1012" s="76">
        <v>0</v>
      </c>
      <c r="AJ1012" s="76">
        <v>1</v>
      </c>
      <c r="AK1012" s="76">
        <v>20</v>
      </c>
      <c r="AL1012" s="76" t="b">
        <v>0</v>
      </c>
      <c r="AM1012" s="78">
        <v>42084.056273148148</v>
      </c>
      <c r="AN1012" s="76"/>
      <c r="AO1012" s="76"/>
      <c r="AP1012" s="76"/>
      <c r="AQ1012" s="76"/>
      <c r="AR1012" s="76"/>
      <c r="AS1012" s="76"/>
      <c r="AT1012" s="76"/>
      <c r="AU1012" s="76"/>
      <c r="AV1012" s="76">
        <v>1.2493119529978399E+18</v>
      </c>
      <c r="AW1012" s="76"/>
      <c r="AX1012" s="76" t="b">
        <v>0</v>
      </c>
      <c r="AY1012" s="76"/>
      <c r="AZ1012" s="76"/>
      <c r="BA1012" s="76" t="b">
        <v>0</v>
      </c>
      <c r="BB1012" s="76" t="b">
        <v>1</v>
      </c>
      <c r="BC1012" s="76" t="b">
        <v>1</v>
      </c>
      <c r="BD1012" s="76" t="b">
        <v>0</v>
      </c>
      <c r="BE1012" s="76" t="b">
        <v>0</v>
      </c>
      <c r="BF1012" s="76" t="b">
        <v>0</v>
      </c>
      <c r="BG1012" s="76" t="b">
        <v>0</v>
      </c>
      <c r="BH1012" s="76"/>
      <c r="BI1012" s="76"/>
      <c r="BJ1012" s="76" t="s">
        <v>24935</v>
      </c>
      <c r="BK1012" s="76" t="b">
        <v>0</v>
      </c>
      <c r="BL1012" s="76"/>
      <c r="BM1012" s="76" t="s">
        <v>66</v>
      </c>
      <c r="BN1012" s="76" t="s">
        <v>24937</v>
      </c>
      <c r="BO1012" s="83" t="str">
        <f>HYPERLINK("https://twitter.com/weverton202")</f>
        <v>https://twitter.com/weverton202</v>
      </c>
      <c r="BP1012" s="2"/>
    </row>
    <row r="1013" spans="1:68" x14ac:dyDescent="0.25">
      <c r="A1013" s="62" t="s">
        <v>1191</v>
      </c>
      <c r="B1013" s="63"/>
      <c r="C1013" s="63"/>
      <c r="D1013" s="64"/>
      <c r="E1013" s="66"/>
      <c r="F1013" s="102" t="str">
        <f>HYPERLINK("https://pbs.twimg.com/profile_images/1668640431469481987/T0mPV7el_normal.jpg")</f>
        <v>https://pbs.twimg.com/profile_images/1668640431469481987/T0mPV7el_normal.jpg</v>
      </c>
      <c r="G1013" s="63"/>
      <c r="H1013" s="67"/>
      <c r="I1013" s="68"/>
      <c r="J1013" s="68"/>
      <c r="K1013" s="67" t="s">
        <v>25947</v>
      </c>
      <c r="L1013" s="71"/>
      <c r="M1013" s="72"/>
      <c r="N1013" s="72"/>
      <c r="O1013" s="73"/>
      <c r="P1013" s="74"/>
      <c r="Q1013" s="74"/>
      <c r="R1013" s="86"/>
      <c r="S1013" s="86"/>
      <c r="T1013" s="86"/>
      <c r="U1013" s="86"/>
      <c r="V1013" s="48"/>
      <c r="W1013" s="48"/>
      <c r="X1013" s="48"/>
      <c r="Y1013" s="48"/>
      <c r="Z1013" s="47"/>
      <c r="AA1013" s="69">
        <v>1013</v>
      </c>
      <c r="AB1013" s="69"/>
      <c r="AC1013" s="70"/>
      <c r="AD1013" s="76" t="s">
        <v>22803</v>
      </c>
      <c r="AE1013" s="81" t="s">
        <v>21741</v>
      </c>
      <c r="AF1013" s="76">
        <v>0</v>
      </c>
      <c r="AG1013" s="76">
        <v>24</v>
      </c>
      <c r="AH1013" s="76">
        <v>3</v>
      </c>
      <c r="AI1013" s="76">
        <v>0</v>
      </c>
      <c r="AJ1013" s="76">
        <v>11</v>
      </c>
      <c r="AK1013" s="76">
        <v>2</v>
      </c>
      <c r="AL1013" s="76" t="b">
        <v>0</v>
      </c>
      <c r="AM1013" s="78">
        <v>45090.641064814816</v>
      </c>
      <c r="AN1013" s="76"/>
      <c r="AO1013" s="76"/>
      <c r="AP1013" s="76"/>
      <c r="AQ1013" s="76"/>
      <c r="AR1013" s="76"/>
      <c r="AS1013" s="76"/>
      <c r="AT1013" s="76"/>
      <c r="AU1013" s="76"/>
      <c r="AV1013" s="76"/>
      <c r="AW1013" s="76"/>
      <c r="AX1013" s="76" t="b">
        <v>0</v>
      </c>
      <c r="AY1013" s="76"/>
      <c r="AZ1013" s="76"/>
      <c r="BA1013" s="76" t="b">
        <v>0</v>
      </c>
      <c r="BB1013" s="76" t="b">
        <v>1</v>
      </c>
      <c r="BC1013" s="76" t="b">
        <v>1</v>
      </c>
      <c r="BD1013" s="76" t="b">
        <v>0</v>
      </c>
      <c r="BE1013" s="76" t="b">
        <v>0</v>
      </c>
      <c r="BF1013" s="76" t="b">
        <v>0</v>
      </c>
      <c r="BG1013" s="76" t="b">
        <v>0</v>
      </c>
      <c r="BH1013" s="76"/>
      <c r="BI1013" s="76"/>
      <c r="BJ1013" s="76" t="s">
        <v>24935</v>
      </c>
      <c r="BK1013" s="76" t="b">
        <v>0</v>
      </c>
      <c r="BL1013" s="76"/>
      <c r="BM1013" s="76" t="s">
        <v>66</v>
      </c>
      <c r="BN1013" s="76" t="s">
        <v>24937</v>
      </c>
      <c r="BO1013" s="83" t="str">
        <f>HYPERLINK("https://twitter.com/maviipereiira")</f>
        <v>https://twitter.com/maviipereiira</v>
      </c>
      <c r="BP1013" s="2"/>
    </row>
    <row r="1014" spans="1:68" x14ac:dyDescent="0.25">
      <c r="A1014" s="62" t="s">
        <v>1192</v>
      </c>
      <c r="B1014" s="63"/>
      <c r="C1014" s="63"/>
      <c r="D1014" s="64"/>
      <c r="E1014" s="66"/>
      <c r="F1014" s="102" t="str">
        <f>HYPERLINK("https://pbs.twimg.com/profile_images/1696785665290031105/w7I4AGrh_normal.jpg")</f>
        <v>https://pbs.twimg.com/profile_images/1696785665290031105/w7I4AGrh_normal.jpg</v>
      </c>
      <c r="G1014" s="63"/>
      <c r="H1014" s="67"/>
      <c r="I1014" s="68"/>
      <c r="J1014" s="68"/>
      <c r="K1014" s="67" t="s">
        <v>25948</v>
      </c>
      <c r="L1014" s="71"/>
      <c r="M1014" s="72"/>
      <c r="N1014" s="72"/>
      <c r="O1014" s="73"/>
      <c r="P1014" s="74"/>
      <c r="Q1014" s="74"/>
      <c r="R1014" s="86"/>
      <c r="S1014" s="86"/>
      <c r="T1014" s="86"/>
      <c r="U1014" s="86"/>
      <c r="V1014" s="48"/>
      <c r="W1014" s="48"/>
      <c r="X1014" s="48"/>
      <c r="Y1014" s="48"/>
      <c r="Z1014" s="47"/>
      <c r="AA1014" s="69">
        <v>1014</v>
      </c>
      <c r="AB1014" s="69"/>
      <c r="AC1014" s="70"/>
      <c r="AD1014" s="76" t="s">
        <v>22804</v>
      </c>
      <c r="AE1014" s="81" t="s">
        <v>21742</v>
      </c>
      <c r="AF1014" s="76">
        <v>15</v>
      </c>
      <c r="AG1014" s="76">
        <v>170</v>
      </c>
      <c r="AH1014" s="76">
        <v>305</v>
      </c>
      <c r="AI1014" s="76">
        <v>1</v>
      </c>
      <c r="AJ1014" s="76">
        <v>385</v>
      </c>
      <c r="AK1014" s="76">
        <v>55</v>
      </c>
      <c r="AL1014" s="76" t="b">
        <v>0</v>
      </c>
      <c r="AM1014" s="78">
        <v>45067.730208333334</v>
      </c>
      <c r="AN1014" s="76" t="s">
        <v>23338</v>
      </c>
      <c r="AO1014" s="76" t="s">
        <v>24209</v>
      </c>
      <c r="AP1014" s="83" t="str">
        <f>HYPERLINK("https://t.co/CmNcc1E0ko")</f>
        <v>https://t.co/CmNcc1E0ko</v>
      </c>
      <c r="AQ1014" s="83" t="str">
        <f>HYPERLINK("https://www.instagram.com/techlife.inc/")</f>
        <v>https://www.instagram.com/techlife.inc/</v>
      </c>
      <c r="AR1014" s="76" t="s">
        <v>24806</v>
      </c>
      <c r="AS1014" s="76"/>
      <c r="AT1014" s="76"/>
      <c r="AU1014" s="76"/>
      <c r="AV1014" s="76">
        <v>1.6604385219690099E+18</v>
      </c>
      <c r="AW1014" s="83" t="str">
        <f>HYPERLINK("https://t.co/CmNcc1E0ko")</f>
        <v>https://t.co/CmNcc1E0ko</v>
      </c>
      <c r="AX1014" s="76" t="b">
        <v>0</v>
      </c>
      <c r="AY1014" s="76"/>
      <c r="AZ1014" s="76"/>
      <c r="BA1014" s="76" t="b">
        <v>0</v>
      </c>
      <c r="BB1014" s="76" t="b">
        <v>1</v>
      </c>
      <c r="BC1014" s="76" t="b">
        <v>1</v>
      </c>
      <c r="BD1014" s="76" t="b">
        <v>0</v>
      </c>
      <c r="BE1014" s="76" t="b">
        <v>0</v>
      </c>
      <c r="BF1014" s="76" t="b">
        <v>0</v>
      </c>
      <c r="BG1014" s="76" t="b">
        <v>0</v>
      </c>
      <c r="BH1014" s="83" t="str">
        <f>HYPERLINK("https://pbs.twimg.com/profile_banners/1660336659706130440/1693380203")</f>
        <v>https://pbs.twimg.com/profile_banners/1660336659706130440/1693380203</v>
      </c>
      <c r="BI1014" s="76"/>
      <c r="BJ1014" s="76" t="s">
        <v>24935</v>
      </c>
      <c r="BK1014" s="76" t="b">
        <v>0</v>
      </c>
      <c r="BL1014" s="76"/>
      <c r="BM1014" s="76" t="s">
        <v>66</v>
      </c>
      <c r="BN1014" s="76" t="s">
        <v>24937</v>
      </c>
      <c r="BO1014" s="83" t="str">
        <f>HYPERLINK("https://twitter.com/techlife_inc")</f>
        <v>https://twitter.com/techlife_inc</v>
      </c>
      <c r="BP1014" s="2"/>
    </row>
    <row r="1015" spans="1:68" x14ac:dyDescent="0.25">
      <c r="A1015" s="62" t="s">
        <v>1193</v>
      </c>
      <c r="B1015" s="63"/>
      <c r="C1015" s="63"/>
      <c r="D1015" s="64"/>
      <c r="E1015" s="66"/>
      <c r="F1015" s="102" t="str">
        <f>HYPERLINK("https://pbs.twimg.com/profile_images/1328748105039294471/JwLfxw10_normal.jpg")</f>
        <v>https://pbs.twimg.com/profile_images/1328748105039294471/JwLfxw10_normal.jpg</v>
      </c>
      <c r="G1015" s="63"/>
      <c r="H1015" s="67"/>
      <c r="I1015" s="68"/>
      <c r="J1015" s="68"/>
      <c r="K1015" s="67" t="s">
        <v>25949</v>
      </c>
      <c r="L1015" s="71"/>
      <c r="M1015" s="72"/>
      <c r="N1015" s="72"/>
      <c r="O1015" s="73"/>
      <c r="P1015" s="74"/>
      <c r="Q1015" s="74"/>
      <c r="R1015" s="86"/>
      <c r="S1015" s="86"/>
      <c r="T1015" s="86"/>
      <c r="U1015" s="86"/>
      <c r="V1015" s="48"/>
      <c r="W1015" s="48"/>
      <c r="X1015" s="48"/>
      <c r="Y1015" s="48"/>
      <c r="Z1015" s="47"/>
      <c r="AA1015" s="69">
        <v>1015</v>
      </c>
      <c r="AB1015" s="69"/>
      <c r="AC1015" s="70"/>
      <c r="AD1015" s="76" t="s">
        <v>22805</v>
      </c>
      <c r="AE1015" s="81" t="s">
        <v>23064</v>
      </c>
      <c r="AF1015" s="76">
        <v>31</v>
      </c>
      <c r="AG1015" s="76">
        <v>208</v>
      </c>
      <c r="AH1015" s="76">
        <v>4820</v>
      </c>
      <c r="AI1015" s="76">
        <v>0</v>
      </c>
      <c r="AJ1015" s="76">
        <v>5343</v>
      </c>
      <c r="AK1015" s="76">
        <v>1049</v>
      </c>
      <c r="AL1015" s="76" t="b">
        <v>0</v>
      </c>
      <c r="AM1015" s="78">
        <v>40558.945833333331</v>
      </c>
      <c r="AN1015" s="76" t="s">
        <v>14033</v>
      </c>
      <c r="AO1015" s="76" t="s">
        <v>24210</v>
      </c>
      <c r="AP1015" s="83" t="str">
        <f>HYPERLINK("https://t.co/W6rSBlHxeT")</f>
        <v>https://t.co/W6rSBlHxeT</v>
      </c>
      <c r="AQ1015" s="83" t="str">
        <f>HYPERLINK("https://www.magazinevoce.com.br/magazinedakellynha/")</f>
        <v>https://www.magazinevoce.com.br/magazinedakellynha/</v>
      </c>
      <c r="AR1015" s="76" t="s">
        <v>24807</v>
      </c>
      <c r="AS1015" s="76" t="s">
        <v>24840</v>
      </c>
      <c r="AT1015" s="76" t="s">
        <v>24851</v>
      </c>
      <c r="AU1015" s="76" t="s">
        <v>24930</v>
      </c>
      <c r="AV1015" s="76">
        <v>1.3939715078151401E+18</v>
      </c>
      <c r="AW1015" s="83" t="str">
        <f>HYPERLINK("https://t.co/W6rSBlHxeT")</f>
        <v>https://t.co/W6rSBlHxeT</v>
      </c>
      <c r="AX1015" s="76" t="b">
        <v>0</v>
      </c>
      <c r="AY1015" s="76"/>
      <c r="AZ1015" s="76"/>
      <c r="BA1015" s="76" t="b">
        <v>0</v>
      </c>
      <c r="BB1015" s="76" t="b">
        <v>1</v>
      </c>
      <c r="BC1015" s="76" t="b">
        <v>0</v>
      </c>
      <c r="BD1015" s="76" t="b">
        <v>0</v>
      </c>
      <c r="BE1015" s="76" t="b">
        <v>1</v>
      </c>
      <c r="BF1015" s="76" t="b">
        <v>0</v>
      </c>
      <c r="BG1015" s="76" t="b">
        <v>0</v>
      </c>
      <c r="BH1015" s="83" t="str">
        <f>HYPERLINK("https://pbs.twimg.com/profile_banners/238736288/1686942209")</f>
        <v>https://pbs.twimg.com/profile_banners/238736288/1686942209</v>
      </c>
      <c r="BI1015" s="76"/>
      <c r="BJ1015" s="76" t="s">
        <v>24935</v>
      </c>
      <c r="BK1015" s="76" t="b">
        <v>0</v>
      </c>
      <c r="BL1015" s="76"/>
      <c r="BM1015" s="76" t="s">
        <v>66</v>
      </c>
      <c r="BN1015" s="76" t="s">
        <v>24937</v>
      </c>
      <c r="BO1015" s="83" t="str">
        <f>HYPERLINK("https://twitter.com/kellyzinhanasci")</f>
        <v>https://twitter.com/kellyzinhanasci</v>
      </c>
      <c r="BP1015" s="2"/>
    </row>
    <row r="1016" spans="1:68" x14ac:dyDescent="0.25">
      <c r="A1016" s="62" t="s">
        <v>1194</v>
      </c>
      <c r="B1016" s="63"/>
      <c r="C1016" s="63"/>
      <c r="D1016" s="64"/>
      <c r="E1016" s="66"/>
      <c r="F1016" s="102" t="str">
        <f>HYPERLINK("https://pbs.twimg.com/profile_images/1665745884343140352/ReIoHJjU_normal.jpg")</f>
        <v>https://pbs.twimg.com/profile_images/1665745884343140352/ReIoHJjU_normal.jpg</v>
      </c>
      <c r="G1016" s="63"/>
      <c r="H1016" s="67"/>
      <c r="I1016" s="68"/>
      <c r="J1016" s="68"/>
      <c r="K1016" s="67" t="s">
        <v>25950</v>
      </c>
      <c r="L1016" s="71"/>
      <c r="M1016" s="72"/>
      <c r="N1016" s="72"/>
      <c r="O1016" s="73"/>
      <c r="P1016" s="74"/>
      <c r="Q1016" s="74"/>
      <c r="R1016" s="86"/>
      <c r="S1016" s="86"/>
      <c r="T1016" s="86"/>
      <c r="U1016" s="86"/>
      <c r="V1016" s="48"/>
      <c r="W1016" s="48"/>
      <c r="X1016" s="48"/>
      <c r="Y1016" s="48"/>
      <c r="Z1016" s="47"/>
      <c r="AA1016" s="69">
        <v>1016</v>
      </c>
      <c r="AB1016" s="69"/>
      <c r="AC1016" s="70"/>
      <c r="AD1016" s="76" t="s">
        <v>22806</v>
      </c>
      <c r="AE1016" s="81" t="s">
        <v>21743</v>
      </c>
      <c r="AF1016" s="76">
        <v>1</v>
      </c>
      <c r="AG1016" s="76">
        <v>16</v>
      </c>
      <c r="AH1016" s="76">
        <v>74</v>
      </c>
      <c r="AI1016" s="76">
        <v>0</v>
      </c>
      <c r="AJ1016" s="76">
        <v>20</v>
      </c>
      <c r="AK1016" s="76">
        <v>36</v>
      </c>
      <c r="AL1016" s="76" t="b">
        <v>0</v>
      </c>
      <c r="AM1016" s="78">
        <v>45082.603043981479</v>
      </c>
      <c r="AN1016" s="76"/>
      <c r="AO1016" s="76" t="s">
        <v>24211</v>
      </c>
      <c r="AP1016" s="76"/>
      <c r="AQ1016" s="76"/>
      <c r="AR1016" s="76"/>
      <c r="AS1016" s="76"/>
      <c r="AT1016" s="76"/>
      <c r="AU1016" s="76"/>
      <c r="AV1016" s="76"/>
      <c r="AW1016" s="76"/>
      <c r="AX1016" s="76" t="b">
        <v>0</v>
      </c>
      <c r="AY1016" s="76"/>
      <c r="AZ1016" s="76"/>
      <c r="BA1016" s="76" t="b">
        <v>0</v>
      </c>
      <c r="BB1016" s="76" t="b">
        <v>1</v>
      </c>
      <c r="BC1016" s="76" t="b">
        <v>1</v>
      </c>
      <c r="BD1016" s="76" t="b">
        <v>0</v>
      </c>
      <c r="BE1016" s="76" t="b">
        <v>0</v>
      </c>
      <c r="BF1016" s="76" t="b">
        <v>0</v>
      </c>
      <c r="BG1016" s="76" t="b">
        <v>0</v>
      </c>
      <c r="BH1016" s="76"/>
      <c r="BI1016" s="76"/>
      <c r="BJ1016" s="76" t="s">
        <v>24935</v>
      </c>
      <c r="BK1016" s="76" t="b">
        <v>0</v>
      </c>
      <c r="BL1016" s="76"/>
      <c r="BM1016" s="76" t="s">
        <v>66</v>
      </c>
      <c r="BN1016" s="76" t="s">
        <v>24937</v>
      </c>
      <c r="BO1016" s="83" t="str">
        <f>HYPERLINK("https://twitter.com/paulinhasi39902")</f>
        <v>https://twitter.com/paulinhasi39902</v>
      </c>
      <c r="BP1016" s="2"/>
    </row>
    <row r="1017" spans="1:68" x14ac:dyDescent="0.25">
      <c r="A1017" s="62" t="s">
        <v>1195</v>
      </c>
      <c r="B1017" s="63"/>
      <c r="C1017" s="63"/>
      <c r="D1017" s="64"/>
      <c r="E1017" s="66"/>
      <c r="F1017" s="102" t="str">
        <f>HYPERLINK("https://pbs.twimg.com/profile_images/1683992272260550657/GztNsneE_normal.jpg")</f>
        <v>https://pbs.twimg.com/profile_images/1683992272260550657/GztNsneE_normal.jpg</v>
      </c>
      <c r="G1017" s="63"/>
      <c r="H1017" s="67"/>
      <c r="I1017" s="68"/>
      <c r="J1017" s="68"/>
      <c r="K1017" s="67" t="s">
        <v>25951</v>
      </c>
      <c r="L1017" s="71"/>
      <c r="M1017" s="72"/>
      <c r="N1017" s="72"/>
      <c r="O1017" s="73"/>
      <c r="P1017" s="74"/>
      <c r="Q1017" s="74"/>
      <c r="R1017" s="86"/>
      <c r="S1017" s="86"/>
      <c r="T1017" s="86"/>
      <c r="U1017" s="86"/>
      <c r="V1017" s="48"/>
      <c r="W1017" s="48"/>
      <c r="X1017" s="48"/>
      <c r="Y1017" s="48"/>
      <c r="Z1017" s="47"/>
      <c r="AA1017" s="69">
        <v>1017</v>
      </c>
      <c r="AB1017" s="69"/>
      <c r="AC1017" s="70"/>
      <c r="AD1017" s="76" t="s">
        <v>22807</v>
      </c>
      <c r="AE1017" s="81" t="s">
        <v>21744</v>
      </c>
      <c r="AF1017" s="76">
        <v>233</v>
      </c>
      <c r="AG1017" s="76">
        <v>982</v>
      </c>
      <c r="AH1017" s="76">
        <v>1668</v>
      </c>
      <c r="AI1017" s="76">
        <v>0</v>
      </c>
      <c r="AJ1017" s="76">
        <v>1928</v>
      </c>
      <c r="AK1017" s="76">
        <v>172</v>
      </c>
      <c r="AL1017" s="76" t="b">
        <v>0</v>
      </c>
      <c r="AM1017" s="78">
        <v>44793.582083333335</v>
      </c>
      <c r="AN1017" s="76"/>
      <c r="AO1017" s="76"/>
      <c r="AP1017" s="76"/>
      <c r="AQ1017" s="76"/>
      <c r="AR1017" s="76"/>
      <c r="AS1017" s="76"/>
      <c r="AT1017" s="76"/>
      <c r="AU1017" s="76"/>
      <c r="AV1017" s="76">
        <v>1.65633635395554E+18</v>
      </c>
      <c r="AW1017" s="76"/>
      <c r="AX1017" s="76" t="b">
        <v>0</v>
      </c>
      <c r="AY1017" s="76"/>
      <c r="AZ1017" s="76"/>
      <c r="BA1017" s="76" t="b">
        <v>0</v>
      </c>
      <c r="BB1017" s="76" t="b">
        <v>1</v>
      </c>
      <c r="BC1017" s="76" t="b">
        <v>1</v>
      </c>
      <c r="BD1017" s="76" t="b">
        <v>0</v>
      </c>
      <c r="BE1017" s="76" t="b">
        <v>1</v>
      </c>
      <c r="BF1017" s="76" t="b">
        <v>0</v>
      </c>
      <c r="BG1017" s="76" t="b">
        <v>0</v>
      </c>
      <c r="BH1017" s="83" t="str">
        <f>HYPERLINK("https://pbs.twimg.com/profile_banners/1560989534988472322/1690330020")</f>
        <v>https://pbs.twimg.com/profile_banners/1560989534988472322/1690330020</v>
      </c>
      <c r="BI1017" s="76"/>
      <c r="BJ1017" s="76" t="s">
        <v>24935</v>
      </c>
      <c r="BK1017" s="76" t="b">
        <v>0</v>
      </c>
      <c r="BL1017" s="76"/>
      <c r="BM1017" s="76" t="s">
        <v>66</v>
      </c>
      <c r="BN1017" s="76" t="s">
        <v>24937</v>
      </c>
      <c r="BO1017" s="83" t="str">
        <f>HYPERLINK("https://twitter.com/javiunej")</f>
        <v>https://twitter.com/javiunej</v>
      </c>
      <c r="BP1017" s="2"/>
    </row>
    <row r="1018" spans="1:68" x14ac:dyDescent="0.25">
      <c r="A1018" s="62" t="s">
        <v>1196</v>
      </c>
      <c r="B1018" s="63"/>
      <c r="C1018" s="63"/>
      <c r="D1018" s="64"/>
      <c r="E1018" s="66"/>
      <c r="F1018" s="102" t="str">
        <f>HYPERLINK("https://pbs.twimg.com/profile_images/1460727419829116929/1hfB_OTD_normal.jpg")</f>
        <v>https://pbs.twimg.com/profile_images/1460727419829116929/1hfB_OTD_normal.jpg</v>
      </c>
      <c r="G1018" s="63"/>
      <c r="H1018" s="67"/>
      <c r="I1018" s="68"/>
      <c r="J1018" s="68"/>
      <c r="K1018" s="67" t="s">
        <v>25952</v>
      </c>
      <c r="L1018" s="71"/>
      <c r="M1018" s="72"/>
      <c r="N1018" s="72"/>
      <c r="O1018" s="73"/>
      <c r="P1018" s="74"/>
      <c r="Q1018" s="74"/>
      <c r="R1018" s="86"/>
      <c r="S1018" s="86"/>
      <c r="T1018" s="86"/>
      <c r="U1018" s="86"/>
      <c r="V1018" s="48"/>
      <c r="W1018" s="48"/>
      <c r="X1018" s="48"/>
      <c r="Y1018" s="48"/>
      <c r="Z1018" s="47"/>
      <c r="AA1018" s="69">
        <v>1018</v>
      </c>
      <c r="AB1018" s="69"/>
      <c r="AC1018" s="70"/>
      <c r="AD1018" s="76" t="s">
        <v>22808</v>
      </c>
      <c r="AE1018" s="81" t="s">
        <v>20969</v>
      </c>
      <c r="AF1018" s="76">
        <v>126</v>
      </c>
      <c r="AG1018" s="76">
        <v>77</v>
      </c>
      <c r="AH1018" s="76">
        <v>3111</v>
      </c>
      <c r="AI1018" s="76">
        <v>1</v>
      </c>
      <c r="AJ1018" s="76">
        <v>835</v>
      </c>
      <c r="AK1018" s="76">
        <v>1364</v>
      </c>
      <c r="AL1018" s="76" t="b">
        <v>0</v>
      </c>
      <c r="AM1018" s="78">
        <v>44337.031539351854</v>
      </c>
      <c r="AN1018" s="76"/>
      <c r="AO1018" s="76" t="s">
        <v>24212</v>
      </c>
      <c r="AP1018" s="76"/>
      <c r="AQ1018" s="76"/>
      <c r="AR1018" s="76"/>
      <c r="AS1018" s="76"/>
      <c r="AT1018" s="76"/>
      <c r="AU1018" s="76"/>
      <c r="AV1018" s="76"/>
      <c r="AW1018" s="76"/>
      <c r="AX1018" s="76" t="b">
        <v>0</v>
      </c>
      <c r="AY1018" s="76"/>
      <c r="AZ1018" s="76"/>
      <c r="BA1018" s="76" t="b">
        <v>0</v>
      </c>
      <c r="BB1018" s="76" t="b">
        <v>1</v>
      </c>
      <c r="BC1018" s="76" t="b">
        <v>1</v>
      </c>
      <c r="BD1018" s="76" t="b">
        <v>0</v>
      </c>
      <c r="BE1018" s="76" t="b">
        <v>1</v>
      </c>
      <c r="BF1018" s="76" t="b">
        <v>0</v>
      </c>
      <c r="BG1018" s="76" t="b">
        <v>0</v>
      </c>
      <c r="BH1018" s="76"/>
      <c r="BI1018" s="76"/>
      <c r="BJ1018" s="76" t="s">
        <v>24935</v>
      </c>
      <c r="BK1018" s="76" t="b">
        <v>0</v>
      </c>
      <c r="BL1018" s="76"/>
      <c r="BM1018" s="76" t="s">
        <v>66</v>
      </c>
      <c r="BN1018" s="76" t="s">
        <v>24937</v>
      </c>
      <c r="BO1018" s="83" t="str">
        <f>HYPERLINK("https://twitter.com/rafael__costa__")</f>
        <v>https://twitter.com/rafael__costa__</v>
      </c>
      <c r="BP1018" s="2"/>
    </row>
    <row r="1019" spans="1:68" x14ac:dyDescent="0.25">
      <c r="A1019" s="62" t="s">
        <v>1197</v>
      </c>
      <c r="B1019" s="63"/>
      <c r="C1019" s="63"/>
      <c r="D1019" s="64"/>
      <c r="E1019" s="66"/>
      <c r="F1019" s="102" t="str">
        <f>HYPERLINK("https://pbs.twimg.com/profile_images/1655636574351024128/7wMO1TQP_normal.jpg")</f>
        <v>https://pbs.twimg.com/profile_images/1655636574351024128/7wMO1TQP_normal.jpg</v>
      </c>
      <c r="G1019" s="63"/>
      <c r="H1019" s="67"/>
      <c r="I1019" s="68"/>
      <c r="J1019" s="68"/>
      <c r="K1019" s="67" t="s">
        <v>25953</v>
      </c>
      <c r="L1019" s="71"/>
      <c r="M1019" s="72"/>
      <c r="N1019" s="72"/>
      <c r="O1019" s="73"/>
      <c r="P1019" s="74"/>
      <c r="Q1019" s="74"/>
      <c r="R1019" s="86"/>
      <c r="S1019" s="86"/>
      <c r="T1019" s="86"/>
      <c r="U1019" s="86"/>
      <c r="V1019" s="48"/>
      <c r="W1019" s="48"/>
      <c r="X1019" s="48"/>
      <c r="Y1019" s="48"/>
      <c r="Z1019" s="47"/>
      <c r="AA1019" s="69">
        <v>1019</v>
      </c>
      <c r="AB1019" s="69"/>
      <c r="AC1019" s="70"/>
      <c r="AD1019" s="76" t="s">
        <v>22809</v>
      </c>
      <c r="AE1019" s="81" t="s">
        <v>21745</v>
      </c>
      <c r="AF1019" s="76">
        <v>0</v>
      </c>
      <c r="AG1019" s="76">
        <v>12</v>
      </c>
      <c r="AH1019" s="76">
        <v>19</v>
      </c>
      <c r="AI1019" s="76">
        <v>0</v>
      </c>
      <c r="AJ1019" s="76">
        <v>2</v>
      </c>
      <c r="AK1019" s="76">
        <v>12</v>
      </c>
      <c r="AL1019" s="76" t="b">
        <v>0</v>
      </c>
      <c r="AM1019" s="78">
        <v>45013.633761574078</v>
      </c>
      <c r="AN1019" s="76"/>
      <c r="AO1019" s="76" t="s">
        <v>24213</v>
      </c>
      <c r="AP1019" s="76"/>
      <c r="AQ1019" s="76"/>
      <c r="AR1019" s="76"/>
      <c r="AS1019" s="76"/>
      <c r="AT1019" s="76"/>
      <c r="AU1019" s="76"/>
      <c r="AV1019" s="76"/>
      <c r="AW1019" s="76"/>
      <c r="AX1019" s="76" t="b">
        <v>0</v>
      </c>
      <c r="AY1019" s="76"/>
      <c r="AZ1019" s="76"/>
      <c r="BA1019" s="76" t="b">
        <v>0</v>
      </c>
      <c r="BB1019" s="76" t="b">
        <v>1</v>
      </c>
      <c r="BC1019" s="76" t="b">
        <v>1</v>
      </c>
      <c r="BD1019" s="76" t="b">
        <v>0</v>
      </c>
      <c r="BE1019" s="76" t="b">
        <v>0</v>
      </c>
      <c r="BF1019" s="76" t="b">
        <v>0</v>
      </c>
      <c r="BG1019" s="76" t="b">
        <v>0</v>
      </c>
      <c r="BH1019" s="83" t="str">
        <f>HYPERLINK("https://pbs.twimg.com/profile_banners/1640733596720799744/1683087864")</f>
        <v>https://pbs.twimg.com/profile_banners/1640733596720799744/1683087864</v>
      </c>
      <c r="BI1019" s="76"/>
      <c r="BJ1019" s="76" t="s">
        <v>24935</v>
      </c>
      <c r="BK1019" s="76" t="b">
        <v>0</v>
      </c>
      <c r="BL1019" s="76"/>
      <c r="BM1019" s="76" t="s">
        <v>66</v>
      </c>
      <c r="BN1019" s="76" t="s">
        <v>24937</v>
      </c>
      <c r="BO1019" s="83" t="str">
        <f>HYPERLINK("https://twitter.com/jupaimrohers")</f>
        <v>https://twitter.com/jupaimrohers</v>
      </c>
      <c r="BP1019" s="2"/>
    </row>
    <row r="1020" spans="1:68" x14ac:dyDescent="0.25">
      <c r="A1020" s="62" t="s">
        <v>1198</v>
      </c>
      <c r="B1020" s="63"/>
      <c r="C1020" s="63"/>
      <c r="D1020" s="64"/>
      <c r="E1020" s="66"/>
      <c r="F1020" s="102" t="str">
        <f>HYPERLINK("https://pbs.twimg.com/profile_images/1691199252494467072/iwAGTFDW_normal.jpg")</f>
        <v>https://pbs.twimg.com/profile_images/1691199252494467072/iwAGTFDW_normal.jpg</v>
      </c>
      <c r="G1020" s="63"/>
      <c r="H1020" s="67"/>
      <c r="I1020" s="68"/>
      <c r="J1020" s="68"/>
      <c r="K1020" s="67" t="s">
        <v>25954</v>
      </c>
      <c r="L1020" s="71"/>
      <c r="M1020" s="72"/>
      <c r="N1020" s="72"/>
      <c r="O1020" s="73"/>
      <c r="P1020" s="74"/>
      <c r="Q1020" s="74"/>
      <c r="R1020" s="86"/>
      <c r="S1020" s="86"/>
      <c r="T1020" s="86"/>
      <c r="U1020" s="86"/>
      <c r="V1020" s="48"/>
      <c r="W1020" s="48"/>
      <c r="X1020" s="48"/>
      <c r="Y1020" s="48"/>
      <c r="Z1020" s="47"/>
      <c r="AA1020" s="69">
        <v>1020</v>
      </c>
      <c r="AB1020" s="69"/>
      <c r="AC1020" s="70"/>
      <c r="AD1020" s="76" t="s">
        <v>22810</v>
      </c>
      <c r="AE1020" s="81" t="s">
        <v>21746</v>
      </c>
      <c r="AF1020" s="76">
        <v>27</v>
      </c>
      <c r="AG1020" s="76">
        <v>173</v>
      </c>
      <c r="AH1020" s="76">
        <v>1679</v>
      </c>
      <c r="AI1020" s="76">
        <v>0</v>
      </c>
      <c r="AJ1020" s="76">
        <v>6566</v>
      </c>
      <c r="AK1020" s="76">
        <v>153</v>
      </c>
      <c r="AL1020" s="76" t="b">
        <v>0</v>
      </c>
      <c r="AM1020" s="78">
        <v>44903.70684027778</v>
      </c>
      <c r="AN1020" s="76"/>
      <c r="AO1020" s="76" t="s">
        <v>24214</v>
      </c>
      <c r="AP1020" s="76"/>
      <c r="AQ1020" s="76"/>
      <c r="AR1020" s="76"/>
      <c r="AS1020" s="76"/>
      <c r="AT1020" s="76"/>
      <c r="AU1020" s="76"/>
      <c r="AV1020" s="76"/>
      <c r="AW1020" s="76"/>
      <c r="AX1020" s="76" t="b">
        <v>0</v>
      </c>
      <c r="AY1020" s="76"/>
      <c r="AZ1020" s="76"/>
      <c r="BA1020" s="76" t="b">
        <v>0</v>
      </c>
      <c r="BB1020" s="76" t="b">
        <v>1</v>
      </c>
      <c r="BC1020" s="76" t="b">
        <v>1</v>
      </c>
      <c r="BD1020" s="76" t="b">
        <v>0</v>
      </c>
      <c r="BE1020" s="76" t="b">
        <v>0</v>
      </c>
      <c r="BF1020" s="76" t="b">
        <v>0</v>
      </c>
      <c r="BG1020" s="76" t="b">
        <v>0</v>
      </c>
      <c r="BH1020" s="83" t="str">
        <f>HYPERLINK("https://pbs.twimg.com/profile_banners/1600897378227294209/1687119269")</f>
        <v>https://pbs.twimg.com/profile_banners/1600897378227294209/1687119269</v>
      </c>
      <c r="BI1020" s="76"/>
      <c r="BJ1020" s="76" t="s">
        <v>24935</v>
      </c>
      <c r="BK1020" s="76" t="b">
        <v>0</v>
      </c>
      <c r="BL1020" s="76"/>
      <c r="BM1020" s="76" t="s">
        <v>66</v>
      </c>
      <c r="BN1020" s="76" t="s">
        <v>24937</v>
      </c>
      <c r="BO1020" s="83" t="str">
        <f>HYPERLINK("https://twitter.com/online24horass")</f>
        <v>https://twitter.com/online24horass</v>
      </c>
      <c r="BP1020" s="2"/>
    </row>
    <row r="1021" spans="1:68" x14ac:dyDescent="0.25">
      <c r="A1021" s="62" t="s">
        <v>1199</v>
      </c>
      <c r="B1021" s="63"/>
      <c r="C1021" s="63"/>
      <c r="D1021" s="64"/>
      <c r="E1021" s="66"/>
      <c r="F1021" s="102" t="str">
        <f>HYPERLINK("https://pbs.twimg.com/profile_images/1660594047252152322/056j0U13_normal.jpg")</f>
        <v>https://pbs.twimg.com/profile_images/1660594047252152322/056j0U13_normal.jpg</v>
      </c>
      <c r="G1021" s="63"/>
      <c r="H1021" s="67"/>
      <c r="I1021" s="68"/>
      <c r="J1021" s="68"/>
      <c r="K1021" s="67" t="s">
        <v>25955</v>
      </c>
      <c r="L1021" s="71"/>
      <c r="M1021" s="72"/>
      <c r="N1021" s="72"/>
      <c r="O1021" s="73"/>
      <c r="P1021" s="74"/>
      <c r="Q1021" s="74"/>
      <c r="R1021" s="86"/>
      <c r="S1021" s="86"/>
      <c r="T1021" s="86"/>
      <c r="U1021" s="86"/>
      <c r="V1021" s="48"/>
      <c r="W1021" s="48"/>
      <c r="X1021" s="48"/>
      <c r="Y1021" s="48"/>
      <c r="Z1021" s="47"/>
      <c r="AA1021" s="69">
        <v>1021</v>
      </c>
      <c r="AB1021" s="69"/>
      <c r="AC1021" s="70"/>
      <c r="AD1021" s="76" t="s">
        <v>22811</v>
      </c>
      <c r="AE1021" s="81" t="s">
        <v>23065</v>
      </c>
      <c r="AF1021" s="76">
        <v>273</v>
      </c>
      <c r="AG1021" s="76">
        <v>64</v>
      </c>
      <c r="AH1021" s="76">
        <v>17646</v>
      </c>
      <c r="AI1021" s="76">
        <v>6</v>
      </c>
      <c r="AJ1021" s="76">
        <v>1753</v>
      </c>
      <c r="AK1021" s="76">
        <v>341</v>
      </c>
      <c r="AL1021" s="76" t="b">
        <v>0</v>
      </c>
      <c r="AM1021" s="78">
        <v>40058.11037037037</v>
      </c>
      <c r="AN1021" s="76" t="s">
        <v>23339</v>
      </c>
      <c r="AO1021" s="76" t="s">
        <v>24215</v>
      </c>
      <c r="AP1021" s="83" t="str">
        <f>HYPERLINK("https://t.co/9CPI2eWbol")</f>
        <v>https://t.co/9CPI2eWbol</v>
      </c>
      <c r="AQ1021" s="83" t="str">
        <f>HYPERLINK("https://mundomarsdigital.com/")</f>
        <v>https://mundomarsdigital.com/</v>
      </c>
      <c r="AR1021" s="76" t="s">
        <v>24808</v>
      </c>
      <c r="AS1021" s="76"/>
      <c r="AT1021" s="76"/>
      <c r="AU1021" s="76"/>
      <c r="AV1021" s="76">
        <v>1.68098787429069E+18</v>
      </c>
      <c r="AW1021" s="83" t="str">
        <f>HYPERLINK("https://t.co/9CPI2eWbol")</f>
        <v>https://t.co/9CPI2eWbol</v>
      </c>
      <c r="AX1021" s="76" t="b">
        <v>0</v>
      </c>
      <c r="AY1021" s="76"/>
      <c r="AZ1021" s="76"/>
      <c r="BA1021" s="76" t="b">
        <v>0</v>
      </c>
      <c r="BB1021" s="76" t="b">
        <v>1</v>
      </c>
      <c r="BC1021" s="76" t="b">
        <v>0</v>
      </c>
      <c r="BD1021" s="76" t="b">
        <v>0</v>
      </c>
      <c r="BE1021" s="76" t="b">
        <v>1</v>
      </c>
      <c r="BF1021" s="76" t="b">
        <v>0</v>
      </c>
      <c r="BG1021" s="76" t="b">
        <v>0</v>
      </c>
      <c r="BH1021" s="83" t="str">
        <f>HYPERLINK("https://pbs.twimg.com/profile_banners/70861309/1609759268")</f>
        <v>https://pbs.twimg.com/profile_banners/70861309/1609759268</v>
      </c>
      <c r="BI1021" s="76"/>
      <c r="BJ1021" s="76" t="s">
        <v>24935</v>
      </c>
      <c r="BK1021" s="76" t="b">
        <v>0</v>
      </c>
      <c r="BL1021" s="76"/>
      <c r="BM1021" s="76" t="s">
        <v>66</v>
      </c>
      <c r="BN1021" s="76" t="s">
        <v>24937</v>
      </c>
      <c r="BO1021" s="83" t="str">
        <f>HYPERLINK("https://twitter.com/mah4ever")</f>
        <v>https://twitter.com/mah4ever</v>
      </c>
      <c r="BP1021" s="2"/>
    </row>
    <row r="1022" spans="1:68" x14ac:dyDescent="0.25">
      <c r="A1022" s="62" t="s">
        <v>1200</v>
      </c>
      <c r="B1022" s="63"/>
      <c r="C1022" s="63"/>
      <c r="D1022" s="64"/>
      <c r="E1022" s="66"/>
      <c r="F1022" s="102" t="str">
        <f>HYPERLINK("https://pbs.twimg.com/profile_images/1611504393630646272/fNAAY6Gu_normal.jpg")</f>
        <v>https://pbs.twimg.com/profile_images/1611504393630646272/fNAAY6Gu_normal.jpg</v>
      </c>
      <c r="G1022" s="63"/>
      <c r="H1022" s="67"/>
      <c r="I1022" s="68"/>
      <c r="J1022" s="68"/>
      <c r="K1022" s="67" t="s">
        <v>25956</v>
      </c>
      <c r="L1022" s="71"/>
      <c r="M1022" s="72"/>
      <c r="N1022" s="72"/>
      <c r="O1022" s="73"/>
      <c r="P1022" s="74"/>
      <c r="Q1022" s="74"/>
      <c r="R1022" s="86"/>
      <c r="S1022" s="86"/>
      <c r="T1022" s="86"/>
      <c r="U1022" s="86"/>
      <c r="V1022" s="48"/>
      <c r="W1022" s="48"/>
      <c r="X1022" s="48"/>
      <c r="Y1022" s="48"/>
      <c r="Z1022" s="47"/>
      <c r="AA1022" s="69">
        <v>1022</v>
      </c>
      <c r="AB1022" s="69"/>
      <c r="AC1022" s="70"/>
      <c r="AD1022" s="76" t="s">
        <v>22812</v>
      </c>
      <c r="AE1022" s="81" t="s">
        <v>21747</v>
      </c>
      <c r="AF1022" s="76">
        <v>5</v>
      </c>
      <c r="AG1022" s="76">
        <v>16</v>
      </c>
      <c r="AH1022" s="76">
        <v>23</v>
      </c>
      <c r="AI1022" s="76">
        <v>0</v>
      </c>
      <c r="AJ1022" s="76">
        <v>5</v>
      </c>
      <c r="AK1022" s="76">
        <v>18</v>
      </c>
      <c r="AL1022" s="76" t="b">
        <v>0</v>
      </c>
      <c r="AM1022" s="78">
        <v>44918.840370370373</v>
      </c>
      <c r="AN1022" s="76"/>
      <c r="AO1022" s="76"/>
      <c r="AP1022" s="76"/>
      <c r="AQ1022" s="76"/>
      <c r="AR1022" s="76"/>
      <c r="AS1022" s="76"/>
      <c r="AT1022" s="76"/>
      <c r="AU1022" s="76"/>
      <c r="AV1022" s="76"/>
      <c r="AW1022" s="76"/>
      <c r="AX1022" s="76" t="b">
        <v>0</v>
      </c>
      <c r="AY1022" s="76"/>
      <c r="AZ1022" s="76"/>
      <c r="BA1022" s="76" t="b">
        <v>0</v>
      </c>
      <c r="BB1022" s="76" t="b">
        <v>1</v>
      </c>
      <c r="BC1022" s="76" t="b">
        <v>1</v>
      </c>
      <c r="BD1022" s="76" t="b">
        <v>0</v>
      </c>
      <c r="BE1022" s="76" t="b">
        <v>0</v>
      </c>
      <c r="BF1022" s="76" t="b">
        <v>0</v>
      </c>
      <c r="BG1022" s="76" t="b">
        <v>0</v>
      </c>
      <c r="BH1022" s="83" t="str">
        <f>HYPERLINK("https://pbs.twimg.com/profile_banners/1606381586773168134/1673047863")</f>
        <v>https://pbs.twimg.com/profile_banners/1606381586773168134/1673047863</v>
      </c>
      <c r="BI1022" s="76"/>
      <c r="BJ1022" s="76" t="s">
        <v>24935</v>
      </c>
      <c r="BK1022" s="76" t="b">
        <v>0</v>
      </c>
      <c r="BL1022" s="76"/>
      <c r="BM1022" s="76" t="s">
        <v>66</v>
      </c>
      <c r="BN1022" s="76" t="s">
        <v>24937</v>
      </c>
      <c r="BO1022" s="83" t="str">
        <f>HYPERLINK("https://twitter.com/julioce09076006")</f>
        <v>https://twitter.com/julioce09076006</v>
      </c>
      <c r="BP1022" s="2"/>
    </row>
    <row r="1023" spans="1:68" x14ac:dyDescent="0.25">
      <c r="A1023" s="62" t="s">
        <v>1282</v>
      </c>
      <c r="B1023" s="63"/>
      <c r="C1023" s="63"/>
      <c r="D1023" s="64"/>
      <c r="E1023" s="66"/>
      <c r="F1023" s="102" t="str">
        <f>HYPERLINK("https://pbs.twimg.com/profile_images/1638325504204742657/I2i0vAru_normal.jpg")</f>
        <v>https://pbs.twimg.com/profile_images/1638325504204742657/I2i0vAru_normal.jpg</v>
      </c>
      <c r="G1023" s="63"/>
      <c r="H1023" s="67"/>
      <c r="I1023" s="68"/>
      <c r="J1023" s="68"/>
      <c r="K1023" s="67" t="s">
        <v>25957</v>
      </c>
      <c r="L1023" s="71"/>
      <c r="M1023" s="72"/>
      <c r="N1023" s="72"/>
      <c r="O1023" s="73"/>
      <c r="P1023" s="74"/>
      <c r="Q1023" s="74"/>
      <c r="R1023" s="86"/>
      <c r="S1023" s="86"/>
      <c r="T1023" s="86"/>
      <c r="U1023" s="86"/>
      <c r="V1023" s="48"/>
      <c r="W1023" s="48"/>
      <c r="X1023" s="48"/>
      <c r="Y1023" s="48"/>
      <c r="Z1023" s="47"/>
      <c r="AA1023" s="69">
        <v>1023</v>
      </c>
      <c r="AB1023" s="69"/>
      <c r="AC1023" s="70"/>
      <c r="AD1023" s="76" t="s">
        <v>22813</v>
      </c>
      <c r="AE1023" s="81" t="s">
        <v>23066</v>
      </c>
      <c r="AF1023" s="76">
        <v>37</v>
      </c>
      <c r="AG1023" s="76">
        <v>83</v>
      </c>
      <c r="AH1023" s="76">
        <v>197</v>
      </c>
      <c r="AI1023" s="76">
        <v>0</v>
      </c>
      <c r="AJ1023" s="76">
        <v>172</v>
      </c>
      <c r="AK1023" s="76">
        <v>185</v>
      </c>
      <c r="AL1023" s="76" t="b">
        <v>0</v>
      </c>
      <c r="AM1023" s="78">
        <v>44641.605034722219</v>
      </c>
      <c r="AN1023" s="76"/>
      <c r="AO1023" s="76" t="s">
        <v>24216</v>
      </c>
      <c r="AP1023" s="83" t="str">
        <f>HYPERLINK("https://t.co/WC2eixrzdv")</f>
        <v>https://t.co/WC2eixrzdv</v>
      </c>
      <c r="AQ1023" s="83" t="str">
        <f>HYPERLINK("https://sshortly.net/7TWusk")</f>
        <v>https://sshortly.net/7TWusk</v>
      </c>
      <c r="AR1023" s="76" t="s">
        <v>24809</v>
      </c>
      <c r="AS1023" s="76"/>
      <c r="AT1023" s="76"/>
      <c r="AU1023" s="76"/>
      <c r="AV1023" s="76"/>
      <c r="AW1023" s="83" t="str">
        <f>HYPERLINK("https://t.co/WC2eixrzdv")</f>
        <v>https://t.co/WC2eixrzdv</v>
      </c>
      <c r="AX1023" s="76" t="b">
        <v>0</v>
      </c>
      <c r="AY1023" s="76"/>
      <c r="AZ1023" s="76"/>
      <c r="BA1023" s="76" t="b">
        <v>0</v>
      </c>
      <c r="BB1023" s="76" t="b">
        <v>1</v>
      </c>
      <c r="BC1023" s="76" t="b">
        <v>1</v>
      </c>
      <c r="BD1023" s="76" t="b">
        <v>0</v>
      </c>
      <c r="BE1023" s="76" t="b">
        <v>0</v>
      </c>
      <c r="BF1023" s="76" t="b">
        <v>0</v>
      </c>
      <c r="BG1023" s="76" t="b">
        <v>0</v>
      </c>
      <c r="BH1023" s="83" t="str">
        <f>HYPERLINK("https://pbs.twimg.com/profile_banners/1505914845060812804/1679442176")</f>
        <v>https://pbs.twimg.com/profile_banners/1505914845060812804/1679442176</v>
      </c>
      <c r="BI1023" s="76"/>
      <c r="BJ1023" s="76" t="s">
        <v>24935</v>
      </c>
      <c r="BK1023" s="76" t="b">
        <v>0</v>
      </c>
      <c r="BL1023" s="76"/>
      <c r="BM1023" s="76" t="s">
        <v>65</v>
      </c>
      <c r="BN1023" s="76" t="s">
        <v>24937</v>
      </c>
      <c r="BO1023" s="83" t="str">
        <f>HYPERLINK("https://twitter.com/gamblecitybrl")</f>
        <v>https://twitter.com/gamblecitybrl</v>
      </c>
      <c r="BP1023" s="2"/>
    </row>
    <row r="1024" spans="1:68" x14ac:dyDescent="0.25">
      <c r="A1024" s="62" t="s">
        <v>1201</v>
      </c>
      <c r="B1024" s="63"/>
      <c r="C1024" s="63"/>
      <c r="D1024" s="64"/>
      <c r="E1024" s="66"/>
      <c r="F1024" s="102" t="str">
        <f>HYPERLINK("https://pbs.twimg.com/profile_images/1651033541977821187/kZYx0GiQ_normal.jpg")</f>
        <v>https://pbs.twimg.com/profile_images/1651033541977821187/kZYx0GiQ_normal.jpg</v>
      </c>
      <c r="G1024" s="63"/>
      <c r="H1024" s="67"/>
      <c r="I1024" s="68"/>
      <c r="J1024" s="68"/>
      <c r="K1024" s="67" t="s">
        <v>25958</v>
      </c>
      <c r="L1024" s="71"/>
      <c r="M1024" s="72"/>
      <c r="N1024" s="72"/>
      <c r="O1024" s="73"/>
      <c r="P1024" s="74"/>
      <c r="Q1024" s="74"/>
      <c r="R1024" s="86"/>
      <c r="S1024" s="86"/>
      <c r="T1024" s="86"/>
      <c r="U1024" s="86"/>
      <c r="V1024" s="48"/>
      <c r="W1024" s="48"/>
      <c r="X1024" s="48"/>
      <c r="Y1024" s="48"/>
      <c r="Z1024" s="47"/>
      <c r="AA1024" s="69">
        <v>1024</v>
      </c>
      <c r="AB1024" s="69"/>
      <c r="AC1024" s="70"/>
      <c r="AD1024" s="76" t="s">
        <v>22814</v>
      </c>
      <c r="AE1024" s="81" t="s">
        <v>21748</v>
      </c>
      <c r="AF1024" s="76">
        <v>3</v>
      </c>
      <c r="AG1024" s="76">
        <v>19</v>
      </c>
      <c r="AH1024" s="76">
        <v>16</v>
      </c>
      <c r="AI1024" s="76">
        <v>0</v>
      </c>
      <c r="AJ1024" s="76">
        <v>0</v>
      </c>
      <c r="AK1024" s="76">
        <v>0</v>
      </c>
      <c r="AL1024" s="76" t="b">
        <v>0</v>
      </c>
      <c r="AM1024" s="78">
        <v>45042.032268518517</v>
      </c>
      <c r="AN1024" s="76"/>
      <c r="AO1024" s="76" t="s">
        <v>24217</v>
      </c>
      <c r="AP1024" s="76"/>
      <c r="AQ1024" s="76"/>
      <c r="AR1024" s="76"/>
      <c r="AS1024" s="76"/>
      <c r="AT1024" s="76"/>
      <c r="AU1024" s="76"/>
      <c r="AV1024" s="76"/>
      <c r="AW1024" s="76"/>
      <c r="AX1024" s="76" t="b">
        <v>0</v>
      </c>
      <c r="AY1024" s="76"/>
      <c r="AZ1024" s="76"/>
      <c r="BA1024" s="76" t="b">
        <v>0</v>
      </c>
      <c r="BB1024" s="76" t="b">
        <v>1</v>
      </c>
      <c r="BC1024" s="76" t="b">
        <v>1</v>
      </c>
      <c r="BD1024" s="76" t="b">
        <v>0</v>
      </c>
      <c r="BE1024" s="76" t="b">
        <v>0</v>
      </c>
      <c r="BF1024" s="76" t="b">
        <v>0</v>
      </c>
      <c r="BG1024" s="76" t="b">
        <v>0</v>
      </c>
      <c r="BH1024" s="76"/>
      <c r="BI1024" s="76"/>
      <c r="BJ1024" s="76" t="s">
        <v>24935</v>
      </c>
      <c r="BK1024" s="76" t="b">
        <v>0</v>
      </c>
      <c r="BL1024" s="76"/>
      <c r="BM1024" s="76" t="s">
        <v>66</v>
      </c>
      <c r="BN1024" s="76" t="s">
        <v>24937</v>
      </c>
      <c r="BO1024" s="83" t="str">
        <f>HYPERLINK("https://twitter.com/taniapaula_")</f>
        <v>https://twitter.com/taniapaula_</v>
      </c>
      <c r="BP1024" s="2"/>
    </row>
    <row r="1025" spans="1:68" x14ac:dyDescent="0.25">
      <c r="A1025" s="62" t="s">
        <v>1202</v>
      </c>
      <c r="B1025" s="63"/>
      <c r="C1025" s="63"/>
      <c r="D1025" s="64"/>
      <c r="E1025" s="66"/>
      <c r="F1025" s="102" t="str">
        <f>HYPERLINK("https://pbs.twimg.com/profile_images/1696373051355496448/znjLMd_w_normal.jpg")</f>
        <v>https://pbs.twimg.com/profile_images/1696373051355496448/znjLMd_w_normal.jpg</v>
      </c>
      <c r="G1025" s="63"/>
      <c r="H1025" s="67"/>
      <c r="I1025" s="68"/>
      <c r="J1025" s="68"/>
      <c r="K1025" s="67" t="s">
        <v>25959</v>
      </c>
      <c r="L1025" s="71"/>
      <c r="M1025" s="72"/>
      <c r="N1025" s="72"/>
      <c r="O1025" s="73"/>
      <c r="P1025" s="74"/>
      <c r="Q1025" s="74"/>
      <c r="R1025" s="86"/>
      <c r="S1025" s="86"/>
      <c r="T1025" s="86"/>
      <c r="U1025" s="86"/>
      <c r="V1025" s="48"/>
      <c r="W1025" s="48"/>
      <c r="X1025" s="48"/>
      <c r="Y1025" s="48"/>
      <c r="Z1025" s="47"/>
      <c r="AA1025" s="69">
        <v>1025</v>
      </c>
      <c r="AB1025" s="69"/>
      <c r="AC1025" s="70"/>
      <c r="AD1025" s="76" t="s">
        <v>22815</v>
      </c>
      <c r="AE1025" s="81" t="s">
        <v>21749</v>
      </c>
      <c r="AF1025" s="76">
        <v>9</v>
      </c>
      <c r="AG1025" s="76">
        <v>48</v>
      </c>
      <c r="AH1025" s="76">
        <v>121</v>
      </c>
      <c r="AI1025" s="76">
        <v>0</v>
      </c>
      <c r="AJ1025" s="76">
        <v>118</v>
      </c>
      <c r="AK1025" s="76">
        <v>119</v>
      </c>
      <c r="AL1025" s="76" t="b">
        <v>0</v>
      </c>
      <c r="AM1025" s="78">
        <v>44560.980798611112</v>
      </c>
      <c r="AN1025" s="76" t="s">
        <v>23145</v>
      </c>
      <c r="AO1025" s="76" t="s">
        <v>24218</v>
      </c>
      <c r="AP1025" s="83" t="str">
        <f>HYPERLINK("https://t.co/LmCaRFdsPw")</f>
        <v>https://t.co/LmCaRFdsPw</v>
      </c>
      <c r="AQ1025" s="83" t="str">
        <f>HYPERLINK("https://bit.ly/6DConteúdos_bárbarajulia")</f>
        <v>https://bit.ly/6DConteúdos_bárbarajulia</v>
      </c>
      <c r="AR1025" s="76" t="s">
        <v>24810</v>
      </c>
      <c r="AS1025" s="76"/>
      <c r="AT1025" s="76"/>
      <c r="AU1025" s="76"/>
      <c r="AV1025" s="76"/>
      <c r="AW1025" s="83" t="str">
        <f>HYPERLINK("https://t.co/LmCaRFdsPw")</f>
        <v>https://t.co/LmCaRFdsPw</v>
      </c>
      <c r="AX1025" s="76" t="b">
        <v>0</v>
      </c>
      <c r="AY1025" s="76"/>
      <c r="AZ1025" s="76"/>
      <c r="BA1025" s="76" t="b">
        <v>0</v>
      </c>
      <c r="BB1025" s="76" t="b">
        <v>1</v>
      </c>
      <c r="BC1025" s="76" t="b">
        <v>1</v>
      </c>
      <c r="BD1025" s="76" t="b">
        <v>0</v>
      </c>
      <c r="BE1025" s="76" t="b">
        <v>0</v>
      </c>
      <c r="BF1025" s="76" t="b">
        <v>0</v>
      </c>
      <c r="BG1025" s="76" t="b">
        <v>1</v>
      </c>
      <c r="BH1025" s="83" t="str">
        <f>HYPERLINK("https://pbs.twimg.com/profile_banners/1476696633010270209/1693281848")</f>
        <v>https://pbs.twimg.com/profile_banners/1476696633010270209/1693281848</v>
      </c>
      <c r="BI1025" s="76"/>
      <c r="BJ1025" s="76" t="s">
        <v>24935</v>
      </c>
      <c r="BK1025" s="76" t="b">
        <v>0</v>
      </c>
      <c r="BL1025" s="76"/>
      <c r="BM1025" s="76" t="s">
        <v>66</v>
      </c>
      <c r="BN1025" s="76" t="s">
        <v>24937</v>
      </c>
      <c r="BO1025" s="83" t="str">
        <f>HYPERLINK("https://twitter.com/bianobk1bianobk")</f>
        <v>https://twitter.com/bianobk1bianobk</v>
      </c>
      <c r="BP1025" s="2"/>
    </row>
    <row r="1026" spans="1:68" x14ac:dyDescent="0.25">
      <c r="A1026" s="62" t="s">
        <v>1203</v>
      </c>
      <c r="B1026" s="63"/>
      <c r="C1026" s="63"/>
      <c r="D1026" s="64"/>
      <c r="E1026" s="66"/>
      <c r="F1026" s="102" t="str">
        <f>HYPERLINK("https://pbs.twimg.com/profile_images/1344141471704899584/mDnRdJsj_normal.jpg")</f>
        <v>https://pbs.twimg.com/profile_images/1344141471704899584/mDnRdJsj_normal.jpg</v>
      </c>
      <c r="G1026" s="63"/>
      <c r="H1026" s="67"/>
      <c r="I1026" s="68"/>
      <c r="J1026" s="68"/>
      <c r="K1026" s="67" t="s">
        <v>25960</v>
      </c>
      <c r="L1026" s="71"/>
      <c r="M1026" s="72"/>
      <c r="N1026" s="72"/>
      <c r="O1026" s="73"/>
      <c r="P1026" s="74"/>
      <c r="Q1026" s="74"/>
      <c r="R1026" s="86"/>
      <c r="S1026" s="86"/>
      <c r="T1026" s="86"/>
      <c r="U1026" s="86"/>
      <c r="V1026" s="48"/>
      <c r="W1026" s="48"/>
      <c r="X1026" s="48"/>
      <c r="Y1026" s="48"/>
      <c r="Z1026" s="47"/>
      <c r="AA1026" s="69">
        <v>1026</v>
      </c>
      <c r="AB1026" s="69"/>
      <c r="AC1026" s="70"/>
      <c r="AD1026" s="76" t="s">
        <v>22816</v>
      </c>
      <c r="AE1026" s="81" t="s">
        <v>23067</v>
      </c>
      <c r="AF1026" s="76">
        <v>7</v>
      </c>
      <c r="AG1026" s="76">
        <v>49</v>
      </c>
      <c r="AH1026" s="76">
        <v>12</v>
      </c>
      <c r="AI1026" s="76">
        <v>0</v>
      </c>
      <c r="AJ1026" s="76">
        <v>1366</v>
      </c>
      <c r="AK1026" s="76">
        <v>1</v>
      </c>
      <c r="AL1026" s="76" t="b">
        <v>0</v>
      </c>
      <c r="AM1026" s="78">
        <v>41120.112141203703</v>
      </c>
      <c r="AN1026" s="76"/>
      <c r="AO1026" s="76"/>
      <c r="AP1026" s="76"/>
      <c r="AQ1026" s="76"/>
      <c r="AR1026" s="76"/>
      <c r="AS1026" s="76"/>
      <c r="AT1026" s="76"/>
      <c r="AU1026" s="76"/>
      <c r="AV1026" s="76"/>
      <c r="AW1026" s="76"/>
      <c r="AX1026" s="76" t="b">
        <v>0</v>
      </c>
      <c r="AY1026" s="76"/>
      <c r="AZ1026" s="76"/>
      <c r="BA1026" s="76" t="b">
        <v>1</v>
      </c>
      <c r="BB1026" s="76" t="b">
        <v>0</v>
      </c>
      <c r="BC1026" s="76" t="b">
        <v>1</v>
      </c>
      <c r="BD1026" s="76" t="b">
        <v>0</v>
      </c>
      <c r="BE1026" s="76" t="b">
        <v>1</v>
      </c>
      <c r="BF1026" s="76" t="b">
        <v>0</v>
      </c>
      <c r="BG1026" s="76" t="b">
        <v>0</v>
      </c>
      <c r="BH1026" s="83" t="str">
        <f>HYPERLINK("https://pbs.twimg.com/profile_banners/725111628/1428693280")</f>
        <v>https://pbs.twimg.com/profile_banners/725111628/1428693280</v>
      </c>
      <c r="BI1026" s="76"/>
      <c r="BJ1026" s="76" t="s">
        <v>24935</v>
      </c>
      <c r="BK1026" s="76" t="b">
        <v>0</v>
      </c>
      <c r="BL1026" s="76"/>
      <c r="BM1026" s="76" t="s">
        <v>66</v>
      </c>
      <c r="BN1026" s="76" t="s">
        <v>24937</v>
      </c>
      <c r="BO1026" s="83" t="str">
        <f>HYPERLINK("https://twitter.com/jamilyec")</f>
        <v>https://twitter.com/jamilyec</v>
      </c>
      <c r="BP1026" s="2"/>
    </row>
    <row r="1027" spans="1:68" x14ac:dyDescent="0.25">
      <c r="A1027" s="62" t="s">
        <v>1204</v>
      </c>
      <c r="B1027" s="63"/>
      <c r="C1027" s="63"/>
      <c r="D1027" s="64"/>
      <c r="E1027" s="66"/>
      <c r="F1027" s="102" t="str">
        <f>HYPERLINK("https://pbs.twimg.com/profile_images/1685777787188101120/J4tWMCE0_normal.jpg")</f>
        <v>https://pbs.twimg.com/profile_images/1685777787188101120/J4tWMCE0_normal.jpg</v>
      </c>
      <c r="G1027" s="63"/>
      <c r="H1027" s="67"/>
      <c r="I1027" s="68"/>
      <c r="J1027" s="68"/>
      <c r="K1027" s="67" t="s">
        <v>25961</v>
      </c>
      <c r="L1027" s="71"/>
      <c r="M1027" s="72"/>
      <c r="N1027" s="72"/>
      <c r="O1027" s="73"/>
      <c r="P1027" s="74"/>
      <c r="Q1027" s="74"/>
      <c r="R1027" s="86"/>
      <c r="S1027" s="86"/>
      <c r="T1027" s="86"/>
      <c r="U1027" s="86"/>
      <c r="V1027" s="48"/>
      <c r="W1027" s="48"/>
      <c r="X1027" s="48"/>
      <c r="Y1027" s="48"/>
      <c r="Z1027" s="47"/>
      <c r="AA1027" s="69">
        <v>1027</v>
      </c>
      <c r="AB1027" s="69"/>
      <c r="AC1027" s="70"/>
      <c r="AD1027" s="76" t="s">
        <v>22817</v>
      </c>
      <c r="AE1027" s="81" t="s">
        <v>21750</v>
      </c>
      <c r="AF1027" s="76">
        <v>1</v>
      </c>
      <c r="AG1027" s="76">
        <v>1</v>
      </c>
      <c r="AH1027" s="76">
        <v>14</v>
      </c>
      <c r="AI1027" s="76">
        <v>0</v>
      </c>
      <c r="AJ1027" s="76">
        <v>0</v>
      </c>
      <c r="AK1027" s="76">
        <v>14</v>
      </c>
      <c r="AL1027" s="76" t="b">
        <v>0</v>
      </c>
      <c r="AM1027" s="78">
        <v>45137.93005787037</v>
      </c>
      <c r="AN1027" s="76" t="s">
        <v>14040</v>
      </c>
      <c r="AO1027" s="76" t="s">
        <v>24219</v>
      </c>
      <c r="AP1027" s="76"/>
      <c r="AQ1027" s="76"/>
      <c r="AR1027" s="76"/>
      <c r="AS1027" s="76"/>
      <c r="AT1027" s="76"/>
      <c r="AU1027" s="76"/>
      <c r="AV1027" s="76"/>
      <c r="AW1027" s="76"/>
      <c r="AX1027" s="76" t="b">
        <v>0</v>
      </c>
      <c r="AY1027" s="76"/>
      <c r="AZ1027" s="76"/>
      <c r="BA1027" s="76" t="b">
        <v>0</v>
      </c>
      <c r="BB1027" s="76" t="b">
        <v>1</v>
      </c>
      <c r="BC1027" s="76" t="b">
        <v>1</v>
      </c>
      <c r="BD1027" s="76" t="b">
        <v>0</v>
      </c>
      <c r="BE1027" s="76" t="b">
        <v>0</v>
      </c>
      <c r="BF1027" s="76" t="b">
        <v>0</v>
      </c>
      <c r="BG1027" s="76" t="b">
        <v>0</v>
      </c>
      <c r="BH1027" s="83" t="str">
        <f>HYPERLINK("https://pbs.twimg.com/profile_banners/1685776951535890432/1690755718")</f>
        <v>https://pbs.twimg.com/profile_banners/1685776951535890432/1690755718</v>
      </c>
      <c r="BI1027" s="76"/>
      <c r="BJ1027" s="76" t="s">
        <v>24935</v>
      </c>
      <c r="BK1027" s="76" t="b">
        <v>0</v>
      </c>
      <c r="BL1027" s="76"/>
      <c r="BM1027" s="76" t="s">
        <v>66</v>
      </c>
      <c r="BN1027" s="76" t="s">
        <v>24937</v>
      </c>
      <c r="BO1027" s="83" t="str">
        <f>HYPERLINK("https://twitter.com/csdinheiro")</f>
        <v>https://twitter.com/csdinheiro</v>
      </c>
      <c r="BP1027" s="2"/>
    </row>
    <row r="1028" spans="1:68" x14ac:dyDescent="0.25">
      <c r="A1028" s="62" t="s">
        <v>1205</v>
      </c>
      <c r="B1028" s="63"/>
      <c r="C1028" s="63"/>
      <c r="D1028" s="64"/>
      <c r="E1028" s="66"/>
      <c r="F1028" s="102" t="str">
        <f>HYPERLINK("https://pbs.twimg.com/profile_images/1601188173614387200/Fz1EeOb__normal.jpg")</f>
        <v>https://pbs.twimg.com/profile_images/1601188173614387200/Fz1EeOb__normal.jpg</v>
      </c>
      <c r="G1028" s="63"/>
      <c r="H1028" s="67"/>
      <c r="I1028" s="68"/>
      <c r="J1028" s="68"/>
      <c r="K1028" s="67" t="s">
        <v>25962</v>
      </c>
      <c r="L1028" s="71"/>
      <c r="M1028" s="72"/>
      <c r="N1028" s="72"/>
      <c r="O1028" s="73"/>
      <c r="P1028" s="74"/>
      <c r="Q1028" s="74"/>
      <c r="R1028" s="86"/>
      <c r="S1028" s="86"/>
      <c r="T1028" s="86"/>
      <c r="U1028" s="86"/>
      <c r="V1028" s="48"/>
      <c r="W1028" s="48"/>
      <c r="X1028" s="48"/>
      <c r="Y1028" s="48"/>
      <c r="Z1028" s="47"/>
      <c r="AA1028" s="69">
        <v>1028</v>
      </c>
      <c r="AB1028" s="69"/>
      <c r="AC1028" s="70"/>
      <c r="AD1028" s="76" t="s">
        <v>22818</v>
      </c>
      <c r="AE1028" s="81" t="s">
        <v>23068</v>
      </c>
      <c r="AF1028" s="76">
        <v>14284</v>
      </c>
      <c r="AG1028" s="76">
        <v>194</v>
      </c>
      <c r="AH1028" s="76">
        <v>9191</v>
      </c>
      <c r="AI1028" s="76">
        <v>78</v>
      </c>
      <c r="AJ1028" s="76">
        <v>44</v>
      </c>
      <c r="AK1028" s="76">
        <v>6441</v>
      </c>
      <c r="AL1028" s="76" t="b">
        <v>0</v>
      </c>
      <c r="AM1028" s="78">
        <v>40070.529039351852</v>
      </c>
      <c r="AN1028" s="76" t="s">
        <v>14033</v>
      </c>
      <c r="AO1028" s="76" t="s">
        <v>24220</v>
      </c>
      <c r="AP1028" s="83" t="str">
        <f>HYPERLINK("https://t.co/lhQyGXAcah")</f>
        <v>https://t.co/lhQyGXAcah</v>
      </c>
      <c r="AQ1028" s="83" t="str">
        <f>HYPERLINK("http://www.caesegatos.com.br")</f>
        <v>http://www.caesegatos.com.br</v>
      </c>
      <c r="AR1028" s="76" t="s">
        <v>24811</v>
      </c>
      <c r="AS1028" s="83" t="str">
        <f>HYPERLINK("https://t.co/W5eD8vAGXK")</f>
        <v>https://t.co/W5eD8vAGXK</v>
      </c>
      <c r="AT1028" s="83" t="str">
        <f>HYPERLINK("http://revistacaesegatos.com.br")</f>
        <v>http://revistacaesegatos.com.br</v>
      </c>
      <c r="AU1028" s="76" t="s">
        <v>24931</v>
      </c>
      <c r="AV1028" s="76"/>
      <c r="AW1028" s="83" t="str">
        <f>HYPERLINK("https://t.co/lhQyGXAcah")</f>
        <v>https://t.co/lhQyGXAcah</v>
      </c>
      <c r="AX1028" s="76" t="b">
        <v>0</v>
      </c>
      <c r="AY1028" s="76"/>
      <c r="AZ1028" s="76"/>
      <c r="BA1028" s="76" t="b">
        <v>0</v>
      </c>
      <c r="BB1028" s="76" t="b">
        <v>1</v>
      </c>
      <c r="BC1028" s="76" t="b">
        <v>0</v>
      </c>
      <c r="BD1028" s="76" t="b">
        <v>0</v>
      </c>
      <c r="BE1028" s="76" t="b">
        <v>0</v>
      </c>
      <c r="BF1028" s="76" t="b">
        <v>0</v>
      </c>
      <c r="BG1028" s="76" t="b">
        <v>0</v>
      </c>
      <c r="BH1028" s="83" t="str">
        <f>HYPERLINK("https://pbs.twimg.com/profile_banners/74146257/1560773995")</f>
        <v>https://pbs.twimg.com/profile_banners/74146257/1560773995</v>
      </c>
      <c r="BI1028" s="76"/>
      <c r="BJ1028" s="76" t="s">
        <v>24935</v>
      </c>
      <c r="BK1028" s="76" t="b">
        <v>0</v>
      </c>
      <c r="BL1028" s="76"/>
      <c r="BM1028" s="76" t="s">
        <v>66</v>
      </c>
      <c r="BN1028" s="76" t="s">
        <v>24937</v>
      </c>
      <c r="BO1028" s="83" t="str">
        <f>HYPERLINK("https://twitter.com/caesgatos")</f>
        <v>https://twitter.com/caesgatos</v>
      </c>
      <c r="BP1028" s="2"/>
    </row>
    <row r="1029" spans="1:68" x14ac:dyDescent="0.25">
      <c r="A1029" s="62" t="s">
        <v>1206</v>
      </c>
      <c r="B1029" s="63"/>
      <c r="C1029" s="63"/>
      <c r="D1029" s="64"/>
      <c r="E1029" s="66"/>
      <c r="F1029" s="102" t="str">
        <f>HYPERLINK("https://pbs.twimg.com/profile_images/1641166615973711876/ouhdEppn_normal.jpg")</f>
        <v>https://pbs.twimg.com/profile_images/1641166615973711876/ouhdEppn_normal.jpg</v>
      </c>
      <c r="G1029" s="63"/>
      <c r="H1029" s="67"/>
      <c r="I1029" s="68"/>
      <c r="J1029" s="68"/>
      <c r="K1029" s="67" t="s">
        <v>25963</v>
      </c>
      <c r="L1029" s="71"/>
      <c r="M1029" s="72"/>
      <c r="N1029" s="72"/>
      <c r="O1029" s="73"/>
      <c r="P1029" s="74"/>
      <c r="Q1029" s="74"/>
      <c r="R1029" s="86"/>
      <c r="S1029" s="86"/>
      <c r="T1029" s="86"/>
      <c r="U1029" s="86"/>
      <c r="V1029" s="48"/>
      <c r="W1029" s="48"/>
      <c r="X1029" s="48"/>
      <c r="Y1029" s="48"/>
      <c r="Z1029" s="47"/>
      <c r="AA1029" s="69">
        <v>1029</v>
      </c>
      <c r="AB1029" s="69"/>
      <c r="AC1029" s="70"/>
      <c r="AD1029" s="76" t="s">
        <v>22819</v>
      </c>
      <c r="AE1029" s="81" t="s">
        <v>21751</v>
      </c>
      <c r="AF1029" s="76">
        <v>0</v>
      </c>
      <c r="AG1029" s="76">
        <v>2</v>
      </c>
      <c r="AH1029" s="76">
        <v>5</v>
      </c>
      <c r="AI1029" s="76">
        <v>0</v>
      </c>
      <c r="AJ1029" s="76">
        <v>0</v>
      </c>
      <c r="AK1029" s="76">
        <v>3</v>
      </c>
      <c r="AL1029" s="76" t="b">
        <v>0</v>
      </c>
      <c r="AM1029" s="78">
        <v>44830.999386574076</v>
      </c>
      <c r="AN1029" s="76"/>
      <c r="AO1029" s="76"/>
      <c r="AP1029" s="76"/>
      <c r="AQ1029" s="76"/>
      <c r="AR1029" s="76"/>
      <c r="AS1029" s="76"/>
      <c r="AT1029" s="76"/>
      <c r="AU1029" s="76"/>
      <c r="AV1029" s="76"/>
      <c r="AW1029" s="76"/>
      <c r="AX1029" s="76" t="b">
        <v>0</v>
      </c>
      <c r="AY1029" s="76"/>
      <c r="AZ1029" s="76"/>
      <c r="BA1029" s="76" t="b">
        <v>0</v>
      </c>
      <c r="BB1029" s="76" t="b">
        <v>1</v>
      </c>
      <c r="BC1029" s="76" t="b">
        <v>1</v>
      </c>
      <c r="BD1029" s="76" t="b">
        <v>0</v>
      </c>
      <c r="BE1029" s="76" t="b">
        <v>0</v>
      </c>
      <c r="BF1029" s="76" t="b">
        <v>0</v>
      </c>
      <c r="BG1029" s="76" t="b">
        <v>0</v>
      </c>
      <c r="BH1029" s="76"/>
      <c r="BI1029" s="76"/>
      <c r="BJ1029" s="76" t="s">
        <v>24935</v>
      </c>
      <c r="BK1029" s="76" t="b">
        <v>0</v>
      </c>
      <c r="BL1029" s="76"/>
      <c r="BM1029" s="76" t="s">
        <v>66</v>
      </c>
      <c r="BN1029" s="76" t="s">
        <v>24937</v>
      </c>
      <c r="BO1029" s="83" t="str">
        <f>HYPERLINK("https://twitter.com/marcusv12385740")</f>
        <v>https://twitter.com/marcusv12385740</v>
      </c>
      <c r="BP1029" s="2"/>
    </row>
    <row r="1030" spans="1:68" x14ac:dyDescent="0.25">
      <c r="A1030" s="62" t="s">
        <v>1207</v>
      </c>
      <c r="B1030" s="63"/>
      <c r="C1030" s="63"/>
      <c r="D1030" s="64"/>
      <c r="E1030" s="66"/>
      <c r="F1030" s="102" t="str">
        <f>HYPERLINK("https://pbs.twimg.com/profile_images/1671290145901891587/s4W-shC9_normal.jpg")</f>
        <v>https://pbs.twimg.com/profile_images/1671290145901891587/s4W-shC9_normal.jpg</v>
      </c>
      <c r="G1030" s="63"/>
      <c r="H1030" s="67"/>
      <c r="I1030" s="68"/>
      <c r="J1030" s="68"/>
      <c r="K1030" s="67" t="s">
        <v>25964</v>
      </c>
      <c r="L1030" s="71"/>
      <c r="M1030" s="72"/>
      <c r="N1030" s="72"/>
      <c r="O1030" s="73"/>
      <c r="P1030" s="74"/>
      <c r="Q1030" s="74"/>
      <c r="R1030" s="86"/>
      <c r="S1030" s="86"/>
      <c r="T1030" s="86"/>
      <c r="U1030" s="86"/>
      <c r="V1030" s="48"/>
      <c r="W1030" s="48"/>
      <c r="X1030" s="48"/>
      <c r="Y1030" s="48"/>
      <c r="Z1030" s="47"/>
      <c r="AA1030" s="69">
        <v>1030</v>
      </c>
      <c r="AB1030" s="69"/>
      <c r="AC1030" s="70"/>
      <c r="AD1030" s="76" t="s">
        <v>1207</v>
      </c>
      <c r="AE1030" s="81" t="s">
        <v>21752</v>
      </c>
      <c r="AF1030" s="76">
        <v>3</v>
      </c>
      <c r="AG1030" s="76">
        <v>12</v>
      </c>
      <c r="AH1030" s="76">
        <v>238</v>
      </c>
      <c r="AI1030" s="76">
        <v>0</v>
      </c>
      <c r="AJ1030" s="76">
        <v>1</v>
      </c>
      <c r="AK1030" s="76">
        <v>156</v>
      </c>
      <c r="AL1030" s="76" t="b">
        <v>0</v>
      </c>
      <c r="AM1030" s="78">
        <v>44937.806932870371</v>
      </c>
      <c r="AN1030" s="76"/>
      <c r="AO1030" s="76" t="s">
        <v>24221</v>
      </c>
      <c r="AP1030" s="83" t="str">
        <f>HYPERLINK("https://t.co/cez85figiu")</f>
        <v>https://t.co/cez85figiu</v>
      </c>
      <c r="AQ1030" s="83" t="str">
        <f>HYPERLINK("https://www.instagram.com/reel/CnkvMlzDUh2/?igshid=OGQ2MjdiOTE=")</f>
        <v>https://www.instagram.com/reel/CnkvMlzDUh2/?igshid=OGQ2MjdiOTE=</v>
      </c>
      <c r="AR1030" s="76" t="s">
        <v>24812</v>
      </c>
      <c r="AS1030" s="76"/>
      <c r="AT1030" s="76"/>
      <c r="AU1030" s="76"/>
      <c r="AV1030" s="76"/>
      <c r="AW1030" s="83" t="str">
        <f>HYPERLINK("https://t.co/cez85figiu")</f>
        <v>https://t.co/cez85figiu</v>
      </c>
      <c r="AX1030" s="76" t="b">
        <v>0</v>
      </c>
      <c r="AY1030" s="76"/>
      <c r="AZ1030" s="76"/>
      <c r="BA1030" s="76" t="b">
        <v>0</v>
      </c>
      <c r="BB1030" s="76" t="b">
        <v>1</v>
      </c>
      <c r="BC1030" s="76" t="b">
        <v>1</v>
      </c>
      <c r="BD1030" s="76" t="b">
        <v>0</v>
      </c>
      <c r="BE1030" s="76" t="b">
        <v>0</v>
      </c>
      <c r="BF1030" s="76" t="b">
        <v>0</v>
      </c>
      <c r="BG1030" s="76" t="b">
        <v>0</v>
      </c>
      <c r="BH1030" s="83" t="str">
        <f>HYPERLINK("https://pbs.twimg.com/profile_banners/1613254832021819392/1687302121")</f>
        <v>https://pbs.twimg.com/profile_banners/1613254832021819392/1687302121</v>
      </c>
      <c r="BI1030" s="76"/>
      <c r="BJ1030" s="76" t="s">
        <v>24935</v>
      </c>
      <c r="BK1030" s="76" t="b">
        <v>0</v>
      </c>
      <c r="BL1030" s="76"/>
      <c r="BM1030" s="76" t="s">
        <v>66</v>
      </c>
      <c r="BN1030" s="76" t="s">
        <v>24937</v>
      </c>
      <c r="BO1030" s="83" t="str">
        <f>HYPERLINK("https://twitter.com/edutiipster")</f>
        <v>https://twitter.com/edutiipster</v>
      </c>
      <c r="BP1030" s="2"/>
    </row>
    <row r="1031" spans="1:68" x14ac:dyDescent="0.25">
      <c r="A1031" s="62" t="s">
        <v>1208</v>
      </c>
      <c r="B1031" s="63"/>
      <c r="C1031" s="63"/>
      <c r="D1031" s="64"/>
      <c r="E1031" s="66"/>
      <c r="F1031" s="102" t="str">
        <f>HYPERLINK("https://pbs.twimg.com/profile_images/1655836251088470016/5lw_IMvg_normal.jpg")</f>
        <v>https://pbs.twimg.com/profile_images/1655836251088470016/5lw_IMvg_normal.jpg</v>
      </c>
      <c r="G1031" s="63"/>
      <c r="H1031" s="67"/>
      <c r="I1031" s="68"/>
      <c r="J1031" s="68"/>
      <c r="K1031" s="67" t="s">
        <v>25965</v>
      </c>
      <c r="L1031" s="71"/>
      <c r="M1031" s="72"/>
      <c r="N1031" s="72"/>
      <c r="O1031" s="73"/>
      <c r="P1031" s="74"/>
      <c r="Q1031" s="74"/>
      <c r="R1031" s="86"/>
      <c r="S1031" s="86"/>
      <c r="T1031" s="86"/>
      <c r="U1031" s="86"/>
      <c r="V1031" s="48"/>
      <c r="W1031" s="48"/>
      <c r="X1031" s="48"/>
      <c r="Y1031" s="48"/>
      <c r="Z1031" s="47"/>
      <c r="AA1031" s="69">
        <v>1031</v>
      </c>
      <c r="AB1031" s="69"/>
      <c r="AC1031" s="70"/>
      <c r="AD1031" s="76" t="s">
        <v>22820</v>
      </c>
      <c r="AE1031" s="81" t="s">
        <v>21753</v>
      </c>
      <c r="AF1031" s="76">
        <v>7</v>
      </c>
      <c r="AG1031" s="76">
        <v>85</v>
      </c>
      <c r="AH1031" s="76">
        <v>20</v>
      </c>
      <c r="AI1031" s="76">
        <v>0</v>
      </c>
      <c r="AJ1031" s="76">
        <v>34</v>
      </c>
      <c r="AK1031" s="76">
        <v>6</v>
      </c>
      <c r="AL1031" s="76" t="b">
        <v>0</v>
      </c>
      <c r="AM1031" s="78">
        <v>45005.793935185182</v>
      </c>
      <c r="AN1031" s="76"/>
      <c r="AO1031" s="76" t="s">
        <v>24222</v>
      </c>
      <c r="AP1031" s="76"/>
      <c r="AQ1031" s="76"/>
      <c r="AR1031" s="76"/>
      <c r="AS1031" s="76"/>
      <c r="AT1031" s="76"/>
      <c r="AU1031" s="76"/>
      <c r="AV1031" s="76"/>
      <c r="AW1031" s="76"/>
      <c r="AX1031" s="76" t="b">
        <v>0</v>
      </c>
      <c r="AY1031" s="76"/>
      <c r="AZ1031" s="76"/>
      <c r="BA1031" s="76" t="b">
        <v>0</v>
      </c>
      <c r="BB1031" s="76" t="b">
        <v>1</v>
      </c>
      <c r="BC1031" s="76" t="b">
        <v>1</v>
      </c>
      <c r="BD1031" s="76" t="b">
        <v>0</v>
      </c>
      <c r="BE1031" s="76" t="b">
        <v>0</v>
      </c>
      <c r="BF1031" s="76" t="b">
        <v>0</v>
      </c>
      <c r="BG1031" s="76" t="b">
        <v>0</v>
      </c>
      <c r="BH1031" s="83" t="str">
        <f>HYPERLINK("https://pbs.twimg.com/profile_banners/1637892544330604569/1683617250")</f>
        <v>https://pbs.twimg.com/profile_banners/1637892544330604569/1683617250</v>
      </c>
      <c r="BI1031" s="76"/>
      <c r="BJ1031" s="76" t="s">
        <v>24935</v>
      </c>
      <c r="BK1031" s="76" t="b">
        <v>0</v>
      </c>
      <c r="BL1031" s="76"/>
      <c r="BM1031" s="76" t="s">
        <v>66</v>
      </c>
      <c r="BN1031" s="76" t="s">
        <v>24937</v>
      </c>
      <c r="BO1031" s="83" t="str">
        <f>HYPERLINK("https://twitter.com/mthsoa")</f>
        <v>https://twitter.com/mthsoa</v>
      </c>
      <c r="BP1031" s="2"/>
    </row>
    <row r="1032" spans="1:68" x14ac:dyDescent="0.25">
      <c r="A1032" s="62" t="s">
        <v>1209</v>
      </c>
      <c r="B1032" s="63"/>
      <c r="C1032" s="63"/>
      <c r="D1032" s="64"/>
      <c r="E1032" s="66"/>
      <c r="F1032" s="102" t="str">
        <f>HYPERLINK("https://pbs.twimg.com/profile_images/1261774738675949570/0SbBrcXK_normal.jpg")</f>
        <v>https://pbs.twimg.com/profile_images/1261774738675949570/0SbBrcXK_normal.jpg</v>
      </c>
      <c r="G1032" s="63"/>
      <c r="H1032" s="67"/>
      <c r="I1032" s="68"/>
      <c r="J1032" s="68"/>
      <c r="K1032" s="67" t="s">
        <v>25966</v>
      </c>
      <c r="L1032" s="71"/>
      <c r="M1032" s="72"/>
      <c r="N1032" s="72"/>
      <c r="O1032" s="73"/>
      <c r="P1032" s="74"/>
      <c r="Q1032" s="74"/>
      <c r="R1032" s="86"/>
      <c r="S1032" s="86"/>
      <c r="T1032" s="86"/>
      <c r="U1032" s="86"/>
      <c r="V1032" s="48"/>
      <c r="W1032" s="48"/>
      <c r="X1032" s="48"/>
      <c r="Y1032" s="48"/>
      <c r="Z1032" s="47"/>
      <c r="AA1032" s="69">
        <v>1032</v>
      </c>
      <c r="AB1032" s="69"/>
      <c r="AC1032" s="70"/>
      <c r="AD1032" s="76" t="s">
        <v>22821</v>
      </c>
      <c r="AE1032" s="81" t="s">
        <v>23069</v>
      </c>
      <c r="AF1032" s="76">
        <v>8</v>
      </c>
      <c r="AG1032" s="76">
        <v>43</v>
      </c>
      <c r="AH1032" s="76">
        <v>75</v>
      </c>
      <c r="AI1032" s="76">
        <v>1</v>
      </c>
      <c r="AJ1032" s="76">
        <v>483</v>
      </c>
      <c r="AK1032" s="76">
        <v>3</v>
      </c>
      <c r="AL1032" s="76" t="b">
        <v>0</v>
      </c>
      <c r="AM1032" s="78">
        <v>41351.894444444442</v>
      </c>
      <c r="AN1032" s="76" t="s">
        <v>23276</v>
      </c>
      <c r="AO1032" s="76" t="s">
        <v>24223</v>
      </c>
      <c r="AP1032" s="76"/>
      <c r="AQ1032" s="76"/>
      <c r="AR1032" s="76"/>
      <c r="AS1032" s="76"/>
      <c r="AT1032" s="76"/>
      <c r="AU1032" s="76"/>
      <c r="AV1032" s="76"/>
      <c r="AW1032" s="76"/>
      <c r="AX1032" s="76" t="b">
        <v>0</v>
      </c>
      <c r="AY1032" s="76"/>
      <c r="AZ1032" s="76"/>
      <c r="BA1032" s="76" t="b">
        <v>0</v>
      </c>
      <c r="BB1032" s="76" t="b">
        <v>1</v>
      </c>
      <c r="BC1032" s="76" t="b">
        <v>1</v>
      </c>
      <c r="BD1032" s="76" t="b">
        <v>0</v>
      </c>
      <c r="BE1032" s="76" t="b">
        <v>0</v>
      </c>
      <c r="BF1032" s="76" t="b">
        <v>0</v>
      </c>
      <c r="BG1032" s="76" t="b">
        <v>0</v>
      </c>
      <c r="BH1032" s="76"/>
      <c r="BI1032" s="76"/>
      <c r="BJ1032" s="76" t="s">
        <v>24935</v>
      </c>
      <c r="BK1032" s="76" t="b">
        <v>0</v>
      </c>
      <c r="BL1032" s="76"/>
      <c r="BM1032" s="76" t="s">
        <v>66</v>
      </c>
      <c r="BN1032" s="76" t="s">
        <v>24937</v>
      </c>
      <c r="BO1032" s="83" t="str">
        <f>HYPERLINK("https://twitter.com/naybh")</f>
        <v>https://twitter.com/naybh</v>
      </c>
      <c r="BP1032" s="2"/>
    </row>
    <row r="1033" spans="1:68" x14ac:dyDescent="0.25">
      <c r="A1033" s="62" t="s">
        <v>1210</v>
      </c>
      <c r="B1033" s="63"/>
      <c r="C1033" s="63"/>
      <c r="D1033" s="64"/>
      <c r="E1033" s="66"/>
      <c r="F1033" s="102" t="str">
        <f>HYPERLINK("https://pbs.twimg.com/profile_images/1698511627052589056/4e9UvbRI_normal.png")</f>
        <v>https://pbs.twimg.com/profile_images/1698511627052589056/4e9UvbRI_normal.png</v>
      </c>
      <c r="G1033" s="63"/>
      <c r="H1033" s="67"/>
      <c r="I1033" s="68"/>
      <c r="J1033" s="68"/>
      <c r="K1033" s="67" t="s">
        <v>25967</v>
      </c>
      <c r="L1033" s="71"/>
      <c r="M1033" s="72"/>
      <c r="N1033" s="72"/>
      <c r="O1033" s="73"/>
      <c r="P1033" s="74"/>
      <c r="Q1033" s="74"/>
      <c r="R1033" s="86"/>
      <c r="S1033" s="86"/>
      <c r="T1033" s="86"/>
      <c r="U1033" s="86"/>
      <c r="V1033" s="48"/>
      <c r="W1033" s="48"/>
      <c r="X1033" s="48"/>
      <c r="Y1033" s="48"/>
      <c r="Z1033" s="47"/>
      <c r="AA1033" s="69">
        <v>1033</v>
      </c>
      <c r="AB1033" s="69"/>
      <c r="AC1033" s="70"/>
      <c r="AD1033" s="76" t="s">
        <v>22822</v>
      </c>
      <c r="AE1033" s="81" t="s">
        <v>21754</v>
      </c>
      <c r="AF1033" s="76">
        <v>1</v>
      </c>
      <c r="AG1033" s="76">
        <v>4</v>
      </c>
      <c r="AH1033" s="76">
        <v>11</v>
      </c>
      <c r="AI1033" s="76">
        <v>0</v>
      </c>
      <c r="AJ1033" s="76">
        <v>9</v>
      </c>
      <c r="AK1033" s="76">
        <v>7</v>
      </c>
      <c r="AL1033" s="76" t="b">
        <v>0</v>
      </c>
      <c r="AM1033" s="78">
        <v>45173.070636574077</v>
      </c>
      <c r="AN1033" s="76" t="s">
        <v>14033</v>
      </c>
      <c r="AO1033" s="76" t="s">
        <v>24224</v>
      </c>
      <c r="AP1033" s="76"/>
      <c r="AQ1033" s="76"/>
      <c r="AR1033" s="76"/>
      <c r="AS1033" s="76"/>
      <c r="AT1033" s="76"/>
      <c r="AU1033" s="76"/>
      <c r="AV1033" s="76"/>
      <c r="AW1033" s="76"/>
      <c r="AX1033" s="76" t="b">
        <v>0</v>
      </c>
      <c r="AY1033" s="76"/>
      <c r="AZ1033" s="76"/>
      <c r="BA1033" s="76" t="b">
        <v>0</v>
      </c>
      <c r="BB1033" s="76" t="b">
        <v>1</v>
      </c>
      <c r="BC1033" s="76" t="b">
        <v>1</v>
      </c>
      <c r="BD1033" s="76" t="b">
        <v>0</v>
      </c>
      <c r="BE1033" s="76" t="b">
        <v>0</v>
      </c>
      <c r="BF1033" s="76" t="b">
        <v>0</v>
      </c>
      <c r="BG1033" s="76" t="b">
        <v>0</v>
      </c>
      <c r="BH1033" s="83" t="str">
        <f>HYPERLINK("https://pbs.twimg.com/profile_banners/1698511120003145728/1693792494")</f>
        <v>https://pbs.twimg.com/profile_banners/1698511120003145728/1693792494</v>
      </c>
      <c r="BI1033" s="76"/>
      <c r="BJ1033" s="76" t="s">
        <v>24935</v>
      </c>
      <c r="BK1033" s="76" t="b">
        <v>0</v>
      </c>
      <c r="BL1033" s="76"/>
      <c r="BM1033" s="76" t="s">
        <v>66</v>
      </c>
      <c r="BN1033" s="76" t="s">
        <v>24937</v>
      </c>
      <c r="BO1033" s="83" t="str">
        <f>HYPERLINK("https://twitter.com/simpatiasgaucha")</f>
        <v>https://twitter.com/simpatiasgaucha</v>
      </c>
      <c r="BP1033" s="2"/>
    </row>
    <row r="1034" spans="1:68" x14ac:dyDescent="0.25">
      <c r="A1034" s="62" t="s">
        <v>1211</v>
      </c>
      <c r="B1034" s="63"/>
      <c r="C1034" s="63"/>
      <c r="D1034" s="64"/>
      <c r="E1034" s="66"/>
      <c r="F1034" s="102" t="str">
        <f>HYPERLINK("https://pbs.twimg.com/profile_images/1671575104055123969/n_1z7u4O_normal.jpg")</f>
        <v>https://pbs.twimg.com/profile_images/1671575104055123969/n_1z7u4O_normal.jpg</v>
      </c>
      <c r="G1034" s="63"/>
      <c r="H1034" s="67"/>
      <c r="I1034" s="68"/>
      <c r="J1034" s="68"/>
      <c r="K1034" s="67" t="s">
        <v>25968</v>
      </c>
      <c r="L1034" s="71"/>
      <c r="M1034" s="72"/>
      <c r="N1034" s="72"/>
      <c r="O1034" s="73"/>
      <c r="P1034" s="74"/>
      <c r="Q1034" s="74"/>
      <c r="R1034" s="86"/>
      <c r="S1034" s="86"/>
      <c r="T1034" s="86"/>
      <c r="U1034" s="86"/>
      <c r="V1034" s="48"/>
      <c r="W1034" s="48"/>
      <c r="X1034" s="48"/>
      <c r="Y1034" s="48"/>
      <c r="Z1034" s="47"/>
      <c r="AA1034" s="69">
        <v>1034</v>
      </c>
      <c r="AB1034" s="69"/>
      <c r="AC1034" s="70"/>
      <c r="AD1034" s="76" t="s">
        <v>22823</v>
      </c>
      <c r="AE1034" s="81" t="s">
        <v>21755</v>
      </c>
      <c r="AF1034" s="76">
        <v>0</v>
      </c>
      <c r="AG1034" s="76">
        <v>1</v>
      </c>
      <c r="AH1034" s="76">
        <v>21</v>
      </c>
      <c r="AI1034" s="76">
        <v>0</v>
      </c>
      <c r="AJ1034" s="76">
        <v>2</v>
      </c>
      <c r="AK1034" s="76">
        <v>20</v>
      </c>
      <c r="AL1034" s="76" t="b">
        <v>0</v>
      </c>
      <c r="AM1034" s="78">
        <v>45079.921412037038</v>
      </c>
      <c r="AN1034" s="76"/>
      <c r="AO1034" s="76" t="s">
        <v>24225</v>
      </c>
      <c r="AP1034" s="76"/>
      <c r="AQ1034" s="76"/>
      <c r="AR1034" s="76"/>
      <c r="AS1034" s="76"/>
      <c r="AT1034" s="76"/>
      <c r="AU1034" s="76"/>
      <c r="AV1034" s="76"/>
      <c r="AW1034" s="76"/>
      <c r="AX1034" s="76" t="b">
        <v>0</v>
      </c>
      <c r="AY1034" s="76"/>
      <c r="AZ1034" s="76"/>
      <c r="BA1034" s="76" t="b">
        <v>0</v>
      </c>
      <c r="BB1034" s="76" t="b">
        <v>1</v>
      </c>
      <c r="BC1034" s="76" t="b">
        <v>1</v>
      </c>
      <c r="BD1034" s="76" t="b">
        <v>0</v>
      </c>
      <c r="BE1034" s="76" t="b">
        <v>0</v>
      </c>
      <c r="BF1034" s="76" t="b">
        <v>0</v>
      </c>
      <c r="BG1034" s="76" t="b">
        <v>0</v>
      </c>
      <c r="BH1034" s="83" t="str">
        <f>HYPERLINK("https://pbs.twimg.com/profile_banners/1664755391178104832/1687369537")</f>
        <v>https://pbs.twimg.com/profile_banners/1664755391178104832/1687369537</v>
      </c>
      <c r="BI1034" s="76"/>
      <c r="BJ1034" s="76" t="s">
        <v>24935</v>
      </c>
      <c r="BK1034" s="76" t="b">
        <v>0</v>
      </c>
      <c r="BL1034" s="76"/>
      <c r="BM1034" s="76" t="s">
        <v>66</v>
      </c>
      <c r="BN1034" s="76" t="s">
        <v>24937</v>
      </c>
      <c r="BO1034" s="83" t="str">
        <f>HYPERLINK("https://twitter.com/negocproflucrat")</f>
        <v>https://twitter.com/negocproflucrat</v>
      </c>
      <c r="BP1034" s="2"/>
    </row>
    <row r="1035" spans="1:68" x14ac:dyDescent="0.25">
      <c r="A1035" s="62" t="s">
        <v>1212</v>
      </c>
      <c r="B1035" s="63"/>
      <c r="C1035" s="63"/>
      <c r="D1035" s="64"/>
      <c r="E1035" s="66"/>
      <c r="F1035" s="102" t="str">
        <f>HYPERLINK("https://pbs.twimg.com/profile_images/1559981488728334337/ZS6nhgFQ_normal.jpg")</f>
        <v>https://pbs.twimg.com/profile_images/1559981488728334337/ZS6nhgFQ_normal.jpg</v>
      </c>
      <c r="G1035" s="63"/>
      <c r="H1035" s="67"/>
      <c r="I1035" s="68"/>
      <c r="J1035" s="68"/>
      <c r="K1035" s="67" t="s">
        <v>25969</v>
      </c>
      <c r="L1035" s="71"/>
      <c r="M1035" s="72"/>
      <c r="N1035" s="72"/>
      <c r="O1035" s="73"/>
      <c r="P1035" s="74"/>
      <c r="Q1035" s="74"/>
      <c r="R1035" s="86"/>
      <c r="S1035" s="86"/>
      <c r="T1035" s="86"/>
      <c r="U1035" s="86"/>
      <c r="V1035" s="48"/>
      <c r="W1035" s="48"/>
      <c r="X1035" s="48"/>
      <c r="Y1035" s="48"/>
      <c r="Z1035" s="47"/>
      <c r="AA1035" s="69">
        <v>1035</v>
      </c>
      <c r="AB1035" s="69"/>
      <c r="AC1035" s="70"/>
      <c r="AD1035" s="76" t="s">
        <v>22824</v>
      </c>
      <c r="AE1035" s="81" t="s">
        <v>21756</v>
      </c>
      <c r="AF1035" s="76">
        <v>4</v>
      </c>
      <c r="AG1035" s="76">
        <v>4</v>
      </c>
      <c r="AH1035" s="76">
        <v>82</v>
      </c>
      <c r="AI1035" s="76">
        <v>0</v>
      </c>
      <c r="AJ1035" s="76">
        <v>51</v>
      </c>
      <c r="AK1035" s="76">
        <v>40</v>
      </c>
      <c r="AL1035" s="76" t="b">
        <v>0</v>
      </c>
      <c r="AM1035" s="78">
        <v>44790.725960648146</v>
      </c>
      <c r="AN1035" s="76" t="s">
        <v>23340</v>
      </c>
      <c r="AO1035" s="76" t="s">
        <v>24226</v>
      </c>
      <c r="AP1035" s="83" t="str">
        <f>HYPERLINK("https://t.co/1ReDdPqpWV")</f>
        <v>https://t.co/1ReDdPqpWV</v>
      </c>
      <c r="AQ1035" s="83" t="str">
        <f>HYPERLINK("https://www.instagram.com/karladvogados/")</f>
        <v>https://www.instagram.com/karladvogados/</v>
      </c>
      <c r="AR1035" s="76" t="s">
        <v>24813</v>
      </c>
      <c r="AS1035" s="83" t="str">
        <f>HYPERLINK("https://t.co/EsGRloXlQx")</f>
        <v>https://t.co/EsGRloXlQx</v>
      </c>
      <c r="AT1035" s="83" t="str">
        <f>HYPERLINK("http://karl.adv.br")</f>
        <v>http://karl.adv.br</v>
      </c>
      <c r="AU1035" s="76" t="s">
        <v>24932</v>
      </c>
      <c r="AV1035" s="76"/>
      <c r="AW1035" s="83" t="str">
        <f>HYPERLINK("https://t.co/1ReDdPqpWV")</f>
        <v>https://t.co/1ReDdPqpWV</v>
      </c>
      <c r="AX1035" s="76" t="b">
        <v>0</v>
      </c>
      <c r="AY1035" s="76"/>
      <c r="AZ1035" s="76"/>
      <c r="BA1035" s="76" t="b">
        <v>0</v>
      </c>
      <c r="BB1035" s="76" t="b">
        <v>1</v>
      </c>
      <c r="BC1035" s="76" t="b">
        <v>1</v>
      </c>
      <c r="BD1035" s="76" t="b">
        <v>0</v>
      </c>
      <c r="BE1035" s="76" t="b">
        <v>0</v>
      </c>
      <c r="BF1035" s="76" t="b">
        <v>0</v>
      </c>
      <c r="BG1035" s="76" t="b">
        <v>0</v>
      </c>
      <c r="BH1035" s="83" t="str">
        <f>HYPERLINK("https://pbs.twimg.com/profile_banners/1559954049247678466/1660847278")</f>
        <v>https://pbs.twimg.com/profile_banners/1559954049247678466/1660847278</v>
      </c>
      <c r="BI1035" s="76"/>
      <c r="BJ1035" s="76" t="s">
        <v>24935</v>
      </c>
      <c r="BK1035" s="76" t="b">
        <v>0</v>
      </c>
      <c r="BL1035" s="76"/>
      <c r="BM1035" s="76" t="s">
        <v>66</v>
      </c>
      <c r="BN1035" s="76" t="s">
        <v>24937</v>
      </c>
      <c r="BO1035" s="83" t="str">
        <f>HYPERLINK("https://twitter.com/karladvogados")</f>
        <v>https://twitter.com/karladvogados</v>
      </c>
      <c r="BP1035" s="2"/>
    </row>
    <row r="1036" spans="1:68" x14ac:dyDescent="0.25">
      <c r="A1036" s="62" t="s">
        <v>1213</v>
      </c>
      <c r="B1036" s="63"/>
      <c r="C1036" s="63"/>
      <c r="D1036" s="64"/>
      <c r="E1036" s="66"/>
      <c r="F1036" s="102" t="str">
        <f>HYPERLINK("https://pbs.twimg.com/profile_images/1665917652403994627/IX6fMfk1_normal.jpg")</f>
        <v>https://pbs.twimg.com/profile_images/1665917652403994627/IX6fMfk1_normal.jpg</v>
      </c>
      <c r="G1036" s="63"/>
      <c r="H1036" s="67"/>
      <c r="I1036" s="68"/>
      <c r="J1036" s="68"/>
      <c r="K1036" s="67" t="s">
        <v>25970</v>
      </c>
      <c r="L1036" s="71"/>
      <c r="M1036" s="72"/>
      <c r="N1036" s="72"/>
      <c r="O1036" s="73"/>
      <c r="P1036" s="74"/>
      <c r="Q1036" s="74"/>
      <c r="R1036" s="86"/>
      <c r="S1036" s="86"/>
      <c r="T1036" s="86"/>
      <c r="U1036" s="86"/>
      <c r="V1036" s="48"/>
      <c r="W1036" s="48"/>
      <c r="X1036" s="48"/>
      <c r="Y1036" s="48"/>
      <c r="Z1036" s="47"/>
      <c r="AA1036" s="69">
        <v>1036</v>
      </c>
      <c r="AB1036" s="69"/>
      <c r="AC1036" s="70"/>
      <c r="AD1036" s="76" t="s">
        <v>22825</v>
      </c>
      <c r="AE1036" s="81" t="s">
        <v>21757</v>
      </c>
      <c r="AF1036" s="76">
        <v>1</v>
      </c>
      <c r="AG1036" s="76">
        <v>1</v>
      </c>
      <c r="AH1036" s="76">
        <v>21</v>
      </c>
      <c r="AI1036" s="76">
        <v>0</v>
      </c>
      <c r="AJ1036" s="76">
        <v>0</v>
      </c>
      <c r="AK1036" s="76">
        <v>21</v>
      </c>
      <c r="AL1036" s="76" t="b">
        <v>0</v>
      </c>
      <c r="AM1036" s="78">
        <v>45083.118252314816</v>
      </c>
      <c r="AN1036" s="76"/>
      <c r="AO1036" s="76" t="s">
        <v>24227</v>
      </c>
      <c r="AP1036" s="83" t="str">
        <f>HYPERLINK("https://t.co/32VoKQipSm")</f>
        <v>https://t.co/32VoKQipSm</v>
      </c>
      <c r="AQ1036" s="83" t="str">
        <f>HYPERLINK("https://linktr.ee/estantevirtuall")</f>
        <v>https://linktr.ee/estantevirtuall</v>
      </c>
      <c r="AR1036" s="76" t="s">
        <v>24814</v>
      </c>
      <c r="AS1036" s="76"/>
      <c r="AT1036" s="76"/>
      <c r="AU1036" s="76"/>
      <c r="AV1036" s="76"/>
      <c r="AW1036" s="83" t="str">
        <f>HYPERLINK("https://t.co/32VoKQipSm")</f>
        <v>https://t.co/32VoKQipSm</v>
      </c>
      <c r="AX1036" s="76" t="b">
        <v>0</v>
      </c>
      <c r="AY1036" s="76"/>
      <c r="AZ1036" s="76"/>
      <c r="BA1036" s="76" t="b">
        <v>0</v>
      </c>
      <c r="BB1036" s="76" t="b">
        <v>1</v>
      </c>
      <c r="BC1036" s="76" t="b">
        <v>1</v>
      </c>
      <c r="BD1036" s="76" t="b">
        <v>0</v>
      </c>
      <c r="BE1036" s="76" t="b">
        <v>0</v>
      </c>
      <c r="BF1036" s="76" t="b">
        <v>0</v>
      </c>
      <c r="BG1036" s="76" t="b">
        <v>0</v>
      </c>
      <c r="BH1036" s="83" t="str">
        <f>HYPERLINK("https://pbs.twimg.com/profile_banners/1665913665466368003/1686020694")</f>
        <v>https://pbs.twimg.com/profile_banners/1665913665466368003/1686020694</v>
      </c>
      <c r="BI1036" s="76"/>
      <c r="BJ1036" s="76" t="s">
        <v>24935</v>
      </c>
      <c r="BK1036" s="76" t="b">
        <v>0</v>
      </c>
      <c r="BL1036" s="76"/>
      <c r="BM1036" s="76" t="s">
        <v>66</v>
      </c>
      <c r="BN1036" s="76" t="s">
        <v>24937</v>
      </c>
      <c r="BO1036" s="83" t="str">
        <f>HYPERLINK("https://twitter.com/estantevirtuall")</f>
        <v>https://twitter.com/estantevirtuall</v>
      </c>
      <c r="BP1036" s="2"/>
    </row>
    <row r="1037" spans="1:68" x14ac:dyDescent="0.25">
      <c r="A1037" s="62" t="s">
        <v>1214</v>
      </c>
      <c r="B1037" s="63"/>
      <c r="C1037" s="63"/>
      <c r="D1037" s="64"/>
      <c r="E1037" s="66"/>
      <c r="F1037" s="102" t="str">
        <f>HYPERLINK("https://pbs.twimg.com/profile_images/1601283143478251521/EJIEQuKP_normal.jpg")</f>
        <v>https://pbs.twimg.com/profile_images/1601283143478251521/EJIEQuKP_normal.jpg</v>
      </c>
      <c r="G1037" s="63"/>
      <c r="H1037" s="67"/>
      <c r="I1037" s="68"/>
      <c r="J1037" s="68"/>
      <c r="K1037" s="67" t="s">
        <v>25971</v>
      </c>
      <c r="L1037" s="71"/>
      <c r="M1037" s="72"/>
      <c r="N1037" s="72"/>
      <c r="O1037" s="73"/>
      <c r="P1037" s="74"/>
      <c r="Q1037" s="74"/>
      <c r="R1037" s="86"/>
      <c r="S1037" s="86"/>
      <c r="T1037" s="86"/>
      <c r="U1037" s="86"/>
      <c r="V1037" s="48"/>
      <c r="W1037" s="48"/>
      <c r="X1037" s="48"/>
      <c r="Y1037" s="48"/>
      <c r="Z1037" s="47"/>
      <c r="AA1037" s="69">
        <v>1037</v>
      </c>
      <c r="AB1037" s="69"/>
      <c r="AC1037" s="70"/>
      <c r="AD1037" s="76" t="s">
        <v>22826</v>
      </c>
      <c r="AE1037" s="81" t="s">
        <v>23070</v>
      </c>
      <c r="AF1037" s="76">
        <v>401</v>
      </c>
      <c r="AG1037" s="76">
        <v>332</v>
      </c>
      <c r="AH1037" s="76">
        <v>5847</v>
      </c>
      <c r="AI1037" s="76">
        <v>2</v>
      </c>
      <c r="AJ1037" s="76">
        <v>19006</v>
      </c>
      <c r="AK1037" s="76">
        <v>1417</v>
      </c>
      <c r="AL1037" s="76" t="b">
        <v>0</v>
      </c>
      <c r="AM1037" s="78">
        <v>41843.518333333333</v>
      </c>
      <c r="AN1037" s="76" t="s">
        <v>14033</v>
      </c>
      <c r="AO1037" s="76" t="s">
        <v>24228</v>
      </c>
      <c r="AP1037" s="83" t="str">
        <f>HYPERLINK("https://t.co/BFwovNt161")</f>
        <v>https://t.co/BFwovNt161</v>
      </c>
      <c r="AQ1037" s="83" t="str">
        <f>HYPERLINK("https://beacons.ai/qgdatecnologia")</f>
        <v>https://beacons.ai/qgdatecnologia</v>
      </c>
      <c r="AR1037" s="76" t="s">
        <v>24815</v>
      </c>
      <c r="AS1037" s="76"/>
      <c r="AT1037" s="76"/>
      <c r="AU1037" s="76"/>
      <c r="AV1037" s="76">
        <v>1.5697525115184699E+18</v>
      </c>
      <c r="AW1037" s="83" t="str">
        <f>HYPERLINK("https://t.co/BFwovNt161")</f>
        <v>https://t.co/BFwovNt161</v>
      </c>
      <c r="AX1037" s="76" t="b">
        <v>0</v>
      </c>
      <c r="AY1037" s="76"/>
      <c r="AZ1037" s="76"/>
      <c r="BA1037" s="76" t="b">
        <v>0</v>
      </c>
      <c r="BB1037" s="76" t="b">
        <v>1</v>
      </c>
      <c r="BC1037" s="76" t="b">
        <v>0</v>
      </c>
      <c r="BD1037" s="76" t="b">
        <v>0</v>
      </c>
      <c r="BE1037" s="76" t="b">
        <v>1</v>
      </c>
      <c r="BF1037" s="76" t="b">
        <v>0</v>
      </c>
      <c r="BG1037" s="76" t="b">
        <v>0</v>
      </c>
      <c r="BH1037" s="83" t="str">
        <f>HYPERLINK("https://pbs.twimg.com/profile_banners/2673648450/1623774534")</f>
        <v>https://pbs.twimg.com/profile_banners/2673648450/1623774534</v>
      </c>
      <c r="BI1037" s="76"/>
      <c r="BJ1037" s="76" t="s">
        <v>24935</v>
      </c>
      <c r="BK1037" s="76" t="b">
        <v>0</v>
      </c>
      <c r="BL1037" s="76"/>
      <c r="BM1037" s="76" t="s">
        <v>66</v>
      </c>
      <c r="BN1037" s="76" t="s">
        <v>24937</v>
      </c>
      <c r="BO1037" s="83" t="str">
        <f>HYPERLINK("https://twitter.com/qgdatecnologia2")</f>
        <v>https://twitter.com/qgdatecnologia2</v>
      </c>
      <c r="BP1037" s="2"/>
    </row>
    <row r="1038" spans="1:68" x14ac:dyDescent="0.25">
      <c r="A1038" s="62" t="s">
        <v>1215</v>
      </c>
      <c r="B1038" s="63"/>
      <c r="C1038" s="63"/>
      <c r="D1038" s="64"/>
      <c r="E1038" s="66"/>
      <c r="F1038" s="102" t="str">
        <f>HYPERLINK("https://pbs.twimg.com/profile_images/1628732742631411717/X7NRR0Rv_normal.jpg")</f>
        <v>https://pbs.twimg.com/profile_images/1628732742631411717/X7NRR0Rv_normal.jpg</v>
      </c>
      <c r="G1038" s="63"/>
      <c r="H1038" s="67"/>
      <c r="I1038" s="68"/>
      <c r="J1038" s="68"/>
      <c r="K1038" s="67" t="s">
        <v>25972</v>
      </c>
      <c r="L1038" s="71"/>
      <c r="M1038" s="72"/>
      <c r="N1038" s="72"/>
      <c r="O1038" s="73"/>
      <c r="P1038" s="74"/>
      <c r="Q1038" s="74"/>
      <c r="R1038" s="86"/>
      <c r="S1038" s="86"/>
      <c r="T1038" s="86"/>
      <c r="U1038" s="86"/>
      <c r="V1038" s="48"/>
      <c r="W1038" s="48"/>
      <c r="X1038" s="48"/>
      <c r="Y1038" s="48"/>
      <c r="Z1038" s="47"/>
      <c r="AA1038" s="69">
        <v>1038</v>
      </c>
      <c r="AB1038" s="69"/>
      <c r="AC1038" s="70"/>
      <c r="AD1038" s="76" t="s">
        <v>22827</v>
      </c>
      <c r="AE1038" s="81" t="s">
        <v>21758</v>
      </c>
      <c r="AF1038" s="76">
        <v>21</v>
      </c>
      <c r="AG1038" s="76">
        <v>1</v>
      </c>
      <c r="AH1038" s="76">
        <v>38</v>
      </c>
      <c r="AI1038" s="76">
        <v>0</v>
      </c>
      <c r="AJ1038" s="76">
        <v>7</v>
      </c>
      <c r="AK1038" s="76">
        <v>15</v>
      </c>
      <c r="AL1038" s="76" t="b">
        <v>0</v>
      </c>
      <c r="AM1038" s="78">
        <v>44980.512708333335</v>
      </c>
      <c r="AN1038" s="76"/>
      <c r="AO1038" s="76" t="s">
        <v>24229</v>
      </c>
      <c r="AP1038" s="83" t="str">
        <f>HYPERLINK("https://t.co/hzrN1V4aSr")</f>
        <v>https://t.co/hzrN1V4aSr</v>
      </c>
      <c r="AQ1038" s="83" t="str">
        <f>HYPERLINK("http://www.instagram.com/ozil_dias")</f>
        <v>http://www.instagram.com/ozil_dias</v>
      </c>
      <c r="AR1038" s="76" t="s">
        <v>24816</v>
      </c>
      <c r="AS1038" s="76"/>
      <c r="AT1038" s="76"/>
      <c r="AU1038" s="76"/>
      <c r="AV1038" s="76">
        <v>1.62874225623982E+18</v>
      </c>
      <c r="AW1038" s="83" t="str">
        <f>HYPERLINK("https://t.co/hzrN1V4aSr")</f>
        <v>https://t.co/hzrN1V4aSr</v>
      </c>
      <c r="AX1038" s="76" t="b">
        <v>0</v>
      </c>
      <c r="AY1038" s="76"/>
      <c r="AZ1038" s="76"/>
      <c r="BA1038" s="76" t="b">
        <v>0</v>
      </c>
      <c r="BB1038" s="76" t="b">
        <v>1</v>
      </c>
      <c r="BC1038" s="76" t="b">
        <v>1</v>
      </c>
      <c r="BD1038" s="76" t="b">
        <v>0</v>
      </c>
      <c r="BE1038" s="76" t="b">
        <v>1</v>
      </c>
      <c r="BF1038" s="76" t="b">
        <v>0</v>
      </c>
      <c r="BG1038" s="76" t="b">
        <v>0</v>
      </c>
      <c r="BH1038" s="83" t="str">
        <f>HYPERLINK("https://pbs.twimg.com/profile_banners/1628730894079885319/1677156454")</f>
        <v>https://pbs.twimg.com/profile_banners/1628730894079885319/1677156454</v>
      </c>
      <c r="BI1038" s="76"/>
      <c r="BJ1038" s="76" t="s">
        <v>24935</v>
      </c>
      <c r="BK1038" s="76" t="b">
        <v>0</v>
      </c>
      <c r="BL1038" s="76"/>
      <c r="BM1038" s="76" t="s">
        <v>66</v>
      </c>
      <c r="BN1038" s="76" t="s">
        <v>24937</v>
      </c>
      <c r="BO1038" s="83" t="str">
        <f>HYPERLINK("https://twitter.com/ozieljonatas")</f>
        <v>https://twitter.com/ozieljonatas</v>
      </c>
      <c r="BP1038" s="2"/>
    </row>
    <row r="1039" spans="1:68" x14ac:dyDescent="0.25">
      <c r="A1039" s="62" t="s">
        <v>1216</v>
      </c>
      <c r="B1039" s="63"/>
      <c r="C1039" s="63"/>
      <c r="D1039" s="64"/>
      <c r="E1039" s="66"/>
      <c r="F1039" s="102" t="str">
        <f>HYPERLINK("https://pbs.twimg.com/profile_images/1653785743230226432/90idmy1D_normal.jpg")</f>
        <v>https://pbs.twimg.com/profile_images/1653785743230226432/90idmy1D_normal.jpg</v>
      </c>
      <c r="G1039" s="63"/>
      <c r="H1039" s="67"/>
      <c r="I1039" s="68"/>
      <c r="J1039" s="68"/>
      <c r="K1039" s="67" t="s">
        <v>25973</v>
      </c>
      <c r="L1039" s="71"/>
      <c r="M1039" s="72"/>
      <c r="N1039" s="72"/>
      <c r="O1039" s="73"/>
      <c r="P1039" s="74"/>
      <c r="Q1039" s="74"/>
      <c r="R1039" s="86"/>
      <c r="S1039" s="86"/>
      <c r="T1039" s="86"/>
      <c r="U1039" s="86"/>
      <c r="V1039" s="48"/>
      <c r="W1039" s="48"/>
      <c r="X1039" s="48"/>
      <c r="Y1039" s="48"/>
      <c r="Z1039" s="47"/>
      <c r="AA1039" s="69">
        <v>1039</v>
      </c>
      <c r="AB1039" s="69"/>
      <c r="AC1039" s="70"/>
      <c r="AD1039" s="76" t="s">
        <v>22828</v>
      </c>
      <c r="AE1039" s="81" t="s">
        <v>21759</v>
      </c>
      <c r="AF1039" s="76">
        <v>5</v>
      </c>
      <c r="AG1039" s="76">
        <v>6</v>
      </c>
      <c r="AH1039" s="76">
        <v>18</v>
      </c>
      <c r="AI1039" s="76">
        <v>0</v>
      </c>
      <c r="AJ1039" s="76">
        <v>11</v>
      </c>
      <c r="AK1039" s="76">
        <v>11</v>
      </c>
      <c r="AL1039" s="76" t="b">
        <v>0</v>
      </c>
      <c r="AM1039" s="78">
        <v>44691.865995370368</v>
      </c>
      <c r="AN1039" s="76" t="s">
        <v>23135</v>
      </c>
      <c r="AO1039" s="76" t="s">
        <v>24230</v>
      </c>
      <c r="AP1039" s="76"/>
      <c r="AQ1039" s="76"/>
      <c r="AR1039" s="76"/>
      <c r="AS1039" s="76"/>
      <c r="AT1039" s="76"/>
      <c r="AU1039" s="76"/>
      <c r="AV1039" s="76"/>
      <c r="AW1039" s="76"/>
      <c r="AX1039" s="76" t="b">
        <v>0</v>
      </c>
      <c r="AY1039" s="76"/>
      <c r="AZ1039" s="76"/>
      <c r="BA1039" s="76" t="b">
        <v>1</v>
      </c>
      <c r="BB1039" s="76" t="b">
        <v>0</v>
      </c>
      <c r="BC1039" s="76" t="b">
        <v>1</v>
      </c>
      <c r="BD1039" s="76" t="b">
        <v>0</v>
      </c>
      <c r="BE1039" s="76" t="b">
        <v>0</v>
      </c>
      <c r="BF1039" s="76" t="b">
        <v>0</v>
      </c>
      <c r="BG1039" s="76" t="b">
        <v>0</v>
      </c>
      <c r="BH1039" s="76"/>
      <c r="BI1039" s="76"/>
      <c r="BJ1039" s="76" t="s">
        <v>24935</v>
      </c>
      <c r="BK1039" s="76" t="b">
        <v>0</v>
      </c>
      <c r="BL1039" s="76"/>
      <c r="BM1039" s="76" t="s">
        <v>66</v>
      </c>
      <c r="BN1039" s="76" t="s">
        <v>24937</v>
      </c>
      <c r="BO1039" s="83" t="str">
        <f>HYPERLINK("https://twitter.com/linzp09")</f>
        <v>https://twitter.com/linzp09</v>
      </c>
      <c r="BP1039" s="2"/>
    </row>
    <row r="1040" spans="1:68" x14ac:dyDescent="0.25">
      <c r="A1040" s="62" t="s">
        <v>1218</v>
      </c>
      <c r="B1040" s="63"/>
      <c r="C1040" s="63"/>
      <c r="D1040" s="64"/>
      <c r="E1040" s="66"/>
      <c r="F1040" s="102" t="str">
        <f>HYPERLINK("https://pbs.twimg.com/profile_images/1640019919831019520/4yP7OLG8_normal.jpg")</f>
        <v>https://pbs.twimg.com/profile_images/1640019919831019520/4yP7OLG8_normal.jpg</v>
      </c>
      <c r="G1040" s="63"/>
      <c r="H1040" s="67"/>
      <c r="I1040" s="68"/>
      <c r="J1040" s="68"/>
      <c r="K1040" s="67" t="s">
        <v>25974</v>
      </c>
      <c r="L1040" s="71"/>
      <c r="M1040" s="72"/>
      <c r="N1040" s="72"/>
      <c r="O1040" s="73"/>
      <c r="P1040" s="74"/>
      <c r="Q1040" s="74"/>
      <c r="R1040" s="86"/>
      <c r="S1040" s="86"/>
      <c r="T1040" s="86"/>
      <c r="U1040" s="86"/>
      <c r="V1040" s="48"/>
      <c r="W1040" s="48"/>
      <c r="X1040" s="48"/>
      <c r="Y1040" s="48"/>
      <c r="Z1040" s="47"/>
      <c r="AA1040" s="69">
        <v>1040</v>
      </c>
      <c r="AB1040" s="69"/>
      <c r="AC1040" s="70"/>
      <c r="AD1040" s="76" t="s">
        <v>22829</v>
      </c>
      <c r="AE1040" s="81" t="s">
        <v>21760</v>
      </c>
      <c r="AF1040" s="76">
        <v>26</v>
      </c>
      <c r="AG1040" s="76">
        <v>46</v>
      </c>
      <c r="AH1040" s="76">
        <v>10343</v>
      </c>
      <c r="AI1040" s="76">
        <v>0</v>
      </c>
      <c r="AJ1040" s="76">
        <v>9540</v>
      </c>
      <c r="AK1040" s="76">
        <v>20</v>
      </c>
      <c r="AL1040" s="76" t="b">
        <v>0</v>
      </c>
      <c r="AM1040" s="78">
        <v>45011.58258101852</v>
      </c>
      <c r="AN1040" s="76"/>
      <c r="AO1040" s="76" t="s">
        <v>24231</v>
      </c>
      <c r="AP1040" s="76"/>
      <c r="AQ1040" s="76"/>
      <c r="AR1040" s="76"/>
      <c r="AS1040" s="83" t="str">
        <f>HYPERLINK("https://t.co/iqG7Oslcsm")</f>
        <v>https://t.co/iqG7Oslcsm</v>
      </c>
      <c r="AT1040" s="83" t="str">
        <f>HYPERLINK("http://youtube.com/PanicoJovemPan")</f>
        <v>http://youtube.com/PanicoJovemPan</v>
      </c>
      <c r="AU1040" s="76" t="s">
        <v>24377</v>
      </c>
      <c r="AV1040" s="76"/>
      <c r="AW1040" s="76"/>
      <c r="AX1040" s="76" t="b">
        <v>0</v>
      </c>
      <c r="AY1040" s="76"/>
      <c r="AZ1040" s="76"/>
      <c r="BA1040" s="76" t="b">
        <v>0</v>
      </c>
      <c r="BB1040" s="76" t="b">
        <v>1</v>
      </c>
      <c r="BC1040" s="76" t="b">
        <v>1</v>
      </c>
      <c r="BD1040" s="76" t="b">
        <v>0</v>
      </c>
      <c r="BE1040" s="76" t="b">
        <v>1</v>
      </c>
      <c r="BF1040" s="76" t="b">
        <v>0</v>
      </c>
      <c r="BG1040" s="76" t="b">
        <v>0</v>
      </c>
      <c r="BH1040" s="83" t="str">
        <f>HYPERLINK("https://pbs.twimg.com/profile_banners/1639989846851690496/1679846215")</f>
        <v>https://pbs.twimg.com/profile_banners/1639989846851690496/1679846215</v>
      </c>
      <c r="BI1040" s="76"/>
      <c r="BJ1040" s="76" t="s">
        <v>24935</v>
      </c>
      <c r="BK1040" s="76" t="b">
        <v>0</v>
      </c>
      <c r="BL1040" s="76"/>
      <c r="BM1040" s="76" t="s">
        <v>66</v>
      </c>
      <c r="BN1040" s="76" t="s">
        <v>24937</v>
      </c>
      <c r="BO1040" s="83" t="str">
        <f>HYPERLINK("https://twitter.com/panico_jp")</f>
        <v>https://twitter.com/panico_jp</v>
      </c>
      <c r="BP1040" s="2"/>
    </row>
    <row r="1041" spans="1:68" x14ac:dyDescent="0.25">
      <c r="A1041" s="62" t="s">
        <v>1219</v>
      </c>
      <c r="B1041" s="63"/>
      <c r="C1041" s="63"/>
      <c r="D1041" s="64"/>
      <c r="E1041" s="66"/>
      <c r="F1041" s="102" t="str">
        <f>HYPERLINK("https://pbs.twimg.com/profile_images/1655551568106643456/6Yzf6bzZ_normal.png")</f>
        <v>https://pbs.twimg.com/profile_images/1655551568106643456/6Yzf6bzZ_normal.png</v>
      </c>
      <c r="G1041" s="63"/>
      <c r="H1041" s="67"/>
      <c r="I1041" s="68"/>
      <c r="J1041" s="68"/>
      <c r="K1041" s="67" t="s">
        <v>25975</v>
      </c>
      <c r="L1041" s="71"/>
      <c r="M1041" s="72"/>
      <c r="N1041" s="72"/>
      <c r="O1041" s="73"/>
      <c r="P1041" s="74"/>
      <c r="Q1041" s="74"/>
      <c r="R1041" s="86"/>
      <c r="S1041" s="86"/>
      <c r="T1041" s="86"/>
      <c r="U1041" s="86"/>
      <c r="V1041" s="48"/>
      <c r="W1041" s="48"/>
      <c r="X1041" s="48"/>
      <c r="Y1041" s="48"/>
      <c r="Z1041" s="47"/>
      <c r="AA1041" s="69">
        <v>1041</v>
      </c>
      <c r="AB1041" s="69"/>
      <c r="AC1041" s="70"/>
      <c r="AD1041" s="76" t="s">
        <v>22830</v>
      </c>
      <c r="AE1041" s="81" t="s">
        <v>21761</v>
      </c>
      <c r="AF1041" s="76">
        <v>505</v>
      </c>
      <c r="AG1041" s="76">
        <v>4888</v>
      </c>
      <c r="AH1041" s="76">
        <v>41066</v>
      </c>
      <c r="AI1041" s="76">
        <v>4</v>
      </c>
      <c r="AJ1041" s="76">
        <v>26205</v>
      </c>
      <c r="AK1041" s="76">
        <v>1602</v>
      </c>
      <c r="AL1041" s="76" t="b">
        <v>0</v>
      </c>
      <c r="AM1041" s="78">
        <v>44912.458275462966</v>
      </c>
      <c r="AN1041" s="76"/>
      <c r="AO1041" s="76" t="s">
        <v>24232</v>
      </c>
      <c r="AP1041" s="76"/>
      <c r="AQ1041" s="76"/>
      <c r="AR1041" s="76"/>
      <c r="AS1041" s="76"/>
      <c r="AT1041" s="76"/>
      <c r="AU1041" s="76"/>
      <c r="AV1041" s="76"/>
      <c r="AW1041" s="76"/>
      <c r="AX1041" s="76" t="b">
        <v>0</v>
      </c>
      <c r="AY1041" s="76"/>
      <c r="AZ1041" s="76"/>
      <c r="BA1041" s="76" t="b">
        <v>0</v>
      </c>
      <c r="BB1041" s="76" t="b">
        <v>1</v>
      </c>
      <c r="BC1041" s="76" t="b">
        <v>1</v>
      </c>
      <c r="BD1041" s="76" t="b">
        <v>0</v>
      </c>
      <c r="BE1041" s="76" t="b">
        <v>0</v>
      </c>
      <c r="BF1041" s="76" t="b">
        <v>0</v>
      </c>
      <c r="BG1041" s="76" t="b">
        <v>0</v>
      </c>
      <c r="BH1041" s="83" t="str">
        <f>HYPERLINK("https://pbs.twimg.com/profile_banners/1604068811514302466/1683549228")</f>
        <v>https://pbs.twimg.com/profile_banners/1604068811514302466/1683549228</v>
      </c>
      <c r="BI1041" s="76"/>
      <c r="BJ1041" s="76" t="s">
        <v>24935</v>
      </c>
      <c r="BK1041" s="76" t="b">
        <v>0</v>
      </c>
      <c r="BL1041" s="76"/>
      <c r="BM1041" s="76" t="s">
        <v>66</v>
      </c>
      <c r="BN1041" s="76" t="s">
        <v>24937</v>
      </c>
      <c r="BO1041" s="83" t="str">
        <f>HYPERLINK("https://twitter.com/chatgpt_brasil")</f>
        <v>https://twitter.com/chatgpt_brasil</v>
      </c>
      <c r="BP1041" s="2"/>
    </row>
    <row r="1042" spans="1:68" x14ac:dyDescent="0.25">
      <c r="A1042" s="62" t="s">
        <v>1220</v>
      </c>
      <c r="B1042" s="63"/>
      <c r="C1042" s="63"/>
      <c r="D1042" s="64"/>
      <c r="E1042" s="66"/>
      <c r="F1042" s="102" t="str">
        <f>HYPERLINK("https://pbs.twimg.com/profile_images/1582377001373106176/Ivu-Hmj3_normal.jpg")</f>
        <v>https://pbs.twimg.com/profile_images/1582377001373106176/Ivu-Hmj3_normal.jpg</v>
      </c>
      <c r="G1042" s="63"/>
      <c r="H1042" s="67"/>
      <c r="I1042" s="68"/>
      <c r="J1042" s="68"/>
      <c r="K1042" s="67" t="s">
        <v>25976</v>
      </c>
      <c r="L1042" s="71"/>
      <c r="M1042" s="72"/>
      <c r="N1042" s="72"/>
      <c r="O1042" s="73"/>
      <c r="P1042" s="74"/>
      <c r="Q1042" s="74"/>
      <c r="R1042" s="86"/>
      <c r="S1042" s="86"/>
      <c r="T1042" s="86"/>
      <c r="U1042" s="86"/>
      <c r="V1042" s="48"/>
      <c r="W1042" s="48"/>
      <c r="X1042" s="48"/>
      <c r="Y1042" s="48"/>
      <c r="Z1042" s="47"/>
      <c r="AA1042" s="69">
        <v>1042</v>
      </c>
      <c r="AB1042" s="69"/>
      <c r="AC1042" s="70"/>
      <c r="AD1042" s="76" t="s">
        <v>22831</v>
      </c>
      <c r="AE1042" s="81" t="s">
        <v>23071</v>
      </c>
      <c r="AF1042" s="76">
        <v>176</v>
      </c>
      <c r="AG1042" s="76">
        <v>261</v>
      </c>
      <c r="AH1042" s="76">
        <v>5414</v>
      </c>
      <c r="AI1042" s="76">
        <v>45</v>
      </c>
      <c r="AJ1042" s="76">
        <v>7073</v>
      </c>
      <c r="AK1042" s="76">
        <v>802</v>
      </c>
      <c r="AL1042" s="76" t="b">
        <v>0</v>
      </c>
      <c r="AM1042" s="78">
        <v>42158.058495370373</v>
      </c>
      <c r="AN1042" s="76" t="s">
        <v>23165</v>
      </c>
      <c r="AO1042" s="76" t="s">
        <v>24233</v>
      </c>
      <c r="AP1042" s="76"/>
      <c r="AQ1042" s="76"/>
      <c r="AR1042" s="76"/>
      <c r="AS1042" s="76"/>
      <c r="AT1042" s="76"/>
      <c r="AU1042" s="76"/>
      <c r="AV1042" s="76"/>
      <c r="AW1042" s="76"/>
      <c r="AX1042" s="76" t="b">
        <v>0</v>
      </c>
      <c r="AY1042" s="76"/>
      <c r="AZ1042" s="76"/>
      <c r="BA1042" s="76" t="b">
        <v>0</v>
      </c>
      <c r="BB1042" s="76" t="b">
        <v>0</v>
      </c>
      <c r="BC1042" s="76" t="b">
        <v>0</v>
      </c>
      <c r="BD1042" s="76" t="b">
        <v>0</v>
      </c>
      <c r="BE1042" s="76" t="b">
        <v>1</v>
      </c>
      <c r="BF1042" s="76" t="b">
        <v>0</v>
      </c>
      <c r="BG1042" s="76" t="b">
        <v>0</v>
      </c>
      <c r="BH1042" s="83" t="str">
        <f>HYPERLINK("https://pbs.twimg.com/profile_banners/3234532213/1665106439")</f>
        <v>https://pbs.twimg.com/profile_banners/3234532213/1665106439</v>
      </c>
      <c r="BI1042" s="76"/>
      <c r="BJ1042" s="76" t="s">
        <v>24935</v>
      </c>
      <c r="BK1042" s="76" t="b">
        <v>0</v>
      </c>
      <c r="BL1042" s="76"/>
      <c r="BM1042" s="76" t="s">
        <v>66</v>
      </c>
      <c r="BN1042" s="76" t="s">
        <v>24937</v>
      </c>
      <c r="BO1042" s="83" t="str">
        <f>HYPERLINK("https://twitter.com/midimashup")</f>
        <v>https://twitter.com/midimashup</v>
      </c>
      <c r="BP1042" s="2"/>
    </row>
    <row r="1043" spans="1:68" x14ac:dyDescent="0.25">
      <c r="A1043" s="62" t="s">
        <v>1283</v>
      </c>
      <c r="B1043" s="63"/>
      <c r="C1043" s="63"/>
      <c r="D1043" s="64"/>
      <c r="E1043" s="66"/>
      <c r="F1043" s="102" t="str">
        <f>HYPERLINK("https://pbs.twimg.com/profile_images/1663152146907295746/M5WFm9h8_normal.jpg")</f>
        <v>https://pbs.twimg.com/profile_images/1663152146907295746/M5WFm9h8_normal.jpg</v>
      </c>
      <c r="G1043" s="63"/>
      <c r="H1043" s="67"/>
      <c r="I1043" s="68"/>
      <c r="J1043" s="68"/>
      <c r="K1043" s="67" t="s">
        <v>25977</v>
      </c>
      <c r="L1043" s="71"/>
      <c r="M1043" s="72"/>
      <c r="N1043" s="72"/>
      <c r="O1043" s="73"/>
      <c r="P1043" s="74"/>
      <c r="Q1043" s="74"/>
      <c r="R1043" s="86"/>
      <c r="S1043" s="86"/>
      <c r="T1043" s="86"/>
      <c r="U1043" s="86"/>
      <c r="V1043" s="48"/>
      <c r="W1043" s="48"/>
      <c r="X1043" s="48"/>
      <c r="Y1043" s="48"/>
      <c r="Z1043" s="47"/>
      <c r="AA1043" s="69">
        <v>1043</v>
      </c>
      <c r="AB1043" s="69"/>
      <c r="AC1043" s="70"/>
      <c r="AD1043" s="76" t="s">
        <v>22832</v>
      </c>
      <c r="AE1043" s="81" t="s">
        <v>23072</v>
      </c>
      <c r="AF1043" s="76">
        <v>193678</v>
      </c>
      <c r="AG1043" s="76">
        <v>202</v>
      </c>
      <c r="AH1043" s="76">
        <v>22489</v>
      </c>
      <c r="AI1043" s="76">
        <v>1098</v>
      </c>
      <c r="AJ1043" s="76">
        <v>2393</v>
      </c>
      <c r="AK1043" s="76">
        <v>6101</v>
      </c>
      <c r="AL1043" s="76" t="b">
        <v>0</v>
      </c>
      <c r="AM1043" s="78">
        <v>40368.78628472222</v>
      </c>
      <c r="AN1043" s="76"/>
      <c r="AO1043" s="76" t="s">
        <v>24234</v>
      </c>
      <c r="AP1043" s="83" t="str">
        <f>HYPERLINK("https://t.co/zknxoM7VQ4")</f>
        <v>https://t.co/zknxoM7VQ4</v>
      </c>
      <c r="AQ1043" s="83" t="str">
        <f>HYPERLINK("https://www.ibge.gov.br/")</f>
        <v>https://www.ibge.gov.br/</v>
      </c>
      <c r="AR1043" s="76" t="s">
        <v>24817</v>
      </c>
      <c r="AS1043" s="76"/>
      <c r="AT1043" s="76"/>
      <c r="AU1043" s="76"/>
      <c r="AV1043" s="76"/>
      <c r="AW1043" s="83" t="str">
        <f>HYPERLINK("https://t.co/zknxoM7VQ4")</f>
        <v>https://t.co/zknxoM7VQ4</v>
      </c>
      <c r="AX1043" s="76" t="b">
        <v>0</v>
      </c>
      <c r="AY1043" s="76"/>
      <c r="AZ1043" s="76"/>
      <c r="BA1043" s="76" t="b">
        <v>1</v>
      </c>
      <c r="BB1043" s="76" t="b">
        <v>0</v>
      </c>
      <c r="BC1043" s="76" t="b">
        <v>0</v>
      </c>
      <c r="BD1043" s="76" t="b">
        <v>0</v>
      </c>
      <c r="BE1043" s="76" t="b">
        <v>1</v>
      </c>
      <c r="BF1043" s="76" t="b">
        <v>0</v>
      </c>
      <c r="BG1043" s="76" t="b">
        <v>0</v>
      </c>
      <c r="BH1043" s="83" t="str">
        <f>HYPERLINK("https://pbs.twimg.com/profile_banners/164779867/1687978484")</f>
        <v>https://pbs.twimg.com/profile_banners/164779867/1687978484</v>
      </c>
      <c r="BI1043" s="76"/>
      <c r="BJ1043" s="76" t="s">
        <v>24935</v>
      </c>
      <c r="BK1043" s="76" t="b">
        <v>0</v>
      </c>
      <c r="BL1043" s="76"/>
      <c r="BM1043" s="76" t="s">
        <v>65</v>
      </c>
      <c r="BN1043" s="76" t="s">
        <v>24937</v>
      </c>
      <c r="BO1043" s="83" t="str">
        <f>HYPERLINK("https://twitter.com/ibgecomunica")</f>
        <v>https://twitter.com/ibgecomunica</v>
      </c>
      <c r="BP1043" s="2"/>
    </row>
    <row r="1044" spans="1:68" x14ac:dyDescent="0.25">
      <c r="A1044" s="62" t="s">
        <v>1221</v>
      </c>
      <c r="B1044" s="63"/>
      <c r="C1044" s="63"/>
      <c r="D1044" s="64"/>
      <c r="E1044" s="66"/>
      <c r="F1044" s="102" t="str">
        <f>HYPERLINK("https://pbs.twimg.com/profile_images/765045699377524736/e3Np0C5D_normal.jpg")</f>
        <v>https://pbs.twimg.com/profile_images/765045699377524736/e3Np0C5D_normal.jpg</v>
      </c>
      <c r="G1044" s="63"/>
      <c r="H1044" s="67"/>
      <c r="I1044" s="68"/>
      <c r="J1044" s="68"/>
      <c r="K1044" s="67" t="s">
        <v>25978</v>
      </c>
      <c r="L1044" s="71"/>
      <c r="M1044" s="72"/>
      <c r="N1044" s="72"/>
      <c r="O1044" s="73"/>
      <c r="P1044" s="74"/>
      <c r="Q1044" s="74"/>
      <c r="R1044" s="86"/>
      <c r="S1044" s="86"/>
      <c r="T1044" s="86"/>
      <c r="U1044" s="86"/>
      <c r="V1044" s="48"/>
      <c r="W1044" s="48"/>
      <c r="X1044" s="48"/>
      <c r="Y1044" s="48"/>
      <c r="Z1044" s="47"/>
      <c r="AA1044" s="69">
        <v>1044</v>
      </c>
      <c r="AB1044" s="69"/>
      <c r="AC1044" s="70"/>
      <c r="AD1044" s="76" t="s">
        <v>22833</v>
      </c>
      <c r="AE1044" s="81" t="s">
        <v>23073</v>
      </c>
      <c r="AF1044" s="76">
        <v>600</v>
      </c>
      <c r="AG1044" s="76">
        <v>545</v>
      </c>
      <c r="AH1044" s="76">
        <v>6888</v>
      </c>
      <c r="AI1044" s="76">
        <v>2</v>
      </c>
      <c r="AJ1044" s="76">
        <v>126</v>
      </c>
      <c r="AK1044" s="76">
        <v>603</v>
      </c>
      <c r="AL1044" s="76" t="b">
        <v>0</v>
      </c>
      <c r="AM1044" s="78">
        <v>40389.947939814818</v>
      </c>
      <c r="AN1044" s="76" t="s">
        <v>23341</v>
      </c>
      <c r="AO1044" s="76" t="s">
        <v>24235</v>
      </c>
      <c r="AP1044" s="76"/>
      <c r="AQ1044" s="76"/>
      <c r="AR1044" s="76"/>
      <c r="AS1044" s="76"/>
      <c r="AT1044" s="76"/>
      <c r="AU1044" s="76"/>
      <c r="AV1044" s="76"/>
      <c r="AW1044" s="76"/>
      <c r="AX1044" s="76" t="b">
        <v>0</v>
      </c>
      <c r="AY1044" s="76"/>
      <c r="AZ1044" s="76"/>
      <c r="BA1044" s="76" t="b">
        <v>0</v>
      </c>
      <c r="BB1044" s="76" t="b">
        <v>1</v>
      </c>
      <c r="BC1044" s="76" t="b">
        <v>0</v>
      </c>
      <c r="BD1044" s="76" t="b">
        <v>0</v>
      </c>
      <c r="BE1044" s="76" t="b">
        <v>1</v>
      </c>
      <c r="BF1044" s="76" t="b">
        <v>0</v>
      </c>
      <c r="BG1044" s="76" t="b">
        <v>0</v>
      </c>
      <c r="BH1044" s="83" t="str">
        <f>HYPERLINK("https://pbs.twimg.com/profile_banners/172906872/1545917011")</f>
        <v>https://pbs.twimg.com/profile_banners/172906872/1545917011</v>
      </c>
      <c r="BI1044" s="76"/>
      <c r="BJ1044" s="76" t="s">
        <v>24935</v>
      </c>
      <c r="BK1044" s="76" t="b">
        <v>0</v>
      </c>
      <c r="BL1044" s="76"/>
      <c r="BM1044" s="76" t="s">
        <v>66</v>
      </c>
      <c r="BN1044" s="76" t="s">
        <v>24937</v>
      </c>
      <c r="BO1044" s="83" t="str">
        <f>HYPERLINK("https://twitter.com/stive_oficial")</f>
        <v>https://twitter.com/stive_oficial</v>
      </c>
      <c r="BP1044" s="2"/>
    </row>
    <row r="1045" spans="1:68" x14ac:dyDescent="0.25">
      <c r="A1045" s="62" t="s">
        <v>1222</v>
      </c>
      <c r="B1045" s="63"/>
      <c r="C1045" s="63"/>
      <c r="D1045" s="64"/>
      <c r="E1045" s="66"/>
      <c r="F1045" s="102" t="str">
        <f>HYPERLINK("https://pbs.twimg.com/profile_images/1631778470417117187/BLSD9aL3_normal.jpg")</f>
        <v>https://pbs.twimg.com/profile_images/1631778470417117187/BLSD9aL3_normal.jpg</v>
      </c>
      <c r="G1045" s="63"/>
      <c r="H1045" s="67"/>
      <c r="I1045" s="68"/>
      <c r="J1045" s="68"/>
      <c r="K1045" s="67" t="s">
        <v>25979</v>
      </c>
      <c r="L1045" s="71"/>
      <c r="M1045" s="72"/>
      <c r="N1045" s="72"/>
      <c r="O1045" s="73"/>
      <c r="P1045" s="74"/>
      <c r="Q1045" s="74"/>
      <c r="R1045" s="86"/>
      <c r="S1045" s="86"/>
      <c r="T1045" s="86"/>
      <c r="U1045" s="86"/>
      <c r="V1045" s="48"/>
      <c r="W1045" s="48"/>
      <c r="X1045" s="48"/>
      <c r="Y1045" s="48"/>
      <c r="Z1045" s="47"/>
      <c r="AA1045" s="69">
        <v>1045</v>
      </c>
      <c r="AB1045" s="69"/>
      <c r="AC1045" s="70"/>
      <c r="AD1045" s="76" t="s">
        <v>22834</v>
      </c>
      <c r="AE1045" s="81" t="s">
        <v>21762</v>
      </c>
      <c r="AF1045" s="76">
        <v>1</v>
      </c>
      <c r="AG1045" s="76">
        <v>2</v>
      </c>
      <c r="AH1045" s="76">
        <v>24</v>
      </c>
      <c r="AI1045" s="76">
        <v>0</v>
      </c>
      <c r="AJ1045" s="76">
        <v>3</v>
      </c>
      <c r="AK1045" s="76">
        <v>0</v>
      </c>
      <c r="AL1045" s="76" t="b">
        <v>0</v>
      </c>
      <c r="AM1045" s="78">
        <v>44988.918032407404</v>
      </c>
      <c r="AN1045" s="76" t="s">
        <v>14115</v>
      </c>
      <c r="AO1045" s="76" t="s">
        <v>24236</v>
      </c>
      <c r="AP1045" s="83" t="str">
        <f>HYPERLINK("https://t.co/FQUNN9It0w")</f>
        <v>https://t.co/FQUNN9It0w</v>
      </c>
      <c r="AQ1045" s="83" t="str">
        <f>HYPERLINK("https://www.oespaco.digital/")</f>
        <v>https://www.oespaco.digital/</v>
      </c>
      <c r="AR1045" s="76" t="s">
        <v>24818</v>
      </c>
      <c r="AS1045" s="76"/>
      <c r="AT1045" s="76"/>
      <c r="AU1045" s="76"/>
      <c r="AV1045" s="76"/>
      <c r="AW1045" s="83" t="str">
        <f>HYPERLINK("https://t.co/FQUNN9It0w")</f>
        <v>https://t.co/FQUNN9It0w</v>
      </c>
      <c r="AX1045" s="76" t="b">
        <v>0</v>
      </c>
      <c r="AY1045" s="76"/>
      <c r="AZ1045" s="76"/>
      <c r="BA1045" s="76" t="b">
        <v>0</v>
      </c>
      <c r="BB1045" s="76" t="b">
        <v>1</v>
      </c>
      <c r="BC1045" s="76" t="b">
        <v>1</v>
      </c>
      <c r="BD1045" s="76" t="b">
        <v>0</v>
      </c>
      <c r="BE1045" s="76" t="b">
        <v>0</v>
      </c>
      <c r="BF1045" s="76" t="b">
        <v>0</v>
      </c>
      <c r="BG1045" s="76" t="b">
        <v>0</v>
      </c>
      <c r="BH1045" s="83" t="str">
        <f>HYPERLINK("https://pbs.twimg.com/profile_banners/1631776856708972547/1677948914")</f>
        <v>https://pbs.twimg.com/profile_banners/1631776856708972547/1677948914</v>
      </c>
      <c r="BI1045" s="76"/>
      <c r="BJ1045" s="76" t="s">
        <v>24935</v>
      </c>
      <c r="BK1045" s="76" t="b">
        <v>0</v>
      </c>
      <c r="BL1045" s="76"/>
      <c r="BM1045" s="76" t="s">
        <v>66</v>
      </c>
      <c r="BN1045" s="76" t="s">
        <v>24937</v>
      </c>
      <c r="BO1045" s="83" t="str">
        <f>HYPERLINK("https://twitter.com/oespacodigital")</f>
        <v>https://twitter.com/oespacodigital</v>
      </c>
      <c r="BP1045" s="2"/>
    </row>
    <row r="1046" spans="1:68" x14ac:dyDescent="0.25">
      <c r="A1046" s="62" t="s">
        <v>1223</v>
      </c>
      <c r="B1046" s="63"/>
      <c r="C1046" s="63"/>
      <c r="D1046" s="64"/>
      <c r="E1046" s="66"/>
      <c r="F1046" s="102" t="str">
        <f>HYPERLINK("https://pbs.twimg.com/profile_images/1699438657092952066/xUJaHiqn_normal.jpg")</f>
        <v>https://pbs.twimg.com/profile_images/1699438657092952066/xUJaHiqn_normal.jpg</v>
      </c>
      <c r="G1046" s="63"/>
      <c r="H1046" s="67"/>
      <c r="I1046" s="68"/>
      <c r="J1046" s="68"/>
      <c r="K1046" s="67" t="s">
        <v>25980</v>
      </c>
      <c r="L1046" s="71"/>
      <c r="M1046" s="72"/>
      <c r="N1046" s="72"/>
      <c r="O1046" s="73"/>
      <c r="P1046" s="74"/>
      <c r="Q1046" s="74"/>
      <c r="R1046" s="86"/>
      <c r="S1046" s="86"/>
      <c r="T1046" s="86"/>
      <c r="U1046" s="86"/>
      <c r="V1046" s="48"/>
      <c r="W1046" s="48"/>
      <c r="X1046" s="48"/>
      <c r="Y1046" s="48"/>
      <c r="Z1046" s="47"/>
      <c r="AA1046" s="69">
        <v>1046</v>
      </c>
      <c r="AB1046" s="69"/>
      <c r="AC1046" s="70"/>
      <c r="AD1046" s="76" t="s">
        <v>22835</v>
      </c>
      <c r="AE1046" s="81" t="s">
        <v>21763</v>
      </c>
      <c r="AF1046" s="76">
        <v>33</v>
      </c>
      <c r="AG1046" s="76">
        <v>566</v>
      </c>
      <c r="AH1046" s="76">
        <v>19</v>
      </c>
      <c r="AI1046" s="76">
        <v>1</v>
      </c>
      <c r="AJ1046" s="76">
        <v>3</v>
      </c>
      <c r="AK1046" s="76">
        <v>15</v>
      </c>
      <c r="AL1046" s="76" t="b">
        <v>0</v>
      </c>
      <c r="AM1046" s="78">
        <v>44260.679502314815</v>
      </c>
      <c r="AN1046" s="76" t="s">
        <v>14033</v>
      </c>
      <c r="AO1046" s="76" t="s">
        <v>24237</v>
      </c>
      <c r="AP1046" s="83" t="str">
        <f>HYPERLINK("https://t.co/oqUUoBh3dp")</f>
        <v>https://t.co/oqUUoBh3dp</v>
      </c>
      <c r="AQ1046" s="83" t="str">
        <f>HYPERLINK("https://t.me/+0juROX022fQ1YWNh")</f>
        <v>https://t.me/+0juROX022fQ1YWNh</v>
      </c>
      <c r="AR1046" s="76" t="s">
        <v>24819</v>
      </c>
      <c r="AS1046" s="76"/>
      <c r="AT1046" s="76"/>
      <c r="AU1046" s="76"/>
      <c r="AV1046" s="76"/>
      <c r="AW1046" s="83" t="str">
        <f>HYPERLINK("https://t.co/oqUUoBh3dp")</f>
        <v>https://t.co/oqUUoBh3dp</v>
      </c>
      <c r="AX1046" s="76" t="b">
        <v>0</v>
      </c>
      <c r="AY1046" s="76"/>
      <c r="AZ1046" s="76"/>
      <c r="BA1046" s="76" t="b">
        <v>0</v>
      </c>
      <c r="BB1046" s="76" t="b">
        <v>0</v>
      </c>
      <c r="BC1046" s="76" t="b">
        <v>1</v>
      </c>
      <c r="BD1046" s="76" t="b">
        <v>0</v>
      </c>
      <c r="BE1046" s="76" t="b">
        <v>0</v>
      </c>
      <c r="BF1046" s="76" t="b">
        <v>0</v>
      </c>
      <c r="BG1046" s="76" t="b">
        <v>0</v>
      </c>
      <c r="BH1046" s="83" t="str">
        <f>HYPERLINK("https://pbs.twimg.com/profile_banners/1367872069610921992/1694012724")</f>
        <v>https://pbs.twimg.com/profile_banners/1367872069610921992/1694012724</v>
      </c>
      <c r="BI1046" s="76"/>
      <c r="BJ1046" s="76" t="s">
        <v>24935</v>
      </c>
      <c r="BK1046" s="76" t="b">
        <v>0</v>
      </c>
      <c r="BL1046" s="76"/>
      <c r="BM1046" s="76" t="s">
        <v>66</v>
      </c>
      <c r="BN1046" s="76" t="s">
        <v>24937</v>
      </c>
      <c r="BO1046" s="83" t="str">
        <f>HYPERLINK("https://twitter.com/ofertasdomes")</f>
        <v>https://twitter.com/ofertasdomes</v>
      </c>
      <c r="BP1046" s="2"/>
    </row>
    <row r="1047" spans="1:68" x14ac:dyDescent="0.25">
      <c r="A1047" s="62" t="s">
        <v>1224</v>
      </c>
      <c r="B1047" s="63"/>
      <c r="C1047" s="63"/>
      <c r="D1047" s="64"/>
      <c r="E1047" s="66"/>
      <c r="F1047" s="102" t="str">
        <f>HYPERLINK("https://pbs.twimg.com/profile_images/1641865704495276034/GCss8iuI_normal.jpg")</f>
        <v>https://pbs.twimg.com/profile_images/1641865704495276034/GCss8iuI_normal.jpg</v>
      </c>
      <c r="G1047" s="63"/>
      <c r="H1047" s="67"/>
      <c r="I1047" s="68"/>
      <c r="J1047" s="68"/>
      <c r="K1047" s="67" t="s">
        <v>25981</v>
      </c>
      <c r="L1047" s="71"/>
      <c r="M1047" s="72"/>
      <c r="N1047" s="72"/>
      <c r="O1047" s="73"/>
      <c r="P1047" s="74"/>
      <c r="Q1047" s="74"/>
      <c r="R1047" s="86"/>
      <c r="S1047" s="86"/>
      <c r="T1047" s="86"/>
      <c r="U1047" s="86"/>
      <c r="V1047" s="48"/>
      <c r="W1047" s="48"/>
      <c r="X1047" s="48"/>
      <c r="Y1047" s="48"/>
      <c r="Z1047" s="47"/>
      <c r="AA1047" s="69">
        <v>1047</v>
      </c>
      <c r="AB1047" s="69"/>
      <c r="AC1047" s="70"/>
      <c r="AD1047" s="76" t="s">
        <v>22836</v>
      </c>
      <c r="AE1047" s="81" t="s">
        <v>21764</v>
      </c>
      <c r="AF1047" s="76">
        <v>1</v>
      </c>
      <c r="AG1047" s="76">
        <v>31</v>
      </c>
      <c r="AH1047" s="76">
        <v>59</v>
      </c>
      <c r="AI1047" s="76">
        <v>0</v>
      </c>
      <c r="AJ1047" s="76">
        <v>73</v>
      </c>
      <c r="AK1047" s="76">
        <v>16</v>
      </c>
      <c r="AL1047" s="76" t="b">
        <v>0</v>
      </c>
      <c r="AM1047" s="78">
        <v>44889.948530092595</v>
      </c>
      <c r="AN1047" s="76"/>
      <c r="AO1047" s="76" t="s">
        <v>24238</v>
      </c>
      <c r="AP1047" s="76"/>
      <c r="AQ1047" s="76"/>
      <c r="AR1047" s="76"/>
      <c r="AS1047" s="76"/>
      <c r="AT1047" s="76"/>
      <c r="AU1047" s="76"/>
      <c r="AV1047" s="76">
        <v>1.70462209583183E+18</v>
      </c>
      <c r="AW1047" s="76"/>
      <c r="AX1047" s="76" t="b">
        <v>0</v>
      </c>
      <c r="AY1047" s="76"/>
      <c r="AZ1047" s="76"/>
      <c r="BA1047" s="76" t="b">
        <v>0</v>
      </c>
      <c r="BB1047" s="76" t="b">
        <v>1</v>
      </c>
      <c r="BC1047" s="76" t="b">
        <v>1</v>
      </c>
      <c r="BD1047" s="76" t="b">
        <v>0</v>
      </c>
      <c r="BE1047" s="76" t="b">
        <v>0</v>
      </c>
      <c r="BF1047" s="76" t="b">
        <v>0</v>
      </c>
      <c r="BG1047" s="76" t="b">
        <v>0</v>
      </c>
      <c r="BH1047" s="83" t="str">
        <f>HYPERLINK("https://pbs.twimg.com/profile_banners/1595911140353220608/1680286724")</f>
        <v>https://pbs.twimg.com/profile_banners/1595911140353220608/1680286724</v>
      </c>
      <c r="BI1047" s="76"/>
      <c r="BJ1047" s="76" t="s">
        <v>24935</v>
      </c>
      <c r="BK1047" s="76" t="b">
        <v>0</v>
      </c>
      <c r="BL1047" s="76"/>
      <c r="BM1047" s="76" t="s">
        <v>66</v>
      </c>
      <c r="BN1047" s="76" t="s">
        <v>24937</v>
      </c>
      <c r="BO1047" s="83" t="str">
        <f>HYPERLINK("https://twitter.com/willamysousa15")</f>
        <v>https://twitter.com/willamysousa15</v>
      </c>
      <c r="BP1047" s="2"/>
    </row>
    <row r="1048" spans="1:68" x14ac:dyDescent="0.25">
      <c r="A1048" s="62" t="s">
        <v>1225</v>
      </c>
      <c r="B1048" s="63"/>
      <c r="C1048" s="63"/>
      <c r="D1048" s="64"/>
      <c r="E1048" s="66"/>
      <c r="F1048" s="102" t="str">
        <f>HYPERLINK("https://pbs.twimg.com/profile_images/1507084958590029825/A0zYOuAD_normal.jpg")</f>
        <v>https://pbs.twimg.com/profile_images/1507084958590029825/A0zYOuAD_normal.jpg</v>
      </c>
      <c r="G1048" s="63"/>
      <c r="H1048" s="67"/>
      <c r="I1048" s="68"/>
      <c r="J1048" s="68"/>
      <c r="K1048" s="67" t="s">
        <v>25982</v>
      </c>
      <c r="L1048" s="71"/>
      <c r="M1048" s="72"/>
      <c r="N1048" s="72"/>
      <c r="O1048" s="73"/>
      <c r="P1048" s="74"/>
      <c r="Q1048" s="74"/>
      <c r="R1048" s="86"/>
      <c r="S1048" s="86"/>
      <c r="T1048" s="86"/>
      <c r="U1048" s="86"/>
      <c r="V1048" s="48"/>
      <c r="W1048" s="48"/>
      <c r="X1048" s="48"/>
      <c r="Y1048" s="48"/>
      <c r="Z1048" s="47"/>
      <c r="AA1048" s="69">
        <v>1048</v>
      </c>
      <c r="AB1048" s="69"/>
      <c r="AC1048" s="70"/>
      <c r="AD1048" s="76" t="s">
        <v>22837</v>
      </c>
      <c r="AE1048" s="81" t="s">
        <v>21765</v>
      </c>
      <c r="AF1048" s="76">
        <v>4</v>
      </c>
      <c r="AG1048" s="76">
        <v>7</v>
      </c>
      <c r="AH1048" s="76">
        <v>316</v>
      </c>
      <c r="AI1048" s="76">
        <v>1</v>
      </c>
      <c r="AJ1048" s="76">
        <v>0</v>
      </c>
      <c r="AK1048" s="76">
        <v>230</v>
      </c>
      <c r="AL1048" s="76" t="b">
        <v>0</v>
      </c>
      <c r="AM1048" s="78">
        <v>44644.831157407411</v>
      </c>
      <c r="AN1048" s="76"/>
      <c r="AO1048" s="76" t="s">
        <v>24239</v>
      </c>
      <c r="AP1048" s="83" t="str">
        <f>HYPERLINK("https://t.co/uJpPSHrzat")</f>
        <v>https://t.co/uJpPSHrzat</v>
      </c>
      <c r="AQ1048" s="83" t="str">
        <f>HYPERLINK("https://emoneybrasil.com.br/")</f>
        <v>https://emoneybrasil.com.br/</v>
      </c>
      <c r="AR1048" s="76" t="s">
        <v>24820</v>
      </c>
      <c r="AS1048" s="76"/>
      <c r="AT1048" s="76"/>
      <c r="AU1048" s="76"/>
      <c r="AV1048" s="76"/>
      <c r="AW1048" s="83" t="str">
        <f>HYPERLINK("https://t.co/uJpPSHrzat")</f>
        <v>https://t.co/uJpPSHrzat</v>
      </c>
      <c r="AX1048" s="76" t="b">
        <v>0</v>
      </c>
      <c r="AY1048" s="76"/>
      <c r="AZ1048" s="76"/>
      <c r="BA1048" s="76" t="b">
        <v>0</v>
      </c>
      <c r="BB1048" s="76" t="b">
        <v>1</v>
      </c>
      <c r="BC1048" s="76" t="b">
        <v>1</v>
      </c>
      <c r="BD1048" s="76" t="b">
        <v>0</v>
      </c>
      <c r="BE1048" s="76" t="b">
        <v>0</v>
      </c>
      <c r="BF1048" s="76" t="b">
        <v>0</v>
      </c>
      <c r="BG1048" s="76" t="b">
        <v>0</v>
      </c>
      <c r="BH1048" s="83" t="str">
        <f>HYPERLINK("https://pbs.twimg.com/profile_banners/1507083919111434240/1648152030")</f>
        <v>https://pbs.twimg.com/profile_banners/1507083919111434240/1648152030</v>
      </c>
      <c r="BI1048" s="76"/>
      <c r="BJ1048" s="76" t="s">
        <v>24935</v>
      </c>
      <c r="BK1048" s="76" t="b">
        <v>0</v>
      </c>
      <c r="BL1048" s="76"/>
      <c r="BM1048" s="76" t="s">
        <v>66</v>
      </c>
      <c r="BN1048" s="76" t="s">
        <v>24937</v>
      </c>
      <c r="BO1048" s="83" t="str">
        <f>HYPERLINK("https://twitter.com/emoneybrasil")</f>
        <v>https://twitter.com/emoneybrasil</v>
      </c>
      <c r="BP1048" s="2"/>
    </row>
    <row r="1049" spans="1:68" x14ac:dyDescent="0.25">
      <c r="A1049" s="62" t="s">
        <v>1226</v>
      </c>
      <c r="B1049" s="63"/>
      <c r="C1049" s="63"/>
      <c r="D1049" s="64"/>
      <c r="E1049" s="66"/>
      <c r="F1049" s="102" t="str">
        <f>HYPERLINK("https://pbs.twimg.com/profile_images/1662136226852356098/dS4GPRL5_normal.jpg")</f>
        <v>https://pbs.twimg.com/profile_images/1662136226852356098/dS4GPRL5_normal.jpg</v>
      </c>
      <c r="G1049" s="63"/>
      <c r="H1049" s="67"/>
      <c r="I1049" s="68"/>
      <c r="J1049" s="68"/>
      <c r="K1049" s="67" t="s">
        <v>25983</v>
      </c>
      <c r="L1049" s="71"/>
      <c r="M1049" s="72"/>
      <c r="N1049" s="72"/>
      <c r="O1049" s="73"/>
      <c r="P1049" s="74"/>
      <c r="Q1049" s="74"/>
      <c r="R1049" s="86"/>
      <c r="S1049" s="86"/>
      <c r="T1049" s="86"/>
      <c r="U1049" s="86"/>
      <c r="V1049" s="48"/>
      <c r="W1049" s="48"/>
      <c r="X1049" s="48"/>
      <c r="Y1049" s="48"/>
      <c r="Z1049" s="47"/>
      <c r="AA1049" s="69">
        <v>1049</v>
      </c>
      <c r="AB1049" s="69"/>
      <c r="AC1049" s="70"/>
      <c r="AD1049" s="76" t="s">
        <v>22838</v>
      </c>
      <c r="AE1049" s="81" t="s">
        <v>21766</v>
      </c>
      <c r="AF1049" s="76">
        <v>0</v>
      </c>
      <c r="AG1049" s="76">
        <v>15</v>
      </c>
      <c r="AH1049" s="76">
        <v>37</v>
      </c>
      <c r="AI1049" s="76">
        <v>0</v>
      </c>
      <c r="AJ1049" s="76">
        <v>17</v>
      </c>
      <c r="AK1049" s="76">
        <v>1</v>
      </c>
      <c r="AL1049" s="76" t="b">
        <v>0</v>
      </c>
      <c r="AM1049" s="78">
        <v>45072.693645833337</v>
      </c>
      <c r="AN1049" s="76"/>
      <c r="AO1049" s="76"/>
      <c r="AP1049" s="76"/>
      <c r="AQ1049" s="76"/>
      <c r="AR1049" s="76"/>
      <c r="AS1049" s="76"/>
      <c r="AT1049" s="76"/>
      <c r="AU1049" s="76"/>
      <c r="AV1049" s="76"/>
      <c r="AW1049" s="76"/>
      <c r="AX1049" s="76" t="b">
        <v>0</v>
      </c>
      <c r="AY1049" s="76"/>
      <c r="AZ1049" s="76"/>
      <c r="BA1049" s="76" t="b">
        <v>0</v>
      </c>
      <c r="BB1049" s="76" t="b">
        <v>1</v>
      </c>
      <c r="BC1049" s="76" t="b">
        <v>1</v>
      </c>
      <c r="BD1049" s="76" t="b">
        <v>0</v>
      </c>
      <c r="BE1049" s="76" t="b">
        <v>0</v>
      </c>
      <c r="BF1049" s="76" t="b">
        <v>0</v>
      </c>
      <c r="BG1049" s="76" t="b">
        <v>0</v>
      </c>
      <c r="BH1049" s="76"/>
      <c r="BI1049" s="76"/>
      <c r="BJ1049" s="76" t="s">
        <v>24935</v>
      </c>
      <c r="BK1049" s="76" t="b">
        <v>0</v>
      </c>
      <c r="BL1049" s="76"/>
      <c r="BM1049" s="76" t="s">
        <v>66</v>
      </c>
      <c r="BN1049" s="76" t="s">
        <v>24937</v>
      </c>
      <c r="BO1049" s="83" t="str">
        <f>HYPERLINK("https://twitter.com/offer36836")</f>
        <v>https://twitter.com/offer36836</v>
      </c>
      <c r="BP1049" s="2"/>
    </row>
    <row r="1050" spans="1:68" x14ac:dyDescent="0.25">
      <c r="A1050" s="62" t="s">
        <v>1227</v>
      </c>
      <c r="B1050" s="63"/>
      <c r="C1050" s="63"/>
      <c r="D1050" s="64"/>
      <c r="E1050" s="66"/>
      <c r="F1050" s="102" t="str">
        <f>HYPERLINK("https://pbs.twimg.com/profile_images/1605881354666795009/0M97gicU_normal.jpg")</f>
        <v>https://pbs.twimg.com/profile_images/1605881354666795009/0M97gicU_normal.jpg</v>
      </c>
      <c r="G1050" s="63"/>
      <c r="H1050" s="67"/>
      <c r="I1050" s="68"/>
      <c r="J1050" s="68"/>
      <c r="K1050" s="67" t="s">
        <v>25984</v>
      </c>
      <c r="L1050" s="71"/>
      <c r="M1050" s="72"/>
      <c r="N1050" s="72"/>
      <c r="O1050" s="73"/>
      <c r="P1050" s="74"/>
      <c r="Q1050" s="74"/>
      <c r="R1050" s="86"/>
      <c r="S1050" s="86"/>
      <c r="T1050" s="86"/>
      <c r="U1050" s="86"/>
      <c r="V1050" s="48"/>
      <c r="W1050" s="48"/>
      <c r="X1050" s="48"/>
      <c r="Y1050" s="48"/>
      <c r="Z1050" s="47"/>
      <c r="AA1050" s="69">
        <v>1050</v>
      </c>
      <c r="AB1050" s="69"/>
      <c r="AC1050" s="70"/>
      <c r="AD1050" s="76" t="s">
        <v>22839</v>
      </c>
      <c r="AE1050" s="81" t="s">
        <v>21767</v>
      </c>
      <c r="AF1050" s="76">
        <v>216</v>
      </c>
      <c r="AG1050" s="76">
        <v>3662</v>
      </c>
      <c r="AH1050" s="76">
        <v>48696</v>
      </c>
      <c r="AI1050" s="76">
        <v>0</v>
      </c>
      <c r="AJ1050" s="76">
        <v>34102</v>
      </c>
      <c r="AK1050" s="76">
        <v>1362</v>
      </c>
      <c r="AL1050" s="76" t="b">
        <v>0</v>
      </c>
      <c r="AM1050" s="78">
        <v>44917.458668981482</v>
      </c>
      <c r="AN1050" s="76"/>
      <c r="AO1050" s="76" t="s">
        <v>24240</v>
      </c>
      <c r="AP1050" s="83" t="str">
        <f>HYPERLINK("https://t.co/f60yYHntIa")</f>
        <v>https://t.co/f60yYHntIa</v>
      </c>
      <c r="AQ1050" s="83" t="str">
        <f>HYPERLINK("https://ntnc.com.br/0d01bdc1-640e-455f-9c15-a83fe9d41319")</f>
        <v>https://ntnc.com.br/0d01bdc1-640e-455f-9c15-a83fe9d41319</v>
      </c>
      <c r="AR1050" s="76" t="s">
        <v>24821</v>
      </c>
      <c r="AS1050" s="76"/>
      <c r="AT1050" s="76"/>
      <c r="AU1050" s="76"/>
      <c r="AV1050" s="76"/>
      <c r="AW1050" s="83" t="str">
        <f>HYPERLINK("https://t.co/f60yYHntIa")</f>
        <v>https://t.co/f60yYHntIa</v>
      </c>
      <c r="AX1050" s="76" t="b">
        <v>0</v>
      </c>
      <c r="AY1050" s="76"/>
      <c r="AZ1050" s="76"/>
      <c r="BA1050" s="76" t="b">
        <v>0</v>
      </c>
      <c r="BB1050" s="76" t="b">
        <v>1</v>
      </c>
      <c r="BC1050" s="76" t="b">
        <v>1</v>
      </c>
      <c r="BD1050" s="76" t="b">
        <v>0</v>
      </c>
      <c r="BE1050" s="76" t="b">
        <v>0</v>
      </c>
      <c r="BF1050" s="76" t="b">
        <v>0</v>
      </c>
      <c r="BG1050" s="76" t="b">
        <v>0</v>
      </c>
      <c r="BH1050" s="83" t="str">
        <f>HYPERLINK("https://pbs.twimg.com/profile_banners/1605880885106073601/1671707057")</f>
        <v>https://pbs.twimg.com/profile_banners/1605880885106073601/1671707057</v>
      </c>
      <c r="BI1050" s="76"/>
      <c r="BJ1050" s="76" t="s">
        <v>24935</v>
      </c>
      <c r="BK1050" s="76" t="b">
        <v>0</v>
      </c>
      <c r="BL1050" s="76"/>
      <c r="BM1050" s="76" t="s">
        <v>66</v>
      </c>
      <c r="BN1050" s="76" t="s">
        <v>24937</v>
      </c>
      <c r="BO1050" s="83" t="str">
        <f>HYPERLINK("https://twitter.com/vida_low_carb")</f>
        <v>https://twitter.com/vida_low_carb</v>
      </c>
      <c r="BP1050" s="2"/>
    </row>
    <row r="1051" spans="1:68" x14ac:dyDescent="0.25">
      <c r="A1051" s="62" t="s">
        <v>1228</v>
      </c>
      <c r="B1051" s="63"/>
      <c r="C1051" s="63"/>
      <c r="D1051" s="64"/>
      <c r="E1051" s="66"/>
      <c r="F1051" s="102" t="str">
        <f>HYPERLINK("https://pbs.twimg.com/profile_images/1655394188173688832/sj_5tLwc_normal.jpg")</f>
        <v>https://pbs.twimg.com/profile_images/1655394188173688832/sj_5tLwc_normal.jpg</v>
      </c>
      <c r="G1051" s="63"/>
      <c r="H1051" s="67"/>
      <c r="I1051" s="68"/>
      <c r="J1051" s="68"/>
      <c r="K1051" s="67" t="s">
        <v>25985</v>
      </c>
      <c r="L1051" s="71"/>
      <c r="M1051" s="72"/>
      <c r="N1051" s="72"/>
      <c r="O1051" s="73"/>
      <c r="P1051" s="74"/>
      <c r="Q1051" s="74"/>
      <c r="R1051" s="86"/>
      <c r="S1051" s="86"/>
      <c r="T1051" s="86"/>
      <c r="U1051" s="86"/>
      <c r="V1051" s="48"/>
      <c r="W1051" s="48"/>
      <c r="X1051" s="48"/>
      <c r="Y1051" s="48"/>
      <c r="Z1051" s="47"/>
      <c r="AA1051" s="69">
        <v>1051</v>
      </c>
      <c r="AB1051" s="69"/>
      <c r="AC1051" s="70"/>
      <c r="AD1051" s="76" t="s">
        <v>22840</v>
      </c>
      <c r="AE1051" s="81" t="s">
        <v>21768</v>
      </c>
      <c r="AF1051" s="76">
        <v>5</v>
      </c>
      <c r="AG1051" s="76">
        <v>1</v>
      </c>
      <c r="AH1051" s="76">
        <v>230</v>
      </c>
      <c r="AI1051" s="76">
        <v>0</v>
      </c>
      <c r="AJ1051" s="76">
        <v>496</v>
      </c>
      <c r="AK1051" s="76">
        <v>205</v>
      </c>
      <c r="AL1051" s="76" t="b">
        <v>0</v>
      </c>
      <c r="AM1051" s="78">
        <v>44857.207372685189</v>
      </c>
      <c r="AN1051" s="76"/>
      <c r="AO1051" s="76" t="s">
        <v>22159</v>
      </c>
      <c r="AP1051" s="76"/>
      <c r="AQ1051" s="76"/>
      <c r="AR1051" s="76"/>
      <c r="AS1051" s="76"/>
      <c r="AT1051" s="76"/>
      <c r="AU1051" s="76"/>
      <c r="AV1051" s="76"/>
      <c r="AW1051" s="76"/>
      <c r="AX1051" s="76" t="b">
        <v>0</v>
      </c>
      <c r="AY1051" s="76"/>
      <c r="AZ1051" s="76"/>
      <c r="BA1051" s="76" t="b">
        <v>0</v>
      </c>
      <c r="BB1051" s="76" t="b">
        <v>1</v>
      </c>
      <c r="BC1051" s="76" t="b">
        <v>1</v>
      </c>
      <c r="BD1051" s="76" t="b">
        <v>0</v>
      </c>
      <c r="BE1051" s="76" t="b">
        <v>0</v>
      </c>
      <c r="BF1051" s="76" t="b">
        <v>0</v>
      </c>
      <c r="BG1051" s="76" t="b">
        <v>0</v>
      </c>
      <c r="BH1051" s="83" t="str">
        <f>HYPERLINK("https://pbs.twimg.com/profile_banners/1584046410026176512/1683511705")</f>
        <v>https://pbs.twimg.com/profile_banners/1584046410026176512/1683511705</v>
      </c>
      <c r="BI1051" s="76"/>
      <c r="BJ1051" s="76" t="s">
        <v>24935</v>
      </c>
      <c r="BK1051" s="76" t="b">
        <v>0</v>
      </c>
      <c r="BL1051" s="76"/>
      <c r="BM1051" s="76" t="s">
        <v>66</v>
      </c>
      <c r="BN1051" s="76" t="s">
        <v>24937</v>
      </c>
      <c r="BO1051" s="83" t="str">
        <f>HYPERLINK("https://twitter.com/dangerkillerxd")</f>
        <v>https://twitter.com/dangerkillerxd</v>
      </c>
      <c r="BP1051" s="2"/>
    </row>
    <row r="1052" spans="1:68" x14ac:dyDescent="0.25">
      <c r="A1052" s="62" t="s">
        <v>1229</v>
      </c>
      <c r="B1052" s="63"/>
      <c r="C1052" s="63"/>
      <c r="D1052" s="64"/>
      <c r="E1052" s="66"/>
      <c r="F1052" s="102" t="str">
        <f>HYPERLINK("https://pbs.twimg.com/profile_images/1598376761087205376/Ql4jo8GB_normal.jpg")</f>
        <v>https://pbs.twimg.com/profile_images/1598376761087205376/Ql4jo8GB_normal.jpg</v>
      </c>
      <c r="G1052" s="63"/>
      <c r="H1052" s="67"/>
      <c r="I1052" s="68"/>
      <c r="J1052" s="68"/>
      <c r="K1052" s="67" t="s">
        <v>25986</v>
      </c>
      <c r="L1052" s="71"/>
      <c r="M1052" s="72"/>
      <c r="N1052" s="72"/>
      <c r="O1052" s="73"/>
      <c r="P1052" s="74"/>
      <c r="Q1052" s="74"/>
      <c r="R1052" s="86"/>
      <c r="S1052" s="86"/>
      <c r="T1052" s="86"/>
      <c r="U1052" s="86"/>
      <c r="V1052" s="48"/>
      <c r="W1052" s="48"/>
      <c r="X1052" s="48"/>
      <c r="Y1052" s="48"/>
      <c r="Z1052" s="47"/>
      <c r="AA1052" s="69">
        <v>1052</v>
      </c>
      <c r="AB1052" s="69"/>
      <c r="AC1052" s="70"/>
      <c r="AD1052" s="76" t="s">
        <v>22841</v>
      </c>
      <c r="AE1052" s="81" t="s">
        <v>21769</v>
      </c>
      <c r="AF1052" s="76">
        <v>61</v>
      </c>
      <c r="AG1052" s="76">
        <v>58</v>
      </c>
      <c r="AH1052" s="76">
        <v>110</v>
      </c>
      <c r="AI1052" s="76">
        <v>0</v>
      </c>
      <c r="AJ1052" s="76">
        <v>239</v>
      </c>
      <c r="AK1052" s="76">
        <v>18</v>
      </c>
      <c r="AL1052" s="76" t="b">
        <v>0</v>
      </c>
      <c r="AM1052" s="78">
        <v>44336.776030092595</v>
      </c>
      <c r="AN1052" s="76"/>
      <c r="AO1052" s="76" t="s">
        <v>24241</v>
      </c>
      <c r="AP1052" s="83" t="str">
        <f>HYPERLINK("https://t.co/I3P5z2BrDr")</f>
        <v>https://t.co/I3P5z2BrDr</v>
      </c>
      <c r="AQ1052" s="83" t="str">
        <f>HYPERLINK("https://wa.me/message/67U2HZ73RJAYO1")</f>
        <v>https://wa.me/message/67U2HZ73RJAYO1</v>
      </c>
      <c r="AR1052" s="76" t="s">
        <v>24822</v>
      </c>
      <c r="AS1052" s="76"/>
      <c r="AT1052" s="76"/>
      <c r="AU1052" s="76"/>
      <c r="AV1052" s="76">
        <v>1.5091490862173499E+18</v>
      </c>
      <c r="AW1052" s="83" t="str">
        <f>HYPERLINK("https://t.co/I3P5z2BrDr")</f>
        <v>https://t.co/I3P5z2BrDr</v>
      </c>
      <c r="AX1052" s="76" t="b">
        <v>0</v>
      </c>
      <c r="AY1052" s="76"/>
      <c r="AZ1052" s="76"/>
      <c r="BA1052" s="76" t="b">
        <v>1</v>
      </c>
      <c r="BB1052" s="76" t="b">
        <v>1</v>
      </c>
      <c r="BC1052" s="76" t="b">
        <v>1</v>
      </c>
      <c r="BD1052" s="76" t="b">
        <v>0</v>
      </c>
      <c r="BE1052" s="76" t="b">
        <v>0</v>
      </c>
      <c r="BF1052" s="76" t="b">
        <v>0</v>
      </c>
      <c r="BG1052" s="76" t="b">
        <v>0</v>
      </c>
      <c r="BH1052" s="76"/>
      <c r="BI1052" s="76"/>
      <c r="BJ1052" s="76" t="s">
        <v>24935</v>
      </c>
      <c r="BK1052" s="76" t="b">
        <v>0</v>
      </c>
      <c r="BL1052" s="76"/>
      <c r="BM1052" s="76" t="s">
        <v>66</v>
      </c>
      <c r="BN1052" s="76" t="s">
        <v>24937</v>
      </c>
      <c r="BO1052" s="83" t="str">
        <f>HYPERLINK("https://twitter.com/camgirllivu")</f>
        <v>https://twitter.com/camgirllivu</v>
      </c>
      <c r="BP1052" s="2"/>
    </row>
    <row r="1053" spans="1:68" x14ac:dyDescent="0.25">
      <c r="A1053" s="62" t="s">
        <v>1230</v>
      </c>
      <c r="B1053" s="63"/>
      <c r="C1053" s="63"/>
      <c r="D1053" s="64"/>
      <c r="E1053" s="66"/>
      <c r="F1053" s="102" t="str">
        <f>HYPERLINK("https://pbs.twimg.com/profile_images/1686518960668225536/Qg3Udekc_normal.jpg")</f>
        <v>https://pbs.twimg.com/profile_images/1686518960668225536/Qg3Udekc_normal.jpg</v>
      </c>
      <c r="G1053" s="63"/>
      <c r="H1053" s="67"/>
      <c r="I1053" s="68"/>
      <c r="J1053" s="68"/>
      <c r="K1053" s="67" t="s">
        <v>25987</v>
      </c>
      <c r="L1053" s="71"/>
      <c r="M1053" s="72"/>
      <c r="N1053" s="72"/>
      <c r="O1053" s="73"/>
      <c r="P1053" s="74"/>
      <c r="Q1053" s="74"/>
      <c r="R1053" s="86"/>
      <c r="S1053" s="86"/>
      <c r="T1053" s="86"/>
      <c r="U1053" s="86"/>
      <c r="V1053" s="48"/>
      <c r="W1053" s="48"/>
      <c r="X1053" s="48"/>
      <c r="Y1053" s="48"/>
      <c r="Z1053" s="47"/>
      <c r="AA1053" s="69">
        <v>1053</v>
      </c>
      <c r="AB1053" s="69"/>
      <c r="AC1053" s="70"/>
      <c r="AD1053" s="76" t="s">
        <v>22842</v>
      </c>
      <c r="AE1053" s="81" t="s">
        <v>21770</v>
      </c>
      <c r="AF1053" s="76">
        <v>27</v>
      </c>
      <c r="AG1053" s="76">
        <v>133</v>
      </c>
      <c r="AH1053" s="76">
        <v>852</v>
      </c>
      <c r="AI1053" s="76">
        <v>0</v>
      </c>
      <c r="AJ1053" s="76">
        <v>7858</v>
      </c>
      <c r="AK1053" s="76">
        <v>81</v>
      </c>
      <c r="AL1053" s="76" t="b">
        <v>0</v>
      </c>
      <c r="AM1053" s="78">
        <v>43558.943078703705</v>
      </c>
      <c r="AN1053" s="76" t="s">
        <v>23342</v>
      </c>
      <c r="AO1053" s="76" t="s">
        <v>24242</v>
      </c>
      <c r="AP1053" s="83" t="str">
        <f>HYPERLINK("https://t.co/BE2wI9UI6V")</f>
        <v>https://t.co/BE2wI9UI6V</v>
      </c>
      <c r="AQ1053" s="83" t="str">
        <f>HYPERLINK("https://www.instagram.com/bbarbarasantos")</f>
        <v>https://www.instagram.com/bbarbarasantos</v>
      </c>
      <c r="AR1053" s="76" t="s">
        <v>24823</v>
      </c>
      <c r="AS1053" s="76"/>
      <c r="AT1053" s="76"/>
      <c r="AU1053" s="76"/>
      <c r="AV1053" s="76"/>
      <c r="AW1053" s="83" t="str">
        <f>HYPERLINK("https://t.co/BE2wI9UI6V")</f>
        <v>https://t.co/BE2wI9UI6V</v>
      </c>
      <c r="AX1053" s="76" t="b">
        <v>0</v>
      </c>
      <c r="AY1053" s="76"/>
      <c r="AZ1053" s="76"/>
      <c r="BA1053" s="76" t="b">
        <v>0</v>
      </c>
      <c r="BB1053" s="76" t="b">
        <v>1</v>
      </c>
      <c r="BC1053" s="76" t="b">
        <v>1</v>
      </c>
      <c r="BD1053" s="76" t="b">
        <v>0</v>
      </c>
      <c r="BE1053" s="76" t="b">
        <v>1</v>
      </c>
      <c r="BF1053" s="76" t="b">
        <v>0</v>
      </c>
      <c r="BG1053" s="76" t="b">
        <v>0</v>
      </c>
      <c r="BH1053" s="83" t="str">
        <f>HYPERLINK("https://pbs.twimg.com/profile_banners/1113571388181368833/1627571133")</f>
        <v>https://pbs.twimg.com/profile_banners/1113571388181368833/1627571133</v>
      </c>
      <c r="BI1053" s="76"/>
      <c r="BJ1053" s="76" t="s">
        <v>24935</v>
      </c>
      <c r="BK1053" s="76" t="b">
        <v>0</v>
      </c>
      <c r="BL1053" s="76"/>
      <c r="BM1053" s="76" t="s">
        <v>66</v>
      </c>
      <c r="BN1053" s="76" t="s">
        <v>24937</v>
      </c>
      <c r="BO1053" s="83" t="str">
        <f>HYPERLINK("https://twitter.com/bbarbaraasantos")</f>
        <v>https://twitter.com/bbarbaraasantos</v>
      </c>
      <c r="BP1053" s="2"/>
    </row>
    <row r="1054" spans="1:68" x14ac:dyDescent="0.25">
      <c r="A1054" s="62" t="s">
        <v>1231</v>
      </c>
      <c r="B1054" s="63"/>
      <c r="C1054" s="63"/>
      <c r="D1054" s="64"/>
      <c r="E1054" s="66"/>
      <c r="F1054" s="102" t="str">
        <f>HYPERLINK("https://pbs.twimg.com/profile_images/1442858031692255232/Scyzd8pN_normal.jpg")</f>
        <v>https://pbs.twimg.com/profile_images/1442858031692255232/Scyzd8pN_normal.jpg</v>
      </c>
      <c r="G1054" s="63"/>
      <c r="H1054" s="67"/>
      <c r="I1054" s="68"/>
      <c r="J1054" s="68"/>
      <c r="K1054" s="67" t="s">
        <v>25988</v>
      </c>
      <c r="L1054" s="71"/>
      <c r="M1054" s="72"/>
      <c r="N1054" s="72"/>
      <c r="O1054" s="73"/>
      <c r="P1054" s="74"/>
      <c r="Q1054" s="74"/>
      <c r="R1054" s="86"/>
      <c r="S1054" s="86"/>
      <c r="T1054" s="86"/>
      <c r="U1054" s="86"/>
      <c r="V1054" s="48"/>
      <c r="W1054" s="48"/>
      <c r="X1054" s="48"/>
      <c r="Y1054" s="48"/>
      <c r="Z1054" s="47"/>
      <c r="AA1054" s="69">
        <v>1054</v>
      </c>
      <c r="AB1054" s="69"/>
      <c r="AC1054" s="70"/>
      <c r="AD1054" s="76" t="s">
        <v>22843</v>
      </c>
      <c r="AE1054" s="81" t="s">
        <v>23074</v>
      </c>
      <c r="AF1054" s="76">
        <v>4238</v>
      </c>
      <c r="AG1054" s="76">
        <v>0</v>
      </c>
      <c r="AH1054" s="76">
        <v>9659</v>
      </c>
      <c r="AI1054" s="76">
        <v>78</v>
      </c>
      <c r="AJ1054" s="76">
        <v>16</v>
      </c>
      <c r="AK1054" s="76">
        <v>324</v>
      </c>
      <c r="AL1054" s="76" t="b">
        <v>0</v>
      </c>
      <c r="AM1054" s="78">
        <v>39992.96802083333</v>
      </c>
      <c r="AN1054" s="76" t="s">
        <v>23115</v>
      </c>
      <c r="AO1054" s="76" t="s">
        <v>24243</v>
      </c>
      <c r="AP1054" s="83" t="str">
        <f>HYPERLINK("https://t.co/FudAmev5aI")</f>
        <v>https://t.co/FudAmev5aI</v>
      </c>
      <c r="AQ1054" s="83" t="str">
        <f>HYPERLINK("https://www.pinkfire.com.br/")</f>
        <v>https://www.pinkfire.com.br/</v>
      </c>
      <c r="AR1054" s="76" t="s">
        <v>24824</v>
      </c>
      <c r="AS1054" s="76"/>
      <c r="AT1054" s="76"/>
      <c r="AU1054" s="76"/>
      <c r="AV1054" s="76"/>
      <c r="AW1054" s="83" t="str">
        <f>HYPERLINK("https://t.co/FudAmev5aI")</f>
        <v>https://t.co/FudAmev5aI</v>
      </c>
      <c r="AX1054" s="76" t="b">
        <v>0</v>
      </c>
      <c r="AY1054" s="76"/>
      <c r="AZ1054" s="76"/>
      <c r="BA1054" s="76" t="b">
        <v>0</v>
      </c>
      <c r="BB1054" s="76" t="b">
        <v>1</v>
      </c>
      <c r="BC1054" s="76" t="b">
        <v>0</v>
      </c>
      <c r="BD1054" s="76" t="b">
        <v>0</v>
      </c>
      <c r="BE1054" s="76" t="b">
        <v>0</v>
      </c>
      <c r="BF1054" s="76" t="b">
        <v>0</v>
      </c>
      <c r="BG1054" s="76" t="b">
        <v>0</v>
      </c>
      <c r="BH1054" s="83" t="str">
        <f>HYPERLINK("https://pbs.twimg.com/profile_banners/51877675/1632839137")</f>
        <v>https://pbs.twimg.com/profile_banners/51877675/1632839137</v>
      </c>
      <c r="BI1054" s="76"/>
      <c r="BJ1054" s="76" t="s">
        <v>24935</v>
      </c>
      <c r="BK1054" s="76" t="b">
        <v>0</v>
      </c>
      <c r="BL1054" s="76"/>
      <c r="BM1054" s="76" t="s">
        <v>66</v>
      </c>
      <c r="BN1054" s="76" t="s">
        <v>24937</v>
      </c>
      <c r="BO1054" s="83" t="str">
        <f>HYPERLINK("https://twitter.com/pinkfirebr")</f>
        <v>https://twitter.com/pinkfirebr</v>
      </c>
      <c r="BP1054" s="2"/>
    </row>
    <row r="1055" spans="1:68" x14ac:dyDescent="0.25">
      <c r="A1055" s="62" t="s">
        <v>1232</v>
      </c>
      <c r="B1055" s="63"/>
      <c r="C1055" s="63"/>
      <c r="D1055" s="64"/>
      <c r="E1055" s="66"/>
      <c r="F1055" s="102" t="str">
        <f>HYPERLINK("https://pbs.twimg.com/profile_images/1614006927838642177/bk9xsxHf_normal.jpg")</f>
        <v>https://pbs.twimg.com/profile_images/1614006927838642177/bk9xsxHf_normal.jpg</v>
      </c>
      <c r="G1055" s="63"/>
      <c r="H1055" s="67"/>
      <c r="I1055" s="68"/>
      <c r="J1055" s="68"/>
      <c r="K1055" s="67" t="s">
        <v>25989</v>
      </c>
      <c r="L1055" s="71"/>
      <c r="M1055" s="72"/>
      <c r="N1055" s="72"/>
      <c r="O1055" s="73"/>
      <c r="P1055" s="74"/>
      <c r="Q1055" s="74"/>
      <c r="R1055" s="86"/>
      <c r="S1055" s="86"/>
      <c r="T1055" s="86"/>
      <c r="U1055" s="86"/>
      <c r="V1055" s="48"/>
      <c r="W1055" s="48"/>
      <c r="X1055" s="48"/>
      <c r="Y1055" s="48"/>
      <c r="Z1055" s="47"/>
      <c r="AA1055" s="69">
        <v>1055</v>
      </c>
      <c r="AB1055" s="69"/>
      <c r="AC1055" s="70"/>
      <c r="AD1055" s="76" t="s">
        <v>22844</v>
      </c>
      <c r="AE1055" s="81" t="s">
        <v>21771</v>
      </c>
      <c r="AF1055" s="76">
        <v>72</v>
      </c>
      <c r="AG1055" s="76">
        <v>68</v>
      </c>
      <c r="AH1055" s="76">
        <v>170</v>
      </c>
      <c r="AI1055" s="76">
        <v>0</v>
      </c>
      <c r="AJ1055" s="76">
        <v>142</v>
      </c>
      <c r="AK1055" s="76">
        <v>67</v>
      </c>
      <c r="AL1055" s="76" t="b">
        <v>0</v>
      </c>
      <c r="AM1055" s="78">
        <v>44939.869803240741</v>
      </c>
      <c r="AN1055" s="76"/>
      <c r="AO1055" s="76" t="s">
        <v>24244</v>
      </c>
      <c r="AP1055" s="83" t="str">
        <f>HYPERLINK("https://t.co/EghruNTqz7")</f>
        <v>https://t.co/EghruNTqz7</v>
      </c>
      <c r="AQ1055" s="83" t="str">
        <f>HYPERLINK("https://acerto.com.br/")</f>
        <v>https://acerto.com.br/</v>
      </c>
      <c r="AR1055" s="76" t="s">
        <v>24825</v>
      </c>
      <c r="AS1055" s="76"/>
      <c r="AT1055" s="76"/>
      <c r="AU1055" s="76"/>
      <c r="AV1055" s="76"/>
      <c r="AW1055" s="83" t="str">
        <f>HYPERLINK("https://t.co/EghruNTqz7")</f>
        <v>https://t.co/EghruNTqz7</v>
      </c>
      <c r="AX1055" s="76" t="b">
        <v>0</v>
      </c>
      <c r="AY1055" s="76"/>
      <c r="AZ1055" s="76"/>
      <c r="BA1055" s="76" t="b">
        <v>0</v>
      </c>
      <c r="BB1055" s="76" t="b">
        <v>1</v>
      </c>
      <c r="BC1055" s="76" t="b">
        <v>1</v>
      </c>
      <c r="BD1055" s="76" t="b">
        <v>0</v>
      </c>
      <c r="BE1055" s="76" t="b">
        <v>0</v>
      </c>
      <c r="BF1055" s="76" t="b">
        <v>0</v>
      </c>
      <c r="BG1055" s="76" t="b">
        <v>0</v>
      </c>
      <c r="BH1055" s="83" t="str">
        <f>HYPERLINK("https://pbs.twimg.com/profile_banners/1614002412309696530/1693576555")</f>
        <v>https://pbs.twimg.com/profile_banners/1614002412309696530/1693576555</v>
      </c>
      <c r="BI1055" s="76"/>
      <c r="BJ1055" s="76" t="s">
        <v>24935</v>
      </c>
      <c r="BK1055" s="76" t="b">
        <v>0</v>
      </c>
      <c r="BL1055" s="76"/>
      <c r="BM1055" s="76" t="s">
        <v>66</v>
      </c>
      <c r="BN1055" s="76" t="s">
        <v>24937</v>
      </c>
      <c r="BO1055" s="83" t="str">
        <f>HYPERLINK("https://twitter.com/acerto_negocie")</f>
        <v>https://twitter.com/acerto_negocie</v>
      </c>
      <c r="BP1055" s="2"/>
    </row>
    <row r="1056" spans="1:68" x14ac:dyDescent="0.25">
      <c r="A1056" s="62" t="s">
        <v>1233</v>
      </c>
      <c r="B1056" s="63"/>
      <c r="C1056" s="63"/>
      <c r="D1056" s="64"/>
      <c r="E1056" s="66"/>
      <c r="F1056" s="102" t="str">
        <f>HYPERLINK("https://pbs.twimg.com/profile_images/1377295257457545225/UqOn31Sl_normal.jpg")</f>
        <v>https://pbs.twimg.com/profile_images/1377295257457545225/UqOn31Sl_normal.jpg</v>
      </c>
      <c r="G1056" s="63"/>
      <c r="H1056" s="67"/>
      <c r="I1056" s="68"/>
      <c r="J1056" s="68"/>
      <c r="K1056" s="67" t="s">
        <v>25990</v>
      </c>
      <c r="L1056" s="71"/>
      <c r="M1056" s="72"/>
      <c r="N1056" s="72"/>
      <c r="O1056" s="73"/>
      <c r="P1056" s="74"/>
      <c r="Q1056" s="74"/>
      <c r="R1056" s="86"/>
      <c r="S1056" s="86"/>
      <c r="T1056" s="86"/>
      <c r="U1056" s="86"/>
      <c r="V1056" s="48"/>
      <c r="W1056" s="48"/>
      <c r="X1056" s="48"/>
      <c r="Y1056" s="48"/>
      <c r="Z1056" s="47"/>
      <c r="AA1056" s="69">
        <v>1056</v>
      </c>
      <c r="AB1056" s="69"/>
      <c r="AC1056" s="70"/>
      <c r="AD1056" s="76" t="s">
        <v>22845</v>
      </c>
      <c r="AE1056" s="81" t="s">
        <v>23075</v>
      </c>
      <c r="AF1056" s="76">
        <v>279</v>
      </c>
      <c r="AG1056" s="76">
        <v>33</v>
      </c>
      <c r="AH1056" s="76">
        <v>1215</v>
      </c>
      <c r="AI1056" s="76">
        <v>5</v>
      </c>
      <c r="AJ1056" s="76">
        <v>57</v>
      </c>
      <c r="AK1056" s="76">
        <v>52</v>
      </c>
      <c r="AL1056" s="76" t="b">
        <v>0</v>
      </c>
      <c r="AM1056" s="78">
        <v>40085.850266203706</v>
      </c>
      <c r="AN1056" s="76" t="s">
        <v>14033</v>
      </c>
      <c r="AO1056" s="76" t="s">
        <v>24245</v>
      </c>
      <c r="AP1056" s="76"/>
      <c r="AQ1056" s="76"/>
      <c r="AR1056" s="76"/>
      <c r="AS1056" s="76"/>
      <c r="AT1056" s="76"/>
      <c r="AU1056" s="76"/>
      <c r="AV1056" s="76"/>
      <c r="AW1056" s="76"/>
      <c r="AX1056" s="76" t="b">
        <v>0</v>
      </c>
      <c r="AY1056" s="76"/>
      <c r="AZ1056" s="76"/>
      <c r="BA1056" s="76" t="b">
        <v>1</v>
      </c>
      <c r="BB1056" s="76" t="b">
        <v>1</v>
      </c>
      <c r="BC1056" s="76" t="b">
        <v>0</v>
      </c>
      <c r="BD1056" s="76" t="b">
        <v>0</v>
      </c>
      <c r="BE1056" s="76" t="b">
        <v>0</v>
      </c>
      <c r="BF1056" s="76" t="b">
        <v>0</v>
      </c>
      <c r="BG1056" s="76" t="b">
        <v>0</v>
      </c>
      <c r="BH1056" s="83" t="str">
        <f>HYPERLINK("https://pbs.twimg.com/profile_banners/78406686/1455990682")</f>
        <v>https://pbs.twimg.com/profile_banners/78406686/1455990682</v>
      </c>
      <c r="BI1056" s="76"/>
      <c r="BJ1056" s="76" t="s">
        <v>24935</v>
      </c>
      <c r="BK1056" s="76" t="b">
        <v>0</v>
      </c>
      <c r="BL1056" s="76"/>
      <c r="BM1056" s="76" t="s">
        <v>66</v>
      </c>
      <c r="BN1056" s="76" t="s">
        <v>24937</v>
      </c>
      <c r="BO1056" s="83" t="str">
        <f>HYPERLINK("https://twitter.com/eugenionunes")</f>
        <v>https://twitter.com/eugenionunes</v>
      </c>
      <c r="BP1056" s="2"/>
    </row>
    <row r="1057" spans="1:68" x14ac:dyDescent="0.25">
      <c r="A1057" s="62" t="s">
        <v>1234</v>
      </c>
      <c r="B1057" s="63"/>
      <c r="C1057" s="63"/>
      <c r="D1057" s="64"/>
      <c r="E1057" s="66"/>
      <c r="F1057" s="102" t="str">
        <f>HYPERLINK("https://pbs.twimg.com/profile_images/1628001017215295489/NLPVeLg1_normal.jpg")</f>
        <v>https://pbs.twimg.com/profile_images/1628001017215295489/NLPVeLg1_normal.jpg</v>
      </c>
      <c r="G1057" s="63"/>
      <c r="H1057" s="67"/>
      <c r="I1057" s="68"/>
      <c r="J1057" s="68"/>
      <c r="K1057" s="67" t="s">
        <v>25991</v>
      </c>
      <c r="L1057" s="71"/>
      <c r="M1057" s="72"/>
      <c r="N1057" s="72"/>
      <c r="O1057" s="73"/>
      <c r="P1057" s="74"/>
      <c r="Q1057" s="74"/>
      <c r="R1057" s="86"/>
      <c r="S1057" s="86"/>
      <c r="T1057" s="86"/>
      <c r="U1057" s="86"/>
      <c r="V1057" s="48"/>
      <c r="W1057" s="48"/>
      <c r="X1057" s="48"/>
      <c r="Y1057" s="48"/>
      <c r="Z1057" s="47"/>
      <c r="AA1057" s="69">
        <v>1057</v>
      </c>
      <c r="AB1057" s="69"/>
      <c r="AC1057" s="70"/>
      <c r="AD1057" s="76" t="s">
        <v>22846</v>
      </c>
      <c r="AE1057" s="81" t="s">
        <v>21772</v>
      </c>
      <c r="AF1057" s="76">
        <v>3</v>
      </c>
      <c r="AG1057" s="76">
        <v>6</v>
      </c>
      <c r="AH1057" s="76">
        <v>6</v>
      </c>
      <c r="AI1057" s="76">
        <v>0</v>
      </c>
      <c r="AJ1057" s="76">
        <v>6</v>
      </c>
      <c r="AK1057" s="76">
        <v>5</v>
      </c>
      <c r="AL1057" s="76" t="b">
        <v>0</v>
      </c>
      <c r="AM1057" s="78">
        <v>44978.492071759261</v>
      </c>
      <c r="AN1057" s="76" t="s">
        <v>23343</v>
      </c>
      <c r="AO1057" s="76" t="s">
        <v>24246</v>
      </c>
      <c r="AP1057" s="76"/>
      <c r="AQ1057" s="76"/>
      <c r="AR1057" s="76"/>
      <c r="AS1057" s="76"/>
      <c r="AT1057" s="76"/>
      <c r="AU1057" s="76"/>
      <c r="AV1057" s="76"/>
      <c r="AW1057" s="76"/>
      <c r="AX1057" s="76" t="b">
        <v>0</v>
      </c>
      <c r="AY1057" s="76"/>
      <c r="AZ1057" s="76"/>
      <c r="BA1057" s="76" t="b">
        <v>0</v>
      </c>
      <c r="BB1057" s="76" t="b">
        <v>1</v>
      </c>
      <c r="BC1057" s="76" t="b">
        <v>1</v>
      </c>
      <c r="BD1057" s="76" t="b">
        <v>0</v>
      </c>
      <c r="BE1057" s="76" t="b">
        <v>0</v>
      </c>
      <c r="BF1057" s="76" t="b">
        <v>0</v>
      </c>
      <c r="BG1057" s="76" t="b">
        <v>0</v>
      </c>
      <c r="BH1057" s="83" t="str">
        <f>HYPERLINK("https://pbs.twimg.com/profile_banners/1627998638147309570/1676980665")</f>
        <v>https://pbs.twimg.com/profile_banners/1627998638147309570/1676980665</v>
      </c>
      <c r="BI1057" s="76"/>
      <c r="BJ1057" s="76" t="s">
        <v>24935</v>
      </c>
      <c r="BK1057" s="76" t="b">
        <v>0</v>
      </c>
      <c r="BL1057" s="76"/>
      <c r="BM1057" s="76" t="s">
        <v>66</v>
      </c>
      <c r="BN1057" s="76" t="s">
        <v>24937</v>
      </c>
      <c r="BO1057" s="83" t="str">
        <f>HYPERLINK("https://twitter.com/limpetasa")</f>
        <v>https://twitter.com/limpetasa</v>
      </c>
      <c r="BP1057" s="2"/>
    </row>
    <row r="1058" spans="1:68" x14ac:dyDescent="0.25">
      <c r="A1058" s="62" t="s">
        <v>1235</v>
      </c>
      <c r="B1058" s="63"/>
      <c r="C1058" s="63"/>
      <c r="D1058" s="64"/>
      <c r="E1058" s="66"/>
      <c r="F1058" s="102" t="str">
        <f>HYPERLINK("https://pbs.twimg.com/profile_images/1630586413845454850/d4JSksl3_normal.jpg")</f>
        <v>https://pbs.twimg.com/profile_images/1630586413845454850/d4JSksl3_normal.jpg</v>
      </c>
      <c r="G1058" s="63"/>
      <c r="H1058" s="67"/>
      <c r="I1058" s="68"/>
      <c r="J1058" s="68"/>
      <c r="K1058" s="67" t="s">
        <v>25992</v>
      </c>
      <c r="L1058" s="71"/>
      <c r="M1058" s="72"/>
      <c r="N1058" s="72"/>
      <c r="O1058" s="73"/>
      <c r="P1058" s="74"/>
      <c r="Q1058" s="74"/>
      <c r="R1058" s="86"/>
      <c r="S1058" s="86"/>
      <c r="T1058" s="86"/>
      <c r="U1058" s="86"/>
      <c r="V1058" s="48"/>
      <c r="W1058" s="48"/>
      <c r="X1058" s="48"/>
      <c r="Y1058" s="48"/>
      <c r="Z1058" s="47"/>
      <c r="AA1058" s="69">
        <v>1058</v>
      </c>
      <c r="AB1058" s="69"/>
      <c r="AC1058" s="70"/>
      <c r="AD1058" s="76" t="s">
        <v>22847</v>
      </c>
      <c r="AE1058" s="81" t="s">
        <v>21773</v>
      </c>
      <c r="AF1058" s="76">
        <v>4</v>
      </c>
      <c r="AG1058" s="76">
        <v>15</v>
      </c>
      <c r="AH1058" s="76">
        <v>45</v>
      </c>
      <c r="AI1058" s="76">
        <v>0</v>
      </c>
      <c r="AJ1058" s="76">
        <v>10</v>
      </c>
      <c r="AK1058" s="76">
        <v>38</v>
      </c>
      <c r="AL1058" s="76" t="b">
        <v>0</v>
      </c>
      <c r="AM1058" s="78">
        <v>44965.871805555558</v>
      </c>
      <c r="AN1058" s="76"/>
      <c r="AO1058" s="76" t="s">
        <v>24247</v>
      </c>
      <c r="AP1058" s="76"/>
      <c r="AQ1058" s="76"/>
      <c r="AR1058" s="76"/>
      <c r="AS1058" s="76"/>
      <c r="AT1058" s="76"/>
      <c r="AU1058" s="76"/>
      <c r="AV1058" s="76"/>
      <c r="AW1058" s="76"/>
      <c r="AX1058" s="76" t="b">
        <v>0</v>
      </c>
      <c r="AY1058" s="76"/>
      <c r="AZ1058" s="76"/>
      <c r="BA1058" s="76" t="b">
        <v>0</v>
      </c>
      <c r="BB1058" s="76" t="b">
        <v>1</v>
      </c>
      <c r="BC1058" s="76" t="b">
        <v>1</v>
      </c>
      <c r="BD1058" s="76" t="b">
        <v>0</v>
      </c>
      <c r="BE1058" s="76" t="b">
        <v>0</v>
      </c>
      <c r="BF1058" s="76" t="b">
        <v>0</v>
      </c>
      <c r="BG1058" s="76" t="b">
        <v>0</v>
      </c>
      <c r="BH1058" s="83" t="str">
        <f>HYPERLINK("https://pbs.twimg.com/profile_banners/1623425175277518850/1675890082")</f>
        <v>https://pbs.twimg.com/profile_banners/1623425175277518850/1675890082</v>
      </c>
      <c r="BI1058" s="76"/>
      <c r="BJ1058" s="76" t="s">
        <v>24935</v>
      </c>
      <c r="BK1058" s="76" t="b">
        <v>0</v>
      </c>
      <c r="BL1058" s="76"/>
      <c r="BM1058" s="76" t="s">
        <v>66</v>
      </c>
      <c r="BN1058" s="76" t="s">
        <v>24937</v>
      </c>
      <c r="BO1058" s="83" t="str">
        <f>HYPERLINK("https://twitter.com/deixaqueeuteco1")</f>
        <v>https://twitter.com/deixaqueeuteco1</v>
      </c>
      <c r="BP1058" s="2"/>
    </row>
    <row r="1059" spans="1:68" x14ac:dyDescent="0.25">
      <c r="A1059" s="62" t="s">
        <v>1236</v>
      </c>
      <c r="B1059" s="63"/>
      <c r="C1059" s="63"/>
      <c r="D1059" s="64"/>
      <c r="E1059" s="66"/>
      <c r="F1059" s="102" t="str">
        <f>HYPERLINK("https://pbs.twimg.com/profile_images/1503380751831773191/zcG729SG_normal.jpg")</f>
        <v>https://pbs.twimg.com/profile_images/1503380751831773191/zcG729SG_normal.jpg</v>
      </c>
      <c r="G1059" s="63"/>
      <c r="H1059" s="67"/>
      <c r="I1059" s="68"/>
      <c r="J1059" s="68"/>
      <c r="K1059" s="67" t="s">
        <v>25993</v>
      </c>
      <c r="L1059" s="71"/>
      <c r="M1059" s="72"/>
      <c r="N1059" s="72"/>
      <c r="O1059" s="73"/>
      <c r="P1059" s="74"/>
      <c r="Q1059" s="74"/>
      <c r="R1059" s="86"/>
      <c r="S1059" s="86"/>
      <c r="T1059" s="86"/>
      <c r="U1059" s="86"/>
      <c r="V1059" s="48"/>
      <c r="W1059" s="48"/>
      <c r="X1059" s="48"/>
      <c r="Y1059" s="48"/>
      <c r="Z1059" s="47"/>
      <c r="AA1059" s="69">
        <v>1059</v>
      </c>
      <c r="AB1059" s="69"/>
      <c r="AC1059" s="70"/>
      <c r="AD1059" s="76" t="s">
        <v>22848</v>
      </c>
      <c r="AE1059" s="81" t="s">
        <v>21774</v>
      </c>
      <c r="AF1059" s="76">
        <v>7</v>
      </c>
      <c r="AG1059" s="76">
        <v>1</v>
      </c>
      <c r="AH1059" s="76">
        <v>434</v>
      </c>
      <c r="AI1059" s="76">
        <v>0</v>
      </c>
      <c r="AJ1059" s="76">
        <v>1</v>
      </c>
      <c r="AK1059" s="76">
        <v>8</v>
      </c>
      <c r="AL1059" s="76" t="b">
        <v>0</v>
      </c>
      <c r="AM1059" s="78">
        <v>44634.604884259257</v>
      </c>
      <c r="AN1059" s="76"/>
      <c r="AO1059" s="76" t="s">
        <v>24248</v>
      </c>
      <c r="AP1059" s="83" t="str">
        <f>HYPERLINK("https://t.co/aO4X66l3tV")</f>
        <v>https://t.co/aO4X66l3tV</v>
      </c>
      <c r="AQ1059" s="83" t="str">
        <f>HYPERLINK("https://financeone.com.br/")</f>
        <v>https://financeone.com.br/</v>
      </c>
      <c r="AR1059" s="76" t="s">
        <v>24826</v>
      </c>
      <c r="AS1059" s="76"/>
      <c r="AT1059" s="76"/>
      <c r="AU1059" s="76"/>
      <c r="AV1059" s="76"/>
      <c r="AW1059" s="83" t="str">
        <f>HYPERLINK("https://t.co/aO4X66l3tV")</f>
        <v>https://t.co/aO4X66l3tV</v>
      </c>
      <c r="AX1059" s="76" t="b">
        <v>0</v>
      </c>
      <c r="AY1059" s="76"/>
      <c r="AZ1059" s="76"/>
      <c r="BA1059" s="76" t="b">
        <v>0</v>
      </c>
      <c r="BB1059" s="76" t="b">
        <v>1</v>
      </c>
      <c r="BC1059" s="76" t="b">
        <v>1</v>
      </c>
      <c r="BD1059" s="76" t="b">
        <v>0</v>
      </c>
      <c r="BE1059" s="76" t="b">
        <v>0</v>
      </c>
      <c r="BF1059" s="76" t="b">
        <v>0</v>
      </c>
      <c r="BG1059" s="76" t="b">
        <v>0</v>
      </c>
      <c r="BH1059" s="83" t="str">
        <f>HYPERLINK("https://pbs.twimg.com/profile_banners/1503378048531501058/1647268878")</f>
        <v>https://pbs.twimg.com/profile_banners/1503378048531501058/1647268878</v>
      </c>
      <c r="BI1059" s="76"/>
      <c r="BJ1059" s="76" t="s">
        <v>24935</v>
      </c>
      <c r="BK1059" s="76" t="b">
        <v>0</v>
      </c>
      <c r="BL1059" s="76"/>
      <c r="BM1059" s="76" t="s">
        <v>66</v>
      </c>
      <c r="BN1059" s="76" t="s">
        <v>24937</v>
      </c>
      <c r="BO1059" s="83" t="str">
        <f>HYPERLINK("https://twitter.com/financeone_br")</f>
        <v>https://twitter.com/financeone_br</v>
      </c>
      <c r="BP1059" s="2"/>
    </row>
    <row r="1060" spans="1:68" x14ac:dyDescent="0.25">
      <c r="A1060" s="62" t="s">
        <v>1237</v>
      </c>
      <c r="B1060" s="63"/>
      <c r="C1060" s="63"/>
      <c r="D1060" s="64"/>
      <c r="E1060" s="66"/>
      <c r="F1060" s="102" t="str">
        <f>HYPERLINK("https://pbs.twimg.com/profile_images/1680567820231274497/oN5UIuSA_normal.jpg")</f>
        <v>https://pbs.twimg.com/profile_images/1680567820231274497/oN5UIuSA_normal.jpg</v>
      </c>
      <c r="G1060" s="63"/>
      <c r="H1060" s="67"/>
      <c r="I1060" s="68"/>
      <c r="J1060" s="68"/>
      <c r="K1060" s="67" t="s">
        <v>25994</v>
      </c>
      <c r="L1060" s="71"/>
      <c r="M1060" s="72"/>
      <c r="N1060" s="72"/>
      <c r="O1060" s="73"/>
      <c r="P1060" s="74"/>
      <c r="Q1060" s="74"/>
      <c r="R1060" s="86"/>
      <c r="S1060" s="86"/>
      <c r="T1060" s="86"/>
      <c r="U1060" s="86"/>
      <c r="V1060" s="48"/>
      <c r="W1060" s="48"/>
      <c r="X1060" s="48"/>
      <c r="Y1060" s="48"/>
      <c r="Z1060" s="47"/>
      <c r="AA1060" s="69">
        <v>1060</v>
      </c>
      <c r="AB1060" s="69"/>
      <c r="AC1060" s="70"/>
      <c r="AD1060" s="76" t="s">
        <v>22849</v>
      </c>
      <c r="AE1060" s="81" t="s">
        <v>21775</v>
      </c>
      <c r="AF1060" s="76">
        <v>4</v>
      </c>
      <c r="AG1060" s="76">
        <v>2</v>
      </c>
      <c r="AH1060" s="76">
        <v>36</v>
      </c>
      <c r="AI1060" s="76">
        <v>0</v>
      </c>
      <c r="AJ1060" s="76">
        <v>6</v>
      </c>
      <c r="AK1060" s="76">
        <v>19</v>
      </c>
      <c r="AL1060" s="76" t="b">
        <v>0</v>
      </c>
      <c r="AM1060" s="78">
        <v>45054.016481481478</v>
      </c>
      <c r="AN1060" s="76"/>
      <c r="AO1060" s="76" t="s">
        <v>24249</v>
      </c>
      <c r="AP1060" s="83" t="str">
        <f>HYPERLINK("https://t.co/8o5O4Tesej")</f>
        <v>https://t.co/8o5O4Tesej</v>
      </c>
      <c r="AQ1060" s="83" t="str">
        <f>HYPERLINK("https://bit.ly/RobosGratis")</f>
        <v>https://bit.ly/RobosGratis</v>
      </c>
      <c r="AR1060" s="76" t="s">
        <v>24827</v>
      </c>
      <c r="AS1060" s="76"/>
      <c r="AT1060" s="76"/>
      <c r="AU1060" s="76"/>
      <c r="AV1060" s="76"/>
      <c r="AW1060" s="83" t="str">
        <f>HYPERLINK("https://t.co/8o5O4Tesej")</f>
        <v>https://t.co/8o5O4Tesej</v>
      </c>
      <c r="AX1060" s="76" t="b">
        <v>0</v>
      </c>
      <c r="AY1060" s="76"/>
      <c r="AZ1060" s="76"/>
      <c r="BA1060" s="76" t="b">
        <v>0</v>
      </c>
      <c r="BB1060" s="76" t="b">
        <v>1</v>
      </c>
      <c r="BC1060" s="76" t="b">
        <v>1</v>
      </c>
      <c r="BD1060" s="76" t="b">
        <v>0</v>
      </c>
      <c r="BE1060" s="76" t="b">
        <v>0</v>
      </c>
      <c r="BF1060" s="76" t="b">
        <v>0</v>
      </c>
      <c r="BG1060" s="76" t="b">
        <v>0</v>
      </c>
      <c r="BH1060" s="83" t="str">
        <f>HYPERLINK("https://pbs.twimg.com/profile_banners/1655367774842003456/1689513568")</f>
        <v>https://pbs.twimg.com/profile_banners/1655367774842003456/1689513568</v>
      </c>
      <c r="BI1060" s="76"/>
      <c r="BJ1060" s="76" t="s">
        <v>24935</v>
      </c>
      <c r="BK1060" s="76" t="b">
        <v>0</v>
      </c>
      <c r="BL1060" s="76"/>
      <c r="BM1060" s="76" t="s">
        <v>66</v>
      </c>
      <c r="BN1060" s="76" t="s">
        <v>24937</v>
      </c>
      <c r="BO1060" s="83" t="str">
        <f>HYPERLINK("https://twitter.com/foconasapostas")</f>
        <v>https://twitter.com/foconasapostas</v>
      </c>
      <c r="BP1060" s="2"/>
    </row>
    <row r="1061" spans="1:68" x14ac:dyDescent="0.25">
      <c r="A1061" s="62" t="s">
        <v>1238</v>
      </c>
      <c r="B1061" s="63"/>
      <c r="C1061" s="63"/>
      <c r="D1061" s="64"/>
      <c r="E1061" s="66"/>
      <c r="F1061" s="102" t="str">
        <f>HYPERLINK("https://pbs.twimg.com/profile_images/1166710841196077056/wGMcOcbN_normal.jpg")</f>
        <v>https://pbs.twimg.com/profile_images/1166710841196077056/wGMcOcbN_normal.jpg</v>
      </c>
      <c r="G1061" s="63"/>
      <c r="H1061" s="67"/>
      <c r="I1061" s="68"/>
      <c r="J1061" s="68"/>
      <c r="K1061" s="67" t="s">
        <v>25995</v>
      </c>
      <c r="L1061" s="71"/>
      <c r="M1061" s="72"/>
      <c r="N1061" s="72"/>
      <c r="O1061" s="73"/>
      <c r="P1061" s="74"/>
      <c r="Q1061" s="74"/>
      <c r="R1061" s="86"/>
      <c r="S1061" s="86"/>
      <c r="T1061" s="86"/>
      <c r="U1061" s="86"/>
      <c r="V1061" s="48"/>
      <c r="W1061" s="48"/>
      <c r="X1061" s="48"/>
      <c r="Y1061" s="48"/>
      <c r="Z1061" s="47"/>
      <c r="AA1061" s="69">
        <v>1061</v>
      </c>
      <c r="AB1061" s="69"/>
      <c r="AC1061" s="70"/>
      <c r="AD1061" s="76" t="s">
        <v>22850</v>
      </c>
      <c r="AE1061" s="81" t="s">
        <v>23076</v>
      </c>
      <c r="AF1061" s="76">
        <v>642</v>
      </c>
      <c r="AG1061" s="76">
        <v>117</v>
      </c>
      <c r="AH1061" s="76">
        <v>6</v>
      </c>
      <c r="AI1061" s="76">
        <v>0</v>
      </c>
      <c r="AJ1061" s="76">
        <v>21</v>
      </c>
      <c r="AK1061" s="76">
        <v>0</v>
      </c>
      <c r="AL1061" s="76" t="b">
        <v>0</v>
      </c>
      <c r="AM1061" s="78">
        <v>41755.716956018521</v>
      </c>
      <c r="AN1061" s="76" t="s">
        <v>14044</v>
      </c>
      <c r="AO1061" s="76" t="s">
        <v>24250</v>
      </c>
      <c r="AP1061" s="83" t="str">
        <f>HYPERLINK("https://t.co/Qa08xrP85t")</f>
        <v>https://t.co/Qa08xrP85t</v>
      </c>
      <c r="AQ1061" s="83" t="str">
        <f>HYPERLINK("http://jaquecosta.com")</f>
        <v>http://jaquecosta.com</v>
      </c>
      <c r="AR1061" s="76" t="s">
        <v>24828</v>
      </c>
      <c r="AS1061" s="83" t="str">
        <f>HYPERLINK("https://t.co/NwJICN2aze")</f>
        <v>https://t.co/NwJICN2aze</v>
      </c>
      <c r="AT1061" s="83" t="str">
        <f>HYPERLINK("https://www.instagram.com/jaquelinecostareal/")</f>
        <v>https://www.instagram.com/jaquelinecostareal/</v>
      </c>
      <c r="AU1061" s="76" t="s">
        <v>24933</v>
      </c>
      <c r="AV1061" s="76"/>
      <c r="AW1061" s="83" t="str">
        <f>HYPERLINK("https://t.co/Qa08xrP85t")</f>
        <v>https://t.co/Qa08xrP85t</v>
      </c>
      <c r="AX1061" s="76" t="b">
        <v>0</v>
      </c>
      <c r="AY1061" s="76"/>
      <c r="AZ1061" s="76"/>
      <c r="BA1061" s="76" t="b">
        <v>0</v>
      </c>
      <c r="BB1061" s="76" t="b">
        <v>1</v>
      </c>
      <c r="BC1061" s="76" t="b">
        <v>0</v>
      </c>
      <c r="BD1061" s="76" t="b">
        <v>0</v>
      </c>
      <c r="BE1061" s="76" t="b">
        <v>0</v>
      </c>
      <c r="BF1061" s="76" t="b">
        <v>0</v>
      </c>
      <c r="BG1061" s="76" t="b">
        <v>0</v>
      </c>
      <c r="BH1061" s="83" t="str">
        <f>HYPERLINK("https://pbs.twimg.com/profile_banners/2464895096/1563476291")</f>
        <v>https://pbs.twimg.com/profile_banners/2464895096/1563476291</v>
      </c>
      <c r="BI1061" s="76"/>
      <c r="BJ1061" s="76" t="s">
        <v>24935</v>
      </c>
      <c r="BK1061" s="76" t="b">
        <v>0</v>
      </c>
      <c r="BL1061" s="76"/>
      <c r="BM1061" s="76" t="s">
        <v>66</v>
      </c>
      <c r="BN1061" s="76" t="s">
        <v>24937</v>
      </c>
      <c r="BO1061" s="83" t="str">
        <f>HYPERLINK("https://twitter.com/jaquecostareal")</f>
        <v>https://twitter.com/jaquecostareal</v>
      </c>
      <c r="BP1061" s="2"/>
    </row>
    <row r="1062" spans="1:68" x14ac:dyDescent="0.25">
      <c r="A1062" s="87" t="s">
        <v>1239</v>
      </c>
      <c r="B1062" s="88"/>
      <c r="C1062" s="88"/>
      <c r="D1062" s="89"/>
      <c r="E1062" s="90"/>
      <c r="F1062" s="103" t="str">
        <f>HYPERLINK("https://pbs.twimg.com/profile_images/1648835171230031874/A4_tx3AE_normal.jpg")</f>
        <v>https://pbs.twimg.com/profile_images/1648835171230031874/A4_tx3AE_normal.jpg</v>
      </c>
      <c r="G1062" s="88"/>
      <c r="H1062" s="91"/>
      <c r="I1062" s="92"/>
      <c r="J1062" s="92"/>
      <c r="K1062" s="91" t="s">
        <v>25996</v>
      </c>
      <c r="L1062" s="93"/>
      <c r="M1062" s="94"/>
      <c r="N1062" s="94"/>
      <c r="O1062" s="95"/>
      <c r="P1062" s="96"/>
      <c r="Q1062" s="96"/>
      <c r="R1062" s="97"/>
      <c r="S1062" s="97"/>
      <c r="T1062" s="97"/>
      <c r="U1062" s="97"/>
      <c r="V1062" s="98"/>
      <c r="W1062" s="98"/>
      <c r="X1062" s="98"/>
      <c r="Y1062" s="98"/>
      <c r="Z1062" s="99"/>
      <c r="AA1062" s="100">
        <v>1062</v>
      </c>
      <c r="AB1062" s="100"/>
      <c r="AC1062" s="101"/>
      <c r="AD1062" s="76" t="s">
        <v>22851</v>
      </c>
      <c r="AE1062" s="81" t="s">
        <v>20970</v>
      </c>
      <c r="AF1062" s="76">
        <v>6</v>
      </c>
      <c r="AG1062" s="76">
        <v>25</v>
      </c>
      <c r="AH1062" s="76">
        <v>19</v>
      </c>
      <c r="AI1062" s="76">
        <v>0</v>
      </c>
      <c r="AJ1062" s="76">
        <v>11</v>
      </c>
      <c r="AK1062" s="76">
        <v>3</v>
      </c>
      <c r="AL1062" s="76" t="b">
        <v>0</v>
      </c>
      <c r="AM1062" s="78">
        <v>45035.98510416667</v>
      </c>
      <c r="AN1062" s="76"/>
      <c r="AO1062" s="76" t="s">
        <v>24251</v>
      </c>
      <c r="AP1062" s="76"/>
      <c r="AQ1062" s="76"/>
      <c r="AR1062" s="76"/>
      <c r="AS1062" s="76"/>
      <c r="AT1062" s="76"/>
      <c r="AU1062" s="76"/>
      <c r="AV1062" s="76"/>
      <c r="AW1062" s="76"/>
      <c r="AX1062" s="76" t="b">
        <v>0</v>
      </c>
      <c r="AY1062" s="76"/>
      <c r="AZ1062" s="76"/>
      <c r="BA1062" s="76" t="b">
        <v>0</v>
      </c>
      <c r="BB1062" s="76" t="b">
        <v>1</v>
      </c>
      <c r="BC1062" s="76" t="b">
        <v>1</v>
      </c>
      <c r="BD1062" s="76" t="b">
        <v>0</v>
      </c>
      <c r="BE1062" s="76" t="b">
        <v>0</v>
      </c>
      <c r="BF1062" s="76" t="b">
        <v>0</v>
      </c>
      <c r="BG1062" s="76" t="b">
        <v>0</v>
      </c>
      <c r="BH1062" s="83" t="str">
        <f>HYPERLINK("https://pbs.twimg.com/profile_banners/1648833446247116803/1681948030")</f>
        <v>https://pbs.twimg.com/profile_banners/1648833446247116803/1681948030</v>
      </c>
      <c r="BI1062" s="76"/>
      <c r="BJ1062" s="76" t="s">
        <v>24935</v>
      </c>
      <c r="BK1062" s="76" t="b">
        <v>0</v>
      </c>
      <c r="BL1062" s="76"/>
      <c r="BM1062" s="76" t="s">
        <v>66</v>
      </c>
      <c r="BN1062" s="76" t="s">
        <v>24937</v>
      </c>
      <c r="BO1062" s="83" t="str">
        <f>HYPERLINK("https://twitter.com/lealbeatrizz")</f>
        <v>https://twitter.com/lealbeatrizz</v>
      </c>
      <c r="BP1062" s="2"/>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1062" xr:uid="{00000000-0002-0000-0100-000000000000}"/>
    <dataValidation allowBlank="1" errorTitle="Invalid Vertex Visibility" error="You have entered an unrecognized vertex visibility.  Try selecting from the drop-down list instead." sqref="BP3" xr:uid="{00000000-0002-0000-0100-000001000000}"/>
    <dataValidation allowBlank="1" showErrorMessage="1" sqref="BP2" xr:uid="{00000000-0002-0000-0100-000002000000}"/>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1062" xr:uid="{00000000-0002-0000-0100-000003000000}">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1062" xr:uid="{00000000-0002-0000-0100-000004000000}"/>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1062" xr:uid="{00000000-0002-0000-0100-000005000000}"/>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1062" xr:uid="{00000000-0002-0000-0100-000006000000}"/>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1062" xr:uid="{00000000-0002-0000-0100-000007000000}"/>
    <dataValidation allowBlank="1" showInputMessage="1" errorTitle="Invalid Vertex Image Key" promptTitle="Vertex Tooltip" prompt="Enter optional text that will pop up when the mouse is hovered over the vertex." sqref="K3:K1062" xr:uid="{00000000-0002-0000-0100-000008000000}"/>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1062" xr:uid="{00000000-0002-0000-0100-000009000000}"/>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1062" xr:uid="{00000000-0002-0000-0100-00000A000000}">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1062" xr:uid="{00000000-0002-0000-0100-00000B000000}"/>
    <dataValidation allowBlank="1" showInputMessage="1" promptTitle="Vertex Label Fill Color" prompt="To select an optional fill color for the Label shape, right-click and select Select Color on the right-click menu." sqref="I3:I1062" xr:uid="{00000000-0002-0000-0100-00000C000000}"/>
    <dataValidation allowBlank="1" showInputMessage="1" errorTitle="Invalid Vertex Image Key" promptTitle="Vertex Image File" prompt="Enter the path to an image file.  Hover over the column header for examples." sqref="F3:F1062" xr:uid="{00000000-0002-0000-0100-00000D000000}"/>
    <dataValidation allowBlank="1" showInputMessage="1" promptTitle="Vertex Color" prompt="To select an optional vertex color, right-click and select Select Color on the right-click menu." sqref="B3:B1062" xr:uid="{00000000-0002-0000-0100-00000E000000}"/>
    <dataValidation allowBlank="1" showInputMessage="1" errorTitle="Invalid Vertex Opacity" error="The optional vertex opacity must be a whole number between 0 and 10." promptTitle="Vertex Opacity" prompt="Enter an optional vertex opacity between 0 (transparent) and 100 (opaque)." sqref="E3:E1062" xr:uid="{00000000-0002-0000-0100-00000F000000}"/>
    <dataValidation type="list" allowBlank="1" showInputMessage="1" showErrorMessage="1" errorTitle="Invalid Vertex Shape" error="You have entered an invalid vertex shape.  Try selecting from the drop-down list instead." promptTitle="Vertex Shape" prompt="Select an optional vertex shape." sqref="C3:C1062" xr:uid="{00000000-0002-0000-0100-000010000000}">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1062" xr:uid="{00000000-0002-0000-0100-000011000000}"/>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1062" xr:uid="{00000000-0002-0000-0100-000012000000}">
      <formula1>ValidVertexLabelPositions</formula1>
    </dataValidation>
    <dataValidation allowBlank="1" showInputMessage="1" showErrorMessage="1" promptTitle="Vertex Name" prompt="Enter the name of the vertex." sqref="A3:A1062" xr:uid="{00000000-0002-0000-0100-000013000000}"/>
  </dataValidations>
  <pageMargins left="0.7" right="0.7" top="0.75" bottom="0.75" header="0.3" footer="0.3"/>
  <pageSetup orientation="portrait" horizontalDpi="0" verticalDpi="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21"/>
  <sheetViews>
    <sheetView workbookViewId="0"/>
  </sheetViews>
  <sheetFormatPr defaultRowHeight="15" x14ac:dyDescent="0.25"/>
  <cols>
    <col min="1" max="1" width="10.85546875" bestFit="1" customWidth="1"/>
    <col min="2" max="2" width="16.85546875" bestFit="1" customWidth="1"/>
    <col min="4" max="5" width="9.140625" customWidth="1"/>
  </cols>
  <sheetData>
    <row r="1" spans="1:1" x14ac:dyDescent="0.25">
      <c r="A1" t="s">
        <v>49</v>
      </c>
    </row>
    <row r="2" spans="1:1" ht="15" customHeight="1" x14ac:dyDescent="0.25"/>
    <row r="3" spans="1:1" ht="15" customHeight="1" x14ac:dyDescent="0.25">
      <c r="A3" s="29" t="s">
        <v>50</v>
      </c>
    </row>
    <row r="21" spans="4:4" x14ac:dyDescent="0.25">
      <c r="D21" s="6"/>
    </row>
  </sheetData>
  <dataConsolidate/>
  <dataValidations xWindow="63" yWindow="236" count="2">
    <dataValidation allowBlank="1" showInputMessage="1" showErrorMessage="1" promptTitle="Image ID" prompt="Enter a unique ID for the image." sqref="A2" xr:uid="{00000000-0002-0000-0200-000000000000}"/>
    <dataValidation allowBlank="1" showInputMessage="1" showErrorMessage="1" promptTitle="Image File Path" prompt="Enter an image file path.  Hover over the column header for examples." sqref="B2" xr:uid="{00000000-0002-0000-0200-000001000000}"/>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X10"/>
  <sheetViews>
    <sheetView workbookViewId="0">
      <pane ySplit="2" topLeftCell="A3" activePane="bottomLeft" state="frozen"/>
      <selection pane="bottomLeft" activeCell="A3" sqref="A3"/>
    </sheetView>
  </sheetViews>
  <sheetFormatPr defaultRowHeight="15" x14ac:dyDescent="0.25"/>
  <cols>
    <col min="1" max="1" width="9.42578125" style="1" bestFit="1" customWidth="1"/>
    <col min="2" max="2" width="14.28515625" bestFit="1" customWidth="1"/>
    <col min="3" max="3" width="15" bestFit="1" customWidth="1"/>
    <col min="4" max="4" width="11.140625" bestFit="1" customWidth="1"/>
    <col min="5" max="5" width="13" bestFit="1" customWidth="1"/>
    <col min="6" max="6" width="8" bestFit="1" customWidth="1"/>
    <col min="7" max="8" width="13.5703125" hidden="1" customWidth="1"/>
    <col min="9" max="9" width="11" hidden="1" customWidth="1"/>
    <col min="10" max="10" width="12.5703125" hidden="1" customWidth="1"/>
    <col min="11" max="11" width="11" hidden="1" customWidth="1"/>
    <col min="12" max="12" width="9.7109375" hidden="1" customWidth="1"/>
    <col min="13" max="13" width="13.140625" hidden="1" customWidth="1"/>
    <col min="14" max="15" width="8.42578125" hidden="1" customWidth="1"/>
    <col min="16" max="16" width="18.28515625" hidden="1" customWidth="1"/>
    <col min="17" max="17" width="14.85546875" hidden="1" customWidth="1"/>
    <col min="18" max="18" width="14.5703125" hidden="1" customWidth="1"/>
    <col min="19" max="21" width="24.140625" hidden="1" customWidth="1"/>
    <col min="22" max="22" width="21.28515625" hidden="1" customWidth="1"/>
    <col min="23" max="23" width="19.28515625" hidden="1" customWidth="1"/>
    <col min="24" max="24" width="10" hidden="1" customWidth="1"/>
    <col min="25" max="25" width="13" customWidth="1"/>
  </cols>
  <sheetData>
    <row r="1" spans="1:24" x14ac:dyDescent="0.25">
      <c r="B1" s="52" t="s">
        <v>39</v>
      </c>
      <c r="C1" s="53"/>
      <c r="D1" s="53"/>
      <c r="E1" s="54"/>
      <c r="F1" s="51" t="s">
        <v>43</v>
      </c>
      <c r="G1" s="55" t="s">
        <v>44</v>
      </c>
      <c r="H1" s="56"/>
      <c r="I1" s="57" t="s">
        <v>40</v>
      </c>
      <c r="J1" s="58"/>
      <c r="K1" s="59" t="s">
        <v>42</v>
      </c>
      <c r="L1" s="60"/>
      <c r="M1" s="60"/>
      <c r="N1" s="60"/>
      <c r="O1" s="60"/>
      <c r="P1" s="60"/>
      <c r="Q1" s="60"/>
      <c r="R1" s="60"/>
      <c r="S1" s="60"/>
      <c r="T1" s="60"/>
      <c r="U1" s="60"/>
      <c r="V1" s="60"/>
      <c r="W1" s="60"/>
      <c r="X1" s="60"/>
    </row>
    <row r="2" spans="1:24" s="7" customFormat="1" ht="30" customHeight="1" x14ac:dyDescent="0.25">
      <c r="A2" s="10" t="s">
        <v>144</v>
      </c>
      <c r="B2" s="7" t="s">
        <v>21</v>
      </c>
      <c r="C2" s="7" t="s">
        <v>20</v>
      </c>
      <c r="D2" s="7" t="s">
        <v>11</v>
      </c>
      <c r="E2" s="7" t="s">
        <v>145</v>
      </c>
      <c r="F2" s="7" t="s">
        <v>46</v>
      </c>
      <c r="G2" s="7" t="s">
        <v>167</v>
      </c>
      <c r="H2" s="7" t="s">
        <v>168</v>
      </c>
      <c r="I2" s="7" t="s">
        <v>12</v>
      </c>
      <c r="J2" s="7" t="s">
        <v>166</v>
      </c>
      <c r="K2" s="7" t="s">
        <v>146</v>
      </c>
      <c r="L2" s="7" t="s">
        <v>148</v>
      </c>
      <c r="M2" s="7" t="s">
        <v>149</v>
      </c>
      <c r="N2" s="7" t="s">
        <v>150</v>
      </c>
      <c r="O2" s="7" t="s">
        <v>151</v>
      </c>
      <c r="P2" s="7" t="s">
        <v>170</v>
      </c>
      <c r="Q2" s="7" t="s">
        <v>171</v>
      </c>
      <c r="R2" s="7" t="s">
        <v>152</v>
      </c>
      <c r="S2" s="7" t="s">
        <v>153</v>
      </c>
      <c r="T2" s="7" t="s">
        <v>154</v>
      </c>
      <c r="U2" s="7" t="s">
        <v>155</v>
      </c>
      <c r="V2" s="7" t="s">
        <v>156</v>
      </c>
      <c r="W2" s="7" t="s">
        <v>157</v>
      </c>
      <c r="X2" s="7" t="s">
        <v>158</v>
      </c>
    </row>
    <row r="3" spans="1:24" x14ac:dyDescent="0.25">
      <c r="A3" s="11"/>
      <c r="B3" s="12"/>
      <c r="C3" s="12"/>
      <c r="D3" s="12"/>
      <c r="E3" s="12"/>
      <c r="F3" s="13"/>
      <c r="G3" s="61"/>
      <c r="H3" s="61"/>
      <c r="I3" s="49"/>
      <c r="J3" s="49"/>
      <c r="K3" s="44"/>
      <c r="L3" s="44"/>
      <c r="M3" s="44"/>
      <c r="N3" s="44"/>
      <c r="O3" s="44"/>
      <c r="P3" s="44"/>
      <c r="Q3" s="44"/>
      <c r="R3" s="44"/>
      <c r="S3" s="44"/>
      <c r="T3" s="44"/>
      <c r="U3" s="44"/>
      <c r="V3" s="44"/>
      <c r="W3" s="45"/>
      <c r="X3" s="45"/>
    </row>
    <row r="10" spans="1:24" ht="14.25" customHeight="1" x14ac:dyDescent="0.25"/>
  </sheetData>
  <dataConsolidate/>
  <dataValidations count="8">
    <dataValidation allowBlank="1" showInputMessage="1" promptTitle="Group Vertex Color" prompt="To select a color to use for all vertices in the group, right-click and select Select Color on the right-click menu." sqref="B3" xr:uid="{00000000-0002-0000-0300-000000000000}"/>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xr:uid="{00000000-0002-0000-0300-000001000000}">
      <formula1>ValidGroupShapes</formula1>
    </dataValidation>
    <dataValidation allowBlank="1" showInputMessage="1" showErrorMessage="1" promptTitle="Group Name" prompt="Enter the name of the group." sqref="A3" xr:uid="{00000000-0002-0000-0300-000002000000}"/>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xr:uid="{00000000-0002-0000-0300-000003000000}">
      <formula1>ValidBooleansDefaultFalse</formula1>
    </dataValidation>
    <dataValidation allowBlank="1" sqref="K3" xr:uid="{00000000-0002-0000-0300-000004000000}"/>
    <dataValidation allowBlank="1" showInputMessage="1" showErrorMessage="1" errorTitle="Invalid Group Collapsed" error="You have entered an unrecognized &quot;group collapsed.&quot;  Try selecting from the drop-down list instead." promptTitle="Group Label" prompt="Enter an optional group label." sqref="F3" xr:uid="{00000000-0002-0000-0300-000005000000}"/>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xr:uid="{00000000-0002-0000-0300-000006000000}"/>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xr:uid="{00000000-0002-0000-0300-000007000000}">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C1"/>
  <sheetViews>
    <sheetView workbookViewId="0">
      <selection activeCell="A2" sqref="A2"/>
    </sheetView>
  </sheetViews>
  <sheetFormatPr defaultRowHeight="15" x14ac:dyDescent="0.25"/>
  <cols>
    <col min="1" max="1" width="9.42578125" style="1" bestFit="1" customWidth="1"/>
    <col min="2" max="2" width="9.140625" style="1"/>
    <col min="3" max="3" width="11.5703125" bestFit="1" customWidth="1"/>
    <col min="4" max="4" width="9.140625" customWidth="1"/>
  </cols>
  <sheetData>
    <row r="1" spans="1:3" x14ac:dyDescent="0.25">
      <c r="A1" s="1" t="s">
        <v>144</v>
      </c>
      <c r="B1" s="1" t="s">
        <v>5</v>
      </c>
      <c r="C1" s="1" t="s">
        <v>147</v>
      </c>
    </row>
  </sheetData>
  <dataConsolidate/>
  <dataValidations xWindow="58" yWindow="226" count="3">
    <dataValidation allowBlank="1" showInputMessage="1" showErrorMessage="1" promptTitle="Group Name" prompt="Enter the name of the group.  The group name must also be entered on the Groups worksheet." sqref="A2" xr:uid="{00000000-0002-0000-0400-000000000000}"/>
    <dataValidation allowBlank="1" showInputMessage="1" showErrorMessage="1" promptTitle="Vertex Name" prompt="Enter the name of a vertex to include in the group." sqref="B2" xr:uid="{00000000-0002-0000-0400-000001000000}"/>
    <dataValidation allowBlank="1" showInputMessage="1" promptTitle="Vertex ID" prompt="This is the value of the hidden ID cell in the Vertices worksheet.  It gets filled in by the items on the NodeXL, Analysis, Groups menu." sqref="C2" xr:uid="{00000000-0002-0000-0400-000002000000}"/>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175"/>
  <sheetViews>
    <sheetView tabSelected="1" workbookViewId="0">
      <selection activeCell="B32" sqref="B32"/>
    </sheetView>
  </sheetViews>
  <sheetFormatPr defaultRowHeight="15" x14ac:dyDescent="0.25"/>
  <cols>
    <col min="1" max="1" width="43.140625" customWidth="1"/>
    <col min="2" max="2" width="13.85546875" customWidth="1"/>
    <col min="3" max="3" width="9.140625" customWidth="1"/>
    <col min="4" max="4" width="12.85546875" hidden="1" customWidth="1"/>
    <col min="5" max="5" width="19.7109375" hidden="1" customWidth="1"/>
    <col min="6" max="6" width="15.5703125" hidden="1" customWidth="1"/>
    <col min="7" max="7" width="22.140625" hidden="1" customWidth="1"/>
    <col min="8" max="8" width="17.140625" hidden="1" customWidth="1"/>
    <col min="9" max="9" width="23.85546875" hidden="1" customWidth="1"/>
    <col min="10" max="10" width="28.28515625" hidden="1" customWidth="1"/>
    <col min="11" max="11" width="34.85546875" hidden="1" customWidth="1"/>
    <col min="12" max="12" width="25" hidden="1" customWidth="1"/>
    <col min="13" max="13" width="31.5703125" hidden="1" customWidth="1"/>
    <col min="14" max="14" width="26.5703125" hidden="1" customWidth="1"/>
    <col min="15" max="17" width="33.28515625" hidden="1" customWidth="1"/>
    <col min="18" max="18" width="26.5703125" hidden="1" customWidth="1"/>
    <col min="19" max="19" width="33" hidden="1" customWidth="1"/>
    <col min="20" max="20" width="19.5703125" hidden="1" customWidth="1"/>
    <col min="21" max="21" width="26.140625" hidden="1" customWidth="1"/>
    <col min="22" max="22" width="9.140625" hidden="1" customWidth="1"/>
    <col min="23" max="23" width="34.140625" hidden="1" customWidth="1"/>
    <col min="24" max="24" width="25.140625" hidden="1" customWidth="1"/>
  </cols>
  <sheetData>
    <row r="1" spans="1:24" ht="15" customHeight="1" thickBot="1" x14ac:dyDescent="0.3">
      <c r="A1" s="7" t="s">
        <v>162</v>
      </c>
      <c r="B1" s="7" t="s">
        <v>17</v>
      </c>
      <c r="D1" t="s">
        <v>79</v>
      </c>
      <c r="E1" t="s">
        <v>80</v>
      </c>
      <c r="F1" s="33" t="s">
        <v>86</v>
      </c>
      <c r="G1" s="34" t="s">
        <v>87</v>
      </c>
      <c r="H1" s="33" t="s">
        <v>92</v>
      </c>
      <c r="I1" s="34" t="s">
        <v>93</v>
      </c>
      <c r="J1" s="33" t="s">
        <v>98</v>
      </c>
      <c r="K1" s="34" t="s">
        <v>99</v>
      </c>
      <c r="L1" s="33" t="s">
        <v>104</v>
      </c>
      <c r="M1" s="34" t="s">
        <v>105</v>
      </c>
      <c r="N1" s="33" t="s">
        <v>110</v>
      </c>
      <c r="O1" s="34" t="s">
        <v>111</v>
      </c>
      <c r="P1" s="34" t="s">
        <v>138</v>
      </c>
      <c r="Q1" s="34" t="s">
        <v>139</v>
      </c>
      <c r="R1" s="33" t="s">
        <v>116</v>
      </c>
      <c r="S1" s="33" t="s">
        <v>117</v>
      </c>
      <c r="T1" s="33" t="s">
        <v>122</v>
      </c>
      <c r="U1" s="34" t="s">
        <v>123</v>
      </c>
      <c r="W1" t="s">
        <v>127</v>
      </c>
      <c r="X1" t="s">
        <v>17</v>
      </c>
    </row>
    <row r="2" spans="1:24" ht="15.75" thickTop="1" x14ac:dyDescent="0.25">
      <c r="A2" s="32" t="s">
        <v>26000</v>
      </c>
      <c r="B2" s="32" t="s">
        <v>25999</v>
      </c>
      <c r="D2" s="30">
        <f>MIN(Vertices[Degree])</f>
        <v>0</v>
      </c>
      <c r="E2">
        <f>COUNTIF(Vertices[Degree], "&gt;= " &amp; D2) - COUNTIF(Vertices[Degree], "&gt;=" &amp; D3)</f>
        <v>0</v>
      </c>
      <c r="F2" s="35">
        <f>MIN(Vertices[In-Degree])</f>
        <v>0</v>
      </c>
      <c r="G2" s="36">
        <f>COUNTIF(Vertices[In-Degree], "&gt;= " &amp; F2) - COUNTIF(Vertices[In-Degree], "&gt;=" &amp; F3)</f>
        <v>0</v>
      </c>
      <c r="H2" s="35">
        <f>MIN(Vertices[Out-Degree])</f>
        <v>0</v>
      </c>
      <c r="I2" s="36">
        <f>COUNTIF(Vertices[Out-Degree], "&gt;= " &amp; H2) - COUNTIF(Vertices[Out-Degree], "&gt;=" &amp; H3)</f>
        <v>0</v>
      </c>
      <c r="J2" s="35">
        <f>MIN(Vertices[Betweenness Centrality])</f>
        <v>0</v>
      </c>
      <c r="K2" s="36">
        <f>COUNTIF(Vertices[Betweenness Centrality], "&gt;= " &amp; J2) - COUNTIF(Vertices[Betweenness Centrality], "&gt;=" &amp; J3)</f>
        <v>0</v>
      </c>
      <c r="L2" s="35">
        <f>MIN(Vertices[Closeness Centrality])</f>
        <v>0</v>
      </c>
      <c r="M2" s="36">
        <f>COUNTIF(Vertices[Closeness Centrality], "&gt;= " &amp; L2) - COUNTIF(Vertices[Closeness Centrality], "&gt;=" &amp; L3)</f>
        <v>0</v>
      </c>
      <c r="N2" s="35">
        <f>MIN(Vertices[Eigenvector Centrality])</f>
        <v>0</v>
      </c>
      <c r="O2" s="36">
        <f>COUNTIF(Vertices[Eigenvector Centrality], "&gt;= " &amp; N2) - COUNTIF(Vertices[Eigenvector Centrality], "&gt;=" &amp; N3)</f>
        <v>0</v>
      </c>
      <c r="P2" s="35">
        <f>MIN(Vertices[PageRank])</f>
        <v>0</v>
      </c>
      <c r="Q2" s="36">
        <f>COUNTIF(Vertices[PageRank], "&gt;= " &amp; P2) - COUNTIF(Vertices[PageRank], "&gt;=" &amp; P3)</f>
        <v>0</v>
      </c>
      <c r="R2" s="35">
        <f>MIN(Vertices[Clustering Coefficient])</f>
        <v>0</v>
      </c>
      <c r="S2" s="41">
        <f>COUNTIF(Vertices[Clustering Coefficient], "&gt;= " &amp; R2) - COUNTIF(Vertices[Clustering Coefficient], "&gt;=" &amp; R3)</f>
        <v>0</v>
      </c>
      <c r="T2" s="35" t="e">
        <f ca="1">MIN(INDIRECT(DynamicFilterSourceColumnRange))</f>
        <v>#REF!</v>
      </c>
      <c r="U2" s="36" t="e">
        <f t="shared" ref="U2:U25" ca="1" si="0">COUNTIF(INDIRECT(DynamicFilterSourceColumnRange), "&gt;= " &amp; T2) - COUNTIF(INDIRECT(DynamicFilterSourceColumnRange), "&gt;=" &amp; T3)</f>
        <v>#REF!</v>
      </c>
      <c r="W2" t="s">
        <v>124</v>
      </c>
      <c r="X2">
        <f>ROWS(HistogramBins[Degree Bin]) - 1</f>
        <v>34</v>
      </c>
    </row>
    <row r="3" spans="1:24" x14ac:dyDescent="0.25">
      <c r="A3" s="104"/>
      <c r="B3" s="104"/>
      <c r="D3" s="30">
        <f t="shared" ref="D3:D35" si="1">D2+($D$36-$D$2)/BinDivisor</f>
        <v>0</v>
      </c>
      <c r="E3">
        <f>COUNTIF(Vertices[Degree], "&gt;= " &amp; D3) - COUNTIF(Vertices[Degree], "&gt;=" &amp; D4)</f>
        <v>0</v>
      </c>
      <c r="F3" s="37">
        <f t="shared" ref="F3:F35" si="2">F2+($F$36-$F$2)/BinDivisor</f>
        <v>0</v>
      </c>
      <c r="G3" s="38">
        <f>COUNTIF(Vertices[In-Degree], "&gt;= " &amp; F3) - COUNTIF(Vertices[In-Degree], "&gt;=" &amp; F4)</f>
        <v>0</v>
      </c>
      <c r="H3" s="37">
        <f t="shared" ref="H3:H35" si="3">H2+($H$36-$H$2)/BinDivisor</f>
        <v>0</v>
      </c>
      <c r="I3" s="38">
        <f>COUNTIF(Vertices[Out-Degree], "&gt;= " &amp; H3) - COUNTIF(Vertices[Out-Degree], "&gt;=" &amp; H4)</f>
        <v>0</v>
      </c>
      <c r="J3" s="37">
        <f t="shared" ref="J3:J35" si="4">J2+($J$36-$J$2)/BinDivisor</f>
        <v>0</v>
      </c>
      <c r="K3" s="38">
        <f>COUNTIF(Vertices[Betweenness Centrality], "&gt;= " &amp; J3) - COUNTIF(Vertices[Betweenness Centrality], "&gt;=" &amp; J4)</f>
        <v>0</v>
      </c>
      <c r="L3" s="37">
        <f t="shared" ref="L3:L35" si="5">L2+($L$36-$L$2)/BinDivisor</f>
        <v>0</v>
      </c>
      <c r="M3" s="38">
        <f>COUNTIF(Vertices[Closeness Centrality], "&gt;= " &amp; L3) - COUNTIF(Vertices[Closeness Centrality], "&gt;=" &amp; L4)</f>
        <v>0</v>
      </c>
      <c r="N3" s="37">
        <f t="shared" ref="N3:N35" si="6">N2+($N$36-$N$2)/BinDivisor</f>
        <v>0</v>
      </c>
      <c r="O3" s="38">
        <f>COUNTIF(Vertices[Eigenvector Centrality], "&gt;= " &amp; N3) - COUNTIF(Vertices[Eigenvector Centrality], "&gt;=" &amp; N4)</f>
        <v>0</v>
      </c>
      <c r="P3" s="37">
        <f t="shared" ref="P3:P35" si="7">P2+($P$36-$P$2)/BinDivisor</f>
        <v>0</v>
      </c>
      <c r="Q3" s="38">
        <f>COUNTIF(Vertices[PageRank], "&gt;= " &amp; P3) - COUNTIF(Vertices[PageRank], "&gt;=" &amp; P4)</f>
        <v>0</v>
      </c>
      <c r="R3" s="37">
        <f t="shared" ref="R3:R35" si="8">R2+($R$36-$R$2)/BinDivisor</f>
        <v>0</v>
      </c>
      <c r="S3" s="42">
        <f>COUNTIF(Vertices[Clustering Coefficient], "&gt;= " &amp; R3) - COUNTIF(Vertices[Clustering Coefficient], "&gt;=" &amp; R4)</f>
        <v>0</v>
      </c>
      <c r="T3" s="37" t="e">
        <f t="shared" ref="T3:T35" ca="1" si="9">T2+($T$36-$T$2)/BinDivisor</f>
        <v>#REF!</v>
      </c>
      <c r="U3" s="38" t="e">
        <f t="shared" ca="1" si="0"/>
        <v>#REF!</v>
      </c>
      <c r="W3" t="s">
        <v>125</v>
      </c>
      <c r="X3" t="s">
        <v>85</v>
      </c>
    </row>
    <row r="4" spans="1:24" x14ac:dyDescent="0.25">
      <c r="A4" s="32" t="s">
        <v>146</v>
      </c>
      <c r="B4" s="32">
        <v>1060</v>
      </c>
      <c r="D4" s="30">
        <f t="shared" si="1"/>
        <v>0</v>
      </c>
      <c r="E4">
        <f>COUNTIF(Vertices[Degree], "&gt;= " &amp; D4) - COUNTIF(Vertices[Degree], "&gt;=" &amp; D5)</f>
        <v>0</v>
      </c>
      <c r="F4" s="35">
        <f t="shared" si="2"/>
        <v>0</v>
      </c>
      <c r="G4" s="36">
        <f>COUNTIF(Vertices[In-Degree], "&gt;= " &amp; F4) - COUNTIF(Vertices[In-Degree], "&gt;=" &amp; F5)</f>
        <v>0</v>
      </c>
      <c r="H4" s="35">
        <f t="shared" si="3"/>
        <v>0</v>
      </c>
      <c r="I4" s="36">
        <f>COUNTIF(Vertices[Out-Degree], "&gt;= " &amp; H4) - COUNTIF(Vertices[Out-Degree], "&gt;=" &amp; H5)</f>
        <v>0</v>
      </c>
      <c r="J4" s="35">
        <f t="shared" si="4"/>
        <v>0</v>
      </c>
      <c r="K4" s="36">
        <f>COUNTIF(Vertices[Betweenness Centrality], "&gt;= " &amp; J4) - COUNTIF(Vertices[Betweenness Centrality], "&gt;=" &amp; J5)</f>
        <v>0</v>
      </c>
      <c r="L4" s="35">
        <f t="shared" si="5"/>
        <v>0</v>
      </c>
      <c r="M4" s="36">
        <f>COUNTIF(Vertices[Closeness Centrality], "&gt;= " &amp; L4) - COUNTIF(Vertices[Closeness Centrality], "&gt;=" &amp; L5)</f>
        <v>0</v>
      </c>
      <c r="N4" s="35">
        <f t="shared" si="6"/>
        <v>0</v>
      </c>
      <c r="O4" s="36">
        <f>COUNTIF(Vertices[Eigenvector Centrality], "&gt;= " &amp; N4) - COUNTIF(Vertices[Eigenvector Centrality], "&gt;=" &amp; N5)</f>
        <v>0</v>
      </c>
      <c r="P4" s="35">
        <f t="shared" si="7"/>
        <v>0</v>
      </c>
      <c r="Q4" s="36">
        <f>COUNTIF(Vertices[PageRank], "&gt;= " &amp; P4) - COUNTIF(Vertices[PageRank], "&gt;=" &amp; P5)</f>
        <v>0</v>
      </c>
      <c r="R4" s="35">
        <f t="shared" si="8"/>
        <v>0</v>
      </c>
      <c r="S4" s="41">
        <f>COUNTIF(Vertices[Clustering Coefficient], "&gt;= " &amp; R4) - COUNTIF(Vertices[Clustering Coefficient], "&gt;=" &amp; R5)</f>
        <v>0</v>
      </c>
      <c r="T4" s="35" t="e">
        <f t="shared" ca="1" si="9"/>
        <v>#REF!</v>
      </c>
      <c r="U4" s="36" t="e">
        <f t="shared" ca="1" si="0"/>
        <v>#REF!</v>
      </c>
      <c r="W4" t="s">
        <v>126</v>
      </c>
      <c r="X4" t="s">
        <v>128</v>
      </c>
    </row>
    <row r="5" spans="1:24" x14ac:dyDescent="0.25">
      <c r="A5" s="104"/>
      <c r="B5" s="104"/>
      <c r="D5" s="30">
        <f t="shared" si="1"/>
        <v>0</v>
      </c>
      <c r="E5">
        <f>COUNTIF(Vertices[Degree], "&gt;= " &amp; D5) - COUNTIF(Vertices[Degree], "&gt;=" &amp; D6)</f>
        <v>0</v>
      </c>
      <c r="F5" s="37">
        <f t="shared" si="2"/>
        <v>0</v>
      </c>
      <c r="G5" s="38">
        <f>COUNTIF(Vertices[In-Degree], "&gt;= " &amp; F5) - COUNTIF(Vertices[In-Degree], "&gt;=" &amp; F6)</f>
        <v>0</v>
      </c>
      <c r="H5" s="37">
        <f t="shared" si="3"/>
        <v>0</v>
      </c>
      <c r="I5" s="38">
        <f>COUNTIF(Vertices[Out-Degree], "&gt;= " &amp; H5) - COUNTIF(Vertices[Out-Degree], "&gt;=" &amp; H6)</f>
        <v>0</v>
      </c>
      <c r="J5" s="37">
        <f t="shared" si="4"/>
        <v>0</v>
      </c>
      <c r="K5" s="38">
        <f>COUNTIF(Vertices[Betweenness Centrality], "&gt;= " &amp; J5) - COUNTIF(Vertices[Betweenness Centrality], "&gt;=" &amp; J6)</f>
        <v>0</v>
      </c>
      <c r="L5" s="37">
        <f t="shared" si="5"/>
        <v>0</v>
      </c>
      <c r="M5" s="38">
        <f>COUNTIF(Vertices[Closeness Centrality], "&gt;= " &amp; L5) - COUNTIF(Vertices[Closeness Centrality], "&gt;=" &amp; L6)</f>
        <v>0</v>
      </c>
      <c r="N5" s="37">
        <f t="shared" si="6"/>
        <v>0</v>
      </c>
      <c r="O5" s="38">
        <f>COUNTIF(Vertices[Eigenvector Centrality], "&gt;= " &amp; N5) - COUNTIF(Vertices[Eigenvector Centrality], "&gt;=" &amp; N6)</f>
        <v>0</v>
      </c>
      <c r="P5" s="37">
        <f t="shared" si="7"/>
        <v>0</v>
      </c>
      <c r="Q5" s="38">
        <f>COUNTIF(Vertices[PageRank], "&gt;= " &amp; P5) - COUNTIF(Vertices[PageRank], "&gt;=" &amp; P6)</f>
        <v>0</v>
      </c>
      <c r="R5" s="37">
        <f t="shared" si="8"/>
        <v>0</v>
      </c>
      <c r="S5" s="42">
        <f>COUNTIF(Vertices[Clustering Coefficient], "&gt;= " &amp; R5) - COUNTIF(Vertices[Clustering Coefficient], "&gt;=" &amp; R6)</f>
        <v>0</v>
      </c>
      <c r="T5" s="37" t="e">
        <f t="shared" ca="1" si="9"/>
        <v>#REF!</v>
      </c>
      <c r="U5" s="38" t="e">
        <f t="shared" ca="1" si="0"/>
        <v>#REF!</v>
      </c>
    </row>
    <row r="6" spans="1:24" x14ac:dyDescent="0.25">
      <c r="A6" s="32" t="s">
        <v>148</v>
      </c>
      <c r="B6" s="32">
        <v>707</v>
      </c>
      <c r="D6" s="30">
        <f t="shared" si="1"/>
        <v>0</v>
      </c>
      <c r="E6">
        <f>COUNTIF(Vertices[Degree], "&gt;= " &amp; D6) - COUNTIF(Vertices[Degree], "&gt;=" &amp; D7)</f>
        <v>0</v>
      </c>
      <c r="F6" s="35">
        <f t="shared" si="2"/>
        <v>0</v>
      </c>
      <c r="G6" s="36">
        <f>COUNTIF(Vertices[In-Degree], "&gt;= " &amp; F6) - COUNTIF(Vertices[In-Degree], "&gt;=" &amp; F7)</f>
        <v>0</v>
      </c>
      <c r="H6" s="35">
        <f t="shared" si="3"/>
        <v>0</v>
      </c>
      <c r="I6" s="36">
        <f>COUNTIF(Vertices[Out-Degree], "&gt;= " &amp; H6) - COUNTIF(Vertices[Out-Degree], "&gt;=" &amp; H7)</f>
        <v>0</v>
      </c>
      <c r="J6" s="35">
        <f t="shared" si="4"/>
        <v>0</v>
      </c>
      <c r="K6" s="36">
        <f>COUNTIF(Vertices[Betweenness Centrality], "&gt;= " &amp; J6) - COUNTIF(Vertices[Betweenness Centrality], "&gt;=" &amp; J7)</f>
        <v>0</v>
      </c>
      <c r="L6" s="35">
        <f t="shared" si="5"/>
        <v>0</v>
      </c>
      <c r="M6" s="36">
        <f>COUNTIF(Vertices[Closeness Centrality], "&gt;= " &amp; L6) - COUNTIF(Vertices[Closeness Centrality], "&gt;=" &amp; L7)</f>
        <v>0</v>
      </c>
      <c r="N6" s="35">
        <f t="shared" si="6"/>
        <v>0</v>
      </c>
      <c r="O6" s="36">
        <f>COUNTIF(Vertices[Eigenvector Centrality], "&gt;= " &amp; N6) - COUNTIF(Vertices[Eigenvector Centrality], "&gt;=" &amp; N7)</f>
        <v>0</v>
      </c>
      <c r="P6" s="35">
        <f t="shared" si="7"/>
        <v>0</v>
      </c>
      <c r="Q6" s="36">
        <f>COUNTIF(Vertices[PageRank], "&gt;= " &amp; P6) - COUNTIF(Vertices[PageRank], "&gt;=" &amp; P7)</f>
        <v>0</v>
      </c>
      <c r="R6" s="35">
        <f t="shared" si="8"/>
        <v>0</v>
      </c>
      <c r="S6" s="41">
        <f>COUNTIF(Vertices[Clustering Coefficient], "&gt;= " &amp; R6) - COUNTIF(Vertices[Clustering Coefficient], "&gt;=" &amp; R7)</f>
        <v>0</v>
      </c>
      <c r="T6" s="35" t="e">
        <f t="shared" ca="1" si="9"/>
        <v>#REF!</v>
      </c>
      <c r="U6" s="36" t="e">
        <f t="shared" ca="1" si="0"/>
        <v>#REF!</v>
      </c>
    </row>
    <row r="7" spans="1:24" x14ac:dyDescent="0.25">
      <c r="A7" s="32" t="s">
        <v>149</v>
      </c>
      <c r="B7" s="32">
        <v>3314</v>
      </c>
      <c r="D7" s="30">
        <f t="shared" si="1"/>
        <v>0</v>
      </c>
      <c r="E7">
        <f>COUNTIF(Vertices[Degree], "&gt;= " &amp; D7) - COUNTIF(Vertices[Degree], "&gt;=" &amp; D8)</f>
        <v>0</v>
      </c>
      <c r="F7" s="37">
        <f t="shared" si="2"/>
        <v>0</v>
      </c>
      <c r="G7" s="38">
        <f>COUNTIF(Vertices[In-Degree], "&gt;= " &amp; F7) - COUNTIF(Vertices[In-Degree], "&gt;=" &amp; F8)</f>
        <v>0</v>
      </c>
      <c r="H7" s="37">
        <f t="shared" si="3"/>
        <v>0</v>
      </c>
      <c r="I7" s="38">
        <f>COUNTIF(Vertices[Out-Degree], "&gt;= " &amp; H7) - COUNTIF(Vertices[Out-Degree], "&gt;=" &amp; H8)</f>
        <v>0</v>
      </c>
      <c r="J7" s="37">
        <f t="shared" si="4"/>
        <v>0</v>
      </c>
      <c r="K7" s="38">
        <f>COUNTIF(Vertices[Betweenness Centrality], "&gt;= " &amp; J7) - COUNTIF(Vertices[Betweenness Centrality], "&gt;=" &amp; J8)</f>
        <v>0</v>
      </c>
      <c r="L7" s="37">
        <f t="shared" si="5"/>
        <v>0</v>
      </c>
      <c r="M7" s="38">
        <f>COUNTIF(Vertices[Closeness Centrality], "&gt;= " &amp; L7) - COUNTIF(Vertices[Closeness Centrality], "&gt;=" &amp; L8)</f>
        <v>0</v>
      </c>
      <c r="N7" s="37">
        <f t="shared" si="6"/>
        <v>0</v>
      </c>
      <c r="O7" s="38">
        <f>COUNTIF(Vertices[Eigenvector Centrality], "&gt;= " &amp; N7) - COUNTIF(Vertices[Eigenvector Centrality], "&gt;=" &amp; N8)</f>
        <v>0</v>
      </c>
      <c r="P7" s="37">
        <f t="shared" si="7"/>
        <v>0</v>
      </c>
      <c r="Q7" s="38">
        <f>COUNTIF(Vertices[PageRank], "&gt;= " &amp; P7) - COUNTIF(Vertices[PageRank], "&gt;=" &amp; P8)</f>
        <v>0</v>
      </c>
      <c r="R7" s="37">
        <f t="shared" si="8"/>
        <v>0</v>
      </c>
      <c r="S7" s="42">
        <f>COUNTIF(Vertices[Clustering Coefficient], "&gt;= " &amp; R7) - COUNTIF(Vertices[Clustering Coefficient], "&gt;=" &amp; R8)</f>
        <v>0</v>
      </c>
      <c r="T7" s="37" t="e">
        <f t="shared" ca="1" si="9"/>
        <v>#REF!</v>
      </c>
      <c r="U7" s="38" t="e">
        <f t="shared" ca="1" si="0"/>
        <v>#REF!</v>
      </c>
    </row>
    <row r="8" spans="1:24" x14ac:dyDescent="0.25">
      <c r="A8" s="32" t="s">
        <v>150</v>
      </c>
      <c r="B8" s="32">
        <v>4021</v>
      </c>
      <c r="D8" s="30">
        <f t="shared" si="1"/>
        <v>0</v>
      </c>
      <c r="E8">
        <f>COUNTIF(Vertices[Degree], "&gt;= " &amp; D8) - COUNTIF(Vertices[Degree], "&gt;=" &amp; D9)</f>
        <v>0</v>
      </c>
      <c r="F8" s="35">
        <f t="shared" si="2"/>
        <v>0</v>
      </c>
      <c r="G8" s="36">
        <f>COUNTIF(Vertices[In-Degree], "&gt;= " &amp; F8) - COUNTIF(Vertices[In-Degree], "&gt;=" &amp; F9)</f>
        <v>0</v>
      </c>
      <c r="H8" s="35">
        <f t="shared" si="3"/>
        <v>0</v>
      </c>
      <c r="I8" s="36">
        <f>COUNTIF(Vertices[Out-Degree], "&gt;= " &amp; H8) - COUNTIF(Vertices[Out-Degree], "&gt;=" &amp; H9)</f>
        <v>0</v>
      </c>
      <c r="J8" s="35">
        <f t="shared" si="4"/>
        <v>0</v>
      </c>
      <c r="K8" s="36">
        <f>COUNTIF(Vertices[Betweenness Centrality], "&gt;= " &amp; J8) - COUNTIF(Vertices[Betweenness Centrality], "&gt;=" &amp; J9)</f>
        <v>0</v>
      </c>
      <c r="L8" s="35">
        <f t="shared" si="5"/>
        <v>0</v>
      </c>
      <c r="M8" s="36">
        <f>COUNTIF(Vertices[Closeness Centrality], "&gt;= " &amp; L8) - COUNTIF(Vertices[Closeness Centrality], "&gt;=" &amp; L9)</f>
        <v>0</v>
      </c>
      <c r="N8" s="35">
        <f t="shared" si="6"/>
        <v>0</v>
      </c>
      <c r="O8" s="36">
        <f>COUNTIF(Vertices[Eigenvector Centrality], "&gt;= " &amp; N8) - COUNTIF(Vertices[Eigenvector Centrality], "&gt;=" &amp; N9)</f>
        <v>0</v>
      </c>
      <c r="P8" s="35">
        <f t="shared" si="7"/>
        <v>0</v>
      </c>
      <c r="Q8" s="36">
        <f>COUNTIF(Vertices[PageRank], "&gt;= " &amp; P8) - COUNTIF(Vertices[PageRank], "&gt;=" &amp; P9)</f>
        <v>0</v>
      </c>
      <c r="R8" s="35">
        <f t="shared" si="8"/>
        <v>0</v>
      </c>
      <c r="S8" s="41">
        <f>COUNTIF(Vertices[Clustering Coefficient], "&gt;= " &amp; R8) - COUNTIF(Vertices[Clustering Coefficient], "&gt;=" &amp; R9)</f>
        <v>0</v>
      </c>
      <c r="T8" s="35" t="e">
        <f t="shared" ca="1" si="9"/>
        <v>#REF!</v>
      </c>
      <c r="U8" s="36" t="e">
        <f t="shared" ca="1" si="0"/>
        <v>#REF!</v>
      </c>
    </row>
    <row r="9" spans="1:24" x14ac:dyDescent="0.25">
      <c r="A9" s="104"/>
      <c r="B9" s="104"/>
      <c r="D9" s="30">
        <f t="shared" si="1"/>
        <v>0</v>
      </c>
      <c r="E9">
        <f>COUNTIF(Vertices[Degree], "&gt;= " &amp; D9) - COUNTIF(Vertices[Degree], "&gt;=" &amp; D10)</f>
        <v>0</v>
      </c>
      <c r="F9" s="37">
        <f t="shared" si="2"/>
        <v>0</v>
      </c>
      <c r="G9" s="38">
        <f>COUNTIF(Vertices[In-Degree], "&gt;= " &amp; F9) - COUNTIF(Vertices[In-Degree], "&gt;=" &amp; F10)</f>
        <v>0</v>
      </c>
      <c r="H9" s="37">
        <f t="shared" si="3"/>
        <v>0</v>
      </c>
      <c r="I9" s="38">
        <f>COUNTIF(Vertices[Out-Degree], "&gt;= " &amp; H9) - COUNTIF(Vertices[Out-Degree], "&gt;=" &amp; H10)</f>
        <v>0</v>
      </c>
      <c r="J9" s="37">
        <f t="shared" si="4"/>
        <v>0</v>
      </c>
      <c r="K9" s="38">
        <f>COUNTIF(Vertices[Betweenness Centrality], "&gt;= " &amp; J9) - COUNTIF(Vertices[Betweenness Centrality], "&gt;=" &amp; J10)</f>
        <v>0</v>
      </c>
      <c r="L9" s="37">
        <f t="shared" si="5"/>
        <v>0</v>
      </c>
      <c r="M9" s="38">
        <f>COUNTIF(Vertices[Closeness Centrality], "&gt;= " &amp; L9) - COUNTIF(Vertices[Closeness Centrality], "&gt;=" &amp; L10)</f>
        <v>0</v>
      </c>
      <c r="N9" s="37">
        <f t="shared" si="6"/>
        <v>0</v>
      </c>
      <c r="O9" s="38">
        <f>COUNTIF(Vertices[Eigenvector Centrality], "&gt;= " &amp; N9) - COUNTIF(Vertices[Eigenvector Centrality], "&gt;=" &amp; N10)</f>
        <v>0</v>
      </c>
      <c r="P9" s="37">
        <f t="shared" si="7"/>
        <v>0</v>
      </c>
      <c r="Q9" s="38">
        <f>COUNTIF(Vertices[PageRank], "&gt;= " &amp; P9) - COUNTIF(Vertices[PageRank], "&gt;=" &amp; P10)</f>
        <v>0</v>
      </c>
      <c r="R9" s="37">
        <f t="shared" si="8"/>
        <v>0</v>
      </c>
      <c r="S9" s="42">
        <f>COUNTIF(Vertices[Clustering Coefficient], "&gt;= " &amp; R9) - COUNTIF(Vertices[Clustering Coefficient], "&gt;=" &amp; R10)</f>
        <v>0</v>
      </c>
      <c r="T9" s="37" t="e">
        <f t="shared" ca="1" si="9"/>
        <v>#REF!</v>
      </c>
      <c r="U9" s="38" t="e">
        <f t="shared" ca="1" si="0"/>
        <v>#REF!</v>
      </c>
    </row>
    <row r="10" spans="1:24" x14ac:dyDescent="0.25">
      <c r="A10" s="32" t="s">
        <v>151</v>
      </c>
      <c r="B10" s="32">
        <v>3897</v>
      </c>
      <c r="D10" s="30">
        <f t="shared" si="1"/>
        <v>0</v>
      </c>
      <c r="E10">
        <f>COUNTIF(Vertices[Degree], "&gt;= " &amp; D10) - COUNTIF(Vertices[Degree], "&gt;=" &amp; D11)</f>
        <v>0</v>
      </c>
      <c r="F10" s="35">
        <f t="shared" si="2"/>
        <v>0</v>
      </c>
      <c r="G10" s="36">
        <f>COUNTIF(Vertices[In-Degree], "&gt;= " &amp; F10) - COUNTIF(Vertices[In-Degree], "&gt;=" &amp; F11)</f>
        <v>0</v>
      </c>
      <c r="H10" s="35">
        <f t="shared" si="3"/>
        <v>0</v>
      </c>
      <c r="I10" s="36">
        <f>COUNTIF(Vertices[Out-Degree], "&gt;= " &amp; H10) - COUNTIF(Vertices[Out-Degree], "&gt;=" &amp; H11)</f>
        <v>0</v>
      </c>
      <c r="J10" s="35">
        <f t="shared" si="4"/>
        <v>0</v>
      </c>
      <c r="K10" s="36">
        <f>COUNTIF(Vertices[Betweenness Centrality], "&gt;= " &amp; J10) - COUNTIF(Vertices[Betweenness Centrality], "&gt;=" &amp; J11)</f>
        <v>0</v>
      </c>
      <c r="L10" s="35">
        <f t="shared" si="5"/>
        <v>0</v>
      </c>
      <c r="M10" s="36">
        <f>COUNTIF(Vertices[Closeness Centrality], "&gt;= " &amp; L10) - COUNTIF(Vertices[Closeness Centrality], "&gt;=" &amp; L11)</f>
        <v>0</v>
      </c>
      <c r="N10" s="35">
        <f t="shared" si="6"/>
        <v>0</v>
      </c>
      <c r="O10" s="36">
        <f>COUNTIF(Vertices[Eigenvector Centrality], "&gt;= " &amp; N10) - COUNTIF(Vertices[Eigenvector Centrality], "&gt;=" &amp; N11)</f>
        <v>0</v>
      </c>
      <c r="P10" s="35">
        <f t="shared" si="7"/>
        <v>0</v>
      </c>
      <c r="Q10" s="36">
        <f>COUNTIF(Vertices[PageRank], "&gt;= " &amp; P10) - COUNTIF(Vertices[PageRank], "&gt;=" &amp; P11)</f>
        <v>0</v>
      </c>
      <c r="R10" s="35">
        <f t="shared" si="8"/>
        <v>0</v>
      </c>
      <c r="S10" s="41">
        <f>COUNTIF(Vertices[Clustering Coefficient], "&gt;= " &amp; R10) - COUNTIF(Vertices[Clustering Coefficient], "&gt;=" &amp; R11)</f>
        <v>0</v>
      </c>
      <c r="T10" s="35" t="e">
        <f t="shared" ca="1" si="9"/>
        <v>#REF!</v>
      </c>
      <c r="U10" s="36" t="e">
        <f t="shared" ca="1" si="0"/>
        <v>#REF!</v>
      </c>
    </row>
    <row r="11" spans="1:24" x14ac:dyDescent="0.25">
      <c r="A11" s="104"/>
      <c r="B11" s="104"/>
      <c r="D11" s="30">
        <f t="shared" si="1"/>
        <v>0</v>
      </c>
      <c r="E11">
        <f>COUNTIF(Vertices[Degree], "&gt;= " &amp; D11) - COUNTIF(Vertices[Degree], "&gt;=" &amp; D12)</f>
        <v>0</v>
      </c>
      <c r="F11" s="37">
        <f t="shared" si="2"/>
        <v>0</v>
      </c>
      <c r="G11" s="38">
        <f>COUNTIF(Vertices[In-Degree], "&gt;= " &amp; F11) - COUNTIF(Vertices[In-Degree], "&gt;=" &amp; F12)</f>
        <v>0</v>
      </c>
      <c r="H11" s="37">
        <f t="shared" si="3"/>
        <v>0</v>
      </c>
      <c r="I11" s="38">
        <f>COUNTIF(Vertices[Out-Degree], "&gt;= " &amp; H11) - COUNTIF(Vertices[Out-Degree], "&gt;=" &amp; H12)</f>
        <v>0</v>
      </c>
      <c r="J11" s="37">
        <f t="shared" si="4"/>
        <v>0</v>
      </c>
      <c r="K11" s="38">
        <f>COUNTIF(Vertices[Betweenness Centrality], "&gt;= " &amp; J11) - COUNTIF(Vertices[Betweenness Centrality], "&gt;=" &amp; J12)</f>
        <v>0</v>
      </c>
      <c r="L11" s="37">
        <f t="shared" si="5"/>
        <v>0</v>
      </c>
      <c r="M11" s="38">
        <f>COUNTIF(Vertices[Closeness Centrality], "&gt;= " &amp; L11) - COUNTIF(Vertices[Closeness Centrality], "&gt;=" &amp; L12)</f>
        <v>0</v>
      </c>
      <c r="N11" s="37">
        <f t="shared" si="6"/>
        <v>0</v>
      </c>
      <c r="O11" s="38">
        <f>COUNTIF(Vertices[Eigenvector Centrality], "&gt;= " &amp; N11) - COUNTIF(Vertices[Eigenvector Centrality], "&gt;=" &amp; N12)</f>
        <v>0</v>
      </c>
      <c r="P11" s="37">
        <f t="shared" si="7"/>
        <v>0</v>
      </c>
      <c r="Q11" s="38">
        <f>COUNTIF(Vertices[PageRank], "&gt;= " &amp; P11) - COUNTIF(Vertices[PageRank], "&gt;=" &amp; P12)</f>
        <v>0</v>
      </c>
      <c r="R11" s="37">
        <f t="shared" si="8"/>
        <v>0</v>
      </c>
      <c r="S11" s="42">
        <f>COUNTIF(Vertices[Clustering Coefficient], "&gt;= " &amp; R11) - COUNTIF(Vertices[Clustering Coefficient], "&gt;=" &amp; R12)</f>
        <v>0</v>
      </c>
      <c r="T11" s="37" t="e">
        <f t="shared" ca="1" si="9"/>
        <v>#REF!</v>
      </c>
      <c r="U11" s="38" t="e">
        <f t="shared" ca="1" si="0"/>
        <v>#REF!</v>
      </c>
    </row>
    <row r="12" spans="1:24" x14ac:dyDescent="0.25">
      <c r="A12" s="32" t="s">
        <v>170</v>
      </c>
      <c r="B12" s="32">
        <v>0</v>
      </c>
      <c r="D12" s="30">
        <f t="shared" si="1"/>
        <v>0</v>
      </c>
      <c r="E12">
        <f>COUNTIF(Vertices[Degree], "&gt;= " &amp; D12) - COUNTIF(Vertices[Degree], "&gt;=" &amp; D13)</f>
        <v>0</v>
      </c>
      <c r="F12" s="35">
        <f t="shared" si="2"/>
        <v>0</v>
      </c>
      <c r="G12" s="36">
        <f>COUNTIF(Vertices[In-Degree], "&gt;= " &amp; F12) - COUNTIF(Vertices[In-Degree], "&gt;=" &amp; F13)</f>
        <v>0</v>
      </c>
      <c r="H12" s="35">
        <f t="shared" si="3"/>
        <v>0</v>
      </c>
      <c r="I12" s="36">
        <f>COUNTIF(Vertices[Out-Degree], "&gt;= " &amp; H12) - COUNTIF(Vertices[Out-Degree], "&gt;=" &amp; H13)</f>
        <v>0</v>
      </c>
      <c r="J12" s="35">
        <f t="shared" si="4"/>
        <v>0</v>
      </c>
      <c r="K12" s="36">
        <f>COUNTIF(Vertices[Betweenness Centrality], "&gt;= " &amp; J12) - COUNTIF(Vertices[Betweenness Centrality], "&gt;=" &amp; J13)</f>
        <v>0</v>
      </c>
      <c r="L12" s="35">
        <f t="shared" si="5"/>
        <v>0</v>
      </c>
      <c r="M12" s="36">
        <f>COUNTIF(Vertices[Closeness Centrality], "&gt;= " &amp; L12) - COUNTIF(Vertices[Closeness Centrality], "&gt;=" &amp; L13)</f>
        <v>0</v>
      </c>
      <c r="N12" s="35">
        <f t="shared" si="6"/>
        <v>0</v>
      </c>
      <c r="O12" s="36">
        <f>COUNTIF(Vertices[Eigenvector Centrality], "&gt;= " &amp; N12) - COUNTIF(Vertices[Eigenvector Centrality], "&gt;=" &amp; N13)</f>
        <v>0</v>
      </c>
      <c r="P12" s="35">
        <f t="shared" si="7"/>
        <v>0</v>
      </c>
      <c r="Q12" s="36">
        <f>COUNTIF(Vertices[PageRank], "&gt;= " &amp; P12) - COUNTIF(Vertices[PageRank], "&gt;=" &amp; P13)</f>
        <v>0</v>
      </c>
      <c r="R12" s="35">
        <f t="shared" si="8"/>
        <v>0</v>
      </c>
      <c r="S12" s="41">
        <f>COUNTIF(Vertices[Clustering Coefficient], "&gt;= " &amp; R12) - COUNTIF(Vertices[Clustering Coefficient], "&gt;=" &amp; R13)</f>
        <v>0</v>
      </c>
      <c r="T12" s="35" t="e">
        <f t="shared" ca="1" si="9"/>
        <v>#REF!</v>
      </c>
      <c r="U12" s="36" t="e">
        <f t="shared" ca="1" si="0"/>
        <v>#REF!</v>
      </c>
    </row>
    <row r="13" spans="1:24" x14ac:dyDescent="0.25">
      <c r="A13" s="32" t="s">
        <v>171</v>
      </c>
      <c r="B13" s="32">
        <v>0</v>
      </c>
      <c r="D13" s="30">
        <f t="shared" si="1"/>
        <v>0</v>
      </c>
      <c r="E13">
        <f>COUNTIF(Vertices[Degree], "&gt;= " &amp; D13) - COUNTIF(Vertices[Degree], "&gt;=" &amp; D14)</f>
        <v>0</v>
      </c>
      <c r="F13" s="37">
        <f t="shared" si="2"/>
        <v>0</v>
      </c>
      <c r="G13" s="38">
        <f>COUNTIF(Vertices[In-Degree], "&gt;= " &amp; F13) - COUNTIF(Vertices[In-Degree], "&gt;=" &amp; F14)</f>
        <v>0</v>
      </c>
      <c r="H13" s="37">
        <f t="shared" si="3"/>
        <v>0</v>
      </c>
      <c r="I13" s="38">
        <f>COUNTIF(Vertices[Out-Degree], "&gt;= " &amp; H13) - COUNTIF(Vertices[Out-Degree], "&gt;=" &amp; H14)</f>
        <v>0</v>
      </c>
      <c r="J13" s="37">
        <f t="shared" si="4"/>
        <v>0</v>
      </c>
      <c r="K13" s="38">
        <f>COUNTIF(Vertices[Betweenness Centrality], "&gt;= " &amp; J13) - COUNTIF(Vertices[Betweenness Centrality], "&gt;=" &amp; J14)</f>
        <v>0</v>
      </c>
      <c r="L13" s="37">
        <f t="shared" si="5"/>
        <v>0</v>
      </c>
      <c r="M13" s="38">
        <f>COUNTIF(Vertices[Closeness Centrality], "&gt;= " &amp; L13) - COUNTIF(Vertices[Closeness Centrality], "&gt;=" &amp; L14)</f>
        <v>0</v>
      </c>
      <c r="N13" s="37">
        <f t="shared" si="6"/>
        <v>0</v>
      </c>
      <c r="O13" s="38">
        <f>COUNTIF(Vertices[Eigenvector Centrality], "&gt;= " &amp; N13) - COUNTIF(Vertices[Eigenvector Centrality], "&gt;=" &amp; N14)</f>
        <v>0</v>
      </c>
      <c r="P13" s="37">
        <f t="shared" si="7"/>
        <v>0</v>
      </c>
      <c r="Q13" s="38">
        <f>COUNTIF(Vertices[PageRank], "&gt;= " &amp; P13) - COUNTIF(Vertices[PageRank], "&gt;=" &amp; P14)</f>
        <v>0</v>
      </c>
      <c r="R13" s="37">
        <f t="shared" si="8"/>
        <v>0</v>
      </c>
      <c r="S13" s="42">
        <f>COUNTIF(Vertices[Clustering Coefficient], "&gt;= " &amp; R13) - COUNTIF(Vertices[Clustering Coefficient], "&gt;=" &amp; R14)</f>
        <v>0</v>
      </c>
      <c r="T13" s="37" t="e">
        <f t="shared" ca="1" si="9"/>
        <v>#REF!</v>
      </c>
      <c r="U13" s="38" t="e">
        <f t="shared" ca="1" si="0"/>
        <v>#REF!</v>
      </c>
    </row>
    <row r="14" spans="1:24" x14ac:dyDescent="0.25">
      <c r="A14" s="104"/>
      <c r="B14" s="104"/>
      <c r="D14" s="30">
        <f t="shared" si="1"/>
        <v>0</v>
      </c>
      <c r="E14">
        <f>COUNTIF(Vertices[Degree], "&gt;= " &amp; D14) - COUNTIF(Vertices[Degree], "&gt;=" &amp; D15)</f>
        <v>0</v>
      </c>
      <c r="F14" s="35">
        <f t="shared" si="2"/>
        <v>0</v>
      </c>
      <c r="G14" s="36">
        <f>COUNTIF(Vertices[In-Degree], "&gt;= " &amp; F14) - COUNTIF(Vertices[In-Degree], "&gt;=" &amp; F15)</f>
        <v>0</v>
      </c>
      <c r="H14" s="35">
        <f t="shared" si="3"/>
        <v>0</v>
      </c>
      <c r="I14" s="36">
        <f>COUNTIF(Vertices[Out-Degree], "&gt;= " &amp; H14) - COUNTIF(Vertices[Out-Degree], "&gt;=" &amp; H15)</f>
        <v>0</v>
      </c>
      <c r="J14" s="35">
        <f t="shared" si="4"/>
        <v>0</v>
      </c>
      <c r="K14" s="36">
        <f>COUNTIF(Vertices[Betweenness Centrality], "&gt;= " &amp; J14) - COUNTIF(Vertices[Betweenness Centrality], "&gt;=" &amp; J15)</f>
        <v>0</v>
      </c>
      <c r="L14" s="35">
        <f t="shared" si="5"/>
        <v>0</v>
      </c>
      <c r="M14" s="36">
        <f>COUNTIF(Vertices[Closeness Centrality], "&gt;= " &amp; L14) - COUNTIF(Vertices[Closeness Centrality], "&gt;=" &amp; L15)</f>
        <v>0</v>
      </c>
      <c r="N14" s="35">
        <f t="shared" si="6"/>
        <v>0</v>
      </c>
      <c r="O14" s="36">
        <f>COUNTIF(Vertices[Eigenvector Centrality], "&gt;= " &amp; N14) - COUNTIF(Vertices[Eigenvector Centrality], "&gt;=" &amp; N15)</f>
        <v>0</v>
      </c>
      <c r="P14" s="35">
        <f t="shared" si="7"/>
        <v>0</v>
      </c>
      <c r="Q14" s="36">
        <f>COUNTIF(Vertices[PageRank], "&gt;= " &amp; P14) - COUNTIF(Vertices[PageRank], "&gt;=" &amp; P15)</f>
        <v>0</v>
      </c>
      <c r="R14" s="35">
        <f t="shared" si="8"/>
        <v>0</v>
      </c>
      <c r="S14" s="41">
        <f>COUNTIF(Vertices[Clustering Coefficient], "&gt;= " &amp; R14) - COUNTIF(Vertices[Clustering Coefficient], "&gt;=" &amp; R15)</f>
        <v>0</v>
      </c>
      <c r="T14" s="35" t="e">
        <f t="shared" ca="1" si="9"/>
        <v>#REF!</v>
      </c>
      <c r="U14" s="36" t="e">
        <f t="shared" ca="1" si="0"/>
        <v>#REF!</v>
      </c>
    </row>
    <row r="15" spans="1:24" x14ac:dyDescent="0.25">
      <c r="A15" s="32" t="s">
        <v>152</v>
      </c>
      <c r="B15" s="32">
        <v>967</v>
      </c>
      <c r="D15" s="30">
        <f t="shared" si="1"/>
        <v>0</v>
      </c>
      <c r="E15">
        <f>COUNTIF(Vertices[Degree], "&gt;= " &amp; D15) - COUNTIF(Vertices[Degree], "&gt;=" &amp; D16)</f>
        <v>0</v>
      </c>
      <c r="F15" s="37">
        <f t="shared" si="2"/>
        <v>0</v>
      </c>
      <c r="G15" s="38">
        <f>COUNTIF(Vertices[In-Degree], "&gt;= " &amp; F15) - COUNTIF(Vertices[In-Degree], "&gt;=" &amp; F16)</f>
        <v>0</v>
      </c>
      <c r="H15" s="37">
        <f t="shared" si="3"/>
        <v>0</v>
      </c>
      <c r="I15" s="38">
        <f>COUNTIF(Vertices[Out-Degree], "&gt;= " &amp; H15) - COUNTIF(Vertices[Out-Degree], "&gt;=" &amp; H16)</f>
        <v>0</v>
      </c>
      <c r="J15" s="37">
        <f t="shared" si="4"/>
        <v>0</v>
      </c>
      <c r="K15" s="38">
        <f>COUNTIF(Vertices[Betweenness Centrality], "&gt;= " &amp; J15) - COUNTIF(Vertices[Betweenness Centrality], "&gt;=" &amp; J16)</f>
        <v>0</v>
      </c>
      <c r="L15" s="37">
        <f t="shared" si="5"/>
        <v>0</v>
      </c>
      <c r="M15" s="38">
        <f>COUNTIF(Vertices[Closeness Centrality], "&gt;= " &amp; L15) - COUNTIF(Vertices[Closeness Centrality], "&gt;=" &amp; L16)</f>
        <v>0</v>
      </c>
      <c r="N15" s="37">
        <f t="shared" si="6"/>
        <v>0</v>
      </c>
      <c r="O15" s="38">
        <f>COUNTIF(Vertices[Eigenvector Centrality], "&gt;= " &amp; N15) - COUNTIF(Vertices[Eigenvector Centrality], "&gt;=" &amp; N16)</f>
        <v>0</v>
      </c>
      <c r="P15" s="37">
        <f t="shared" si="7"/>
        <v>0</v>
      </c>
      <c r="Q15" s="38">
        <f>COUNTIF(Vertices[PageRank], "&gt;= " &amp; P15) - COUNTIF(Vertices[PageRank], "&gt;=" &amp; P16)</f>
        <v>0</v>
      </c>
      <c r="R15" s="37">
        <f t="shared" si="8"/>
        <v>0</v>
      </c>
      <c r="S15" s="42">
        <f>COUNTIF(Vertices[Clustering Coefficient], "&gt;= " &amp; R15) - COUNTIF(Vertices[Clustering Coefficient], "&gt;=" &amp; R16)</f>
        <v>0</v>
      </c>
      <c r="T15" s="37" t="e">
        <f t="shared" ca="1" si="9"/>
        <v>#REF!</v>
      </c>
      <c r="U15" s="38" t="e">
        <f t="shared" ca="1" si="0"/>
        <v>#REF!</v>
      </c>
    </row>
    <row r="16" spans="1:24" x14ac:dyDescent="0.25">
      <c r="A16" s="32" t="s">
        <v>153</v>
      </c>
      <c r="B16" s="32">
        <v>929</v>
      </c>
      <c r="D16" s="30">
        <f t="shared" si="1"/>
        <v>0</v>
      </c>
      <c r="E16">
        <f>COUNTIF(Vertices[Degree], "&gt;= " &amp; D16) - COUNTIF(Vertices[Degree], "&gt;=" &amp; D17)</f>
        <v>0</v>
      </c>
      <c r="F16" s="35">
        <f t="shared" si="2"/>
        <v>0</v>
      </c>
      <c r="G16" s="36">
        <f>COUNTIF(Vertices[In-Degree], "&gt;= " &amp; F16) - COUNTIF(Vertices[In-Degree], "&gt;=" &amp; F17)</f>
        <v>0</v>
      </c>
      <c r="H16" s="35">
        <f t="shared" si="3"/>
        <v>0</v>
      </c>
      <c r="I16" s="36">
        <f>COUNTIF(Vertices[Out-Degree], "&gt;= " &amp; H16) - COUNTIF(Vertices[Out-Degree], "&gt;=" &amp; H17)</f>
        <v>0</v>
      </c>
      <c r="J16" s="35">
        <f t="shared" si="4"/>
        <v>0</v>
      </c>
      <c r="K16" s="36">
        <f>COUNTIF(Vertices[Betweenness Centrality], "&gt;= " &amp; J16) - COUNTIF(Vertices[Betweenness Centrality], "&gt;=" &amp; J17)</f>
        <v>0</v>
      </c>
      <c r="L16" s="35">
        <f t="shared" si="5"/>
        <v>0</v>
      </c>
      <c r="M16" s="36">
        <f>COUNTIF(Vertices[Closeness Centrality], "&gt;= " &amp; L16) - COUNTIF(Vertices[Closeness Centrality], "&gt;=" &amp; L17)</f>
        <v>0</v>
      </c>
      <c r="N16" s="35">
        <f t="shared" si="6"/>
        <v>0</v>
      </c>
      <c r="O16" s="36">
        <f>COUNTIF(Vertices[Eigenvector Centrality], "&gt;= " &amp; N16) - COUNTIF(Vertices[Eigenvector Centrality], "&gt;=" &amp; N17)</f>
        <v>0</v>
      </c>
      <c r="P16" s="35">
        <f t="shared" si="7"/>
        <v>0</v>
      </c>
      <c r="Q16" s="36">
        <f>COUNTIF(Vertices[PageRank], "&gt;= " &amp; P16) - COUNTIF(Vertices[PageRank], "&gt;=" &amp; P17)</f>
        <v>0</v>
      </c>
      <c r="R16" s="35">
        <f t="shared" si="8"/>
        <v>0</v>
      </c>
      <c r="S16" s="41">
        <f>COUNTIF(Vertices[Clustering Coefficient], "&gt;= " &amp; R16) - COUNTIF(Vertices[Clustering Coefficient], "&gt;=" &amp; R17)</f>
        <v>0</v>
      </c>
      <c r="T16" s="35" t="e">
        <f t="shared" ca="1" si="9"/>
        <v>#REF!</v>
      </c>
      <c r="U16" s="36" t="e">
        <f t="shared" ca="1" si="0"/>
        <v>#REF!</v>
      </c>
    </row>
    <row r="17" spans="1:21" x14ac:dyDescent="0.25">
      <c r="A17" s="32" t="s">
        <v>154</v>
      </c>
      <c r="B17" s="32">
        <v>33</v>
      </c>
      <c r="D17" s="30">
        <f t="shared" si="1"/>
        <v>0</v>
      </c>
      <c r="E17">
        <f>COUNTIF(Vertices[Degree], "&gt;= " &amp; D17) - COUNTIF(Vertices[Degree], "&gt;=" &amp; D18)</f>
        <v>0</v>
      </c>
      <c r="F17" s="37">
        <f t="shared" si="2"/>
        <v>0</v>
      </c>
      <c r="G17" s="38">
        <f>COUNTIF(Vertices[In-Degree], "&gt;= " &amp; F17) - COUNTIF(Vertices[In-Degree], "&gt;=" &amp; F18)</f>
        <v>0</v>
      </c>
      <c r="H17" s="37">
        <f t="shared" si="3"/>
        <v>0</v>
      </c>
      <c r="I17" s="38">
        <f>COUNTIF(Vertices[Out-Degree], "&gt;= " &amp; H17) - COUNTIF(Vertices[Out-Degree], "&gt;=" &amp; H18)</f>
        <v>0</v>
      </c>
      <c r="J17" s="37">
        <f t="shared" si="4"/>
        <v>0</v>
      </c>
      <c r="K17" s="38">
        <f>COUNTIF(Vertices[Betweenness Centrality], "&gt;= " &amp; J17) - COUNTIF(Vertices[Betweenness Centrality], "&gt;=" &amp; J18)</f>
        <v>0</v>
      </c>
      <c r="L17" s="37">
        <f t="shared" si="5"/>
        <v>0</v>
      </c>
      <c r="M17" s="38">
        <f>COUNTIF(Vertices[Closeness Centrality], "&gt;= " &amp; L17) - COUNTIF(Vertices[Closeness Centrality], "&gt;=" &amp; L18)</f>
        <v>0</v>
      </c>
      <c r="N17" s="37">
        <f t="shared" si="6"/>
        <v>0</v>
      </c>
      <c r="O17" s="38">
        <f>COUNTIF(Vertices[Eigenvector Centrality], "&gt;= " &amp; N17) - COUNTIF(Vertices[Eigenvector Centrality], "&gt;=" &amp; N18)</f>
        <v>0</v>
      </c>
      <c r="P17" s="37">
        <f t="shared" si="7"/>
        <v>0</v>
      </c>
      <c r="Q17" s="38">
        <f>COUNTIF(Vertices[PageRank], "&gt;= " &amp; P17) - COUNTIF(Vertices[PageRank], "&gt;=" &amp; P18)</f>
        <v>0</v>
      </c>
      <c r="R17" s="37">
        <f t="shared" si="8"/>
        <v>0</v>
      </c>
      <c r="S17" s="42">
        <f>COUNTIF(Vertices[Clustering Coefficient], "&gt;= " &amp; R17) - COUNTIF(Vertices[Clustering Coefficient], "&gt;=" &amp; R18)</f>
        <v>0</v>
      </c>
      <c r="T17" s="37" t="e">
        <f t="shared" ca="1" si="9"/>
        <v>#REF!</v>
      </c>
      <c r="U17" s="38" t="e">
        <f t="shared" ca="1" si="0"/>
        <v>#REF!</v>
      </c>
    </row>
    <row r="18" spans="1:21" x14ac:dyDescent="0.25">
      <c r="A18" s="32" t="s">
        <v>155</v>
      </c>
      <c r="B18" s="32">
        <v>590</v>
      </c>
      <c r="D18" s="30">
        <f t="shared" si="1"/>
        <v>0</v>
      </c>
      <c r="E18">
        <f>COUNTIF(Vertices[Degree], "&gt;= " &amp; D18) - COUNTIF(Vertices[Degree], "&gt;=" &amp; D19)</f>
        <v>0</v>
      </c>
      <c r="F18" s="35">
        <f t="shared" si="2"/>
        <v>0</v>
      </c>
      <c r="G18" s="36">
        <f>COUNTIF(Vertices[In-Degree], "&gt;= " &amp; F18) - COUNTIF(Vertices[In-Degree], "&gt;=" &amp; F19)</f>
        <v>0</v>
      </c>
      <c r="H18" s="35">
        <f t="shared" si="3"/>
        <v>0</v>
      </c>
      <c r="I18" s="36">
        <f>COUNTIF(Vertices[Out-Degree], "&gt;= " &amp; H18) - COUNTIF(Vertices[Out-Degree], "&gt;=" &amp; H19)</f>
        <v>0</v>
      </c>
      <c r="J18" s="35">
        <f t="shared" si="4"/>
        <v>0</v>
      </c>
      <c r="K18" s="36">
        <f>COUNTIF(Vertices[Betweenness Centrality], "&gt;= " &amp; J18) - COUNTIF(Vertices[Betweenness Centrality], "&gt;=" &amp; J19)</f>
        <v>0</v>
      </c>
      <c r="L18" s="35">
        <f t="shared" si="5"/>
        <v>0</v>
      </c>
      <c r="M18" s="36">
        <f>COUNTIF(Vertices[Closeness Centrality], "&gt;= " &amp; L18) - COUNTIF(Vertices[Closeness Centrality], "&gt;=" &amp; L19)</f>
        <v>0</v>
      </c>
      <c r="N18" s="35">
        <f t="shared" si="6"/>
        <v>0</v>
      </c>
      <c r="O18" s="36">
        <f>COUNTIF(Vertices[Eigenvector Centrality], "&gt;= " &amp; N18) - COUNTIF(Vertices[Eigenvector Centrality], "&gt;=" &amp; N19)</f>
        <v>0</v>
      </c>
      <c r="P18" s="35">
        <f t="shared" si="7"/>
        <v>0</v>
      </c>
      <c r="Q18" s="36">
        <f>COUNTIF(Vertices[PageRank], "&gt;= " &amp; P18) - COUNTIF(Vertices[PageRank], "&gt;=" &amp; P19)</f>
        <v>0</v>
      </c>
      <c r="R18" s="35">
        <f t="shared" si="8"/>
        <v>0</v>
      </c>
      <c r="S18" s="41">
        <f>COUNTIF(Vertices[Clustering Coefficient], "&gt;= " &amp; R18) - COUNTIF(Vertices[Clustering Coefficient], "&gt;=" &amp; R19)</f>
        <v>0</v>
      </c>
      <c r="T18" s="35" t="e">
        <f t="shared" ca="1" si="9"/>
        <v>#REF!</v>
      </c>
      <c r="U18" s="36" t="e">
        <f t="shared" ca="1" si="0"/>
        <v>#REF!</v>
      </c>
    </row>
    <row r="19" spans="1:21" x14ac:dyDescent="0.25">
      <c r="A19" s="104"/>
      <c r="B19" s="104"/>
      <c r="D19" s="30">
        <f t="shared" si="1"/>
        <v>0</v>
      </c>
      <c r="E19">
        <f>COUNTIF(Vertices[Degree], "&gt;= " &amp; D19) - COUNTIF(Vertices[Degree], "&gt;=" &amp; D20)</f>
        <v>0</v>
      </c>
      <c r="F19" s="37">
        <f t="shared" si="2"/>
        <v>0</v>
      </c>
      <c r="G19" s="38">
        <f>COUNTIF(Vertices[In-Degree], "&gt;= " &amp; F19) - COUNTIF(Vertices[In-Degree], "&gt;=" &amp; F20)</f>
        <v>0</v>
      </c>
      <c r="H19" s="37">
        <f t="shared" si="3"/>
        <v>0</v>
      </c>
      <c r="I19" s="38">
        <f>COUNTIF(Vertices[Out-Degree], "&gt;= " &amp; H19) - COUNTIF(Vertices[Out-Degree], "&gt;=" &amp; H20)</f>
        <v>0</v>
      </c>
      <c r="J19" s="37">
        <f t="shared" si="4"/>
        <v>0</v>
      </c>
      <c r="K19" s="38">
        <f>COUNTIF(Vertices[Betweenness Centrality], "&gt;= " &amp; J19) - COUNTIF(Vertices[Betweenness Centrality], "&gt;=" &amp; J20)</f>
        <v>0</v>
      </c>
      <c r="L19" s="37">
        <f t="shared" si="5"/>
        <v>0</v>
      </c>
      <c r="M19" s="38">
        <f>COUNTIF(Vertices[Closeness Centrality], "&gt;= " &amp; L19) - COUNTIF(Vertices[Closeness Centrality], "&gt;=" &amp; L20)</f>
        <v>0</v>
      </c>
      <c r="N19" s="37">
        <f t="shared" si="6"/>
        <v>0</v>
      </c>
      <c r="O19" s="38">
        <f>COUNTIF(Vertices[Eigenvector Centrality], "&gt;= " &amp; N19) - COUNTIF(Vertices[Eigenvector Centrality], "&gt;=" &amp; N20)</f>
        <v>0</v>
      </c>
      <c r="P19" s="37">
        <f t="shared" si="7"/>
        <v>0</v>
      </c>
      <c r="Q19" s="38">
        <f>COUNTIF(Vertices[PageRank], "&gt;= " &amp; P19) - COUNTIF(Vertices[PageRank], "&gt;=" &amp; P20)</f>
        <v>0</v>
      </c>
      <c r="R19" s="37">
        <f t="shared" si="8"/>
        <v>0</v>
      </c>
      <c r="S19" s="42">
        <f>COUNTIF(Vertices[Clustering Coefficient], "&gt;= " &amp; R19) - COUNTIF(Vertices[Clustering Coefficient], "&gt;=" &amp; R20)</f>
        <v>0</v>
      </c>
      <c r="T19" s="37" t="e">
        <f t="shared" ca="1" si="9"/>
        <v>#REF!</v>
      </c>
      <c r="U19" s="38" t="e">
        <f t="shared" ca="1" si="0"/>
        <v>#REF!</v>
      </c>
    </row>
    <row r="20" spans="1:21" x14ac:dyDescent="0.25">
      <c r="A20" s="32" t="s">
        <v>156</v>
      </c>
      <c r="B20" s="32">
        <v>4</v>
      </c>
      <c r="D20" s="30">
        <f t="shared" si="1"/>
        <v>0</v>
      </c>
      <c r="E20">
        <f>COUNTIF(Vertices[Degree], "&gt;= " &amp; D20) - COUNTIF(Vertices[Degree], "&gt;=" &amp; D21)</f>
        <v>0</v>
      </c>
      <c r="F20" s="35">
        <f t="shared" si="2"/>
        <v>0</v>
      </c>
      <c r="G20" s="36">
        <f>COUNTIF(Vertices[In-Degree], "&gt;= " &amp; F20) - COUNTIF(Vertices[In-Degree], "&gt;=" &amp; F21)</f>
        <v>0</v>
      </c>
      <c r="H20" s="35">
        <f t="shared" si="3"/>
        <v>0</v>
      </c>
      <c r="I20" s="36">
        <f>COUNTIF(Vertices[Out-Degree], "&gt;= " &amp; H20) - COUNTIF(Vertices[Out-Degree], "&gt;=" &amp; H21)</f>
        <v>0</v>
      </c>
      <c r="J20" s="35">
        <f t="shared" si="4"/>
        <v>0</v>
      </c>
      <c r="K20" s="36">
        <f>COUNTIF(Vertices[Betweenness Centrality], "&gt;= " &amp; J20) - COUNTIF(Vertices[Betweenness Centrality], "&gt;=" &amp; J21)</f>
        <v>0</v>
      </c>
      <c r="L20" s="35">
        <f t="shared" si="5"/>
        <v>0</v>
      </c>
      <c r="M20" s="36">
        <f>COUNTIF(Vertices[Closeness Centrality], "&gt;= " &amp; L20) - COUNTIF(Vertices[Closeness Centrality], "&gt;=" &amp; L21)</f>
        <v>0</v>
      </c>
      <c r="N20" s="35">
        <f t="shared" si="6"/>
        <v>0</v>
      </c>
      <c r="O20" s="36">
        <f>COUNTIF(Vertices[Eigenvector Centrality], "&gt;= " &amp; N20) - COUNTIF(Vertices[Eigenvector Centrality], "&gt;=" &amp; N21)</f>
        <v>0</v>
      </c>
      <c r="P20" s="35">
        <f t="shared" si="7"/>
        <v>0</v>
      </c>
      <c r="Q20" s="36">
        <f>COUNTIF(Vertices[PageRank], "&gt;= " &amp; P20) - COUNTIF(Vertices[PageRank], "&gt;=" &amp; P21)</f>
        <v>0</v>
      </c>
      <c r="R20" s="35">
        <f t="shared" si="8"/>
        <v>0</v>
      </c>
      <c r="S20" s="41">
        <f>COUNTIF(Vertices[Clustering Coefficient], "&gt;= " &amp; R20) - COUNTIF(Vertices[Clustering Coefficient], "&gt;=" &amp; R21)</f>
        <v>0</v>
      </c>
      <c r="T20" s="35" t="e">
        <f t="shared" ca="1" si="9"/>
        <v>#REF!</v>
      </c>
      <c r="U20" s="36" t="e">
        <f t="shared" ca="1" si="0"/>
        <v>#REF!</v>
      </c>
    </row>
    <row r="21" spans="1:21" x14ac:dyDescent="0.25">
      <c r="A21" s="32" t="s">
        <v>157</v>
      </c>
      <c r="B21" s="32">
        <v>1.049747</v>
      </c>
      <c r="D21" s="30">
        <f t="shared" si="1"/>
        <v>0</v>
      </c>
      <c r="E21">
        <f>COUNTIF(Vertices[Degree], "&gt;= " &amp; D21) - COUNTIF(Vertices[Degree], "&gt;=" &amp; D22)</f>
        <v>0</v>
      </c>
      <c r="F21" s="37">
        <f t="shared" si="2"/>
        <v>0</v>
      </c>
      <c r="G21" s="38">
        <f>COUNTIF(Vertices[In-Degree], "&gt;= " &amp; F21) - COUNTIF(Vertices[In-Degree], "&gt;=" &amp; F22)</f>
        <v>0</v>
      </c>
      <c r="H21" s="37">
        <f t="shared" si="3"/>
        <v>0</v>
      </c>
      <c r="I21" s="38">
        <f>COUNTIF(Vertices[Out-Degree], "&gt;= " &amp; H21) - COUNTIF(Vertices[Out-Degree], "&gt;=" &amp; H22)</f>
        <v>0</v>
      </c>
      <c r="J21" s="37">
        <f t="shared" si="4"/>
        <v>0</v>
      </c>
      <c r="K21" s="38">
        <f>COUNTIF(Vertices[Betweenness Centrality], "&gt;= " &amp; J21) - COUNTIF(Vertices[Betweenness Centrality], "&gt;=" &amp; J22)</f>
        <v>0</v>
      </c>
      <c r="L21" s="37">
        <f t="shared" si="5"/>
        <v>0</v>
      </c>
      <c r="M21" s="38">
        <f>COUNTIF(Vertices[Closeness Centrality], "&gt;= " &amp; L21) - COUNTIF(Vertices[Closeness Centrality], "&gt;=" &amp; L22)</f>
        <v>0</v>
      </c>
      <c r="N21" s="37">
        <f t="shared" si="6"/>
        <v>0</v>
      </c>
      <c r="O21" s="38">
        <f>COUNTIF(Vertices[Eigenvector Centrality], "&gt;= " &amp; N21) - COUNTIF(Vertices[Eigenvector Centrality], "&gt;=" &amp; N22)</f>
        <v>0</v>
      </c>
      <c r="P21" s="37">
        <f t="shared" si="7"/>
        <v>0</v>
      </c>
      <c r="Q21" s="38">
        <f>COUNTIF(Vertices[PageRank], "&gt;= " &amp; P21) - COUNTIF(Vertices[PageRank], "&gt;=" &amp; P22)</f>
        <v>0</v>
      </c>
      <c r="R21" s="37">
        <f t="shared" si="8"/>
        <v>0</v>
      </c>
      <c r="S21" s="42">
        <f>COUNTIF(Vertices[Clustering Coefficient], "&gt;= " &amp; R21) - COUNTIF(Vertices[Clustering Coefficient], "&gt;=" &amp; R22)</f>
        <v>0</v>
      </c>
      <c r="T21" s="37" t="e">
        <f t="shared" ca="1" si="9"/>
        <v>#REF!</v>
      </c>
      <c r="U21" s="38" t="e">
        <f t="shared" ca="1" si="0"/>
        <v>#REF!</v>
      </c>
    </row>
    <row r="22" spans="1:21" x14ac:dyDescent="0.25">
      <c r="A22" s="104"/>
      <c r="B22" s="104"/>
      <c r="D22" s="30">
        <f t="shared" si="1"/>
        <v>0</v>
      </c>
      <c r="E22">
        <f>COUNTIF(Vertices[Degree], "&gt;= " &amp; D22) - COUNTIF(Vertices[Degree], "&gt;=" &amp; D23)</f>
        <v>0</v>
      </c>
      <c r="F22" s="35">
        <f t="shared" si="2"/>
        <v>0</v>
      </c>
      <c r="G22" s="36">
        <f>COUNTIF(Vertices[In-Degree], "&gt;= " &amp; F22) - COUNTIF(Vertices[In-Degree], "&gt;=" &amp; F23)</f>
        <v>0</v>
      </c>
      <c r="H22" s="35">
        <f t="shared" si="3"/>
        <v>0</v>
      </c>
      <c r="I22" s="36">
        <f>COUNTIF(Vertices[Out-Degree], "&gt;= " &amp; H22) - COUNTIF(Vertices[Out-Degree], "&gt;=" &amp; H23)</f>
        <v>0</v>
      </c>
      <c r="J22" s="35">
        <f t="shared" si="4"/>
        <v>0</v>
      </c>
      <c r="K22" s="36">
        <f>COUNTIF(Vertices[Betweenness Centrality], "&gt;= " &amp; J22) - COUNTIF(Vertices[Betweenness Centrality], "&gt;=" &amp; J23)</f>
        <v>0</v>
      </c>
      <c r="L22" s="35">
        <f t="shared" si="5"/>
        <v>0</v>
      </c>
      <c r="M22" s="36">
        <f>COUNTIF(Vertices[Closeness Centrality], "&gt;= " &amp; L22) - COUNTIF(Vertices[Closeness Centrality], "&gt;=" &amp; L23)</f>
        <v>0</v>
      </c>
      <c r="N22" s="35">
        <f t="shared" si="6"/>
        <v>0</v>
      </c>
      <c r="O22" s="36">
        <f>COUNTIF(Vertices[Eigenvector Centrality], "&gt;= " &amp; N22) - COUNTIF(Vertices[Eigenvector Centrality], "&gt;=" &amp; N23)</f>
        <v>0</v>
      </c>
      <c r="P22" s="35">
        <f t="shared" si="7"/>
        <v>0</v>
      </c>
      <c r="Q22" s="36">
        <f>COUNTIF(Vertices[PageRank], "&gt;= " &amp; P22) - COUNTIF(Vertices[PageRank], "&gt;=" &amp; P23)</f>
        <v>0</v>
      </c>
      <c r="R22" s="35">
        <f t="shared" si="8"/>
        <v>0</v>
      </c>
      <c r="S22" s="41">
        <f>COUNTIF(Vertices[Clustering Coefficient], "&gt;= " &amp; R22) - COUNTIF(Vertices[Clustering Coefficient], "&gt;=" &amp; R23)</f>
        <v>0</v>
      </c>
      <c r="T22" s="35" t="e">
        <f t="shared" ca="1" si="9"/>
        <v>#REF!</v>
      </c>
      <c r="U22" s="36" t="e">
        <f t="shared" ca="1" si="0"/>
        <v>#REF!</v>
      </c>
    </row>
    <row r="23" spans="1:21" x14ac:dyDescent="0.25">
      <c r="A23" s="32" t="s">
        <v>158</v>
      </c>
      <c r="B23" s="32">
        <v>8.284782724891763E-5</v>
      </c>
      <c r="D23" s="30">
        <f t="shared" si="1"/>
        <v>0</v>
      </c>
      <c r="E23">
        <f>COUNTIF(Vertices[Degree], "&gt;= " &amp; D23) - COUNTIF(Vertices[Degree], "&gt;=" &amp; D24)</f>
        <v>0</v>
      </c>
      <c r="F23" s="37">
        <f t="shared" si="2"/>
        <v>0</v>
      </c>
      <c r="G23" s="38">
        <f>COUNTIF(Vertices[In-Degree], "&gt;= " &amp; F23) - COUNTIF(Vertices[In-Degree], "&gt;=" &amp; F24)</f>
        <v>0</v>
      </c>
      <c r="H23" s="37">
        <f t="shared" si="3"/>
        <v>0</v>
      </c>
      <c r="I23" s="38">
        <f>COUNTIF(Vertices[Out-Degree], "&gt;= " &amp; H23) - COUNTIF(Vertices[Out-Degree], "&gt;=" &amp; H24)</f>
        <v>0</v>
      </c>
      <c r="J23" s="37">
        <f t="shared" si="4"/>
        <v>0</v>
      </c>
      <c r="K23" s="38">
        <f>COUNTIF(Vertices[Betweenness Centrality], "&gt;= " &amp; J23) - COUNTIF(Vertices[Betweenness Centrality], "&gt;=" &amp; J24)</f>
        <v>0</v>
      </c>
      <c r="L23" s="37">
        <f t="shared" si="5"/>
        <v>0</v>
      </c>
      <c r="M23" s="38">
        <f>COUNTIF(Vertices[Closeness Centrality], "&gt;= " &amp; L23) - COUNTIF(Vertices[Closeness Centrality], "&gt;=" &amp; L24)</f>
        <v>0</v>
      </c>
      <c r="N23" s="37">
        <f t="shared" si="6"/>
        <v>0</v>
      </c>
      <c r="O23" s="38">
        <f>COUNTIF(Vertices[Eigenvector Centrality], "&gt;= " &amp; N23) - COUNTIF(Vertices[Eigenvector Centrality], "&gt;=" &amp; N24)</f>
        <v>0</v>
      </c>
      <c r="P23" s="37">
        <f t="shared" si="7"/>
        <v>0</v>
      </c>
      <c r="Q23" s="38">
        <f>COUNTIF(Vertices[PageRank], "&gt;= " &amp; P23) - COUNTIF(Vertices[PageRank], "&gt;=" &amp; P24)</f>
        <v>0</v>
      </c>
      <c r="R23" s="37">
        <f t="shared" si="8"/>
        <v>0</v>
      </c>
      <c r="S23" s="42">
        <f>COUNTIF(Vertices[Clustering Coefficient], "&gt;= " &amp; R23) - COUNTIF(Vertices[Clustering Coefficient], "&gt;=" &amp; R24)</f>
        <v>0</v>
      </c>
      <c r="T23" s="37" t="e">
        <f t="shared" ca="1" si="9"/>
        <v>#REF!</v>
      </c>
      <c r="U23" s="38" t="e">
        <f t="shared" ca="1" si="0"/>
        <v>#REF!</v>
      </c>
    </row>
    <row r="24" spans="1:21" x14ac:dyDescent="0.25">
      <c r="A24" s="32" t="s">
        <v>26001</v>
      </c>
      <c r="B24" s="32" t="s">
        <v>26017</v>
      </c>
      <c r="D24" s="30">
        <f t="shared" si="1"/>
        <v>0</v>
      </c>
      <c r="E24">
        <f>COUNTIF(Vertices[Degree], "&gt;= " &amp; D24) - COUNTIF(Vertices[Degree], "&gt;=" &amp; D25)</f>
        <v>0</v>
      </c>
      <c r="F24" s="35">
        <f t="shared" si="2"/>
        <v>0</v>
      </c>
      <c r="G24" s="36">
        <f>COUNTIF(Vertices[In-Degree], "&gt;= " &amp; F24) - COUNTIF(Vertices[In-Degree], "&gt;=" &amp; F25)</f>
        <v>0</v>
      </c>
      <c r="H24" s="35">
        <f t="shared" si="3"/>
        <v>0</v>
      </c>
      <c r="I24" s="36">
        <f>COUNTIF(Vertices[Out-Degree], "&gt;= " &amp; H24) - COUNTIF(Vertices[Out-Degree], "&gt;=" &amp; H25)</f>
        <v>0</v>
      </c>
      <c r="J24" s="35">
        <f t="shared" si="4"/>
        <v>0</v>
      </c>
      <c r="K24" s="36">
        <f>COUNTIF(Vertices[Betweenness Centrality], "&gt;= " &amp; J24) - COUNTIF(Vertices[Betweenness Centrality], "&gt;=" &amp; J25)</f>
        <v>0</v>
      </c>
      <c r="L24" s="35">
        <f t="shared" si="5"/>
        <v>0</v>
      </c>
      <c r="M24" s="36">
        <f>COUNTIF(Vertices[Closeness Centrality], "&gt;= " &amp; L24) - COUNTIF(Vertices[Closeness Centrality], "&gt;=" &amp; L25)</f>
        <v>0</v>
      </c>
      <c r="N24" s="35">
        <f t="shared" si="6"/>
        <v>0</v>
      </c>
      <c r="O24" s="36">
        <f>COUNTIF(Vertices[Eigenvector Centrality], "&gt;= " &amp; N24) - COUNTIF(Vertices[Eigenvector Centrality], "&gt;=" &amp; N25)</f>
        <v>0</v>
      </c>
      <c r="P24" s="35">
        <f t="shared" si="7"/>
        <v>0</v>
      </c>
      <c r="Q24" s="36">
        <f>COUNTIF(Vertices[PageRank], "&gt;= " &amp; P24) - COUNTIF(Vertices[PageRank], "&gt;=" &amp; P25)</f>
        <v>0</v>
      </c>
      <c r="R24" s="35">
        <f t="shared" si="8"/>
        <v>0</v>
      </c>
      <c r="S24" s="41">
        <f>COUNTIF(Vertices[Clustering Coefficient], "&gt;= " &amp; R24) - COUNTIF(Vertices[Clustering Coefficient], "&gt;=" &amp; R25)</f>
        <v>0</v>
      </c>
      <c r="T24" s="35" t="e">
        <f t="shared" ca="1" si="9"/>
        <v>#REF!</v>
      </c>
      <c r="U24" s="36" t="e">
        <f t="shared" ca="1" si="0"/>
        <v>#REF!</v>
      </c>
    </row>
    <row r="25" spans="1:21" x14ac:dyDescent="0.25">
      <c r="A25" s="104"/>
      <c r="B25" s="104"/>
      <c r="D25" s="30">
        <f t="shared" si="1"/>
        <v>0</v>
      </c>
      <c r="E25">
        <f>COUNTIF(Vertices[Degree], "&gt;= " &amp; D25) - COUNTIF(Vertices[Degree], "&gt;=" &amp; D26)</f>
        <v>0</v>
      </c>
      <c r="F25" s="37">
        <f t="shared" si="2"/>
        <v>0</v>
      </c>
      <c r="G25" s="38">
        <f>COUNTIF(Vertices[In-Degree], "&gt;= " &amp; F25) - COUNTIF(Vertices[In-Degree], "&gt;=" &amp; F26)</f>
        <v>0</v>
      </c>
      <c r="H25" s="37">
        <f t="shared" si="3"/>
        <v>0</v>
      </c>
      <c r="I25" s="38">
        <f>COUNTIF(Vertices[Out-Degree], "&gt;= " &amp; H25) - COUNTIF(Vertices[Out-Degree], "&gt;=" &amp; H26)</f>
        <v>0</v>
      </c>
      <c r="J25" s="37">
        <f t="shared" si="4"/>
        <v>0</v>
      </c>
      <c r="K25" s="38">
        <f>COUNTIF(Vertices[Betweenness Centrality], "&gt;= " &amp; J25) - COUNTIF(Vertices[Betweenness Centrality], "&gt;=" &amp; J26)</f>
        <v>0</v>
      </c>
      <c r="L25" s="37">
        <f t="shared" si="5"/>
        <v>0</v>
      </c>
      <c r="M25" s="38">
        <f>COUNTIF(Vertices[Closeness Centrality], "&gt;= " &amp; L25) - COUNTIF(Vertices[Closeness Centrality], "&gt;=" &amp; L26)</f>
        <v>0</v>
      </c>
      <c r="N25" s="37">
        <f t="shared" si="6"/>
        <v>0</v>
      </c>
      <c r="O25" s="38">
        <f>COUNTIF(Vertices[Eigenvector Centrality], "&gt;= " &amp; N25) - COUNTIF(Vertices[Eigenvector Centrality], "&gt;=" &amp; N26)</f>
        <v>0</v>
      </c>
      <c r="P25" s="37">
        <f t="shared" si="7"/>
        <v>0</v>
      </c>
      <c r="Q25" s="38">
        <f>COUNTIF(Vertices[PageRank], "&gt;= " &amp; P25) - COUNTIF(Vertices[PageRank], "&gt;=" &amp; P26)</f>
        <v>0</v>
      </c>
      <c r="R25" s="37">
        <f t="shared" si="8"/>
        <v>0</v>
      </c>
      <c r="S25" s="42">
        <f>COUNTIF(Vertices[Clustering Coefficient], "&gt;= " &amp; R25) - COUNTIF(Vertices[Clustering Coefficient], "&gt;=" &amp; R26)</f>
        <v>0</v>
      </c>
      <c r="T25" s="37" t="e">
        <f t="shared" ca="1" si="9"/>
        <v>#REF!</v>
      </c>
      <c r="U25" s="38" t="e">
        <f t="shared" ca="1" si="0"/>
        <v>#REF!</v>
      </c>
    </row>
    <row r="26" spans="1:21" x14ac:dyDescent="0.25">
      <c r="A26" s="32" t="s">
        <v>26002</v>
      </c>
      <c r="B26" s="32" t="s">
        <v>26018</v>
      </c>
      <c r="D26" s="30">
        <f t="shared" si="1"/>
        <v>0</v>
      </c>
      <c r="E26">
        <f>COUNTIF(Vertices[Degree], "&gt;= " &amp; D26) - COUNTIF(Vertices[Degree], "&gt;=" &amp; D27)</f>
        <v>0</v>
      </c>
      <c r="F26" s="35">
        <f t="shared" si="2"/>
        <v>0</v>
      </c>
      <c r="G26" s="36">
        <f>COUNTIF(Vertices[In-Degree], "&gt;= " &amp; F26) - COUNTIF(Vertices[In-Degree], "&gt;=" &amp; F27)</f>
        <v>0</v>
      </c>
      <c r="H26" s="35">
        <f t="shared" si="3"/>
        <v>0</v>
      </c>
      <c r="I26" s="36">
        <f>COUNTIF(Vertices[Out-Degree], "&gt;= " &amp; H26) - COUNTIF(Vertices[Out-Degree], "&gt;=" &amp; H27)</f>
        <v>0</v>
      </c>
      <c r="J26" s="35">
        <f t="shared" si="4"/>
        <v>0</v>
      </c>
      <c r="K26" s="36">
        <f>COUNTIF(Vertices[Betweenness Centrality], "&gt;= " &amp; J26) - COUNTIF(Vertices[Betweenness Centrality], "&gt;=" &amp; J27)</f>
        <v>0</v>
      </c>
      <c r="L26" s="35">
        <f t="shared" si="5"/>
        <v>0</v>
      </c>
      <c r="M26" s="36">
        <f>COUNTIF(Vertices[Closeness Centrality], "&gt;= " &amp; L26) - COUNTIF(Vertices[Closeness Centrality], "&gt;=" &amp; L27)</f>
        <v>0</v>
      </c>
      <c r="N26" s="35">
        <f t="shared" si="6"/>
        <v>0</v>
      </c>
      <c r="O26" s="36">
        <f>COUNTIF(Vertices[Eigenvector Centrality], "&gt;= " &amp; N26) - COUNTIF(Vertices[Eigenvector Centrality], "&gt;=" &amp; N27)</f>
        <v>0</v>
      </c>
      <c r="P26" s="35">
        <f t="shared" si="7"/>
        <v>0</v>
      </c>
      <c r="Q26" s="36">
        <f>COUNTIF(Vertices[PageRank], "&gt;= " &amp; P26) - COUNTIF(Vertices[PageRank], "&gt;=" &amp; P27)</f>
        <v>0</v>
      </c>
      <c r="R26" s="35">
        <f t="shared" si="8"/>
        <v>0</v>
      </c>
      <c r="S26" s="41">
        <f>COUNTIF(Vertices[Clustering Coefficient], "&gt;= " &amp; R26) - COUNTIF(Vertices[Clustering Coefficient], "&gt;=" &amp; R27)</f>
        <v>0</v>
      </c>
      <c r="T26" s="35" t="e">
        <f t="shared" ca="1" si="9"/>
        <v>#REF!</v>
      </c>
      <c r="U26" s="36" t="e">
        <f t="shared" ref="U26:U35" ca="1" si="10">COUNTIF(INDIRECT(DynamicFilterSourceColumnRange), "&gt;= " &amp; T26) - COUNTIF(INDIRECT(DynamicFilterSourceColumnRange), "&gt;=" &amp; T27)</f>
        <v>#REF!</v>
      </c>
    </row>
    <row r="27" spans="1:21" x14ac:dyDescent="0.25">
      <c r="A27" s="104"/>
      <c r="B27" s="104"/>
      <c r="D27" s="30">
        <f t="shared" si="1"/>
        <v>0</v>
      </c>
      <c r="E27">
        <f>COUNTIF(Vertices[Degree], "&gt;= " &amp; D27) - COUNTIF(Vertices[Degree], "&gt;=" &amp; D28)</f>
        <v>0</v>
      </c>
      <c r="F27" s="37">
        <f t="shared" si="2"/>
        <v>0</v>
      </c>
      <c r="G27" s="38">
        <f>COUNTIF(Vertices[In-Degree], "&gt;= " &amp; F27) - COUNTIF(Vertices[In-Degree], "&gt;=" &amp; F28)</f>
        <v>0</v>
      </c>
      <c r="H27" s="37">
        <f t="shared" si="3"/>
        <v>0</v>
      </c>
      <c r="I27" s="38">
        <f>COUNTIF(Vertices[Out-Degree], "&gt;= " &amp; H27) - COUNTIF(Vertices[Out-Degree], "&gt;=" &amp; H28)</f>
        <v>0</v>
      </c>
      <c r="J27" s="37">
        <f t="shared" si="4"/>
        <v>0</v>
      </c>
      <c r="K27" s="38">
        <f>COUNTIF(Vertices[Betweenness Centrality], "&gt;= " &amp; J27) - COUNTIF(Vertices[Betweenness Centrality], "&gt;=" &amp; J28)</f>
        <v>0</v>
      </c>
      <c r="L27" s="37">
        <f t="shared" si="5"/>
        <v>0</v>
      </c>
      <c r="M27" s="38">
        <f>COUNTIF(Vertices[Closeness Centrality], "&gt;= " &amp; L27) - COUNTIF(Vertices[Closeness Centrality], "&gt;=" &amp; L28)</f>
        <v>0</v>
      </c>
      <c r="N27" s="37">
        <f t="shared" si="6"/>
        <v>0</v>
      </c>
      <c r="O27" s="38">
        <f>COUNTIF(Vertices[Eigenvector Centrality], "&gt;= " &amp; N27) - COUNTIF(Vertices[Eigenvector Centrality], "&gt;=" &amp; N28)</f>
        <v>0</v>
      </c>
      <c r="P27" s="37">
        <f t="shared" si="7"/>
        <v>0</v>
      </c>
      <c r="Q27" s="38">
        <f>COUNTIF(Vertices[PageRank], "&gt;= " &amp; P27) - COUNTIF(Vertices[PageRank], "&gt;=" &amp; P28)</f>
        <v>0</v>
      </c>
      <c r="R27" s="37">
        <f t="shared" si="8"/>
        <v>0</v>
      </c>
      <c r="S27" s="42">
        <f>COUNTIF(Vertices[Clustering Coefficient], "&gt;= " &amp; R27) - COUNTIF(Vertices[Clustering Coefficient], "&gt;=" &amp; R28)</f>
        <v>0</v>
      </c>
      <c r="T27" s="37" t="e">
        <f t="shared" ca="1" si="9"/>
        <v>#REF!</v>
      </c>
      <c r="U27" s="38" t="e">
        <f t="shared" ca="1" si="10"/>
        <v>#REF!</v>
      </c>
    </row>
    <row r="28" spans="1:21" x14ac:dyDescent="0.25">
      <c r="A28" s="32" t="s">
        <v>26003</v>
      </c>
      <c r="B28" s="32" t="s">
        <v>85</v>
      </c>
      <c r="D28" s="30">
        <f t="shared" si="1"/>
        <v>0</v>
      </c>
      <c r="E28">
        <f>COUNTIF(Vertices[Degree], "&gt;= " &amp; D28) - COUNTIF(Vertices[Degree], "&gt;=" &amp; D29)</f>
        <v>0</v>
      </c>
      <c r="F28" s="35">
        <f t="shared" si="2"/>
        <v>0</v>
      </c>
      <c r="G28" s="36">
        <f>COUNTIF(Vertices[In-Degree], "&gt;= " &amp; F28) - COUNTIF(Vertices[In-Degree], "&gt;=" &amp; F29)</f>
        <v>0</v>
      </c>
      <c r="H28" s="35">
        <f t="shared" si="3"/>
        <v>0</v>
      </c>
      <c r="I28" s="36">
        <f>COUNTIF(Vertices[Out-Degree], "&gt;= " &amp; H28) - COUNTIF(Vertices[Out-Degree], "&gt;=" &amp; H29)</f>
        <v>0</v>
      </c>
      <c r="J28" s="35">
        <f t="shared" si="4"/>
        <v>0</v>
      </c>
      <c r="K28" s="36">
        <f>COUNTIF(Vertices[Betweenness Centrality], "&gt;= " &amp; J28) - COUNTIF(Vertices[Betweenness Centrality], "&gt;=" &amp; J29)</f>
        <v>0</v>
      </c>
      <c r="L28" s="35">
        <f t="shared" si="5"/>
        <v>0</v>
      </c>
      <c r="M28" s="36">
        <f>COUNTIF(Vertices[Closeness Centrality], "&gt;= " &amp; L28) - COUNTIF(Vertices[Closeness Centrality], "&gt;=" &amp; L29)</f>
        <v>0</v>
      </c>
      <c r="N28" s="35">
        <f t="shared" si="6"/>
        <v>0</v>
      </c>
      <c r="O28" s="36">
        <f>COUNTIF(Vertices[Eigenvector Centrality], "&gt;= " &amp; N28) - COUNTIF(Vertices[Eigenvector Centrality], "&gt;=" &amp; N29)</f>
        <v>0</v>
      </c>
      <c r="P28" s="35">
        <f t="shared" si="7"/>
        <v>0</v>
      </c>
      <c r="Q28" s="36">
        <f>COUNTIF(Vertices[PageRank], "&gt;= " &amp; P28) - COUNTIF(Vertices[PageRank], "&gt;=" &amp; P29)</f>
        <v>0</v>
      </c>
      <c r="R28" s="35">
        <f t="shared" si="8"/>
        <v>0</v>
      </c>
      <c r="S28" s="41">
        <f>COUNTIF(Vertices[Clustering Coefficient], "&gt;= " &amp; R28) - COUNTIF(Vertices[Clustering Coefficient], "&gt;=" &amp; R29)</f>
        <v>0</v>
      </c>
      <c r="T28" s="35" t="e">
        <f t="shared" ca="1" si="9"/>
        <v>#REF!</v>
      </c>
      <c r="U28" s="36" t="e">
        <f t="shared" ca="1" si="10"/>
        <v>#REF!</v>
      </c>
    </row>
    <row r="29" spans="1:21" x14ac:dyDescent="0.25">
      <c r="A29" s="32" t="s">
        <v>26004</v>
      </c>
      <c r="B29" s="32" t="s">
        <v>85</v>
      </c>
      <c r="D29" s="30">
        <f t="shared" si="1"/>
        <v>0</v>
      </c>
      <c r="E29">
        <f>COUNTIF(Vertices[Degree], "&gt;= " &amp; D29) - COUNTIF(Vertices[Degree], "&gt;=" &amp; D30)</f>
        <v>0</v>
      </c>
      <c r="F29" s="37">
        <f t="shared" si="2"/>
        <v>0</v>
      </c>
      <c r="G29" s="38">
        <f>COUNTIF(Vertices[In-Degree], "&gt;= " &amp; F29) - COUNTIF(Vertices[In-Degree], "&gt;=" &amp; F30)</f>
        <v>0</v>
      </c>
      <c r="H29" s="37">
        <f t="shared" si="3"/>
        <v>0</v>
      </c>
      <c r="I29" s="38">
        <f>COUNTIF(Vertices[Out-Degree], "&gt;= " &amp; H29) - COUNTIF(Vertices[Out-Degree], "&gt;=" &amp; H30)</f>
        <v>0</v>
      </c>
      <c r="J29" s="37">
        <f t="shared" si="4"/>
        <v>0</v>
      </c>
      <c r="K29" s="38">
        <f>COUNTIF(Vertices[Betweenness Centrality], "&gt;= " &amp; J29) - COUNTIF(Vertices[Betweenness Centrality], "&gt;=" &amp; J30)</f>
        <v>0</v>
      </c>
      <c r="L29" s="37">
        <f t="shared" si="5"/>
        <v>0</v>
      </c>
      <c r="M29" s="38">
        <f>COUNTIF(Vertices[Closeness Centrality], "&gt;= " &amp; L29) - COUNTIF(Vertices[Closeness Centrality], "&gt;=" &amp; L30)</f>
        <v>0</v>
      </c>
      <c r="N29" s="37">
        <f t="shared" si="6"/>
        <v>0</v>
      </c>
      <c r="O29" s="38">
        <f>COUNTIF(Vertices[Eigenvector Centrality], "&gt;= " &amp; N29) - COUNTIF(Vertices[Eigenvector Centrality], "&gt;=" &amp; N30)</f>
        <v>0</v>
      </c>
      <c r="P29" s="37">
        <f t="shared" si="7"/>
        <v>0</v>
      </c>
      <c r="Q29" s="38">
        <f>COUNTIF(Vertices[PageRank], "&gt;= " &amp; P29) - COUNTIF(Vertices[PageRank], "&gt;=" &amp; P30)</f>
        <v>0</v>
      </c>
      <c r="R29" s="37">
        <f t="shared" si="8"/>
        <v>0</v>
      </c>
      <c r="S29" s="42">
        <f>COUNTIF(Vertices[Clustering Coefficient], "&gt;= " &amp; R29) - COUNTIF(Vertices[Clustering Coefficient], "&gt;=" &amp; R30)</f>
        <v>0</v>
      </c>
      <c r="T29" s="37" t="e">
        <f t="shared" ca="1" si="9"/>
        <v>#REF!</v>
      </c>
      <c r="U29" s="38" t="e">
        <f t="shared" ca="1" si="10"/>
        <v>#REF!</v>
      </c>
    </row>
    <row r="30" spans="1:21" x14ac:dyDescent="0.25">
      <c r="A30" s="104"/>
      <c r="B30" s="104"/>
      <c r="D30" s="30">
        <f t="shared" si="1"/>
        <v>0</v>
      </c>
      <c r="E30">
        <f>COUNTIF(Vertices[Degree], "&gt;= " &amp; D30) - COUNTIF(Vertices[Degree], "&gt;=" &amp; D31)</f>
        <v>0</v>
      </c>
      <c r="F30" s="35">
        <f t="shared" si="2"/>
        <v>0</v>
      </c>
      <c r="G30" s="36">
        <f>COUNTIF(Vertices[In-Degree], "&gt;= " &amp; F30) - COUNTIF(Vertices[In-Degree], "&gt;=" &amp; F31)</f>
        <v>0</v>
      </c>
      <c r="H30" s="35">
        <f t="shared" si="3"/>
        <v>0</v>
      </c>
      <c r="I30" s="36">
        <f>COUNTIF(Vertices[Out-Degree], "&gt;= " &amp; H30) - COUNTIF(Vertices[Out-Degree], "&gt;=" &amp; H31)</f>
        <v>0</v>
      </c>
      <c r="J30" s="35">
        <f t="shared" si="4"/>
        <v>0</v>
      </c>
      <c r="K30" s="36">
        <f>COUNTIF(Vertices[Betweenness Centrality], "&gt;= " &amp; J30) - COUNTIF(Vertices[Betweenness Centrality], "&gt;=" &amp; J31)</f>
        <v>0</v>
      </c>
      <c r="L30" s="35">
        <f t="shared" si="5"/>
        <v>0</v>
      </c>
      <c r="M30" s="36">
        <f>COUNTIF(Vertices[Closeness Centrality], "&gt;= " &amp; L30) - COUNTIF(Vertices[Closeness Centrality], "&gt;=" &amp; L31)</f>
        <v>0</v>
      </c>
      <c r="N30" s="35">
        <f t="shared" si="6"/>
        <v>0</v>
      </c>
      <c r="O30" s="36">
        <f>COUNTIF(Vertices[Eigenvector Centrality], "&gt;= " &amp; N30) - COUNTIF(Vertices[Eigenvector Centrality], "&gt;=" &amp; N31)</f>
        <v>0</v>
      </c>
      <c r="P30" s="35">
        <f t="shared" si="7"/>
        <v>0</v>
      </c>
      <c r="Q30" s="36">
        <f>COUNTIF(Vertices[PageRank], "&gt;= " &amp; P30) - COUNTIF(Vertices[PageRank], "&gt;=" &amp; P31)</f>
        <v>0</v>
      </c>
      <c r="R30" s="35">
        <f t="shared" si="8"/>
        <v>0</v>
      </c>
      <c r="S30" s="41">
        <f>COUNTIF(Vertices[Clustering Coefficient], "&gt;= " &amp; R30) - COUNTIF(Vertices[Clustering Coefficient], "&gt;=" &amp; R31)</f>
        <v>0</v>
      </c>
      <c r="T30" s="35" t="e">
        <f t="shared" ca="1" si="9"/>
        <v>#REF!</v>
      </c>
      <c r="U30" s="36" t="e">
        <f t="shared" ca="1" si="10"/>
        <v>#REF!</v>
      </c>
    </row>
    <row r="31" spans="1:21" x14ac:dyDescent="0.25">
      <c r="A31" s="32" t="s">
        <v>26005</v>
      </c>
      <c r="B31" s="32" t="s">
        <v>26019</v>
      </c>
      <c r="D31" s="30">
        <f t="shared" si="1"/>
        <v>0</v>
      </c>
      <c r="E31">
        <f>COUNTIF(Vertices[Degree], "&gt;= " &amp; D31) - COUNTIF(Vertices[Degree], "&gt;=" &amp; D32)</f>
        <v>0</v>
      </c>
      <c r="F31" s="37">
        <f t="shared" si="2"/>
        <v>0</v>
      </c>
      <c r="G31" s="38">
        <f>COUNTIF(Vertices[In-Degree], "&gt;= " &amp; F31) - COUNTIF(Vertices[In-Degree], "&gt;=" &amp; F32)</f>
        <v>0</v>
      </c>
      <c r="H31" s="37">
        <f t="shared" si="3"/>
        <v>0</v>
      </c>
      <c r="I31" s="38">
        <f>COUNTIF(Vertices[Out-Degree], "&gt;= " &amp; H31) - COUNTIF(Vertices[Out-Degree], "&gt;=" &amp; H32)</f>
        <v>0</v>
      </c>
      <c r="J31" s="37">
        <f t="shared" si="4"/>
        <v>0</v>
      </c>
      <c r="K31" s="38">
        <f>COUNTIF(Vertices[Betweenness Centrality], "&gt;= " &amp; J31) - COUNTIF(Vertices[Betweenness Centrality], "&gt;=" &amp; J32)</f>
        <v>0</v>
      </c>
      <c r="L31" s="37">
        <f t="shared" si="5"/>
        <v>0</v>
      </c>
      <c r="M31" s="38">
        <f>COUNTIF(Vertices[Closeness Centrality], "&gt;= " &amp; L31) - COUNTIF(Vertices[Closeness Centrality], "&gt;=" &amp; L32)</f>
        <v>0</v>
      </c>
      <c r="N31" s="37">
        <f t="shared" si="6"/>
        <v>0</v>
      </c>
      <c r="O31" s="38">
        <f>COUNTIF(Vertices[Eigenvector Centrality], "&gt;= " &amp; N31) - COUNTIF(Vertices[Eigenvector Centrality], "&gt;=" &amp; N32)</f>
        <v>0</v>
      </c>
      <c r="P31" s="37">
        <f t="shared" si="7"/>
        <v>0</v>
      </c>
      <c r="Q31" s="38">
        <f>COUNTIF(Vertices[PageRank], "&gt;= " &amp; P31) - COUNTIF(Vertices[PageRank], "&gt;=" &amp; P32)</f>
        <v>0</v>
      </c>
      <c r="R31" s="37">
        <f t="shared" si="8"/>
        <v>0</v>
      </c>
      <c r="S31" s="42">
        <f>COUNTIF(Vertices[Clustering Coefficient], "&gt;= " &amp; R31) - COUNTIF(Vertices[Clustering Coefficient], "&gt;=" &amp; R32)</f>
        <v>0</v>
      </c>
      <c r="T31" s="37" t="e">
        <f t="shared" ca="1" si="9"/>
        <v>#REF!</v>
      </c>
      <c r="U31" s="38" t="e">
        <f t="shared" ca="1" si="10"/>
        <v>#REF!</v>
      </c>
    </row>
    <row r="32" spans="1:21" x14ac:dyDescent="0.25">
      <c r="A32" s="32" t="s">
        <v>26006</v>
      </c>
      <c r="B32" s="32" t="s">
        <v>26020</v>
      </c>
      <c r="D32" s="30">
        <f t="shared" si="1"/>
        <v>0</v>
      </c>
      <c r="E32">
        <f>COUNTIF(Vertices[Degree], "&gt;= " &amp; D32) - COUNTIF(Vertices[Degree], "&gt;=" &amp; D33)</f>
        <v>0</v>
      </c>
      <c r="F32" s="35">
        <f t="shared" si="2"/>
        <v>0</v>
      </c>
      <c r="G32" s="36">
        <f>COUNTIF(Vertices[In-Degree], "&gt;= " &amp; F32) - COUNTIF(Vertices[In-Degree], "&gt;=" &amp; F33)</f>
        <v>0</v>
      </c>
      <c r="H32" s="35">
        <f t="shared" si="3"/>
        <v>0</v>
      </c>
      <c r="I32" s="36">
        <f>COUNTIF(Vertices[Out-Degree], "&gt;= " &amp; H32) - COUNTIF(Vertices[Out-Degree], "&gt;=" &amp; H33)</f>
        <v>0</v>
      </c>
      <c r="J32" s="35">
        <f t="shared" si="4"/>
        <v>0</v>
      </c>
      <c r="K32" s="36">
        <f>COUNTIF(Vertices[Betweenness Centrality], "&gt;= " &amp; J32) - COUNTIF(Vertices[Betweenness Centrality], "&gt;=" &amp; J33)</f>
        <v>0</v>
      </c>
      <c r="L32" s="35">
        <f t="shared" si="5"/>
        <v>0</v>
      </c>
      <c r="M32" s="36">
        <f>COUNTIF(Vertices[Closeness Centrality], "&gt;= " &amp; L32) - COUNTIF(Vertices[Closeness Centrality], "&gt;=" &amp; L33)</f>
        <v>0</v>
      </c>
      <c r="N32" s="35">
        <f t="shared" si="6"/>
        <v>0</v>
      </c>
      <c r="O32" s="36">
        <f>COUNTIF(Vertices[Eigenvector Centrality], "&gt;= " &amp; N32) - COUNTIF(Vertices[Eigenvector Centrality], "&gt;=" &amp; N33)</f>
        <v>0</v>
      </c>
      <c r="P32" s="35">
        <f t="shared" si="7"/>
        <v>0</v>
      </c>
      <c r="Q32" s="36">
        <f>COUNTIF(Vertices[PageRank], "&gt;= " &amp; P32) - COUNTIF(Vertices[PageRank], "&gt;=" &amp; P33)</f>
        <v>0</v>
      </c>
      <c r="R32" s="35">
        <f t="shared" si="8"/>
        <v>0</v>
      </c>
      <c r="S32" s="41">
        <f>COUNTIF(Vertices[Clustering Coefficient], "&gt;= " &amp; R32) - COUNTIF(Vertices[Clustering Coefficient], "&gt;=" &amp; R33)</f>
        <v>0</v>
      </c>
      <c r="T32" s="35" t="e">
        <f t="shared" ca="1" si="9"/>
        <v>#REF!</v>
      </c>
      <c r="U32" s="36" t="e">
        <f t="shared" ca="1" si="10"/>
        <v>#REF!</v>
      </c>
    </row>
    <row r="33" spans="1:21" x14ac:dyDescent="0.25">
      <c r="A33" s="32" t="s">
        <v>26007</v>
      </c>
      <c r="B33" s="32" t="s">
        <v>26021</v>
      </c>
      <c r="D33" s="30">
        <f t="shared" si="1"/>
        <v>0</v>
      </c>
      <c r="E33">
        <f>COUNTIF(Vertices[Degree], "&gt;= " &amp; D33) - COUNTIF(Vertices[Degree], "&gt;=" &amp; D34)</f>
        <v>0</v>
      </c>
      <c r="F33" s="37">
        <f t="shared" si="2"/>
        <v>0</v>
      </c>
      <c r="G33" s="38">
        <f>COUNTIF(Vertices[In-Degree], "&gt;= " &amp; F33) - COUNTIF(Vertices[In-Degree], "&gt;=" &amp; F34)</f>
        <v>0</v>
      </c>
      <c r="H33" s="37">
        <f t="shared" si="3"/>
        <v>0</v>
      </c>
      <c r="I33" s="38">
        <f>COUNTIF(Vertices[Out-Degree], "&gt;= " &amp; H33) - COUNTIF(Vertices[Out-Degree], "&gt;=" &amp; H34)</f>
        <v>0</v>
      </c>
      <c r="J33" s="37">
        <f t="shared" si="4"/>
        <v>0</v>
      </c>
      <c r="K33" s="38">
        <f>COUNTIF(Vertices[Betweenness Centrality], "&gt;= " &amp; J33) - COUNTIF(Vertices[Betweenness Centrality], "&gt;=" &amp; J34)</f>
        <v>0</v>
      </c>
      <c r="L33" s="37">
        <f t="shared" si="5"/>
        <v>0</v>
      </c>
      <c r="M33" s="38">
        <f>COUNTIF(Vertices[Closeness Centrality], "&gt;= " &amp; L33) - COUNTIF(Vertices[Closeness Centrality], "&gt;=" &amp; L34)</f>
        <v>0</v>
      </c>
      <c r="N33" s="37">
        <f t="shared" si="6"/>
        <v>0</v>
      </c>
      <c r="O33" s="38">
        <f>COUNTIF(Vertices[Eigenvector Centrality], "&gt;= " &amp; N33) - COUNTIF(Vertices[Eigenvector Centrality], "&gt;=" &amp; N34)</f>
        <v>0</v>
      </c>
      <c r="P33" s="37">
        <f t="shared" si="7"/>
        <v>0</v>
      </c>
      <c r="Q33" s="38">
        <f>COUNTIF(Vertices[PageRank], "&gt;= " &amp; P33) - COUNTIF(Vertices[PageRank], "&gt;=" &amp; P34)</f>
        <v>0</v>
      </c>
      <c r="R33" s="37">
        <f t="shared" si="8"/>
        <v>0</v>
      </c>
      <c r="S33" s="42">
        <f>COUNTIF(Vertices[Clustering Coefficient], "&gt;= " &amp; R33) - COUNTIF(Vertices[Clustering Coefficient], "&gt;=" &amp; R34)</f>
        <v>0</v>
      </c>
      <c r="T33" s="37" t="e">
        <f t="shared" ca="1" si="9"/>
        <v>#REF!</v>
      </c>
      <c r="U33" s="38" t="e">
        <f t="shared" ca="1" si="10"/>
        <v>#REF!</v>
      </c>
    </row>
    <row r="34" spans="1:21" x14ac:dyDescent="0.25">
      <c r="A34" s="32" t="s">
        <v>26008</v>
      </c>
      <c r="B34" s="32" t="s">
        <v>85</v>
      </c>
      <c r="D34" s="30">
        <f t="shared" si="1"/>
        <v>0</v>
      </c>
      <c r="E34">
        <f>COUNTIF(Vertices[Degree], "&gt;= " &amp; D34) - COUNTIF(Vertices[Degree], "&gt;=" &amp; D35)</f>
        <v>0</v>
      </c>
      <c r="F34" s="35">
        <f t="shared" si="2"/>
        <v>0</v>
      </c>
      <c r="G34" s="36">
        <f>COUNTIF(Vertices[In-Degree], "&gt;= " &amp; F34) - COUNTIF(Vertices[In-Degree], "&gt;=" &amp; F35)</f>
        <v>0</v>
      </c>
      <c r="H34" s="35">
        <f t="shared" si="3"/>
        <v>0</v>
      </c>
      <c r="I34" s="36">
        <f>COUNTIF(Vertices[Out-Degree], "&gt;= " &amp; H34) - COUNTIF(Vertices[Out-Degree], "&gt;=" &amp; H35)</f>
        <v>0</v>
      </c>
      <c r="J34" s="35">
        <f t="shared" si="4"/>
        <v>0</v>
      </c>
      <c r="K34" s="36">
        <f>COUNTIF(Vertices[Betweenness Centrality], "&gt;= " &amp; J34) - COUNTIF(Vertices[Betweenness Centrality], "&gt;=" &amp; J35)</f>
        <v>0</v>
      </c>
      <c r="L34" s="35">
        <f t="shared" si="5"/>
        <v>0</v>
      </c>
      <c r="M34" s="36">
        <f>COUNTIF(Vertices[Closeness Centrality], "&gt;= " &amp; L34) - COUNTIF(Vertices[Closeness Centrality], "&gt;=" &amp; L35)</f>
        <v>0</v>
      </c>
      <c r="N34" s="35">
        <f t="shared" si="6"/>
        <v>0</v>
      </c>
      <c r="O34" s="36">
        <f>COUNTIF(Vertices[Eigenvector Centrality], "&gt;= " &amp; N34) - COUNTIF(Vertices[Eigenvector Centrality], "&gt;=" &amp; N35)</f>
        <v>0</v>
      </c>
      <c r="P34" s="35">
        <f t="shared" si="7"/>
        <v>0</v>
      </c>
      <c r="Q34" s="36">
        <f>COUNTIF(Vertices[PageRank], "&gt;= " &amp; P34) - COUNTIF(Vertices[PageRank], "&gt;=" &amp; P35)</f>
        <v>0</v>
      </c>
      <c r="R34" s="35">
        <f t="shared" si="8"/>
        <v>0</v>
      </c>
      <c r="S34" s="41">
        <f>COUNTIF(Vertices[Clustering Coefficient], "&gt;= " &amp; R34) - COUNTIF(Vertices[Clustering Coefficient], "&gt;=" &amp; R35)</f>
        <v>0</v>
      </c>
      <c r="T34" s="35" t="e">
        <f t="shared" ca="1" si="9"/>
        <v>#REF!</v>
      </c>
      <c r="U34" s="36" t="e">
        <f t="shared" ca="1" si="10"/>
        <v>#REF!</v>
      </c>
    </row>
    <row r="35" spans="1:21" x14ac:dyDescent="0.25">
      <c r="A35" s="32" t="s">
        <v>26009</v>
      </c>
      <c r="B35" s="32" t="s">
        <v>85</v>
      </c>
      <c r="D35" s="30">
        <f t="shared" si="1"/>
        <v>0</v>
      </c>
      <c r="E35">
        <f>COUNTIF(Vertices[Degree], "&gt;= " &amp; D35) - COUNTIF(Vertices[Degree], "&gt;=" &amp; D36)</f>
        <v>0</v>
      </c>
      <c r="F35" s="37">
        <f t="shared" si="2"/>
        <v>0</v>
      </c>
      <c r="G35" s="38">
        <f>COUNTIF(Vertices[In-Degree], "&gt;= " &amp; F35) - COUNTIF(Vertices[In-Degree], "&gt;=" &amp; F36)</f>
        <v>0</v>
      </c>
      <c r="H35" s="37">
        <f t="shared" si="3"/>
        <v>0</v>
      </c>
      <c r="I35" s="38">
        <f>COUNTIF(Vertices[Out-Degree], "&gt;= " &amp; H35) - COUNTIF(Vertices[Out-Degree], "&gt;=" &amp; H36)</f>
        <v>0</v>
      </c>
      <c r="J35" s="37">
        <f t="shared" si="4"/>
        <v>0</v>
      </c>
      <c r="K35" s="38">
        <f>COUNTIF(Vertices[Betweenness Centrality], "&gt;= " &amp; J35) - COUNTIF(Vertices[Betweenness Centrality], "&gt;=" &amp; J36)</f>
        <v>0</v>
      </c>
      <c r="L35" s="37">
        <f t="shared" si="5"/>
        <v>0</v>
      </c>
      <c r="M35" s="38">
        <f>COUNTIF(Vertices[Closeness Centrality], "&gt;= " &amp; L35) - COUNTIF(Vertices[Closeness Centrality], "&gt;=" &amp; L36)</f>
        <v>0</v>
      </c>
      <c r="N35" s="37">
        <f t="shared" si="6"/>
        <v>0</v>
      </c>
      <c r="O35" s="38">
        <f>COUNTIF(Vertices[Eigenvector Centrality], "&gt;= " &amp; N35) - COUNTIF(Vertices[Eigenvector Centrality], "&gt;=" &amp; N36)</f>
        <v>0</v>
      </c>
      <c r="P35" s="37">
        <f t="shared" si="7"/>
        <v>0</v>
      </c>
      <c r="Q35" s="38">
        <f>COUNTIF(Vertices[PageRank], "&gt;= " &amp; P35) - COUNTIF(Vertices[PageRank], "&gt;=" &amp; P36)</f>
        <v>0</v>
      </c>
      <c r="R35" s="37">
        <f t="shared" si="8"/>
        <v>0</v>
      </c>
      <c r="S35" s="42">
        <f>COUNTIF(Vertices[Clustering Coefficient], "&gt;= " &amp; R35) - COUNTIF(Vertices[Clustering Coefficient], "&gt;=" &amp; R36)</f>
        <v>0</v>
      </c>
      <c r="T35" s="37" t="e">
        <f t="shared" ca="1" si="9"/>
        <v>#REF!</v>
      </c>
      <c r="U35" s="38" t="e">
        <f t="shared" ca="1" si="10"/>
        <v>#REF!</v>
      </c>
    </row>
    <row r="36" spans="1:21" x14ac:dyDescent="0.25">
      <c r="A36" s="32" t="s">
        <v>26010</v>
      </c>
      <c r="B36" s="32" t="s">
        <v>85</v>
      </c>
      <c r="D36" s="30">
        <f>MAX(Vertices[Degree])</f>
        <v>0</v>
      </c>
      <c r="E36">
        <f>COUNTIF(Vertices[Degree], "&gt;= " &amp; D36) - COUNTIF(Vertices[Degree], "&gt;=" &amp;#REF!)</f>
        <v>0</v>
      </c>
      <c r="F36" s="39">
        <f>MAX(Vertices[In-Degree])</f>
        <v>0</v>
      </c>
      <c r="G36" s="40">
        <f>COUNTIF(Vertices[In-Degree], "&gt;= " &amp; F36) - COUNTIF(Vertices[In-Degree], "&gt;=" &amp;#REF!)</f>
        <v>0</v>
      </c>
      <c r="H36" s="39">
        <f>MAX(Vertices[Out-Degree])</f>
        <v>0</v>
      </c>
      <c r="I36" s="40">
        <f>COUNTIF(Vertices[Out-Degree], "&gt;= " &amp; H36) - COUNTIF(Vertices[Out-Degree], "&gt;=" &amp;#REF!)</f>
        <v>0</v>
      </c>
      <c r="J36" s="39">
        <f>MAX(Vertices[Betweenness Centrality])</f>
        <v>0</v>
      </c>
      <c r="K36" s="40">
        <f>COUNTIF(Vertices[Betweenness Centrality], "&gt;= " &amp; J36) - COUNTIF(Vertices[Betweenness Centrality], "&gt;=" &amp;#REF!)</f>
        <v>0</v>
      </c>
      <c r="L36" s="39">
        <f>MAX(Vertices[Closeness Centrality])</f>
        <v>0</v>
      </c>
      <c r="M36" s="40">
        <f>COUNTIF(Vertices[Closeness Centrality], "&gt;= " &amp; L36) - COUNTIF(Vertices[Closeness Centrality], "&gt;=" &amp;#REF!)</f>
        <v>0</v>
      </c>
      <c r="N36" s="39">
        <f>MAX(Vertices[Eigenvector Centrality])</f>
        <v>0</v>
      </c>
      <c r="O36" s="40">
        <f>COUNTIF(Vertices[Eigenvector Centrality], "&gt;= " &amp; N36) - COUNTIF(Vertices[Eigenvector Centrality], "&gt;=" &amp;#REF!)</f>
        <v>0</v>
      </c>
      <c r="P36" s="39">
        <f>MAX(Vertices[PageRank])</f>
        <v>0</v>
      </c>
      <c r="Q36" s="40">
        <f>COUNTIF(Vertices[PageRank], "&gt;= " &amp; P36) - COUNTIF(Vertices[PageRank], "&gt;=" &amp;#REF!)</f>
        <v>0</v>
      </c>
      <c r="R36" s="39">
        <f>MAX(Vertices[Clustering Coefficient])</f>
        <v>0</v>
      </c>
      <c r="S36" s="43">
        <f>COUNTIF(Vertices[Clustering Coefficient], "&gt;= " &amp; R36) - COUNTIF(Vertices[Clustering Coefficient], "&gt;=" &amp;#REF!)</f>
        <v>0</v>
      </c>
      <c r="T36" s="39" t="e">
        <f ca="1">MAX(INDIRECT(DynamicFilterSourceColumnRange))</f>
        <v>#REF!</v>
      </c>
      <c r="U36" s="40" t="e">
        <f ca="1">COUNTIF(INDIRECT(DynamicFilterSourceColumnRange), "&gt;= " &amp; T36) - COUNTIF(INDIRECT(DynamicFilterSourceColumnRange), "&gt;=" &amp;#REF!)</f>
        <v>#REF!</v>
      </c>
    </row>
    <row r="37" spans="1:21" x14ac:dyDescent="0.25">
      <c r="A37" s="32" t="s">
        <v>26011</v>
      </c>
      <c r="B37" s="32" t="s">
        <v>85</v>
      </c>
    </row>
    <row r="38" spans="1:21" x14ac:dyDescent="0.25">
      <c r="A38" s="32" t="s">
        <v>26012</v>
      </c>
      <c r="B38" s="32" t="s">
        <v>85</v>
      </c>
    </row>
    <row r="39" spans="1:21" x14ac:dyDescent="0.25">
      <c r="A39" s="32" t="s">
        <v>26013</v>
      </c>
      <c r="B39" s="32" t="s">
        <v>85</v>
      </c>
    </row>
    <row r="40" spans="1:21" x14ac:dyDescent="0.25">
      <c r="A40" s="32" t="s">
        <v>21</v>
      </c>
      <c r="B40" s="32" t="s">
        <v>85</v>
      </c>
    </row>
    <row r="41" spans="1:21" x14ac:dyDescent="0.25">
      <c r="A41" s="32" t="s">
        <v>26014</v>
      </c>
      <c r="B41" s="32" t="s">
        <v>85</v>
      </c>
    </row>
    <row r="42" spans="1:21" x14ac:dyDescent="0.25">
      <c r="A42" s="32" t="s">
        <v>26015</v>
      </c>
      <c r="B42" s="32" t="s">
        <v>85</v>
      </c>
    </row>
    <row r="43" spans="1:21" x14ac:dyDescent="0.25">
      <c r="A43" s="32" t="s">
        <v>26016</v>
      </c>
      <c r="B43" s="32" t="s">
        <v>85</v>
      </c>
    </row>
    <row r="60" spans="1:2" x14ac:dyDescent="0.25">
      <c r="A60" t="s">
        <v>163</v>
      </c>
      <c r="B60" t="s">
        <v>17</v>
      </c>
    </row>
    <row r="61" spans="1:2" x14ac:dyDescent="0.25">
      <c r="A61" s="31"/>
      <c r="B61" s="31"/>
    </row>
    <row r="74" spans="1:2" x14ac:dyDescent="0.25">
      <c r="A74" s="31" t="s">
        <v>81</v>
      </c>
      <c r="B74" s="44" t="str">
        <f>IF(COUNT(Vertices[Degree])&gt;0, D2, NoMetricMessage)</f>
        <v>Not Available</v>
      </c>
    </row>
    <row r="75" spans="1:2" x14ac:dyDescent="0.25">
      <c r="A75" s="31" t="s">
        <v>82</v>
      </c>
      <c r="B75" s="44" t="str">
        <f>IF(COUNT(Vertices[Degree])&gt;0, D36, NoMetricMessage)</f>
        <v>Not Available</v>
      </c>
    </row>
    <row r="76" spans="1:2" x14ac:dyDescent="0.25">
      <c r="A76" s="31" t="s">
        <v>83</v>
      </c>
      <c r="B76" s="45" t="str">
        <f>IFERROR(AVERAGE(Vertices[Degree]),NoMetricMessage)</f>
        <v>Not Available</v>
      </c>
    </row>
    <row r="77" spans="1:2" x14ac:dyDescent="0.25">
      <c r="A77" s="31" t="s">
        <v>84</v>
      </c>
      <c r="B77" s="45" t="str">
        <f>IFERROR(MEDIAN(Vertices[Degree]),NoMetricMessage)</f>
        <v>Not Available</v>
      </c>
    </row>
    <row r="88" spans="1:2" x14ac:dyDescent="0.25">
      <c r="A88" s="31" t="s">
        <v>88</v>
      </c>
      <c r="B88" s="44" t="str">
        <f>IF(COUNT(Vertices[In-Degree])&gt;0, F2, NoMetricMessage)</f>
        <v>Not Available</v>
      </c>
    </row>
    <row r="89" spans="1:2" x14ac:dyDescent="0.25">
      <c r="A89" s="31" t="s">
        <v>89</v>
      </c>
      <c r="B89" s="44" t="str">
        <f>IF(COUNT(Vertices[In-Degree])&gt;0, F36, NoMetricMessage)</f>
        <v>Not Available</v>
      </c>
    </row>
    <row r="90" spans="1:2" x14ac:dyDescent="0.25">
      <c r="A90" s="31" t="s">
        <v>90</v>
      </c>
      <c r="B90" s="45" t="str">
        <f>IFERROR(AVERAGE(Vertices[In-Degree]),NoMetricMessage)</f>
        <v>Not Available</v>
      </c>
    </row>
    <row r="91" spans="1:2" x14ac:dyDescent="0.25">
      <c r="A91" s="31" t="s">
        <v>91</v>
      </c>
      <c r="B91" s="45" t="str">
        <f>IFERROR(MEDIAN(Vertices[In-Degree]),NoMetricMessage)</f>
        <v>Not Available</v>
      </c>
    </row>
    <row r="102" spans="1:2" x14ac:dyDescent="0.25">
      <c r="A102" s="31" t="s">
        <v>94</v>
      </c>
      <c r="B102" s="44" t="str">
        <f>IF(COUNT(Vertices[Out-Degree])&gt;0, H2, NoMetricMessage)</f>
        <v>Not Available</v>
      </c>
    </row>
    <row r="103" spans="1:2" x14ac:dyDescent="0.25">
      <c r="A103" s="31" t="s">
        <v>95</v>
      </c>
      <c r="B103" s="44" t="str">
        <f>IF(COUNT(Vertices[Out-Degree])&gt;0, H36, NoMetricMessage)</f>
        <v>Not Available</v>
      </c>
    </row>
    <row r="104" spans="1:2" x14ac:dyDescent="0.25">
      <c r="A104" s="31" t="s">
        <v>96</v>
      </c>
      <c r="B104" s="45" t="str">
        <f>IFERROR(AVERAGE(Vertices[Out-Degree]),NoMetricMessage)</f>
        <v>Not Available</v>
      </c>
    </row>
    <row r="105" spans="1:2" x14ac:dyDescent="0.25">
      <c r="A105" s="31" t="s">
        <v>97</v>
      </c>
      <c r="B105" s="45" t="str">
        <f>IFERROR(MEDIAN(Vertices[Out-Degree]),NoMetricMessage)</f>
        <v>Not Available</v>
      </c>
    </row>
    <row r="116" spans="1:2" x14ac:dyDescent="0.25">
      <c r="A116" s="31" t="s">
        <v>100</v>
      </c>
      <c r="B116" s="45" t="str">
        <f>IF(COUNT(Vertices[Betweenness Centrality])&gt;0, J2, NoMetricMessage)</f>
        <v>Not Available</v>
      </c>
    </row>
    <row r="117" spans="1:2" x14ac:dyDescent="0.25">
      <c r="A117" s="31" t="s">
        <v>101</v>
      </c>
      <c r="B117" s="45" t="str">
        <f>IF(COUNT(Vertices[Betweenness Centrality])&gt;0, J36, NoMetricMessage)</f>
        <v>Not Available</v>
      </c>
    </row>
    <row r="118" spans="1:2" x14ac:dyDescent="0.25">
      <c r="A118" s="31" t="s">
        <v>102</v>
      </c>
      <c r="B118" s="45" t="str">
        <f>IFERROR(AVERAGE(Vertices[Betweenness Centrality]),NoMetricMessage)</f>
        <v>Not Available</v>
      </c>
    </row>
    <row r="119" spans="1:2" x14ac:dyDescent="0.25">
      <c r="A119" s="31" t="s">
        <v>103</v>
      </c>
      <c r="B119" s="45" t="str">
        <f>IFERROR(MEDIAN(Vertices[Betweenness Centrality]),NoMetricMessage)</f>
        <v>Not Available</v>
      </c>
    </row>
    <row r="130" spans="1:2" x14ac:dyDescent="0.25">
      <c r="A130" s="31" t="s">
        <v>106</v>
      </c>
      <c r="B130" s="45" t="str">
        <f>IF(COUNT(Vertices[Closeness Centrality])&gt;0, L2, NoMetricMessage)</f>
        <v>Not Available</v>
      </c>
    </row>
    <row r="131" spans="1:2" x14ac:dyDescent="0.25">
      <c r="A131" s="31" t="s">
        <v>107</v>
      </c>
      <c r="B131" s="45" t="str">
        <f>IF(COUNT(Vertices[Closeness Centrality])&gt;0, L36, NoMetricMessage)</f>
        <v>Not Available</v>
      </c>
    </row>
    <row r="132" spans="1:2" x14ac:dyDescent="0.25">
      <c r="A132" s="31" t="s">
        <v>108</v>
      </c>
      <c r="B132" s="45" t="str">
        <f>IFERROR(AVERAGE(Vertices[Closeness Centrality]),NoMetricMessage)</f>
        <v>Not Available</v>
      </c>
    </row>
    <row r="133" spans="1:2" x14ac:dyDescent="0.25">
      <c r="A133" s="31" t="s">
        <v>109</v>
      </c>
      <c r="B133" s="45" t="str">
        <f>IFERROR(MEDIAN(Vertices[Closeness Centrality]),NoMetricMessage)</f>
        <v>Not Available</v>
      </c>
    </row>
    <row r="144" spans="1:2" x14ac:dyDescent="0.25">
      <c r="A144" s="31" t="s">
        <v>112</v>
      </c>
      <c r="B144" s="45" t="str">
        <f>IF(COUNT(Vertices[Eigenvector Centrality])&gt;0, N2, NoMetricMessage)</f>
        <v>Not Available</v>
      </c>
    </row>
    <row r="145" spans="1:2" x14ac:dyDescent="0.25">
      <c r="A145" s="31" t="s">
        <v>113</v>
      </c>
      <c r="B145" s="45" t="str">
        <f>IF(COUNT(Vertices[Eigenvector Centrality])&gt;0, N36, NoMetricMessage)</f>
        <v>Not Available</v>
      </c>
    </row>
    <row r="146" spans="1:2" x14ac:dyDescent="0.25">
      <c r="A146" s="31" t="s">
        <v>114</v>
      </c>
      <c r="B146" s="45" t="str">
        <f>IFERROR(AVERAGE(Vertices[Eigenvector Centrality]),NoMetricMessage)</f>
        <v>Not Available</v>
      </c>
    </row>
    <row r="147" spans="1:2" x14ac:dyDescent="0.25">
      <c r="A147" s="31" t="s">
        <v>115</v>
      </c>
      <c r="B147" s="45" t="str">
        <f>IFERROR(MEDIAN(Vertices[Eigenvector Centrality]),NoMetricMessage)</f>
        <v>Not Available</v>
      </c>
    </row>
    <row r="158" spans="1:2" x14ac:dyDescent="0.25">
      <c r="A158" s="31" t="s">
        <v>140</v>
      </c>
      <c r="B158" s="45" t="str">
        <f>IF(COUNT(Vertices[PageRank])&gt;0, P2, NoMetricMessage)</f>
        <v>Not Available</v>
      </c>
    </row>
    <row r="159" spans="1:2" x14ac:dyDescent="0.25">
      <c r="A159" s="31" t="s">
        <v>141</v>
      </c>
      <c r="B159" s="45" t="str">
        <f>IF(COUNT(Vertices[PageRank])&gt;0, P36, NoMetricMessage)</f>
        <v>Not Available</v>
      </c>
    </row>
    <row r="160" spans="1:2" x14ac:dyDescent="0.25">
      <c r="A160" s="31" t="s">
        <v>142</v>
      </c>
      <c r="B160" s="45" t="str">
        <f>IFERROR(AVERAGE(Vertices[PageRank]),NoMetricMessage)</f>
        <v>Not Available</v>
      </c>
    </row>
    <row r="161" spans="1:2" x14ac:dyDescent="0.25">
      <c r="A161" s="31" t="s">
        <v>143</v>
      </c>
      <c r="B161" s="45" t="str">
        <f>IFERROR(MEDIAN(Vertices[PageRank]),NoMetricMessage)</f>
        <v>Not Available</v>
      </c>
    </row>
    <row r="172" spans="1:2" x14ac:dyDescent="0.25">
      <c r="A172" s="31" t="s">
        <v>118</v>
      </c>
      <c r="B172" s="45" t="str">
        <f>IF(COUNT(Vertices[Clustering Coefficient])&gt;0, R2, NoMetricMessage)</f>
        <v>Not Available</v>
      </c>
    </row>
    <row r="173" spans="1:2" x14ac:dyDescent="0.25">
      <c r="A173" s="31" t="s">
        <v>119</v>
      </c>
      <c r="B173" s="45" t="str">
        <f>IF(COUNT(Vertices[Clustering Coefficient])&gt;0, R36, NoMetricMessage)</f>
        <v>Not Available</v>
      </c>
    </row>
    <row r="174" spans="1:2" x14ac:dyDescent="0.25">
      <c r="A174" s="31" t="s">
        <v>120</v>
      </c>
      <c r="B174" s="45" t="str">
        <f>IFERROR(AVERAGE(Vertices[Clustering Coefficient]),NoMetricMessage)</f>
        <v>Not Available</v>
      </c>
    </row>
    <row r="175" spans="1:2" x14ac:dyDescent="0.25">
      <c r="A175" s="31" t="s">
        <v>121</v>
      </c>
      <c r="B175" s="45" t="str">
        <f>IFERROR(MEDIAN(Vertices[Clustering Coefficient]),NoMetricMessage)</f>
        <v>Not Available</v>
      </c>
    </row>
  </sheetData>
  <dataConsolidate/>
  <pageMargins left="0.7" right="0.7" top="0.75" bottom="0.75" header="0.3" footer="0.3"/>
  <pageSetup orientation="portrait"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R23"/>
  <sheetViews>
    <sheetView workbookViewId="0">
      <selection activeCell="A2" sqref="A2"/>
    </sheetView>
  </sheetViews>
  <sheetFormatPr defaultRowHeight="15" x14ac:dyDescent="0.25"/>
  <cols>
    <col min="1" max="1" width="10.42578125" style="1" bestFit="1" customWidth="1"/>
    <col min="2" max="2" width="12.42578125" style="1" bestFit="1" customWidth="1"/>
    <col min="3" max="3" width="22.85546875" bestFit="1" customWidth="1"/>
    <col min="4" max="4" width="16.85546875" bestFit="1" customWidth="1"/>
    <col min="5" max="6" width="16.85546875" customWidth="1"/>
    <col min="7" max="7" width="14.28515625" bestFit="1" customWidth="1"/>
    <col min="8" max="8" width="14.28515625" customWidth="1"/>
    <col min="10" max="10" width="39.140625" bestFit="1" customWidth="1"/>
    <col min="11" max="11" width="10.85546875" bestFit="1" customWidth="1"/>
    <col min="13" max="13" width="8.42578125" bestFit="1" customWidth="1"/>
    <col min="14" max="14" width="10" bestFit="1" customWidth="1"/>
    <col min="15" max="15" width="11.85546875" bestFit="1" customWidth="1"/>
    <col min="16" max="16" width="12.140625" bestFit="1" customWidth="1"/>
  </cols>
  <sheetData>
    <row r="1" spans="1:18" s="3" customFormat="1" ht="36" customHeight="1" x14ac:dyDescent="0.25">
      <c r="A1" s="4" t="s">
        <v>6</v>
      </c>
      <c r="B1" s="4" t="s">
        <v>131</v>
      </c>
      <c r="C1" s="3" t="s">
        <v>7</v>
      </c>
      <c r="D1" s="3" t="s">
        <v>9</v>
      </c>
      <c r="E1" s="3" t="s">
        <v>164</v>
      </c>
      <c r="F1" s="4" t="s">
        <v>169</v>
      </c>
      <c r="G1" s="3" t="s">
        <v>14</v>
      </c>
      <c r="H1" s="3" t="s">
        <v>67</v>
      </c>
      <c r="J1" s="3" t="s">
        <v>18</v>
      </c>
      <c r="K1" s="3" t="s">
        <v>17</v>
      </c>
      <c r="M1" s="3" t="s">
        <v>22</v>
      </c>
      <c r="N1" s="3" t="s">
        <v>23</v>
      </c>
      <c r="O1" s="3" t="s">
        <v>24</v>
      </c>
      <c r="P1" s="3" t="s">
        <v>25</v>
      </c>
    </row>
    <row r="2" spans="1:18" x14ac:dyDescent="0.25">
      <c r="A2" s="1" t="s">
        <v>51</v>
      </c>
      <c r="B2" s="1" t="s">
        <v>132</v>
      </c>
      <c r="C2" t="s">
        <v>54</v>
      </c>
      <c r="D2" t="s">
        <v>55</v>
      </c>
      <c r="E2" t="s">
        <v>55</v>
      </c>
      <c r="F2" s="1" t="s">
        <v>51</v>
      </c>
      <c r="G2" t="s">
        <v>65</v>
      </c>
      <c r="H2" t="s">
        <v>159</v>
      </c>
      <c r="J2" t="s">
        <v>19</v>
      </c>
      <c r="K2">
        <v>108</v>
      </c>
    </row>
    <row r="3" spans="1:18" x14ac:dyDescent="0.25">
      <c r="A3" s="1" t="s">
        <v>52</v>
      </c>
      <c r="B3" s="1" t="s">
        <v>133</v>
      </c>
      <c r="C3" t="s">
        <v>52</v>
      </c>
      <c r="D3" t="s">
        <v>56</v>
      </c>
      <c r="E3" t="s">
        <v>56</v>
      </c>
      <c r="F3" s="1" t="s">
        <v>52</v>
      </c>
      <c r="G3" t="s">
        <v>66</v>
      </c>
      <c r="H3" t="s">
        <v>68</v>
      </c>
      <c r="J3" t="s">
        <v>30</v>
      </c>
      <c r="K3" t="s">
        <v>25999</v>
      </c>
    </row>
    <row r="4" spans="1:18" x14ac:dyDescent="0.25">
      <c r="A4" s="1" t="s">
        <v>53</v>
      </c>
      <c r="B4" s="1" t="s">
        <v>134</v>
      </c>
      <c r="C4" t="s">
        <v>53</v>
      </c>
      <c r="D4" t="s">
        <v>57</v>
      </c>
      <c r="E4" t="s">
        <v>57</v>
      </c>
      <c r="F4" s="1" t="s">
        <v>53</v>
      </c>
      <c r="G4">
        <v>0</v>
      </c>
      <c r="H4" t="s">
        <v>69</v>
      </c>
      <c r="J4" t="s">
        <v>78</v>
      </c>
    </row>
    <row r="5" spans="1:18" ht="409.5" x14ac:dyDescent="0.25">
      <c r="A5">
        <v>1</v>
      </c>
      <c r="B5" s="1" t="s">
        <v>135</v>
      </c>
      <c r="C5" t="s">
        <v>51</v>
      </c>
      <c r="D5" t="s">
        <v>58</v>
      </c>
      <c r="E5" t="s">
        <v>58</v>
      </c>
      <c r="F5">
        <v>1</v>
      </c>
      <c r="G5">
        <v>1</v>
      </c>
      <c r="H5" t="s">
        <v>70</v>
      </c>
      <c r="J5" t="s">
        <v>172</v>
      </c>
      <c r="K5" s="7" t="s">
        <v>26028</v>
      </c>
    </row>
    <row r="6" spans="1:18" x14ac:dyDescent="0.25">
      <c r="A6">
        <v>0</v>
      </c>
      <c r="B6" s="1" t="s">
        <v>136</v>
      </c>
      <c r="C6">
        <v>1</v>
      </c>
      <c r="D6" t="s">
        <v>59</v>
      </c>
      <c r="E6" t="s">
        <v>59</v>
      </c>
      <c r="F6">
        <v>0</v>
      </c>
      <c r="H6" t="s">
        <v>71</v>
      </c>
      <c r="J6" t="s">
        <v>173</v>
      </c>
      <c r="K6">
        <v>1</v>
      </c>
      <c r="R6" t="s">
        <v>129</v>
      </c>
    </row>
    <row r="7" spans="1:18" x14ac:dyDescent="0.25">
      <c r="A7">
        <v>2</v>
      </c>
      <c r="B7">
        <v>1</v>
      </c>
      <c r="C7">
        <v>0</v>
      </c>
      <c r="D7" t="s">
        <v>60</v>
      </c>
      <c r="E7" t="s">
        <v>60</v>
      </c>
      <c r="F7">
        <v>2</v>
      </c>
      <c r="H7" t="s">
        <v>72</v>
      </c>
      <c r="J7" t="s">
        <v>174</v>
      </c>
      <c r="K7" t="s">
        <v>175</v>
      </c>
    </row>
    <row r="8" spans="1:18" ht="409.5" x14ac:dyDescent="0.25">
      <c r="A8"/>
      <c r="B8">
        <v>2</v>
      </c>
      <c r="C8">
        <v>2</v>
      </c>
      <c r="D8" t="s">
        <v>61</v>
      </c>
      <c r="E8" t="s">
        <v>61</v>
      </c>
      <c r="H8" t="s">
        <v>73</v>
      </c>
      <c r="J8" t="s">
        <v>176</v>
      </c>
      <c r="K8" s="7" t="s">
        <v>25998</v>
      </c>
    </row>
    <row r="9" spans="1:18" x14ac:dyDescent="0.25">
      <c r="A9"/>
      <c r="B9">
        <v>3</v>
      </c>
      <c r="C9">
        <v>4</v>
      </c>
      <c r="D9" t="s">
        <v>62</v>
      </c>
      <c r="E9" t="s">
        <v>62</v>
      </c>
      <c r="H9" t="s">
        <v>74</v>
      </c>
    </row>
    <row r="10" spans="1:18" x14ac:dyDescent="0.25">
      <c r="A10"/>
      <c r="B10">
        <v>4</v>
      </c>
      <c r="D10" t="s">
        <v>63</v>
      </c>
      <c r="E10" t="s">
        <v>63</v>
      </c>
      <c r="H10" t="s">
        <v>75</v>
      </c>
    </row>
    <row r="11" spans="1:18" x14ac:dyDescent="0.25">
      <c r="A11"/>
      <c r="B11">
        <v>5</v>
      </c>
      <c r="D11" t="s">
        <v>46</v>
      </c>
      <c r="E11">
        <v>1</v>
      </c>
      <c r="H11" t="s">
        <v>76</v>
      </c>
    </row>
    <row r="12" spans="1:18" x14ac:dyDescent="0.25">
      <c r="A12"/>
      <c r="B12"/>
      <c r="D12" t="s">
        <v>64</v>
      </c>
      <c r="E12">
        <v>2</v>
      </c>
      <c r="H12">
        <v>0</v>
      </c>
    </row>
    <row r="13" spans="1:18" x14ac:dyDescent="0.25">
      <c r="A13"/>
      <c r="B13"/>
      <c r="D13">
        <v>1</v>
      </c>
      <c r="E13">
        <v>3</v>
      </c>
      <c r="H13">
        <v>1</v>
      </c>
    </row>
    <row r="14" spans="1:18" x14ac:dyDescent="0.25">
      <c r="D14">
        <v>2</v>
      </c>
      <c r="E14">
        <v>4</v>
      </c>
      <c r="H14">
        <v>2</v>
      </c>
    </row>
    <row r="15" spans="1:18" x14ac:dyDescent="0.25">
      <c r="D15">
        <v>3</v>
      </c>
      <c r="E15">
        <v>5</v>
      </c>
      <c r="H15">
        <v>3</v>
      </c>
    </row>
    <row r="16" spans="1:18" x14ac:dyDescent="0.25">
      <c r="D16">
        <v>4</v>
      </c>
      <c r="E16">
        <v>6</v>
      </c>
      <c r="H16">
        <v>4</v>
      </c>
    </row>
    <row r="17" spans="4:8" x14ac:dyDescent="0.25">
      <c r="D17">
        <v>5</v>
      </c>
      <c r="E17">
        <v>7</v>
      </c>
      <c r="H17">
        <v>5</v>
      </c>
    </row>
    <row r="18" spans="4:8" x14ac:dyDescent="0.25">
      <c r="D18">
        <v>6</v>
      </c>
      <c r="E18">
        <v>8</v>
      </c>
      <c r="H18">
        <v>6</v>
      </c>
    </row>
    <row r="19" spans="4:8" x14ac:dyDescent="0.25">
      <c r="D19">
        <v>7</v>
      </c>
      <c r="E19">
        <v>9</v>
      </c>
      <c r="H19">
        <v>7</v>
      </c>
    </row>
    <row r="20" spans="4:8" x14ac:dyDescent="0.25">
      <c r="D20">
        <v>8</v>
      </c>
      <c r="H20">
        <v>8</v>
      </c>
    </row>
    <row r="21" spans="4:8" x14ac:dyDescent="0.25">
      <c r="D21">
        <v>9</v>
      </c>
      <c r="H21">
        <v>9</v>
      </c>
    </row>
    <row r="22" spans="4:8" x14ac:dyDescent="0.25">
      <c r="D22">
        <v>10</v>
      </c>
    </row>
    <row r="23" spans="4:8" x14ac:dyDescent="0.25">
      <c r="D23">
        <v>11</v>
      </c>
    </row>
  </sheetData>
  <dataConsolidate/>
  <pageMargins left="0.7" right="0.7" top="0.75" bottom="0.75" header="0.3" footer="0.3"/>
  <pageSetup orientation="portrait" horizontalDpi="0" verticalDpi="0" r:id="rId1"/>
  <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5FE10-E58B-443B-9DF4-587BBDDBCBB0}">
  <dimension ref="A1:B7"/>
  <sheetViews>
    <sheetView workbookViewId="0"/>
  </sheetViews>
  <sheetFormatPr defaultRowHeight="15" x14ac:dyDescent="0.25"/>
  <cols>
    <col min="1" max="1" width="6.5703125" bestFit="1" customWidth="1"/>
    <col min="2" max="2" width="8.42578125" bestFit="1" customWidth="1"/>
  </cols>
  <sheetData>
    <row r="1" spans="1:2" ht="15" customHeight="1" x14ac:dyDescent="0.25">
      <c r="A1" s="7" t="s">
        <v>26022</v>
      </c>
      <c r="B1" s="7" t="s">
        <v>17</v>
      </c>
    </row>
    <row r="2" spans="1:2" x14ac:dyDescent="0.25">
      <c r="A2" s="76" t="s">
        <v>26023</v>
      </c>
      <c r="B2" s="76"/>
    </row>
    <row r="3" spans="1:2" x14ac:dyDescent="0.25">
      <c r="A3" s="77" t="s">
        <v>26024</v>
      </c>
      <c r="B3" s="76"/>
    </row>
    <row r="4" spans="1:2" x14ac:dyDescent="0.25">
      <c r="A4" s="77" t="s">
        <v>26025</v>
      </c>
      <c r="B4" s="76"/>
    </row>
    <row r="5" spans="1:2" x14ac:dyDescent="0.25">
      <c r="A5" s="77" t="s">
        <v>26026</v>
      </c>
      <c r="B5" s="76"/>
    </row>
    <row r="6" spans="1:2" x14ac:dyDescent="0.25">
      <c r="A6" s="77" t="s">
        <v>26027</v>
      </c>
      <c r="B6" s="76"/>
    </row>
    <row r="7" spans="1:2" x14ac:dyDescent="0.25">
      <c r="A7" s="77" t="s">
        <v>21799</v>
      </c>
      <c r="B7" s="76"/>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1A7D4BF2-36DC-41D0-994B-93F413AAA5F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13</vt:i4>
      </vt:variant>
    </vt:vector>
  </HeadingPairs>
  <TitlesOfParts>
    <vt:vector size="21" baseType="lpstr">
      <vt:lpstr>Edges</vt:lpstr>
      <vt:lpstr>Vertices</vt:lpstr>
      <vt:lpstr>Do Not Delete</vt:lpstr>
      <vt:lpstr>Groups</vt:lpstr>
      <vt:lpstr>Group Vertices</vt:lpstr>
      <vt:lpstr>Overall Metrics</vt:lpstr>
      <vt:lpstr>Misc</vt:lpstr>
      <vt:lpstr>Export Options</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Tony</dc:creator>
  <cp:lastModifiedBy>Mauricio Fernandes</cp:lastModifiedBy>
  <dcterms:created xsi:type="dcterms:W3CDTF">2008-01-30T00:41:58Z</dcterms:created>
  <dcterms:modified xsi:type="dcterms:W3CDTF">2023-09-28T10:23:19Z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